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Stores" sheetId="2" state="visible" r:id="rId2"/>
    <sheet xmlns:r="http://schemas.openxmlformats.org/officeDocument/2006/relationships" name="Riders" sheetId="3" state="visible" r:id="rId3"/>
    <sheet xmlns:r="http://schemas.openxmlformats.org/officeDocument/2006/relationships" name="Demand" sheetId="4" state="visible" r:id="rId4"/>
    <sheet xmlns:r="http://schemas.openxmlformats.org/officeDocument/2006/relationships" name="Customers" sheetId="5" state="visible" r:id="rId5"/>
    <sheet xmlns:r="http://schemas.openxmlformats.org/officeDocument/2006/relationships" name="Guide" sheetId="6" state="visible" r:id="rId6"/>
    <sheet xmlns:r="http://schemas.openxmlformats.org/officeDocument/2006/relationships" name="Rules" sheetId="7" state="visible" r:id="rId7"/>
    <sheet xmlns:r="http://schemas.openxmlformats.org/officeDocument/2006/relationships" name="Metrics" sheetId="8" state="visible" r:id="rId8"/>
    <sheet xmlns:r="http://schemas.openxmlformats.org/officeDocument/2006/relationships" name="Hypotheses" sheetId="9" state="visible" r:id="rId9"/>
    <sheet xmlns:r="http://schemas.openxmlformats.org/officeDocument/2006/relationships" name="Tests_Proportions" sheetId="10" state="visible" r:id="rId10"/>
    <sheet xmlns:r="http://schemas.openxmlformats.org/officeDocument/2006/relationships" name="Tests_Means" sheetId="11" state="visible" r:id="rId11"/>
    <sheet xmlns:r="http://schemas.openxmlformats.org/officeDocument/2006/relationships" name="Tests_Correlations" sheetId="12" state="visible" r:id="rId12"/>
    <sheet xmlns:r="http://schemas.openxmlformats.org/officeDocument/2006/relationships" name="Breakdowns" sheetId="13" state="visible" r:id="rId13"/>
    <sheet xmlns:r="http://schemas.openxmlformats.org/officeDocument/2006/relationships" name="Checks" sheetId="14" state="visible" r:id="rId14"/>
    <sheet xmlns:r="http://schemas.openxmlformats.org/officeDocument/2006/relationships" name="Calc_Orders" sheetId="15" state="visible" r:id="rId15"/>
    <sheet xmlns:r="http://schemas.openxmlformats.org/officeDocument/2006/relationships" name="Calc_Demand" sheetId="16" state="visible" r:id="rId16"/>
    <sheet xmlns:r="http://schemas.openxmlformats.org/officeDocument/2006/relationships" name="Store_Summary" sheetId="17" state="visible" r:id="rId17"/>
    <sheet xmlns:r="http://schemas.openxmlformats.org/officeDocument/2006/relationships" name="Customer_Summary" sheetId="18" state="visible" r:id="rId18"/>
  </sheets>
  <definedNames>
    <definedName name="o_status">Orders!$H$2:$H$1501</definedName>
    <definedName name="o_reason">Orders!$T$2:$T$1501</definedName>
    <definedName name="o_order_id">Orders!$A$2:$A$1501</definedName>
    <definedName name="o_promised_eta">Orders!$P$2:$P$1501</definedName>
    <definedName name="o_actual_min">Orders!$Q$2:$Q$1501</definedName>
    <definedName name="o_delay">Orders!$R$2:$R$1501</definedName>
    <definedName name="c_id">Calc_Orders!$A$5:$A$1504</definedName>
    <definedName name="c_store">Calc_Orders!$B$5:$B$1504</definedName>
    <definedName name="c_cust">Calc_Orders!$C$5:$C$1504</definedName>
    <definedName name="c_status">Calc_Orders!$D$5:$D$1504</definedName>
    <definedName name="c_deliv">Calc_Orders!$E$5:$E$1504</definedName>
    <definedName name="c_delay">Calc_Orders!$F$5:$F$1504</definedName>
    <definedName name="c_late">Calc_Orders!$G$5:$G$1504</definedName>
    <definedName name="c_sev">Calc_Orders!$H$5:$H$1504</definedName>
    <definedName name="c_cancel">Calc_Orders!$I$5:$I$1504</definedName>
    <definedName name="c_elig">Calc_Orders!$J$5:$J$1504</definedName>
    <definedName name="c_group">Calc_Orders!$K$5:$K$1504</definedName>
    <definedName name="c_peak">Calc_Orders!$L$5:$L$1504</definedName>
    <definedName name="c_peakok">Calc_Orders!$M$5:$M$1504</definedName>
    <definedName name="c_rain">Calc_Orders!$N$5:$N$1504</definedName>
    <definedName name="c_date">Calc_Orders!$O$5:$O$1504</definedName>
    <definedName name="c_hour">Calc_Orders!$P$5:$P$1504</definedName>
    <definedName name="c_dmatch">Calc_Orders!$Q$5:$Q$1504</definedName>
    <definedName name="c_dorders">Calc_Orders!$R$5:$R$1504</definedName>
    <definedName name="c_typ">Calc_Orders!$S$5:$S$1504</definedName>
    <definedName name="c_load">Calc_Orders!$T$5:$T$1504</definedName>
    <definedName name="c_loadd">Calc_Orders!$U$5:$U$1504</definedName>
    <definedName name="c_loadop">Calc_Orders!$V$5:$V$1504</definedName>
    <definedName name="c_qall">Calc_Orders!$W$5:$W$1504</definedName>
    <definedName name="c_qop">Calc_Orders!$X$5:$X$1504</definedName>
    <definedName name="c_pickstore">Calc_Orders!$Y$5:$Y$1504</definedName>
    <definedName name="c_slow">Calc_Orders!$Z$5:$Z$1504</definedName>
    <definedName name="c_age">Calc_Orders!$AA$5:$AA$1504</definedName>
    <definedName name="c_new">Calc_Orders!$AB$5:$AB$1504</definedName>
    <definedName name="c_veh">Calc_Orders!$AC$5:$AC$1504</definedName>
    <definedName name="c_exp">Calc_Orders!$AD$5:$AD$1504</definedName>
    <definedName name="c_homematch">Calc_Orders!$AE$5:$AE$1504</definedName>
    <definedName name="c_dist">Calc_Orders!$AF$5:$AF$1504</definedName>
    <definedName name="c_prom">Calc_Orders!$AG$5:$AG$1504</definedName>
    <definedName name="c_act">Calc_Orders!$AH$5:$AH$1504</definedName>
    <definedName name="c_pick">Calc_Orders!$AI$5:$AI$1504</definedName>
    <definedName name="c_wait">Calc_Orders!$AJ$5:$AJ$1504</definedName>
    <definedName name="c_trav">Calc_Orders!$AK$5:$AK$1504</definedName>
    <definedName name="c_sum01">Calc_Orders!$AL$5:$AL$1504</definedName>
    <definedName name="c_shp">Calc_Orders!$AM$5:$AM$1504</definedName>
    <definedName name="c_shw">Calc_Orders!$AN$5:$AN$1504</definedName>
    <definedName name="c_sht">Calc_Orders!$AO$5:$AO$1504</definedName>
    <definedName name="c_traf">Calc_Orders!$AP$5:$AP$1504</definedName>
    <definedName name="c_event">Calc_Orders!$AQ$5:$AQ$1504</definedName>
    <definedName name="c_wpk">Calc_Orders!$AR$5:$AR$1504</definedName>
    <definedName name="c_wop">Calc_Orders!$AS$5:$AS$1504</definedName>
    <definedName name="c_ppk">Calc_Orders!$AT$5:$AT$1504</definedName>
    <definedName name="c_pop">Calc_Orders!$AU$5:$AU$1504</definedName>
    <definedName name="c_prpk">Calc_Orders!$AV$5:$AV$1504</definedName>
    <definedName name="c_prop">Calc_Orders!$AW$5:$AW$1504</definedName>
    <definedName name="c_acpk">Calc_Orders!$AX$5:$AX$1504</definedName>
    <definedName name="c_acop">Calc_Orders!$AY$5:$AY$1504</definedName>
    <definedName name="c_latedelay">Calc_Orders!$AZ$5:$AZ$1504</definedName>
    <definedName name="c_ldpk">Calc_Orders!$BA$5:$BA$1504</definedName>
    <definedName name="c_ldop">Calc_Orders!$BB$5:$BB$1504</definedName>
    <definedName name="c_o3">Calc_Orders!$BC$5:$BC$1504</definedName>
    <definedName name="c_o7">Calc_Orders!$BD$5:$BD$1504</definedName>
    <definedName name="c_band">Calc_Orders!$BE$5:$BE$1504</definedName>
    <definedName name="c_delaychk">Calc_Orders!$BF$5:$BF$1504</definedName>
    <definedName name="c_promchk">Calc_Orders!$BG$5:$BG$1504</definedName>
    <definedName name="c_flagchk">Calc_Orders!$BH$5:$BH$1504</definedName>
    <definedName name="c_city">Calc_Orders!$BI$5:$BI$1504</definedName>
    <definedName name="s_late_rate">Store_Summary!$E$4:$E$23</definedName>
    <definedName name="s_pick">Store_Summary!$F$4:$F$23</definedName>
    <definedName name="s_staff">Store_Summary!$G$4:$G$23</definedName>
    <definedName name="s_avail">Store_Summary!$H$4:$H$23</definedName>
    <definedName name="s_age">Store_Summary!$I$4:$I$23</definedName>
    <definedName name="cu_late_share">Customer_Summary!$F$4:$F$253</definedName>
    <definedName name="cu_tickets">Customer_Summary!$I$4:$I$253</definedName>
    <definedName name="cu_refunds">Customer_Summary!$J$4:$J$253</definedName>
    <definedName name="cu_rating">Customer_Summary!$K$4:$K$253</definedName>
    <definedName name="cu_lateticket">Customer_Summary!$M$4:$M$253</definedName>
    <definedName name="cu_deliv">Customer_Summary!$C$4:$C$253</definedName>
    <definedName name="d_orders">Calc_Demand!$D$4:$D$4483</definedName>
    <definedName name="d_peak">Calc_Demand!$E$4:$E$4483</definedName>
    <definedName name="d_sample">Calc_Demand!$F$4:$F$4483</definedName>
    <definedName name="d_has">Calc_Demand!$G$4:$G$4483</definedName>
    <definedName name="d_dupkey">Calc_Demand!$H$4:$H$4483</definedName>
    <definedName name="_xlnm._FilterDatabase" localSheetId="7" hidden="1">'Metrics'!$A$3:$I$69</definedName>
    <definedName name="_xlnm._FilterDatabase" localSheetId="9" hidden="1">'Tests_Proportions'!$A$4:$P$13</definedName>
    <definedName name="_xlnm._FilterDatabase" localSheetId="10" hidden="1">'Tests_Means'!$A$4:$P$8</definedName>
    <definedName name="_xlnm._FilterDatabase" localSheetId="11" hidden="1">'Tests_Correlations'!$A$4:$M$14</definedName>
    <definedName name="_xlnm._FilterDatabase" localSheetId="12" hidden="1">'Breakdowns'!$A$10:$H$44</definedName>
    <definedName name="_xlnm._FilterDatabase" localSheetId="13" hidden="1">'Checks'!$A$4:$I$96</definedName>
    <definedName name="_xlnm._FilterDatabase" localSheetId="14" hidden="1">'Calc_Orders'!$A$4:$BI$1504</definedName>
    <definedName name="_xlnm._FilterDatabase" localSheetId="15" hidden="1">'Calc_Demand'!$A$3:$H$4483</definedName>
    <definedName name="_xlnm._FilterDatabase" localSheetId="16" hidden="1">'Store_Summary'!$A$3:$L$23</definedName>
    <definedName name="_xlnm._FilterDatabase" localSheetId="17" hidden="1">'Customer_Summary'!$A$3:$M$253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 HH:MM:SS"/>
    <numFmt numFmtId="165" formatCode="yyyy-mm-dd"/>
    <numFmt numFmtId="166" formatCode="0.0%"/>
    <numFmt numFmtId="167" formatCode="&quot;₹&quot;#,##0"/>
    <numFmt numFmtId="168" formatCode="0.00 &quot;min&quot;"/>
    <numFmt numFmtId="169" formatCode="0.0 &quot;min&quot;"/>
    <numFmt numFmtId="170" formatCode="+0.00;-0.00;0.00"/>
    <numFmt numFmtId="171" formatCode="+0.0&quot; pts&quot;;-0.0&quot; pts&quot;;0.0&quot; pts&quot;"/>
    <numFmt numFmtId="172" formatCode="0.000"/>
  </numFmts>
  <fonts count="9">
    <font>
      <name val="Calibri"/>
      <family val="2"/>
      <color theme="1"/>
      <sz val="11"/>
      <scheme val="minor"/>
    </font>
    <font>
      <b val="1"/>
    </font>
    <font>
      <name val="Arial"/>
      <b val="1"/>
      <color rgb="001C1C1C"/>
      <sz val="16"/>
    </font>
    <font>
      <name val="Arial"/>
      <i val="1"/>
      <color rgb="004A4F57"/>
      <sz val="10"/>
    </font>
    <font>
      <name val="Arial"/>
      <b val="1"/>
      <color rgb="001C1C1C"/>
      <sz val="10"/>
    </font>
    <font>
      <name val="Arial"/>
      <i val="1"/>
      <color rgb="004A4F57"/>
      <sz val="8.5"/>
    </font>
    <font>
      <name val="Arial"/>
      <color rgb="001C1C1C"/>
      <sz val="10"/>
    </font>
    <font>
      <name val="Consolas"/>
      <color rgb="004A4F57"/>
      <sz val="9"/>
    </font>
    <font>
      <name val="Arial"/>
      <b val="1"/>
      <color rgb="000C831F"/>
      <sz val="11"/>
    </font>
  </fonts>
  <fills count="6">
    <fill>
      <patternFill/>
    </fill>
    <fill>
      <patternFill patternType="gray125"/>
    </fill>
    <fill>
      <patternFill patternType="solid">
        <fgColor rgb="00F8CB46"/>
      </patternFill>
    </fill>
    <fill>
      <patternFill patternType="solid">
        <fgColor rgb="00FFF4CC"/>
      </patternFill>
    </fill>
    <fill>
      <patternFill patternType="solid">
        <fgColor rgb="00E7F4E9"/>
      </patternFill>
    </fill>
    <fill>
      <patternFill patternType="solid">
        <fgColor rgb="00F3F4F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CE0"/>
      </left>
      <right style="thin">
        <color rgb="00D9DCE0"/>
      </right>
      <top style="thin">
        <color rgb="00D9DCE0"/>
      </top>
      <bottom style="thin">
        <color rgb="00D9DCE0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3" fontId="4" fillId="4" borderId="2" applyAlignment="1" pivotButton="0" quotePrefix="0" xfId="0">
      <alignment vertical="top" wrapText="1"/>
    </xf>
    <xf numFmtId="166" fontId="4" fillId="4" borderId="2" applyAlignment="1" pivotButton="0" quotePrefix="0" xfId="0">
      <alignment vertical="top" wrapText="1"/>
    </xf>
    <xf numFmtId="168" fontId="4" fillId="4" borderId="2" applyAlignment="1" pivotButton="0" quotePrefix="0" xfId="0">
      <alignment vertical="top" wrapText="1"/>
    </xf>
    <xf numFmtId="169" fontId="4" fillId="4" borderId="2" applyAlignment="1" pivotButton="0" quotePrefix="0" xfId="0">
      <alignment vertical="top" wrapText="1"/>
    </xf>
    <xf numFmtId="170" fontId="4" fillId="4" borderId="2" applyAlignment="1" pivotButton="0" quotePrefix="0" xfId="0">
      <alignment vertical="top" wrapText="1"/>
    </xf>
    <xf numFmtId="10" fontId="4" fillId="4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3" fontId="6" fillId="0" borderId="2" applyAlignment="1" pivotButton="0" quotePrefix="0" xfId="0">
      <alignment vertical="top" wrapText="1"/>
    </xf>
    <xf numFmtId="166" fontId="4" fillId="0" borderId="2" applyAlignment="1" pivotButton="0" quotePrefix="0" xfId="0">
      <alignment vertical="top" wrapText="1"/>
    </xf>
    <xf numFmtId="171" fontId="4" fillId="4" borderId="2" applyAlignment="1" pivotButton="0" quotePrefix="0" xfId="0">
      <alignment vertical="top" wrapText="1"/>
    </xf>
    <xf numFmtId="2" fontId="6" fillId="0" borderId="2" applyAlignment="1" pivotButton="0" quotePrefix="0" xfId="0">
      <alignment vertical="top" wrapText="1"/>
    </xf>
    <xf numFmtId="0" fontId="3" fillId="0" borderId="0" pivotButton="0" quotePrefix="0" xfId="0"/>
    <xf numFmtId="2" fontId="4" fillId="0" borderId="2" applyAlignment="1" pivotButton="0" quotePrefix="0" xfId="0">
      <alignment vertical="top" wrapText="1"/>
    </xf>
    <xf numFmtId="172" fontId="6" fillId="0" borderId="2" applyAlignment="1" pivotButton="0" quotePrefix="0" xfId="0">
      <alignment vertical="top" wrapText="1"/>
    </xf>
    <xf numFmtId="2" fontId="4" fillId="4" borderId="2" applyAlignment="1" pivotButton="0" quotePrefix="0" xfId="0">
      <alignment vertical="top" wrapText="1"/>
    </xf>
    <xf numFmtId="167" fontId="4" fillId="4" borderId="2" applyAlignment="1" pivotButton="0" quotePrefix="0" xfId="0">
      <alignment vertical="top" wrapText="1"/>
    </xf>
    <xf numFmtId="0" fontId="4" fillId="0" borderId="0" pivotButton="0" quotePrefix="0" xfId="0"/>
    <xf numFmtId="0" fontId="8" fillId="0" borderId="0" pivotButton="0" quotePrefix="0" xfId="0"/>
    <xf numFmtId="166" fontId="6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49" fontId="6" fillId="0" borderId="0" pivotButton="0" quotePrefix="0" xfId="0"/>
    <xf numFmtId="3" fontId="6" fillId="0" borderId="0" pivotButton="0" quotePrefix="0" xfId="0"/>
    <xf numFmtId="2" fontId="6" fillId="0" borderId="0" pivotButton="0" quotePrefix="0" xfId="0"/>
    <xf numFmtId="165" fontId="6" fillId="0" borderId="0" pivotButton="0" quotePrefix="0" xfId="0"/>
    <xf numFmtId="166" fontId="6" fillId="0" borderId="0" pivotButton="0" quotePrefix="0" xfId="0"/>
    <xf numFmtId="0" fontId="4" fillId="0" borderId="0" applyAlignment="1" pivotButton="0" quotePrefix="0" xfId="0">
      <alignment horizontal="right"/>
    </xf>
    <xf numFmtId="49" fontId="6" fillId="0" borderId="2" applyAlignment="1" pivotButton="0" quotePrefix="0" xfId="0">
      <alignment vertical="top" wrapText="1"/>
    </xf>
    <xf numFmtId="167" fontId="6" fillId="0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name val="Arial"/>
        <b val="1"/>
        <color rgb="000C831F"/>
        <sz val="10"/>
      </font>
    </dxf>
    <dxf>
      <font>
        <name val="Arial"/>
        <b val="1"/>
        <color rgb="000C831F"/>
        <sz val="10"/>
      </font>
      <fill>
        <patternFill patternType="solid">
          <fgColor rgb="00E7F4E9"/>
        </patternFill>
      </fill>
    </dxf>
    <dxf>
      <font>
        <name val="Arial"/>
        <b val="1"/>
        <color rgb="00B42828"/>
        <sz val="10"/>
      </font>
      <fill>
        <patternFill patternType="solid">
          <fgColor rgb="00FDEC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01"/>
  <sheetViews>
    <sheetView tabSelected="0"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store_id</t>
        </is>
      </c>
      <c r="D1" s="1" t="inlineStr">
        <is>
          <t>rider_id</t>
        </is>
      </c>
      <c r="E1" s="1" t="inlineStr">
        <is>
          <t>placed_at</t>
        </is>
      </c>
      <c r="F1" s="1" t="inlineStr">
        <is>
          <t>promised_delivery_at</t>
        </is>
      </c>
      <c r="G1" s="1" t="inlineStr">
        <is>
          <t>actual_delivery_at</t>
        </is>
      </c>
      <c r="H1" s="1" t="inlineStr">
        <is>
          <t>order_status</t>
        </is>
      </c>
      <c r="I1" s="1" t="inlineStr">
        <is>
          <t>basket_size</t>
        </is>
      </c>
      <c r="J1" s="1" t="inlineStr">
        <is>
          <t>item_count</t>
        </is>
      </c>
      <c r="K1" s="1" t="inlineStr">
        <is>
          <t>order_value_inr</t>
        </is>
      </c>
      <c r="L1" s="1" t="inlineStr">
        <is>
          <t>distance_km</t>
        </is>
      </c>
      <c r="M1" s="1" t="inlineStr">
        <is>
          <t>picking_time_min_est</t>
        </is>
      </c>
      <c r="N1" s="1" t="inlineStr">
        <is>
          <t>rider_wait_time_min_est</t>
        </is>
      </c>
      <c r="O1" s="1" t="inlineStr">
        <is>
          <t>travel_time_min_est</t>
        </is>
      </c>
      <c r="P1" s="1" t="inlineStr">
        <is>
          <t>promised_eta_min</t>
        </is>
      </c>
      <c r="Q1" s="1" t="inlineStr">
        <is>
          <t>actual_delivery_duration_min</t>
        </is>
      </c>
      <c r="R1" s="1" t="inlineStr">
        <is>
          <t>delay_min</t>
        </is>
      </c>
      <c r="S1" s="1" t="inlineStr">
        <is>
          <t>on_time_flag</t>
        </is>
      </c>
      <c r="T1" s="1" t="inlineStr">
        <is>
          <t>cancellation_reason</t>
        </is>
      </c>
      <c r="U1" s="1" t="inlineStr">
        <is>
          <t>order_hour</t>
        </is>
      </c>
      <c r="V1" s="1" t="inlineStr">
        <is>
          <t>is_peak_hour</t>
        </is>
      </c>
      <c r="W1" s="1" t="inlineStr">
        <is>
          <t>rain_condition</t>
        </is>
      </c>
      <c r="X1" s="1" t="inlineStr">
        <is>
          <t>event_day</t>
        </is>
      </c>
      <c r="Y1" s="1" t="inlineStr">
        <is>
          <t>traffic_congestion_index</t>
        </is>
      </c>
    </row>
    <row r="2">
      <c r="A2" t="inlineStr">
        <is>
          <t>O00001</t>
        </is>
      </c>
      <c r="B2" t="inlineStr">
        <is>
          <t>C0113</t>
        </is>
      </c>
      <c r="C2" t="inlineStr">
        <is>
          <t>S010</t>
        </is>
      </c>
      <c r="D2" t="inlineStr">
        <is>
          <t>R003</t>
        </is>
      </c>
      <c r="E2" s="3" t="n">
        <v>46279.48333333333</v>
      </c>
      <c r="F2" s="3" t="n">
        <v>46279.49076388889</v>
      </c>
      <c r="G2" s="3" t="n">
        <v>46279.49701388889</v>
      </c>
      <c r="H2" t="inlineStr">
        <is>
          <t>Delivered</t>
        </is>
      </c>
      <c r="I2" t="n">
        <v>1</v>
      </c>
      <c r="J2" t="n">
        <v>5</v>
      </c>
      <c r="K2" t="n">
        <v>947.37</v>
      </c>
      <c r="L2" t="n">
        <v>0.8</v>
      </c>
      <c r="M2" t="n">
        <v>7.1</v>
      </c>
      <c r="N2" t="n">
        <v>7.6</v>
      </c>
      <c r="O2" t="n">
        <v>5</v>
      </c>
      <c r="P2" t="n">
        <v>10.7</v>
      </c>
      <c r="Q2" t="n">
        <v>19.7</v>
      </c>
      <c r="R2" t="n">
        <v>9</v>
      </c>
      <c r="S2" t="b">
        <v>0</v>
      </c>
      <c r="U2" t="n">
        <v>11</v>
      </c>
      <c r="V2" t="b">
        <v>0</v>
      </c>
      <c r="W2" t="inlineStr">
        <is>
          <t>Heavy</t>
        </is>
      </c>
      <c r="X2" t="b">
        <v>0</v>
      </c>
      <c r="Y2" t="n">
        <v>0.36</v>
      </c>
    </row>
    <row r="3">
      <c r="A3" t="inlineStr">
        <is>
          <t>O00002</t>
        </is>
      </c>
      <c r="B3" t="inlineStr">
        <is>
          <t>C0091</t>
        </is>
      </c>
      <c r="C3" t="inlineStr">
        <is>
          <t>S008</t>
        </is>
      </c>
      <c r="D3" t="inlineStr">
        <is>
          <t>R040</t>
        </is>
      </c>
      <c r="E3" s="3" t="n">
        <v>46274.76875</v>
      </c>
      <c r="F3" s="3" t="n">
        <v>46274.77673611111</v>
      </c>
      <c r="G3" s="3" t="n">
        <v>46274.77604166666</v>
      </c>
      <c r="H3" t="inlineStr">
        <is>
          <t>Delivered</t>
        </is>
      </c>
      <c r="I3" t="n">
        <v>5</v>
      </c>
      <c r="J3" t="n">
        <v>9</v>
      </c>
      <c r="K3" t="n">
        <v>950.1900000000001</v>
      </c>
      <c r="L3" t="n">
        <v>2.77</v>
      </c>
      <c r="M3" t="n">
        <v>2.3</v>
      </c>
      <c r="N3" t="n">
        <v>4</v>
      </c>
      <c r="O3" t="n">
        <v>4.2</v>
      </c>
      <c r="P3" t="n">
        <v>11.5</v>
      </c>
      <c r="Q3" t="n">
        <v>10.5</v>
      </c>
      <c r="R3" t="n">
        <v>-1</v>
      </c>
      <c r="S3" t="b">
        <v>1</v>
      </c>
      <c r="U3" t="n">
        <v>18</v>
      </c>
      <c r="V3" t="b">
        <v>0</v>
      </c>
      <c r="X3" t="b">
        <v>0</v>
      </c>
      <c r="Y3" t="n">
        <v>0.63</v>
      </c>
    </row>
    <row r="4">
      <c r="A4" t="inlineStr">
        <is>
          <t>O00003</t>
        </is>
      </c>
      <c r="B4" t="inlineStr">
        <is>
          <t>C0085</t>
        </is>
      </c>
      <c r="C4" t="inlineStr">
        <is>
          <t>S003</t>
        </is>
      </c>
      <c r="D4" t="inlineStr">
        <is>
          <t>R033</t>
        </is>
      </c>
      <c r="E4" s="3" t="n">
        <v>46272.71666666667</v>
      </c>
      <c r="F4" s="3" t="n">
        <v>46272.72375</v>
      </c>
      <c r="G4" s="3" t="n">
        <v>46272.723125</v>
      </c>
      <c r="H4" t="inlineStr">
        <is>
          <t>Delivered</t>
        </is>
      </c>
      <c r="I4" t="n">
        <v>4</v>
      </c>
      <c r="J4" t="n">
        <v>7</v>
      </c>
      <c r="K4" t="n">
        <v>343.25</v>
      </c>
      <c r="L4" t="n">
        <v>2.1</v>
      </c>
      <c r="M4" t="n">
        <v>2.9</v>
      </c>
      <c r="N4" t="n">
        <v>2.4</v>
      </c>
      <c r="O4" t="n">
        <v>4</v>
      </c>
      <c r="P4" t="n">
        <v>10.2</v>
      </c>
      <c r="Q4" t="n">
        <v>9.300000000000001</v>
      </c>
      <c r="R4" t="n">
        <v>-0.9</v>
      </c>
      <c r="S4" t="b">
        <v>1</v>
      </c>
      <c r="U4" t="n">
        <v>17</v>
      </c>
      <c r="V4" t="b">
        <v>0</v>
      </c>
      <c r="X4" t="b">
        <v>1</v>
      </c>
      <c r="Y4" t="n">
        <v>0.54</v>
      </c>
    </row>
    <row r="5">
      <c r="A5" t="inlineStr">
        <is>
          <t>O00004</t>
        </is>
      </c>
      <c r="B5" t="inlineStr">
        <is>
          <t>C0159</t>
        </is>
      </c>
      <c r="C5" t="inlineStr">
        <is>
          <t>S017</t>
        </is>
      </c>
      <c r="D5" t="inlineStr">
        <is>
          <t>R048</t>
        </is>
      </c>
      <c r="E5" s="3" t="n">
        <v>46276.78541666667</v>
      </c>
      <c r="F5" s="3" t="n">
        <v>46276.79388888889</v>
      </c>
      <c r="G5" s="3" t="n">
        <v>46276.79527777778</v>
      </c>
      <c r="H5" t="inlineStr">
        <is>
          <t>Delivered</t>
        </is>
      </c>
      <c r="I5" t="n">
        <v>5</v>
      </c>
      <c r="J5" t="n">
        <v>5</v>
      </c>
      <c r="K5" t="n">
        <v>908.1900000000001</v>
      </c>
      <c r="L5" t="n">
        <v>2.63</v>
      </c>
      <c r="M5" t="n">
        <v>3.2</v>
      </c>
      <c r="N5" t="n">
        <v>5.3</v>
      </c>
      <c r="O5" t="n">
        <v>5.6</v>
      </c>
      <c r="P5" t="n">
        <v>12.2</v>
      </c>
      <c r="Q5" t="n">
        <v>14.2</v>
      </c>
      <c r="R5" t="n">
        <v>2</v>
      </c>
      <c r="S5" t="b">
        <v>0</v>
      </c>
      <c r="U5" t="n">
        <v>18</v>
      </c>
      <c r="V5" t="b">
        <v>0</v>
      </c>
      <c r="X5" t="b">
        <v>0</v>
      </c>
      <c r="Y5" t="n">
        <v>0.33</v>
      </c>
    </row>
    <row r="6">
      <c r="A6" t="inlineStr">
        <is>
          <t>O00005</t>
        </is>
      </c>
      <c r="B6" t="inlineStr">
        <is>
          <t>C0138</t>
        </is>
      </c>
      <c r="C6" t="inlineStr">
        <is>
          <t>S012</t>
        </is>
      </c>
      <c r="D6" t="inlineStr">
        <is>
          <t>R003</t>
        </is>
      </c>
      <c r="E6" s="3" t="n">
        <v>46267.65763888889</v>
      </c>
      <c r="F6" s="3" t="n">
        <v>46267.66486111111</v>
      </c>
      <c r="G6" s="3" t="n">
        <v>46267.66402777778</v>
      </c>
      <c r="H6" t="inlineStr">
        <is>
          <t>Delivered</t>
        </is>
      </c>
      <c r="I6" t="n">
        <v>1</v>
      </c>
      <c r="J6" t="n">
        <v>6</v>
      </c>
      <c r="K6" t="n">
        <v>1441.28</v>
      </c>
      <c r="L6" t="n">
        <v>4.18</v>
      </c>
      <c r="M6" t="n">
        <v>2.9</v>
      </c>
      <c r="N6" t="n">
        <v>1.6</v>
      </c>
      <c r="O6" t="n">
        <v>4.7</v>
      </c>
      <c r="P6" t="n">
        <v>10.4</v>
      </c>
      <c r="Q6" t="n">
        <v>9.199999999999999</v>
      </c>
      <c r="R6" t="n">
        <v>-1.2</v>
      </c>
      <c r="S6" t="b">
        <v>1</v>
      </c>
      <c r="U6" t="n">
        <v>15</v>
      </c>
      <c r="V6" t="b">
        <v>0</v>
      </c>
      <c r="X6" t="b">
        <v>0</v>
      </c>
      <c r="Y6" t="n">
        <v>0.44</v>
      </c>
    </row>
    <row r="7">
      <c r="A7" t="inlineStr">
        <is>
          <t>O00006</t>
        </is>
      </c>
      <c r="B7" t="inlineStr">
        <is>
          <t>C0085</t>
        </is>
      </c>
      <c r="C7" t="inlineStr">
        <is>
          <t>S003</t>
        </is>
      </c>
      <c r="D7" t="inlineStr">
        <is>
          <t>R028</t>
        </is>
      </c>
      <c r="E7" s="3" t="n">
        <v>46276.99583333333</v>
      </c>
      <c r="F7" s="3" t="n">
        <v>46277.00340277778</v>
      </c>
      <c r="G7" s="3" t="n">
        <v>46277.00319444444</v>
      </c>
      <c r="H7" t="inlineStr">
        <is>
          <t>Delivered</t>
        </is>
      </c>
      <c r="I7" t="n">
        <v>5</v>
      </c>
      <c r="J7" t="n">
        <v>10</v>
      </c>
      <c r="K7" t="n">
        <v>904.36</v>
      </c>
      <c r="L7" t="n">
        <v>1.99</v>
      </c>
      <c r="M7" t="n">
        <v>2.7</v>
      </c>
      <c r="N7" t="n">
        <v>4</v>
      </c>
      <c r="O7" t="n">
        <v>3.9</v>
      </c>
      <c r="P7" t="n">
        <v>10.9</v>
      </c>
      <c r="Q7" t="n">
        <v>10.6</v>
      </c>
      <c r="R7" t="n">
        <v>-0.3</v>
      </c>
      <c r="S7" t="b">
        <v>1</v>
      </c>
      <c r="U7" t="n">
        <v>23</v>
      </c>
      <c r="V7" t="b">
        <v>0</v>
      </c>
      <c r="X7" t="b">
        <v>0</v>
      </c>
      <c r="Y7" t="n">
        <v>0.59</v>
      </c>
    </row>
    <row r="8">
      <c r="A8" t="inlineStr">
        <is>
          <t>O00007</t>
        </is>
      </c>
      <c r="B8" t="inlineStr">
        <is>
          <t>C0072</t>
        </is>
      </c>
      <c r="C8" t="inlineStr">
        <is>
          <t>S011</t>
        </is>
      </c>
      <c r="D8" t="inlineStr">
        <is>
          <t>R044</t>
        </is>
      </c>
      <c r="E8" s="3" t="n">
        <v>46274.40347222222</v>
      </c>
      <c r="F8" s="3" t="n">
        <v>46274.41090277778</v>
      </c>
      <c r="G8" s="3" t="n">
        <v>46274.41034722222</v>
      </c>
      <c r="H8" t="inlineStr">
        <is>
          <t>Delivered</t>
        </is>
      </c>
      <c r="I8" t="n">
        <v>5</v>
      </c>
      <c r="J8" t="n">
        <v>11</v>
      </c>
      <c r="K8" t="n">
        <v>322.36</v>
      </c>
      <c r="L8" t="n">
        <v>1.61</v>
      </c>
      <c r="M8" t="n">
        <v>3.9</v>
      </c>
      <c r="N8" t="n">
        <v>3.7</v>
      </c>
      <c r="O8" t="n">
        <v>2.3</v>
      </c>
      <c r="P8" t="n">
        <v>10.7</v>
      </c>
      <c r="Q8" t="n">
        <v>9.9</v>
      </c>
      <c r="R8" t="n">
        <v>-0.8</v>
      </c>
      <c r="S8" t="b">
        <v>1</v>
      </c>
      <c r="U8" t="n">
        <v>9</v>
      </c>
      <c r="V8" t="b">
        <v>0</v>
      </c>
      <c r="X8" t="b">
        <v>0</v>
      </c>
      <c r="Y8" t="n">
        <v>0.38</v>
      </c>
    </row>
    <row r="9">
      <c r="A9" t="inlineStr">
        <is>
          <t>O00008</t>
        </is>
      </c>
      <c r="B9" t="inlineStr">
        <is>
          <t>C0171</t>
        </is>
      </c>
      <c r="C9" t="inlineStr">
        <is>
          <t>S009</t>
        </is>
      </c>
      <c r="D9" t="inlineStr">
        <is>
          <t>R039</t>
        </is>
      </c>
      <c r="E9" s="3" t="n">
        <v>46278.91388888889</v>
      </c>
      <c r="F9" s="3" t="n">
        <v>46278.920625</v>
      </c>
      <c r="G9" s="3" t="n">
        <v>46278.92013888889</v>
      </c>
      <c r="H9" t="inlineStr">
        <is>
          <t>Delivered</t>
        </is>
      </c>
      <c r="I9" t="n">
        <v>4</v>
      </c>
      <c r="J9" t="n">
        <v>5</v>
      </c>
      <c r="K9" t="n">
        <v>499.35</v>
      </c>
      <c r="L9" t="n">
        <v>0.5</v>
      </c>
      <c r="M9" t="n">
        <v>1.5</v>
      </c>
      <c r="N9" t="n">
        <v>5.8</v>
      </c>
      <c r="O9" t="n">
        <v>1.7</v>
      </c>
      <c r="P9" t="n">
        <v>9.699999999999999</v>
      </c>
      <c r="Q9" t="n">
        <v>9</v>
      </c>
      <c r="R9" t="n">
        <v>-0.7</v>
      </c>
      <c r="S9" t="b">
        <v>1</v>
      </c>
      <c r="U9" t="n">
        <v>21</v>
      </c>
      <c r="V9" t="b">
        <v>1</v>
      </c>
      <c r="X9" t="b">
        <v>0</v>
      </c>
      <c r="Y9" t="n">
        <v>0.48</v>
      </c>
    </row>
    <row r="10">
      <c r="A10" t="inlineStr">
        <is>
          <t>O00009</t>
        </is>
      </c>
      <c r="B10" t="inlineStr">
        <is>
          <t>C0053</t>
        </is>
      </c>
      <c r="C10" t="inlineStr">
        <is>
          <t>S007</t>
        </is>
      </c>
      <c r="D10" t="inlineStr">
        <is>
          <t>R044</t>
        </is>
      </c>
      <c r="E10" s="3" t="n">
        <v>46276.42013888889</v>
      </c>
      <c r="F10" s="3" t="n">
        <v>46276.42763888889</v>
      </c>
      <c r="G10" s="3" t="n">
        <v>46276.4275</v>
      </c>
      <c r="H10" t="inlineStr">
        <is>
          <t>Delivered</t>
        </is>
      </c>
      <c r="I10" t="n">
        <v>5</v>
      </c>
      <c r="J10" t="n">
        <v>6</v>
      </c>
      <c r="K10" t="n">
        <v>1383.14</v>
      </c>
      <c r="L10" t="n">
        <v>1.07</v>
      </c>
      <c r="M10" t="n">
        <v>3.3</v>
      </c>
      <c r="N10" t="n">
        <v>4.1</v>
      </c>
      <c r="O10" t="n">
        <v>3.2</v>
      </c>
      <c r="P10" t="n">
        <v>10.8</v>
      </c>
      <c r="Q10" t="n">
        <v>10.6</v>
      </c>
      <c r="R10" t="n">
        <v>-0.2</v>
      </c>
      <c r="S10" t="b">
        <v>1</v>
      </c>
      <c r="U10" t="n">
        <v>10</v>
      </c>
      <c r="V10" t="b">
        <v>0</v>
      </c>
      <c r="X10" t="b">
        <v>0</v>
      </c>
      <c r="Y10" t="n">
        <v>0.52</v>
      </c>
    </row>
    <row r="11">
      <c r="A11" t="inlineStr">
        <is>
          <t>O00010</t>
        </is>
      </c>
      <c r="B11" t="inlineStr">
        <is>
          <t>C0122</t>
        </is>
      </c>
      <c r="C11" t="inlineStr">
        <is>
          <t>S005</t>
        </is>
      </c>
      <c r="D11" t="inlineStr">
        <is>
          <t>R041</t>
        </is>
      </c>
      <c r="E11" s="3" t="n">
        <v>46279.96180555555</v>
      </c>
      <c r="F11" s="3" t="n">
        <v>46279.96944444445</v>
      </c>
      <c r="G11" s="3" t="n">
        <v>46279.96902777778</v>
      </c>
      <c r="H11" t="inlineStr">
        <is>
          <t>Delivered</t>
        </is>
      </c>
      <c r="I11" t="n">
        <v>2</v>
      </c>
      <c r="J11" t="n">
        <v>12</v>
      </c>
      <c r="K11" t="n">
        <v>1595.36</v>
      </c>
      <c r="L11" t="n">
        <v>1.86</v>
      </c>
      <c r="M11" t="n">
        <v>3.4</v>
      </c>
      <c r="N11" t="n">
        <v>3.7</v>
      </c>
      <c r="O11" t="n">
        <v>3.3</v>
      </c>
      <c r="P11" t="n">
        <v>11</v>
      </c>
      <c r="Q11" t="n">
        <v>10.4</v>
      </c>
      <c r="R11" t="n">
        <v>-0.6</v>
      </c>
      <c r="S11" t="b">
        <v>1</v>
      </c>
      <c r="U11" t="n">
        <v>23</v>
      </c>
      <c r="V11" t="b">
        <v>0</v>
      </c>
      <c r="W11" t="inlineStr">
        <is>
          <t>Light</t>
        </is>
      </c>
      <c r="X11" t="b">
        <v>0</v>
      </c>
      <c r="Y11" t="n">
        <v>0.44</v>
      </c>
    </row>
    <row r="12">
      <c r="A12" t="inlineStr">
        <is>
          <t>O00011</t>
        </is>
      </c>
      <c r="B12" t="inlineStr">
        <is>
          <t>C0133</t>
        </is>
      </c>
      <c r="C12" t="inlineStr">
        <is>
          <t>S003</t>
        </is>
      </c>
      <c r="D12" t="inlineStr">
        <is>
          <t>R046</t>
        </is>
      </c>
      <c r="E12" s="3" t="n">
        <v>46270.52222222222</v>
      </c>
      <c r="F12" s="3" t="n">
        <v>46270.528125</v>
      </c>
      <c r="G12" s="3" t="n">
        <v>46270.52784722222</v>
      </c>
      <c r="H12" t="inlineStr">
        <is>
          <t>Delivered</t>
        </is>
      </c>
      <c r="I12" t="n">
        <v>2</v>
      </c>
      <c r="J12" t="n">
        <v>6</v>
      </c>
      <c r="K12" t="n">
        <v>1248.7</v>
      </c>
      <c r="L12" t="n">
        <v>1.3</v>
      </c>
      <c r="M12" t="n">
        <v>2.4</v>
      </c>
      <c r="N12" t="n">
        <v>3.1</v>
      </c>
      <c r="O12" t="n">
        <v>2.6</v>
      </c>
      <c r="P12" t="n">
        <v>8.5</v>
      </c>
      <c r="Q12" t="n">
        <v>8.1</v>
      </c>
      <c r="R12" t="n">
        <v>-0.4</v>
      </c>
      <c r="S12" t="b">
        <v>1</v>
      </c>
      <c r="U12" t="n">
        <v>12</v>
      </c>
      <c r="V12" t="b">
        <v>0</v>
      </c>
      <c r="X12" t="b">
        <v>0</v>
      </c>
      <c r="Y12" t="n">
        <v>0.77</v>
      </c>
    </row>
    <row r="13">
      <c r="A13" t="inlineStr">
        <is>
          <t>O00012</t>
        </is>
      </c>
      <c r="B13" t="inlineStr">
        <is>
          <t>C0106</t>
        </is>
      </c>
      <c r="C13" t="inlineStr">
        <is>
          <t>S015</t>
        </is>
      </c>
      <c r="D13" t="inlineStr">
        <is>
          <t>R067</t>
        </is>
      </c>
      <c r="E13" s="3" t="n">
        <v>46266.65277777778</v>
      </c>
      <c r="F13" s="3" t="n">
        <v>46266.65944444444</v>
      </c>
      <c r="G13" s="3" t="n">
        <v>46266.65930555556</v>
      </c>
      <c r="H13" t="inlineStr">
        <is>
          <t>Delivered</t>
        </is>
      </c>
      <c r="I13" t="n">
        <v>5</v>
      </c>
      <c r="J13" t="n">
        <v>8</v>
      </c>
      <c r="K13" t="n">
        <v>731.09</v>
      </c>
      <c r="L13" t="n">
        <v>0.68</v>
      </c>
      <c r="M13" t="n">
        <v>4</v>
      </c>
      <c r="N13" t="n">
        <v>3.6</v>
      </c>
      <c r="O13" t="n">
        <v>1.8</v>
      </c>
      <c r="P13" t="n">
        <v>9.6</v>
      </c>
      <c r="Q13" t="n">
        <v>9.4</v>
      </c>
      <c r="R13" t="n">
        <v>-0.2</v>
      </c>
      <c r="S13" t="b">
        <v>1</v>
      </c>
      <c r="U13" t="n">
        <v>15</v>
      </c>
      <c r="V13" t="b">
        <v>0</v>
      </c>
      <c r="X13" t="b">
        <v>0</v>
      </c>
      <c r="Y13" t="n">
        <v>0.14</v>
      </c>
    </row>
    <row r="14">
      <c r="A14" t="inlineStr">
        <is>
          <t>O00013</t>
        </is>
      </c>
      <c r="B14" t="inlineStr">
        <is>
          <t>C0173</t>
        </is>
      </c>
      <c r="C14" t="inlineStr">
        <is>
          <t>S012</t>
        </is>
      </c>
      <c r="D14" t="inlineStr">
        <is>
          <t>R021</t>
        </is>
      </c>
      <c r="E14" s="3" t="n">
        <v>46274.48541666667</v>
      </c>
      <c r="F14" s="3" t="n">
        <v>46274.49222222222</v>
      </c>
      <c r="G14" s="3" t="n">
        <v>46274.49173611111</v>
      </c>
      <c r="H14" t="inlineStr">
        <is>
          <t>Delivered</t>
        </is>
      </c>
      <c r="I14" t="n">
        <v>3</v>
      </c>
      <c r="J14" t="n">
        <v>5</v>
      </c>
      <c r="K14" t="n">
        <v>500.07</v>
      </c>
      <c r="L14" t="n">
        <v>5.25</v>
      </c>
      <c r="M14" t="n">
        <v>2.6</v>
      </c>
      <c r="N14" t="n">
        <v>1.2</v>
      </c>
      <c r="O14" t="n">
        <v>5.3</v>
      </c>
      <c r="P14" t="n">
        <v>9.800000000000001</v>
      </c>
      <c r="Q14" t="n">
        <v>9.1</v>
      </c>
      <c r="R14" t="n">
        <v>-0.7</v>
      </c>
      <c r="S14" t="b">
        <v>1</v>
      </c>
      <c r="U14" t="n">
        <v>11</v>
      </c>
      <c r="V14" t="b">
        <v>0</v>
      </c>
      <c r="W14" t="inlineStr">
        <is>
          <t>Heavy</t>
        </is>
      </c>
      <c r="X14" t="b">
        <v>0</v>
      </c>
      <c r="Y14" t="n">
        <v>0.31</v>
      </c>
    </row>
    <row r="15">
      <c r="A15" t="inlineStr">
        <is>
          <t>O00014</t>
        </is>
      </c>
      <c r="B15" t="inlineStr">
        <is>
          <t>C0216</t>
        </is>
      </c>
      <c r="C15" t="inlineStr">
        <is>
          <t>S011</t>
        </is>
      </c>
      <c r="D15" t="inlineStr">
        <is>
          <t>R038</t>
        </is>
      </c>
      <c r="E15" s="3" t="n">
        <v>46277.35555555556</v>
      </c>
      <c r="F15" s="3" t="n">
        <v>46277.363125</v>
      </c>
      <c r="G15" s="3" t="n">
        <v>46277.3625</v>
      </c>
      <c r="H15" t="inlineStr">
        <is>
          <t>Delivered</t>
        </is>
      </c>
      <c r="I15" t="n">
        <v>1</v>
      </c>
      <c r="J15" t="n">
        <v>10</v>
      </c>
      <c r="K15" t="n">
        <v>1122.83</v>
      </c>
      <c r="L15" t="n">
        <v>1.52</v>
      </c>
      <c r="M15" t="n">
        <v>3.1</v>
      </c>
      <c r="N15" t="n">
        <v>4.3</v>
      </c>
      <c r="O15" t="n">
        <v>2.6</v>
      </c>
      <c r="P15" t="n">
        <v>10.9</v>
      </c>
      <c r="Q15" t="n">
        <v>10</v>
      </c>
      <c r="R15" t="n">
        <v>-0.9</v>
      </c>
      <c r="S15" t="b">
        <v>1</v>
      </c>
      <c r="U15" t="n">
        <v>8</v>
      </c>
      <c r="V15" t="b">
        <v>0</v>
      </c>
      <c r="X15" t="b">
        <v>0</v>
      </c>
      <c r="Y15" t="n">
        <v>0.57</v>
      </c>
    </row>
    <row r="16">
      <c r="A16" t="inlineStr">
        <is>
          <t>O00015</t>
        </is>
      </c>
      <c r="B16" t="inlineStr">
        <is>
          <t>C0170</t>
        </is>
      </c>
      <c r="C16" t="inlineStr">
        <is>
          <t>S004</t>
        </is>
      </c>
      <c r="D16" t="inlineStr">
        <is>
          <t>R011</t>
        </is>
      </c>
      <c r="E16" s="3" t="n">
        <v>46273.56388888889</v>
      </c>
      <c r="F16" s="3" t="n">
        <v>46273.57034722222</v>
      </c>
      <c r="G16" s="3" t="n">
        <v>46273.57034722222</v>
      </c>
      <c r="H16" t="inlineStr">
        <is>
          <t>Delivered</t>
        </is>
      </c>
      <c r="I16" t="n">
        <v>3</v>
      </c>
      <c r="J16" t="n">
        <v>5</v>
      </c>
      <c r="K16" t="n">
        <v>1284.14</v>
      </c>
      <c r="L16" t="n">
        <v>1.74</v>
      </c>
      <c r="M16" t="n">
        <v>1.3</v>
      </c>
      <c r="N16" t="n">
        <v>1.1</v>
      </c>
      <c r="O16" t="n">
        <v>6.9</v>
      </c>
      <c r="P16" t="n">
        <v>9.300000000000001</v>
      </c>
      <c r="Q16" t="n">
        <v>9.300000000000001</v>
      </c>
      <c r="R16" t="n">
        <v>0</v>
      </c>
      <c r="S16" t="b">
        <v>1</v>
      </c>
      <c r="U16" t="n">
        <v>13</v>
      </c>
      <c r="V16" t="b">
        <v>0</v>
      </c>
      <c r="W16" t="inlineStr">
        <is>
          <t>Heavy</t>
        </is>
      </c>
      <c r="X16" t="b">
        <v>0</v>
      </c>
      <c r="Y16" t="n">
        <v>0.26</v>
      </c>
    </row>
    <row r="17">
      <c r="A17" t="inlineStr">
        <is>
          <t>O00016</t>
        </is>
      </c>
      <c r="B17" t="inlineStr">
        <is>
          <t>C0127</t>
        </is>
      </c>
      <c r="C17" t="inlineStr">
        <is>
          <t>S015</t>
        </is>
      </c>
      <c r="D17" t="inlineStr">
        <is>
          <t>R003</t>
        </is>
      </c>
      <c r="E17" s="3" t="n">
        <v>46269.67986111111</v>
      </c>
      <c r="F17" s="3" t="n">
        <v>46269.68756944445</v>
      </c>
      <c r="G17" s="3" t="n">
        <v>46269.68694444445</v>
      </c>
      <c r="H17" t="inlineStr">
        <is>
          <t>Delivered</t>
        </is>
      </c>
      <c r="I17" t="n">
        <v>3</v>
      </c>
      <c r="J17" t="n">
        <v>6</v>
      </c>
      <c r="K17" t="n">
        <v>871.11</v>
      </c>
      <c r="L17" t="n">
        <v>2.61</v>
      </c>
      <c r="M17" t="n">
        <v>3.3</v>
      </c>
      <c r="N17" t="n">
        <v>2.7</v>
      </c>
      <c r="O17" t="n">
        <v>4.2</v>
      </c>
      <c r="P17" t="n">
        <v>11.1</v>
      </c>
      <c r="Q17" t="n">
        <v>10.2</v>
      </c>
      <c r="R17" t="n">
        <v>-0.9</v>
      </c>
      <c r="S17" t="b">
        <v>1</v>
      </c>
      <c r="U17" t="n">
        <v>16</v>
      </c>
      <c r="V17" t="b">
        <v>0</v>
      </c>
      <c r="X17" t="b">
        <v>0</v>
      </c>
      <c r="Y17" t="n">
        <v>0.22</v>
      </c>
    </row>
    <row r="18">
      <c r="A18" t="inlineStr">
        <is>
          <t>O00017</t>
        </is>
      </c>
      <c r="B18" t="inlineStr">
        <is>
          <t>C0210</t>
        </is>
      </c>
      <c r="C18" t="inlineStr">
        <is>
          <t>S019</t>
        </is>
      </c>
      <c r="D18" t="inlineStr">
        <is>
          <t>R064</t>
        </is>
      </c>
      <c r="E18" s="3" t="n">
        <v>46278.45694444444</v>
      </c>
      <c r="F18" s="3" t="n">
        <v>46278.46347222223</v>
      </c>
      <c r="G18" s="3" t="n">
        <v>46278.463125</v>
      </c>
      <c r="H18" t="inlineStr">
        <is>
          <t>Delivered</t>
        </is>
      </c>
      <c r="I18" t="n">
        <v>3</v>
      </c>
      <c r="J18" t="n">
        <v>11</v>
      </c>
      <c r="K18" t="n">
        <v>317.7</v>
      </c>
      <c r="L18" t="n">
        <v>2.15</v>
      </c>
      <c r="M18" t="n">
        <v>3.8</v>
      </c>
      <c r="N18" t="n">
        <v>2</v>
      </c>
      <c r="O18" t="n">
        <v>3.1</v>
      </c>
      <c r="P18" t="n">
        <v>9.4</v>
      </c>
      <c r="Q18" t="n">
        <v>8.9</v>
      </c>
      <c r="R18" t="n">
        <v>-0.5</v>
      </c>
      <c r="S18" t="b">
        <v>1</v>
      </c>
      <c r="U18" t="n">
        <v>10</v>
      </c>
      <c r="V18" t="b">
        <v>0</v>
      </c>
      <c r="X18" t="b">
        <v>0</v>
      </c>
      <c r="Y18" t="n">
        <v>0.44</v>
      </c>
    </row>
    <row r="19">
      <c r="A19" t="inlineStr">
        <is>
          <t>O00018</t>
        </is>
      </c>
      <c r="B19" t="inlineStr">
        <is>
          <t>C0092</t>
        </is>
      </c>
      <c r="C19" t="inlineStr">
        <is>
          <t>S012</t>
        </is>
      </c>
      <c r="D19" t="inlineStr">
        <is>
          <t>R021</t>
        </is>
      </c>
      <c r="E19" s="3" t="n">
        <v>46271.67152777778</v>
      </c>
      <c r="F19" s="3" t="n">
        <v>46271.67923611111</v>
      </c>
      <c r="G19" s="3" t="n">
        <v>46271.67847222222</v>
      </c>
      <c r="H19" t="inlineStr">
        <is>
          <t>Delivered</t>
        </is>
      </c>
      <c r="I19" t="n">
        <v>3</v>
      </c>
      <c r="J19" t="n">
        <v>15</v>
      </c>
      <c r="K19" t="n">
        <v>607.45</v>
      </c>
      <c r="L19" t="n">
        <v>4.52</v>
      </c>
      <c r="M19" t="n">
        <v>3.1</v>
      </c>
      <c r="N19" t="n">
        <v>1.7</v>
      </c>
      <c r="O19" t="n">
        <v>5.2</v>
      </c>
      <c r="P19" t="n">
        <v>11.1</v>
      </c>
      <c r="Q19" t="n">
        <v>10</v>
      </c>
      <c r="R19" t="n">
        <v>-1.1</v>
      </c>
      <c r="S19" t="b">
        <v>1</v>
      </c>
      <c r="U19" t="n">
        <v>16</v>
      </c>
      <c r="V19" t="b">
        <v>0</v>
      </c>
      <c r="W19" t="inlineStr">
        <is>
          <t>Light</t>
        </is>
      </c>
      <c r="X19" t="b">
        <v>0</v>
      </c>
      <c r="Y19" t="n">
        <v>0.22</v>
      </c>
    </row>
    <row r="20">
      <c r="A20" t="inlineStr">
        <is>
          <t>O00019</t>
        </is>
      </c>
      <c r="B20" t="inlineStr">
        <is>
          <t>C0101</t>
        </is>
      </c>
      <c r="C20" t="inlineStr">
        <is>
          <t>S003</t>
        </is>
      </c>
      <c r="D20" t="inlineStr">
        <is>
          <t>R016</t>
        </is>
      </c>
      <c r="E20" s="3" t="n">
        <v>46274.43402777778</v>
      </c>
      <c r="F20" s="3" t="n">
        <v>46274.44111111111</v>
      </c>
      <c r="G20" s="3" t="n">
        <v>46274.440625</v>
      </c>
      <c r="H20" t="inlineStr">
        <is>
          <t>Delivered</t>
        </is>
      </c>
      <c r="I20" t="n">
        <v>3</v>
      </c>
      <c r="J20" t="n">
        <v>6</v>
      </c>
      <c r="K20" t="n">
        <v>525.46</v>
      </c>
      <c r="L20" t="n">
        <v>2.09</v>
      </c>
      <c r="M20" t="n">
        <v>3.8</v>
      </c>
      <c r="N20" t="n">
        <v>2.2</v>
      </c>
      <c r="O20" t="n">
        <v>3.5</v>
      </c>
      <c r="P20" t="n">
        <v>10.2</v>
      </c>
      <c r="Q20" t="n">
        <v>9.5</v>
      </c>
      <c r="R20" t="n">
        <v>-0.7</v>
      </c>
      <c r="S20" t="b">
        <v>1</v>
      </c>
      <c r="U20" t="n">
        <v>10</v>
      </c>
      <c r="V20" t="b">
        <v>0</v>
      </c>
      <c r="X20" t="b">
        <v>0</v>
      </c>
      <c r="Y20" t="n">
        <v>0.31</v>
      </c>
    </row>
    <row r="21">
      <c r="A21" t="inlineStr">
        <is>
          <t>O00020</t>
        </is>
      </c>
      <c r="B21" t="inlineStr">
        <is>
          <t>C0208</t>
        </is>
      </c>
      <c r="C21" t="inlineStr">
        <is>
          <t>S017</t>
        </is>
      </c>
      <c r="D21" t="inlineStr">
        <is>
          <t>R020</t>
        </is>
      </c>
      <c r="E21" s="3" t="n">
        <v>46275.98194444444</v>
      </c>
      <c r="F21" s="3" t="n">
        <v>46275.98923611111</v>
      </c>
      <c r="G21" s="3" t="n">
        <v>46275.98868055556</v>
      </c>
      <c r="H21" t="inlineStr">
        <is>
          <t>Delivered</t>
        </is>
      </c>
      <c r="I21" t="n">
        <v>2</v>
      </c>
      <c r="J21" t="n">
        <v>7</v>
      </c>
      <c r="K21" t="n">
        <v>1336.97</v>
      </c>
      <c r="L21" t="n">
        <v>1.34</v>
      </c>
      <c r="M21" t="n">
        <v>2.7</v>
      </c>
      <c r="N21" t="n">
        <v>4.6</v>
      </c>
      <c r="O21" t="n">
        <v>2.4</v>
      </c>
      <c r="P21" t="n">
        <v>10.5</v>
      </c>
      <c r="Q21" t="n">
        <v>9.699999999999999</v>
      </c>
      <c r="R21" t="n">
        <v>-0.8</v>
      </c>
      <c r="S21" t="b">
        <v>1</v>
      </c>
      <c r="U21" t="n">
        <v>23</v>
      </c>
      <c r="V21" t="b">
        <v>0</v>
      </c>
      <c r="X21" t="b">
        <v>0</v>
      </c>
      <c r="Y21" t="n">
        <v>0.35</v>
      </c>
    </row>
    <row r="22">
      <c r="A22" t="inlineStr">
        <is>
          <t>O00021</t>
        </is>
      </c>
      <c r="B22" t="inlineStr">
        <is>
          <t>C0073</t>
        </is>
      </c>
      <c r="C22" t="inlineStr">
        <is>
          <t>S003</t>
        </is>
      </c>
      <c r="D22" t="inlineStr">
        <is>
          <t>R006</t>
        </is>
      </c>
      <c r="E22" s="3" t="n">
        <v>46268.64097222222</v>
      </c>
      <c r="F22" s="3" t="n">
        <v>46268.64958333333</v>
      </c>
      <c r="G22" s="3" t="n">
        <v>46268.64888888889</v>
      </c>
      <c r="H22" t="inlineStr">
        <is>
          <t>Delivered</t>
        </is>
      </c>
      <c r="I22" t="n">
        <v>6</v>
      </c>
      <c r="J22" t="n">
        <v>6</v>
      </c>
      <c r="K22" t="n">
        <v>674.26</v>
      </c>
      <c r="L22" t="n">
        <v>2.1</v>
      </c>
      <c r="M22" t="n">
        <v>2.7</v>
      </c>
      <c r="N22" t="n">
        <v>4.8</v>
      </c>
      <c r="O22" t="n">
        <v>3.9</v>
      </c>
      <c r="P22" t="n">
        <v>12.4</v>
      </c>
      <c r="Q22" t="n">
        <v>11.4</v>
      </c>
      <c r="R22" t="n">
        <v>-1</v>
      </c>
      <c r="S22" t="b">
        <v>1</v>
      </c>
      <c r="U22" t="n">
        <v>15</v>
      </c>
      <c r="V22" t="b">
        <v>0</v>
      </c>
      <c r="X22" t="b">
        <v>0</v>
      </c>
      <c r="Y22" t="n">
        <v>0.51</v>
      </c>
    </row>
    <row r="23">
      <c r="A23" t="inlineStr">
        <is>
          <t>O00022</t>
        </is>
      </c>
      <c r="B23" t="inlineStr">
        <is>
          <t>C0173</t>
        </is>
      </c>
      <c r="C23" t="inlineStr">
        <is>
          <t>S012</t>
        </is>
      </c>
      <c r="D23" t="inlineStr">
        <is>
          <t>R070</t>
        </is>
      </c>
      <c r="E23" s="3" t="n">
        <v>46279.91666666666</v>
      </c>
      <c r="F23" s="3" t="n">
        <v>46279.92458333333</v>
      </c>
      <c r="G23" s="3" t="n">
        <v>46279.92416666666</v>
      </c>
      <c r="H23" t="inlineStr">
        <is>
          <t>Delivered</t>
        </is>
      </c>
      <c r="I23" t="n">
        <v>5</v>
      </c>
      <c r="J23" t="n">
        <v>10</v>
      </c>
      <c r="K23" t="n">
        <v>1648.63</v>
      </c>
      <c r="L23" t="n">
        <v>1.45</v>
      </c>
      <c r="M23" t="n">
        <v>4.3</v>
      </c>
      <c r="N23" t="n">
        <v>3.9</v>
      </c>
      <c r="O23" t="n">
        <v>2.6</v>
      </c>
      <c r="P23" t="n">
        <v>11.4</v>
      </c>
      <c r="Q23" t="n">
        <v>10.8</v>
      </c>
      <c r="R23" t="n">
        <v>-0.6</v>
      </c>
      <c r="S23" t="b">
        <v>1</v>
      </c>
      <c r="U23" t="n">
        <v>22</v>
      </c>
      <c r="V23" t="b">
        <v>0</v>
      </c>
      <c r="W23" t="inlineStr">
        <is>
          <t>Light</t>
        </is>
      </c>
      <c r="X23" t="b">
        <v>0</v>
      </c>
      <c r="Y23" t="n">
        <v>0.29</v>
      </c>
    </row>
    <row r="24">
      <c r="A24" t="inlineStr">
        <is>
          <t>O00023</t>
        </is>
      </c>
      <c r="B24" t="inlineStr">
        <is>
          <t>C0070</t>
        </is>
      </c>
      <c r="C24" t="inlineStr">
        <is>
          <t>S020</t>
        </is>
      </c>
      <c r="D24" t="inlineStr">
        <is>
          <t>R026</t>
        </is>
      </c>
      <c r="E24" s="3" t="n">
        <v>46274.96666666667</v>
      </c>
      <c r="F24" s="3" t="n">
        <v>46274.97409722222</v>
      </c>
      <c r="G24" s="3" t="n">
        <v>46274.97833333333</v>
      </c>
      <c r="H24" t="inlineStr">
        <is>
          <t>Delivered</t>
        </is>
      </c>
      <c r="I24" t="n">
        <v>3</v>
      </c>
      <c r="J24" t="n">
        <v>7</v>
      </c>
      <c r="K24" t="n">
        <v>906.38</v>
      </c>
      <c r="L24" t="n">
        <v>2.35</v>
      </c>
      <c r="M24" t="n">
        <v>6.6</v>
      </c>
      <c r="N24" t="n">
        <v>3.7</v>
      </c>
      <c r="O24" t="n">
        <v>6.4</v>
      </c>
      <c r="P24" t="n">
        <v>10.7</v>
      </c>
      <c r="Q24" t="n">
        <v>16.8</v>
      </c>
      <c r="R24" t="n">
        <v>6.1</v>
      </c>
      <c r="S24" t="b">
        <v>0</v>
      </c>
      <c r="U24" t="n">
        <v>23</v>
      </c>
      <c r="V24" t="b">
        <v>0</v>
      </c>
      <c r="X24" t="b">
        <v>0</v>
      </c>
      <c r="Y24" t="n">
        <v>0.68</v>
      </c>
    </row>
    <row r="25">
      <c r="A25" t="inlineStr">
        <is>
          <t>O00024</t>
        </is>
      </c>
      <c r="B25" t="inlineStr">
        <is>
          <t>C0034</t>
        </is>
      </c>
      <c r="C25" t="inlineStr">
        <is>
          <t>S002</t>
        </is>
      </c>
      <c r="D25" t="inlineStr">
        <is>
          <t>R039</t>
        </is>
      </c>
      <c r="E25" s="3" t="n">
        <v>46273.88194444445</v>
      </c>
      <c r="F25" s="3" t="n">
        <v>46273.88930555555</v>
      </c>
      <c r="G25" s="3" t="n">
        <v>46273.89090277778</v>
      </c>
      <c r="H25" t="inlineStr">
        <is>
          <t>Delivered</t>
        </is>
      </c>
      <c r="I25" t="n">
        <v>2</v>
      </c>
      <c r="J25" t="n">
        <v>5</v>
      </c>
      <c r="K25" t="n">
        <v>848.05</v>
      </c>
      <c r="L25" t="n">
        <v>0.5</v>
      </c>
      <c r="M25" t="n">
        <v>3.2</v>
      </c>
      <c r="N25" t="n">
        <v>7.7</v>
      </c>
      <c r="O25" t="n">
        <v>2</v>
      </c>
      <c r="P25" t="n">
        <v>10.6</v>
      </c>
      <c r="Q25" t="n">
        <v>12.9</v>
      </c>
      <c r="R25" t="n">
        <v>2.3</v>
      </c>
      <c r="S25" t="b">
        <v>0</v>
      </c>
      <c r="U25" t="n">
        <v>21</v>
      </c>
      <c r="V25" t="b">
        <v>1</v>
      </c>
      <c r="X25" t="b">
        <v>0</v>
      </c>
      <c r="Y25" t="n">
        <v>0.32</v>
      </c>
    </row>
    <row r="26">
      <c r="A26" t="inlineStr">
        <is>
          <t>O00025</t>
        </is>
      </c>
      <c r="B26" t="inlineStr">
        <is>
          <t>C0141</t>
        </is>
      </c>
      <c r="C26" t="inlineStr">
        <is>
          <t>S009</t>
        </is>
      </c>
      <c r="D26" t="inlineStr">
        <is>
          <t>R048</t>
        </is>
      </c>
      <c r="E26" s="3" t="n">
        <v>46268.60486111111</v>
      </c>
      <c r="F26" s="3" t="n">
        <v>46268.61166666666</v>
      </c>
      <c r="G26" s="3" t="n">
        <v>46268.61444444444</v>
      </c>
      <c r="H26" t="inlineStr">
        <is>
          <t>Delivered</t>
        </is>
      </c>
      <c r="I26" t="n">
        <v>2</v>
      </c>
      <c r="J26" t="n">
        <v>6</v>
      </c>
      <c r="K26" t="n">
        <v>1361.45</v>
      </c>
      <c r="L26" t="n">
        <v>2.44</v>
      </c>
      <c r="M26" t="n">
        <v>2.5</v>
      </c>
      <c r="N26" t="n">
        <v>5.6</v>
      </c>
      <c r="O26" t="n">
        <v>5.7</v>
      </c>
      <c r="P26" t="n">
        <v>9.800000000000001</v>
      </c>
      <c r="Q26" t="n">
        <v>13.8</v>
      </c>
      <c r="R26" t="n">
        <v>4</v>
      </c>
      <c r="S26" t="b">
        <v>0</v>
      </c>
      <c r="U26" t="n">
        <v>14</v>
      </c>
      <c r="V26" t="b">
        <v>0</v>
      </c>
      <c r="X26" t="b">
        <v>0</v>
      </c>
      <c r="Y26" t="n">
        <v>0.51</v>
      </c>
    </row>
    <row r="27">
      <c r="A27" t="inlineStr">
        <is>
          <t>O00026</t>
        </is>
      </c>
      <c r="B27" t="inlineStr">
        <is>
          <t>C0172</t>
        </is>
      </c>
      <c r="C27" t="inlineStr">
        <is>
          <t>S003</t>
        </is>
      </c>
      <c r="D27" t="inlineStr">
        <is>
          <t>R045</t>
        </is>
      </c>
      <c r="E27" s="3" t="n">
        <v>46271.78125</v>
      </c>
      <c r="F27" s="3" t="n">
        <v>46271.78770833334</v>
      </c>
      <c r="G27" s="3" t="n">
        <v>46271.78701388889</v>
      </c>
      <c r="H27" t="inlineStr">
        <is>
          <t>Delivered</t>
        </is>
      </c>
      <c r="I27" t="n">
        <v>4</v>
      </c>
      <c r="J27" t="n">
        <v>11</v>
      </c>
      <c r="K27" t="n">
        <v>922.47</v>
      </c>
      <c r="L27" t="n">
        <v>1.72</v>
      </c>
      <c r="M27" t="n">
        <v>3.3</v>
      </c>
      <c r="N27" t="n">
        <v>0.7</v>
      </c>
      <c r="O27" t="n">
        <v>4.3</v>
      </c>
      <c r="P27" t="n">
        <v>9.300000000000001</v>
      </c>
      <c r="Q27" t="n">
        <v>8.300000000000001</v>
      </c>
      <c r="R27" t="n">
        <v>-1</v>
      </c>
      <c r="S27" t="b">
        <v>1</v>
      </c>
      <c r="U27" t="n">
        <v>18</v>
      </c>
      <c r="V27" t="b">
        <v>0</v>
      </c>
      <c r="W27" t="inlineStr">
        <is>
          <t>Light</t>
        </is>
      </c>
      <c r="X27" t="b">
        <v>0</v>
      </c>
      <c r="Y27" t="n">
        <v>0.6899999999999999</v>
      </c>
    </row>
    <row r="28">
      <c r="A28" t="inlineStr">
        <is>
          <t>O00027</t>
        </is>
      </c>
      <c r="B28" t="inlineStr">
        <is>
          <t>C0157</t>
        </is>
      </c>
      <c r="C28" t="inlineStr">
        <is>
          <t>S007</t>
        </is>
      </c>
      <c r="D28" t="inlineStr">
        <is>
          <t>R077</t>
        </is>
      </c>
      <c r="E28" s="3" t="n">
        <v>46278.71458333333</v>
      </c>
      <c r="F28" s="3" t="n">
        <v>46278.72333333334</v>
      </c>
      <c r="G28" s="3" t="n">
        <v>46278.72222222222</v>
      </c>
      <c r="H28" t="inlineStr">
        <is>
          <t>Delivered</t>
        </is>
      </c>
      <c r="I28" t="n">
        <v>5</v>
      </c>
      <c r="J28" t="n">
        <v>6</v>
      </c>
      <c r="K28" t="n">
        <v>1123.31</v>
      </c>
      <c r="L28" t="n">
        <v>0.85</v>
      </c>
      <c r="M28" t="n">
        <v>4.6</v>
      </c>
      <c r="N28" t="n">
        <v>4.3</v>
      </c>
      <c r="O28" t="n">
        <v>2.1</v>
      </c>
      <c r="P28" t="n">
        <v>12.6</v>
      </c>
      <c r="Q28" t="n">
        <v>11</v>
      </c>
      <c r="R28" t="n">
        <v>-1.6</v>
      </c>
      <c r="S28" t="b">
        <v>1</v>
      </c>
      <c r="U28" t="n">
        <v>17</v>
      </c>
      <c r="V28" t="b">
        <v>0</v>
      </c>
      <c r="X28" t="b">
        <v>0</v>
      </c>
      <c r="Y28" t="n">
        <v>0.19</v>
      </c>
    </row>
    <row r="29">
      <c r="A29" t="inlineStr">
        <is>
          <t>O00028</t>
        </is>
      </c>
      <c r="B29" t="inlineStr">
        <is>
          <t>C0050</t>
        </is>
      </c>
      <c r="C29" t="inlineStr">
        <is>
          <t>S001</t>
        </is>
      </c>
      <c r="D29" t="inlineStr">
        <is>
          <t>R067</t>
        </is>
      </c>
      <c r="E29" s="3" t="n">
        <v>46276.47708333333</v>
      </c>
      <c r="F29" s="3" t="n">
        <v>46276.48416666667</v>
      </c>
      <c r="G29" s="3" t="n">
        <v>46276.48388888889</v>
      </c>
      <c r="H29" t="inlineStr">
        <is>
          <t>Delivered</t>
        </is>
      </c>
      <c r="I29" t="n">
        <v>6</v>
      </c>
      <c r="J29" t="n">
        <v>11</v>
      </c>
      <c r="K29" t="n">
        <v>1549.03</v>
      </c>
      <c r="L29" t="n">
        <v>1.12</v>
      </c>
      <c r="M29" t="n">
        <v>4.8</v>
      </c>
      <c r="N29" t="n">
        <v>1.4</v>
      </c>
      <c r="O29" t="n">
        <v>3.6</v>
      </c>
      <c r="P29" t="n">
        <v>10.2</v>
      </c>
      <c r="Q29" t="n">
        <v>9.800000000000001</v>
      </c>
      <c r="R29" t="n">
        <v>-0.4</v>
      </c>
      <c r="S29" t="b">
        <v>1</v>
      </c>
      <c r="U29" t="n">
        <v>11</v>
      </c>
      <c r="V29" t="b">
        <v>0</v>
      </c>
      <c r="X29" t="b">
        <v>0</v>
      </c>
      <c r="Y29" t="n">
        <v>0.51</v>
      </c>
    </row>
    <row r="30">
      <c r="A30" t="inlineStr">
        <is>
          <t>O00029</t>
        </is>
      </c>
      <c r="B30" t="inlineStr">
        <is>
          <t>C0160</t>
        </is>
      </c>
      <c r="C30" t="inlineStr">
        <is>
          <t>S016</t>
        </is>
      </c>
      <c r="D30" t="inlineStr">
        <is>
          <t>R019</t>
        </is>
      </c>
      <c r="E30" s="3" t="n">
        <v>46269.48888888889</v>
      </c>
      <c r="F30" s="3" t="n">
        <v>46269.496875</v>
      </c>
      <c r="G30" s="3" t="n">
        <v>46269.49666666667</v>
      </c>
      <c r="H30" t="inlineStr">
        <is>
          <t>Delivered</t>
        </is>
      </c>
      <c r="I30" t="n">
        <v>2</v>
      </c>
      <c r="J30" t="n">
        <v>4</v>
      </c>
      <c r="K30" t="n">
        <v>1251.96</v>
      </c>
      <c r="L30" t="n">
        <v>0.91</v>
      </c>
      <c r="M30" t="n">
        <v>7.3</v>
      </c>
      <c r="N30" t="n">
        <v>1.2</v>
      </c>
      <c r="O30" t="n">
        <v>2.7</v>
      </c>
      <c r="P30" t="n">
        <v>11.5</v>
      </c>
      <c r="Q30" t="n">
        <v>11.2</v>
      </c>
      <c r="R30" t="n">
        <v>-0.3</v>
      </c>
      <c r="S30" t="b">
        <v>1</v>
      </c>
      <c r="U30" t="n">
        <v>11</v>
      </c>
      <c r="V30" t="b">
        <v>0</v>
      </c>
      <c r="X30" t="b">
        <v>0</v>
      </c>
      <c r="Y30" t="n">
        <v>0.4</v>
      </c>
    </row>
    <row r="31">
      <c r="A31" t="inlineStr">
        <is>
          <t>O00030</t>
        </is>
      </c>
      <c r="B31" t="inlineStr">
        <is>
          <t>C0115</t>
        </is>
      </c>
      <c r="C31" t="inlineStr">
        <is>
          <t>S019</t>
        </is>
      </c>
      <c r="D31" t="inlineStr">
        <is>
          <t>R006</t>
        </is>
      </c>
      <c r="E31" s="3" t="n">
        <v>46279.39236111111</v>
      </c>
      <c r="F31" s="3" t="n">
        <v>46279.39986111111</v>
      </c>
      <c r="G31" s="3" t="n">
        <v>46279.40229166667</v>
      </c>
      <c r="H31" t="inlineStr">
        <is>
          <t>Delivered</t>
        </is>
      </c>
      <c r="I31" t="n">
        <v>2</v>
      </c>
      <c r="J31" t="n">
        <v>2</v>
      </c>
      <c r="K31" t="n">
        <v>1536.48</v>
      </c>
      <c r="L31" t="n">
        <v>0.75</v>
      </c>
      <c r="M31" t="n">
        <v>4</v>
      </c>
      <c r="N31" t="n">
        <v>6.4</v>
      </c>
      <c r="O31" t="n">
        <v>3.8</v>
      </c>
      <c r="P31" t="n">
        <v>10.8</v>
      </c>
      <c r="Q31" t="n">
        <v>14.3</v>
      </c>
      <c r="R31" t="n">
        <v>3.5</v>
      </c>
      <c r="S31" t="b">
        <v>0</v>
      </c>
      <c r="U31" t="n">
        <v>9</v>
      </c>
      <c r="V31" t="b">
        <v>0</v>
      </c>
      <c r="W31" t="inlineStr">
        <is>
          <t>Light</t>
        </is>
      </c>
      <c r="X31" t="b">
        <v>0</v>
      </c>
      <c r="Y31" t="n">
        <v>0.42</v>
      </c>
    </row>
    <row r="32">
      <c r="A32" t="inlineStr">
        <is>
          <t>O00031</t>
        </is>
      </c>
      <c r="B32" t="inlineStr">
        <is>
          <t>C0107</t>
        </is>
      </c>
      <c r="C32" t="inlineStr">
        <is>
          <t>S016</t>
        </is>
      </c>
      <c r="D32" t="inlineStr">
        <is>
          <t>R058</t>
        </is>
      </c>
      <c r="E32" s="3" t="n">
        <v>46272.70833333334</v>
      </c>
      <c r="F32" s="3" t="n">
        <v>46272.71583333334</v>
      </c>
      <c r="G32" s="3" t="n">
        <v>46272.71555555556</v>
      </c>
      <c r="H32" t="inlineStr">
        <is>
          <t>Delivered</t>
        </is>
      </c>
      <c r="I32" t="n">
        <v>4</v>
      </c>
      <c r="J32" t="n">
        <v>7</v>
      </c>
      <c r="K32" t="n">
        <v>1300.65</v>
      </c>
      <c r="L32" t="n">
        <v>1.66</v>
      </c>
      <c r="M32" t="n">
        <v>3.7</v>
      </c>
      <c r="N32" t="n">
        <v>3.1</v>
      </c>
      <c r="O32" t="n">
        <v>3.6</v>
      </c>
      <c r="P32" t="n">
        <v>10.8</v>
      </c>
      <c r="Q32" t="n">
        <v>10.4</v>
      </c>
      <c r="R32" t="n">
        <v>-0.4</v>
      </c>
      <c r="S32" t="b">
        <v>1</v>
      </c>
      <c r="U32" t="n">
        <v>17</v>
      </c>
      <c r="V32" t="b">
        <v>0</v>
      </c>
      <c r="W32" t="inlineStr">
        <is>
          <t>Light</t>
        </is>
      </c>
      <c r="X32" t="b">
        <v>0</v>
      </c>
      <c r="Y32" t="n">
        <v>0.3</v>
      </c>
    </row>
    <row r="33">
      <c r="A33" t="inlineStr">
        <is>
          <t>O00032</t>
        </is>
      </c>
      <c r="B33" t="inlineStr">
        <is>
          <t>C0048</t>
        </is>
      </c>
      <c r="C33" t="inlineStr">
        <is>
          <t>S002</t>
        </is>
      </c>
      <c r="D33" t="inlineStr">
        <is>
          <t>R044</t>
        </is>
      </c>
      <c r="E33" s="3" t="n">
        <v>46267.875</v>
      </c>
      <c r="F33" s="3" t="n">
        <v>46267.881875</v>
      </c>
      <c r="G33" s="3" t="n">
        <v>46267.88152777778</v>
      </c>
      <c r="H33" t="inlineStr">
        <is>
          <t>Delivered</t>
        </is>
      </c>
      <c r="I33" t="n">
        <v>3</v>
      </c>
      <c r="J33" t="n">
        <v>4</v>
      </c>
      <c r="K33" t="n">
        <v>1355.56</v>
      </c>
      <c r="L33" t="n">
        <v>1.17</v>
      </c>
      <c r="M33" t="n">
        <v>1.4</v>
      </c>
      <c r="N33" t="n">
        <v>5.1</v>
      </c>
      <c r="O33" t="n">
        <v>2.9</v>
      </c>
      <c r="P33" t="n">
        <v>9.9</v>
      </c>
      <c r="Q33" t="n">
        <v>9.4</v>
      </c>
      <c r="R33" t="n">
        <v>-0.5</v>
      </c>
      <c r="S33" t="b">
        <v>1</v>
      </c>
      <c r="U33" t="n">
        <v>21</v>
      </c>
      <c r="V33" t="b">
        <v>1</v>
      </c>
      <c r="X33" t="b">
        <v>0</v>
      </c>
      <c r="Y33" t="n">
        <v>0.6</v>
      </c>
    </row>
    <row r="34">
      <c r="A34" t="inlineStr">
        <is>
          <t>O00033</t>
        </is>
      </c>
      <c r="B34" t="inlineStr">
        <is>
          <t>C0006</t>
        </is>
      </c>
      <c r="C34" t="inlineStr">
        <is>
          <t>S005</t>
        </is>
      </c>
      <c r="D34" t="inlineStr">
        <is>
          <t>R054</t>
        </is>
      </c>
      <c r="E34" s="3" t="n">
        <v>46279.79027777778</v>
      </c>
      <c r="F34" s="3" t="n">
        <v>46279.79840277778</v>
      </c>
      <c r="G34" s="3" t="n">
        <v>46279.79791666667</v>
      </c>
      <c r="H34" t="inlineStr">
        <is>
          <t>Delivered</t>
        </is>
      </c>
      <c r="I34" t="n">
        <v>4</v>
      </c>
      <c r="J34" t="n">
        <v>4</v>
      </c>
      <c r="K34" t="n">
        <v>807.5</v>
      </c>
      <c r="L34" t="n">
        <v>2.62</v>
      </c>
      <c r="M34" t="n">
        <v>2.7</v>
      </c>
      <c r="N34" t="n">
        <v>4.2</v>
      </c>
      <c r="O34" t="n">
        <v>4.1</v>
      </c>
      <c r="P34" t="n">
        <v>11.7</v>
      </c>
      <c r="Q34" t="n">
        <v>11</v>
      </c>
      <c r="R34" t="n">
        <v>-0.7</v>
      </c>
      <c r="S34" t="b">
        <v>1</v>
      </c>
      <c r="U34" t="n">
        <v>18</v>
      </c>
      <c r="V34" t="b">
        <v>0</v>
      </c>
      <c r="X34" t="b">
        <v>0</v>
      </c>
      <c r="Y34" t="n">
        <v>0.27</v>
      </c>
    </row>
    <row r="35">
      <c r="A35" t="inlineStr">
        <is>
          <t>O00034</t>
        </is>
      </c>
      <c r="B35" t="inlineStr">
        <is>
          <t>C0126</t>
        </is>
      </c>
      <c r="C35" t="inlineStr">
        <is>
          <t>S018</t>
        </is>
      </c>
      <c r="D35" t="inlineStr">
        <is>
          <t>R021</t>
        </is>
      </c>
      <c r="E35" s="3" t="n">
        <v>46269.37361111111</v>
      </c>
      <c r="F35" s="3" t="n">
        <v>46269.38027777777</v>
      </c>
      <c r="G35" s="3" t="n">
        <v>46269.38</v>
      </c>
      <c r="H35" t="inlineStr">
        <is>
          <t>Delivered</t>
        </is>
      </c>
      <c r="I35" t="n">
        <v>3</v>
      </c>
      <c r="J35" t="n">
        <v>7</v>
      </c>
      <c r="K35" t="n">
        <v>1553.14</v>
      </c>
      <c r="L35" t="n">
        <v>2.18</v>
      </c>
      <c r="M35" t="n">
        <v>3.3</v>
      </c>
      <c r="N35" t="n">
        <v>2.5</v>
      </c>
      <c r="O35" t="n">
        <v>3.4</v>
      </c>
      <c r="P35" t="n">
        <v>9.6</v>
      </c>
      <c r="Q35" t="n">
        <v>9.199999999999999</v>
      </c>
      <c r="R35" t="n">
        <v>-0.4</v>
      </c>
      <c r="S35" t="b">
        <v>1</v>
      </c>
      <c r="U35" t="n">
        <v>8</v>
      </c>
      <c r="V35" t="b">
        <v>0</v>
      </c>
      <c r="X35" t="b">
        <v>0</v>
      </c>
      <c r="Y35" t="n">
        <v>0.42</v>
      </c>
    </row>
    <row r="36">
      <c r="A36" t="inlineStr">
        <is>
          <t>O00035</t>
        </is>
      </c>
      <c r="B36" t="inlineStr">
        <is>
          <t>C0154</t>
        </is>
      </c>
      <c r="C36" t="inlineStr">
        <is>
          <t>S005</t>
        </is>
      </c>
      <c r="D36" t="inlineStr">
        <is>
          <t>R030</t>
        </is>
      </c>
      <c r="E36" s="3" t="n">
        <v>46269.54930555556</v>
      </c>
      <c r="F36" s="3" t="n">
        <v>46269.55666666666</v>
      </c>
      <c r="G36" s="3" t="n">
        <v>46269.55638888889</v>
      </c>
      <c r="H36" t="inlineStr">
        <is>
          <t>Delivered</t>
        </is>
      </c>
      <c r="I36" t="n">
        <v>1</v>
      </c>
      <c r="J36" t="n">
        <v>8</v>
      </c>
      <c r="K36" t="n">
        <v>883.76</v>
      </c>
      <c r="L36" t="n">
        <v>1.82</v>
      </c>
      <c r="M36" t="n">
        <v>3.4</v>
      </c>
      <c r="N36" t="n">
        <v>0</v>
      </c>
      <c r="O36" t="n">
        <v>6.8</v>
      </c>
      <c r="P36" t="n">
        <v>10.6</v>
      </c>
      <c r="Q36" t="n">
        <v>10.2</v>
      </c>
      <c r="R36" t="n">
        <v>-0.4</v>
      </c>
      <c r="S36" t="b">
        <v>1</v>
      </c>
      <c r="U36" t="n">
        <v>13</v>
      </c>
      <c r="V36" t="b">
        <v>0</v>
      </c>
      <c r="W36" t="inlineStr">
        <is>
          <t>Heavy</t>
        </is>
      </c>
      <c r="X36" t="b">
        <v>0</v>
      </c>
      <c r="Y36" t="n">
        <v>0.97</v>
      </c>
    </row>
    <row r="37">
      <c r="A37" t="inlineStr">
        <is>
          <t>O00036</t>
        </is>
      </c>
      <c r="B37" t="inlineStr">
        <is>
          <t>C0246</t>
        </is>
      </c>
      <c r="C37" t="inlineStr">
        <is>
          <t>S001</t>
        </is>
      </c>
      <c r="D37" t="inlineStr">
        <is>
          <t>R059</t>
        </is>
      </c>
      <c r="E37" s="3" t="n">
        <v>46269.54930555556</v>
      </c>
      <c r="F37" s="3" t="n">
        <v>46269.55576388889</v>
      </c>
      <c r="G37" s="3" t="n">
        <v>46269.55756944444</v>
      </c>
      <c r="H37" t="inlineStr">
        <is>
          <t>Delivered</t>
        </is>
      </c>
      <c r="I37" t="n">
        <v>5</v>
      </c>
      <c r="J37" t="n">
        <v>10</v>
      </c>
      <c r="K37" t="n">
        <v>511.05</v>
      </c>
      <c r="L37" t="n">
        <v>1.67</v>
      </c>
      <c r="M37" t="n">
        <v>3.9</v>
      </c>
      <c r="N37" t="n">
        <v>2.9</v>
      </c>
      <c r="O37" t="n">
        <v>5.2</v>
      </c>
      <c r="P37" t="n">
        <v>9.300000000000001</v>
      </c>
      <c r="Q37" t="n">
        <v>11.9</v>
      </c>
      <c r="R37" t="n">
        <v>2.6</v>
      </c>
      <c r="S37" t="b">
        <v>0</v>
      </c>
      <c r="U37" t="n">
        <v>13</v>
      </c>
      <c r="V37" t="b">
        <v>0</v>
      </c>
      <c r="X37" t="b">
        <v>0</v>
      </c>
      <c r="Y37" t="n">
        <v>0.39</v>
      </c>
    </row>
    <row r="38">
      <c r="A38" t="inlineStr">
        <is>
          <t>O00037</t>
        </is>
      </c>
      <c r="B38" t="inlineStr">
        <is>
          <t>C0109</t>
        </is>
      </c>
      <c r="C38" t="inlineStr">
        <is>
          <t>S016</t>
        </is>
      </c>
      <c r="E38" s="3" t="n">
        <v>46272.425</v>
      </c>
      <c r="F38" s="3" t="n">
        <v>46272.43222222223</v>
      </c>
      <c r="H38" t="inlineStr">
        <is>
          <t>Cancelled</t>
        </is>
      </c>
      <c r="I38" t="n">
        <v>3</v>
      </c>
      <c r="J38" t="n">
        <v>3</v>
      </c>
      <c r="K38" t="n">
        <v>390.18</v>
      </c>
      <c r="L38" t="n">
        <v>2.6</v>
      </c>
      <c r="M38" t="n">
        <v>5.1</v>
      </c>
      <c r="N38" t="n">
        <v>1.4</v>
      </c>
      <c r="O38" t="n">
        <v>7.2</v>
      </c>
      <c r="P38" t="n">
        <v>10.4</v>
      </c>
      <c r="T38" t="inlineStr">
        <is>
          <t>Rider unavailable</t>
        </is>
      </c>
      <c r="U38" t="n">
        <v>10</v>
      </c>
      <c r="V38" t="b">
        <v>0</v>
      </c>
      <c r="W38" t="inlineStr">
        <is>
          <t>Heavy</t>
        </is>
      </c>
      <c r="X38" t="b">
        <v>0</v>
      </c>
      <c r="Y38" t="n">
        <v>0.09</v>
      </c>
    </row>
    <row r="39">
      <c r="A39" t="inlineStr">
        <is>
          <t>O00038</t>
        </is>
      </c>
      <c r="B39" t="inlineStr">
        <is>
          <t>C0204</t>
        </is>
      </c>
      <c r="C39" t="inlineStr">
        <is>
          <t>S016</t>
        </is>
      </c>
      <c r="D39" t="inlineStr">
        <is>
          <t>R063</t>
        </is>
      </c>
      <c r="E39" s="3" t="n">
        <v>46270.88125</v>
      </c>
      <c r="F39" s="3" t="n">
        <v>46270.88708333333</v>
      </c>
      <c r="G39" s="3" t="n">
        <v>46270.88652777778</v>
      </c>
      <c r="H39" t="inlineStr">
        <is>
          <t>Delivered</t>
        </is>
      </c>
      <c r="I39" t="n">
        <v>1</v>
      </c>
      <c r="J39" t="n">
        <v>7</v>
      </c>
      <c r="K39" t="n">
        <v>1720.92</v>
      </c>
      <c r="L39" t="n">
        <v>2.6</v>
      </c>
      <c r="M39" t="n">
        <v>2.4</v>
      </c>
      <c r="N39" t="n">
        <v>2.4</v>
      </c>
      <c r="O39" t="n">
        <v>2.8</v>
      </c>
      <c r="P39" t="n">
        <v>8.4</v>
      </c>
      <c r="Q39" t="n">
        <v>7.6</v>
      </c>
      <c r="R39" t="n">
        <v>-0.8</v>
      </c>
      <c r="S39" t="b">
        <v>1</v>
      </c>
      <c r="U39" t="n">
        <v>21</v>
      </c>
      <c r="V39" t="b">
        <v>1</v>
      </c>
      <c r="X39" t="b">
        <v>0</v>
      </c>
      <c r="Y39" t="n">
        <v>0.85</v>
      </c>
    </row>
    <row r="40">
      <c r="A40" t="inlineStr">
        <is>
          <t>O00039</t>
        </is>
      </c>
      <c r="B40" t="inlineStr">
        <is>
          <t>C0076</t>
        </is>
      </c>
      <c r="C40" t="inlineStr">
        <is>
          <t>S014</t>
        </is>
      </c>
      <c r="D40" t="inlineStr">
        <is>
          <t>R072</t>
        </is>
      </c>
      <c r="E40" s="3" t="n">
        <v>46267.90763888889</v>
      </c>
      <c r="F40" s="3" t="n">
        <v>46267.914375</v>
      </c>
      <c r="G40" s="3" t="n">
        <v>46267.92388888889</v>
      </c>
      <c r="H40" t="inlineStr">
        <is>
          <t>Delivered</t>
        </is>
      </c>
      <c r="I40" t="n">
        <v>3</v>
      </c>
      <c r="J40" t="n">
        <v>4</v>
      </c>
      <c r="K40" t="n">
        <v>960.9</v>
      </c>
      <c r="L40" t="n">
        <v>1.67</v>
      </c>
      <c r="M40" t="n">
        <v>6.6</v>
      </c>
      <c r="N40" t="n">
        <v>10.7</v>
      </c>
      <c r="O40" t="n">
        <v>6.1</v>
      </c>
      <c r="P40" t="n">
        <v>9.699999999999999</v>
      </c>
      <c r="Q40" t="n">
        <v>23.4</v>
      </c>
      <c r="R40" t="n">
        <v>13.7</v>
      </c>
      <c r="S40" t="b">
        <v>0</v>
      </c>
      <c r="U40" t="n">
        <v>21</v>
      </c>
      <c r="V40" t="b">
        <v>1</v>
      </c>
      <c r="X40" t="b">
        <v>0</v>
      </c>
      <c r="Y40" t="n">
        <v>0.8100000000000001</v>
      </c>
    </row>
    <row r="41">
      <c r="A41" t="inlineStr">
        <is>
          <t>O00040</t>
        </is>
      </c>
      <c r="B41" t="inlineStr">
        <is>
          <t>C0094</t>
        </is>
      </c>
      <c r="C41" t="inlineStr">
        <is>
          <t>S014</t>
        </is>
      </c>
      <c r="D41" t="inlineStr">
        <is>
          <t>R028</t>
        </is>
      </c>
      <c r="E41" s="3" t="n">
        <v>46274.8</v>
      </c>
      <c r="F41" s="3" t="n">
        <v>46274.80680555556</v>
      </c>
      <c r="G41" s="3" t="n">
        <v>46274.80625</v>
      </c>
      <c r="H41" t="inlineStr">
        <is>
          <t>Delivered</t>
        </is>
      </c>
      <c r="I41" t="n">
        <v>3</v>
      </c>
      <c r="J41" t="n">
        <v>8</v>
      </c>
      <c r="K41" t="n">
        <v>897.1</v>
      </c>
      <c r="L41" t="n">
        <v>3.06</v>
      </c>
      <c r="M41" t="n">
        <v>2.4</v>
      </c>
      <c r="N41" t="n">
        <v>2.7</v>
      </c>
      <c r="O41" t="n">
        <v>3.9</v>
      </c>
      <c r="P41" t="n">
        <v>9.800000000000001</v>
      </c>
      <c r="Q41" t="n">
        <v>9</v>
      </c>
      <c r="R41" t="n">
        <v>-0.8</v>
      </c>
      <c r="S41" t="b">
        <v>1</v>
      </c>
      <c r="U41" t="n">
        <v>19</v>
      </c>
      <c r="V41" t="b">
        <v>1</v>
      </c>
      <c r="W41" t="inlineStr">
        <is>
          <t>Heavy</t>
        </is>
      </c>
      <c r="X41" t="b">
        <v>0</v>
      </c>
      <c r="Y41" t="n">
        <v>0.53</v>
      </c>
    </row>
    <row r="42">
      <c r="A42" t="inlineStr">
        <is>
          <t>O00041</t>
        </is>
      </c>
      <c r="B42" t="inlineStr">
        <is>
          <t>C0156</t>
        </is>
      </c>
      <c r="C42" t="inlineStr">
        <is>
          <t>S005</t>
        </is>
      </c>
      <c r="D42" t="inlineStr">
        <is>
          <t>R036</t>
        </is>
      </c>
      <c r="E42" s="3" t="n">
        <v>46277.60763888889</v>
      </c>
      <c r="F42" s="3" t="n">
        <v>46277.61479166667</v>
      </c>
      <c r="G42" s="3" t="n">
        <v>46277.61444444444</v>
      </c>
      <c r="H42" t="inlineStr">
        <is>
          <t>Delivered</t>
        </is>
      </c>
      <c r="I42" t="n">
        <v>1</v>
      </c>
      <c r="J42" t="n">
        <v>9</v>
      </c>
      <c r="K42" t="n">
        <v>929.96</v>
      </c>
      <c r="L42" t="n">
        <v>2.35</v>
      </c>
      <c r="M42" t="n">
        <v>3.5</v>
      </c>
      <c r="N42" t="n">
        <v>2.1</v>
      </c>
      <c r="O42" t="n">
        <v>4.2</v>
      </c>
      <c r="P42" t="n">
        <v>10.3</v>
      </c>
      <c r="Q42" t="n">
        <v>9.800000000000001</v>
      </c>
      <c r="R42" t="n">
        <v>-0.5</v>
      </c>
      <c r="S42" t="b">
        <v>1</v>
      </c>
      <c r="U42" t="n">
        <v>14</v>
      </c>
      <c r="V42" t="b">
        <v>0</v>
      </c>
      <c r="X42" t="b">
        <v>0</v>
      </c>
      <c r="Y42" t="n">
        <v>0.5600000000000001</v>
      </c>
    </row>
    <row r="43">
      <c r="A43" t="inlineStr">
        <is>
          <t>O00042</t>
        </is>
      </c>
      <c r="B43" t="inlineStr">
        <is>
          <t>C0206</t>
        </is>
      </c>
      <c r="C43" t="inlineStr">
        <is>
          <t>S002</t>
        </is>
      </c>
      <c r="D43" t="inlineStr">
        <is>
          <t>R026</t>
        </is>
      </c>
      <c r="E43" s="3" t="n">
        <v>46269.5375</v>
      </c>
      <c r="F43" s="3" t="n">
        <v>46269.54416666667</v>
      </c>
      <c r="G43" s="3" t="n">
        <v>46269.54395833334</v>
      </c>
      <c r="H43" t="inlineStr">
        <is>
          <t>Delivered</t>
        </is>
      </c>
      <c r="I43" t="n">
        <v>6</v>
      </c>
      <c r="J43" t="n">
        <v>6</v>
      </c>
      <c r="K43" t="n">
        <v>1207.39</v>
      </c>
      <c r="L43" t="n">
        <v>0.57</v>
      </c>
      <c r="M43" t="n">
        <v>3.5</v>
      </c>
      <c r="N43" t="n">
        <v>3.6</v>
      </c>
      <c r="O43" t="n">
        <v>2.2</v>
      </c>
      <c r="P43" t="n">
        <v>9.6</v>
      </c>
      <c r="Q43" t="n">
        <v>9.300000000000001</v>
      </c>
      <c r="R43" t="n">
        <v>-0.3</v>
      </c>
      <c r="S43" t="b">
        <v>1</v>
      </c>
      <c r="U43" t="n">
        <v>12</v>
      </c>
      <c r="V43" t="b">
        <v>0</v>
      </c>
      <c r="X43" t="b">
        <v>0</v>
      </c>
      <c r="Y43" t="n">
        <v>0.35</v>
      </c>
    </row>
    <row r="44">
      <c r="A44" t="inlineStr">
        <is>
          <t>O00043</t>
        </is>
      </c>
      <c r="B44" t="inlineStr">
        <is>
          <t>C0048</t>
        </is>
      </c>
      <c r="C44" t="inlineStr">
        <is>
          <t>S017</t>
        </is>
      </c>
      <c r="D44" t="inlineStr">
        <is>
          <t>R078</t>
        </is>
      </c>
      <c r="E44" s="3" t="n">
        <v>46276.50069444445</v>
      </c>
      <c r="F44" s="3" t="n">
        <v>46276.50805555555</v>
      </c>
      <c r="G44" s="3" t="n">
        <v>46276.50784722222</v>
      </c>
      <c r="H44" t="inlineStr">
        <is>
          <t>Delivered</t>
        </is>
      </c>
      <c r="I44" t="n">
        <v>6</v>
      </c>
      <c r="J44" t="n">
        <v>9</v>
      </c>
      <c r="K44" t="n">
        <v>565.0700000000001</v>
      </c>
      <c r="L44" t="n">
        <v>1.91</v>
      </c>
      <c r="M44" t="n">
        <v>1.8</v>
      </c>
      <c r="N44" t="n">
        <v>4.4</v>
      </c>
      <c r="O44" t="n">
        <v>4.1</v>
      </c>
      <c r="P44" t="n">
        <v>10.6</v>
      </c>
      <c r="Q44" t="n">
        <v>10.3</v>
      </c>
      <c r="R44" t="n">
        <v>-0.3</v>
      </c>
      <c r="S44" t="b">
        <v>1</v>
      </c>
      <c r="U44" t="n">
        <v>12</v>
      </c>
      <c r="V44" t="b">
        <v>0</v>
      </c>
      <c r="X44" t="b">
        <v>0</v>
      </c>
      <c r="Y44" t="n">
        <v>0.8</v>
      </c>
    </row>
    <row r="45">
      <c r="A45" t="inlineStr">
        <is>
          <t>O00044</t>
        </is>
      </c>
      <c r="B45" t="inlineStr">
        <is>
          <t>C0236</t>
        </is>
      </c>
      <c r="C45" t="inlineStr">
        <is>
          <t>S016</t>
        </is>
      </c>
      <c r="D45" t="inlineStr">
        <is>
          <t>R029</t>
        </is>
      </c>
      <c r="E45" s="3" t="n">
        <v>46278.87708333333</v>
      </c>
      <c r="F45" s="3" t="n">
        <v>46278.883125</v>
      </c>
      <c r="G45" s="3" t="n">
        <v>46278.88243055555</v>
      </c>
      <c r="H45" t="inlineStr">
        <is>
          <t>Delivered</t>
        </is>
      </c>
      <c r="I45" t="n">
        <v>2</v>
      </c>
      <c r="J45" t="n">
        <v>2</v>
      </c>
      <c r="K45" t="n">
        <v>723.3200000000001</v>
      </c>
      <c r="L45" t="n">
        <v>0.5</v>
      </c>
      <c r="M45" t="n">
        <v>2.8</v>
      </c>
      <c r="N45" t="n">
        <v>3.8</v>
      </c>
      <c r="O45" t="n">
        <v>1.1</v>
      </c>
      <c r="P45" t="n">
        <v>8.699999999999999</v>
      </c>
      <c r="Q45" t="n">
        <v>7.7</v>
      </c>
      <c r="R45" t="n">
        <v>-1</v>
      </c>
      <c r="S45" t="b">
        <v>1</v>
      </c>
      <c r="U45" t="n">
        <v>21</v>
      </c>
      <c r="V45" t="b">
        <v>1</v>
      </c>
      <c r="X45" t="b">
        <v>0</v>
      </c>
      <c r="Y45" t="n">
        <v>0.52</v>
      </c>
    </row>
    <row r="46">
      <c r="A46" t="inlineStr">
        <is>
          <t>O00045</t>
        </is>
      </c>
      <c r="B46" t="inlineStr">
        <is>
          <t>C0109</t>
        </is>
      </c>
      <c r="C46" t="inlineStr">
        <is>
          <t>S011</t>
        </is>
      </c>
      <c r="D46" t="inlineStr">
        <is>
          <t>R038</t>
        </is>
      </c>
      <c r="E46" s="3" t="n">
        <v>46279.6</v>
      </c>
      <c r="F46" s="3" t="n">
        <v>46279.60645833334</v>
      </c>
      <c r="G46" s="3" t="n">
        <v>46279.60625</v>
      </c>
      <c r="H46" t="inlineStr">
        <is>
          <t>Delivered</t>
        </is>
      </c>
      <c r="I46" t="n">
        <v>1</v>
      </c>
      <c r="J46" t="n">
        <v>8</v>
      </c>
      <c r="K46" t="n">
        <v>502.04</v>
      </c>
      <c r="L46" t="n">
        <v>3.3</v>
      </c>
      <c r="M46" t="n">
        <v>2.7</v>
      </c>
      <c r="N46" t="n">
        <v>2.5</v>
      </c>
      <c r="O46" t="n">
        <v>3.8</v>
      </c>
      <c r="P46" t="n">
        <v>9.300000000000001</v>
      </c>
      <c r="Q46" t="n">
        <v>9</v>
      </c>
      <c r="R46" t="n">
        <v>-0.3</v>
      </c>
      <c r="S46" t="b">
        <v>1</v>
      </c>
      <c r="U46" t="n">
        <v>14</v>
      </c>
      <c r="V46" t="b">
        <v>0</v>
      </c>
      <c r="X46" t="b">
        <v>0</v>
      </c>
      <c r="Y46" t="n">
        <v>0.53</v>
      </c>
    </row>
    <row r="47">
      <c r="A47" t="inlineStr">
        <is>
          <t>O00046</t>
        </is>
      </c>
      <c r="B47" t="inlineStr">
        <is>
          <t>C0016</t>
        </is>
      </c>
      <c r="C47" t="inlineStr">
        <is>
          <t>S017</t>
        </is>
      </c>
      <c r="D47" t="inlineStr">
        <is>
          <t>R068</t>
        </is>
      </c>
      <c r="E47" s="3" t="n">
        <v>46278.46180555555</v>
      </c>
      <c r="F47" s="3" t="n">
        <v>46278.47041666666</v>
      </c>
      <c r="G47" s="3" t="n">
        <v>46278.46979166667</v>
      </c>
      <c r="H47" t="inlineStr">
        <is>
          <t>Delivered</t>
        </is>
      </c>
      <c r="I47" t="n">
        <v>1</v>
      </c>
      <c r="J47" t="n">
        <v>8</v>
      </c>
      <c r="K47" t="n">
        <v>405.14</v>
      </c>
      <c r="L47" t="n">
        <v>3.96</v>
      </c>
      <c r="M47" t="n">
        <v>1.6</v>
      </c>
      <c r="N47" t="n">
        <v>2.5</v>
      </c>
      <c r="O47" t="n">
        <v>7.4</v>
      </c>
      <c r="P47" t="n">
        <v>12.4</v>
      </c>
      <c r="Q47" t="n">
        <v>11.5</v>
      </c>
      <c r="R47" t="n">
        <v>-0.9</v>
      </c>
      <c r="S47" t="b">
        <v>1</v>
      </c>
      <c r="U47" t="n">
        <v>11</v>
      </c>
      <c r="V47" t="b">
        <v>0</v>
      </c>
      <c r="X47" t="b">
        <v>0</v>
      </c>
      <c r="Y47" t="n">
        <v>0.6899999999999999</v>
      </c>
    </row>
    <row r="48">
      <c r="A48" t="inlineStr">
        <is>
          <t>O00047</t>
        </is>
      </c>
      <c r="B48" t="inlineStr">
        <is>
          <t>C0032</t>
        </is>
      </c>
      <c r="C48" t="inlineStr">
        <is>
          <t>S003</t>
        </is>
      </c>
      <c r="D48" t="inlineStr">
        <is>
          <t>R063</t>
        </is>
      </c>
      <c r="E48" s="3" t="n">
        <v>46266.64722222222</v>
      </c>
      <c r="F48" s="3" t="n">
        <v>46266.65326388889</v>
      </c>
      <c r="G48" s="3" t="n">
        <v>46266.6525</v>
      </c>
      <c r="H48" t="inlineStr">
        <is>
          <t>Delivered</t>
        </is>
      </c>
      <c r="I48" t="n">
        <v>2</v>
      </c>
      <c r="J48" t="n">
        <v>5</v>
      </c>
      <c r="K48" t="n">
        <v>666.35</v>
      </c>
      <c r="L48" t="n">
        <v>0.82</v>
      </c>
      <c r="M48" t="n">
        <v>2.2</v>
      </c>
      <c r="N48" t="n">
        <v>3.2</v>
      </c>
      <c r="O48" t="n">
        <v>2.2</v>
      </c>
      <c r="P48" t="n">
        <v>8.699999999999999</v>
      </c>
      <c r="Q48" t="n">
        <v>7.6</v>
      </c>
      <c r="R48" t="n">
        <v>-1.1</v>
      </c>
      <c r="S48" t="b">
        <v>1</v>
      </c>
      <c r="U48" t="n">
        <v>15</v>
      </c>
      <c r="V48" t="b">
        <v>0</v>
      </c>
      <c r="X48" t="b">
        <v>0</v>
      </c>
      <c r="Y48" t="n">
        <v>0.29</v>
      </c>
    </row>
    <row r="49">
      <c r="A49" t="inlineStr">
        <is>
          <t>O00048</t>
        </is>
      </c>
      <c r="B49" t="inlineStr">
        <is>
          <t>C0103</t>
        </is>
      </c>
      <c r="C49" t="inlineStr">
        <is>
          <t>S007</t>
        </is>
      </c>
      <c r="D49" t="inlineStr">
        <is>
          <t>R047</t>
        </is>
      </c>
      <c r="E49" s="3" t="n">
        <v>46266.73194444444</v>
      </c>
      <c r="F49" s="3" t="n">
        <v>46266.73923611111</v>
      </c>
      <c r="G49" s="3" t="n">
        <v>46266.74208333333</v>
      </c>
      <c r="H49" t="inlineStr">
        <is>
          <t>Delivered</t>
        </is>
      </c>
      <c r="I49" t="n">
        <v>5</v>
      </c>
      <c r="J49" t="n">
        <v>6</v>
      </c>
      <c r="K49" t="n">
        <v>1049.02</v>
      </c>
      <c r="L49" t="n">
        <v>2.69</v>
      </c>
      <c r="M49" t="n">
        <v>5.5</v>
      </c>
      <c r="N49" t="n">
        <v>2.7</v>
      </c>
      <c r="O49" t="n">
        <v>6.4</v>
      </c>
      <c r="P49" t="n">
        <v>10.5</v>
      </c>
      <c r="Q49" t="n">
        <v>14.6</v>
      </c>
      <c r="R49" t="n">
        <v>4.1</v>
      </c>
      <c r="S49" t="b">
        <v>0</v>
      </c>
      <c r="U49" t="n">
        <v>17</v>
      </c>
      <c r="V49" t="b">
        <v>0</v>
      </c>
      <c r="X49" t="b">
        <v>0</v>
      </c>
      <c r="Y49" t="n">
        <v>0.5</v>
      </c>
    </row>
    <row r="50">
      <c r="A50" t="inlineStr">
        <is>
          <t>O00049</t>
        </is>
      </c>
      <c r="B50" t="inlineStr">
        <is>
          <t>C0210</t>
        </is>
      </c>
      <c r="C50" t="inlineStr">
        <is>
          <t>S019</t>
        </is>
      </c>
      <c r="D50" t="inlineStr">
        <is>
          <t>R050</t>
        </is>
      </c>
      <c r="E50" s="3" t="n">
        <v>46272.51388888889</v>
      </c>
      <c r="F50" s="3" t="n">
        <v>46272.52145833334</v>
      </c>
      <c r="G50" s="3" t="n">
        <v>46272.52083333334</v>
      </c>
      <c r="H50" t="inlineStr">
        <is>
          <t>Delivered</t>
        </is>
      </c>
      <c r="I50" t="n">
        <v>3</v>
      </c>
      <c r="J50" t="n">
        <v>4</v>
      </c>
      <c r="K50" t="n">
        <v>884.6900000000001</v>
      </c>
      <c r="L50" t="n">
        <v>0.91</v>
      </c>
      <c r="M50" t="n">
        <v>3.4</v>
      </c>
      <c r="N50" t="n">
        <v>3.5</v>
      </c>
      <c r="O50" t="n">
        <v>3.1</v>
      </c>
      <c r="P50" t="n">
        <v>10.9</v>
      </c>
      <c r="Q50" t="n">
        <v>10</v>
      </c>
      <c r="R50" t="n">
        <v>-0.9</v>
      </c>
      <c r="S50" t="b">
        <v>1</v>
      </c>
      <c r="U50" t="n">
        <v>12</v>
      </c>
      <c r="V50" t="b">
        <v>0</v>
      </c>
      <c r="W50" t="inlineStr">
        <is>
          <t>Light</t>
        </is>
      </c>
      <c r="X50" t="b">
        <v>0</v>
      </c>
      <c r="Y50" t="n">
        <v>0.43</v>
      </c>
    </row>
    <row r="51">
      <c r="A51" t="inlineStr">
        <is>
          <t>O00050</t>
        </is>
      </c>
      <c r="B51" t="inlineStr">
        <is>
          <t>C0146</t>
        </is>
      </c>
      <c r="C51" t="inlineStr">
        <is>
          <t>S007</t>
        </is>
      </c>
      <c r="D51" t="inlineStr">
        <is>
          <t>R051</t>
        </is>
      </c>
      <c r="E51" s="3" t="n">
        <v>46266.47708333333</v>
      </c>
      <c r="F51" s="3" t="n">
        <v>46266.48284722222</v>
      </c>
      <c r="G51" s="3" t="n">
        <v>46266.48215277777</v>
      </c>
      <c r="H51" t="inlineStr">
        <is>
          <t>Delivered</t>
        </is>
      </c>
      <c r="I51" t="n">
        <v>3</v>
      </c>
      <c r="J51" t="n">
        <v>9</v>
      </c>
      <c r="K51" t="n">
        <v>1249.82</v>
      </c>
      <c r="L51" t="n">
        <v>0.5</v>
      </c>
      <c r="M51" t="n">
        <v>3.4</v>
      </c>
      <c r="N51" t="n">
        <v>2</v>
      </c>
      <c r="O51" t="n">
        <v>1.9</v>
      </c>
      <c r="P51" t="n">
        <v>8.300000000000001</v>
      </c>
      <c r="Q51" t="n">
        <v>7.3</v>
      </c>
      <c r="R51" t="n">
        <v>-1</v>
      </c>
      <c r="S51" t="b">
        <v>1</v>
      </c>
      <c r="U51" t="n">
        <v>11</v>
      </c>
      <c r="V51" t="b">
        <v>0</v>
      </c>
      <c r="X51" t="b">
        <v>0</v>
      </c>
      <c r="Y51" t="n">
        <v>0.5</v>
      </c>
    </row>
    <row r="52">
      <c r="A52" t="inlineStr">
        <is>
          <t>O00051</t>
        </is>
      </c>
      <c r="B52" t="inlineStr">
        <is>
          <t>C0171</t>
        </is>
      </c>
      <c r="C52" t="inlineStr">
        <is>
          <t>S004</t>
        </is>
      </c>
      <c r="D52" t="inlineStr">
        <is>
          <t>R013</t>
        </is>
      </c>
      <c r="E52" s="3" t="n">
        <v>46268.58888888889</v>
      </c>
      <c r="F52" s="3" t="n">
        <v>46268.59611111111</v>
      </c>
      <c r="G52" s="3" t="n">
        <v>46268.59534722222</v>
      </c>
      <c r="H52" t="inlineStr">
        <is>
          <t>Delivered</t>
        </is>
      </c>
      <c r="I52" t="n">
        <v>4</v>
      </c>
      <c r="J52" t="n">
        <v>7</v>
      </c>
      <c r="K52" t="n">
        <v>801.49</v>
      </c>
      <c r="L52" t="n">
        <v>0.5</v>
      </c>
      <c r="M52" t="n">
        <v>3.2</v>
      </c>
      <c r="N52" t="n">
        <v>4.7</v>
      </c>
      <c r="O52" t="n">
        <v>1.4</v>
      </c>
      <c r="P52" t="n">
        <v>10.4</v>
      </c>
      <c r="Q52" t="n">
        <v>9.300000000000001</v>
      </c>
      <c r="R52" t="n">
        <v>-1.1</v>
      </c>
      <c r="S52" t="b">
        <v>1</v>
      </c>
      <c r="U52" t="n">
        <v>14</v>
      </c>
      <c r="V52" t="b">
        <v>0</v>
      </c>
      <c r="X52" t="b">
        <v>0</v>
      </c>
      <c r="Y52" t="n">
        <v>0.14</v>
      </c>
    </row>
    <row r="53">
      <c r="A53" t="inlineStr">
        <is>
          <t>O00052</t>
        </is>
      </c>
      <c r="B53" t="inlineStr">
        <is>
          <t>C0190</t>
        </is>
      </c>
      <c r="C53" t="inlineStr">
        <is>
          <t>S013</t>
        </is>
      </c>
      <c r="D53" t="inlineStr">
        <is>
          <t>R053</t>
        </is>
      </c>
      <c r="E53" s="3" t="n">
        <v>46267.61527777778</v>
      </c>
      <c r="F53" s="3" t="n">
        <v>46267.62333333334</v>
      </c>
      <c r="G53" s="3" t="n">
        <v>46267.62277777777</v>
      </c>
      <c r="H53" t="inlineStr">
        <is>
          <t>Delivered</t>
        </is>
      </c>
      <c r="I53" t="n">
        <v>3</v>
      </c>
      <c r="J53" t="n">
        <v>8</v>
      </c>
      <c r="K53" t="n">
        <v>1678.25</v>
      </c>
      <c r="L53" t="n">
        <v>2.08</v>
      </c>
      <c r="M53" t="n">
        <v>5.4</v>
      </c>
      <c r="N53" t="n">
        <v>1.3</v>
      </c>
      <c r="O53" t="n">
        <v>4.1</v>
      </c>
      <c r="P53" t="n">
        <v>11.6</v>
      </c>
      <c r="Q53" t="n">
        <v>10.8</v>
      </c>
      <c r="R53" t="n">
        <v>-0.8</v>
      </c>
      <c r="S53" t="b">
        <v>1</v>
      </c>
      <c r="U53" t="n">
        <v>14</v>
      </c>
      <c r="V53" t="b">
        <v>0</v>
      </c>
      <c r="X53" t="b">
        <v>0</v>
      </c>
      <c r="Y53" t="n">
        <v>0.27</v>
      </c>
    </row>
    <row r="54">
      <c r="A54" t="inlineStr">
        <is>
          <t>O00053</t>
        </is>
      </c>
      <c r="B54" t="inlineStr">
        <is>
          <t>C0156</t>
        </is>
      </c>
      <c r="C54" t="inlineStr">
        <is>
          <t>S015</t>
        </is>
      </c>
      <c r="D54" t="inlineStr">
        <is>
          <t>R057</t>
        </is>
      </c>
      <c r="E54" s="3" t="n">
        <v>46275.46180555555</v>
      </c>
      <c r="F54" s="3" t="n">
        <v>46275.46861111111</v>
      </c>
      <c r="G54" s="3" t="n">
        <v>46275.468125</v>
      </c>
      <c r="H54" t="inlineStr">
        <is>
          <t>Delivered</t>
        </is>
      </c>
      <c r="I54" t="n">
        <v>2</v>
      </c>
      <c r="J54" t="n">
        <v>4</v>
      </c>
      <c r="K54" t="n">
        <v>1538.87</v>
      </c>
      <c r="L54" t="n">
        <v>0.9</v>
      </c>
      <c r="M54" t="n">
        <v>4.7</v>
      </c>
      <c r="N54" t="n">
        <v>1.9</v>
      </c>
      <c r="O54" t="n">
        <v>2.6</v>
      </c>
      <c r="P54" t="n">
        <v>9.800000000000001</v>
      </c>
      <c r="Q54" t="n">
        <v>9.1</v>
      </c>
      <c r="R54" t="n">
        <v>-0.7</v>
      </c>
      <c r="S54" t="b">
        <v>1</v>
      </c>
      <c r="U54" t="n">
        <v>11</v>
      </c>
      <c r="V54" t="b">
        <v>0</v>
      </c>
      <c r="X54" t="b">
        <v>0</v>
      </c>
      <c r="Y54" t="n">
        <v>0.25</v>
      </c>
    </row>
    <row r="55">
      <c r="A55" t="inlineStr">
        <is>
          <t>O00054</t>
        </is>
      </c>
      <c r="B55" t="inlineStr">
        <is>
          <t>C0227</t>
        </is>
      </c>
      <c r="C55" t="inlineStr">
        <is>
          <t>S009</t>
        </is>
      </c>
      <c r="D55" t="inlineStr">
        <is>
          <t>R069</t>
        </is>
      </c>
      <c r="E55" s="3" t="n">
        <v>46268.7375</v>
      </c>
      <c r="F55" s="3" t="n">
        <v>46268.74493055556</v>
      </c>
      <c r="G55" s="3" t="n">
        <v>46268.74423611111</v>
      </c>
      <c r="H55" t="inlineStr">
        <is>
          <t>Delivered</t>
        </is>
      </c>
      <c r="I55" t="n">
        <v>3</v>
      </c>
      <c r="J55" t="n">
        <v>3</v>
      </c>
      <c r="K55" t="n">
        <v>699.3200000000001</v>
      </c>
      <c r="L55" t="n">
        <v>0.8</v>
      </c>
      <c r="M55" t="n">
        <v>3.3</v>
      </c>
      <c r="N55" t="n">
        <v>4.2</v>
      </c>
      <c r="O55" t="n">
        <v>2.2</v>
      </c>
      <c r="P55" t="n">
        <v>10.7</v>
      </c>
      <c r="Q55" t="n">
        <v>9.699999999999999</v>
      </c>
      <c r="R55" t="n">
        <v>-1</v>
      </c>
      <c r="S55" t="b">
        <v>1</v>
      </c>
      <c r="U55" t="n">
        <v>17</v>
      </c>
      <c r="V55" t="b">
        <v>0</v>
      </c>
      <c r="X55" t="b">
        <v>0</v>
      </c>
      <c r="Y55" t="n">
        <v>0.24</v>
      </c>
    </row>
    <row r="56">
      <c r="A56" t="inlineStr">
        <is>
          <t>O00055</t>
        </is>
      </c>
      <c r="B56" t="inlineStr">
        <is>
          <t>C0153</t>
        </is>
      </c>
      <c r="C56" t="inlineStr">
        <is>
          <t>S008</t>
        </is>
      </c>
      <c r="D56" t="inlineStr">
        <is>
          <t>R023</t>
        </is>
      </c>
      <c r="E56" s="3" t="n">
        <v>46271.55138888889</v>
      </c>
      <c r="F56" s="3" t="n">
        <v>46271.55840277778</v>
      </c>
      <c r="G56" s="3" t="n">
        <v>46271.55777777778</v>
      </c>
      <c r="H56" t="inlineStr">
        <is>
          <t>Delivered</t>
        </is>
      </c>
      <c r="I56" t="n">
        <v>3</v>
      </c>
      <c r="J56" t="n">
        <v>7</v>
      </c>
      <c r="K56" t="n">
        <v>678.55</v>
      </c>
      <c r="L56" t="n">
        <v>2.53</v>
      </c>
      <c r="M56" t="n">
        <v>2.3</v>
      </c>
      <c r="N56" t="n">
        <v>3.3</v>
      </c>
      <c r="O56" t="n">
        <v>3.6</v>
      </c>
      <c r="P56" t="n">
        <v>10.1</v>
      </c>
      <c r="Q56" t="n">
        <v>9.199999999999999</v>
      </c>
      <c r="R56" t="n">
        <v>-0.9</v>
      </c>
      <c r="S56" t="b">
        <v>1</v>
      </c>
      <c r="U56" t="n">
        <v>13</v>
      </c>
      <c r="V56" t="b">
        <v>0</v>
      </c>
      <c r="X56" t="b">
        <v>1</v>
      </c>
      <c r="Y56" t="n">
        <v>0.64</v>
      </c>
    </row>
    <row r="57">
      <c r="A57" t="inlineStr">
        <is>
          <t>O00056</t>
        </is>
      </c>
      <c r="B57" t="inlineStr">
        <is>
          <t>C0189</t>
        </is>
      </c>
      <c r="C57" t="inlineStr">
        <is>
          <t>S011</t>
        </is>
      </c>
      <c r="D57" t="inlineStr">
        <is>
          <t>R077</t>
        </is>
      </c>
      <c r="E57" s="3" t="n">
        <v>46268.6875</v>
      </c>
      <c r="F57" s="3" t="n">
        <v>46268.69548611111</v>
      </c>
      <c r="G57" s="3" t="n">
        <v>46268.69506944445</v>
      </c>
      <c r="H57" t="inlineStr">
        <is>
          <t>Delivered</t>
        </is>
      </c>
      <c r="I57" t="n">
        <v>3</v>
      </c>
      <c r="J57" t="n">
        <v>11</v>
      </c>
      <c r="K57" t="n">
        <v>1065.98</v>
      </c>
      <c r="L57" t="n">
        <v>3.3</v>
      </c>
      <c r="M57" t="n">
        <v>3.1</v>
      </c>
      <c r="N57" t="n">
        <v>2.9</v>
      </c>
      <c r="O57" t="n">
        <v>4.9</v>
      </c>
      <c r="P57" t="n">
        <v>11.5</v>
      </c>
      <c r="Q57" t="n">
        <v>10.9</v>
      </c>
      <c r="R57" t="n">
        <v>-0.6</v>
      </c>
      <c r="S57" t="b">
        <v>1</v>
      </c>
      <c r="U57" t="n">
        <v>16</v>
      </c>
      <c r="V57" t="b">
        <v>0</v>
      </c>
      <c r="W57" t="inlineStr">
        <is>
          <t>Light</t>
        </is>
      </c>
      <c r="X57" t="b">
        <v>0</v>
      </c>
      <c r="Y57" t="n">
        <v>0.48</v>
      </c>
    </row>
    <row r="58">
      <c r="A58" t="inlineStr">
        <is>
          <t>O00057</t>
        </is>
      </c>
      <c r="B58" t="inlineStr">
        <is>
          <t>C0173</t>
        </is>
      </c>
      <c r="C58" t="inlineStr">
        <is>
          <t>S002</t>
        </is>
      </c>
      <c r="D58" t="inlineStr">
        <is>
          <t>R046</t>
        </is>
      </c>
      <c r="E58" s="3" t="n">
        <v>46266.35972222222</v>
      </c>
      <c r="F58" s="3" t="n">
        <v>46266.36666666667</v>
      </c>
      <c r="G58" s="3" t="n">
        <v>46266.37020833333</v>
      </c>
      <c r="H58" t="inlineStr">
        <is>
          <t>Delivered</t>
        </is>
      </c>
      <c r="I58" t="n">
        <v>3</v>
      </c>
      <c r="J58" t="n">
        <v>5</v>
      </c>
      <c r="K58" t="n">
        <v>1356.14</v>
      </c>
      <c r="L58" t="n">
        <v>0.89</v>
      </c>
      <c r="M58" t="n">
        <v>2.6</v>
      </c>
      <c r="N58" t="n">
        <v>6.9</v>
      </c>
      <c r="O58" t="n">
        <v>5.6</v>
      </c>
      <c r="P58" t="n">
        <v>10</v>
      </c>
      <c r="Q58" t="n">
        <v>15.1</v>
      </c>
      <c r="R58" t="n">
        <v>5.1</v>
      </c>
      <c r="S58" t="b">
        <v>0</v>
      </c>
      <c r="U58" t="n">
        <v>8</v>
      </c>
      <c r="V58" t="b">
        <v>0</v>
      </c>
      <c r="W58" t="inlineStr">
        <is>
          <t>Heavy</t>
        </is>
      </c>
      <c r="X58" t="b">
        <v>0</v>
      </c>
      <c r="Y58" t="n">
        <v>0.5</v>
      </c>
    </row>
    <row r="59">
      <c r="A59" t="inlineStr">
        <is>
          <t>O00058</t>
        </is>
      </c>
      <c r="B59" t="inlineStr">
        <is>
          <t>C0142</t>
        </is>
      </c>
      <c r="C59" t="inlineStr">
        <is>
          <t>S001</t>
        </is>
      </c>
      <c r="D59" t="inlineStr">
        <is>
          <t>R058</t>
        </is>
      </c>
      <c r="E59" s="3" t="n">
        <v>46268.37361111111</v>
      </c>
      <c r="F59" s="3" t="n">
        <v>46268.38097222222</v>
      </c>
      <c r="G59" s="3" t="n">
        <v>46268.38027777777</v>
      </c>
      <c r="H59" t="inlineStr">
        <is>
          <t>Delivered</t>
        </is>
      </c>
      <c r="I59" t="n">
        <v>5</v>
      </c>
      <c r="J59" t="n">
        <v>5</v>
      </c>
      <c r="K59" t="n">
        <v>565.86</v>
      </c>
      <c r="L59" t="n">
        <v>4.3</v>
      </c>
      <c r="M59" t="n">
        <v>2.4</v>
      </c>
      <c r="N59" t="n">
        <v>1.9</v>
      </c>
      <c r="O59" t="n">
        <v>5.3</v>
      </c>
      <c r="P59" t="n">
        <v>10.6</v>
      </c>
      <c r="Q59" t="n">
        <v>9.6</v>
      </c>
      <c r="R59" t="n">
        <v>-1</v>
      </c>
      <c r="S59" t="b">
        <v>1</v>
      </c>
      <c r="U59" t="n">
        <v>8</v>
      </c>
      <c r="V59" t="b">
        <v>0</v>
      </c>
      <c r="X59" t="b">
        <v>0</v>
      </c>
      <c r="Y59" t="n">
        <v>0.5</v>
      </c>
    </row>
    <row r="60">
      <c r="A60" t="inlineStr">
        <is>
          <t>O00059</t>
        </is>
      </c>
      <c r="B60" t="inlineStr">
        <is>
          <t>C0120</t>
        </is>
      </c>
      <c r="C60" t="inlineStr">
        <is>
          <t>S011</t>
        </is>
      </c>
      <c r="D60" t="inlineStr">
        <is>
          <t>R063</t>
        </is>
      </c>
      <c r="E60" s="3" t="n">
        <v>46271.49861111111</v>
      </c>
      <c r="F60" s="3" t="n">
        <v>46271.50534722222</v>
      </c>
      <c r="G60" s="3" t="n">
        <v>46271.51326388889</v>
      </c>
      <c r="H60" t="inlineStr">
        <is>
          <t>Delivered</t>
        </is>
      </c>
      <c r="I60" t="n">
        <v>5</v>
      </c>
      <c r="J60" t="n">
        <v>8</v>
      </c>
      <c r="K60" t="n">
        <v>1382.47</v>
      </c>
      <c r="L60" t="n">
        <v>3.3</v>
      </c>
      <c r="M60" t="n">
        <v>6.1</v>
      </c>
      <c r="N60" t="n">
        <v>4.8</v>
      </c>
      <c r="O60" t="n">
        <v>10.2</v>
      </c>
      <c r="P60" t="n">
        <v>9.699999999999999</v>
      </c>
      <c r="Q60" t="n">
        <v>21.1</v>
      </c>
      <c r="R60" t="n">
        <v>11.4</v>
      </c>
      <c r="S60" t="b">
        <v>0</v>
      </c>
      <c r="U60" t="n">
        <v>11</v>
      </c>
      <c r="V60" t="b">
        <v>0</v>
      </c>
      <c r="W60" t="inlineStr">
        <is>
          <t>Heavy</t>
        </is>
      </c>
      <c r="X60" t="b">
        <v>0</v>
      </c>
      <c r="Y60" t="n">
        <v>0.52</v>
      </c>
    </row>
    <row r="61">
      <c r="A61" t="inlineStr">
        <is>
          <t>O00060</t>
        </is>
      </c>
      <c r="B61" t="inlineStr">
        <is>
          <t>C0205</t>
        </is>
      </c>
      <c r="C61" t="inlineStr">
        <is>
          <t>S006</t>
        </is>
      </c>
      <c r="D61" t="inlineStr">
        <is>
          <t>R034</t>
        </is>
      </c>
      <c r="E61" s="3" t="n">
        <v>46275.64166666667</v>
      </c>
      <c r="F61" s="3" t="n">
        <v>46275.64861111111</v>
      </c>
      <c r="G61" s="3" t="n">
        <v>46275.64826388889</v>
      </c>
      <c r="H61" t="inlineStr">
        <is>
          <t>Delivered</t>
        </is>
      </c>
      <c r="I61" t="n">
        <v>2</v>
      </c>
      <c r="J61" t="n">
        <v>3</v>
      </c>
      <c r="K61" t="n">
        <v>1181.85</v>
      </c>
      <c r="L61" t="n">
        <v>1.03</v>
      </c>
      <c r="M61" t="n">
        <v>2.9</v>
      </c>
      <c r="N61" t="n">
        <v>3.5</v>
      </c>
      <c r="O61" t="n">
        <v>3.1</v>
      </c>
      <c r="P61" t="n">
        <v>10</v>
      </c>
      <c r="Q61" t="n">
        <v>9.5</v>
      </c>
      <c r="R61" t="n">
        <v>-0.5</v>
      </c>
      <c r="S61" t="b">
        <v>1</v>
      </c>
      <c r="U61" t="n">
        <v>15</v>
      </c>
      <c r="V61" t="b">
        <v>0</v>
      </c>
      <c r="W61" t="inlineStr">
        <is>
          <t>Light</t>
        </is>
      </c>
      <c r="X61" t="b">
        <v>0</v>
      </c>
      <c r="Y61" t="n">
        <v>0.74</v>
      </c>
    </row>
    <row r="62">
      <c r="A62" t="inlineStr">
        <is>
          <t>O00061</t>
        </is>
      </c>
      <c r="B62" t="inlineStr">
        <is>
          <t>C0197</t>
        </is>
      </c>
      <c r="C62" t="inlineStr">
        <is>
          <t>S006</t>
        </is>
      </c>
      <c r="D62" t="inlineStr">
        <is>
          <t>R004</t>
        </is>
      </c>
      <c r="E62" s="3" t="n">
        <v>46275.69722222222</v>
      </c>
      <c r="F62" s="3" t="n">
        <v>46275.70472222222</v>
      </c>
      <c r="G62" s="3" t="n">
        <v>46275.70409722222</v>
      </c>
      <c r="H62" t="inlineStr">
        <is>
          <t>Delivered</t>
        </is>
      </c>
      <c r="I62" t="n">
        <v>3</v>
      </c>
      <c r="J62" t="n">
        <v>6</v>
      </c>
      <c r="K62" t="n">
        <v>576.52</v>
      </c>
      <c r="L62" t="n">
        <v>3.15</v>
      </c>
      <c r="M62" t="n">
        <v>2.8</v>
      </c>
      <c r="N62" t="n">
        <v>2</v>
      </c>
      <c r="O62" t="n">
        <v>5.1</v>
      </c>
      <c r="P62" t="n">
        <v>10.8</v>
      </c>
      <c r="Q62" t="n">
        <v>9.9</v>
      </c>
      <c r="R62" t="n">
        <v>-0.9</v>
      </c>
      <c r="S62" t="b">
        <v>1</v>
      </c>
      <c r="U62" t="n">
        <v>16</v>
      </c>
      <c r="V62" t="b">
        <v>0</v>
      </c>
      <c r="X62" t="b">
        <v>1</v>
      </c>
      <c r="Y62" t="n">
        <v>0.52</v>
      </c>
    </row>
    <row r="63">
      <c r="A63" t="inlineStr">
        <is>
          <t>O00062</t>
        </is>
      </c>
      <c r="B63" t="inlineStr">
        <is>
          <t>C0055</t>
        </is>
      </c>
      <c r="C63" t="inlineStr">
        <is>
          <t>S002</t>
        </is>
      </c>
      <c r="D63" t="inlineStr">
        <is>
          <t>R011</t>
        </is>
      </c>
      <c r="E63" s="3" t="n">
        <v>46276.73611111111</v>
      </c>
      <c r="F63" s="3" t="n">
        <v>46276.74416666666</v>
      </c>
      <c r="G63" s="3" t="n">
        <v>46276.739375</v>
      </c>
      <c r="H63" t="inlineStr">
        <is>
          <t>Delivered</t>
        </is>
      </c>
      <c r="I63" t="n">
        <v>3</v>
      </c>
      <c r="J63" t="n">
        <v>5</v>
      </c>
      <c r="K63" t="n">
        <v>614.73</v>
      </c>
      <c r="L63" t="n">
        <v>1.02</v>
      </c>
      <c r="M63" t="n">
        <v>1.5</v>
      </c>
      <c r="N63" t="n">
        <v>0</v>
      </c>
      <c r="O63" t="n">
        <v>3.2</v>
      </c>
      <c r="P63" t="n">
        <v>11.6</v>
      </c>
      <c r="Q63" t="n">
        <v>4.7</v>
      </c>
      <c r="R63" t="n">
        <v>-6.9</v>
      </c>
      <c r="S63" t="b">
        <v>1</v>
      </c>
      <c r="U63" t="n">
        <v>17</v>
      </c>
      <c r="V63" t="b">
        <v>0</v>
      </c>
      <c r="X63" t="b">
        <v>0</v>
      </c>
      <c r="Y63" t="n">
        <v>0.32</v>
      </c>
    </row>
    <row r="64">
      <c r="A64" t="inlineStr">
        <is>
          <t>O00063</t>
        </is>
      </c>
      <c r="B64" t="inlineStr">
        <is>
          <t>C0179</t>
        </is>
      </c>
      <c r="C64" t="inlineStr">
        <is>
          <t>S012</t>
        </is>
      </c>
      <c r="D64" t="inlineStr">
        <is>
          <t>R039</t>
        </is>
      </c>
      <c r="E64" s="3" t="n">
        <v>46268.3875</v>
      </c>
      <c r="F64" s="3" t="n">
        <v>46268.39444444444</v>
      </c>
      <c r="G64" s="3" t="n">
        <v>46268.39430555556</v>
      </c>
      <c r="H64" t="inlineStr">
        <is>
          <t>Delivered</t>
        </is>
      </c>
      <c r="I64" t="n">
        <v>5</v>
      </c>
      <c r="J64" t="n">
        <v>13</v>
      </c>
      <c r="K64" t="n">
        <v>684.4400000000001</v>
      </c>
      <c r="L64" t="n">
        <v>0.5</v>
      </c>
      <c r="M64" t="n">
        <v>3.9</v>
      </c>
      <c r="N64" t="n">
        <v>3.8</v>
      </c>
      <c r="O64" t="n">
        <v>2.1</v>
      </c>
      <c r="P64" t="n">
        <v>10</v>
      </c>
      <c r="Q64" t="n">
        <v>9.800000000000001</v>
      </c>
      <c r="R64" t="n">
        <v>-0.2</v>
      </c>
      <c r="S64" t="b">
        <v>1</v>
      </c>
      <c r="U64" t="n">
        <v>9</v>
      </c>
      <c r="V64" t="b">
        <v>0</v>
      </c>
      <c r="W64" t="inlineStr">
        <is>
          <t>Light</t>
        </is>
      </c>
      <c r="X64" t="b">
        <v>0</v>
      </c>
      <c r="Y64" t="n">
        <v>0.47</v>
      </c>
    </row>
    <row r="65">
      <c r="A65" t="inlineStr">
        <is>
          <t>O00064</t>
        </is>
      </c>
      <c r="B65" t="inlineStr">
        <is>
          <t>C0114</t>
        </is>
      </c>
      <c r="C65" t="inlineStr">
        <is>
          <t>S016</t>
        </is>
      </c>
      <c r="D65" t="inlineStr">
        <is>
          <t>R029</t>
        </is>
      </c>
      <c r="E65" s="3" t="n">
        <v>46275.46666666667</v>
      </c>
      <c r="F65" s="3" t="n">
        <v>46275.47506944444</v>
      </c>
      <c r="G65" s="3" t="n">
        <v>46275.48034722222</v>
      </c>
      <c r="H65" t="inlineStr">
        <is>
          <t>Delivered</t>
        </is>
      </c>
      <c r="I65" t="n">
        <v>5</v>
      </c>
      <c r="J65" t="n">
        <v>7</v>
      </c>
      <c r="K65" t="n">
        <v>833.6799999999999</v>
      </c>
      <c r="L65" t="n">
        <v>2.6</v>
      </c>
      <c r="M65" t="n">
        <v>5.6</v>
      </c>
      <c r="N65" t="n">
        <v>8.300000000000001</v>
      </c>
      <c r="O65" t="n">
        <v>5.8</v>
      </c>
      <c r="P65" t="n">
        <v>12.1</v>
      </c>
      <c r="Q65" t="n">
        <v>19.7</v>
      </c>
      <c r="R65" t="n">
        <v>7.6</v>
      </c>
      <c r="S65" t="b">
        <v>0</v>
      </c>
      <c r="U65" t="n">
        <v>11</v>
      </c>
      <c r="V65" t="b">
        <v>0</v>
      </c>
      <c r="X65" t="b">
        <v>0</v>
      </c>
      <c r="Y65" t="n">
        <v>0.22</v>
      </c>
    </row>
    <row r="66">
      <c r="A66" t="inlineStr">
        <is>
          <t>O00065</t>
        </is>
      </c>
      <c r="B66" t="inlineStr">
        <is>
          <t>C0038</t>
        </is>
      </c>
      <c r="C66" t="inlineStr">
        <is>
          <t>S013</t>
        </is>
      </c>
      <c r="D66" t="inlineStr">
        <is>
          <t>R011</t>
        </is>
      </c>
      <c r="E66" s="3" t="n">
        <v>46279.56527777778</v>
      </c>
      <c r="F66" s="3" t="n">
        <v>46279.57243055556</v>
      </c>
      <c r="G66" s="3" t="n">
        <v>46279.57208333333</v>
      </c>
      <c r="H66" t="inlineStr">
        <is>
          <t>Delivered</t>
        </is>
      </c>
      <c r="I66" t="n">
        <v>3</v>
      </c>
      <c r="J66" t="n">
        <v>5</v>
      </c>
      <c r="K66" t="n">
        <v>754.9</v>
      </c>
      <c r="L66" t="n">
        <v>2.53</v>
      </c>
      <c r="M66" t="n">
        <v>3.5</v>
      </c>
      <c r="N66" t="n">
        <v>1.3</v>
      </c>
      <c r="O66" t="n">
        <v>5</v>
      </c>
      <c r="P66" t="n">
        <v>10.3</v>
      </c>
      <c r="Q66" t="n">
        <v>9.800000000000001</v>
      </c>
      <c r="R66" t="n">
        <v>-0.5</v>
      </c>
      <c r="S66" t="b">
        <v>1</v>
      </c>
      <c r="U66" t="n">
        <v>13</v>
      </c>
      <c r="V66" t="b">
        <v>0</v>
      </c>
      <c r="W66" t="inlineStr">
        <is>
          <t>Light</t>
        </is>
      </c>
      <c r="X66" t="b">
        <v>0</v>
      </c>
      <c r="Y66" t="n">
        <v>0.54</v>
      </c>
    </row>
    <row r="67">
      <c r="A67" t="inlineStr">
        <is>
          <t>O00066</t>
        </is>
      </c>
      <c r="B67" t="inlineStr">
        <is>
          <t>C0115</t>
        </is>
      </c>
      <c r="C67" t="inlineStr">
        <is>
          <t>S019</t>
        </is>
      </c>
      <c r="D67" t="inlineStr">
        <is>
          <t>R009</t>
        </is>
      </c>
      <c r="E67" s="3" t="n">
        <v>46276.98333333333</v>
      </c>
      <c r="F67" s="3" t="n">
        <v>46276.99020833334</v>
      </c>
      <c r="G67" s="3" t="n">
        <v>46276.99194444445</v>
      </c>
      <c r="H67" t="inlineStr">
        <is>
          <t>Delivered</t>
        </is>
      </c>
      <c r="I67" t="n">
        <v>4</v>
      </c>
      <c r="J67" t="n">
        <v>10</v>
      </c>
      <c r="K67" t="n">
        <v>1149.02</v>
      </c>
      <c r="L67" t="n">
        <v>0.8100000000000001</v>
      </c>
      <c r="M67" t="n">
        <v>4.9</v>
      </c>
      <c r="N67" t="n">
        <v>3.8</v>
      </c>
      <c r="O67" t="n">
        <v>3.8</v>
      </c>
      <c r="P67" t="n">
        <v>9.9</v>
      </c>
      <c r="Q67" t="n">
        <v>12.4</v>
      </c>
      <c r="R67" t="n">
        <v>2.5</v>
      </c>
      <c r="S67" t="b">
        <v>0</v>
      </c>
      <c r="U67" t="n">
        <v>23</v>
      </c>
      <c r="V67" t="b">
        <v>0</v>
      </c>
      <c r="W67" t="inlineStr">
        <is>
          <t>Light</t>
        </is>
      </c>
      <c r="X67" t="b">
        <v>0</v>
      </c>
      <c r="Y67" t="n">
        <v>0.52</v>
      </c>
    </row>
    <row r="68">
      <c r="A68" t="inlineStr">
        <is>
          <t>O00067</t>
        </is>
      </c>
      <c r="B68" t="inlineStr">
        <is>
          <t>C0226</t>
        </is>
      </c>
      <c r="C68" t="inlineStr">
        <is>
          <t>S006</t>
        </is>
      </c>
      <c r="D68" t="inlineStr">
        <is>
          <t>R055</t>
        </is>
      </c>
      <c r="E68" s="3" t="n">
        <v>46269.45694444444</v>
      </c>
      <c r="F68" s="3" t="n">
        <v>46269.46347222223</v>
      </c>
      <c r="G68" s="3" t="n">
        <v>46269.46270833333</v>
      </c>
      <c r="H68" t="inlineStr">
        <is>
          <t>Delivered</t>
        </is>
      </c>
      <c r="I68" t="n">
        <v>3</v>
      </c>
      <c r="J68" t="n">
        <v>7</v>
      </c>
      <c r="K68" t="n">
        <v>1337.63</v>
      </c>
      <c r="L68" t="n">
        <v>4.08</v>
      </c>
      <c r="M68" t="n">
        <v>2.4</v>
      </c>
      <c r="N68" t="n">
        <v>2.2</v>
      </c>
      <c r="O68" t="n">
        <v>3.7</v>
      </c>
      <c r="P68" t="n">
        <v>9.4</v>
      </c>
      <c r="Q68" t="n">
        <v>8.300000000000001</v>
      </c>
      <c r="R68" t="n">
        <v>-1.1</v>
      </c>
      <c r="S68" t="b">
        <v>1</v>
      </c>
      <c r="U68" t="n">
        <v>10</v>
      </c>
      <c r="V68" t="b">
        <v>0</v>
      </c>
      <c r="X68" t="b">
        <v>0</v>
      </c>
      <c r="Y68" t="n">
        <v>0.43</v>
      </c>
    </row>
    <row r="69">
      <c r="A69" t="inlineStr">
        <is>
          <t>O00068</t>
        </is>
      </c>
      <c r="B69" t="inlineStr">
        <is>
          <t>C0197</t>
        </is>
      </c>
      <c r="C69" t="inlineStr">
        <is>
          <t>S011</t>
        </is>
      </c>
      <c r="D69" t="inlineStr">
        <is>
          <t>R054</t>
        </is>
      </c>
      <c r="E69" s="3" t="n">
        <v>46273.76388888889</v>
      </c>
      <c r="F69" s="3" t="n">
        <v>46273.77055555556</v>
      </c>
      <c r="G69" s="3" t="n">
        <v>46273.77027777778</v>
      </c>
      <c r="H69" t="inlineStr">
        <is>
          <t>Delivered</t>
        </is>
      </c>
      <c r="I69" t="n">
        <v>6</v>
      </c>
      <c r="J69" t="n">
        <v>6</v>
      </c>
      <c r="K69" t="n">
        <v>820.83</v>
      </c>
      <c r="L69" t="n">
        <v>0.5</v>
      </c>
      <c r="M69" t="n">
        <v>4.5</v>
      </c>
      <c r="N69" t="n">
        <v>3</v>
      </c>
      <c r="O69" t="n">
        <v>1.7</v>
      </c>
      <c r="P69" t="n">
        <v>9.6</v>
      </c>
      <c r="Q69" t="n">
        <v>9.199999999999999</v>
      </c>
      <c r="R69" t="n">
        <v>-0.4</v>
      </c>
      <c r="S69" t="b">
        <v>1</v>
      </c>
      <c r="U69" t="n">
        <v>18</v>
      </c>
      <c r="V69" t="b">
        <v>0</v>
      </c>
      <c r="W69" t="inlineStr">
        <is>
          <t>Light</t>
        </is>
      </c>
      <c r="X69" t="b">
        <v>0</v>
      </c>
      <c r="Y69" t="n">
        <v>0.39</v>
      </c>
    </row>
    <row r="70">
      <c r="A70" t="inlineStr">
        <is>
          <t>O00069</t>
        </is>
      </c>
      <c r="B70" t="inlineStr">
        <is>
          <t>C0174</t>
        </is>
      </c>
      <c r="C70" t="inlineStr">
        <is>
          <t>S010</t>
        </is>
      </c>
      <c r="D70" t="inlineStr">
        <is>
          <t>R038</t>
        </is>
      </c>
      <c r="E70" s="3" t="n">
        <v>46271.53958333333</v>
      </c>
      <c r="F70" s="3" t="n">
        <v>46271.54715277778</v>
      </c>
      <c r="G70" s="3" t="n">
        <v>46271.54701388889</v>
      </c>
      <c r="H70" t="inlineStr">
        <is>
          <t>Delivered</t>
        </is>
      </c>
      <c r="I70" t="n">
        <v>3</v>
      </c>
      <c r="J70" t="n">
        <v>10</v>
      </c>
      <c r="K70" t="n">
        <v>1352.86</v>
      </c>
      <c r="L70" t="n">
        <v>3.17</v>
      </c>
      <c r="M70" t="n">
        <v>2.7</v>
      </c>
      <c r="N70" t="n">
        <v>3.8</v>
      </c>
      <c r="O70" t="n">
        <v>4.2</v>
      </c>
      <c r="P70" t="n">
        <v>10.9</v>
      </c>
      <c r="Q70" t="n">
        <v>10.7</v>
      </c>
      <c r="R70" t="n">
        <v>-0.2</v>
      </c>
      <c r="S70" t="b">
        <v>1</v>
      </c>
      <c r="U70" t="n">
        <v>12</v>
      </c>
      <c r="V70" t="b">
        <v>0</v>
      </c>
      <c r="X70" t="b">
        <v>0</v>
      </c>
      <c r="Y70" t="n">
        <v>0.6899999999999999</v>
      </c>
    </row>
    <row r="71">
      <c r="A71" t="inlineStr">
        <is>
          <t>O00070</t>
        </is>
      </c>
      <c r="B71" t="inlineStr">
        <is>
          <t>C0033</t>
        </is>
      </c>
      <c r="C71" t="inlineStr">
        <is>
          <t>S016</t>
        </is>
      </c>
      <c r="D71" t="inlineStr">
        <is>
          <t>R045</t>
        </is>
      </c>
      <c r="E71" s="3" t="n">
        <v>46271.71666666667</v>
      </c>
      <c r="F71" s="3" t="n">
        <v>46271.72340277778</v>
      </c>
      <c r="G71" s="3" t="n">
        <v>46271.72270833333</v>
      </c>
      <c r="H71" t="inlineStr">
        <is>
          <t>Delivered</t>
        </is>
      </c>
      <c r="I71" t="n">
        <v>4</v>
      </c>
      <c r="J71" t="n">
        <v>8</v>
      </c>
      <c r="K71" t="n">
        <v>1239.76</v>
      </c>
      <c r="L71" t="n">
        <v>2.11</v>
      </c>
      <c r="M71" t="n">
        <v>4</v>
      </c>
      <c r="N71" t="n">
        <v>0.7</v>
      </c>
      <c r="O71" t="n">
        <v>4</v>
      </c>
      <c r="P71" t="n">
        <v>9.699999999999999</v>
      </c>
      <c r="Q71" t="n">
        <v>8.699999999999999</v>
      </c>
      <c r="R71" t="n">
        <v>-1</v>
      </c>
      <c r="S71" t="b">
        <v>1</v>
      </c>
      <c r="U71" t="n">
        <v>17</v>
      </c>
      <c r="V71" t="b">
        <v>0</v>
      </c>
      <c r="X71" t="b">
        <v>0</v>
      </c>
      <c r="Y71" t="n">
        <v>0.44</v>
      </c>
    </row>
    <row r="72">
      <c r="A72" t="inlineStr">
        <is>
          <t>O00071</t>
        </is>
      </c>
      <c r="B72" t="inlineStr">
        <is>
          <t>C0102</t>
        </is>
      </c>
      <c r="C72" t="inlineStr">
        <is>
          <t>S020</t>
        </is>
      </c>
      <c r="D72" t="inlineStr">
        <is>
          <t>R035</t>
        </is>
      </c>
      <c r="E72" s="3" t="n">
        <v>46279.73611111111</v>
      </c>
      <c r="F72" s="3" t="n">
        <v>46279.74291666667</v>
      </c>
      <c r="G72" s="3" t="n">
        <v>46279.74854166667</v>
      </c>
      <c r="H72" t="inlineStr">
        <is>
          <t>Delivered</t>
        </is>
      </c>
      <c r="I72" t="n">
        <v>2</v>
      </c>
      <c r="J72" t="n">
        <v>6</v>
      </c>
      <c r="K72" t="n">
        <v>380.13</v>
      </c>
      <c r="L72" t="n">
        <v>1.94</v>
      </c>
      <c r="M72" t="n">
        <v>7</v>
      </c>
      <c r="N72" t="n">
        <v>5.9</v>
      </c>
      <c r="O72" t="n">
        <v>5</v>
      </c>
      <c r="P72" t="n">
        <v>9.800000000000001</v>
      </c>
      <c r="Q72" t="n">
        <v>17.9</v>
      </c>
      <c r="R72" t="n">
        <v>8.1</v>
      </c>
      <c r="S72" t="b">
        <v>0</v>
      </c>
      <c r="U72" t="n">
        <v>17</v>
      </c>
      <c r="V72" t="b">
        <v>0</v>
      </c>
      <c r="X72" t="b">
        <v>0</v>
      </c>
      <c r="Y72" t="n">
        <v>0.5</v>
      </c>
    </row>
    <row r="73">
      <c r="A73" t="inlineStr">
        <is>
          <t>O00072</t>
        </is>
      </c>
      <c r="B73" t="inlineStr">
        <is>
          <t>C0156</t>
        </is>
      </c>
      <c r="C73" t="inlineStr">
        <is>
          <t>S015</t>
        </is>
      </c>
      <c r="D73" t="inlineStr">
        <is>
          <t>R054</t>
        </is>
      </c>
      <c r="E73" s="3" t="n">
        <v>46277.94166666667</v>
      </c>
      <c r="F73" s="3" t="n">
        <v>46277.94993055556</v>
      </c>
      <c r="G73" s="3" t="n">
        <v>46277.94979166667</v>
      </c>
      <c r="H73" t="inlineStr">
        <is>
          <t>Delivered</t>
        </is>
      </c>
      <c r="I73" t="n">
        <v>6</v>
      </c>
      <c r="J73" t="n">
        <v>8</v>
      </c>
      <c r="K73" t="n">
        <v>1321.47</v>
      </c>
      <c r="L73" t="n">
        <v>3.47</v>
      </c>
      <c r="M73" t="n">
        <v>2.5</v>
      </c>
      <c r="N73" t="n">
        <v>3.6</v>
      </c>
      <c r="O73" t="n">
        <v>5.6</v>
      </c>
      <c r="P73" t="n">
        <v>11.9</v>
      </c>
      <c r="Q73" t="n">
        <v>11.7</v>
      </c>
      <c r="R73" t="n">
        <v>-0.2</v>
      </c>
      <c r="S73" t="b">
        <v>1</v>
      </c>
      <c r="U73" t="n">
        <v>22</v>
      </c>
      <c r="V73" t="b">
        <v>0</v>
      </c>
      <c r="W73" t="inlineStr">
        <is>
          <t>Light</t>
        </is>
      </c>
      <c r="X73" t="b">
        <v>0</v>
      </c>
      <c r="Y73" t="n">
        <v>0.46</v>
      </c>
    </row>
    <row r="74">
      <c r="A74" t="inlineStr">
        <is>
          <t>O00073</t>
        </is>
      </c>
      <c r="B74" t="inlineStr">
        <is>
          <t>C0014</t>
        </is>
      </c>
      <c r="C74" t="inlineStr">
        <is>
          <t>S003</t>
        </is>
      </c>
      <c r="D74" t="inlineStr">
        <is>
          <t>R038</t>
        </is>
      </c>
      <c r="E74" s="3" t="n">
        <v>46276.6875</v>
      </c>
      <c r="F74" s="3" t="n">
        <v>46276.69506944445</v>
      </c>
      <c r="G74" s="3" t="n">
        <v>46276.69479166667</v>
      </c>
      <c r="H74" t="inlineStr">
        <is>
          <t>Delivered</t>
        </is>
      </c>
      <c r="I74" t="n">
        <v>6</v>
      </c>
      <c r="J74" t="n">
        <v>10</v>
      </c>
      <c r="K74" t="n">
        <v>1162.62</v>
      </c>
      <c r="L74" t="n">
        <v>1.01</v>
      </c>
      <c r="M74" t="n">
        <v>2.6</v>
      </c>
      <c r="N74" t="n">
        <v>5.4</v>
      </c>
      <c r="O74" t="n">
        <v>2.5</v>
      </c>
      <c r="P74" t="n">
        <v>10.9</v>
      </c>
      <c r="Q74" t="n">
        <v>10.5</v>
      </c>
      <c r="R74" t="n">
        <v>-0.4</v>
      </c>
      <c r="S74" t="b">
        <v>1</v>
      </c>
      <c r="U74" t="n">
        <v>16</v>
      </c>
      <c r="V74" t="b">
        <v>0</v>
      </c>
      <c r="X74" t="b">
        <v>0</v>
      </c>
      <c r="Y74" t="n">
        <v>0.46</v>
      </c>
    </row>
    <row r="75">
      <c r="A75" t="inlineStr">
        <is>
          <t>O00074</t>
        </is>
      </c>
      <c r="B75" t="inlineStr">
        <is>
          <t>C0087</t>
        </is>
      </c>
      <c r="C75" t="inlineStr">
        <is>
          <t>S010</t>
        </is>
      </c>
      <c r="D75" t="inlineStr">
        <is>
          <t>R042</t>
        </is>
      </c>
      <c r="E75" s="3" t="n">
        <v>46278.33680555555</v>
      </c>
      <c r="F75" s="3" t="n">
        <v>46278.34284722222</v>
      </c>
      <c r="G75" s="3" t="n">
        <v>46278.34222222222</v>
      </c>
      <c r="H75" t="inlineStr">
        <is>
          <t>Delivered</t>
        </is>
      </c>
      <c r="I75" t="n">
        <v>2</v>
      </c>
      <c r="J75" t="n">
        <v>9</v>
      </c>
      <c r="K75" t="n">
        <v>620.76</v>
      </c>
      <c r="L75" t="n">
        <v>1.22</v>
      </c>
      <c r="M75" t="n">
        <v>4.5</v>
      </c>
      <c r="N75" t="n">
        <v>0.4</v>
      </c>
      <c r="O75" t="n">
        <v>2.9</v>
      </c>
      <c r="P75" t="n">
        <v>8.699999999999999</v>
      </c>
      <c r="Q75" t="n">
        <v>7.8</v>
      </c>
      <c r="R75" t="n">
        <v>-0.9</v>
      </c>
      <c r="S75" t="b">
        <v>1</v>
      </c>
      <c r="U75" t="n">
        <v>8</v>
      </c>
      <c r="V75" t="b">
        <v>0</v>
      </c>
      <c r="X75" t="b">
        <v>0</v>
      </c>
      <c r="Y75" t="n">
        <v>0.6</v>
      </c>
    </row>
    <row r="76">
      <c r="A76" t="inlineStr">
        <is>
          <t>O00075</t>
        </is>
      </c>
      <c r="B76" t="inlineStr">
        <is>
          <t>C0055</t>
        </is>
      </c>
      <c r="C76" t="inlineStr">
        <is>
          <t>S017</t>
        </is>
      </c>
      <c r="D76" t="inlineStr">
        <is>
          <t>R067</t>
        </is>
      </c>
      <c r="E76" s="3" t="n">
        <v>46270.94861111111</v>
      </c>
      <c r="F76" s="3" t="n">
        <v>46270.95604166666</v>
      </c>
      <c r="G76" s="3" t="n">
        <v>46270.95576388889</v>
      </c>
      <c r="H76" t="inlineStr">
        <is>
          <t>Delivered</t>
        </is>
      </c>
      <c r="I76" t="n">
        <v>3</v>
      </c>
      <c r="J76" t="n">
        <v>6</v>
      </c>
      <c r="K76" t="n">
        <v>879.46</v>
      </c>
      <c r="L76" t="n">
        <v>0.72</v>
      </c>
      <c r="M76" t="n">
        <v>4</v>
      </c>
      <c r="N76" t="n">
        <v>3.8</v>
      </c>
      <c r="O76" t="n">
        <v>2.4</v>
      </c>
      <c r="P76" t="n">
        <v>10.7</v>
      </c>
      <c r="Q76" t="n">
        <v>10.3</v>
      </c>
      <c r="R76" t="n">
        <v>-0.4</v>
      </c>
      <c r="S76" t="b">
        <v>1</v>
      </c>
      <c r="U76" t="n">
        <v>22</v>
      </c>
      <c r="V76" t="b">
        <v>0</v>
      </c>
      <c r="X76" t="b">
        <v>0</v>
      </c>
      <c r="Y76" t="n">
        <v>0.37</v>
      </c>
    </row>
    <row r="77">
      <c r="A77" t="inlineStr">
        <is>
          <t>O00076</t>
        </is>
      </c>
      <c r="B77" t="inlineStr">
        <is>
          <t>C0061</t>
        </is>
      </c>
      <c r="C77" t="inlineStr">
        <is>
          <t>S020</t>
        </is>
      </c>
      <c r="D77" t="inlineStr">
        <is>
          <t>R070</t>
        </is>
      </c>
      <c r="E77" s="3" t="n">
        <v>46271.86458333334</v>
      </c>
      <c r="F77" s="3" t="n">
        <v>46271.87152777778</v>
      </c>
      <c r="G77" s="3" t="n">
        <v>46271.88034722222</v>
      </c>
      <c r="H77" t="inlineStr">
        <is>
          <t>Delivered</t>
        </is>
      </c>
      <c r="I77" t="n">
        <v>1</v>
      </c>
      <c r="J77" t="n">
        <v>7</v>
      </c>
      <c r="K77" t="n">
        <v>1249.39</v>
      </c>
      <c r="L77" t="n">
        <v>3.04</v>
      </c>
      <c r="M77" t="n">
        <v>6.6</v>
      </c>
      <c r="N77" t="n">
        <v>7.6</v>
      </c>
      <c r="O77" t="n">
        <v>8.4</v>
      </c>
      <c r="P77" t="n">
        <v>10</v>
      </c>
      <c r="Q77" t="n">
        <v>22.7</v>
      </c>
      <c r="R77" t="n">
        <v>12.7</v>
      </c>
      <c r="S77" t="b">
        <v>0</v>
      </c>
      <c r="U77" t="n">
        <v>20</v>
      </c>
      <c r="V77" t="b">
        <v>1</v>
      </c>
      <c r="X77" t="b">
        <v>0</v>
      </c>
      <c r="Y77" t="n">
        <v>0.45</v>
      </c>
    </row>
    <row r="78">
      <c r="A78" t="inlineStr">
        <is>
          <t>O00077</t>
        </is>
      </c>
      <c r="B78" t="inlineStr">
        <is>
          <t>C0064</t>
        </is>
      </c>
      <c r="C78" t="inlineStr">
        <is>
          <t>S019</t>
        </is>
      </c>
      <c r="D78" t="inlineStr">
        <is>
          <t>R067</t>
        </is>
      </c>
      <c r="E78" s="3" t="n">
        <v>46266.86458333334</v>
      </c>
      <c r="F78" s="3" t="n">
        <v>46266.87090277778</v>
      </c>
      <c r="G78" s="3" t="n">
        <v>46266.87027777778</v>
      </c>
      <c r="H78" t="inlineStr">
        <is>
          <t>Delivered</t>
        </is>
      </c>
      <c r="I78" t="n">
        <v>5</v>
      </c>
      <c r="J78" t="n">
        <v>8</v>
      </c>
      <c r="K78" t="n">
        <v>1305.07</v>
      </c>
      <c r="L78" t="n">
        <v>1.51</v>
      </c>
      <c r="M78" t="n">
        <v>2.7</v>
      </c>
      <c r="N78" t="n">
        <v>2.9</v>
      </c>
      <c r="O78" t="n">
        <v>2.6</v>
      </c>
      <c r="P78" t="n">
        <v>9.1</v>
      </c>
      <c r="Q78" t="n">
        <v>8.199999999999999</v>
      </c>
      <c r="R78" t="n">
        <v>-0.9</v>
      </c>
      <c r="S78" t="b">
        <v>1</v>
      </c>
      <c r="U78" t="n">
        <v>20</v>
      </c>
      <c r="V78" t="b">
        <v>1</v>
      </c>
      <c r="X78" t="b">
        <v>0</v>
      </c>
      <c r="Y78" t="n">
        <v>0.65</v>
      </c>
    </row>
    <row r="79">
      <c r="A79" t="inlineStr">
        <is>
          <t>O00078</t>
        </is>
      </c>
      <c r="B79" t="inlineStr">
        <is>
          <t>C0035</t>
        </is>
      </c>
      <c r="C79" t="inlineStr">
        <is>
          <t>S005</t>
        </is>
      </c>
      <c r="D79" t="inlineStr">
        <is>
          <t>R028</t>
        </is>
      </c>
      <c r="E79" s="3" t="n">
        <v>46269.33888888889</v>
      </c>
      <c r="F79" s="3" t="n">
        <v>46269.34743055556</v>
      </c>
      <c r="G79" s="3" t="n">
        <v>46269.34701388889</v>
      </c>
      <c r="H79" t="inlineStr">
        <is>
          <t>Delivered</t>
        </is>
      </c>
      <c r="I79" t="n">
        <v>3</v>
      </c>
      <c r="J79" t="n">
        <v>8</v>
      </c>
      <c r="K79" t="n">
        <v>1287.91</v>
      </c>
      <c r="L79" t="n">
        <v>4.9</v>
      </c>
      <c r="M79" t="n">
        <v>2.7</v>
      </c>
      <c r="N79" t="n">
        <v>2.6</v>
      </c>
      <c r="O79" t="n">
        <v>6.4</v>
      </c>
      <c r="P79" t="n">
        <v>12.3</v>
      </c>
      <c r="Q79" t="n">
        <v>11.7</v>
      </c>
      <c r="R79" t="n">
        <v>-0.6</v>
      </c>
      <c r="S79" t="b">
        <v>1</v>
      </c>
      <c r="U79" t="n">
        <v>8</v>
      </c>
      <c r="V79" t="b">
        <v>0</v>
      </c>
      <c r="W79" t="inlineStr">
        <is>
          <t>Heavy</t>
        </is>
      </c>
      <c r="X79" t="b">
        <v>1</v>
      </c>
      <c r="Y79" t="n">
        <v>0.48</v>
      </c>
    </row>
    <row r="80">
      <c r="A80" t="inlineStr">
        <is>
          <t>O00079</t>
        </is>
      </c>
      <c r="B80" t="inlineStr">
        <is>
          <t>C0091</t>
        </is>
      </c>
      <c r="C80" t="inlineStr">
        <is>
          <t>S008</t>
        </is>
      </c>
      <c r="D80" t="inlineStr">
        <is>
          <t>R061</t>
        </is>
      </c>
      <c r="E80" s="3" t="n">
        <v>46266.92638888889</v>
      </c>
      <c r="F80" s="3" t="n">
        <v>46266.93333333333</v>
      </c>
      <c r="G80" s="3" t="n">
        <v>46266.93256944444</v>
      </c>
      <c r="H80" t="inlineStr">
        <is>
          <t>Delivered</t>
        </is>
      </c>
      <c r="I80" t="n">
        <v>1</v>
      </c>
      <c r="J80" t="n">
        <v>5</v>
      </c>
      <c r="K80" t="n">
        <v>689.6</v>
      </c>
      <c r="L80" t="n">
        <v>1.51</v>
      </c>
      <c r="M80" t="n">
        <v>2.8</v>
      </c>
      <c r="N80" t="n">
        <v>2.8</v>
      </c>
      <c r="O80" t="n">
        <v>3.3</v>
      </c>
      <c r="P80" t="n">
        <v>10</v>
      </c>
      <c r="Q80" t="n">
        <v>8.9</v>
      </c>
      <c r="R80" t="n">
        <v>-1.1</v>
      </c>
      <c r="S80" t="b">
        <v>1</v>
      </c>
      <c r="U80" t="n">
        <v>22</v>
      </c>
      <c r="V80" t="b">
        <v>0</v>
      </c>
      <c r="X80" t="b">
        <v>0</v>
      </c>
      <c r="Y80" t="n">
        <v>0.33</v>
      </c>
    </row>
    <row r="81">
      <c r="A81" t="inlineStr">
        <is>
          <t>O00080</t>
        </is>
      </c>
      <c r="B81" t="inlineStr">
        <is>
          <t>C0101</t>
        </is>
      </c>
      <c r="C81" t="inlineStr">
        <is>
          <t>S018</t>
        </is>
      </c>
      <c r="D81" t="inlineStr">
        <is>
          <t>R027</t>
        </is>
      </c>
      <c r="E81" s="3" t="n">
        <v>46270.6875</v>
      </c>
      <c r="F81" s="3" t="n">
        <v>46270.69430555555</v>
      </c>
      <c r="G81" s="3" t="n">
        <v>46270.69944444444</v>
      </c>
      <c r="H81" t="inlineStr">
        <is>
          <t>Delivered</t>
        </is>
      </c>
      <c r="I81" t="n">
        <v>5</v>
      </c>
      <c r="J81" t="n">
        <v>5</v>
      </c>
      <c r="K81" t="n">
        <v>1135.05</v>
      </c>
      <c r="L81" t="n">
        <v>1.6</v>
      </c>
      <c r="M81" t="n">
        <v>4.1</v>
      </c>
      <c r="N81" t="n">
        <v>8.5</v>
      </c>
      <c r="O81" t="n">
        <v>4.6</v>
      </c>
      <c r="P81" t="n">
        <v>9.800000000000001</v>
      </c>
      <c r="Q81" t="n">
        <v>17.2</v>
      </c>
      <c r="R81" t="n">
        <v>7.4</v>
      </c>
      <c r="S81" t="b">
        <v>0</v>
      </c>
      <c r="U81" t="n">
        <v>16</v>
      </c>
      <c r="V81" t="b">
        <v>0</v>
      </c>
      <c r="X81" t="b">
        <v>0</v>
      </c>
      <c r="Y81" t="n">
        <v>0.59</v>
      </c>
    </row>
    <row r="82">
      <c r="A82" t="inlineStr">
        <is>
          <t>O00081</t>
        </is>
      </c>
      <c r="B82" t="inlineStr">
        <is>
          <t>C0108</t>
        </is>
      </c>
      <c r="C82" t="inlineStr">
        <is>
          <t>S016</t>
        </is>
      </c>
      <c r="D82" t="inlineStr">
        <is>
          <t>R071</t>
        </is>
      </c>
      <c r="E82" s="3" t="n">
        <v>46272.43263888889</v>
      </c>
      <c r="F82" s="3" t="n">
        <v>46272.440625</v>
      </c>
      <c r="G82" s="3" t="n">
        <v>46272.44041666666</v>
      </c>
      <c r="H82" t="inlineStr">
        <is>
          <t>Delivered</t>
        </is>
      </c>
      <c r="I82" t="n">
        <v>2</v>
      </c>
      <c r="J82" t="n">
        <v>11</v>
      </c>
      <c r="K82" t="n">
        <v>697.41</v>
      </c>
      <c r="L82" t="n">
        <v>2.6</v>
      </c>
      <c r="M82" t="n">
        <v>2.4</v>
      </c>
      <c r="N82" t="n">
        <v>3.9</v>
      </c>
      <c r="O82" t="n">
        <v>4.9</v>
      </c>
      <c r="P82" t="n">
        <v>11.5</v>
      </c>
      <c r="Q82" t="n">
        <v>11.2</v>
      </c>
      <c r="R82" t="n">
        <v>-0.3</v>
      </c>
      <c r="S82" t="b">
        <v>1</v>
      </c>
      <c r="U82" t="n">
        <v>10</v>
      </c>
      <c r="V82" t="b">
        <v>0</v>
      </c>
      <c r="W82" t="inlineStr">
        <is>
          <t>Heavy</t>
        </is>
      </c>
      <c r="X82" t="b">
        <v>0</v>
      </c>
      <c r="Y82" t="n">
        <v>0.53</v>
      </c>
    </row>
    <row r="83">
      <c r="A83" t="inlineStr">
        <is>
          <t>O00082</t>
        </is>
      </c>
      <c r="B83" t="inlineStr">
        <is>
          <t>C0221</t>
        </is>
      </c>
      <c r="C83" t="inlineStr">
        <is>
          <t>S018</t>
        </is>
      </c>
      <c r="D83" t="inlineStr">
        <is>
          <t>R046</t>
        </is>
      </c>
      <c r="E83" s="3" t="n">
        <v>46275.63125</v>
      </c>
      <c r="F83" s="3" t="n">
        <v>46275.63798611111</v>
      </c>
      <c r="G83" s="3" t="n">
        <v>46275.6375</v>
      </c>
      <c r="H83" t="inlineStr">
        <is>
          <t>Delivered</t>
        </is>
      </c>
      <c r="I83" t="n">
        <v>2</v>
      </c>
      <c r="J83" t="n">
        <v>15</v>
      </c>
      <c r="K83" t="n">
        <v>706.73</v>
      </c>
      <c r="L83" t="n">
        <v>1.95</v>
      </c>
      <c r="M83" t="n">
        <v>2.9</v>
      </c>
      <c r="N83" t="n">
        <v>2.7</v>
      </c>
      <c r="O83" t="n">
        <v>3.4</v>
      </c>
      <c r="P83" t="n">
        <v>9.699999999999999</v>
      </c>
      <c r="Q83" t="n">
        <v>9</v>
      </c>
      <c r="R83" t="n">
        <v>-0.7</v>
      </c>
      <c r="S83" t="b">
        <v>1</v>
      </c>
      <c r="U83" t="n">
        <v>15</v>
      </c>
      <c r="V83" t="b">
        <v>0</v>
      </c>
      <c r="W83" t="inlineStr">
        <is>
          <t>Light</t>
        </is>
      </c>
      <c r="X83" t="b">
        <v>0</v>
      </c>
      <c r="Y83" t="n">
        <v>0.49</v>
      </c>
    </row>
    <row r="84">
      <c r="A84" t="inlineStr">
        <is>
          <t>O00083</t>
        </is>
      </c>
      <c r="B84" t="inlineStr">
        <is>
          <t>C0151</t>
        </is>
      </c>
      <c r="C84" t="inlineStr">
        <is>
          <t>S011</t>
        </is>
      </c>
      <c r="D84" t="inlineStr">
        <is>
          <t>R029</t>
        </is>
      </c>
      <c r="E84" s="3" t="n">
        <v>46268.56458333333</v>
      </c>
      <c r="F84" s="3" t="n">
        <v>46268.57222222222</v>
      </c>
      <c r="G84" s="3" t="n">
        <v>46268.57159722222</v>
      </c>
      <c r="H84" t="inlineStr">
        <is>
          <t>Delivered</t>
        </is>
      </c>
      <c r="I84" t="n">
        <v>1</v>
      </c>
      <c r="J84" t="n">
        <v>4</v>
      </c>
      <c r="K84" t="n">
        <v>226.17</v>
      </c>
      <c r="L84" t="n">
        <v>3.3</v>
      </c>
      <c r="M84" t="n">
        <v>2.3</v>
      </c>
      <c r="N84" t="n">
        <v>4</v>
      </c>
      <c r="O84" t="n">
        <v>3.8</v>
      </c>
      <c r="P84" t="n">
        <v>11</v>
      </c>
      <c r="Q84" t="n">
        <v>10.1</v>
      </c>
      <c r="R84" t="n">
        <v>-0.9</v>
      </c>
      <c r="S84" t="b">
        <v>1</v>
      </c>
      <c r="U84" t="n">
        <v>13</v>
      </c>
      <c r="V84" t="b">
        <v>0</v>
      </c>
      <c r="X84" t="b">
        <v>0</v>
      </c>
      <c r="Y84" t="n">
        <v>0.51</v>
      </c>
    </row>
    <row r="85">
      <c r="A85" t="inlineStr">
        <is>
          <t>O00084</t>
        </is>
      </c>
      <c r="B85" t="inlineStr">
        <is>
          <t>C0030</t>
        </is>
      </c>
      <c r="C85" t="inlineStr">
        <is>
          <t>S017</t>
        </is>
      </c>
      <c r="D85" t="inlineStr">
        <is>
          <t>R008</t>
        </is>
      </c>
      <c r="E85" s="3" t="n">
        <v>46277.6</v>
      </c>
      <c r="F85" s="3" t="n">
        <v>46277.60729166667</v>
      </c>
      <c r="G85" s="3" t="n">
        <v>46277.60666666667</v>
      </c>
      <c r="H85" t="inlineStr">
        <is>
          <t>Delivered</t>
        </is>
      </c>
      <c r="I85" t="n">
        <v>4</v>
      </c>
      <c r="J85" t="n">
        <v>6</v>
      </c>
      <c r="K85" t="n">
        <v>1010.75</v>
      </c>
      <c r="L85" t="n">
        <v>1.21</v>
      </c>
      <c r="M85" t="n">
        <v>2.1</v>
      </c>
      <c r="N85" t="n">
        <v>5</v>
      </c>
      <c r="O85" t="n">
        <v>2.5</v>
      </c>
      <c r="P85" t="n">
        <v>10.5</v>
      </c>
      <c r="Q85" t="n">
        <v>9.6</v>
      </c>
      <c r="R85" t="n">
        <v>-0.9</v>
      </c>
      <c r="S85" t="b">
        <v>1</v>
      </c>
      <c r="U85" t="n">
        <v>14</v>
      </c>
      <c r="V85" t="b">
        <v>0</v>
      </c>
      <c r="X85" t="b">
        <v>1</v>
      </c>
      <c r="Y85" t="n">
        <v>0.4</v>
      </c>
    </row>
    <row r="86">
      <c r="A86" t="inlineStr">
        <is>
          <t>O00085</t>
        </is>
      </c>
      <c r="B86" t="inlineStr">
        <is>
          <t>C0008</t>
        </is>
      </c>
      <c r="C86" t="inlineStr">
        <is>
          <t>S016</t>
        </is>
      </c>
      <c r="D86" t="inlineStr">
        <is>
          <t>R060</t>
        </is>
      </c>
      <c r="E86" s="3" t="n">
        <v>46266.67083333333</v>
      </c>
      <c r="F86" s="3" t="n">
        <v>46266.678125</v>
      </c>
      <c r="G86" s="3" t="n">
        <v>46266.68027777778</v>
      </c>
      <c r="H86" t="inlineStr">
        <is>
          <t>Delivered</t>
        </is>
      </c>
      <c r="I86" t="n">
        <v>3</v>
      </c>
      <c r="J86" t="n">
        <v>7</v>
      </c>
      <c r="K86" t="n">
        <v>1115.99</v>
      </c>
      <c r="L86" t="n">
        <v>2.25</v>
      </c>
      <c r="M86" t="n">
        <v>6.3</v>
      </c>
      <c r="N86" t="n">
        <v>1.4</v>
      </c>
      <c r="O86" t="n">
        <v>5.9</v>
      </c>
      <c r="P86" t="n">
        <v>10.5</v>
      </c>
      <c r="Q86" t="n">
        <v>13.6</v>
      </c>
      <c r="R86" t="n">
        <v>3.1</v>
      </c>
      <c r="S86" t="b">
        <v>0</v>
      </c>
      <c r="U86" t="n">
        <v>16</v>
      </c>
      <c r="V86" t="b">
        <v>0</v>
      </c>
      <c r="X86" t="b">
        <v>0</v>
      </c>
      <c r="Y86" t="n">
        <v>0.51</v>
      </c>
    </row>
    <row r="87">
      <c r="A87" t="inlineStr">
        <is>
          <t>O00086</t>
        </is>
      </c>
      <c r="B87" t="inlineStr">
        <is>
          <t>C0153</t>
        </is>
      </c>
      <c r="C87" t="inlineStr">
        <is>
          <t>S003</t>
        </is>
      </c>
      <c r="D87" t="inlineStr">
        <is>
          <t>R058</t>
        </is>
      </c>
      <c r="E87" s="3" t="n">
        <v>46275.97916666666</v>
      </c>
      <c r="F87" s="3" t="n">
        <v>46275.98729166666</v>
      </c>
      <c r="G87" s="3" t="n">
        <v>46275.98694444444</v>
      </c>
      <c r="H87" t="inlineStr">
        <is>
          <t>Delivered</t>
        </is>
      </c>
      <c r="I87" t="n">
        <v>6</v>
      </c>
      <c r="J87" t="n">
        <v>7</v>
      </c>
      <c r="K87" t="n">
        <v>1372.54</v>
      </c>
      <c r="L87" t="n">
        <v>2.1</v>
      </c>
      <c r="M87" t="n">
        <v>3.4</v>
      </c>
      <c r="N87" t="n">
        <v>2.6</v>
      </c>
      <c r="O87" t="n">
        <v>5.2</v>
      </c>
      <c r="P87" t="n">
        <v>11.7</v>
      </c>
      <c r="Q87" t="n">
        <v>11.2</v>
      </c>
      <c r="R87" t="n">
        <v>-0.5</v>
      </c>
      <c r="S87" t="b">
        <v>1</v>
      </c>
      <c r="U87" t="n">
        <v>23</v>
      </c>
      <c r="V87" t="b">
        <v>0</v>
      </c>
      <c r="X87" t="b">
        <v>0</v>
      </c>
      <c r="Y87" t="n">
        <v>0.34</v>
      </c>
    </row>
    <row r="88">
      <c r="A88" t="inlineStr">
        <is>
          <t>O00087</t>
        </is>
      </c>
      <c r="B88" t="inlineStr">
        <is>
          <t>C0139</t>
        </is>
      </c>
      <c r="C88" t="inlineStr">
        <is>
          <t>S013</t>
        </is>
      </c>
      <c r="D88" t="inlineStr">
        <is>
          <t>R004</t>
        </is>
      </c>
      <c r="E88" s="3" t="n">
        <v>46272.83819444444</v>
      </c>
      <c r="F88" s="3" t="n">
        <v>46272.84458333333</v>
      </c>
      <c r="G88" s="3" t="n">
        <v>46272.84826388889</v>
      </c>
      <c r="H88" t="inlineStr">
        <is>
          <t>Delivered</t>
        </is>
      </c>
      <c r="I88" t="n">
        <v>1</v>
      </c>
      <c r="J88" t="n">
        <v>5</v>
      </c>
      <c r="K88" t="n">
        <v>468.62</v>
      </c>
      <c r="L88" t="n">
        <v>1.58</v>
      </c>
      <c r="M88" t="n">
        <v>5.2</v>
      </c>
      <c r="N88" t="n">
        <v>4.1</v>
      </c>
      <c r="O88" t="n">
        <v>5.2</v>
      </c>
      <c r="P88" t="n">
        <v>9.199999999999999</v>
      </c>
      <c r="Q88" t="n">
        <v>14.5</v>
      </c>
      <c r="R88" t="n">
        <v>5.3</v>
      </c>
      <c r="S88" t="b">
        <v>0</v>
      </c>
      <c r="U88" t="n">
        <v>20</v>
      </c>
      <c r="V88" t="b">
        <v>1</v>
      </c>
      <c r="X88" t="b">
        <v>0</v>
      </c>
      <c r="Y88" t="n">
        <v>0.5</v>
      </c>
    </row>
    <row r="89">
      <c r="A89" t="inlineStr">
        <is>
          <t>O00088</t>
        </is>
      </c>
      <c r="B89" t="inlineStr">
        <is>
          <t>C0218</t>
        </is>
      </c>
      <c r="C89" t="inlineStr">
        <is>
          <t>S003</t>
        </is>
      </c>
      <c r="D89" t="inlineStr">
        <is>
          <t>R053</t>
        </is>
      </c>
      <c r="E89" s="3" t="n">
        <v>46267.7625</v>
      </c>
      <c r="F89" s="3" t="n">
        <v>46267.76930555556</v>
      </c>
      <c r="G89" s="3" t="n">
        <v>46267.76916666667</v>
      </c>
      <c r="H89" t="inlineStr">
        <is>
          <t>Delivered</t>
        </is>
      </c>
      <c r="I89" t="n">
        <v>3</v>
      </c>
      <c r="J89" t="n">
        <v>3</v>
      </c>
      <c r="K89" t="n">
        <v>807.16</v>
      </c>
      <c r="L89" t="n">
        <v>1.49</v>
      </c>
      <c r="M89" t="n">
        <v>2.7</v>
      </c>
      <c r="N89" t="n">
        <v>2.4</v>
      </c>
      <c r="O89" t="n">
        <v>4.5</v>
      </c>
      <c r="P89" t="n">
        <v>9.800000000000001</v>
      </c>
      <c r="Q89" t="n">
        <v>9.6</v>
      </c>
      <c r="R89" t="n">
        <v>-0.2</v>
      </c>
      <c r="S89" t="b">
        <v>1</v>
      </c>
      <c r="U89" t="n">
        <v>18</v>
      </c>
      <c r="V89" t="b">
        <v>0</v>
      </c>
      <c r="W89" t="inlineStr">
        <is>
          <t>Light</t>
        </is>
      </c>
      <c r="X89" t="b">
        <v>0</v>
      </c>
      <c r="Y89" t="n">
        <v>0.47</v>
      </c>
    </row>
    <row r="90">
      <c r="A90" t="inlineStr">
        <is>
          <t>O00089</t>
        </is>
      </c>
      <c r="B90" t="inlineStr">
        <is>
          <t>C0097</t>
        </is>
      </c>
      <c r="C90" t="inlineStr">
        <is>
          <t>S004</t>
        </is>
      </c>
      <c r="D90" t="inlineStr">
        <is>
          <t>R045</t>
        </is>
      </c>
      <c r="E90" s="3" t="n">
        <v>46267.72638888889</v>
      </c>
      <c r="F90" s="3" t="n">
        <v>46267.73326388889</v>
      </c>
      <c r="G90" s="3" t="n">
        <v>46267.73270833334</v>
      </c>
      <c r="H90" t="inlineStr">
        <is>
          <t>Delivered</t>
        </is>
      </c>
      <c r="I90" t="n">
        <v>5</v>
      </c>
      <c r="J90" t="n">
        <v>8</v>
      </c>
      <c r="K90" t="n">
        <v>810.0700000000001</v>
      </c>
      <c r="L90" t="n">
        <v>1.51</v>
      </c>
      <c r="M90" t="n">
        <v>2.5</v>
      </c>
      <c r="N90" t="n">
        <v>2.3</v>
      </c>
      <c r="O90" t="n">
        <v>4.3</v>
      </c>
      <c r="P90" t="n">
        <v>9.9</v>
      </c>
      <c r="Q90" t="n">
        <v>9.1</v>
      </c>
      <c r="R90" t="n">
        <v>-0.8</v>
      </c>
      <c r="S90" t="b">
        <v>1</v>
      </c>
      <c r="U90" t="n">
        <v>17</v>
      </c>
      <c r="V90" t="b">
        <v>0</v>
      </c>
      <c r="X90" t="b">
        <v>0</v>
      </c>
      <c r="Y90" t="n">
        <v>0.5</v>
      </c>
    </row>
    <row r="91">
      <c r="A91" t="inlineStr">
        <is>
          <t>O00090</t>
        </is>
      </c>
      <c r="B91" t="inlineStr">
        <is>
          <t>C0158</t>
        </is>
      </c>
      <c r="C91" t="inlineStr">
        <is>
          <t>S017</t>
        </is>
      </c>
      <c r="D91" t="inlineStr">
        <is>
          <t>R031</t>
        </is>
      </c>
      <c r="E91" s="3" t="n">
        <v>46269.45694444444</v>
      </c>
      <c r="F91" s="3" t="n">
        <v>46269.46486111111</v>
      </c>
      <c r="G91" s="3" t="n">
        <v>46269.46458333333</v>
      </c>
      <c r="H91" t="inlineStr">
        <is>
          <t>Delivered</t>
        </is>
      </c>
      <c r="I91" t="n">
        <v>3</v>
      </c>
      <c r="J91" t="n">
        <v>6</v>
      </c>
      <c r="K91" t="n">
        <v>1010.35</v>
      </c>
      <c r="L91" t="n">
        <v>2.98</v>
      </c>
      <c r="M91" t="n">
        <v>0.8</v>
      </c>
      <c r="N91" t="n">
        <v>4.8</v>
      </c>
      <c r="O91" t="n">
        <v>5.4</v>
      </c>
      <c r="P91" t="n">
        <v>11.4</v>
      </c>
      <c r="Q91" t="n">
        <v>11</v>
      </c>
      <c r="R91" t="n">
        <v>-0.4</v>
      </c>
      <c r="S91" t="b">
        <v>1</v>
      </c>
      <c r="U91" t="n">
        <v>10</v>
      </c>
      <c r="V91" t="b">
        <v>0</v>
      </c>
      <c r="X91" t="b">
        <v>0</v>
      </c>
      <c r="Y91" t="n">
        <v>0.58</v>
      </c>
    </row>
    <row r="92">
      <c r="A92" t="inlineStr">
        <is>
          <t>O00091</t>
        </is>
      </c>
      <c r="B92" t="inlineStr">
        <is>
          <t>C0131</t>
        </is>
      </c>
      <c r="C92" t="inlineStr">
        <is>
          <t>S014</t>
        </is>
      </c>
      <c r="D92" t="inlineStr">
        <is>
          <t>R041</t>
        </is>
      </c>
      <c r="E92" s="3" t="n">
        <v>46268.89652777778</v>
      </c>
      <c r="F92" s="3" t="n">
        <v>46268.904375</v>
      </c>
      <c r="G92" s="3" t="n">
        <v>46268.90395833334</v>
      </c>
      <c r="H92" t="inlineStr">
        <is>
          <t>Delivered</t>
        </is>
      </c>
      <c r="I92" t="n">
        <v>6</v>
      </c>
      <c r="J92" t="n">
        <v>7</v>
      </c>
      <c r="K92" t="n">
        <v>484.07</v>
      </c>
      <c r="L92" t="n">
        <v>3.3</v>
      </c>
      <c r="M92" t="n">
        <v>3</v>
      </c>
      <c r="N92" t="n">
        <v>3.7</v>
      </c>
      <c r="O92" t="n">
        <v>4</v>
      </c>
      <c r="P92" t="n">
        <v>11.3</v>
      </c>
      <c r="Q92" t="n">
        <v>10.7</v>
      </c>
      <c r="R92" t="n">
        <v>-0.6</v>
      </c>
      <c r="S92" t="b">
        <v>1</v>
      </c>
      <c r="U92" t="n">
        <v>21</v>
      </c>
      <c r="V92" t="b">
        <v>1</v>
      </c>
      <c r="X92" t="b">
        <v>0</v>
      </c>
      <c r="Y92" t="n">
        <v>0.67</v>
      </c>
    </row>
    <row r="93">
      <c r="A93" t="inlineStr">
        <is>
          <t>O00092</t>
        </is>
      </c>
      <c r="B93" t="inlineStr">
        <is>
          <t>C0024</t>
        </is>
      </c>
      <c r="C93" t="inlineStr">
        <is>
          <t>S009</t>
        </is>
      </c>
      <c r="D93" t="inlineStr">
        <is>
          <t>R033</t>
        </is>
      </c>
      <c r="E93" s="3" t="n">
        <v>46278.66388888889</v>
      </c>
      <c r="F93" s="3" t="n">
        <v>46278.67180555555</v>
      </c>
      <c r="G93" s="3" t="n">
        <v>46278.67138888889</v>
      </c>
      <c r="H93" t="inlineStr">
        <is>
          <t>Delivered</t>
        </is>
      </c>
      <c r="I93" t="n">
        <v>3</v>
      </c>
      <c r="J93" t="n">
        <v>9</v>
      </c>
      <c r="K93" t="n">
        <v>1044.76</v>
      </c>
      <c r="L93" t="n">
        <v>2.1</v>
      </c>
      <c r="M93" t="n">
        <v>2.9</v>
      </c>
      <c r="N93" t="n">
        <v>2.8</v>
      </c>
      <c r="O93" t="n">
        <v>5.1</v>
      </c>
      <c r="P93" t="n">
        <v>11.4</v>
      </c>
      <c r="Q93" t="n">
        <v>10.8</v>
      </c>
      <c r="R93" t="n">
        <v>-0.6</v>
      </c>
      <c r="S93" t="b">
        <v>1</v>
      </c>
      <c r="U93" t="n">
        <v>15</v>
      </c>
      <c r="V93" t="b">
        <v>0</v>
      </c>
      <c r="W93" t="inlineStr">
        <is>
          <t>Light</t>
        </is>
      </c>
      <c r="X93" t="b">
        <v>0</v>
      </c>
      <c r="Y93" t="n">
        <v>0.61</v>
      </c>
    </row>
    <row r="94">
      <c r="A94" t="inlineStr">
        <is>
          <t>O00093</t>
        </is>
      </c>
      <c r="B94" t="inlineStr">
        <is>
          <t>C0105</t>
        </is>
      </c>
      <c r="C94" t="inlineStr">
        <is>
          <t>S002</t>
        </is>
      </c>
      <c r="D94" t="inlineStr">
        <is>
          <t>R071</t>
        </is>
      </c>
      <c r="E94" s="3" t="n">
        <v>46273.37569444445</v>
      </c>
      <c r="F94" s="3" t="n">
        <v>46273.38152777778</v>
      </c>
      <c r="G94" s="3" t="n">
        <v>46273.39</v>
      </c>
      <c r="H94" t="inlineStr">
        <is>
          <t>Delivered</t>
        </is>
      </c>
      <c r="I94" t="n">
        <v>2</v>
      </c>
      <c r="J94" t="n">
        <v>12</v>
      </c>
      <c r="K94" t="n">
        <v>1678.86</v>
      </c>
      <c r="L94" t="n">
        <v>4.13</v>
      </c>
      <c r="M94" t="n">
        <v>3.3</v>
      </c>
      <c r="N94" t="n">
        <v>6.2</v>
      </c>
      <c r="O94" t="n">
        <v>11.1</v>
      </c>
      <c r="P94" t="n">
        <v>8.4</v>
      </c>
      <c r="Q94" t="n">
        <v>20.6</v>
      </c>
      <c r="R94" t="n">
        <v>12.2</v>
      </c>
      <c r="S94" t="b">
        <v>0</v>
      </c>
      <c r="U94" t="n">
        <v>9</v>
      </c>
      <c r="V94" t="b">
        <v>0</v>
      </c>
      <c r="X94" t="b">
        <v>0</v>
      </c>
      <c r="Y94" t="n">
        <v>0.6899999999999999</v>
      </c>
    </row>
    <row r="95">
      <c r="A95" t="inlineStr">
        <is>
          <t>O00094</t>
        </is>
      </c>
      <c r="B95" t="inlineStr">
        <is>
          <t>C0194</t>
        </is>
      </c>
      <c r="C95" t="inlineStr">
        <is>
          <t>S004</t>
        </is>
      </c>
      <c r="D95" t="inlineStr">
        <is>
          <t>R029</t>
        </is>
      </c>
      <c r="E95" s="3" t="n">
        <v>46269.94930555556</v>
      </c>
      <c r="F95" s="3" t="n">
        <v>46269.95638888889</v>
      </c>
      <c r="G95" s="3" t="n">
        <v>46269.95583333333</v>
      </c>
      <c r="H95" t="inlineStr">
        <is>
          <t>Delivered</t>
        </is>
      </c>
      <c r="I95" t="n">
        <v>1</v>
      </c>
      <c r="J95" t="n">
        <v>4</v>
      </c>
      <c r="K95" t="n">
        <v>857.54</v>
      </c>
      <c r="L95" t="n">
        <v>2.83</v>
      </c>
      <c r="M95" t="n">
        <v>1.4</v>
      </c>
      <c r="N95" t="n">
        <v>4.2</v>
      </c>
      <c r="O95" t="n">
        <v>3.8</v>
      </c>
      <c r="P95" t="n">
        <v>10.2</v>
      </c>
      <c r="Q95" t="n">
        <v>9.4</v>
      </c>
      <c r="R95" t="n">
        <v>-0.8</v>
      </c>
      <c r="S95" t="b">
        <v>1</v>
      </c>
      <c r="U95" t="n">
        <v>22</v>
      </c>
      <c r="V95" t="b">
        <v>0</v>
      </c>
      <c r="X95" t="b">
        <v>0</v>
      </c>
      <c r="Y95" t="n">
        <v>0.5600000000000001</v>
      </c>
    </row>
    <row r="96">
      <c r="A96" t="inlineStr">
        <is>
          <t>O00095</t>
        </is>
      </c>
      <c r="B96" t="inlineStr">
        <is>
          <t>C0138</t>
        </is>
      </c>
      <c r="C96" t="inlineStr">
        <is>
          <t>S002</t>
        </is>
      </c>
      <c r="D96" t="inlineStr">
        <is>
          <t>R080</t>
        </is>
      </c>
      <c r="E96" s="3" t="n">
        <v>46266.75625</v>
      </c>
      <c r="F96" s="3" t="n">
        <v>46266.76270833334</v>
      </c>
      <c r="G96" s="3" t="n">
        <v>46266.76229166667</v>
      </c>
      <c r="H96" t="inlineStr">
        <is>
          <t>Delivered</t>
        </is>
      </c>
      <c r="I96" t="n">
        <v>6</v>
      </c>
      <c r="J96" t="n">
        <v>6</v>
      </c>
      <c r="K96" t="n">
        <v>1346.3</v>
      </c>
      <c r="L96" t="n">
        <v>0.5</v>
      </c>
      <c r="M96" t="n">
        <v>2.3</v>
      </c>
      <c r="N96" t="n">
        <v>2.7</v>
      </c>
      <c r="O96" t="n">
        <v>3.7</v>
      </c>
      <c r="P96" t="n">
        <v>9.300000000000001</v>
      </c>
      <c r="Q96" t="n">
        <v>8.699999999999999</v>
      </c>
      <c r="R96" t="n">
        <v>-0.6</v>
      </c>
      <c r="S96" t="b">
        <v>1</v>
      </c>
      <c r="U96" t="n">
        <v>18</v>
      </c>
      <c r="V96" t="b">
        <v>0</v>
      </c>
      <c r="W96" t="inlineStr">
        <is>
          <t>Light</t>
        </is>
      </c>
      <c r="X96" t="b">
        <v>1</v>
      </c>
      <c r="Y96" t="n">
        <v>0.6</v>
      </c>
    </row>
    <row r="97">
      <c r="A97" t="inlineStr">
        <is>
          <t>O00096</t>
        </is>
      </c>
      <c r="B97" t="inlineStr">
        <is>
          <t>C0034</t>
        </is>
      </c>
      <c r="C97" t="inlineStr">
        <is>
          <t>S007</t>
        </is>
      </c>
      <c r="D97" t="inlineStr">
        <is>
          <t>R037</t>
        </is>
      </c>
      <c r="E97" s="3" t="n">
        <v>46275.89652777778</v>
      </c>
      <c r="F97" s="3" t="n">
        <v>46275.90270833333</v>
      </c>
      <c r="G97" s="3" t="n">
        <v>46275.91069444444</v>
      </c>
      <c r="H97" t="inlineStr">
        <is>
          <t>Delivered</t>
        </is>
      </c>
      <c r="I97" t="n">
        <v>4</v>
      </c>
      <c r="J97" t="n">
        <v>12</v>
      </c>
      <c r="K97" t="n">
        <v>1727.99</v>
      </c>
      <c r="L97" t="n">
        <v>3.1</v>
      </c>
      <c r="M97" t="n">
        <v>4.9</v>
      </c>
      <c r="N97" t="n">
        <v>8.1</v>
      </c>
      <c r="O97" t="n">
        <v>7.5</v>
      </c>
      <c r="P97" t="n">
        <v>8.9</v>
      </c>
      <c r="Q97" t="n">
        <v>20.4</v>
      </c>
      <c r="R97" t="n">
        <v>11.5</v>
      </c>
      <c r="S97" t="b">
        <v>0</v>
      </c>
      <c r="U97" t="n">
        <v>21</v>
      </c>
      <c r="V97" t="b">
        <v>1</v>
      </c>
      <c r="X97" t="b">
        <v>0</v>
      </c>
      <c r="Y97" t="n">
        <v>0.71</v>
      </c>
    </row>
    <row r="98">
      <c r="A98" t="inlineStr">
        <is>
          <t>O00097</t>
        </is>
      </c>
      <c r="B98" t="inlineStr">
        <is>
          <t>C0110</t>
        </is>
      </c>
      <c r="C98" t="inlineStr">
        <is>
          <t>S001</t>
        </is>
      </c>
      <c r="D98" t="inlineStr">
        <is>
          <t>R064</t>
        </is>
      </c>
      <c r="E98" s="3" t="n">
        <v>46279.775</v>
      </c>
      <c r="F98" s="3" t="n">
        <v>46279.78222222222</v>
      </c>
      <c r="G98" s="3" t="n">
        <v>46279.781875</v>
      </c>
      <c r="H98" t="inlineStr">
        <is>
          <t>Delivered</t>
        </is>
      </c>
      <c r="I98" t="n">
        <v>4</v>
      </c>
      <c r="J98" t="n">
        <v>4</v>
      </c>
      <c r="K98" t="n">
        <v>576.0700000000001</v>
      </c>
      <c r="L98" t="n">
        <v>1.22</v>
      </c>
      <c r="M98" t="n">
        <v>3.6</v>
      </c>
      <c r="N98" t="n">
        <v>3.6</v>
      </c>
      <c r="O98" t="n">
        <v>2.7</v>
      </c>
      <c r="P98" t="n">
        <v>10.4</v>
      </c>
      <c r="Q98" t="n">
        <v>9.9</v>
      </c>
      <c r="R98" t="n">
        <v>-0.5</v>
      </c>
      <c r="S98" t="b">
        <v>1</v>
      </c>
      <c r="U98" t="n">
        <v>18</v>
      </c>
      <c r="V98" t="b">
        <v>0</v>
      </c>
      <c r="X98" t="b">
        <v>0</v>
      </c>
      <c r="Y98" t="n">
        <v>0.3</v>
      </c>
    </row>
    <row r="99">
      <c r="A99" t="inlineStr">
        <is>
          <t>O00098</t>
        </is>
      </c>
      <c r="B99" t="inlineStr">
        <is>
          <t>C0166</t>
        </is>
      </c>
      <c r="C99" t="inlineStr">
        <is>
          <t>S017</t>
        </is>
      </c>
      <c r="D99" t="inlineStr">
        <is>
          <t>R074</t>
        </is>
      </c>
      <c r="E99" s="3" t="n">
        <v>46266.74583333333</v>
      </c>
      <c r="F99" s="3" t="n">
        <v>46266.75256944444</v>
      </c>
      <c r="G99" s="3" t="n">
        <v>46266.754375</v>
      </c>
      <c r="H99" t="inlineStr">
        <is>
          <t>Delivered</t>
        </is>
      </c>
      <c r="I99" t="n">
        <v>6</v>
      </c>
      <c r="J99" t="n">
        <v>6</v>
      </c>
      <c r="K99" t="n">
        <v>1632.19</v>
      </c>
      <c r="L99" t="n">
        <v>0.5</v>
      </c>
      <c r="M99" t="n">
        <v>2.2</v>
      </c>
      <c r="N99" t="n">
        <v>7.7</v>
      </c>
      <c r="O99" t="n">
        <v>2.4</v>
      </c>
      <c r="P99" t="n">
        <v>9.699999999999999</v>
      </c>
      <c r="Q99" t="n">
        <v>12.3</v>
      </c>
      <c r="R99" t="n">
        <v>2.6</v>
      </c>
      <c r="S99" t="b">
        <v>0</v>
      </c>
      <c r="U99" t="n">
        <v>17</v>
      </c>
      <c r="V99" t="b">
        <v>0</v>
      </c>
      <c r="X99" t="b">
        <v>0</v>
      </c>
      <c r="Y99" t="n">
        <v>0.5</v>
      </c>
    </row>
    <row r="100">
      <c r="A100" t="inlineStr">
        <is>
          <t>O00099</t>
        </is>
      </c>
      <c r="B100" t="inlineStr">
        <is>
          <t>C0027</t>
        </is>
      </c>
      <c r="C100" t="inlineStr">
        <is>
          <t>S011</t>
        </is>
      </c>
      <c r="D100" t="inlineStr">
        <is>
          <t>R030</t>
        </is>
      </c>
      <c r="E100" s="3" t="n">
        <v>46270.35277777778</v>
      </c>
      <c r="F100" s="3" t="n">
        <v>46270.36027777778</v>
      </c>
      <c r="G100" s="3" t="n">
        <v>46270.36090277778</v>
      </c>
      <c r="H100" t="inlineStr">
        <is>
          <t>Delivered</t>
        </is>
      </c>
      <c r="I100" t="n">
        <v>1</v>
      </c>
      <c r="J100" t="n">
        <v>7</v>
      </c>
      <c r="K100" t="n">
        <v>1323.02</v>
      </c>
      <c r="L100" t="n">
        <v>2.2</v>
      </c>
      <c r="M100" t="n">
        <v>5.3</v>
      </c>
      <c r="N100" t="n">
        <v>0.4</v>
      </c>
      <c r="O100" t="n">
        <v>6</v>
      </c>
      <c r="P100" t="n">
        <v>10.8</v>
      </c>
      <c r="Q100" t="n">
        <v>11.7</v>
      </c>
      <c r="R100" t="n">
        <v>0.9</v>
      </c>
      <c r="S100" t="b">
        <v>0</v>
      </c>
      <c r="U100" t="n">
        <v>8</v>
      </c>
      <c r="V100" t="b">
        <v>0</v>
      </c>
      <c r="X100" t="b">
        <v>0</v>
      </c>
      <c r="Y100" t="n">
        <v>0.35</v>
      </c>
    </row>
    <row r="101">
      <c r="A101" t="inlineStr">
        <is>
          <t>O00100</t>
        </is>
      </c>
      <c r="B101" t="inlineStr">
        <is>
          <t>C0129</t>
        </is>
      </c>
      <c r="C101" t="inlineStr">
        <is>
          <t>S013</t>
        </is>
      </c>
      <c r="D101" t="inlineStr">
        <is>
          <t>R026</t>
        </is>
      </c>
      <c r="E101" s="3" t="n">
        <v>46274.44236111111</v>
      </c>
      <c r="F101" s="3" t="n">
        <v>46274.45048611111</v>
      </c>
      <c r="G101" s="3" t="n">
        <v>46274.45020833334</v>
      </c>
      <c r="H101" t="inlineStr">
        <is>
          <t>Delivered</t>
        </is>
      </c>
      <c r="I101" t="n">
        <v>5</v>
      </c>
      <c r="J101" t="n">
        <v>10</v>
      </c>
      <c r="K101" t="n">
        <v>916.88</v>
      </c>
      <c r="L101" t="n">
        <v>3</v>
      </c>
      <c r="M101" t="n">
        <v>4.4</v>
      </c>
      <c r="N101" t="n">
        <v>1.8</v>
      </c>
      <c r="O101" t="n">
        <v>5.1</v>
      </c>
      <c r="P101" t="n">
        <v>11.7</v>
      </c>
      <c r="Q101" t="n">
        <v>11.3</v>
      </c>
      <c r="R101" t="n">
        <v>-0.4</v>
      </c>
      <c r="S101" t="b">
        <v>1</v>
      </c>
      <c r="U101" t="n">
        <v>10</v>
      </c>
      <c r="V101" t="b">
        <v>0</v>
      </c>
      <c r="X101" t="b">
        <v>0</v>
      </c>
      <c r="Y101" t="n">
        <v>0.48</v>
      </c>
    </row>
    <row r="102">
      <c r="A102" t="inlineStr">
        <is>
          <t>O00101</t>
        </is>
      </c>
      <c r="B102" t="inlineStr">
        <is>
          <t>C0141</t>
        </is>
      </c>
      <c r="C102" t="inlineStr">
        <is>
          <t>S019</t>
        </is>
      </c>
      <c r="D102" t="inlineStr">
        <is>
          <t>R053</t>
        </is>
      </c>
      <c r="E102" s="3" t="n">
        <v>46271.96736111111</v>
      </c>
      <c r="F102" s="3" t="n">
        <v>46271.97409722222</v>
      </c>
      <c r="G102" s="3" t="n">
        <v>46271.97347222222</v>
      </c>
      <c r="H102" t="inlineStr">
        <is>
          <t>Delivered</t>
        </is>
      </c>
      <c r="I102" t="n">
        <v>6</v>
      </c>
      <c r="J102" t="n">
        <v>7</v>
      </c>
      <c r="K102" t="n">
        <v>1328.23</v>
      </c>
      <c r="L102" t="n">
        <v>2.5</v>
      </c>
      <c r="M102" t="n">
        <v>3.6</v>
      </c>
      <c r="N102" t="n">
        <v>1.1</v>
      </c>
      <c r="O102" t="n">
        <v>4.1</v>
      </c>
      <c r="P102" t="n">
        <v>9.699999999999999</v>
      </c>
      <c r="Q102" t="n">
        <v>8.800000000000001</v>
      </c>
      <c r="R102" t="n">
        <v>-0.9</v>
      </c>
      <c r="S102" t="b">
        <v>1</v>
      </c>
      <c r="U102" t="n">
        <v>23</v>
      </c>
      <c r="V102" t="b">
        <v>0</v>
      </c>
      <c r="X102" t="b">
        <v>0</v>
      </c>
      <c r="Y102" t="n">
        <v>0.58</v>
      </c>
    </row>
    <row r="103">
      <c r="A103" t="inlineStr">
        <is>
          <t>O00102</t>
        </is>
      </c>
      <c r="B103" t="inlineStr">
        <is>
          <t>C0225</t>
        </is>
      </c>
      <c r="C103" t="inlineStr">
        <is>
          <t>S004</t>
        </is>
      </c>
      <c r="D103" t="inlineStr">
        <is>
          <t>R056</t>
        </is>
      </c>
      <c r="E103" s="3" t="n">
        <v>46274.82013888889</v>
      </c>
      <c r="F103" s="3" t="n">
        <v>46274.82541666667</v>
      </c>
      <c r="G103" s="3" t="n">
        <v>46274.82486111111</v>
      </c>
      <c r="H103" t="inlineStr">
        <is>
          <t>Delivered</t>
        </is>
      </c>
      <c r="I103" t="n">
        <v>4</v>
      </c>
      <c r="J103" t="n">
        <v>9</v>
      </c>
      <c r="K103" t="n">
        <v>438.25</v>
      </c>
      <c r="L103" t="n">
        <v>0.98</v>
      </c>
      <c r="M103" t="n">
        <v>1.6</v>
      </c>
      <c r="N103" t="n">
        <v>3.4</v>
      </c>
      <c r="O103" t="n">
        <v>1.8</v>
      </c>
      <c r="P103" t="n">
        <v>7.6</v>
      </c>
      <c r="Q103" t="n">
        <v>6.8</v>
      </c>
      <c r="R103" t="n">
        <v>-0.8</v>
      </c>
      <c r="S103" t="b">
        <v>1</v>
      </c>
      <c r="U103" t="n">
        <v>19</v>
      </c>
      <c r="V103" t="b">
        <v>1</v>
      </c>
      <c r="X103" t="b">
        <v>0</v>
      </c>
      <c r="Y103" t="n">
        <v>0.5600000000000001</v>
      </c>
    </row>
    <row r="104">
      <c r="A104" t="inlineStr">
        <is>
          <t>O00103</t>
        </is>
      </c>
      <c r="B104" t="inlineStr">
        <is>
          <t>C0006</t>
        </is>
      </c>
      <c r="C104" t="inlineStr">
        <is>
          <t>S010</t>
        </is>
      </c>
      <c r="D104" t="inlineStr">
        <is>
          <t>R020</t>
        </is>
      </c>
      <c r="E104" s="3" t="n">
        <v>46276.77152777778</v>
      </c>
      <c r="F104" s="3" t="n">
        <v>46276.77909722222</v>
      </c>
      <c r="G104" s="3" t="n">
        <v>46276.77833333334</v>
      </c>
      <c r="H104" t="inlineStr">
        <is>
          <t>Delivered</t>
        </is>
      </c>
      <c r="I104" t="n">
        <v>5</v>
      </c>
      <c r="J104" t="n">
        <v>13</v>
      </c>
      <c r="K104" t="n">
        <v>316.74</v>
      </c>
      <c r="L104" t="n">
        <v>0.67</v>
      </c>
      <c r="M104" t="n">
        <v>3.7</v>
      </c>
      <c r="N104" t="n">
        <v>4.3</v>
      </c>
      <c r="O104" t="n">
        <v>1.8</v>
      </c>
      <c r="P104" t="n">
        <v>10.9</v>
      </c>
      <c r="Q104" t="n">
        <v>9.800000000000001</v>
      </c>
      <c r="R104" t="n">
        <v>-1.1</v>
      </c>
      <c r="S104" t="b">
        <v>1</v>
      </c>
      <c r="U104" t="n">
        <v>18</v>
      </c>
      <c r="V104" t="b">
        <v>0</v>
      </c>
      <c r="W104" t="inlineStr">
        <is>
          <t>Light</t>
        </is>
      </c>
      <c r="X104" t="b">
        <v>0</v>
      </c>
      <c r="Y104" t="n">
        <v>0.37</v>
      </c>
    </row>
    <row r="105">
      <c r="A105" t="inlineStr">
        <is>
          <t>O00104</t>
        </is>
      </c>
      <c r="B105" t="inlineStr">
        <is>
          <t>C0104</t>
        </is>
      </c>
      <c r="C105" t="inlineStr">
        <is>
          <t>S006</t>
        </is>
      </c>
      <c r="D105" t="inlineStr">
        <is>
          <t>R019</t>
        </is>
      </c>
      <c r="E105" s="3" t="n">
        <v>46269.46041666667</v>
      </c>
      <c r="F105" s="3" t="n">
        <v>46269.47041666666</v>
      </c>
      <c r="G105" s="3" t="n">
        <v>46269.47215277778</v>
      </c>
      <c r="H105" t="inlineStr">
        <is>
          <t>Delivered</t>
        </is>
      </c>
      <c r="I105" t="n">
        <v>2</v>
      </c>
      <c r="J105" t="n">
        <v>9</v>
      </c>
      <c r="K105" t="n">
        <v>1103.55</v>
      </c>
      <c r="L105" t="n">
        <v>1.54</v>
      </c>
      <c r="M105" t="n">
        <v>6.2</v>
      </c>
      <c r="N105" t="n">
        <v>5.9</v>
      </c>
      <c r="O105" t="n">
        <v>4.8</v>
      </c>
      <c r="P105" t="n">
        <v>14.4</v>
      </c>
      <c r="Q105" t="n">
        <v>16.9</v>
      </c>
      <c r="R105" t="n">
        <v>2.5</v>
      </c>
      <c r="S105" t="b">
        <v>0</v>
      </c>
      <c r="U105" t="n">
        <v>11</v>
      </c>
      <c r="V105" t="b">
        <v>0</v>
      </c>
      <c r="X105" t="b">
        <v>0</v>
      </c>
      <c r="Y105" t="n">
        <v>0.54</v>
      </c>
    </row>
    <row r="106">
      <c r="A106" t="inlineStr">
        <is>
          <t>O00105</t>
        </is>
      </c>
      <c r="B106" t="inlineStr">
        <is>
          <t>C0163</t>
        </is>
      </c>
      <c r="C106" t="inlineStr">
        <is>
          <t>S003</t>
        </is>
      </c>
      <c r="D106" t="inlineStr">
        <is>
          <t>R002</t>
        </is>
      </c>
      <c r="E106" s="3" t="n">
        <v>46272.76319444444</v>
      </c>
      <c r="F106" s="3" t="n">
        <v>46272.76993055556</v>
      </c>
      <c r="G106" s="3" t="n">
        <v>46272.77680555556</v>
      </c>
      <c r="H106" t="inlineStr">
        <is>
          <t>Delivered</t>
        </is>
      </c>
      <c r="I106" t="n">
        <v>3</v>
      </c>
      <c r="J106" t="n">
        <v>9</v>
      </c>
      <c r="K106" t="n">
        <v>1604.46</v>
      </c>
      <c r="L106" t="n">
        <v>2.1</v>
      </c>
      <c r="M106" t="n">
        <v>5.4</v>
      </c>
      <c r="N106" t="n">
        <v>9.1</v>
      </c>
      <c r="O106" t="n">
        <v>5.1</v>
      </c>
      <c r="P106" t="n">
        <v>9.699999999999999</v>
      </c>
      <c r="Q106" t="n">
        <v>19.6</v>
      </c>
      <c r="R106" t="n">
        <v>9.9</v>
      </c>
      <c r="S106" t="b">
        <v>0</v>
      </c>
      <c r="U106" t="n">
        <v>18</v>
      </c>
      <c r="V106" t="b">
        <v>0</v>
      </c>
      <c r="X106" t="b">
        <v>0</v>
      </c>
      <c r="Y106" t="n">
        <v>0.23</v>
      </c>
    </row>
    <row r="107">
      <c r="A107" t="inlineStr">
        <is>
          <t>O00106</t>
        </is>
      </c>
      <c r="B107" t="inlineStr">
        <is>
          <t>C0051</t>
        </is>
      </c>
      <c r="C107" t="inlineStr">
        <is>
          <t>S007</t>
        </is>
      </c>
      <c r="D107" t="inlineStr">
        <is>
          <t>R010</t>
        </is>
      </c>
      <c r="E107" s="3" t="n">
        <v>46279.58611111111</v>
      </c>
      <c r="F107" s="3" t="n">
        <v>46279.59375</v>
      </c>
      <c r="G107" s="3" t="n">
        <v>46279.59361111111</v>
      </c>
      <c r="H107" t="inlineStr">
        <is>
          <t>Delivered</t>
        </is>
      </c>
      <c r="I107" t="n">
        <v>2</v>
      </c>
      <c r="J107" t="n">
        <v>9</v>
      </c>
      <c r="K107" t="n">
        <v>1314.18</v>
      </c>
      <c r="L107" t="n">
        <v>2.36</v>
      </c>
      <c r="M107" t="n">
        <v>1.8</v>
      </c>
      <c r="N107" t="n">
        <v>4.8</v>
      </c>
      <c r="O107" t="n">
        <v>4.2</v>
      </c>
      <c r="P107" t="n">
        <v>11</v>
      </c>
      <c r="Q107" t="n">
        <v>10.8</v>
      </c>
      <c r="R107" t="n">
        <v>-0.2</v>
      </c>
      <c r="S107" t="b">
        <v>1</v>
      </c>
      <c r="U107" t="n">
        <v>14</v>
      </c>
      <c r="V107" t="b">
        <v>0</v>
      </c>
      <c r="W107" t="inlineStr">
        <is>
          <t>Heavy</t>
        </is>
      </c>
      <c r="X107" t="b">
        <v>0</v>
      </c>
      <c r="Y107" t="n">
        <v>0.39</v>
      </c>
    </row>
    <row r="108">
      <c r="A108" t="inlineStr">
        <is>
          <t>O00107</t>
        </is>
      </c>
      <c r="B108" t="inlineStr">
        <is>
          <t>C0041</t>
        </is>
      </c>
      <c r="C108" t="inlineStr">
        <is>
          <t>S006</t>
        </is>
      </c>
      <c r="D108" t="inlineStr">
        <is>
          <t>R035</t>
        </is>
      </c>
      <c r="E108" s="3" t="n">
        <v>46271.87013888889</v>
      </c>
      <c r="F108" s="3" t="n">
        <v>46271.87784722223</v>
      </c>
      <c r="G108" s="3" t="n">
        <v>46271.87736111111</v>
      </c>
      <c r="H108" t="inlineStr">
        <is>
          <t>Delivered</t>
        </is>
      </c>
      <c r="I108" t="n">
        <v>3</v>
      </c>
      <c r="J108" t="n">
        <v>6</v>
      </c>
      <c r="K108" t="n">
        <v>1203.73</v>
      </c>
      <c r="L108" t="n">
        <v>4.9</v>
      </c>
      <c r="M108" t="n">
        <v>1.8</v>
      </c>
      <c r="N108" t="n">
        <v>3.5</v>
      </c>
      <c r="O108" t="n">
        <v>5.1</v>
      </c>
      <c r="P108" t="n">
        <v>11.1</v>
      </c>
      <c r="Q108" t="n">
        <v>10.4</v>
      </c>
      <c r="R108" t="n">
        <v>-0.7</v>
      </c>
      <c r="S108" t="b">
        <v>1</v>
      </c>
      <c r="U108" t="n">
        <v>20</v>
      </c>
      <c r="V108" t="b">
        <v>1</v>
      </c>
      <c r="W108" t="inlineStr">
        <is>
          <t>Heavy</t>
        </is>
      </c>
      <c r="X108" t="b">
        <v>0</v>
      </c>
      <c r="Y108" t="n">
        <v>0.55</v>
      </c>
    </row>
    <row r="109">
      <c r="A109" t="inlineStr">
        <is>
          <t>O00108</t>
        </is>
      </c>
      <c r="B109" t="inlineStr">
        <is>
          <t>C0146</t>
        </is>
      </c>
      <c r="C109" t="inlineStr">
        <is>
          <t>S012</t>
        </is>
      </c>
      <c r="D109" t="inlineStr">
        <is>
          <t>R060</t>
        </is>
      </c>
      <c r="E109" s="3" t="n">
        <v>46278.37986111111</v>
      </c>
      <c r="F109" s="3" t="n">
        <v>46278.38708333333</v>
      </c>
      <c r="G109" s="3" t="n">
        <v>46278.38659722222</v>
      </c>
      <c r="H109" t="inlineStr">
        <is>
          <t>Delivered</t>
        </is>
      </c>
      <c r="I109" t="n">
        <v>6</v>
      </c>
      <c r="J109" t="n">
        <v>8</v>
      </c>
      <c r="K109" t="n">
        <v>1188.11</v>
      </c>
      <c r="L109" t="n">
        <v>0.5</v>
      </c>
      <c r="M109" t="n">
        <v>4.8</v>
      </c>
      <c r="N109" t="n">
        <v>3.1</v>
      </c>
      <c r="O109" t="n">
        <v>1.8</v>
      </c>
      <c r="P109" t="n">
        <v>10.4</v>
      </c>
      <c r="Q109" t="n">
        <v>9.699999999999999</v>
      </c>
      <c r="R109" t="n">
        <v>-0.7</v>
      </c>
      <c r="S109" t="b">
        <v>1</v>
      </c>
      <c r="U109" t="n">
        <v>9</v>
      </c>
      <c r="V109" t="b">
        <v>0</v>
      </c>
      <c r="X109" t="b">
        <v>0</v>
      </c>
      <c r="Y109" t="n">
        <v>0.49</v>
      </c>
    </row>
    <row r="110">
      <c r="A110" t="inlineStr">
        <is>
          <t>O00109</t>
        </is>
      </c>
      <c r="B110" t="inlineStr">
        <is>
          <t>C0240</t>
        </is>
      </c>
      <c r="C110" t="inlineStr">
        <is>
          <t>S005</t>
        </is>
      </c>
      <c r="D110" t="inlineStr">
        <is>
          <t>R035</t>
        </is>
      </c>
      <c r="E110" s="3" t="n">
        <v>46273.98819444444</v>
      </c>
      <c r="F110" s="3" t="n">
        <v>46273.99493055556</v>
      </c>
      <c r="G110" s="3" t="n">
        <v>46273.99791666667</v>
      </c>
      <c r="H110" t="inlineStr">
        <is>
          <t>Delivered</t>
        </is>
      </c>
      <c r="I110" t="n">
        <v>4</v>
      </c>
      <c r="J110" t="n">
        <v>11</v>
      </c>
      <c r="K110" t="n">
        <v>707.26</v>
      </c>
      <c r="L110" t="n">
        <v>0.89</v>
      </c>
      <c r="M110" t="n">
        <v>4.3</v>
      </c>
      <c r="N110" t="n">
        <v>6.8</v>
      </c>
      <c r="O110" t="n">
        <v>2.8</v>
      </c>
      <c r="P110" t="n">
        <v>9.699999999999999</v>
      </c>
      <c r="Q110" t="n">
        <v>14</v>
      </c>
      <c r="R110" t="n">
        <v>4.3</v>
      </c>
      <c r="S110" t="b">
        <v>0</v>
      </c>
      <c r="U110" t="n">
        <v>23</v>
      </c>
      <c r="V110" t="b">
        <v>0</v>
      </c>
      <c r="X110" t="b">
        <v>0</v>
      </c>
      <c r="Y110" t="n">
        <v>0.4</v>
      </c>
    </row>
    <row r="111">
      <c r="A111" t="inlineStr">
        <is>
          <t>O00110</t>
        </is>
      </c>
      <c r="B111" t="inlineStr">
        <is>
          <t>C0053</t>
        </is>
      </c>
      <c r="C111" t="inlineStr">
        <is>
          <t>S002</t>
        </is>
      </c>
      <c r="D111" t="inlineStr">
        <is>
          <t>R039</t>
        </is>
      </c>
      <c r="E111" s="3" t="n">
        <v>46271.61527777778</v>
      </c>
      <c r="F111" s="3" t="n">
        <v>46271.62229166667</v>
      </c>
      <c r="G111" s="3" t="n">
        <v>46271.62152777778</v>
      </c>
      <c r="H111" t="inlineStr">
        <is>
          <t>Delivered</t>
        </is>
      </c>
      <c r="I111" t="n">
        <v>2</v>
      </c>
      <c r="J111" t="n">
        <v>5</v>
      </c>
      <c r="K111" t="n">
        <v>1593.5</v>
      </c>
      <c r="L111" t="n">
        <v>2.04</v>
      </c>
      <c r="M111" t="n">
        <v>1.8</v>
      </c>
      <c r="N111" t="n">
        <v>3.6</v>
      </c>
      <c r="O111" t="n">
        <v>3.6</v>
      </c>
      <c r="P111" t="n">
        <v>10.1</v>
      </c>
      <c r="Q111" t="n">
        <v>9</v>
      </c>
      <c r="R111" t="n">
        <v>-1.1</v>
      </c>
      <c r="S111" t="b">
        <v>1</v>
      </c>
      <c r="U111" t="n">
        <v>14</v>
      </c>
      <c r="V111" t="b">
        <v>0</v>
      </c>
      <c r="X111" t="b">
        <v>0</v>
      </c>
      <c r="Y111" t="n">
        <v>0.46</v>
      </c>
    </row>
    <row r="112">
      <c r="A112" t="inlineStr">
        <is>
          <t>O00111</t>
        </is>
      </c>
      <c r="B112" t="inlineStr">
        <is>
          <t>C0095</t>
        </is>
      </c>
      <c r="C112" t="inlineStr">
        <is>
          <t>S002</t>
        </is>
      </c>
      <c r="D112" t="inlineStr">
        <is>
          <t>R044</t>
        </is>
      </c>
      <c r="E112" s="3" t="n">
        <v>46277.64305555556</v>
      </c>
      <c r="F112" s="3" t="n">
        <v>46277.64916666667</v>
      </c>
      <c r="G112" s="3" t="n">
        <v>46277.64861111111</v>
      </c>
      <c r="H112" t="inlineStr">
        <is>
          <t>Delivered</t>
        </is>
      </c>
      <c r="I112" t="n">
        <v>3</v>
      </c>
      <c r="J112" t="n">
        <v>9</v>
      </c>
      <c r="K112" t="n">
        <v>1395.21</v>
      </c>
      <c r="L112" t="n">
        <v>1.22</v>
      </c>
      <c r="M112" t="n">
        <v>1.9</v>
      </c>
      <c r="N112" t="n">
        <v>2.7</v>
      </c>
      <c r="O112" t="n">
        <v>3.4</v>
      </c>
      <c r="P112" t="n">
        <v>8.800000000000001</v>
      </c>
      <c r="Q112" t="n">
        <v>8</v>
      </c>
      <c r="R112" t="n">
        <v>-0.8</v>
      </c>
      <c r="S112" t="b">
        <v>1</v>
      </c>
      <c r="U112" t="n">
        <v>15</v>
      </c>
      <c r="V112" t="b">
        <v>0</v>
      </c>
      <c r="X112" t="b">
        <v>0</v>
      </c>
      <c r="Y112" t="n">
        <v>0.68</v>
      </c>
    </row>
    <row r="113">
      <c r="A113" t="inlineStr">
        <is>
          <t>O00112</t>
        </is>
      </c>
      <c r="B113" t="inlineStr">
        <is>
          <t>C0119</t>
        </is>
      </c>
      <c r="C113" t="inlineStr">
        <is>
          <t>S020</t>
        </is>
      </c>
      <c r="D113" t="inlineStr">
        <is>
          <t>R022</t>
        </is>
      </c>
      <c r="E113" s="3" t="n">
        <v>46278.52916666667</v>
      </c>
      <c r="F113" s="3" t="n">
        <v>46278.53743055555</v>
      </c>
      <c r="G113" s="3" t="n">
        <v>46278.53722222222</v>
      </c>
      <c r="H113" t="inlineStr">
        <is>
          <t>Delivered</t>
        </is>
      </c>
      <c r="I113" t="n">
        <v>3</v>
      </c>
      <c r="J113" t="n">
        <v>5</v>
      </c>
      <c r="K113" t="n">
        <v>593.6799999999999</v>
      </c>
      <c r="L113" t="n">
        <v>1.27</v>
      </c>
      <c r="M113" t="n">
        <v>6.3</v>
      </c>
      <c r="N113" t="n">
        <v>2.5</v>
      </c>
      <c r="O113" t="n">
        <v>2.8</v>
      </c>
      <c r="P113" t="n">
        <v>11.9</v>
      </c>
      <c r="Q113" t="n">
        <v>11.6</v>
      </c>
      <c r="R113" t="n">
        <v>-0.3</v>
      </c>
      <c r="S113" t="b">
        <v>1</v>
      </c>
      <c r="U113" t="n">
        <v>12</v>
      </c>
      <c r="V113" t="b">
        <v>0</v>
      </c>
      <c r="X113" t="b">
        <v>0</v>
      </c>
      <c r="Y113" t="n">
        <v>0.22</v>
      </c>
    </row>
    <row r="114">
      <c r="A114" t="inlineStr">
        <is>
          <t>O00113</t>
        </is>
      </c>
      <c r="B114" t="inlineStr">
        <is>
          <t>C0027</t>
        </is>
      </c>
      <c r="C114" t="inlineStr">
        <is>
          <t>S006</t>
        </is>
      </c>
      <c r="D114" t="inlineStr">
        <is>
          <t>R069</t>
        </is>
      </c>
      <c r="E114" s="3" t="n">
        <v>46269.42847222222</v>
      </c>
      <c r="F114" s="3" t="n">
        <v>46269.43625</v>
      </c>
      <c r="G114" s="3" t="n">
        <v>46269.43583333334</v>
      </c>
      <c r="H114" t="inlineStr">
        <is>
          <t>Delivered</t>
        </is>
      </c>
      <c r="I114" t="n">
        <v>4</v>
      </c>
      <c r="J114" t="n">
        <v>6</v>
      </c>
      <c r="K114" t="n">
        <v>1273.63</v>
      </c>
      <c r="L114" t="n">
        <v>0.79</v>
      </c>
      <c r="M114" t="n">
        <v>3.7</v>
      </c>
      <c r="N114" t="n">
        <v>4.8</v>
      </c>
      <c r="O114" t="n">
        <v>2.1</v>
      </c>
      <c r="P114" t="n">
        <v>11.2</v>
      </c>
      <c r="Q114" t="n">
        <v>10.6</v>
      </c>
      <c r="R114" t="n">
        <v>-0.6</v>
      </c>
      <c r="S114" t="b">
        <v>1</v>
      </c>
      <c r="U114" t="n">
        <v>10</v>
      </c>
      <c r="V114" t="b">
        <v>0</v>
      </c>
      <c r="X114" t="b">
        <v>0</v>
      </c>
      <c r="Y114" t="n">
        <v>0.46</v>
      </c>
    </row>
    <row r="115">
      <c r="A115" t="inlineStr">
        <is>
          <t>O00114</t>
        </is>
      </c>
      <c r="B115" t="inlineStr">
        <is>
          <t>C0160</t>
        </is>
      </c>
      <c r="C115" t="inlineStr">
        <is>
          <t>S011</t>
        </is>
      </c>
      <c r="D115" t="inlineStr">
        <is>
          <t>R059</t>
        </is>
      </c>
      <c r="E115" s="3" t="n">
        <v>46273.96180555555</v>
      </c>
      <c r="F115" s="3" t="n">
        <v>46273.96902777778</v>
      </c>
      <c r="G115" s="3" t="n">
        <v>46273.96881944445</v>
      </c>
      <c r="H115" t="inlineStr">
        <is>
          <t>Delivered</t>
        </is>
      </c>
      <c r="I115" t="n">
        <v>6</v>
      </c>
      <c r="J115" t="n">
        <v>6</v>
      </c>
      <c r="K115" t="n">
        <v>647.11</v>
      </c>
      <c r="L115" t="n">
        <v>1.06</v>
      </c>
      <c r="M115" t="n">
        <v>4.3</v>
      </c>
      <c r="N115" t="n">
        <v>2.7</v>
      </c>
      <c r="O115" t="n">
        <v>3.1</v>
      </c>
      <c r="P115" t="n">
        <v>10.4</v>
      </c>
      <c r="Q115" t="n">
        <v>10.1</v>
      </c>
      <c r="R115" t="n">
        <v>-0.3</v>
      </c>
      <c r="S115" t="b">
        <v>1</v>
      </c>
      <c r="U115" t="n">
        <v>23</v>
      </c>
      <c r="V115" t="b">
        <v>0</v>
      </c>
      <c r="X115" t="b">
        <v>0</v>
      </c>
      <c r="Y115" t="n">
        <v>0.8100000000000001</v>
      </c>
    </row>
    <row r="116">
      <c r="A116" t="inlineStr">
        <is>
          <t>O00115</t>
        </is>
      </c>
      <c r="B116" t="inlineStr">
        <is>
          <t>C0176</t>
        </is>
      </c>
      <c r="C116" t="inlineStr">
        <is>
          <t>S015</t>
        </is>
      </c>
      <c r="D116" t="inlineStr">
        <is>
          <t>R075</t>
        </is>
      </c>
      <c r="E116" s="3" t="n">
        <v>46269.63333333333</v>
      </c>
      <c r="F116" s="3" t="n">
        <v>46269.63916666667</v>
      </c>
      <c r="G116" s="3" t="n">
        <v>46269.63854166667</v>
      </c>
      <c r="H116" t="inlineStr">
        <is>
          <t>Delivered</t>
        </is>
      </c>
      <c r="I116" t="n">
        <v>5</v>
      </c>
      <c r="J116" t="n">
        <v>5</v>
      </c>
      <c r="K116" t="n">
        <v>1370.92</v>
      </c>
      <c r="L116" t="n">
        <v>1.18</v>
      </c>
      <c r="M116" t="n">
        <v>2.9</v>
      </c>
      <c r="N116" t="n">
        <v>2.3</v>
      </c>
      <c r="O116" t="n">
        <v>2.3</v>
      </c>
      <c r="P116" t="n">
        <v>8.4</v>
      </c>
      <c r="Q116" t="n">
        <v>7.5</v>
      </c>
      <c r="R116" t="n">
        <v>-0.9</v>
      </c>
      <c r="S116" t="b">
        <v>1</v>
      </c>
      <c r="U116" t="n">
        <v>15</v>
      </c>
      <c r="V116" t="b">
        <v>0</v>
      </c>
      <c r="X116" t="b">
        <v>1</v>
      </c>
      <c r="Y116" t="n">
        <v>0.41</v>
      </c>
    </row>
    <row r="117">
      <c r="A117" t="inlineStr">
        <is>
          <t>O00116</t>
        </is>
      </c>
      <c r="B117" t="inlineStr">
        <is>
          <t>C0229</t>
        </is>
      </c>
      <c r="C117" t="inlineStr">
        <is>
          <t>S009</t>
        </is>
      </c>
      <c r="D117" t="inlineStr">
        <is>
          <t>R024</t>
        </is>
      </c>
      <c r="E117" s="3" t="n">
        <v>46278.74444444444</v>
      </c>
      <c r="F117" s="3" t="n">
        <v>46278.75076388889</v>
      </c>
      <c r="G117" s="3" t="n">
        <v>46278.75166666666</v>
      </c>
      <c r="H117" t="inlineStr">
        <is>
          <t>Delivered</t>
        </is>
      </c>
      <c r="I117" t="n">
        <v>2</v>
      </c>
      <c r="J117" t="n">
        <v>6</v>
      </c>
      <c r="K117" t="n">
        <v>1033.5</v>
      </c>
      <c r="L117" t="n">
        <v>0.74</v>
      </c>
      <c r="M117" t="n">
        <v>1.6</v>
      </c>
      <c r="N117" t="n">
        <v>5.3</v>
      </c>
      <c r="O117" t="n">
        <v>3.5</v>
      </c>
      <c r="P117" t="n">
        <v>9.1</v>
      </c>
      <c r="Q117" t="n">
        <v>10.4</v>
      </c>
      <c r="R117" t="n">
        <v>1.3</v>
      </c>
      <c r="S117" t="b">
        <v>0</v>
      </c>
      <c r="U117" t="n">
        <v>17</v>
      </c>
      <c r="V117" t="b">
        <v>0</v>
      </c>
      <c r="X117" t="b">
        <v>0</v>
      </c>
      <c r="Y117" t="n">
        <v>0.6</v>
      </c>
    </row>
    <row r="118">
      <c r="A118" t="inlineStr">
        <is>
          <t>O00117</t>
        </is>
      </c>
      <c r="B118" t="inlineStr">
        <is>
          <t>C0195</t>
        </is>
      </c>
      <c r="C118" t="inlineStr">
        <is>
          <t>S008</t>
        </is>
      </c>
      <c r="D118" t="inlineStr">
        <is>
          <t>R063</t>
        </is>
      </c>
      <c r="E118" s="3" t="n">
        <v>46278.91597222222</v>
      </c>
      <c r="F118" s="3" t="n">
        <v>46278.92298611111</v>
      </c>
      <c r="G118" s="3" t="n">
        <v>46278.92277777778</v>
      </c>
      <c r="H118" t="inlineStr">
        <is>
          <t>Delivered</t>
        </is>
      </c>
      <c r="I118" t="n">
        <v>4</v>
      </c>
      <c r="J118" t="n">
        <v>6</v>
      </c>
      <c r="K118" t="n">
        <v>1146.64</v>
      </c>
      <c r="L118" t="n">
        <v>1.48</v>
      </c>
      <c r="M118" t="n">
        <v>1.6</v>
      </c>
      <c r="N118" t="n">
        <v>3.8</v>
      </c>
      <c r="O118" t="n">
        <v>4.4</v>
      </c>
      <c r="P118" t="n">
        <v>10.1</v>
      </c>
      <c r="Q118" t="n">
        <v>9.800000000000001</v>
      </c>
      <c r="R118" t="n">
        <v>-0.3</v>
      </c>
      <c r="S118" t="b">
        <v>1</v>
      </c>
      <c r="U118" t="n">
        <v>21</v>
      </c>
      <c r="V118" t="b">
        <v>1</v>
      </c>
      <c r="X118" t="b">
        <v>0</v>
      </c>
      <c r="Y118" t="n">
        <v>0.85</v>
      </c>
    </row>
    <row r="119">
      <c r="A119" t="inlineStr">
        <is>
          <t>O00118</t>
        </is>
      </c>
      <c r="B119" t="inlineStr">
        <is>
          <t>C0132</t>
        </is>
      </c>
      <c r="C119" t="inlineStr">
        <is>
          <t>S009</t>
        </is>
      </c>
      <c r="D119" t="inlineStr">
        <is>
          <t>R034</t>
        </is>
      </c>
      <c r="E119" s="3" t="n">
        <v>46273.44722222222</v>
      </c>
      <c r="F119" s="3" t="n">
        <v>46273.45479166666</v>
      </c>
      <c r="G119" s="3" t="n">
        <v>46273.45444444445</v>
      </c>
      <c r="H119" t="inlineStr">
        <is>
          <t>Delivered</t>
        </is>
      </c>
      <c r="I119" t="n">
        <v>2</v>
      </c>
      <c r="J119" t="n">
        <v>6</v>
      </c>
      <c r="K119" t="n">
        <v>680.65</v>
      </c>
      <c r="L119" t="n">
        <v>2.8</v>
      </c>
      <c r="M119" t="n">
        <v>1.7</v>
      </c>
      <c r="N119" t="n">
        <v>3.2</v>
      </c>
      <c r="O119" t="n">
        <v>5.5</v>
      </c>
      <c r="P119" t="n">
        <v>10.9</v>
      </c>
      <c r="Q119" t="n">
        <v>10.4</v>
      </c>
      <c r="R119" t="n">
        <v>-0.5</v>
      </c>
      <c r="S119" t="b">
        <v>1</v>
      </c>
      <c r="U119" t="n">
        <v>10</v>
      </c>
      <c r="V119" t="b">
        <v>0</v>
      </c>
      <c r="X119" t="b">
        <v>0</v>
      </c>
      <c r="Y119" t="n">
        <v>0.42</v>
      </c>
    </row>
    <row r="120">
      <c r="A120" t="inlineStr">
        <is>
          <t>O00119</t>
        </is>
      </c>
      <c r="B120" t="inlineStr">
        <is>
          <t>C0145</t>
        </is>
      </c>
      <c r="C120" t="inlineStr">
        <is>
          <t>S013</t>
        </is>
      </c>
      <c r="D120" t="inlineStr">
        <is>
          <t>R045</t>
        </is>
      </c>
      <c r="E120" s="3" t="n">
        <v>46273.75</v>
      </c>
      <c r="F120" s="3" t="n">
        <v>46273.75631944444</v>
      </c>
      <c r="G120" s="3" t="n">
        <v>46273.755625</v>
      </c>
      <c r="H120" t="inlineStr">
        <is>
          <t>Delivered</t>
        </is>
      </c>
      <c r="I120" t="n">
        <v>3</v>
      </c>
      <c r="J120" t="n">
        <v>8</v>
      </c>
      <c r="K120" t="n">
        <v>602.54</v>
      </c>
      <c r="L120" t="n">
        <v>0.86</v>
      </c>
      <c r="M120" t="n">
        <v>4.3</v>
      </c>
      <c r="N120" t="n">
        <v>0.7</v>
      </c>
      <c r="O120" t="n">
        <v>3.1</v>
      </c>
      <c r="P120" t="n">
        <v>9.1</v>
      </c>
      <c r="Q120" t="n">
        <v>8.1</v>
      </c>
      <c r="R120" t="n">
        <v>-1</v>
      </c>
      <c r="S120" t="b">
        <v>1</v>
      </c>
      <c r="U120" t="n">
        <v>18</v>
      </c>
      <c r="V120" t="b">
        <v>0</v>
      </c>
      <c r="W120" t="inlineStr">
        <is>
          <t>Light</t>
        </is>
      </c>
      <c r="X120" t="b">
        <v>0</v>
      </c>
      <c r="Y120" t="n">
        <v>0.75</v>
      </c>
    </row>
    <row r="121">
      <c r="A121" t="inlineStr">
        <is>
          <t>O00120</t>
        </is>
      </c>
      <c r="B121" t="inlineStr">
        <is>
          <t>C0041</t>
        </is>
      </c>
      <c r="C121" t="inlineStr">
        <is>
          <t>S001</t>
        </is>
      </c>
      <c r="D121" t="inlineStr">
        <is>
          <t>R056</t>
        </is>
      </c>
      <c r="E121" s="3" t="n">
        <v>46271.40833333333</v>
      </c>
      <c r="F121" s="3" t="n">
        <v>46271.41527777778</v>
      </c>
      <c r="G121" s="3" t="n">
        <v>46271.41583333333</v>
      </c>
      <c r="H121" t="inlineStr">
        <is>
          <t>Delivered</t>
        </is>
      </c>
      <c r="I121" t="n">
        <v>3</v>
      </c>
      <c r="J121" t="n">
        <v>6</v>
      </c>
      <c r="K121" t="n">
        <v>531.52</v>
      </c>
      <c r="L121" t="n">
        <v>0.91</v>
      </c>
      <c r="M121" t="n">
        <v>4.4</v>
      </c>
      <c r="N121" t="n">
        <v>0.9</v>
      </c>
      <c r="O121" t="n">
        <v>5.5</v>
      </c>
      <c r="P121" t="n">
        <v>10</v>
      </c>
      <c r="Q121" t="n">
        <v>10.8</v>
      </c>
      <c r="R121" t="n">
        <v>0.8</v>
      </c>
      <c r="S121" t="b">
        <v>0</v>
      </c>
      <c r="U121" t="n">
        <v>9</v>
      </c>
      <c r="V121" t="b">
        <v>0</v>
      </c>
      <c r="W121" t="inlineStr">
        <is>
          <t>Heavy</t>
        </is>
      </c>
      <c r="X121" t="b">
        <v>0</v>
      </c>
      <c r="Y121" t="n">
        <v>0.5600000000000001</v>
      </c>
    </row>
    <row r="122">
      <c r="A122" t="inlineStr">
        <is>
          <t>O00121</t>
        </is>
      </c>
      <c r="B122" t="inlineStr">
        <is>
          <t>C0153</t>
        </is>
      </c>
      <c r="C122" t="inlineStr">
        <is>
          <t>S008</t>
        </is>
      </c>
      <c r="D122" t="inlineStr">
        <is>
          <t>R027</t>
        </is>
      </c>
      <c r="E122" s="3" t="n">
        <v>46271.7375</v>
      </c>
      <c r="F122" s="3" t="n">
        <v>46271.74375</v>
      </c>
      <c r="G122" s="3" t="n">
        <v>46271.75020833333</v>
      </c>
      <c r="H122" t="inlineStr">
        <is>
          <t>Delivered</t>
        </is>
      </c>
      <c r="I122" t="n">
        <v>1</v>
      </c>
      <c r="J122" t="n">
        <v>5</v>
      </c>
      <c r="K122" t="n">
        <v>789.3200000000001</v>
      </c>
      <c r="L122" t="n">
        <v>1.15</v>
      </c>
      <c r="M122" t="n">
        <v>3.8</v>
      </c>
      <c r="N122" t="n">
        <v>10.1</v>
      </c>
      <c r="O122" t="n">
        <v>4.3</v>
      </c>
      <c r="P122" t="n">
        <v>9</v>
      </c>
      <c r="Q122" t="n">
        <v>18.3</v>
      </c>
      <c r="R122" t="n">
        <v>9.300000000000001</v>
      </c>
      <c r="S122" t="b">
        <v>0</v>
      </c>
      <c r="U122" t="n">
        <v>17</v>
      </c>
      <c r="V122" t="b">
        <v>0</v>
      </c>
      <c r="X122" t="b">
        <v>0</v>
      </c>
      <c r="Y122" t="n">
        <v>0.58</v>
      </c>
    </row>
    <row r="123">
      <c r="A123" t="inlineStr">
        <is>
          <t>O00122</t>
        </is>
      </c>
      <c r="B123" t="inlineStr">
        <is>
          <t>C0125</t>
        </is>
      </c>
      <c r="C123" t="inlineStr">
        <is>
          <t>S007</t>
        </is>
      </c>
      <c r="D123" t="inlineStr">
        <is>
          <t>R043</t>
        </is>
      </c>
      <c r="E123" s="3" t="n">
        <v>46269.59305555555</v>
      </c>
      <c r="F123" s="3" t="n">
        <v>46269.59993055555</v>
      </c>
      <c r="G123" s="3" t="n">
        <v>46269.60166666667</v>
      </c>
      <c r="H123" t="inlineStr">
        <is>
          <t>Delivered</t>
        </is>
      </c>
      <c r="I123" t="n">
        <v>3</v>
      </c>
      <c r="J123" t="n">
        <v>8</v>
      </c>
      <c r="K123" t="n">
        <v>1509.32</v>
      </c>
      <c r="L123" t="n">
        <v>1.2</v>
      </c>
      <c r="M123" t="n">
        <v>5.6</v>
      </c>
      <c r="N123" t="n">
        <v>4</v>
      </c>
      <c r="O123" t="n">
        <v>2.9</v>
      </c>
      <c r="P123" t="n">
        <v>9.9</v>
      </c>
      <c r="Q123" t="n">
        <v>12.4</v>
      </c>
      <c r="R123" t="n">
        <v>2.5</v>
      </c>
      <c r="S123" t="b">
        <v>0</v>
      </c>
      <c r="U123" t="n">
        <v>14</v>
      </c>
      <c r="V123" t="b">
        <v>0</v>
      </c>
      <c r="X123" t="b">
        <v>0</v>
      </c>
      <c r="Y123" t="n">
        <v>0.17</v>
      </c>
    </row>
    <row r="124">
      <c r="A124" t="inlineStr">
        <is>
          <t>O00123</t>
        </is>
      </c>
      <c r="B124" t="inlineStr">
        <is>
          <t>C0043</t>
        </is>
      </c>
      <c r="C124" t="inlineStr">
        <is>
          <t>S007</t>
        </is>
      </c>
      <c r="D124" t="inlineStr">
        <is>
          <t>R019</t>
        </is>
      </c>
      <c r="E124" s="3" t="n">
        <v>46270.87083333333</v>
      </c>
      <c r="F124" s="3" t="n">
        <v>46270.87763888889</v>
      </c>
      <c r="G124" s="3" t="n">
        <v>46270.88034722222</v>
      </c>
      <c r="H124" t="inlineStr">
        <is>
          <t>Delivered</t>
        </is>
      </c>
      <c r="I124" t="n">
        <v>6</v>
      </c>
      <c r="J124" t="n">
        <v>8</v>
      </c>
      <c r="K124" t="n">
        <v>388.83</v>
      </c>
      <c r="L124" t="n">
        <v>1.65</v>
      </c>
      <c r="M124" t="n">
        <v>4.1</v>
      </c>
      <c r="N124" t="n">
        <v>4.6</v>
      </c>
      <c r="O124" t="n">
        <v>5</v>
      </c>
      <c r="P124" t="n">
        <v>9.800000000000001</v>
      </c>
      <c r="Q124" t="n">
        <v>13.7</v>
      </c>
      <c r="R124" t="n">
        <v>3.9</v>
      </c>
      <c r="S124" t="b">
        <v>0</v>
      </c>
      <c r="U124" t="n">
        <v>20</v>
      </c>
      <c r="V124" t="b">
        <v>1</v>
      </c>
      <c r="X124" t="b">
        <v>0</v>
      </c>
      <c r="Y124" t="n">
        <v>0.5</v>
      </c>
    </row>
    <row r="125">
      <c r="A125" t="inlineStr">
        <is>
          <t>O00124</t>
        </is>
      </c>
      <c r="B125" t="inlineStr">
        <is>
          <t>C0010</t>
        </is>
      </c>
      <c r="C125" t="inlineStr">
        <is>
          <t>S002</t>
        </is>
      </c>
      <c r="D125" t="inlineStr">
        <is>
          <t>R076</t>
        </is>
      </c>
      <c r="E125" s="3" t="n">
        <v>46274.74652777778</v>
      </c>
      <c r="F125" s="3" t="n">
        <v>46274.75451388889</v>
      </c>
      <c r="G125" s="3" t="n">
        <v>46274.75375</v>
      </c>
      <c r="H125" t="inlineStr">
        <is>
          <t>Delivered</t>
        </is>
      </c>
      <c r="I125" t="n">
        <v>3</v>
      </c>
      <c r="J125" t="n">
        <v>4</v>
      </c>
      <c r="K125" t="n">
        <v>420.92</v>
      </c>
      <c r="L125" t="n">
        <v>1.67</v>
      </c>
      <c r="M125" t="n">
        <v>2.4</v>
      </c>
      <c r="N125" t="n">
        <v>3.5</v>
      </c>
      <c r="O125" t="n">
        <v>4.5</v>
      </c>
      <c r="P125" t="n">
        <v>11.5</v>
      </c>
      <c r="Q125" t="n">
        <v>10.4</v>
      </c>
      <c r="R125" t="n">
        <v>-1.1</v>
      </c>
      <c r="S125" t="b">
        <v>1</v>
      </c>
      <c r="U125" t="n">
        <v>17</v>
      </c>
      <c r="V125" t="b">
        <v>0</v>
      </c>
      <c r="W125" t="inlineStr">
        <is>
          <t>Light</t>
        </is>
      </c>
      <c r="X125" t="b">
        <v>0</v>
      </c>
      <c r="Y125" t="n">
        <v>0.42</v>
      </c>
    </row>
    <row r="126">
      <c r="A126" t="inlineStr">
        <is>
          <t>O00125</t>
        </is>
      </c>
      <c r="B126" t="inlineStr">
        <is>
          <t>C0105</t>
        </is>
      </c>
      <c r="C126" t="inlineStr">
        <is>
          <t>S007</t>
        </is>
      </c>
      <c r="D126" t="inlineStr">
        <is>
          <t>R025</t>
        </is>
      </c>
      <c r="E126" s="3" t="n">
        <v>46268.91736111111</v>
      </c>
      <c r="F126" s="3" t="n">
        <v>46268.92486111111</v>
      </c>
      <c r="G126" s="3" t="n">
        <v>46268.92284722222</v>
      </c>
      <c r="H126" t="inlineStr">
        <is>
          <t>Delivered</t>
        </is>
      </c>
      <c r="I126" t="n">
        <v>6</v>
      </c>
      <c r="J126" t="n">
        <v>7</v>
      </c>
      <c r="K126" t="n">
        <v>604.37</v>
      </c>
      <c r="L126" t="n">
        <v>0.5</v>
      </c>
      <c r="M126" t="n">
        <v>4.8</v>
      </c>
      <c r="N126" t="n">
        <v>0.1</v>
      </c>
      <c r="O126" t="n">
        <v>3</v>
      </c>
      <c r="P126" t="n">
        <v>10.8</v>
      </c>
      <c r="Q126" t="n">
        <v>7.9</v>
      </c>
      <c r="R126" t="n">
        <v>-2.9</v>
      </c>
      <c r="S126" t="b">
        <v>1</v>
      </c>
      <c r="U126" t="n">
        <v>22</v>
      </c>
      <c r="V126" t="b">
        <v>0</v>
      </c>
      <c r="X126" t="b">
        <v>0</v>
      </c>
      <c r="Y126" t="n">
        <v>0.63</v>
      </c>
    </row>
    <row r="127">
      <c r="A127" t="inlineStr">
        <is>
          <t>O00126</t>
        </is>
      </c>
      <c r="B127" t="inlineStr">
        <is>
          <t>C0017</t>
        </is>
      </c>
      <c r="C127" t="inlineStr">
        <is>
          <t>S007</t>
        </is>
      </c>
      <c r="D127" t="inlineStr">
        <is>
          <t>R080</t>
        </is>
      </c>
      <c r="E127" s="3" t="n">
        <v>46279.78055555555</v>
      </c>
      <c r="F127" s="3" t="n">
        <v>46279.78875</v>
      </c>
      <c r="G127" s="3" t="n">
        <v>46279.78833333333</v>
      </c>
      <c r="H127" t="inlineStr">
        <is>
          <t>Delivered</t>
        </is>
      </c>
      <c r="I127" t="n">
        <v>5</v>
      </c>
      <c r="J127" t="n">
        <v>8</v>
      </c>
      <c r="K127" t="n">
        <v>262</v>
      </c>
      <c r="L127" t="n">
        <v>4.4</v>
      </c>
      <c r="M127" t="n">
        <v>3.3</v>
      </c>
      <c r="N127" t="n">
        <v>1.9</v>
      </c>
      <c r="O127" t="n">
        <v>6</v>
      </c>
      <c r="P127" t="n">
        <v>11.8</v>
      </c>
      <c r="Q127" t="n">
        <v>11.2</v>
      </c>
      <c r="R127" t="n">
        <v>-0.6</v>
      </c>
      <c r="S127" t="b">
        <v>1</v>
      </c>
      <c r="U127" t="n">
        <v>18</v>
      </c>
      <c r="V127" t="b">
        <v>0</v>
      </c>
      <c r="X127" t="b">
        <v>0</v>
      </c>
      <c r="Y127" t="n">
        <v>0.58</v>
      </c>
    </row>
    <row r="128">
      <c r="A128" t="inlineStr">
        <is>
          <t>O00127</t>
        </is>
      </c>
      <c r="B128" t="inlineStr">
        <is>
          <t>C0116</t>
        </is>
      </c>
      <c r="C128" t="inlineStr">
        <is>
          <t>S014</t>
        </is>
      </c>
      <c r="D128" t="inlineStr">
        <is>
          <t>R048</t>
        </is>
      </c>
      <c r="E128" s="3" t="n">
        <v>46278.80625</v>
      </c>
      <c r="F128" s="3" t="n">
        <v>46278.81340277778</v>
      </c>
      <c r="G128" s="3" t="n">
        <v>46278.82076388889</v>
      </c>
      <c r="H128" t="inlineStr">
        <is>
          <t>Delivered</t>
        </is>
      </c>
      <c r="I128" t="n">
        <v>2</v>
      </c>
      <c r="J128" t="n">
        <v>3</v>
      </c>
      <c r="K128" t="n">
        <v>1191.17</v>
      </c>
      <c r="L128" t="n">
        <v>3.3</v>
      </c>
      <c r="M128" t="n">
        <v>5.9</v>
      </c>
      <c r="N128" t="n">
        <v>6.6</v>
      </c>
      <c r="O128" t="n">
        <v>8.4</v>
      </c>
      <c r="P128" t="n">
        <v>10.3</v>
      </c>
      <c r="Q128" t="n">
        <v>20.9</v>
      </c>
      <c r="R128" t="n">
        <v>10.6</v>
      </c>
      <c r="S128" t="b">
        <v>0</v>
      </c>
      <c r="U128" t="n">
        <v>19</v>
      </c>
      <c r="V128" t="b">
        <v>1</v>
      </c>
      <c r="X128" t="b">
        <v>0</v>
      </c>
      <c r="Y128" t="n">
        <v>0.68</v>
      </c>
    </row>
    <row r="129">
      <c r="A129" t="inlineStr">
        <is>
          <t>O00128</t>
        </is>
      </c>
      <c r="B129" t="inlineStr">
        <is>
          <t>C0154</t>
        </is>
      </c>
      <c r="C129" t="inlineStr">
        <is>
          <t>S020</t>
        </is>
      </c>
      <c r="D129" t="inlineStr">
        <is>
          <t>R070</t>
        </is>
      </c>
      <c r="E129" s="3" t="n">
        <v>46273.64375</v>
      </c>
      <c r="F129" s="3" t="n">
        <v>46273.64888888889</v>
      </c>
      <c r="G129" s="3" t="n">
        <v>46273.64861111111</v>
      </c>
      <c r="H129" t="inlineStr">
        <is>
          <t>Delivered</t>
        </is>
      </c>
      <c r="I129" t="n">
        <v>1</v>
      </c>
      <c r="J129" t="n">
        <v>4</v>
      </c>
      <c r="K129" t="n">
        <v>652.99</v>
      </c>
      <c r="L129" t="n">
        <v>0.55</v>
      </c>
      <c r="M129" t="n">
        <v>3.1</v>
      </c>
      <c r="N129" t="n">
        <v>2.1</v>
      </c>
      <c r="O129" t="n">
        <v>1.8</v>
      </c>
      <c r="P129" t="n">
        <v>7.4</v>
      </c>
      <c r="Q129" t="n">
        <v>7</v>
      </c>
      <c r="R129" t="n">
        <v>-0.4</v>
      </c>
      <c r="S129" t="b">
        <v>1</v>
      </c>
      <c r="U129" t="n">
        <v>15</v>
      </c>
      <c r="V129" t="b">
        <v>0</v>
      </c>
      <c r="X129" t="b">
        <v>0</v>
      </c>
      <c r="Y129" t="n">
        <v>0.44</v>
      </c>
    </row>
    <row r="130">
      <c r="A130" t="inlineStr">
        <is>
          <t>O00129</t>
        </is>
      </c>
      <c r="B130" t="inlineStr">
        <is>
          <t>C0197</t>
        </is>
      </c>
      <c r="C130" t="inlineStr">
        <is>
          <t>S016</t>
        </is>
      </c>
      <c r="D130" t="inlineStr">
        <is>
          <t>R003</t>
        </is>
      </c>
      <c r="E130" s="3" t="n">
        <v>46272.52777777778</v>
      </c>
      <c r="F130" s="3" t="n">
        <v>46272.53395833333</v>
      </c>
      <c r="G130" s="3" t="n">
        <v>46272.53354166666</v>
      </c>
      <c r="H130" t="inlineStr">
        <is>
          <t>Delivered</t>
        </is>
      </c>
      <c r="I130" t="n">
        <v>4</v>
      </c>
      <c r="J130" t="n">
        <v>7</v>
      </c>
      <c r="K130" t="n">
        <v>1730.86</v>
      </c>
      <c r="L130" t="n">
        <v>0.5</v>
      </c>
      <c r="M130" t="n">
        <v>2.7</v>
      </c>
      <c r="N130" t="n">
        <v>3.4</v>
      </c>
      <c r="O130" t="n">
        <v>2.2</v>
      </c>
      <c r="P130" t="n">
        <v>8.9</v>
      </c>
      <c r="Q130" t="n">
        <v>8.300000000000001</v>
      </c>
      <c r="R130" t="n">
        <v>-0.6</v>
      </c>
      <c r="S130" t="b">
        <v>1</v>
      </c>
      <c r="U130" t="n">
        <v>12</v>
      </c>
      <c r="V130" t="b">
        <v>0</v>
      </c>
      <c r="X130" t="b">
        <v>0</v>
      </c>
      <c r="Y130" t="n">
        <v>0.75</v>
      </c>
    </row>
    <row r="131">
      <c r="A131" t="inlineStr">
        <is>
          <t>O00130</t>
        </is>
      </c>
      <c r="B131" t="inlineStr">
        <is>
          <t>C0131</t>
        </is>
      </c>
      <c r="C131" t="inlineStr">
        <is>
          <t>S019</t>
        </is>
      </c>
      <c r="D131" t="inlineStr">
        <is>
          <t>R027</t>
        </is>
      </c>
      <c r="E131" s="3" t="n">
        <v>46266.36388888889</v>
      </c>
      <c r="F131" s="3" t="n">
        <v>46266.37173611111</v>
      </c>
      <c r="G131" s="3" t="n">
        <v>46266.37104166667</v>
      </c>
      <c r="H131" t="inlineStr">
        <is>
          <t>Delivered</t>
        </is>
      </c>
      <c r="I131" t="n">
        <v>1</v>
      </c>
      <c r="J131" t="n">
        <v>13</v>
      </c>
      <c r="K131" t="n">
        <v>887.95</v>
      </c>
      <c r="L131" t="n">
        <v>1.92</v>
      </c>
      <c r="M131" t="n">
        <v>3.3</v>
      </c>
      <c r="N131" t="n">
        <v>4.3</v>
      </c>
      <c r="O131" t="n">
        <v>2.7</v>
      </c>
      <c r="P131" t="n">
        <v>11.3</v>
      </c>
      <c r="Q131" t="n">
        <v>10.3</v>
      </c>
      <c r="R131" t="n">
        <v>-1</v>
      </c>
      <c r="S131" t="b">
        <v>1</v>
      </c>
      <c r="U131" t="n">
        <v>8</v>
      </c>
      <c r="V131" t="b">
        <v>0</v>
      </c>
      <c r="X131" t="b">
        <v>0</v>
      </c>
      <c r="Y131" t="n">
        <v>0.44</v>
      </c>
    </row>
    <row r="132">
      <c r="A132" t="inlineStr">
        <is>
          <t>O00131</t>
        </is>
      </c>
      <c r="B132" t="inlineStr">
        <is>
          <t>C0240</t>
        </is>
      </c>
      <c r="C132" t="inlineStr">
        <is>
          <t>S015</t>
        </is>
      </c>
      <c r="D132" t="inlineStr">
        <is>
          <t>R002</t>
        </is>
      </c>
      <c r="E132" s="3" t="n">
        <v>46270.37777777778</v>
      </c>
      <c r="F132" s="3" t="n">
        <v>46270.384375</v>
      </c>
      <c r="G132" s="3" t="n">
        <v>46270.38388888889</v>
      </c>
      <c r="H132" t="inlineStr">
        <is>
          <t>Delivered</t>
        </is>
      </c>
      <c r="I132" t="n">
        <v>5</v>
      </c>
      <c r="J132" t="n">
        <v>8</v>
      </c>
      <c r="K132" t="n">
        <v>420.6</v>
      </c>
      <c r="L132" t="n">
        <v>2.31</v>
      </c>
      <c r="M132" t="n">
        <v>2.2</v>
      </c>
      <c r="N132" t="n">
        <v>3.9</v>
      </c>
      <c r="O132" t="n">
        <v>2.7</v>
      </c>
      <c r="P132" t="n">
        <v>9.5</v>
      </c>
      <c r="Q132" t="n">
        <v>8.800000000000001</v>
      </c>
      <c r="R132" t="n">
        <v>-0.7</v>
      </c>
      <c r="S132" t="b">
        <v>1</v>
      </c>
      <c r="U132" t="n">
        <v>9</v>
      </c>
      <c r="V132" t="b">
        <v>0</v>
      </c>
      <c r="X132" t="b">
        <v>0</v>
      </c>
      <c r="Y132" t="n">
        <v>0.61</v>
      </c>
    </row>
    <row r="133">
      <c r="A133" t="inlineStr">
        <is>
          <t>O00132</t>
        </is>
      </c>
      <c r="B133" t="inlineStr">
        <is>
          <t>C0055</t>
        </is>
      </c>
      <c r="C133" t="inlineStr">
        <is>
          <t>S017</t>
        </is>
      </c>
      <c r="D133" t="inlineStr">
        <is>
          <t>R025</t>
        </is>
      </c>
      <c r="E133" s="3" t="n">
        <v>46276.48194444444</v>
      </c>
      <c r="F133" s="3" t="n">
        <v>46276.48875</v>
      </c>
      <c r="G133" s="3" t="n">
        <v>46276.48819444444</v>
      </c>
      <c r="H133" t="inlineStr">
        <is>
          <t>Delivered</t>
        </is>
      </c>
      <c r="I133" t="n">
        <v>1</v>
      </c>
      <c r="J133" t="n">
        <v>9</v>
      </c>
      <c r="K133" t="n">
        <v>998.73</v>
      </c>
      <c r="L133" t="n">
        <v>1.71</v>
      </c>
      <c r="M133" t="n">
        <v>2.5</v>
      </c>
      <c r="N133" t="n">
        <v>2.1</v>
      </c>
      <c r="O133" t="n">
        <v>4.4</v>
      </c>
      <c r="P133" t="n">
        <v>9.800000000000001</v>
      </c>
      <c r="Q133" t="n">
        <v>9</v>
      </c>
      <c r="R133" t="n">
        <v>-0.8</v>
      </c>
      <c r="S133" t="b">
        <v>1</v>
      </c>
      <c r="U133" t="n">
        <v>11</v>
      </c>
      <c r="V133" t="b">
        <v>0</v>
      </c>
      <c r="W133" t="inlineStr">
        <is>
          <t>Light</t>
        </is>
      </c>
      <c r="X133" t="b">
        <v>0</v>
      </c>
      <c r="Y133" t="n">
        <v>0.4</v>
      </c>
    </row>
    <row r="134">
      <c r="A134" t="inlineStr">
        <is>
          <t>O00133</t>
        </is>
      </c>
      <c r="B134" t="inlineStr">
        <is>
          <t>C0206</t>
        </is>
      </c>
      <c r="C134" t="inlineStr">
        <is>
          <t>S012</t>
        </is>
      </c>
      <c r="D134" t="inlineStr">
        <is>
          <t>R055</t>
        </is>
      </c>
      <c r="E134" s="3" t="n">
        <v>46270.39236111111</v>
      </c>
      <c r="F134" s="3" t="n">
        <v>46270.40090277778</v>
      </c>
      <c r="G134" s="3" t="n">
        <v>46270.40069444444</v>
      </c>
      <c r="H134" t="inlineStr">
        <is>
          <t>Delivered</t>
        </is>
      </c>
      <c r="I134" t="n">
        <v>5</v>
      </c>
      <c r="J134" t="n">
        <v>7</v>
      </c>
      <c r="K134" t="n">
        <v>728.08</v>
      </c>
      <c r="L134" t="n">
        <v>5.3</v>
      </c>
      <c r="M134" t="n">
        <v>3.2</v>
      </c>
      <c r="N134" t="n">
        <v>2.3</v>
      </c>
      <c r="O134" t="n">
        <v>6.5</v>
      </c>
      <c r="P134" t="n">
        <v>12.3</v>
      </c>
      <c r="Q134" t="n">
        <v>12</v>
      </c>
      <c r="R134" t="n">
        <v>-0.3</v>
      </c>
      <c r="S134" t="b">
        <v>1</v>
      </c>
      <c r="U134" t="n">
        <v>9</v>
      </c>
      <c r="V134" t="b">
        <v>0</v>
      </c>
      <c r="X134" t="b">
        <v>0</v>
      </c>
      <c r="Y134" t="n">
        <v>0.44</v>
      </c>
    </row>
    <row r="135">
      <c r="A135" t="inlineStr">
        <is>
          <t>O00134</t>
        </is>
      </c>
      <c r="B135" t="inlineStr">
        <is>
          <t>C0128</t>
        </is>
      </c>
      <c r="C135" t="inlineStr">
        <is>
          <t>S012</t>
        </is>
      </c>
      <c r="D135" t="inlineStr">
        <is>
          <t>R014</t>
        </is>
      </c>
      <c r="E135" s="3" t="n">
        <v>46273.75833333333</v>
      </c>
      <c r="F135" s="3" t="n">
        <v>46273.76472222222</v>
      </c>
      <c r="G135" s="3" t="n">
        <v>46273.76451388889</v>
      </c>
      <c r="H135" t="inlineStr">
        <is>
          <t>Delivered</t>
        </is>
      </c>
      <c r="I135" t="n">
        <v>6</v>
      </c>
      <c r="J135" t="n">
        <v>7</v>
      </c>
      <c r="K135" t="n">
        <v>620.49</v>
      </c>
      <c r="L135" t="n">
        <v>0.5</v>
      </c>
      <c r="M135" t="n">
        <v>3.1</v>
      </c>
      <c r="N135" t="n">
        <v>4.1</v>
      </c>
      <c r="O135" t="n">
        <v>1.7</v>
      </c>
      <c r="P135" t="n">
        <v>9.199999999999999</v>
      </c>
      <c r="Q135" t="n">
        <v>8.9</v>
      </c>
      <c r="R135" t="n">
        <v>-0.3</v>
      </c>
      <c r="S135" t="b">
        <v>1</v>
      </c>
      <c r="U135" t="n">
        <v>18</v>
      </c>
      <c r="V135" t="b">
        <v>0</v>
      </c>
      <c r="W135" t="inlineStr">
        <is>
          <t>Light</t>
        </is>
      </c>
      <c r="X135" t="b">
        <v>0</v>
      </c>
      <c r="Y135" t="n">
        <v>0.47</v>
      </c>
    </row>
    <row r="136">
      <c r="A136" t="inlineStr">
        <is>
          <t>O00135</t>
        </is>
      </c>
      <c r="B136" t="inlineStr">
        <is>
          <t>C0025</t>
        </is>
      </c>
      <c r="C136" t="inlineStr">
        <is>
          <t>S009</t>
        </is>
      </c>
      <c r="D136" t="inlineStr">
        <is>
          <t>R054</t>
        </is>
      </c>
      <c r="E136" s="3" t="n">
        <v>46272.84861111111</v>
      </c>
      <c r="F136" s="3" t="n">
        <v>46272.85402777778</v>
      </c>
      <c r="G136" s="3" t="n">
        <v>46272.85361111111</v>
      </c>
      <c r="H136" t="inlineStr">
        <is>
          <t>Delivered</t>
        </is>
      </c>
      <c r="I136" t="n">
        <v>5</v>
      </c>
      <c r="J136" t="n">
        <v>7</v>
      </c>
      <c r="K136" t="n">
        <v>1279.13</v>
      </c>
      <c r="L136" t="n">
        <v>2.8</v>
      </c>
      <c r="M136" t="n">
        <v>1.4</v>
      </c>
      <c r="N136" t="n">
        <v>2.9</v>
      </c>
      <c r="O136" t="n">
        <v>2.9</v>
      </c>
      <c r="P136" t="n">
        <v>7.8</v>
      </c>
      <c r="Q136" t="n">
        <v>7.2</v>
      </c>
      <c r="R136" t="n">
        <v>-0.6</v>
      </c>
      <c r="S136" t="b">
        <v>1</v>
      </c>
      <c r="U136" t="n">
        <v>20</v>
      </c>
      <c r="V136" t="b">
        <v>1</v>
      </c>
      <c r="X136" t="b">
        <v>0</v>
      </c>
      <c r="Y136" t="n">
        <v>0.5600000000000001</v>
      </c>
    </row>
    <row r="137">
      <c r="A137" t="inlineStr">
        <is>
          <t>O00136</t>
        </is>
      </c>
      <c r="B137" t="inlineStr">
        <is>
          <t>C0115</t>
        </is>
      </c>
      <c r="C137" t="inlineStr">
        <is>
          <t>S019</t>
        </is>
      </c>
      <c r="D137" t="inlineStr">
        <is>
          <t>R032</t>
        </is>
      </c>
      <c r="E137" s="3" t="n">
        <v>46268.68958333333</v>
      </c>
      <c r="F137" s="3" t="n">
        <v>46268.69694444445</v>
      </c>
      <c r="G137" s="3" t="n">
        <v>46268.70034722222</v>
      </c>
      <c r="H137" t="inlineStr">
        <is>
          <t>Delivered</t>
        </is>
      </c>
      <c r="I137" t="n">
        <v>6</v>
      </c>
      <c r="J137" t="n">
        <v>12</v>
      </c>
      <c r="K137" t="n">
        <v>1322.12</v>
      </c>
      <c r="L137" t="n">
        <v>2.5</v>
      </c>
      <c r="M137" t="n">
        <v>5.8</v>
      </c>
      <c r="N137" t="n">
        <v>2.3</v>
      </c>
      <c r="O137" t="n">
        <v>7.4</v>
      </c>
      <c r="P137" t="n">
        <v>10.6</v>
      </c>
      <c r="Q137" t="n">
        <v>15.5</v>
      </c>
      <c r="R137" t="n">
        <v>4.9</v>
      </c>
      <c r="S137" t="b">
        <v>0</v>
      </c>
      <c r="U137" t="n">
        <v>16</v>
      </c>
      <c r="V137" t="b">
        <v>0</v>
      </c>
      <c r="X137" t="b">
        <v>0</v>
      </c>
      <c r="Y137" t="n">
        <v>0.73</v>
      </c>
    </row>
    <row r="138">
      <c r="A138" t="inlineStr">
        <is>
          <t>O00137</t>
        </is>
      </c>
      <c r="B138" t="inlineStr">
        <is>
          <t>C0091</t>
        </is>
      </c>
      <c r="C138" t="inlineStr">
        <is>
          <t>S003</t>
        </is>
      </c>
      <c r="D138" t="inlineStr">
        <is>
          <t>R067</t>
        </is>
      </c>
      <c r="E138" s="3" t="n">
        <v>46266.37152777778</v>
      </c>
      <c r="F138" s="3" t="n">
        <v>46266.37784722223</v>
      </c>
      <c r="G138" s="3" t="n">
        <v>46266.37763888889</v>
      </c>
      <c r="H138" t="inlineStr">
        <is>
          <t>Delivered</t>
        </is>
      </c>
      <c r="I138" t="n">
        <v>4</v>
      </c>
      <c r="J138" t="n">
        <v>6</v>
      </c>
      <c r="K138" t="n">
        <v>424.88</v>
      </c>
      <c r="L138" t="n">
        <v>2.1</v>
      </c>
      <c r="M138" t="n">
        <v>2.3</v>
      </c>
      <c r="N138" t="n">
        <v>2.4</v>
      </c>
      <c r="O138" t="n">
        <v>4.1</v>
      </c>
      <c r="P138" t="n">
        <v>9.1</v>
      </c>
      <c r="Q138" t="n">
        <v>8.800000000000001</v>
      </c>
      <c r="R138" t="n">
        <v>-0.3</v>
      </c>
      <c r="S138" t="b">
        <v>1</v>
      </c>
      <c r="U138" t="n">
        <v>8</v>
      </c>
      <c r="V138" t="b">
        <v>0</v>
      </c>
      <c r="X138" t="b">
        <v>0</v>
      </c>
      <c r="Y138" t="n">
        <v>0.43</v>
      </c>
    </row>
    <row r="139">
      <c r="A139" t="inlineStr">
        <is>
          <t>O00138</t>
        </is>
      </c>
      <c r="B139" t="inlineStr">
        <is>
          <t>C0244</t>
        </is>
      </c>
      <c r="C139" t="inlineStr">
        <is>
          <t>S010</t>
        </is>
      </c>
      <c r="D139" t="inlineStr">
        <is>
          <t>R075</t>
        </is>
      </c>
      <c r="E139" s="3" t="n">
        <v>46270.96111111111</v>
      </c>
      <c r="F139" s="3" t="n">
        <v>46270.969375</v>
      </c>
      <c r="G139" s="3" t="n">
        <v>46270.96861111111</v>
      </c>
      <c r="H139" t="inlineStr">
        <is>
          <t>Delivered</t>
        </is>
      </c>
      <c r="I139" t="n">
        <v>5</v>
      </c>
      <c r="J139" t="n">
        <v>8</v>
      </c>
      <c r="K139" t="n">
        <v>1189.41</v>
      </c>
      <c r="L139" t="n">
        <v>2.53</v>
      </c>
      <c r="M139" t="n">
        <v>4.1</v>
      </c>
      <c r="N139" t="n">
        <v>2.4</v>
      </c>
      <c r="O139" t="n">
        <v>4.3</v>
      </c>
      <c r="P139" t="n">
        <v>11.9</v>
      </c>
      <c r="Q139" t="n">
        <v>10.8</v>
      </c>
      <c r="R139" t="n">
        <v>-1.1</v>
      </c>
      <c r="S139" t="b">
        <v>1</v>
      </c>
      <c r="U139" t="n">
        <v>23</v>
      </c>
      <c r="V139" t="b">
        <v>0</v>
      </c>
      <c r="X139" t="b">
        <v>0</v>
      </c>
      <c r="Y139" t="n">
        <v>0.45</v>
      </c>
    </row>
    <row r="140">
      <c r="A140" t="inlineStr">
        <is>
          <t>O00139</t>
        </is>
      </c>
      <c r="B140" t="inlineStr">
        <is>
          <t>C0027</t>
        </is>
      </c>
      <c r="C140" t="inlineStr">
        <is>
          <t>S016</t>
        </is>
      </c>
      <c r="D140" t="inlineStr">
        <is>
          <t>R004</t>
        </is>
      </c>
      <c r="E140" s="3" t="n">
        <v>46269.95972222222</v>
      </c>
      <c r="F140" s="3" t="n">
        <v>46269.9675</v>
      </c>
      <c r="G140" s="3" t="n">
        <v>46269.96715277778</v>
      </c>
      <c r="H140" t="inlineStr">
        <is>
          <t>Delivered</t>
        </is>
      </c>
      <c r="I140" t="n">
        <v>2</v>
      </c>
      <c r="J140" t="n">
        <v>9</v>
      </c>
      <c r="K140" t="n">
        <v>508.36</v>
      </c>
      <c r="L140" t="n">
        <v>2.1</v>
      </c>
      <c r="M140" t="n">
        <v>5</v>
      </c>
      <c r="N140" t="n">
        <v>1.7</v>
      </c>
      <c r="O140" t="n">
        <v>4</v>
      </c>
      <c r="P140" t="n">
        <v>11.2</v>
      </c>
      <c r="Q140" t="n">
        <v>10.7</v>
      </c>
      <c r="R140" t="n">
        <v>-0.5</v>
      </c>
      <c r="S140" t="b">
        <v>1</v>
      </c>
      <c r="U140" t="n">
        <v>23</v>
      </c>
      <c r="V140" t="b">
        <v>0</v>
      </c>
      <c r="X140" t="b">
        <v>0</v>
      </c>
      <c r="Y140" t="n">
        <v>0.23</v>
      </c>
    </row>
    <row r="141">
      <c r="A141" t="inlineStr">
        <is>
          <t>O00140</t>
        </is>
      </c>
      <c r="B141" t="inlineStr">
        <is>
          <t>C0137</t>
        </is>
      </c>
      <c r="C141" t="inlineStr">
        <is>
          <t>S005</t>
        </is>
      </c>
      <c r="D141" t="inlineStr">
        <is>
          <t>R006</t>
        </is>
      </c>
      <c r="E141" s="3" t="n">
        <v>46274.35069444445</v>
      </c>
      <c r="F141" s="3" t="n">
        <v>46274.35666666667</v>
      </c>
      <c r="G141" s="3" t="n">
        <v>46274.35625</v>
      </c>
      <c r="H141" t="inlineStr">
        <is>
          <t>Delivered</t>
        </is>
      </c>
      <c r="I141" t="n">
        <v>6</v>
      </c>
      <c r="J141" t="n">
        <v>7</v>
      </c>
      <c r="K141" t="n">
        <v>1585.98</v>
      </c>
      <c r="L141" t="n">
        <v>0.87</v>
      </c>
      <c r="M141" t="n">
        <v>2.6</v>
      </c>
      <c r="N141" t="n">
        <v>3.2</v>
      </c>
      <c r="O141" t="n">
        <v>2.2</v>
      </c>
      <c r="P141" t="n">
        <v>8.6</v>
      </c>
      <c r="Q141" t="n">
        <v>8</v>
      </c>
      <c r="R141" t="n">
        <v>-0.6</v>
      </c>
      <c r="S141" t="b">
        <v>1</v>
      </c>
      <c r="U141" t="n">
        <v>8</v>
      </c>
      <c r="V141" t="b">
        <v>0</v>
      </c>
      <c r="W141" t="inlineStr">
        <is>
          <t>Light</t>
        </is>
      </c>
      <c r="X141" t="b">
        <v>0</v>
      </c>
      <c r="Y141" t="n">
        <v>0.51</v>
      </c>
    </row>
    <row r="142">
      <c r="A142" t="inlineStr">
        <is>
          <t>O00141</t>
        </is>
      </c>
      <c r="B142" t="inlineStr">
        <is>
          <t>C0101</t>
        </is>
      </c>
      <c r="C142" t="inlineStr">
        <is>
          <t>S013</t>
        </is>
      </c>
      <c r="D142" t="inlineStr">
        <is>
          <t>R022</t>
        </is>
      </c>
      <c r="E142" s="3" t="n">
        <v>46278.39027777778</v>
      </c>
      <c r="F142" s="3" t="n">
        <v>46278.39868055555</v>
      </c>
      <c r="G142" s="3" t="n">
        <v>46278.39819444445</v>
      </c>
      <c r="H142" t="inlineStr">
        <is>
          <t>Delivered</t>
        </is>
      </c>
      <c r="I142" t="n">
        <v>6</v>
      </c>
      <c r="J142" t="n">
        <v>6</v>
      </c>
      <c r="K142" t="n">
        <v>423.77</v>
      </c>
      <c r="L142" t="n">
        <v>0.5</v>
      </c>
      <c r="M142" t="n">
        <v>5.8</v>
      </c>
      <c r="N142" t="n">
        <v>3.6</v>
      </c>
      <c r="O142" t="n">
        <v>2</v>
      </c>
      <c r="P142" t="n">
        <v>12.1</v>
      </c>
      <c r="Q142" t="n">
        <v>11.4</v>
      </c>
      <c r="R142" t="n">
        <v>-0.7</v>
      </c>
      <c r="S142" t="b">
        <v>1</v>
      </c>
      <c r="U142" t="n">
        <v>9</v>
      </c>
      <c r="V142" t="b">
        <v>0</v>
      </c>
      <c r="X142" t="b">
        <v>0</v>
      </c>
      <c r="Y142" t="n">
        <v>0.22</v>
      </c>
    </row>
    <row r="143">
      <c r="A143" t="inlineStr">
        <is>
          <t>O00142</t>
        </is>
      </c>
      <c r="B143" t="inlineStr">
        <is>
          <t>C0030</t>
        </is>
      </c>
      <c r="C143" t="inlineStr">
        <is>
          <t>S017</t>
        </is>
      </c>
      <c r="D143" t="inlineStr">
        <is>
          <t>R074</t>
        </is>
      </c>
      <c r="E143" s="3" t="n">
        <v>46274.95138888889</v>
      </c>
      <c r="F143" s="3" t="n">
        <v>46274.95951388889</v>
      </c>
      <c r="G143" s="3" t="n">
        <v>46274.96152777778</v>
      </c>
      <c r="H143" t="inlineStr">
        <is>
          <t>Delivered</t>
        </is>
      </c>
      <c r="I143" t="n">
        <v>3</v>
      </c>
      <c r="J143" t="n">
        <v>5</v>
      </c>
      <c r="K143" t="n">
        <v>1394.54</v>
      </c>
      <c r="L143" t="n">
        <v>3.23</v>
      </c>
      <c r="M143" t="n">
        <v>3.3</v>
      </c>
      <c r="N143" t="n">
        <v>4.1</v>
      </c>
      <c r="O143" t="n">
        <v>7.3</v>
      </c>
      <c r="P143" t="n">
        <v>11.7</v>
      </c>
      <c r="Q143" t="n">
        <v>14.6</v>
      </c>
      <c r="R143" t="n">
        <v>2.9</v>
      </c>
      <c r="S143" t="b">
        <v>0</v>
      </c>
      <c r="U143" t="n">
        <v>22</v>
      </c>
      <c r="V143" t="b">
        <v>0</v>
      </c>
      <c r="X143" t="b">
        <v>0</v>
      </c>
      <c r="Y143" t="n">
        <v>0.3</v>
      </c>
    </row>
    <row r="144">
      <c r="A144" t="inlineStr">
        <is>
          <t>O00143</t>
        </is>
      </c>
      <c r="B144" t="inlineStr">
        <is>
          <t>C0088</t>
        </is>
      </c>
      <c r="C144" t="inlineStr">
        <is>
          <t>S005</t>
        </is>
      </c>
      <c r="D144" t="inlineStr">
        <is>
          <t>R074</t>
        </is>
      </c>
      <c r="E144" s="3" t="n">
        <v>46270.58055555556</v>
      </c>
      <c r="F144" s="3" t="n">
        <v>46270.58833333333</v>
      </c>
      <c r="G144" s="3" t="n">
        <v>46270.5875</v>
      </c>
      <c r="H144" t="inlineStr">
        <is>
          <t>Delivered</t>
        </is>
      </c>
      <c r="I144" t="n">
        <v>5</v>
      </c>
      <c r="J144" t="n">
        <v>9</v>
      </c>
      <c r="K144" t="n">
        <v>1041.02</v>
      </c>
      <c r="L144" t="n">
        <v>1.87</v>
      </c>
      <c r="M144" t="n">
        <v>4.1</v>
      </c>
      <c r="N144" t="n">
        <v>2.7</v>
      </c>
      <c r="O144" t="n">
        <v>3.2</v>
      </c>
      <c r="P144" t="n">
        <v>11.2</v>
      </c>
      <c r="Q144" t="n">
        <v>10</v>
      </c>
      <c r="R144" t="n">
        <v>-1.2</v>
      </c>
      <c r="S144" t="b">
        <v>1</v>
      </c>
      <c r="U144" t="n">
        <v>13</v>
      </c>
      <c r="V144" t="b">
        <v>0</v>
      </c>
      <c r="X144" t="b">
        <v>0</v>
      </c>
      <c r="Y144" t="n">
        <v>0.33</v>
      </c>
    </row>
    <row r="145">
      <c r="A145" t="inlineStr">
        <is>
          <t>O00144</t>
        </is>
      </c>
      <c r="B145" t="inlineStr">
        <is>
          <t>C0180</t>
        </is>
      </c>
      <c r="C145" t="inlineStr">
        <is>
          <t>S011</t>
        </is>
      </c>
      <c r="D145" t="inlineStr">
        <is>
          <t>R023</t>
        </is>
      </c>
      <c r="E145" s="3" t="n">
        <v>46269.59652777778</v>
      </c>
      <c r="F145" s="3" t="n">
        <v>46269.60243055555</v>
      </c>
      <c r="G145" s="3" t="n">
        <v>46269.61208333333</v>
      </c>
      <c r="H145" t="inlineStr">
        <is>
          <t>Delivered</t>
        </is>
      </c>
      <c r="I145" t="n">
        <v>5</v>
      </c>
      <c r="J145" t="n">
        <v>5</v>
      </c>
      <c r="K145" t="n">
        <v>1095.01</v>
      </c>
      <c r="L145" t="n">
        <v>1.01</v>
      </c>
      <c r="M145" t="n">
        <v>7.1</v>
      </c>
      <c r="N145" t="n">
        <v>10.9</v>
      </c>
      <c r="O145" t="n">
        <v>4.3</v>
      </c>
      <c r="P145" t="n">
        <v>8.5</v>
      </c>
      <c r="Q145" t="n">
        <v>22.4</v>
      </c>
      <c r="R145" t="n">
        <v>13.9</v>
      </c>
      <c r="S145" t="b">
        <v>0</v>
      </c>
      <c r="U145" t="n">
        <v>14</v>
      </c>
      <c r="V145" t="b">
        <v>0</v>
      </c>
      <c r="W145" t="inlineStr">
        <is>
          <t>Light</t>
        </is>
      </c>
      <c r="X145" t="b">
        <v>0</v>
      </c>
      <c r="Y145" t="n">
        <v>0.37</v>
      </c>
    </row>
    <row r="146">
      <c r="A146" t="inlineStr">
        <is>
          <t>O00145</t>
        </is>
      </c>
      <c r="B146" t="inlineStr">
        <is>
          <t>C0137</t>
        </is>
      </c>
      <c r="C146" t="inlineStr">
        <is>
          <t>S015</t>
        </is>
      </c>
      <c r="D146" t="inlineStr">
        <is>
          <t>R039</t>
        </is>
      </c>
      <c r="E146" s="3" t="n">
        <v>46276.77777777778</v>
      </c>
      <c r="F146" s="3" t="n">
        <v>46276.783125</v>
      </c>
      <c r="G146" s="3" t="n">
        <v>46276.78291666666</v>
      </c>
      <c r="H146" t="inlineStr">
        <is>
          <t>Delivered</t>
        </is>
      </c>
      <c r="I146" t="n">
        <v>6</v>
      </c>
      <c r="J146" t="n">
        <v>7</v>
      </c>
      <c r="K146" t="n">
        <v>776.83</v>
      </c>
      <c r="L146" t="n">
        <v>0.99</v>
      </c>
      <c r="M146" t="n">
        <v>2.5</v>
      </c>
      <c r="N146" t="n">
        <v>3.6</v>
      </c>
      <c r="O146" t="n">
        <v>1.3</v>
      </c>
      <c r="P146" t="n">
        <v>7.7</v>
      </c>
      <c r="Q146" t="n">
        <v>7.4</v>
      </c>
      <c r="R146" t="n">
        <v>-0.3</v>
      </c>
      <c r="S146" t="b">
        <v>1</v>
      </c>
      <c r="U146" t="n">
        <v>18</v>
      </c>
      <c r="V146" t="b">
        <v>0</v>
      </c>
      <c r="X146" t="b">
        <v>0</v>
      </c>
      <c r="Y146" t="n">
        <v>0.28</v>
      </c>
    </row>
    <row r="147">
      <c r="A147" t="inlineStr">
        <is>
          <t>O00146</t>
        </is>
      </c>
      <c r="B147" t="inlineStr">
        <is>
          <t>C0019</t>
        </is>
      </c>
      <c r="C147" t="inlineStr">
        <is>
          <t>S001</t>
        </is>
      </c>
      <c r="D147" t="inlineStr">
        <is>
          <t>R069</t>
        </is>
      </c>
      <c r="E147" s="3" t="n">
        <v>46272.56041666667</v>
      </c>
      <c r="F147" s="3" t="n">
        <v>46272.56881944444</v>
      </c>
      <c r="G147" s="3" t="n">
        <v>46272.56819444444</v>
      </c>
      <c r="H147" t="inlineStr">
        <is>
          <t>Delivered</t>
        </is>
      </c>
      <c r="I147" t="n">
        <v>4</v>
      </c>
      <c r="J147" t="n">
        <v>6</v>
      </c>
      <c r="K147" t="n">
        <v>1664.64</v>
      </c>
      <c r="L147" t="n">
        <v>3.46</v>
      </c>
      <c r="M147" t="n">
        <v>2.5</v>
      </c>
      <c r="N147" t="n">
        <v>4.4</v>
      </c>
      <c r="O147" t="n">
        <v>4.3</v>
      </c>
      <c r="P147" t="n">
        <v>12.1</v>
      </c>
      <c r="Q147" t="n">
        <v>11.2</v>
      </c>
      <c r="R147" t="n">
        <v>-0.9</v>
      </c>
      <c r="S147" t="b">
        <v>1</v>
      </c>
      <c r="U147" t="n">
        <v>13</v>
      </c>
      <c r="V147" t="b">
        <v>0</v>
      </c>
      <c r="X147" t="b">
        <v>0</v>
      </c>
      <c r="Y147" t="n">
        <v>0.43</v>
      </c>
    </row>
    <row r="148">
      <c r="A148" t="inlineStr">
        <is>
          <t>O00147</t>
        </is>
      </c>
      <c r="B148" t="inlineStr">
        <is>
          <t>C0067</t>
        </is>
      </c>
      <c r="C148" t="inlineStr">
        <is>
          <t>S017</t>
        </is>
      </c>
      <c r="D148" t="inlineStr">
        <is>
          <t>R072</t>
        </is>
      </c>
      <c r="E148" s="3" t="n">
        <v>46274.79236111111</v>
      </c>
      <c r="F148" s="3" t="n">
        <v>46274.79854166666</v>
      </c>
      <c r="G148" s="3" t="n">
        <v>46274.79819444445</v>
      </c>
      <c r="H148" t="inlineStr">
        <is>
          <t>Delivered</t>
        </is>
      </c>
      <c r="I148" t="n">
        <v>5</v>
      </c>
      <c r="J148" t="n">
        <v>9</v>
      </c>
      <c r="K148" t="n">
        <v>1107.48</v>
      </c>
      <c r="L148" t="n">
        <v>0.93</v>
      </c>
      <c r="M148" t="n">
        <v>1.5</v>
      </c>
      <c r="N148" t="n">
        <v>5</v>
      </c>
      <c r="O148" t="n">
        <v>1.9</v>
      </c>
      <c r="P148" t="n">
        <v>8.9</v>
      </c>
      <c r="Q148" t="n">
        <v>8.4</v>
      </c>
      <c r="R148" t="n">
        <v>-0.5</v>
      </c>
      <c r="S148" t="b">
        <v>1</v>
      </c>
      <c r="U148" t="n">
        <v>19</v>
      </c>
      <c r="V148" t="b">
        <v>1</v>
      </c>
      <c r="X148" t="b">
        <v>0</v>
      </c>
      <c r="Y148" t="n">
        <v>0.62</v>
      </c>
    </row>
    <row r="149">
      <c r="A149" t="inlineStr">
        <is>
          <t>O00148</t>
        </is>
      </c>
      <c r="B149" t="inlineStr">
        <is>
          <t>C0186</t>
        </is>
      </c>
      <c r="C149" t="inlineStr">
        <is>
          <t>S011</t>
        </is>
      </c>
      <c r="D149" t="inlineStr">
        <is>
          <t>R002</t>
        </is>
      </c>
      <c r="E149" s="3" t="n">
        <v>46270.48125</v>
      </c>
      <c r="F149" s="3" t="n">
        <v>46270.48805555556</v>
      </c>
      <c r="G149" s="3" t="n">
        <v>46270.48722222223</v>
      </c>
      <c r="H149" t="inlineStr">
        <is>
          <t>Delivered</t>
        </is>
      </c>
      <c r="I149" t="n">
        <v>4</v>
      </c>
      <c r="J149" t="n">
        <v>9</v>
      </c>
      <c r="K149" t="n">
        <v>1328.02</v>
      </c>
      <c r="L149" t="n">
        <v>1.07</v>
      </c>
      <c r="M149" t="n">
        <v>3.1</v>
      </c>
      <c r="N149" t="n">
        <v>3.7</v>
      </c>
      <c r="O149" t="n">
        <v>1.8</v>
      </c>
      <c r="P149" t="n">
        <v>9.800000000000001</v>
      </c>
      <c r="Q149" t="n">
        <v>8.6</v>
      </c>
      <c r="R149" t="n">
        <v>-1.2</v>
      </c>
      <c r="S149" t="b">
        <v>1</v>
      </c>
      <c r="U149" t="n">
        <v>11</v>
      </c>
      <c r="V149" t="b">
        <v>0</v>
      </c>
      <c r="X149" t="b">
        <v>0</v>
      </c>
      <c r="Y149" t="n">
        <v>0.59</v>
      </c>
    </row>
    <row r="150">
      <c r="A150" t="inlineStr">
        <is>
          <t>O00149</t>
        </is>
      </c>
      <c r="B150" t="inlineStr">
        <is>
          <t>C0119</t>
        </is>
      </c>
      <c r="C150" t="inlineStr">
        <is>
          <t>S005</t>
        </is>
      </c>
      <c r="D150" t="inlineStr">
        <is>
          <t>R063</t>
        </is>
      </c>
      <c r="E150" s="3" t="n">
        <v>46270.90416666667</v>
      </c>
      <c r="F150" s="3" t="n">
        <v>46270.91083333334</v>
      </c>
      <c r="G150" s="3" t="n">
        <v>46270.91729166666</v>
      </c>
      <c r="H150" t="inlineStr">
        <is>
          <t>Delivered</t>
        </is>
      </c>
      <c r="I150" t="n">
        <v>4</v>
      </c>
      <c r="J150" t="n">
        <v>5</v>
      </c>
      <c r="K150" t="n">
        <v>978.67</v>
      </c>
      <c r="L150" t="n">
        <v>2.5</v>
      </c>
      <c r="M150" t="n">
        <v>4.6</v>
      </c>
      <c r="N150" t="n">
        <v>6</v>
      </c>
      <c r="O150" t="n">
        <v>8.4</v>
      </c>
      <c r="P150" t="n">
        <v>9.6</v>
      </c>
      <c r="Q150" t="n">
        <v>18.9</v>
      </c>
      <c r="R150" t="n">
        <v>9.300000000000001</v>
      </c>
      <c r="S150" t="b">
        <v>0</v>
      </c>
      <c r="U150" t="n">
        <v>21</v>
      </c>
      <c r="V150" t="b">
        <v>1</v>
      </c>
      <c r="W150" t="inlineStr">
        <is>
          <t>Light</t>
        </is>
      </c>
      <c r="X150" t="b">
        <v>0</v>
      </c>
      <c r="Y150" t="n">
        <v>0.73</v>
      </c>
    </row>
    <row r="151">
      <c r="A151" t="inlineStr">
        <is>
          <t>O00150</t>
        </is>
      </c>
      <c r="B151" t="inlineStr">
        <is>
          <t>C0183</t>
        </is>
      </c>
      <c r="C151" t="inlineStr">
        <is>
          <t>S003</t>
        </is>
      </c>
      <c r="D151" t="inlineStr">
        <is>
          <t>R024</t>
        </is>
      </c>
      <c r="E151" s="3" t="n">
        <v>46269.45694444444</v>
      </c>
      <c r="F151" s="3" t="n">
        <v>46269.46479166667</v>
      </c>
      <c r="G151" s="3" t="n">
        <v>46269.46840277778</v>
      </c>
      <c r="H151" t="inlineStr">
        <is>
          <t>Delivered</t>
        </is>
      </c>
      <c r="I151" t="n">
        <v>4</v>
      </c>
      <c r="J151" t="n">
        <v>7</v>
      </c>
      <c r="K151" t="n">
        <v>366.74</v>
      </c>
      <c r="L151" t="n">
        <v>1.41</v>
      </c>
      <c r="M151" t="n">
        <v>4.8</v>
      </c>
      <c r="N151" t="n">
        <v>8.199999999999999</v>
      </c>
      <c r="O151" t="n">
        <v>3.5</v>
      </c>
      <c r="P151" t="n">
        <v>11.3</v>
      </c>
      <c r="Q151" t="n">
        <v>16.5</v>
      </c>
      <c r="R151" t="n">
        <v>5.2</v>
      </c>
      <c r="S151" t="b">
        <v>0</v>
      </c>
      <c r="U151" t="n">
        <v>10</v>
      </c>
      <c r="V151" t="b">
        <v>0</v>
      </c>
      <c r="X151" t="b">
        <v>0</v>
      </c>
      <c r="Y151" t="n">
        <v>0.24</v>
      </c>
    </row>
    <row r="152">
      <c r="A152" t="inlineStr">
        <is>
          <t>O00151</t>
        </is>
      </c>
      <c r="B152" t="inlineStr">
        <is>
          <t>C0008</t>
        </is>
      </c>
      <c r="C152" t="inlineStr">
        <is>
          <t>S016</t>
        </is>
      </c>
      <c r="D152" t="inlineStr">
        <is>
          <t>R039</t>
        </is>
      </c>
      <c r="E152" s="3" t="n">
        <v>46274.49791666667</v>
      </c>
      <c r="F152" s="3" t="n">
        <v>46274.50479166667</v>
      </c>
      <c r="G152" s="3" t="n">
        <v>46274.50451388889</v>
      </c>
      <c r="H152" t="inlineStr">
        <is>
          <t>Delivered</t>
        </is>
      </c>
      <c r="I152" t="n">
        <v>4</v>
      </c>
      <c r="J152" t="n">
        <v>7</v>
      </c>
      <c r="K152" t="n">
        <v>917.29</v>
      </c>
      <c r="L152" t="n">
        <v>2.03</v>
      </c>
      <c r="M152" t="n">
        <v>2.9</v>
      </c>
      <c r="N152" t="n">
        <v>3.9</v>
      </c>
      <c r="O152" t="n">
        <v>2.7</v>
      </c>
      <c r="P152" t="n">
        <v>9.9</v>
      </c>
      <c r="Q152" t="n">
        <v>9.5</v>
      </c>
      <c r="R152" t="n">
        <v>-0.4</v>
      </c>
      <c r="S152" t="b">
        <v>1</v>
      </c>
      <c r="U152" t="n">
        <v>11</v>
      </c>
      <c r="V152" t="b">
        <v>0</v>
      </c>
      <c r="X152" t="b">
        <v>0</v>
      </c>
      <c r="Y152" t="n">
        <v>0.47</v>
      </c>
    </row>
    <row r="153">
      <c r="A153" t="inlineStr">
        <is>
          <t>O00152</t>
        </is>
      </c>
      <c r="B153" t="inlineStr">
        <is>
          <t>C0214</t>
        </is>
      </c>
      <c r="C153" t="inlineStr">
        <is>
          <t>S017</t>
        </is>
      </c>
      <c r="D153" t="inlineStr">
        <is>
          <t>R054</t>
        </is>
      </c>
      <c r="E153" s="3" t="n">
        <v>46273.5125</v>
      </c>
      <c r="F153" s="3" t="n">
        <v>46273.51923611111</v>
      </c>
      <c r="G153" s="3" t="n">
        <v>46273.51888888889</v>
      </c>
      <c r="H153" t="inlineStr">
        <is>
          <t>Delivered</t>
        </is>
      </c>
      <c r="I153" t="n">
        <v>6</v>
      </c>
      <c r="J153" t="n">
        <v>9</v>
      </c>
      <c r="K153" t="n">
        <v>635.47</v>
      </c>
      <c r="L153" t="n">
        <v>1.12</v>
      </c>
      <c r="M153" t="n">
        <v>2.7</v>
      </c>
      <c r="N153" t="n">
        <v>4.1</v>
      </c>
      <c r="O153" t="n">
        <v>2.4</v>
      </c>
      <c r="P153" t="n">
        <v>9.699999999999999</v>
      </c>
      <c r="Q153" t="n">
        <v>9.199999999999999</v>
      </c>
      <c r="R153" t="n">
        <v>-0.5</v>
      </c>
      <c r="S153" t="b">
        <v>1</v>
      </c>
      <c r="U153" t="n">
        <v>12</v>
      </c>
      <c r="V153" t="b">
        <v>0</v>
      </c>
      <c r="W153" t="inlineStr">
        <is>
          <t>Light</t>
        </is>
      </c>
      <c r="X153" t="b">
        <v>0</v>
      </c>
      <c r="Y153" t="n">
        <v>0.37</v>
      </c>
    </row>
    <row r="154">
      <c r="A154" t="inlineStr">
        <is>
          <t>O00153</t>
        </is>
      </c>
      <c r="B154" t="inlineStr">
        <is>
          <t>C0119</t>
        </is>
      </c>
      <c r="C154" t="inlineStr">
        <is>
          <t>S015</t>
        </is>
      </c>
      <c r="D154" t="inlineStr">
        <is>
          <t>R039</t>
        </is>
      </c>
      <c r="E154" s="3" t="n">
        <v>46275.91111111111</v>
      </c>
      <c r="F154" s="3" t="n">
        <v>46275.91743055556</v>
      </c>
      <c r="G154" s="3" t="n">
        <v>46275.92180555555</v>
      </c>
      <c r="H154" t="inlineStr">
        <is>
          <t>Delivered</t>
        </is>
      </c>
      <c r="I154" t="n">
        <v>2</v>
      </c>
      <c r="J154" t="n">
        <v>4</v>
      </c>
      <c r="K154" t="n">
        <v>458.14</v>
      </c>
      <c r="L154" t="n">
        <v>1.57</v>
      </c>
      <c r="M154" t="n">
        <v>4.7</v>
      </c>
      <c r="N154" t="n">
        <v>6.4</v>
      </c>
      <c r="O154" t="n">
        <v>4.3</v>
      </c>
      <c r="P154" t="n">
        <v>9.1</v>
      </c>
      <c r="Q154" t="n">
        <v>15.4</v>
      </c>
      <c r="R154" t="n">
        <v>6.3</v>
      </c>
      <c r="S154" t="b">
        <v>0</v>
      </c>
      <c r="U154" t="n">
        <v>21</v>
      </c>
      <c r="V154" t="b">
        <v>1</v>
      </c>
      <c r="X154" t="b">
        <v>0</v>
      </c>
      <c r="Y154" t="n">
        <v>0.36</v>
      </c>
    </row>
    <row r="155">
      <c r="A155" t="inlineStr">
        <is>
          <t>O00154</t>
        </is>
      </c>
      <c r="B155" t="inlineStr">
        <is>
          <t>C0170</t>
        </is>
      </c>
      <c r="C155" t="inlineStr">
        <is>
          <t>S014</t>
        </is>
      </c>
      <c r="D155" t="inlineStr">
        <is>
          <t>R050</t>
        </is>
      </c>
      <c r="E155" s="3" t="n">
        <v>46270.62430555555</v>
      </c>
      <c r="F155" s="3" t="n">
        <v>46270.62916666667</v>
      </c>
      <c r="G155" s="3" t="n">
        <v>46270.63451388889</v>
      </c>
      <c r="H155" t="inlineStr">
        <is>
          <t>Delivered</t>
        </is>
      </c>
      <c r="I155" t="n">
        <v>5</v>
      </c>
      <c r="J155" t="n">
        <v>6</v>
      </c>
      <c r="K155" t="n">
        <v>993.52</v>
      </c>
      <c r="L155" t="n">
        <v>1.45</v>
      </c>
      <c r="M155" t="n">
        <v>5.8</v>
      </c>
      <c r="N155" t="n">
        <v>5</v>
      </c>
      <c r="O155" t="n">
        <v>3.9</v>
      </c>
      <c r="P155" t="n">
        <v>7</v>
      </c>
      <c r="Q155" t="n">
        <v>14.7</v>
      </c>
      <c r="R155" t="n">
        <v>7.7</v>
      </c>
      <c r="S155" t="b">
        <v>0</v>
      </c>
      <c r="U155" t="n">
        <v>14</v>
      </c>
      <c r="V155" t="b">
        <v>0</v>
      </c>
      <c r="W155" t="inlineStr">
        <is>
          <t>Light</t>
        </is>
      </c>
      <c r="X155" t="b">
        <v>0</v>
      </c>
      <c r="Y155" t="n">
        <v>0.09</v>
      </c>
    </row>
    <row r="156">
      <c r="A156" t="inlineStr">
        <is>
          <t>O00155</t>
        </is>
      </c>
      <c r="B156" t="inlineStr">
        <is>
          <t>C0187</t>
        </is>
      </c>
      <c r="C156" t="inlineStr">
        <is>
          <t>S009</t>
        </is>
      </c>
      <c r="D156" t="inlineStr">
        <is>
          <t>R007</t>
        </is>
      </c>
      <c r="E156" s="3" t="n">
        <v>46271.64236111111</v>
      </c>
      <c r="F156" s="3" t="n">
        <v>46271.65090277778</v>
      </c>
      <c r="G156" s="3" t="n">
        <v>46271.65</v>
      </c>
      <c r="H156" t="inlineStr">
        <is>
          <t>Delivered</t>
        </is>
      </c>
      <c r="I156" t="n">
        <v>6</v>
      </c>
      <c r="J156" t="n">
        <v>7</v>
      </c>
      <c r="K156" t="n">
        <v>796.52</v>
      </c>
      <c r="L156" t="n">
        <v>2.68</v>
      </c>
      <c r="M156" t="n">
        <v>3.1</v>
      </c>
      <c r="N156" t="n">
        <v>2.2</v>
      </c>
      <c r="O156" t="n">
        <v>5.6</v>
      </c>
      <c r="P156" t="n">
        <v>12.3</v>
      </c>
      <c r="Q156" t="n">
        <v>11</v>
      </c>
      <c r="R156" t="n">
        <v>-1.3</v>
      </c>
      <c r="S156" t="b">
        <v>1</v>
      </c>
      <c r="U156" t="n">
        <v>15</v>
      </c>
      <c r="V156" t="b">
        <v>0</v>
      </c>
      <c r="X156" t="b">
        <v>0</v>
      </c>
      <c r="Y156" t="n">
        <v>0.32</v>
      </c>
    </row>
    <row r="157">
      <c r="A157" t="inlineStr">
        <is>
          <t>O00156</t>
        </is>
      </c>
      <c r="B157" t="inlineStr">
        <is>
          <t>C0062</t>
        </is>
      </c>
      <c r="C157" t="inlineStr">
        <is>
          <t>S015</t>
        </is>
      </c>
      <c r="D157" t="inlineStr">
        <is>
          <t>R080</t>
        </is>
      </c>
      <c r="E157" s="3" t="n">
        <v>46275.78888888889</v>
      </c>
      <c r="F157" s="3" t="n">
        <v>46275.79416666667</v>
      </c>
      <c r="G157" s="3" t="n">
        <v>46275.79354166667</v>
      </c>
      <c r="H157" t="inlineStr">
        <is>
          <t>Delivered</t>
        </is>
      </c>
      <c r="I157" t="n">
        <v>1</v>
      </c>
      <c r="J157" t="n">
        <v>8</v>
      </c>
      <c r="K157" t="n">
        <v>1629.96</v>
      </c>
      <c r="L157" t="n">
        <v>1.44</v>
      </c>
      <c r="M157" t="n">
        <v>2.8</v>
      </c>
      <c r="N157" t="n">
        <v>1.2</v>
      </c>
      <c r="O157" t="n">
        <v>2.7</v>
      </c>
      <c r="P157" t="n">
        <v>7.6</v>
      </c>
      <c r="Q157" t="n">
        <v>6.7</v>
      </c>
      <c r="R157" t="n">
        <v>-0.9</v>
      </c>
      <c r="S157" t="b">
        <v>1</v>
      </c>
      <c r="U157" t="n">
        <v>18</v>
      </c>
      <c r="V157" t="b">
        <v>0</v>
      </c>
      <c r="X157" t="b">
        <v>0</v>
      </c>
      <c r="Y157" t="n">
        <v>0.53</v>
      </c>
    </row>
    <row r="158">
      <c r="A158" t="inlineStr">
        <is>
          <t>O00157</t>
        </is>
      </c>
      <c r="B158" t="inlineStr">
        <is>
          <t>C0056</t>
        </is>
      </c>
      <c r="C158" t="inlineStr">
        <is>
          <t>S013</t>
        </is>
      </c>
      <c r="D158" t="inlineStr">
        <is>
          <t>R053</t>
        </is>
      </c>
      <c r="E158" s="3" t="n">
        <v>46267.58194444444</v>
      </c>
      <c r="F158" s="3" t="n">
        <v>46267.59020833333</v>
      </c>
      <c r="G158" s="3" t="n">
        <v>46267.58951388889</v>
      </c>
      <c r="H158" t="inlineStr">
        <is>
          <t>Delivered</t>
        </is>
      </c>
      <c r="I158" t="n">
        <v>4</v>
      </c>
      <c r="J158" t="n">
        <v>6</v>
      </c>
      <c r="K158" t="n">
        <v>1154.46</v>
      </c>
      <c r="L158" t="n">
        <v>3</v>
      </c>
      <c r="M158" t="n">
        <v>3.6</v>
      </c>
      <c r="N158" t="n">
        <v>2.1</v>
      </c>
      <c r="O158" t="n">
        <v>5.2</v>
      </c>
      <c r="P158" t="n">
        <v>11.9</v>
      </c>
      <c r="Q158" t="n">
        <v>10.9</v>
      </c>
      <c r="R158" t="n">
        <v>-1</v>
      </c>
      <c r="S158" t="b">
        <v>1</v>
      </c>
      <c r="U158" t="n">
        <v>13</v>
      </c>
      <c r="V158" t="b">
        <v>0</v>
      </c>
      <c r="X158" t="b">
        <v>0</v>
      </c>
      <c r="Y158" t="n">
        <v>0.54</v>
      </c>
    </row>
    <row r="159">
      <c r="A159" t="inlineStr">
        <is>
          <t>O00158</t>
        </is>
      </c>
      <c r="B159" t="inlineStr">
        <is>
          <t>C0167</t>
        </is>
      </c>
      <c r="C159" t="inlineStr">
        <is>
          <t>S008</t>
        </is>
      </c>
      <c r="D159" t="inlineStr">
        <is>
          <t>R017</t>
        </is>
      </c>
      <c r="E159" s="3" t="n">
        <v>46268.33888888889</v>
      </c>
      <c r="F159" s="3" t="n">
        <v>46268.34618055556</v>
      </c>
      <c r="G159" s="3" t="n">
        <v>46268.344375</v>
      </c>
      <c r="H159" t="inlineStr">
        <is>
          <t>Delivered</t>
        </is>
      </c>
      <c r="I159" t="n">
        <v>2</v>
      </c>
      <c r="J159" t="n">
        <v>6</v>
      </c>
      <c r="K159" t="n">
        <v>1301.25</v>
      </c>
      <c r="L159" t="n">
        <v>1.84</v>
      </c>
      <c r="M159" t="n">
        <v>3.5</v>
      </c>
      <c r="N159" t="n">
        <v>0.8</v>
      </c>
      <c r="O159" t="n">
        <v>3.5</v>
      </c>
      <c r="P159" t="n">
        <v>10.5</v>
      </c>
      <c r="Q159" t="n">
        <v>7.9</v>
      </c>
      <c r="R159" t="n">
        <v>-2.6</v>
      </c>
      <c r="S159" t="b">
        <v>1</v>
      </c>
      <c r="U159" t="n">
        <v>8</v>
      </c>
      <c r="V159" t="b">
        <v>0</v>
      </c>
      <c r="X159" t="b">
        <v>0</v>
      </c>
      <c r="Y159" t="n">
        <v>0.01</v>
      </c>
    </row>
    <row r="160">
      <c r="A160" t="inlineStr">
        <is>
          <t>O00159</t>
        </is>
      </c>
      <c r="B160" t="inlineStr">
        <is>
          <t>C0065</t>
        </is>
      </c>
      <c r="C160" t="inlineStr">
        <is>
          <t>S003</t>
        </is>
      </c>
      <c r="D160" t="inlineStr">
        <is>
          <t>R068</t>
        </is>
      </c>
      <c r="E160" s="3" t="n">
        <v>46275.58263888889</v>
      </c>
      <c r="F160" s="3" t="n">
        <v>46275.59034722222</v>
      </c>
      <c r="G160" s="3" t="n">
        <v>46275.59013888889</v>
      </c>
      <c r="H160" t="inlineStr">
        <is>
          <t>Delivered</t>
        </is>
      </c>
      <c r="I160" t="n">
        <v>3</v>
      </c>
      <c r="J160" t="n">
        <v>8</v>
      </c>
      <c r="K160" t="n">
        <v>1259.92</v>
      </c>
      <c r="L160" t="n">
        <v>2.1</v>
      </c>
      <c r="M160" t="n">
        <v>3.9</v>
      </c>
      <c r="N160" t="n">
        <v>3.1</v>
      </c>
      <c r="O160" t="n">
        <v>3.8</v>
      </c>
      <c r="P160" t="n">
        <v>11.1</v>
      </c>
      <c r="Q160" t="n">
        <v>10.8</v>
      </c>
      <c r="R160" t="n">
        <v>-0.3</v>
      </c>
      <c r="S160" t="b">
        <v>1</v>
      </c>
      <c r="U160" t="n">
        <v>13</v>
      </c>
      <c r="V160" t="b">
        <v>0</v>
      </c>
      <c r="W160" t="inlineStr">
        <is>
          <t>Light</t>
        </is>
      </c>
      <c r="X160" t="b">
        <v>0</v>
      </c>
      <c r="Y160" t="n">
        <v>0.23</v>
      </c>
    </row>
    <row r="161">
      <c r="A161" t="inlineStr">
        <is>
          <t>O00160</t>
        </is>
      </c>
      <c r="B161" t="inlineStr">
        <is>
          <t>C0116</t>
        </is>
      </c>
      <c r="C161" t="inlineStr">
        <is>
          <t>S019</t>
        </is>
      </c>
      <c r="D161" t="inlineStr">
        <is>
          <t>R077</t>
        </is>
      </c>
      <c r="E161" s="3" t="n">
        <v>46271.34236111111</v>
      </c>
      <c r="F161" s="3" t="n">
        <v>46271.35076388889</v>
      </c>
      <c r="G161" s="3" t="n">
        <v>46271.35472222222</v>
      </c>
      <c r="H161" t="inlineStr">
        <is>
          <t>Delivered</t>
        </is>
      </c>
      <c r="I161" t="n">
        <v>3</v>
      </c>
      <c r="J161" t="n">
        <v>7</v>
      </c>
      <c r="K161" t="n">
        <v>1284.64</v>
      </c>
      <c r="L161" t="n">
        <v>2.5</v>
      </c>
      <c r="M161" t="n">
        <v>4.7</v>
      </c>
      <c r="N161" t="n">
        <v>5.7</v>
      </c>
      <c r="O161" t="n">
        <v>7.4</v>
      </c>
      <c r="P161" t="n">
        <v>12.1</v>
      </c>
      <c r="Q161" t="n">
        <v>17.8</v>
      </c>
      <c r="R161" t="n">
        <v>5.7</v>
      </c>
      <c r="S161" t="b">
        <v>0</v>
      </c>
      <c r="U161" t="n">
        <v>8</v>
      </c>
      <c r="V161" t="b">
        <v>0</v>
      </c>
      <c r="W161" t="inlineStr">
        <is>
          <t>Light</t>
        </is>
      </c>
      <c r="X161" t="b">
        <v>0</v>
      </c>
      <c r="Y161" t="n">
        <v>0.47</v>
      </c>
    </row>
    <row r="162">
      <c r="A162" t="inlineStr">
        <is>
          <t>O00161</t>
        </is>
      </c>
      <c r="B162" t="inlineStr">
        <is>
          <t>C0198</t>
        </is>
      </c>
      <c r="C162" t="inlineStr">
        <is>
          <t>S015</t>
        </is>
      </c>
      <c r="D162" t="inlineStr">
        <is>
          <t>R057</t>
        </is>
      </c>
      <c r="E162" s="3" t="n">
        <v>46269.41388888889</v>
      </c>
      <c r="F162" s="3" t="n">
        <v>46269.42104166667</v>
      </c>
      <c r="G162" s="3" t="n">
        <v>46269.42048611111</v>
      </c>
      <c r="H162" t="inlineStr">
        <is>
          <t>Delivered</t>
        </is>
      </c>
      <c r="I162" t="n">
        <v>3</v>
      </c>
      <c r="J162" t="n">
        <v>5</v>
      </c>
      <c r="K162" t="n">
        <v>768.36</v>
      </c>
      <c r="L162" t="n">
        <v>1.63</v>
      </c>
      <c r="M162" t="n">
        <v>4.7</v>
      </c>
      <c r="N162" t="n">
        <v>0.8</v>
      </c>
      <c r="O162" t="n">
        <v>4</v>
      </c>
      <c r="P162" t="n">
        <v>10.3</v>
      </c>
      <c r="Q162" t="n">
        <v>9.5</v>
      </c>
      <c r="R162" t="n">
        <v>-0.8</v>
      </c>
      <c r="S162" t="b">
        <v>1</v>
      </c>
      <c r="U162" t="n">
        <v>9</v>
      </c>
      <c r="V162" t="b">
        <v>0</v>
      </c>
      <c r="X162" t="b">
        <v>0</v>
      </c>
      <c r="Y162" t="n">
        <v>0.21</v>
      </c>
    </row>
    <row r="163">
      <c r="A163" t="inlineStr">
        <is>
          <t>O00162</t>
        </is>
      </c>
      <c r="B163" t="inlineStr">
        <is>
          <t>C0123</t>
        </is>
      </c>
      <c r="C163" t="inlineStr">
        <is>
          <t>S004</t>
        </is>
      </c>
      <c r="D163" t="inlineStr">
        <is>
          <t>R043</t>
        </is>
      </c>
      <c r="E163" s="3" t="n">
        <v>46270.38402777778</v>
      </c>
      <c r="F163" s="3" t="n">
        <v>46270.39111111111</v>
      </c>
      <c r="G163" s="3" t="n">
        <v>46270.390625</v>
      </c>
      <c r="H163" t="inlineStr">
        <is>
          <t>Delivered</t>
        </is>
      </c>
      <c r="I163" t="n">
        <v>2</v>
      </c>
      <c r="J163" t="n">
        <v>9</v>
      </c>
      <c r="K163" t="n">
        <v>935.9400000000001</v>
      </c>
      <c r="L163" t="n">
        <v>2</v>
      </c>
      <c r="M163" t="n">
        <v>3.6</v>
      </c>
      <c r="N163" t="n">
        <v>1</v>
      </c>
      <c r="O163" t="n">
        <v>4.9</v>
      </c>
      <c r="P163" t="n">
        <v>10.2</v>
      </c>
      <c r="Q163" t="n">
        <v>9.5</v>
      </c>
      <c r="R163" t="n">
        <v>-0.7</v>
      </c>
      <c r="S163" t="b">
        <v>1</v>
      </c>
      <c r="U163" t="n">
        <v>9</v>
      </c>
      <c r="V163" t="b">
        <v>0</v>
      </c>
      <c r="W163" t="inlineStr">
        <is>
          <t>Light</t>
        </is>
      </c>
      <c r="X163" t="b">
        <v>0</v>
      </c>
      <c r="Y163" t="n">
        <v>0.35</v>
      </c>
    </row>
    <row r="164">
      <c r="A164" t="inlineStr">
        <is>
          <t>O00163</t>
        </is>
      </c>
      <c r="B164" t="inlineStr">
        <is>
          <t>C0250</t>
        </is>
      </c>
      <c r="C164" t="inlineStr">
        <is>
          <t>S003</t>
        </is>
      </c>
      <c r="D164" t="inlineStr">
        <is>
          <t>R070</t>
        </is>
      </c>
      <c r="E164" s="3" t="n">
        <v>46277.82708333333</v>
      </c>
      <c r="F164" s="3" t="n">
        <v>46277.83451388889</v>
      </c>
      <c r="G164" s="3" t="n">
        <v>46277.83395833334</v>
      </c>
      <c r="H164" t="inlineStr">
        <is>
          <t>Delivered</t>
        </is>
      </c>
      <c r="I164" t="n">
        <v>1</v>
      </c>
      <c r="J164" t="n">
        <v>4</v>
      </c>
      <c r="K164" t="n">
        <v>301.6</v>
      </c>
      <c r="L164" t="n">
        <v>1.42</v>
      </c>
      <c r="M164" t="n">
        <v>3.1</v>
      </c>
      <c r="N164" t="n">
        <v>4.2</v>
      </c>
      <c r="O164" t="n">
        <v>2.6</v>
      </c>
      <c r="P164" t="n">
        <v>10.7</v>
      </c>
      <c r="Q164" t="n">
        <v>9.9</v>
      </c>
      <c r="R164" t="n">
        <v>-0.8</v>
      </c>
      <c r="S164" t="b">
        <v>1</v>
      </c>
      <c r="U164" t="n">
        <v>19</v>
      </c>
      <c r="V164" t="b">
        <v>1</v>
      </c>
      <c r="X164" t="b">
        <v>0</v>
      </c>
      <c r="Y164" t="n">
        <v>0.34</v>
      </c>
    </row>
    <row r="165">
      <c r="A165" t="inlineStr">
        <is>
          <t>O00164</t>
        </is>
      </c>
      <c r="B165" t="inlineStr">
        <is>
          <t>C0120</t>
        </is>
      </c>
      <c r="C165" t="inlineStr">
        <is>
          <t>S011</t>
        </is>
      </c>
      <c r="D165" t="inlineStr">
        <is>
          <t>R053</t>
        </is>
      </c>
      <c r="E165" s="3" t="n">
        <v>46271.33680555555</v>
      </c>
      <c r="F165" s="3" t="n">
        <v>46271.343125</v>
      </c>
      <c r="G165" s="3" t="n">
        <v>46271.34277777778</v>
      </c>
      <c r="H165" t="inlineStr">
        <is>
          <t>Delivered</t>
        </is>
      </c>
      <c r="I165" t="n">
        <v>2</v>
      </c>
      <c r="J165" t="n">
        <v>9</v>
      </c>
      <c r="K165" t="n">
        <v>953.5</v>
      </c>
      <c r="L165" t="n">
        <v>1.27</v>
      </c>
      <c r="M165" t="n">
        <v>4</v>
      </c>
      <c r="N165" t="n">
        <v>1.8</v>
      </c>
      <c r="O165" t="n">
        <v>2.8</v>
      </c>
      <c r="P165" t="n">
        <v>9.1</v>
      </c>
      <c r="Q165" t="n">
        <v>8.6</v>
      </c>
      <c r="R165" t="n">
        <v>-0.5</v>
      </c>
      <c r="S165" t="b">
        <v>1</v>
      </c>
      <c r="U165" t="n">
        <v>8</v>
      </c>
      <c r="V165" t="b">
        <v>0</v>
      </c>
      <c r="X165" t="b">
        <v>0</v>
      </c>
      <c r="Y165" t="n">
        <v>0.71</v>
      </c>
    </row>
    <row r="166">
      <c r="A166" t="inlineStr">
        <is>
          <t>O00165</t>
        </is>
      </c>
      <c r="B166" t="inlineStr">
        <is>
          <t>C0073</t>
        </is>
      </c>
      <c r="C166" t="inlineStr">
        <is>
          <t>S013</t>
        </is>
      </c>
      <c r="D166" t="inlineStr">
        <is>
          <t>R070</t>
        </is>
      </c>
      <c r="E166" s="3" t="n">
        <v>46273.76875</v>
      </c>
      <c r="F166" s="3" t="n">
        <v>46273.77680555556</v>
      </c>
      <c r="G166" s="3" t="n">
        <v>46273.77652777778</v>
      </c>
      <c r="H166" t="inlineStr">
        <is>
          <t>Delivered</t>
        </is>
      </c>
      <c r="I166" t="n">
        <v>1</v>
      </c>
      <c r="J166" t="n">
        <v>11</v>
      </c>
      <c r="K166" t="n">
        <v>1305.02</v>
      </c>
      <c r="L166" t="n">
        <v>3</v>
      </c>
      <c r="M166" t="n">
        <v>3.7</v>
      </c>
      <c r="N166" t="n">
        <v>2.9</v>
      </c>
      <c r="O166" t="n">
        <v>4.6</v>
      </c>
      <c r="P166" t="n">
        <v>11.6</v>
      </c>
      <c r="Q166" t="n">
        <v>11.2</v>
      </c>
      <c r="R166" t="n">
        <v>-0.4</v>
      </c>
      <c r="S166" t="b">
        <v>1</v>
      </c>
      <c r="U166" t="n">
        <v>18</v>
      </c>
      <c r="V166" t="b">
        <v>0</v>
      </c>
      <c r="W166" t="inlineStr">
        <is>
          <t>Light</t>
        </is>
      </c>
      <c r="X166" t="b">
        <v>0</v>
      </c>
      <c r="Y166" t="n">
        <v>0.35</v>
      </c>
    </row>
    <row r="167">
      <c r="A167" t="inlineStr">
        <is>
          <t>O00166</t>
        </is>
      </c>
      <c r="B167" t="inlineStr">
        <is>
          <t>C0182</t>
        </is>
      </c>
      <c r="C167" t="inlineStr">
        <is>
          <t>S017</t>
        </is>
      </c>
      <c r="D167" t="inlineStr">
        <is>
          <t>R051</t>
        </is>
      </c>
      <c r="E167" s="3" t="n">
        <v>46275.79722222222</v>
      </c>
      <c r="F167" s="3" t="n">
        <v>46275.80284722222</v>
      </c>
      <c r="G167" s="3" t="n">
        <v>46275.80263888889</v>
      </c>
      <c r="H167" t="inlineStr">
        <is>
          <t>Delivered</t>
        </is>
      </c>
      <c r="I167" t="n">
        <v>5</v>
      </c>
      <c r="J167" t="n">
        <v>7</v>
      </c>
      <c r="K167" t="n">
        <v>1024.84</v>
      </c>
      <c r="L167" t="n">
        <v>1.87</v>
      </c>
      <c r="M167" t="n">
        <v>1.5</v>
      </c>
      <c r="N167" t="n">
        <v>2.7</v>
      </c>
      <c r="O167" t="n">
        <v>3.6</v>
      </c>
      <c r="P167" t="n">
        <v>8.1</v>
      </c>
      <c r="Q167" t="n">
        <v>7.8</v>
      </c>
      <c r="R167" t="n">
        <v>-0.3</v>
      </c>
      <c r="S167" t="b">
        <v>1</v>
      </c>
      <c r="U167" t="n">
        <v>19</v>
      </c>
      <c r="V167" t="b">
        <v>1</v>
      </c>
      <c r="W167" t="inlineStr">
        <is>
          <t>Heavy</t>
        </is>
      </c>
      <c r="X167" t="b">
        <v>0</v>
      </c>
      <c r="Y167" t="n">
        <v>0.42</v>
      </c>
    </row>
    <row r="168">
      <c r="A168" t="inlineStr">
        <is>
          <t>O00167</t>
        </is>
      </c>
      <c r="B168" t="inlineStr">
        <is>
          <t>C0161</t>
        </is>
      </c>
      <c r="C168" t="inlineStr">
        <is>
          <t>S015</t>
        </is>
      </c>
      <c r="D168" t="inlineStr">
        <is>
          <t>R065</t>
        </is>
      </c>
      <c r="E168" s="3" t="n">
        <v>46267.68680555555</v>
      </c>
      <c r="F168" s="3" t="n">
        <v>46267.69375</v>
      </c>
      <c r="G168" s="3" t="n">
        <v>46267.69305555556</v>
      </c>
      <c r="H168" t="inlineStr">
        <is>
          <t>Delivered</t>
        </is>
      </c>
      <c r="I168" t="n">
        <v>6</v>
      </c>
      <c r="J168" t="n">
        <v>7</v>
      </c>
      <c r="K168" t="n">
        <v>1369.06</v>
      </c>
      <c r="L168" t="n">
        <v>2.4</v>
      </c>
      <c r="M168" t="n">
        <v>2.5</v>
      </c>
      <c r="N168" t="n">
        <v>3.3</v>
      </c>
      <c r="O168" t="n">
        <v>3.2</v>
      </c>
      <c r="P168" t="n">
        <v>10</v>
      </c>
      <c r="Q168" t="n">
        <v>9</v>
      </c>
      <c r="R168" t="n">
        <v>-1</v>
      </c>
      <c r="S168" t="b">
        <v>1</v>
      </c>
      <c r="U168" t="n">
        <v>16</v>
      </c>
      <c r="V168" t="b">
        <v>0</v>
      </c>
      <c r="X168" t="b">
        <v>0</v>
      </c>
      <c r="Y168" t="n">
        <v>0.5600000000000001</v>
      </c>
    </row>
    <row r="169">
      <c r="A169" t="inlineStr">
        <is>
          <t>O00168</t>
        </is>
      </c>
      <c r="B169" t="inlineStr">
        <is>
          <t>C0102</t>
        </is>
      </c>
      <c r="C169" t="inlineStr">
        <is>
          <t>S010</t>
        </is>
      </c>
      <c r="D169" t="inlineStr">
        <is>
          <t>R058</t>
        </is>
      </c>
      <c r="E169" s="3" t="n">
        <v>46274.36111111111</v>
      </c>
      <c r="F169" s="3" t="n">
        <v>46274.36847222222</v>
      </c>
      <c r="G169" s="3" t="n">
        <v>46274.36805555555</v>
      </c>
      <c r="H169" t="inlineStr">
        <is>
          <t>Delivered</t>
        </is>
      </c>
      <c r="I169" t="n">
        <v>1</v>
      </c>
      <c r="J169" t="n">
        <v>5</v>
      </c>
      <c r="K169" t="n">
        <v>993.8</v>
      </c>
      <c r="L169" t="n">
        <v>2.02</v>
      </c>
      <c r="M169" t="n">
        <v>3.9</v>
      </c>
      <c r="N169" t="n">
        <v>2.7</v>
      </c>
      <c r="O169" t="n">
        <v>3.4</v>
      </c>
      <c r="P169" t="n">
        <v>10.6</v>
      </c>
      <c r="Q169" t="n">
        <v>10</v>
      </c>
      <c r="R169" t="n">
        <v>-0.6</v>
      </c>
      <c r="S169" t="b">
        <v>1</v>
      </c>
      <c r="U169" t="n">
        <v>8</v>
      </c>
      <c r="V169" t="b">
        <v>0</v>
      </c>
      <c r="W169" t="inlineStr">
        <is>
          <t>Light</t>
        </is>
      </c>
      <c r="X169" t="b">
        <v>0</v>
      </c>
      <c r="Y169" t="n">
        <v>0.34</v>
      </c>
    </row>
    <row r="170">
      <c r="A170" t="inlineStr">
        <is>
          <t>O00169</t>
        </is>
      </c>
      <c r="B170" t="inlineStr">
        <is>
          <t>C0145</t>
        </is>
      </c>
      <c r="C170" t="inlineStr">
        <is>
          <t>S013</t>
        </is>
      </c>
      <c r="D170" t="inlineStr">
        <is>
          <t>R078</t>
        </is>
      </c>
      <c r="E170" s="3" t="n">
        <v>46267.38125</v>
      </c>
      <c r="F170" s="3" t="n">
        <v>46267.38840277777</v>
      </c>
      <c r="G170" s="3" t="n">
        <v>46267.38777777777</v>
      </c>
      <c r="H170" t="inlineStr">
        <is>
          <t>Delivered</t>
        </is>
      </c>
      <c r="I170" t="n">
        <v>2</v>
      </c>
      <c r="J170" t="n">
        <v>5</v>
      </c>
      <c r="K170" t="n">
        <v>1229.97</v>
      </c>
      <c r="L170" t="n">
        <v>3</v>
      </c>
      <c r="M170" t="n">
        <v>2.1</v>
      </c>
      <c r="N170" t="n">
        <v>3.9</v>
      </c>
      <c r="O170" t="n">
        <v>3.4</v>
      </c>
      <c r="P170" t="n">
        <v>10.3</v>
      </c>
      <c r="Q170" t="n">
        <v>9.4</v>
      </c>
      <c r="R170" t="n">
        <v>-0.9</v>
      </c>
      <c r="S170" t="b">
        <v>1</v>
      </c>
      <c r="U170" t="n">
        <v>9</v>
      </c>
      <c r="V170" t="b">
        <v>0</v>
      </c>
      <c r="W170" t="inlineStr">
        <is>
          <t>Heavy</t>
        </is>
      </c>
      <c r="X170" t="b">
        <v>0</v>
      </c>
      <c r="Y170" t="n">
        <v>0.55</v>
      </c>
    </row>
    <row r="171">
      <c r="A171" t="inlineStr">
        <is>
          <t>O00170</t>
        </is>
      </c>
      <c r="B171" t="inlineStr">
        <is>
          <t>C0241</t>
        </is>
      </c>
      <c r="C171" t="inlineStr">
        <is>
          <t>S013</t>
        </is>
      </c>
      <c r="D171" t="inlineStr">
        <is>
          <t>R026</t>
        </is>
      </c>
      <c r="E171" s="3" t="n">
        <v>46269.78958333333</v>
      </c>
      <c r="F171" s="3" t="n">
        <v>46269.79618055555</v>
      </c>
      <c r="G171" s="3" t="n">
        <v>46269.79604166667</v>
      </c>
      <c r="H171" t="inlineStr">
        <is>
          <t>Delivered</t>
        </is>
      </c>
      <c r="I171" t="n">
        <v>2</v>
      </c>
      <c r="J171" t="n">
        <v>9</v>
      </c>
      <c r="K171" t="n">
        <v>1025.51</v>
      </c>
      <c r="L171" t="n">
        <v>1.83</v>
      </c>
      <c r="M171" t="n">
        <v>2.6</v>
      </c>
      <c r="N171" t="n">
        <v>2.9</v>
      </c>
      <c r="O171" t="n">
        <v>3.8</v>
      </c>
      <c r="P171" t="n">
        <v>9.5</v>
      </c>
      <c r="Q171" t="n">
        <v>9.300000000000001</v>
      </c>
      <c r="R171" t="n">
        <v>-0.2</v>
      </c>
      <c r="S171" t="b">
        <v>1</v>
      </c>
      <c r="U171" t="n">
        <v>18</v>
      </c>
      <c r="V171" t="b">
        <v>0</v>
      </c>
      <c r="W171" t="inlineStr">
        <is>
          <t>Heavy</t>
        </is>
      </c>
      <c r="X171" t="b">
        <v>0</v>
      </c>
      <c r="Y171" t="n">
        <v>0.64</v>
      </c>
    </row>
    <row r="172">
      <c r="A172" t="inlineStr">
        <is>
          <t>O00171</t>
        </is>
      </c>
      <c r="B172" t="inlineStr">
        <is>
          <t>C0245</t>
        </is>
      </c>
      <c r="C172" t="inlineStr">
        <is>
          <t>S015</t>
        </is>
      </c>
      <c r="D172" t="inlineStr">
        <is>
          <t>R020</t>
        </is>
      </c>
      <c r="E172" s="3" t="n">
        <v>46276.39027777778</v>
      </c>
      <c r="F172" s="3" t="n">
        <v>46276.39652777778</v>
      </c>
      <c r="G172" s="3" t="n">
        <v>46276.39638888889</v>
      </c>
      <c r="H172" t="inlineStr">
        <is>
          <t>Delivered</t>
        </is>
      </c>
      <c r="I172" t="n">
        <v>2</v>
      </c>
      <c r="J172" t="n">
        <v>7</v>
      </c>
      <c r="K172" t="n">
        <v>687</v>
      </c>
      <c r="L172" t="n">
        <v>1.34</v>
      </c>
      <c r="M172" t="n">
        <v>3</v>
      </c>
      <c r="N172" t="n">
        <v>3.6</v>
      </c>
      <c r="O172" t="n">
        <v>2.2</v>
      </c>
      <c r="P172" t="n">
        <v>9</v>
      </c>
      <c r="Q172" t="n">
        <v>8.800000000000001</v>
      </c>
      <c r="R172" t="n">
        <v>-0.2</v>
      </c>
      <c r="S172" t="b">
        <v>1</v>
      </c>
      <c r="U172" t="n">
        <v>9</v>
      </c>
      <c r="V172" t="b">
        <v>0</v>
      </c>
      <c r="W172" t="inlineStr">
        <is>
          <t>Light</t>
        </is>
      </c>
      <c r="X172" t="b">
        <v>0</v>
      </c>
      <c r="Y172" t="n">
        <v>0.33</v>
      </c>
    </row>
    <row r="173">
      <c r="A173" t="inlineStr">
        <is>
          <t>O00172</t>
        </is>
      </c>
      <c r="B173" t="inlineStr">
        <is>
          <t>C0222</t>
        </is>
      </c>
      <c r="C173" t="inlineStr">
        <is>
          <t>S020</t>
        </is>
      </c>
      <c r="D173" t="inlineStr">
        <is>
          <t>R060</t>
        </is>
      </c>
      <c r="E173" s="3" t="n">
        <v>46275.89513888889</v>
      </c>
      <c r="F173" s="3" t="n">
        <v>46275.90222222222</v>
      </c>
      <c r="G173" s="3" t="n">
        <v>46275.90159722222</v>
      </c>
      <c r="H173" t="inlineStr">
        <is>
          <t>Delivered</t>
        </is>
      </c>
      <c r="I173" t="n">
        <v>3</v>
      </c>
      <c r="J173" t="n">
        <v>10</v>
      </c>
      <c r="K173" t="n">
        <v>1529.99</v>
      </c>
      <c r="L173" t="n">
        <v>3.71</v>
      </c>
      <c r="M173" t="n">
        <v>3.2</v>
      </c>
      <c r="N173" t="n">
        <v>1.8</v>
      </c>
      <c r="O173" t="n">
        <v>4.3</v>
      </c>
      <c r="P173" t="n">
        <v>10.2</v>
      </c>
      <c r="Q173" t="n">
        <v>9.300000000000001</v>
      </c>
      <c r="R173" t="n">
        <v>-0.9</v>
      </c>
      <c r="S173" t="b">
        <v>1</v>
      </c>
      <c r="U173" t="n">
        <v>21</v>
      </c>
      <c r="V173" t="b">
        <v>1</v>
      </c>
      <c r="X173" t="b">
        <v>0</v>
      </c>
      <c r="Y173" t="n">
        <v>0.88</v>
      </c>
    </row>
    <row r="174">
      <c r="A174" t="inlineStr">
        <is>
          <t>O00173</t>
        </is>
      </c>
      <c r="B174" t="inlineStr">
        <is>
          <t>C0004</t>
        </is>
      </c>
      <c r="C174" t="inlineStr">
        <is>
          <t>S004</t>
        </is>
      </c>
      <c r="D174" t="inlineStr">
        <is>
          <t>R049</t>
        </is>
      </c>
      <c r="E174" s="3" t="n">
        <v>46278.83472222222</v>
      </c>
      <c r="F174" s="3" t="n">
        <v>46278.84125</v>
      </c>
      <c r="G174" s="3" t="n">
        <v>46278.84076388889</v>
      </c>
      <c r="H174" t="inlineStr">
        <is>
          <t>Delivered</t>
        </is>
      </c>
      <c r="I174" t="n">
        <v>4</v>
      </c>
      <c r="J174" t="n">
        <v>7</v>
      </c>
      <c r="K174" t="n">
        <v>1313.02</v>
      </c>
      <c r="L174" t="n">
        <v>0.6899999999999999</v>
      </c>
      <c r="M174" t="n">
        <v>1.4</v>
      </c>
      <c r="N174" t="n">
        <v>5</v>
      </c>
      <c r="O174" t="n">
        <v>2.3</v>
      </c>
      <c r="P174" t="n">
        <v>9.4</v>
      </c>
      <c r="Q174" t="n">
        <v>8.699999999999999</v>
      </c>
      <c r="R174" t="n">
        <v>-0.7</v>
      </c>
      <c r="S174" t="b">
        <v>1</v>
      </c>
      <c r="U174" t="n">
        <v>20</v>
      </c>
      <c r="V174" t="b">
        <v>1</v>
      </c>
      <c r="X174" t="b">
        <v>0</v>
      </c>
      <c r="Y174" t="n">
        <v>0.8</v>
      </c>
    </row>
    <row r="175">
      <c r="A175" t="inlineStr">
        <is>
          <t>O00174</t>
        </is>
      </c>
      <c r="B175" t="inlineStr">
        <is>
          <t>C0185</t>
        </is>
      </c>
      <c r="C175" t="inlineStr">
        <is>
          <t>S005</t>
        </is>
      </c>
      <c r="D175" t="inlineStr">
        <is>
          <t>R008</t>
        </is>
      </c>
      <c r="E175" s="3" t="n">
        <v>46279.33472222222</v>
      </c>
      <c r="F175" s="3" t="n">
        <v>46279.34097222222</v>
      </c>
      <c r="G175" s="3" t="n">
        <v>46279.34076388889</v>
      </c>
      <c r="H175" t="inlineStr">
        <is>
          <t>Delivered</t>
        </is>
      </c>
      <c r="I175" t="n">
        <v>6</v>
      </c>
      <c r="J175" t="n">
        <v>8</v>
      </c>
      <c r="K175" t="n">
        <v>398.51</v>
      </c>
      <c r="L175" t="n">
        <v>1.37</v>
      </c>
      <c r="M175" t="n">
        <v>3.2</v>
      </c>
      <c r="N175" t="n">
        <v>3</v>
      </c>
      <c r="O175" t="n">
        <v>2.5</v>
      </c>
      <c r="P175" t="n">
        <v>9</v>
      </c>
      <c r="Q175" t="n">
        <v>8.699999999999999</v>
      </c>
      <c r="R175" t="n">
        <v>-0.3</v>
      </c>
      <c r="S175" t="b">
        <v>1</v>
      </c>
      <c r="U175" t="n">
        <v>8</v>
      </c>
      <c r="V175" t="b">
        <v>0</v>
      </c>
      <c r="X175" t="b">
        <v>0</v>
      </c>
      <c r="Y175" t="n">
        <v>0.3</v>
      </c>
    </row>
    <row r="176">
      <c r="A176" t="inlineStr">
        <is>
          <t>O00175</t>
        </is>
      </c>
      <c r="B176" t="inlineStr">
        <is>
          <t>C0058</t>
        </is>
      </c>
      <c r="C176" t="inlineStr">
        <is>
          <t>S001</t>
        </is>
      </c>
      <c r="D176" t="inlineStr">
        <is>
          <t>R007</t>
        </is>
      </c>
      <c r="E176" s="3" t="n">
        <v>46270.55625</v>
      </c>
      <c r="F176" s="3" t="n">
        <v>46270.56479166666</v>
      </c>
      <c r="G176" s="3" t="n">
        <v>46270.56444444445</v>
      </c>
      <c r="H176" t="inlineStr">
        <is>
          <t>Delivered</t>
        </is>
      </c>
      <c r="I176" t="n">
        <v>5</v>
      </c>
      <c r="J176" t="n">
        <v>10</v>
      </c>
      <c r="K176" t="n">
        <v>827.51</v>
      </c>
      <c r="L176" t="n">
        <v>2.8</v>
      </c>
      <c r="M176" t="n">
        <v>5.1</v>
      </c>
      <c r="N176" t="n">
        <v>1.3</v>
      </c>
      <c r="O176" t="n">
        <v>5.4</v>
      </c>
      <c r="P176" t="n">
        <v>12.3</v>
      </c>
      <c r="Q176" t="n">
        <v>11.8</v>
      </c>
      <c r="R176" t="n">
        <v>-0.5</v>
      </c>
      <c r="S176" t="b">
        <v>1</v>
      </c>
      <c r="U176" t="n">
        <v>13</v>
      </c>
      <c r="V176" t="b">
        <v>0</v>
      </c>
      <c r="W176" t="inlineStr">
        <is>
          <t>Light</t>
        </is>
      </c>
      <c r="X176" t="b">
        <v>0</v>
      </c>
      <c r="Y176" t="n">
        <v>0.27</v>
      </c>
    </row>
    <row r="177">
      <c r="A177" t="inlineStr">
        <is>
          <t>O00176</t>
        </is>
      </c>
      <c r="B177" t="inlineStr">
        <is>
          <t>C0169</t>
        </is>
      </c>
      <c r="C177" t="inlineStr">
        <is>
          <t>S003</t>
        </is>
      </c>
      <c r="D177" t="inlineStr">
        <is>
          <t>R007</t>
        </is>
      </c>
      <c r="E177" s="3" t="n">
        <v>46277.37430555555</v>
      </c>
      <c r="F177" s="3" t="n">
        <v>46277.38020833334</v>
      </c>
      <c r="G177" s="3" t="n">
        <v>46277.37979166667</v>
      </c>
      <c r="H177" t="inlineStr">
        <is>
          <t>Delivered</t>
        </is>
      </c>
      <c r="I177" t="n">
        <v>1</v>
      </c>
      <c r="J177" t="n">
        <v>6</v>
      </c>
      <c r="K177" t="n">
        <v>1456.07</v>
      </c>
      <c r="L177" t="n">
        <v>0.52</v>
      </c>
      <c r="M177" t="n">
        <v>5</v>
      </c>
      <c r="N177" t="n">
        <v>0</v>
      </c>
      <c r="O177" t="n">
        <v>2.9</v>
      </c>
      <c r="P177" t="n">
        <v>8.5</v>
      </c>
      <c r="Q177" t="n">
        <v>7.9</v>
      </c>
      <c r="R177" t="n">
        <v>-0.6</v>
      </c>
      <c r="S177" t="b">
        <v>1</v>
      </c>
      <c r="U177" t="n">
        <v>8</v>
      </c>
      <c r="V177" t="b">
        <v>0</v>
      </c>
      <c r="W177" t="inlineStr">
        <is>
          <t>Light</t>
        </is>
      </c>
      <c r="X177" t="b">
        <v>0</v>
      </c>
      <c r="Y177" t="n">
        <v>0.35</v>
      </c>
    </row>
    <row r="178">
      <c r="A178" t="inlineStr">
        <is>
          <t>O00177</t>
        </is>
      </c>
      <c r="B178" t="inlineStr">
        <is>
          <t>C0114</t>
        </is>
      </c>
      <c r="C178" t="inlineStr">
        <is>
          <t>S016</t>
        </is>
      </c>
      <c r="D178" t="inlineStr">
        <is>
          <t>R031</t>
        </is>
      </c>
      <c r="E178" s="3" t="n">
        <v>46267.54652777778</v>
      </c>
      <c r="F178" s="3" t="n">
        <v>46267.55368055555</v>
      </c>
      <c r="G178" s="3" t="n">
        <v>46267.55291666667</v>
      </c>
      <c r="H178" t="inlineStr">
        <is>
          <t>Delivered</t>
        </is>
      </c>
      <c r="I178" t="n">
        <v>5</v>
      </c>
      <c r="J178" t="n">
        <v>9</v>
      </c>
      <c r="K178" t="n">
        <v>1039.24</v>
      </c>
      <c r="L178" t="n">
        <v>0.78</v>
      </c>
      <c r="M178" t="n">
        <v>2.8</v>
      </c>
      <c r="N178" t="n">
        <v>4.8</v>
      </c>
      <c r="O178" t="n">
        <v>1.6</v>
      </c>
      <c r="P178" t="n">
        <v>10.3</v>
      </c>
      <c r="Q178" t="n">
        <v>9.199999999999999</v>
      </c>
      <c r="R178" t="n">
        <v>-1.1</v>
      </c>
      <c r="S178" t="b">
        <v>1</v>
      </c>
      <c r="U178" t="n">
        <v>13</v>
      </c>
      <c r="V178" t="b">
        <v>0</v>
      </c>
      <c r="X178" t="b">
        <v>0</v>
      </c>
      <c r="Y178" t="n">
        <v>0.36</v>
      </c>
    </row>
    <row r="179">
      <c r="A179" t="inlineStr">
        <is>
          <t>O00178</t>
        </is>
      </c>
      <c r="B179" t="inlineStr">
        <is>
          <t>C0073</t>
        </is>
      </c>
      <c r="C179" t="inlineStr">
        <is>
          <t>S003</t>
        </is>
      </c>
      <c r="D179" t="inlineStr">
        <is>
          <t>R004</t>
        </is>
      </c>
      <c r="E179" s="3" t="n">
        <v>46279.99166666667</v>
      </c>
      <c r="F179" s="3" t="n">
        <v>46279.99819444444</v>
      </c>
      <c r="G179" s="3" t="n">
        <v>46279.99763888889</v>
      </c>
      <c r="H179" t="inlineStr">
        <is>
          <t>Delivered</t>
        </is>
      </c>
      <c r="I179" t="n">
        <v>3</v>
      </c>
      <c r="J179" t="n">
        <v>10</v>
      </c>
      <c r="K179" t="n">
        <v>1618.98</v>
      </c>
      <c r="L179" t="n">
        <v>0.85</v>
      </c>
      <c r="M179" t="n">
        <v>2.5</v>
      </c>
      <c r="N179" t="n">
        <v>3.9</v>
      </c>
      <c r="O179" t="n">
        <v>2.2</v>
      </c>
      <c r="P179" t="n">
        <v>9.4</v>
      </c>
      <c r="Q179" t="n">
        <v>8.6</v>
      </c>
      <c r="R179" t="n">
        <v>-0.8</v>
      </c>
      <c r="S179" t="b">
        <v>1</v>
      </c>
      <c r="U179" t="n">
        <v>23</v>
      </c>
      <c r="V179" t="b">
        <v>0</v>
      </c>
      <c r="X179" t="b">
        <v>0</v>
      </c>
      <c r="Y179" t="n">
        <v>0.5600000000000001</v>
      </c>
    </row>
    <row r="180">
      <c r="A180" t="inlineStr">
        <is>
          <t>O00179</t>
        </is>
      </c>
      <c r="B180" t="inlineStr">
        <is>
          <t>C0054</t>
        </is>
      </c>
      <c r="C180" t="inlineStr">
        <is>
          <t>S014</t>
        </is>
      </c>
      <c r="D180" t="inlineStr">
        <is>
          <t>R062</t>
        </is>
      </c>
      <c r="E180" s="3" t="n">
        <v>46268.53402777778</v>
      </c>
      <c r="F180" s="3" t="n">
        <v>46268.54111111111</v>
      </c>
      <c r="G180" s="3" t="n">
        <v>46268.543125</v>
      </c>
      <c r="H180" t="inlineStr">
        <is>
          <t>Delivered</t>
        </is>
      </c>
      <c r="I180" t="n">
        <v>1</v>
      </c>
      <c r="J180" t="n">
        <v>14</v>
      </c>
      <c r="K180" t="n">
        <v>1348.86</v>
      </c>
      <c r="L180" t="n">
        <v>0.5</v>
      </c>
      <c r="M180" t="n">
        <v>6.7</v>
      </c>
      <c r="N180" t="n">
        <v>4.1</v>
      </c>
      <c r="O180" t="n">
        <v>2.3</v>
      </c>
      <c r="P180" t="n">
        <v>10.2</v>
      </c>
      <c r="Q180" t="n">
        <v>13.1</v>
      </c>
      <c r="R180" t="n">
        <v>2.9</v>
      </c>
      <c r="S180" t="b">
        <v>0</v>
      </c>
      <c r="U180" t="n">
        <v>12</v>
      </c>
      <c r="V180" t="b">
        <v>0</v>
      </c>
      <c r="X180" t="b">
        <v>0</v>
      </c>
      <c r="Y180" t="n">
        <v>0.37</v>
      </c>
    </row>
    <row r="181">
      <c r="A181" t="inlineStr">
        <is>
          <t>O00180</t>
        </is>
      </c>
      <c r="B181" t="inlineStr">
        <is>
          <t>C0167</t>
        </is>
      </c>
      <c r="C181" t="inlineStr">
        <is>
          <t>S018</t>
        </is>
      </c>
      <c r="D181" t="inlineStr">
        <is>
          <t>R003</t>
        </is>
      </c>
      <c r="E181" s="3" t="n">
        <v>46267.53888888889</v>
      </c>
      <c r="F181" s="3" t="n">
        <v>46267.54520833334</v>
      </c>
      <c r="G181" s="3" t="n">
        <v>46267.54930555556</v>
      </c>
      <c r="H181" t="inlineStr">
        <is>
          <t>Delivered</t>
        </is>
      </c>
      <c r="I181" t="n">
        <v>6</v>
      </c>
      <c r="J181" t="n">
        <v>8</v>
      </c>
      <c r="K181" t="n">
        <v>373</v>
      </c>
      <c r="L181" t="n">
        <v>0.5</v>
      </c>
      <c r="M181" t="n">
        <v>7.2</v>
      </c>
      <c r="N181" t="n">
        <v>5.3</v>
      </c>
      <c r="O181" t="n">
        <v>2.5</v>
      </c>
      <c r="P181" t="n">
        <v>9.1</v>
      </c>
      <c r="Q181" t="n">
        <v>15</v>
      </c>
      <c r="R181" t="n">
        <v>5.9</v>
      </c>
      <c r="S181" t="b">
        <v>0</v>
      </c>
      <c r="U181" t="n">
        <v>12</v>
      </c>
      <c r="V181" t="b">
        <v>0</v>
      </c>
      <c r="X181" t="b">
        <v>0</v>
      </c>
      <c r="Y181" t="n">
        <v>0.47</v>
      </c>
    </row>
    <row r="182">
      <c r="A182" t="inlineStr">
        <is>
          <t>O00181</t>
        </is>
      </c>
      <c r="B182" t="inlineStr">
        <is>
          <t>C0176</t>
        </is>
      </c>
      <c r="C182" t="inlineStr">
        <is>
          <t>S010</t>
        </is>
      </c>
      <c r="D182" t="inlineStr">
        <is>
          <t>R065</t>
        </is>
      </c>
      <c r="E182" s="3" t="n">
        <v>46279.34583333333</v>
      </c>
      <c r="F182" s="3" t="n">
        <v>46279.35326388889</v>
      </c>
      <c r="G182" s="3" t="n">
        <v>46279.353125</v>
      </c>
      <c r="H182" t="inlineStr">
        <is>
          <t>Delivered</t>
        </is>
      </c>
      <c r="I182" t="n">
        <v>1</v>
      </c>
      <c r="J182" t="n">
        <v>8</v>
      </c>
      <c r="K182" t="n">
        <v>952.74</v>
      </c>
      <c r="L182" t="n">
        <v>0.5</v>
      </c>
      <c r="M182" t="n">
        <v>4.7</v>
      </c>
      <c r="N182" t="n">
        <v>4.6</v>
      </c>
      <c r="O182" t="n">
        <v>1.2</v>
      </c>
      <c r="P182" t="n">
        <v>10.7</v>
      </c>
      <c r="Q182" t="n">
        <v>10.5</v>
      </c>
      <c r="R182" t="n">
        <v>-0.2</v>
      </c>
      <c r="S182" t="b">
        <v>1</v>
      </c>
      <c r="U182" t="n">
        <v>8</v>
      </c>
      <c r="V182" t="b">
        <v>0</v>
      </c>
      <c r="X182" t="b">
        <v>0</v>
      </c>
      <c r="Y182" t="n">
        <v>0.22</v>
      </c>
    </row>
    <row r="183">
      <c r="A183" t="inlineStr">
        <is>
          <t>O00182</t>
        </is>
      </c>
      <c r="B183" t="inlineStr">
        <is>
          <t>C0125</t>
        </is>
      </c>
      <c r="C183" t="inlineStr">
        <is>
          <t>S002</t>
        </is>
      </c>
      <c r="D183" t="inlineStr">
        <is>
          <t>R022</t>
        </is>
      </c>
      <c r="E183" s="3" t="n">
        <v>46266.49236111111</v>
      </c>
      <c r="F183" s="3" t="n">
        <v>46266.49833333334</v>
      </c>
      <c r="G183" s="3" t="n">
        <v>46266.49736111111</v>
      </c>
      <c r="H183" t="inlineStr">
        <is>
          <t>Delivered</t>
        </is>
      </c>
      <c r="I183" t="n">
        <v>1</v>
      </c>
      <c r="J183" t="n">
        <v>7</v>
      </c>
      <c r="K183" t="n">
        <v>1360.95</v>
      </c>
      <c r="L183" t="n">
        <v>0.87</v>
      </c>
      <c r="M183" t="n">
        <v>1.9</v>
      </c>
      <c r="N183" t="n">
        <v>2.9</v>
      </c>
      <c r="O183" t="n">
        <v>2.4</v>
      </c>
      <c r="P183" t="n">
        <v>8.6</v>
      </c>
      <c r="Q183" t="n">
        <v>7.2</v>
      </c>
      <c r="R183" t="n">
        <v>-1.4</v>
      </c>
      <c r="S183" t="b">
        <v>1</v>
      </c>
      <c r="U183" t="n">
        <v>11</v>
      </c>
      <c r="V183" t="b">
        <v>0</v>
      </c>
      <c r="X183" t="b">
        <v>0</v>
      </c>
      <c r="Y183" t="n">
        <v>0.26</v>
      </c>
    </row>
    <row r="184">
      <c r="A184" t="inlineStr">
        <is>
          <t>O00183</t>
        </is>
      </c>
      <c r="B184" t="inlineStr">
        <is>
          <t>C0033</t>
        </is>
      </c>
      <c r="C184" t="inlineStr">
        <is>
          <t>S006</t>
        </is>
      </c>
      <c r="D184" t="inlineStr">
        <is>
          <t>R055</t>
        </is>
      </c>
      <c r="E184" s="3" t="n">
        <v>46279.55069444444</v>
      </c>
      <c r="F184" s="3" t="n">
        <v>46279.55666666666</v>
      </c>
      <c r="G184" s="3" t="n">
        <v>46279.55590277778</v>
      </c>
      <c r="H184" t="inlineStr">
        <is>
          <t>Delivered</t>
        </is>
      </c>
      <c r="I184" t="n">
        <v>4</v>
      </c>
      <c r="J184" t="n">
        <v>5</v>
      </c>
      <c r="K184" t="n">
        <v>491.18</v>
      </c>
      <c r="L184" t="n">
        <v>0.5</v>
      </c>
      <c r="M184" t="n">
        <v>3.8</v>
      </c>
      <c r="N184" t="n">
        <v>1.4</v>
      </c>
      <c r="O184" t="n">
        <v>2.3</v>
      </c>
      <c r="P184" t="n">
        <v>8.6</v>
      </c>
      <c r="Q184" t="n">
        <v>7.5</v>
      </c>
      <c r="R184" t="n">
        <v>-1.1</v>
      </c>
      <c r="S184" t="b">
        <v>1</v>
      </c>
      <c r="U184" t="n">
        <v>13</v>
      </c>
      <c r="V184" t="b">
        <v>0</v>
      </c>
      <c r="X184" t="b">
        <v>0</v>
      </c>
      <c r="Y184" t="n">
        <v>0.72</v>
      </c>
    </row>
    <row r="185">
      <c r="A185" t="inlineStr">
        <is>
          <t>O00184</t>
        </is>
      </c>
      <c r="B185" t="inlineStr">
        <is>
          <t>C0060</t>
        </is>
      </c>
      <c r="C185" t="inlineStr">
        <is>
          <t>S004</t>
        </is>
      </c>
      <c r="D185" t="inlineStr">
        <is>
          <t>R014</t>
        </is>
      </c>
      <c r="E185" s="3" t="n">
        <v>46270.50347222222</v>
      </c>
      <c r="F185" s="3" t="n">
        <v>46270.51027777778</v>
      </c>
      <c r="G185" s="3" t="n">
        <v>46270.50972222222</v>
      </c>
      <c r="H185" t="inlineStr">
        <is>
          <t>Delivered</t>
        </is>
      </c>
      <c r="I185" t="n">
        <v>6</v>
      </c>
      <c r="J185" t="n">
        <v>6</v>
      </c>
      <c r="K185" t="n">
        <v>1337.97</v>
      </c>
      <c r="L185" t="n">
        <v>2.38</v>
      </c>
      <c r="M185" t="n">
        <v>1.6</v>
      </c>
      <c r="N185" t="n">
        <v>4</v>
      </c>
      <c r="O185" t="n">
        <v>3.4</v>
      </c>
      <c r="P185" t="n">
        <v>9.800000000000001</v>
      </c>
      <c r="Q185" t="n">
        <v>9</v>
      </c>
      <c r="R185" t="n">
        <v>-0.8</v>
      </c>
      <c r="S185" t="b">
        <v>1</v>
      </c>
      <c r="U185" t="n">
        <v>12</v>
      </c>
      <c r="V185" t="b">
        <v>0</v>
      </c>
      <c r="W185" t="inlineStr">
        <is>
          <t>Light</t>
        </is>
      </c>
      <c r="X185" t="b">
        <v>0</v>
      </c>
      <c r="Y185" t="n">
        <v>0.39</v>
      </c>
    </row>
    <row r="186">
      <c r="A186" t="inlineStr">
        <is>
          <t>O00185</t>
        </is>
      </c>
      <c r="B186" t="inlineStr">
        <is>
          <t>C0124</t>
        </is>
      </c>
      <c r="C186" t="inlineStr">
        <is>
          <t>S004</t>
        </is>
      </c>
      <c r="D186" t="inlineStr">
        <is>
          <t>R061</t>
        </is>
      </c>
      <c r="E186" s="3" t="n">
        <v>46267.57916666667</v>
      </c>
      <c r="F186" s="3" t="n">
        <v>46267.58493055555</v>
      </c>
      <c r="G186" s="3" t="n">
        <v>46267.58569444445</v>
      </c>
      <c r="H186" t="inlineStr">
        <is>
          <t>Delivered</t>
        </is>
      </c>
      <c r="I186" t="n">
        <v>3</v>
      </c>
      <c r="J186" t="n">
        <v>3</v>
      </c>
      <c r="K186" t="n">
        <v>780.25</v>
      </c>
      <c r="L186" t="n">
        <v>2.13</v>
      </c>
      <c r="M186" t="n">
        <v>1.5</v>
      </c>
      <c r="N186" t="n">
        <v>2.3</v>
      </c>
      <c r="O186" t="n">
        <v>5.6</v>
      </c>
      <c r="P186" t="n">
        <v>8.300000000000001</v>
      </c>
      <c r="Q186" t="n">
        <v>9.4</v>
      </c>
      <c r="R186" t="n">
        <v>1.1</v>
      </c>
      <c r="S186" t="b">
        <v>0</v>
      </c>
      <c r="U186" t="n">
        <v>13</v>
      </c>
      <c r="V186" t="b">
        <v>0</v>
      </c>
      <c r="X186" t="b">
        <v>0</v>
      </c>
      <c r="Y186" t="n">
        <v>0.33</v>
      </c>
    </row>
    <row r="187">
      <c r="A187" t="inlineStr">
        <is>
          <t>O00186</t>
        </is>
      </c>
      <c r="B187" t="inlineStr">
        <is>
          <t>C0007</t>
        </is>
      </c>
      <c r="C187" t="inlineStr">
        <is>
          <t>S011</t>
        </is>
      </c>
      <c r="D187" t="inlineStr">
        <is>
          <t>R036</t>
        </is>
      </c>
      <c r="E187" s="3" t="n">
        <v>46266.48055555556</v>
      </c>
      <c r="F187" s="3" t="n">
        <v>46266.48763888889</v>
      </c>
      <c r="G187" s="3" t="n">
        <v>46266.48736111111</v>
      </c>
      <c r="H187" t="inlineStr">
        <is>
          <t>Delivered</t>
        </is>
      </c>
      <c r="I187" t="n">
        <v>1</v>
      </c>
      <c r="J187" t="n">
        <v>8</v>
      </c>
      <c r="K187" t="n">
        <v>1555.68</v>
      </c>
      <c r="L187" t="n">
        <v>2.88</v>
      </c>
      <c r="M187" t="n">
        <v>4.4</v>
      </c>
      <c r="N187" t="n">
        <v>0</v>
      </c>
      <c r="O187" t="n">
        <v>5.4</v>
      </c>
      <c r="P187" t="n">
        <v>10.2</v>
      </c>
      <c r="Q187" t="n">
        <v>9.800000000000001</v>
      </c>
      <c r="R187" t="n">
        <v>-0.4</v>
      </c>
      <c r="S187" t="b">
        <v>1</v>
      </c>
      <c r="U187" t="n">
        <v>11</v>
      </c>
      <c r="V187" t="b">
        <v>0</v>
      </c>
      <c r="X187" t="b">
        <v>0</v>
      </c>
      <c r="Y187" t="n">
        <v>0.62</v>
      </c>
    </row>
    <row r="188">
      <c r="A188" t="inlineStr">
        <is>
          <t>O00187</t>
        </is>
      </c>
      <c r="B188" t="inlineStr">
        <is>
          <t>C0019</t>
        </is>
      </c>
      <c r="C188" t="inlineStr">
        <is>
          <t>S001</t>
        </is>
      </c>
      <c r="D188" t="inlineStr">
        <is>
          <t>R080</t>
        </is>
      </c>
      <c r="E188" s="3" t="n">
        <v>46271.83958333333</v>
      </c>
      <c r="F188" s="3" t="n">
        <v>46271.84513888889</v>
      </c>
      <c r="G188" s="3" t="n">
        <v>46271.85013888889</v>
      </c>
      <c r="H188" t="inlineStr">
        <is>
          <t>Delivered</t>
        </is>
      </c>
      <c r="I188" t="n">
        <v>4</v>
      </c>
      <c r="J188" t="n">
        <v>7</v>
      </c>
      <c r="K188" t="n">
        <v>1417.66</v>
      </c>
      <c r="L188" t="n">
        <v>1.24</v>
      </c>
      <c r="M188" t="n">
        <v>4.6</v>
      </c>
      <c r="N188" t="n">
        <v>5.8</v>
      </c>
      <c r="O188" t="n">
        <v>4.8</v>
      </c>
      <c r="P188" t="n">
        <v>8</v>
      </c>
      <c r="Q188" t="n">
        <v>15.2</v>
      </c>
      <c r="R188" t="n">
        <v>7.2</v>
      </c>
      <c r="S188" t="b">
        <v>0</v>
      </c>
      <c r="U188" t="n">
        <v>20</v>
      </c>
      <c r="V188" t="b">
        <v>1</v>
      </c>
      <c r="W188" t="inlineStr">
        <is>
          <t>Light</t>
        </is>
      </c>
      <c r="X188" t="b">
        <v>0</v>
      </c>
      <c r="Y188" t="n">
        <v>0.59</v>
      </c>
    </row>
    <row r="189">
      <c r="A189" t="inlineStr">
        <is>
          <t>O00188</t>
        </is>
      </c>
      <c r="B189" t="inlineStr">
        <is>
          <t>C0056</t>
        </is>
      </c>
      <c r="C189" t="inlineStr">
        <is>
          <t>S018</t>
        </is>
      </c>
      <c r="D189" t="inlineStr">
        <is>
          <t>R029</t>
        </is>
      </c>
      <c r="E189" s="3" t="n">
        <v>46269.78402777778</v>
      </c>
      <c r="F189" s="3" t="n">
        <v>46269.79152777778</v>
      </c>
      <c r="G189" s="3" t="n">
        <v>46269.79097222222</v>
      </c>
      <c r="H189" t="inlineStr">
        <is>
          <t>Delivered</t>
        </is>
      </c>
      <c r="I189" t="n">
        <v>2</v>
      </c>
      <c r="J189" t="n">
        <v>7</v>
      </c>
      <c r="K189" t="n">
        <v>325.21</v>
      </c>
      <c r="L189" t="n">
        <v>0.5</v>
      </c>
      <c r="M189" t="n">
        <v>3</v>
      </c>
      <c r="N189" t="n">
        <v>4.7</v>
      </c>
      <c r="O189" t="n">
        <v>2.3</v>
      </c>
      <c r="P189" t="n">
        <v>10.8</v>
      </c>
      <c r="Q189" t="n">
        <v>10</v>
      </c>
      <c r="R189" t="n">
        <v>-0.8</v>
      </c>
      <c r="S189" t="b">
        <v>1</v>
      </c>
      <c r="U189" t="n">
        <v>18</v>
      </c>
      <c r="V189" t="b">
        <v>0</v>
      </c>
      <c r="W189" t="inlineStr">
        <is>
          <t>Heavy</t>
        </is>
      </c>
      <c r="X189" t="b">
        <v>1</v>
      </c>
      <c r="Y189" t="n">
        <v>0.48</v>
      </c>
    </row>
    <row r="190">
      <c r="A190" t="inlineStr">
        <is>
          <t>O00189</t>
        </is>
      </c>
      <c r="B190" t="inlineStr">
        <is>
          <t>C0072</t>
        </is>
      </c>
      <c r="C190" t="inlineStr">
        <is>
          <t>S006</t>
        </is>
      </c>
      <c r="D190" t="inlineStr">
        <is>
          <t>R072</t>
        </is>
      </c>
      <c r="E190" s="3" t="n">
        <v>46273.77361111111</v>
      </c>
      <c r="F190" s="3" t="n">
        <v>46273.78145833333</v>
      </c>
      <c r="G190" s="3" t="n">
        <v>46273.78944444445</v>
      </c>
      <c r="H190" t="inlineStr">
        <is>
          <t>Delivered</t>
        </is>
      </c>
      <c r="I190" t="n">
        <v>3</v>
      </c>
      <c r="J190" t="n">
        <v>11</v>
      </c>
      <c r="K190" t="n">
        <v>560.75</v>
      </c>
      <c r="L190" t="n">
        <v>3.28</v>
      </c>
      <c r="M190" t="n">
        <v>6.2</v>
      </c>
      <c r="N190" t="n">
        <v>7.1</v>
      </c>
      <c r="O190" t="n">
        <v>9.4</v>
      </c>
      <c r="P190" t="n">
        <v>11.3</v>
      </c>
      <c r="Q190" t="n">
        <v>22.8</v>
      </c>
      <c r="R190" t="n">
        <v>11.5</v>
      </c>
      <c r="S190" t="b">
        <v>0</v>
      </c>
      <c r="U190" t="n">
        <v>18</v>
      </c>
      <c r="V190" t="b">
        <v>0</v>
      </c>
      <c r="X190" t="b">
        <v>0</v>
      </c>
      <c r="Y190" t="n">
        <v>0.44</v>
      </c>
    </row>
    <row r="191">
      <c r="A191" t="inlineStr">
        <is>
          <t>O00190</t>
        </is>
      </c>
      <c r="B191" t="inlineStr">
        <is>
          <t>C0090</t>
        </is>
      </c>
      <c r="C191" t="inlineStr">
        <is>
          <t>S010</t>
        </is>
      </c>
      <c r="D191" t="inlineStr">
        <is>
          <t>R044</t>
        </is>
      </c>
      <c r="E191" s="3" t="n">
        <v>46268.66388888889</v>
      </c>
      <c r="F191" s="3" t="n">
        <v>46268.67055555555</v>
      </c>
      <c r="G191" s="3" t="n">
        <v>46268.67020833334</v>
      </c>
      <c r="H191" t="inlineStr">
        <is>
          <t>Delivered</t>
        </is>
      </c>
      <c r="I191" t="n">
        <v>1</v>
      </c>
      <c r="J191" t="n">
        <v>3</v>
      </c>
      <c r="K191" t="n">
        <v>1117.75</v>
      </c>
      <c r="L191" t="n">
        <v>1.38</v>
      </c>
      <c r="M191" t="n">
        <v>3.6</v>
      </c>
      <c r="N191" t="n">
        <v>2.9</v>
      </c>
      <c r="O191" t="n">
        <v>2.6</v>
      </c>
      <c r="P191" t="n">
        <v>9.6</v>
      </c>
      <c r="Q191" t="n">
        <v>9.1</v>
      </c>
      <c r="R191" t="n">
        <v>-0.5</v>
      </c>
      <c r="S191" t="b">
        <v>1</v>
      </c>
      <c r="U191" t="n">
        <v>15</v>
      </c>
      <c r="V191" t="b">
        <v>0</v>
      </c>
      <c r="X191" t="b">
        <v>0</v>
      </c>
      <c r="Y191" t="n">
        <v>0.4</v>
      </c>
    </row>
    <row r="192">
      <c r="A192" t="inlineStr">
        <is>
          <t>O00191</t>
        </is>
      </c>
      <c r="B192" t="inlineStr">
        <is>
          <t>C0091</t>
        </is>
      </c>
      <c r="C192" t="inlineStr">
        <is>
          <t>S013</t>
        </is>
      </c>
      <c r="D192" t="inlineStr">
        <is>
          <t>R059</t>
        </is>
      </c>
      <c r="E192" s="3" t="n">
        <v>46279.94583333333</v>
      </c>
      <c r="F192" s="3" t="n">
        <v>46279.95333333333</v>
      </c>
      <c r="G192" s="3" t="n">
        <v>46279.95680555556</v>
      </c>
      <c r="H192" t="inlineStr">
        <is>
          <t>Delivered</t>
        </is>
      </c>
      <c r="I192" t="n">
        <v>1</v>
      </c>
      <c r="J192" t="n">
        <v>9</v>
      </c>
      <c r="K192" t="n">
        <v>471.92</v>
      </c>
      <c r="L192" t="n">
        <v>3</v>
      </c>
      <c r="M192" t="n">
        <v>6.9</v>
      </c>
      <c r="N192" t="n">
        <v>2.3</v>
      </c>
      <c r="O192" t="n">
        <v>6.6</v>
      </c>
      <c r="P192" t="n">
        <v>10.8</v>
      </c>
      <c r="Q192" t="n">
        <v>15.8</v>
      </c>
      <c r="R192" t="n">
        <v>5</v>
      </c>
      <c r="S192" t="b">
        <v>0</v>
      </c>
      <c r="U192" t="n">
        <v>22</v>
      </c>
      <c r="V192" t="b">
        <v>0</v>
      </c>
      <c r="X192" t="b">
        <v>0</v>
      </c>
      <c r="Y192" t="n">
        <v>0.33</v>
      </c>
    </row>
    <row r="193">
      <c r="A193" t="inlineStr">
        <is>
          <t>O00192</t>
        </is>
      </c>
      <c r="B193" t="inlineStr">
        <is>
          <t>C0067</t>
        </is>
      </c>
      <c r="C193" t="inlineStr">
        <is>
          <t>S007</t>
        </is>
      </c>
      <c r="D193" t="inlineStr">
        <is>
          <t>R029</t>
        </is>
      </c>
      <c r="E193" s="3" t="n">
        <v>46272.96666666667</v>
      </c>
      <c r="F193" s="3" t="n">
        <v>46272.97465277778</v>
      </c>
      <c r="G193" s="3" t="n">
        <v>46272.97388888889</v>
      </c>
      <c r="H193" t="inlineStr">
        <is>
          <t>Delivered</t>
        </is>
      </c>
      <c r="I193" t="n">
        <v>4</v>
      </c>
      <c r="J193" t="n">
        <v>6</v>
      </c>
      <c r="K193" t="n">
        <v>381.27</v>
      </c>
      <c r="L193" t="n">
        <v>2.99</v>
      </c>
      <c r="M193" t="n">
        <v>2.7</v>
      </c>
      <c r="N193" t="n">
        <v>3.4</v>
      </c>
      <c r="O193" t="n">
        <v>4.3</v>
      </c>
      <c r="P193" t="n">
        <v>11.5</v>
      </c>
      <c r="Q193" t="n">
        <v>10.4</v>
      </c>
      <c r="R193" t="n">
        <v>-1.1</v>
      </c>
      <c r="S193" t="b">
        <v>1</v>
      </c>
      <c r="U193" t="n">
        <v>23</v>
      </c>
      <c r="V193" t="b">
        <v>0</v>
      </c>
      <c r="X193" t="b">
        <v>0</v>
      </c>
      <c r="Y193" t="n">
        <v>0.46</v>
      </c>
    </row>
    <row r="194">
      <c r="A194" t="inlineStr">
        <is>
          <t>O00193</t>
        </is>
      </c>
      <c r="B194" t="inlineStr">
        <is>
          <t>C0075</t>
        </is>
      </c>
      <c r="C194" t="inlineStr">
        <is>
          <t>S013</t>
        </is>
      </c>
      <c r="D194" t="inlineStr">
        <is>
          <t>R007</t>
        </is>
      </c>
      <c r="E194" s="3" t="n">
        <v>46268.48125</v>
      </c>
      <c r="F194" s="3" t="n">
        <v>46268.48784722222</v>
      </c>
      <c r="G194" s="3" t="n">
        <v>46268.48756944444</v>
      </c>
      <c r="H194" t="inlineStr">
        <is>
          <t>Delivered</t>
        </is>
      </c>
      <c r="I194" t="n">
        <v>6</v>
      </c>
      <c r="J194" t="n">
        <v>8</v>
      </c>
      <c r="K194" t="n">
        <v>1496.31</v>
      </c>
      <c r="L194" t="n">
        <v>1.35</v>
      </c>
      <c r="M194" t="n">
        <v>4.9</v>
      </c>
      <c r="N194" t="n">
        <v>1.2</v>
      </c>
      <c r="O194" t="n">
        <v>3</v>
      </c>
      <c r="P194" t="n">
        <v>9.5</v>
      </c>
      <c r="Q194" t="n">
        <v>9.1</v>
      </c>
      <c r="R194" t="n">
        <v>-0.4</v>
      </c>
      <c r="S194" t="b">
        <v>1</v>
      </c>
      <c r="U194" t="n">
        <v>11</v>
      </c>
      <c r="V194" t="b">
        <v>0</v>
      </c>
      <c r="X194" t="b">
        <v>0</v>
      </c>
      <c r="Y194" t="n">
        <v>0.18</v>
      </c>
    </row>
    <row r="195">
      <c r="A195" t="inlineStr">
        <is>
          <t>O00194</t>
        </is>
      </c>
      <c r="B195" t="inlineStr">
        <is>
          <t>C0111</t>
        </is>
      </c>
      <c r="C195" t="inlineStr">
        <is>
          <t>S020</t>
        </is>
      </c>
      <c r="D195" t="inlineStr">
        <is>
          <t>R056</t>
        </is>
      </c>
      <c r="E195" s="3" t="n">
        <v>46276.97291666667</v>
      </c>
      <c r="F195" s="3" t="n">
        <v>46276.98048611111</v>
      </c>
      <c r="G195" s="3" t="n">
        <v>46276.98006944444</v>
      </c>
      <c r="H195" t="inlineStr">
        <is>
          <t>Delivered</t>
        </is>
      </c>
      <c r="I195" t="n">
        <v>3</v>
      </c>
      <c r="J195" t="n">
        <v>9</v>
      </c>
      <c r="K195" t="n">
        <v>1459.55</v>
      </c>
      <c r="L195" t="n">
        <v>0.52</v>
      </c>
      <c r="M195" t="n">
        <v>5.5</v>
      </c>
      <c r="N195" t="n">
        <v>1.6</v>
      </c>
      <c r="O195" t="n">
        <v>3.2</v>
      </c>
      <c r="P195" t="n">
        <v>10.9</v>
      </c>
      <c r="Q195" t="n">
        <v>10.3</v>
      </c>
      <c r="R195" t="n">
        <v>-0.6</v>
      </c>
      <c r="S195" t="b">
        <v>1</v>
      </c>
      <c r="U195" t="n">
        <v>23</v>
      </c>
      <c r="V195" t="b">
        <v>0</v>
      </c>
      <c r="W195" t="inlineStr">
        <is>
          <t>Light</t>
        </is>
      </c>
      <c r="X195" t="b">
        <v>0</v>
      </c>
      <c r="Y195" t="n">
        <v>0.63</v>
      </c>
    </row>
    <row r="196">
      <c r="A196" t="inlineStr">
        <is>
          <t>O00195</t>
        </is>
      </c>
      <c r="B196" t="inlineStr">
        <is>
          <t>C0064</t>
        </is>
      </c>
      <c r="C196" t="inlineStr">
        <is>
          <t>S009</t>
        </is>
      </c>
      <c r="D196" t="inlineStr">
        <is>
          <t>R002</t>
        </is>
      </c>
      <c r="E196" s="3" t="n">
        <v>46268.91944444444</v>
      </c>
      <c r="F196" s="3" t="n">
        <v>46268.92784722222</v>
      </c>
      <c r="G196" s="3" t="n">
        <v>46268.92708333334</v>
      </c>
      <c r="H196" t="inlineStr">
        <is>
          <t>Delivered</t>
        </is>
      </c>
      <c r="I196" t="n">
        <v>3</v>
      </c>
      <c r="J196" t="n">
        <v>7</v>
      </c>
      <c r="K196" t="n">
        <v>1267.14</v>
      </c>
      <c r="L196" t="n">
        <v>1.02</v>
      </c>
      <c r="M196" t="n">
        <v>3.2</v>
      </c>
      <c r="N196" t="n">
        <v>5.2</v>
      </c>
      <c r="O196" t="n">
        <v>2.5</v>
      </c>
      <c r="P196" t="n">
        <v>12.1</v>
      </c>
      <c r="Q196" t="n">
        <v>11</v>
      </c>
      <c r="R196" t="n">
        <v>-1.1</v>
      </c>
      <c r="S196" t="b">
        <v>1</v>
      </c>
      <c r="U196" t="n">
        <v>22</v>
      </c>
      <c r="V196" t="b">
        <v>0</v>
      </c>
      <c r="X196" t="b">
        <v>0</v>
      </c>
      <c r="Y196" t="n">
        <v>0.24</v>
      </c>
    </row>
    <row r="197">
      <c r="A197" t="inlineStr">
        <is>
          <t>O00196</t>
        </is>
      </c>
      <c r="B197" t="inlineStr">
        <is>
          <t>C0155</t>
        </is>
      </c>
      <c r="C197" t="inlineStr">
        <is>
          <t>S017</t>
        </is>
      </c>
      <c r="D197" t="inlineStr">
        <is>
          <t>R048</t>
        </is>
      </c>
      <c r="E197" s="3" t="n">
        <v>46270.78819444445</v>
      </c>
      <c r="F197" s="3" t="n">
        <v>46270.79569444444</v>
      </c>
      <c r="G197" s="3" t="n">
        <v>46270.79520833334</v>
      </c>
      <c r="H197" t="inlineStr">
        <is>
          <t>Delivered</t>
        </is>
      </c>
      <c r="I197" t="n">
        <v>2</v>
      </c>
      <c r="J197" t="n">
        <v>4</v>
      </c>
      <c r="K197" t="n">
        <v>438.27</v>
      </c>
      <c r="L197" t="n">
        <v>1.88</v>
      </c>
      <c r="M197" t="n">
        <v>2</v>
      </c>
      <c r="N197" t="n">
        <v>3</v>
      </c>
      <c r="O197" t="n">
        <v>5.1</v>
      </c>
      <c r="P197" t="n">
        <v>10.8</v>
      </c>
      <c r="Q197" t="n">
        <v>10.1</v>
      </c>
      <c r="R197" t="n">
        <v>-0.7</v>
      </c>
      <c r="S197" t="b">
        <v>1</v>
      </c>
      <c r="U197" t="n">
        <v>18</v>
      </c>
      <c r="V197" t="b">
        <v>0</v>
      </c>
      <c r="X197" t="b">
        <v>0</v>
      </c>
      <c r="Y197" t="n">
        <v>0.44</v>
      </c>
    </row>
    <row r="198">
      <c r="A198" t="inlineStr">
        <is>
          <t>O00197</t>
        </is>
      </c>
      <c r="B198" t="inlineStr">
        <is>
          <t>C0207</t>
        </is>
      </c>
      <c r="C198" t="inlineStr">
        <is>
          <t>S009</t>
        </is>
      </c>
      <c r="D198" t="inlineStr">
        <is>
          <t>R074</t>
        </is>
      </c>
      <c r="E198" s="3" t="n">
        <v>46277.39791666667</v>
      </c>
      <c r="F198" s="3" t="n">
        <v>46277.40569444445</v>
      </c>
      <c r="G198" s="3" t="n">
        <v>46277.40520833333</v>
      </c>
      <c r="H198" t="inlineStr">
        <is>
          <t>Delivered</t>
        </is>
      </c>
      <c r="I198" t="n">
        <v>2</v>
      </c>
      <c r="J198" t="n">
        <v>5</v>
      </c>
      <c r="K198" t="n">
        <v>982.42</v>
      </c>
      <c r="L198" t="n">
        <v>0.5</v>
      </c>
      <c r="M198" t="n">
        <v>3.3</v>
      </c>
      <c r="N198" t="n">
        <v>4.3</v>
      </c>
      <c r="O198" t="n">
        <v>2.9</v>
      </c>
      <c r="P198" t="n">
        <v>11.2</v>
      </c>
      <c r="Q198" t="n">
        <v>10.5</v>
      </c>
      <c r="R198" t="n">
        <v>-0.7</v>
      </c>
      <c r="S198" t="b">
        <v>1</v>
      </c>
      <c r="U198" t="n">
        <v>9</v>
      </c>
      <c r="V198" t="b">
        <v>0</v>
      </c>
      <c r="W198" t="inlineStr">
        <is>
          <t>Light</t>
        </is>
      </c>
      <c r="X198" t="b">
        <v>0</v>
      </c>
      <c r="Y198" t="n">
        <v>0.51</v>
      </c>
    </row>
    <row r="199">
      <c r="A199" t="inlineStr">
        <is>
          <t>O00198</t>
        </is>
      </c>
      <c r="B199" t="inlineStr">
        <is>
          <t>C0212</t>
        </is>
      </c>
      <c r="C199" t="inlineStr">
        <is>
          <t>S015</t>
        </is>
      </c>
      <c r="D199" t="inlineStr">
        <is>
          <t>R045</t>
        </is>
      </c>
      <c r="E199" s="3" t="n">
        <v>46274.92152777778</v>
      </c>
      <c r="F199" s="3" t="n">
        <v>46274.92743055556</v>
      </c>
      <c r="G199" s="3" t="n">
        <v>46274.93020833333</v>
      </c>
      <c r="H199" t="inlineStr">
        <is>
          <t>Delivered</t>
        </is>
      </c>
      <c r="I199" t="n">
        <v>1</v>
      </c>
      <c r="J199" t="n">
        <v>10</v>
      </c>
      <c r="K199" t="n">
        <v>1021.16</v>
      </c>
      <c r="L199" t="n">
        <v>1.05</v>
      </c>
      <c r="M199" t="n">
        <v>6.8</v>
      </c>
      <c r="N199" t="n">
        <v>1.6</v>
      </c>
      <c r="O199" t="n">
        <v>4.1</v>
      </c>
      <c r="P199" t="n">
        <v>8.5</v>
      </c>
      <c r="Q199" t="n">
        <v>12.5</v>
      </c>
      <c r="R199" t="n">
        <v>4</v>
      </c>
      <c r="S199" t="b">
        <v>0</v>
      </c>
      <c r="U199" t="n">
        <v>22</v>
      </c>
      <c r="V199" t="b">
        <v>0</v>
      </c>
      <c r="X199" t="b">
        <v>0</v>
      </c>
      <c r="Y199" t="n">
        <v>0.52</v>
      </c>
    </row>
    <row r="200">
      <c r="A200" t="inlineStr">
        <is>
          <t>O00199</t>
        </is>
      </c>
      <c r="B200" t="inlineStr">
        <is>
          <t>C0135</t>
        </is>
      </c>
      <c r="C200" t="inlineStr">
        <is>
          <t>S009</t>
        </is>
      </c>
      <c r="D200" t="inlineStr">
        <is>
          <t>R034</t>
        </is>
      </c>
      <c r="E200" s="3" t="n">
        <v>46267.54513888889</v>
      </c>
      <c r="F200" s="3" t="n">
        <v>46267.55243055556</v>
      </c>
      <c r="G200" s="3" t="n">
        <v>46267.551875</v>
      </c>
      <c r="H200" t="inlineStr">
        <is>
          <t>Delivered</t>
        </is>
      </c>
      <c r="I200" t="n">
        <v>6</v>
      </c>
      <c r="J200" t="n">
        <v>8</v>
      </c>
      <c r="K200" t="n">
        <v>298.4</v>
      </c>
      <c r="L200" t="n">
        <v>2.8</v>
      </c>
      <c r="M200" t="n">
        <v>2.5</v>
      </c>
      <c r="N200" t="n">
        <v>1.7</v>
      </c>
      <c r="O200" t="n">
        <v>5.5</v>
      </c>
      <c r="P200" t="n">
        <v>10.5</v>
      </c>
      <c r="Q200" t="n">
        <v>9.699999999999999</v>
      </c>
      <c r="R200" t="n">
        <v>-0.8</v>
      </c>
      <c r="S200" t="b">
        <v>1</v>
      </c>
      <c r="U200" t="n">
        <v>13</v>
      </c>
      <c r="V200" t="b">
        <v>0</v>
      </c>
      <c r="X200" t="b">
        <v>0</v>
      </c>
      <c r="Y200" t="n">
        <v>0.39</v>
      </c>
    </row>
    <row r="201">
      <c r="A201" t="inlineStr">
        <is>
          <t>O00200</t>
        </is>
      </c>
      <c r="B201" t="inlineStr">
        <is>
          <t>C0138</t>
        </is>
      </c>
      <c r="C201" t="inlineStr">
        <is>
          <t>S007</t>
        </is>
      </c>
      <c r="D201" t="inlineStr">
        <is>
          <t>R007</t>
        </is>
      </c>
      <c r="E201" s="3" t="n">
        <v>46278.81666666667</v>
      </c>
      <c r="F201" s="3" t="n">
        <v>46278.82305555556</v>
      </c>
      <c r="G201" s="3" t="n">
        <v>46278.82277777778</v>
      </c>
      <c r="H201" t="inlineStr">
        <is>
          <t>Delivered</t>
        </is>
      </c>
      <c r="I201" t="n">
        <v>1</v>
      </c>
      <c r="J201" t="n">
        <v>6</v>
      </c>
      <c r="K201" t="n">
        <v>1267.26</v>
      </c>
      <c r="L201" t="n">
        <v>3.99</v>
      </c>
      <c r="M201" t="n">
        <v>1.9</v>
      </c>
      <c r="N201" t="n">
        <v>1.6</v>
      </c>
      <c r="O201" t="n">
        <v>5.3</v>
      </c>
      <c r="P201" t="n">
        <v>9.199999999999999</v>
      </c>
      <c r="Q201" t="n">
        <v>8.800000000000001</v>
      </c>
      <c r="R201" t="n">
        <v>-0.4</v>
      </c>
      <c r="S201" t="b">
        <v>1</v>
      </c>
      <c r="U201" t="n">
        <v>19</v>
      </c>
      <c r="V201" t="b">
        <v>1</v>
      </c>
      <c r="X201" t="b">
        <v>0</v>
      </c>
      <c r="Y201" t="n">
        <v>0.86</v>
      </c>
    </row>
    <row r="202">
      <c r="A202" t="inlineStr">
        <is>
          <t>O00201</t>
        </is>
      </c>
      <c r="B202" t="inlineStr">
        <is>
          <t>C0060</t>
        </is>
      </c>
      <c r="C202" t="inlineStr">
        <is>
          <t>S014</t>
        </is>
      </c>
      <c r="D202" t="inlineStr">
        <is>
          <t>R046</t>
        </is>
      </c>
      <c r="E202" s="3" t="n">
        <v>46279.53055555555</v>
      </c>
      <c r="F202" s="3" t="n">
        <v>46279.53743055555</v>
      </c>
      <c r="G202" s="3" t="n">
        <v>46279.53694444444</v>
      </c>
      <c r="H202" t="inlineStr">
        <is>
          <t>Delivered</t>
        </is>
      </c>
      <c r="I202" t="n">
        <v>1</v>
      </c>
      <c r="J202" t="n">
        <v>4</v>
      </c>
      <c r="K202" t="n">
        <v>1364.17</v>
      </c>
      <c r="L202" t="n">
        <v>3.3</v>
      </c>
      <c r="M202" t="n">
        <v>2.5</v>
      </c>
      <c r="N202" t="n">
        <v>3.6</v>
      </c>
      <c r="O202" t="n">
        <v>3.1</v>
      </c>
      <c r="P202" t="n">
        <v>9.9</v>
      </c>
      <c r="Q202" t="n">
        <v>9.199999999999999</v>
      </c>
      <c r="R202" t="n">
        <v>-0.7</v>
      </c>
      <c r="S202" t="b">
        <v>1</v>
      </c>
      <c r="U202" t="n">
        <v>12</v>
      </c>
      <c r="V202" t="b">
        <v>0</v>
      </c>
      <c r="X202" t="b">
        <v>0</v>
      </c>
      <c r="Y202" t="n">
        <v>0.25</v>
      </c>
    </row>
    <row r="203">
      <c r="A203" t="inlineStr">
        <is>
          <t>O00202</t>
        </is>
      </c>
      <c r="B203" t="inlineStr">
        <is>
          <t>C0130</t>
        </is>
      </c>
      <c r="C203" t="inlineStr">
        <is>
          <t>S002</t>
        </is>
      </c>
      <c r="D203" t="inlineStr">
        <is>
          <t>R080</t>
        </is>
      </c>
      <c r="E203" s="3" t="n">
        <v>46278.50277777778</v>
      </c>
      <c r="F203" s="3" t="n">
        <v>46278.51020833333</v>
      </c>
      <c r="G203" s="3" t="n">
        <v>46278.50819444445</v>
      </c>
      <c r="H203" t="inlineStr">
        <is>
          <t>Delivered</t>
        </is>
      </c>
      <c r="I203" t="n">
        <v>4</v>
      </c>
      <c r="J203" t="n">
        <v>5</v>
      </c>
      <c r="K203" t="n">
        <v>497.04</v>
      </c>
      <c r="L203" t="n">
        <v>0.84</v>
      </c>
      <c r="M203" t="n">
        <v>1</v>
      </c>
      <c r="N203" t="n">
        <v>1.5</v>
      </c>
      <c r="O203" t="n">
        <v>5.3</v>
      </c>
      <c r="P203" t="n">
        <v>10.7</v>
      </c>
      <c r="Q203" t="n">
        <v>7.8</v>
      </c>
      <c r="R203" t="n">
        <v>-2.9</v>
      </c>
      <c r="S203" t="b">
        <v>1</v>
      </c>
      <c r="U203" t="n">
        <v>12</v>
      </c>
      <c r="V203" t="b">
        <v>0</v>
      </c>
      <c r="W203" t="inlineStr">
        <is>
          <t>Heavy</t>
        </is>
      </c>
      <c r="X203" t="b">
        <v>0</v>
      </c>
      <c r="Y203" t="n">
        <v>0.54</v>
      </c>
    </row>
    <row r="204">
      <c r="A204" t="inlineStr">
        <is>
          <t>O00203</t>
        </is>
      </c>
      <c r="B204" t="inlineStr">
        <is>
          <t>C0104</t>
        </is>
      </c>
      <c r="C204" t="inlineStr">
        <is>
          <t>S006</t>
        </is>
      </c>
      <c r="D204" t="inlineStr">
        <is>
          <t>R021</t>
        </is>
      </c>
      <c r="E204" s="3" t="n">
        <v>46274.69513888889</v>
      </c>
      <c r="F204" s="3" t="n">
        <v>46274.70222222222</v>
      </c>
      <c r="G204" s="3" t="n">
        <v>46274.70173611111</v>
      </c>
      <c r="H204" t="inlineStr">
        <is>
          <t>Delivered</t>
        </is>
      </c>
      <c r="I204" t="n">
        <v>4</v>
      </c>
      <c r="J204" t="n">
        <v>7</v>
      </c>
      <c r="K204" t="n">
        <v>631.49</v>
      </c>
      <c r="L204" t="n">
        <v>2.26</v>
      </c>
      <c r="M204" t="n">
        <v>2.8</v>
      </c>
      <c r="N204" t="n">
        <v>3.2</v>
      </c>
      <c r="O204" t="n">
        <v>3.5</v>
      </c>
      <c r="P204" t="n">
        <v>10.2</v>
      </c>
      <c r="Q204" t="n">
        <v>9.5</v>
      </c>
      <c r="R204" t="n">
        <v>-0.7</v>
      </c>
      <c r="S204" t="b">
        <v>1</v>
      </c>
      <c r="U204" t="n">
        <v>16</v>
      </c>
      <c r="V204" t="b">
        <v>0</v>
      </c>
      <c r="X204" t="b">
        <v>0</v>
      </c>
      <c r="Y204" t="n">
        <v>0.63</v>
      </c>
    </row>
    <row r="205">
      <c r="A205" t="inlineStr">
        <is>
          <t>O00204</t>
        </is>
      </c>
      <c r="B205" t="inlineStr">
        <is>
          <t>C0082</t>
        </is>
      </c>
      <c r="C205" t="inlineStr">
        <is>
          <t>S011</t>
        </is>
      </c>
      <c r="D205" t="inlineStr">
        <is>
          <t>R022</t>
        </is>
      </c>
      <c r="E205" s="3" t="n">
        <v>46266.39027777778</v>
      </c>
      <c r="F205" s="3" t="n">
        <v>46266.39701388889</v>
      </c>
      <c r="G205" s="3" t="n">
        <v>46266.39638888889</v>
      </c>
      <c r="H205" t="inlineStr">
        <is>
          <t>Delivered</t>
        </is>
      </c>
      <c r="I205" t="n">
        <v>4</v>
      </c>
      <c r="J205" t="n">
        <v>4</v>
      </c>
      <c r="K205" t="n">
        <v>1140.58</v>
      </c>
      <c r="L205" t="n">
        <v>1</v>
      </c>
      <c r="M205" t="n">
        <v>5.3</v>
      </c>
      <c r="N205" t="n">
        <v>1</v>
      </c>
      <c r="O205" t="n">
        <v>2.5</v>
      </c>
      <c r="P205" t="n">
        <v>9.699999999999999</v>
      </c>
      <c r="Q205" t="n">
        <v>8.800000000000001</v>
      </c>
      <c r="R205" t="n">
        <v>-0.9</v>
      </c>
      <c r="S205" t="b">
        <v>1</v>
      </c>
      <c r="U205" t="n">
        <v>9</v>
      </c>
      <c r="V205" t="b">
        <v>0</v>
      </c>
      <c r="X205" t="b">
        <v>0</v>
      </c>
      <c r="Y205" t="n">
        <v>0.45</v>
      </c>
    </row>
    <row r="206">
      <c r="A206" t="inlineStr">
        <is>
          <t>O00205</t>
        </is>
      </c>
      <c r="B206" t="inlineStr">
        <is>
          <t>C0218</t>
        </is>
      </c>
      <c r="C206" t="inlineStr">
        <is>
          <t>S018</t>
        </is>
      </c>
      <c r="D206" t="inlineStr">
        <is>
          <t>R065</t>
        </is>
      </c>
      <c r="E206" s="3" t="n">
        <v>46270.44166666667</v>
      </c>
      <c r="F206" s="3" t="n">
        <v>46270.44791666666</v>
      </c>
      <c r="G206" s="3" t="n">
        <v>46270.44763888889</v>
      </c>
      <c r="H206" t="inlineStr">
        <is>
          <t>Delivered</t>
        </is>
      </c>
      <c r="I206" t="n">
        <v>2</v>
      </c>
      <c r="J206" t="n">
        <v>7</v>
      </c>
      <c r="K206" t="n">
        <v>1614.54</v>
      </c>
      <c r="L206" t="n">
        <v>2.21</v>
      </c>
      <c r="M206" t="n">
        <v>1.6</v>
      </c>
      <c r="N206" t="n">
        <v>4.2</v>
      </c>
      <c r="O206" t="n">
        <v>2.8</v>
      </c>
      <c r="P206" t="n">
        <v>9</v>
      </c>
      <c r="Q206" t="n">
        <v>8.6</v>
      </c>
      <c r="R206" t="n">
        <v>-0.4</v>
      </c>
      <c r="S206" t="b">
        <v>1</v>
      </c>
      <c r="U206" t="n">
        <v>10</v>
      </c>
      <c r="V206" t="b">
        <v>0</v>
      </c>
      <c r="W206" t="inlineStr">
        <is>
          <t>Light</t>
        </is>
      </c>
      <c r="X206" t="b">
        <v>0</v>
      </c>
      <c r="Y206" t="n">
        <v>0.6899999999999999</v>
      </c>
    </row>
    <row r="207">
      <c r="A207" t="inlineStr">
        <is>
          <t>O00206</t>
        </is>
      </c>
      <c r="B207" t="inlineStr">
        <is>
          <t>C0233</t>
        </is>
      </c>
      <c r="C207" t="inlineStr">
        <is>
          <t>S012</t>
        </is>
      </c>
      <c r="D207" t="inlineStr">
        <is>
          <t>R068</t>
        </is>
      </c>
      <c r="E207" s="3" t="n">
        <v>46278.64305555556</v>
      </c>
      <c r="F207" s="3" t="n">
        <v>46278.65048611111</v>
      </c>
      <c r="G207" s="3" t="n">
        <v>46278.65854166666</v>
      </c>
      <c r="H207" t="inlineStr">
        <is>
          <t>Delivered</t>
        </is>
      </c>
      <c r="I207" t="n">
        <v>2</v>
      </c>
      <c r="J207" t="n">
        <v>5</v>
      </c>
      <c r="K207" t="n">
        <v>472.98</v>
      </c>
      <c r="L207" t="n">
        <v>2.97</v>
      </c>
      <c r="M207" t="n">
        <v>7</v>
      </c>
      <c r="N207" t="n">
        <v>5.7</v>
      </c>
      <c r="O207" t="n">
        <v>9.6</v>
      </c>
      <c r="P207" t="n">
        <v>10.7</v>
      </c>
      <c r="Q207" t="n">
        <v>22.3</v>
      </c>
      <c r="R207" t="n">
        <v>11.6</v>
      </c>
      <c r="S207" t="b">
        <v>0</v>
      </c>
      <c r="U207" t="n">
        <v>15</v>
      </c>
      <c r="V207" t="b">
        <v>0</v>
      </c>
      <c r="X207" t="b">
        <v>0</v>
      </c>
      <c r="Y207" t="n">
        <v>0.77</v>
      </c>
    </row>
    <row r="208">
      <c r="A208" t="inlineStr">
        <is>
          <t>O00207</t>
        </is>
      </c>
      <c r="B208" t="inlineStr">
        <is>
          <t>C0187</t>
        </is>
      </c>
      <c r="C208" t="inlineStr">
        <is>
          <t>S019</t>
        </is>
      </c>
      <c r="D208" t="inlineStr">
        <is>
          <t>R015</t>
        </is>
      </c>
      <c r="E208" s="3" t="n">
        <v>46276.6625</v>
      </c>
      <c r="F208" s="3" t="n">
        <v>46276.669375</v>
      </c>
      <c r="G208" s="3" t="n">
        <v>46276.66861111111</v>
      </c>
      <c r="H208" t="inlineStr">
        <is>
          <t>Delivered</t>
        </is>
      </c>
      <c r="I208" t="n">
        <v>1</v>
      </c>
      <c r="J208" t="n">
        <v>3</v>
      </c>
      <c r="K208" t="n">
        <v>1155.25</v>
      </c>
      <c r="L208" t="n">
        <v>0.5</v>
      </c>
      <c r="M208" t="n">
        <v>4.7</v>
      </c>
      <c r="N208" t="n">
        <v>1</v>
      </c>
      <c r="O208" t="n">
        <v>3.1</v>
      </c>
      <c r="P208" t="n">
        <v>9.9</v>
      </c>
      <c r="Q208" t="n">
        <v>8.800000000000001</v>
      </c>
      <c r="R208" t="n">
        <v>-1.1</v>
      </c>
      <c r="S208" t="b">
        <v>1</v>
      </c>
      <c r="U208" t="n">
        <v>15</v>
      </c>
      <c r="V208" t="b">
        <v>0</v>
      </c>
      <c r="X208" t="b">
        <v>0</v>
      </c>
      <c r="Y208" t="n">
        <v>0.93</v>
      </c>
    </row>
    <row r="209">
      <c r="A209" t="inlineStr">
        <is>
          <t>O00208</t>
        </is>
      </c>
      <c r="B209" t="inlineStr">
        <is>
          <t>C0065</t>
        </is>
      </c>
      <c r="C209" t="inlineStr">
        <is>
          <t>S008</t>
        </is>
      </c>
      <c r="D209" t="inlineStr">
        <is>
          <t>R048</t>
        </is>
      </c>
      <c r="E209" s="3" t="n">
        <v>46278.81041666667</v>
      </c>
      <c r="F209" s="3" t="n">
        <v>46278.81604166667</v>
      </c>
      <c r="G209" s="3" t="n">
        <v>46278.82125</v>
      </c>
      <c r="H209" t="inlineStr">
        <is>
          <t>Delivered</t>
        </is>
      </c>
      <c r="I209" t="n">
        <v>5</v>
      </c>
      <c r="J209" t="n">
        <v>10</v>
      </c>
      <c r="K209" t="n">
        <v>839.58</v>
      </c>
      <c r="L209" t="n">
        <v>1.02</v>
      </c>
      <c r="M209" t="n">
        <v>4.3</v>
      </c>
      <c r="N209" t="n">
        <v>6.2</v>
      </c>
      <c r="O209" t="n">
        <v>5.1</v>
      </c>
      <c r="P209" t="n">
        <v>8.1</v>
      </c>
      <c r="Q209" t="n">
        <v>15.6</v>
      </c>
      <c r="R209" t="n">
        <v>7.5</v>
      </c>
      <c r="S209" t="b">
        <v>0</v>
      </c>
      <c r="U209" t="n">
        <v>19</v>
      </c>
      <c r="V209" t="b">
        <v>1</v>
      </c>
      <c r="W209" t="inlineStr">
        <is>
          <t>Light</t>
        </is>
      </c>
      <c r="X209" t="b">
        <v>0</v>
      </c>
      <c r="Y209" t="n">
        <v>0.71</v>
      </c>
    </row>
    <row r="210">
      <c r="A210" t="inlineStr">
        <is>
          <t>O00209</t>
        </is>
      </c>
      <c r="B210" t="inlineStr">
        <is>
          <t>C0073</t>
        </is>
      </c>
      <c r="C210" t="inlineStr">
        <is>
          <t>S003</t>
        </is>
      </c>
      <c r="D210" t="inlineStr">
        <is>
          <t>R007</t>
        </is>
      </c>
      <c r="E210" s="3" t="n">
        <v>46267.90833333333</v>
      </c>
      <c r="F210" s="3" t="n">
        <v>46267.91381944445</v>
      </c>
      <c r="G210" s="3" t="n">
        <v>46267.91854166667</v>
      </c>
      <c r="H210" t="inlineStr">
        <is>
          <t>Delivered</t>
        </is>
      </c>
      <c r="I210" t="n">
        <v>6</v>
      </c>
      <c r="J210" t="n">
        <v>7</v>
      </c>
      <c r="K210" t="n">
        <v>331.41</v>
      </c>
      <c r="L210" t="n">
        <v>2.04</v>
      </c>
      <c r="M210" t="n">
        <v>4.5</v>
      </c>
      <c r="N210" t="n">
        <v>5.7</v>
      </c>
      <c r="O210" t="n">
        <v>4.5</v>
      </c>
      <c r="P210" t="n">
        <v>7.9</v>
      </c>
      <c r="Q210" t="n">
        <v>14.7</v>
      </c>
      <c r="R210" t="n">
        <v>6.8</v>
      </c>
      <c r="S210" t="b">
        <v>0</v>
      </c>
      <c r="U210" t="n">
        <v>21</v>
      </c>
      <c r="V210" t="b">
        <v>1</v>
      </c>
      <c r="X210" t="b">
        <v>0</v>
      </c>
      <c r="Y210" t="n">
        <v>0.28</v>
      </c>
    </row>
    <row r="211">
      <c r="A211" t="inlineStr">
        <is>
          <t>O00210</t>
        </is>
      </c>
      <c r="B211" t="inlineStr">
        <is>
          <t>C0018</t>
        </is>
      </c>
      <c r="C211" t="inlineStr">
        <is>
          <t>S014</t>
        </is>
      </c>
      <c r="D211" t="inlineStr">
        <is>
          <t>R054</t>
        </is>
      </c>
      <c r="E211" s="3" t="n">
        <v>46269.59722222222</v>
      </c>
      <c r="F211" s="3" t="n">
        <v>46269.60430555556</v>
      </c>
      <c r="G211" s="3" t="n">
        <v>46269.60361111111</v>
      </c>
      <c r="H211" t="inlineStr">
        <is>
          <t>Delivered</t>
        </is>
      </c>
      <c r="I211" t="n">
        <v>5</v>
      </c>
      <c r="J211" t="n">
        <v>8</v>
      </c>
      <c r="K211" t="n">
        <v>846.39</v>
      </c>
      <c r="L211" t="n">
        <v>0.99</v>
      </c>
      <c r="M211" t="n">
        <v>3.4</v>
      </c>
      <c r="N211" t="n">
        <v>4</v>
      </c>
      <c r="O211" t="n">
        <v>1.8</v>
      </c>
      <c r="P211" t="n">
        <v>10.2</v>
      </c>
      <c r="Q211" t="n">
        <v>9.199999999999999</v>
      </c>
      <c r="R211" t="n">
        <v>-1</v>
      </c>
      <c r="S211" t="b">
        <v>1</v>
      </c>
      <c r="U211" t="n">
        <v>14</v>
      </c>
      <c r="V211" t="b">
        <v>0</v>
      </c>
      <c r="X211" t="b">
        <v>0</v>
      </c>
      <c r="Y211" t="n">
        <v>0.44</v>
      </c>
    </row>
    <row r="212">
      <c r="A212" t="inlineStr">
        <is>
          <t>O00211</t>
        </is>
      </c>
      <c r="B212" t="inlineStr">
        <is>
          <t>C0014</t>
        </is>
      </c>
      <c r="C212" t="inlineStr">
        <is>
          <t>S018</t>
        </is>
      </c>
      <c r="D212" t="inlineStr">
        <is>
          <t>R070</t>
        </is>
      </c>
      <c r="E212" s="3" t="n">
        <v>46275.44375</v>
      </c>
      <c r="F212" s="3" t="n">
        <v>46275.45090277777</v>
      </c>
      <c r="G212" s="3" t="n">
        <v>46275.45319444445</v>
      </c>
      <c r="H212" t="inlineStr">
        <is>
          <t>Delivered</t>
        </is>
      </c>
      <c r="I212" t="n">
        <v>5</v>
      </c>
      <c r="J212" t="n">
        <v>7</v>
      </c>
      <c r="K212" t="n">
        <v>1277.81</v>
      </c>
      <c r="L212" t="n">
        <v>0.52</v>
      </c>
      <c r="M212" t="n">
        <v>6.3</v>
      </c>
      <c r="N212" t="n">
        <v>4.3</v>
      </c>
      <c r="O212" t="n">
        <v>3</v>
      </c>
      <c r="P212" t="n">
        <v>10.3</v>
      </c>
      <c r="Q212" t="n">
        <v>13.6</v>
      </c>
      <c r="R212" t="n">
        <v>3.3</v>
      </c>
      <c r="S212" t="b">
        <v>0</v>
      </c>
      <c r="U212" t="n">
        <v>10</v>
      </c>
      <c r="V212" t="b">
        <v>0</v>
      </c>
      <c r="X212" t="b">
        <v>0</v>
      </c>
      <c r="Y212" t="n">
        <v>0.58</v>
      </c>
    </row>
    <row r="213">
      <c r="A213" t="inlineStr">
        <is>
          <t>O00212</t>
        </is>
      </c>
      <c r="B213" t="inlineStr">
        <is>
          <t>C0200</t>
        </is>
      </c>
      <c r="C213" t="inlineStr">
        <is>
          <t>S007</t>
        </is>
      </c>
      <c r="D213" t="inlineStr">
        <is>
          <t>R068</t>
        </is>
      </c>
      <c r="E213" s="3" t="n">
        <v>46274.91736111111</v>
      </c>
      <c r="F213" s="3" t="n">
        <v>46274.92451388889</v>
      </c>
      <c r="G213" s="3" t="n">
        <v>46274.92409722223</v>
      </c>
      <c r="H213" t="inlineStr">
        <is>
          <t>Delivered</t>
        </is>
      </c>
      <c r="I213" t="n">
        <v>2</v>
      </c>
      <c r="J213" t="n">
        <v>2</v>
      </c>
      <c r="K213" t="n">
        <v>1448.58</v>
      </c>
      <c r="L213" t="n">
        <v>0.6899999999999999</v>
      </c>
      <c r="M213" t="n">
        <v>4.2</v>
      </c>
      <c r="N213" t="n">
        <v>3.1</v>
      </c>
      <c r="O213" t="n">
        <v>2.4</v>
      </c>
      <c r="P213" t="n">
        <v>10.3</v>
      </c>
      <c r="Q213" t="n">
        <v>9.699999999999999</v>
      </c>
      <c r="R213" t="n">
        <v>-0.6</v>
      </c>
      <c r="S213" t="b">
        <v>1</v>
      </c>
      <c r="U213" t="n">
        <v>22</v>
      </c>
      <c r="V213" t="b">
        <v>0</v>
      </c>
      <c r="X213" t="b">
        <v>0</v>
      </c>
      <c r="Y213" t="n">
        <v>0.55</v>
      </c>
    </row>
    <row r="214">
      <c r="A214" t="inlineStr">
        <is>
          <t>O00213</t>
        </is>
      </c>
      <c r="B214" t="inlineStr">
        <is>
          <t>C0234</t>
        </is>
      </c>
      <c r="C214" t="inlineStr">
        <is>
          <t>S013</t>
        </is>
      </c>
      <c r="D214" t="inlineStr">
        <is>
          <t>R001</t>
        </is>
      </c>
      <c r="E214" s="3" t="n">
        <v>46274.59375</v>
      </c>
      <c r="F214" s="3" t="n">
        <v>46274.600625</v>
      </c>
      <c r="G214" s="3" t="n">
        <v>46274.60659722222</v>
      </c>
      <c r="H214" t="inlineStr">
        <is>
          <t>Delivered</t>
        </is>
      </c>
      <c r="I214" t="n">
        <v>5</v>
      </c>
      <c r="J214" t="n">
        <v>7</v>
      </c>
      <c r="K214" t="n">
        <v>1578.08</v>
      </c>
      <c r="L214" t="n">
        <v>3</v>
      </c>
      <c r="M214" t="n">
        <v>6.7</v>
      </c>
      <c r="N214" t="n">
        <v>3.8</v>
      </c>
      <c r="O214" t="n">
        <v>8</v>
      </c>
      <c r="P214" t="n">
        <v>9.9</v>
      </c>
      <c r="Q214" t="n">
        <v>18.5</v>
      </c>
      <c r="R214" t="n">
        <v>8.6</v>
      </c>
      <c r="S214" t="b">
        <v>0</v>
      </c>
      <c r="U214" t="n">
        <v>14</v>
      </c>
      <c r="V214" t="b">
        <v>0</v>
      </c>
      <c r="W214" t="inlineStr">
        <is>
          <t>Light</t>
        </is>
      </c>
      <c r="X214" t="b">
        <v>0</v>
      </c>
      <c r="Y214" t="n">
        <v>0.36</v>
      </c>
    </row>
    <row r="215">
      <c r="A215" t="inlineStr">
        <is>
          <t>O00214</t>
        </is>
      </c>
      <c r="B215" t="inlineStr">
        <is>
          <t>C0237</t>
        </is>
      </c>
      <c r="C215" t="inlineStr">
        <is>
          <t>S013</t>
        </is>
      </c>
      <c r="D215" t="inlineStr">
        <is>
          <t>R031</t>
        </is>
      </c>
      <c r="E215" s="3" t="n">
        <v>46274.78194444445</v>
      </c>
      <c r="F215" s="3" t="n">
        <v>46274.78923611111</v>
      </c>
      <c r="G215" s="3" t="n">
        <v>46274.78875</v>
      </c>
      <c r="H215" t="inlineStr">
        <is>
          <t>Delivered</t>
        </is>
      </c>
      <c r="I215" t="n">
        <v>1</v>
      </c>
      <c r="J215" t="n">
        <v>6</v>
      </c>
      <c r="K215" t="n">
        <v>1115.29</v>
      </c>
      <c r="L215" t="n">
        <v>2.97</v>
      </c>
      <c r="M215" t="n">
        <v>2.4</v>
      </c>
      <c r="N215" t="n">
        <v>3.4</v>
      </c>
      <c r="O215" t="n">
        <v>4</v>
      </c>
      <c r="P215" t="n">
        <v>10.5</v>
      </c>
      <c r="Q215" t="n">
        <v>9.800000000000001</v>
      </c>
      <c r="R215" t="n">
        <v>-0.7</v>
      </c>
      <c r="S215" t="b">
        <v>1</v>
      </c>
      <c r="U215" t="n">
        <v>18</v>
      </c>
      <c r="V215" t="b">
        <v>0</v>
      </c>
      <c r="W215" t="inlineStr">
        <is>
          <t>Light</t>
        </is>
      </c>
      <c r="X215" t="b">
        <v>0</v>
      </c>
      <c r="Y215" t="n">
        <v>0.87</v>
      </c>
    </row>
    <row r="216">
      <c r="A216" t="inlineStr">
        <is>
          <t>O00215</t>
        </is>
      </c>
      <c r="B216" t="inlineStr">
        <is>
          <t>C0011</t>
        </is>
      </c>
      <c r="C216" t="inlineStr">
        <is>
          <t>S002</t>
        </is>
      </c>
      <c r="D216" t="inlineStr">
        <is>
          <t>R013</t>
        </is>
      </c>
      <c r="E216" s="3" t="n">
        <v>46275.74027777778</v>
      </c>
      <c r="F216" s="3" t="n">
        <v>46275.74736111111</v>
      </c>
      <c r="G216" s="3" t="n">
        <v>46275.746875</v>
      </c>
      <c r="H216" t="inlineStr">
        <is>
          <t>Delivered</t>
        </is>
      </c>
      <c r="I216" t="n">
        <v>3</v>
      </c>
      <c r="J216" t="n">
        <v>10</v>
      </c>
      <c r="K216" t="n">
        <v>1427.53</v>
      </c>
      <c r="L216" t="n">
        <v>1.63</v>
      </c>
      <c r="M216" t="n">
        <v>1.2</v>
      </c>
      <c r="N216" t="n">
        <v>5.3</v>
      </c>
      <c r="O216" t="n">
        <v>3</v>
      </c>
      <c r="P216" t="n">
        <v>10.2</v>
      </c>
      <c r="Q216" t="n">
        <v>9.5</v>
      </c>
      <c r="R216" t="n">
        <v>-0.7</v>
      </c>
      <c r="S216" t="b">
        <v>1</v>
      </c>
      <c r="U216" t="n">
        <v>17</v>
      </c>
      <c r="V216" t="b">
        <v>0</v>
      </c>
      <c r="X216" t="b">
        <v>0</v>
      </c>
      <c r="Y216" t="n">
        <v>0.39</v>
      </c>
    </row>
    <row r="217">
      <c r="A217" t="inlineStr">
        <is>
          <t>O00216</t>
        </is>
      </c>
      <c r="B217" t="inlineStr">
        <is>
          <t>C0051</t>
        </is>
      </c>
      <c r="C217" t="inlineStr">
        <is>
          <t>S007</t>
        </is>
      </c>
      <c r="D217" t="inlineStr">
        <is>
          <t>R049</t>
        </is>
      </c>
      <c r="E217" s="3" t="n">
        <v>46275.82986111111</v>
      </c>
      <c r="F217" s="3" t="n">
        <v>46275.83583333333</v>
      </c>
      <c r="G217" s="3" t="n">
        <v>46275.845</v>
      </c>
      <c r="H217" t="inlineStr">
        <is>
          <t>Delivered</t>
        </is>
      </c>
      <c r="I217" t="n">
        <v>4</v>
      </c>
      <c r="J217" t="n">
        <v>8</v>
      </c>
      <c r="K217" t="n">
        <v>1502.88</v>
      </c>
      <c r="L217" t="n">
        <v>2.53</v>
      </c>
      <c r="M217" t="n">
        <v>5.1</v>
      </c>
      <c r="N217" t="n">
        <v>8.699999999999999</v>
      </c>
      <c r="O217" t="n">
        <v>8</v>
      </c>
      <c r="P217" t="n">
        <v>8.6</v>
      </c>
      <c r="Q217" t="n">
        <v>21.8</v>
      </c>
      <c r="R217" t="n">
        <v>13.2</v>
      </c>
      <c r="S217" t="b">
        <v>0</v>
      </c>
      <c r="U217" t="n">
        <v>19</v>
      </c>
      <c r="V217" t="b">
        <v>1</v>
      </c>
      <c r="W217" t="inlineStr">
        <is>
          <t>Light</t>
        </is>
      </c>
      <c r="X217" t="b">
        <v>0</v>
      </c>
      <c r="Y217" t="n">
        <v>0.6</v>
      </c>
    </row>
    <row r="218">
      <c r="A218" t="inlineStr">
        <is>
          <t>O00217</t>
        </is>
      </c>
      <c r="B218" t="inlineStr">
        <is>
          <t>C0137</t>
        </is>
      </c>
      <c r="C218" t="inlineStr">
        <is>
          <t>S015</t>
        </is>
      </c>
      <c r="D218" t="inlineStr">
        <is>
          <t>R024</t>
        </is>
      </c>
      <c r="E218" s="3" t="n">
        <v>46273.7875</v>
      </c>
      <c r="F218" s="3" t="n">
        <v>46273.79583333333</v>
      </c>
      <c r="G218" s="3" t="n">
        <v>46273.79513888889</v>
      </c>
      <c r="H218" t="inlineStr">
        <is>
          <t>Delivered</t>
        </is>
      </c>
      <c r="I218" t="n">
        <v>6</v>
      </c>
      <c r="J218" t="n">
        <v>6</v>
      </c>
      <c r="K218" t="n">
        <v>906.24</v>
      </c>
      <c r="L218" t="n">
        <v>2.4</v>
      </c>
      <c r="M218" t="n">
        <v>3.3</v>
      </c>
      <c r="N218" t="n">
        <v>3.7</v>
      </c>
      <c r="O218" t="n">
        <v>4</v>
      </c>
      <c r="P218" t="n">
        <v>12</v>
      </c>
      <c r="Q218" t="n">
        <v>11</v>
      </c>
      <c r="R218" t="n">
        <v>-1</v>
      </c>
      <c r="S218" t="b">
        <v>1</v>
      </c>
      <c r="U218" t="n">
        <v>18</v>
      </c>
      <c r="V218" t="b">
        <v>0</v>
      </c>
      <c r="X218" t="b">
        <v>0</v>
      </c>
      <c r="Y218" t="n">
        <v>0.13</v>
      </c>
    </row>
    <row r="219">
      <c r="A219" t="inlineStr">
        <is>
          <t>O00218</t>
        </is>
      </c>
      <c r="B219" t="inlineStr">
        <is>
          <t>C0049</t>
        </is>
      </c>
      <c r="C219" t="inlineStr">
        <is>
          <t>S015</t>
        </is>
      </c>
      <c r="D219" t="inlineStr">
        <is>
          <t>R061</t>
        </is>
      </c>
      <c r="E219" s="3" t="n">
        <v>46276.35138888889</v>
      </c>
      <c r="F219" s="3" t="n">
        <v>46276.35909722222</v>
      </c>
      <c r="G219" s="3" t="n">
        <v>46276.35840277778</v>
      </c>
      <c r="H219" t="inlineStr">
        <is>
          <t>Delivered</t>
        </is>
      </c>
      <c r="I219" t="n">
        <v>4</v>
      </c>
      <c r="J219" t="n">
        <v>6</v>
      </c>
      <c r="K219" t="n">
        <v>360.76</v>
      </c>
      <c r="L219" t="n">
        <v>4.4</v>
      </c>
      <c r="M219" t="n">
        <v>2.7</v>
      </c>
      <c r="N219" t="n">
        <v>2</v>
      </c>
      <c r="O219" t="n">
        <v>5.4</v>
      </c>
      <c r="P219" t="n">
        <v>11.1</v>
      </c>
      <c r="Q219" t="n">
        <v>10.1</v>
      </c>
      <c r="R219" t="n">
        <v>-1</v>
      </c>
      <c r="S219" t="b">
        <v>1</v>
      </c>
      <c r="U219" t="n">
        <v>8</v>
      </c>
      <c r="V219" t="b">
        <v>0</v>
      </c>
      <c r="W219" t="inlineStr">
        <is>
          <t>Light</t>
        </is>
      </c>
      <c r="X219" t="b">
        <v>0</v>
      </c>
      <c r="Y219" t="n">
        <v>0.57</v>
      </c>
    </row>
    <row r="220">
      <c r="A220" t="inlineStr">
        <is>
          <t>O00219</t>
        </is>
      </c>
      <c r="B220" t="inlineStr">
        <is>
          <t>C0059</t>
        </is>
      </c>
      <c r="C220" t="inlineStr">
        <is>
          <t>S008</t>
        </is>
      </c>
      <c r="D220" t="inlineStr">
        <is>
          <t>R077</t>
        </is>
      </c>
      <c r="E220" s="3" t="n">
        <v>46271.57569444444</v>
      </c>
      <c r="F220" s="3" t="n">
        <v>46271.58368055556</v>
      </c>
      <c r="G220" s="3" t="n">
        <v>46271.58625</v>
      </c>
      <c r="H220" t="inlineStr">
        <is>
          <t>Delivered</t>
        </is>
      </c>
      <c r="I220" t="n">
        <v>4</v>
      </c>
      <c r="J220" t="n">
        <v>4</v>
      </c>
      <c r="K220" t="n">
        <v>208.02</v>
      </c>
      <c r="L220" t="n">
        <v>3.2</v>
      </c>
      <c r="M220" t="n">
        <v>2.7</v>
      </c>
      <c r="N220" t="n">
        <v>4.8</v>
      </c>
      <c r="O220" t="n">
        <v>7.7</v>
      </c>
      <c r="P220" t="n">
        <v>11.5</v>
      </c>
      <c r="Q220" t="n">
        <v>15.2</v>
      </c>
      <c r="R220" t="n">
        <v>3.7</v>
      </c>
      <c r="S220" t="b">
        <v>0</v>
      </c>
      <c r="U220" t="n">
        <v>13</v>
      </c>
      <c r="V220" t="b">
        <v>0</v>
      </c>
      <c r="X220" t="b">
        <v>1</v>
      </c>
      <c r="Y220" t="n">
        <v>0.39</v>
      </c>
    </row>
    <row r="221">
      <c r="A221" t="inlineStr">
        <is>
          <t>O00220</t>
        </is>
      </c>
      <c r="B221" t="inlineStr">
        <is>
          <t>C0183</t>
        </is>
      </c>
      <c r="C221" t="inlineStr">
        <is>
          <t>S003</t>
        </is>
      </c>
      <c r="D221" t="inlineStr">
        <is>
          <t>R018</t>
        </is>
      </c>
      <c r="E221" s="3" t="n">
        <v>46272.81666666667</v>
      </c>
      <c r="F221" s="3" t="n">
        <v>46272.82291666666</v>
      </c>
      <c r="G221" s="3" t="n">
        <v>46272.82993055556</v>
      </c>
      <c r="H221" t="inlineStr">
        <is>
          <t>Delivered</t>
        </is>
      </c>
      <c r="I221" t="n">
        <v>1</v>
      </c>
      <c r="J221" t="n">
        <v>4</v>
      </c>
      <c r="K221" t="n">
        <v>903.78</v>
      </c>
      <c r="L221" t="n">
        <v>2.1</v>
      </c>
      <c r="M221" t="n">
        <v>4.8</v>
      </c>
      <c r="N221" t="n">
        <v>7.8</v>
      </c>
      <c r="O221" t="n">
        <v>6.5</v>
      </c>
      <c r="P221" t="n">
        <v>9</v>
      </c>
      <c r="Q221" t="n">
        <v>19.1</v>
      </c>
      <c r="R221" t="n">
        <v>10.1</v>
      </c>
      <c r="S221" t="b">
        <v>0</v>
      </c>
      <c r="U221" t="n">
        <v>19</v>
      </c>
      <c r="V221" t="b">
        <v>1</v>
      </c>
      <c r="X221" t="b">
        <v>0</v>
      </c>
      <c r="Y221" t="n">
        <v>0.5</v>
      </c>
    </row>
    <row r="222">
      <c r="A222" t="inlineStr">
        <is>
          <t>O00221</t>
        </is>
      </c>
      <c r="B222" t="inlineStr">
        <is>
          <t>C0119</t>
        </is>
      </c>
      <c r="C222" t="inlineStr">
        <is>
          <t>S005</t>
        </is>
      </c>
      <c r="D222" t="inlineStr">
        <is>
          <t>R017</t>
        </is>
      </c>
      <c r="E222" s="3" t="n">
        <v>46275.98055555556</v>
      </c>
      <c r="F222" s="3" t="n">
        <v>46275.98875</v>
      </c>
      <c r="G222" s="3" t="n">
        <v>46275.988125</v>
      </c>
      <c r="H222" t="inlineStr">
        <is>
          <t>Delivered</t>
        </is>
      </c>
      <c r="I222" t="n">
        <v>3</v>
      </c>
      <c r="J222" t="n">
        <v>6</v>
      </c>
      <c r="K222" t="n">
        <v>843.78</v>
      </c>
      <c r="L222" t="n">
        <v>3.08</v>
      </c>
      <c r="M222" t="n">
        <v>3.6</v>
      </c>
      <c r="N222" t="n">
        <v>1.6</v>
      </c>
      <c r="O222" t="n">
        <v>5.7</v>
      </c>
      <c r="P222" t="n">
        <v>11.8</v>
      </c>
      <c r="Q222" t="n">
        <v>10.9</v>
      </c>
      <c r="R222" t="n">
        <v>-0.9</v>
      </c>
      <c r="S222" t="b">
        <v>1</v>
      </c>
      <c r="U222" t="n">
        <v>23</v>
      </c>
      <c r="V222" t="b">
        <v>0</v>
      </c>
      <c r="W222" t="inlineStr">
        <is>
          <t>Light</t>
        </is>
      </c>
      <c r="X222" t="b">
        <v>1</v>
      </c>
      <c r="Y222" t="n">
        <v>0.54</v>
      </c>
    </row>
    <row r="223">
      <c r="A223" t="inlineStr">
        <is>
          <t>O00222</t>
        </is>
      </c>
      <c r="B223" t="inlineStr">
        <is>
          <t>C0194</t>
        </is>
      </c>
      <c r="C223" t="inlineStr">
        <is>
          <t>S009</t>
        </is>
      </c>
      <c r="D223" t="inlineStr">
        <is>
          <t>R061</t>
        </is>
      </c>
      <c r="E223" s="3" t="n">
        <v>46273.47291666667</v>
      </c>
      <c r="F223" s="3" t="n">
        <v>46273.48090277778</v>
      </c>
      <c r="G223" s="3" t="n">
        <v>46273.48013888889</v>
      </c>
      <c r="H223" t="inlineStr">
        <is>
          <t>Delivered</t>
        </is>
      </c>
      <c r="I223" t="n">
        <v>4</v>
      </c>
      <c r="J223" t="n">
        <v>9</v>
      </c>
      <c r="K223" t="n">
        <v>1365.6</v>
      </c>
      <c r="L223" t="n">
        <v>1.89</v>
      </c>
      <c r="M223" t="n">
        <v>3.2</v>
      </c>
      <c r="N223" t="n">
        <v>2.4</v>
      </c>
      <c r="O223" t="n">
        <v>4.8</v>
      </c>
      <c r="P223" t="n">
        <v>11.5</v>
      </c>
      <c r="Q223" t="n">
        <v>10.4</v>
      </c>
      <c r="R223" t="n">
        <v>-1.1</v>
      </c>
      <c r="S223" t="b">
        <v>1</v>
      </c>
      <c r="U223" t="n">
        <v>11</v>
      </c>
      <c r="V223" t="b">
        <v>0</v>
      </c>
      <c r="X223" t="b">
        <v>0</v>
      </c>
      <c r="Y223" t="n">
        <v>0.54</v>
      </c>
    </row>
    <row r="224">
      <c r="A224" t="inlineStr">
        <is>
          <t>O00223</t>
        </is>
      </c>
      <c r="B224" t="inlineStr">
        <is>
          <t>C0086</t>
        </is>
      </c>
      <c r="C224" t="inlineStr">
        <is>
          <t>S018</t>
        </is>
      </c>
      <c r="D224" t="inlineStr">
        <is>
          <t>R064</t>
        </is>
      </c>
      <c r="E224" s="3" t="n">
        <v>46270.99166666667</v>
      </c>
      <c r="F224" s="3" t="n">
        <v>46270.99777777777</v>
      </c>
      <c r="G224" s="3" t="n">
        <v>46270.99729166667</v>
      </c>
      <c r="H224" t="inlineStr">
        <is>
          <t>Delivered</t>
        </is>
      </c>
      <c r="I224" t="n">
        <v>1</v>
      </c>
      <c r="J224" t="n">
        <v>1</v>
      </c>
      <c r="K224" t="n">
        <v>321.21</v>
      </c>
      <c r="L224" t="n">
        <v>0.5600000000000001</v>
      </c>
      <c r="M224" t="n">
        <v>2.9</v>
      </c>
      <c r="N224" t="n">
        <v>3.2</v>
      </c>
      <c r="O224" t="n">
        <v>2</v>
      </c>
      <c r="P224" t="n">
        <v>8.800000000000001</v>
      </c>
      <c r="Q224" t="n">
        <v>8.1</v>
      </c>
      <c r="R224" t="n">
        <v>-0.7</v>
      </c>
      <c r="S224" t="b">
        <v>1</v>
      </c>
      <c r="U224" t="n">
        <v>23</v>
      </c>
      <c r="V224" t="b">
        <v>0</v>
      </c>
      <c r="X224" t="b">
        <v>0</v>
      </c>
      <c r="Y224" t="n">
        <v>0.7</v>
      </c>
    </row>
    <row r="225">
      <c r="A225" t="inlineStr">
        <is>
          <t>O00224</t>
        </is>
      </c>
      <c r="B225" t="inlineStr">
        <is>
          <t>C0122</t>
        </is>
      </c>
      <c r="C225" t="inlineStr">
        <is>
          <t>S020</t>
        </is>
      </c>
      <c r="E225" s="3" t="n">
        <v>46278.72708333333</v>
      </c>
      <c r="F225" s="3" t="n">
        <v>46278.73256944444</v>
      </c>
      <c r="H225" t="inlineStr">
        <is>
          <t>Cancelled</t>
        </is>
      </c>
      <c r="I225" t="n">
        <v>2</v>
      </c>
      <c r="J225" t="n">
        <v>6</v>
      </c>
      <c r="K225" t="n">
        <v>202.82</v>
      </c>
      <c r="L225" t="n">
        <v>1.12</v>
      </c>
      <c r="M225" t="n">
        <v>5.5</v>
      </c>
      <c r="N225" t="n">
        <v>3.8</v>
      </c>
      <c r="O225" t="n">
        <v>3.8</v>
      </c>
      <c r="P225" t="n">
        <v>7.9</v>
      </c>
      <c r="T225" t="inlineStr">
        <is>
          <t>Rider unavailable</t>
        </is>
      </c>
      <c r="U225" t="n">
        <v>17</v>
      </c>
      <c r="V225" t="b">
        <v>0</v>
      </c>
      <c r="X225" t="b">
        <v>0</v>
      </c>
      <c r="Y225" t="n">
        <v>0.6</v>
      </c>
    </row>
    <row r="226">
      <c r="A226" t="inlineStr">
        <is>
          <t>O00225</t>
        </is>
      </c>
      <c r="B226" t="inlineStr">
        <is>
          <t>C0139</t>
        </is>
      </c>
      <c r="C226" t="inlineStr">
        <is>
          <t>S018</t>
        </is>
      </c>
      <c r="D226" t="inlineStr">
        <is>
          <t>R044</t>
        </is>
      </c>
      <c r="E226" s="3" t="n">
        <v>46273.70208333333</v>
      </c>
      <c r="F226" s="3" t="n">
        <v>46273.70979166667</v>
      </c>
      <c r="G226" s="3" t="n">
        <v>46273.70916666667</v>
      </c>
      <c r="H226" t="inlineStr">
        <is>
          <t>Delivered</t>
        </is>
      </c>
      <c r="I226" t="n">
        <v>2</v>
      </c>
      <c r="J226" t="n">
        <v>5</v>
      </c>
      <c r="K226" t="n">
        <v>1535.88</v>
      </c>
      <c r="L226" t="n">
        <v>3.69</v>
      </c>
      <c r="M226" t="n">
        <v>2.7</v>
      </c>
      <c r="N226" t="n">
        <v>3.7</v>
      </c>
      <c r="O226" t="n">
        <v>3.8</v>
      </c>
      <c r="P226" t="n">
        <v>11.1</v>
      </c>
      <c r="Q226" t="n">
        <v>10.2</v>
      </c>
      <c r="R226" t="n">
        <v>-0.9</v>
      </c>
      <c r="S226" t="b">
        <v>1</v>
      </c>
      <c r="U226" t="n">
        <v>16</v>
      </c>
      <c r="V226" t="b">
        <v>0</v>
      </c>
      <c r="X226" t="b">
        <v>0</v>
      </c>
      <c r="Y226" t="n">
        <v>0.09</v>
      </c>
    </row>
    <row r="227">
      <c r="A227" t="inlineStr">
        <is>
          <t>O00226</t>
        </is>
      </c>
      <c r="B227" t="inlineStr">
        <is>
          <t>C0157</t>
        </is>
      </c>
      <c r="C227" t="inlineStr">
        <is>
          <t>S002</t>
        </is>
      </c>
      <c r="D227" t="inlineStr">
        <is>
          <t>R076</t>
        </is>
      </c>
      <c r="E227" s="3" t="n">
        <v>46269.92013888889</v>
      </c>
      <c r="F227" s="3" t="n">
        <v>46269.92854166667</v>
      </c>
      <c r="G227" s="3" t="n">
        <v>46269.92784722222</v>
      </c>
      <c r="H227" t="inlineStr">
        <is>
          <t>Delivered</t>
        </is>
      </c>
      <c r="I227" t="n">
        <v>2</v>
      </c>
      <c r="J227" t="n">
        <v>5</v>
      </c>
      <c r="K227" t="n">
        <v>533.49</v>
      </c>
      <c r="L227" t="n">
        <v>3.48</v>
      </c>
      <c r="M227" t="n">
        <v>1.7</v>
      </c>
      <c r="N227" t="n">
        <v>2.8</v>
      </c>
      <c r="O227" t="n">
        <v>6.6</v>
      </c>
      <c r="P227" t="n">
        <v>12.1</v>
      </c>
      <c r="Q227" t="n">
        <v>11.1</v>
      </c>
      <c r="R227" t="n">
        <v>-1</v>
      </c>
      <c r="S227" t="b">
        <v>1</v>
      </c>
      <c r="U227" t="n">
        <v>22</v>
      </c>
      <c r="V227" t="b">
        <v>0</v>
      </c>
      <c r="W227" t="inlineStr">
        <is>
          <t>Light</t>
        </is>
      </c>
      <c r="X227" t="b">
        <v>0</v>
      </c>
      <c r="Y227" t="n">
        <v>0.71</v>
      </c>
    </row>
    <row r="228">
      <c r="A228" t="inlineStr">
        <is>
          <t>O00227</t>
        </is>
      </c>
      <c r="B228" t="inlineStr">
        <is>
          <t>C0227</t>
        </is>
      </c>
      <c r="C228" t="inlineStr">
        <is>
          <t>S004</t>
        </is>
      </c>
      <c r="D228" t="inlineStr">
        <is>
          <t>R048</t>
        </is>
      </c>
      <c r="E228" s="3" t="n">
        <v>46279.55138888889</v>
      </c>
      <c r="F228" s="3" t="n">
        <v>46279.55840277778</v>
      </c>
      <c r="G228" s="3" t="n">
        <v>46279.55763888889</v>
      </c>
      <c r="H228" t="inlineStr">
        <is>
          <t>Delivered</t>
        </is>
      </c>
      <c r="I228" t="n">
        <v>5</v>
      </c>
      <c r="J228" t="n">
        <v>10</v>
      </c>
      <c r="K228" t="n">
        <v>1340.72</v>
      </c>
      <c r="L228" t="n">
        <v>1.05</v>
      </c>
      <c r="M228" t="n">
        <v>2.2</v>
      </c>
      <c r="N228" t="n">
        <v>4.4</v>
      </c>
      <c r="O228" t="n">
        <v>2.4</v>
      </c>
      <c r="P228" t="n">
        <v>10.1</v>
      </c>
      <c r="Q228" t="n">
        <v>9</v>
      </c>
      <c r="R228" t="n">
        <v>-1.1</v>
      </c>
      <c r="S228" t="b">
        <v>1</v>
      </c>
      <c r="U228" t="n">
        <v>13</v>
      </c>
      <c r="V228" t="b">
        <v>0</v>
      </c>
      <c r="X228" t="b">
        <v>0</v>
      </c>
      <c r="Y228" t="n">
        <v>0.33</v>
      </c>
    </row>
    <row r="229">
      <c r="A229" t="inlineStr">
        <is>
          <t>O00228</t>
        </is>
      </c>
      <c r="B229" t="inlineStr">
        <is>
          <t>C0146</t>
        </is>
      </c>
      <c r="C229" t="inlineStr">
        <is>
          <t>S017</t>
        </is>
      </c>
      <c r="D229" t="inlineStr">
        <is>
          <t>R034</t>
        </is>
      </c>
      <c r="E229" s="3" t="n">
        <v>46270.98888888889</v>
      </c>
      <c r="F229" s="3" t="n">
        <v>46270.99666666667</v>
      </c>
      <c r="G229" s="3" t="n">
        <v>46270.99881944444</v>
      </c>
      <c r="H229" t="inlineStr">
        <is>
          <t>Delivered</t>
        </is>
      </c>
      <c r="I229" t="n">
        <v>1</v>
      </c>
      <c r="J229" t="n">
        <v>4</v>
      </c>
      <c r="K229" t="n">
        <v>304.37</v>
      </c>
      <c r="L229" t="n">
        <v>1.67</v>
      </c>
      <c r="M229" t="n">
        <v>3.4</v>
      </c>
      <c r="N229" t="n">
        <v>4.6</v>
      </c>
      <c r="O229" t="n">
        <v>6.2</v>
      </c>
      <c r="P229" t="n">
        <v>11.2</v>
      </c>
      <c r="Q229" t="n">
        <v>14.3</v>
      </c>
      <c r="R229" t="n">
        <v>3.1</v>
      </c>
      <c r="S229" t="b">
        <v>0</v>
      </c>
      <c r="U229" t="n">
        <v>23</v>
      </c>
      <c r="V229" t="b">
        <v>0</v>
      </c>
      <c r="X229" t="b">
        <v>0</v>
      </c>
      <c r="Y229" t="n">
        <v>0.85</v>
      </c>
    </row>
    <row r="230">
      <c r="A230" t="inlineStr">
        <is>
          <t>O00229</t>
        </is>
      </c>
      <c r="B230" t="inlineStr">
        <is>
          <t>C0247</t>
        </is>
      </c>
      <c r="C230" t="inlineStr">
        <is>
          <t>S018</t>
        </is>
      </c>
      <c r="D230" t="inlineStr">
        <is>
          <t>R037</t>
        </is>
      </c>
      <c r="E230" s="3" t="n">
        <v>46271.66875</v>
      </c>
      <c r="F230" s="3" t="n">
        <v>46271.67777777778</v>
      </c>
      <c r="G230" s="3" t="n">
        <v>46271.67729166667</v>
      </c>
      <c r="H230" t="inlineStr">
        <is>
          <t>Delivered</t>
        </is>
      </c>
      <c r="I230" t="n">
        <v>3</v>
      </c>
      <c r="J230" t="n">
        <v>5</v>
      </c>
      <c r="K230" t="n">
        <v>1344.1</v>
      </c>
      <c r="L230" t="n">
        <v>1.65</v>
      </c>
      <c r="M230" t="n">
        <v>4.4</v>
      </c>
      <c r="N230" t="n">
        <v>4.5</v>
      </c>
      <c r="O230" t="n">
        <v>3.4</v>
      </c>
      <c r="P230" t="n">
        <v>13</v>
      </c>
      <c r="Q230" t="n">
        <v>12.3</v>
      </c>
      <c r="R230" t="n">
        <v>-0.7</v>
      </c>
      <c r="S230" t="b">
        <v>1</v>
      </c>
      <c r="U230" t="n">
        <v>16</v>
      </c>
      <c r="V230" t="b">
        <v>0</v>
      </c>
      <c r="W230" t="inlineStr">
        <is>
          <t>Light</t>
        </is>
      </c>
      <c r="X230" t="b">
        <v>0</v>
      </c>
      <c r="Y230" t="n">
        <v>0.37</v>
      </c>
    </row>
    <row r="231">
      <c r="A231" t="inlineStr">
        <is>
          <t>O00230</t>
        </is>
      </c>
      <c r="B231" t="inlineStr">
        <is>
          <t>C0215</t>
        </is>
      </c>
      <c r="C231" t="inlineStr">
        <is>
          <t>S008</t>
        </is>
      </c>
      <c r="D231" t="inlineStr">
        <is>
          <t>R035</t>
        </is>
      </c>
      <c r="E231" s="3" t="n">
        <v>46267.94583333333</v>
      </c>
      <c r="F231" s="3" t="n">
        <v>46267.95319444445</v>
      </c>
      <c r="G231" s="3" t="n">
        <v>46267.95270833333</v>
      </c>
      <c r="H231" t="inlineStr">
        <is>
          <t>Delivered</t>
        </is>
      </c>
      <c r="I231" t="n">
        <v>3</v>
      </c>
      <c r="J231" t="n">
        <v>11</v>
      </c>
      <c r="K231" t="n">
        <v>596.24</v>
      </c>
      <c r="L231" t="n">
        <v>1.45</v>
      </c>
      <c r="M231" t="n">
        <v>2.2</v>
      </c>
      <c r="N231" t="n">
        <v>4.5</v>
      </c>
      <c r="O231" t="n">
        <v>3.2</v>
      </c>
      <c r="P231" t="n">
        <v>10.6</v>
      </c>
      <c r="Q231" t="n">
        <v>9.9</v>
      </c>
      <c r="R231" t="n">
        <v>-0.7</v>
      </c>
      <c r="S231" t="b">
        <v>1</v>
      </c>
      <c r="U231" t="n">
        <v>22</v>
      </c>
      <c r="V231" t="b">
        <v>0</v>
      </c>
      <c r="X231" t="b">
        <v>0</v>
      </c>
      <c r="Y231" t="n">
        <v>0.67</v>
      </c>
    </row>
    <row r="232">
      <c r="A232" t="inlineStr">
        <is>
          <t>O00231</t>
        </is>
      </c>
      <c r="B232" t="inlineStr">
        <is>
          <t>C0016</t>
        </is>
      </c>
      <c r="C232" t="inlineStr">
        <is>
          <t>S007</t>
        </is>
      </c>
      <c r="E232" s="3" t="n">
        <v>46275.625</v>
      </c>
      <c r="F232" s="3" t="n">
        <v>46275.63215277778</v>
      </c>
      <c r="H232" t="inlineStr">
        <is>
          <t>Cancelled</t>
        </is>
      </c>
      <c r="I232" t="n">
        <v>5</v>
      </c>
      <c r="J232" t="n">
        <v>10</v>
      </c>
      <c r="K232" t="n">
        <v>1663.8</v>
      </c>
      <c r="L232" t="n">
        <v>3.48</v>
      </c>
      <c r="M232" t="n">
        <v>5.1</v>
      </c>
      <c r="N232" t="n">
        <v>0</v>
      </c>
      <c r="O232" t="n">
        <v>8.6</v>
      </c>
      <c r="P232" t="n">
        <v>10.3</v>
      </c>
      <c r="T232" t="inlineStr">
        <is>
          <t>Customer cancelled</t>
        </is>
      </c>
      <c r="U232" t="n">
        <v>15</v>
      </c>
      <c r="V232" t="b">
        <v>0</v>
      </c>
      <c r="W232" t="inlineStr">
        <is>
          <t>Light</t>
        </is>
      </c>
      <c r="X232" t="b">
        <v>0</v>
      </c>
      <c r="Y232" t="n">
        <v>0.4</v>
      </c>
    </row>
    <row r="233">
      <c r="A233" t="inlineStr">
        <is>
          <t>O00232</t>
        </is>
      </c>
      <c r="B233" t="inlineStr">
        <is>
          <t>C0150</t>
        </is>
      </c>
      <c r="C233" t="inlineStr">
        <is>
          <t>S020</t>
        </is>
      </c>
      <c r="D233" t="inlineStr">
        <is>
          <t>R080</t>
        </is>
      </c>
      <c r="E233" s="3" t="n">
        <v>46270.80625</v>
      </c>
      <c r="F233" s="3" t="n">
        <v>46270.8125</v>
      </c>
      <c r="G233" s="3" t="n">
        <v>46270.81173611111</v>
      </c>
      <c r="H233" t="inlineStr">
        <is>
          <t>Delivered</t>
        </is>
      </c>
      <c r="I233" t="n">
        <v>3</v>
      </c>
      <c r="J233" t="n">
        <v>5</v>
      </c>
      <c r="K233" t="n">
        <v>955.13</v>
      </c>
      <c r="L233" t="n">
        <v>0.65</v>
      </c>
      <c r="M233" t="n">
        <v>3.4</v>
      </c>
      <c r="N233" t="n">
        <v>1.9</v>
      </c>
      <c r="O233" t="n">
        <v>2.6</v>
      </c>
      <c r="P233" t="n">
        <v>9</v>
      </c>
      <c r="Q233" t="n">
        <v>7.9</v>
      </c>
      <c r="R233" t="n">
        <v>-1.1</v>
      </c>
      <c r="S233" t="b">
        <v>1</v>
      </c>
      <c r="U233" t="n">
        <v>19</v>
      </c>
      <c r="V233" t="b">
        <v>1</v>
      </c>
      <c r="W233" t="inlineStr">
        <is>
          <t>Light</t>
        </is>
      </c>
      <c r="X233" t="b">
        <v>0</v>
      </c>
      <c r="Y233" t="n">
        <v>0.6899999999999999</v>
      </c>
    </row>
    <row r="234">
      <c r="A234" t="inlineStr">
        <is>
          <t>O00233</t>
        </is>
      </c>
      <c r="B234" t="inlineStr">
        <is>
          <t>C0025</t>
        </is>
      </c>
      <c r="C234" t="inlineStr">
        <is>
          <t>S014</t>
        </is>
      </c>
      <c r="D234" t="inlineStr">
        <is>
          <t>R028</t>
        </is>
      </c>
      <c r="E234" s="3" t="n">
        <v>46275.78472222222</v>
      </c>
      <c r="F234" s="3" t="n">
        <v>46275.79194444444</v>
      </c>
      <c r="G234" s="3" t="n">
        <v>46275.79111111111</v>
      </c>
      <c r="H234" t="inlineStr">
        <is>
          <t>Delivered</t>
        </is>
      </c>
      <c r="I234" t="n">
        <v>1</v>
      </c>
      <c r="J234" t="n">
        <v>9</v>
      </c>
      <c r="K234" t="n">
        <v>749.12</v>
      </c>
      <c r="L234" t="n">
        <v>1.64</v>
      </c>
      <c r="M234" t="n">
        <v>3.4</v>
      </c>
      <c r="N234" t="n">
        <v>3</v>
      </c>
      <c r="O234" t="n">
        <v>2.8</v>
      </c>
      <c r="P234" t="n">
        <v>10.4</v>
      </c>
      <c r="Q234" t="n">
        <v>9.199999999999999</v>
      </c>
      <c r="R234" t="n">
        <v>-1.2</v>
      </c>
      <c r="S234" t="b">
        <v>1</v>
      </c>
      <c r="U234" t="n">
        <v>18</v>
      </c>
      <c r="V234" t="b">
        <v>0</v>
      </c>
      <c r="X234" t="b">
        <v>0</v>
      </c>
      <c r="Y234" t="n">
        <v>0.41</v>
      </c>
    </row>
    <row r="235">
      <c r="A235" t="inlineStr">
        <is>
          <t>O00234</t>
        </is>
      </c>
      <c r="B235" t="inlineStr">
        <is>
          <t>C0101</t>
        </is>
      </c>
      <c r="C235" t="inlineStr">
        <is>
          <t>S018</t>
        </is>
      </c>
      <c r="D235" t="inlineStr">
        <is>
          <t>R001</t>
        </is>
      </c>
      <c r="E235" s="3" t="n">
        <v>46279.54375</v>
      </c>
      <c r="F235" s="3" t="n">
        <v>46279.54944444444</v>
      </c>
      <c r="G235" s="3" t="n">
        <v>46279.54909722223</v>
      </c>
      <c r="H235" t="inlineStr">
        <is>
          <t>Delivered</t>
        </is>
      </c>
      <c r="I235" t="n">
        <v>2</v>
      </c>
      <c r="J235" t="n">
        <v>6</v>
      </c>
      <c r="K235" t="n">
        <v>381.95</v>
      </c>
      <c r="L235" t="n">
        <v>0.91</v>
      </c>
      <c r="M235" t="n">
        <v>2.6</v>
      </c>
      <c r="N235" t="n">
        <v>3.7</v>
      </c>
      <c r="O235" t="n">
        <v>1.4</v>
      </c>
      <c r="P235" t="n">
        <v>8.199999999999999</v>
      </c>
      <c r="Q235" t="n">
        <v>7.7</v>
      </c>
      <c r="R235" t="n">
        <v>-0.5</v>
      </c>
      <c r="S235" t="b">
        <v>1</v>
      </c>
      <c r="U235" t="n">
        <v>13</v>
      </c>
      <c r="V235" t="b">
        <v>0</v>
      </c>
      <c r="X235" t="b">
        <v>0</v>
      </c>
      <c r="Y235" t="n">
        <v>0.3</v>
      </c>
    </row>
    <row r="236">
      <c r="A236" t="inlineStr">
        <is>
          <t>O00235</t>
        </is>
      </c>
      <c r="B236" t="inlineStr">
        <is>
          <t>C0182</t>
        </is>
      </c>
      <c r="C236" t="inlineStr">
        <is>
          <t>S007</t>
        </is>
      </c>
      <c r="D236" t="inlineStr">
        <is>
          <t>R043</t>
        </is>
      </c>
      <c r="E236" s="3" t="n">
        <v>46276.89652777778</v>
      </c>
      <c r="F236" s="3" t="n">
        <v>46276.90229166667</v>
      </c>
      <c r="G236" s="3" t="n">
        <v>46276.90159722222</v>
      </c>
      <c r="H236" t="inlineStr">
        <is>
          <t>Delivered</t>
        </is>
      </c>
      <c r="I236" t="n">
        <v>4</v>
      </c>
      <c r="J236" t="n">
        <v>8</v>
      </c>
      <c r="K236" t="n">
        <v>621.95</v>
      </c>
      <c r="L236" t="n">
        <v>0.62</v>
      </c>
      <c r="M236" t="n">
        <v>2.5</v>
      </c>
      <c r="N236" t="n">
        <v>2.3</v>
      </c>
      <c r="O236" t="n">
        <v>2.5</v>
      </c>
      <c r="P236" t="n">
        <v>8.300000000000001</v>
      </c>
      <c r="Q236" t="n">
        <v>7.3</v>
      </c>
      <c r="R236" t="n">
        <v>-1</v>
      </c>
      <c r="S236" t="b">
        <v>1</v>
      </c>
      <c r="U236" t="n">
        <v>21</v>
      </c>
      <c r="V236" t="b">
        <v>1</v>
      </c>
      <c r="X236" t="b">
        <v>1</v>
      </c>
      <c r="Y236" t="n">
        <v>0.45</v>
      </c>
    </row>
    <row r="237">
      <c r="A237" t="inlineStr">
        <is>
          <t>O00236</t>
        </is>
      </c>
      <c r="B237" t="inlineStr">
        <is>
          <t>C0238</t>
        </is>
      </c>
      <c r="C237" t="inlineStr">
        <is>
          <t>S011</t>
        </is>
      </c>
      <c r="D237" t="inlineStr">
        <is>
          <t>R072</t>
        </is>
      </c>
      <c r="E237" s="3" t="n">
        <v>46269.40833333333</v>
      </c>
      <c r="F237" s="3" t="n">
        <v>46269.41472222222</v>
      </c>
      <c r="G237" s="3" t="n">
        <v>46269.41965277777</v>
      </c>
      <c r="H237" t="inlineStr">
        <is>
          <t>Delivered</t>
        </is>
      </c>
      <c r="I237" t="n">
        <v>2</v>
      </c>
      <c r="J237" t="n">
        <v>5</v>
      </c>
      <c r="K237" t="n">
        <v>668.98</v>
      </c>
      <c r="L237" t="n">
        <v>0.51</v>
      </c>
      <c r="M237" t="n">
        <v>6.1</v>
      </c>
      <c r="N237" t="n">
        <v>7.1</v>
      </c>
      <c r="O237" t="n">
        <v>3.1</v>
      </c>
      <c r="P237" t="n">
        <v>9.199999999999999</v>
      </c>
      <c r="Q237" t="n">
        <v>16.3</v>
      </c>
      <c r="R237" t="n">
        <v>7.1</v>
      </c>
      <c r="S237" t="b">
        <v>0</v>
      </c>
      <c r="U237" t="n">
        <v>9</v>
      </c>
      <c r="V237" t="b">
        <v>0</v>
      </c>
      <c r="X237" t="b">
        <v>0</v>
      </c>
      <c r="Y237" t="n">
        <v>0.7</v>
      </c>
    </row>
    <row r="238">
      <c r="A238" t="inlineStr">
        <is>
          <t>O00237</t>
        </is>
      </c>
      <c r="B238" t="inlineStr">
        <is>
          <t>C0216</t>
        </is>
      </c>
      <c r="C238" t="inlineStr">
        <is>
          <t>S006</t>
        </is>
      </c>
      <c r="D238" t="inlineStr">
        <is>
          <t>R074</t>
        </is>
      </c>
      <c r="E238" s="3" t="n">
        <v>46277.88333333333</v>
      </c>
      <c r="F238" s="3" t="n">
        <v>46277.89208333333</v>
      </c>
      <c r="G238" s="3" t="n">
        <v>46277.90083333333</v>
      </c>
      <c r="H238" t="inlineStr">
        <is>
          <t>Delivered</t>
        </is>
      </c>
      <c r="I238" t="n">
        <v>5</v>
      </c>
      <c r="J238" t="n">
        <v>8</v>
      </c>
      <c r="K238" t="n">
        <v>1261.77</v>
      </c>
      <c r="L238" t="n">
        <v>4.33</v>
      </c>
      <c r="M238" t="n">
        <v>5.4</v>
      </c>
      <c r="N238" t="n">
        <v>7.5</v>
      </c>
      <c r="O238" t="n">
        <v>12.3</v>
      </c>
      <c r="P238" t="n">
        <v>12.6</v>
      </c>
      <c r="Q238" t="n">
        <v>25.2</v>
      </c>
      <c r="R238" t="n">
        <v>12.6</v>
      </c>
      <c r="S238" t="b">
        <v>0</v>
      </c>
      <c r="U238" t="n">
        <v>21</v>
      </c>
      <c r="V238" t="b">
        <v>1</v>
      </c>
      <c r="X238" t="b">
        <v>0</v>
      </c>
      <c r="Y238" t="n">
        <v>0.73</v>
      </c>
    </row>
    <row r="239">
      <c r="A239" t="inlineStr">
        <is>
          <t>O00238</t>
        </is>
      </c>
      <c r="B239" t="inlineStr">
        <is>
          <t>C0021</t>
        </is>
      </c>
      <c r="C239" t="inlineStr">
        <is>
          <t>S007</t>
        </is>
      </c>
      <c r="D239" t="inlineStr">
        <is>
          <t>R021</t>
        </is>
      </c>
      <c r="E239" s="3" t="n">
        <v>46272.6125</v>
      </c>
      <c r="F239" s="3" t="n">
        <v>46272.62034722222</v>
      </c>
      <c r="G239" s="3" t="n">
        <v>46272.61979166666</v>
      </c>
      <c r="H239" t="inlineStr">
        <is>
          <t>Delivered</t>
        </is>
      </c>
      <c r="I239" t="n">
        <v>6</v>
      </c>
      <c r="J239" t="n">
        <v>10</v>
      </c>
      <c r="K239" t="n">
        <v>1766.03</v>
      </c>
      <c r="L239" t="n">
        <v>1.4</v>
      </c>
      <c r="M239" t="n">
        <v>3.5</v>
      </c>
      <c r="N239" t="n">
        <v>3.9</v>
      </c>
      <c r="O239" t="n">
        <v>3.1</v>
      </c>
      <c r="P239" t="n">
        <v>11.3</v>
      </c>
      <c r="Q239" t="n">
        <v>10.5</v>
      </c>
      <c r="R239" t="n">
        <v>-0.8</v>
      </c>
      <c r="S239" t="b">
        <v>1</v>
      </c>
      <c r="U239" t="n">
        <v>14</v>
      </c>
      <c r="V239" t="b">
        <v>0</v>
      </c>
      <c r="W239" t="inlineStr">
        <is>
          <t>Light</t>
        </is>
      </c>
      <c r="X239" t="b">
        <v>0</v>
      </c>
      <c r="Y239" t="n">
        <v>0.49</v>
      </c>
    </row>
    <row r="240">
      <c r="A240" t="inlineStr">
        <is>
          <t>O00239</t>
        </is>
      </c>
      <c r="B240" t="inlineStr">
        <is>
          <t>C0098</t>
        </is>
      </c>
      <c r="C240" t="inlineStr">
        <is>
          <t>S004</t>
        </is>
      </c>
      <c r="D240" t="inlineStr">
        <is>
          <t>R014</t>
        </is>
      </c>
      <c r="E240" s="3" t="n">
        <v>46271.44027777778</v>
      </c>
      <c r="F240" s="3" t="n">
        <v>46271.44708333333</v>
      </c>
      <c r="G240" s="3" t="n">
        <v>46271.44659722222</v>
      </c>
      <c r="H240" t="inlineStr">
        <is>
          <t>Delivered</t>
        </is>
      </c>
      <c r="I240" t="n">
        <v>6</v>
      </c>
      <c r="J240" t="n">
        <v>11</v>
      </c>
      <c r="K240" t="n">
        <v>1232.28</v>
      </c>
      <c r="L240" t="n">
        <v>2.06</v>
      </c>
      <c r="M240" t="n">
        <v>1.2</v>
      </c>
      <c r="N240" t="n">
        <v>4.5</v>
      </c>
      <c r="O240" t="n">
        <v>3.4</v>
      </c>
      <c r="P240" t="n">
        <v>9.800000000000001</v>
      </c>
      <c r="Q240" t="n">
        <v>9.1</v>
      </c>
      <c r="R240" t="n">
        <v>-0.7</v>
      </c>
      <c r="S240" t="b">
        <v>1</v>
      </c>
      <c r="U240" t="n">
        <v>10</v>
      </c>
      <c r="V240" t="b">
        <v>0</v>
      </c>
      <c r="X240" t="b">
        <v>0</v>
      </c>
      <c r="Y240" t="n">
        <v>0.45</v>
      </c>
    </row>
    <row r="241">
      <c r="A241" t="inlineStr">
        <is>
          <t>O00240</t>
        </is>
      </c>
      <c r="B241" t="inlineStr">
        <is>
          <t>C0193</t>
        </is>
      </c>
      <c r="C241" t="inlineStr">
        <is>
          <t>S018</t>
        </is>
      </c>
      <c r="E241" s="3" t="n">
        <v>46271.50694444445</v>
      </c>
      <c r="F241" s="3" t="n">
        <v>46271.51513888889</v>
      </c>
      <c r="H241" t="inlineStr">
        <is>
          <t>Cancelled</t>
        </is>
      </c>
      <c r="I241" t="n">
        <v>2</v>
      </c>
      <c r="J241" t="n">
        <v>6</v>
      </c>
      <c r="K241" t="n">
        <v>1098.91</v>
      </c>
      <c r="L241" t="n">
        <v>2.64</v>
      </c>
      <c r="M241" t="n">
        <v>4.5</v>
      </c>
      <c r="N241" t="n">
        <v>7.2</v>
      </c>
      <c r="O241" t="n">
        <v>6.4</v>
      </c>
      <c r="P241" t="n">
        <v>11.8</v>
      </c>
      <c r="T241" t="inlineStr">
        <is>
          <t>Rider unavailable</t>
        </is>
      </c>
      <c r="U241" t="n">
        <v>12</v>
      </c>
      <c r="V241" t="b">
        <v>0</v>
      </c>
      <c r="X241" t="b">
        <v>0</v>
      </c>
      <c r="Y241" t="n">
        <v>0.24</v>
      </c>
    </row>
    <row r="242">
      <c r="A242" t="inlineStr">
        <is>
          <t>O00241</t>
        </is>
      </c>
      <c r="B242" t="inlineStr">
        <is>
          <t>C0003</t>
        </is>
      </c>
      <c r="C242" t="inlineStr">
        <is>
          <t>S012</t>
        </is>
      </c>
      <c r="E242" s="3" t="n">
        <v>46276.94583333333</v>
      </c>
      <c r="F242" s="3" t="n">
        <v>46276.95340277778</v>
      </c>
      <c r="H242" t="inlineStr">
        <is>
          <t>Cancelled</t>
        </is>
      </c>
      <c r="I242" t="n">
        <v>3</v>
      </c>
      <c r="J242" t="n">
        <v>7</v>
      </c>
      <c r="K242" t="n">
        <v>449.69</v>
      </c>
      <c r="L242" t="n">
        <v>1.76</v>
      </c>
      <c r="M242" t="n">
        <v>7</v>
      </c>
      <c r="N242" t="n">
        <v>4.7</v>
      </c>
      <c r="O242" t="n">
        <v>4.5</v>
      </c>
      <c r="P242" t="n">
        <v>10.9</v>
      </c>
      <c r="T242" t="inlineStr">
        <is>
          <t>Item unavailable</t>
        </is>
      </c>
      <c r="U242" t="n">
        <v>22</v>
      </c>
      <c r="V242" t="b">
        <v>0</v>
      </c>
      <c r="X242" t="b">
        <v>0</v>
      </c>
      <c r="Y242" t="n">
        <v>0.38</v>
      </c>
    </row>
    <row r="243">
      <c r="A243" t="inlineStr">
        <is>
          <t>O00242</t>
        </is>
      </c>
      <c r="B243" t="inlineStr">
        <is>
          <t>C0153</t>
        </is>
      </c>
      <c r="C243" t="inlineStr">
        <is>
          <t>S018</t>
        </is>
      </c>
      <c r="D243" t="inlineStr">
        <is>
          <t>R031</t>
        </is>
      </c>
      <c r="E243" s="3" t="n">
        <v>46278.50416666667</v>
      </c>
      <c r="F243" s="3" t="n">
        <v>46278.51236111111</v>
      </c>
      <c r="G243" s="3" t="n">
        <v>46278.51222222222</v>
      </c>
      <c r="H243" t="inlineStr">
        <is>
          <t>Delivered</t>
        </is>
      </c>
      <c r="I243" t="n">
        <v>6</v>
      </c>
      <c r="J243" t="n">
        <v>9</v>
      </c>
      <c r="K243" t="n">
        <v>912.91</v>
      </c>
      <c r="L243" t="n">
        <v>2.51</v>
      </c>
      <c r="M243" t="n">
        <v>3.3</v>
      </c>
      <c r="N243" t="n">
        <v>4.4</v>
      </c>
      <c r="O243" t="n">
        <v>3.9</v>
      </c>
      <c r="P243" t="n">
        <v>11.8</v>
      </c>
      <c r="Q243" t="n">
        <v>11.6</v>
      </c>
      <c r="R243" t="n">
        <v>-0.2</v>
      </c>
      <c r="S243" t="b">
        <v>1</v>
      </c>
      <c r="U243" t="n">
        <v>12</v>
      </c>
      <c r="V243" t="b">
        <v>0</v>
      </c>
      <c r="X243" t="b">
        <v>1</v>
      </c>
      <c r="Y243" t="n">
        <v>0.36</v>
      </c>
    </row>
    <row r="244">
      <c r="A244" t="inlineStr">
        <is>
          <t>O00243</t>
        </is>
      </c>
      <c r="B244" t="inlineStr">
        <is>
          <t>C0250</t>
        </is>
      </c>
      <c r="C244" t="inlineStr">
        <is>
          <t>S013</t>
        </is>
      </c>
      <c r="D244" t="inlineStr">
        <is>
          <t>R043</t>
        </is>
      </c>
      <c r="E244" s="3" t="n">
        <v>46275.56111111111</v>
      </c>
      <c r="F244" s="3" t="n">
        <v>46275.566875</v>
      </c>
      <c r="G244" s="3" t="n">
        <v>46275.56625</v>
      </c>
      <c r="H244" t="inlineStr">
        <is>
          <t>Delivered</t>
        </is>
      </c>
      <c r="I244" t="n">
        <v>2</v>
      </c>
      <c r="J244" t="n">
        <v>5</v>
      </c>
      <c r="K244" t="n">
        <v>379.35</v>
      </c>
      <c r="L244" t="n">
        <v>0.5</v>
      </c>
      <c r="M244" t="n">
        <v>4.7</v>
      </c>
      <c r="N244" t="n">
        <v>0.6</v>
      </c>
      <c r="O244" t="n">
        <v>2.1</v>
      </c>
      <c r="P244" t="n">
        <v>8.300000000000001</v>
      </c>
      <c r="Q244" t="n">
        <v>7.4</v>
      </c>
      <c r="R244" t="n">
        <v>-0.9</v>
      </c>
      <c r="S244" t="b">
        <v>1</v>
      </c>
      <c r="U244" t="n">
        <v>13</v>
      </c>
      <c r="V244" t="b">
        <v>0</v>
      </c>
      <c r="X244" t="b">
        <v>0</v>
      </c>
      <c r="Y244" t="n">
        <v>0.6899999999999999</v>
      </c>
    </row>
    <row r="245">
      <c r="A245" t="inlineStr">
        <is>
          <t>O00244</t>
        </is>
      </c>
      <c r="B245" t="inlineStr">
        <is>
          <t>C0010</t>
        </is>
      </c>
      <c r="C245" t="inlineStr">
        <is>
          <t>S007</t>
        </is>
      </c>
      <c r="D245" t="inlineStr">
        <is>
          <t>R011</t>
        </is>
      </c>
      <c r="E245" s="3" t="n">
        <v>46267.84097222222</v>
      </c>
      <c r="F245" s="3" t="n">
        <v>46267.84819444444</v>
      </c>
      <c r="G245" s="3" t="n">
        <v>46267.84756944444</v>
      </c>
      <c r="H245" t="inlineStr">
        <is>
          <t>Delivered</t>
        </is>
      </c>
      <c r="I245" t="n">
        <v>1</v>
      </c>
      <c r="J245" t="n">
        <v>4</v>
      </c>
      <c r="K245" t="n">
        <v>1028.9</v>
      </c>
      <c r="L245" t="n">
        <v>1.09</v>
      </c>
      <c r="M245" t="n">
        <v>2.8</v>
      </c>
      <c r="N245" t="n">
        <v>2.3</v>
      </c>
      <c r="O245" t="n">
        <v>4.4</v>
      </c>
      <c r="P245" t="n">
        <v>10.4</v>
      </c>
      <c r="Q245" t="n">
        <v>9.5</v>
      </c>
      <c r="R245" t="n">
        <v>-0.9</v>
      </c>
      <c r="S245" t="b">
        <v>1</v>
      </c>
      <c r="U245" t="n">
        <v>20</v>
      </c>
      <c r="V245" t="b">
        <v>1</v>
      </c>
      <c r="X245" t="b">
        <v>0</v>
      </c>
      <c r="Y245" t="n">
        <v>0.99</v>
      </c>
    </row>
    <row r="246">
      <c r="A246" t="inlineStr">
        <is>
          <t>O00245</t>
        </is>
      </c>
      <c r="B246" t="inlineStr">
        <is>
          <t>C0242</t>
        </is>
      </c>
      <c r="C246" t="inlineStr">
        <is>
          <t>S019</t>
        </is>
      </c>
      <c r="D246" t="inlineStr">
        <is>
          <t>R024</t>
        </is>
      </c>
      <c r="E246" s="3" t="n">
        <v>46277.96111111111</v>
      </c>
      <c r="F246" s="3" t="n">
        <v>46277.96770833333</v>
      </c>
      <c r="G246" s="3" t="n">
        <v>46277.96743055555</v>
      </c>
      <c r="H246" t="inlineStr">
        <is>
          <t>Delivered</t>
        </is>
      </c>
      <c r="I246" t="n">
        <v>2</v>
      </c>
      <c r="J246" t="n">
        <v>4</v>
      </c>
      <c r="K246" t="n">
        <v>167.5</v>
      </c>
      <c r="L246" t="n">
        <v>2.5</v>
      </c>
      <c r="M246" t="n">
        <v>2.8</v>
      </c>
      <c r="N246" t="n">
        <v>3</v>
      </c>
      <c r="O246" t="n">
        <v>3.3</v>
      </c>
      <c r="P246" t="n">
        <v>9.5</v>
      </c>
      <c r="Q246" t="n">
        <v>9.1</v>
      </c>
      <c r="R246" t="n">
        <v>-0.4</v>
      </c>
      <c r="S246" t="b">
        <v>1</v>
      </c>
      <c r="U246" t="n">
        <v>23</v>
      </c>
      <c r="V246" t="b">
        <v>0</v>
      </c>
      <c r="W246" t="inlineStr">
        <is>
          <t>Heavy</t>
        </is>
      </c>
      <c r="X246" t="b">
        <v>0</v>
      </c>
      <c r="Y246" t="n">
        <v>0.3</v>
      </c>
    </row>
    <row r="247">
      <c r="A247" t="inlineStr">
        <is>
          <t>O00246</t>
        </is>
      </c>
      <c r="B247" t="inlineStr">
        <is>
          <t>C0169</t>
        </is>
      </c>
      <c r="C247" t="inlineStr">
        <is>
          <t>S018</t>
        </is>
      </c>
      <c r="D247" t="inlineStr">
        <is>
          <t>R034</t>
        </is>
      </c>
      <c r="E247" s="3" t="n">
        <v>46272.45</v>
      </c>
      <c r="F247" s="3" t="n">
        <v>46272.45583333333</v>
      </c>
      <c r="G247" s="3" t="n">
        <v>46272.45569444444</v>
      </c>
      <c r="H247" t="inlineStr">
        <is>
          <t>Delivered</t>
        </is>
      </c>
      <c r="I247" t="n">
        <v>2</v>
      </c>
      <c r="J247" t="n">
        <v>4</v>
      </c>
      <c r="K247" t="n">
        <v>1340.99</v>
      </c>
      <c r="L247" t="n">
        <v>1.38</v>
      </c>
      <c r="M247" t="n">
        <v>2.8</v>
      </c>
      <c r="N247" t="n">
        <v>2.7</v>
      </c>
      <c r="O247" t="n">
        <v>2.7</v>
      </c>
      <c r="P247" t="n">
        <v>8.4</v>
      </c>
      <c r="Q247" t="n">
        <v>8.199999999999999</v>
      </c>
      <c r="R247" t="n">
        <v>-0.2</v>
      </c>
      <c r="S247" t="b">
        <v>1</v>
      </c>
      <c r="U247" t="n">
        <v>10</v>
      </c>
      <c r="V247" t="b">
        <v>0</v>
      </c>
      <c r="W247" t="inlineStr">
        <is>
          <t>Light</t>
        </is>
      </c>
      <c r="X247" t="b">
        <v>0</v>
      </c>
      <c r="Y247" t="n">
        <v>0.46</v>
      </c>
    </row>
    <row r="248">
      <c r="A248" t="inlineStr">
        <is>
          <t>O00247</t>
        </is>
      </c>
      <c r="B248" t="inlineStr">
        <is>
          <t>C0246</t>
        </is>
      </c>
      <c r="C248" t="inlineStr">
        <is>
          <t>S006</t>
        </is>
      </c>
      <c r="D248" t="inlineStr">
        <is>
          <t>R045</t>
        </is>
      </c>
      <c r="E248" s="3" t="n">
        <v>46273.72638888889</v>
      </c>
      <c r="F248" s="3" t="n">
        <v>46273.73513888889</v>
      </c>
      <c r="G248" s="3" t="n">
        <v>46273.73458333333</v>
      </c>
      <c r="H248" t="inlineStr">
        <is>
          <t>Delivered</t>
        </is>
      </c>
      <c r="I248" t="n">
        <v>2</v>
      </c>
      <c r="J248" t="n">
        <v>13</v>
      </c>
      <c r="K248" t="n">
        <v>1766.56</v>
      </c>
      <c r="L248" t="n">
        <v>4.9</v>
      </c>
      <c r="M248" t="n">
        <v>3.9</v>
      </c>
      <c r="N248" t="n">
        <v>1.4</v>
      </c>
      <c r="O248" t="n">
        <v>6.5</v>
      </c>
      <c r="P248" t="n">
        <v>12.6</v>
      </c>
      <c r="Q248" t="n">
        <v>11.8</v>
      </c>
      <c r="R248" t="n">
        <v>-0.8</v>
      </c>
      <c r="S248" t="b">
        <v>1</v>
      </c>
      <c r="U248" t="n">
        <v>17</v>
      </c>
      <c r="V248" t="b">
        <v>0</v>
      </c>
      <c r="W248" t="inlineStr">
        <is>
          <t>Light</t>
        </is>
      </c>
      <c r="X248" t="b">
        <v>0</v>
      </c>
      <c r="Y248" t="n">
        <v>0.89</v>
      </c>
    </row>
    <row r="249">
      <c r="A249" t="inlineStr">
        <is>
          <t>O00248</t>
        </is>
      </c>
      <c r="B249" t="inlineStr">
        <is>
          <t>C0210</t>
        </is>
      </c>
      <c r="C249" t="inlineStr">
        <is>
          <t>S014</t>
        </is>
      </c>
      <c r="D249" t="inlineStr">
        <is>
          <t>R030</t>
        </is>
      </c>
      <c r="E249" s="3" t="n">
        <v>46275.74583333333</v>
      </c>
      <c r="F249" s="3" t="n">
        <v>46275.75194444445</v>
      </c>
      <c r="G249" s="3" t="n">
        <v>46275.75159722222</v>
      </c>
      <c r="H249" t="inlineStr">
        <is>
          <t>Delivered</t>
        </is>
      </c>
      <c r="I249" t="n">
        <v>1</v>
      </c>
      <c r="J249" t="n">
        <v>10</v>
      </c>
      <c r="K249" t="n">
        <v>1009.94</v>
      </c>
      <c r="L249" t="n">
        <v>1.02</v>
      </c>
      <c r="M249" t="n">
        <v>4.1</v>
      </c>
      <c r="N249" t="n">
        <v>1.5</v>
      </c>
      <c r="O249" t="n">
        <v>2.7</v>
      </c>
      <c r="P249" t="n">
        <v>8.800000000000001</v>
      </c>
      <c r="Q249" t="n">
        <v>8.300000000000001</v>
      </c>
      <c r="R249" t="n">
        <v>-0.5</v>
      </c>
      <c r="S249" t="b">
        <v>1</v>
      </c>
      <c r="U249" t="n">
        <v>17</v>
      </c>
      <c r="V249" t="b">
        <v>0</v>
      </c>
      <c r="W249" t="inlineStr">
        <is>
          <t>Heavy</t>
        </is>
      </c>
      <c r="X249" t="b">
        <v>0</v>
      </c>
      <c r="Y249" t="n">
        <v>0.12</v>
      </c>
    </row>
    <row r="250">
      <c r="A250" t="inlineStr">
        <is>
          <t>O00249</t>
        </is>
      </c>
      <c r="B250" t="inlineStr">
        <is>
          <t>C0101</t>
        </is>
      </c>
      <c r="C250" t="inlineStr">
        <is>
          <t>S013</t>
        </is>
      </c>
      <c r="D250" t="inlineStr">
        <is>
          <t>R014</t>
        </is>
      </c>
      <c r="E250" s="3" t="n">
        <v>46273.88194444445</v>
      </c>
      <c r="F250" s="3" t="n">
        <v>46273.88847222222</v>
      </c>
      <c r="G250" s="3" t="n">
        <v>46273.88826388889</v>
      </c>
      <c r="H250" t="inlineStr">
        <is>
          <t>Delivered</t>
        </is>
      </c>
      <c r="I250" t="n">
        <v>5</v>
      </c>
      <c r="J250" t="n">
        <v>6</v>
      </c>
      <c r="K250" t="n">
        <v>574.2</v>
      </c>
      <c r="L250" t="n">
        <v>2.79</v>
      </c>
      <c r="M250" t="n">
        <v>2.3</v>
      </c>
      <c r="N250" t="n">
        <v>3.2</v>
      </c>
      <c r="O250" t="n">
        <v>3.6</v>
      </c>
      <c r="P250" t="n">
        <v>9.4</v>
      </c>
      <c r="Q250" t="n">
        <v>9.1</v>
      </c>
      <c r="R250" t="n">
        <v>-0.3</v>
      </c>
      <c r="S250" t="b">
        <v>1</v>
      </c>
      <c r="U250" t="n">
        <v>21</v>
      </c>
      <c r="V250" t="b">
        <v>1</v>
      </c>
      <c r="X250" t="b">
        <v>1</v>
      </c>
      <c r="Y250" t="n">
        <v>0.76</v>
      </c>
    </row>
    <row r="251">
      <c r="A251" t="inlineStr">
        <is>
          <t>O00250</t>
        </is>
      </c>
      <c r="B251" t="inlineStr">
        <is>
          <t>C0231</t>
        </is>
      </c>
      <c r="C251" t="inlineStr">
        <is>
          <t>S017</t>
        </is>
      </c>
      <c r="D251" t="inlineStr">
        <is>
          <t>R052</t>
        </is>
      </c>
      <c r="E251" s="3" t="n">
        <v>46277.74722222222</v>
      </c>
      <c r="F251" s="3" t="n">
        <v>46277.755625</v>
      </c>
      <c r="G251" s="3" t="n">
        <v>46277.75520833334</v>
      </c>
      <c r="H251" t="inlineStr">
        <is>
          <t>Delivered</t>
        </is>
      </c>
      <c r="I251" t="n">
        <v>6</v>
      </c>
      <c r="J251" t="n">
        <v>7</v>
      </c>
      <c r="K251" t="n">
        <v>451.27</v>
      </c>
      <c r="L251" t="n">
        <v>1.33</v>
      </c>
      <c r="M251" t="n">
        <v>3.3</v>
      </c>
      <c r="N251" t="n">
        <v>3.8</v>
      </c>
      <c r="O251" t="n">
        <v>4.4</v>
      </c>
      <c r="P251" t="n">
        <v>12.1</v>
      </c>
      <c r="Q251" t="n">
        <v>11.5</v>
      </c>
      <c r="R251" t="n">
        <v>-0.6</v>
      </c>
      <c r="S251" t="b">
        <v>1</v>
      </c>
      <c r="U251" t="n">
        <v>17</v>
      </c>
      <c r="V251" t="b">
        <v>0</v>
      </c>
      <c r="W251" t="inlineStr">
        <is>
          <t>Light</t>
        </is>
      </c>
      <c r="X251" t="b">
        <v>0</v>
      </c>
      <c r="Y251" t="n">
        <v>0.58</v>
      </c>
    </row>
    <row r="252">
      <c r="A252" t="inlineStr">
        <is>
          <t>O00251</t>
        </is>
      </c>
      <c r="B252" t="inlineStr">
        <is>
          <t>C0139</t>
        </is>
      </c>
      <c r="C252" t="inlineStr">
        <is>
          <t>S008</t>
        </is>
      </c>
      <c r="E252" s="3" t="n">
        <v>46272.59305555555</v>
      </c>
      <c r="F252" s="3" t="n">
        <v>46272.59979166667</v>
      </c>
      <c r="H252" t="inlineStr">
        <is>
          <t>Cancelled</t>
        </is>
      </c>
      <c r="I252" t="n">
        <v>1</v>
      </c>
      <c r="J252" t="n">
        <v>5</v>
      </c>
      <c r="K252" t="n">
        <v>777.62</v>
      </c>
      <c r="L252" t="n">
        <v>1.35</v>
      </c>
      <c r="M252" t="n">
        <v>5</v>
      </c>
      <c r="N252" t="n">
        <v>7.5</v>
      </c>
      <c r="O252" t="n">
        <v>3.1</v>
      </c>
      <c r="P252" t="n">
        <v>9.699999999999999</v>
      </c>
      <c r="T252" t="inlineStr">
        <is>
          <t>Rider unavailable</t>
        </is>
      </c>
      <c r="U252" t="n">
        <v>14</v>
      </c>
      <c r="V252" t="b">
        <v>0</v>
      </c>
      <c r="X252" t="b">
        <v>1</v>
      </c>
      <c r="Y252" t="n">
        <v>0.21</v>
      </c>
    </row>
    <row r="253">
      <c r="A253" t="inlineStr">
        <is>
          <t>O00252</t>
        </is>
      </c>
      <c r="B253" t="inlineStr">
        <is>
          <t>C0189</t>
        </is>
      </c>
      <c r="C253" t="inlineStr">
        <is>
          <t>S011</t>
        </is>
      </c>
      <c r="E253" s="3" t="n">
        <v>46267.71944444445</v>
      </c>
      <c r="F253" s="3" t="n">
        <v>46267.72673611111</v>
      </c>
      <c r="H253" t="inlineStr">
        <is>
          <t>Cancelled</t>
        </is>
      </c>
      <c r="I253" t="n">
        <v>3</v>
      </c>
      <c r="J253" t="n">
        <v>5</v>
      </c>
      <c r="K253" t="n">
        <v>1233.14</v>
      </c>
      <c r="L253" t="n">
        <v>2.6</v>
      </c>
      <c r="M253" t="n">
        <v>4.7</v>
      </c>
      <c r="N253" t="n">
        <v>4.9</v>
      </c>
      <c r="O253" t="n">
        <v>8.6</v>
      </c>
      <c r="P253" t="n">
        <v>10.5</v>
      </c>
      <c r="T253" t="inlineStr">
        <is>
          <t>Item unavailable</t>
        </is>
      </c>
      <c r="U253" t="n">
        <v>17</v>
      </c>
      <c r="V253" t="b">
        <v>0</v>
      </c>
      <c r="W253" t="inlineStr">
        <is>
          <t>Light</t>
        </is>
      </c>
      <c r="X253" t="b">
        <v>0</v>
      </c>
      <c r="Y253" t="n">
        <v>0.5</v>
      </c>
    </row>
    <row r="254">
      <c r="A254" t="inlineStr">
        <is>
          <t>O00253</t>
        </is>
      </c>
      <c r="B254" t="inlineStr">
        <is>
          <t>C0182</t>
        </is>
      </c>
      <c r="C254" t="inlineStr">
        <is>
          <t>S012</t>
        </is>
      </c>
      <c r="D254" t="inlineStr">
        <is>
          <t>R007</t>
        </is>
      </c>
      <c r="E254" s="3" t="n">
        <v>46277.68611111111</v>
      </c>
      <c r="F254" s="3" t="n">
        <v>46277.69354166667</v>
      </c>
      <c r="G254" s="3" t="n">
        <v>46277.7</v>
      </c>
      <c r="H254" t="inlineStr">
        <is>
          <t>Delivered</t>
        </is>
      </c>
      <c r="I254" t="n">
        <v>1</v>
      </c>
      <c r="J254" t="n">
        <v>8</v>
      </c>
      <c r="K254" t="n">
        <v>345.43</v>
      </c>
      <c r="L254" t="n">
        <v>4.59</v>
      </c>
      <c r="M254" t="n">
        <v>6.1</v>
      </c>
      <c r="N254" t="n">
        <v>2.6</v>
      </c>
      <c r="O254" t="n">
        <v>11.3</v>
      </c>
      <c r="P254" t="n">
        <v>10.7</v>
      </c>
      <c r="Q254" t="n">
        <v>20</v>
      </c>
      <c r="R254" t="n">
        <v>9.300000000000001</v>
      </c>
      <c r="S254" t="b">
        <v>0</v>
      </c>
      <c r="U254" t="n">
        <v>16</v>
      </c>
      <c r="V254" t="b">
        <v>0</v>
      </c>
      <c r="X254" t="b">
        <v>0</v>
      </c>
      <c r="Y254" t="n">
        <v>0.91</v>
      </c>
    </row>
    <row r="255">
      <c r="A255" t="inlineStr">
        <is>
          <t>O00254</t>
        </is>
      </c>
      <c r="B255" t="inlineStr">
        <is>
          <t>C0104</t>
        </is>
      </c>
      <c r="C255" t="inlineStr">
        <is>
          <t>S016</t>
        </is>
      </c>
      <c r="D255" t="inlineStr">
        <is>
          <t>R047</t>
        </is>
      </c>
      <c r="E255" s="3" t="n">
        <v>46268.39027777778</v>
      </c>
      <c r="F255" s="3" t="n">
        <v>46268.39819444445</v>
      </c>
      <c r="G255" s="3" t="n">
        <v>46268.39777777778</v>
      </c>
      <c r="H255" t="inlineStr">
        <is>
          <t>Delivered</t>
        </is>
      </c>
      <c r="I255" t="n">
        <v>4</v>
      </c>
      <c r="J255" t="n">
        <v>6</v>
      </c>
      <c r="K255" t="n">
        <v>1305.81</v>
      </c>
      <c r="L255" t="n">
        <v>2.45</v>
      </c>
      <c r="M255" t="n">
        <v>4.3</v>
      </c>
      <c r="N255" t="n">
        <v>2.3</v>
      </c>
      <c r="O255" t="n">
        <v>4.2</v>
      </c>
      <c r="P255" t="n">
        <v>11.4</v>
      </c>
      <c r="Q255" t="n">
        <v>10.8</v>
      </c>
      <c r="R255" t="n">
        <v>-0.6</v>
      </c>
      <c r="S255" t="b">
        <v>1</v>
      </c>
      <c r="U255" t="n">
        <v>9</v>
      </c>
      <c r="V255" t="b">
        <v>0</v>
      </c>
      <c r="X255" t="b">
        <v>0</v>
      </c>
      <c r="Y255" t="n">
        <v>0.31</v>
      </c>
    </row>
    <row r="256">
      <c r="A256" t="inlineStr">
        <is>
          <t>O00255</t>
        </is>
      </c>
      <c r="B256" t="inlineStr">
        <is>
          <t>C0075</t>
        </is>
      </c>
      <c r="C256" t="inlineStr">
        <is>
          <t>S018</t>
        </is>
      </c>
      <c r="D256" t="inlineStr">
        <is>
          <t>R004</t>
        </is>
      </c>
      <c r="E256" s="3" t="n">
        <v>46272.60069444445</v>
      </c>
      <c r="F256" s="3" t="n">
        <v>46272.60833333333</v>
      </c>
      <c r="G256" s="3" t="n">
        <v>46272.60756944444</v>
      </c>
      <c r="H256" t="inlineStr">
        <is>
          <t>Delivered</t>
        </is>
      </c>
      <c r="I256" t="n">
        <v>3</v>
      </c>
      <c r="J256" t="n">
        <v>9</v>
      </c>
      <c r="K256" t="n">
        <v>1365.38</v>
      </c>
      <c r="L256" t="n">
        <v>2.75</v>
      </c>
      <c r="M256" t="n">
        <v>3.2</v>
      </c>
      <c r="N256" t="n">
        <v>2.6</v>
      </c>
      <c r="O256" t="n">
        <v>4.1</v>
      </c>
      <c r="P256" t="n">
        <v>11</v>
      </c>
      <c r="Q256" t="n">
        <v>9.9</v>
      </c>
      <c r="R256" t="n">
        <v>-1.1</v>
      </c>
      <c r="S256" t="b">
        <v>1</v>
      </c>
      <c r="U256" t="n">
        <v>14</v>
      </c>
      <c r="V256" t="b">
        <v>0</v>
      </c>
      <c r="X256" t="b">
        <v>0</v>
      </c>
      <c r="Y256" t="n">
        <v>0.33</v>
      </c>
    </row>
    <row r="257">
      <c r="A257" t="inlineStr">
        <is>
          <t>O00256</t>
        </is>
      </c>
      <c r="B257" t="inlineStr">
        <is>
          <t>C0175</t>
        </is>
      </c>
      <c r="C257" t="inlineStr">
        <is>
          <t>S007</t>
        </is>
      </c>
      <c r="D257" t="inlineStr">
        <is>
          <t>R074</t>
        </is>
      </c>
      <c r="E257" s="3" t="n">
        <v>46272.75069444445</v>
      </c>
      <c r="F257" s="3" t="n">
        <v>46272.75895833333</v>
      </c>
      <c r="G257" s="3" t="n">
        <v>46272.75868055555</v>
      </c>
      <c r="H257" t="inlineStr">
        <is>
          <t>Delivered</t>
        </is>
      </c>
      <c r="I257" t="n">
        <v>3</v>
      </c>
      <c r="J257" t="n">
        <v>5</v>
      </c>
      <c r="K257" t="n">
        <v>617.83</v>
      </c>
      <c r="L257" t="n">
        <v>3.56</v>
      </c>
      <c r="M257" t="n">
        <v>2.8</v>
      </c>
      <c r="N257" t="n">
        <v>3.1</v>
      </c>
      <c r="O257" t="n">
        <v>5.6</v>
      </c>
      <c r="P257" t="n">
        <v>11.9</v>
      </c>
      <c r="Q257" t="n">
        <v>11.5</v>
      </c>
      <c r="R257" t="n">
        <v>-0.4</v>
      </c>
      <c r="S257" t="b">
        <v>1</v>
      </c>
      <c r="U257" t="n">
        <v>18</v>
      </c>
      <c r="V257" t="b">
        <v>0</v>
      </c>
      <c r="X257" t="b">
        <v>0</v>
      </c>
      <c r="Y257" t="n">
        <v>0.29</v>
      </c>
    </row>
    <row r="258">
      <c r="A258" t="inlineStr">
        <is>
          <t>O00257</t>
        </is>
      </c>
      <c r="B258" t="inlineStr">
        <is>
          <t>C0074</t>
        </is>
      </c>
      <c r="C258" t="inlineStr">
        <is>
          <t>S007</t>
        </is>
      </c>
      <c r="D258" t="inlineStr">
        <is>
          <t>R061</t>
        </is>
      </c>
      <c r="E258" s="3" t="n">
        <v>46269.56805555556</v>
      </c>
      <c r="F258" s="3" t="n">
        <v>46269.57451388889</v>
      </c>
      <c r="G258" s="3" t="n">
        <v>46269.57409722222</v>
      </c>
      <c r="H258" t="inlineStr">
        <is>
          <t>Delivered</t>
        </is>
      </c>
      <c r="I258" t="n">
        <v>6</v>
      </c>
      <c r="J258" t="n">
        <v>12</v>
      </c>
      <c r="K258" t="n">
        <v>1462.27</v>
      </c>
      <c r="L258" t="n">
        <v>0.99</v>
      </c>
      <c r="M258" t="n">
        <v>3</v>
      </c>
      <c r="N258" t="n">
        <v>3.3</v>
      </c>
      <c r="O258" t="n">
        <v>2.4</v>
      </c>
      <c r="P258" t="n">
        <v>9.300000000000001</v>
      </c>
      <c r="Q258" t="n">
        <v>8.699999999999999</v>
      </c>
      <c r="R258" t="n">
        <v>-0.6</v>
      </c>
      <c r="S258" t="b">
        <v>1</v>
      </c>
      <c r="U258" t="n">
        <v>13</v>
      </c>
      <c r="V258" t="b">
        <v>0</v>
      </c>
      <c r="X258" t="b">
        <v>0</v>
      </c>
      <c r="Y258" t="n">
        <v>0.6899999999999999</v>
      </c>
    </row>
    <row r="259">
      <c r="A259" t="inlineStr">
        <is>
          <t>O00258</t>
        </is>
      </c>
      <c r="B259" t="inlineStr">
        <is>
          <t>C0117</t>
        </is>
      </c>
      <c r="C259" t="inlineStr">
        <is>
          <t>S002</t>
        </is>
      </c>
      <c r="D259" t="inlineStr">
        <is>
          <t>R023</t>
        </is>
      </c>
      <c r="E259" s="3" t="n">
        <v>46274.91041666667</v>
      </c>
      <c r="F259" s="3" t="n">
        <v>46274.91729166666</v>
      </c>
      <c r="G259" s="3" t="n">
        <v>46274.92805555555</v>
      </c>
      <c r="H259" t="inlineStr">
        <is>
          <t>Delivered</t>
        </is>
      </c>
      <c r="I259" t="n">
        <v>5</v>
      </c>
      <c r="J259" t="n">
        <v>7</v>
      </c>
      <c r="K259" t="n">
        <v>871.8</v>
      </c>
      <c r="L259" t="n">
        <v>5</v>
      </c>
      <c r="M259" t="n">
        <v>2.8</v>
      </c>
      <c r="N259" t="n">
        <v>10.3</v>
      </c>
      <c r="O259" t="n">
        <v>12.3</v>
      </c>
      <c r="P259" t="n">
        <v>9.9</v>
      </c>
      <c r="Q259" t="n">
        <v>25.4</v>
      </c>
      <c r="R259" t="n">
        <v>15.5</v>
      </c>
      <c r="S259" t="b">
        <v>0</v>
      </c>
      <c r="U259" t="n">
        <v>21</v>
      </c>
      <c r="V259" t="b">
        <v>1</v>
      </c>
      <c r="X259" t="b">
        <v>0</v>
      </c>
      <c r="Y259" t="n">
        <v>0.5</v>
      </c>
    </row>
    <row r="260">
      <c r="A260" t="inlineStr">
        <is>
          <t>O00259</t>
        </is>
      </c>
      <c r="B260" t="inlineStr">
        <is>
          <t>C0078</t>
        </is>
      </c>
      <c r="C260" t="inlineStr">
        <is>
          <t>S013</t>
        </is>
      </c>
      <c r="D260" t="inlineStr">
        <is>
          <t>R027</t>
        </is>
      </c>
      <c r="E260" s="3" t="n">
        <v>46271.57083333333</v>
      </c>
      <c r="F260" s="3" t="n">
        <v>46271.57923611111</v>
      </c>
      <c r="G260" s="3" t="n">
        <v>46271.57840277778</v>
      </c>
      <c r="H260" t="inlineStr">
        <is>
          <t>Delivered</t>
        </is>
      </c>
      <c r="I260" t="n">
        <v>5</v>
      </c>
      <c r="J260" t="n">
        <v>9</v>
      </c>
      <c r="K260" t="n">
        <v>475.88</v>
      </c>
      <c r="L260" t="n">
        <v>2.03</v>
      </c>
      <c r="M260" t="n">
        <v>3.9</v>
      </c>
      <c r="N260" t="n">
        <v>4.2</v>
      </c>
      <c r="O260" t="n">
        <v>2.8</v>
      </c>
      <c r="P260" t="n">
        <v>12.1</v>
      </c>
      <c r="Q260" t="n">
        <v>10.9</v>
      </c>
      <c r="R260" t="n">
        <v>-1.2</v>
      </c>
      <c r="S260" t="b">
        <v>1</v>
      </c>
      <c r="U260" t="n">
        <v>13</v>
      </c>
      <c r="V260" t="b">
        <v>0</v>
      </c>
      <c r="X260" t="b">
        <v>0</v>
      </c>
      <c r="Y260" t="n">
        <v>0.35</v>
      </c>
    </row>
    <row r="261">
      <c r="A261" t="inlineStr">
        <is>
          <t>O00260</t>
        </is>
      </c>
      <c r="B261" t="inlineStr">
        <is>
          <t>C0081</t>
        </is>
      </c>
      <c r="C261" t="inlineStr">
        <is>
          <t>S006</t>
        </is>
      </c>
      <c r="D261" t="inlineStr">
        <is>
          <t>R074</t>
        </is>
      </c>
      <c r="E261" s="3" t="n">
        <v>46268.62291666667</v>
      </c>
      <c r="F261" s="3" t="n">
        <v>46268.63055555556</v>
      </c>
      <c r="G261" s="3" t="n">
        <v>46268.63006944444</v>
      </c>
      <c r="H261" t="inlineStr">
        <is>
          <t>Delivered</t>
        </is>
      </c>
      <c r="I261" t="n">
        <v>4</v>
      </c>
      <c r="J261" t="n">
        <v>5</v>
      </c>
      <c r="K261" t="n">
        <v>1370.94</v>
      </c>
      <c r="L261" t="n">
        <v>1.96</v>
      </c>
      <c r="M261" t="n">
        <v>3.7</v>
      </c>
      <c r="N261" t="n">
        <v>2.4</v>
      </c>
      <c r="O261" t="n">
        <v>4.2</v>
      </c>
      <c r="P261" t="n">
        <v>11</v>
      </c>
      <c r="Q261" t="n">
        <v>10.3</v>
      </c>
      <c r="R261" t="n">
        <v>-0.7</v>
      </c>
      <c r="S261" t="b">
        <v>1</v>
      </c>
      <c r="U261" t="n">
        <v>14</v>
      </c>
      <c r="V261" t="b">
        <v>0</v>
      </c>
      <c r="X261" t="b">
        <v>0</v>
      </c>
      <c r="Y261" t="n">
        <v>0.43</v>
      </c>
    </row>
    <row r="262">
      <c r="A262" t="inlineStr">
        <is>
          <t>O00261</t>
        </is>
      </c>
      <c r="B262" t="inlineStr">
        <is>
          <t>C0074</t>
        </is>
      </c>
      <c r="C262" t="inlineStr">
        <is>
          <t>S002</t>
        </is>
      </c>
      <c r="D262" t="inlineStr">
        <is>
          <t>R059</t>
        </is>
      </c>
      <c r="E262" s="3" t="n">
        <v>46276.93055555555</v>
      </c>
      <c r="F262" s="3" t="n">
        <v>46276.9375</v>
      </c>
      <c r="G262" s="3" t="n">
        <v>46276.93680555555</v>
      </c>
      <c r="H262" t="inlineStr">
        <is>
          <t>Delivered</t>
        </is>
      </c>
      <c r="I262" t="n">
        <v>3</v>
      </c>
      <c r="J262" t="n">
        <v>9</v>
      </c>
      <c r="K262" t="n">
        <v>474.34</v>
      </c>
      <c r="L262" t="n">
        <v>2.23</v>
      </c>
      <c r="M262" t="n">
        <v>1.9</v>
      </c>
      <c r="N262" t="n">
        <v>3.7</v>
      </c>
      <c r="O262" t="n">
        <v>3.4</v>
      </c>
      <c r="P262" t="n">
        <v>10</v>
      </c>
      <c r="Q262" t="n">
        <v>9</v>
      </c>
      <c r="R262" t="n">
        <v>-1</v>
      </c>
      <c r="S262" t="b">
        <v>1</v>
      </c>
      <c r="U262" t="n">
        <v>22</v>
      </c>
      <c r="V262" t="b">
        <v>0</v>
      </c>
      <c r="X262" t="b">
        <v>0</v>
      </c>
      <c r="Y262" t="n">
        <v>0.73</v>
      </c>
    </row>
    <row r="263">
      <c r="A263" t="inlineStr">
        <is>
          <t>O00262</t>
        </is>
      </c>
      <c r="B263" t="inlineStr">
        <is>
          <t>C0174</t>
        </is>
      </c>
      <c r="C263" t="inlineStr">
        <is>
          <t>S005</t>
        </is>
      </c>
      <c r="D263" t="inlineStr">
        <is>
          <t>R046</t>
        </is>
      </c>
      <c r="E263" s="3" t="n">
        <v>46277.79444444444</v>
      </c>
      <c r="F263" s="3" t="n">
        <v>46277.80152777778</v>
      </c>
      <c r="G263" s="3" t="n">
        <v>46277.80090277778</v>
      </c>
      <c r="H263" t="inlineStr">
        <is>
          <t>Delivered</t>
        </is>
      </c>
      <c r="I263" t="n">
        <v>1</v>
      </c>
      <c r="J263" t="n">
        <v>15</v>
      </c>
      <c r="K263" t="n">
        <v>1593.12</v>
      </c>
      <c r="L263" t="n">
        <v>3.75</v>
      </c>
      <c r="M263" t="n">
        <v>2.3</v>
      </c>
      <c r="N263" t="n">
        <v>3.3</v>
      </c>
      <c r="O263" t="n">
        <v>3.7</v>
      </c>
      <c r="P263" t="n">
        <v>10.2</v>
      </c>
      <c r="Q263" t="n">
        <v>9.300000000000001</v>
      </c>
      <c r="R263" t="n">
        <v>-0.9</v>
      </c>
      <c r="S263" t="b">
        <v>1</v>
      </c>
      <c r="U263" t="n">
        <v>19</v>
      </c>
      <c r="V263" t="b">
        <v>1</v>
      </c>
      <c r="X263" t="b">
        <v>0</v>
      </c>
      <c r="Y263" t="n">
        <v>0.6899999999999999</v>
      </c>
    </row>
    <row r="264">
      <c r="A264" t="inlineStr">
        <is>
          <t>O00263</t>
        </is>
      </c>
      <c r="B264" t="inlineStr">
        <is>
          <t>C0028</t>
        </is>
      </c>
      <c r="C264" t="inlineStr">
        <is>
          <t>S019</t>
        </is>
      </c>
      <c r="D264" t="inlineStr">
        <is>
          <t>R040</t>
        </is>
      </c>
      <c r="E264" s="3" t="n">
        <v>46268.56458333333</v>
      </c>
      <c r="F264" s="3" t="n">
        <v>46268.57305555556</v>
      </c>
      <c r="G264" s="3" t="n">
        <v>46268.57631944444</v>
      </c>
      <c r="H264" t="inlineStr">
        <is>
          <t>Delivered</t>
        </is>
      </c>
      <c r="I264" t="n">
        <v>1</v>
      </c>
      <c r="J264" t="n">
        <v>5</v>
      </c>
      <c r="K264" t="n">
        <v>1301.93</v>
      </c>
      <c r="L264" t="n">
        <v>2.5</v>
      </c>
      <c r="M264" t="n">
        <v>5</v>
      </c>
      <c r="N264" t="n">
        <v>5.9</v>
      </c>
      <c r="O264" t="n">
        <v>6</v>
      </c>
      <c r="P264" t="n">
        <v>12.2</v>
      </c>
      <c r="Q264" t="n">
        <v>16.9</v>
      </c>
      <c r="R264" t="n">
        <v>4.7</v>
      </c>
      <c r="S264" t="b">
        <v>0</v>
      </c>
      <c r="U264" t="n">
        <v>13</v>
      </c>
      <c r="V264" t="b">
        <v>0</v>
      </c>
      <c r="X264" t="b">
        <v>0</v>
      </c>
      <c r="Y264" t="n">
        <v>0.26</v>
      </c>
    </row>
    <row r="265">
      <c r="A265" t="inlineStr">
        <is>
          <t>O00264</t>
        </is>
      </c>
      <c r="B265" t="inlineStr">
        <is>
          <t>C0002</t>
        </is>
      </c>
      <c r="C265" t="inlineStr">
        <is>
          <t>S017</t>
        </is>
      </c>
      <c r="D265" t="inlineStr">
        <is>
          <t>R036</t>
        </is>
      </c>
      <c r="E265" s="3" t="n">
        <v>46270.54583333333</v>
      </c>
      <c r="F265" s="3" t="n">
        <v>46270.55333333334</v>
      </c>
      <c r="G265" s="3" t="n">
        <v>46270.55270833334</v>
      </c>
      <c r="H265" t="inlineStr">
        <is>
          <t>Delivered</t>
        </is>
      </c>
      <c r="I265" t="n">
        <v>4</v>
      </c>
      <c r="J265" t="n">
        <v>5</v>
      </c>
      <c r="K265" t="n">
        <v>512.2</v>
      </c>
      <c r="L265" t="n">
        <v>2.16</v>
      </c>
      <c r="M265" t="n">
        <v>1.9</v>
      </c>
      <c r="N265" t="n">
        <v>2.9</v>
      </c>
      <c r="O265" t="n">
        <v>5.1</v>
      </c>
      <c r="P265" t="n">
        <v>10.8</v>
      </c>
      <c r="Q265" t="n">
        <v>9.9</v>
      </c>
      <c r="R265" t="n">
        <v>-0.9</v>
      </c>
      <c r="S265" t="b">
        <v>1</v>
      </c>
      <c r="U265" t="n">
        <v>13</v>
      </c>
      <c r="V265" t="b">
        <v>0</v>
      </c>
      <c r="X265" t="b">
        <v>0</v>
      </c>
      <c r="Y265" t="n">
        <v>0.63</v>
      </c>
    </row>
    <row r="266">
      <c r="A266" t="inlineStr">
        <is>
          <t>O00265</t>
        </is>
      </c>
      <c r="B266" t="inlineStr">
        <is>
          <t>C0097</t>
        </is>
      </c>
      <c r="C266" t="inlineStr">
        <is>
          <t>S004</t>
        </is>
      </c>
      <c r="D266" t="inlineStr">
        <is>
          <t>R001</t>
        </is>
      </c>
      <c r="E266" s="3" t="n">
        <v>46276.78055555555</v>
      </c>
      <c r="F266" s="3" t="n">
        <v>46276.78944444445</v>
      </c>
      <c r="G266" s="3" t="n">
        <v>46276.78916666667</v>
      </c>
      <c r="H266" t="inlineStr">
        <is>
          <t>Delivered</t>
        </is>
      </c>
      <c r="I266" t="n">
        <v>2</v>
      </c>
      <c r="J266" t="n">
        <v>5</v>
      </c>
      <c r="K266" t="n">
        <v>1350</v>
      </c>
      <c r="L266" t="n">
        <v>3.12</v>
      </c>
      <c r="M266" t="n">
        <v>1.2</v>
      </c>
      <c r="N266" t="n">
        <v>3.7</v>
      </c>
      <c r="O266" t="n">
        <v>7.5</v>
      </c>
      <c r="P266" t="n">
        <v>12.8</v>
      </c>
      <c r="Q266" t="n">
        <v>12.4</v>
      </c>
      <c r="R266" t="n">
        <v>-0.4</v>
      </c>
      <c r="S266" t="b">
        <v>1</v>
      </c>
      <c r="U266" t="n">
        <v>18</v>
      </c>
      <c r="V266" t="b">
        <v>0</v>
      </c>
      <c r="X266" t="b">
        <v>0</v>
      </c>
      <c r="Y266" t="n">
        <v>0.4</v>
      </c>
    </row>
    <row r="267">
      <c r="A267" t="inlineStr">
        <is>
          <t>O00266</t>
        </is>
      </c>
      <c r="B267" t="inlineStr">
        <is>
          <t>C0115</t>
        </is>
      </c>
      <c r="C267" t="inlineStr">
        <is>
          <t>S014</t>
        </is>
      </c>
      <c r="D267" t="inlineStr">
        <is>
          <t>R013</t>
        </is>
      </c>
      <c r="E267" s="3" t="n">
        <v>46275.47083333333</v>
      </c>
      <c r="F267" s="3" t="n">
        <v>46275.47680555555</v>
      </c>
      <c r="G267" s="3" t="n">
        <v>46275.48666666666</v>
      </c>
      <c r="H267" t="inlineStr">
        <is>
          <t>Delivered</t>
        </is>
      </c>
      <c r="I267" t="n">
        <v>5</v>
      </c>
      <c r="J267" t="n">
        <v>6</v>
      </c>
      <c r="K267" t="n">
        <v>1620.32</v>
      </c>
      <c r="L267" t="n">
        <v>3.3</v>
      </c>
      <c r="M267" t="n">
        <v>7.4</v>
      </c>
      <c r="N267" t="n">
        <v>6.7</v>
      </c>
      <c r="O267" t="n">
        <v>8.699999999999999</v>
      </c>
      <c r="P267" t="n">
        <v>8.6</v>
      </c>
      <c r="Q267" t="n">
        <v>22.8</v>
      </c>
      <c r="R267" t="n">
        <v>14.2</v>
      </c>
      <c r="S267" t="b">
        <v>0</v>
      </c>
      <c r="U267" t="n">
        <v>11</v>
      </c>
      <c r="V267" t="b">
        <v>0</v>
      </c>
      <c r="W267" t="inlineStr">
        <is>
          <t>Heavy</t>
        </is>
      </c>
      <c r="X267" t="b">
        <v>0</v>
      </c>
      <c r="Y267" t="n">
        <v>0.22</v>
      </c>
    </row>
    <row r="268">
      <c r="A268" t="inlineStr">
        <is>
          <t>O00267</t>
        </is>
      </c>
      <c r="B268" t="inlineStr">
        <is>
          <t>C0033</t>
        </is>
      </c>
      <c r="C268" t="inlineStr">
        <is>
          <t>S016</t>
        </is>
      </c>
      <c r="D268" t="inlineStr">
        <is>
          <t>R016</t>
        </is>
      </c>
      <c r="E268" s="3" t="n">
        <v>46271.72569444445</v>
      </c>
      <c r="F268" s="3" t="n">
        <v>46271.73298611111</v>
      </c>
      <c r="G268" s="3" t="n">
        <v>46271.73256944444</v>
      </c>
      <c r="H268" t="inlineStr">
        <is>
          <t>Delivered</t>
        </is>
      </c>
      <c r="I268" t="n">
        <v>2</v>
      </c>
      <c r="J268" t="n">
        <v>9</v>
      </c>
      <c r="K268" t="n">
        <v>1358.98</v>
      </c>
      <c r="L268" t="n">
        <v>0.71</v>
      </c>
      <c r="M268" t="n">
        <v>4.8</v>
      </c>
      <c r="N268" t="n">
        <v>3</v>
      </c>
      <c r="O268" t="n">
        <v>2.1</v>
      </c>
      <c r="P268" t="n">
        <v>10.5</v>
      </c>
      <c r="Q268" t="n">
        <v>9.9</v>
      </c>
      <c r="R268" t="n">
        <v>-0.6</v>
      </c>
      <c r="S268" t="b">
        <v>1</v>
      </c>
      <c r="U268" t="n">
        <v>17</v>
      </c>
      <c r="V268" t="b">
        <v>0</v>
      </c>
      <c r="X268" t="b">
        <v>0</v>
      </c>
      <c r="Y268" t="n">
        <v>0.46</v>
      </c>
    </row>
    <row r="269">
      <c r="A269" t="inlineStr">
        <is>
          <t>O00268</t>
        </is>
      </c>
      <c r="B269" t="inlineStr">
        <is>
          <t>C0164</t>
        </is>
      </c>
      <c r="C269" t="inlineStr">
        <is>
          <t>S012</t>
        </is>
      </c>
      <c r="D269" t="inlineStr">
        <is>
          <t>R010</t>
        </is>
      </c>
      <c r="E269" s="3" t="n">
        <v>46271.75</v>
      </c>
      <c r="F269" s="3" t="n">
        <v>46271.75638888889</v>
      </c>
      <c r="G269" s="3" t="n">
        <v>46271.75590277778</v>
      </c>
      <c r="H269" t="inlineStr">
        <is>
          <t>Delivered</t>
        </is>
      </c>
      <c r="I269" t="n">
        <v>6</v>
      </c>
      <c r="J269" t="n">
        <v>9</v>
      </c>
      <c r="K269" t="n">
        <v>674.71</v>
      </c>
      <c r="L269" t="n">
        <v>0.79</v>
      </c>
      <c r="M269" t="n">
        <v>3.2</v>
      </c>
      <c r="N269" t="n">
        <v>3.9</v>
      </c>
      <c r="O269" t="n">
        <v>1.4</v>
      </c>
      <c r="P269" t="n">
        <v>9.199999999999999</v>
      </c>
      <c r="Q269" t="n">
        <v>8.5</v>
      </c>
      <c r="R269" t="n">
        <v>-0.7</v>
      </c>
      <c r="S269" t="b">
        <v>1</v>
      </c>
      <c r="U269" t="n">
        <v>18</v>
      </c>
      <c r="V269" t="b">
        <v>0</v>
      </c>
      <c r="X269" t="b">
        <v>0</v>
      </c>
      <c r="Y269" t="n">
        <v>0.43</v>
      </c>
    </row>
    <row r="270">
      <c r="A270" t="inlineStr">
        <is>
          <t>O00269</t>
        </is>
      </c>
      <c r="B270" t="inlineStr">
        <is>
          <t>C0122</t>
        </is>
      </c>
      <c r="C270" t="inlineStr">
        <is>
          <t>S015</t>
        </is>
      </c>
      <c r="D270" t="inlineStr">
        <is>
          <t>R002</t>
        </is>
      </c>
      <c r="E270" s="3" t="n">
        <v>46266.4375</v>
      </c>
      <c r="F270" s="3" t="n">
        <v>46266.44513888889</v>
      </c>
      <c r="G270" s="3" t="n">
        <v>46266.44458333333</v>
      </c>
      <c r="H270" t="inlineStr">
        <is>
          <t>Delivered</t>
        </is>
      </c>
      <c r="I270" t="n">
        <v>2</v>
      </c>
      <c r="J270" t="n">
        <v>6</v>
      </c>
      <c r="K270" t="n">
        <v>878.46</v>
      </c>
      <c r="L270" t="n">
        <v>0.52</v>
      </c>
      <c r="M270" t="n">
        <v>3.6</v>
      </c>
      <c r="N270" t="n">
        <v>4.6</v>
      </c>
      <c r="O270" t="n">
        <v>2</v>
      </c>
      <c r="P270" t="n">
        <v>11</v>
      </c>
      <c r="Q270" t="n">
        <v>10.2</v>
      </c>
      <c r="R270" t="n">
        <v>-0.8</v>
      </c>
      <c r="S270" t="b">
        <v>1</v>
      </c>
      <c r="U270" t="n">
        <v>10</v>
      </c>
      <c r="V270" t="b">
        <v>0</v>
      </c>
      <c r="X270" t="b">
        <v>0</v>
      </c>
      <c r="Y270" t="n">
        <v>0.59</v>
      </c>
    </row>
    <row r="271">
      <c r="A271" t="inlineStr">
        <is>
          <t>O00270</t>
        </is>
      </c>
      <c r="B271" t="inlineStr">
        <is>
          <t>C0215</t>
        </is>
      </c>
      <c r="C271" t="inlineStr">
        <is>
          <t>S008</t>
        </is>
      </c>
      <c r="D271" t="inlineStr">
        <is>
          <t>R016</t>
        </is>
      </c>
      <c r="E271" s="3" t="n">
        <v>46266.59027777778</v>
      </c>
      <c r="F271" s="3" t="n">
        <v>46266.59784722222</v>
      </c>
      <c r="G271" s="3" t="n">
        <v>46266.59729166667</v>
      </c>
      <c r="H271" t="inlineStr">
        <is>
          <t>Delivered</t>
        </is>
      </c>
      <c r="I271" t="n">
        <v>6</v>
      </c>
      <c r="J271" t="n">
        <v>9</v>
      </c>
      <c r="K271" t="n">
        <v>1464.58</v>
      </c>
      <c r="L271" t="n">
        <v>0.63</v>
      </c>
      <c r="M271" t="n">
        <v>4.2</v>
      </c>
      <c r="N271" t="n">
        <v>3.3</v>
      </c>
      <c r="O271" t="n">
        <v>2.6</v>
      </c>
      <c r="P271" t="n">
        <v>10.9</v>
      </c>
      <c r="Q271" t="n">
        <v>10.1</v>
      </c>
      <c r="R271" t="n">
        <v>-0.8</v>
      </c>
      <c r="S271" t="b">
        <v>1</v>
      </c>
      <c r="U271" t="n">
        <v>14</v>
      </c>
      <c r="V271" t="b">
        <v>0</v>
      </c>
      <c r="X271" t="b">
        <v>0</v>
      </c>
      <c r="Y271" t="n">
        <v>0.65</v>
      </c>
    </row>
    <row r="272">
      <c r="A272" t="inlineStr">
        <is>
          <t>O00271</t>
        </is>
      </c>
      <c r="B272" t="inlineStr">
        <is>
          <t>C0030</t>
        </is>
      </c>
      <c r="C272" t="inlineStr">
        <is>
          <t>S017</t>
        </is>
      </c>
      <c r="D272" t="inlineStr">
        <is>
          <t>R063</t>
        </is>
      </c>
      <c r="E272" s="3" t="n">
        <v>46278.54444444444</v>
      </c>
      <c r="F272" s="3" t="n">
        <v>46278.55131944444</v>
      </c>
      <c r="G272" s="3" t="n">
        <v>46278.55104166667</v>
      </c>
      <c r="H272" t="inlineStr">
        <is>
          <t>Delivered</t>
        </is>
      </c>
      <c r="I272" t="n">
        <v>1</v>
      </c>
      <c r="J272" t="n">
        <v>5</v>
      </c>
      <c r="K272" t="n">
        <v>1414.09</v>
      </c>
      <c r="L272" t="n">
        <v>3.4</v>
      </c>
      <c r="M272" t="n">
        <v>1.9</v>
      </c>
      <c r="N272" t="n">
        <v>2.4</v>
      </c>
      <c r="O272" t="n">
        <v>5.2</v>
      </c>
      <c r="P272" t="n">
        <v>9.9</v>
      </c>
      <c r="Q272" t="n">
        <v>9.5</v>
      </c>
      <c r="R272" t="n">
        <v>-0.4</v>
      </c>
      <c r="S272" t="b">
        <v>1</v>
      </c>
      <c r="U272" t="n">
        <v>13</v>
      </c>
      <c r="V272" t="b">
        <v>0</v>
      </c>
      <c r="W272" t="inlineStr">
        <is>
          <t>Heavy</t>
        </is>
      </c>
      <c r="X272" t="b">
        <v>0</v>
      </c>
      <c r="Y272" t="n">
        <v>0.23</v>
      </c>
    </row>
    <row r="273">
      <c r="A273" t="inlineStr">
        <is>
          <t>O00272</t>
        </is>
      </c>
      <c r="B273" t="inlineStr">
        <is>
          <t>C0106</t>
        </is>
      </c>
      <c r="C273" t="inlineStr">
        <is>
          <t>S010</t>
        </is>
      </c>
      <c r="D273" t="inlineStr">
        <is>
          <t>R058</t>
        </is>
      </c>
      <c r="E273" s="3" t="n">
        <v>46273.68680555555</v>
      </c>
      <c r="F273" s="3" t="n">
        <v>46273.69340277778</v>
      </c>
      <c r="G273" s="3" t="n">
        <v>46273.69298611111</v>
      </c>
      <c r="H273" t="inlineStr">
        <is>
          <t>Delivered</t>
        </is>
      </c>
      <c r="I273" t="n">
        <v>2</v>
      </c>
      <c r="J273" t="n">
        <v>9</v>
      </c>
      <c r="K273" t="n">
        <v>1676.47</v>
      </c>
      <c r="L273" t="n">
        <v>0.9399999999999999</v>
      </c>
      <c r="M273" t="n">
        <v>5</v>
      </c>
      <c r="N273" t="n">
        <v>1.2</v>
      </c>
      <c r="O273" t="n">
        <v>2.7</v>
      </c>
      <c r="P273" t="n">
        <v>9.5</v>
      </c>
      <c r="Q273" t="n">
        <v>8.9</v>
      </c>
      <c r="R273" t="n">
        <v>-0.6</v>
      </c>
      <c r="S273" t="b">
        <v>1</v>
      </c>
      <c r="U273" t="n">
        <v>16</v>
      </c>
      <c r="V273" t="b">
        <v>0</v>
      </c>
      <c r="X273" t="b">
        <v>0</v>
      </c>
      <c r="Y273" t="n">
        <v>0.4</v>
      </c>
    </row>
    <row r="274">
      <c r="A274" t="inlineStr">
        <is>
          <t>O00273</t>
        </is>
      </c>
      <c r="B274" t="inlineStr">
        <is>
          <t>C0135</t>
        </is>
      </c>
      <c r="C274" t="inlineStr">
        <is>
          <t>S019</t>
        </is>
      </c>
      <c r="D274" t="inlineStr">
        <is>
          <t>R048</t>
        </is>
      </c>
      <c r="E274" s="3" t="n">
        <v>46271.63333333333</v>
      </c>
      <c r="F274" s="3" t="n">
        <v>46271.639375</v>
      </c>
      <c r="G274" s="3" t="n">
        <v>46271.63861111111</v>
      </c>
      <c r="H274" t="inlineStr">
        <is>
          <t>Delivered</t>
        </is>
      </c>
      <c r="I274" t="n">
        <v>2</v>
      </c>
      <c r="J274" t="n">
        <v>9</v>
      </c>
      <c r="K274" t="n">
        <v>602.41</v>
      </c>
      <c r="L274" t="n">
        <v>2.5</v>
      </c>
      <c r="M274" t="n">
        <v>2.2</v>
      </c>
      <c r="N274" t="n">
        <v>2.1</v>
      </c>
      <c r="O274" t="n">
        <v>3.3</v>
      </c>
      <c r="P274" t="n">
        <v>8.699999999999999</v>
      </c>
      <c r="Q274" t="n">
        <v>7.6</v>
      </c>
      <c r="R274" t="n">
        <v>-1.1</v>
      </c>
      <c r="S274" t="b">
        <v>1</v>
      </c>
      <c r="U274" t="n">
        <v>15</v>
      </c>
      <c r="V274" t="b">
        <v>0</v>
      </c>
      <c r="X274" t="b">
        <v>0</v>
      </c>
      <c r="Y274" t="n">
        <v>0.39</v>
      </c>
    </row>
    <row r="275">
      <c r="A275" t="inlineStr">
        <is>
          <t>O00274</t>
        </is>
      </c>
      <c r="B275" t="inlineStr">
        <is>
          <t>C0046</t>
        </is>
      </c>
      <c r="C275" t="inlineStr">
        <is>
          <t>S014</t>
        </is>
      </c>
      <c r="D275" t="inlineStr">
        <is>
          <t>R035</t>
        </is>
      </c>
      <c r="E275" s="3" t="n">
        <v>46278.35416666666</v>
      </c>
      <c r="F275" s="3" t="n">
        <v>46278.36111111111</v>
      </c>
      <c r="G275" s="3" t="n">
        <v>46278.36083333333</v>
      </c>
      <c r="H275" t="inlineStr">
        <is>
          <t>Delivered</t>
        </is>
      </c>
      <c r="I275" t="n">
        <v>5</v>
      </c>
      <c r="J275" t="n">
        <v>9</v>
      </c>
      <c r="K275" t="n">
        <v>387.16</v>
      </c>
      <c r="L275" t="n">
        <v>0.82</v>
      </c>
      <c r="M275" t="n">
        <v>3.8</v>
      </c>
      <c r="N275" t="n">
        <v>4.1</v>
      </c>
      <c r="O275" t="n">
        <v>1.7</v>
      </c>
      <c r="P275" t="n">
        <v>10</v>
      </c>
      <c r="Q275" t="n">
        <v>9.6</v>
      </c>
      <c r="R275" t="n">
        <v>-0.4</v>
      </c>
      <c r="S275" t="b">
        <v>1</v>
      </c>
      <c r="U275" t="n">
        <v>8</v>
      </c>
      <c r="V275" t="b">
        <v>0</v>
      </c>
      <c r="X275" t="b">
        <v>0</v>
      </c>
      <c r="Y275" t="n">
        <v>0.38</v>
      </c>
    </row>
    <row r="276">
      <c r="A276" t="inlineStr">
        <is>
          <t>O00275</t>
        </is>
      </c>
      <c r="B276" t="inlineStr">
        <is>
          <t>C0192</t>
        </is>
      </c>
      <c r="C276" t="inlineStr">
        <is>
          <t>S007</t>
        </is>
      </c>
      <c r="D276" t="inlineStr">
        <is>
          <t>R070</t>
        </is>
      </c>
      <c r="E276" s="3" t="n">
        <v>46271.33958333333</v>
      </c>
      <c r="F276" s="3" t="n">
        <v>46271.34715277778</v>
      </c>
      <c r="G276" s="3" t="n">
        <v>46271.34694444444</v>
      </c>
      <c r="H276" t="inlineStr">
        <is>
          <t>Delivered</t>
        </is>
      </c>
      <c r="I276" t="n">
        <v>2</v>
      </c>
      <c r="J276" t="n">
        <v>6</v>
      </c>
      <c r="K276" t="n">
        <v>1054.93</v>
      </c>
      <c r="L276" t="n">
        <v>3.03</v>
      </c>
      <c r="M276" t="n">
        <v>2.5</v>
      </c>
      <c r="N276" t="n">
        <v>4.1</v>
      </c>
      <c r="O276" t="n">
        <v>4</v>
      </c>
      <c r="P276" t="n">
        <v>10.9</v>
      </c>
      <c r="Q276" t="n">
        <v>10.6</v>
      </c>
      <c r="R276" t="n">
        <v>-0.3</v>
      </c>
      <c r="S276" t="b">
        <v>1</v>
      </c>
      <c r="U276" t="n">
        <v>8</v>
      </c>
      <c r="V276" t="b">
        <v>0</v>
      </c>
      <c r="X276" t="b">
        <v>0</v>
      </c>
      <c r="Y276" t="n">
        <v>0.46</v>
      </c>
    </row>
    <row r="277">
      <c r="A277" t="inlineStr">
        <is>
          <t>O00276</t>
        </is>
      </c>
      <c r="B277" t="inlineStr">
        <is>
          <t>C0238</t>
        </is>
      </c>
      <c r="C277" t="inlineStr">
        <is>
          <t>S011</t>
        </is>
      </c>
      <c r="D277" t="inlineStr">
        <is>
          <t>R044</t>
        </is>
      </c>
      <c r="E277" s="3" t="n">
        <v>46268.49236111111</v>
      </c>
      <c r="F277" s="3" t="n">
        <v>46268.49902777778</v>
      </c>
      <c r="G277" s="3" t="n">
        <v>46268.49861111111</v>
      </c>
      <c r="H277" t="inlineStr">
        <is>
          <t>Delivered</t>
        </is>
      </c>
      <c r="I277" t="n">
        <v>6</v>
      </c>
      <c r="J277" t="n">
        <v>8</v>
      </c>
      <c r="K277" t="n">
        <v>404.08</v>
      </c>
      <c r="L277" t="n">
        <v>1.72</v>
      </c>
      <c r="M277" t="n">
        <v>3.3</v>
      </c>
      <c r="N277" t="n">
        <v>3.6</v>
      </c>
      <c r="O277" t="n">
        <v>2.1</v>
      </c>
      <c r="P277" t="n">
        <v>9.6</v>
      </c>
      <c r="Q277" t="n">
        <v>9</v>
      </c>
      <c r="R277" t="n">
        <v>-0.6</v>
      </c>
      <c r="S277" t="b">
        <v>1</v>
      </c>
      <c r="U277" t="n">
        <v>11</v>
      </c>
      <c r="V277" t="b">
        <v>0</v>
      </c>
      <c r="X277" t="b">
        <v>0</v>
      </c>
      <c r="Y277" t="n">
        <v>0.16</v>
      </c>
    </row>
    <row r="278">
      <c r="A278" t="inlineStr">
        <is>
          <t>O00277</t>
        </is>
      </c>
      <c r="B278" t="inlineStr">
        <is>
          <t>C0081</t>
        </is>
      </c>
      <c r="C278" t="inlineStr">
        <is>
          <t>S001</t>
        </is>
      </c>
      <c r="D278" t="inlineStr">
        <is>
          <t>R072</t>
        </is>
      </c>
      <c r="E278" s="3" t="n">
        <v>46273.76458333333</v>
      </c>
      <c r="F278" s="3" t="n">
        <v>46273.77215277778</v>
      </c>
      <c r="G278" s="3" t="n">
        <v>46273.77361111111</v>
      </c>
      <c r="H278" t="inlineStr">
        <is>
          <t>Delivered</t>
        </is>
      </c>
      <c r="I278" t="n">
        <v>3</v>
      </c>
      <c r="J278" t="n">
        <v>8</v>
      </c>
      <c r="K278" t="n">
        <v>1069.73</v>
      </c>
      <c r="L278" t="n">
        <v>0.5600000000000001</v>
      </c>
      <c r="M278" t="n">
        <v>4.3</v>
      </c>
      <c r="N278" t="n">
        <v>5.8</v>
      </c>
      <c r="O278" t="n">
        <v>2.8</v>
      </c>
      <c r="P278" t="n">
        <v>10.9</v>
      </c>
      <c r="Q278" t="n">
        <v>13</v>
      </c>
      <c r="R278" t="n">
        <v>2.1</v>
      </c>
      <c r="S278" t="b">
        <v>0</v>
      </c>
      <c r="U278" t="n">
        <v>18</v>
      </c>
      <c r="V278" t="b">
        <v>0</v>
      </c>
      <c r="X278" t="b">
        <v>0</v>
      </c>
      <c r="Y278" t="n">
        <v>0.57</v>
      </c>
    </row>
    <row r="279">
      <c r="A279" t="inlineStr">
        <is>
          <t>O00278</t>
        </is>
      </c>
      <c r="B279" t="inlineStr">
        <is>
          <t>C0091</t>
        </is>
      </c>
      <c r="C279" t="inlineStr">
        <is>
          <t>S003</t>
        </is>
      </c>
      <c r="E279" s="3" t="n">
        <v>46277.42222222222</v>
      </c>
      <c r="F279" s="3" t="n">
        <v>46277.42993055555</v>
      </c>
      <c r="H279" t="inlineStr">
        <is>
          <t>Cancelled</t>
        </is>
      </c>
      <c r="I279" t="n">
        <v>3</v>
      </c>
      <c r="J279" t="n">
        <v>5</v>
      </c>
      <c r="K279" t="n">
        <v>877.01</v>
      </c>
      <c r="L279" t="n">
        <v>1.58</v>
      </c>
      <c r="M279" t="n">
        <v>3.5</v>
      </c>
      <c r="N279" t="n">
        <v>2.9</v>
      </c>
      <c r="O279" t="n">
        <v>5.8</v>
      </c>
      <c r="P279" t="n">
        <v>11.1</v>
      </c>
      <c r="T279" t="inlineStr">
        <is>
          <t>Rider unavailable</t>
        </is>
      </c>
      <c r="U279" t="n">
        <v>10</v>
      </c>
      <c r="V279" t="b">
        <v>0</v>
      </c>
      <c r="W279" t="inlineStr">
        <is>
          <t>Light</t>
        </is>
      </c>
      <c r="X279" t="b">
        <v>0</v>
      </c>
      <c r="Y279" t="n">
        <v>0.37</v>
      </c>
    </row>
    <row r="280">
      <c r="A280" t="inlineStr">
        <is>
          <t>O00279</t>
        </is>
      </c>
      <c r="B280" t="inlineStr">
        <is>
          <t>C0058</t>
        </is>
      </c>
      <c r="C280" t="inlineStr">
        <is>
          <t>S016</t>
        </is>
      </c>
      <c r="D280" t="inlineStr">
        <is>
          <t>R047</t>
        </is>
      </c>
      <c r="E280" s="3" t="n">
        <v>46270.66319444445</v>
      </c>
      <c r="F280" s="3" t="n">
        <v>46270.670625</v>
      </c>
      <c r="G280" s="3" t="n">
        <v>46270.66993055555</v>
      </c>
      <c r="H280" t="inlineStr">
        <is>
          <t>Delivered</t>
        </is>
      </c>
      <c r="I280" t="n">
        <v>1</v>
      </c>
      <c r="J280" t="n">
        <v>8</v>
      </c>
      <c r="K280" t="n">
        <v>1306.75</v>
      </c>
      <c r="L280" t="n">
        <v>1.41</v>
      </c>
      <c r="M280" t="n">
        <v>4</v>
      </c>
      <c r="N280" t="n">
        <v>3.1</v>
      </c>
      <c r="O280" t="n">
        <v>2.6</v>
      </c>
      <c r="P280" t="n">
        <v>10.7</v>
      </c>
      <c r="Q280" t="n">
        <v>9.699999999999999</v>
      </c>
      <c r="R280" t="n">
        <v>-1</v>
      </c>
      <c r="S280" t="b">
        <v>1</v>
      </c>
      <c r="U280" t="n">
        <v>15</v>
      </c>
      <c r="V280" t="b">
        <v>0</v>
      </c>
      <c r="W280" t="inlineStr">
        <is>
          <t>Light</t>
        </is>
      </c>
      <c r="X280" t="b">
        <v>0</v>
      </c>
      <c r="Y280" t="n">
        <v>0.63</v>
      </c>
    </row>
    <row r="281">
      <c r="A281" t="inlineStr">
        <is>
          <t>O00280</t>
        </is>
      </c>
      <c r="B281" t="inlineStr">
        <is>
          <t>C0079</t>
        </is>
      </c>
      <c r="C281" t="inlineStr">
        <is>
          <t>S019</t>
        </is>
      </c>
      <c r="D281" t="inlineStr">
        <is>
          <t>R077</t>
        </is>
      </c>
      <c r="E281" s="3" t="n">
        <v>46279.40069444444</v>
      </c>
      <c r="F281" s="3" t="n">
        <v>46279.40743055556</v>
      </c>
      <c r="G281" s="3" t="n">
        <v>46279.40694444445</v>
      </c>
      <c r="H281" t="inlineStr">
        <is>
          <t>Delivered</t>
        </is>
      </c>
      <c r="I281" t="n">
        <v>5</v>
      </c>
      <c r="J281" t="n">
        <v>9</v>
      </c>
      <c r="K281" t="n">
        <v>655.74</v>
      </c>
      <c r="L281" t="n">
        <v>0.5</v>
      </c>
      <c r="M281" t="n">
        <v>3.5</v>
      </c>
      <c r="N281" t="n">
        <v>3.5</v>
      </c>
      <c r="O281" t="n">
        <v>2</v>
      </c>
      <c r="P281" t="n">
        <v>9.699999999999999</v>
      </c>
      <c r="Q281" t="n">
        <v>9</v>
      </c>
      <c r="R281" t="n">
        <v>-0.7</v>
      </c>
      <c r="S281" t="b">
        <v>1</v>
      </c>
      <c r="U281" t="n">
        <v>9</v>
      </c>
      <c r="V281" t="b">
        <v>0</v>
      </c>
      <c r="W281" t="inlineStr">
        <is>
          <t>Light</t>
        </is>
      </c>
      <c r="X281" t="b">
        <v>0</v>
      </c>
      <c r="Y281" t="n">
        <v>0.38</v>
      </c>
    </row>
    <row r="282">
      <c r="A282" t="inlineStr">
        <is>
          <t>O00281</t>
        </is>
      </c>
      <c r="B282" t="inlineStr">
        <is>
          <t>C0184</t>
        </is>
      </c>
      <c r="C282" t="inlineStr">
        <is>
          <t>S002</t>
        </is>
      </c>
      <c r="D282" t="inlineStr">
        <is>
          <t>R055</t>
        </is>
      </c>
      <c r="E282" s="3" t="n">
        <v>46277.40208333333</v>
      </c>
      <c r="F282" s="3" t="n">
        <v>46277.40916666666</v>
      </c>
      <c r="G282" s="3" t="n">
        <v>46277.40895833333</v>
      </c>
      <c r="H282" t="inlineStr">
        <is>
          <t>Delivered</t>
        </is>
      </c>
      <c r="I282" t="n">
        <v>2</v>
      </c>
      <c r="J282" t="n">
        <v>12</v>
      </c>
      <c r="K282" t="n">
        <v>1085.58</v>
      </c>
      <c r="L282" t="n">
        <v>0.5</v>
      </c>
      <c r="M282" t="n">
        <v>2.5</v>
      </c>
      <c r="N282" t="n">
        <v>4.9</v>
      </c>
      <c r="O282" t="n">
        <v>2.4</v>
      </c>
      <c r="P282" t="n">
        <v>10.2</v>
      </c>
      <c r="Q282" t="n">
        <v>9.9</v>
      </c>
      <c r="R282" t="n">
        <v>-0.3</v>
      </c>
      <c r="S282" t="b">
        <v>1</v>
      </c>
      <c r="U282" t="n">
        <v>9</v>
      </c>
      <c r="V282" t="b">
        <v>0</v>
      </c>
      <c r="X282" t="b">
        <v>0</v>
      </c>
      <c r="Y282" t="n">
        <v>0.44</v>
      </c>
    </row>
    <row r="283">
      <c r="A283" t="inlineStr">
        <is>
          <t>O00282</t>
        </is>
      </c>
      <c r="B283" t="inlineStr">
        <is>
          <t>C0101</t>
        </is>
      </c>
      <c r="C283" t="inlineStr">
        <is>
          <t>S008</t>
        </is>
      </c>
      <c r="D283" t="inlineStr">
        <is>
          <t>R058</t>
        </is>
      </c>
      <c r="E283" s="3" t="n">
        <v>46268.78333333333</v>
      </c>
      <c r="F283" s="3" t="n">
        <v>46268.79159722223</v>
      </c>
      <c r="G283" s="3" t="n">
        <v>46268.79097222222</v>
      </c>
      <c r="H283" t="inlineStr">
        <is>
          <t>Delivered</t>
        </is>
      </c>
      <c r="I283" t="n">
        <v>4</v>
      </c>
      <c r="J283" t="n">
        <v>7</v>
      </c>
      <c r="K283" t="n">
        <v>1008.29</v>
      </c>
      <c r="L283" t="n">
        <v>2.34</v>
      </c>
      <c r="M283" t="n">
        <v>2.8</v>
      </c>
      <c r="N283" t="n">
        <v>4.2</v>
      </c>
      <c r="O283" t="n">
        <v>4</v>
      </c>
      <c r="P283" t="n">
        <v>11.9</v>
      </c>
      <c r="Q283" t="n">
        <v>11</v>
      </c>
      <c r="R283" t="n">
        <v>-0.9</v>
      </c>
      <c r="S283" t="b">
        <v>1</v>
      </c>
      <c r="U283" t="n">
        <v>18</v>
      </c>
      <c r="V283" t="b">
        <v>0</v>
      </c>
      <c r="X283" t="b">
        <v>0</v>
      </c>
      <c r="Y283" t="n">
        <v>0.42</v>
      </c>
    </row>
    <row r="284">
      <c r="A284" t="inlineStr">
        <is>
          <t>O00283</t>
        </is>
      </c>
      <c r="B284" t="inlineStr">
        <is>
          <t>C0137</t>
        </is>
      </c>
      <c r="C284" t="inlineStr">
        <is>
          <t>S020</t>
        </is>
      </c>
      <c r="D284" t="inlineStr">
        <is>
          <t>R048</t>
        </is>
      </c>
      <c r="E284" s="3" t="n">
        <v>46268.66736111111</v>
      </c>
      <c r="F284" s="3" t="n">
        <v>46268.67472222223</v>
      </c>
      <c r="G284" s="3" t="n">
        <v>46268.674375</v>
      </c>
      <c r="H284" t="inlineStr">
        <is>
          <t>Delivered</t>
        </is>
      </c>
      <c r="I284" t="n">
        <v>1</v>
      </c>
      <c r="J284" t="n">
        <v>9</v>
      </c>
      <c r="K284" t="n">
        <v>613.86</v>
      </c>
      <c r="L284" t="n">
        <v>2.18</v>
      </c>
      <c r="M284" t="n">
        <v>3.6</v>
      </c>
      <c r="N284" t="n">
        <v>3.3</v>
      </c>
      <c r="O284" t="n">
        <v>3.2</v>
      </c>
      <c r="P284" t="n">
        <v>10.6</v>
      </c>
      <c r="Q284" t="n">
        <v>10.1</v>
      </c>
      <c r="R284" t="n">
        <v>-0.5</v>
      </c>
      <c r="S284" t="b">
        <v>1</v>
      </c>
      <c r="U284" t="n">
        <v>16</v>
      </c>
      <c r="V284" t="b">
        <v>0</v>
      </c>
      <c r="X284" t="b">
        <v>0</v>
      </c>
      <c r="Y284" t="n">
        <v>0.4</v>
      </c>
    </row>
    <row r="285">
      <c r="A285" t="inlineStr">
        <is>
          <t>O00284</t>
        </is>
      </c>
      <c r="B285" t="inlineStr">
        <is>
          <t>C0203</t>
        </is>
      </c>
      <c r="C285" t="inlineStr">
        <is>
          <t>S011</t>
        </is>
      </c>
      <c r="D285" t="inlineStr">
        <is>
          <t>R018</t>
        </is>
      </c>
      <c r="E285" s="3" t="n">
        <v>46278.77083333334</v>
      </c>
      <c r="F285" s="3" t="n">
        <v>46278.77694444444</v>
      </c>
      <c r="G285" s="3" t="n">
        <v>46278.77618055556</v>
      </c>
      <c r="H285" t="inlineStr">
        <is>
          <t>Delivered</t>
        </is>
      </c>
      <c r="I285" t="n">
        <v>1</v>
      </c>
      <c r="J285" t="n">
        <v>7</v>
      </c>
      <c r="K285" t="n">
        <v>1062.77</v>
      </c>
      <c r="L285" t="n">
        <v>1.02</v>
      </c>
      <c r="M285" t="n">
        <v>3</v>
      </c>
      <c r="N285" t="n">
        <v>2.8</v>
      </c>
      <c r="O285" t="n">
        <v>1.9</v>
      </c>
      <c r="P285" t="n">
        <v>8.800000000000001</v>
      </c>
      <c r="Q285" t="n">
        <v>7.7</v>
      </c>
      <c r="R285" t="n">
        <v>-1.1</v>
      </c>
      <c r="S285" t="b">
        <v>1</v>
      </c>
      <c r="U285" t="n">
        <v>18</v>
      </c>
      <c r="V285" t="b">
        <v>0</v>
      </c>
      <c r="W285" t="inlineStr">
        <is>
          <t>Light</t>
        </is>
      </c>
      <c r="X285" t="b">
        <v>0</v>
      </c>
      <c r="Y285" t="n">
        <v>0.33</v>
      </c>
    </row>
    <row r="286">
      <c r="A286" t="inlineStr">
        <is>
          <t>O00285</t>
        </is>
      </c>
      <c r="B286" t="inlineStr">
        <is>
          <t>C0206</t>
        </is>
      </c>
      <c r="C286" t="inlineStr">
        <is>
          <t>S002</t>
        </is>
      </c>
      <c r="D286" t="inlineStr">
        <is>
          <t>R031</t>
        </is>
      </c>
      <c r="E286" s="3" t="n">
        <v>46272.43611111111</v>
      </c>
      <c r="F286" s="3" t="n">
        <v>46272.443125</v>
      </c>
      <c r="G286" s="3" t="n">
        <v>46272.44256944444</v>
      </c>
      <c r="H286" t="inlineStr">
        <is>
          <t>Delivered</t>
        </is>
      </c>
      <c r="I286" t="n">
        <v>6</v>
      </c>
      <c r="J286" t="n">
        <v>6</v>
      </c>
      <c r="K286" t="n">
        <v>1632.74</v>
      </c>
      <c r="L286" t="n">
        <v>3.01</v>
      </c>
      <c r="M286" t="n">
        <v>1.5</v>
      </c>
      <c r="N286" t="n">
        <v>3.5</v>
      </c>
      <c r="O286" t="n">
        <v>4.3</v>
      </c>
      <c r="P286" t="n">
        <v>10.1</v>
      </c>
      <c r="Q286" t="n">
        <v>9.300000000000001</v>
      </c>
      <c r="R286" t="n">
        <v>-0.8</v>
      </c>
      <c r="S286" t="b">
        <v>1</v>
      </c>
      <c r="U286" t="n">
        <v>10</v>
      </c>
      <c r="V286" t="b">
        <v>0</v>
      </c>
      <c r="W286" t="inlineStr">
        <is>
          <t>Light</t>
        </is>
      </c>
      <c r="X286" t="b">
        <v>0</v>
      </c>
      <c r="Y286" t="n">
        <v>0.61</v>
      </c>
    </row>
    <row r="287">
      <c r="A287" t="inlineStr">
        <is>
          <t>O00286</t>
        </is>
      </c>
      <c r="B287" t="inlineStr">
        <is>
          <t>C0213</t>
        </is>
      </c>
      <c r="C287" t="inlineStr">
        <is>
          <t>S011</t>
        </is>
      </c>
      <c r="D287" t="inlineStr">
        <is>
          <t>R075</t>
        </is>
      </c>
      <c r="E287" s="3" t="n">
        <v>46272.84583333333</v>
      </c>
      <c r="F287" s="3" t="n">
        <v>46272.85340277778</v>
      </c>
      <c r="G287" s="3" t="n">
        <v>46272.85291666666</v>
      </c>
      <c r="H287" t="inlineStr">
        <is>
          <t>Delivered</t>
        </is>
      </c>
      <c r="I287" t="n">
        <v>4</v>
      </c>
      <c r="J287" t="n">
        <v>6</v>
      </c>
      <c r="K287" t="n">
        <v>938.21</v>
      </c>
      <c r="L287" t="n">
        <v>0.99</v>
      </c>
      <c r="M287" t="n">
        <v>3.4</v>
      </c>
      <c r="N287" t="n">
        <v>4.5</v>
      </c>
      <c r="O287" t="n">
        <v>2.3</v>
      </c>
      <c r="P287" t="n">
        <v>10.9</v>
      </c>
      <c r="Q287" t="n">
        <v>10.2</v>
      </c>
      <c r="R287" t="n">
        <v>-0.7</v>
      </c>
      <c r="S287" t="b">
        <v>1</v>
      </c>
      <c r="U287" t="n">
        <v>20</v>
      </c>
      <c r="V287" t="b">
        <v>1</v>
      </c>
      <c r="W287" t="inlineStr">
        <is>
          <t>Light</t>
        </is>
      </c>
      <c r="X287" t="b">
        <v>0</v>
      </c>
      <c r="Y287" t="n">
        <v>0.55</v>
      </c>
    </row>
    <row r="288">
      <c r="A288" t="inlineStr">
        <is>
          <t>O00287</t>
        </is>
      </c>
      <c r="B288" t="inlineStr">
        <is>
          <t>C0007</t>
        </is>
      </c>
      <c r="C288" t="inlineStr">
        <is>
          <t>S006</t>
        </is>
      </c>
      <c r="D288" t="inlineStr">
        <is>
          <t>R010</t>
        </is>
      </c>
      <c r="E288" s="3" t="n">
        <v>46268.65347222222</v>
      </c>
      <c r="F288" s="3" t="n">
        <v>46268.66229166667</v>
      </c>
      <c r="G288" s="3" t="n">
        <v>46268.66180555556</v>
      </c>
      <c r="H288" t="inlineStr">
        <is>
          <t>Delivered</t>
        </is>
      </c>
      <c r="I288" t="n">
        <v>1</v>
      </c>
      <c r="J288" t="n">
        <v>7</v>
      </c>
      <c r="K288" t="n">
        <v>1229.69</v>
      </c>
      <c r="L288" t="n">
        <v>3.53</v>
      </c>
      <c r="M288" t="n">
        <v>3</v>
      </c>
      <c r="N288" t="n">
        <v>3.8</v>
      </c>
      <c r="O288" t="n">
        <v>5.2</v>
      </c>
      <c r="P288" t="n">
        <v>12.7</v>
      </c>
      <c r="Q288" t="n">
        <v>12</v>
      </c>
      <c r="R288" t="n">
        <v>-0.7</v>
      </c>
      <c r="S288" t="b">
        <v>1</v>
      </c>
      <c r="U288" t="n">
        <v>15</v>
      </c>
      <c r="V288" t="b">
        <v>0</v>
      </c>
      <c r="X288" t="b">
        <v>0</v>
      </c>
      <c r="Y288" t="n">
        <v>0.38</v>
      </c>
    </row>
    <row r="289">
      <c r="A289" t="inlineStr">
        <is>
          <t>O00288</t>
        </is>
      </c>
      <c r="B289" t="inlineStr">
        <is>
          <t>C0177</t>
        </is>
      </c>
      <c r="C289" t="inlineStr">
        <is>
          <t>S017</t>
        </is>
      </c>
      <c r="D289" t="inlineStr">
        <is>
          <t>R071</t>
        </is>
      </c>
      <c r="E289" s="3" t="n">
        <v>46276.56666666667</v>
      </c>
      <c r="F289" s="3" t="n">
        <v>46276.57430555556</v>
      </c>
      <c r="G289" s="3" t="n">
        <v>46276.57986111111</v>
      </c>
      <c r="H289" t="inlineStr">
        <is>
          <t>Delivered</t>
        </is>
      </c>
      <c r="I289" t="n">
        <v>2</v>
      </c>
      <c r="J289" t="n">
        <v>8</v>
      </c>
      <c r="K289" t="n">
        <v>1266.08</v>
      </c>
      <c r="L289" t="n">
        <v>2.78</v>
      </c>
      <c r="M289" t="n">
        <v>1.9</v>
      </c>
      <c r="N289" t="n">
        <v>9.9</v>
      </c>
      <c r="O289" t="n">
        <v>7.2</v>
      </c>
      <c r="P289" t="n">
        <v>11</v>
      </c>
      <c r="Q289" t="n">
        <v>19</v>
      </c>
      <c r="R289" t="n">
        <v>8</v>
      </c>
      <c r="S289" t="b">
        <v>0</v>
      </c>
      <c r="U289" t="n">
        <v>13</v>
      </c>
      <c r="V289" t="b">
        <v>0</v>
      </c>
      <c r="W289" t="inlineStr">
        <is>
          <t>Light</t>
        </is>
      </c>
      <c r="X289" t="b">
        <v>0</v>
      </c>
      <c r="Y289" t="n">
        <v>0.47</v>
      </c>
    </row>
    <row r="290">
      <c r="A290" t="inlineStr">
        <is>
          <t>O00289</t>
        </is>
      </c>
      <c r="B290" t="inlineStr">
        <is>
          <t>C0183</t>
        </is>
      </c>
      <c r="C290" t="inlineStr">
        <is>
          <t>S003</t>
        </is>
      </c>
      <c r="D290" t="inlineStr">
        <is>
          <t>R050</t>
        </is>
      </c>
      <c r="E290" s="3" t="n">
        <v>46275.34097222222</v>
      </c>
      <c r="F290" s="3" t="n">
        <v>46275.349375</v>
      </c>
      <c r="G290" s="3" t="n">
        <v>46275.34888888889</v>
      </c>
      <c r="H290" t="inlineStr">
        <is>
          <t>Delivered</t>
        </is>
      </c>
      <c r="I290" t="n">
        <v>1</v>
      </c>
      <c r="J290" t="n">
        <v>8</v>
      </c>
      <c r="K290" t="n">
        <v>1696.57</v>
      </c>
      <c r="L290" t="n">
        <v>2.1</v>
      </c>
      <c r="M290" t="n">
        <v>3.8</v>
      </c>
      <c r="N290" t="n">
        <v>3.1</v>
      </c>
      <c r="O290" t="n">
        <v>4.5</v>
      </c>
      <c r="P290" t="n">
        <v>12.1</v>
      </c>
      <c r="Q290" t="n">
        <v>11.4</v>
      </c>
      <c r="R290" t="n">
        <v>-0.7</v>
      </c>
      <c r="S290" t="b">
        <v>1</v>
      </c>
      <c r="U290" t="n">
        <v>8</v>
      </c>
      <c r="V290" t="b">
        <v>0</v>
      </c>
      <c r="X290" t="b">
        <v>0</v>
      </c>
      <c r="Y290" t="n">
        <v>0.55</v>
      </c>
    </row>
    <row r="291">
      <c r="A291" t="inlineStr">
        <is>
          <t>O00290</t>
        </is>
      </c>
      <c r="B291" t="inlineStr">
        <is>
          <t>C0230</t>
        </is>
      </c>
      <c r="C291" t="inlineStr">
        <is>
          <t>S003</t>
        </is>
      </c>
      <c r="D291" t="inlineStr">
        <is>
          <t>R048</t>
        </is>
      </c>
      <c r="E291" s="3" t="n">
        <v>46279.50416666667</v>
      </c>
      <c r="F291" s="3" t="n">
        <v>46279.51166666667</v>
      </c>
      <c r="G291" s="3" t="n">
        <v>46279.51118055556</v>
      </c>
      <c r="H291" t="inlineStr">
        <is>
          <t>Delivered</t>
        </is>
      </c>
      <c r="I291" t="n">
        <v>5</v>
      </c>
      <c r="J291" t="n">
        <v>5</v>
      </c>
      <c r="K291" t="n">
        <v>1445.47</v>
      </c>
      <c r="L291" t="n">
        <v>2.1</v>
      </c>
      <c r="M291" t="n">
        <v>2.8</v>
      </c>
      <c r="N291" t="n">
        <v>3.3</v>
      </c>
      <c r="O291" t="n">
        <v>4</v>
      </c>
      <c r="P291" t="n">
        <v>10.8</v>
      </c>
      <c r="Q291" t="n">
        <v>10.1</v>
      </c>
      <c r="R291" t="n">
        <v>-0.7</v>
      </c>
      <c r="S291" t="b">
        <v>1</v>
      </c>
      <c r="U291" t="n">
        <v>12</v>
      </c>
      <c r="V291" t="b">
        <v>0</v>
      </c>
      <c r="X291" t="b">
        <v>0</v>
      </c>
      <c r="Y291" t="n">
        <v>0.36</v>
      </c>
    </row>
    <row r="292">
      <c r="A292" t="inlineStr">
        <is>
          <t>O00291</t>
        </is>
      </c>
      <c r="B292" t="inlineStr">
        <is>
          <t>C0048</t>
        </is>
      </c>
      <c r="C292" t="inlineStr">
        <is>
          <t>S012</t>
        </is>
      </c>
      <c r="D292" t="inlineStr">
        <is>
          <t>R067</t>
        </is>
      </c>
      <c r="E292" s="3" t="n">
        <v>46274.69375</v>
      </c>
      <c r="F292" s="3" t="n">
        <v>46274.70097222222</v>
      </c>
      <c r="G292" s="3" t="n">
        <v>46274.70076388889</v>
      </c>
      <c r="H292" t="inlineStr">
        <is>
          <t>Delivered</t>
        </is>
      </c>
      <c r="I292" t="n">
        <v>4</v>
      </c>
      <c r="J292" t="n">
        <v>6</v>
      </c>
      <c r="K292" t="n">
        <v>446.93</v>
      </c>
      <c r="L292" t="n">
        <v>1.48</v>
      </c>
      <c r="M292" t="n">
        <v>4.4</v>
      </c>
      <c r="N292" t="n">
        <v>2</v>
      </c>
      <c r="O292" t="n">
        <v>3.7</v>
      </c>
      <c r="P292" t="n">
        <v>10.4</v>
      </c>
      <c r="Q292" t="n">
        <v>10.1</v>
      </c>
      <c r="R292" t="n">
        <v>-0.3</v>
      </c>
      <c r="S292" t="b">
        <v>1</v>
      </c>
      <c r="U292" t="n">
        <v>16</v>
      </c>
      <c r="V292" t="b">
        <v>0</v>
      </c>
      <c r="W292" t="inlineStr">
        <is>
          <t>Light</t>
        </is>
      </c>
      <c r="X292" t="b">
        <v>0</v>
      </c>
      <c r="Y292" t="n">
        <v>0.6</v>
      </c>
    </row>
    <row r="293">
      <c r="A293" t="inlineStr">
        <is>
          <t>O00292</t>
        </is>
      </c>
      <c r="B293" t="inlineStr">
        <is>
          <t>C0031</t>
        </is>
      </c>
      <c r="C293" t="inlineStr">
        <is>
          <t>S004</t>
        </is>
      </c>
      <c r="D293" t="inlineStr">
        <is>
          <t>R049</t>
        </is>
      </c>
      <c r="E293" s="3" t="n">
        <v>46277.77638888889</v>
      </c>
      <c r="F293" s="3" t="n">
        <v>46277.78361111111</v>
      </c>
      <c r="G293" s="3" t="n">
        <v>46277.78284722222</v>
      </c>
      <c r="H293" t="inlineStr">
        <is>
          <t>Delivered</t>
        </is>
      </c>
      <c r="I293" t="n">
        <v>3</v>
      </c>
      <c r="J293" t="n">
        <v>5</v>
      </c>
      <c r="K293" t="n">
        <v>460.21</v>
      </c>
      <c r="L293" t="n">
        <v>1.98</v>
      </c>
      <c r="M293" t="n">
        <v>2.3</v>
      </c>
      <c r="N293" t="n">
        <v>3.4</v>
      </c>
      <c r="O293" t="n">
        <v>3.6</v>
      </c>
      <c r="P293" t="n">
        <v>10.4</v>
      </c>
      <c r="Q293" t="n">
        <v>9.300000000000001</v>
      </c>
      <c r="R293" t="n">
        <v>-1.1</v>
      </c>
      <c r="S293" t="b">
        <v>1</v>
      </c>
      <c r="U293" t="n">
        <v>18</v>
      </c>
      <c r="V293" t="b">
        <v>0</v>
      </c>
      <c r="X293" t="b">
        <v>0</v>
      </c>
      <c r="Y293" t="n">
        <v>0.65</v>
      </c>
    </row>
    <row r="294">
      <c r="A294" t="inlineStr">
        <is>
          <t>O00293</t>
        </is>
      </c>
      <c r="B294" t="inlineStr">
        <is>
          <t>C0005</t>
        </is>
      </c>
      <c r="C294" t="inlineStr">
        <is>
          <t>S019</t>
        </is>
      </c>
      <c r="D294" t="inlineStr">
        <is>
          <t>R012</t>
        </is>
      </c>
      <c r="E294" s="3" t="n">
        <v>46270.38194444445</v>
      </c>
      <c r="F294" s="3" t="n">
        <v>46270.38902777778</v>
      </c>
      <c r="G294" s="3" t="n">
        <v>46270.38861111111</v>
      </c>
      <c r="H294" t="inlineStr">
        <is>
          <t>Delivered</t>
        </is>
      </c>
      <c r="I294" t="n">
        <v>3</v>
      </c>
      <c r="J294" t="n">
        <v>3</v>
      </c>
      <c r="K294" t="n">
        <v>196.75</v>
      </c>
      <c r="L294" t="n">
        <v>2.5</v>
      </c>
      <c r="M294" t="n">
        <v>2.5</v>
      </c>
      <c r="N294" t="n">
        <v>3.7</v>
      </c>
      <c r="O294" t="n">
        <v>3.4</v>
      </c>
      <c r="P294" t="n">
        <v>10.2</v>
      </c>
      <c r="Q294" t="n">
        <v>9.6</v>
      </c>
      <c r="R294" t="n">
        <v>-0.6</v>
      </c>
      <c r="S294" t="b">
        <v>1</v>
      </c>
      <c r="U294" t="n">
        <v>9</v>
      </c>
      <c r="V294" t="b">
        <v>0</v>
      </c>
      <c r="X294" t="b">
        <v>0</v>
      </c>
      <c r="Y294" t="n">
        <v>0.48</v>
      </c>
    </row>
    <row r="295">
      <c r="A295" t="inlineStr">
        <is>
          <t>O00294</t>
        </is>
      </c>
      <c r="B295" t="inlineStr">
        <is>
          <t>C0225</t>
        </is>
      </c>
      <c r="C295" t="inlineStr">
        <is>
          <t>S019</t>
        </is>
      </c>
      <c r="D295" t="inlineStr">
        <is>
          <t>R080</t>
        </is>
      </c>
      <c r="E295" s="3" t="n">
        <v>46275.34375</v>
      </c>
      <c r="F295" s="3" t="n">
        <v>46275.35090277778</v>
      </c>
      <c r="G295" s="3" t="n">
        <v>46275.350625</v>
      </c>
      <c r="H295" t="inlineStr">
        <is>
          <t>Delivered</t>
        </is>
      </c>
      <c r="I295" t="n">
        <v>5</v>
      </c>
      <c r="J295" t="n">
        <v>8</v>
      </c>
      <c r="K295" t="n">
        <v>675.3</v>
      </c>
      <c r="L295" t="n">
        <v>2.5</v>
      </c>
      <c r="M295" t="n">
        <v>3.9</v>
      </c>
      <c r="N295" t="n">
        <v>1.1</v>
      </c>
      <c r="O295" t="n">
        <v>4.9</v>
      </c>
      <c r="P295" t="n">
        <v>10.3</v>
      </c>
      <c r="Q295" t="n">
        <v>9.9</v>
      </c>
      <c r="R295" t="n">
        <v>-0.4</v>
      </c>
      <c r="S295" t="b">
        <v>1</v>
      </c>
      <c r="U295" t="n">
        <v>8</v>
      </c>
      <c r="V295" t="b">
        <v>0</v>
      </c>
      <c r="W295" t="inlineStr">
        <is>
          <t>Light</t>
        </is>
      </c>
      <c r="X295" t="b">
        <v>0</v>
      </c>
      <c r="Y295" t="n">
        <v>0.4</v>
      </c>
    </row>
    <row r="296">
      <c r="A296" t="inlineStr">
        <is>
          <t>O00295</t>
        </is>
      </c>
      <c r="B296" t="inlineStr">
        <is>
          <t>C0084</t>
        </is>
      </c>
      <c r="C296" t="inlineStr">
        <is>
          <t>S015</t>
        </is>
      </c>
      <c r="D296" t="inlineStr">
        <is>
          <t>R038</t>
        </is>
      </c>
      <c r="E296" s="3" t="n">
        <v>46272.60902777778</v>
      </c>
      <c r="F296" s="3" t="n">
        <v>46272.61513888889</v>
      </c>
      <c r="G296" s="3" t="n">
        <v>46272.61458333334</v>
      </c>
      <c r="H296" t="inlineStr">
        <is>
          <t>Delivered</t>
        </is>
      </c>
      <c r="I296" t="n">
        <v>1</v>
      </c>
      <c r="J296" t="n">
        <v>8</v>
      </c>
      <c r="K296" t="n">
        <v>478.41</v>
      </c>
      <c r="L296" t="n">
        <v>0.5</v>
      </c>
      <c r="M296" t="n">
        <v>2.9</v>
      </c>
      <c r="N296" t="n">
        <v>4.1</v>
      </c>
      <c r="O296" t="n">
        <v>1</v>
      </c>
      <c r="P296" t="n">
        <v>8.800000000000001</v>
      </c>
      <c r="Q296" t="n">
        <v>8</v>
      </c>
      <c r="R296" t="n">
        <v>-0.8</v>
      </c>
      <c r="S296" t="b">
        <v>1</v>
      </c>
      <c r="U296" t="n">
        <v>14</v>
      </c>
      <c r="V296" t="b">
        <v>0</v>
      </c>
      <c r="X296" t="b">
        <v>1</v>
      </c>
      <c r="Y296" t="n">
        <v>0.36</v>
      </c>
    </row>
    <row r="297">
      <c r="A297" t="inlineStr">
        <is>
          <t>O00296</t>
        </is>
      </c>
      <c r="B297" t="inlineStr">
        <is>
          <t>C0116</t>
        </is>
      </c>
      <c r="C297" t="inlineStr">
        <is>
          <t>S009</t>
        </is>
      </c>
      <c r="D297" t="inlineStr">
        <is>
          <t>R042</t>
        </is>
      </c>
      <c r="E297" s="3" t="n">
        <v>46269.85069444445</v>
      </c>
      <c r="F297" s="3" t="n">
        <v>46269.85638888889</v>
      </c>
      <c r="G297" s="3" t="n">
        <v>46269.85604166667</v>
      </c>
      <c r="H297" t="inlineStr">
        <is>
          <t>Delivered</t>
        </is>
      </c>
      <c r="I297" t="n">
        <v>2</v>
      </c>
      <c r="J297" t="n">
        <v>9</v>
      </c>
      <c r="K297" t="n">
        <v>432.44</v>
      </c>
      <c r="L297" t="n">
        <v>2.8</v>
      </c>
      <c r="M297" t="n">
        <v>1.7</v>
      </c>
      <c r="N297" t="n">
        <v>1.7</v>
      </c>
      <c r="O297" t="n">
        <v>4.3</v>
      </c>
      <c r="P297" t="n">
        <v>8.199999999999999</v>
      </c>
      <c r="Q297" t="n">
        <v>7.7</v>
      </c>
      <c r="R297" t="n">
        <v>-0.5</v>
      </c>
      <c r="S297" t="b">
        <v>1</v>
      </c>
      <c r="U297" t="n">
        <v>20</v>
      </c>
      <c r="V297" t="b">
        <v>1</v>
      </c>
      <c r="X297" t="b">
        <v>0</v>
      </c>
      <c r="Y297" t="n">
        <v>0.78</v>
      </c>
    </row>
    <row r="298">
      <c r="A298" t="inlineStr">
        <is>
          <t>O00297</t>
        </is>
      </c>
      <c r="B298" t="inlineStr">
        <is>
          <t>C0134</t>
        </is>
      </c>
      <c r="C298" t="inlineStr">
        <is>
          <t>S014</t>
        </is>
      </c>
      <c r="D298" t="inlineStr">
        <is>
          <t>R010</t>
        </is>
      </c>
      <c r="E298" s="3" t="n">
        <v>46279.72986111111</v>
      </c>
      <c r="F298" s="3" t="n">
        <v>46279.73659722223</v>
      </c>
      <c r="G298" s="3" t="n">
        <v>46279.74125</v>
      </c>
      <c r="H298" t="inlineStr">
        <is>
          <t>Delivered</t>
        </is>
      </c>
      <c r="I298" t="n">
        <v>6</v>
      </c>
      <c r="J298" t="n">
        <v>6</v>
      </c>
      <c r="K298" t="n">
        <v>585.1900000000001</v>
      </c>
      <c r="L298" t="n">
        <v>1.12</v>
      </c>
      <c r="M298" t="n">
        <v>6.1</v>
      </c>
      <c r="N298" t="n">
        <v>6.1</v>
      </c>
      <c r="O298" t="n">
        <v>4.1</v>
      </c>
      <c r="P298" t="n">
        <v>9.699999999999999</v>
      </c>
      <c r="Q298" t="n">
        <v>16.4</v>
      </c>
      <c r="R298" t="n">
        <v>6.7</v>
      </c>
      <c r="S298" t="b">
        <v>0</v>
      </c>
      <c r="U298" t="n">
        <v>17</v>
      </c>
      <c r="V298" t="b">
        <v>0</v>
      </c>
      <c r="W298" t="inlineStr">
        <is>
          <t>Light</t>
        </is>
      </c>
      <c r="X298" t="b">
        <v>0</v>
      </c>
      <c r="Y298" t="n">
        <v>0.38</v>
      </c>
    </row>
    <row r="299">
      <c r="A299" t="inlineStr">
        <is>
          <t>O00298</t>
        </is>
      </c>
      <c r="B299" t="inlineStr">
        <is>
          <t>C0135</t>
        </is>
      </c>
      <c r="C299" t="inlineStr">
        <is>
          <t>S014</t>
        </is>
      </c>
      <c r="D299" t="inlineStr">
        <is>
          <t>R056</t>
        </is>
      </c>
      <c r="E299" s="3" t="n">
        <v>46277.51736111111</v>
      </c>
      <c r="F299" s="3" t="n">
        <v>46277.52604166666</v>
      </c>
      <c r="G299" s="3" t="n">
        <v>46277.52576388889</v>
      </c>
      <c r="H299" t="inlineStr">
        <is>
          <t>Delivered</t>
        </is>
      </c>
      <c r="I299" t="n">
        <v>5</v>
      </c>
      <c r="J299" t="n">
        <v>5</v>
      </c>
      <c r="K299" t="n">
        <v>811.79</v>
      </c>
      <c r="L299" t="n">
        <v>2.3</v>
      </c>
      <c r="M299" t="n">
        <v>3.9</v>
      </c>
      <c r="N299" t="n">
        <v>2.9</v>
      </c>
      <c r="O299" t="n">
        <v>5.3</v>
      </c>
      <c r="P299" t="n">
        <v>12.5</v>
      </c>
      <c r="Q299" t="n">
        <v>12.1</v>
      </c>
      <c r="R299" t="n">
        <v>-0.4</v>
      </c>
      <c r="S299" t="b">
        <v>1</v>
      </c>
      <c r="U299" t="n">
        <v>12</v>
      </c>
      <c r="V299" t="b">
        <v>0</v>
      </c>
      <c r="W299" t="inlineStr">
        <is>
          <t>Heavy</t>
        </is>
      </c>
      <c r="X299" t="b">
        <v>0</v>
      </c>
      <c r="Y299" t="n">
        <v>0.42</v>
      </c>
    </row>
    <row r="300">
      <c r="A300" t="inlineStr">
        <is>
          <t>O00299</t>
        </is>
      </c>
      <c r="B300" t="inlineStr">
        <is>
          <t>C0069</t>
        </is>
      </c>
      <c r="C300" t="inlineStr">
        <is>
          <t>S004</t>
        </is>
      </c>
      <c r="D300" t="inlineStr">
        <is>
          <t>R064</t>
        </is>
      </c>
      <c r="E300" s="3" t="n">
        <v>46275.83819444444</v>
      </c>
      <c r="F300" s="3" t="n">
        <v>46275.84527777778</v>
      </c>
      <c r="G300" s="3" t="n">
        <v>46275.84451388889</v>
      </c>
      <c r="H300" t="inlineStr">
        <is>
          <t>Delivered</t>
        </is>
      </c>
      <c r="I300" t="n">
        <v>5</v>
      </c>
      <c r="J300" t="n">
        <v>5</v>
      </c>
      <c r="K300" t="n">
        <v>913.14</v>
      </c>
      <c r="L300" t="n">
        <v>2.79</v>
      </c>
      <c r="M300" t="n">
        <v>1.8</v>
      </c>
      <c r="N300" t="n">
        <v>3.5</v>
      </c>
      <c r="O300" t="n">
        <v>3.8</v>
      </c>
      <c r="P300" t="n">
        <v>10.2</v>
      </c>
      <c r="Q300" t="n">
        <v>9.1</v>
      </c>
      <c r="R300" t="n">
        <v>-1.1</v>
      </c>
      <c r="S300" t="b">
        <v>1</v>
      </c>
      <c r="U300" t="n">
        <v>20</v>
      </c>
      <c r="V300" t="b">
        <v>1</v>
      </c>
      <c r="X300" t="b">
        <v>0</v>
      </c>
      <c r="Y300" t="n">
        <v>0.8</v>
      </c>
    </row>
    <row r="301">
      <c r="A301" t="inlineStr">
        <is>
          <t>O00300</t>
        </is>
      </c>
      <c r="B301" t="inlineStr">
        <is>
          <t>C0220</t>
        </is>
      </c>
      <c r="C301" t="inlineStr">
        <is>
          <t>S007</t>
        </is>
      </c>
      <c r="D301" t="inlineStr">
        <is>
          <t>R051</t>
        </is>
      </c>
      <c r="E301" s="3" t="n">
        <v>46270.43680555555</v>
      </c>
      <c r="F301" s="3" t="n">
        <v>46270.44423611111</v>
      </c>
      <c r="G301" s="3" t="n">
        <v>46270.44520833333</v>
      </c>
      <c r="H301" t="inlineStr">
        <is>
          <t>Delivered</t>
        </is>
      </c>
      <c r="I301" t="n">
        <v>5</v>
      </c>
      <c r="J301" t="n">
        <v>5</v>
      </c>
      <c r="K301" t="n">
        <v>1330.93</v>
      </c>
      <c r="L301" t="n">
        <v>2.78</v>
      </c>
      <c r="M301" t="n">
        <v>3.6</v>
      </c>
      <c r="N301" t="n">
        <v>1.9</v>
      </c>
      <c r="O301" t="n">
        <v>6.7</v>
      </c>
      <c r="P301" t="n">
        <v>10.7</v>
      </c>
      <c r="Q301" t="n">
        <v>12.1</v>
      </c>
      <c r="R301" t="n">
        <v>1.4</v>
      </c>
      <c r="S301" t="b">
        <v>0</v>
      </c>
      <c r="U301" t="n">
        <v>10</v>
      </c>
      <c r="V301" t="b">
        <v>0</v>
      </c>
      <c r="X301" t="b">
        <v>0</v>
      </c>
      <c r="Y301" t="n">
        <v>0.44</v>
      </c>
    </row>
    <row r="302">
      <c r="A302" t="inlineStr">
        <is>
          <t>O00301</t>
        </is>
      </c>
      <c r="B302" t="inlineStr">
        <is>
          <t>C0025</t>
        </is>
      </c>
      <c r="C302" t="inlineStr">
        <is>
          <t>S014</t>
        </is>
      </c>
      <c r="D302" t="inlineStr">
        <is>
          <t>R049</t>
        </is>
      </c>
      <c r="E302" s="3" t="n">
        <v>46266.53472222222</v>
      </c>
      <c r="F302" s="3" t="n">
        <v>46266.54229166666</v>
      </c>
      <c r="G302" s="3" t="n">
        <v>46266.54215277778</v>
      </c>
      <c r="H302" t="inlineStr">
        <is>
          <t>Delivered</t>
        </is>
      </c>
      <c r="I302" t="n">
        <v>6</v>
      </c>
      <c r="J302" t="n">
        <v>8</v>
      </c>
      <c r="K302" t="n">
        <v>236.84</v>
      </c>
      <c r="L302" t="n">
        <v>3.3</v>
      </c>
      <c r="M302" t="n">
        <v>4.1</v>
      </c>
      <c r="N302" t="n">
        <v>2.2</v>
      </c>
      <c r="O302" t="n">
        <v>4.4</v>
      </c>
      <c r="P302" t="n">
        <v>10.9</v>
      </c>
      <c r="Q302" t="n">
        <v>10.7</v>
      </c>
      <c r="R302" t="n">
        <v>-0.2</v>
      </c>
      <c r="S302" t="b">
        <v>1</v>
      </c>
      <c r="U302" t="n">
        <v>12</v>
      </c>
      <c r="V302" t="b">
        <v>0</v>
      </c>
      <c r="X302" t="b">
        <v>0</v>
      </c>
      <c r="Y302" t="n">
        <v>0.06</v>
      </c>
    </row>
    <row r="303">
      <c r="A303" t="inlineStr">
        <is>
          <t>O00302</t>
        </is>
      </c>
      <c r="B303" t="inlineStr">
        <is>
          <t>C0223</t>
        </is>
      </c>
      <c r="C303" t="inlineStr">
        <is>
          <t>S002</t>
        </is>
      </c>
      <c r="D303" t="inlineStr">
        <is>
          <t>R050</t>
        </is>
      </c>
      <c r="E303" s="3" t="n">
        <v>46266.38888888889</v>
      </c>
      <c r="F303" s="3" t="n">
        <v>46266.39583333334</v>
      </c>
      <c r="G303" s="3" t="n">
        <v>46266.39361111111</v>
      </c>
      <c r="H303" t="inlineStr">
        <is>
          <t>Delivered</t>
        </is>
      </c>
      <c r="I303" t="n">
        <v>1</v>
      </c>
      <c r="J303" t="n">
        <v>4</v>
      </c>
      <c r="K303" t="n">
        <v>613.5</v>
      </c>
      <c r="L303" t="n">
        <v>0.5</v>
      </c>
      <c r="M303" t="n">
        <v>2.2</v>
      </c>
      <c r="N303" t="n">
        <v>1.9</v>
      </c>
      <c r="O303" t="n">
        <v>2.8</v>
      </c>
      <c r="P303" t="n">
        <v>10</v>
      </c>
      <c r="Q303" t="n">
        <v>6.8</v>
      </c>
      <c r="R303" t="n">
        <v>-3.2</v>
      </c>
      <c r="S303" t="b">
        <v>1</v>
      </c>
      <c r="U303" t="n">
        <v>9</v>
      </c>
      <c r="V303" t="b">
        <v>0</v>
      </c>
      <c r="W303" t="inlineStr">
        <is>
          <t>Light</t>
        </is>
      </c>
      <c r="X303" t="b">
        <v>0</v>
      </c>
      <c r="Y303" t="n">
        <v>0.35</v>
      </c>
    </row>
    <row r="304">
      <c r="A304" t="inlineStr">
        <is>
          <t>O00303</t>
        </is>
      </c>
      <c r="B304" t="inlineStr">
        <is>
          <t>C0177</t>
        </is>
      </c>
      <c r="C304" t="inlineStr">
        <is>
          <t>S007</t>
        </is>
      </c>
      <c r="D304" t="inlineStr">
        <is>
          <t>R069</t>
        </is>
      </c>
      <c r="E304" s="3" t="n">
        <v>46278.65902777778</v>
      </c>
      <c r="F304" s="3" t="n">
        <v>46278.66715277778</v>
      </c>
      <c r="G304" s="3" t="n">
        <v>46278.67298611111</v>
      </c>
      <c r="H304" t="inlineStr">
        <is>
          <t>Delivered</t>
        </is>
      </c>
      <c r="I304" t="n">
        <v>2</v>
      </c>
      <c r="J304" t="n">
        <v>8</v>
      </c>
      <c r="K304" t="n">
        <v>1415.04</v>
      </c>
      <c r="L304" t="n">
        <v>3.58</v>
      </c>
      <c r="M304" t="n">
        <v>4.9</v>
      </c>
      <c r="N304" t="n">
        <v>4.6</v>
      </c>
      <c r="O304" t="n">
        <v>10.6</v>
      </c>
      <c r="P304" t="n">
        <v>11.7</v>
      </c>
      <c r="Q304" t="n">
        <v>20.1</v>
      </c>
      <c r="R304" t="n">
        <v>8.4</v>
      </c>
      <c r="S304" t="b">
        <v>0</v>
      </c>
      <c r="U304" t="n">
        <v>15</v>
      </c>
      <c r="V304" t="b">
        <v>0</v>
      </c>
      <c r="W304" t="inlineStr">
        <is>
          <t>Heavy</t>
        </is>
      </c>
      <c r="X304" t="b">
        <v>0</v>
      </c>
      <c r="Y304" t="n">
        <v>0.5</v>
      </c>
    </row>
    <row r="305">
      <c r="A305" t="inlineStr">
        <is>
          <t>O00304</t>
        </is>
      </c>
      <c r="B305" t="inlineStr">
        <is>
          <t>C0013</t>
        </is>
      </c>
      <c r="C305" t="inlineStr">
        <is>
          <t>S001</t>
        </is>
      </c>
      <c r="E305" s="3" t="n">
        <v>46268.68611111111</v>
      </c>
      <c r="F305" s="3" t="n">
        <v>46268.69111111111</v>
      </c>
      <c r="H305" t="inlineStr">
        <is>
          <t>Cancelled</t>
        </is>
      </c>
      <c r="I305" t="n">
        <v>1</v>
      </c>
      <c r="J305" t="n">
        <v>6</v>
      </c>
      <c r="K305" t="n">
        <v>1212.89</v>
      </c>
      <c r="L305" t="n">
        <v>0.55</v>
      </c>
      <c r="M305" t="n">
        <v>5.2</v>
      </c>
      <c r="N305" t="n">
        <v>9.5</v>
      </c>
      <c r="O305" t="n">
        <v>2.5</v>
      </c>
      <c r="P305" t="n">
        <v>7.2</v>
      </c>
      <c r="T305" t="inlineStr">
        <is>
          <t>Rider unavailable</t>
        </is>
      </c>
      <c r="U305" t="n">
        <v>16</v>
      </c>
      <c r="V305" t="b">
        <v>0</v>
      </c>
      <c r="X305" t="b">
        <v>0</v>
      </c>
      <c r="Y305" t="n">
        <v>0.47</v>
      </c>
    </row>
    <row r="306">
      <c r="A306" t="inlineStr">
        <is>
          <t>O00305</t>
        </is>
      </c>
      <c r="B306" t="inlineStr">
        <is>
          <t>C0020</t>
        </is>
      </c>
      <c r="C306" t="inlineStr">
        <is>
          <t>S003</t>
        </is>
      </c>
      <c r="D306" t="inlineStr">
        <is>
          <t>R011</t>
        </is>
      </c>
      <c r="E306" s="3" t="n">
        <v>46278.90694444445</v>
      </c>
      <c r="F306" s="3" t="n">
        <v>46278.91368055555</v>
      </c>
      <c r="G306" s="3" t="n">
        <v>46278.91680555556</v>
      </c>
      <c r="H306" t="inlineStr">
        <is>
          <t>Delivered</t>
        </is>
      </c>
      <c r="I306" t="n">
        <v>2</v>
      </c>
      <c r="J306" t="n">
        <v>4</v>
      </c>
      <c r="K306" t="n">
        <v>774.47</v>
      </c>
      <c r="L306" t="n">
        <v>2.1</v>
      </c>
      <c r="M306" t="n">
        <v>3.5</v>
      </c>
      <c r="N306" t="n">
        <v>4.3</v>
      </c>
      <c r="O306" t="n">
        <v>6.4</v>
      </c>
      <c r="P306" t="n">
        <v>9.699999999999999</v>
      </c>
      <c r="Q306" t="n">
        <v>14.2</v>
      </c>
      <c r="R306" t="n">
        <v>4.5</v>
      </c>
      <c r="S306" t="b">
        <v>0</v>
      </c>
      <c r="U306" t="n">
        <v>21</v>
      </c>
      <c r="V306" t="b">
        <v>1</v>
      </c>
      <c r="X306" t="b">
        <v>0</v>
      </c>
      <c r="Y306" t="n">
        <v>0.61</v>
      </c>
    </row>
    <row r="307">
      <c r="A307" t="inlineStr">
        <is>
          <t>O00306</t>
        </is>
      </c>
      <c r="B307" t="inlineStr">
        <is>
          <t>C0242</t>
        </is>
      </c>
      <c r="C307" t="inlineStr">
        <is>
          <t>S014</t>
        </is>
      </c>
      <c r="D307" t="inlineStr">
        <is>
          <t>R047</t>
        </is>
      </c>
      <c r="E307" s="3" t="n">
        <v>46267.5375</v>
      </c>
      <c r="F307" s="3" t="n">
        <v>46267.54423611111</v>
      </c>
      <c r="G307" s="3" t="n">
        <v>46267.54375</v>
      </c>
      <c r="H307" t="inlineStr">
        <is>
          <t>Delivered</t>
        </is>
      </c>
      <c r="I307" t="n">
        <v>6</v>
      </c>
      <c r="J307" t="n">
        <v>6</v>
      </c>
      <c r="K307" t="n">
        <v>477.63</v>
      </c>
      <c r="L307" t="n">
        <v>1.47</v>
      </c>
      <c r="M307" t="n">
        <v>3.2</v>
      </c>
      <c r="N307" t="n">
        <v>2.2</v>
      </c>
      <c r="O307" t="n">
        <v>3.6</v>
      </c>
      <c r="P307" t="n">
        <v>9.699999999999999</v>
      </c>
      <c r="Q307" t="n">
        <v>9</v>
      </c>
      <c r="R307" t="n">
        <v>-0.7</v>
      </c>
      <c r="S307" t="b">
        <v>1</v>
      </c>
      <c r="U307" t="n">
        <v>12</v>
      </c>
      <c r="V307" t="b">
        <v>0</v>
      </c>
      <c r="W307" t="inlineStr">
        <is>
          <t>Light</t>
        </is>
      </c>
      <c r="X307" t="b">
        <v>0</v>
      </c>
      <c r="Y307" t="n">
        <v>0.61</v>
      </c>
    </row>
    <row r="308">
      <c r="A308" t="inlineStr">
        <is>
          <t>O00307</t>
        </is>
      </c>
      <c r="B308" t="inlineStr">
        <is>
          <t>C0137</t>
        </is>
      </c>
      <c r="C308" t="inlineStr">
        <is>
          <t>S010</t>
        </is>
      </c>
      <c r="D308" t="inlineStr">
        <is>
          <t>R021</t>
        </is>
      </c>
      <c r="E308" s="3" t="n">
        <v>46268.70277777778</v>
      </c>
      <c r="F308" s="3" t="n">
        <v>46268.71201388889</v>
      </c>
      <c r="G308" s="3" t="n">
        <v>46268.71131944445</v>
      </c>
      <c r="H308" t="inlineStr">
        <is>
          <t>Delivered</t>
        </is>
      </c>
      <c r="I308" t="n">
        <v>2</v>
      </c>
      <c r="J308" t="n">
        <v>8</v>
      </c>
      <c r="K308" t="n">
        <v>784.77</v>
      </c>
      <c r="L308" t="n">
        <v>2.54</v>
      </c>
      <c r="M308" t="n">
        <v>4.8</v>
      </c>
      <c r="N308" t="n">
        <v>2.9</v>
      </c>
      <c r="O308" t="n">
        <v>4.6</v>
      </c>
      <c r="P308" t="n">
        <v>13.3</v>
      </c>
      <c r="Q308" t="n">
        <v>12.3</v>
      </c>
      <c r="R308" t="n">
        <v>-1</v>
      </c>
      <c r="S308" t="b">
        <v>1</v>
      </c>
      <c r="U308" t="n">
        <v>16</v>
      </c>
      <c r="V308" t="b">
        <v>0</v>
      </c>
      <c r="X308" t="b">
        <v>0</v>
      </c>
      <c r="Y308" t="n">
        <v>0.66</v>
      </c>
    </row>
    <row r="309">
      <c r="A309" t="inlineStr">
        <is>
          <t>O00308</t>
        </is>
      </c>
      <c r="B309" t="inlineStr">
        <is>
          <t>C0130</t>
        </is>
      </c>
      <c r="C309" t="inlineStr">
        <is>
          <t>S017</t>
        </is>
      </c>
      <c r="D309" t="inlineStr">
        <is>
          <t>R001</t>
        </is>
      </c>
      <c r="E309" s="3" t="n">
        <v>46275.81875</v>
      </c>
      <c r="F309" s="3" t="n">
        <v>46275.82479166667</v>
      </c>
      <c r="G309" s="3" t="n">
        <v>46275.82423611111</v>
      </c>
      <c r="H309" t="inlineStr">
        <is>
          <t>Delivered</t>
        </is>
      </c>
      <c r="I309" t="n">
        <v>5</v>
      </c>
      <c r="J309" t="n">
        <v>7</v>
      </c>
      <c r="K309" t="n">
        <v>329.37</v>
      </c>
      <c r="L309" t="n">
        <v>0.5</v>
      </c>
      <c r="M309" t="n">
        <v>1.4</v>
      </c>
      <c r="N309" t="n">
        <v>3.5</v>
      </c>
      <c r="O309" t="n">
        <v>3</v>
      </c>
      <c r="P309" t="n">
        <v>8.699999999999999</v>
      </c>
      <c r="Q309" t="n">
        <v>7.9</v>
      </c>
      <c r="R309" t="n">
        <v>-0.8</v>
      </c>
      <c r="S309" t="b">
        <v>1</v>
      </c>
      <c r="U309" t="n">
        <v>19</v>
      </c>
      <c r="V309" t="b">
        <v>1</v>
      </c>
      <c r="W309" t="inlineStr">
        <is>
          <t>Heavy</t>
        </is>
      </c>
      <c r="X309" t="b">
        <v>0</v>
      </c>
      <c r="Y309" t="n">
        <v>0.6</v>
      </c>
    </row>
    <row r="310">
      <c r="A310" t="inlineStr">
        <is>
          <t>O00309</t>
        </is>
      </c>
      <c r="B310" t="inlineStr">
        <is>
          <t>C0117</t>
        </is>
      </c>
      <c r="C310" t="inlineStr">
        <is>
          <t>S002</t>
        </is>
      </c>
      <c r="D310" t="inlineStr">
        <is>
          <t>R075</t>
        </is>
      </c>
      <c r="E310" s="3" t="n">
        <v>46267.98472222222</v>
      </c>
      <c r="F310" s="3" t="n">
        <v>46267.993125</v>
      </c>
      <c r="G310" s="3" t="n">
        <v>46267.99284722222</v>
      </c>
      <c r="H310" t="inlineStr">
        <is>
          <t>Delivered</t>
        </is>
      </c>
      <c r="I310" t="n">
        <v>4</v>
      </c>
      <c r="J310" t="n">
        <v>6</v>
      </c>
      <c r="K310" t="n">
        <v>1434.78</v>
      </c>
      <c r="L310" t="n">
        <v>5</v>
      </c>
      <c r="M310" t="n">
        <v>1.8</v>
      </c>
      <c r="N310" t="n">
        <v>2.8</v>
      </c>
      <c r="O310" t="n">
        <v>7.1</v>
      </c>
      <c r="P310" t="n">
        <v>12.1</v>
      </c>
      <c r="Q310" t="n">
        <v>11.7</v>
      </c>
      <c r="R310" t="n">
        <v>-0.4</v>
      </c>
      <c r="S310" t="b">
        <v>1</v>
      </c>
      <c r="U310" t="n">
        <v>23</v>
      </c>
      <c r="V310" t="b">
        <v>0</v>
      </c>
      <c r="X310" t="b">
        <v>0</v>
      </c>
      <c r="Y310" t="n">
        <v>0.77</v>
      </c>
    </row>
    <row r="311">
      <c r="A311" t="inlineStr">
        <is>
          <t>O00310</t>
        </is>
      </c>
      <c r="B311" t="inlineStr">
        <is>
          <t>C0052</t>
        </is>
      </c>
      <c r="C311" t="inlineStr">
        <is>
          <t>S005</t>
        </is>
      </c>
      <c r="D311" t="inlineStr">
        <is>
          <t>R031</t>
        </is>
      </c>
      <c r="E311" s="3" t="n">
        <v>46274.87777777778</v>
      </c>
      <c r="F311" s="3" t="n">
        <v>46274.88493055556</v>
      </c>
      <c r="G311" s="3" t="n">
        <v>46274.88465277778</v>
      </c>
      <c r="H311" t="inlineStr">
        <is>
          <t>Delivered</t>
        </is>
      </c>
      <c r="I311" t="n">
        <v>4</v>
      </c>
      <c r="J311" t="n">
        <v>5</v>
      </c>
      <c r="K311" t="n">
        <v>218.47</v>
      </c>
      <c r="L311" t="n">
        <v>1.6</v>
      </c>
      <c r="M311" t="n">
        <v>2.4</v>
      </c>
      <c r="N311" t="n">
        <v>4.7</v>
      </c>
      <c r="O311" t="n">
        <v>2.8</v>
      </c>
      <c r="P311" t="n">
        <v>10.3</v>
      </c>
      <c r="Q311" t="n">
        <v>9.9</v>
      </c>
      <c r="R311" t="n">
        <v>-0.4</v>
      </c>
      <c r="S311" t="b">
        <v>1</v>
      </c>
      <c r="U311" t="n">
        <v>21</v>
      </c>
      <c r="V311" t="b">
        <v>1</v>
      </c>
      <c r="X311" t="b">
        <v>0</v>
      </c>
      <c r="Y311" t="n">
        <v>0.72</v>
      </c>
    </row>
    <row r="312">
      <c r="A312" t="inlineStr">
        <is>
          <t>O00311</t>
        </is>
      </c>
      <c r="B312" t="inlineStr">
        <is>
          <t>C0174</t>
        </is>
      </c>
      <c r="C312" t="inlineStr">
        <is>
          <t>S005</t>
        </is>
      </c>
      <c r="D312" t="inlineStr">
        <is>
          <t>R055</t>
        </is>
      </c>
      <c r="E312" s="3" t="n">
        <v>46268.40138888889</v>
      </c>
      <c r="F312" s="3" t="n">
        <v>46268.40819444445</v>
      </c>
      <c r="G312" s="3" t="n">
        <v>46268.40791666666</v>
      </c>
      <c r="H312" t="inlineStr">
        <is>
          <t>Delivered</t>
        </is>
      </c>
      <c r="I312" t="n">
        <v>3</v>
      </c>
      <c r="J312" t="n">
        <v>3</v>
      </c>
      <c r="K312" t="n">
        <v>1539.95</v>
      </c>
      <c r="L312" t="n">
        <v>1.43</v>
      </c>
      <c r="M312" t="n">
        <v>4.1</v>
      </c>
      <c r="N312" t="n">
        <v>1</v>
      </c>
      <c r="O312" t="n">
        <v>4.3</v>
      </c>
      <c r="P312" t="n">
        <v>9.800000000000001</v>
      </c>
      <c r="Q312" t="n">
        <v>9.4</v>
      </c>
      <c r="R312" t="n">
        <v>-0.4</v>
      </c>
      <c r="S312" t="b">
        <v>1</v>
      </c>
      <c r="U312" t="n">
        <v>9</v>
      </c>
      <c r="V312" t="b">
        <v>0</v>
      </c>
      <c r="W312" t="inlineStr">
        <is>
          <t>Light</t>
        </is>
      </c>
      <c r="X312" t="b">
        <v>0</v>
      </c>
      <c r="Y312" t="n">
        <v>0.82</v>
      </c>
    </row>
    <row r="313">
      <c r="A313" t="inlineStr">
        <is>
          <t>O00312</t>
        </is>
      </c>
      <c r="B313" t="inlineStr">
        <is>
          <t>C0235</t>
        </is>
      </c>
      <c r="C313" t="inlineStr">
        <is>
          <t>S017</t>
        </is>
      </c>
      <c r="D313" t="inlineStr">
        <is>
          <t>R062</t>
        </is>
      </c>
      <c r="E313" s="3" t="n">
        <v>46274.475</v>
      </c>
      <c r="F313" s="3" t="n">
        <v>46274.48368055555</v>
      </c>
      <c r="G313" s="3" t="n">
        <v>46274.48291666667</v>
      </c>
      <c r="H313" t="inlineStr">
        <is>
          <t>Delivered</t>
        </is>
      </c>
      <c r="I313" t="n">
        <v>3</v>
      </c>
      <c r="J313" t="n">
        <v>9</v>
      </c>
      <c r="K313" t="n">
        <v>897.88</v>
      </c>
      <c r="L313" t="n">
        <v>4</v>
      </c>
      <c r="M313" t="n">
        <v>1.7</v>
      </c>
      <c r="N313" t="n">
        <v>4</v>
      </c>
      <c r="O313" t="n">
        <v>5.7</v>
      </c>
      <c r="P313" t="n">
        <v>12.5</v>
      </c>
      <c r="Q313" t="n">
        <v>11.4</v>
      </c>
      <c r="R313" t="n">
        <v>-1.1</v>
      </c>
      <c r="S313" t="b">
        <v>1</v>
      </c>
      <c r="U313" t="n">
        <v>11</v>
      </c>
      <c r="V313" t="b">
        <v>0</v>
      </c>
      <c r="W313" t="inlineStr">
        <is>
          <t>Light</t>
        </is>
      </c>
      <c r="X313" t="b">
        <v>0</v>
      </c>
      <c r="Y313" t="n">
        <v>0.47</v>
      </c>
    </row>
    <row r="314">
      <c r="A314" t="inlineStr">
        <is>
          <t>O00313</t>
        </is>
      </c>
      <c r="B314" t="inlineStr">
        <is>
          <t>C0116</t>
        </is>
      </c>
      <c r="C314" t="inlineStr">
        <is>
          <t>S014</t>
        </is>
      </c>
      <c r="D314" t="inlineStr">
        <is>
          <t>R040</t>
        </is>
      </c>
      <c r="E314" s="3" t="n">
        <v>46278.34166666667</v>
      </c>
      <c r="F314" s="3" t="n">
        <v>46278.34944444444</v>
      </c>
      <c r="G314" s="3" t="n">
        <v>46278.35527777778</v>
      </c>
      <c r="H314" t="inlineStr">
        <is>
          <t>Delivered</t>
        </is>
      </c>
      <c r="I314" t="n">
        <v>1</v>
      </c>
      <c r="J314" t="n">
        <v>6</v>
      </c>
      <c r="K314" t="n">
        <v>1441.37</v>
      </c>
      <c r="L314" t="n">
        <v>1.49</v>
      </c>
      <c r="M314" t="n">
        <v>5.5</v>
      </c>
      <c r="N314" t="n">
        <v>9.9</v>
      </c>
      <c r="O314" t="n">
        <v>4.2</v>
      </c>
      <c r="P314" t="n">
        <v>11.2</v>
      </c>
      <c r="Q314" t="n">
        <v>19.6</v>
      </c>
      <c r="R314" t="n">
        <v>8.4</v>
      </c>
      <c r="S314" t="b">
        <v>0</v>
      </c>
      <c r="U314" t="n">
        <v>8</v>
      </c>
      <c r="V314" t="b">
        <v>0</v>
      </c>
      <c r="X314" t="b">
        <v>0</v>
      </c>
      <c r="Y314" t="n">
        <v>0.27</v>
      </c>
    </row>
    <row r="315">
      <c r="A315" t="inlineStr">
        <is>
          <t>O00314</t>
        </is>
      </c>
      <c r="B315" t="inlineStr">
        <is>
          <t>C0061</t>
        </is>
      </c>
      <c r="C315" t="inlineStr">
        <is>
          <t>S005</t>
        </is>
      </c>
      <c r="D315" t="inlineStr">
        <is>
          <t>R008</t>
        </is>
      </c>
      <c r="E315" s="3" t="n">
        <v>46266.90555555555</v>
      </c>
      <c r="F315" s="3" t="n">
        <v>46266.91305555555</v>
      </c>
      <c r="G315" s="3" t="n">
        <v>46266.91284722222</v>
      </c>
      <c r="H315" t="inlineStr">
        <is>
          <t>Delivered</t>
        </is>
      </c>
      <c r="I315" t="n">
        <v>5</v>
      </c>
      <c r="J315" t="n">
        <v>8</v>
      </c>
      <c r="K315" t="n">
        <v>1582.17</v>
      </c>
      <c r="L315" t="n">
        <v>2.87</v>
      </c>
      <c r="M315" t="n">
        <v>2.7</v>
      </c>
      <c r="N315" t="n">
        <v>3.6</v>
      </c>
      <c r="O315" t="n">
        <v>4.2</v>
      </c>
      <c r="P315" t="n">
        <v>10.8</v>
      </c>
      <c r="Q315" t="n">
        <v>10.5</v>
      </c>
      <c r="R315" t="n">
        <v>-0.3</v>
      </c>
      <c r="S315" t="b">
        <v>1</v>
      </c>
      <c r="U315" t="n">
        <v>21</v>
      </c>
      <c r="V315" t="b">
        <v>1</v>
      </c>
      <c r="W315" t="inlineStr">
        <is>
          <t>Heavy</t>
        </is>
      </c>
      <c r="X315" t="b">
        <v>0</v>
      </c>
      <c r="Y315" t="n">
        <v>0.55</v>
      </c>
    </row>
    <row r="316">
      <c r="A316" t="inlineStr">
        <is>
          <t>O00315</t>
        </is>
      </c>
      <c r="B316" t="inlineStr">
        <is>
          <t>C0158</t>
        </is>
      </c>
      <c r="C316" t="inlineStr">
        <is>
          <t>S007</t>
        </is>
      </c>
      <c r="D316" t="inlineStr">
        <is>
          <t>R058</t>
        </is>
      </c>
      <c r="E316" s="3" t="n">
        <v>46272.60833333333</v>
      </c>
      <c r="F316" s="3" t="n">
        <v>46272.61666666667</v>
      </c>
      <c r="G316" s="3" t="n">
        <v>46272.61638888889</v>
      </c>
      <c r="H316" t="inlineStr">
        <is>
          <t>Delivered</t>
        </is>
      </c>
      <c r="I316" t="n">
        <v>2</v>
      </c>
      <c r="J316" t="n">
        <v>3</v>
      </c>
      <c r="K316" t="n">
        <v>1360.11</v>
      </c>
      <c r="L316" t="n">
        <v>2.73</v>
      </c>
      <c r="M316" t="n">
        <v>3.1</v>
      </c>
      <c r="N316" t="n">
        <v>1.4</v>
      </c>
      <c r="O316" t="n">
        <v>7.1</v>
      </c>
      <c r="P316" t="n">
        <v>12</v>
      </c>
      <c r="Q316" t="n">
        <v>11.6</v>
      </c>
      <c r="R316" t="n">
        <v>-0.4</v>
      </c>
      <c r="S316" t="b">
        <v>1</v>
      </c>
      <c r="U316" t="n">
        <v>14</v>
      </c>
      <c r="V316" t="b">
        <v>0</v>
      </c>
      <c r="W316" t="inlineStr">
        <is>
          <t>Light</t>
        </is>
      </c>
      <c r="X316" t="b">
        <v>0</v>
      </c>
      <c r="Y316" t="n">
        <v>0.5</v>
      </c>
    </row>
    <row r="317">
      <c r="A317" t="inlineStr">
        <is>
          <t>O00316</t>
        </is>
      </c>
      <c r="B317" t="inlineStr">
        <is>
          <t>C0141</t>
        </is>
      </c>
      <c r="C317" t="inlineStr">
        <is>
          <t>S019</t>
        </is>
      </c>
      <c r="D317" t="inlineStr">
        <is>
          <t>R017</t>
        </is>
      </c>
      <c r="E317" s="3" t="n">
        <v>46268.73055555556</v>
      </c>
      <c r="F317" s="3" t="n">
        <v>46268.739375</v>
      </c>
      <c r="G317" s="3" t="n">
        <v>46268.73902777778</v>
      </c>
      <c r="H317" t="inlineStr">
        <is>
          <t>Delivered</t>
        </is>
      </c>
      <c r="I317" t="n">
        <v>2</v>
      </c>
      <c r="J317" t="n">
        <v>3</v>
      </c>
      <c r="K317" t="n">
        <v>211.99</v>
      </c>
      <c r="L317" t="n">
        <v>2.29</v>
      </c>
      <c r="M317" t="n">
        <v>4.6</v>
      </c>
      <c r="N317" t="n">
        <v>3.2</v>
      </c>
      <c r="O317" t="n">
        <v>4.4</v>
      </c>
      <c r="P317" t="n">
        <v>12.7</v>
      </c>
      <c r="Q317" t="n">
        <v>12.2</v>
      </c>
      <c r="R317" t="n">
        <v>-0.5</v>
      </c>
      <c r="S317" t="b">
        <v>1</v>
      </c>
      <c r="U317" t="n">
        <v>17</v>
      </c>
      <c r="V317" t="b">
        <v>0</v>
      </c>
      <c r="X317" t="b">
        <v>0</v>
      </c>
      <c r="Y317" t="n">
        <v>0.07000000000000001</v>
      </c>
    </row>
    <row r="318">
      <c r="A318" t="inlineStr">
        <is>
          <t>O00317</t>
        </is>
      </c>
      <c r="B318" t="inlineStr">
        <is>
          <t>C0107</t>
        </is>
      </c>
      <c r="C318" t="inlineStr">
        <is>
          <t>S016</t>
        </is>
      </c>
      <c r="D318" t="inlineStr">
        <is>
          <t>R077</t>
        </is>
      </c>
      <c r="E318" s="3" t="n">
        <v>46268.90347222222</v>
      </c>
      <c r="F318" s="3" t="n">
        <v>46268.90916666666</v>
      </c>
      <c r="G318" s="3" t="n">
        <v>46268.90868055556</v>
      </c>
      <c r="H318" t="inlineStr">
        <is>
          <t>Delivered</t>
        </is>
      </c>
      <c r="I318" t="n">
        <v>3</v>
      </c>
      <c r="J318" t="n">
        <v>9</v>
      </c>
      <c r="K318" t="n">
        <v>587.09</v>
      </c>
      <c r="L318" t="n">
        <v>1.64</v>
      </c>
      <c r="M318" t="n">
        <v>2.1</v>
      </c>
      <c r="N318" t="n">
        <v>2.9</v>
      </c>
      <c r="O318" t="n">
        <v>2.5</v>
      </c>
      <c r="P318" t="n">
        <v>8.199999999999999</v>
      </c>
      <c r="Q318" t="n">
        <v>7.5</v>
      </c>
      <c r="R318" t="n">
        <v>-0.7</v>
      </c>
      <c r="S318" t="b">
        <v>1</v>
      </c>
      <c r="U318" t="n">
        <v>21</v>
      </c>
      <c r="V318" t="b">
        <v>1</v>
      </c>
      <c r="W318" t="inlineStr">
        <is>
          <t>Light</t>
        </is>
      </c>
      <c r="X318" t="b">
        <v>0</v>
      </c>
      <c r="Y318" t="n">
        <v>0.55</v>
      </c>
    </row>
    <row r="319">
      <c r="A319" t="inlineStr">
        <is>
          <t>O00318</t>
        </is>
      </c>
      <c r="B319" t="inlineStr">
        <is>
          <t>C0052</t>
        </is>
      </c>
      <c r="C319" t="inlineStr">
        <is>
          <t>S005</t>
        </is>
      </c>
      <c r="D319" t="inlineStr">
        <is>
          <t>R068</t>
        </is>
      </c>
      <c r="E319" s="3" t="n">
        <v>46275.52430555555</v>
      </c>
      <c r="F319" s="3" t="n">
        <v>46275.53145833333</v>
      </c>
      <c r="G319" s="3" t="n">
        <v>46275.53090277778</v>
      </c>
      <c r="H319" t="inlineStr">
        <is>
          <t>Delivered</t>
        </is>
      </c>
      <c r="I319" t="n">
        <v>4</v>
      </c>
      <c r="J319" t="n">
        <v>7</v>
      </c>
      <c r="K319" t="n">
        <v>1695.58</v>
      </c>
      <c r="L319" t="n">
        <v>2.8</v>
      </c>
      <c r="M319" t="n">
        <v>3</v>
      </c>
      <c r="N319" t="n">
        <v>2.6</v>
      </c>
      <c r="O319" t="n">
        <v>3.9</v>
      </c>
      <c r="P319" t="n">
        <v>10.3</v>
      </c>
      <c r="Q319" t="n">
        <v>9.5</v>
      </c>
      <c r="R319" t="n">
        <v>-0.8</v>
      </c>
      <c r="S319" t="b">
        <v>1</v>
      </c>
      <c r="U319" t="n">
        <v>12</v>
      </c>
      <c r="V319" t="b">
        <v>0</v>
      </c>
      <c r="X319" t="b">
        <v>0</v>
      </c>
      <c r="Y319" t="n">
        <v>0.6</v>
      </c>
    </row>
    <row r="320">
      <c r="A320" t="inlineStr">
        <is>
          <t>O00319</t>
        </is>
      </c>
      <c r="B320" t="inlineStr">
        <is>
          <t>C0034</t>
        </is>
      </c>
      <c r="C320" t="inlineStr">
        <is>
          <t>S002</t>
        </is>
      </c>
      <c r="D320" t="inlineStr">
        <is>
          <t>R041</t>
        </is>
      </c>
      <c r="E320" s="3" t="n">
        <v>46272.62916666667</v>
      </c>
      <c r="F320" s="3" t="n">
        <v>46272.63590277778</v>
      </c>
      <c r="G320" s="3" t="n">
        <v>46272.635625</v>
      </c>
      <c r="H320" t="inlineStr">
        <is>
          <t>Delivered</t>
        </is>
      </c>
      <c r="I320" t="n">
        <v>4</v>
      </c>
      <c r="J320" t="n">
        <v>7</v>
      </c>
      <c r="K320" t="n">
        <v>562.36</v>
      </c>
      <c r="L320" t="n">
        <v>1.22</v>
      </c>
      <c r="M320" t="n">
        <v>1.5</v>
      </c>
      <c r="N320" t="n">
        <v>5.5</v>
      </c>
      <c r="O320" t="n">
        <v>2.3</v>
      </c>
      <c r="P320" t="n">
        <v>9.699999999999999</v>
      </c>
      <c r="Q320" t="n">
        <v>9.300000000000001</v>
      </c>
      <c r="R320" t="n">
        <v>-0.4</v>
      </c>
      <c r="S320" t="b">
        <v>1</v>
      </c>
      <c r="U320" t="n">
        <v>15</v>
      </c>
      <c r="V320" t="b">
        <v>0</v>
      </c>
      <c r="X320" t="b">
        <v>0</v>
      </c>
      <c r="Y320" t="n">
        <v>0.47</v>
      </c>
    </row>
    <row r="321">
      <c r="A321" t="inlineStr">
        <is>
          <t>O00320</t>
        </is>
      </c>
      <c r="B321" t="inlineStr">
        <is>
          <t>C0061</t>
        </is>
      </c>
      <c r="C321" t="inlineStr">
        <is>
          <t>S005</t>
        </is>
      </c>
      <c r="D321" t="inlineStr">
        <is>
          <t>R005</t>
        </is>
      </c>
      <c r="E321" s="3" t="n">
        <v>46270.57916666667</v>
      </c>
      <c r="F321" s="3" t="n">
        <v>46270.58743055556</v>
      </c>
      <c r="G321" s="3" t="n">
        <v>46270.58694444445</v>
      </c>
      <c r="H321" t="inlineStr">
        <is>
          <t>Delivered</t>
        </is>
      </c>
      <c r="I321" t="n">
        <v>4</v>
      </c>
      <c r="J321" t="n">
        <v>4</v>
      </c>
      <c r="K321" t="n">
        <v>972.74</v>
      </c>
      <c r="L321" t="n">
        <v>1.21</v>
      </c>
      <c r="M321" t="n">
        <v>5.4</v>
      </c>
      <c r="N321" t="n">
        <v>2.6</v>
      </c>
      <c r="O321" t="n">
        <v>3.2</v>
      </c>
      <c r="P321" t="n">
        <v>11.9</v>
      </c>
      <c r="Q321" t="n">
        <v>11.2</v>
      </c>
      <c r="R321" t="n">
        <v>-0.7</v>
      </c>
      <c r="S321" t="b">
        <v>1</v>
      </c>
      <c r="U321" t="n">
        <v>13</v>
      </c>
      <c r="V321" t="b">
        <v>0</v>
      </c>
      <c r="X321" t="b">
        <v>0</v>
      </c>
      <c r="Y321" t="n">
        <v>0.31</v>
      </c>
    </row>
    <row r="322">
      <c r="A322" t="inlineStr">
        <is>
          <t>O00321</t>
        </is>
      </c>
      <c r="B322" t="inlineStr">
        <is>
          <t>C0086</t>
        </is>
      </c>
      <c r="C322" t="inlineStr">
        <is>
          <t>S008</t>
        </is>
      </c>
      <c r="D322" t="inlineStr">
        <is>
          <t>R039</t>
        </is>
      </c>
      <c r="E322" s="3" t="n">
        <v>46277.45138888889</v>
      </c>
      <c r="F322" s="3" t="n">
        <v>46277.4575</v>
      </c>
      <c r="G322" s="3" t="n">
        <v>46277.45701388889</v>
      </c>
      <c r="H322" t="inlineStr">
        <is>
          <t>Delivered</t>
        </is>
      </c>
      <c r="I322" t="n">
        <v>4</v>
      </c>
      <c r="J322" t="n">
        <v>7</v>
      </c>
      <c r="K322" t="n">
        <v>873.49</v>
      </c>
      <c r="L322" t="n">
        <v>2.13</v>
      </c>
      <c r="M322" t="n">
        <v>2.5</v>
      </c>
      <c r="N322" t="n">
        <v>3.1</v>
      </c>
      <c r="O322" t="n">
        <v>2.5</v>
      </c>
      <c r="P322" t="n">
        <v>8.800000000000001</v>
      </c>
      <c r="Q322" t="n">
        <v>8.1</v>
      </c>
      <c r="R322" t="n">
        <v>-0.7</v>
      </c>
      <c r="S322" t="b">
        <v>1</v>
      </c>
      <c r="U322" t="n">
        <v>10</v>
      </c>
      <c r="V322" t="b">
        <v>0</v>
      </c>
      <c r="X322" t="b">
        <v>0</v>
      </c>
      <c r="Y322" t="n">
        <v>0.51</v>
      </c>
    </row>
    <row r="323">
      <c r="A323" t="inlineStr">
        <is>
          <t>O00322</t>
        </is>
      </c>
      <c r="B323" t="inlineStr">
        <is>
          <t>C0032</t>
        </is>
      </c>
      <c r="C323" t="inlineStr">
        <is>
          <t>S003</t>
        </is>
      </c>
      <c r="D323" t="inlineStr">
        <is>
          <t>R046</t>
        </is>
      </c>
      <c r="E323" s="3" t="n">
        <v>46267.88194444445</v>
      </c>
      <c r="F323" s="3" t="n">
        <v>46267.88833333334</v>
      </c>
      <c r="G323" s="3" t="n">
        <v>46267.88777777777</v>
      </c>
      <c r="H323" t="inlineStr">
        <is>
          <t>Delivered</t>
        </is>
      </c>
      <c r="I323" t="n">
        <v>6</v>
      </c>
      <c r="J323" t="n">
        <v>8</v>
      </c>
      <c r="K323" t="n">
        <v>736.1900000000001</v>
      </c>
      <c r="L323" t="n">
        <v>1.04</v>
      </c>
      <c r="M323" t="n">
        <v>2.6</v>
      </c>
      <c r="N323" t="n">
        <v>3.6</v>
      </c>
      <c r="O323" t="n">
        <v>2.2</v>
      </c>
      <c r="P323" t="n">
        <v>9.199999999999999</v>
      </c>
      <c r="Q323" t="n">
        <v>8.4</v>
      </c>
      <c r="R323" t="n">
        <v>-0.8</v>
      </c>
      <c r="S323" t="b">
        <v>1</v>
      </c>
      <c r="U323" t="n">
        <v>21</v>
      </c>
      <c r="V323" t="b">
        <v>1</v>
      </c>
      <c r="X323" t="b">
        <v>0</v>
      </c>
      <c r="Y323" t="n">
        <v>0.5600000000000001</v>
      </c>
    </row>
    <row r="324">
      <c r="A324" t="inlineStr">
        <is>
          <t>O00323</t>
        </is>
      </c>
      <c r="B324" t="inlineStr">
        <is>
          <t>C0007</t>
        </is>
      </c>
      <c r="C324" t="inlineStr">
        <is>
          <t>S011</t>
        </is>
      </c>
      <c r="D324" t="inlineStr">
        <is>
          <t>R017</t>
        </is>
      </c>
      <c r="E324" s="3" t="n">
        <v>46273.88055555556</v>
      </c>
      <c r="F324" s="3" t="n">
        <v>46273.885625</v>
      </c>
      <c r="G324" s="3" t="n">
        <v>46273.89152777778</v>
      </c>
      <c r="H324" t="inlineStr">
        <is>
          <t>Delivered</t>
        </is>
      </c>
      <c r="I324" t="n">
        <v>1</v>
      </c>
      <c r="J324" t="n">
        <v>11</v>
      </c>
      <c r="K324" t="n">
        <v>1066.1</v>
      </c>
      <c r="L324" t="n">
        <v>0.66</v>
      </c>
      <c r="M324" t="n">
        <v>5.5</v>
      </c>
      <c r="N324" t="n">
        <v>5.1</v>
      </c>
      <c r="O324" t="n">
        <v>5.3</v>
      </c>
      <c r="P324" t="n">
        <v>7.3</v>
      </c>
      <c r="Q324" t="n">
        <v>15.8</v>
      </c>
      <c r="R324" t="n">
        <v>8.5</v>
      </c>
      <c r="S324" t="b">
        <v>0</v>
      </c>
      <c r="U324" t="n">
        <v>21</v>
      </c>
      <c r="V324" t="b">
        <v>1</v>
      </c>
      <c r="W324" t="inlineStr">
        <is>
          <t>Heavy</t>
        </is>
      </c>
      <c r="X324" t="b">
        <v>0</v>
      </c>
      <c r="Y324" t="n">
        <v>0.6</v>
      </c>
    </row>
    <row r="325">
      <c r="A325" t="inlineStr">
        <is>
          <t>O00324</t>
        </is>
      </c>
      <c r="B325" t="inlineStr">
        <is>
          <t>C0019</t>
        </is>
      </c>
      <c r="C325" t="inlineStr">
        <is>
          <t>S006</t>
        </is>
      </c>
      <c r="D325" t="inlineStr">
        <is>
          <t>R025</t>
        </is>
      </c>
      <c r="E325" s="3" t="n">
        <v>46275.59305555555</v>
      </c>
      <c r="F325" s="3" t="n">
        <v>46275.60152777778</v>
      </c>
      <c r="G325" s="3" t="n">
        <v>46275.60111111111</v>
      </c>
      <c r="H325" t="inlineStr">
        <is>
          <t>Delivered</t>
        </is>
      </c>
      <c r="I325" t="n">
        <v>2</v>
      </c>
      <c r="J325" t="n">
        <v>11</v>
      </c>
      <c r="K325" t="n">
        <v>1460.04</v>
      </c>
      <c r="L325" t="n">
        <v>1.8</v>
      </c>
      <c r="M325" t="n">
        <v>4.2</v>
      </c>
      <c r="N325" t="n">
        <v>2.7</v>
      </c>
      <c r="O325" t="n">
        <v>4.7</v>
      </c>
      <c r="P325" t="n">
        <v>12.2</v>
      </c>
      <c r="Q325" t="n">
        <v>11.6</v>
      </c>
      <c r="R325" t="n">
        <v>-0.6</v>
      </c>
      <c r="S325" t="b">
        <v>1</v>
      </c>
      <c r="U325" t="n">
        <v>14</v>
      </c>
      <c r="V325" t="b">
        <v>0</v>
      </c>
      <c r="W325" t="inlineStr">
        <is>
          <t>Light</t>
        </is>
      </c>
      <c r="X325" t="b">
        <v>0</v>
      </c>
      <c r="Y325" t="n">
        <v>0.77</v>
      </c>
    </row>
    <row r="326">
      <c r="A326" t="inlineStr">
        <is>
          <t>O00325</t>
        </is>
      </c>
      <c r="B326" t="inlineStr">
        <is>
          <t>C0143</t>
        </is>
      </c>
      <c r="C326" t="inlineStr">
        <is>
          <t>S016</t>
        </is>
      </c>
      <c r="D326" t="inlineStr">
        <is>
          <t>R031</t>
        </is>
      </c>
      <c r="E326" s="3" t="n">
        <v>46266.89097222222</v>
      </c>
      <c r="F326" s="3" t="n">
        <v>46266.89868055555</v>
      </c>
      <c r="G326" s="3" t="n">
        <v>46266.89826388889</v>
      </c>
      <c r="H326" t="inlineStr">
        <is>
          <t>Delivered</t>
        </is>
      </c>
      <c r="I326" t="n">
        <v>4</v>
      </c>
      <c r="J326" t="n">
        <v>4</v>
      </c>
      <c r="K326" t="n">
        <v>261.29</v>
      </c>
      <c r="L326" t="n">
        <v>2.6</v>
      </c>
      <c r="M326" t="n">
        <v>2.5</v>
      </c>
      <c r="N326" t="n">
        <v>4.4</v>
      </c>
      <c r="O326" t="n">
        <v>3.6</v>
      </c>
      <c r="P326" t="n">
        <v>11.1</v>
      </c>
      <c r="Q326" t="n">
        <v>10.5</v>
      </c>
      <c r="R326" t="n">
        <v>-0.6</v>
      </c>
      <c r="S326" t="b">
        <v>1</v>
      </c>
      <c r="U326" t="n">
        <v>21</v>
      </c>
      <c r="V326" t="b">
        <v>1</v>
      </c>
      <c r="W326" t="inlineStr">
        <is>
          <t>Light</t>
        </is>
      </c>
      <c r="X326" t="b">
        <v>0</v>
      </c>
      <c r="Y326" t="n">
        <v>0.34</v>
      </c>
    </row>
    <row r="327">
      <c r="A327" t="inlineStr">
        <is>
          <t>O00326</t>
        </is>
      </c>
      <c r="B327" t="inlineStr">
        <is>
          <t>C0092</t>
        </is>
      </c>
      <c r="C327" t="inlineStr">
        <is>
          <t>S007</t>
        </is>
      </c>
      <c r="D327" t="inlineStr">
        <is>
          <t>R077</t>
        </is>
      </c>
      <c r="E327" s="3" t="n">
        <v>46276.81944444445</v>
      </c>
      <c r="F327" s="3" t="n">
        <v>46276.82527777777</v>
      </c>
      <c r="G327" s="3" t="n">
        <v>46276.82486111111</v>
      </c>
      <c r="H327" t="inlineStr">
        <is>
          <t>Delivered</t>
        </is>
      </c>
      <c r="I327" t="n">
        <v>1</v>
      </c>
      <c r="J327" t="n">
        <v>9</v>
      </c>
      <c r="K327" t="n">
        <v>694.29</v>
      </c>
      <c r="L327" t="n">
        <v>0.5</v>
      </c>
      <c r="M327" t="n">
        <v>2.6</v>
      </c>
      <c r="N327" t="n">
        <v>3.9</v>
      </c>
      <c r="O327" t="n">
        <v>1.3</v>
      </c>
      <c r="P327" t="n">
        <v>8.4</v>
      </c>
      <c r="Q327" t="n">
        <v>7.8</v>
      </c>
      <c r="R327" t="n">
        <v>-0.6</v>
      </c>
      <c r="S327" t="b">
        <v>1</v>
      </c>
      <c r="U327" t="n">
        <v>19</v>
      </c>
      <c r="V327" t="b">
        <v>1</v>
      </c>
      <c r="X327" t="b">
        <v>0</v>
      </c>
      <c r="Y327" t="n">
        <v>0.58</v>
      </c>
    </row>
    <row r="328">
      <c r="A328" t="inlineStr">
        <is>
          <t>O00327</t>
        </is>
      </c>
      <c r="B328" t="inlineStr">
        <is>
          <t>C0078</t>
        </is>
      </c>
      <c r="C328" t="inlineStr">
        <is>
          <t>S013</t>
        </is>
      </c>
      <c r="D328" t="inlineStr">
        <is>
          <t>R029</t>
        </is>
      </c>
      <c r="E328" s="3" t="n">
        <v>46277.77222222222</v>
      </c>
      <c r="F328" s="3" t="n">
        <v>46277.779375</v>
      </c>
      <c r="G328" s="3" t="n">
        <v>46277.77923611111</v>
      </c>
      <c r="H328" t="inlineStr">
        <is>
          <t>Delivered</t>
        </is>
      </c>
      <c r="I328" t="n">
        <v>1</v>
      </c>
      <c r="J328" t="n">
        <v>5</v>
      </c>
      <c r="K328" t="n">
        <v>273.75</v>
      </c>
      <c r="L328" t="n">
        <v>2.31</v>
      </c>
      <c r="M328" t="n">
        <v>3.1</v>
      </c>
      <c r="N328" t="n">
        <v>4.3</v>
      </c>
      <c r="O328" t="n">
        <v>2.7</v>
      </c>
      <c r="P328" t="n">
        <v>10.3</v>
      </c>
      <c r="Q328" t="n">
        <v>10.1</v>
      </c>
      <c r="R328" t="n">
        <v>-0.2</v>
      </c>
      <c r="S328" t="b">
        <v>1</v>
      </c>
      <c r="U328" t="n">
        <v>18</v>
      </c>
      <c r="V328" t="b">
        <v>0</v>
      </c>
      <c r="X328" t="b">
        <v>0</v>
      </c>
      <c r="Y328" t="n">
        <v>0.27</v>
      </c>
    </row>
    <row r="329">
      <c r="A329" t="inlineStr">
        <is>
          <t>O00328</t>
        </is>
      </c>
      <c r="B329" t="inlineStr">
        <is>
          <t>C0212</t>
        </is>
      </c>
      <c r="C329" t="inlineStr">
        <is>
          <t>S020</t>
        </is>
      </c>
      <c r="D329" t="inlineStr">
        <is>
          <t>R069</t>
        </is>
      </c>
      <c r="E329" s="3" t="n">
        <v>46270.90902777778</v>
      </c>
      <c r="F329" s="3" t="n">
        <v>46270.91604166666</v>
      </c>
      <c r="G329" s="3" t="n">
        <v>46270.91576388889</v>
      </c>
      <c r="H329" t="inlineStr">
        <is>
          <t>Delivered</t>
        </is>
      </c>
      <c r="I329" t="n">
        <v>3</v>
      </c>
      <c r="J329" t="n">
        <v>11</v>
      </c>
      <c r="K329" t="n">
        <v>472.09</v>
      </c>
      <c r="L329" t="n">
        <v>0.5</v>
      </c>
      <c r="M329" t="n">
        <v>3.8</v>
      </c>
      <c r="N329" t="n">
        <v>3.8</v>
      </c>
      <c r="O329" t="n">
        <v>2.1</v>
      </c>
      <c r="P329" t="n">
        <v>10.1</v>
      </c>
      <c r="Q329" t="n">
        <v>9.699999999999999</v>
      </c>
      <c r="R329" t="n">
        <v>-0.4</v>
      </c>
      <c r="S329" t="b">
        <v>1</v>
      </c>
      <c r="U329" t="n">
        <v>21</v>
      </c>
      <c r="V329" t="b">
        <v>1</v>
      </c>
      <c r="W329" t="inlineStr">
        <is>
          <t>Light</t>
        </is>
      </c>
      <c r="X329" t="b">
        <v>0</v>
      </c>
      <c r="Y329" t="n">
        <v>0.92</v>
      </c>
    </row>
    <row r="330">
      <c r="A330" t="inlineStr">
        <is>
          <t>O00329</t>
        </is>
      </c>
      <c r="B330" t="inlineStr">
        <is>
          <t>C0109</t>
        </is>
      </c>
      <c r="C330" t="inlineStr">
        <is>
          <t>S001</t>
        </is>
      </c>
      <c r="D330" t="inlineStr">
        <is>
          <t>R018</t>
        </is>
      </c>
      <c r="E330" s="3" t="n">
        <v>46266.93541666667</v>
      </c>
      <c r="F330" s="3" t="n">
        <v>46266.945</v>
      </c>
      <c r="G330" s="3" t="n">
        <v>46266.94423611111</v>
      </c>
      <c r="H330" t="inlineStr">
        <is>
          <t>Delivered</t>
        </is>
      </c>
      <c r="I330" t="n">
        <v>3</v>
      </c>
      <c r="J330" t="n">
        <v>9</v>
      </c>
      <c r="K330" t="n">
        <v>411.63</v>
      </c>
      <c r="L330" t="n">
        <v>2.7</v>
      </c>
      <c r="M330" t="n">
        <v>3.3</v>
      </c>
      <c r="N330" t="n">
        <v>4.6</v>
      </c>
      <c r="O330" t="n">
        <v>4.8</v>
      </c>
      <c r="P330" t="n">
        <v>13.8</v>
      </c>
      <c r="Q330" t="n">
        <v>12.7</v>
      </c>
      <c r="R330" t="n">
        <v>-1.1</v>
      </c>
      <c r="S330" t="b">
        <v>1</v>
      </c>
      <c r="U330" t="n">
        <v>22</v>
      </c>
      <c r="V330" t="b">
        <v>0</v>
      </c>
      <c r="X330" t="b">
        <v>0</v>
      </c>
      <c r="Y330" t="n">
        <v>0.5</v>
      </c>
    </row>
    <row r="331">
      <c r="A331" t="inlineStr">
        <is>
          <t>O00330</t>
        </is>
      </c>
      <c r="B331" t="inlineStr">
        <is>
          <t>C0195</t>
        </is>
      </c>
      <c r="C331" t="inlineStr">
        <is>
          <t>S003</t>
        </is>
      </c>
      <c r="D331" t="inlineStr">
        <is>
          <t>R073</t>
        </is>
      </c>
      <c r="E331" s="3" t="n">
        <v>46275.83333333334</v>
      </c>
      <c r="F331" s="3" t="n">
        <v>46275.84034722222</v>
      </c>
      <c r="G331" s="3" t="n">
        <v>46275.84013888889</v>
      </c>
      <c r="H331" t="inlineStr">
        <is>
          <t>Delivered</t>
        </is>
      </c>
      <c r="I331" t="n">
        <v>1</v>
      </c>
      <c r="J331" t="n">
        <v>4</v>
      </c>
      <c r="K331" t="n">
        <v>343.02</v>
      </c>
      <c r="L331" t="n">
        <v>2.1</v>
      </c>
      <c r="M331" t="n">
        <v>2</v>
      </c>
      <c r="N331" t="n">
        <v>3.7</v>
      </c>
      <c r="O331" t="n">
        <v>4.1</v>
      </c>
      <c r="P331" t="n">
        <v>10.1</v>
      </c>
      <c r="Q331" t="n">
        <v>9.800000000000001</v>
      </c>
      <c r="R331" t="n">
        <v>-0.3</v>
      </c>
      <c r="S331" t="b">
        <v>1</v>
      </c>
      <c r="U331" t="n">
        <v>20</v>
      </c>
      <c r="V331" t="b">
        <v>1</v>
      </c>
      <c r="X331" t="b">
        <v>0</v>
      </c>
      <c r="Y331" t="n">
        <v>0.8</v>
      </c>
    </row>
    <row r="332">
      <c r="A332" t="inlineStr">
        <is>
          <t>O00331</t>
        </is>
      </c>
      <c r="B332" t="inlineStr">
        <is>
          <t>C0143</t>
        </is>
      </c>
      <c r="C332" t="inlineStr">
        <is>
          <t>S001</t>
        </is>
      </c>
      <c r="D332" t="inlineStr">
        <is>
          <t>R066</t>
        </is>
      </c>
      <c r="E332" s="3" t="n">
        <v>46267.57916666667</v>
      </c>
      <c r="F332" s="3" t="n">
        <v>46267.58715277778</v>
      </c>
      <c r="G332" s="3" t="n">
        <v>46267.58701388889</v>
      </c>
      <c r="H332" t="inlineStr">
        <is>
          <t>Delivered</t>
        </is>
      </c>
      <c r="I332" t="n">
        <v>2</v>
      </c>
      <c r="J332" t="n">
        <v>4</v>
      </c>
      <c r="K332" t="n">
        <v>1292.87</v>
      </c>
      <c r="L332" t="n">
        <v>3.31</v>
      </c>
      <c r="M332" t="n">
        <v>2.8</v>
      </c>
      <c r="N332" t="n">
        <v>4.8</v>
      </c>
      <c r="O332" t="n">
        <v>3.7</v>
      </c>
      <c r="P332" t="n">
        <v>11.5</v>
      </c>
      <c r="Q332" t="n">
        <v>11.3</v>
      </c>
      <c r="R332" t="n">
        <v>-0.2</v>
      </c>
      <c r="S332" t="b">
        <v>1</v>
      </c>
      <c r="U332" t="n">
        <v>13</v>
      </c>
      <c r="V332" t="b">
        <v>0</v>
      </c>
      <c r="X332" t="b">
        <v>0</v>
      </c>
      <c r="Y332" t="n">
        <v>0.63</v>
      </c>
    </row>
    <row r="333">
      <c r="A333" t="inlineStr">
        <is>
          <t>O00332</t>
        </is>
      </c>
      <c r="B333" t="inlineStr">
        <is>
          <t>C0241</t>
        </is>
      </c>
      <c r="C333" t="inlineStr">
        <is>
          <t>S018</t>
        </is>
      </c>
      <c r="D333" t="inlineStr">
        <is>
          <t>R010</t>
        </is>
      </c>
      <c r="E333" s="3" t="n">
        <v>46268.63680555556</v>
      </c>
      <c r="F333" s="3" t="n">
        <v>46268.64430555556</v>
      </c>
      <c r="G333" s="3" t="n">
        <v>46268.64965277778</v>
      </c>
      <c r="H333" t="inlineStr">
        <is>
          <t>Delivered</t>
        </is>
      </c>
      <c r="I333" t="n">
        <v>3</v>
      </c>
      <c r="J333" t="n">
        <v>10</v>
      </c>
      <c r="K333" t="n">
        <v>996.6799999999999</v>
      </c>
      <c r="L333" t="n">
        <v>1.1</v>
      </c>
      <c r="M333" t="n">
        <v>7</v>
      </c>
      <c r="N333" t="n">
        <v>7.3</v>
      </c>
      <c r="O333" t="n">
        <v>4.3</v>
      </c>
      <c r="P333" t="n">
        <v>10.8</v>
      </c>
      <c r="Q333" t="n">
        <v>18.5</v>
      </c>
      <c r="R333" t="n">
        <v>7.7</v>
      </c>
      <c r="S333" t="b">
        <v>0</v>
      </c>
      <c r="U333" t="n">
        <v>15</v>
      </c>
      <c r="V333" t="b">
        <v>0</v>
      </c>
      <c r="W333" t="inlineStr">
        <is>
          <t>Light</t>
        </is>
      </c>
      <c r="X333" t="b">
        <v>0</v>
      </c>
      <c r="Y333" t="n">
        <v>0.37</v>
      </c>
    </row>
    <row r="334">
      <c r="A334" t="inlineStr">
        <is>
          <t>O00333</t>
        </is>
      </c>
      <c r="B334" t="inlineStr">
        <is>
          <t>C0197</t>
        </is>
      </c>
      <c r="C334" t="inlineStr">
        <is>
          <t>S011</t>
        </is>
      </c>
      <c r="D334" t="inlineStr">
        <is>
          <t>R010</t>
        </is>
      </c>
      <c r="E334" s="3" t="n">
        <v>46268.78125</v>
      </c>
      <c r="F334" s="3" t="n">
        <v>46268.78756944444</v>
      </c>
      <c r="G334" s="3" t="n">
        <v>46268.78708333334</v>
      </c>
      <c r="H334" t="inlineStr">
        <is>
          <t>Delivered</t>
        </is>
      </c>
      <c r="I334" t="n">
        <v>6</v>
      </c>
      <c r="J334" t="n">
        <v>10</v>
      </c>
      <c r="K334" t="n">
        <v>890.01</v>
      </c>
      <c r="L334" t="n">
        <v>2.32</v>
      </c>
      <c r="M334" t="n">
        <v>2.2</v>
      </c>
      <c r="N334" t="n">
        <v>3.3</v>
      </c>
      <c r="O334" t="n">
        <v>2.9</v>
      </c>
      <c r="P334" t="n">
        <v>9.1</v>
      </c>
      <c r="Q334" t="n">
        <v>8.4</v>
      </c>
      <c r="R334" t="n">
        <v>-0.7</v>
      </c>
      <c r="S334" t="b">
        <v>1</v>
      </c>
      <c r="U334" t="n">
        <v>18</v>
      </c>
      <c r="V334" t="b">
        <v>0</v>
      </c>
      <c r="X334" t="b">
        <v>0</v>
      </c>
      <c r="Y334" t="n">
        <v>0.72</v>
      </c>
    </row>
    <row r="335">
      <c r="A335" t="inlineStr">
        <is>
          <t>O00334</t>
        </is>
      </c>
      <c r="B335" t="inlineStr">
        <is>
          <t>C0006</t>
        </is>
      </c>
      <c r="C335" t="inlineStr">
        <is>
          <t>S005</t>
        </is>
      </c>
      <c r="D335" t="inlineStr">
        <is>
          <t>R051</t>
        </is>
      </c>
      <c r="E335" s="3" t="n">
        <v>46271.35972222222</v>
      </c>
      <c r="F335" s="3" t="n">
        <v>46271.36666666667</v>
      </c>
      <c r="G335" s="3" t="n">
        <v>46271.36652777778</v>
      </c>
      <c r="H335" t="inlineStr">
        <is>
          <t>Delivered</t>
        </is>
      </c>
      <c r="I335" t="n">
        <v>4</v>
      </c>
      <c r="J335" t="n">
        <v>7</v>
      </c>
      <c r="K335" t="n">
        <v>530.33</v>
      </c>
      <c r="L335" t="n">
        <v>0.58</v>
      </c>
      <c r="M335" t="n">
        <v>5.7</v>
      </c>
      <c r="N335" t="n">
        <v>2.1</v>
      </c>
      <c r="O335" t="n">
        <v>2</v>
      </c>
      <c r="P335" t="n">
        <v>10</v>
      </c>
      <c r="Q335" t="n">
        <v>9.800000000000001</v>
      </c>
      <c r="R335" t="n">
        <v>-0.2</v>
      </c>
      <c r="S335" t="b">
        <v>1</v>
      </c>
      <c r="U335" t="n">
        <v>8</v>
      </c>
      <c r="V335" t="b">
        <v>0</v>
      </c>
      <c r="X335" t="b">
        <v>0</v>
      </c>
      <c r="Y335" t="n">
        <v>0.17</v>
      </c>
    </row>
    <row r="336">
      <c r="A336" t="inlineStr">
        <is>
          <t>O00335</t>
        </is>
      </c>
      <c r="B336" t="inlineStr">
        <is>
          <t>C0064</t>
        </is>
      </c>
      <c r="C336" t="inlineStr">
        <is>
          <t>S004</t>
        </is>
      </c>
      <c r="D336" t="inlineStr">
        <is>
          <t>R013</t>
        </is>
      </c>
      <c r="E336" s="3" t="n">
        <v>46273.84583333333</v>
      </c>
      <c r="F336" s="3" t="n">
        <v>46273.85131944445</v>
      </c>
      <c r="G336" s="3" t="n">
        <v>46273.85090277778</v>
      </c>
      <c r="H336" t="inlineStr">
        <is>
          <t>Delivered</t>
        </is>
      </c>
      <c r="I336" t="n">
        <v>6</v>
      </c>
      <c r="J336" t="n">
        <v>9</v>
      </c>
      <c r="K336" t="n">
        <v>261.33</v>
      </c>
      <c r="L336" t="n">
        <v>1.13</v>
      </c>
      <c r="M336" t="n">
        <v>1.4</v>
      </c>
      <c r="N336" t="n">
        <v>3.9</v>
      </c>
      <c r="O336" t="n">
        <v>2</v>
      </c>
      <c r="P336" t="n">
        <v>7.9</v>
      </c>
      <c r="Q336" t="n">
        <v>7.3</v>
      </c>
      <c r="R336" t="n">
        <v>-0.6</v>
      </c>
      <c r="S336" t="b">
        <v>1</v>
      </c>
      <c r="U336" t="n">
        <v>20</v>
      </c>
      <c r="V336" t="b">
        <v>1</v>
      </c>
      <c r="X336" t="b">
        <v>1</v>
      </c>
      <c r="Y336" t="n">
        <v>0.59</v>
      </c>
    </row>
    <row r="337">
      <c r="A337" t="inlineStr">
        <is>
          <t>O00336</t>
        </is>
      </c>
      <c r="B337" t="inlineStr">
        <is>
          <t>C0013</t>
        </is>
      </c>
      <c r="C337" t="inlineStr">
        <is>
          <t>S011</t>
        </is>
      </c>
      <c r="D337" t="inlineStr">
        <is>
          <t>R017</t>
        </is>
      </c>
      <c r="E337" s="3" t="n">
        <v>46271.54027777778</v>
      </c>
      <c r="F337" s="3" t="n">
        <v>46271.54736111111</v>
      </c>
      <c r="G337" s="3" t="n">
        <v>46271.54659722222</v>
      </c>
      <c r="H337" t="inlineStr">
        <is>
          <t>Delivered</t>
        </is>
      </c>
      <c r="I337" t="n">
        <v>1</v>
      </c>
      <c r="J337" t="n">
        <v>2</v>
      </c>
      <c r="K337" t="n">
        <v>702.78</v>
      </c>
      <c r="L337" t="n">
        <v>2.57</v>
      </c>
      <c r="M337" t="n">
        <v>4.1</v>
      </c>
      <c r="N337" t="n">
        <v>1.7</v>
      </c>
      <c r="O337" t="n">
        <v>3.3</v>
      </c>
      <c r="P337" t="n">
        <v>10.2</v>
      </c>
      <c r="Q337" t="n">
        <v>9.1</v>
      </c>
      <c r="R337" t="n">
        <v>-1.1</v>
      </c>
      <c r="S337" t="b">
        <v>1</v>
      </c>
      <c r="U337" t="n">
        <v>12</v>
      </c>
      <c r="V337" t="b">
        <v>0</v>
      </c>
      <c r="X337" t="b">
        <v>0</v>
      </c>
      <c r="Y337" t="n">
        <v>0.19</v>
      </c>
    </row>
    <row r="338">
      <c r="A338" t="inlineStr">
        <is>
          <t>O00337</t>
        </is>
      </c>
      <c r="B338" t="inlineStr">
        <is>
          <t>C0027</t>
        </is>
      </c>
      <c r="C338" t="inlineStr">
        <is>
          <t>S001</t>
        </is>
      </c>
      <c r="D338" t="inlineStr">
        <is>
          <t>R043</t>
        </is>
      </c>
      <c r="E338" s="3" t="n">
        <v>46277.94861111111</v>
      </c>
      <c r="F338" s="3" t="n">
        <v>46277.95597222223</v>
      </c>
      <c r="G338" s="3" t="n">
        <v>46277.95527777778</v>
      </c>
      <c r="H338" t="inlineStr">
        <is>
          <t>Delivered</t>
        </is>
      </c>
      <c r="I338" t="n">
        <v>3</v>
      </c>
      <c r="J338" t="n">
        <v>7</v>
      </c>
      <c r="K338" t="n">
        <v>833.39</v>
      </c>
      <c r="L338" t="n">
        <v>3.06</v>
      </c>
      <c r="M338" t="n">
        <v>3.9</v>
      </c>
      <c r="N338" t="n">
        <v>0.8</v>
      </c>
      <c r="O338" t="n">
        <v>4.9</v>
      </c>
      <c r="P338" t="n">
        <v>10.6</v>
      </c>
      <c r="Q338" t="n">
        <v>9.6</v>
      </c>
      <c r="R338" t="n">
        <v>-1</v>
      </c>
      <c r="S338" t="b">
        <v>1</v>
      </c>
      <c r="U338" t="n">
        <v>22</v>
      </c>
      <c r="V338" t="b">
        <v>0</v>
      </c>
      <c r="X338" t="b">
        <v>0</v>
      </c>
      <c r="Y338" t="n">
        <v>0.14</v>
      </c>
    </row>
    <row r="339">
      <c r="A339" t="inlineStr">
        <is>
          <t>O00338</t>
        </is>
      </c>
      <c r="B339" t="inlineStr">
        <is>
          <t>C0111</t>
        </is>
      </c>
      <c r="C339" t="inlineStr">
        <is>
          <t>S010</t>
        </is>
      </c>
      <c r="D339" t="inlineStr">
        <is>
          <t>R059</t>
        </is>
      </c>
      <c r="E339" s="3" t="n">
        <v>46269.78888888889</v>
      </c>
      <c r="F339" s="3" t="n">
        <v>46269.79743055555</v>
      </c>
      <c r="G339" s="3" t="n">
        <v>46269.79680555555</v>
      </c>
      <c r="H339" t="inlineStr">
        <is>
          <t>Delivered</t>
        </is>
      </c>
      <c r="I339" t="n">
        <v>1</v>
      </c>
      <c r="J339" t="n">
        <v>5</v>
      </c>
      <c r="K339" t="n">
        <v>1119.3</v>
      </c>
      <c r="L339" t="n">
        <v>2.76</v>
      </c>
      <c r="M339" t="n">
        <v>4.9</v>
      </c>
      <c r="N339" t="n">
        <v>2.3</v>
      </c>
      <c r="O339" t="n">
        <v>4.2</v>
      </c>
      <c r="P339" t="n">
        <v>12.3</v>
      </c>
      <c r="Q339" t="n">
        <v>11.4</v>
      </c>
      <c r="R339" t="n">
        <v>-0.9</v>
      </c>
      <c r="S339" t="b">
        <v>1</v>
      </c>
      <c r="U339" t="n">
        <v>18</v>
      </c>
      <c r="V339" t="b">
        <v>0</v>
      </c>
      <c r="X339" t="b">
        <v>0</v>
      </c>
      <c r="Y339" t="n">
        <v>0.48</v>
      </c>
    </row>
    <row r="340">
      <c r="A340" t="inlineStr">
        <is>
          <t>O00339</t>
        </is>
      </c>
      <c r="B340" t="inlineStr">
        <is>
          <t>C0205</t>
        </is>
      </c>
      <c r="C340" t="inlineStr">
        <is>
          <t>S001</t>
        </is>
      </c>
      <c r="D340" t="inlineStr">
        <is>
          <t>R033</t>
        </is>
      </c>
      <c r="E340" s="3" t="n">
        <v>46274.37083333333</v>
      </c>
      <c r="F340" s="3" t="n">
        <v>46274.37784722223</v>
      </c>
      <c r="G340" s="3" t="n">
        <v>46274.37715277778</v>
      </c>
      <c r="H340" t="inlineStr">
        <is>
          <t>Delivered</t>
        </is>
      </c>
      <c r="I340" t="n">
        <v>2</v>
      </c>
      <c r="J340" t="n">
        <v>9</v>
      </c>
      <c r="K340" t="n">
        <v>1296.32</v>
      </c>
      <c r="L340" t="n">
        <v>2.23</v>
      </c>
      <c r="M340" t="n">
        <v>2.8</v>
      </c>
      <c r="N340" t="n">
        <v>0.7</v>
      </c>
      <c r="O340" t="n">
        <v>5.6</v>
      </c>
      <c r="P340" t="n">
        <v>10.1</v>
      </c>
      <c r="Q340" t="n">
        <v>9.1</v>
      </c>
      <c r="R340" t="n">
        <v>-1</v>
      </c>
      <c r="S340" t="b">
        <v>1</v>
      </c>
      <c r="U340" t="n">
        <v>8</v>
      </c>
      <c r="V340" t="b">
        <v>0</v>
      </c>
      <c r="W340" t="inlineStr">
        <is>
          <t>Light</t>
        </is>
      </c>
      <c r="X340" t="b">
        <v>0</v>
      </c>
      <c r="Y340" t="n">
        <v>0.53</v>
      </c>
    </row>
    <row r="341">
      <c r="A341" t="inlineStr">
        <is>
          <t>O00340</t>
        </is>
      </c>
      <c r="B341" t="inlineStr">
        <is>
          <t>C0034</t>
        </is>
      </c>
      <c r="C341" t="inlineStr">
        <is>
          <t>S007</t>
        </is>
      </c>
      <c r="D341" t="inlineStr">
        <is>
          <t>R080</t>
        </is>
      </c>
      <c r="E341" s="3" t="n">
        <v>46267.97847222222</v>
      </c>
      <c r="F341" s="3" t="n">
        <v>46267.98652777778</v>
      </c>
      <c r="G341" s="3" t="n">
        <v>46267.98604166666</v>
      </c>
      <c r="H341" t="inlineStr">
        <is>
          <t>Delivered</t>
        </is>
      </c>
      <c r="I341" t="n">
        <v>3</v>
      </c>
      <c r="J341" t="n">
        <v>4</v>
      </c>
      <c r="K341" t="n">
        <v>899.85</v>
      </c>
      <c r="L341" t="n">
        <v>4.05</v>
      </c>
      <c r="M341" t="n">
        <v>2.6</v>
      </c>
      <c r="N341" t="n">
        <v>1.3</v>
      </c>
      <c r="O341" t="n">
        <v>7</v>
      </c>
      <c r="P341" t="n">
        <v>11.6</v>
      </c>
      <c r="Q341" t="n">
        <v>10.9</v>
      </c>
      <c r="R341" t="n">
        <v>-0.7</v>
      </c>
      <c r="S341" t="b">
        <v>1</v>
      </c>
      <c r="U341" t="n">
        <v>23</v>
      </c>
      <c r="V341" t="b">
        <v>0</v>
      </c>
      <c r="X341" t="b">
        <v>0</v>
      </c>
      <c r="Y341" t="n">
        <v>0.39</v>
      </c>
    </row>
    <row r="342">
      <c r="A342" t="inlineStr">
        <is>
          <t>O00341</t>
        </is>
      </c>
      <c r="B342" t="inlineStr">
        <is>
          <t>C0205</t>
        </is>
      </c>
      <c r="C342" t="inlineStr">
        <is>
          <t>S016</t>
        </is>
      </c>
      <c r="E342" s="3" t="n">
        <v>46274.50972222222</v>
      </c>
      <c r="F342" s="3" t="n">
        <v>46274.51701388889</v>
      </c>
      <c r="H342" t="inlineStr">
        <is>
          <t>Cancelled</t>
        </is>
      </c>
      <c r="I342" t="n">
        <v>6</v>
      </c>
      <c r="J342" t="n">
        <v>7</v>
      </c>
      <c r="K342" t="n">
        <v>642.13</v>
      </c>
      <c r="L342" t="n">
        <v>1.46</v>
      </c>
      <c r="M342" t="n">
        <v>6.2</v>
      </c>
      <c r="N342" t="n">
        <v>2.2</v>
      </c>
      <c r="O342" t="n">
        <v>4.8</v>
      </c>
      <c r="P342" t="n">
        <v>10.5</v>
      </c>
      <c r="T342" t="inlineStr">
        <is>
          <t>Item unavailable</t>
        </is>
      </c>
      <c r="U342" t="n">
        <v>12</v>
      </c>
      <c r="V342" t="b">
        <v>0</v>
      </c>
      <c r="X342" t="b">
        <v>0</v>
      </c>
      <c r="Y342" t="n">
        <v>0.45</v>
      </c>
    </row>
    <row r="343">
      <c r="A343" t="inlineStr">
        <is>
          <t>O00342</t>
        </is>
      </c>
      <c r="B343" t="inlineStr">
        <is>
          <t>C0035</t>
        </is>
      </c>
      <c r="C343" t="inlineStr">
        <is>
          <t>S015</t>
        </is>
      </c>
      <c r="D343" t="inlineStr">
        <is>
          <t>R066</t>
        </is>
      </c>
      <c r="E343" s="3" t="n">
        <v>46268.7625</v>
      </c>
      <c r="F343" s="3" t="n">
        <v>46268.76986111111</v>
      </c>
      <c r="G343" s="3" t="n">
        <v>46268.76923611111</v>
      </c>
      <c r="H343" t="inlineStr">
        <is>
          <t>Delivered</t>
        </is>
      </c>
      <c r="I343" t="n">
        <v>5</v>
      </c>
      <c r="J343" t="n">
        <v>9</v>
      </c>
      <c r="K343" t="n">
        <v>1446.37</v>
      </c>
      <c r="L343" t="n">
        <v>2.27</v>
      </c>
      <c r="M343" t="n">
        <v>3.2</v>
      </c>
      <c r="N343" t="n">
        <v>3.8</v>
      </c>
      <c r="O343" t="n">
        <v>2.7</v>
      </c>
      <c r="P343" t="n">
        <v>10.6</v>
      </c>
      <c r="Q343" t="n">
        <v>9.699999999999999</v>
      </c>
      <c r="R343" t="n">
        <v>-0.9</v>
      </c>
      <c r="S343" t="b">
        <v>1</v>
      </c>
      <c r="U343" t="n">
        <v>18</v>
      </c>
      <c r="V343" t="b">
        <v>0</v>
      </c>
      <c r="X343" t="b">
        <v>0</v>
      </c>
      <c r="Y343" t="n">
        <v>0.39</v>
      </c>
    </row>
    <row r="344">
      <c r="A344" t="inlineStr">
        <is>
          <t>O00343</t>
        </is>
      </c>
      <c r="B344" t="inlineStr">
        <is>
          <t>C0008</t>
        </is>
      </c>
      <c r="C344" t="inlineStr">
        <is>
          <t>S016</t>
        </is>
      </c>
      <c r="D344" t="inlineStr">
        <is>
          <t>R001</t>
        </is>
      </c>
      <c r="E344" s="3" t="n">
        <v>46270.56944444445</v>
      </c>
      <c r="F344" s="3" t="n">
        <v>46270.57659722222</v>
      </c>
      <c r="G344" s="3" t="n">
        <v>46270.57611111111</v>
      </c>
      <c r="H344" t="inlineStr">
        <is>
          <t>Delivered</t>
        </is>
      </c>
      <c r="I344" t="n">
        <v>3</v>
      </c>
      <c r="J344" t="n">
        <v>8</v>
      </c>
      <c r="K344" t="n">
        <v>1238.3</v>
      </c>
      <c r="L344" t="n">
        <v>2.6</v>
      </c>
      <c r="M344" t="n">
        <v>3.3</v>
      </c>
      <c r="N344" t="n">
        <v>2.6</v>
      </c>
      <c r="O344" t="n">
        <v>3.7</v>
      </c>
      <c r="P344" t="n">
        <v>10.3</v>
      </c>
      <c r="Q344" t="n">
        <v>9.6</v>
      </c>
      <c r="R344" t="n">
        <v>-0.7</v>
      </c>
      <c r="S344" t="b">
        <v>1</v>
      </c>
      <c r="U344" t="n">
        <v>13</v>
      </c>
      <c r="V344" t="b">
        <v>0</v>
      </c>
      <c r="W344" t="inlineStr">
        <is>
          <t>Light</t>
        </is>
      </c>
      <c r="X344" t="b">
        <v>0</v>
      </c>
      <c r="Y344" t="n">
        <v>0.21</v>
      </c>
    </row>
    <row r="345">
      <c r="A345" t="inlineStr">
        <is>
          <t>O00344</t>
        </is>
      </c>
      <c r="B345" t="inlineStr">
        <is>
          <t>C0073</t>
        </is>
      </c>
      <c r="C345" t="inlineStr">
        <is>
          <t>S018</t>
        </is>
      </c>
      <c r="D345" t="inlineStr">
        <is>
          <t>R056</t>
        </is>
      </c>
      <c r="E345" s="3" t="n">
        <v>46266.74236111111</v>
      </c>
      <c r="F345" s="3" t="n">
        <v>46266.75097222222</v>
      </c>
      <c r="G345" s="3" t="n">
        <v>46266.75090277778</v>
      </c>
      <c r="H345" t="inlineStr">
        <is>
          <t>Delivered</t>
        </is>
      </c>
      <c r="I345" t="n">
        <v>3</v>
      </c>
      <c r="J345" t="n">
        <v>10</v>
      </c>
      <c r="K345" t="n">
        <v>839.3200000000001</v>
      </c>
      <c r="L345" t="n">
        <v>1.05</v>
      </c>
      <c r="M345" t="n">
        <v>5.9</v>
      </c>
      <c r="N345" t="n">
        <v>2.9</v>
      </c>
      <c r="O345" t="n">
        <v>3.5</v>
      </c>
      <c r="P345" t="n">
        <v>12.4</v>
      </c>
      <c r="Q345" t="n">
        <v>12.3</v>
      </c>
      <c r="R345" t="n">
        <v>-0.1</v>
      </c>
      <c r="S345" t="b">
        <v>1</v>
      </c>
      <c r="U345" t="n">
        <v>17</v>
      </c>
      <c r="V345" t="b">
        <v>0</v>
      </c>
      <c r="X345" t="b">
        <v>0</v>
      </c>
      <c r="Y345" t="n">
        <v>0.63</v>
      </c>
    </row>
    <row r="346">
      <c r="A346" t="inlineStr">
        <is>
          <t>O00345</t>
        </is>
      </c>
      <c r="B346" t="inlineStr">
        <is>
          <t>C0245</t>
        </is>
      </c>
      <c r="C346" t="inlineStr">
        <is>
          <t>S015</t>
        </is>
      </c>
      <c r="D346" t="inlineStr">
        <is>
          <t>R019</t>
        </is>
      </c>
      <c r="E346" s="3" t="n">
        <v>46272.70972222222</v>
      </c>
      <c r="F346" s="3" t="n">
        <v>46272.71784722222</v>
      </c>
      <c r="G346" s="3" t="n">
        <v>46272.71729166667</v>
      </c>
      <c r="H346" t="inlineStr">
        <is>
          <t>Delivered</t>
        </is>
      </c>
      <c r="I346" t="n">
        <v>6</v>
      </c>
      <c r="J346" t="n">
        <v>7</v>
      </c>
      <c r="K346" t="n">
        <v>1594.81</v>
      </c>
      <c r="L346" t="n">
        <v>3.21</v>
      </c>
      <c r="M346" t="n">
        <v>3.3</v>
      </c>
      <c r="N346" t="n">
        <v>2.6</v>
      </c>
      <c r="O346" t="n">
        <v>5</v>
      </c>
      <c r="P346" t="n">
        <v>11.7</v>
      </c>
      <c r="Q346" t="n">
        <v>10.9</v>
      </c>
      <c r="R346" t="n">
        <v>-0.8</v>
      </c>
      <c r="S346" t="b">
        <v>1</v>
      </c>
      <c r="U346" t="n">
        <v>17</v>
      </c>
      <c r="V346" t="b">
        <v>0</v>
      </c>
      <c r="X346" t="b">
        <v>0</v>
      </c>
      <c r="Y346" t="n">
        <v>0.76</v>
      </c>
    </row>
    <row r="347">
      <c r="A347" t="inlineStr">
        <is>
          <t>O00346</t>
        </is>
      </c>
      <c r="B347" t="inlineStr">
        <is>
          <t>C0088</t>
        </is>
      </c>
      <c r="C347" t="inlineStr">
        <is>
          <t>S010</t>
        </is>
      </c>
      <c r="D347" t="inlineStr">
        <is>
          <t>R050</t>
        </is>
      </c>
      <c r="E347" s="3" t="n">
        <v>46278.70833333334</v>
      </c>
      <c r="F347" s="3" t="n">
        <v>46278.71645833334</v>
      </c>
      <c r="G347" s="3" t="n">
        <v>46278.71625</v>
      </c>
      <c r="H347" t="inlineStr">
        <is>
          <t>Delivered</t>
        </is>
      </c>
      <c r="I347" t="n">
        <v>1</v>
      </c>
      <c r="J347" t="n">
        <v>4</v>
      </c>
      <c r="K347" t="n">
        <v>880.37</v>
      </c>
      <c r="L347" t="n">
        <v>4</v>
      </c>
      <c r="M347" t="n">
        <v>4.6</v>
      </c>
      <c r="N347" t="n">
        <v>0.7</v>
      </c>
      <c r="O347" t="n">
        <v>6.1</v>
      </c>
      <c r="P347" t="n">
        <v>11.7</v>
      </c>
      <c r="Q347" t="n">
        <v>11.4</v>
      </c>
      <c r="R347" t="n">
        <v>-0.3</v>
      </c>
      <c r="S347" t="b">
        <v>1</v>
      </c>
      <c r="U347" t="n">
        <v>17</v>
      </c>
      <c r="V347" t="b">
        <v>0</v>
      </c>
      <c r="X347" t="b">
        <v>0</v>
      </c>
      <c r="Y347" t="n">
        <v>0.5</v>
      </c>
    </row>
    <row r="348">
      <c r="A348" t="inlineStr">
        <is>
          <t>O00347</t>
        </is>
      </c>
      <c r="B348" t="inlineStr">
        <is>
          <t>C0154</t>
        </is>
      </c>
      <c r="C348" t="inlineStr">
        <is>
          <t>S020</t>
        </is>
      </c>
      <c r="D348" t="inlineStr">
        <is>
          <t>R025</t>
        </is>
      </c>
      <c r="E348" s="3" t="n">
        <v>46276.54097222222</v>
      </c>
      <c r="F348" s="3" t="n">
        <v>46276.54909722223</v>
      </c>
      <c r="G348" s="3" t="n">
        <v>46276.54840277778</v>
      </c>
      <c r="H348" t="inlineStr">
        <is>
          <t>Delivered</t>
        </is>
      </c>
      <c r="I348" t="n">
        <v>5</v>
      </c>
      <c r="J348" t="n">
        <v>8</v>
      </c>
      <c r="K348" t="n">
        <v>951.39</v>
      </c>
      <c r="L348" t="n">
        <v>1.06</v>
      </c>
      <c r="M348" t="n">
        <v>5.7</v>
      </c>
      <c r="N348" t="n">
        <v>1.6</v>
      </c>
      <c r="O348" t="n">
        <v>3.4</v>
      </c>
      <c r="P348" t="n">
        <v>11.7</v>
      </c>
      <c r="Q348" t="n">
        <v>10.7</v>
      </c>
      <c r="R348" t="n">
        <v>-1</v>
      </c>
      <c r="S348" t="b">
        <v>1</v>
      </c>
      <c r="U348" t="n">
        <v>12</v>
      </c>
      <c r="V348" t="b">
        <v>0</v>
      </c>
      <c r="W348" t="inlineStr">
        <is>
          <t>Light</t>
        </is>
      </c>
      <c r="X348" t="b">
        <v>0</v>
      </c>
      <c r="Y348" t="n">
        <v>0.43</v>
      </c>
    </row>
    <row r="349">
      <c r="A349" t="inlineStr">
        <is>
          <t>O00348</t>
        </is>
      </c>
      <c r="B349" t="inlineStr">
        <is>
          <t>C0223</t>
        </is>
      </c>
      <c r="C349" t="inlineStr">
        <is>
          <t>S007</t>
        </is>
      </c>
      <c r="D349" t="inlineStr">
        <is>
          <t>R008</t>
        </is>
      </c>
      <c r="E349" s="3" t="n">
        <v>46271.55</v>
      </c>
      <c r="F349" s="3" t="n">
        <v>46271.55784722222</v>
      </c>
      <c r="G349" s="3" t="n">
        <v>46271.55715277778</v>
      </c>
      <c r="H349" t="inlineStr">
        <is>
          <t>Delivered</t>
        </is>
      </c>
      <c r="I349" t="n">
        <v>4</v>
      </c>
      <c r="J349" t="n">
        <v>12</v>
      </c>
      <c r="K349" t="n">
        <v>1046.48</v>
      </c>
      <c r="L349" t="n">
        <v>4.4</v>
      </c>
      <c r="M349" t="n">
        <v>2.4</v>
      </c>
      <c r="N349" t="n">
        <v>2</v>
      </c>
      <c r="O349" t="n">
        <v>5.9</v>
      </c>
      <c r="P349" t="n">
        <v>11.3</v>
      </c>
      <c r="Q349" t="n">
        <v>10.3</v>
      </c>
      <c r="R349" t="n">
        <v>-1</v>
      </c>
      <c r="S349" t="b">
        <v>1</v>
      </c>
      <c r="U349" t="n">
        <v>13</v>
      </c>
      <c r="V349" t="b">
        <v>0</v>
      </c>
      <c r="W349" t="inlineStr">
        <is>
          <t>Light</t>
        </is>
      </c>
      <c r="X349" t="b">
        <v>0</v>
      </c>
      <c r="Y349" t="n">
        <v>0.83</v>
      </c>
    </row>
    <row r="350">
      <c r="A350" t="inlineStr">
        <is>
          <t>O00349</t>
        </is>
      </c>
      <c r="B350" t="inlineStr">
        <is>
          <t>C0135</t>
        </is>
      </c>
      <c r="C350" t="inlineStr">
        <is>
          <t>S014</t>
        </is>
      </c>
      <c r="D350" t="inlineStr">
        <is>
          <t>R047</t>
        </is>
      </c>
      <c r="E350" s="3" t="n">
        <v>46274.70833333334</v>
      </c>
      <c r="F350" s="3" t="n">
        <v>46274.715625</v>
      </c>
      <c r="G350" s="3" t="n">
        <v>46274.71534722222</v>
      </c>
      <c r="H350" t="inlineStr">
        <is>
          <t>Delivered</t>
        </is>
      </c>
      <c r="I350" t="n">
        <v>1</v>
      </c>
      <c r="J350" t="n">
        <v>3</v>
      </c>
      <c r="K350" t="n">
        <v>1039.4</v>
      </c>
      <c r="L350" t="n">
        <v>3.09</v>
      </c>
      <c r="M350" t="n">
        <v>3.1</v>
      </c>
      <c r="N350" t="n">
        <v>3.3</v>
      </c>
      <c r="O350" t="n">
        <v>3.7</v>
      </c>
      <c r="P350" t="n">
        <v>10.5</v>
      </c>
      <c r="Q350" t="n">
        <v>10.1</v>
      </c>
      <c r="R350" t="n">
        <v>-0.4</v>
      </c>
      <c r="S350" t="b">
        <v>1</v>
      </c>
      <c r="U350" t="n">
        <v>17</v>
      </c>
      <c r="V350" t="b">
        <v>0</v>
      </c>
      <c r="X350" t="b">
        <v>0</v>
      </c>
      <c r="Y350" t="n">
        <v>0.3</v>
      </c>
    </row>
    <row r="351">
      <c r="A351" t="inlineStr">
        <is>
          <t>O00350</t>
        </is>
      </c>
      <c r="B351" t="inlineStr">
        <is>
          <t>C0204</t>
        </is>
      </c>
      <c r="C351" t="inlineStr">
        <is>
          <t>S001</t>
        </is>
      </c>
      <c r="D351" t="inlineStr">
        <is>
          <t>R063</t>
        </is>
      </c>
      <c r="E351" s="3" t="n">
        <v>46268.81944444445</v>
      </c>
      <c r="F351" s="3" t="n">
        <v>46268.826875</v>
      </c>
      <c r="G351" s="3" t="n">
        <v>46268.82611111111</v>
      </c>
      <c r="H351" t="inlineStr">
        <is>
          <t>Delivered</t>
        </is>
      </c>
      <c r="I351" t="n">
        <v>3</v>
      </c>
      <c r="J351" t="n">
        <v>11</v>
      </c>
      <c r="K351" t="n">
        <v>553.88</v>
      </c>
      <c r="L351" t="n">
        <v>1.01</v>
      </c>
      <c r="M351" t="n">
        <v>3.3</v>
      </c>
      <c r="N351" t="n">
        <v>4.2</v>
      </c>
      <c r="O351" t="n">
        <v>2.1</v>
      </c>
      <c r="P351" t="n">
        <v>10.7</v>
      </c>
      <c r="Q351" t="n">
        <v>9.6</v>
      </c>
      <c r="R351" t="n">
        <v>-1.1</v>
      </c>
      <c r="S351" t="b">
        <v>1</v>
      </c>
      <c r="U351" t="n">
        <v>19</v>
      </c>
      <c r="V351" t="b">
        <v>1</v>
      </c>
      <c r="X351" t="b">
        <v>0</v>
      </c>
      <c r="Y351" t="n">
        <v>0.2</v>
      </c>
    </row>
    <row r="352">
      <c r="A352" t="inlineStr">
        <is>
          <t>O00351</t>
        </is>
      </c>
      <c r="B352" t="inlineStr">
        <is>
          <t>C0054</t>
        </is>
      </c>
      <c r="C352" t="inlineStr">
        <is>
          <t>S004</t>
        </is>
      </c>
      <c r="D352" t="inlineStr">
        <is>
          <t>R080</t>
        </is>
      </c>
      <c r="E352" s="3" t="n">
        <v>46275.54305555556</v>
      </c>
      <c r="F352" s="3" t="n">
        <v>46275.55020833333</v>
      </c>
      <c r="G352" s="3" t="n">
        <v>46275.55222222222</v>
      </c>
      <c r="H352" t="inlineStr">
        <is>
          <t>Delivered</t>
        </is>
      </c>
      <c r="I352" t="n">
        <v>1</v>
      </c>
      <c r="J352" t="n">
        <v>7</v>
      </c>
      <c r="K352" t="n">
        <v>787.1900000000001</v>
      </c>
      <c r="L352" t="n">
        <v>3.28</v>
      </c>
      <c r="M352" t="n">
        <v>3</v>
      </c>
      <c r="N352" t="n">
        <v>1.5</v>
      </c>
      <c r="O352" t="n">
        <v>8.699999999999999</v>
      </c>
      <c r="P352" t="n">
        <v>10.3</v>
      </c>
      <c r="Q352" t="n">
        <v>13.2</v>
      </c>
      <c r="R352" t="n">
        <v>2.9</v>
      </c>
      <c r="S352" t="b">
        <v>0</v>
      </c>
      <c r="U352" t="n">
        <v>13</v>
      </c>
      <c r="V352" t="b">
        <v>0</v>
      </c>
      <c r="X352" t="b">
        <v>0</v>
      </c>
      <c r="Y352" t="n">
        <v>0.41</v>
      </c>
    </row>
    <row r="353">
      <c r="A353" t="inlineStr">
        <is>
          <t>O00352</t>
        </is>
      </c>
      <c r="B353" t="inlineStr">
        <is>
          <t>C0052</t>
        </is>
      </c>
      <c r="C353" t="inlineStr">
        <is>
          <t>S005</t>
        </is>
      </c>
      <c r="D353" t="inlineStr">
        <is>
          <t>R017</t>
        </is>
      </c>
      <c r="E353" s="3" t="n">
        <v>46273.53055555555</v>
      </c>
      <c r="F353" s="3" t="n">
        <v>46273.538125</v>
      </c>
      <c r="G353" s="3" t="n">
        <v>46273.53784722222</v>
      </c>
      <c r="H353" t="inlineStr">
        <is>
          <t>Delivered</t>
        </is>
      </c>
      <c r="I353" t="n">
        <v>4</v>
      </c>
      <c r="J353" t="n">
        <v>4</v>
      </c>
      <c r="K353" t="n">
        <v>1428.24</v>
      </c>
      <c r="L353" t="n">
        <v>1.75</v>
      </c>
      <c r="M353" t="n">
        <v>4.3</v>
      </c>
      <c r="N353" t="n">
        <v>1.7</v>
      </c>
      <c r="O353" t="n">
        <v>4.5</v>
      </c>
      <c r="P353" t="n">
        <v>10.9</v>
      </c>
      <c r="Q353" t="n">
        <v>10.5</v>
      </c>
      <c r="R353" t="n">
        <v>-0.4</v>
      </c>
      <c r="S353" t="b">
        <v>1</v>
      </c>
      <c r="U353" t="n">
        <v>12</v>
      </c>
      <c r="V353" t="b">
        <v>0</v>
      </c>
      <c r="X353" t="b">
        <v>0</v>
      </c>
      <c r="Y353" t="n">
        <v>0.39</v>
      </c>
    </row>
    <row r="354">
      <c r="A354" t="inlineStr">
        <is>
          <t>O00353</t>
        </is>
      </c>
      <c r="B354" t="inlineStr">
        <is>
          <t>C0170</t>
        </is>
      </c>
      <c r="C354" t="inlineStr">
        <is>
          <t>S014</t>
        </is>
      </c>
      <c r="D354" t="inlineStr">
        <is>
          <t>R004</t>
        </is>
      </c>
      <c r="E354" s="3" t="n">
        <v>46279.72013888889</v>
      </c>
      <c r="F354" s="3" t="n">
        <v>46279.72888888889</v>
      </c>
      <c r="G354" s="3" t="n">
        <v>46279.72826388889</v>
      </c>
      <c r="H354" t="inlineStr">
        <is>
          <t>Delivered</t>
        </is>
      </c>
      <c r="I354" t="n">
        <v>2</v>
      </c>
      <c r="J354" t="n">
        <v>5</v>
      </c>
      <c r="K354" t="n">
        <v>460.13</v>
      </c>
      <c r="L354" t="n">
        <v>0.83</v>
      </c>
      <c r="M354" t="n">
        <v>5.8</v>
      </c>
      <c r="N354" t="n">
        <v>3</v>
      </c>
      <c r="O354" t="n">
        <v>2.9</v>
      </c>
      <c r="P354" t="n">
        <v>12.6</v>
      </c>
      <c r="Q354" t="n">
        <v>11.7</v>
      </c>
      <c r="R354" t="n">
        <v>-0.9</v>
      </c>
      <c r="S354" t="b">
        <v>1</v>
      </c>
      <c r="U354" t="n">
        <v>17</v>
      </c>
      <c r="V354" t="b">
        <v>0</v>
      </c>
      <c r="W354" t="inlineStr">
        <is>
          <t>Light</t>
        </is>
      </c>
      <c r="X354" t="b">
        <v>0</v>
      </c>
      <c r="Y354" t="n">
        <v>0.22</v>
      </c>
    </row>
    <row r="355">
      <c r="A355" t="inlineStr">
        <is>
          <t>O00354</t>
        </is>
      </c>
      <c r="B355" t="inlineStr">
        <is>
          <t>C0098</t>
        </is>
      </c>
      <c r="C355" t="inlineStr">
        <is>
          <t>S009</t>
        </is>
      </c>
      <c r="D355" t="inlineStr">
        <is>
          <t>R043</t>
        </is>
      </c>
      <c r="E355" s="3" t="n">
        <v>46278.4875</v>
      </c>
      <c r="F355" s="3" t="n">
        <v>46278.49479166666</v>
      </c>
      <c r="G355" s="3" t="n">
        <v>46278.49388888889</v>
      </c>
      <c r="H355" t="inlineStr">
        <is>
          <t>Delivered</t>
        </is>
      </c>
      <c r="I355" t="n">
        <v>2</v>
      </c>
      <c r="J355" t="n">
        <v>6</v>
      </c>
      <c r="K355" t="n">
        <v>504.03</v>
      </c>
      <c r="L355" t="n">
        <v>0.93</v>
      </c>
      <c r="M355" t="n">
        <v>2.4</v>
      </c>
      <c r="N355" t="n">
        <v>4.4</v>
      </c>
      <c r="O355" t="n">
        <v>2.4</v>
      </c>
      <c r="P355" t="n">
        <v>10.5</v>
      </c>
      <c r="Q355" t="n">
        <v>9.199999999999999</v>
      </c>
      <c r="R355" t="n">
        <v>-1.3</v>
      </c>
      <c r="S355" t="b">
        <v>1</v>
      </c>
      <c r="U355" t="n">
        <v>11</v>
      </c>
      <c r="V355" t="b">
        <v>0</v>
      </c>
      <c r="X355" t="b">
        <v>0</v>
      </c>
      <c r="Y355" t="n">
        <v>0.26</v>
      </c>
    </row>
    <row r="356">
      <c r="A356" t="inlineStr">
        <is>
          <t>O00355</t>
        </is>
      </c>
      <c r="B356" t="inlineStr">
        <is>
          <t>C0084</t>
        </is>
      </c>
      <c r="C356" t="inlineStr">
        <is>
          <t>S005</t>
        </is>
      </c>
      <c r="D356" t="inlineStr">
        <is>
          <t>R023</t>
        </is>
      </c>
      <c r="E356" s="3" t="n">
        <v>46276.46458333333</v>
      </c>
      <c r="F356" s="3" t="n">
        <v>46276.47104166666</v>
      </c>
      <c r="G356" s="3" t="n">
        <v>46276.47020833333</v>
      </c>
      <c r="H356" t="inlineStr">
        <is>
          <t>Delivered</t>
        </is>
      </c>
      <c r="I356" t="n">
        <v>3</v>
      </c>
      <c r="J356" t="n">
        <v>9</v>
      </c>
      <c r="K356" t="n">
        <v>905.27</v>
      </c>
      <c r="L356" t="n">
        <v>3.5</v>
      </c>
      <c r="M356" t="n">
        <v>1.6</v>
      </c>
      <c r="N356" t="n">
        <v>2.9</v>
      </c>
      <c r="O356" t="n">
        <v>3.6</v>
      </c>
      <c r="P356" t="n">
        <v>9.300000000000001</v>
      </c>
      <c r="Q356" t="n">
        <v>8.1</v>
      </c>
      <c r="R356" t="n">
        <v>-1.2</v>
      </c>
      <c r="S356" t="b">
        <v>1</v>
      </c>
      <c r="U356" t="n">
        <v>11</v>
      </c>
      <c r="V356" t="b">
        <v>0</v>
      </c>
      <c r="W356" t="inlineStr">
        <is>
          <t>Heavy</t>
        </is>
      </c>
      <c r="X356" t="b">
        <v>0</v>
      </c>
      <c r="Y356" t="n">
        <v>0.45</v>
      </c>
    </row>
    <row r="357">
      <c r="A357" t="inlineStr">
        <is>
          <t>O00356</t>
        </is>
      </c>
      <c r="B357" t="inlineStr">
        <is>
          <t>C0136</t>
        </is>
      </c>
      <c r="C357" t="inlineStr">
        <is>
          <t>S014</t>
        </is>
      </c>
      <c r="D357" t="inlineStr">
        <is>
          <t>R043</t>
        </is>
      </c>
      <c r="E357" s="3" t="n">
        <v>46275.58333333334</v>
      </c>
      <c r="F357" s="3" t="n">
        <v>46275.58881944444</v>
      </c>
      <c r="G357" s="3" t="n">
        <v>46275.58861111111</v>
      </c>
      <c r="H357" t="inlineStr">
        <is>
          <t>Delivered</t>
        </is>
      </c>
      <c r="I357" t="n">
        <v>5</v>
      </c>
      <c r="J357" t="n">
        <v>5</v>
      </c>
      <c r="K357" t="n">
        <v>1462.33</v>
      </c>
      <c r="L357" t="n">
        <v>0.86</v>
      </c>
      <c r="M357" t="n">
        <v>3.6</v>
      </c>
      <c r="N357" t="n">
        <v>1.1</v>
      </c>
      <c r="O357" t="n">
        <v>2.9</v>
      </c>
      <c r="P357" t="n">
        <v>7.9</v>
      </c>
      <c r="Q357" t="n">
        <v>7.6</v>
      </c>
      <c r="R357" t="n">
        <v>-0.3</v>
      </c>
      <c r="S357" t="b">
        <v>1</v>
      </c>
      <c r="U357" t="n">
        <v>14</v>
      </c>
      <c r="V357" t="b">
        <v>0</v>
      </c>
      <c r="W357" t="inlineStr">
        <is>
          <t>Light</t>
        </is>
      </c>
      <c r="X357" t="b">
        <v>0</v>
      </c>
      <c r="Y357" t="n">
        <v>0.53</v>
      </c>
    </row>
    <row r="358">
      <c r="A358" t="inlineStr">
        <is>
          <t>O00357</t>
        </is>
      </c>
      <c r="B358" t="inlineStr">
        <is>
          <t>C0109</t>
        </is>
      </c>
      <c r="C358" t="inlineStr">
        <is>
          <t>S016</t>
        </is>
      </c>
      <c r="D358" t="inlineStr">
        <is>
          <t>R075</t>
        </is>
      </c>
      <c r="E358" s="3" t="n">
        <v>46275.93958333333</v>
      </c>
      <c r="F358" s="3" t="n">
        <v>46275.94638888889</v>
      </c>
      <c r="G358" s="3" t="n">
        <v>46275.94819444444</v>
      </c>
      <c r="H358" t="inlineStr">
        <is>
          <t>Delivered</t>
        </is>
      </c>
      <c r="I358" t="n">
        <v>1</v>
      </c>
      <c r="J358" t="n">
        <v>7</v>
      </c>
      <c r="K358" t="n">
        <v>446.85</v>
      </c>
      <c r="L358" t="n">
        <v>0.85</v>
      </c>
      <c r="M358" t="n">
        <v>5.2</v>
      </c>
      <c r="N358" t="n">
        <v>4.3</v>
      </c>
      <c r="O358" t="n">
        <v>2.9</v>
      </c>
      <c r="P358" t="n">
        <v>9.800000000000001</v>
      </c>
      <c r="Q358" t="n">
        <v>12.4</v>
      </c>
      <c r="R358" t="n">
        <v>2.6</v>
      </c>
      <c r="S358" t="b">
        <v>0</v>
      </c>
      <c r="U358" t="n">
        <v>22</v>
      </c>
      <c r="V358" t="b">
        <v>0</v>
      </c>
      <c r="W358" t="inlineStr">
        <is>
          <t>Light</t>
        </is>
      </c>
      <c r="X358" t="b">
        <v>0</v>
      </c>
      <c r="Y358" t="n">
        <v>0</v>
      </c>
    </row>
    <row r="359">
      <c r="A359" t="inlineStr">
        <is>
          <t>O00358</t>
        </is>
      </c>
      <c r="B359" t="inlineStr">
        <is>
          <t>C0145</t>
        </is>
      </c>
      <c r="C359" t="inlineStr">
        <is>
          <t>S013</t>
        </is>
      </c>
      <c r="D359" t="inlineStr">
        <is>
          <t>R064</t>
        </is>
      </c>
      <c r="E359" s="3" t="n">
        <v>46267.69027777778</v>
      </c>
      <c r="F359" s="3" t="n">
        <v>46267.69722222222</v>
      </c>
      <c r="G359" s="3" t="n">
        <v>46267.69652777778</v>
      </c>
      <c r="H359" t="inlineStr">
        <is>
          <t>Delivered</t>
        </is>
      </c>
      <c r="I359" t="n">
        <v>1</v>
      </c>
      <c r="J359" t="n">
        <v>5</v>
      </c>
      <c r="K359" t="n">
        <v>1193.1</v>
      </c>
      <c r="L359" t="n">
        <v>2.88</v>
      </c>
      <c r="M359" t="n">
        <v>2.7</v>
      </c>
      <c r="N359" t="n">
        <v>1.7</v>
      </c>
      <c r="O359" t="n">
        <v>4.6</v>
      </c>
      <c r="P359" t="n">
        <v>10</v>
      </c>
      <c r="Q359" t="n">
        <v>9</v>
      </c>
      <c r="R359" t="n">
        <v>-1</v>
      </c>
      <c r="S359" t="b">
        <v>1</v>
      </c>
      <c r="U359" t="n">
        <v>16</v>
      </c>
      <c r="V359" t="b">
        <v>0</v>
      </c>
      <c r="W359" t="inlineStr">
        <is>
          <t>Heavy</t>
        </is>
      </c>
      <c r="X359" t="b">
        <v>0</v>
      </c>
      <c r="Y359" t="n">
        <v>0.61</v>
      </c>
    </row>
    <row r="360">
      <c r="A360" t="inlineStr">
        <is>
          <t>O00359</t>
        </is>
      </c>
      <c r="B360" t="inlineStr">
        <is>
          <t>C0184</t>
        </is>
      </c>
      <c r="C360" t="inlineStr">
        <is>
          <t>S007</t>
        </is>
      </c>
      <c r="D360" t="inlineStr">
        <is>
          <t>R059</t>
        </is>
      </c>
      <c r="E360" s="3" t="n">
        <v>46275.49861111111</v>
      </c>
      <c r="F360" s="3" t="n">
        <v>46275.50458333334</v>
      </c>
      <c r="G360" s="3" t="n">
        <v>46275.50840277778</v>
      </c>
      <c r="H360" t="inlineStr">
        <is>
          <t>Delivered</t>
        </is>
      </c>
      <c r="I360" t="n">
        <v>3</v>
      </c>
      <c r="J360" t="n">
        <v>7</v>
      </c>
      <c r="K360" t="n">
        <v>1192.86</v>
      </c>
      <c r="L360" t="n">
        <v>2.73</v>
      </c>
      <c r="M360" t="n">
        <v>4.1</v>
      </c>
      <c r="N360" t="n">
        <v>2.4</v>
      </c>
      <c r="O360" t="n">
        <v>7.6</v>
      </c>
      <c r="P360" t="n">
        <v>8.6</v>
      </c>
      <c r="Q360" t="n">
        <v>14.1</v>
      </c>
      <c r="R360" t="n">
        <v>5.5</v>
      </c>
      <c r="S360" t="b">
        <v>0</v>
      </c>
      <c r="U360" t="n">
        <v>11</v>
      </c>
      <c r="V360" t="b">
        <v>0</v>
      </c>
      <c r="X360" t="b">
        <v>0</v>
      </c>
      <c r="Y360" t="n">
        <v>0.36</v>
      </c>
    </row>
    <row r="361">
      <c r="A361" t="inlineStr">
        <is>
          <t>O00360</t>
        </is>
      </c>
      <c r="B361" t="inlineStr">
        <is>
          <t>C0014</t>
        </is>
      </c>
      <c r="C361" t="inlineStr">
        <is>
          <t>S003</t>
        </is>
      </c>
      <c r="D361" t="inlineStr">
        <is>
          <t>R080</t>
        </is>
      </c>
      <c r="E361" s="3" t="n">
        <v>46266.75416666667</v>
      </c>
      <c r="F361" s="3" t="n">
        <v>46266.76173611111</v>
      </c>
      <c r="G361" s="3" t="n">
        <v>46266.761875</v>
      </c>
      <c r="H361" t="inlineStr">
        <is>
          <t>Delivered</t>
        </is>
      </c>
      <c r="I361" t="n">
        <v>4</v>
      </c>
      <c r="J361" t="n">
        <v>17</v>
      </c>
      <c r="K361" t="n">
        <v>777.3</v>
      </c>
      <c r="L361" t="n">
        <v>2.1</v>
      </c>
      <c r="M361" t="n">
        <v>4.9</v>
      </c>
      <c r="N361" t="n">
        <v>0</v>
      </c>
      <c r="O361" t="n">
        <v>6.2</v>
      </c>
      <c r="P361" t="n">
        <v>10.9</v>
      </c>
      <c r="Q361" t="n">
        <v>11.1</v>
      </c>
      <c r="R361" t="n">
        <v>0.2</v>
      </c>
      <c r="S361" t="b">
        <v>0</v>
      </c>
      <c r="U361" t="n">
        <v>18</v>
      </c>
      <c r="V361" t="b">
        <v>0</v>
      </c>
      <c r="W361" t="inlineStr">
        <is>
          <t>Light</t>
        </is>
      </c>
      <c r="X361" t="b">
        <v>0</v>
      </c>
      <c r="Y361" t="n">
        <v>0.29</v>
      </c>
    </row>
    <row r="362">
      <c r="A362" t="inlineStr">
        <is>
          <t>O00361</t>
        </is>
      </c>
      <c r="B362" t="inlineStr">
        <is>
          <t>C0129</t>
        </is>
      </c>
      <c r="C362" t="inlineStr">
        <is>
          <t>S018</t>
        </is>
      </c>
      <c r="D362" t="inlineStr">
        <is>
          <t>R010</t>
        </is>
      </c>
      <c r="E362" s="3" t="n">
        <v>46273.35138888889</v>
      </c>
      <c r="F362" s="3" t="n">
        <v>46273.35666666667</v>
      </c>
      <c r="G362" s="3" t="n">
        <v>46273.36659722222</v>
      </c>
      <c r="H362" t="inlineStr">
        <is>
          <t>Delivered</t>
        </is>
      </c>
      <c r="I362" t="n">
        <v>3</v>
      </c>
      <c r="J362" t="n">
        <v>5</v>
      </c>
      <c r="K362" t="n">
        <v>1510.24</v>
      </c>
      <c r="L362" t="n">
        <v>3.18</v>
      </c>
      <c r="M362" t="n">
        <v>5.5</v>
      </c>
      <c r="N362" t="n">
        <v>7.3</v>
      </c>
      <c r="O362" t="n">
        <v>9.1</v>
      </c>
      <c r="P362" t="n">
        <v>7.6</v>
      </c>
      <c r="Q362" t="n">
        <v>21.9</v>
      </c>
      <c r="R362" t="n">
        <v>14.3</v>
      </c>
      <c r="S362" t="b">
        <v>0</v>
      </c>
      <c r="U362" t="n">
        <v>8</v>
      </c>
      <c r="V362" t="b">
        <v>0</v>
      </c>
      <c r="W362" t="inlineStr">
        <is>
          <t>Heavy</t>
        </is>
      </c>
      <c r="X362" t="b">
        <v>0</v>
      </c>
      <c r="Y362" t="n">
        <v>0.44</v>
      </c>
    </row>
    <row r="363">
      <c r="A363" t="inlineStr">
        <is>
          <t>O00362</t>
        </is>
      </c>
      <c r="B363" t="inlineStr">
        <is>
          <t>C0145</t>
        </is>
      </c>
      <c r="C363" t="inlineStr">
        <is>
          <t>S008</t>
        </is>
      </c>
      <c r="D363" t="inlineStr">
        <is>
          <t>R041</t>
        </is>
      </c>
      <c r="E363" s="3" t="n">
        <v>46275.68611111111</v>
      </c>
      <c r="F363" s="3" t="n">
        <v>46275.69465277778</v>
      </c>
      <c r="G363" s="3" t="n">
        <v>46275.69402777778</v>
      </c>
      <c r="H363" t="inlineStr">
        <is>
          <t>Delivered</t>
        </is>
      </c>
      <c r="I363" t="n">
        <v>4</v>
      </c>
      <c r="J363" t="n">
        <v>6</v>
      </c>
      <c r="K363" t="n">
        <v>155.6</v>
      </c>
      <c r="L363" t="n">
        <v>2.05</v>
      </c>
      <c r="M363" t="n">
        <v>2.7</v>
      </c>
      <c r="N363" t="n">
        <v>5.9</v>
      </c>
      <c r="O363" t="n">
        <v>2.8</v>
      </c>
      <c r="P363" t="n">
        <v>12.3</v>
      </c>
      <c r="Q363" t="n">
        <v>11.4</v>
      </c>
      <c r="R363" t="n">
        <v>-0.9</v>
      </c>
      <c r="S363" t="b">
        <v>1</v>
      </c>
      <c r="U363" t="n">
        <v>16</v>
      </c>
      <c r="V363" t="b">
        <v>0</v>
      </c>
      <c r="X363" t="b">
        <v>0</v>
      </c>
      <c r="Y363" t="n">
        <v>0.26</v>
      </c>
    </row>
    <row r="364">
      <c r="A364" t="inlineStr">
        <is>
          <t>O00363</t>
        </is>
      </c>
      <c r="B364" t="inlineStr">
        <is>
          <t>C0045</t>
        </is>
      </c>
      <c r="C364" t="inlineStr">
        <is>
          <t>S010</t>
        </is>
      </c>
      <c r="D364" t="inlineStr">
        <is>
          <t>R044</t>
        </is>
      </c>
      <c r="E364" s="3" t="n">
        <v>46278.43680555555</v>
      </c>
      <c r="F364" s="3" t="n">
        <v>46278.44381944444</v>
      </c>
      <c r="G364" s="3" t="n">
        <v>46278.44340277778</v>
      </c>
      <c r="H364" t="inlineStr">
        <is>
          <t>Delivered</t>
        </is>
      </c>
      <c r="I364" t="n">
        <v>3</v>
      </c>
      <c r="J364" t="n">
        <v>9</v>
      </c>
      <c r="K364" t="n">
        <v>1570.81</v>
      </c>
      <c r="L364" t="n">
        <v>0.5</v>
      </c>
      <c r="M364" t="n">
        <v>4</v>
      </c>
      <c r="N364" t="n">
        <v>3.3</v>
      </c>
      <c r="O364" t="n">
        <v>2.2</v>
      </c>
      <c r="P364" t="n">
        <v>10.1</v>
      </c>
      <c r="Q364" t="n">
        <v>9.5</v>
      </c>
      <c r="R364" t="n">
        <v>-0.6</v>
      </c>
      <c r="S364" t="b">
        <v>1</v>
      </c>
      <c r="U364" t="n">
        <v>10</v>
      </c>
      <c r="V364" t="b">
        <v>0</v>
      </c>
      <c r="X364" t="b">
        <v>0</v>
      </c>
      <c r="Y364" t="n">
        <v>0.55</v>
      </c>
    </row>
    <row r="365">
      <c r="A365" t="inlineStr">
        <is>
          <t>O00364</t>
        </is>
      </c>
      <c r="B365" t="inlineStr">
        <is>
          <t>C0028</t>
        </is>
      </c>
      <c r="C365" t="inlineStr">
        <is>
          <t>S004</t>
        </is>
      </c>
      <c r="D365" t="inlineStr">
        <is>
          <t>R027</t>
        </is>
      </c>
      <c r="E365" s="3" t="n">
        <v>46276.44791666666</v>
      </c>
      <c r="F365" s="3" t="n">
        <v>46276.45590277778</v>
      </c>
      <c r="G365" s="3" t="n">
        <v>46276.45513888889</v>
      </c>
      <c r="H365" t="inlineStr">
        <is>
          <t>Delivered</t>
        </is>
      </c>
      <c r="I365" t="n">
        <v>3</v>
      </c>
      <c r="J365" t="n">
        <v>5</v>
      </c>
      <c r="K365" t="n">
        <v>894.09</v>
      </c>
      <c r="L365" t="n">
        <v>2.21</v>
      </c>
      <c r="M365" t="n">
        <v>1.8</v>
      </c>
      <c r="N365" t="n">
        <v>4</v>
      </c>
      <c r="O365" t="n">
        <v>4.6</v>
      </c>
      <c r="P365" t="n">
        <v>11.5</v>
      </c>
      <c r="Q365" t="n">
        <v>10.4</v>
      </c>
      <c r="R365" t="n">
        <v>-1.1</v>
      </c>
      <c r="S365" t="b">
        <v>1</v>
      </c>
      <c r="U365" t="n">
        <v>10</v>
      </c>
      <c r="V365" t="b">
        <v>0</v>
      </c>
      <c r="X365" t="b">
        <v>0</v>
      </c>
      <c r="Y365" t="n">
        <v>0.58</v>
      </c>
    </row>
    <row r="366">
      <c r="A366" t="inlineStr">
        <is>
          <t>O00365</t>
        </is>
      </c>
      <c r="B366" t="inlineStr">
        <is>
          <t>C0123</t>
        </is>
      </c>
      <c r="C366" t="inlineStr">
        <is>
          <t>S019</t>
        </is>
      </c>
      <c r="D366" t="inlineStr">
        <is>
          <t>R077</t>
        </is>
      </c>
      <c r="E366" s="3" t="n">
        <v>46276.77152777778</v>
      </c>
      <c r="F366" s="3" t="n">
        <v>46276.77847222222</v>
      </c>
      <c r="G366" s="3" t="n">
        <v>46276.77763888889</v>
      </c>
      <c r="H366" t="inlineStr">
        <is>
          <t>Delivered</t>
        </is>
      </c>
      <c r="I366" t="n">
        <v>3</v>
      </c>
      <c r="J366" t="n">
        <v>7</v>
      </c>
      <c r="K366" t="n">
        <v>505.1</v>
      </c>
      <c r="L366" t="n">
        <v>1.4</v>
      </c>
      <c r="M366" t="n">
        <v>3.1</v>
      </c>
      <c r="N366" t="n">
        <v>2.9</v>
      </c>
      <c r="O366" t="n">
        <v>2.8</v>
      </c>
      <c r="P366" t="n">
        <v>10</v>
      </c>
      <c r="Q366" t="n">
        <v>8.800000000000001</v>
      </c>
      <c r="R366" t="n">
        <v>-1.2</v>
      </c>
      <c r="S366" t="b">
        <v>1</v>
      </c>
      <c r="U366" t="n">
        <v>18</v>
      </c>
      <c r="V366" t="b">
        <v>0</v>
      </c>
      <c r="W366" t="inlineStr">
        <is>
          <t>Light</t>
        </is>
      </c>
      <c r="X366" t="b">
        <v>0</v>
      </c>
      <c r="Y366" t="n">
        <v>0.39</v>
      </c>
    </row>
    <row r="367">
      <c r="A367" t="inlineStr">
        <is>
          <t>O00366</t>
        </is>
      </c>
      <c r="B367" t="inlineStr">
        <is>
          <t>C0185</t>
        </is>
      </c>
      <c r="C367" t="inlineStr">
        <is>
          <t>S010</t>
        </is>
      </c>
      <c r="D367" t="inlineStr">
        <is>
          <t>R063</t>
        </is>
      </c>
      <c r="E367" s="3" t="n">
        <v>46278.48888888889</v>
      </c>
      <c r="F367" s="3" t="n">
        <v>46278.49652777778</v>
      </c>
      <c r="G367" s="3" t="n">
        <v>46278.49722222222</v>
      </c>
      <c r="H367" t="inlineStr">
        <is>
          <t>Delivered</t>
        </is>
      </c>
      <c r="I367" t="n">
        <v>2</v>
      </c>
      <c r="J367" t="n">
        <v>7</v>
      </c>
      <c r="K367" t="n">
        <v>1371.49</v>
      </c>
      <c r="L367" t="n">
        <v>1.6</v>
      </c>
      <c r="M367" t="n">
        <v>6.6</v>
      </c>
      <c r="N367" t="n">
        <v>0.7</v>
      </c>
      <c r="O367" t="n">
        <v>4.7</v>
      </c>
      <c r="P367" t="n">
        <v>11</v>
      </c>
      <c r="Q367" t="n">
        <v>12</v>
      </c>
      <c r="R367" t="n">
        <v>1</v>
      </c>
      <c r="S367" t="b">
        <v>0</v>
      </c>
      <c r="U367" t="n">
        <v>11</v>
      </c>
      <c r="V367" t="b">
        <v>0</v>
      </c>
      <c r="X367" t="b">
        <v>0</v>
      </c>
      <c r="Y367" t="n">
        <v>0.52</v>
      </c>
    </row>
    <row r="368">
      <c r="A368" t="inlineStr">
        <is>
          <t>O00367</t>
        </is>
      </c>
      <c r="B368" t="inlineStr">
        <is>
          <t>C0080</t>
        </is>
      </c>
      <c r="C368" t="inlineStr">
        <is>
          <t>S001</t>
        </is>
      </c>
      <c r="D368" t="inlineStr">
        <is>
          <t>R061</t>
        </is>
      </c>
      <c r="E368" s="3" t="n">
        <v>46272.92361111111</v>
      </c>
      <c r="F368" s="3" t="n">
        <v>46272.93069444445</v>
      </c>
      <c r="G368" s="3" t="n">
        <v>46272.93048611111</v>
      </c>
      <c r="H368" t="inlineStr">
        <is>
          <t>Delivered</t>
        </is>
      </c>
      <c r="I368" t="n">
        <v>1</v>
      </c>
      <c r="J368" t="n">
        <v>8</v>
      </c>
      <c r="K368" t="n">
        <v>368.08</v>
      </c>
      <c r="L368" t="n">
        <v>0.9399999999999999</v>
      </c>
      <c r="M368" t="n">
        <v>3.9</v>
      </c>
      <c r="N368" t="n">
        <v>3.2</v>
      </c>
      <c r="O368" t="n">
        <v>2.8</v>
      </c>
      <c r="P368" t="n">
        <v>10.2</v>
      </c>
      <c r="Q368" t="n">
        <v>9.9</v>
      </c>
      <c r="R368" t="n">
        <v>-0.3</v>
      </c>
      <c r="S368" t="b">
        <v>1</v>
      </c>
      <c r="U368" t="n">
        <v>22</v>
      </c>
      <c r="V368" t="b">
        <v>0</v>
      </c>
      <c r="X368" t="b">
        <v>0</v>
      </c>
      <c r="Y368" t="n">
        <v>0.48</v>
      </c>
    </row>
    <row r="369">
      <c r="A369" t="inlineStr">
        <is>
          <t>O00368</t>
        </is>
      </c>
      <c r="B369" t="inlineStr">
        <is>
          <t>C0150</t>
        </is>
      </c>
      <c r="C369" t="inlineStr">
        <is>
          <t>S020</t>
        </is>
      </c>
      <c r="D369" t="inlineStr">
        <is>
          <t>R016</t>
        </is>
      </c>
      <c r="E369" s="3" t="n">
        <v>46269.36944444444</v>
      </c>
      <c r="F369" s="3" t="n">
        <v>46269.37694444445</v>
      </c>
      <c r="G369" s="3" t="n">
        <v>46269.37673611111</v>
      </c>
      <c r="H369" t="inlineStr">
        <is>
          <t>Delivered</t>
        </is>
      </c>
      <c r="I369" t="n">
        <v>4</v>
      </c>
      <c r="J369" t="n">
        <v>8</v>
      </c>
      <c r="K369" t="n">
        <v>941.76</v>
      </c>
      <c r="L369" t="n">
        <v>2.46</v>
      </c>
      <c r="M369" t="n">
        <v>4.1</v>
      </c>
      <c r="N369" t="n">
        <v>3</v>
      </c>
      <c r="O369" t="n">
        <v>3.4</v>
      </c>
      <c r="P369" t="n">
        <v>10.8</v>
      </c>
      <c r="Q369" t="n">
        <v>10.5</v>
      </c>
      <c r="R369" t="n">
        <v>-0.3</v>
      </c>
      <c r="S369" t="b">
        <v>1</v>
      </c>
      <c r="U369" t="n">
        <v>8</v>
      </c>
      <c r="V369" t="b">
        <v>0</v>
      </c>
      <c r="X369" t="b">
        <v>0</v>
      </c>
      <c r="Y369" t="n">
        <v>0.55</v>
      </c>
    </row>
    <row r="370">
      <c r="A370" t="inlineStr">
        <is>
          <t>O00369</t>
        </is>
      </c>
      <c r="B370" t="inlineStr">
        <is>
          <t>C0218</t>
        </is>
      </c>
      <c r="C370" t="inlineStr">
        <is>
          <t>S008</t>
        </is>
      </c>
      <c r="D370" t="inlineStr">
        <is>
          <t>R016</t>
        </is>
      </c>
      <c r="E370" s="3" t="n">
        <v>46268.82361111111</v>
      </c>
      <c r="F370" s="3" t="n">
        <v>46268.82861111111</v>
      </c>
      <c r="G370" s="3" t="n">
        <v>46268.82784722222</v>
      </c>
      <c r="H370" t="inlineStr">
        <is>
          <t>Delivered</t>
        </is>
      </c>
      <c r="I370" t="n">
        <v>3</v>
      </c>
      <c r="J370" t="n">
        <v>8</v>
      </c>
      <c r="K370" t="n">
        <v>885.3200000000001</v>
      </c>
      <c r="L370" t="n">
        <v>1.79</v>
      </c>
      <c r="M370" t="n">
        <v>1.7</v>
      </c>
      <c r="N370" t="n">
        <v>2.6</v>
      </c>
      <c r="O370" t="n">
        <v>1.8</v>
      </c>
      <c r="P370" t="n">
        <v>7.2</v>
      </c>
      <c r="Q370" t="n">
        <v>6.1</v>
      </c>
      <c r="R370" t="n">
        <v>-1.1</v>
      </c>
      <c r="S370" t="b">
        <v>1</v>
      </c>
      <c r="U370" t="n">
        <v>19</v>
      </c>
      <c r="V370" t="b">
        <v>1</v>
      </c>
      <c r="W370" t="inlineStr">
        <is>
          <t>Light</t>
        </is>
      </c>
      <c r="X370" t="b">
        <v>0</v>
      </c>
      <c r="Y370" t="n">
        <v>0.72</v>
      </c>
    </row>
    <row r="371">
      <c r="A371" t="inlineStr">
        <is>
          <t>O00370</t>
        </is>
      </c>
      <c r="B371" t="inlineStr">
        <is>
          <t>C0042</t>
        </is>
      </c>
      <c r="C371" t="inlineStr">
        <is>
          <t>S014</t>
        </is>
      </c>
      <c r="D371" t="inlineStr">
        <is>
          <t>R008</t>
        </is>
      </c>
      <c r="E371" s="3" t="n">
        <v>46271.84652777778</v>
      </c>
      <c r="F371" s="3" t="n">
        <v>46271.85423611111</v>
      </c>
      <c r="G371" s="3" t="n">
        <v>46271.85833333333</v>
      </c>
      <c r="H371" t="inlineStr">
        <is>
          <t>Delivered</t>
        </is>
      </c>
      <c r="I371" t="n">
        <v>4</v>
      </c>
      <c r="J371" t="n">
        <v>5</v>
      </c>
      <c r="K371" t="n">
        <v>1290.25</v>
      </c>
      <c r="L371" t="n">
        <v>0.91</v>
      </c>
      <c r="M371" t="n">
        <v>5.9</v>
      </c>
      <c r="N371" t="n">
        <v>7.5</v>
      </c>
      <c r="O371" t="n">
        <v>3.7</v>
      </c>
      <c r="P371" t="n">
        <v>11.1</v>
      </c>
      <c r="Q371" t="n">
        <v>17</v>
      </c>
      <c r="R371" t="n">
        <v>5.9</v>
      </c>
      <c r="S371" t="b">
        <v>0</v>
      </c>
      <c r="U371" t="n">
        <v>20</v>
      </c>
      <c r="V371" t="b">
        <v>1</v>
      </c>
      <c r="W371" t="inlineStr">
        <is>
          <t>Light</t>
        </is>
      </c>
      <c r="X371" t="b">
        <v>0</v>
      </c>
      <c r="Y371" t="n">
        <v>0.31</v>
      </c>
    </row>
    <row r="372">
      <c r="A372" t="inlineStr">
        <is>
          <t>O00371</t>
        </is>
      </c>
      <c r="B372" t="inlineStr">
        <is>
          <t>C0164</t>
        </is>
      </c>
      <c r="C372" t="inlineStr">
        <is>
          <t>S002</t>
        </is>
      </c>
      <c r="D372" t="inlineStr">
        <is>
          <t>R045</t>
        </is>
      </c>
      <c r="E372" s="3" t="n">
        <v>46279.77986111111</v>
      </c>
      <c r="F372" s="3" t="n">
        <v>46279.78791666667</v>
      </c>
      <c r="G372" s="3" t="n">
        <v>46279.78729166667</v>
      </c>
      <c r="H372" t="inlineStr">
        <is>
          <t>Delivered</t>
        </is>
      </c>
      <c r="I372" t="n">
        <v>1</v>
      </c>
      <c r="J372" t="n">
        <v>6</v>
      </c>
      <c r="K372" t="n">
        <v>314.58</v>
      </c>
      <c r="L372" t="n">
        <v>4.19</v>
      </c>
      <c r="M372" t="n">
        <v>2.5</v>
      </c>
      <c r="N372" t="n">
        <v>1.1</v>
      </c>
      <c r="O372" t="n">
        <v>7.1</v>
      </c>
      <c r="P372" t="n">
        <v>11.6</v>
      </c>
      <c r="Q372" t="n">
        <v>10.7</v>
      </c>
      <c r="R372" t="n">
        <v>-0.9</v>
      </c>
      <c r="S372" t="b">
        <v>1</v>
      </c>
      <c r="U372" t="n">
        <v>18</v>
      </c>
      <c r="V372" t="b">
        <v>0</v>
      </c>
      <c r="X372" t="b">
        <v>0</v>
      </c>
      <c r="Y372" t="n">
        <v>0.36</v>
      </c>
    </row>
    <row r="373">
      <c r="A373" t="inlineStr">
        <is>
          <t>O00372</t>
        </is>
      </c>
      <c r="B373" t="inlineStr">
        <is>
          <t>C0025</t>
        </is>
      </c>
      <c r="C373" t="inlineStr">
        <is>
          <t>S009</t>
        </is>
      </c>
      <c r="D373" t="inlineStr">
        <is>
          <t>R022</t>
        </is>
      </c>
      <c r="E373" s="3" t="n">
        <v>46272.98402777778</v>
      </c>
      <c r="F373" s="3" t="n">
        <v>46272.99041666667</v>
      </c>
      <c r="G373" s="3" t="n">
        <v>46272.98798611111</v>
      </c>
      <c r="H373" t="inlineStr">
        <is>
          <t>Delivered</t>
        </is>
      </c>
      <c r="I373" t="n">
        <v>3</v>
      </c>
      <c r="J373" t="n">
        <v>10</v>
      </c>
      <c r="K373" t="n">
        <v>488.07</v>
      </c>
      <c r="L373" t="n">
        <v>0.87</v>
      </c>
      <c r="M373" t="n">
        <v>2.3</v>
      </c>
      <c r="N373" t="n">
        <v>0</v>
      </c>
      <c r="O373" t="n">
        <v>3.4</v>
      </c>
      <c r="P373" t="n">
        <v>9.199999999999999</v>
      </c>
      <c r="Q373" t="n">
        <v>5.7</v>
      </c>
      <c r="R373" t="n">
        <v>-3.5</v>
      </c>
      <c r="S373" t="b">
        <v>1</v>
      </c>
      <c r="U373" t="n">
        <v>23</v>
      </c>
      <c r="V373" t="b">
        <v>0</v>
      </c>
      <c r="X373" t="b">
        <v>0</v>
      </c>
      <c r="Y373" t="n">
        <v>0.45</v>
      </c>
    </row>
    <row r="374">
      <c r="A374" t="inlineStr">
        <is>
          <t>O00373</t>
        </is>
      </c>
      <c r="B374" t="inlineStr">
        <is>
          <t>C0142</t>
        </is>
      </c>
      <c r="C374" t="inlineStr">
        <is>
          <t>S016</t>
        </is>
      </c>
      <c r="D374" t="inlineStr">
        <is>
          <t>R048</t>
        </is>
      </c>
      <c r="E374" s="3" t="n">
        <v>46268.63611111111</v>
      </c>
      <c r="F374" s="3" t="n">
        <v>46268.64354166666</v>
      </c>
      <c r="G374" s="3" t="n">
        <v>46268.64680555555</v>
      </c>
      <c r="H374" t="inlineStr">
        <is>
          <t>Delivered</t>
        </is>
      </c>
      <c r="I374" t="n">
        <v>4</v>
      </c>
      <c r="J374" t="n">
        <v>4</v>
      </c>
      <c r="K374" t="n">
        <v>850.9400000000001</v>
      </c>
      <c r="L374" t="n">
        <v>2.6</v>
      </c>
      <c r="M374" t="n">
        <v>5.3</v>
      </c>
      <c r="N374" t="n">
        <v>4.7</v>
      </c>
      <c r="O374" t="n">
        <v>5.5</v>
      </c>
      <c r="P374" t="n">
        <v>10.7</v>
      </c>
      <c r="Q374" t="n">
        <v>15.4</v>
      </c>
      <c r="R374" t="n">
        <v>4.7</v>
      </c>
      <c r="S374" t="b">
        <v>0</v>
      </c>
      <c r="U374" t="n">
        <v>15</v>
      </c>
      <c r="V374" t="b">
        <v>0</v>
      </c>
      <c r="X374" t="b">
        <v>0</v>
      </c>
      <c r="Y374" t="n">
        <v>0.2</v>
      </c>
    </row>
    <row r="375">
      <c r="A375" t="inlineStr">
        <is>
          <t>O00374</t>
        </is>
      </c>
      <c r="B375" t="inlineStr">
        <is>
          <t>C0173</t>
        </is>
      </c>
      <c r="C375" t="inlineStr">
        <is>
          <t>S017</t>
        </is>
      </c>
      <c r="D375" t="inlineStr">
        <is>
          <t>R056</t>
        </is>
      </c>
      <c r="E375" s="3" t="n">
        <v>46266.72986111111</v>
      </c>
      <c r="F375" s="3" t="n">
        <v>46266.73770833333</v>
      </c>
      <c r="G375" s="3" t="n">
        <v>46266.73618055556</v>
      </c>
      <c r="H375" t="inlineStr">
        <is>
          <t>Delivered</t>
        </is>
      </c>
      <c r="I375" t="n">
        <v>2</v>
      </c>
      <c r="J375" t="n">
        <v>8</v>
      </c>
      <c r="K375" t="n">
        <v>665.25</v>
      </c>
      <c r="L375" t="n">
        <v>0.5</v>
      </c>
      <c r="M375" t="n">
        <v>3.4</v>
      </c>
      <c r="N375" t="n">
        <v>2.7</v>
      </c>
      <c r="O375" t="n">
        <v>3</v>
      </c>
      <c r="P375" t="n">
        <v>11.3</v>
      </c>
      <c r="Q375" t="n">
        <v>9.1</v>
      </c>
      <c r="R375" t="n">
        <v>-2.2</v>
      </c>
      <c r="S375" t="b">
        <v>1</v>
      </c>
      <c r="U375" t="n">
        <v>17</v>
      </c>
      <c r="V375" t="b">
        <v>0</v>
      </c>
      <c r="X375" t="b">
        <v>0</v>
      </c>
      <c r="Y375" t="n">
        <v>0.6</v>
      </c>
    </row>
    <row r="376">
      <c r="A376" t="inlineStr">
        <is>
          <t>O00375</t>
        </is>
      </c>
      <c r="B376" t="inlineStr">
        <is>
          <t>C0206</t>
        </is>
      </c>
      <c r="C376" t="inlineStr">
        <is>
          <t>S002</t>
        </is>
      </c>
      <c r="D376" t="inlineStr">
        <is>
          <t>R021</t>
        </is>
      </c>
      <c r="E376" s="3" t="n">
        <v>46266.36111111111</v>
      </c>
      <c r="F376" s="3" t="n">
        <v>46266.36819444445</v>
      </c>
      <c r="G376" s="3" t="n">
        <v>46266.36736111111</v>
      </c>
      <c r="H376" t="inlineStr">
        <is>
          <t>Delivered</t>
        </is>
      </c>
      <c r="I376" t="n">
        <v>1</v>
      </c>
      <c r="J376" t="n">
        <v>7</v>
      </c>
      <c r="K376" t="n">
        <v>339.6</v>
      </c>
      <c r="L376" t="n">
        <v>2.72</v>
      </c>
      <c r="M376" t="n">
        <v>1.6</v>
      </c>
      <c r="N376" t="n">
        <v>2.3</v>
      </c>
      <c r="O376" t="n">
        <v>5.1</v>
      </c>
      <c r="P376" t="n">
        <v>10.2</v>
      </c>
      <c r="Q376" t="n">
        <v>9</v>
      </c>
      <c r="R376" t="n">
        <v>-1.2</v>
      </c>
      <c r="S376" t="b">
        <v>1</v>
      </c>
      <c r="U376" t="n">
        <v>8</v>
      </c>
      <c r="V376" t="b">
        <v>0</v>
      </c>
      <c r="W376" t="inlineStr">
        <is>
          <t>Heavy</t>
        </is>
      </c>
      <c r="X376" t="b">
        <v>0</v>
      </c>
      <c r="Y376" t="n">
        <v>0.42</v>
      </c>
    </row>
    <row r="377">
      <c r="A377" t="inlineStr">
        <is>
          <t>O00376</t>
        </is>
      </c>
      <c r="B377" t="inlineStr">
        <is>
          <t>C0014</t>
        </is>
      </c>
      <c r="C377" t="inlineStr">
        <is>
          <t>S013</t>
        </is>
      </c>
      <c r="D377" t="inlineStr">
        <is>
          <t>R012</t>
        </is>
      </c>
      <c r="E377" s="3" t="n">
        <v>46275.68611111111</v>
      </c>
      <c r="F377" s="3" t="n">
        <v>46275.69319444444</v>
      </c>
      <c r="G377" s="3" t="n">
        <v>46275.69243055556</v>
      </c>
      <c r="H377" t="inlineStr">
        <is>
          <t>Delivered</t>
        </is>
      </c>
      <c r="I377" t="n">
        <v>6</v>
      </c>
      <c r="J377" t="n">
        <v>10</v>
      </c>
      <c r="K377" t="n">
        <v>682.5599999999999</v>
      </c>
      <c r="L377" t="n">
        <v>0.5</v>
      </c>
      <c r="M377" t="n">
        <v>3.3</v>
      </c>
      <c r="N377" t="n">
        <v>4.5</v>
      </c>
      <c r="O377" t="n">
        <v>1.3</v>
      </c>
      <c r="P377" t="n">
        <v>10.2</v>
      </c>
      <c r="Q377" t="n">
        <v>9.1</v>
      </c>
      <c r="R377" t="n">
        <v>-1.1</v>
      </c>
      <c r="S377" t="b">
        <v>1</v>
      </c>
      <c r="U377" t="n">
        <v>16</v>
      </c>
      <c r="V377" t="b">
        <v>0</v>
      </c>
      <c r="X377" t="b">
        <v>0</v>
      </c>
      <c r="Y377" t="n">
        <v>0.54</v>
      </c>
    </row>
    <row r="378">
      <c r="A378" t="inlineStr">
        <is>
          <t>O00377</t>
        </is>
      </c>
      <c r="B378" t="inlineStr">
        <is>
          <t>C0235</t>
        </is>
      </c>
      <c r="C378" t="inlineStr">
        <is>
          <t>S017</t>
        </is>
      </c>
      <c r="D378" t="inlineStr">
        <is>
          <t>R056</t>
        </is>
      </c>
      <c r="E378" s="3" t="n">
        <v>46270.72361111111</v>
      </c>
      <c r="F378" s="3" t="n">
        <v>46270.73027777778</v>
      </c>
      <c r="G378" s="3" t="n">
        <v>46270.73104166667</v>
      </c>
      <c r="H378" t="inlineStr">
        <is>
          <t>Delivered</t>
        </is>
      </c>
      <c r="I378" t="n">
        <v>3</v>
      </c>
      <c r="J378" t="n">
        <v>10</v>
      </c>
      <c r="K378" t="n">
        <v>1569.24</v>
      </c>
      <c r="L378" t="n">
        <v>1.14</v>
      </c>
      <c r="M378" t="n">
        <v>4.5</v>
      </c>
      <c r="N378" t="n">
        <v>3.6</v>
      </c>
      <c r="O378" t="n">
        <v>2.6</v>
      </c>
      <c r="P378" t="n">
        <v>9.6</v>
      </c>
      <c r="Q378" t="n">
        <v>10.7</v>
      </c>
      <c r="R378" t="n">
        <v>1.1</v>
      </c>
      <c r="S378" t="b">
        <v>0</v>
      </c>
      <c r="U378" t="n">
        <v>17</v>
      </c>
      <c r="V378" t="b">
        <v>0</v>
      </c>
      <c r="X378" t="b">
        <v>0</v>
      </c>
      <c r="Y378" t="n">
        <v>0.11</v>
      </c>
    </row>
    <row r="379">
      <c r="A379" t="inlineStr">
        <is>
          <t>O00378</t>
        </is>
      </c>
      <c r="B379" t="inlineStr">
        <is>
          <t>C0183</t>
        </is>
      </c>
      <c r="C379" t="inlineStr">
        <is>
          <t>S008</t>
        </is>
      </c>
      <c r="D379" t="inlineStr">
        <is>
          <t>R019</t>
        </is>
      </c>
      <c r="E379" s="3" t="n">
        <v>46272.86319444444</v>
      </c>
      <c r="F379" s="3" t="n">
        <v>46272.87048611111</v>
      </c>
      <c r="G379" s="3" t="n">
        <v>46272.87618055556</v>
      </c>
      <c r="H379" t="inlineStr">
        <is>
          <t>Delivered</t>
        </is>
      </c>
      <c r="I379" t="n">
        <v>3</v>
      </c>
      <c r="J379" t="n">
        <v>8</v>
      </c>
      <c r="K379" t="n">
        <v>1106.45</v>
      </c>
      <c r="L379" t="n">
        <v>1.9</v>
      </c>
      <c r="M379" t="n">
        <v>4.2</v>
      </c>
      <c r="N379" t="n">
        <v>7.2</v>
      </c>
      <c r="O379" t="n">
        <v>7.3</v>
      </c>
      <c r="P379" t="n">
        <v>10.5</v>
      </c>
      <c r="Q379" t="n">
        <v>18.7</v>
      </c>
      <c r="R379" t="n">
        <v>8.199999999999999</v>
      </c>
      <c r="S379" t="b">
        <v>0</v>
      </c>
      <c r="U379" t="n">
        <v>20</v>
      </c>
      <c r="V379" t="b">
        <v>1</v>
      </c>
      <c r="W379" t="inlineStr">
        <is>
          <t>Light</t>
        </is>
      </c>
      <c r="X379" t="b">
        <v>0</v>
      </c>
      <c r="Y379" t="n">
        <v>0.68</v>
      </c>
    </row>
    <row r="380">
      <c r="A380" t="inlineStr">
        <is>
          <t>O00379</t>
        </is>
      </c>
      <c r="B380" t="inlineStr">
        <is>
          <t>C0245</t>
        </is>
      </c>
      <c r="C380" t="inlineStr">
        <is>
          <t>S010</t>
        </is>
      </c>
      <c r="D380" t="inlineStr">
        <is>
          <t>R014</t>
        </is>
      </c>
      <c r="E380" s="3" t="n">
        <v>46272.84652777778</v>
      </c>
      <c r="F380" s="3" t="n">
        <v>46272.85430555556</v>
      </c>
      <c r="G380" s="3" t="n">
        <v>46272.85354166666</v>
      </c>
      <c r="H380" t="inlineStr">
        <is>
          <t>Delivered</t>
        </is>
      </c>
      <c r="I380" t="n">
        <v>2</v>
      </c>
      <c r="J380" t="n">
        <v>6</v>
      </c>
      <c r="K380" t="n">
        <v>1402.27</v>
      </c>
      <c r="L380" t="n">
        <v>1.67</v>
      </c>
      <c r="M380" t="n">
        <v>2.2</v>
      </c>
      <c r="N380" t="n">
        <v>4.6</v>
      </c>
      <c r="O380" t="n">
        <v>3.3</v>
      </c>
      <c r="P380" t="n">
        <v>11.2</v>
      </c>
      <c r="Q380" t="n">
        <v>10.1</v>
      </c>
      <c r="R380" t="n">
        <v>-1.1</v>
      </c>
      <c r="S380" t="b">
        <v>1</v>
      </c>
      <c r="U380" t="n">
        <v>20</v>
      </c>
      <c r="V380" t="b">
        <v>1</v>
      </c>
      <c r="W380" t="inlineStr">
        <is>
          <t>Heavy</t>
        </is>
      </c>
      <c r="X380" t="b">
        <v>0</v>
      </c>
      <c r="Y380" t="n">
        <v>0.74</v>
      </c>
    </row>
    <row r="381">
      <c r="A381" t="inlineStr">
        <is>
          <t>O00380</t>
        </is>
      </c>
      <c r="B381" t="inlineStr">
        <is>
          <t>C0055</t>
        </is>
      </c>
      <c r="C381" t="inlineStr">
        <is>
          <t>S007</t>
        </is>
      </c>
      <c r="D381" t="inlineStr">
        <is>
          <t>R065</t>
        </is>
      </c>
      <c r="E381" s="3" t="n">
        <v>46273.60069444445</v>
      </c>
      <c r="F381" s="3" t="n">
        <v>46273.60840277778</v>
      </c>
      <c r="G381" s="3" t="n">
        <v>46273.60770833334</v>
      </c>
      <c r="H381" t="inlineStr">
        <is>
          <t>Delivered</t>
        </is>
      </c>
      <c r="I381" t="n">
        <v>2</v>
      </c>
      <c r="J381" t="n">
        <v>11</v>
      </c>
      <c r="K381" t="n">
        <v>599.59</v>
      </c>
      <c r="L381" t="n">
        <v>2.03</v>
      </c>
      <c r="M381" t="n">
        <v>2.4</v>
      </c>
      <c r="N381" t="n">
        <v>4.6</v>
      </c>
      <c r="O381" t="n">
        <v>3.1</v>
      </c>
      <c r="P381" t="n">
        <v>11.1</v>
      </c>
      <c r="Q381" t="n">
        <v>10.1</v>
      </c>
      <c r="R381" t="n">
        <v>-1</v>
      </c>
      <c r="S381" t="b">
        <v>1</v>
      </c>
      <c r="U381" t="n">
        <v>14</v>
      </c>
      <c r="V381" t="b">
        <v>0</v>
      </c>
      <c r="X381" t="b">
        <v>0</v>
      </c>
      <c r="Y381" t="n">
        <v>0.5600000000000001</v>
      </c>
    </row>
    <row r="382">
      <c r="A382" t="inlineStr">
        <is>
          <t>O00381</t>
        </is>
      </c>
      <c r="B382" t="inlineStr">
        <is>
          <t>C0198</t>
        </is>
      </c>
      <c r="C382" t="inlineStr">
        <is>
          <t>S020</t>
        </is>
      </c>
      <c r="D382" t="inlineStr">
        <is>
          <t>R009</t>
        </is>
      </c>
      <c r="E382" s="3" t="n">
        <v>46271.89861111111</v>
      </c>
      <c r="F382" s="3" t="n">
        <v>46271.90493055555</v>
      </c>
      <c r="G382" s="3" t="n">
        <v>46271.90451388889</v>
      </c>
      <c r="H382" t="inlineStr">
        <is>
          <t>Delivered</t>
        </is>
      </c>
      <c r="I382" t="n">
        <v>2</v>
      </c>
      <c r="J382" t="n">
        <v>8</v>
      </c>
      <c r="K382" t="n">
        <v>764.96</v>
      </c>
      <c r="L382" t="n">
        <v>1.95</v>
      </c>
      <c r="M382" t="n">
        <v>4.4</v>
      </c>
      <c r="N382" t="n">
        <v>1</v>
      </c>
      <c r="O382" t="n">
        <v>3.1</v>
      </c>
      <c r="P382" t="n">
        <v>9.1</v>
      </c>
      <c r="Q382" t="n">
        <v>8.5</v>
      </c>
      <c r="R382" t="n">
        <v>-0.6</v>
      </c>
      <c r="S382" t="b">
        <v>1</v>
      </c>
      <c r="U382" t="n">
        <v>21</v>
      </c>
      <c r="V382" t="b">
        <v>1</v>
      </c>
      <c r="X382" t="b">
        <v>0</v>
      </c>
      <c r="Y382" t="n">
        <v>0.3</v>
      </c>
    </row>
    <row r="383">
      <c r="A383" t="inlineStr">
        <is>
          <t>O00382</t>
        </is>
      </c>
      <c r="B383" t="inlineStr">
        <is>
          <t>C0127</t>
        </is>
      </c>
      <c r="C383" t="inlineStr">
        <is>
          <t>S005</t>
        </is>
      </c>
      <c r="D383" t="inlineStr">
        <is>
          <t>R073</t>
        </is>
      </c>
      <c r="E383" s="3" t="n">
        <v>46277.44930555556</v>
      </c>
      <c r="F383" s="3" t="n">
        <v>46277.45805555556</v>
      </c>
      <c r="G383" s="3" t="n">
        <v>46277.45743055556</v>
      </c>
      <c r="H383" t="inlineStr">
        <is>
          <t>Delivered</t>
        </is>
      </c>
      <c r="I383" t="n">
        <v>3</v>
      </c>
      <c r="J383" t="n">
        <v>7</v>
      </c>
      <c r="K383" t="n">
        <v>343.02</v>
      </c>
      <c r="L383" t="n">
        <v>0.95</v>
      </c>
      <c r="M383" t="n">
        <v>4.7</v>
      </c>
      <c r="N383" t="n">
        <v>3.3</v>
      </c>
      <c r="O383" t="n">
        <v>3.7</v>
      </c>
      <c r="P383" t="n">
        <v>12.6</v>
      </c>
      <c r="Q383" t="n">
        <v>11.7</v>
      </c>
      <c r="R383" t="n">
        <v>-0.9</v>
      </c>
      <c r="S383" t="b">
        <v>1</v>
      </c>
      <c r="U383" t="n">
        <v>10</v>
      </c>
      <c r="V383" t="b">
        <v>0</v>
      </c>
      <c r="X383" t="b">
        <v>0</v>
      </c>
      <c r="Y383" t="n">
        <v>0.66</v>
      </c>
    </row>
    <row r="384">
      <c r="A384" t="inlineStr">
        <is>
          <t>O00383</t>
        </is>
      </c>
      <c r="B384" t="inlineStr">
        <is>
          <t>C0024</t>
        </is>
      </c>
      <c r="C384" t="inlineStr">
        <is>
          <t>S009</t>
        </is>
      </c>
      <c r="D384" t="inlineStr">
        <is>
          <t>R028</t>
        </is>
      </c>
      <c r="E384" s="3" t="n">
        <v>46277.62777777778</v>
      </c>
      <c r="F384" s="3" t="n">
        <v>46277.63576388889</v>
      </c>
      <c r="G384" s="3" t="n">
        <v>46277.635</v>
      </c>
      <c r="H384" t="inlineStr">
        <is>
          <t>Delivered</t>
        </is>
      </c>
      <c r="I384" t="n">
        <v>2</v>
      </c>
      <c r="J384" t="n">
        <v>9</v>
      </c>
      <c r="K384" t="n">
        <v>1236</v>
      </c>
      <c r="L384" t="n">
        <v>0.5</v>
      </c>
      <c r="M384" t="n">
        <v>4.3</v>
      </c>
      <c r="N384" t="n">
        <v>4.1</v>
      </c>
      <c r="O384" t="n">
        <v>2</v>
      </c>
      <c r="P384" t="n">
        <v>11.5</v>
      </c>
      <c r="Q384" t="n">
        <v>10.4</v>
      </c>
      <c r="R384" t="n">
        <v>-1.1</v>
      </c>
      <c r="S384" t="b">
        <v>1</v>
      </c>
      <c r="U384" t="n">
        <v>15</v>
      </c>
      <c r="V384" t="b">
        <v>0</v>
      </c>
      <c r="W384" t="inlineStr">
        <is>
          <t>Light</t>
        </is>
      </c>
      <c r="X384" t="b">
        <v>0</v>
      </c>
      <c r="Y384" t="n">
        <v>0.04</v>
      </c>
    </row>
    <row r="385">
      <c r="A385" t="inlineStr">
        <is>
          <t>O00384</t>
        </is>
      </c>
      <c r="B385" t="inlineStr">
        <is>
          <t>C0154</t>
        </is>
      </c>
      <c r="C385" t="inlineStr">
        <is>
          <t>S020</t>
        </is>
      </c>
      <c r="D385" t="inlineStr">
        <is>
          <t>R043</t>
        </is>
      </c>
      <c r="E385" s="3" t="n">
        <v>46272.38263888889</v>
      </c>
      <c r="F385" s="3" t="n">
        <v>46272.39048611111</v>
      </c>
      <c r="G385" s="3" t="n">
        <v>46272.39173611111</v>
      </c>
      <c r="H385" t="inlineStr">
        <is>
          <t>Delivered</t>
        </is>
      </c>
      <c r="I385" t="n">
        <v>6</v>
      </c>
      <c r="J385" t="n">
        <v>6</v>
      </c>
      <c r="K385" t="n">
        <v>1002.98</v>
      </c>
      <c r="L385" t="n">
        <v>1.99</v>
      </c>
      <c r="M385" t="n">
        <v>6</v>
      </c>
      <c r="N385" t="n">
        <v>0.6</v>
      </c>
      <c r="O385" t="n">
        <v>6.5</v>
      </c>
      <c r="P385" t="n">
        <v>11.3</v>
      </c>
      <c r="Q385" t="n">
        <v>13.1</v>
      </c>
      <c r="R385" t="n">
        <v>1.8</v>
      </c>
      <c r="S385" t="b">
        <v>0</v>
      </c>
      <c r="U385" t="n">
        <v>9</v>
      </c>
      <c r="V385" t="b">
        <v>0</v>
      </c>
      <c r="W385" t="inlineStr">
        <is>
          <t>Light</t>
        </is>
      </c>
      <c r="X385" t="b">
        <v>0</v>
      </c>
      <c r="Y385" t="n">
        <v>0.27</v>
      </c>
    </row>
    <row r="386">
      <c r="A386" t="inlineStr">
        <is>
          <t>O00385</t>
        </is>
      </c>
      <c r="B386" t="inlineStr">
        <is>
          <t>C0157</t>
        </is>
      </c>
      <c r="C386" t="inlineStr">
        <is>
          <t>S017</t>
        </is>
      </c>
      <c r="D386" t="inlineStr">
        <is>
          <t>R022</t>
        </is>
      </c>
      <c r="E386" s="3" t="n">
        <v>46274.91597222222</v>
      </c>
      <c r="F386" s="3" t="n">
        <v>46274.92277777778</v>
      </c>
      <c r="G386" s="3" t="n">
        <v>46274.92208333333</v>
      </c>
      <c r="H386" t="inlineStr">
        <is>
          <t>Delivered</t>
        </is>
      </c>
      <c r="I386" t="n">
        <v>6</v>
      </c>
      <c r="J386" t="n">
        <v>6</v>
      </c>
      <c r="K386" t="n">
        <v>776.62</v>
      </c>
      <c r="L386" t="n">
        <v>0.53</v>
      </c>
      <c r="M386" t="n">
        <v>1.8</v>
      </c>
      <c r="N386" t="n">
        <v>4.9</v>
      </c>
      <c r="O386" t="n">
        <v>2.1</v>
      </c>
      <c r="P386" t="n">
        <v>9.800000000000001</v>
      </c>
      <c r="Q386" t="n">
        <v>8.800000000000001</v>
      </c>
      <c r="R386" t="n">
        <v>-1</v>
      </c>
      <c r="S386" t="b">
        <v>1</v>
      </c>
      <c r="U386" t="n">
        <v>21</v>
      </c>
      <c r="V386" t="b">
        <v>1</v>
      </c>
      <c r="X386" t="b">
        <v>0</v>
      </c>
      <c r="Y386" t="n">
        <v>0.52</v>
      </c>
    </row>
    <row r="387">
      <c r="A387" t="inlineStr">
        <is>
          <t>O00386</t>
        </is>
      </c>
      <c r="B387" t="inlineStr">
        <is>
          <t>C0245</t>
        </is>
      </c>
      <c r="C387" t="inlineStr">
        <is>
          <t>S015</t>
        </is>
      </c>
      <c r="D387" t="inlineStr">
        <is>
          <t>R071</t>
        </is>
      </c>
      <c r="E387" s="3" t="n">
        <v>46267.96111111111</v>
      </c>
      <c r="F387" s="3" t="n">
        <v>46267.96770833333</v>
      </c>
      <c r="G387" s="3" t="n">
        <v>46267.97534722222</v>
      </c>
      <c r="H387" t="inlineStr">
        <is>
          <t>Delivered</t>
        </is>
      </c>
      <c r="I387" t="n">
        <v>5</v>
      </c>
      <c r="J387" t="n">
        <v>7</v>
      </c>
      <c r="K387" t="n">
        <v>1120.74</v>
      </c>
      <c r="L387" t="n">
        <v>3.93</v>
      </c>
      <c r="M387" t="n">
        <v>4.3</v>
      </c>
      <c r="N387" t="n">
        <v>5.7</v>
      </c>
      <c r="O387" t="n">
        <v>10.6</v>
      </c>
      <c r="P387" t="n">
        <v>9.5</v>
      </c>
      <c r="Q387" t="n">
        <v>20.5</v>
      </c>
      <c r="R387" t="n">
        <v>11</v>
      </c>
      <c r="S387" t="b">
        <v>0</v>
      </c>
      <c r="U387" t="n">
        <v>23</v>
      </c>
      <c r="V387" t="b">
        <v>0</v>
      </c>
      <c r="W387" t="inlineStr">
        <is>
          <t>Light</t>
        </is>
      </c>
      <c r="X387" t="b">
        <v>0</v>
      </c>
      <c r="Y387" t="n">
        <v>0.35</v>
      </c>
    </row>
    <row r="388">
      <c r="A388" t="inlineStr">
        <is>
          <t>O00387</t>
        </is>
      </c>
      <c r="B388" t="inlineStr">
        <is>
          <t>C0207</t>
        </is>
      </c>
      <c r="C388" t="inlineStr">
        <is>
          <t>S019</t>
        </is>
      </c>
      <c r="D388" t="inlineStr">
        <is>
          <t>R022</t>
        </is>
      </c>
      <c r="E388" s="3" t="n">
        <v>46270.59375</v>
      </c>
      <c r="F388" s="3" t="n">
        <v>46270.60097222222</v>
      </c>
      <c r="G388" s="3" t="n">
        <v>46270.60125</v>
      </c>
      <c r="H388" t="inlineStr">
        <is>
          <t>Delivered</t>
        </is>
      </c>
      <c r="I388" t="n">
        <v>6</v>
      </c>
      <c r="J388" t="n">
        <v>6</v>
      </c>
      <c r="K388" t="n">
        <v>467.73</v>
      </c>
      <c r="L388" t="n">
        <v>0.5</v>
      </c>
      <c r="M388" t="n">
        <v>4.4</v>
      </c>
      <c r="N388" t="n">
        <v>4.2</v>
      </c>
      <c r="O388" t="n">
        <v>2.2</v>
      </c>
      <c r="P388" t="n">
        <v>10.4</v>
      </c>
      <c r="Q388" t="n">
        <v>10.8</v>
      </c>
      <c r="R388" t="n">
        <v>0.4</v>
      </c>
      <c r="S388" t="b">
        <v>0</v>
      </c>
      <c r="U388" t="n">
        <v>14</v>
      </c>
      <c r="V388" t="b">
        <v>0</v>
      </c>
      <c r="X388" t="b">
        <v>0</v>
      </c>
      <c r="Y388" t="n">
        <v>0.33</v>
      </c>
    </row>
    <row r="389">
      <c r="A389" t="inlineStr">
        <is>
          <t>O00388</t>
        </is>
      </c>
      <c r="B389" t="inlineStr">
        <is>
          <t>C0236</t>
        </is>
      </c>
      <c r="C389" t="inlineStr">
        <is>
          <t>S011</t>
        </is>
      </c>
      <c r="D389" t="inlineStr">
        <is>
          <t>R068</t>
        </is>
      </c>
      <c r="E389" s="3" t="n">
        <v>46277.74513888889</v>
      </c>
      <c r="F389" s="3" t="n">
        <v>46277.75173611111</v>
      </c>
      <c r="G389" s="3" t="n">
        <v>46277.75694444445</v>
      </c>
      <c r="H389" t="inlineStr">
        <is>
          <t>Delivered</t>
        </is>
      </c>
      <c r="I389" t="n">
        <v>2</v>
      </c>
      <c r="J389" t="n">
        <v>8</v>
      </c>
      <c r="K389" t="n">
        <v>1111.14</v>
      </c>
      <c r="L389" t="n">
        <v>0.5</v>
      </c>
      <c r="M389" t="n">
        <v>8</v>
      </c>
      <c r="N389" t="n">
        <v>5.3</v>
      </c>
      <c r="O389" t="n">
        <v>3.6</v>
      </c>
      <c r="P389" t="n">
        <v>9.5</v>
      </c>
      <c r="Q389" t="n">
        <v>17</v>
      </c>
      <c r="R389" t="n">
        <v>7.5</v>
      </c>
      <c r="S389" t="b">
        <v>0</v>
      </c>
      <c r="U389" t="n">
        <v>17</v>
      </c>
      <c r="V389" t="b">
        <v>0</v>
      </c>
      <c r="W389" t="inlineStr">
        <is>
          <t>Light</t>
        </is>
      </c>
      <c r="X389" t="b">
        <v>0</v>
      </c>
      <c r="Y389" t="n">
        <v>0.57</v>
      </c>
    </row>
    <row r="390">
      <c r="A390" t="inlineStr">
        <is>
          <t>O00389</t>
        </is>
      </c>
      <c r="B390" t="inlineStr">
        <is>
          <t>C0229</t>
        </is>
      </c>
      <c r="C390" t="inlineStr">
        <is>
          <t>S009</t>
        </is>
      </c>
      <c r="D390" t="inlineStr">
        <is>
          <t>R023</t>
        </is>
      </c>
      <c r="E390" s="3" t="n">
        <v>46277.36736111111</v>
      </c>
      <c r="F390" s="3" t="n">
        <v>46277.37486111111</v>
      </c>
      <c r="G390" s="3" t="n">
        <v>46277.38131944444</v>
      </c>
      <c r="H390" t="inlineStr">
        <is>
          <t>Delivered</t>
        </is>
      </c>
      <c r="I390" t="n">
        <v>1</v>
      </c>
      <c r="J390" t="n">
        <v>6</v>
      </c>
      <c r="K390" t="n">
        <v>723.91</v>
      </c>
      <c r="L390" t="n">
        <v>2.8</v>
      </c>
      <c r="M390" t="n">
        <v>3.6</v>
      </c>
      <c r="N390" t="n">
        <v>7</v>
      </c>
      <c r="O390" t="n">
        <v>9.5</v>
      </c>
      <c r="P390" t="n">
        <v>10.8</v>
      </c>
      <c r="Q390" t="n">
        <v>20.1</v>
      </c>
      <c r="R390" t="n">
        <v>9.300000000000001</v>
      </c>
      <c r="S390" t="b">
        <v>0</v>
      </c>
      <c r="U390" t="n">
        <v>8</v>
      </c>
      <c r="V390" t="b">
        <v>0</v>
      </c>
      <c r="W390" t="inlineStr">
        <is>
          <t>Heavy</t>
        </is>
      </c>
      <c r="X390" t="b">
        <v>0</v>
      </c>
      <c r="Y390" t="n">
        <v>0.68</v>
      </c>
    </row>
    <row r="391">
      <c r="A391" t="inlineStr">
        <is>
          <t>O00390</t>
        </is>
      </c>
      <c r="B391" t="inlineStr">
        <is>
          <t>C0143</t>
        </is>
      </c>
      <c r="C391" t="inlineStr">
        <is>
          <t>S016</t>
        </is>
      </c>
      <c r="D391" t="inlineStr">
        <is>
          <t>R052</t>
        </is>
      </c>
      <c r="E391" s="3" t="n">
        <v>46267.80972222222</v>
      </c>
      <c r="F391" s="3" t="n">
        <v>46267.81576388889</v>
      </c>
      <c r="G391" s="3" t="n">
        <v>46267.82104166667</v>
      </c>
      <c r="H391" t="inlineStr">
        <is>
          <t>Delivered</t>
        </is>
      </c>
      <c r="I391" t="n">
        <v>2</v>
      </c>
      <c r="J391" t="n">
        <v>7</v>
      </c>
      <c r="K391" t="n">
        <v>1488.31</v>
      </c>
      <c r="L391" t="n">
        <v>2.26</v>
      </c>
      <c r="M391" t="n">
        <v>5.5</v>
      </c>
      <c r="N391" t="n">
        <v>4.7</v>
      </c>
      <c r="O391" t="n">
        <v>6</v>
      </c>
      <c r="P391" t="n">
        <v>8.699999999999999</v>
      </c>
      <c r="Q391" t="n">
        <v>16.3</v>
      </c>
      <c r="R391" t="n">
        <v>7.6</v>
      </c>
      <c r="S391" t="b">
        <v>0</v>
      </c>
      <c r="U391" t="n">
        <v>19</v>
      </c>
      <c r="V391" t="b">
        <v>1</v>
      </c>
      <c r="W391" t="inlineStr">
        <is>
          <t>Light</t>
        </is>
      </c>
      <c r="X391" t="b">
        <v>0</v>
      </c>
      <c r="Y391" t="n">
        <v>0.31</v>
      </c>
    </row>
    <row r="392">
      <c r="A392" t="inlineStr">
        <is>
          <t>O00391</t>
        </is>
      </c>
      <c r="B392" t="inlineStr">
        <is>
          <t>C0214</t>
        </is>
      </c>
      <c r="C392" t="inlineStr">
        <is>
          <t>S012</t>
        </is>
      </c>
      <c r="D392" t="inlineStr">
        <is>
          <t>R021</t>
        </is>
      </c>
      <c r="E392" s="3" t="n">
        <v>46270.88194444445</v>
      </c>
      <c r="F392" s="3" t="n">
        <v>46270.88840277777</v>
      </c>
      <c r="G392" s="3" t="n">
        <v>46270.88798611111</v>
      </c>
      <c r="H392" t="inlineStr">
        <is>
          <t>Delivered</t>
        </is>
      </c>
      <c r="I392" t="n">
        <v>1</v>
      </c>
      <c r="J392" t="n">
        <v>9</v>
      </c>
      <c r="K392" t="n">
        <v>1084.24</v>
      </c>
      <c r="L392" t="n">
        <v>1.14</v>
      </c>
      <c r="M392" t="n">
        <v>2.8</v>
      </c>
      <c r="N392" t="n">
        <v>2.2</v>
      </c>
      <c r="O392" t="n">
        <v>3.7</v>
      </c>
      <c r="P392" t="n">
        <v>9.300000000000001</v>
      </c>
      <c r="Q392" t="n">
        <v>8.699999999999999</v>
      </c>
      <c r="R392" t="n">
        <v>-0.6</v>
      </c>
      <c r="S392" t="b">
        <v>1</v>
      </c>
      <c r="U392" t="n">
        <v>21</v>
      </c>
      <c r="V392" t="b">
        <v>1</v>
      </c>
      <c r="W392" t="inlineStr">
        <is>
          <t>Heavy</t>
        </is>
      </c>
      <c r="X392" t="b">
        <v>0</v>
      </c>
      <c r="Y392" t="n">
        <v>0.84</v>
      </c>
    </row>
    <row r="393">
      <c r="A393" t="inlineStr">
        <is>
          <t>O00392</t>
        </is>
      </c>
      <c r="B393" t="inlineStr">
        <is>
          <t>C0040</t>
        </is>
      </c>
      <c r="C393" t="inlineStr">
        <is>
          <t>S001</t>
        </is>
      </c>
      <c r="E393" s="3" t="n">
        <v>46277.92152777778</v>
      </c>
      <c r="F393" s="3" t="n">
        <v>46277.92951388889</v>
      </c>
      <c r="H393" t="inlineStr">
        <is>
          <t>Cancelled</t>
        </is>
      </c>
      <c r="I393" t="n">
        <v>1</v>
      </c>
      <c r="J393" t="n">
        <v>7</v>
      </c>
      <c r="K393" t="n">
        <v>823.4299999999999</v>
      </c>
      <c r="L393" t="n">
        <v>4.3</v>
      </c>
      <c r="M393" t="n">
        <v>5.8</v>
      </c>
      <c r="N393" t="n">
        <v>4.2</v>
      </c>
      <c r="O393" t="n">
        <v>9.1</v>
      </c>
      <c r="P393" t="n">
        <v>11.5</v>
      </c>
      <c r="T393" t="inlineStr">
        <is>
          <t>Rider unavailable</t>
        </is>
      </c>
      <c r="U393" t="n">
        <v>22</v>
      </c>
      <c r="V393" t="b">
        <v>0</v>
      </c>
      <c r="X393" t="b">
        <v>0</v>
      </c>
      <c r="Y393" t="n">
        <v>0.27</v>
      </c>
    </row>
    <row r="394">
      <c r="A394" t="inlineStr">
        <is>
          <t>O00393</t>
        </is>
      </c>
      <c r="B394" t="inlineStr">
        <is>
          <t>C0132</t>
        </is>
      </c>
      <c r="C394" t="inlineStr">
        <is>
          <t>S004</t>
        </is>
      </c>
      <c r="D394" t="inlineStr">
        <is>
          <t>R024</t>
        </is>
      </c>
      <c r="E394" s="3" t="n">
        <v>46270.54861111111</v>
      </c>
      <c r="F394" s="3" t="n">
        <v>46270.55694444444</v>
      </c>
      <c r="G394" s="3" t="n">
        <v>46270.56291666667</v>
      </c>
      <c r="H394" t="inlineStr">
        <is>
          <t>Delivered</t>
        </is>
      </c>
      <c r="I394" t="n">
        <v>1</v>
      </c>
      <c r="J394" t="n">
        <v>5</v>
      </c>
      <c r="K394" t="n">
        <v>449.67</v>
      </c>
      <c r="L394" t="n">
        <v>3.3</v>
      </c>
      <c r="M394" t="n">
        <v>3.7</v>
      </c>
      <c r="N394" t="n">
        <v>8.4</v>
      </c>
      <c r="O394" t="n">
        <v>8.5</v>
      </c>
      <c r="P394" t="n">
        <v>12</v>
      </c>
      <c r="Q394" t="n">
        <v>20.6</v>
      </c>
      <c r="R394" t="n">
        <v>8.6</v>
      </c>
      <c r="S394" t="b">
        <v>0</v>
      </c>
      <c r="U394" t="n">
        <v>13</v>
      </c>
      <c r="V394" t="b">
        <v>0</v>
      </c>
      <c r="X394" t="b">
        <v>0</v>
      </c>
      <c r="Y394" t="n">
        <v>0.2</v>
      </c>
    </row>
    <row r="395">
      <c r="A395" t="inlineStr">
        <is>
          <t>O00394</t>
        </is>
      </c>
      <c r="B395" t="inlineStr">
        <is>
          <t>C0113</t>
        </is>
      </c>
      <c r="C395" t="inlineStr">
        <is>
          <t>S015</t>
        </is>
      </c>
      <c r="D395" t="inlineStr">
        <is>
          <t>R052</t>
        </is>
      </c>
      <c r="E395" s="3" t="n">
        <v>46276.67638888889</v>
      </c>
      <c r="F395" s="3" t="n">
        <v>46276.68305555556</v>
      </c>
      <c r="G395" s="3" t="n">
        <v>46276.68270833333</v>
      </c>
      <c r="H395" t="inlineStr">
        <is>
          <t>Delivered</t>
        </is>
      </c>
      <c r="I395" t="n">
        <v>4</v>
      </c>
      <c r="J395" t="n">
        <v>8</v>
      </c>
      <c r="K395" t="n">
        <v>485.66</v>
      </c>
      <c r="L395" t="n">
        <v>1.96</v>
      </c>
      <c r="M395" t="n">
        <v>3.7</v>
      </c>
      <c r="N395" t="n">
        <v>1.5</v>
      </c>
      <c r="O395" t="n">
        <v>3.9</v>
      </c>
      <c r="P395" t="n">
        <v>9.6</v>
      </c>
      <c r="Q395" t="n">
        <v>9.1</v>
      </c>
      <c r="R395" t="n">
        <v>-0.5</v>
      </c>
      <c r="S395" t="b">
        <v>1</v>
      </c>
      <c r="U395" t="n">
        <v>16</v>
      </c>
      <c r="V395" t="b">
        <v>0</v>
      </c>
      <c r="W395" t="inlineStr">
        <is>
          <t>Light</t>
        </is>
      </c>
      <c r="X395" t="b">
        <v>0</v>
      </c>
      <c r="Y395" t="n">
        <v>0.52</v>
      </c>
    </row>
    <row r="396">
      <c r="A396" t="inlineStr">
        <is>
          <t>O00395</t>
        </is>
      </c>
      <c r="B396" t="inlineStr">
        <is>
          <t>C0033</t>
        </is>
      </c>
      <c r="C396" t="inlineStr">
        <is>
          <t>S011</t>
        </is>
      </c>
      <c r="D396" t="inlineStr">
        <is>
          <t>R047</t>
        </is>
      </c>
      <c r="E396" s="3" t="n">
        <v>46277.51736111111</v>
      </c>
      <c r="F396" s="3" t="n">
        <v>46277.52305555555</v>
      </c>
      <c r="G396" s="3" t="n">
        <v>46277.52270833333</v>
      </c>
      <c r="H396" t="inlineStr">
        <is>
          <t>Delivered</t>
        </is>
      </c>
      <c r="I396" t="n">
        <v>3</v>
      </c>
      <c r="J396" t="n">
        <v>10</v>
      </c>
      <c r="K396" t="n">
        <v>1617.7</v>
      </c>
      <c r="L396" t="n">
        <v>0.5</v>
      </c>
      <c r="M396" t="n">
        <v>3.7</v>
      </c>
      <c r="N396" t="n">
        <v>2.9</v>
      </c>
      <c r="O396" t="n">
        <v>1.1</v>
      </c>
      <c r="P396" t="n">
        <v>8.199999999999999</v>
      </c>
      <c r="Q396" t="n">
        <v>7.7</v>
      </c>
      <c r="R396" t="n">
        <v>-0.5</v>
      </c>
      <c r="S396" t="b">
        <v>1</v>
      </c>
      <c r="U396" t="n">
        <v>12</v>
      </c>
      <c r="V396" t="b">
        <v>0</v>
      </c>
      <c r="X396" t="b">
        <v>0</v>
      </c>
      <c r="Y396" t="n">
        <v>0.38</v>
      </c>
    </row>
    <row r="397">
      <c r="A397" t="inlineStr">
        <is>
          <t>O00396</t>
        </is>
      </c>
      <c r="B397" t="inlineStr">
        <is>
          <t>C0204</t>
        </is>
      </c>
      <c r="C397" t="inlineStr">
        <is>
          <t>S006</t>
        </is>
      </c>
      <c r="D397" t="inlineStr">
        <is>
          <t>R037</t>
        </is>
      </c>
      <c r="E397" s="3" t="n">
        <v>46273.84166666667</v>
      </c>
      <c r="F397" s="3" t="n">
        <v>46273.84756944444</v>
      </c>
      <c r="G397" s="3" t="n">
        <v>46273.84701388889</v>
      </c>
      <c r="H397" t="inlineStr">
        <is>
          <t>Delivered</t>
        </is>
      </c>
      <c r="I397" t="n">
        <v>5</v>
      </c>
      <c r="J397" t="n">
        <v>6</v>
      </c>
      <c r="K397" t="n">
        <v>1025.76</v>
      </c>
      <c r="L397" t="n">
        <v>2.61</v>
      </c>
      <c r="M397" t="n">
        <v>1.9</v>
      </c>
      <c r="N397" t="n">
        <v>2.7</v>
      </c>
      <c r="O397" t="n">
        <v>3.1</v>
      </c>
      <c r="P397" t="n">
        <v>8.5</v>
      </c>
      <c r="Q397" t="n">
        <v>7.7</v>
      </c>
      <c r="R397" t="n">
        <v>-0.8</v>
      </c>
      <c r="S397" t="b">
        <v>1</v>
      </c>
      <c r="U397" t="n">
        <v>20</v>
      </c>
      <c r="V397" t="b">
        <v>1</v>
      </c>
      <c r="W397" t="inlineStr">
        <is>
          <t>Heavy</t>
        </is>
      </c>
      <c r="X397" t="b">
        <v>0</v>
      </c>
      <c r="Y397" t="n">
        <v>0.99</v>
      </c>
    </row>
    <row r="398">
      <c r="A398" t="inlineStr">
        <is>
          <t>O00397</t>
        </is>
      </c>
      <c r="B398" t="inlineStr">
        <is>
          <t>C0235</t>
        </is>
      </c>
      <c r="C398" t="inlineStr">
        <is>
          <t>S012</t>
        </is>
      </c>
      <c r="D398" t="inlineStr">
        <is>
          <t>R080</t>
        </is>
      </c>
      <c r="E398" s="3" t="n">
        <v>46278.67291666667</v>
      </c>
      <c r="F398" s="3" t="n">
        <v>46278.68111111111</v>
      </c>
      <c r="G398" s="3" t="n">
        <v>46278.68458333334</v>
      </c>
      <c r="H398" t="inlineStr">
        <is>
          <t>Delivered</t>
        </is>
      </c>
      <c r="I398" t="n">
        <v>6</v>
      </c>
      <c r="J398" t="n">
        <v>6</v>
      </c>
      <c r="K398" t="n">
        <v>448.87</v>
      </c>
      <c r="L398" t="n">
        <v>2.6</v>
      </c>
      <c r="M398" t="n">
        <v>5.2</v>
      </c>
      <c r="N398" t="n">
        <v>4.6</v>
      </c>
      <c r="O398" t="n">
        <v>7.1</v>
      </c>
      <c r="P398" t="n">
        <v>11.8</v>
      </c>
      <c r="Q398" t="n">
        <v>16.8</v>
      </c>
      <c r="R398" t="n">
        <v>5</v>
      </c>
      <c r="S398" t="b">
        <v>0</v>
      </c>
      <c r="U398" t="n">
        <v>16</v>
      </c>
      <c r="V398" t="b">
        <v>0</v>
      </c>
      <c r="X398" t="b">
        <v>0</v>
      </c>
      <c r="Y398" t="n">
        <v>0.34</v>
      </c>
    </row>
    <row r="399">
      <c r="A399" t="inlineStr">
        <is>
          <t>O00398</t>
        </is>
      </c>
      <c r="B399" t="inlineStr">
        <is>
          <t>C0030</t>
        </is>
      </c>
      <c r="C399" t="inlineStr">
        <is>
          <t>S017</t>
        </is>
      </c>
      <c r="D399" t="inlineStr">
        <is>
          <t>R039</t>
        </is>
      </c>
      <c r="E399" s="3" t="n">
        <v>46276.37222222222</v>
      </c>
      <c r="F399" s="3" t="n">
        <v>46276.38020833334</v>
      </c>
      <c r="G399" s="3" t="n">
        <v>46276.37944444444</v>
      </c>
      <c r="H399" t="inlineStr">
        <is>
          <t>Delivered</t>
        </is>
      </c>
      <c r="I399" t="n">
        <v>2</v>
      </c>
      <c r="J399" t="n">
        <v>6</v>
      </c>
      <c r="K399" t="n">
        <v>1459.57</v>
      </c>
      <c r="L399" t="n">
        <v>0.76</v>
      </c>
      <c r="M399" t="n">
        <v>3.3</v>
      </c>
      <c r="N399" t="n">
        <v>4.4</v>
      </c>
      <c r="O399" t="n">
        <v>2.7</v>
      </c>
      <c r="P399" t="n">
        <v>11.5</v>
      </c>
      <c r="Q399" t="n">
        <v>10.4</v>
      </c>
      <c r="R399" t="n">
        <v>-1.1</v>
      </c>
      <c r="S399" t="b">
        <v>1</v>
      </c>
      <c r="U399" t="n">
        <v>8</v>
      </c>
      <c r="V399" t="b">
        <v>0</v>
      </c>
      <c r="X399" t="b">
        <v>0</v>
      </c>
      <c r="Y399" t="n">
        <v>0.57</v>
      </c>
    </row>
    <row r="400">
      <c r="A400" t="inlineStr">
        <is>
          <t>O00399</t>
        </is>
      </c>
      <c r="B400" t="inlineStr">
        <is>
          <t>C0215</t>
        </is>
      </c>
      <c r="C400" t="inlineStr">
        <is>
          <t>S008</t>
        </is>
      </c>
      <c r="D400" t="inlineStr">
        <is>
          <t>R010</t>
        </is>
      </c>
      <c r="E400" s="3" t="n">
        <v>46277.86875</v>
      </c>
      <c r="F400" s="3" t="n">
        <v>46277.87520833333</v>
      </c>
      <c r="G400" s="3" t="n">
        <v>46277.87458333333</v>
      </c>
      <c r="H400" t="inlineStr">
        <is>
          <t>Delivered</t>
        </is>
      </c>
      <c r="I400" t="n">
        <v>1</v>
      </c>
      <c r="J400" t="n">
        <v>12</v>
      </c>
      <c r="K400" t="n">
        <v>1231.28</v>
      </c>
      <c r="L400" t="n">
        <v>3.31</v>
      </c>
      <c r="M400" t="n">
        <v>1.8</v>
      </c>
      <c r="N400" t="n">
        <v>3.2</v>
      </c>
      <c r="O400" t="n">
        <v>3.4</v>
      </c>
      <c r="P400" t="n">
        <v>9.300000000000001</v>
      </c>
      <c r="Q400" t="n">
        <v>8.4</v>
      </c>
      <c r="R400" t="n">
        <v>-0.9</v>
      </c>
      <c r="S400" t="b">
        <v>1</v>
      </c>
      <c r="U400" t="n">
        <v>20</v>
      </c>
      <c r="V400" t="b">
        <v>1</v>
      </c>
      <c r="W400" t="inlineStr">
        <is>
          <t>Light</t>
        </is>
      </c>
      <c r="X400" t="b">
        <v>0</v>
      </c>
      <c r="Y400" t="n">
        <v>0.64</v>
      </c>
    </row>
    <row r="401">
      <c r="A401" t="inlineStr">
        <is>
          <t>O00400</t>
        </is>
      </c>
      <c r="B401" t="inlineStr">
        <is>
          <t>C0108</t>
        </is>
      </c>
      <c r="C401" t="inlineStr">
        <is>
          <t>S006</t>
        </is>
      </c>
      <c r="D401" t="inlineStr">
        <is>
          <t>R059</t>
        </is>
      </c>
      <c r="E401" s="3" t="n">
        <v>46276.73333333333</v>
      </c>
      <c r="F401" s="3" t="n">
        <v>46276.74</v>
      </c>
      <c r="G401" s="3" t="n">
        <v>46276.73972222222</v>
      </c>
      <c r="H401" t="inlineStr">
        <is>
          <t>Delivered</t>
        </is>
      </c>
      <c r="I401" t="n">
        <v>2</v>
      </c>
      <c r="J401" t="n">
        <v>7</v>
      </c>
      <c r="K401" t="n">
        <v>1069.97</v>
      </c>
      <c r="L401" t="n">
        <v>1.92</v>
      </c>
      <c r="M401" t="n">
        <v>4</v>
      </c>
      <c r="N401" t="n">
        <v>1.9</v>
      </c>
      <c r="O401" t="n">
        <v>3.3</v>
      </c>
      <c r="P401" t="n">
        <v>9.6</v>
      </c>
      <c r="Q401" t="n">
        <v>9.199999999999999</v>
      </c>
      <c r="R401" t="n">
        <v>-0.4</v>
      </c>
      <c r="S401" t="b">
        <v>1</v>
      </c>
      <c r="U401" t="n">
        <v>17</v>
      </c>
      <c r="V401" t="b">
        <v>0</v>
      </c>
      <c r="X401" t="b">
        <v>0</v>
      </c>
      <c r="Y401" t="n">
        <v>0.45</v>
      </c>
    </row>
    <row r="402">
      <c r="A402" t="inlineStr">
        <is>
          <t>O00401</t>
        </is>
      </c>
      <c r="B402" t="inlineStr">
        <is>
          <t>C0243</t>
        </is>
      </c>
      <c r="C402" t="inlineStr">
        <is>
          <t>S018</t>
        </is>
      </c>
      <c r="D402" t="inlineStr">
        <is>
          <t>R052</t>
        </is>
      </c>
      <c r="E402" s="3" t="n">
        <v>46276.63333333333</v>
      </c>
      <c r="F402" s="3" t="n">
        <v>46276.64138888889</v>
      </c>
      <c r="G402" s="3" t="n">
        <v>46276.64659722222</v>
      </c>
      <c r="H402" t="inlineStr">
        <is>
          <t>Delivered</t>
        </is>
      </c>
      <c r="I402" t="n">
        <v>6</v>
      </c>
      <c r="J402" t="n">
        <v>6</v>
      </c>
      <c r="K402" t="n">
        <v>1138.59</v>
      </c>
      <c r="L402" t="n">
        <v>3.82</v>
      </c>
      <c r="M402" t="n">
        <v>5.5</v>
      </c>
      <c r="N402" t="n">
        <v>3.2</v>
      </c>
      <c r="O402" t="n">
        <v>10.4</v>
      </c>
      <c r="P402" t="n">
        <v>11.6</v>
      </c>
      <c r="Q402" t="n">
        <v>19.1</v>
      </c>
      <c r="R402" t="n">
        <v>7.5</v>
      </c>
      <c r="S402" t="b">
        <v>0</v>
      </c>
      <c r="U402" t="n">
        <v>15</v>
      </c>
      <c r="V402" t="b">
        <v>0</v>
      </c>
      <c r="W402" t="inlineStr">
        <is>
          <t>Light</t>
        </is>
      </c>
      <c r="X402" t="b">
        <v>0</v>
      </c>
      <c r="Y402" t="n">
        <v>0.66</v>
      </c>
    </row>
    <row r="403">
      <c r="A403" t="inlineStr">
        <is>
          <t>O00402</t>
        </is>
      </c>
      <c r="B403" t="inlineStr">
        <is>
          <t>C0004</t>
        </is>
      </c>
      <c r="C403" t="inlineStr">
        <is>
          <t>S004</t>
        </is>
      </c>
      <c r="D403" t="inlineStr">
        <is>
          <t>R065</t>
        </is>
      </c>
      <c r="E403" s="3" t="n">
        <v>46278.8</v>
      </c>
      <c r="F403" s="3" t="n">
        <v>46278.80736111111</v>
      </c>
      <c r="G403" s="3" t="n">
        <v>46278.81555555556</v>
      </c>
      <c r="H403" t="inlineStr">
        <is>
          <t>Delivered</t>
        </is>
      </c>
      <c r="I403" t="n">
        <v>1</v>
      </c>
      <c r="J403" t="n">
        <v>2</v>
      </c>
      <c r="K403" t="n">
        <v>985.29</v>
      </c>
      <c r="L403" t="n">
        <v>1.71</v>
      </c>
      <c r="M403" t="n">
        <v>2.6</v>
      </c>
      <c r="N403" t="n">
        <v>13.1</v>
      </c>
      <c r="O403" t="n">
        <v>6.7</v>
      </c>
      <c r="P403" t="n">
        <v>10.6</v>
      </c>
      <c r="Q403" t="n">
        <v>22.4</v>
      </c>
      <c r="R403" t="n">
        <v>11.8</v>
      </c>
      <c r="S403" t="b">
        <v>0</v>
      </c>
      <c r="U403" t="n">
        <v>19</v>
      </c>
      <c r="V403" t="b">
        <v>1</v>
      </c>
      <c r="W403" t="inlineStr">
        <is>
          <t>Light</t>
        </is>
      </c>
      <c r="X403" t="b">
        <v>0</v>
      </c>
      <c r="Y403" t="n">
        <v>0.91</v>
      </c>
    </row>
    <row r="404">
      <c r="A404" t="inlineStr">
        <is>
          <t>O00403</t>
        </is>
      </c>
      <c r="B404" t="inlineStr">
        <is>
          <t>C0231</t>
        </is>
      </c>
      <c r="C404" t="inlineStr">
        <is>
          <t>S007</t>
        </is>
      </c>
      <c r="D404" t="inlineStr">
        <is>
          <t>R048</t>
        </is>
      </c>
      <c r="E404" s="3" t="n">
        <v>46268.87916666667</v>
      </c>
      <c r="F404" s="3" t="n">
        <v>46268.88583333333</v>
      </c>
      <c r="G404" s="3" t="n">
        <v>46268.88555555556</v>
      </c>
      <c r="H404" t="inlineStr">
        <is>
          <t>Delivered</t>
        </is>
      </c>
      <c r="I404" t="n">
        <v>2</v>
      </c>
      <c r="J404" t="n">
        <v>4</v>
      </c>
      <c r="K404" t="n">
        <v>569.2</v>
      </c>
      <c r="L404" t="n">
        <v>4.4</v>
      </c>
      <c r="M404" t="n">
        <v>2.3</v>
      </c>
      <c r="N404" t="n">
        <v>3.2</v>
      </c>
      <c r="O404" t="n">
        <v>3.7</v>
      </c>
      <c r="P404" t="n">
        <v>9.6</v>
      </c>
      <c r="Q404" t="n">
        <v>9.199999999999999</v>
      </c>
      <c r="R404" t="n">
        <v>-0.4</v>
      </c>
      <c r="S404" t="b">
        <v>1</v>
      </c>
      <c r="U404" t="n">
        <v>21</v>
      </c>
      <c r="V404" t="b">
        <v>1</v>
      </c>
      <c r="X404" t="b">
        <v>0</v>
      </c>
      <c r="Y404" t="n">
        <v>0.35</v>
      </c>
    </row>
    <row r="405">
      <c r="A405" t="inlineStr">
        <is>
          <t>O00404</t>
        </is>
      </c>
      <c r="B405" t="inlineStr">
        <is>
          <t>C0076</t>
        </is>
      </c>
      <c r="C405" t="inlineStr">
        <is>
          <t>S009</t>
        </is>
      </c>
      <c r="D405" t="inlineStr">
        <is>
          <t>R022</t>
        </is>
      </c>
      <c r="E405" s="3" t="n">
        <v>46277.73333333333</v>
      </c>
      <c r="F405" s="3" t="n">
        <v>46277.73909722222</v>
      </c>
      <c r="G405" s="3" t="n">
        <v>46277.73895833334</v>
      </c>
      <c r="H405" t="inlineStr">
        <is>
          <t>Delivered</t>
        </is>
      </c>
      <c r="I405" t="n">
        <v>4</v>
      </c>
      <c r="J405" t="n">
        <v>6</v>
      </c>
      <c r="K405" t="n">
        <v>431.14</v>
      </c>
      <c r="L405" t="n">
        <v>2.48</v>
      </c>
      <c r="M405" t="n">
        <v>2.3</v>
      </c>
      <c r="N405" t="n">
        <v>1.9</v>
      </c>
      <c r="O405" t="n">
        <v>3.9</v>
      </c>
      <c r="P405" t="n">
        <v>8.300000000000001</v>
      </c>
      <c r="Q405" t="n">
        <v>8.1</v>
      </c>
      <c r="R405" t="n">
        <v>-0.2</v>
      </c>
      <c r="S405" t="b">
        <v>1</v>
      </c>
      <c r="U405" t="n">
        <v>17</v>
      </c>
      <c r="V405" t="b">
        <v>0</v>
      </c>
      <c r="X405" t="b">
        <v>0</v>
      </c>
      <c r="Y405" t="n">
        <v>0.54</v>
      </c>
    </row>
    <row r="406">
      <c r="A406" t="inlineStr">
        <is>
          <t>O00405</t>
        </is>
      </c>
      <c r="B406" t="inlineStr">
        <is>
          <t>C0133</t>
        </is>
      </c>
      <c r="C406" t="inlineStr">
        <is>
          <t>S008</t>
        </is>
      </c>
      <c r="D406" t="inlineStr">
        <is>
          <t>R070</t>
        </is>
      </c>
      <c r="E406" s="3" t="n">
        <v>46276.61111111111</v>
      </c>
      <c r="F406" s="3" t="n">
        <v>46276.618125</v>
      </c>
      <c r="G406" s="3" t="n">
        <v>46276.61881944445</v>
      </c>
      <c r="H406" t="inlineStr">
        <is>
          <t>Delivered</t>
        </is>
      </c>
      <c r="I406" t="n">
        <v>1</v>
      </c>
      <c r="J406" t="n">
        <v>9</v>
      </c>
      <c r="K406" t="n">
        <v>381.56</v>
      </c>
      <c r="L406" t="n">
        <v>1.34</v>
      </c>
      <c r="M406" t="n">
        <v>4</v>
      </c>
      <c r="N406" t="n">
        <v>3.7</v>
      </c>
      <c r="O406" t="n">
        <v>3.4</v>
      </c>
      <c r="P406" t="n">
        <v>10.1</v>
      </c>
      <c r="Q406" t="n">
        <v>11.1</v>
      </c>
      <c r="R406" t="n">
        <v>1</v>
      </c>
      <c r="S406" t="b">
        <v>0</v>
      </c>
      <c r="U406" t="n">
        <v>14</v>
      </c>
      <c r="V406" t="b">
        <v>0</v>
      </c>
      <c r="X406" t="b">
        <v>0</v>
      </c>
      <c r="Y406" t="n">
        <v>0.11</v>
      </c>
    </row>
    <row r="407">
      <c r="A407" t="inlineStr">
        <is>
          <t>O00406</t>
        </is>
      </c>
      <c r="B407" t="inlineStr">
        <is>
          <t>C0047</t>
        </is>
      </c>
      <c r="C407" t="inlineStr">
        <is>
          <t>S018</t>
        </is>
      </c>
      <c r="D407" t="inlineStr">
        <is>
          <t>R076</t>
        </is>
      </c>
      <c r="E407" s="3" t="n">
        <v>46266.45763888889</v>
      </c>
      <c r="F407" s="3" t="n">
        <v>46266.46493055556</v>
      </c>
      <c r="G407" s="3" t="n">
        <v>46266.46430555556</v>
      </c>
      <c r="H407" t="inlineStr">
        <is>
          <t>Delivered</t>
        </is>
      </c>
      <c r="I407" t="n">
        <v>2</v>
      </c>
      <c r="J407" t="n">
        <v>6</v>
      </c>
      <c r="K407" t="n">
        <v>389.79</v>
      </c>
      <c r="L407" t="n">
        <v>1.99</v>
      </c>
      <c r="M407" t="n">
        <v>4</v>
      </c>
      <c r="N407" t="n">
        <v>2.7</v>
      </c>
      <c r="O407" t="n">
        <v>2.9</v>
      </c>
      <c r="P407" t="n">
        <v>10.5</v>
      </c>
      <c r="Q407" t="n">
        <v>9.6</v>
      </c>
      <c r="R407" t="n">
        <v>-0.9</v>
      </c>
      <c r="S407" t="b">
        <v>1</v>
      </c>
      <c r="U407" t="n">
        <v>10</v>
      </c>
      <c r="V407" t="b">
        <v>0</v>
      </c>
      <c r="X407" t="b">
        <v>0</v>
      </c>
      <c r="Y407" t="n">
        <v>0.45</v>
      </c>
    </row>
    <row r="408">
      <c r="A408" t="inlineStr">
        <is>
          <t>O00407</t>
        </is>
      </c>
      <c r="B408" t="inlineStr">
        <is>
          <t>C0249</t>
        </is>
      </c>
      <c r="C408" t="inlineStr">
        <is>
          <t>S001</t>
        </is>
      </c>
      <c r="D408" t="inlineStr">
        <is>
          <t>R031</t>
        </is>
      </c>
      <c r="E408" s="3" t="n">
        <v>46279.57777777778</v>
      </c>
      <c r="F408" s="3" t="n">
        <v>46279.58319444444</v>
      </c>
      <c r="G408" s="3" t="n">
        <v>46279.5825</v>
      </c>
      <c r="H408" t="inlineStr">
        <is>
          <t>Delivered</t>
        </is>
      </c>
      <c r="I408" t="n">
        <v>5</v>
      </c>
      <c r="J408" t="n">
        <v>8</v>
      </c>
      <c r="K408" t="n">
        <v>420.28</v>
      </c>
      <c r="L408" t="n">
        <v>0.89</v>
      </c>
      <c r="M408" t="n">
        <v>1.6</v>
      </c>
      <c r="N408" t="n">
        <v>3.5</v>
      </c>
      <c r="O408" t="n">
        <v>1.7</v>
      </c>
      <c r="P408" t="n">
        <v>7.8</v>
      </c>
      <c r="Q408" t="n">
        <v>6.8</v>
      </c>
      <c r="R408" t="n">
        <v>-1</v>
      </c>
      <c r="S408" t="b">
        <v>1</v>
      </c>
      <c r="U408" t="n">
        <v>13</v>
      </c>
      <c r="V408" t="b">
        <v>0</v>
      </c>
      <c r="W408" t="inlineStr">
        <is>
          <t>Light</t>
        </is>
      </c>
      <c r="X408" t="b">
        <v>0</v>
      </c>
      <c r="Y408" t="n">
        <v>0.68</v>
      </c>
    </row>
    <row r="409">
      <c r="A409" t="inlineStr">
        <is>
          <t>O00408</t>
        </is>
      </c>
      <c r="B409" t="inlineStr">
        <is>
          <t>C0120</t>
        </is>
      </c>
      <c r="C409" t="inlineStr">
        <is>
          <t>S001</t>
        </is>
      </c>
      <c r="D409" t="inlineStr">
        <is>
          <t>R056</t>
        </is>
      </c>
      <c r="E409" s="3" t="n">
        <v>46272.7</v>
      </c>
      <c r="F409" s="3" t="n">
        <v>46272.70680555556</v>
      </c>
      <c r="G409" s="3" t="n">
        <v>46272.70611111111</v>
      </c>
      <c r="H409" t="inlineStr">
        <is>
          <t>Delivered</t>
        </is>
      </c>
      <c r="I409" t="n">
        <v>6</v>
      </c>
      <c r="J409" t="n">
        <v>7</v>
      </c>
      <c r="K409" t="n">
        <v>1620.18</v>
      </c>
      <c r="L409" t="n">
        <v>0.97</v>
      </c>
      <c r="M409" t="n">
        <v>4.5</v>
      </c>
      <c r="N409" t="n">
        <v>2.2</v>
      </c>
      <c r="O409" t="n">
        <v>2.1</v>
      </c>
      <c r="P409" t="n">
        <v>9.800000000000001</v>
      </c>
      <c r="Q409" t="n">
        <v>8.800000000000001</v>
      </c>
      <c r="R409" t="n">
        <v>-1</v>
      </c>
      <c r="S409" t="b">
        <v>1</v>
      </c>
      <c r="U409" t="n">
        <v>16</v>
      </c>
      <c r="V409" t="b">
        <v>0</v>
      </c>
      <c r="X409" t="b">
        <v>0</v>
      </c>
      <c r="Y409" t="n">
        <v>0</v>
      </c>
    </row>
    <row r="410">
      <c r="A410" t="inlineStr">
        <is>
          <t>O00409</t>
        </is>
      </c>
      <c r="B410" t="inlineStr">
        <is>
          <t>C0242</t>
        </is>
      </c>
      <c r="C410" t="inlineStr">
        <is>
          <t>S009</t>
        </is>
      </c>
      <c r="D410" t="inlineStr">
        <is>
          <t>R037</t>
        </is>
      </c>
      <c r="E410" s="3" t="n">
        <v>46279.97708333333</v>
      </c>
      <c r="F410" s="3" t="n">
        <v>46279.98395833333</v>
      </c>
      <c r="G410" s="3" t="n">
        <v>46279.98375</v>
      </c>
      <c r="H410" t="inlineStr">
        <is>
          <t>Delivered</t>
        </is>
      </c>
      <c r="I410" t="n">
        <v>1</v>
      </c>
      <c r="J410" t="n">
        <v>8</v>
      </c>
      <c r="K410" t="n">
        <v>1205.45</v>
      </c>
      <c r="L410" t="n">
        <v>0.5</v>
      </c>
      <c r="M410" t="n">
        <v>2.2</v>
      </c>
      <c r="N410" t="n">
        <v>5.7</v>
      </c>
      <c r="O410" t="n">
        <v>1.7</v>
      </c>
      <c r="P410" t="n">
        <v>9.9</v>
      </c>
      <c r="Q410" t="n">
        <v>9.6</v>
      </c>
      <c r="R410" t="n">
        <v>-0.3</v>
      </c>
      <c r="S410" t="b">
        <v>1</v>
      </c>
      <c r="U410" t="n">
        <v>23</v>
      </c>
      <c r="V410" t="b">
        <v>0</v>
      </c>
      <c r="X410" t="b">
        <v>0</v>
      </c>
      <c r="Y410" t="n">
        <v>0.47</v>
      </c>
    </row>
    <row r="411">
      <c r="A411" t="inlineStr">
        <is>
          <t>O00410</t>
        </is>
      </c>
      <c r="B411" t="inlineStr">
        <is>
          <t>C0073</t>
        </is>
      </c>
      <c r="C411" t="inlineStr">
        <is>
          <t>S003</t>
        </is>
      </c>
      <c r="D411" t="inlineStr">
        <is>
          <t>R034</t>
        </is>
      </c>
      <c r="E411" s="3" t="n">
        <v>46277.49930555555</v>
      </c>
      <c r="F411" s="3" t="n">
        <v>46277.50715277778</v>
      </c>
      <c r="G411" s="3" t="n">
        <v>46277.50631944444</v>
      </c>
      <c r="H411" t="inlineStr">
        <is>
          <t>Delivered</t>
        </is>
      </c>
      <c r="I411" t="n">
        <v>5</v>
      </c>
      <c r="J411" t="n">
        <v>10</v>
      </c>
      <c r="K411" t="n">
        <v>1226.56</v>
      </c>
      <c r="L411" t="n">
        <v>0.78</v>
      </c>
      <c r="M411" t="n">
        <v>4.2</v>
      </c>
      <c r="N411" t="n">
        <v>4.1</v>
      </c>
      <c r="O411" t="n">
        <v>1.8</v>
      </c>
      <c r="P411" t="n">
        <v>11.3</v>
      </c>
      <c r="Q411" t="n">
        <v>10.1</v>
      </c>
      <c r="R411" t="n">
        <v>-1.2</v>
      </c>
      <c r="S411" t="b">
        <v>1</v>
      </c>
      <c r="U411" t="n">
        <v>11</v>
      </c>
      <c r="V411" t="b">
        <v>0</v>
      </c>
      <c r="X411" t="b">
        <v>0</v>
      </c>
      <c r="Y411" t="n">
        <v>0.4</v>
      </c>
    </row>
    <row r="412">
      <c r="A412" t="inlineStr">
        <is>
          <t>O00411</t>
        </is>
      </c>
      <c r="B412" t="inlineStr">
        <is>
          <t>C0216</t>
        </is>
      </c>
      <c r="C412" t="inlineStr">
        <is>
          <t>S006</t>
        </is>
      </c>
      <c r="D412" t="inlineStr">
        <is>
          <t>R025</t>
        </is>
      </c>
      <c r="E412" s="3" t="n">
        <v>46274.59305555555</v>
      </c>
      <c r="F412" s="3" t="n">
        <v>46274.59923611111</v>
      </c>
      <c r="G412" s="3" t="n">
        <v>46274.60027777778</v>
      </c>
      <c r="H412" t="inlineStr">
        <is>
          <t>Delivered</t>
        </is>
      </c>
      <c r="I412" t="n">
        <v>1</v>
      </c>
      <c r="J412" t="n">
        <v>6</v>
      </c>
      <c r="K412" t="n">
        <v>623.11</v>
      </c>
      <c r="L412" t="n">
        <v>0.5</v>
      </c>
      <c r="M412" t="n">
        <v>5.2</v>
      </c>
      <c r="N412" t="n">
        <v>3</v>
      </c>
      <c r="O412" t="n">
        <v>2.2</v>
      </c>
      <c r="P412" t="n">
        <v>8.9</v>
      </c>
      <c r="Q412" t="n">
        <v>10.4</v>
      </c>
      <c r="R412" t="n">
        <v>1.5</v>
      </c>
      <c r="S412" t="b">
        <v>0</v>
      </c>
      <c r="U412" t="n">
        <v>14</v>
      </c>
      <c r="V412" t="b">
        <v>0</v>
      </c>
      <c r="X412" t="b">
        <v>0</v>
      </c>
      <c r="Y412" t="n">
        <v>0.37</v>
      </c>
    </row>
    <row r="413">
      <c r="A413" t="inlineStr">
        <is>
          <t>O00412</t>
        </is>
      </c>
      <c r="B413" t="inlineStr">
        <is>
          <t>C0002</t>
        </is>
      </c>
      <c r="C413" t="inlineStr">
        <is>
          <t>S012</t>
        </is>
      </c>
      <c r="D413" t="inlineStr">
        <is>
          <t>R007</t>
        </is>
      </c>
      <c r="E413" s="3" t="n">
        <v>46270.525</v>
      </c>
      <c r="F413" s="3" t="n">
        <v>46270.53263888889</v>
      </c>
      <c r="G413" s="3" t="n">
        <v>46270.53645833334</v>
      </c>
      <c r="H413" t="inlineStr">
        <is>
          <t>Delivered</t>
        </is>
      </c>
      <c r="I413" t="n">
        <v>5</v>
      </c>
      <c r="J413" t="n">
        <v>12</v>
      </c>
      <c r="K413" t="n">
        <v>1774.93</v>
      </c>
      <c r="L413" t="n">
        <v>2.5</v>
      </c>
      <c r="M413" t="n">
        <v>7.1</v>
      </c>
      <c r="N413" t="n">
        <v>2.7</v>
      </c>
      <c r="O413" t="n">
        <v>6.6</v>
      </c>
      <c r="P413" t="n">
        <v>11</v>
      </c>
      <c r="Q413" t="n">
        <v>16.5</v>
      </c>
      <c r="R413" t="n">
        <v>5.5</v>
      </c>
      <c r="S413" t="b">
        <v>0</v>
      </c>
      <c r="U413" t="n">
        <v>12</v>
      </c>
      <c r="V413" t="b">
        <v>0</v>
      </c>
      <c r="X413" t="b">
        <v>0</v>
      </c>
      <c r="Y413" t="n">
        <v>0.53</v>
      </c>
    </row>
    <row r="414">
      <c r="A414" t="inlineStr">
        <is>
          <t>O00413</t>
        </is>
      </c>
      <c r="B414" t="inlineStr">
        <is>
          <t>C0234</t>
        </is>
      </c>
      <c r="C414" t="inlineStr">
        <is>
          <t>S008</t>
        </is>
      </c>
      <c r="D414" t="inlineStr">
        <is>
          <t>R038</t>
        </is>
      </c>
      <c r="E414" s="3" t="n">
        <v>46274.74861111111</v>
      </c>
      <c r="F414" s="3" t="n">
        <v>46274.75618055555</v>
      </c>
      <c r="G414" s="3" t="n">
        <v>46274.755625</v>
      </c>
      <c r="H414" t="inlineStr">
        <is>
          <t>Delivered</t>
        </is>
      </c>
      <c r="I414" t="n">
        <v>1</v>
      </c>
      <c r="J414" t="n">
        <v>7</v>
      </c>
      <c r="K414" t="n">
        <v>712.73</v>
      </c>
      <c r="L414" t="n">
        <v>1.59</v>
      </c>
      <c r="M414" t="n">
        <v>2.8</v>
      </c>
      <c r="N414" t="n">
        <v>4.3</v>
      </c>
      <c r="O414" t="n">
        <v>3</v>
      </c>
      <c r="P414" t="n">
        <v>10.9</v>
      </c>
      <c r="Q414" t="n">
        <v>10.1</v>
      </c>
      <c r="R414" t="n">
        <v>-0.8</v>
      </c>
      <c r="S414" t="b">
        <v>1</v>
      </c>
      <c r="U414" t="n">
        <v>17</v>
      </c>
      <c r="V414" t="b">
        <v>0</v>
      </c>
      <c r="W414" t="inlineStr">
        <is>
          <t>Light</t>
        </is>
      </c>
      <c r="X414" t="b">
        <v>0</v>
      </c>
      <c r="Y414" t="n">
        <v>0.26</v>
      </c>
    </row>
    <row r="415">
      <c r="A415" t="inlineStr">
        <is>
          <t>O00414</t>
        </is>
      </c>
      <c r="B415" t="inlineStr">
        <is>
          <t>C0027</t>
        </is>
      </c>
      <c r="C415" t="inlineStr">
        <is>
          <t>S001</t>
        </is>
      </c>
      <c r="D415" t="inlineStr">
        <is>
          <t>R009</t>
        </is>
      </c>
      <c r="E415" s="3" t="n">
        <v>46274.71041666667</v>
      </c>
      <c r="F415" s="3" t="n">
        <v>46274.71715277778</v>
      </c>
      <c r="G415" s="3" t="n">
        <v>46274.71694444444</v>
      </c>
      <c r="H415" t="inlineStr">
        <is>
          <t>Delivered</t>
        </is>
      </c>
      <c r="I415" t="n">
        <v>3</v>
      </c>
      <c r="J415" t="n">
        <v>6</v>
      </c>
      <c r="K415" t="n">
        <v>1662.55</v>
      </c>
      <c r="L415" t="n">
        <v>1.48</v>
      </c>
      <c r="M415" t="n">
        <v>4.4</v>
      </c>
      <c r="N415" t="n">
        <v>1.7</v>
      </c>
      <c r="O415" t="n">
        <v>3.3</v>
      </c>
      <c r="P415" t="n">
        <v>9.699999999999999</v>
      </c>
      <c r="Q415" t="n">
        <v>9.4</v>
      </c>
      <c r="R415" t="n">
        <v>-0.3</v>
      </c>
      <c r="S415" t="b">
        <v>1</v>
      </c>
      <c r="U415" t="n">
        <v>17</v>
      </c>
      <c r="V415" t="b">
        <v>0</v>
      </c>
      <c r="X415" t="b">
        <v>0</v>
      </c>
      <c r="Y415" t="n">
        <v>0.45</v>
      </c>
    </row>
    <row r="416">
      <c r="A416" t="inlineStr">
        <is>
          <t>O00415</t>
        </is>
      </c>
      <c r="B416" t="inlineStr">
        <is>
          <t>C0004</t>
        </is>
      </c>
      <c r="C416" t="inlineStr">
        <is>
          <t>S009</t>
        </is>
      </c>
      <c r="D416" t="inlineStr">
        <is>
          <t>R074</t>
        </is>
      </c>
      <c r="E416" s="3" t="n">
        <v>46270.44375</v>
      </c>
      <c r="F416" s="3" t="n">
        <v>46270.451875</v>
      </c>
      <c r="G416" s="3" t="n">
        <v>46270.45125</v>
      </c>
      <c r="H416" t="inlineStr">
        <is>
          <t>Delivered</t>
        </is>
      </c>
      <c r="I416" t="n">
        <v>1</v>
      </c>
      <c r="J416" t="n">
        <v>4</v>
      </c>
      <c r="K416" t="n">
        <v>1199.28</v>
      </c>
      <c r="L416" t="n">
        <v>2.8</v>
      </c>
      <c r="M416" t="n">
        <v>2.5</v>
      </c>
      <c r="N416" t="n">
        <v>2.9</v>
      </c>
      <c r="O416" t="n">
        <v>5.4</v>
      </c>
      <c r="P416" t="n">
        <v>11.7</v>
      </c>
      <c r="Q416" t="n">
        <v>10.8</v>
      </c>
      <c r="R416" t="n">
        <v>-0.9</v>
      </c>
      <c r="S416" t="b">
        <v>1</v>
      </c>
      <c r="U416" t="n">
        <v>10</v>
      </c>
      <c r="V416" t="b">
        <v>0</v>
      </c>
      <c r="X416" t="b">
        <v>0</v>
      </c>
      <c r="Y416" t="n">
        <v>0.17</v>
      </c>
    </row>
    <row r="417">
      <c r="A417" t="inlineStr">
        <is>
          <t>O00416</t>
        </is>
      </c>
      <c r="B417" t="inlineStr">
        <is>
          <t>C0071</t>
        </is>
      </c>
      <c r="C417" t="inlineStr">
        <is>
          <t>S003</t>
        </is>
      </c>
      <c r="D417" t="inlineStr">
        <is>
          <t>R022</t>
        </is>
      </c>
      <c r="E417" s="3" t="n">
        <v>46273.93402777778</v>
      </c>
      <c r="F417" s="3" t="n">
        <v>46273.94090277778</v>
      </c>
      <c r="G417" s="3" t="n">
        <v>46273.94152777778</v>
      </c>
      <c r="H417" t="inlineStr">
        <is>
          <t>Delivered</t>
        </is>
      </c>
      <c r="I417" t="n">
        <v>2</v>
      </c>
      <c r="J417" t="n">
        <v>5</v>
      </c>
      <c r="K417" t="n">
        <v>385.46</v>
      </c>
      <c r="L417" t="n">
        <v>2.1</v>
      </c>
      <c r="M417" t="n">
        <v>2.9</v>
      </c>
      <c r="N417" t="n">
        <v>2.8</v>
      </c>
      <c r="O417" t="n">
        <v>5.1</v>
      </c>
      <c r="P417" t="n">
        <v>9.9</v>
      </c>
      <c r="Q417" t="n">
        <v>10.8</v>
      </c>
      <c r="R417" t="n">
        <v>0.9</v>
      </c>
      <c r="S417" t="b">
        <v>0</v>
      </c>
      <c r="U417" t="n">
        <v>22</v>
      </c>
      <c r="V417" t="b">
        <v>0</v>
      </c>
      <c r="X417" t="b">
        <v>1</v>
      </c>
      <c r="Y417" t="n">
        <v>0.34</v>
      </c>
    </row>
    <row r="418">
      <c r="A418" t="inlineStr">
        <is>
          <t>O00417</t>
        </is>
      </c>
      <c r="B418" t="inlineStr">
        <is>
          <t>C0108</t>
        </is>
      </c>
      <c r="C418" t="inlineStr">
        <is>
          <t>S006</t>
        </is>
      </c>
      <c r="D418" t="inlineStr">
        <is>
          <t>R042</t>
        </is>
      </c>
      <c r="E418" s="3" t="n">
        <v>46269.63263888889</v>
      </c>
      <c r="F418" s="3" t="n">
        <v>46269.63923611111</v>
      </c>
      <c r="G418" s="3" t="n">
        <v>46269.63881944444</v>
      </c>
      <c r="H418" t="inlineStr">
        <is>
          <t>Delivered</t>
        </is>
      </c>
      <c r="I418" t="n">
        <v>1</v>
      </c>
      <c r="J418" t="n">
        <v>3</v>
      </c>
      <c r="K418" t="n">
        <v>346.72</v>
      </c>
      <c r="L418" t="n">
        <v>0.5</v>
      </c>
      <c r="M418" t="n">
        <v>5.3</v>
      </c>
      <c r="N418" t="n">
        <v>0.7</v>
      </c>
      <c r="O418" t="n">
        <v>2.9</v>
      </c>
      <c r="P418" t="n">
        <v>9.5</v>
      </c>
      <c r="Q418" t="n">
        <v>8.9</v>
      </c>
      <c r="R418" t="n">
        <v>-0.6</v>
      </c>
      <c r="S418" t="b">
        <v>1</v>
      </c>
      <c r="U418" t="n">
        <v>15</v>
      </c>
      <c r="V418" t="b">
        <v>0</v>
      </c>
      <c r="X418" t="b">
        <v>0</v>
      </c>
      <c r="Y418" t="n">
        <v>0.6</v>
      </c>
    </row>
    <row r="419">
      <c r="A419" t="inlineStr">
        <is>
          <t>O00418</t>
        </is>
      </c>
      <c r="B419" t="inlineStr">
        <is>
          <t>C0140</t>
        </is>
      </c>
      <c r="C419" t="inlineStr">
        <is>
          <t>S012</t>
        </is>
      </c>
      <c r="D419" t="inlineStr">
        <is>
          <t>R023</t>
        </is>
      </c>
      <c r="E419" s="3" t="n">
        <v>46278.46875</v>
      </c>
      <c r="F419" s="3" t="n">
        <v>46278.47736111111</v>
      </c>
      <c r="G419" s="3" t="n">
        <v>46278.47715277778</v>
      </c>
      <c r="H419" t="inlineStr">
        <is>
          <t>Delivered</t>
        </is>
      </c>
      <c r="I419" t="n">
        <v>6</v>
      </c>
      <c r="J419" t="n">
        <v>9</v>
      </c>
      <c r="K419" t="n">
        <v>753.51</v>
      </c>
      <c r="L419" t="n">
        <v>3.7</v>
      </c>
      <c r="M419" t="n">
        <v>2.8</v>
      </c>
      <c r="N419" t="n">
        <v>3.5</v>
      </c>
      <c r="O419" t="n">
        <v>5.8</v>
      </c>
      <c r="P419" t="n">
        <v>12.4</v>
      </c>
      <c r="Q419" t="n">
        <v>12.1</v>
      </c>
      <c r="R419" t="n">
        <v>-0.3</v>
      </c>
      <c r="S419" t="b">
        <v>1</v>
      </c>
      <c r="U419" t="n">
        <v>11</v>
      </c>
      <c r="V419" t="b">
        <v>0</v>
      </c>
      <c r="X419" t="b">
        <v>0</v>
      </c>
      <c r="Y419" t="n">
        <v>0.53</v>
      </c>
    </row>
    <row r="420">
      <c r="A420" t="inlineStr">
        <is>
          <t>O00419</t>
        </is>
      </c>
      <c r="B420" t="inlineStr">
        <is>
          <t>C0034</t>
        </is>
      </c>
      <c r="C420" t="inlineStr">
        <is>
          <t>S012</t>
        </is>
      </c>
      <c r="D420" t="inlineStr">
        <is>
          <t>R061</t>
        </is>
      </c>
      <c r="E420" s="3" t="n">
        <v>46279.82152777778</v>
      </c>
      <c r="F420" s="3" t="n">
        <v>46279.82895833333</v>
      </c>
      <c r="G420" s="3" t="n">
        <v>46279.82833333333</v>
      </c>
      <c r="H420" t="inlineStr">
        <is>
          <t>Delivered</t>
        </is>
      </c>
      <c r="I420" t="n">
        <v>3</v>
      </c>
      <c r="J420" t="n">
        <v>6</v>
      </c>
      <c r="K420" t="n">
        <v>1114.67</v>
      </c>
      <c r="L420" t="n">
        <v>1.77</v>
      </c>
      <c r="M420" t="n">
        <v>3.2</v>
      </c>
      <c r="N420" t="n">
        <v>2.7</v>
      </c>
      <c r="O420" t="n">
        <v>3.9</v>
      </c>
      <c r="P420" t="n">
        <v>10.7</v>
      </c>
      <c r="Q420" t="n">
        <v>9.800000000000001</v>
      </c>
      <c r="R420" t="n">
        <v>-0.9</v>
      </c>
      <c r="S420" t="b">
        <v>1</v>
      </c>
      <c r="U420" t="n">
        <v>19</v>
      </c>
      <c r="V420" t="b">
        <v>1</v>
      </c>
      <c r="X420" t="b">
        <v>0</v>
      </c>
      <c r="Y420" t="n">
        <v>0.87</v>
      </c>
    </row>
    <row r="421">
      <c r="A421" t="inlineStr">
        <is>
          <t>O00420</t>
        </is>
      </c>
      <c r="B421" t="inlineStr">
        <is>
          <t>C0103</t>
        </is>
      </c>
      <c r="C421" t="inlineStr">
        <is>
          <t>S007</t>
        </is>
      </c>
      <c r="D421" t="inlineStr">
        <is>
          <t>R057</t>
        </is>
      </c>
      <c r="E421" s="3" t="n">
        <v>46273.79722222222</v>
      </c>
      <c r="F421" s="3" t="n">
        <v>46273.80326388889</v>
      </c>
      <c r="G421" s="3" t="n">
        <v>46273.80979166667</v>
      </c>
      <c r="H421" t="inlineStr">
        <is>
          <t>Delivered</t>
        </is>
      </c>
      <c r="I421" t="n">
        <v>4</v>
      </c>
      <c r="J421" t="n">
        <v>11</v>
      </c>
      <c r="K421" t="n">
        <v>526.9400000000001</v>
      </c>
      <c r="L421" t="n">
        <v>2.54</v>
      </c>
      <c r="M421" t="n">
        <v>4.8</v>
      </c>
      <c r="N421" t="n">
        <v>5.9</v>
      </c>
      <c r="O421" t="n">
        <v>7.4</v>
      </c>
      <c r="P421" t="n">
        <v>8.699999999999999</v>
      </c>
      <c r="Q421" t="n">
        <v>18.1</v>
      </c>
      <c r="R421" t="n">
        <v>9.4</v>
      </c>
      <c r="S421" t="b">
        <v>0</v>
      </c>
      <c r="U421" t="n">
        <v>19</v>
      </c>
      <c r="V421" t="b">
        <v>1</v>
      </c>
      <c r="X421" t="b">
        <v>0</v>
      </c>
      <c r="Y421" t="n">
        <v>0.9</v>
      </c>
    </row>
    <row r="422">
      <c r="A422" t="inlineStr">
        <is>
          <t>O00421</t>
        </is>
      </c>
      <c r="B422" t="inlineStr">
        <is>
          <t>C0086</t>
        </is>
      </c>
      <c r="C422" t="inlineStr">
        <is>
          <t>S008</t>
        </is>
      </c>
      <c r="D422" t="inlineStr">
        <is>
          <t>R048</t>
        </is>
      </c>
      <c r="E422" s="3" t="n">
        <v>46277.39930555555</v>
      </c>
      <c r="F422" s="3" t="n">
        <v>46277.406875</v>
      </c>
      <c r="G422" s="3" t="n">
        <v>46277.40604166667</v>
      </c>
      <c r="H422" t="inlineStr">
        <is>
          <t>Delivered</t>
        </is>
      </c>
      <c r="I422" t="n">
        <v>5</v>
      </c>
      <c r="J422" t="n">
        <v>8</v>
      </c>
      <c r="K422" t="n">
        <v>1294.45</v>
      </c>
      <c r="L422" t="n">
        <v>1.6</v>
      </c>
      <c r="M422" t="n">
        <v>2.9</v>
      </c>
      <c r="N422" t="n">
        <v>3.7</v>
      </c>
      <c r="O422" t="n">
        <v>3.1</v>
      </c>
      <c r="P422" t="n">
        <v>10.9</v>
      </c>
      <c r="Q422" t="n">
        <v>9.699999999999999</v>
      </c>
      <c r="R422" t="n">
        <v>-1.2</v>
      </c>
      <c r="S422" t="b">
        <v>1</v>
      </c>
      <c r="U422" t="n">
        <v>9</v>
      </c>
      <c r="V422" t="b">
        <v>0</v>
      </c>
      <c r="X422" t="b">
        <v>0</v>
      </c>
      <c r="Y422" t="n">
        <v>0.05</v>
      </c>
    </row>
    <row r="423">
      <c r="A423" t="inlineStr">
        <is>
          <t>O00422</t>
        </is>
      </c>
      <c r="B423" t="inlineStr">
        <is>
          <t>C0072</t>
        </is>
      </c>
      <c r="C423" t="inlineStr">
        <is>
          <t>S001</t>
        </is>
      </c>
      <c r="D423" t="inlineStr">
        <is>
          <t>R022</t>
        </is>
      </c>
      <c r="E423" s="3" t="n">
        <v>46279.98125</v>
      </c>
      <c r="F423" s="3" t="n">
        <v>46279.98993055556</v>
      </c>
      <c r="G423" s="3" t="n">
        <v>46279.993125</v>
      </c>
      <c r="H423" t="inlineStr">
        <is>
          <t>Delivered</t>
        </is>
      </c>
      <c r="I423" t="n">
        <v>1</v>
      </c>
      <c r="J423" t="n">
        <v>12</v>
      </c>
      <c r="K423" t="n">
        <v>1548.98</v>
      </c>
      <c r="L423" t="n">
        <v>4.3</v>
      </c>
      <c r="M423" t="n">
        <v>6.3</v>
      </c>
      <c r="N423" t="n">
        <v>2</v>
      </c>
      <c r="O423" t="n">
        <v>8.800000000000001</v>
      </c>
      <c r="P423" t="n">
        <v>12.5</v>
      </c>
      <c r="Q423" t="n">
        <v>17.1</v>
      </c>
      <c r="R423" t="n">
        <v>4.6</v>
      </c>
      <c r="S423" t="b">
        <v>0</v>
      </c>
      <c r="U423" t="n">
        <v>23</v>
      </c>
      <c r="V423" t="b">
        <v>0</v>
      </c>
      <c r="X423" t="b">
        <v>0</v>
      </c>
      <c r="Y423" t="n">
        <v>0.2</v>
      </c>
    </row>
    <row r="424">
      <c r="A424" t="inlineStr">
        <is>
          <t>O00423</t>
        </is>
      </c>
      <c r="B424" t="inlineStr">
        <is>
          <t>C0123</t>
        </is>
      </c>
      <c r="C424" t="inlineStr">
        <is>
          <t>S004</t>
        </is>
      </c>
      <c r="D424" t="inlineStr">
        <is>
          <t>R052</t>
        </is>
      </c>
      <c r="E424" s="3" t="n">
        <v>46275.36458333334</v>
      </c>
      <c r="F424" s="3" t="n">
        <v>46275.370625</v>
      </c>
      <c r="G424" s="3" t="n">
        <v>46275.37</v>
      </c>
      <c r="H424" t="inlineStr">
        <is>
          <t>Delivered</t>
        </is>
      </c>
      <c r="I424" t="n">
        <v>4</v>
      </c>
      <c r="J424" t="n">
        <v>4</v>
      </c>
      <c r="K424" t="n">
        <v>364.14</v>
      </c>
      <c r="L424" t="n">
        <v>2.45</v>
      </c>
      <c r="M424" t="n">
        <v>2.1</v>
      </c>
      <c r="N424" t="n">
        <v>2.6</v>
      </c>
      <c r="O424" t="n">
        <v>3.1</v>
      </c>
      <c r="P424" t="n">
        <v>8.699999999999999</v>
      </c>
      <c r="Q424" t="n">
        <v>7.8</v>
      </c>
      <c r="R424" t="n">
        <v>-0.9</v>
      </c>
      <c r="S424" t="b">
        <v>1</v>
      </c>
      <c r="U424" t="n">
        <v>8</v>
      </c>
      <c r="V424" t="b">
        <v>0</v>
      </c>
      <c r="X424" t="b">
        <v>0</v>
      </c>
      <c r="Y424" t="n">
        <v>0.18</v>
      </c>
    </row>
    <row r="425">
      <c r="A425" t="inlineStr">
        <is>
          <t>O00424</t>
        </is>
      </c>
      <c r="B425" t="inlineStr">
        <is>
          <t>C0231</t>
        </is>
      </c>
      <c r="C425" t="inlineStr">
        <is>
          <t>S002</t>
        </is>
      </c>
      <c r="D425" t="inlineStr">
        <is>
          <t>R016</t>
        </is>
      </c>
      <c r="E425" s="3" t="n">
        <v>46278.39236111111</v>
      </c>
      <c r="F425" s="3" t="n">
        <v>46278.39909722222</v>
      </c>
      <c r="G425" s="3" t="n">
        <v>46278.40041666666</v>
      </c>
      <c r="H425" t="inlineStr">
        <is>
          <t>Delivered</t>
        </is>
      </c>
      <c r="I425" t="n">
        <v>5</v>
      </c>
      <c r="J425" t="n">
        <v>9</v>
      </c>
      <c r="K425" t="n">
        <v>1040.39</v>
      </c>
      <c r="L425" t="n">
        <v>0.8100000000000001</v>
      </c>
      <c r="M425" t="n">
        <v>2.7</v>
      </c>
      <c r="N425" t="n">
        <v>3.7</v>
      </c>
      <c r="O425" t="n">
        <v>5.2</v>
      </c>
      <c r="P425" t="n">
        <v>9.699999999999999</v>
      </c>
      <c r="Q425" t="n">
        <v>11.6</v>
      </c>
      <c r="R425" t="n">
        <v>1.9</v>
      </c>
      <c r="S425" t="b">
        <v>0</v>
      </c>
      <c r="U425" t="n">
        <v>9</v>
      </c>
      <c r="V425" t="b">
        <v>0</v>
      </c>
      <c r="W425" t="inlineStr">
        <is>
          <t>Heavy</t>
        </is>
      </c>
      <c r="X425" t="b">
        <v>0</v>
      </c>
      <c r="Y425" t="n">
        <v>0.39</v>
      </c>
    </row>
    <row r="426">
      <c r="A426" t="inlineStr">
        <is>
          <t>O00425</t>
        </is>
      </c>
      <c r="B426" t="inlineStr">
        <is>
          <t>C0199</t>
        </is>
      </c>
      <c r="C426" t="inlineStr">
        <is>
          <t>S020</t>
        </is>
      </c>
      <c r="D426" t="inlineStr">
        <is>
          <t>R066</t>
        </is>
      </c>
      <c r="E426" s="3" t="n">
        <v>46271.66111111111</v>
      </c>
      <c r="F426" s="3" t="n">
        <v>46271.6675</v>
      </c>
      <c r="G426" s="3" t="n">
        <v>46271.666875</v>
      </c>
      <c r="H426" t="inlineStr">
        <is>
          <t>Delivered</t>
        </is>
      </c>
      <c r="I426" t="n">
        <v>5</v>
      </c>
      <c r="J426" t="n">
        <v>7</v>
      </c>
      <c r="K426" t="n">
        <v>1463.15</v>
      </c>
      <c r="L426" t="n">
        <v>2.03</v>
      </c>
      <c r="M426" t="n">
        <v>2.2</v>
      </c>
      <c r="N426" t="n">
        <v>3.2</v>
      </c>
      <c r="O426" t="n">
        <v>2.9</v>
      </c>
      <c r="P426" t="n">
        <v>9.199999999999999</v>
      </c>
      <c r="Q426" t="n">
        <v>8.300000000000001</v>
      </c>
      <c r="R426" t="n">
        <v>-0.9</v>
      </c>
      <c r="S426" t="b">
        <v>1</v>
      </c>
      <c r="U426" t="n">
        <v>15</v>
      </c>
      <c r="V426" t="b">
        <v>0</v>
      </c>
      <c r="W426" t="inlineStr">
        <is>
          <t>Heavy</t>
        </is>
      </c>
      <c r="X426" t="b">
        <v>0</v>
      </c>
      <c r="Y426" t="n">
        <v>0.53</v>
      </c>
    </row>
    <row r="427">
      <c r="A427" t="inlineStr">
        <is>
          <t>O00426</t>
        </is>
      </c>
      <c r="B427" t="inlineStr">
        <is>
          <t>C0127</t>
        </is>
      </c>
      <c r="C427" t="inlineStr">
        <is>
          <t>S020</t>
        </is>
      </c>
      <c r="D427" t="inlineStr">
        <is>
          <t>R070</t>
        </is>
      </c>
      <c r="E427" s="3" t="n">
        <v>46276.88194444445</v>
      </c>
      <c r="F427" s="3" t="n">
        <v>46276.89048611111</v>
      </c>
      <c r="G427" s="3" t="n">
        <v>46276.88986111111</v>
      </c>
      <c r="H427" t="inlineStr">
        <is>
          <t>Delivered</t>
        </is>
      </c>
      <c r="I427" t="n">
        <v>4</v>
      </c>
      <c r="J427" t="n">
        <v>8</v>
      </c>
      <c r="K427" t="n">
        <v>1517.11</v>
      </c>
      <c r="L427" t="n">
        <v>3.8</v>
      </c>
      <c r="M427" t="n">
        <v>2.9</v>
      </c>
      <c r="N427" t="n">
        <v>2.7</v>
      </c>
      <c r="O427" t="n">
        <v>5.8</v>
      </c>
      <c r="P427" t="n">
        <v>12.3</v>
      </c>
      <c r="Q427" t="n">
        <v>11.4</v>
      </c>
      <c r="R427" t="n">
        <v>-0.9</v>
      </c>
      <c r="S427" t="b">
        <v>1</v>
      </c>
      <c r="U427" t="n">
        <v>21</v>
      </c>
      <c r="V427" t="b">
        <v>1</v>
      </c>
      <c r="X427" t="b">
        <v>0</v>
      </c>
      <c r="Y427" t="n">
        <v>0.53</v>
      </c>
    </row>
    <row r="428">
      <c r="A428" t="inlineStr">
        <is>
          <t>O00427</t>
        </is>
      </c>
      <c r="B428" t="inlineStr">
        <is>
          <t>C0137</t>
        </is>
      </c>
      <c r="C428" t="inlineStr">
        <is>
          <t>S010</t>
        </is>
      </c>
      <c r="D428" t="inlineStr">
        <is>
          <t>R011</t>
        </is>
      </c>
      <c r="E428" s="3" t="n">
        <v>46273.525</v>
      </c>
      <c r="F428" s="3" t="n">
        <v>46273.53201388889</v>
      </c>
      <c r="G428" s="3" t="n">
        <v>46273.53131944445</v>
      </c>
      <c r="H428" t="inlineStr">
        <is>
          <t>Delivered</t>
        </is>
      </c>
      <c r="I428" t="n">
        <v>4</v>
      </c>
      <c r="J428" t="n">
        <v>7</v>
      </c>
      <c r="K428" t="n">
        <v>710.12</v>
      </c>
      <c r="L428" t="n">
        <v>1.81</v>
      </c>
      <c r="M428" t="n">
        <v>4.1</v>
      </c>
      <c r="N428" t="n">
        <v>0.9</v>
      </c>
      <c r="O428" t="n">
        <v>4.1</v>
      </c>
      <c r="P428" t="n">
        <v>10.1</v>
      </c>
      <c r="Q428" t="n">
        <v>9.1</v>
      </c>
      <c r="R428" t="n">
        <v>-1</v>
      </c>
      <c r="S428" t="b">
        <v>1</v>
      </c>
      <c r="U428" t="n">
        <v>12</v>
      </c>
      <c r="V428" t="b">
        <v>0</v>
      </c>
      <c r="W428" t="inlineStr">
        <is>
          <t>Light</t>
        </is>
      </c>
      <c r="X428" t="b">
        <v>0</v>
      </c>
      <c r="Y428" t="n">
        <v>0.44</v>
      </c>
    </row>
    <row r="429">
      <c r="A429" t="inlineStr">
        <is>
          <t>O00428</t>
        </is>
      </c>
      <c r="B429" t="inlineStr">
        <is>
          <t>C0115</t>
        </is>
      </c>
      <c r="C429" t="inlineStr">
        <is>
          <t>S019</t>
        </is>
      </c>
      <c r="D429" t="inlineStr">
        <is>
          <t>R046</t>
        </is>
      </c>
      <c r="E429" s="3" t="n">
        <v>46266.86388888889</v>
      </c>
      <c r="F429" s="3" t="n">
        <v>46266.87069444444</v>
      </c>
      <c r="G429" s="3" t="n">
        <v>46266.87708333333</v>
      </c>
      <c r="H429" t="inlineStr">
        <is>
          <t>Delivered</t>
        </is>
      </c>
      <c r="I429" t="n">
        <v>4</v>
      </c>
      <c r="J429" t="n">
        <v>7</v>
      </c>
      <c r="K429" t="n">
        <v>806.59</v>
      </c>
      <c r="L429" t="n">
        <v>1.3</v>
      </c>
      <c r="M429" t="n">
        <v>5.8</v>
      </c>
      <c r="N429" t="n">
        <v>8.300000000000001</v>
      </c>
      <c r="O429" t="n">
        <v>5</v>
      </c>
      <c r="P429" t="n">
        <v>9.800000000000001</v>
      </c>
      <c r="Q429" t="n">
        <v>19</v>
      </c>
      <c r="R429" t="n">
        <v>9.199999999999999</v>
      </c>
      <c r="S429" t="b">
        <v>0</v>
      </c>
      <c r="U429" t="n">
        <v>20</v>
      </c>
      <c r="V429" t="b">
        <v>1</v>
      </c>
      <c r="X429" t="b">
        <v>0</v>
      </c>
      <c r="Y429" t="n">
        <v>0.68</v>
      </c>
    </row>
    <row r="430">
      <c r="A430" t="inlineStr">
        <is>
          <t>O00429</t>
        </is>
      </c>
      <c r="B430" t="inlineStr">
        <is>
          <t>C0151</t>
        </is>
      </c>
      <c r="C430" t="inlineStr">
        <is>
          <t>S001</t>
        </is>
      </c>
      <c r="D430" t="inlineStr">
        <is>
          <t>R039</t>
        </is>
      </c>
      <c r="E430" s="3" t="n">
        <v>46269.84444444445</v>
      </c>
      <c r="F430" s="3" t="n">
        <v>46269.85006944444</v>
      </c>
      <c r="G430" s="3" t="n">
        <v>46269.84972222222</v>
      </c>
      <c r="H430" t="inlineStr">
        <is>
          <t>Delivered</t>
        </is>
      </c>
      <c r="I430" t="n">
        <v>3</v>
      </c>
      <c r="J430" t="n">
        <v>8</v>
      </c>
      <c r="K430" t="n">
        <v>593.13</v>
      </c>
      <c r="L430" t="n">
        <v>1.05</v>
      </c>
      <c r="M430" t="n">
        <v>1.5</v>
      </c>
      <c r="N430" t="n">
        <v>4.1</v>
      </c>
      <c r="O430" t="n">
        <v>2</v>
      </c>
      <c r="P430" t="n">
        <v>8.1</v>
      </c>
      <c r="Q430" t="n">
        <v>7.6</v>
      </c>
      <c r="R430" t="n">
        <v>-0.5</v>
      </c>
      <c r="S430" t="b">
        <v>1</v>
      </c>
      <c r="U430" t="n">
        <v>20</v>
      </c>
      <c r="V430" t="b">
        <v>1</v>
      </c>
      <c r="X430" t="b">
        <v>0</v>
      </c>
      <c r="Y430" t="n">
        <v>0.5600000000000001</v>
      </c>
    </row>
    <row r="431">
      <c r="A431" t="inlineStr">
        <is>
          <t>O00430</t>
        </is>
      </c>
      <c r="B431" t="inlineStr">
        <is>
          <t>C0139</t>
        </is>
      </c>
      <c r="C431" t="inlineStr">
        <is>
          <t>S013</t>
        </is>
      </c>
      <c r="D431" t="inlineStr">
        <is>
          <t>R003</t>
        </is>
      </c>
      <c r="E431" s="3" t="n">
        <v>46279.33541666667</v>
      </c>
      <c r="F431" s="3" t="n">
        <v>46279.34166666667</v>
      </c>
      <c r="G431" s="3" t="n">
        <v>46279.345</v>
      </c>
      <c r="H431" t="inlineStr">
        <is>
          <t>Delivered</t>
        </is>
      </c>
      <c r="I431" t="n">
        <v>3</v>
      </c>
      <c r="J431" t="n">
        <v>7</v>
      </c>
      <c r="K431" t="n">
        <v>1716.16</v>
      </c>
      <c r="L431" t="n">
        <v>0.5</v>
      </c>
      <c r="M431" t="n">
        <v>5.9</v>
      </c>
      <c r="N431" t="n">
        <v>4.1</v>
      </c>
      <c r="O431" t="n">
        <v>3.8</v>
      </c>
      <c r="P431" t="n">
        <v>9</v>
      </c>
      <c r="Q431" t="n">
        <v>13.8</v>
      </c>
      <c r="R431" t="n">
        <v>4.8</v>
      </c>
      <c r="S431" t="b">
        <v>0</v>
      </c>
      <c r="U431" t="n">
        <v>8</v>
      </c>
      <c r="V431" t="b">
        <v>0</v>
      </c>
      <c r="W431" t="inlineStr">
        <is>
          <t>Heavy</t>
        </is>
      </c>
      <c r="X431" t="b">
        <v>0</v>
      </c>
      <c r="Y431" t="n">
        <v>0.31</v>
      </c>
    </row>
    <row r="432">
      <c r="A432" t="inlineStr">
        <is>
          <t>O00431</t>
        </is>
      </c>
      <c r="B432" t="inlineStr">
        <is>
          <t>C0224</t>
        </is>
      </c>
      <c r="C432" t="inlineStr">
        <is>
          <t>S019</t>
        </is>
      </c>
      <c r="D432" t="inlineStr">
        <is>
          <t>R009</t>
        </is>
      </c>
      <c r="E432" s="3" t="n">
        <v>46267.37916666667</v>
      </c>
      <c r="F432" s="3" t="n">
        <v>46267.38625</v>
      </c>
      <c r="G432" s="3" t="n">
        <v>46267.38611111111</v>
      </c>
      <c r="H432" t="inlineStr">
        <is>
          <t>Delivered</t>
        </is>
      </c>
      <c r="I432" t="n">
        <v>5</v>
      </c>
      <c r="J432" t="n">
        <v>8</v>
      </c>
      <c r="K432" t="n">
        <v>1415.55</v>
      </c>
      <c r="L432" t="n">
        <v>1.15</v>
      </c>
      <c r="M432" t="n">
        <v>5.5</v>
      </c>
      <c r="N432" t="n">
        <v>0.4</v>
      </c>
      <c r="O432" t="n">
        <v>4.1</v>
      </c>
      <c r="P432" t="n">
        <v>10.2</v>
      </c>
      <c r="Q432" t="n">
        <v>10</v>
      </c>
      <c r="R432" t="n">
        <v>-0.2</v>
      </c>
      <c r="S432" t="b">
        <v>1</v>
      </c>
      <c r="U432" t="n">
        <v>9</v>
      </c>
      <c r="V432" t="b">
        <v>0</v>
      </c>
      <c r="X432" t="b">
        <v>0</v>
      </c>
      <c r="Y432" t="n">
        <v>0.48</v>
      </c>
    </row>
    <row r="433">
      <c r="A433" t="inlineStr">
        <is>
          <t>O00432</t>
        </is>
      </c>
      <c r="B433" t="inlineStr">
        <is>
          <t>C0131</t>
        </is>
      </c>
      <c r="C433" t="inlineStr">
        <is>
          <t>S004</t>
        </is>
      </c>
      <c r="D433" t="inlineStr">
        <is>
          <t>R069</t>
        </is>
      </c>
      <c r="E433" s="3" t="n">
        <v>46270.55833333333</v>
      </c>
      <c r="F433" s="3" t="n">
        <v>46270.56472222223</v>
      </c>
      <c r="G433" s="3" t="n">
        <v>46270.56902777778</v>
      </c>
      <c r="H433" t="inlineStr">
        <is>
          <t>Delivered</t>
        </is>
      </c>
      <c r="I433" t="n">
        <v>6</v>
      </c>
      <c r="J433" t="n">
        <v>11</v>
      </c>
      <c r="K433" t="n">
        <v>1191.55</v>
      </c>
      <c r="L433" t="n">
        <v>2.09</v>
      </c>
      <c r="M433" t="n">
        <v>2.9</v>
      </c>
      <c r="N433" t="n">
        <v>6.7</v>
      </c>
      <c r="O433" t="n">
        <v>5.8</v>
      </c>
      <c r="P433" t="n">
        <v>9.199999999999999</v>
      </c>
      <c r="Q433" t="n">
        <v>15.4</v>
      </c>
      <c r="R433" t="n">
        <v>6.2</v>
      </c>
      <c r="S433" t="b">
        <v>0</v>
      </c>
      <c r="U433" t="n">
        <v>13</v>
      </c>
      <c r="V433" t="b">
        <v>0</v>
      </c>
      <c r="X433" t="b">
        <v>0</v>
      </c>
      <c r="Y433" t="n">
        <v>0.44</v>
      </c>
    </row>
    <row r="434">
      <c r="A434" t="inlineStr">
        <is>
          <t>O00433</t>
        </is>
      </c>
      <c r="B434" t="inlineStr">
        <is>
          <t>C0131</t>
        </is>
      </c>
      <c r="C434" t="inlineStr">
        <is>
          <t>S014</t>
        </is>
      </c>
      <c r="D434" t="inlineStr">
        <is>
          <t>R026</t>
        </is>
      </c>
      <c r="E434" s="3" t="n">
        <v>46266.70763888889</v>
      </c>
      <c r="F434" s="3" t="n">
        <v>46266.71666666667</v>
      </c>
      <c r="G434" s="3" t="n">
        <v>46266.71583333334</v>
      </c>
      <c r="H434" t="inlineStr">
        <is>
          <t>Delivered</t>
        </is>
      </c>
      <c r="I434" t="n">
        <v>3</v>
      </c>
      <c r="J434" t="n">
        <v>3</v>
      </c>
      <c r="K434" t="n">
        <v>1261.96</v>
      </c>
      <c r="L434" t="n">
        <v>2.39</v>
      </c>
      <c r="M434" t="n">
        <v>3.3</v>
      </c>
      <c r="N434" t="n">
        <v>3</v>
      </c>
      <c r="O434" t="n">
        <v>5.5</v>
      </c>
      <c r="P434" t="n">
        <v>13</v>
      </c>
      <c r="Q434" t="n">
        <v>11.8</v>
      </c>
      <c r="R434" t="n">
        <v>-1.2</v>
      </c>
      <c r="S434" t="b">
        <v>1</v>
      </c>
      <c r="U434" t="n">
        <v>16</v>
      </c>
      <c r="V434" t="b">
        <v>0</v>
      </c>
      <c r="W434" t="inlineStr">
        <is>
          <t>Light</t>
        </is>
      </c>
      <c r="X434" t="b">
        <v>0</v>
      </c>
      <c r="Y434" t="n">
        <v>0.5</v>
      </c>
    </row>
    <row r="435">
      <c r="A435" t="inlineStr">
        <is>
          <t>O00434</t>
        </is>
      </c>
      <c r="B435" t="inlineStr">
        <is>
          <t>C0244</t>
        </is>
      </c>
      <c r="C435" t="inlineStr">
        <is>
          <t>S010</t>
        </is>
      </c>
      <c r="D435" t="inlineStr">
        <is>
          <t>R009</t>
        </is>
      </c>
      <c r="E435" s="3" t="n">
        <v>46270.85069444445</v>
      </c>
      <c r="F435" s="3" t="n">
        <v>46270.85833333333</v>
      </c>
      <c r="G435" s="3" t="n">
        <v>46270.85819444444</v>
      </c>
      <c r="H435" t="inlineStr">
        <is>
          <t>Delivered</t>
        </is>
      </c>
      <c r="I435" t="n">
        <v>2</v>
      </c>
      <c r="J435" t="n">
        <v>4</v>
      </c>
      <c r="K435" t="n">
        <v>657.6</v>
      </c>
      <c r="L435" t="n">
        <v>2.57</v>
      </c>
      <c r="M435" t="n">
        <v>4.5</v>
      </c>
      <c r="N435" t="n">
        <v>2</v>
      </c>
      <c r="O435" t="n">
        <v>4.3</v>
      </c>
      <c r="P435" t="n">
        <v>11</v>
      </c>
      <c r="Q435" t="n">
        <v>10.8</v>
      </c>
      <c r="R435" t="n">
        <v>-0.2</v>
      </c>
      <c r="S435" t="b">
        <v>1</v>
      </c>
      <c r="U435" t="n">
        <v>20</v>
      </c>
      <c r="V435" t="b">
        <v>1</v>
      </c>
      <c r="X435" t="b">
        <v>0</v>
      </c>
      <c r="Y435" t="n">
        <v>0.41</v>
      </c>
    </row>
    <row r="436">
      <c r="A436" t="inlineStr">
        <is>
          <t>O00435</t>
        </is>
      </c>
      <c r="B436" t="inlineStr">
        <is>
          <t>C0129</t>
        </is>
      </c>
      <c r="C436" t="inlineStr">
        <is>
          <t>S003</t>
        </is>
      </c>
      <c r="D436" t="inlineStr">
        <is>
          <t>R069</t>
        </is>
      </c>
      <c r="E436" s="3" t="n">
        <v>46276.37291666667</v>
      </c>
      <c r="F436" s="3" t="n">
        <v>46276.38069444444</v>
      </c>
      <c r="G436" s="3" t="n">
        <v>46276.38027777777</v>
      </c>
      <c r="H436" t="inlineStr">
        <is>
          <t>Delivered</t>
        </is>
      </c>
      <c r="I436" t="n">
        <v>3</v>
      </c>
      <c r="J436" t="n">
        <v>5</v>
      </c>
      <c r="K436" t="n">
        <v>1042.77</v>
      </c>
      <c r="L436" t="n">
        <v>1.28</v>
      </c>
      <c r="M436" t="n">
        <v>3.1</v>
      </c>
      <c r="N436" t="n">
        <v>4.9</v>
      </c>
      <c r="O436" t="n">
        <v>2.6</v>
      </c>
      <c r="P436" t="n">
        <v>11.2</v>
      </c>
      <c r="Q436" t="n">
        <v>10.6</v>
      </c>
      <c r="R436" t="n">
        <v>-0.6</v>
      </c>
      <c r="S436" t="b">
        <v>1</v>
      </c>
      <c r="U436" t="n">
        <v>8</v>
      </c>
      <c r="V436" t="b">
        <v>0</v>
      </c>
      <c r="X436" t="b">
        <v>0</v>
      </c>
      <c r="Y436" t="n">
        <v>0.13</v>
      </c>
    </row>
    <row r="437">
      <c r="A437" t="inlineStr">
        <is>
          <t>O00436</t>
        </is>
      </c>
      <c r="B437" t="inlineStr">
        <is>
          <t>C0041</t>
        </is>
      </c>
      <c r="C437" t="inlineStr">
        <is>
          <t>S001</t>
        </is>
      </c>
      <c r="D437" t="inlineStr">
        <is>
          <t>R054</t>
        </is>
      </c>
      <c r="E437" s="3" t="n">
        <v>46275.54305555556</v>
      </c>
      <c r="F437" s="3" t="n">
        <v>46275.55138888889</v>
      </c>
      <c r="G437" s="3" t="n">
        <v>46275.55097222222</v>
      </c>
      <c r="H437" t="inlineStr">
        <is>
          <t>Delivered</t>
        </is>
      </c>
      <c r="I437" t="n">
        <v>1</v>
      </c>
      <c r="J437" t="n">
        <v>4</v>
      </c>
      <c r="K437" t="n">
        <v>904.55</v>
      </c>
      <c r="L437" t="n">
        <v>1.74</v>
      </c>
      <c r="M437" t="n">
        <v>3.8</v>
      </c>
      <c r="N437" t="n">
        <v>4.5</v>
      </c>
      <c r="O437" t="n">
        <v>3.1</v>
      </c>
      <c r="P437" t="n">
        <v>12</v>
      </c>
      <c r="Q437" t="n">
        <v>11.4</v>
      </c>
      <c r="R437" t="n">
        <v>-0.6</v>
      </c>
      <c r="S437" t="b">
        <v>1</v>
      </c>
      <c r="U437" t="n">
        <v>13</v>
      </c>
      <c r="V437" t="b">
        <v>0</v>
      </c>
      <c r="W437" t="inlineStr">
        <is>
          <t>Light</t>
        </is>
      </c>
      <c r="X437" t="b">
        <v>0</v>
      </c>
      <c r="Y437" t="n">
        <v>0.1</v>
      </c>
    </row>
    <row r="438">
      <c r="A438" t="inlineStr">
        <is>
          <t>O00437</t>
        </is>
      </c>
      <c r="B438" t="inlineStr">
        <is>
          <t>C0222</t>
        </is>
      </c>
      <c r="C438" t="inlineStr">
        <is>
          <t>S005</t>
        </is>
      </c>
      <c r="D438" t="inlineStr">
        <is>
          <t>R026</t>
        </is>
      </c>
      <c r="E438" s="3" t="n">
        <v>46273.82291666666</v>
      </c>
      <c r="F438" s="3" t="n">
        <v>46273.82902777778</v>
      </c>
      <c r="G438" s="3" t="n">
        <v>46273.82881944445</v>
      </c>
      <c r="H438" t="inlineStr">
        <is>
          <t>Delivered</t>
        </is>
      </c>
      <c r="I438" t="n">
        <v>2</v>
      </c>
      <c r="J438" t="n">
        <v>8</v>
      </c>
      <c r="K438" t="n">
        <v>673.8099999999999</v>
      </c>
      <c r="L438" t="n">
        <v>3.41</v>
      </c>
      <c r="M438" t="n">
        <v>1.9</v>
      </c>
      <c r="N438" t="n">
        <v>2.4</v>
      </c>
      <c r="O438" t="n">
        <v>4.2</v>
      </c>
      <c r="P438" t="n">
        <v>8.800000000000001</v>
      </c>
      <c r="Q438" t="n">
        <v>8.5</v>
      </c>
      <c r="R438" t="n">
        <v>-0.3</v>
      </c>
      <c r="S438" t="b">
        <v>1</v>
      </c>
      <c r="U438" t="n">
        <v>19</v>
      </c>
      <c r="V438" t="b">
        <v>1</v>
      </c>
      <c r="X438" t="b">
        <v>0</v>
      </c>
      <c r="Y438" t="n">
        <v>0.61</v>
      </c>
    </row>
    <row r="439">
      <c r="A439" t="inlineStr">
        <is>
          <t>O00438</t>
        </is>
      </c>
      <c r="B439" t="inlineStr">
        <is>
          <t>C0041</t>
        </is>
      </c>
      <c r="C439" t="inlineStr">
        <is>
          <t>S011</t>
        </is>
      </c>
      <c r="D439" t="inlineStr">
        <is>
          <t>R002</t>
        </is>
      </c>
      <c r="E439" s="3" t="n">
        <v>46266.46458333333</v>
      </c>
      <c r="F439" s="3" t="n">
        <v>46266.47180555556</v>
      </c>
      <c r="G439" s="3" t="n">
        <v>46266.47111111111</v>
      </c>
      <c r="H439" t="inlineStr">
        <is>
          <t>Delivered</t>
        </is>
      </c>
      <c r="I439" t="n">
        <v>2</v>
      </c>
      <c r="J439" t="n">
        <v>7</v>
      </c>
      <c r="K439" t="n">
        <v>323.86</v>
      </c>
      <c r="L439" t="n">
        <v>1.01</v>
      </c>
      <c r="M439" t="n">
        <v>2.8</v>
      </c>
      <c r="N439" t="n">
        <v>4.2</v>
      </c>
      <c r="O439" t="n">
        <v>2.4</v>
      </c>
      <c r="P439" t="n">
        <v>10.4</v>
      </c>
      <c r="Q439" t="n">
        <v>9.4</v>
      </c>
      <c r="R439" t="n">
        <v>-1</v>
      </c>
      <c r="S439" t="b">
        <v>1</v>
      </c>
      <c r="U439" t="n">
        <v>11</v>
      </c>
      <c r="V439" t="b">
        <v>0</v>
      </c>
      <c r="X439" t="b">
        <v>0</v>
      </c>
      <c r="Y439" t="n">
        <v>0.73</v>
      </c>
    </row>
    <row r="440">
      <c r="A440" t="inlineStr">
        <is>
          <t>O00439</t>
        </is>
      </c>
      <c r="B440" t="inlineStr">
        <is>
          <t>C0101</t>
        </is>
      </c>
      <c r="C440" t="inlineStr">
        <is>
          <t>S013</t>
        </is>
      </c>
      <c r="D440" t="inlineStr">
        <is>
          <t>R065</t>
        </is>
      </c>
      <c r="E440" s="3" t="n">
        <v>46267.57847222222</v>
      </c>
      <c r="F440" s="3" t="n">
        <v>46267.58791666666</v>
      </c>
      <c r="G440" s="3" t="n">
        <v>46267.59402777778</v>
      </c>
      <c r="H440" t="inlineStr">
        <is>
          <t>Delivered</t>
        </is>
      </c>
      <c r="I440" t="n">
        <v>6</v>
      </c>
      <c r="J440" t="n">
        <v>9</v>
      </c>
      <c r="K440" t="n">
        <v>427.92</v>
      </c>
      <c r="L440" t="n">
        <v>2.83</v>
      </c>
      <c r="M440" t="n">
        <v>7.2</v>
      </c>
      <c r="N440" t="n">
        <v>8.699999999999999</v>
      </c>
      <c r="O440" t="n">
        <v>6.5</v>
      </c>
      <c r="P440" t="n">
        <v>13.6</v>
      </c>
      <c r="Q440" t="n">
        <v>22.4</v>
      </c>
      <c r="R440" t="n">
        <v>8.800000000000001</v>
      </c>
      <c r="S440" t="b">
        <v>0</v>
      </c>
      <c r="U440" t="n">
        <v>13</v>
      </c>
      <c r="V440" t="b">
        <v>0</v>
      </c>
      <c r="X440" t="b">
        <v>0</v>
      </c>
      <c r="Y440" t="n">
        <v>0.52</v>
      </c>
    </row>
    <row r="441">
      <c r="A441" t="inlineStr">
        <is>
          <t>O00440</t>
        </is>
      </c>
      <c r="B441" t="inlineStr">
        <is>
          <t>C0070</t>
        </is>
      </c>
      <c r="C441" t="inlineStr">
        <is>
          <t>S005</t>
        </is>
      </c>
      <c r="D441" t="inlineStr">
        <is>
          <t>R062</t>
        </is>
      </c>
      <c r="E441" s="3" t="n">
        <v>46277.96388888889</v>
      </c>
      <c r="F441" s="3" t="n">
        <v>46277.97263888889</v>
      </c>
      <c r="G441" s="3" t="n">
        <v>46277.97201388889</v>
      </c>
      <c r="H441" t="inlineStr">
        <is>
          <t>Delivered</t>
        </is>
      </c>
      <c r="I441" t="n">
        <v>3</v>
      </c>
      <c r="J441" t="n">
        <v>8</v>
      </c>
      <c r="K441" t="n">
        <v>344.85</v>
      </c>
      <c r="L441" t="n">
        <v>0.5</v>
      </c>
      <c r="M441" t="n">
        <v>5.2</v>
      </c>
      <c r="N441" t="n">
        <v>3.7</v>
      </c>
      <c r="O441" t="n">
        <v>2.8</v>
      </c>
      <c r="P441" t="n">
        <v>12.6</v>
      </c>
      <c r="Q441" t="n">
        <v>11.7</v>
      </c>
      <c r="R441" t="n">
        <v>-0.9</v>
      </c>
      <c r="S441" t="b">
        <v>1</v>
      </c>
      <c r="U441" t="n">
        <v>23</v>
      </c>
      <c r="V441" t="b">
        <v>0</v>
      </c>
      <c r="X441" t="b">
        <v>0</v>
      </c>
      <c r="Y441" t="n">
        <v>0.65</v>
      </c>
    </row>
    <row r="442">
      <c r="A442" t="inlineStr">
        <is>
          <t>O00441</t>
        </is>
      </c>
      <c r="B442" t="inlineStr">
        <is>
          <t>C0104</t>
        </is>
      </c>
      <c r="C442" t="inlineStr">
        <is>
          <t>S011</t>
        </is>
      </c>
      <c r="D442" t="inlineStr">
        <is>
          <t>R008</t>
        </is>
      </c>
      <c r="E442" s="3" t="n">
        <v>46279.56180555555</v>
      </c>
      <c r="F442" s="3" t="n">
        <v>46279.56902777778</v>
      </c>
      <c r="G442" s="3" t="n">
        <v>46279.56868055555</v>
      </c>
      <c r="H442" t="inlineStr">
        <is>
          <t>Delivered</t>
        </is>
      </c>
      <c r="I442" t="n">
        <v>5</v>
      </c>
      <c r="J442" t="n">
        <v>13</v>
      </c>
      <c r="K442" t="n">
        <v>1444.4</v>
      </c>
      <c r="L442" t="n">
        <v>2.73</v>
      </c>
      <c r="M442" t="n">
        <v>3.6</v>
      </c>
      <c r="N442" t="n">
        <v>2.5</v>
      </c>
      <c r="O442" t="n">
        <v>3.8</v>
      </c>
      <c r="P442" t="n">
        <v>10.4</v>
      </c>
      <c r="Q442" t="n">
        <v>9.9</v>
      </c>
      <c r="R442" t="n">
        <v>-0.5</v>
      </c>
      <c r="S442" t="b">
        <v>1</v>
      </c>
      <c r="U442" t="n">
        <v>13</v>
      </c>
      <c r="V442" t="b">
        <v>0</v>
      </c>
      <c r="X442" t="b">
        <v>0</v>
      </c>
      <c r="Y442" t="n">
        <v>0.32</v>
      </c>
    </row>
    <row r="443">
      <c r="A443" t="inlineStr">
        <is>
          <t>O00442</t>
        </is>
      </c>
      <c r="B443" t="inlineStr">
        <is>
          <t>C0152</t>
        </is>
      </c>
      <c r="C443" t="inlineStr">
        <is>
          <t>S015</t>
        </is>
      </c>
      <c r="D443" t="inlineStr">
        <is>
          <t>R003</t>
        </is>
      </c>
      <c r="E443" s="3" t="n">
        <v>46278.87152777778</v>
      </c>
      <c r="F443" s="3" t="n">
        <v>46278.87784722223</v>
      </c>
      <c r="G443" s="3" t="n">
        <v>46278.88277777778</v>
      </c>
      <c r="H443" t="inlineStr">
        <is>
          <t>Delivered</t>
        </is>
      </c>
      <c r="I443" t="n">
        <v>6</v>
      </c>
      <c r="J443" t="n">
        <v>9</v>
      </c>
      <c r="K443" t="n">
        <v>683.49</v>
      </c>
      <c r="L443" t="n">
        <v>1.44</v>
      </c>
      <c r="M443" t="n">
        <v>5.5</v>
      </c>
      <c r="N443" t="n">
        <v>6.8</v>
      </c>
      <c r="O443" t="n">
        <v>4</v>
      </c>
      <c r="P443" t="n">
        <v>9.1</v>
      </c>
      <c r="Q443" t="n">
        <v>16.2</v>
      </c>
      <c r="R443" t="n">
        <v>7.1</v>
      </c>
      <c r="S443" t="b">
        <v>0</v>
      </c>
      <c r="U443" t="n">
        <v>20</v>
      </c>
      <c r="V443" t="b">
        <v>1</v>
      </c>
      <c r="X443" t="b">
        <v>0</v>
      </c>
      <c r="Y443" t="n">
        <v>0.43</v>
      </c>
    </row>
    <row r="444">
      <c r="A444" t="inlineStr">
        <is>
          <t>O00443</t>
        </is>
      </c>
      <c r="B444" t="inlineStr">
        <is>
          <t>C0001</t>
        </is>
      </c>
      <c r="C444" t="inlineStr">
        <is>
          <t>S013</t>
        </is>
      </c>
      <c r="D444" t="inlineStr">
        <is>
          <t>R072</t>
        </is>
      </c>
      <c r="E444" s="3" t="n">
        <v>46270.45069444444</v>
      </c>
      <c r="F444" s="3" t="n">
        <v>46270.45715277778</v>
      </c>
      <c r="G444" s="3" t="n">
        <v>46270.45638888889</v>
      </c>
      <c r="H444" t="inlineStr">
        <is>
          <t>Delivered</t>
        </is>
      </c>
      <c r="I444" t="n">
        <v>5</v>
      </c>
      <c r="J444" t="n">
        <v>8</v>
      </c>
      <c r="K444" t="n">
        <v>1372.06</v>
      </c>
      <c r="L444" t="n">
        <v>2.18</v>
      </c>
      <c r="M444" t="n">
        <v>2.9</v>
      </c>
      <c r="N444" t="n">
        <v>2.9</v>
      </c>
      <c r="O444" t="n">
        <v>2.4</v>
      </c>
      <c r="P444" t="n">
        <v>9.300000000000001</v>
      </c>
      <c r="Q444" t="n">
        <v>8.199999999999999</v>
      </c>
      <c r="R444" t="n">
        <v>-1.1</v>
      </c>
      <c r="S444" t="b">
        <v>1</v>
      </c>
      <c r="U444" t="n">
        <v>10</v>
      </c>
      <c r="V444" t="b">
        <v>0</v>
      </c>
      <c r="X444" t="b">
        <v>0</v>
      </c>
      <c r="Y444" t="n">
        <v>0.36</v>
      </c>
    </row>
    <row r="445">
      <c r="A445" t="inlineStr">
        <is>
          <t>O00444</t>
        </is>
      </c>
      <c r="B445" t="inlineStr">
        <is>
          <t>C0022</t>
        </is>
      </c>
      <c r="C445" t="inlineStr">
        <is>
          <t>S009</t>
        </is>
      </c>
      <c r="D445" t="inlineStr">
        <is>
          <t>R042</t>
        </is>
      </c>
      <c r="E445" s="3" t="n">
        <v>46270.59791666667</v>
      </c>
      <c r="F445" s="3" t="n">
        <v>46270.60506944444</v>
      </c>
      <c r="G445" s="3" t="n">
        <v>46270.60458333333</v>
      </c>
      <c r="H445" t="inlineStr">
        <is>
          <t>Delivered</t>
        </is>
      </c>
      <c r="I445" t="n">
        <v>6</v>
      </c>
      <c r="J445" t="n">
        <v>6</v>
      </c>
      <c r="K445" t="n">
        <v>851.5599999999999</v>
      </c>
      <c r="L445" t="n">
        <v>0.5</v>
      </c>
      <c r="M445" t="n">
        <v>4.6</v>
      </c>
      <c r="N445" t="n">
        <v>3</v>
      </c>
      <c r="O445" t="n">
        <v>2</v>
      </c>
      <c r="P445" t="n">
        <v>10.3</v>
      </c>
      <c r="Q445" t="n">
        <v>9.6</v>
      </c>
      <c r="R445" t="n">
        <v>-0.7</v>
      </c>
      <c r="S445" t="b">
        <v>1</v>
      </c>
      <c r="U445" t="n">
        <v>14</v>
      </c>
      <c r="V445" t="b">
        <v>0</v>
      </c>
      <c r="X445" t="b">
        <v>0</v>
      </c>
      <c r="Y445" t="n">
        <v>0.18</v>
      </c>
    </row>
    <row r="446">
      <c r="A446" t="inlineStr">
        <is>
          <t>O00445</t>
        </is>
      </c>
      <c r="B446" t="inlineStr">
        <is>
          <t>C0217</t>
        </is>
      </c>
      <c r="C446" t="inlineStr">
        <is>
          <t>S002</t>
        </is>
      </c>
      <c r="D446" t="inlineStr">
        <is>
          <t>R038</t>
        </is>
      </c>
      <c r="E446" s="3" t="n">
        <v>46275.72916666666</v>
      </c>
      <c r="F446" s="3" t="n">
        <v>46275.73777777778</v>
      </c>
      <c r="G446" s="3" t="n">
        <v>46275.73930555556</v>
      </c>
      <c r="H446" t="inlineStr">
        <is>
          <t>Delivered</t>
        </is>
      </c>
      <c r="I446" t="n">
        <v>5</v>
      </c>
      <c r="J446" t="n">
        <v>10</v>
      </c>
      <c r="K446" t="n">
        <v>574.35</v>
      </c>
      <c r="L446" t="n">
        <v>0.5</v>
      </c>
      <c r="M446" t="n">
        <v>3.5</v>
      </c>
      <c r="N446" t="n">
        <v>8.9</v>
      </c>
      <c r="O446" t="n">
        <v>2.2</v>
      </c>
      <c r="P446" t="n">
        <v>12.4</v>
      </c>
      <c r="Q446" t="n">
        <v>14.6</v>
      </c>
      <c r="R446" t="n">
        <v>2.2</v>
      </c>
      <c r="S446" t="b">
        <v>0</v>
      </c>
      <c r="U446" t="n">
        <v>17</v>
      </c>
      <c r="V446" t="b">
        <v>0</v>
      </c>
      <c r="X446" t="b">
        <v>0</v>
      </c>
      <c r="Y446" t="n">
        <v>0.42</v>
      </c>
    </row>
    <row r="447">
      <c r="A447" t="inlineStr">
        <is>
          <t>O00446</t>
        </is>
      </c>
      <c r="B447" t="inlineStr">
        <is>
          <t>C0089</t>
        </is>
      </c>
      <c r="C447" t="inlineStr">
        <is>
          <t>S008</t>
        </is>
      </c>
      <c r="D447" t="inlineStr">
        <is>
          <t>R010</t>
        </is>
      </c>
      <c r="E447" s="3" t="n">
        <v>46271.54722222222</v>
      </c>
      <c r="F447" s="3" t="n">
        <v>46271.55416666667</v>
      </c>
      <c r="G447" s="3" t="n">
        <v>46271.56020833334</v>
      </c>
      <c r="H447" t="inlineStr">
        <is>
          <t>Delivered</t>
        </is>
      </c>
      <c r="I447" t="n">
        <v>1</v>
      </c>
      <c r="J447" t="n">
        <v>6</v>
      </c>
      <c r="K447" t="n">
        <v>576.73</v>
      </c>
      <c r="L447" t="n">
        <v>2.5</v>
      </c>
      <c r="M447" t="n">
        <v>4.3</v>
      </c>
      <c r="N447" t="n">
        <v>8.9</v>
      </c>
      <c r="O447" t="n">
        <v>5.6</v>
      </c>
      <c r="P447" t="n">
        <v>10</v>
      </c>
      <c r="Q447" t="n">
        <v>18.7</v>
      </c>
      <c r="R447" t="n">
        <v>8.699999999999999</v>
      </c>
      <c r="S447" t="b">
        <v>0</v>
      </c>
      <c r="U447" t="n">
        <v>13</v>
      </c>
      <c r="V447" t="b">
        <v>0</v>
      </c>
      <c r="X447" t="b">
        <v>1</v>
      </c>
      <c r="Y447" t="n">
        <v>0.36</v>
      </c>
    </row>
    <row r="448">
      <c r="A448" t="inlineStr">
        <is>
          <t>O00447</t>
        </is>
      </c>
      <c r="B448" t="inlineStr">
        <is>
          <t>C0156</t>
        </is>
      </c>
      <c r="C448" t="inlineStr">
        <is>
          <t>S015</t>
        </is>
      </c>
      <c r="D448" t="inlineStr">
        <is>
          <t>R046</t>
        </is>
      </c>
      <c r="E448" s="3" t="n">
        <v>46267.52222222222</v>
      </c>
      <c r="F448" s="3" t="n">
        <v>46267.528125</v>
      </c>
      <c r="G448" s="3" t="n">
        <v>46267.53152777778</v>
      </c>
      <c r="H448" t="inlineStr">
        <is>
          <t>Delivered</t>
        </is>
      </c>
      <c r="I448" t="n">
        <v>4</v>
      </c>
      <c r="J448" t="n">
        <v>4</v>
      </c>
      <c r="K448" t="n">
        <v>1151.53</v>
      </c>
      <c r="L448" t="n">
        <v>0.5600000000000001</v>
      </c>
      <c r="M448" t="n">
        <v>4.2</v>
      </c>
      <c r="N448" t="n">
        <v>7</v>
      </c>
      <c r="O448" t="n">
        <v>2.2</v>
      </c>
      <c r="P448" t="n">
        <v>8.5</v>
      </c>
      <c r="Q448" t="n">
        <v>13.4</v>
      </c>
      <c r="R448" t="n">
        <v>4.9</v>
      </c>
      <c r="S448" t="b">
        <v>0</v>
      </c>
      <c r="U448" t="n">
        <v>12</v>
      </c>
      <c r="V448" t="b">
        <v>0</v>
      </c>
      <c r="X448" t="b">
        <v>0</v>
      </c>
      <c r="Y448" t="n">
        <v>0.27</v>
      </c>
    </row>
    <row r="449">
      <c r="A449" t="inlineStr">
        <is>
          <t>O00448</t>
        </is>
      </c>
      <c r="B449" t="inlineStr">
        <is>
          <t>C0076</t>
        </is>
      </c>
      <c r="C449" t="inlineStr">
        <is>
          <t>S009</t>
        </is>
      </c>
      <c r="D449" t="inlineStr">
        <is>
          <t>R015</t>
        </is>
      </c>
      <c r="E449" s="3" t="n">
        <v>46277.41805555556</v>
      </c>
      <c r="F449" s="3" t="n">
        <v>46277.42569444444</v>
      </c>
      <c r="G449" s="3" t="n">
        <v>46277.42541666667</v>
      </c>
      <c r="H449" t="inlineStr">
        <is>
          <t>Delivered</t>
        </is>
      </c>
      <c r="I449" t="n">
        <v>3</v>
      </c>
      <c r="J449" t="n">
        <v>7</v>
      </c>
      <c r="K449" t="n">
        <v>690.16</v>
      </c>
      <c r="L449" t="n">
        <v>2.68</v>
      </c>
      <c r="M449" t="n">
        <v>2.6</v>
      </c>
      <c r="N449" t="n">
        <v>2.4</v>
      </c>
      <c r="O449" t="n">
        <v>5.6</v>
      </c>
      <c r="P449" t="n">
        <v>11</v>
      </c>
      <c r="Q449" t="n">
        <v>10.6</v>
      </c>
      <c r="R449" t="n">
        <v>-0.4</v>
      </c>
      <c r="S449" t="b">
        <v>1</v>
      </c>
      <c r="U449" t="n">
        <v>10</v>
      </c>
      <c r="V449" t="b">
        <v>0</v>
      </c>
      <c r="X449" t="b">
        <v>0</v>
      </c>
      <c r="Y449" t="n">
        <v>0.57</v>
      </c>
    </row>
    <row r="450">
      <c r="A450" t="inlineStr">
        <is>
          <t>O00449</t>
        </is>
      </c>
      <c r="B450" t="inlineStr">
        <is>
          <t>C0237</t>
        </is>
      </c>
      <c r="C450" t="inlineStr">
        <is>
          <t>S008</t>
        </is>
      </c>
      <c r="D450" t="inlineStr">
        <is>
          <t>R024</t>
        </is>
      </c>
      <c r="E450" s="3" t="n">
        <v>46275.70277777778</v>
      </c>
      <c r="F450" s="3" t="n">
        <v>46275.71256944445</v>
      </c>
      <c r="G450" s="3" t="n">
        <v>46275.71215277778</v>
      </c>
      <c r="H450" t="inlineStr">
        <is>
          <t>Delivered</t>
        </is>
      </c>
      <c r="I450" t="n">
        <v>1</v>
      </c>
      <c r="J450" t="n">
        <v>9</v>
      </c>
      <c r="K450" t="n">
        <v>470.86</v>
      </c>
      <c r="L450" t="n">
        <v>3.19</v>
      </c>
      <c r="M450" t="n">
        <v>3.6</v>
      </c>
      <c r="N450" t="n">
        <v>4.4</v>
      </c>
      <c r="O450" t="n">
        <v>5.5</v>
      </c>
      <c r="P450" t="n">
        <v>14.1</v>
      </c>
      <c r="Q450" t="n">
        <v>13.5</v>
      </c>
      <c r="R450" t="n">
        <v>-0.6</v>
      </c>
      <c r="S450" t="b">
        <v>1</v>
      </c>
      <c r="U450" t="n">
        <v>16</v>
      </c>
      <c r="V450" t="b">
        <v>0</v>
      </c>
      <c r="X450" t="b">
        <v>0</v>
      </c>
      <c r="Y450" t="n">
        <v>0.36</v>
      </c>
    </row>
    <row r="451">
      <c r="A451" t="inlineStr">
        <is>
          <t>O00450</t>
        </is>
      </c>
      <c r="B451" t="inlineStr">
        <is>
          <t>C0040</t>
        </is>
      </c>
      <c r="C451" t="inlineStr">
        <is>
          <t>S011</t>
        </is>
      </c>
      <c r="D451" t="inlineStr">
        <is>
          <t>R019</t>
        </is>
      </c>
      <c r="E451" s="3" t="n">
        <v>46266.98125</v>
      </c>
      <c r="F451" s="3" t="n">
        <v>46266.98819444444</v>
      </c>
      <c r="G451" s="3" t="n">
        <v>46266.99256944445</v>
      </c>
      <c r="H451" t="inlineStr">
        <is>
          <t>Delivered</t>
        </is>
      </c>
      <c r="I451" t="n">
        <v>3</v>
      </c>
      <c r="J451" t="n">
        <v>3</v>
      </c>
      <c r="K451" t="n">
        <v>793.28</v>
      </c>
      <c r="L451" t="n">
        <v>0.92</v>
      </c>
      <c r="M451" t="n">
        <v>7.2</v>
      </c>
      <c r="N451" t="n">
        <v>5.2</v>
      </c>
      <c r="O451" t="n">
        <v>3.9</v>
      </c>
      <c r="P451" t="n">
        <v>10</v>
      </c>
      <c r="Q451" t="n">
        <v>16.3</v>
      </c>
      <c r="R451" t="n">
        <v>6.3</v>
      </c>
      <c r="S451" t="b">
        <v>0</v>
      </c>
      <c r="U451" t="n">
        <v>23</v>
      </c>
      <c r="V451" t="b">
        <v>0</v>
      </c>
      <c r="X451" t="b">
        <v>0</v>
      </c>
      <c r="Y451" t="n">
        <v>0.58</v>
      </c>
    </row>
    <row r="452">
      <c r="A452" t="inlineStr">
        <is>
          <t>O00451</t>
        </is>
      </c>
      <c r="B452" t="inlineStr">
        <is>
          <t>C0173</t>
        </is>
      </c>
      <c r="C452" t="inlineStr">
        <is>
          <t>S002</t>
        </is>
      </c>
      <c r="D452" t="inlineStr">
        <is>
          <t>R047</t>
        </is>
      </c>
      <c r="E452" s="3" t="n">
        <v>46268.92777777778</v>
      </c>
      <c r="F452" s="3" t="n">
        <v>46268.93458333334</v>
      </c>
      <c r="G452" s="3" t="n">
        <v>46268.93409722222</v>
      </c>
      <c r="H452" t="inlineStr">
        <is>
          <t>Delivered</t>
        </is>
      </c>
      <c r="I452" t="n">
        <v>1</v>
      </c>
      <c r="J452" t="n">
        <v>2</v>
      </c>
      <c r="K452" t="n">
        <v>1522.87</v>
      </c>
      <c r="L452" t="n">
        <v>2.19</v>
      </c>
      <c r="M452" t="n">
        <v>1.7</v>
      </c>
      <c r="N452" t="n">
        <v>3.2</v>
      </c>
      <c r="O452" t="n">
        <v>4.2</v>
      </c>
      <c r="P452" t="n">
        <v>9.800000000000001</v>
      </c>
      <c r="Q452" t="n">
        <v>9.1</v>
      </c>
      <c r="R452" t="n">
        <v>-0.7</v>
      </c>
      <c r="S452" t="b">
        <v>1</v>
      </c>
      <c r="U452" t="n">
        <v>22</v>
      </c>
      <c r="V452" t="b">
        <v>0</v>
      </c>
      <c r="X452" t="b">
        <v>1</v>
      </c>
      <c r="Y452" t="n">
        <v>0.3</v>
      </c>
    </row>
    <row r="453">
      <c r="A453" t="inlineStr">
        <is>
          <t>O00452</t>
        </is>
      </c>
      <c r="B453" t="inlineStr">
        <is>
          <t>C0102</t>
        </is>
      </c>
      <c r="C453" t="inlineStr">
        <is>
          <t>S020</t>
        </is>
      </c>
      <c r="D453" t="inlineStr">
        <is>
          <t>R079</t>
        </is>
      </c>
      <c r="E453" s="3" t="n">
        <v>46267.69027777778</v>
      </c>
      <c r="F453" s="3" t="n">
        <v>46267.69833333333</v>
      </c>
      <c r="G453" s="3" t="n">
        <v>46267.69791666666</v>
      </c>
      <c r="H453" t="inlineStr">
        <is>
          <t>Delivered</t>
        </is>
      </c>
      <c r="I453" t="n">
        <v>4</v>
      </c>
      <c r="J453" t="n">
        <v>5</v>
      </c>
      <c r="K453" t="n">
        <v>690.53</v>
      </c>
      <c r="L453" t="n">
        <v>0.76</v>
      </c>
      <c r="M453" t="n">
        <v>5.9</v>
      </c>
      <c r="N453" t="n">
        <v>1.6</v>
      </c>
      <c r="O453" t="n">
        <v>3.5</v>
      </c>
      <c r="P453" t="n">
        <v>11.6</v>
      </c>
      <c r="Q453" t="n">
        <v>11</v>
      </c>
      <c r="R453" t="n">
        <v>-0.6</v>
      </c>
      <c r="S453" t="b">
        <v>1</v>
      </c>
      <c r="U453" t="n">
        <v>16</v>
      </c>
      <c r="V453" t="b">
        <v>0</v>
      </c>
      <c r="W453" t="inlineStr">
        <is>
          <t>Light</t>
        </is>
      </c>
      <c r="X453" t="b">
        <v>0</v>
      </c>
      <c r="Y453" t="n">
        <v>0.36</v>
      </c>
    </row>
    <row r="454">
      <c r="A454" t="inlineStr">
        <is>
          <t>O00453</t>
        </is>
      </c>
      <c r="B454" t="inlineStr">
        <is>
          <t>C0024</t>
        </is>
      </c>
      <c r="C454" t="inlineStr">
        <is>
          <t>S009</t>
        </is>
      </c>
      <c r="D454" t="inlineStr">
        <is>
          <t>R073</t>
        </is>
      </c>
      <c r="E454" s="3" t="n">
        <v>46268.79861111111</v>
      </c>
      <c r="F454" s="3" t="n">
        <v>46268.80576388889</v>
      </c>
      <c r="G454" s="3" t="n">
        <v>46268.80506944445</v>
      </c>
      <c r="H454" t="inlineStr">
        <is>
          <t>Delivered</t>
        </is>
      </c>
      <c r="I454" t="n">
        <v>2</v>
      </c>
      <c r="J454" t="n">
        <v>5</v>
      </c>
      <c r="K454" t="n">
        <v>808.05</v>
      </c>
      <c r="L454" t="n">
        <v>2.8</v>
      </c>
      <c r="M454" t="n">
        <v>1.4</v>
      </c>
      <c r="N454" t="n">
        <v>3</v>
      </c>
      <c r="O454" t="n">
        <v>4.9</v>
      </c>
      <c r="P454" t="n">
        <v>10.3</v>
      </c>
      <c r="Q454" t="n">
        <v>9.300000000000001</v>
      </c>
      <c r="R454" t="n">
        <v>-1</v>
      </c>
      <c r="S454" t="b">
        <v>1</v>
      </c>
      <c r="U454" t="n">
        <v>19</v>
      </c>
      <c r="V454" t="b">
        <v>1</v>
      </c>
      <c r="W454" t="inlineStr">
        <is>
          <t>Heavy</t>
        </is>
      </c>
      <c r="X454" t="b">
        <v>0</v>
      </c>
      <c r="Y454" t="n">
        <v>0.33</v>
      </c>
    </row>
    <row r="455">
      <c r="A455" t="inlineStr">
        <is>
          <t>O00454</t>
        </is>
      </c>
      <c r="B455" t="inlineStr">
        <is>
          <t>C0201</t>
        </is>
      </c>
      <c r="C455" t="inlineStr">
        <is>
          <t>S008</t>
        </is>
      </c>
      <c r="D455" t="inlineStr">
        <is>
          <t>R069</t>
        </is>
      </c>
      <c r="E455" s="3" t="n">
        <v>46276.46319444444</v>
      </c>
      <c r="F455" s="3" t="n">
        <v>46276.47152777778</v>
      </c>
      <c r="G455" s="3" t="n">
        <v>46276.47069444445</v>
      </c>
      <c r="H455" t="inlineStr">
        <is>
          <t>Delivered</t>
        </is>
      </c>
      <c r="I455" t="n">
        <v>2</v>
      </c>
      <c r="J455" t="n">
        <v>7</v>
      </c>
      <c r="K455" t="n">
        <v>654.33</v>
      </c>
      <c r="L455" t="n">
        <v>4.9</v>
      </c>
      <c r="M455" t="n">
        <v>2.3</v>
      </c>
      <c r="N455" t="n">
        <v>2.8</v>
      </c>
      <c r="O455" t="n">
        <v>5.7</v>
      </c>
      <c r="P455" t="n">
        <v>12</v>
      </c>
      <c r="Q455" t="n">
        <v>10.8</v>
      </c>
      <c r="R455" t="n">
        <v>-1.2</v>
      </c>
      <c r="S455" t="b">
        <v>1</v>
      </c>
      <c r="U455" t="n">
        <v>11</v>
      </c>
      <c r="V455" t="b">
        <v>0</v>
      </c>
      <c r="X455" t="b">
        <v>0</v>
      </c>
      <c r="Y455" t="n">
        <v>0.57</v>
      </c>
    </row>
    <row r="456">
      <c r="A456" t="inlineStr">
        <is>
          <t>O00455</t>
        </is>
      </c>
      <c r="B456" t="inlineStr">
        <is>
          <t>C0007</t>
        </is>
      </c>
      <c r="C456" t="inlineStr">
        <is>
          <t>S001</t>
        </is>
      </c>
      <c r="D456" t="inlineStr">
        <is>
          <t>R020</t>
        </is>
      </c>
      <c r="E456" s="3" t="n">
        <v>46270.49375</v>
      </c>
      <c r="F456" s="3" t="n">
        <v>46270.50138888889</v>
      </c>
      <c r="G456" s="3" t="n">
        <v>46270.50076388889</v>
      </c>
      <c r="H456" t="inlineStr">
        <is>
          <t>Delivered</t>
        </is>
      </c>
      <c r="I456" t="n">
        <v>5</v>
      </c>
      <c r="J456" t="n">
        <v>10</v>
      </c>
      <c r="K456" t="n">
        <v>464.15</v>
      </c>
      <c r="L456" t="n">
        <v>0.93</v>
      </c>
      <c r="M456" t="n">
        <v>3.1</v>
      </c>
      <c r="N456" t="n">
        <v>4.2</v>
      </c>
      <c r="O456" t="n">
        <v>2.8</v>
      </c>
      <c r="P456" t="n">
        <v>11</v>
      </c>
      <c r="Q456" t="n">
        <v>10.1</v>
      </c>
      <c r="R456" t="n">
        <v>-0.9</v>
      </c>
      <c r="S456" t="b">
        <v>1</v>
      </c>
      <c r="U456" t="n">
        <v>11</v>
      </c>
      <c r="V456" t="b">
        <v>0</v>
      </c>
      <c r="X456" t="b">
        <v>0</v>
      </c>
      <c r="Y456" t="n">
        <v>0.78</v>
      </c>
    </row>
    <row r="457">
      <c r="A457" t="inlineStr">
        <is>
          <t>O00456</t>
        </is>
      </c>
      <c r="B457" t="inlineStr">
        <is>
          <t>C0132</t>
        </is>
      </c>
      <c r="C457" t="inlineStr">
        <is>
          <t>S004</t>
        </is>
      </c>
      <c r="D457" t="inlineStr">
        <is>
          <t>R059</t>
        </is>
      </c>
      <c r="E457" s="3" t="n">
        <v>46272.69444444445</v>
      </c>
      <c r="F457" s="3" t="n">
        <v>46272.70243055555</v>
      </c>
      <c r="G457" s="3" t="n">
        <v>46272.70131944444</v>
      </c>
      <c r="H457" t="inlineStr">
        <is>
          <t>Delivered</t>
        </is>
      </c>
      <c r="I457" t="n">
        <v>4</v>
      </c>
      <c r="J457" t="n">
        <v>5</v>
      </c>
      <c r="K457" t="n">
        <v>1521.7</v>
      </c>
      <c r="L457" t="n">
        <v>1.46</v>
      </c>
      <c r="M457" t="n">
        <v>4</v>
      </c>
      <c r="N457" t="n">
        <v>2.3</v>
      </c>
      <c r="O457" t="n">
        <v>3.6</v>
      </c>
      <c r="P457" t="n">
        <v>11.5</v>
      </c>
      <c r="Q457" t="n">
        <v>9.9</v>
      </c>
      <c r="R457" t="n">
        <v>-1.6</v>
      </c>
      <c r="S457" t="b">
        <v>1</v>
      </c>
      <c r="U457" t="n">
        <v>16</v>
      </c>
      <c r="V457" t="b">
        <v>0</v>
      </c>
      <c r="X457" t="b">
        <v>0</v>
      </c>
      <c r="Y457" t="n">
        <v>0.23</v>
      </c>
    </row>
    <row r="458">
      <c r="A458" t="inlineStr">
        <is>
          <t>O00457</t>
        </is>
      </c>
      <c r="B458" t="inlineStr">
        <is>
          <t>C0167</t>
        </is>
      </c>
      <c r="C458" t="inlineStr">
        <is>
          <t>S008</t>
        </is>
      </c>
      <c r="D458" t="inlineStr">
        <is>
          <t>R034</t>
        </is>
      </c>
      <c r="E458" s="3" t="n">
        <v>46277.95416666667</v>
      </c>
      <c r="F458" s="3" t="n">
        <v>46277.96173611111</v>
      </c>
      <c r="G458" s="3" t="n">
        <v>46277.96020833333</v>
      </c>
      <c r="H458" t="inlineStr">
        <is>
          <t>Delivered</t>
        </is>
      </c>
      <c r="I458" t="n">
        <v>1</v>
      </c>
      <c r="J458" t="n">
        <v>2</v>
      </c>
      <c r="K458" t="n">
        <v>897.97</v>
      </c>
      <c r="L458" t="n">
        <v>0.5</v>
      </c>
      <c r="M458" t="n">
        <v>4.4</v>
      </c>
      <c r="N458" t="n">
        <v>2.3</v>
      </c>
      <c r="O458" t="n">
        <v>2</v>
      </c>
      <c r="P458" t="n">
        <v>10.9</v>
      </c>
      <c r="Q458" t="n">
        <v>8.699999999999999</v>
      </c>
      <c r="R458" t="n">
        <v>-2.2</v>
      </c>
      <c r="S458" t="b">
        <v>1</v>
      </c>
      <c r="U458" t="n">
        <v>22</v>
      </c>
      <c r="V458" t="b">
        <v>0</v>
      </c>
      <c r="X458" t="b">
        <v>0</v>
      </c>
      <c r="Y458" t="n">
        <v>0.25</v>
      </c>
    </row>
    <row r="459">
      <c r="A459" t="inlineStr">
        <is>
          <t>O00458</t>
        </is>
      </c>
      <c r="B459" t="inlineStr">
        <is>
          <t>C0014</t>
        </is>
      </c>
      <c r="C459" t="inlineStr">
        <is>
          <t>S013</t>
        </is>
      </c>
      <c r="D459" t="inlineStr">
        <is>
          <t>R050</t>
        </is>
      </c>
      <c r="E459" s="3" t="n">
        <v>46267.47152777778</v>
      </c>
      <c r="F459" s="3" t="n">
        <v>46267.47805555556</v>
      </c>
      <c r="G459" s="3" t="n">
        <v>46267.47972222222</v>
      </c>
      <c r="H459" t="inlineStr">
        <is>
          <t>Delivered</t>
        </is>
      </c>
      <c r="I459" t="n">
        <v>1</v>
      </c>
      <c r="J459" t="n">
        <v>6</v>
      </c>
      <c r="K459" t="n">
        <v>751.86</v>
      </c>
      <c r="L459" t="n">
        <v>0.65</v>
      </c>
      <c r="M459" t="n">
        <v>6</v>
      </c>
      <c r="N459" t="n">
        <v>2.7</v>
      </c>
      <c r="O459" t="n">
        <v>3.1</v>
      </c>
      <c r="P459" t="n">
        <v>9.4</v>
      </c>
      <c r="Q459" t="n">
        <v>11.8</v>
      </c>
      <c r="R459" t="n">
        <v>2.4</v>
      </c>
      <c r="S459" t="b">
        <v>0</v>
      </c>
      <c r="U459" t="n">
        <v>11</v>
      </c>
      <c r="V459" t="b">
        <v>0</v>
      </c>
      <c r="X459" t="b">
        <v>0</v>
      </c>
      <c r="Y459" t="n">
        <v>0.55</v>
      </c>
    </row>
    <row r="460">
      <c r="A460" t="inlineStr">
        <is>
          <t>O00459</t>
        </is>
      </c>
      <c r="B460" t="inlineStr">
        <is>
          <t>C0127</t>
        </is>
      </c>
      <c r="C460" t="inlineStr">
        <is>
          <t>S015</t>
        </is>
      </c>
      <c r="D460" t="inlineStr">
        <is>
          <t>R072</t>
        </is>
      </c>
      <c r="E460" s="3" t="n">
        <v>46273.43055555555</v>
      </c>
      <c r="F460" s="3" t="n">
        <v>46273.43743055555</v>
      </c>
      <c r="G460" s="3" t="n">
        <v>46273.43673611111</v>
      </c>
      <c r="H460" t="inlineStr">
        <is>
          <t>Delivered</t>
        </is>
      </c>
      <c r="I460" t="n">
        <v>3</v>
      </c>
      <c r="J460" t="n">
        <v>7</v>
      </c>
      <c r="K460" t="n">
        <v>1425.64</v>
      </c>
      <c r="L460" t="n">
        <v>2.33</v>
      </c>
      <c r="M460" t="n">
        <v>2.4</v>
      </c>
      <c r="N460" t="n">
        <v>3.2</v>
      </c>
      <c r="O460" t="n">
        <v>3.3</v>
      </c>
      <c r="P460" t="n">
        <v>9.9</v>
      </c>
      <c r="Q460" t="n">
        <v>8.9</v>
      </c>
      <c r="R460" t="n">
        <v>-1</v>
      </c>
      <c r="S460" t="b">
        <v>1</v>
      </c>
      <c r="U460" t="n">
        <v>10</v>
      </c>
      <c r="V460" t="b">
        <v>0</v>
      </c>
      <c r="W460" t="inlineStr">
        <is>
          <t>Heavy</t>
        </is>
      </c>
      <c r="X460" t="b">
        <v>1</v>
      </c>
      <c r="Y460" t="n">
        <v>0.26</v>
      </c>
    </row>
    <row r="461">
      <c r="A461" t="inlineStr">
        <is>
          <t>O00460</t>
        </is>
      </c>
      <c r="B461" t="inlineStr">
        <is>
          <t>C0177</t>
        </is>
      </c>
      <c r="C461" t="inlineStr">
        <is>
          <t>S012</t>
        </is>
      </c>
      <c r="D461" t="inlineStr">
        <is>
          <t>R042</t>
        </is>
      </c>
      <c r="E461" s="3" t="n">
        <v>46268.6875</v>
      </c>
      <c r="F461" s="3" t="n">
        <v>46268.69368055555</v>
      </c>
      <c r="G461" s="3" t="n">
        <v>46268.69326388889</v>
      </c>
      <c r="H461" t="inlineStr">
        <is>
          <t>Delivered</t>
        </is>
      </c>
      <c r="I461" t="n">
        <v>4</v>
      </c>
      <c r="J461" t="n">
        <v>8</v>
      </c>
      <c r="K461" t="n">
        <v>967.74</v>
      </c>
      <c r="L461" t="n">
        <v>1.41</v>
      </c>
      <c r="M461" t="n">
        <v>3.5</v>
      </c>
      <c r="N461" t="n">
        <v>1.1</v>
      </c>
      <c r="O461" t="n">
        <v>3.7</v>
      </c>
      <c r="P461" t="n">
        <v>8.9</v>
      </c>
      <c r="Q461" t="n">
        <v>8.300000000000001</v>
      </c>
      <c r="R461" t="n">
        <v>-0.6</v>
      </c>
      <c r="S461" t="b">
        <v>1</v>
      </c>
      <c r="U461" t="n">
        <v>16</v>
      </c>
      <c r="V461" t="b">
        <v>0</v>
      </c>
      <c r="W461" t="inlineStr">
        <is>
          <t>Heavy</t>
        </is>
      </c>
      <c r="X461" t="b">
        <v>0</v>
      </c>
      <c r="Y461" t="n">
        <v>0.4</v>
      </c>
    </row>
    <row r="462">
      <c r="A462" t="inlineStr">
        <is>
          <t>O00461</t>
        </is>
      </c>
      <c r="B462" t="inlineStr">
        <is>
          <t>C0236</t>
        </is>
      </c>
      <c r="C462" t="inlineStr">
        <is>
          <t>S016</t>
        </is>
      </c>
      <c r="D462" t="inlineStr">
        <is>
          <t>R066</t>
        </is>
      </c>
      <c r="E462" s="3" t="n">
        <v>46275.96180555555</v>
      </c>
      <c r="F462" s="3" t="n">
        <v>46275.96895833333</v>
      </c>
      <c r="G462" s="3" t="n">
        <v>46275.97597222222</v>
      </c>
      <c r="H462" t="inlineStr">
        <is>
          <t>Delivered</t>
        </is>
      </c>
      <c r="I462" t="n">
        <v>5</v>
      </c>
      <c r="J462" t="n">
        <v>9</v>
      </c>
      <c r="K462" t="n">
        <v>1455.02</v>
      </c>
      <c r="L462" t="n">
        <v>1.84</v>
      </c>
      <c r="M462" t="n">
        <v>6.3</v>
      </c>
      <c r="N462" t="n">
        <v>9</v>
      </c>
      <c r="O462" t="n">
        <v>5</v>
      </c>
      <c r="P462" t="n">
        <v>10.3</v>
      </c>
      <c r="Q462" t="n">
        <v>20.4</v>
      </c>
      <c r="R462" t="n">
        <v>10.1</v>
      </c>
      <c r="S462" t="b">
        <v>0</v>
      </c>
      <c r="U462" t="n">
        <v>23</v>
      </c>
      <c r="V462" t="b">
        <v>0</v>
      </c>
      <c r="X462" t="b">
        <v>0</v>
      </c>
      <c r="Y462" t="n">
        <v>0.57</v>
      </c>
    </row>
    <row r="463">
      <c r="A463" t="inlineStr">
        <is>
          <t>O00462</t>
        </is>
      </c>
      <c r="B463" t="inlineStr">
        <is>
          <t>C0218</t>
        </is>
      </c>
      <c r="C463" t="inlineStr">
        <is>
          <t>S018</t>
        </is>
      </c>
      <c r="D463" t="inlineStr">
        <is>
          <t>R005</t>
        </is>
      </c>
      <c r="E463" s="3" t="n">
        <v>46276.42777777778</v>
      </c>
      <c r="F463" s="3" t="n">
        <v>46276.43479166667</v>
      </c>
      <c r="G463" s="3" t="n">
        <v>46276.43444444444</v>
      </c>
      <c r="H463" t="inlineStr">
        <is>
          <t>Delivered</t>
        </is>
      </c>
      <c r="I463" t="n">
        <v>6</v>
      </c>
      <c r="J463" t="n">
        <v>6</v>
      </c>
      <c r="K463" t="n">
        <v>416.71</v>
      </c>
      <c r="L463" t="n">
        <v>2.31</v>
      </c>
      <c r="M463" t="n">
        <v>3.9</v>
      </c>
      <c r="N463" t="n">
        <v>2.2</v>
      </c>
      <c r="O463" t="n">
        <v>3.5</v>
      </c>
      <c r="P463" t="n">
        <v>10.1</v>
      </c>
      <c r="Q463" t="n">
        <v>9.6</v>
      </c>
      <c r="R463" t="n">
        <v>-0.5</v>
      </c>
      <c r="S463" t="b">
        <v>1</v>
      </c>
      <c r="U463" t="n">
        <v>10</v>
      </c>
      <c r="V463" t="b">
        <v>0</v>
      </c>
      <c r="X463" t="b">
        <v>0</v>
      </c>
      <c r="Y463" t="n">
        <v>0.41</v>
      </c>
    </row>
    <row r="464">
      <c r="A464" t="inlineStr">
        <is>
          <t>O00463</t>
        </is>
      </c>
      <c r="B464" t="inlineStr">
        <is>
          <t>C0013</t>
        </is>
      </c>
      <c r="C464" t="inlineStr">
        <is>
          <t>S011</t>
        </is>
      </c>
      <c r="D464" t="inlineStr">
        <is>
          <t>R063</t>
        </is>
      </c>
      <c r="E464" s="3" t="n">
        <v>46266.50138888889</v>
      </c>
      <c r="F464" s="3" t="n">
        <v>46266.509375</v>
      </c>
      <c r="G464" s="3" t="n">
        <v>46266.511875</v>
      </c>
      <c r="H464" t="inlineStr">
        <is>
          <t>Delivered</t>
        </is>
      </c>
      <c r="I464" t="n">
        <v>5</v>
      </c>
      <c r="J464" t="n">
        <v>5</v>
      </c>
      <c r="K464" t="n">
        <v>853.84</v>
      </c>
      <c r="L464" t="n">
        <v>0.98</v>
      </c>
      <c r="M464" t="n">
        <v>5.9</v>
      </c>
      <c r="N464" t="n">
        <v>5.6</v>
      </c>
      <c r="O464" t="n">
        <v>3.6</v>
      </c>
      <c r="P464" t="n">
        <v>11.5</v>
      </c>
      <c r="Q464" t="n">
        <v>15.1</v>
      </c>
      <c r="R464" t="n">
        <v>3.6</v>
      </c>
      <c r="S464" t="b">
        <v>0</v>
      </c>
      <c r="U464" t="n">
        <v>12</v>
      </c>
      <c r="V464" t="b">
        <v>0</v>
      </c>
      <c r="X464" t="b">
        <v>0</v>
      </c>
      <c r="Y464" t="n">
        <v>0.4</v>
      </c>
    </row>
    <row r="465">
      <c r="A465" t="inlineStr">
        <is>
          <t>O00464</t>
        </is>
      </c>
      <c r="B465" t="inlineStr">
        <is>
          <t>C0181</t>
        </is>
      </c>
      <c r="C465" t="inlineStr">
        <is>
          <t>S005</t>
        </is>
      </c>
      <c r="D465" t="inlineStr">
        <is>
          <t>R001</t>
        </is>
      </c>
      <c r="E465" s="3" t="n">
        <v>46270.66319444445</v>
      </c>
      <c r="F465" s="3" t="n">
        <v>46270.66930555556</v>
      </c>
      <c r="G465" s="3" t="n">
        <v>46270.66895833334</v>
      </c>
      <c r="H465" t="inlineStr">
        <is>
          <t>Delivered</t>
        </is>
      </c>
      <c r="I465" t="n">
        <v>1</v>
      </c>
      <c r="J465" t="n">
        <v>5</v>
      </c>
      <c r="K465" t="n">
        <v>1225.66</v>
      </c>
      <c r="L465" t="n">
        <v>0.99</v>
      </c>
      <c r="M465" t="n">
        <v>2.6</v>
      </c>
      <c r="N465" t="n">
        <v>2.8</v>
      </c>
      <c r="O465" t="n">
        <v>2.9</v>
      </c>
      <c r="P465" t="n">
        <v>8.800000000000001</v>
      </c>
      <c r="Q465" t="n">
        <v>8.300000000000001</v>
      </c>
      <c r="R465" t="n">
        <v>-0.5</v>
      </c>
      <c r="S465" t="b">
        <v>1</v>
      </c>
      <c r="U465" t="n">
        <v>15</v>
      </c>
      <c r="V465" t="b">
        <v>0</v>
      </c>
      <c r="W465" t="inlineStr">
        <is>
          <t>Heavy</t>
        </is>
      </c>
      <c r="X465" t="b">
        <v>0</v>
      </c>
      <c r="Y465" t="n">
        <v>0.42</v>
      </c>
    </row>
    <row r="466">
      <c r="A466" t="inlineStr">
        <is>
          <t>O00465</t>
        </is>
      </c>
      <c r="B466" t="inlineStr">
        <is>
          <t>C0193</t>
        </is>
      </c>
      <c r="C466" t="inlineStr">
        <is>
          <t>S013</t>
        </is>
      </c>
      <c r="D466" t="inlineStr">
        <is>
          <t>R035</t>
        </is>
      </c>
      <c r="E466" s="3" t="n">
        <v>46272.64305555556</v>
      </c>
      <c r="F466" s="3" t="n">
        <v>46272.64979166666</v>
      </c>
      <c r="G466" s="3" t="n">
        <v>46272.65861111111</v>
      </c>
      <c r="H466" t="inlineStr">
        <is>
          <t>Delivered</t>
        </is>
      </c>
      <c r="I466" t="n">
        <v>3</v>
      </c>
      <c r="J466" t="n">
        <v>11</v>
      </c>
      <c r="K466" t="n">
        <v>1065.08</v>
      </c>
      <c r="L466" t="n">
        <v>2.76</v>
      </c>
      <c r="M466" t="n">
        <v>7.2</v>
      </c>
      <c r="N466" t="n">
        <v>8.300000000000001</v>
      </c>
      <c r="O466" t="n">
        <v>6.9</v>
      </c>
      <c r="P466" t="n">
        <v>9.699999999999999</v>
      </c>
      <c r="Q466" t="n">
        <v>22.4</v>
      </c>
      <c r="R466" t="n">
        <v>12.7</v>
      </c>
      <c r="S466" t="b">
        <v>0</v>
      </c>
      <c r="U466" t="n">
        <v>15</v>
      </c>
      <c r="V466" t="b">
        <v>0</v>
      </c>
      <c r="X466" t="b">
        <v>0</v>
      </c>
      <c r="Y466" t="n">
        <v>0.42</v>
      </c>
    </row>
    <row r="467">
      <c r="A467" t="inlineStr">
        <is>
          <t>O00466</t>
        </is>
      </c>
      <c r="B467" t="inlineStr">
        <is>
          <t>C0176</t>
        </is>
      </c>
      <c r="C467" t="inlineStr">
        <is>
          <t>S020</t>
        </is>
      </c>
      <c r="D467" t="inlineStr">
        <is>
          <t>R060</t>
        </is>
      </c>
      <c r="E467" s="3" t="n">
        <v>46269.85972222222</v>
      </c>
      <c r="F467" s="3" t="n">
        <v>46269.86597222222</v>
      </c>
      <c r="G467" s="3" t="n">
        <v>46269.86520833334</v>
      </c>
      <c r="H467" t="inlineStr">
        <is>
          <t>Delivered</t>
        </is>
      </c>
      <c r="I467" t="n">
        <v>4</v>
      </c>
      <c r="J467" t="n">
        <v>11</v>
      </c>
      <c r="K467" t="n">
        <v>1381.26</v>
      </c>
      <c r="L467" t="n">
        <v>0.82</v>
      </c>
      <c r="M467" t="n">
        <v>4.4</v>
      </c>
      <c r="N467" t="n">
        <v>1.2</v>
      </c>
      <c r="O467" t="n">
        <v>2.3</v>
      </c>
      <c r="P467" t="n">
        <v>9</v>
      </c>
      <c r="Q467" t="n">
        <v>7.9</v>
      </c>
      <c r="R467" t="n">
        <v>-1.1</v>
      </c>
      <c r="S467" t="b">
        <v>1</v>
      </c>
      <c r="U467" t="n">
        <v>20</v>
      </c>
      <c r="V467" t="b">
        <v>1</v>
      </c>
      <c r="W467" t="inlineStr">
        <is>
          <t>Light</t>
        </is>
      </c>
      <c r="X467" t="b">
        <v>0</v>
      </c>
      <c r="Y467" t="n">
        <v>0.44</v>
      </c>
    </row>
    <row r="468">
      <c r="A468" t="inlineStr">
        <is>
          <t>O00467</t>
        </is>
      </c>
      <c r="B468" t="inlineStr">
        <is>
          <t>C0028</t>
        </is>
      </c>
      <c r="C468" t="inlineStr">
        <is>
          <t>S014</t>
        </is>
      </c>
      <c r="D468" t="inlineStr">
        <is>
          <t>R047</t>
        </is>
      </c>
      <c r="E468" s="3" t="n">
        <v>46268.53402777778</v>
      </c>
      <c r="F468" s="3" t="n">
        <v>46268.54229166666</v>
      </c>
      <c r="G468" s="3" t="n">
        <v>46268.54159722223</v>
      </c>
      <c r="H468" t="inlineStr">
        <is>
          <t>Delivered</t>
        </is>
      </c>
      <c r="I468" t="n">
        <v>4</v>
      </c>
      <c r="J468" t="n">
        <v>4</v>
      </c>
      <c r="K468" t="n">
        <v>1519.26</v>
      </c>
      <c r="L468" t="n">
        <v>3.3</v>
      </c>
      <c r="M468" t="n">
        <v>3.7</v>
      </c>
      <c r="N468" t="n">
        <v>2.3</v>
      </c>
      <c r="O468" t="n">
        <v>4.9</v>
      </c>
      <c r="P468" t="n">
        <v>11.9</v>
      </c>
      <c r="Q468" t="n">
        <v>10.9</v>
      </c>
      <c r="R468" t="n">
        <v>-1</v>
      </c>
      <c r="S468" t="b">
        <v>1</v>
      </c>
      <c r="U468" t="n">
        <v>12</v>
      </c>
      <c r="V468" t="b">
        <v>0</v>
      </c>
      <c r="X468" t="b">
        <v>0</v>
      </c>
      <c r="Y468" t="n">
        <v>0.57</v>
      </c>
    </row>
    <row r="469">
      <c r="A469" t="inlineStr">
        <is>
          <t>O00468</t>
        </is>
      </c>
      <c r="B469" t="inlineStr">
        <is>
          <t>C0199</t>
        </is>
      </c>
      <c r="C469" t="inlineStr">
        <is>
          <t>S020</t>
        </is>
      </c>
      <c r="D469" t="inlineStr">
        <is>
          <t>R034</t>
        </is>
      </c>
      <c r="E469" s="3" t="n">
        <v>46270.63125</v>
      </c>
      <c r="F469" s="3" t="n">
        <v>46270.63986111111</v>
      </c>
      <c r="G469" s="3" t="n">
        <v>46270.63930555555</v>
      </c>
      <c r="H469" t="inlineStr">
        <is>
          <t>Delivered</t>
        </is>
      </c>
      <c r="I469" t="n">
        <v>6</v>
      </c>
      <c r="J469" t="n">
        <v>9</v>
      </c>
      <c r="K469" t="n">
        <v>1185.31</v>
      </c>
      <c r="L469" t="n">
        <v>1.49</v>
      </c>
      <c r="M469" t="n">
        <v>4.6</v>
      </c>
      <c r="N469" t="n">
        <v>2.4</v>
      </c>
      <c r="O469" t="n">
        <v>4.6</v>
      </c>
      <c r="P469" t="n">
        <v>12.4</v>
      </c>
      <c r="Q469" t="n">
        <v>11.6</v>
      </c>
      <c r="R469" t="n">
        <v>-0.8</v>
      </c>
      <c r="S469" t="b">
        <v>1</v>
      </c>
      <c r="U469" t="n">
        <v>15</v>
      </c>
      <c r="V469" t="b">
        <v>0</v>
      </c>
      <c r="W469" t="inlineStr">
        <is>
          <t>Light</t>
        </is>
      </c>
      <c r="X469" t="b">
        <v>0</v>
      </c>
      <c r="Y469" t="n">
        <v>0.49</v>
      </c>
    </row>
    <row r="470">
      <c r="A470" t="inlineStr">
        <is>
          <t>O00469</t>
        </is>
      </c>
      <c r="B470" t="inlineStr">
        <is>
          <t>C0110</t>
        </is>
      </c>
      <c r="C470" t="inlineStr">
        <is>
          <t>S011</t>
        </is>
      </c>
      <c r="D470" t="inlineStr">
        <is>
          <t>R017</t>
        </is>
      </c>
      <c r="E470" s="3" t="n">
        <v>46278.85833333333</v>
      </c>
      <c r="F470" s="3" t="n">
        <v>46278.86576388889</v>
      </c>
      <c r="G470" s="3" t="n">
        <v>46278.865</v>
      </c>
      <c r="H470" t="inlineStr">
        <is>
          <t>Delivered</t>
        </is>
      </c>
      <c r="I470" t="n">
        <v>6</v>
      </c>
      <c r="J470" t="n">
        <v>6</v>
      </c>
      <c r="K470" t="n">
        <v>406.92</v>
      </c>
      <c r="L470" t="n">
        <v>1.45</v>
      </c>
      <c r="M470" t="n">
        <v>4.8</v>
      </c>
      <c r="N470" t="n">
        <v>1.6</v>
      </c>
      <c r="O470" t="n">
        <v>3.2</v>
      </c>
      <c r="P470" t="n">
        <v>10.7</v>
      </c>
      <c r="Q470" t="n">
        <v>9.6</v>
      </c>
      <c r="R470" t="n">
        <v>-1.1</v>
      </c>
      <c r="S470" t="b">
        <v>1</v>
      </c>
      <c r="U470" t="n">
        <v>20</v>
      </c>
      <c r="V470" t="b">
        <v>1</v>
      </c>
      <c r="X470" t="b">
        <v>0</v>
      </c>
      <c r="Y470" t="n">
        <v>0.54</v>
      </c>
    </row>
    <row r="471">
      <c r="A471" t="inlineStr">
        <is>
          <t>O00470</t>
        </is>
      </c>
      <c r="B471" t="inlineStr">
        <is>
          <t>C0168</t>
        </is>
      </c>
      <c r="C471" t="inlineStr">
        <is>
          <t>S020</t>
        </is>
      </c>
      <c r="D471" t="inlineStr">
        <is>
          <t>R043</t>
        </is>
      </c>
      <c r="E471" s="3" t="n">
        <v>46271.60138888889</v>
      </c>
      <c r="F471" s="3" t="n">
        <v>46271.60916666667</v>
      </c>
      <c r="G471" s="3" t="n">
        <v>46271.61131944445</v>
      </c>
      <c r="H471" t="inlineStr">
        <is>
          <t>Delivered</t>
        </is>
      </c>
      <c r="I471" t="n">
        <v>5</v>
      </c>
      <c r="J471" t="n">
        <v>8</v>
      </c>
      <c r="K471" t="n">
        <v>1309.24</v>
      </c>
      <c r="L471" t="n">
        <v>2.09</v>
      </c>
      <c r="M471" t="n">
        <v>6.5</v>
      </c>
      <c r="N471" t="n">
        <v>2.6</v>
      </c>
      <c r="O471" t="n">
        <v>5.2</v>
      </c>
      <c r="P471" t="n">
        <v>11.2</v>
      </c>
      <c r="Q471" t="n">
        <v>14.3</v>
      </c>
      <c r="R471" t="n">
        <v>3.1</v>
      </c>
      <c r="S471" t="b">
        <v>0</v>
      </c>
      <c r="U471" t="n">
        <v>14</v>
      </c>
      <c r="V471" t="b">
        <v>0</v>
      </c>
      <c r="X471" t="b">
        <v>0</v>
      </c>
      <c r="Y471" t="n">
        <v>0.4</v>
      </c>
    </row>
    <row r="472">
      <c r="A472" t="inlineStr">
        <is>
          <t>O00471</t>
        </is>
      </c>
      <c r="B472" t="inlineStr">
        <is>
          <t>C0211</t>
        </is>
      </c>
      <c r="C472" t="inlineStr">
        <is>
          <t>S014</t>
        </is>
      </c>
      <c r="D472" t="inlineStr">
        <is>
          <t>R041</t>
        </is>
      </c>
      <c r="E472" s="3" t="n">
        <v>46266.71527777778</v>
      </c>
      <c r="F472" s="3" t="n">
        <v>46266.72270833333</v>
      </c>
      <c r="G472" s="3" t="n">
        <v>46266.72208333333</v>
      </c>
      <c r="H472" t="inlineStr">
        <is>
          <t>Delivered</t>
        </is>
      </c>
      <c r="I472" t="n">
        <v>2</v>
      </c>
      <c r="J472" t="n">
        <v>4</v>
      </c>
      <c r="K472" t="n">
        <v>572.97</v>
      </c>
      <c r="L472" t="n">
        <v>3.12</v>
      </c>
      <c r="M472" t="n">
        <v>3.1</v>
      </c>
      <c r="N472" t="n">
        <v>3.8</v>
      </c>
      <c r="O472" t="n">
        <v>2.9</v>
      </c>
      <c r="P472" t="n">
        <v>10.7</v>
      </c>
      <c r="Q472" t="n">
        <v>9.800000000000001</v>
      </c>
      <c r="R472" t="n">
        <v>-0.9</v>
      </c>
      <c r="S472" t="b">
        <v>1</v>
      </c>
      <c r="U472" t="n">
        <v>17</v>
      </c>
      <c r="V472" t="b">
        <v>0</v>
      </c>
      <c r="X472" t="b">
        <v>0</v>
      </c>
      <c r="Y472" t="n">
        <v>0.19</v>
      </c>
    </row>
    <row r="473">
      <c r="A473" t="inlineStr">
        <is>
          <t>O00472</t>
        </is>
      </c>
      <c r="B473" t="inlineStr">
        <is>
          <t>C0026</t>
        </is>
      </c>
      <c r="C473" t="inlineStr">
        <is>
          <t>S020</t>
        </is>
      </c>
      <c r="D473" t="inlineStr">
        <is>
          <t>R024</t>
        </is>
      </c>
      <c r="E473" s="3" t="n">
        <v>46276.74097222222</v>
      </c>
      <c r="F473" s="3" t="n">
        <v>46276.74986111111</v>
      </c>
      <c r="G473" s="3" t="n">
        <v>46276.74958333333</v>
      </c>
      <c r="H473" t="inlineStr">
        <is>
          <t>Delivered</t>
        </is>
      </c>
      <c r="I473" t="n">
        <v>2</v>
      </c>
      <c r="J473" t="n">
        <v>7</v>
      </c>
      <c r="K473" t="n">
        <v>1190.82</v>
      </c>
      <c r="L473" t="n">
        <v>3.39</v>
      </c>
      <c r="M473" t="n">
        <v>3.4</v>
      </c>
      <c r="N473" t="n">
        <v>4.4</v>
      </c>
      <c r="O473" t="n">
        <v>4.6</v>
      </c>
      <c r="P473" t="n">
        <v>12.8</v>
      </c>
      <c r="Q473" t="n">
        <v>12.4</v>
      </c>
      <c r="R473" t="n">
        <v>-0.4</v>
      </c>
      <c r="S473" t="b">
        <v>1</v>
      </c>
      <c r="U473" t="n">
        <v>17</v>
      </c>
      <c r="V473" t="b">
        <v>0</v>
      </c>
      <c r="W473" t="inlineStr">
        <is>
          <t>Heavy</t>
        </is>
      </c>
      <c r="X473" t="b">
        <v>0</v>
      </c>
      <c r="Y473" t="n">
        <v>0.5600000000000001</v>
      </c>
    </row>
    <row r="474">
      <c r="A474" t="inlineStr">
        <is>
          <t>O00473</t>
        </is>
      </c>
      <c r="B474" t="inlineStr">
        <is>
          <t>C0067</t>
        </is>
      </c>
      <c r="C474" t="inlineStr">
        <is>
          <t>S017</t>
        </is>
      </c>
      <c r="D474" t="inlineStr">
        <is>
          <t>R058</t>
        </is>
      </c>
      <c r="E474" s="3" t="n">
        <v>46273.91527777778</v>
      </c>
      <c r="F474" s="3" t="n">
        <v>46273.92180555555</v>
      </c>
      <c r="G474" s="3" t="n">
        <v>46273.92152777778</v>
      </c>
      <c r="H474" t="inlineStr">
        <is>
          <t>Delivered</t>
        </is>
      </c>
      <c r="I474" t="n">
        <v>2</v>
      </c>
      <c r="J474" t="n">
        <v>5</v>
      </c>
      <c r="K474" t="n">
        <v>426.88</v>
      </c>
      <c r="L474" t="n">
        <v>1.69</v>
      </c>
      <c r="M474" t="n">
        <v>1.5</v>
      </c>
      <c r="N474" t="n">
        <v>3.8</v>
      </c>
      <c r="O474" t="n">
        <v>3.7</v>
      </c>
      <c r="P474" t="n">
        <v>9.4</v>
      </c>
      <c r="Q474" t="n">
        <v>9</v>
      </c>
      <c r="R474" t="n">
        <v>-0.4</v>
      </c>
      <c r="S474" t="b">
        <v>1</v>
      </c>
      <c r="U474" t="n">
        <v>21</v>
      </c>
      <c r="V474" t="b">
        <v>1</v>
      </c>
      <c r="W474" t="inlineStr">
        <is>
          <t>Light</t>
        </is>
      </c>
      <c r="X474" t="b">
        <v>0</v>
      </c>
      <c r="Y474" t="n">
        <v>0.41</v>
      </c>
    </row>
    <row r="475">
      <c r="A475" t="inlineStr">
        <is>
          <t>O00474</t>
        </is>
      </c>
      <c r="B475" t="inlineStr">
        <is>
          <t>C0086</t>
        </is>
      </c>
      <c r="C475" t="inlineStr">
        <is>
          <t>S003</t>
        </is>
      </c>
      <c r="D475" t="inlineStr">
        <is>
          <t>R057</t>
        </is>
      </c>
      <c r="E475" s="3" t="n">
        <v>46274.51458333333</v>
      </c>
      <c r="F475" s="3" t="n">
        <v>46274.52125</v>
      </c>
      <c r="G475" s="3" t="n">
        <v>46274.52284722222</v>
      </c>
      <c r="H475" t="inlineStr">
        <is>
          <t>Delivered</t>
        </is>
      </c>
      <c r="I475" t="n">
        <v>6</v>
      </c>
      <c r="J475" t="n">
        <v>7</v>
      </c>
      <c r="K475" t="n">
        <v>1629.85</v>
      </c>
      <c r="L475" t="n">
        <v>1.81</v>
      </c>
      <c r="M475" t="n">
        <v>4.6</v>
      </c>
      <c r="N475" t="n">
        <v>1.9</v>
      </c>
      <c r="O475" t="n">
        <v>5.3</v>
      </c>
      <c r="P475" t="n">
        <v>9.6</v>
      </c>
      <c r="Q475" t="n">
        <v>11.9</v>
      </c>
      <c r="R475" t="n">
        <v>2.3</v>
      </c>
      <c r="S475" t="b">
        <v>0</v>
      </c>
      <c r="U475" t="n">
        <v>12</v>
      </c>
      <c r="V475" t="b">
        <v>0</v>
      </c>
      <c r="X475" t="b">
        <v>0</v>
      </c>
      <c r="Y475" t="n">
        <v>0.62</v>
      </c>
    </row>
    <row r="476">
      <c r="A476" t="inlineStr">
        <is>
          <t>O00475</t>
        </is>
      </c>
      <c r="B476" t="inlineStr">
        <is>
          <t>C0033</t>
        </is>
      </c>
      <c r="C476" t="inlineStr">
        <is>
          <t>S011</t>
        </is>
      </c>
      <c r="D476" t="inlineStr">
        <is>
          <t>R001</t>
        </is>
      </c>
      <c r="E476" s="3" t="n">
        <v>46266.61666666667</v>
      </c>
      <c r="F476" s="3" t="n">
        <v>46266.62402777778</v>
      </c>
      <c r="G476" s="3" t="n">
        <v>46266.62375</v>
      </c>
      <c r="H476" t="inlineStr">
        <is>
          <t>Delivered</t>
        </is>
      </c>
      <c r="I476" t="n">
        <v>2</v>
      </c>
      <c r="J476" t="n">
        <v>8</v>
      </c>
      <c r="K476" t="n">
        <v>676.01</v>
      </c>
      <c r="L476" t="n">
        <v>1.32</v>
      </c>
      <c r="M476" t="n">
        <v>3.9</v>
      </c>
      <c r="N476" t="n">
        <v>3.9</v>
      </c>
      <c r="O476" t="n">
        <v>2.4</v>
      </c>
      <c r="P476" t="n">
        <v>10.6</v>
      </c>
      <c r="Q476" t="n">
        <v>10.2</v>
      </c>
      <c r="R476" t="n">
        <v>-0.4</v>
      </c>
      <c r="S476" t="b">
        <v>1</v>
      </c>
      <c r="U476" t="n">
        <v>14</v>
      </c>
      <c r="V476" t="b">
        <v>0</v>
      </c>
      <c r="X476" t="b">
        <v>0</v>
      </c>
      <c r="Y476" t="n">
        <v>0.29</v>
      </c>
    </row>
    <row r="477">
      <c r="A477" t="inlineStr">
        <is>
          <t>O00476</t>
        </is>
      </c>
      <c r="B477" t="inlineStr">
        <is>
          <t>C0167</t>
        </is>
      </c>
      <c r="C477" t="inlineStr">
        <is>
          <t>S008</t>
        </is>
      </c>
      <c r="D477" t="inlineStr">
        <is>
          <t>R030</t>
        </is>
      </c>
      <c r="E477" s="3" t="n">
        <v>46271.53194444445</v>
      </c>
      <c r="F477" s="3" t="n">
        <v>46271.53993055555</v>
      </c>
      <c r="G477" s="3" t="n">
        <v>46271.53909722222</v>
      </c>
      <c r="H477" t="inlineStr">
        <is>
          <t>Delivered</t>
        </is>
      </c>
      <c r="I477" t="n">
        <v>1</v>
      </c>
      <c r="J477" t="n">
        <v>6</v>
      </c>
      <c r="K477" t="n">
        <v>1100.86</v>
      </c>
      <c r="L477" t="n">
        <v>4.7</v>
      </c>
      <c r="M477" t="n">
        <v>2.8</v>
      </c>
      <c r="N477" t="n">
        <v>1.5</v>
      </c>
      <c r="O477" t="n">
        <v>6</v>
      </c>
      <c r="P477" t="n">
        <v>11.5</v>
      </c>
      <c r="Q477" t="n">
        <v>10.3</v>
      </c>
      <c r="R477" t="n">
        <v>-1.2</v>
      </c>
      <c r="S477" t="b">
        <v>1</v>
      </c>
      <c r="U477" t="n">
        <v>12</v>
      </c>
      <c r="V477" t="b">
        <v>0</v>
      </c>
      <c r="W477" t="inlineStr">
        <is>
          <t>Light</t>
        </is>
      </c>
      <c r="X477" t="b">
        <v>0</v>
      </c>
      <c r="Y477" t="n">
        <v>0.41</v>
      </c>
    </row>
    <row r="478">
      <c r="A478" t="inlineStr">
        <is>
          <t>O00477</t>
        </is>
      </c>
      <c r="B478" t="inlineStr">
        <is>
          <t>C0065</t>
        </is>
      </c>
      <c r="C478" t="inlineStr">
        <is>
          <t>S018</t>
        </is>
      </c>
      <c r="D478" t="inlineStr">
        <is>
          <t>R012</t>
        </is>
      </c>
      <c r="E478" s="3" t="n">
        <v>46272.97430555556</v>
      </c>
      <c r="F478" s="3" t="n">
        <v>46272.98236111111</v>
      </c>
      <c r="G478" s="3" t="n">
        <v>46272.98534722222</v>
      </c>
      <c r="H478" t="inlineStr">
        <is>
          <t>Delivered</t>
        </is>
      </c>
      <c r="I478" t="n">
        <v>1</v>
      </c>
      <c r="J478" t="n">
        <v>4</v>
      </c>
      <c r="K478" t="n">
        <v>380.18</v>
      </c>
      <c r="L478" t="n">
        <v>0.85</v>
      </c>
      <c r="M478" t="n">
        <v>5.5</v>
      </c>
      <c r="N478" t="n">
        <v>6.9</v>
      </c>
      <c r="O478" t="n">
        <v>3.6</v>
      </c>
      <c r="P478" t="n">
        <v>11.6</v>
      </c>
      <c r="Q478" t="n">
        <v>15.9</v>
      </c>
      <c r="R478" t="n">
        <v>4.3</v>
      </c>
      <c r="S478" t="b">
        <v>0</v>
      </c>
      <c r="U478" t="n">
        <v>23</v>
      </c>
      <c r="V478" t="b">
        <v>0</v>
      </c>
      <c r="X478" t="b">
        <v>0</v>
      </c>
      <c r="Y478" t="n">
        <v>0.62</v>
      </c>
    </row>
    <row r="479">
      <c r="A479" t="inlineStr">
        <is>
          <t>O00478</t>
        </is>
      </c>
      <c r="B479" t="inlineStr">
        <is>
          <t>C0237</t>
        </is>
      </c>
      <c r="C479" t="inlineStr">
        <is>
          <t>S008</t>
        </is>
      </c>
      <c r="D479" t="inlineStr">
        <is>
          <t>R049</t>
        </is>
      </c>
      <c r="E479" s="3" t="n">
        <v>46272.87013888889</v>
      </c>
      <c r="F479" s="3" t="n">
        <v>46272.87590277778</v>
      </c>
      <c r="G479" s="3" t="n">
        <v>46272.88277777778</v>
      </c>
      <c r="H479" t="inlineStr">
        <is>
          <t>Delivered</t>
        </is>
      </c>
      <c r="I479" t="n">
        <v>6</v>
      </c>
      <c r="J479" t="n">
        <v>6</v>
      </c>
      <c r="K479" t="n">
        <v>1402.04</v>
      </c>
      <c r="L479" t="n">
        <v>1.23</v>
      </c>
      <c r="M479" t="n">
        <v>3.6</v>
      </c>
      <c r="N479" t="n">
        <v>9.199999999999999</v>
      </c>
      <c r="O479" t="n">
        <v>5.5</v>
      </c>
      <c r="P479" t="n">
        <v>8.300000000000001</v>
      </c>
      <c r="Q479" t="n">
        <v>18.2</v>
      </c>
      <c r="R479" t="n">
        <v>9.9</v>
      </c>
      <c r="S479" t="b">
        <v>0</v>
      </c>
      <c r="U479" t="n">
        <v>20</v>
      </c>
      <c r="V479" t="b">
        <v>1</v>
      </c>
      <c r="W479" t="inlineStr">
        <is>
          <t>Light</t>
        </is>
      </c>
      <c r="X479" t="b">
        <v>0</v>
      </c>
      <c r="Y479" t="n">
        <v>0.8</v>
      </c>
    </row>
    <row r="480">
      <c r="A480" t="inlineStr">
        <is>
          <t>O00479</t>
        </is>
      </c>
      <c r="B480" t="inlineStr">
        <is>
          <t>C0006</t>
        </is>
      </c>
      <c r="C480" t="inlineStr">
        <is>
          <t>S015</t>
        </is>
      </c>
      <c r="D480" t="inlineStr">
        <is>
          <t>R037</t>
        </is>
      </c>
      <c r="E480" s="3" t="n">
        <v>46268.56527777778</v>
      </c>
      <c r="F480" s="3" t="n">
        <v>46268.57194444445</v>
      </c>
      <c r="G480" s="3" t="n">
        <v>46268.57152777778</v>
      </c>
      <c r="H480" t="inlineStr">
        <is>
          <t>Delivered</t>
        </is>
      </c>
      <c r="I480" t="n">
        <v>6</v>
      </c>
      <c r="J480" t="n">
        <v>9</v>
      </c>
      <c r="K480" t="n">
        <v>438.62</v>
      </c>
      <c r="L480" t="n">
        <v>2.1</v>
      </c>
      <c r="M480" t="n">
        <v>2.5</v>
      </c>
      <c r="N480" t="n">
        <v>3.7</v>
      </c>
      <c r="O480" t="n">
        <v>2.8</v>
      </c>
      <c r="P480" t="n">
        <v>9.6</v>
      </c>
      <c r="Q480" t="n">
        <v>9</v>
      </c>
      <c r="R480" t="n">
        <v>-0.6</v>
      </c>
      <c r="S480" t="b">
        <v>1</v>
      </c>
      <c r="U480" t="n">
        <v>13</v>
      </c>
      <c r="V480" t="b">
        <v>0</v>
      </c>
      <c r="X480" t="b">
        <v>0</v>
      </c>
      <c r="Y480" t="n">
        <v>0.38</v>
      </c>
    </row>
    <row r="481">
      <c r="A481" t="inlineStr">
        <is>
          <t>O00480</t>
        </is>
      </c>
      <c r="B481" t="inlineStr">
        <is>
          <t>C0084</t>
        </is>
      </c>
      <c r="C481" t="inlineStr">
        <is>
          <t>S015</t>
        </is>
      </c>
      <c r="D481" t="inlineStr">
        <is>
          <t>R063</t>
        </is>
      </c>
      <c r="E481" s="3" t="n">
        <v>46272.80138888889</v>
      </c>
      <c r="F481" s="3" t="n">
        <v>46272.80847222222</v>
      </c>
      <c r="G481" s="3" t="n">
        <v>46272.80777777778</v>
      </c>
      <c r="H481" t="inlineStr">
        <is>
          <t>Delivered</t>
        </is>
      </c>
      <c r="I481" t="n">
        <v>3</v>
      </c>
      <c r="J481" t="n">
        <v>7</v>
      </c>
      <c r="K481" t="n">
        <v>765.03</v>
      </c>
      <c r="L481" t="n">
        <v>2.04</v>
      </c>
      <c r="M481" t="n">
        <v>2.7</v>
      </c>
      <c r="N481" t="n">
        <v>3.1</v>
      </c>
      <c r="O481" t="n">
        <v>3.4</v>
      </c>
      <c r="P481" t="n">
        <v>10.2</v>
      </c>
      <c r="Q481" t="n">
        <v>9.199999999999999</v>
      </c>
      <c r="R481" t="n">
        <v>-1</v>
      </c>
      <c r="S481" t="b">
        <v>1</v>
      </c>
      <c r="U481" t="n">
        <v>19</v>
      </c>
      <c r="V481" t="b">
        <v>1</v>
      </c>
      <c r="X481" t="b">
        <v>0</v>
      </c>
      <c r="Y481" t="n">
        <v>0.35</v>
      </c>
    </row>
    <row r="482">
      <c r="A482" t="inlineStr">
        <is>
          <t>O00481</t>
        </is>
      </c>
      <c r="B482" t="inlineStr">
        <is>
          <t>C0107</t>
        </is>
      </c>
      <c r="C482" t="inlineStr">
        <is>
          <t>S016</t>
        </is>
      </c>
      <c r="D482" t="inlineStr">
        <is>
          <t>R046</t>
        </is>
      </c>
      <c r="E482" s="3" t="n">
        <v>46268.91736111111</v>
      </c>
      <c r="F482" s="3" t="n">
        <v>46268.92354166666</v>
      </c>
      <c r="G482" s="3" t="n">
        <v>46268.92326388889</v>
      </c>
      <c r="H482" t="inlineStr">
        <is>
          <t>Delivered</t>
        </is>
      </c>
      <c r="I482" t="n">
        <v>4</v>
      </c>
      <c r="J482" t="n">
        <v>6</v>
      </c>
      <c r="K482" t="n">
        <v>418.57</v>
      </c>
      <c r="L482" t="n">
        <v>1.05</v>
      </c>
      <c r="M482" t="n">
        <v>3.4</v>
      </c>
      <c r="N482" t="n">
        <v>2.7</v>
      </c>
      <c r="O482" t="n">
        <v>2.4</v>
      </c>
      <c r="P482" t="n">
        <v>8.9</v>
      </c>
      <c r="Q482" t="n">
        <v>8.5</v>
      </c>
      <c r="R482" t="n">
        <v>-0.4</v>
      </c>
      <c r="S482" t="b">
        <v>1</v>
      </c>
      <c r="U482" t="n">
        <v>22</v>
      </c>
      <c r="V482" t="b">
        <v>0</v>
      </c>
      <c r="X482" t="b">
        <v>0</v>
      </c>
      <c r="Y482" t="n">
        <v>0.66</v>
      </c>
    </row>
    <row r="483">
      <c r="A483" t="inlineStr">
        <is>
          <t>O00482</t>
        </is>
      </c>
      <c r="B483" t="inlineStr">
        <is>
          <t>C0118</t>
        </is>
      </c>
      <c r="C483" t="inlineStr">
        <is>
          <t>S018</t>
        </is>
      </c>
      <c r="D483" t="inlineStr">
        <is>
          <t>R046</t>
        </is>
      </c>
      <c r="E483" s="3" t="n">
        <v>46272.42777777778</v>
      </c>
      <c r="F483" s="3" t="n">
        <v>46272.43354166667</v>
      </c>
      <c r="G483" s="3" t="n">
        <v>46272.43305555556</v>
      </c>
      <c r="H483" t="inlineStr">
        <is>
          <t>Delivered</t>
        </is>
      </c>
      <c r="I483" t="n">
        <v>3</v>
      </c>
      <c r="J483" t="n">
        <v>7</v>
      </c>
      <c r="K483" t="n">
        <v>1497.8</v>
      </c>
      <c r="L483" t="n">
        <v>3.7</v>
      </c>
      <c r="M483" t="n">
        <v>2.1</v>
      </c>
      <c r="N483" t="n">
        <v>2.2</v>
      </c>
      <c r="O483" t="n">
        <v>3.3</v>
      </c>
      <c r="P483" t="n">
        <v>8.300000000000001</v>
      </c>
      <c r="Q483" t="n">
        <v>7.6</v>
      </c>
      <c r="R483" t="n">
        <v>-0.7</v>
      </c>
      <c r="S483" t="b">
        <v>1</v>
      </c>
      <c r="U483" t="n">
        <v>10</v>
      </c>
      <c r="V483" t="b">
        <v>0</v>
      </c>
      <c r="W483" t="inlineStr">
        <is>
          <t>Light</t>
        </is>
      </c>
      <c r="X483" t="b">
        <v>0</v>
      </c>
      <c r="Y483" t="n">
        <v>0.3</v>
      </c>
    </row>
    <row r="484">
      <c r="A484" t="inlineStr">
        <is>
          <t>O00483</t>
        </is>
      </c>
      <c r="B484" t="inlineStr">
        <is>
          <t>C0005</t>
        </is>
      </c>
      <c r="C484" t="inlineStr">
        <is>
          <t>S009</t>
        </is>
      </c>
      <c r="D484" t="inlineStr">
        <is>
          <t>R072</t>
        </is>
      </c>
      <c r="E484" s="3" t="n">
        <v>46275.38888888889</v>
      </c>
      <c r="F484" s="3" t="n">
        <v>46275.39548611111</v>
      </c>
      <c r="G484" s="3" t="n">
        <v>46275.39965277778</v>
      </c>
      <c r="H484" t="inlineStr">
        <is>
          <t>Delivered</t>
        </is>
      </c>
      <c r="I484" t="n">
        <v>1</v>
      </c>
      <c r="J484" t="n">
        <v>8</v>
      </c>
      <c r="K484" t="n">
        <v>1027.65</v>
      </c>
      <c r="L484" t="n">
        <v>0.77</v>
      </c>
      <c r="M484" t="n">
        <v>2.5</v>
      </c>
      <c r="N484" t="n">
        <v>8</v>
      </c>
      <c r="O484" t="n">
        <v>5</v>
      </c>
      <c r="P484" t="n">
        <v>9.5</v>
      </c>
      <c r="Q484" t="n">
        <v>15.5</v>
      </c>
      <c r="R484" t="n">
        <v>6</v>
      </c>
      <c r="S484" t="b">
        <v>0</v>
      </c>
      <c r="U484" t="n">
        <v>9</v>
      </c>
      <c r="V484" t="b">
        <v>0</v>
      </c>
      <c r="W484" t="inlineStr">
        <is>
          <t>Heavy</t>
        </is>
      </c>
      <c r="X484" t="b">
        <v>0</v>
      </c>
      <c r="Y484" t="n">
        <v>0.43</v>
      </c>
    </row>
    <row r="485">
      <c r="A485" t="inlineStr">
        <is>
          <t>O00484</t>
        </is>
      </c>
      <c r="B485" t="inlineStr">
        <is>
          <t>C0219</t>
        </is>
      </c>
      <c r="C485" t="inlineStr">
        <is>
          <t>S004</t>
        </is>
      </c>
      <c r="D485" t="inlineStr">
        <is>
          <t>R037</t>
        </is>
      </c>
      <c r="E485" s="3" t="n">
        <v>46269.43958333333</v>
      </c>
      <c r="F485" s="3" t="n">
        <v>46269.44666666666</v>
      </c>
      <c r="G485" s="3" t="n">
        <v>46269.44604166667</v>
      </c>
      <c r="H485" t="inlineStr">
        <is>
          <t>Delivered</t>
        </is>
      </c>
      <c r="I485" t="n">
        <v>4</v>
      </c>
      <c r="J485" t="n">
        <v>8</v>
      </c>
      <c r="K485" t="n">
        <v>1318.8</v>
      </c>
      <c r="L485" t="n">
        <v>1</v>
      </c>
      <c r="M485" t="n">
        <v>1.2</v>
      </c>
      <c r="N485" t="n">
        <v>5.8</v>
      </c>
      <c r="O485" t="n">
        <v>2.3</v>
      </c>
      <c r="P485" t="n">
        <v>10.2</v>
      </c>
      <c r="Q485" t="n">
        <v>9.300000000000001</v>
      </c>
      <c r="R485" t="n">
        <v>-0.9</v>
      </c>
      <c r="S485" t="b">
        <v>1</v>
      </c>
      <c r="U485" t="n">
        <v>10</v>
      </c>
      <c r="V485" t="b">
        <v>0</v>
      </c>
      <c r="X485" t="b">
        <v>0</v>
      </c>
      <c r="Y485" t="n">
        <v>0.4</v>
      </c>
    </row>
    <row r="486">
      <c r="A486" t="inlineStr">
        <is>
          <t>O00485</t>
        </is>
      </c>
      <c r="B486" t="inlineStr">
        <is>
          <t>C0212</t>
        </is>
      </c>
      <c r="C486" t="inlineStr">
        <is>
          <t>S020</t>
        </is>
      </c>
      <c r="D486" t="inlineStr">
        <is>
          <t>R022</t>
        </is>
      </c>
      <c r="E486" s="3" t="n">
        <v>46274.50555555556</v>
      </c>
      <c r="F486" s="3" t="n">
        <v>46274.51298611111</v>
      </c>
      <c r="G486" s="3" t="n">
        <v>46274.51465277778</v>
      </c>
      <c r="H486" t="inlineStr">
        <is>
          <t>Delivered</t>
        </is>
      </c>
      <c r="I486" t="n">
        <v>2</v>
      </c>
      <c r="J486" t="n">
        <v>7</v>
      </c>
      <c r="K486" t="n">
        <v>344.08</v>
      </c>
      <c r="L486" t="n">
        <v>2.08</v>
      </c>
      <c r="M486" t="n">
        <v>6.4</v>
      </c>
      <c r="N486" t="n">
        <v>0.7</v>
      </c>
      <c r="O486" t="n">
        <v>6</v>
      </c>
      <c r="P486" t="n">
        <v>10.7</v>
      </c>
      <c r="Q486" t="n">
        <v>13.1</v>
      </c>
      <c r="R486" t="n">
        <v>2.4</v>
      </c>
      <c r="S486" t="b">
        <v>0</v>
      </c>
      <c r="U486" t="n">
        <v>12</v>
      </c>
      <c r="V486" t="b">
        <v>0</v>
      </c>
      <c r="W486" t="inlineStr">
        <is>
          <t>Light</t>
        </is>
      </c>
      <c r="X486" t="b">
        <v>0</v>
      </c>
      <c r="Y486" t="n">
        <v>0.42</v>
      </c>
    </row>
    <row r="487">
      <c r="A487" t="inlineStr">
        <is>
          <t>O00486</t>
        </is>
      </c>
      <c r="B487" t="inlineStr">
        <is>
          <t>C0096</t>
        </is>
      </c>
      <c r="C487" t="inlineStr">
        <is>
          <t>S011</t>
        </is>
      </c>
      <c r="D487" t="inlineStr">
        <is>
          <t>R065</t>
        </is>
      </c>
      <c r="E487" s="3" t="n">
        <v>46269.58888888889</v>
      </c>
      <c r="F487" s="3" t="n">
        <v>46269.59631944444</v>
      </c>
      <c r="G487" s="3" t="n">
        <v>46269.59604166666</v>
      </c>
      <c r="H487" t="inlineStr">
        <is>
          <t>Delivered</t>
        </is>
      </c>
      <c r="I487" t="n">
        <v>1</v>
      </c>
      <c r="J487" t="n">
        <v>6</v>
      </c>
      <c r="K487" t="n">
        <v>332.21</v>
      </c>
      <c r="L487" t="n">
        <v>1.96</v>
      </c>
      <c r="M487" t="n">
        <v>2.9</v>
      </c>
      <c r="N487" t="n">
        <v>4.5</v>
      </c>
      <c r="O487" t="n">
        <v>2.9</v>
      </c>
      <c r="P487" t="n">
        <v>10.7</v>
      </c>
      <c r="Q487" t="n">
        <v>10.3</v>
      </c>
      <c r="R487" t="n">
        <v>-0.4</v>
      </c>
      <c r="S487" t="b">
        <v>1</v>
      </c>
      <c r="U487" t="n">
        <v>14</v>
      </c>
      <c r="V487" t="b">
        <v>0</v>
      </c>
      <c r="W487" t="inlineStr">
        <is>
          <t>Light</t>
        </is>
      </c>
      <c r="X487" t="b">
        <v>0</v>
      </c>
      <c r="Y487" t="n">
        <v>0.18</v>
      </c>
    </row>
    <row r="488">
      <c r="A488" t="inlineStr">
        <is>
          <t>O00487</t>
        </is>
      </c>
      <c r="B488" t="inlineStr">
        <is>
          <t>C0146</t>
        </is>
      </c>
      <c r="C488" t="inlineStr">
        <is>
          <t>S002</t>
        </is>
      </c>
      <c r="D488" t="inlineStr">
        <is>
          <t>R048</t>
        </is>
      </c>
      <c r="E488" s="3" t="n">
        <v>46266.88333333333</v>
      </c>
      <c r="F488" s="3" t="n">
        <v>46266.88819444444</v>
      </c>
      <c r="G488" s="3" t="n">
        <v>46266.88798611111</v>
      </c>
      <c r="H488" t="inlineStr">
        <is>
          <t>Delivered</t>
        </is>
      </c>
      <c r="I488" t="n">
        <v>1</v>
      </c>
      <c r="J488" t="n">
        <v>4</v>
      </c>
      <c r="K488" t="n">
        <v>544.37</v>
      </c>
      <c r="L488" t="n">
        <v>2.51</v>
      </c>
      <c r="M488" t="n">
        <v>0.5</v>
      </c>
      <c r="N488" t="n">
        <v>2.5</v>
      </c>
      <c r="O488" t="n">
        <v>3.7</v>
      </c>
      <c r="P488" t="n">
        <v>7</v>
      </c>
      <c r="Q488" t="n">
        <v>6.7</v>
      </c>
      <c r="R488" t="n">
        <v>-0.3</v>
      </c>
      <c r="S488" t="b">
        <v>1</v>
      </c>
      <c r="U488" t="n">
        <v>21</v>
      </c>
      <c r="V488" t="b">
        <v>1</v>
      </c>
      <c r="W488" t="inlineStr">
        <is>
          <t>Heavy</t>
        </is>
      </c>
      <c r="X488" t="b">
        <v>0</v>
      </c>
      <c r="Y488" t="n">
        <v>0.76</v>
      </c>
    </row>
    <row r="489">
      <c r="A489" t="inlineStr">
        <is>
          <t>O00488</t>
        </is>
      </c>
      <c r="B489" t="inlineStr">
        <is>
          <t>C0015</t>
        </is>
      </c>
      <c r="C489" t="inlineStr">
        <is>
          <t>S005</t>
        </is>
      </c>
      <c r="D489" t="inlineStr">
        <is>
          <t>R050</t>
        </is>
      </c>
      <c r="E489" s="3" t="n">
        <v>46266.58194444444</v>
      </c>
      <c r="F489" s="3" t="n">
        <v>46266.58875</v>
      </c>
      <c r="G489" s="3" t="n">
        <v>46266.58993055556</v>
      </c>
      <c r="H489" t="inlineStr">
        <is>
          <t>Delivered</t>
        </is>
      </c>
      <c r="I489" t="n">
        <v>5</v>
      </c>
      <c r="J489" t="n">
        <v>9</v>
      </c>
      <c r="K489" t="n">
        <v>1489.88</v>
      </c>
      <c r="L489" t="n">
        <v>0.73</v>
      </c>
      <c r="M489" t="n">
        <v>5.4</v>
      </c>
      <c r="N489" t="n">
        <v>2.5</v>
      </c>
      <c r="O489" t="n">
        <v>3.5</v>
      </c>
      <c r="P489" t="n">
        <v>9.800000000000001</v>
      </c>
      <c r="Q489" t="n">
        <v>11.5</v>
      </c>
      <c r="R489" t="n">
        <v>1.7</v>
      </c>
      <c r="S489" t="b">
        <v>0</v>
      </c>
      <c r="U489" t="n">
        <v>13</v>
      </c>
      <c r="V489" t="b">
        <v>0</v>
      </c>
      <c r="W489" t="inlineStr">
        <is>
          <t>Light</t>
        </is>
      </c>
      <c r="X489" t="b">
        <v>1</v>
      </c>
      <c r="Y489" t="n">
        <v>0.42</v>
      </c>
    </row>
    <row r="490">
      <c r="A490" t="inlineStr">
        <is>
          <t>O00489</t>
        </is>
      </c>
      <c r="B490" t="inlineStr">
        <is>
          <t>C0166</t>
        </is>
      </c>
      <c r="C490" t="inlineStr">
        <is>
          <t>S017</t>
        </is>
      </c>
      <c r="D490" t="inlineStr">
        <is>
          <t>R048</t>
        </is>
      </c>
      <c r="E490" s="3" t="n">
        <v>46277.94375</v>
      </c>
      <c r="F490" s="3" t="n">
        <v>46277.95152777778</v>
      </c>
      <c r="G490" s="3" t="n">
        <v>46277.95083333334</v>
      </c>
      <c r="H490" t="inlineStr">
        <is>
          <t>Delivered</t>
        </is>
      </c>
      <c r="I490" t="n">
        <v>5</v>
      </c>
      <c r="J490" t="n">
        <v>6</v>
      </c>
      <c r="K490" t="n">
        <v>1633.86</v>
      </c>
      <c r="L490" t="n">
        <v>2.06</v>
      </c>
      <c r="M490" t="n">
        <v>2.6</v>
      </c>
      <c r="N490" t="n">
        <v>4</v>
      </c>
      <c r="O490" t="n">
        <v>3.6</v>
      </c>
      <c r="P490" t="n">
        <v>11.2</v>
      </c>
      <c r="Q490" t="n">
        <v>10.2</v>
      </c>
      <c r="R490" t="n">
        <v>-1</v>
      </c>
      <c r="S490" t="b">
        <v>1</v>
      </c>
      <c r="U490" t="n">
        <v>22</v>
      </c>
      <c r="V490" t="b">
        <v>0</v>
      </c>
      <c r="X490" t="b">
        <v>0</v>
      </c>
      <c r="Y490" t="n">
        <v>0.28</v>
      </c>
    </row>
    <row r="491">
      <c r="A491" t="inlineStr">
        <is>
          <t>O00490</t>
        </is>
      </c>
      <c r="B491" t="inlineStr">
        <is>
          <t>C0111</t>
        </is>
      </c>
      <c r="C491" t="inlineStr">
        <is>
          <t>S020</t>
        </is>
      </c>
      <c r="D491" t="inlineStr">
        <is>
          <t>R024</t>
        </is>
      </c>
      <c r="E491" s="3" t="n">
        <v>46267.86736111111</v>
      </c>
      <c r="F491" s="3" t="n">
        <v>46267.87333333334</v>
      </c>
      <c r="G491" s="3" t="n">
        <v>46267.87263888889</v>
      </c>
      <c r="H491" t="inlineStr">
        <is>
          <t>Delivered</t>
        </is>
      </c>
      <c r="I491" t="n">
        <v>4</v>
      </c>
      <c r="J491" t="n">
        <v>15</v>
      </c>
      <c r="K491" t="n">
        <v>940.72</v>
      </c>
      <c r="L491" t="n">
        <v>0.71</v>
      </c>
      <c r="M491" t="n">
        <v>2.5</v>
      </c>
      <c r="N491" t="n">
        <v>3.9</v>
      </c>
      <c r="O491" t="n">
        <v>1.2</v>
      </c>
      <c r="P491" t="n">
        <v>8.6</v>
      </c>
      <c r="Q491" t="n">
        <v>7.6</v>
      </c>
      <c r="R491" t="n">
        <v>-1</v>
      </c>
      <c r="S491" t="b">
        <v>1</v>
      </c>
      <c r="U491" t="n">
        <v>20</v>
      </c>
      <c r="V491" t="b">
        <v>1</v>
      </c>
      <c r="X491" t="b">
        <v>0</v>
      </c>
      <c r="Y491" t="n">
        <v>0.58</v>
      </c>
    </row>
    <row r="492">
      <c r="A492" t="inlineStr">
        <is>
          <t>O00491</t>
        </is>
      </c>
      <c r="B492" t="inlineStr">
        <is>
          <t>C0126</t>
        </is>
      </c>
      <c r="C492" t="inlineStr">
        <is>
          <t>S018</t>
        </is>
      </c>
      <c r="D492" t="inlineStr">
        <is>
          <t>R034</t>
        </is>
      </c>
      <c r="E492" s="3" t="n">
        <v>46271.74166666667</v>
      </c>
      <c r="F492" s="3" t="n">
        <v>46271.74881944444</v>
      </c>
      <c r="G492" s="3" t="n">
        <v>46271.75409722222</v>
      </c>
      <c r="H492" t="inlineStr">
        <is>
          <t>Delivered</t>
        </is>
      </c>
      <c r="I492" t="n">
        <v>6</v>
      </c>
      <c r="J492" t="n">
        <v>8</v>
      </c>
      <c r="K492" t="n">
        <v>1529.3</v>
      </c>
      <c r="L492" t="n">
        <v>1.66</v>
      </c>
      <c r="M492" t="n">
        <v>5.9</v>
      </c>
      <c r="N492" t="n">
        <v>6.7</v>
      </c>
      <c r="O492" t="n">
        <v>5.3</v>
      </c>
      <c r="P492" t="n">
        <v>10.3</v>
      </c>
      <c r="Q492" t="n">
        <v>17.9</v>
      </c>
      <c r="R492" t="n">
        <v>7.6</v>
      </c>
      <c r="S492" t="b">
        <v>0</v>
      </c>
      <c r="U492" t="n">
        <v>17</v>
      </c>
      <c r="V492" t="b">
        <v>0</v>
      </c>
      <c r="X492" t="b">
        <v>0</v>
      </c>
      <c r="Y492" t="n">
        <v>0.75</v>
      </c>
    </row>
    <row r="493">
      <c r="A493" t="inlineStr">
        <is>
          <t>O00492</t>
        </is>
      </c>
      <c r="B493" t="inlineStr">
        <is>
          <t>C0047</t>
        </is>
      </c>
      <c r="C493" t="inlineStr">
        <is>
          <t>S003</t>
        </is>
      </c>
      <c r="D493" t="inlineStr">
        <is>
          <t>R067</t>
        </is>
      </c>
      <c r="E493" s="3" t="n">
        <v>46274.49375</v>
      </c>
      <c r="F493" s="3" t="n">
        <v>46274.50138888889</v>
      </c>
      <c r="G493" s="3" t="n">
        <v>46274.50083333333</v>
      </c>
      <c r="H493" t="inlineStr">
        <is>
          <t>Delivered</t>
        </is>
      </c>
      <c r="I493" t="n">
        <v>3</v>
      </c>
      <c r="J493" t="n">
        <v>9</v>
      </c>
      <c r="K493" t="n">
        <v>1581.92</v>
      </c>
      <c r="L493" t="n">
        <v>2.1</v>
      </c>
      <c r="M493" t="n">
        <v>3.9</v>
      </c>
      <c r="N493" t="n">
        <v>2.3</v>
      </c>
      <c r="O493" t="n">
        <v>4</v>
      </c>
      <c r="P493" t="n">
        <v>11</v>
      </c>
      <c r="Q493" t="n">
        <v>10.2</v>
      </c>
      <c r="R493" t="n">
        <v>-0.8</v>
      </c>
      <c r="S493" t="b">
        <v>1</v>
      </c>
      <c r="U493" t="n">
        <v>11</v>
      </c>
      <c r="V493" t="b">
        <v>0</v>
      </c>
      <c r="X493" t="b">
        <v>0</v>
      </c>
      <c r="Y493" t="n">
        <v>0.57</v>
      </c>
    </row>
    <row r="494">
      <c r="A494" t="inlineStr">
        <is>
          <t>O00493</t>
        </is>
      </c>
      <c r="B494" t="inlineStr">
        <is>
          <t>C0028</t>
        </is>
      </c>
      <c r="C494" t="inlineStr">
        <is>
          <t>S014</t>
        </is>
      </c>
      <c r="D494" t="inlineStr">
        <is>
          <t>R050</t>
        </is>
      </c>
      <c r="E494" s="3" t="n">
        <v>46267.52430555555</v>
      </c>
      <c r="F494" s="3" t="n">
        <v>46267.53</v>
      </c>
      <c r="G494" s="3" t="n">
        <v>46267.52944444444</v>
      </c>
      <c r="H494" t="inlineStr">
        <is>
          <t>Delivered</t>
        </is>
      </c>
      <c r="I494" t="n">
        <v>4</v>
      </c>
      <c r="J494" t="n">
        <v>8</v>
      </c>
      <c r="K494" t="n">
        <v>1130.86</v>
      </c>
      <c r="L494" t="n">
        <v>1.79</v>
      </c>
      <c r="M494" t="n">
        <v>3</v>
      </c>
      <c r="N494" t="n">
        <v>1.6</v>
      </c>
      <c r="O494" t="n">
        <v>2.8</v>
      </c>
      <c r="P494" t="n">
        <v>8.199999999999999</v>
      </c>
      <c r="Q494" t="n">
        <v>7.4</v>
      </c>
      <c r="R494" t="n">
        <v>-0.8</v>
      </c>
      <c r="S494" t="b">
        <v>1</v>
      </c>
      <c r="U494" t="n">
        <v>12</v>
      </c>
      <c r="V494" t="b">
        <v>0</v>
      </c>
      <c r="W494" t="inlineStr">
        <is>
          <t>Light</t>
        </is>
      </c>
      <c r="X494" t="b">
        <v>0</v>
      </c>
      <c r="Y494" t="n">
        <v>0.53</v>
      </c>
    </row>
    <row r="495">
      <c r="A495" t="inlineStr">
        <is>
          <t>O00494</t>
        </is>
      </c>
      <c r="B495" t="inlineStr">
        <is>
          <t>C0205</t>
        </is>
      </c>
      <c r="C495" t="inlineStr">
        <is>
          <t>S016</t>
        </is>
      </c>
      <c r="D495" t="inlineStr">
        <is>
          <t>R031</t>
        </is>
      </c>
      <c r="E495" s="3" t="n">
        <v>46279.82569444444</v>
      </c>
      <c r="F495" s="3" t="n">
        <v>46279.83208333333</v>
      </c>
      <c r="G495" s="3" t="n">
        <v>46279.83173611111</v>
      </c>
      <c r="H495" t="inlineStr">
        <is>
          <t>Delivered</t>
        </is>
      </c>
      <c r="I495" t="n">
        <v>1</v>
      </c>
      <c r="J495" t="n">
        <v>14</v>
      </c>
      <c r="K495" t="n">
        <v>1484.05</v>
      </c>
      <c r="L495" t="n">
        <v>0.68</v>
      </c>
      <c r="M495" t="n">
        <v>3.1</v>
      </c>
      <c r="N495" t="n">
        <v>4.1</v>
      </c>
      <c r="O495" t="n">
        <v>1.5</v>
      </c>
      <c r="P495" t="n">
        <v>9.199999999999999</v>
      </c>
      <c r="Q495" t="n">
        <v>8.699999999999999</v>
      </c>
      <c r="R495" t="n">
        <v>-0.5</v>
      </c>
      <c r="S495" t="b">
        <v>1</v>
      </c>
      <c r="U495" t="n">
        <v>19</v>
      </c>
      <c r="V495" t="b">
        <v>1</v>
      </c>
      <c r="X495" t="b">
        <v>0</v>
      </c>
      <c r="Y495" t="n">
        <v>0.64</v>
      </c>
    </row>
    <row r="496">
      <c r="A496" t="inlineStr">
        <is>
          <t>O00495</t>
        </is>
      </c>
      <c r="B496" t="inlineStr">
        <is>
          <t>C0222</t>
        </is>
      </c>
      <c r="C496" t="inlineStr">
        <is>
          <t>S010</t>
        </is>
      </c>
      <c r="D496" t="inlineStr">
        <is>
          <t>R031</t>
        </is>
      </c>
      <c r="E496" s="3" t="n">
        <v>46279.40972222222</v>
      </c>
      <c r="F496" s="3" t="n">
        <v>46279.41826388889</v>
      </c>
      <c r="G496" s="3" t="n">
        <v>46279.41763888889</v>
      </c>
      <c r="H496" t="inlineStr">
        <is>
          <t>Delivered</t>
        </is>
      </c>
      <c r="I496" t="n">
        <v>1</v>
      </c>
      <c r="J496" t="n">
        <v>7</v>
      </c>
      <c r="K496" t="n">
        <v>367.27</v>
      </c>
      <c r="L496" t="n">
        <v>0.55</v>
      </c>
      <c r="M496" t="n">
        <v>4.3</v>
      </c>
      <c r="N496" t="n">
        <v>5.5</v>
      </c>
      <c r="O496" t="n">
        <v>1.6</v>
      </c>
      <c r="P496" t="n">
        <v>12.3</v>
      </c>
      <c r="Q496" t="n">
        <v>11.4</v>
      </c>
      <c r="R496" t="n">
        <v>-0.9</v>
      </c>
      <c r="S496" t="b">
        <v>1</v>
      </c>
      <c r="U496" t="n">
        <v>9</v>
      </c>
      <c r="V496" t="b">
        <v>0</v>
      </c>
      <c r="X496" t="b">
        <v>0</v>
      </c>
      <c r="Y496" t="n">
        <v>0.51</v>
      </c>
    </row>
    <row r="497">
      <c r="A497" t="inlineStr">
        <is>
          <t>O00496</t>
        </is>
      </c>
      <c r="B497" t="inlineStr">
        <is>
          <t>C0063</t>
        </is>
      </c>
      <c r="C497" t="inlineStr">
        <is>
          <t>S009</t>
        </is>
      </c>
      <c r="D497" t="inlineStr">
        <is>
          <t>R056</t>
        </is>
      </c>
      <c r="E497" s="3" t="n">
        <v>46270.37152777778</v>
      </c>
      <c r="F497" s="3" t="n">
        <v>46270.37895833333</v>
      </c>
      <c r="G497" s="3" t="n">
        <v>46270.378125</v>
      </c>
      <c r="H497" t="inlineStr">
        <is>
          <t>Delivered</t>
        </is>
      </c>
      <c r="I497" t="n">
        <v>5</v>
      </c>
      <c r="J497" t="n">
        <v>6</v>
      </c>
      <c r="K497" t="n">
        <v>513.3099999999999</v>
      </c>
      <c r="L497" t="n">
        <v>2.74</v>
      </c>
      <c r="M497" t="n">
        <v>1.5</v>
      </c>
      <c r="N497" t="n">
        <v>2.3</v>
      </c>
      <c r="O497" t="n">
        <v>5.7</v>
      </c>
      <c r="P497" t="n">
        <v>10.7</v>
      </c>
      <c r="Q497" t="n">
        <v>9.5</v>
      </c>
      <c r="R497" t="n">
        <v>-1.2</v>
      </c>
      <c r="S497" t="b">
        <v>1</v>
      </c>
      <c r="U497" t="n">
        <v>8</v>
      </c>
      <c r="V497" t="b">
        <v>0</v>
      </c>
      <c r="W497" t="inlineStr">
        <is>
          <t>Light</t>
        </is>
      </c>
      <c r="X497" t="b">
        <v>0</v>
      </c>
      <c r="Y497" t="n">
        <v>0.67</v>
      </c>
    </row>
    <row r="498">
      <c r="A498" t="inlineStr">
        <is>
          <t>O00497</t>
        </is>
      </c>
      <c r="B498" t="inlineStr">
        <is>
          <t>C0136</t>
        </is>
      </c>
      <c r="C498" t="inlineStr">
        <is>
          <t>S019</t>
        </is>
      </c>
      <c r="D498" t="inlineStr">
        <is>
          <t>R006</t>
        </is>
      </c>
      <c r="E498" s="3" t="n">
        <v>46275.42777777778</v>
      </c>
      <c r="F498" s="3" t="n">
        <v>46275.43534722222</v>
      </c>
      <c r="G498" s="3" t="n">
        <v>46275.43972222223</v>
      </c>
      <c r="H498" t="inlineStr">
        <is>
          <t>Delivered</t>
        </is>
      </c>
      <c r="I498" t="n">
        <v>3</v>
      </c>
      <c r="J498" t="n">
        <v>5</v>
      </c>
      <c r="K498" t="n">
        <v>757.51</v>
      </c>
      <c r="L498" t="n">
        <v>2.5</v>
      </c>
      <c r="M498" t="n">
        <v>5.2</v>
      </c>
      <c r="N498" t="n">
        <v>4.4</v>
      </c>
      <c r="O498" t="n">
        <v>7.6</v>
      </c>
      <c r="P498" t="n">
        <v>10.9</v>
      </c>
      <c r="Q498" t="n">
        <v>17.2</v>
      </c>
      <c r="R498" t="n">
        <v>6.3</v>
      </c>
      <c r="S498" t="b">
        <v>0</v>
      </c>
      <c r="U498" t="n">
        <v>10</v>
      </c>
      <c r="V498" t="b">
        <v>0</v>
      </c>
      <c r="W498" t="inlineStr">
        <is>
          <t>Heavy</t>
        </is>
      </c>
      <c r="X498" t="b">
        <v>0</v>
      </c>
      <c r="Y498" t="n">
        <v>0.37</v>
      </c>
    </row>
    <row r="499">
      <c r="A499" t="inlineStr">
        <is>
          <t>O00498</t>
        </is>
      </c>
      <c r="B499" t="inlineStr">
        <is>
          <t>C0225</t>
        </is>
      </c>
      <c r="C499" t="inlineStr">
        <is>
          <t>S009</t>
        </is>
      </c>
      <c r="E499" s="3" t="n">
        <v>46275.78055555555</v>
      </c>
      <c r="F499" s="3" t="n">
        <v>46275.78777777778</v>
      </c>
      <c r="H499" t="inlineStr">
        <is>
          <t>Cancelled</t>
        </is>
      </c>
      <c r="I499" t="n">
        <v>1</v>
      </c>
      <c r="J499" t="n">
        <v>9</v>
      </c>
      <c r="K499" t="n">
        <v>771.59</v>
      </c>
      <c r="L499" t="n">
        <v>0.78</v>
      </c>
      <c r="M499" t="n">
        <v>3.5</v>
      </c>
      <c r="N499" t="n">
        <v>3.9</v>
      </c>
      <c r="O499" t="n">
        <v>4.7</v>
      </c>
      <c r="P499" t="n">
        <v>10.4</v>
      </c>
      <c r="T499" t="inlineStr">
        <is>
          <t>Rider unavailable</t>
        </is>
      </c>
      <c r="U499" t="n">
        <v>18</v>
      </c>
      <c r="V499" t="b">
        <v>0</v>
      </c>
      <c r="W499" t="inlineStr">
        <is>
          <t>Heavy</t>
        </is>
      </c>
      <c r="X499" t="b">
        <v>0</v>
      </c>
      <c r="Y499" t="n">
        <v>0.42</v>
      </c>
    </row>
    <row r="500">
      <c r="A500" t="inlineStr">
        <is>
          <t>O00499</t>
        </is>
      </c>
      <c r="B500" t="inlineStr">
        <is>
          <t>C0212</t>
        </is>
      </c>
      <c r="C500" t="inlineStr">
        <is>
          <t>S015</t>
        </is>
      </c>
      <c r="D500" t="inlineStr">
        <is>
          <t>R069</t>
        </is>
      </c>
      <c r="E500" s="3" t="n">
        <v>46276.53819444445</v>
      </c>
      <c r="F500" s="3" t="n">
        <v>46276.54576388889</v>
      </c>
      <c r="G500" s="3" t="n">
        <v>46276.54534722222</v>
      </c>
      <c r="H500" t="inlineStr">
        <is>
          <t>Delivered</t>
        </is>
      </c>
      <c r="I500" t="n">
        <v>4</v>
      </c>
      <c r="J500" t="n">
        <v>4</v>
      </c>
      <c r="K500" t="n">
        <v>1109.07</v>
      </c>
      <c r="L500" t="n">
        <v>4.6</v>
      </c>
      <c r="M500" t="n">
        <v>2.2</v>
      </c>
      <c r="N500" t="n">
        <v>2.3</v>
      </c>
      <c r="O500" t="n">
        <v>5.8</v>
      </c>
      <c r="P500" t="n">
        <v>10.9</v>
      </c>
      <c r="Q500" t="n">
        <v>10.3</v>
      </c>
      <c r="R500" t="n">
        <v>-0.6</v>
      </c>
      <c r="S500" t="b">
        <v>1</v>
      </c>
      <c r="U500" t="n">
        <v>12</v>
      </c>
      <c r="V500" t="b">
        <v>0</v>
      </c>
      <c r="W500" t="inlineStr">
        <is>
          <t>Light</t>
        </is>
      </c>
      <c r="X500" t="b">
        <v>0</v>
      </c>
      <c r="Y500" t="n">
        <v>0.62</v>
      </c>
    </row>
    <row r="501">
      <c r="A501" t="inlineStr">
        <is>
          <t>O00500</t>
        </is>
      </c>
      <c r="B501" t="inlineStr">
        <is>
          <t>C0147</t>
        </is>
      </c>
      <c r="C501" t="inlineStr">
        <is>
          <t>S005</t>
        </is>
      </c>
      <c r="D501" t="inlineStr">
        <is>
          <t>R075</t>
        </is>
      </c>
      <c r="E501" s="3" t="n">
        <v>46270.87638888889</v>
      </c>
      <c r="F501" s="3" t="n">
        <v>46270.88215277778</v>
      </c>
      <c r="G501" s="3" t="n">
        <v>46270.88173611111</v>
      </c>
      <c r="H501" t="inlineStr">
        <is>
          <t>Delivered</t>
        </is>
      </c>
      <c r="I501" t="n">
        <v>4</v>
      </c>
      <c r="J501" t="n">
        <v>6</v>
      </c>
      <c r="K501" t="n">
        <v>675.89</v>
      </c>
      <c r="L501" t="n">
        <v>1.12</v>
      </c>
      <c r="M501" t="n">
        <v>2.6</v>
      </c>
      <c r="N501" t="n">
        <v>3.1</v>
      </c>
      <c r="O501" t="n">
        <v>2</v>
      </c>
      <c r="P501" t="n">
        <v>8.300000000000001</v>
      </c>
      <c r="Q501" t="n">
        <v>7.7</v>
      </c>
      <c r="R501" t="n">
        <v>-0.6</v>
      </c>
      <c r="S501" t="b">
        <v>1</v>
      </c>
      <c r="U501" t="n">
        <v>21</v>
      </c>
      <c r="V501" t="b">
        <v>1</v>
      </c>
      <c r="W501" t="inlineStr">
        <is>
          <t>Light</t>
        </is>
      </c>
      <c r="X501" t="b">
        <v>0</v>
      </c>
      <c r="Y501" t="n">
        <v>0.55</v>
      </c>
    </row>
    <row r="502">
      <c r="A502" t="inlineStr">
        <is>
          <t>O00501</t>
        </is>
      </c>
      <c r="B502" t="inlineStr">
        <is>
          <t>C0004</t>
        </is>
      </c>
      <c r="C502" t="inlineStr">
        <is>
          <t>S014</t>
        </is>
      </c>
      <c r="D502" t="inlineStr">
        <is>
          <t>R003</t>
        </is>
      </c>
      <c r="E502" s="3" t="n">
        <v>46266.76041666666</v>
      </c>
      <c r="F502" s="3" t="n">
        <v>46266.76826388889</v>
      </c>
      <c r="G502" s="3" t="n">
        <v>46266.76784722223</v>
      </c>
      <c r="H502" t="inlineStr">
        <is>
          <t>Delivered</t>
        </is>
      </c>
      <c r="I502" t="n">
        <v>3</v>
      </c>
      <c r="J502" t="n">
        <v>7</v>
      </c>
      <c r="K502" t="n">
        <v>1200.89</v>
      </c>
      <c r="L502" t="n">
        <v>2.12</v>
      </c>
      <c r="M502" t="n">
        <v>4.7</v>
      </c>
      <c r="N502" t="n">
        <v>2.7</v>
      </c>
      <c r="O502" t="n">
        <v>3.3</v>
      </c>
      <c r="P502" t="n">
        <v>11.3</v>
      </c>
      <c r="Q502" t="n">
        <v>10.7</v>
      </c>
      <c r="R502" t="n">
        <v>-0.6</v>
      </c>
      <c r="S502" t="b">
        <v>1</v>
      </c>
      <c r="U502" t="n">
        <v>18</v>
      </c>
      <c r="V502" t="b">
        <v>0</v>
      </c>
      <c r="X502" t="b">
        <v>0</v>
      </c>
      <c r="Y502" t="n">
        <v>0.27</v>
      </c>
    </row>
    <row r="503">
      <c r="A503" t="inlineStr">
        <is>
          <t>O00502</t>
        </is>
      </c>
      <c r="B503" t="inlineStr">
        <is>
          <t>C0199</t>
        </is>
      </c>
      <c r="C503" t="inlineStr">
        <is>
          <t>S010</t>
        </is>
      </c>
      <c r="D503" t="inlineStr">
        <is>
          <t>R034</t>
        </is>
      </c>
      <c r="E503" s="3" t="n">
        <v>46278.53333333333</v>
      </c>
      <c r="F503" s="3" t="n">
        <v>46278.54131944444</v>
      </c>
      <c r="G503" s="3" t="n">
        <v>46278.54055555556</v>
      </c>
      <c r="H503" t="inlineStr">
        <is>
          <t>Delivered</t>
        </is>
      </c>
      <c r="I503" t="n">
        <v>5</v>
      </c>
      <c r="J503" t="n">
        <v>5</v>
      </c>
      <c r="K503" t="n">
        <v>186.57</v>
      </c>
      <c r="L503" t="n">
        <v>4</v>
      </c>
      <c r="M503" t="n">
        <v>3.2</v>
      </c>
      <c r="N503" t="n">
        <v>2.4</v>
      </c>
      <c r="O503" t="n">
        <v>4.8</v>
      </c>
      <c r="P503" t="n">
        <v>11.5</v>
      </c>
      <c r="Q503" t="n">
        <v>10.4</v>
      </c>
      <c r="R503" t="n">
        <v>-1.1</v>
      </c>
      <c r="S503" t="b">
        <v>1</v>
      </c>
      <c r="U503" t="n">
        <v>12</v>
      </c>
      <c r="V503" t="b">
        <v>0</v>
      </c>
      <c r="X503" t="b">
        <v>0</v>
      </c>
      <c r="Y503" t="n">
        <v>0.37</v>
      </c>
    </row>
    <row r="504">
      <c r="A504" t="inlineStr">
        <is>
          <t>O00503</t>
        </is>
      </c>
      <c r="B504" t="inlineStr">
        <is>
          <t>C0245</t>
        </is>
      </c>
      <c r="C504" t="inlineStr">
        <is>
          <t>S005</t>
        </is>
      </c>
      <c r="D504" t="inlineStr">
        <is>
          <t>R054</t>
        </is>
      </c>
      <c r="E504" s="3" t="n">
        <v>46272.75833333333</v>
      </c>
      <c r="F504" s="3" t="n">
        <v>46272.76590277778</v>
      </c>
      <c r="G504" s="3" t="n">
        <v>46272.76576388889</v>
      </c>
      <c r="H504" t="inlineStr">
        <is>
          <t>Delivered</t>
        </is>
      </c>
      <c r="I504" t="n">
        <v>3</v>
      </c>
      <c r="J504" t="n">
        <v>11</v>
      </c>
      <c r="K504" t="n">
        <v>1618.37</v>
      </c>
      <c r="L504" t="n">
        <v>1.89</v>
      </c>
      <c r="M504" t="n">
        <v>5</v>
      </c>
      <c r="N504" t="n">
        <v>0.9</v>
      </c>
      <c r="O504" t="n">
        <v>4.8</v>
      </c>
      <c r="P504" t="n">
        <v>10.9</v>
      </c>
      <c r="Q504" t="n">
        <v>10.7</v>
      </c>
      <c r="R504" t="n">
        <v>-0.2</v>
      </c>
      <c r="S504" t="b">
        <v>1</v>
      </c>
      <c r="U504" t="n">
        <v>18</v>
      </c>
      <c r="V504" t="b">
        <v>0</v>
      </c>
      <c r="X504" t="b">
        <v>0</v>
      </c>
      <c r="Y504" t="n">
        <v>0.29</v>
      </c>
    </row>
    <row r="505">
      <c r="A505" t="inlineStr">
        <is>
          <t>O00504</t>
        </is>
      </c>
      <c r="B505" t="inlineStr">
        <is>
          <t>C0073</t>
        </is>
      </c>
      <c r="C505" t="inlineStr">
        <is>
          <t>S003</t>
        </is>
      </c>
      <c r="D505" t="inlineStr">
        <is>
          <t>R056</t>
        </is>
      </c>
      <c r="E505" s="3" t="n">
        <v>46277.49236111111</v>
      </c>
      <c r="F505" s="3" t="n">
        <v>46277.49854166667</v>
      </c>
      <c r="G505" s="3" t="n">
        <v>46277.49819444444</v>
      </c>
      <c r="H505" t="inlineStr">
        <is>
          <t>Delivered</t>
        </is>
      </c>
      <c r="I505" t="n">
        <v>4</v>
      </c>
      <c r="J505" t="n">
        <v>9</v>
      </c>
      <c r="K505" t="n">
        <v>728.0700000000001</v>
      </c>
      <c r="L505" t="n">
        <v>2.1</v>
      </c>
      <c r="M505" t="n">
        <v>2.3</v>
      </c>
      <c r="N505" t="n">
        <v>2.7</v>
      </c>
      <c r="O505" t="n">
        <v>3.4</v>
      </c>
      <c r="P505" t="n">
        <v>8.9</v>
      </c>
      <c r="Q505" t="n">
        <v>8.4</v>
      </c>
      <c r="R505" t="n">
        <v>-0.5</v>
      </c>
      <c r="S505" t="b">
        <v>1</v>
      </c>
      <c r="U505" t="n">
        <v>11</v>
      </c>
      <c r="V505" t="b">
        <v>0</v>
      </c>
      <c r="X505" t="b">
        <v>0</v>
      </c>
      <c r="Y505" t="n">
        <v>0.57</v>
      </c>
    </row>
    <row r="506">
      <c r="A506" t="inlineStr">
        <is>
          <t>O00505</t>
        </is>
      </c>
      <c r="B506" t="inlineStr">
        <is>
          <t>C0056</t>
        </is>
      </c>
      <c r="C506" t="inlineStr">
        <is>
          <t>S013</t>
        </is>
      </c>
      <c r="D506" t="inlineStr">
        <is>
          <t>R021</t>
        </is>
      </c>
      <c r="E506" s="3" t="n">
        <v>46277.58125</v>
      </c>
      <c r="F506" s="3" t="n">
        <v>46277.58708333333</v>
      </c>
      <c r="G506" s="3" t="n">
        <v>46277.58625</v>
      </c>
      <c r="H506" t="inlineStr">
        <is>
          <t>Delivered</t>
        </is>
      </c>
      <c r="I506" t="n">
        <v>5</v>
      </c>
      <c r="J506" t="n">
        <v>7</v>
      </c>
      <c r="K506" t="n">
        <v>1065.64</v>
      </c>
      <c r="L506" t="n">
        <v>0.5600000000000001</v>
      </c>
      <c r="M506" t="n">
        <v>3</v>
      </c>
      <c r="N506" t="n">
        <v>2.9</v>
      </c>
      <c r="O506" t="n">
        <v>1.3</v>
      </c>
      <c r="P506" t="n">
        <v>8.4</v>
      </c>
      <c r="Q506" t="n">
        <v>7.2</v>
      </c>
      <c r="R506" t="n">
        <v>-1.2</v>
      </c>
      <c r="S506" t="b">
        <v>1</v>
      </c>
      <c r="U506" t="n">
        <v>13</v>
      </c>
      <c r="V506" t="b">
        <v>0</v>
      </c>
      <c r="W506" t="inlineStr">
        <is>
          <t>Light</t>
        </is>
      </c>
      <c r="X506" t="b">
        <v>0</v>
      </c>
      <c r="Y506" t="n">
        <v>0.35</v>
      </c>
    </row>
    <row r="507">
      <c r="A507" t="inlineStr">
        <is>
          <t>O00506</t>
        </is>
      </c>
      <c r="B507" t="inlineStr">
        <is>
          <t>C0072</t>
        </is>
      </c>
      <c r="C507" t="inlineStr">
        <is>
          <t>S011</t>
        </is>
      </c>
      <c r="D507" t="inlineStr">
        <is>
          <t>R001</t>
        </is>
      </c>
      <c r="E507" s="3" t="n">
        <v>46272.63472222222</v>
      </c>
      <c r="F507" s="3" t="n">
        <v>46272.64319444444</v>
      </c>
      <c r="G507" s="3" t="n">
        <v>46272.64263888889</v>
      </c>
      <c r="H507" t="inlineStr">
        <is>
          <t>Delivered</t>
        </is>
      </c>
      <c r="I507" t="n">
        <v>3</v>
      </c>
      <c r="J507" t="n">
        <v>5</v>
      </c>
      <c r="K507" t="n">
        <v>771.88</v>
      </c>
      <c r="L507" t="n">
        <v>2.77</v>
      </c>
      <c r="M507" t="n">
        <v>3.7</v>
      </c>
      <c r="N507" t="n">
        <v>2.4</v>
      </c>
      <c r="O507" t="n">
        <v>5.3</v>
      </c>
      <c r="P507" t="n">
        <v>12.2</v>
      </c>
      <c r="Q507" t="n">
        <v>11.4</v>
      </c>
      <c r="R507" t="n">
        <v>-0.8</v>
      </c>
      <c r="S507" t="b">
        <v>1</v>
      </c>
      <c r="U507" t="n">
        <v>15</v>
      </c>
      <c r="V507" t="b">
        <v>0</v>
      </c>
      <c r="X507" t="b">
        <v>1</v>
      </c>
      <c r="Y507" t="n">
        <v>0.78</v>
      </c>
    </row>
    <row r="508">
      <c r="A508" t="inlineStr">
        <is>
          <t>O00507</t>
        </is>
      </c>
      <c r="B508" t="inlineStr">
        <is>
          <t>C0181</t>
        </is>
      </c>
      <c r="C508" t="inlineStr">
        <is>
          <t>S010</t>
        </is>
      </c>
      <c r="D508" t="inlineStr">
        <is>
          <t>R079</t>
        </is>
      </c>
      <c r="E508" s="3" t="n">
        <v>46270.75902777778</v>
      </c>
      <c r="F508" s="3" t="n">
        <v>46270.76583333333</v>
      </c>
      <c r="G508" s="3" t="n">
        <v>46270.76555555555</v>
      </c>
      <c r="H508" t="inlineStr">
        <is>
          <t>Delivered</t>
        </is>
      </c>
      <c r="I508" t="n">
        <v>2</v>
      </c>
      <c r="J508" t="n">
        <v>10</v>
      </c>
      <c r="K508" t="n">
        <v>626.72</v>
      </c>
      <c r="L508" t="n">
        <v>1.36</v>
      </c>
      <c r="M508" t="n">
        <v>4.1</v>
      </c>
      <c r="N508" t="n">
        <v>1.7</v>
      </c>
      <c r="O508" t="n">
        <v>3.6</v>
      </c>
      <c r="P508" t="n">
        <v>9.800000000000001</v>
      </c>
      <c r="Q508" t="n">
        <v>9.4</v>
      </c>
      <c r="R508" t="n">
        <v>-0.4</v>
      </c>
      <c r="S508" t="b">
        <v>1</v>
      </c>
      <c r="U508" t="n">
        <v>18</v>
      </c>
      <c r="V508" t="b">
        <v>0</v>
      </c>
      <c r="W508" t="inlineStr">
        <is>
          <t>Light</t>
        </is>
      </c>
      <c r="X508" t="b">
        <v>0</v>
      </c>
      <c r="Y508" t="n">
        <v>0.44</v>
      </c>
    </row>
    <row r="509">
      <c r="A509" t="inlineStr">
        <is>
          <t>O00508</t>
        </is>
      </c>
      <c r="B509" t="inlineStr">
        <is>
          <t>C0224</t>
        </is>
      </c>
      <c r="C509" t="inlineStr">
        <is>
          <t>S014</t>
        </is>
      </c>
      <c r="D509" t="inlineStr">
        <is>
          <t>R006</t>
        </is>
      </c>
      <c r="E509" s="3" t="n">
        <v>46279.55416666667</v>
      </c>
      <c r="F509" s="3" t="n">
        <v>46279.56076388889</v>
      </c>
      <c r="G509" s="3" t="n">
        <v>46279.56</v>
      </c>
      <c r="H509" t="inlineStr">
        <is>
          <t>Delivered</t>
        </is>
      </c>
      <c r="I509" t="n">
        <v>5</v>
      </c>
      <c r="J509" t="n">
        <v>7</v>
      </c>
      <c r="K509" t="n">
        <v>334.82</v>
      </c>
      <c r="L509" t="n">
        <v>0.83</v>
      </c>
      <c r="M509" t="n">
        <v>3.9</v>
      </c>
      <c r="N509" t="n">
        <v>2.4</v>
      </c>
      <c r="O509" t="n">
        <v>2.1</v>
      </c>
      <c r="P509" t="n">
        <v>9.5</v>
      </c>
      <c r="Q509" t="n">
        <v>8.4</v>
      </c>
      <c r="R509" t="n">
        <v>-1.1</v>
      </c>
      <c r="S509" t="b">
        <v>1</v>
      </c>
      <c r="U509" t="n">
        <v>13</v>
      </c>
      <c r="V509" t="b">
        <v>0</v>
      </c>
      <c r="W509" t="inlineStr">
        <is>
          <t>Light</t>
        </is>
      </c>
      <c r="X509" t="b">
        <v>0</v>
      </c>
      <c r="Y509" t="n">
        <v>0.49</v>
      </c>
    </row>
    <row r="510">
      <c r="A510" t="inlineStr">
        <is>
          <t>O00509</t>
        </is>
      </c>
      <c r="B510" t="inlineStr">
        <is>
          <t>C0157</t>
        </is>
      </c>
      <c r="C510" t="inlineStr">
        <is>
          <t>S017</t>
        </is>
      </c>
      <c r="D510" t="inlineStr">
        <is>
          <t>R070</t>
        </is>
      </c>
      <c r="E510" s="3" t="n">
        <v>46271.97708333333</v>
      </c>
      <c r="F510" s="3" t="n">
        <v>46271.98347222222</v>
      </c>
      <c r="G510" s="3" t="n">
        <v>46271.98270833334</v>
      </c>
      <c r="H510" t="inlineStr">
        <is>
          <t>Delivered</t>
        </is>
      </c>
      <c r="I510" t="n">
        <v>3</v>
      </c>
      <c r="J510" t="n">
        <v>10</v>
      </c>
      <c r="K510" t="n">
        <v>670.5</v>
      </c>
      <c r="L510" t="n">
        <v>3.96</v>
      </c>
      <c r="M510" t="n">
        <v>1.2</v>
      </c>
      <c r="N510" t="n">
        <v>2.4</v>
      </c>
      <c r="O510" t="n">
        <v>4.5</v>
      </c>
      <c r="P510" t="n">
        <v>9.199999999999999</v>
      </c>
      <c r="Q510" t="n">
        <v>8.1</v>
      </c>
      <c r="R510" t="n">
        <v>-1.1</v>
      </c>
      <c r="S510" t="b">
        <v>1</v>
      </c>
      <c r="U510" t="n">
        <v>23</v>
      </c>
      <c r="V510" t="b">
        <v>0</v>
      </c>
      <c r="W510" t="inlineStr">
        <is>
          <t>Heavy</t>
        </is>
      </c>
      <c r="X510" t="b">
        <v>0</v>
      </c>
      <c r="Y510" t="n">
        <v>0.19</v>
      </c>
    </row>
    <row r="511">
      <c r="A511" t="inlineStr">
        <is>
          <t>O00510</t>
        </is>
      </c>
      <c r="B511" t="inlineStr">
        <is>
          <t>C0043</t>
        </is>
      </c>
      <c r="C511" t="inlineStr">
        <is>
          <t>S007</t>
        </is>
      </c>
      <c r="D511" t="inlineStr">
        <is>
          <t>R030</t>
        </is>
      </c>
      <c r="E511" s="3" t="n">
        <v>46273.83611111111</v>
      </c>
      <c r="F511" s="3" t="n">
        <v>46273.84381944445</v>
      </c>
      <c r="G511" s="3" t="n">
        <v>46273.84423611111</v>
      </c>
      <c r="H511" t="inlineStr">
        <is>
          <t>Delivered</t>
        </is>
      </c>
      <c r="I511" t="n">
        <v>1</v>
      </c>
      <c r="J511" t="n">
        <v>9</v>
      </c>
      <c r="K511" t="n">
        <v>683.97</v>
      </c>
      <c r="L511" t="n">
        <v>0.73</v>
      </c>
      <c r="M511" t="n">
        <v>5.1</v>
      </c>
      <c r="N511" t="n">
        <v>3.1</v>
      </c>
      <c r="O511" t="n">
        <v>3.5</v>
      </c>
      <c r="P511" t="n">
        <v>11.1</v>
      </c>
      <c r="Q511" t="n">
        <v>11.7</v>
      </c>
      <c r="R511" t="n">
        <v>0.6</v>
      </c>
      <c r="S511" t="b">
        <v>0</v>
      </c>
      <c r="U511" t="n">
        <v>20</v>
      </c>
      <c r="V511" t="b">
        <v>1</v>
      </c>
      <c r="X511" t="b">
        <v>0</v>
      </c>
      <c r="Y511" t="n">
        <v>0.62</v>
      </c>
    </row>
    <row r="512">
      <c r="A512" t="inlineStr">
        <is>
          <t>O00511</t>
        </is>
      </c>
      <c r="B512" t="inlineStr">
        <is>
          <t>C0015</t>
        </is>
      </c>
      <c r="C512" t="inlineStr">
        <is>
          <t>S005</t>
        </is>
      </c>
      <c r="D512" t="inlineStr">
        <is>
          <t>R043</t>
        </is>
      </c>
      <c r="E512" s="3" t="n">
        <v>46276.40555555555</v>
      </c>
      <c r="F512" s="3" t="n">
        <v>46276.41145833334</v>
      </c>
      <c r="G512" s="3" t="n">
        <v>46276.41583333333</v>
      </c>
      <c r="H512" t="inlineStr">
        <is>
          <t>Delivered</t>
        </is>
      </c>
      <c r="I512" t="n">
        <v>6</v>
      </c>
      <c r="J512" t="n">
        <v>7</v>
      </c>
      <c r="K512" t="n">
        <v>1473.92</v>
      </c>
      <c r="L512" t="n">
        <v>1.29</v>
      </c>
      <c r="M512" t="n">
        <v>6</v>
      </c>
      <c r="N512" t="n">
        <v>3.4</v>
      </c>
      <c r="O512" t="n">
        <v>5.5</v>
      </c>
      <c r="P512" t="n">
        <v>8.5</v>
      </c>
      <c r="Q512" t="n">
        <v>14.8</v>
      </c>
      <c r="R512" t="n">
        <v>6.3</v>
      </c>
      <c r="S512" t="b">
        <v>0</v>
      </c>
      <c r="U512" t="n">
        <v>9</v>
      </c>
      <c r="V512" t="b">
        <v>0</v>
      </c>
      <c r="W512" t="inlineStr">
        <is>
          <t>Heavy</t>
        </is>
      </c>
      <c r="X512" t="b">
        <v>0</v>
      </c>
      <c r="Y512" t="n">
        <v>0.2</v>
      </c>
    </row>
    <row r="513">
      <c r="A513" t="inlineStr">
        <is>
          <t>O00512</t>
        </is>
      </c>
      <c r="B513" t="inlineStr">
        <is>
          <t>C0001</t>
        </is>
      </c>
      <c r="C513" t="inlineStr">
        <is>
          <t>S018</t>
        </is>
      </c>
      <c r="D513" t="inlineStr">
        <is>
          <t>R076</t>
        </is>
      </c>
      <c r="E513" s="3" t="n">
        <v>46272.3625</v>
      </c>
      <c r="F513" s="3" t="n">
        <v>46272.36881944445</v>
      </c>
      <c r="G513" s="3" t="n">
        <v>46272.36826388889</v>
      </c>
      <c r="H513" t="inlineStr">
        <is>
          <t>Delivered</t>
        </is>
      </c>
      <c r="I513" t="n">
        <v>3</v>
      </c>
      <c r="J513" t="n">
        <v>8</v>
      </c>
      <c r="K513" t="n">
        <v>1453.9</v>
      </c>
      <c r="L513" t="n">
        <v>0.85</v>
      </c>
      <c r="M513" t="n">
        <v>2.8</v>
      </c>
      <c r="N513" t="n">
        <v>1.8</v>
      </c>
      <c r="O513" t="n">
        <v>3.7</v>
      </c>
      <c r="P513" t="n">
        <v>9.1</v>
      </c>
      <c r="Q513" t="n">
        <v>8.300000000000001</v>
      </c>
      <c r="R513" t="n">
        <v>-0.8</v>
      </c>
      <c r="S513" t="b">
        <v>1</v>
      </c>
      <c r="U513" t="n">
        <v>8</v>
      </c>
      <c r="V513" t="b">
        <v>0</v>
      </c>
      <c r="W513" t="inlineStr">
        <is>
          <t>Heavy</t>
        </is>
      </c>
      <c r="X513" t="b">
        <v>0</v>
      </c>
      <c r="Y513" t="n">
        <v>0.64</v>
      </c>
    </row>
    <row r="514">
      <c r="A514" t="inlineStr">
        <is>
          <t>O00513</t>
        </is>
      </c>
      <c r="B514" t="inlineStr">
        <is>
          <t>C0016</t>
        </is>
      </c>
      <c r="C514" t="inlineStr">
        <is>
          <t>S002</t>
        </is>
      </c>
      <c r="D514" t="inlineStr">
        <is>
          <t>R012</t>
        </is>
      </c>
      <c r="E514" s="3" t="n">
        <v>46277.62083333333</v>
      </c>
      <c r="F514" s="3" t="n">
        <v>46277.62895833333</v>
      </c>
      <c r="G514" s="3" t="n">
        <v>46277.62972222222</v>
      </c>
      <c r="H514" t="inlineStr">
        <is>
          <t>Delivered</t>
        </is>
      </c>
      <c r="I514" t="n">
        <v>4</v>
      </c>
      <c r="J514" t="n">
        <v>6</v>
      </c>
      <c r="K514" t="n">
        <v>1571.72</v>
      </c>
      <c r="L514" t="n">
        <v>0.91</v>
      </c>
      <c r="M514" t="n">
        <v>2.9</v>
      </c>
      <c r="N514" t="n">
        <v>6.4</v>
      </c>
      <c r="O514" t="n">
        <v>3.6</v>
      </c>
      <c r="P514" t="n">
        <v>11.7</v>
      </c>
      <c r="Q514" t="n">
        <v>12.8</v>
      </c>
      <c r="R514" t="n">
        <v>1.1</v>
      </c>
      <c r="S514" t="b">
        <v>0</v>
      </c>
      <c r="U514" t="n">
        <v>14</v>
      </c>
      <c r="V514" t="b">
        <v>0</v>
      </c>
      <c r="X514" t="b">
        <v>0</v>
      </c>
      <c r="Y514" t="n">
        <v>0.65</v>
      </c>
    </row>
    <row r="515">
      <c r="A515" t="inlineStr">
        <is>
          <t>O00514</t>
        </is>
      </c>
      <c r="B515" t="inlineStr">
        <is>
          <t>C0243</t>
        </is>
      </c>
      <c r="C515" t="inlineStr">
        <is>
          <t>S018</t>
        </is>
      </c>
      <c r="D515" t="inlineStr">
        <is>
          <t>R063</t>
        </is>
      </c>
      <c r="E515" s="3" t="n">
        <v>46271.99791666667</v>
      </c>
      <c r="F515" s="3" t="n">
        <v>46272.00479166667</v>
      </c>
      <c r="G515" s="3" t="n">
        <v>46272.00416666667</v>
      </c>
      <c r="H515" t="inlineStr">
        <is>
          <t>Delivered</t>
        </is>
      </c>
      <c r="I515" t="n">
        <v>6</v>
      </c>
      <c r="J515" t="n">
        <v>9</v>
      </c>
      <c r="K515" t="n">
        <v>1538.06</v>
      </c>
      <c r="L515" t="n">
        <v>1.67</v>
      </c>
      <c r="M515" t="n">
        <v>4.3</v>
      </c>
      <c r="N515" t="n">
        <v>1.7</v>
      </c>
      <c r="O515" t="n">
        <v>3</v>
      </c>
      <c r="P515" t="n">
        <v>9.9</v>
      </c>
      <c r="Q515" t="n">
        <v>9</v>
      </c>
      <c r="R515" t="n">
        <v>-0.9</v>
      </c>
      <c r="S515" t="b">
        <v>1</v>
      </c>
      <c r="U515" t="n">
        <v>23</v>
      </c>
      <c r="V515" t="b">
        <v>0</v>
      </c>
      <c r="X515" t="b">
        <v>1</v>
      </c>
      <c r="Y515" t="n">
        <v>0.62</v>
      </c>
    </row>
    <row r="516">
      <c r="A516" t="inlineStr">
        <is>
          <t>O00515</t>
        </is>
      </c>
      <c r="B516" t="inlineStr">
        <is>
          <t>C0169</t>
        </is>
      </c>
      <c r="C516" t="inlineStr">
        <is>
          <t>S003</t>
        </is>
      </c>
      <c r="D516" t="inlineStr">
        <is>
          <t>R053</t>
        </is>
      </c>
      <c r="E516" s="3" t="n">
        <v>46272.98472222222</v>
      </c>
      <c r="F516" s="3" t="n">
        <v>46272.99215277778</v>
      </c>
      <c r="G516" s="3" t="n">
        <v>46272.99152777778</v>
      </c>
      <c r="H516" t="inlineStr">
        <is>
          <t>Delivered</t>
        </is>
      </c>
      <c r="I516" t="n">
        <v>1</v>
      </c>
      <c r="J516" t="n">
        <v>10</v>
      </c>
      <c r="K516" t="n">
        <v>820.63</v>
      </c>
      <c r="L516" t="n">
        <v>1.27</v>
      </c>
      <c r="M516" t="n">
        <v>3.5</v>
      </c>
      <c r="N516" t="n">
        <v>2.4</v>
      </c>
      <c r="O516" t="n">
        <v>3.9</v>
      </c>
      <c r="P516" t="n">
        <v>10.7</v>
      </c>
      <c r="Q516" t="n">
        <v>9.800000000000001</v>
      </c>
      <c r="R516" t="n">
        <v>-0.9</v>
      </c>
      <c r="S516" t="b">
        <v>1</v>
      </c>
      <c r="U516" t="n">
        <v>23</v>
      </c>
      <c r="V516" t="b">
        <v>0</v>
      </c>
      <c r="W516" t="inlineStr">
        <is>
          <t>Heavy</t>
        </is>
      </c>
      <c r="X516" t="b">
        <v>0</v>
      </c>
      <c r="Y516" t="n">
        <v>0.55</v>
      </c>
    </row>
    <row r="517">
      <c r="A517" t="inlineStr">
        <is>
          <t>O00516</t>
        </is>
      </c>
      <c r="B517" t="inlineStr">
        <is>
          <t>C0059</t>
        </is>
      </c>
      <c r="C517" t="inlineStr">
        <is>
          <t>S018</t>
        </is>
      </c>
      <c r="D517" t="inlineStr">
        <is>
          <t>R037</t>
        </is>
      </c>
      <c r="E517" s="3" t="n">
        <v>46271.72013888889</v>
      </c>
      <c r="F517" s="3" t="n">
        <v>46271.72854166666</v>
      </c>
      <c r="G517" s="3" t="n">
        <v>46271.728125</v>
      </c>
      <c r="H517" t="inlineStr">
        <is>
          <t>Delivered</t>
        </is>
      </c>
      <c r="I517" t="n">
        <v>4</v>
      </c>
      <c r="J517" t="n">
        <v>7</v>
      </c>
      <c r="K517" t="n">
        <v>1109.59</v>
      </c>
      <c r="L517" t="n">
        <v>4.61</v>
      </c>
      <c r="M517" t="n">
        <v>3.1</v>
      </c>
      <c r="N517" t="n">
        <v>3.5</v>
      </c>
      <c r="O517" t="n">
        <v>4.9</v>
      </c>
      <c r="P517" t="n">
        <v>12.1</v>
      </c>
      <c r="Q517" t="n">
        <v>11.5</v>
      </c>
      <c r="R517" t="n">
        <v>-0.6</v>
      </c>
      <c r="S517" t="b">
        <v>1</v>
      </c>
      <c r="U517" t="n">
        <v>17</v>
      </c>
      <c r="V517" t="b">
        <v>0</v>
      </c>
      <c r="X517" t="b">
        <v>0</v>
      </c>
      <c r="Y517" t="n">
        <v>0.42</v>
      </c>
    </row>
    <row r="518">
      <c r="A518" t="inlineStr">
        <is>
          <t>O00517</t>
        </is>
      </c>
      <c r="B518" t="inlineStr">
        <is>
          <t>C0244</t>
        </is>
      </c>
      <c r="C518" t="inlineStr">
        <is>
          <t>S020</t>
        </is>
      </c>
      <c r="D518" t="inlineStr">
        <is>
          <t>R065</t>
        </is>
      </c>
      <c r="E518" s="3" t="n">
        <v>46275.89097222222</v>
      </c>
      <c r="F518" s="3" t="n">
        <v>46275.89680555555</v>
      </c>
      <c r="G518" s="3" t="n">
        <v>46275.89625</v>
      </c>
      <c r="H518" t="inlineStr">
        <is>
          <t>Delivered</t>
        </is>
      </c>
      <c r="I518" t="n">
        <v>2</v>
      </c>
      <c r="J518" t="n">
        <v>6</v>
      </c>
      <c r="K518" t="n">
        <v>577.36</v>
      </c>
      <c r="L518" t="n">
        <v>0.78</v>
      </c>
      <c r="M518" t="n">
        <v>2.4</v>
      </c>
      <c r="N518" t="n">
        <v>3.8</v>
      </c>
      <c r="O518" t="n">
        <v>1.4</v>
      </c>
      <c r="P518" t="n">
        <v>8.4</v>
      </c>
      <c r="Q518" t="n">
        <v>7.6</v>
      </c>
      <c r="R518" t="n">
        <v>-0.8</v>
      </c>
      <c r="S518" t="b">
        <v>1</v>
      </c>
      <c r="U518" t="n">
        <v>21</v>
      </c>
      <c r="V518" t="b">
        <v>1</v>
      </c>
      <c r="X518" t="b">
        <v>0</v>
      </c>
      <c r="Y518" t="n">
        <v>0.66</v>
      </c>
    </row>
    <row r="519">
      <c r="A519" t="inlineStr">
        <is>
          <t>O00518</t>
        </is>
      </c>
      <c r="B519" t="inlineStr">
        <is>
          <t>C0070</t>
        </is>
      </c>
      <c r="C519" t="inlineStr">
        <is>
          <t>S015</t>
        </is>
      </c>
      <c r="D519" t="inlineStr">
        <is>
          <t>R077</t>
        </is>
      </c>
      <c r="E519" s="3" t="n">
        <v>46267.55208333334</v>
      </c>
      <c r="F519" s="3" t="n">
        <v>46267.55868055556</v>
      </c>
      <c r="G519" s="3" t="n">
        <v>46267.55826388889</v>
      </c>
      <c r="H519" t="inlineStr">
        <is>
          <t>Delivered</t>
        </is>
      </c>
      <c r="I519" t="n">
        <v>3</v>
      </c>
      <c r="J519" t="n">
        <v>5</v>
      </c>
      <c r="K519" t="n">
        <v>262.11</v>
      </c>
      <c r="L519" t="n">
        <v>1.24</v>
      </c>
      <c r="M519" t="n">
        <v>2.9</v>
      </c>
      <c r="N519" t="n">
        <v>3.9</v>
      </c>
      <c r="O519" t="n">
        <v>2.1</v>
      </c>
      <c r="P519" t="n">
        <v>9.5</v>
      </c>
      <c r="Q519" t="n">
        <v>8.9</v>
      </c>
      <c r="R519" t="n">
        <v>-0.6</v>
      </c>
      <c r="S519" t="b">
        <v>1</v>
      </c>
      <c r="U519" t="n">
        <v>13</v>
      </c>
      <c r="V519" t="b">
        <v>0</v>
      </c>
      <c r="X519" t="b">
        <v>0</v>
      </c>
      <c r="Y519" t="n">
        <v>0.54</v>
      </c>
    </row>
    <row r="520">
      <c r="A520" t="inlineStr">
        <is>
          <t>O00519</t>
        </is>
      </c>
      <c r="B520" t="inlineStr">
        <is>
          <t>C0208</t>
        </is>
      </c>
      <c r="C520" t="inlineStr">
        <is>
          <t>S007</t>
        </is>
      </c>
      <c r="D520" t="inlineStr">
        <is>
          <t>R006</t>
        </is>
      </c>
      <c r="E520" s="3" t="n">
        <v>46273.65347222222</v>
      </c>
      <c r="F520" s="3" t="n">
        <v>46273.65986111111</v>
      </c>
      <c r="G520" s="3" t="n">
        <v>46273.65923611111</v>
      </c>
      <c r="H520" t="inlineStr">
        <is>
          <t>Delivered</t>
        </is>
      </c>
      <c r="I520" t="n">
        <v>5</v>
      </c>
      <c r="J520" t="n">
        <v>15</v>
      </c>
      <c r="K520" t="n">
        <v>1606.46</v>
      </c>
      <c r="L520" t="n">
        <v>3.2</v>
      </c>
      <c r="M520" t="n">
        <v>2.3</v>
      </c>
      <c r="N520" t="n">
        <v>2.5</v>
      </c>
      <c r="O520" t="n">
        <v>3.5</v>
      </c>
      <c r="P520" t="n">
        <v>9.199999999999999</v>
      </c>
      <c r="Q520" t="n">
        <v>8.300000000000001</v>
      </c>
      <c r="R520" t="n">
        <v>-0.9</v>
      </c>
      <c r="S520" t="b">
        <v>1</v>
      </c>
      <c r="U520" t="n">
        <v>15</v>
      </c>
      <c r="V520" t="b">
        <v>0</v>
      </c>
      <c r="X520" t="b">
        <v>0</v>
      </c>
      <c r="Y520" t="n">
        <v>0.57</v>
      </c>
    </row>
    <row r="521">
      <c r="A521" t="inlineStr">
        <is>
          <t>O00520</t>
        </is>
      </c>
      <c r="B521" t="inlineStr">
        <is>
          <t>C0101</t>
        </is>
      </c>
      <c r="C521" t="inlineStr">
        <is>
          <t>S003</t>
        </is>
      </c>
      <c r="D521" t="inlineStr">
        <is>
          <t>R069</t>
        </is>
      </c>
      <c r="E521" s="3" t="n">
        <v>46266.72222222222</v>
      </c>
      <c r="F521" s="3" t="n">
        <v>46266.72993055556</v>
      </c>
      <c r="G521" s="3" t="n">
        <v>46266.72923611111</v>
      </c>
      <c r="H521" t="inlineStr">
        <is>
          <t>Delivered</t>
        </is>
      </c>
      <c r="I521" t="n">
        <v>1</v>
      </c>
      <c r="J521" t="n">
        <v>15</v>
      </c>
      <c r="K521" t="n">
        <v>707.84</v>
      </c>
      <c r="L521" t="n">
        <v>1.17</v>
      </c>
      <c r="M521" t="n">
        <v>2.9</v>
      </c>
      <c r="N521" t="n">
        <v>5.1</v>
      </c>
      <c r="O521" t="n">
        <v>2.1</v>
      </c>
      <c r="P521" t="n">
        <v>11.1</v>
      </c>
      <c r="Q521" t="n">
        <v>10.1</v>
      </c>
      <c r="R521" t="n">
        <v>-1</v>
      </c>
      <c r="S521" t="b">
        <v>1</v>
      </c>
      <c r="U521" t="n">
        <v>17</v>
      </c>
      <c r="V521" t="b">
        <v>0</v>
      </c>
      <c r="X521" t="b">
        <v>0</v>
      </c>
      <c r="Y521" t="n">
        <v>0.39</v>
      </c>
    </row>
    <row r="522">
      <c r="A522" t="inlineStr">
        <is>
          <t>O00521</t>
        </is>
      </c>
      <c r="B522" t="inlineStr">
        <is>
          <t>C0072</t>
        </is>
      </c>
      <c r="C522" t="inlineStr">
        <is>
          <t>S016</t>
        </is>
      </c>
      <c r="D522" t="inlineStr">
        <is>
          <t>R026</t>
        </is>
      </c>
      <c r="E522" s="3" t="n">
        <v>46274.86944444444</v>
      </c>
      <c r="F522" s="3" t="n">
        <v>46274.87631944445</v>
      </c>
      <c r="G522" s="3" t="n">
        <v>46274.88138888889</v>
      </c>
      <c r="H522" t="inlineStr">
        <is>
          <t>Delivered</t>
        </is>
      </c>
      <c r="I522" t="n">
        <v>4</v>
      </c>
      <c r="J522" t="n">
        <v>5</v>
      </c>
      <c r="K522" t="n">
        <v>1403.11</v>
      </c>
      <c r="L522" t="n">
        <v>1.34</v>
      </c>
      <c r="M522" t="n">
        <v>6.7</v>
      </c>
      <c r="N522" t="n">
        <v>5.7</v>
      </c>
      <c r="O522" t="n">
        <v>4.7</v>
      </c>
      <c r="P522" t="n">
        <v>9.9</v>
      </c>
      <c r="Q522" t="n">
        <v>17.2</v>
      </c>
      <c r="R522" t="n">
        <v>7.3</v>
      </c>
      <c r="S522" t="b">
        <v>0</v>
      </c>
      <c r="U522" t="n">
        <v>20</v>
      </c>
      <c r="V522" t="b">
        <v>1</v>
      </c>
      <c r="X522" t="b">
        <v>1</v>
      </c>
      <c r="Y522" t="n">
        <v>0.77</v>
      </c>
    </row>
    <row r="523">
      <c r="A523" t="inlineStr">
        <is>
          <t>O00522</t>
        </is>
      </c>
      <c r="B523" t="inlineStr">
        <is>
          <t>C0078</t>
        </is>
      </c>
      <c r="C523" t="inlineStr">
        <is>
          <t>S008</t>
        </is>
      </c>
      <c r="D523" t="inlineStr">
        <is>
          <t>R080</t>
        </is>
      </c>
      <c r="E523" s="3" t="n">
        <v>46279.48888888889</v>
      </c>
      <c r="F523" s="3" t="n">
        <v>46279.49541666666</v>
      </c>
      <c r="G523" s="3" t="n">
        <v>46279.500625</v>
      </c>
      <c r="H523" t="inlineStr">
        <is>
          <t>Delivered</t>
        </is>
      </c>
      <c r="I523" t="n">
        <v>2</v>
      </c>
      <c r="J523" t="n">
        <v>8</v>
      </c>
      <c r="K523" t="n">
        <v>560.1900000000001</v>
      </c>
      <c r="L523" t="n">
        <v>4.2</v>
      </c>
      <c r="M523" t="n">
        <v>3.6</v>
      </c>
      <c r="N523" t="n">
        <v>2.3</v>
      </c>
      <c r="O523" t="n">
        <v>11</v>
      </c>
      <c r="P523" t="n">
        <v>9.4</v>
      </c>
      <c r="Q523" t="n">
        <v>16.9</v>
      </c>
      <c r="R523" t="n">
        <v>7.5</v>
      </c>
      <c r="S523" t="b">
        <v>0</v>
      </c>
      <c r="U523" t="n">
        <v>11</v>
      </c>
      <c r="V523" t="b">
        <v>0</v>
      </c>
      <c r="X523" t="b">
        <v>0</v>
      </c>
      <c r="Y523" t="n">
        <v>0.84</v>
      </c>
    </row>
    <row r="524">
      <c r="A524" t="inlineStr">
        <is>
          <t>O00523</t>
        </is>
      </c>
      <c r="B524" t="inlineStr">
        <is>
          <t>C0249</t>
        </is>
      </c>
      <c r="C524" t="inlineStr">
        <is>
          <t>S011</t>
        </is>
      </c>
      <c r="D524" t="inlineStr">
        <is>
          <t>R023</t>
        </is>
      </c>
      <c r="E524" s="3" t="n">
        <v>46271.49305555555</v>
      </c>
      <c r="F524" s="3" t="n">
        <v>46271.50041666667</v>
      </c>
      <c r="G524" s="3" t="n">
        <v>46271.49965277778</v>
      </c>
      <c r="H524" t="inlineStr">
        <is>
          <t>Delivered</t>
        </is>
      </c>
      <c r="I524" t="n">
        <v>4</v>
      </c>
      <c r="J524" t="n">
        <v>8</v>
      </c>
      <c r="K524" t="n">
        <v>1353.69</v>
      </c>
      <c r="L524" t="n">
        <v>1.18</v>
      </c>
      <c r="M524" t="n">
        <v>2.7</v>
      </c>
      <c r="N524" t="n">
        <v>4.1</v>
      </c>
      <c r="O524" t="n">
        <v>2.7</v>
      </c>
      <c r="P524" t="n">
        <v>10.6</v>
      </c>
      <c r="Q524" t="n">
        <v>9.5</v>
      </c>
      <c r="R524" t="n">
        <v>-1.1</v>
      </c>
      <c r="S524" t="b">
        <v>1</v>
      </c>
      <c r="U524" t="n">
        <v>11</v>
      </c>
      <c r="V524" t="b">
        <v>0</v>
      </c>
      <c r="W524" t="inlineStr">
        <is>
          <t>Heavy</t>
        </is>
      </c>
      <c r="X524" t="b">
        <v>0</v>
      </c>
      <c r="Y524" t="n">
        <v>0.44</v>
      </c>
    </row>
    <row r="525">
      <c r="A525" t="inlineStr">
        <is>
          <t>O00524</t>
        </is>
      </c>
      <c r="B525" t="inlineStr">
        <is>
          <t>C0064</t>
        </is>
      </c>
      <c r="C525" t="inlineStr">
        <is>
          <t>S004</t>
        </is>
      </c>
      <c r="D525" t="inlineStr">
        <is>
          <t>R033</t>
        </is>
      </c>
      <c r="E525" s="3" t="n">
        <v>46278.84444444445</v>
      </c>
      <c r="F525" s="3" t="n">
        <v>46278.85138888889</v>
      </c>
      <c r="G525" s="3" t="n">
        <v>46278.85097222222</v>
      </c>
      <c r="H525" t="inlineStr">
        <is>
          <t>Delivered</t>
        </is>
      </c>
      <c r="I525" t="n">
        <v>5</v>
      </c>
      <c r="J525" t="n">
        <v>11</v>
      </c>
      <c r="K525" t="n">
        <v>1467.68</v>
      </c>
      <c r="L525" t="n">
        <v>0.64</v>
      </c>
      <c r="M525" t="n">
        <v>3.3</v>
      </c>
      <c r="N525" t="n">
        <v>3.2</v>
      </c>
      <c r="O525" t="n">
        <v>2.9</v>
      </c>
      <c r="P525" t="n">
        <v>10</v>
      </c>
      <c r="Q525" t="n">
        <v>9.4</v>
      </c>
      <c r="R525" t="n">
        <v>-0.6</v>
      </c>
      <c r="S525" t="b">
        <v>1</v>
      </c>
      <c r="U525" t="n">
        <v>20</v>
      </c>
      <c r="V525" t="b">
        <v>1</v>
      </c>
      <c r="X525" t="b">
        <v>0</v>
      </c>
      <c r="Y525" t="n">
        <v>0.64</v>
      </c>
    </row>
    <row r="526">
      <c r="A526" t="inlineStr">
        <is>
          <t>O00525</t>
        </is>
      </c>
      <c r="B526" t="inlineStr">
        <is>
          <t>C0127</t>
        </is>
      </c>
      <c r="C526" t="inlineStr">
        <is>
          <t>S005</t>
        </is>
      </c>
      <c r="D526" t="inlineStr">
        <is>
          <t>R001</t>
        </is>
      </c>
      <c r="E526" s="3" t="n">
        <v>46276.73888888889</v>
      </c>
      <c r="F526" s="3" t="n">
        <v>46276.74715277777</v>
      </c>
      <c r="G526" s="3" t="n">
        <v>46276.74652777778</v>
      </c>
      <c r="H526" t="inlineStr">
        <is>
          <t>Delivered</t>
        </is>
      </c>
      <c r="I526" t="n">
        <v>5</v>
      </c>
      <c r="J526" t="n">
        <v>11</v>
      </c>
      <c r="K526" t="n">
        <v>476.83</v>
      </c>
      <c r="L526" t="n">
        <v>4.03</v>
      </c>
      <c r="M526" t="n">
        <v>2.6</v>
      </c>
      <c r="N526" t="n">
        <v>2.7</v>
      </c>
      <c r="O526" t="n">
        <v>5.7</v>
      </c>
      <c r="P526" t="n">
        <v>11.9</v>
      </c>
      <c r="Q526" t="n">
        <v>11</v>
      </c>
      <c r="R526" t="n">
        <v>-0.9</v>
      </c>
      <c r="S526" t="b">
        <v>1</v>
      </c>
      <c r="U526" t="n">
        <v>17</v>
      </c>
      <c r="V526" t="b">
        <v>0</v>
      </c>
      <c r="X526" t="b">
        <v>0</v>
      </c>
      <c r="Y526" t="n">
        <v>0.34</v>
      </c>
    </row>
    <row r="527">
      <c r="A527" t="inlineStr">
        <is>
          <t>O00526</t>
        </is>
      </c>
      <c r="B527" t="inlineStr">
        <is>
          <t>C0171</t>
        </is>
      </c>
      <c r="C527" t="inlineStr">
        <is>
          <t>S019</t>
        </is>
      </c>
      <c r="D527" t="inlineStr">
        <is>
          <t>R073</t>
        </is>
      </c>
      <c r="E527" s="3" t="n">
        <v>46274.83888888889</v>
      </c>
      <c r="F527" s="3" t="n">
        <v>46274.84520833333</v>
      </c>
      <c r="G527" s="3" t="n">
        <v>46274.84458333333</v>
      </c>
      <c r="H527" t="inlineStr">
        <is>
          <t>Delivered</t>
        </is>
      </c>
      <c r="I527" t="n">
        <v>1</v>
      </c>
      <c r="J527" t="n">
        <v>6</v>
      </c>
      <c r="K527" t="n">
        <v>512.95</v>
      </c>
      <c r="L527" t="n">
        <v>1.9</v>
      </c>
      <c r="M527" t="n">
        <v>2.4</v>
      </c>
      <c r="N527" t="n">
        <v>3.1</v>
      </c>
      <c r="O527" t="n">
        <v>2.7</v>
      </c>
      <c r="P527" t="n">
        <v>9.1</v>
      </c>
      <c r="Q527" t="n">
        <v>8.199999999999999</v>
      </c>
      <c r="R527" t="n">
        <v>-0.9</v>
      </c>
      <c r="S527" t="b">
        <v>1</v>
      </c>
      <c r="U527" t="n">
        <v>20</v>
      </c>
      <c r="V527" t="b">
        <v>1</v>
      </c>
      <c r="X527" t="b">
        <v>0</v>
      </c>
      <c r="Y527" t="n">
        <v>0.74</v>
      </c>
    </row>
    <row r="528">
      <c r="A528" t="inlineStr">
        <is>
          <t>O00527</t>
        </is>
      </c>
      <c r="B528" t="inlineStr">
        <is>
          <t>C0228</t>
        </is>
      </c>
      <c r="C528" t="inlineStr">
        <is>
          <t>S003</t>
        </is>
      </c>
      <c r="D528" t="inlineStr">
        <is>
          <t>R073</t>
        </is>
      </c>
      <c r="E528" s="3" t="n">
        <v>46277.76041666666</v>
      </c>
      <c r="F528" s="3" t="n">
        <v>46277.76680555556</v>
      </c>
      <c r="G528" s="3" t="n">
        <v>46277.76611111111</v>
      </c>
      <c r="H528" t="inlineStr">
        <is>
          <t>Delivered</t>
        </is>
      </c>
      <c r="I528" t="n">
        <v>5</v>
      </c>
      <c r="J528" t="n">
        <v>10</v>
      </c>
      <c r="K528" t="n">
        <v>606.42</v>
      </c>
      <c r="L528" t="n">
        <v>1.72</v>
      </c>
      <c r="M528" t="n">
        <v>2.2</v>
      </c>
      <c r="N528" t="n">
        <v>2.6</v>
      </c>
      <c r="O528" t="n">
        <v>3.4</v>
      </c>
      <c r="P528" t="n">
        <v>9.199999999999999</v>
      </c>
      <c r="Q528" t="n">
        <v>8.199999999999999</v>
      </c>
      <c r="R528" t="n">
        <v>-1</v>
      </c>
      <c r="S528" t="b">
        <v>1</v>
      </c>
      <c r="U528" t="n">
        <v>18</v>
      </c>
      <c r="V528" t="b">
        <v>0</v>
      </c>
      <c r="X528" t="b">
        <v>0</v>
      </c>
      <c r="Y528" t="n">
        <v>0.5600000000000001</v>
      </c>
    </row>
    <row r="529">
      <c r="A529" t="inlineStr">
        <is>
          <t>O00528</t>
        </is>
      </c>
      <c r="B529" t="inlineStr">
        <is>
          <t>C0078</t>
        </is>
      </c>
      <c r="C529" t="inlineStr">
        <is>
          <t>S003</t>
        </is>
      </c>
      <c r="D529" t="inlineStr">
        <is>
          <t>R028</t>
        </is>
      </c>
      <c r="E529" s="3" t="n">
        <v>46278.76666666667</v>
      </c>
      <c r="F529" s="3" t="n">
        <v>46278.77340277778</v>
      </c>
      <c r="G529" s="3" t="n">
        <v>46278.773125</v>
      </c>
      <c r="H529" t="inlineStr">
        <is>
          <t>Delivered</t>
        </is>
      </c>
      <c r="I529" t="n">
        <v>3</v>
      </c>
      <c r="J529" t="n">
        <v>5</v>
      </c>
      <c r="K529" t="n">
        <v>1041.97</v>
      </c>
      <c r="L529" t="n">
        <v>2.1</v>
      </c>
      <c r="M529" t="n">
        <v>3.3</v>
      </c>
      <c r="N529" t="n">
        <v>1.9</v>
      </c>
      <c r="O529" t="n">
        <v>4.1</v>
      </c>
      <c r="P529" t="n">
        <v>9.699999999999999</v>
      </c>
      <c r="Q529" t="n">
        <v>9.300000000000001</v>
      </c>
      <c r="R529" t="n">
        <v>-0.4</v>
      </c>
      <c r="S529" t="b">
        <v>1</v>
      </c>
      <c r="U529" t="n">
        <v>18</v>
      </c>
      <c r="V529" t="b">
        <v>0</v>
      </c>
      <c r="X529" t="b">
        <v>0</v>
      </c>
      <c r="Y529" t="n">
        <v>0.48</v>
      </c>
    </row>
    <row r="530">
      <c r="A530" t="inlineStr">
        <is>
          <t>O00529</t>
        </is>
      </c>
      <c r="B530" t="inlineStr">
        <is>
          <t>C0079</t>
        </is>
      </c>
      <c r="C530" t="inlineStr">
        <is>
          <t>S004</t>
        </is>
      </c>
      <c r="D530" t="inlineStr">
        <is>
          <t>R024</t>
        </is>
      </c>
      <c r="E530" s="3" t="n">
        <v>46275.82083333333</v>
      </c>
      <c r="F530" s="3" t="n">
        <v>46275.826875</v>
      </c>
      <c r="G530" s="3" t="n">
        <v>46275.82673611111</v>
      </c>
      <c r="H530" t="inlineStr">
        <is>
          <t>Delivered</t>
        </is>
      </c>
      <c r="I530" t="n">
        <v>2</v>
      </c>
      <c r="J530" t="n">
        <v>4</v>
      </c>
      <c r="K530" t="n">
        <v>1539.45</v>
      </c>
      <c r="L530" t="n">
        <v>2.85</v>
      </c>
      <c r="M530" t="n">
        <v>1.1</v>
      </c>
      <c r="N530" t="n">
        <v>4.3</v>
      </c>
      <c r="O530" t="n">
        <v>3.1</v>
      </c>
      <c r="P530" t="n">
        <v>8.699999999999999</v>
      </c>
      <c r="Q530" t="n">
        <v>8.5</v>
      </c>
      <c r="R530" t="n">
        <v>-0.2</v>
      </c>
      <c r="S530" t="b">
        <v>1</v>
      </c>
      <c r="U530" t="n">
        <v>19</v>
      </c>
      <c r="V530" t="b">
        <v>1</v>
      </c>
      <c r="X530" t="b">
        <v>0</v>
      </c>
      <c r="Y530" t="n">
        <v>0.86</v>
      </c>
    </row>
    <row r="531">
      <c r="A531" t="inlineStr">
        <is>
          <t>O00530</t>
        </is>
      </c>
      <c r="B531" t="inlineStr">
        <is>
          <t>C0157</t>
        </is>
      </c>
      <c r="C531" t="inlineStr">
        <is>
          <t>S007</t>
        </is>
      </c>
      <c r="D531" t="inlineStr">
        <is>
          <t>R073</t>
        </is>
      </c>
      <c r="E531" s="3" t="n">
        <v>46271.85347222222</v>
      </c>
      <c r="F531" s="3" t="n">
        <v>46271.85923611111</v>
      </c>
      <c r="G531" s="3" t="n">
        <v>46271.85902777778</v>
      </c>
      <c r="H531" t="inlineStr">
        <is>
          <t>Delivered</t>
        </is>
      </c>
      <c r="I531" t="n">
        <v>4</v>
      </c>
      <c r="J531" t="n">
        <v>5</v>
      </c>
      <c r="K531" t="n">
        <v>1540.14</v>
      </c>
      <c r="L531" t="n">
        <v>3.21</v>
      </c>
      <c r="M531" t="n">
        <v>1.6</v>
      </c>
      <c r="N531" t="n">
        <v>3.2</v>
      </c>
      <c r="O531" t="n">
        <v>3.2</v>
      </c>
      <c r="P531" t="n">
        <v>8.300000000000001</v>
      </c>
      <c r="Q531" t="n">
        <v>8</v>
      </c>
      <c r="R531" t="n">
        <v>-0.3</v>
      </c>
      <c r="S531" t="b">
        <v>1</v>
      </c>
      <c r="U531" t="n">
        <v>20</v>
      </c>
      <c r="V531" t="b">
        <v>1</v>
      </c>
      <c r="X531" t="b">
        <v>0</v>
      </c>
      <c r="Y531" t="n">
        <v>0.76</v>
      </c>
    </row>
    <row r="532">
      <c r="A532" t="inlineStr">
        <is>
          <t>O00531</t>
        </is>
      </c>
      <c r="B532" t="inlineStr">
        <is>
          <t>C0049</t>
        </is>
      </c>
      <c r="C532" t="inlineStr">
        <is>
          <t>S010</t>
        </is>
      </c>
      <c r="D532" t="inlineStr">
        <is>
          <t>R064</t>
        </is>
      </c>
      <c r="E532" s="3" t="n">
        <v>46270.60833333333</v>
      </c>
      <c r="F532" s="3" t="n">
        <v>46270.61513888889</v>
      </c>
      <c r="G532" s="3" t="n">
        <v>46270.61458333334</v>
      </c>
      <c r="H532" t="inlineStr">
        <is>
          <t>Delivered</t>
        </is>
      </c>
      <c r="I532" t="n">
        <v>4</v>
      </c>
      <c r="J532" t="n">
        <v>4</v>
      </c>
      <c r="K532" t="n">
        <v>479.65</v>
      </c>
      <c r="L532" t="n">
        <v>2.69</v>
      </c>
      <c r="M532" t="n">
        <v>2.9</v>
      </c>
      <c r="N532" t="n">
        <v>2.7</v>
      </c>
      <c r="O532" t="n">
        <v>3.4</v>
      </c>
      <c r="P532" t="n">
        <v>9.800000000000001</v>
      </c>
      <c r="Q532" t="n">
        <v>9</v>
      </c>
      <c r="R532" t="n">
        <v>-0.8</v>
      </c>
      <c r="S532" t="b">
        <v>1</v>
      </c>
      <c r="U532" t="n">
        <v>14</v>
      </c>
      <c r="V532" t="b">
        <v>0</v>
      </c>
      <c r="X532" t="b">
        <v>0</v>
      </c>
      <c r="Y532" t="n">
        <v>0.27</v>
      </c>
    </row>
    <row r="533">
      <c r="A533" t="inlineStr">
        <is>
          <t>O00532</t>
        </is>
      </c>
      <c r="B533" t="inlineStr">
        <is>
          <t>C0214</t>
        </is>
      </c>
      <c r="C533" t="inlineStr">
        <is>
          <t>S007</t>
        </is>
      </c>
      <c r="D533" t="inlineStr">
        <is>
          <t>R007</t>
        </is>
      </c>
      <c r="E533" s="3" t="n">
        <v>46273.84027777778</v>
      </c>
      <c r="F533" s="3" t="n">
        <v>46273.84743055556</v>
      </c>
      <c r="G533" s="3" t="n">
        <v>46273.84715277778</v>
      </c>
      <c r="H533" t="inlineStr">
        <is>
          <t>Delivered</t>
        </is>
      </c>
      <c r="I533" t="n">
        <v>1</v>
      </c>
      <c r="J533" t="n">
        <v>4</v>
      </c>
      <c r="K533" t="n">
        <v>1017.11</v>
      </c>
      <c r="L533" t="n">
        <v>0.93</v>
      </c>
      <c r="M533" t="n">
        <v>4.1</v>
      </c>
      <c r="N533" t="n">
        <v>2.3</v>
      </c>
      <c r="O533" t="n">
        <v>3.5</v>
      </c>
      <c r="P533" t="n">
        <v>10.3</v>
      </c>
      <c r="Q533" t="n">
        <v>9.9</v>
      </c>
      <c r="R533" t="n">
        <v>-0.4</v>
      </c>
      <c r="S533" t="b">
        <v>1</v>
      </c>
      <c r="U533" t="n">
        <v>20</v>
      </c>
      <c r="V533" t="b">
        <v>1</v>
      </c>
      <c r="X533" t="b">
        <v>0</v>
      </c>
      <c r="Y533" t="n">
        <v>0.68</v>
      </c>
    </row>
    <row r="534">
      <c r="A534" t="inlineStr">
        <is>
          <t>O00533</t>
        </is>
      </c>
      <c r="B534" t="inlineStr">
        <is>
          <t>C0087</t>
        </is>
      </c>
      <c r="C534" t="inlineStr">
        <is>
          <t>S020</t>
        </is>
      </c>
      <c r="D534" t="inlineStr">
        <is>
          <t>R046</t>
        </is>
      </c>
      <c r="E534" s="3" t="n">
        <v>46275.64652777778</v>
      </c>
      <c r="F534" s="3" t="n">
        <v>46275.65527777778</v>
      </c>
      <c r="G534" s="3" t="n">
        <v>46275.66326388889</v>
      </c>
      <c r="H534" t="inlineStr">
        <is>
          <t>Delivered</t>
        </is>
      </c>
      <c r="I534" t="n">
        <v>3</v>
      </c>
      <c r="J534" t="n">
        <v>7</v>
      </c>
      <c r="K534" t="n">
        <v>923.29</v>
      </c>
      <c r="L534" t="n">
        <v>3.74</v>
      </c>
      <c r="M534" t="n">
        <v>6.7</v>
      </c>
      <c r="N534" t="n">
        <v>5.5</v>
      </c>
      <c r="O534" t="n">
        <v>11.9</v>
      </c>
      <c r="P534" t="n">
        <v>12.6</v>
      </c>
      <c r="Q534" t="n">
        <v>24.1</v>
      </c>
      <c r="R534" t="n">
        <v>11.5</v>
      </c>
      <c r="S534" t="b">
        <v>0</v>
      </c>
      <c r="U534" t="n">
        <v>15</v>
      </c>
      <c r="V534" t="b">
        <v>0</v>
      </c>
      <c r="W534" t="inlineStr">
        <is>
          <t>Heavy</t>
        </is>
      </c>
      <c r="X534" t="b">
        <v>0</v>
      </c>
      <c r="Y534" t="n">
        <v>0.34</v>
      </c>
    </row>
    <row r="535">
      <c r="A535" t="inlineStr">
        <is>
          <t>O00534</t>
        </is>
      </c>
      <c r="B535" t="inlineStr">
        <is>
          <t>C0202</t>
        </is>
      </c>
      <c r="C535" t="inlineStr">
        <is>
          <t>S009</t>
        </is>
      </c>
      <c r="D535" t="inlineStr">
        <is>
          <t>R006</t>
        </is>
      </c>
      <c r="E535" s="3" t="n">
        <v>46269.8625</v>
      </c>
      <c r="F535" s="3" t="n">
        <v>46269.86888888889</v>
      </c>
      <c r="G535" s="3" t="n">
        <v>46269.87430555555</v>
      </c>
      <c r="H535" t="inlineStr">
        <is>
          <t>Delivered</t>
        </is>
      </c>
      <c r="I535" t="n">
        <v>6</v>
      </c>
      <c r="J535" t="n">
        <v>6</v>
      </c>
      <c r="K535" t="n">
        <v>948.29</v>
      </c>
      <c r="L535" t="n">
        <v>1.58</v>
      </c>
      <c r="M535" t="n">
        <v>4.3</v>
      </c>
      <c r="N535" t="n">
        <v>7.6</v>
      </c>
      <c r="O535" t="n">
        <v>5.1</v>
      </c>
      <c r="P535" t="n">
        <v>9.199999999999999</v>
      </c>
      <c r="Q535" t="n">
        <v>17</v>
      </c>
      <c r="R535" t="n">
        <v>7.8</v>
      </c>
      <c r="S535" t="b">
        <v>0</v>
      </c>
      <c r="U535" t="n">
        <v>20</v>
      </c>
      <c r="V535" t="b">
        <v>1</v>
      </c>
      <c r="X535" t="b">
        <v>0</v>
      </c>
      <c r="Y535" t="n">
        <v>0.54</v>
      </c>
    </row>
    <row r="536">
      <c r="A536" t="inlineStr">
        <is>
          <t>O00535</t>
        </is>
      </c>
      <c r="B536" t="inlineStr">
        <is>
          <t>C0185</t>
        </is>
      </c>
      <c r="C536" t="inlineStr">
        <is>
          <t>S005</t>
        </is>
      </c>
      <c r="D536" t="inlineStr">
        <is>
          <t>R019</t>
        </is>
      </c>
      <c r="E536" s="3" t="n">
        <v>46266.35972222222</v>
      </c>
      <c r="F536" s="3" t="n">
        <v>46266.36590277778</v>
      </c>
      <c r="G536" s="3" t="n">
        <v>46266.36548611111</v>
      </c>
      <c r="H536" t="inlineStr">
        <is>
          <t>Delivered</t>
        </is>
      </c>
      <c r="I536" t="n">
        <v>4</v>
      </c>
      <c r="J536" t="n">
        <v>6</v>
      </c>
      <c r="K536" t="n">
        <v>1040.42</v>
      </c>
      <c r="L536" t="n">
        <v>1.2</v>
      </c>
      <c r="M536" t="n">
        <v>3.5</v>
      </c>
      <c r="N536" t="n">
        <v>2.6</v>
      </c>
      <c r="O536" t="n">
        <v>2.2</v>
      </c>
      <c r="P536" t="n">
        <v>8.9</v>
      </c>
      <c r="Q536" t="n">
        <v>8.300000000000001</v>
      </c>
      <c r="R536" t="n">
        <v>-0.6</v>
      </c>
      <c r="S536" t="b">
        <v>1</v>
      </c>
      <c r="U536" t="n">
        <v>8</v>
      </c>
      <c r="V536" t="b">
        <v>0</v>
      </c>
      <c r="X536" t="b">
        <v>0</v>
      </c>
      <c r="Y536" t="n">
        <v>0.32</v>
      </c>
    </row>
    <row r="537">
      <c r="A537" t="inlineStr">
        <is>
          <t>O00536</t>
        </is>
      </c>
      <c r="B537" t="inlineStr">
        <is>
          <t>C0241</t>
        </is>
      </c>
      <c r="C537" t="inlineStr">
        <is>
          <t>S003</t>
        </is>
      </c>
      <c r="D537" t="inlineStr">
        <is>
          <t>R033</t>
        </is>
      </c>
      <c r="E537" s="3" t="n">
        <v>46269.43680555555</v>
      </c>
      <c r="F537" s="3" t="n">
        <v>46269.44423611111</v>
      </c>
      <c r="G537" s="3" t="n">
        <v>46269.44361111111</v>
      </c>
      <c r="H537" t="inlineStr">
        <is>
          <t>Delivered</t>
        </is>
      </c>
      <c r="I537" t="n">
        <v>4</v>
      </c>
      <c r="J537" t="n">
        <v>5</v>
      </c>
      <c r="K537" t="n">
        <v>701.34</v>
      </c>
      <c r="L537" t="n">
        <v>0.5</v>
      </c>
      <c r="M537" t="n">
        <v>4.6</v>
      </c>
      <c r="N537" t="n">
        <v>3.3</v>
      </c>
      <c r="O537" t="n">
        <v>2</v>
      </c>
      <c r="P537" t="n">
        <v>10.7</v>
      </c>
      <c r="Q537" t="n">
        <v>9.800000000000001</v>
      </c>
      <c r="R537" t="n">
        <v>-0.9</v>
      </c>
      <c r="S537" t="b">
        <v>1</v>
      </c>
      <c r="U537" t="n">
        <v>10</v>
      </c>
      <c r="V537" t="b">
        <v>0</v>
      </c>
      <c r="X537" t="b">
        <v>0</v>
      </c>
      <c r="Y537" t="n">
        <v>0</v>
      </c>
    </row>
    <row r="538">
      <c r="A538" t="inlineStr">
        <is>
          <t>O00537</t>
        </is>
      </c>
      <c r="B538" t="inlineStr">
        <is>
          <t>C0084</t>
        </is>
      </c>
      <c r="C538" t="inlineStr">
        <is>
          <t>S005</t>
        </is>
      </c>
      <c r="D538" t="inlineStr">
        <is>
          <t>R008</t>
        </is>
      </c>
      <c r="E538" s="3" t="n">
        <v>46279.50138888889</v>
      </c>
      <c r="F538" s="3" t="n">
        <v>46279.50895833333</v>
      </c>
      <c r="G538" s="3" t="n">
        <v>46279.50868055555</v>
      </c>
      <c r="H538" t="inlineStr">
        <is>
          <t>Delivered</t>
        </is>
      </c>
      <c r="I538" t="n">
        <v>5</v>
      </c>
      <c r="J538" t="n">
        <v>5</v>
      </c>
      <c r="K538" t="n">
        <v>416.63</v>
      </c>
      <c r="L538" t="n">
        <v>3.08</v>
      </c>
      <c r="M538" t="n">
        <v>3.1</v>
      </c>
      <c r="N538" t="n">
        <v>2.9</v>
      </c>
      <c r="O538" t="n">
        <v>4.5</v>
      </c>
      <c r="P538" t="n">
        <v>10.9</v>
      </c>
      <c r="Q538" t="n">
        <v>10.5</v>
      </c>
      <c r="R538" t="n">
        <v>-0.4</v>
      </c>
      <c r="S538" t="b">
        <v>1</v>
      </c>
      <c r="U538" t="n">
        <v>12</v>
      </c>
      <c r="V538" t="b">
        <v>0</v>
      </c>
      <c r="X538" t="b">
        <v>0</v>
      </c>
      <c r="Y538" t="n">
        <v>0.22</v>
      </c>
    </row>
    <row r="539">
      <c r="A539" t="inlineStr">
        <is>
          <t>O00538</t>
        </is>
      </c>
      <c r="B539" t="inlineStr">
        <is>
          <t>C0003</t>
        </is>
      </c>
      <c r="C539" t="inlineStr">
        <is>
          <t>S007</t>
        </is>
      </c>
      <c r="D539" t="inlineStr">
        <is>
          <t>R067</t>
        </is>
      </c>
      <c r="E539" s="3" t="n">
        <v>46267.37361111111</v>
      </c>
      <c r="F539" s="3" t="n">
        <v>46267.380625</v>
      </c>
      <c r="G539" s="3" t="n">
        <v>46267.38</v>
      </c>
      <c r="H539" t="inlineStr">
        <is>
          <t>Delivered</t>
        </is>
      </c>
      <c r="I539" t="n">
        <v>4</v>
      </c>
      <c r="J539" t="n">
        <v>8</v>
      </c>
      <c r="K539" t="n">
        <v>1213.33</v>
      </c>
      <c r="L539" t="n">
        <v>0.5</v>
      </c>
      <c r="M539" t="n">
        <v>4.1</v>
      </c>
      <c r="N539" t="n">
        <v>3.2</v>
      </c>
      <c r="O539" t="n">
        <v>1.9</v>
      </c>
      <c r="P539" t="n">
        <v>10.1</v>
      </c>
      <c r="Q539" t="n">
        <v>9.199999999999999</v>
      </c>
      <c r="R539" t="n">
        <v>-0.9</v>
      </c>
      <c r="S539" t="b">
        <v>1</v>
      </c>
      <c r="U539" t="n">
        <v>8</v>
      </c>
      <c r="V539" t="b">
        <v>0</v>
      </c>
      <c r="X539" t="b">
        <v>0</v>
      </c>
      <c r="Y539" t="n">
        <v>0.55</v>
      </c>
    </row>
    <row r="540">
      <c r="A540" t="inlineStr">
        <is>
          <t>O00539</t>
        </is>
      </c>
      <c r="B540" t="inlineStr">
        <is>
          <t>C0247</t>
        </is>
      </c>
      <c r="C540" t="inlineStr">
        <is>
          <t>S008</t>
        </is>
      </c>
      <c r="D540" t="inlineStr">
        <is>
          <t>R080</t>
        </is>
      </c>
      <c r="E540" s="3" t="n">
        <v>46266.42152777778</v>
      </c>
      <c r="F540" s="3" t="n">
        <v>46266.42923611111</v>
      </c>
      <c r="G540" s="3" t="n">
        <v>46266.42861111111</v>
      </c>
      <c r="H540" t="inlineStr">
        <is>
          <t>Delivered</t>
        </is>
      </c>
      <c r="I540" t="n">
        <v>6</v>
      </c>
      <c r="J540" t="n">
        <v>6</v>
      </c>
      <c r="K540" t="n">
        <v>1243.16</v>
      </c>
      <c r="L540" t="n">
        <v>2.87</v>
      </c>
      <c r="M540" t="n">
        <v>2.5</v>
      </c>
      <c r="N540" t="n">
        <v>2.4</v>
      </c>
      <c r="O540" t="n">
        <v>5.3</v>
      </c>
      <c r="P540" t="n">
        <v>11.1</v>
      </c>
      <c r="Q540" t="n">
        <v>10.2</v>
      </c>
      <c r="R540" t="n">
        <v>-0.9</v>
      </c>
      <c r="S540" t="b">
        <v>1</v>
      </c>
      <c r="U540" t="n">
        <v>10</v>
      </c>
      <c r="V540" t="b">
        <v>0</v>
      </c>
      <c r="X540" t="b">
        <v>0</v>
      </c>
      <c r="Y540" t="n">
        <v>0.27</v>
      </c>
    </row>
    <row r="541">
      <c r="A541" t="inlineStr">
        <is>
          <t>O00540</t>
        </is>
      </c>
      <c r="B541" t="inlineStr">
        <is>
          <t>C0004</t>
        </is>
      </c>
      <c r="C541" t="inlineStr">
        <is>
          <t>S004</t>
        </is>
      </c>
      <c r="D541" t="inlineStr">
        <is>
          <t>R042</t>
        </is>
      </c>
      <c r="E541" s="3" t="n">
        <v>46277.56527777778</v>
      </c>
      <c r="F541" s="3" t="n">
        <v>46277.57284722223</v>
      </c>
      <c r="G541" s="3" t="n">
        <v>46277.57256944444</v>
      </c>
      <c r="H541" t="inlineStr">
        <is>
          <t>Delivered</t>
        </is>
      </c>
      <c r="I541" t="n">
        <v>1</v>
      </c>
      <c r="J541" t="n">
        <v>10</v>
      </c>
      <c r="K541" t="n">
        <v>508.99</v>
      </c>
      <c r="L541" t="n">
        <v>3.3</v>
      </c>
      <c r="M541" t="n">
        <v>3.1</v>
      </c>
      <c r="N541" t="n">
        <v>0</v>
      </c>
      <c r="O541" t="n">
        <v>7.4</v>
      </c>
      <c r="P541" t="n">
        <v>10.9</v>
      </c>
      <c r="Q541" t="n">
        <v>10.5</v>
      </c>
      <c r="R541" t="n">
        <v>-0.4</v>
      </c>
      <c r="S541" t="b">
        <v>1</v>
      </c>
      <c r="U541" t="n">
        <v>13</v>
      </c>
      <c r="V541" t="b">
        <v>0</v>
      </c>
      <c r="X541" t="b">
        <v>0</v>
      </c>
      <c r="Y541" t="n">
        <v>0.51</v>
      </c>
    </row>
    <row r="542">
      <c r="A542" t="inlineStr">
        <is>
          <t>O00541</t>
        </is>
      </c>
      <c r="B542" t="inlineStr">
        <is>
          <t>C0107</t>
        </is>
      </c>
      <c r="C542" t="inlineStr">
        <is>
          <t>S001</t>
        </is>
      </c>
      <c r="D542" t="inlineStr">
        <is>
          <t>R076</t>
        </is>
      </c>
      <c r="E542" s="3" t="n">
        <v>46268.38819444444</v>
      </c>
      <c r="F542" s="3" t="n">
        <v>46268.39597222222</v>
      </c>
      <c r="G542" s="3" t="n">
        <v>46268.39576388889</v>
      </c>
      <c r="H542" t="inlineStr">
        <is>
          <t>Delivered</t>
        </is>
      </c>
      <c r="I542" t="n">
        <v>1</v>
      </c>
      <c r="J542" t="n">
        <v>7</v>
      </c>
      <c r="K542" t="n">
        <v>555.4400000000001</v>
      </c>
      <c r="L542" t="n">
        <v>1.48</v>
      </c>
      <c r="M542" t="n">
        <v>3.1</v>
      </c>
      <c r="N542" t="n">
        <v>4.5</v>
      </c>
      <c r="O542" t="n">
        <v>3.3</v>
      </c>
      <c r="P542" t="n">
        <v>11.2</v>
      </c>
      <c r="Q542" t="n">
        <v>10.9</v>
      </c>
      <c r="R542" t="n">
        <v>-0.3</v>
      </c>
      <c r="S542" t="b">
        <v>1</v>
      </c>
      <c r="U542" t="n">
        <v>9</v>
      </c>
      <c r="V542" t="b">
        <v>0</v>
      </c>
      <c r="X542" t="b">
        <v>1</v>
      </c>
      <c r="Y542" t="n">
        <v>0.62</v>
      </c>
    </row>
    <row r="543">
      <c r="A543" t="inlineStr">
        <is>
          <t>O00542</t>
        </is>
      </c>
      <c r="B543" t="inlineStr">
        <is>
          <t>C0102</t>
        </is>
      </c>
      <c r="C543" t="inlineStr">
        <is>
          <t>S005</t>
        </is>
      </c>
      <c r="D543" t="inlineStr">
        <is>
          <t>R044</t>
        </is>
      </c>
      <c r="E543" s="3" t="n">
        <v>46270.73680555556</v>
      </c>
      <c r="F543" s="3" t="n">
        <v>46270.74416666666</v>
      </c>
      <c r="G543" s="3" t="n">
        <v>46270.74819444444</v>
      </c>
      <c r="H543" t="inlineStr">
        <is>
          <t>Delivered</t>
        </is>
      </c>
      <c r="I543" t="n">
        <v>5</v>
      </c>
      <c r="J543" t="n">
        <v>11</v>
      </c>
      <c r="K543" t="n">
        <v>415.92</v>
      </c>
      <c r="L543" t="n">
        <v>0.7</v>
      </c>
      <c r="M543" t="n">
        <v>6.8</v>
      </c>
      <c r="N543" t="n">
        <v>6.6</v>
      </c>
      <c r="O543" t="n">
        <v>3</v>
      </c>
      <c r="P543" t="n">
        <v>10.6</v>
      </c>
      <c r="Q543" t="n">
        <v>16.4</v>
      </c>
      <c r="R543" t="n">
        <v>5.8</v>
      </c>
      <c r="S543" t="b">
        <v>0</v>
      </c>
      <c r="U543" t="n">
        <v>17</v>
      </c>
      <c r="V543" t="b">
        <v>0</v>
      </c>
      <c r="X543" t="b">
        <v>0</v>
      </c>
      <c r="Y543" t="n">
        <v>0.59</v>
      </c>
    </row>
    <row r="544">
      <c r="A544" t="inlineStr">
        <is>
          <t>O00543</t>
        </is>
      </c>
      <c r="B544" t="inlineStr">
        <is>
          <t>C0017</t>
        </is>
      </c>
      <c r="C544" t="inlineStr">
        <is>
          <t>S002</t>
        </is>
      </c>
      <c r="D544" t="inlineStr">
        <is>
          <t>R024</t>
        </is>
      </c>
      <c r="E544" s="3" t="n">
        <v>46278.86180555556</v>
      </c>
      <c r="F544" s="3" t="n">
        <v>46278.86916666666</v>
      </c>
      <c r="G544" s="3" t="n">
        <v>46278.86861111111</v>
      </c>
      <c r="H544" t="inlineStr">
        <is>
          <t>Delivered</t>
        </is>
      </c>
      <c r="I544" t="n">
        <v>1</v>
      </c>
      <c r="J544" t="n">
        <v>7</v>
      </c>
      <c r="K544" t="n">
        <v>1288.11</v>
      </c>
      <c r="L544" t="n">
        <v>3.69</v>
      </c>
      <c r="M544" t="n">
        <v>1.5</v>
      </c>
      <c r="N544" t="n">
        <v>3.9</v>
      </c>
      <c r="O544" t="n">
        <v>4.4</v>
      </c>
      <c r="P544" t="n">
        <v>10.6</v>
      </c>
      <c r="Q544" t="n">
        <v>9.800000000000001</v>
      </c>
      <c r="R544" t="n">
        <v>-0.8</v>
      </c>
      <c r="S544" t="b">
        <v>1</v>
      </c>
      <c r="U544" t="n">
        <v>20</v>
      </c>
      <c r="V544" t="b">
        <v>1</v>
      </c>
      <c r="X544" t="b">
        <v>0</v>
      </c>
      <c r="Y544" t="n">
        <v>0.65</v>
      </c>
    </row>
    <row r="545">
      <c r="A545" t="inlineStr">
        <is>
          <t>O00544</t>
        </is>
      </c>
      <c r="B545" t="inlineStr">
        <is>
          <t>C0126</t>
        </is>
      </c>
      <c r="C545" t="inlineStr">
        <is>
          <t>S003</t>
        </is>
      </c>
      <c r="D545" t="inlineStr">
        <is>
          <t>R048</t>
        </is>
      </c>
      <c r="E545" s="3" t="n">
        <v>46268.92291666667</v>
      </c>
      <c r="F545" s="3" t="n">
        <v>46268.92944444445</v>
      </c>
      <c r="G545" s="3" t="n">
        <v>46268.93013888889</v>
      </c>
      <c r="H545" t="inlineStr">
        <is>
          <t>Delivered</t>
        </is>
      </c>
      <c r="I545" t="n">
        <v>1</v>
      </c>
      <c r="J545" t="n">
        <v>4</v>
      </c>
      <c r="K545" t="n">
        <v>632.04</v>
      </c>
      <c r="L545" t="n">
        <v>0.5</v>
      </c>
      <c r="M545" t="n">
        <v>3.7</v>
      </c>
      <c r="N545" t="n">
        <v>3.6</v>
      </c>
      <c r="O545" t="n">
        <v>3.1</v>
      </c>
      <c r="P545" t="n">
        <v>9.4</v>
      </c>
      <c r="Q545" t="n">
        <v>10.4</v>
      </c>
      <c r="R545" t="n">
        <v>1</v>
      </c>
      <c r="S545" t="b">
        <v>0</v>
      </c>
      <c r="U545" t="n">
        <v>22</v>
      </c>
      <c r="V545" t="b">
        <v>0</v>
      </c>
      <c r="X545" t="b">
        <v>0</v>
      </c>
      <c r="Y545" t="n">
        <v>0.68</v>
      </c>
    </row>
    <row r="546">
      <c r="A546" t="inlineStr">
        <is>
          <t>O00545</t>
        </is>
      </c>
      <c r="B546" t="inlineStr">
        <is>
          <t>C0146</t>
        </is>
      </c>
      <c r="C546" t="inlineStr">
        <is>
          <t>S017</t>
        </is>
      </c>
      <c r="D546" t="inlineStr">
        <is>
          <t>R036</t>
        </is>
      </c>
      <c r="E546" s="3" t="n">
        <v>46268.83125</v>
      </c>
      <c r="F546" s="3" t="n">
        <v>46268.83840277778</v>
      </c>
      <c r="G546" s="3" t="n">
        <v>46268.83819444444</v>
      </c>
      <c r="H546" t="inlineStr">
        <is>
          <t>Delivered</t>
        </is>
      </c>
      <c r="I546" t="n">
        <v>2</v>
      </c>
      <c r="J546" t="n">
        <v>4</v>
      </c>
      <c r="K546" t="n">
        <v>956.22</v>
      </c>
      <c r="L546" t="n">
        <v>0.5</v>
      </c>
      <c r="M546" t="n">
        <v>3.3</v>
      </c>
      <c r="N546" t="n">
        <v>4.7</v>
      </c>
      <c r="O546" t="n">
        <v>2</v>
      </c>
      <c r="P546" t="n">
        <v>10.3</v>
      </c>
      <c r="Q546" t="n">
        <v>10</v>
      </c>
      <c r="R546" t="n">
        <v>-0.3</v>
      </c>
      <c r="S546" t="b">
        <v>1</v>
      </c>
      <c r="U546" t="n">
        <v>19</v>
      </c>
      <c r="V546" t="b">
        <v>1</v>
      </c>
      <c r="X546" t="b">
        <v>0</v>
      </c>
      <c r="Y546" t="n">
        <v>0.38</v>
      </c>
    </row>
    <row r="547">
      <c r="A547" t="inlineStr">
        <is>
          <t>O00546</t>
        </is>
      </c>
      <c r="B547" t="inlineStr">
        <is>
          <t>C0055</t>
        </is>
      </c>
      <c r="C547" t="inlineStr">
        <is>
          <t>S007</t>
        </is>
      </c>
      <c r="D547" t="inlineStr">
        <is>
          <t>R035</t>
        </is>
      </c>
      <c r="E547" s="3" t="n">
        <v>46274.39513888889</v>
      </c>
      <c r="F547" s="3" t="n">
        <v>46274.40055555556</v>
      </c>
      <c r="G547" s="3" t="n">
        <v>46274.40027777778</v>
      </c>
      <c r="H547" t="inlineStr">
        <is>
          <t>Delivered</t>
        </is>
      </c>
      <c r="I547" t="n">
        <v>2</v>
      </c>
      <c r="J547" t="n">
        <v>3</v>
      </c>
      <c r="K547" t="n">
        <v>922.99</v>
      </c>
      <c r="L547" t="n">
        <v>0.93</v>
      </c>
      <c r="M547" t="n">
        <v>2.4</v>
      </c>
      <c r="N547" t="n">
        <v>3.8</v>
      </c>
      <c r="O547" t="n">
        <v>1.2</v>
      </c>
      <c r="P547" t="n">
        <v>7.8</v>
      </c>
      <c r="Q547" t="n">
        <v>7.4</v>
      </c>
      <c r="R547" t="n">
        <v>-0.4</v>
      </c>
      <c r="S547" t="b">
        <v>1</v>
      </c>
      <c r="U547" t="n">
        <v>9</v>
      </c>
      <c r="V547" t="b">
        <v>0</v>
      </c>
      <c r="X547" t="b">
        <v>1</v>
      </c>
      <c r="Y547" t="n">
        <v>0.34</v>
      </c>
    </row>
    <row r="548">
      <c r="A548" t="inlineStr">
        <is>
          <t>O00547</t>
        </is>
      </c>
      <c r="B548" t="inlineStr">
        <is>
          <t>C0041</t>
        </is>
      </c>
      <c r="C548" t="inlineStr">
        <is>
          <t>S016</t>
        </is>
      </c>
      <c r="D548" t="inlineStr">
        <is>
          <t>R033</t>
        </is>
      </c>
      <c r="E548" s="3" t="n">
        <v>46275.52777777778</v>
      </c>
      <c r="F548" s="3" t="n">
        <v>46275.53479166667</v>
      </c>
      <c r="G548" s="3" t="n">
        <v>46275.53402777778</v>
      </c>
      <c r="H548" t="inlineStr">
        <is>
          <t>Delivered</t>
        </is>
      </c>
      <c r="I548" t="n">
        <v>6</v>
      </c>
      <c r="J548" t="n">
        <v>7</v>
      </c>
      <c r="K548" t="n">
        <v>614.21</v>
      </c>
      <c r="L548" t="n">
        <v>1.65</v>
      </c>
      <c r="M548" t="n">
        <v>3.5</v>
      </c>
      <c r="N548" t="n">
        <v>2</v>
      </c>
      <c r="O548" t="n">
        <v>3.5</v>
      </c>
      <c r="P548" t="n">
        <v>10.1</v>
      </c>
      <c r="Q548" t="n">
        <v>9</v>
      </c>
      <c r="R548" t="n">
        <v>-1.1</v>
      </c>
      <c r="S548" t="b">
        <v>1</v>
      </c>
      <c r="U548" t="n">
        <v>12</v>
      </c>
      <c r="V548" t="b">
        <v>0</v>
      </c>
      <c r="X548" t="b">
        <v>0</v>
      </c>
      <c r="Y548" t="n">
        <v>0.77</v>
      </c>
    </row>
    <row r="549">
      <c r="A549" t="inlineStr">
        <is>
          <t>O00548</t>
        </is>
      </c>
      <c r="B549" t="inlineStr">
        <is>
          <t>C0229</t>
        </is>
      </c>
      <c r="C549" t="inlineStr">
        <is>
          <t>S009</t>
        </is>
      </c>
      <c r="D549" t="inlineStr">
        <is>
          <t>R076</t>
        </is>
      </c>
      <c r="E549" s="3" t="n">
        <v>46276.66805555556</v>
      </c>
      <c r="F549" s="3" t="n">
        <v>46276.67569444444</v>
      </c>
      <c r="G549" s="3" t="n">
        <v>46276.67729166667</v>
      </c>
      <c r="H549" t="inlineStr">
        <is>
          <t>Delivered</t>
        </is>
      </c>
      <c r="I549" t="n">
        <v>6</v>
      </c>
      <c r="J549" t="n">
        <v>6</v>
      </c>
      <c r="K549" t="n">
        <v>1089.58</v>
      </c>
      <c r="L549" t="n">
        <v>2.45</v>
      </c>
      <c r="M549" t="n">
        <v>2.3</v>
      </c>
      <c r="N549" t="n">
        <v>5.9</v>
      </c>
      <c r="O549" t="n">
        <v>5.1</v>
      </c>
      <c r="P549" t="n">
        <v>11</v>
      </c>
      <c r="Q549" t="n">
        <v>13.3</v>
      </c>
      <c r="R549" t="n">
        <v>2.3</v>
      </c>
      <c r="S549" t="b">
        <v>0</v>
      </c>
      <c r="U549" t="n">
        <v>16</v>
      </c>
      <c r="V549" t="b">
        <v>0</v>
      </c>
      <c r="X549" t="b">
        <v>0</v>
      </c>
      <c r="Y549" t="n">
        <v>0.22</v>
      </c>
    </row>
    <row r="550">
      <c r="A550" t="inlineStr">
        <is>
          <t>O00549</t>
        </is>
      </c>
      <c r="B550" t="inlineStr">
        <is>
          <t>C0066</t>
        </is>
      </c>
      <c r="C550" t="inlineStr">
        <is>
          <t>S014</t>
        </is>
      </c>
      <c r="D550" t="inlineStr">
        <is>
          <t>R006</t>
        </is>
      </c>
      <c r="E550" s="3" t="n">
        <v>46271.5375</v>
      </c>
      <c r="F550" s="3" t="n">
        <v>46271.545</v>
      </c>
      <c r="G550" s="3" t="n">
        <v>46271.54486111111</v>
      </c>
      <c r="H550" t="inlineStr">
        <is>
          <t>Delivered</t>
        </is>
      </c>
      <c r="I550" t="n">
        <v>2</v>
      </c>
      <c r="J550" t="n">
        <v>7</v>
      </c>
      <c r="K550" t="n">
        <v>1296.82</v>
      </c>
      <c r="L550" t="n">
        <v>1.86</v>
      </c>
      <c r="M550" t="n">
        <v>3.9</v>
      </c>
      <c r="N550" t="n">
        <v>3.8</v>
      </c>
      <c r="O550" t="n">
        <v>2.9</v>
      </c>
      <c r="P550" t="n">
        <v>10.8</v>
      </c>
      <c r="Q550" t="n">
        <v>10.6</v>
      </c>
      <c r="R550" t="n">
        <v>-0.2</v>
      </c>
      <c r="S550" t="b">
        <v>1</v>
      </c>
      <c r="U550" t="n">
        <v>12</v>
      </c>
      <c r="V550" t="b">
        <v>0</v>
      </c>
      <c r="X550" t="b">
        <v>0</v>
      </c>
      <c r="Y550" t="n">
        <v>0.57</v>
      </c>
    </row>
    <row r="551">
      <c r="A551" t="inlineStr">
        <is>
          <t>O00550</t>
        </is>
      </c>
      <c r="B551" t="inlineStr">
        <is>
          <t>C0225</t>
        </is>
      </c>
      <c r="C551" t="inlineStr">
        <is>
          <t>S004</t>
        </is>
      </c>
      <c r="D551" t="inlineStr">
        <is>
          <t>R024</t>
        </is>
      </c>
      <c r="E551" s="3" t="n">
        <v>46272.68680555555</v>
      </c>
      <c r="F551" s="3" t="n">
        <v>46272.69486111111</v>
      </c>
      <c r="G551" s="3" t="n">
        <v>46272.69666666666</v>
      </c>
      <c r="H551" t="inlineStr">
        <is>
          <t>Delivered</t>
        </is>
      </c>
      <c r="I551" t="n">
        <v>5</v>
      </c>
      <c r="J551" t="n">
        <v>7</v>
      </c>
      <c r="K551" t="n">
        <v>363.39</v>
      </c>
      <c r="L551" t="n">
        <v>2.62</v>
      </c>
      <c r="M551" t="n">
        <v>2.3</v>
      </c>
      <c r="N551" t="n">
        <v>4.8</v>
      </c>
      <c r="O551" t="n">
        <v>7.1</v>
      </c>
      <c r="P551" t="n">
        <v>11.6</v>
      </c>
      <c r="Q551" t="n">
        <v>14.2</v>
      </c>
      <c r="R551" t="n">
        <v>2.6</v>
      </c>
      <c r="S551" t="b">
        <v>0</v>
      </c>
      <c r="U551" t="n">
        <v>16</v>
      </c>
      <c r="V551" t="b">
        <v>0</v>
      </c>
      <c r="X551" t="b">
        <v>0</v>
      </c>
      <c r="Y551" t="n">
        <v>0.49</v>
      </c>
    </row>
    <row r="552">
      <c r="A552" t="inlineStr">
        <is>
          <t>O00551</t>
        </is>
      </c>
      <c r="B552" t="inlineStr">
        <is>
          <t>C0072</t>
        </is>
      </c>
      <c r="C552" t="inlineStr">
        <is>
          <t>S016</t>
        </is>
      </c>
      <c r="D552" t="inlineStr">
        <is>
          <t>R001</t>
        </is>
      </c>
      <c r="E552" s="3" t="n">
        <v>46268.49236111111</v>
      </c>
      <c r="F552" s="3" t="n">
        <v>46268.50090277778</v>
      </c>
      <c r="G552" s="3" t="n">
        <v>46268.50583333334</v>
      </c>
      <c r="H552" t="inlineStr">
        <is>
          <t>Delivered</t>
        </is>
      </c>
      <c r="I552" t="n">
        <v>5</v>
      </c>
      <c r="J552" t="n">
        <v>5</v>
      </c>
      <c r="K552" t="n">
        <v>1060.64</v>
      </c>
      <c r="L552" t="n">
        <v>2.16</v>
      </c>
      <c r="M552" t="n">
        <v>7.2</v>
      </c>
      <c r="N552" t="n">
        <v>5.5</v>
      </c>
      <c r="O552" t="n">
        <v>6.7</v>
      </c>
      <c r="P552" t="n">
        <v>12.3</v>
      </c>
      <c r="Q552" t="n">
        <v>19.4</v>
      </c>
      <c r="R552" t="n">
        <v>7.1</v>
      </c>
      <c r="S552" t="b">
        <v>0</v>
      </c>
      <c r="U552" t="n">
        <v>11</v>
      </c>
      <c r="V552" t="b">
        <v>0</v>
      </c>
      <c r="W552" t="inlineStr">
        <is>
          <t>Heavy</t>
        </is>
      </c>
      <c r="X552" t="b">
        <v>0</v>
      </c>
      <c r="Y552" t="n">
        <v>0.32</v>
      </c>
    </row>
    <row r="553">
      <c r="A553" t="inlineStr">
        <is>
          <t>O00552</t>
        </is>
      </c>
      <c r="B553" t="inlineStr">
        <is>
          <t>C0139</t>
        </is>
      </c>
      <c r="C553" t="inlineStr">
        <is>
          <t>S008</t>
        </is>
      </c>
      <c r="D553" t="inlineStr">
        <is>
          <t>R072</t>
        </is>
      </c>
      <c r="E553" s="3" t="n">
        <v>46276.82083333333</v>
      </c>
      <c r="F553" s="3" t="n">
        <v>46276.82763888889</v>
      </c>
      <c r="G553" s="3" t="n">
        <v>46276.82736111111</v>
      </c>
      <c r="H553" t="inlineStr">
        <is>
          <t>Delivered</t>
        </is>
      </c>
      <c r="I553" t="n">
        <v>5</v>
      </c>
      <c r="J553" t="n">
        <v>8</v>
      </c>
      <c r="K553" t="n">
        <v>723.79</v>
      </c>
      <c r="L553" t="n">
        <v>0.76</v>
      </c>
      <c r="M553" t="n">
        <v>1.9</v>
      </c>
      <c r="N553" t="n">
        <v>4.8</v>
      </c>
      <c r="O553" t="n">
        <v>2.7</v>
      </c>
      <c r="P553" t="n">
        <v>9.800000000000001</v>
      </c>
      <c r="Q553" t="n">
        <v>9.4</v>
      </c>
      <c r="R553" t="n">
        <v>-0.4</v>
      </c>
      <c r="S553" t="b">
        <v>1</v>
      </c>
      <c r="U553" t="n">
        <v>19</v>
      </c>
      <c r="V553" t="b">
        <v>1</v>
      </c>
      <c r="X553" t="b">
        <v>0</v>
      </c>
      <c r="Y553" t="n">
        <v>0.99</v>
      </c>
    </row>
    <row r="554">
      <c r="A554" t="inlineStr">
        <is>
          <t>O00553</t>
        </is>
      </c>
      <c r="B554" t="inlineStr">
        <is>
          <t>C0208</t>
        </is>
      </c>
      <c r="C554" t="inlineStr">
        <is>
          <t>S007</t>
        </is>
      </c>
      <c r="D554" t="inlineStr">
        <is>
          <t>R002</t>
        </is>
      </c>
      <c r="E554" s="3" t="n">
        <v>46268.57986111111</v>
      </c>
      <c r="F554" s="3" t="n">
        <v>46268.58763888889</v>
      </c>
      <c r="G554" s="3" t="n">
        <v>46268.58944444444</v>
      </c>
      <c r="H554" t="inlineStr">
        <is>
          <t>Delivered</t>
        </is>
      </c>
      <c r="I554" t="n">
        <v>3</v>
      </c>
      <c r="J554" t="n">
        <v>8</v>
      </c>
      <c r="K554" t="n">
        <v>1412.21</v>
      </c>
      <c r="L554" t="n">
        <v>0.54</v>
      </c>
      <c r="M554" t="n">
        <v>3.7</v>
      </c>
      <c r="N554" t="n">
        <v>6.6</v>
      </c>
      <c r="O554" t="n">
        <v>3.5</v>
      </c>
      <c r="P554" t="n">
        <v>11.2</v>
      </c>
      <c r="Q554" t="n">
        <v>13.8</v>
      </c>
      <c r="R554" t="n">
        <v>2.6</v>
      </c>
      <c r="S554" t="b">
        <v>0</v>
      </c>
      <c r="U554" t="n">
        <v>13</v>
      </c>
      <c r="V554" t="b">
        <v>0</v>
      </c>
      <c r="X554" t="b">
        <v>0</v>
      </c>
      <c r="Y554" t="n">
        <v>0.78</v>
      </c>
    </row>
    <row r="555">
      <c r="A555" t="inlineStr">
        <is>
          <t>O00554</t>
        </is>
      </c>
      <c r="B555" t="inlineStr">
        <is>
          <t>C0044</t>
        </is>
      </c>
      <c r="C555" t="inlineStr">
        <is>
          <t>S002</t>
        </is>
      </c>
      <c r="D555" t="inlineStr">
        <is>
          <t>R022</t>
        </is>
      </c>
      <c r="E555" s="3" t="n">
        <v>46275.83611111111</v>
      </c>
      <c r="F555" s="3" t="n">
        <v>46275.84319444445</v>
      </c>
      <c r="G555" s="3" t="n">
        <v>46275.84291666667</v>
      </c>
      <c r="H555" t="inlineStr">
        <is>
          <t>Delivered</t>
        </is>
      </c>
      <c r="I555" t="n">
        <v>2</v>
      </c>
      <c r="J555" t="n">
        <v>6</v>
      </c>
      <c r="K555" t="n">
        <v>1039.82</v>
      </c>
      <c r="L555" t="n">
        <v>3.51</v>
      </c>
      <c r="M555" t="n">
        <v>2.2</v>
      </c>
      <c r="N555" t="n">
        <v>1.4</v>
      </c>
      <c r="O555" t="n">
        <v>6.2</v>
      </c>
      <c r="P555" t="n">
        <v>10.2</v>
      </c>
      <c r="Q555" t="n">
        <v>9.800000000000001</v>
      </c>
      <c r="R555" t="n">
        <v>-0.4</v>
      </c>
      <c r="S555" t="b">
        <v>1</v>
      </c>
      <c r="U555" t="n">
        <v>20</v>
      </c>
      <c r="V555" t="b">
        <v>1</v>
      </c>
      <c r="X555" t="b">
        <v>0</v>
      </c>
      <c r="Y555" t="n">
        <v>0.47</v>
      </c>
    </row>
    <row r="556">
      <c r="A556" t="inlineStr">
        <is>
          <t>O00555</t>
        </is>
      </c>
      <c r="B556" t="inlineStr">
        <is>
          <t>C0089</t>
        </is>
      </c>
      <c r="C556" t="inlineStr">
        <is>
          <t>S018</t>
        </is>
      </c>
      <c r="D556" t="inlineStr">
        <is>
          <t>R006</t>
        </is>
      </c>
      <c r="E556" s="3" t="n">
        <v>46272.56111111111</v>
      </c>
      <c r="F556" s="3" t="n">
        <v>46272.56715277778</v>
      </c>
      <c r="G556" s="3" t="n">
        <v>46272.57229166666</v>
      </c>
      <c r="H556" t="inlineStr">
        <is>
          <t>Delivered</t>
        </is>
      </c>
      <c r="I556" t="n">
        <v>5</v>
      </c>
      <c r="J556" t="n">
        <v>7</v>
      </c>
      <c r="K556" t="n">
        <v>250.17</v>
      </c>
      <c r="L556" t="n">
        <v>1.33</v>
      </c>
      <c r="M556" t="n">
        <v>5.8</v>
      </c>
      <c r="N556" t="n">
        <v>4.3</v>
      </c>
      <c r="O556" t="n">
        <v>6</v>
      </c>
      <c r="P556" t="n">
        <v>8.699999999999999</v>
      </c>
      <c r="Q556" t="n">
        <v>16.1</v>
      </c>
      <c r="R556" t="n">
        <v>7.4</v>
      </c>
      <c r="S556" t="b">
        <v>0</v>
      </c>
      <c r="U556" t="n">
        <v>13</v>
      </c>
      <c r="V556" t="b">
        <v>0</v>
      </c>
      <c r="W556" t="inlineStr">
        <is>
          <t>Light</t>
        </is>
      </c>
      <c r="X556" t="b">
        <v>0</v>
      </c>
      <c r="Y556" t="n">
        <v>0.91</v>
      </c>
    </row>
    <row r="557">
      <c r="A557" t="inlineStr">
        <is>
          <t>O00556</t>
        </is>
      </c>
      <c r="B557" t="inlineStr">
        <is>
          <t>C0017</t>
        </is>
      </c>
      <c r="C557" t="inlineStr">
        <is>
          <t>S017</t>
        </is>
      </c>
      <c r="D557" t="inlineStr">
        <is>
          <t>R046</t>
        </is>
      </c>
      <c r="E557" s="3" t="n">
        <v>46278.56319444445</v>
      </c>
      <c r="F557" s="3" t="n">
        <v>46278.57076388889</v>
      </c>
      <c r="G557" s="3" t="n">
        <v>46278.57055555555</v>
      </c>
      <c r="H557" t="inlineStr">
        <is>
          <t>Delivered</t>
        </is>
      </c>
      <c r="I557" t="n">
        <v>4</v>
      </c>
      <c r="J557" t="n">
        <v>9</v>
      </c>
      <c r="K557" t="n">
        <v>1351.52</v>
      </c>
      <c r="L557" t="n">
        <v>4</v>
      </c>
      <c r="M557" t="n">
        <v>1.5</v>
      </c>
      <c r="N557" t="n">
        <v>3</v>
      </c>
      <c r="O557" t="n">
        <v>6.1</v>
      </c>
      <c r="P557" t="n">
        <v>10.9</v>
      </c>
      <c r="Q557" t="n">
        <v>10.6</v>
      </c>
      <c r="R557" t="n">
        <v>-0.3</v>
      </c>
      <c r="S557" t="b">
        <v>1</v>
      </c>
      <c r="U557" t="n">
        <v>13</v>
      </c>
      <c r="V557" t="b">
        <v>0</v>
      </c>
      <c r="W557" t="inlineStr">
        <is>
          <t>Heavy</t>
        </is>
      </c>
      <c r="X557" t="b">
        <v>0</v>
      </c>
      <c r="Y557" t="n">
        <v>0.74</v>
      </c>
    </row>
    <row r="558">
      <c r="A558" t="inlineStr">
        <is>
          <t>O00557</t>
        </is>
      </c>
      <c r="B558" t="inlineStr">
        <is>
          <t>C0057</t>
        </is>
      </c>
      <c r="C558" t="inlineStr">
        <is>
          <t>S012</t>
        </is>
      </c>
      <c r="D558" t="inlineStr">
        <is>
          <t>R077</t>
        </is>
      </c>
      <c r="E558" s="3" t="n">
        <v>46270.57708333333</v>
      </c>
      <c r="F558" s="3" t="n">
        <v>46270.58513888889</v>
      </c>
      <c r="G558" s="3" t="n">
        <v>46270.58472222222</v>
      </c>
      <c r="H558" t="inlineStr">
        <is>
          <t>Delivered</t>
        </is>
      </c>
      <c r="I558" t="n">
        <v>1</v>
      </c>
      <c r="J558" t="n">
        <v>4</v>
      </c>
      <c r="K558" t="n">
        <v>867.3</v>
      </c>
      <c r="L558" t="n">
        <v>0.5</v>
      </c>
      <c r="M558" t="n">
        <v>5.6</v>
      </c>
      <c r="N558" t="n">
        <v>3.5</v>
      </c>
      <c r="O558" t="n">
        <v>1.9</v>
      </c>
      <c r="P558" t="n">
        <v>11.6</v>
      </c>
      <c r="Q558" t="n">
        <v>11</v>
      </c>
      <c r="R558" t="n">
        <v>-0.6</v>
      </c>
      <c r="S558" t="b">
        <v>1</v>
      </c>
      <c r="U558" t="n">
        <v>13</v>
      </c>
      <c r="V558" t="b">
        <v>0</v>
      </c>
      <c r="X558" t="b">
        <v>0</v>
      </c>
      <c r="Y558" t="n">
        <v>0.41</v>
      </c>
    </row>
    <row r="559">
      <c r="A559" t="inlineStr">
        <is>
          <t>O00558</t>
        </is>
      </c>
      <c r="B559" t="inlineStr">
        <is>
          <t>C0020</t>
        </is>
      </c>
      <c r="C559" t="inlineStr">
        <is>
          <t>S018</t>
        </is>
      </c>
      <c r="D559" t="inlineStr">
        <is>
          <t>R057</t>
        </is>
      </c>
      <c r="E559" s="3" t="n">
        <v>46271.52152777778</v>
      </c>
      <c r="F559" s="3" t="n">
        <v>46271.52840277777</v>
      </c>
      <c r="G559" s="3" t="n">
        <v>46271.52763888889</v>
      </c>
      <c r="H559" t="inlineStr">
        <is>
          <t>Delivered</t>
        </is>
      </c>
      <c r="I559" t="n">
        <v>4</v>
      </c>
      <c r="J559" t="n">
        <v>5</v>
      </c>
      <c r="K559" t="n">
        <v>194.89</v>
      </c>
      <c r="L559" t="n">
        <v>4.27</v>
      </c>
      <c r="M559" t="n">
        <v>2.1</v>
      </c>
      <c r="N559" t="n">
        <v>0.9</v>
      </c>
      <c r="O559" t="n">
        <v>5.8</v>
      </c>
      <c r="P559" t="n">
        <v>9.9</v>
      </c>
      <c r="Q559" t="n">
        <v>8.800000000000001</v>
      </c>
      <c r="R559" t="n">
        <v>-1.1</v>
      </c>
      <c r="S559" t="b">
        <v>1</v>
      </c>
      <c r="U559" t="n">
        <v>12</v>
      </c>
      <c r="V559" t="b">
        <v>0</v>
      </c>
      <c r="X559" t="b">
        <v>0</v>
      </c>
      <c r="Y559" t="n">
        <v>0.64</v>
      </c>
    </row>
    <row r="560">
      <c r="A560" t="inlineStr">
        <is>
          <t>O00559</t>
        </is>
      </c>
      <c r="B560" t="inlineStr">
        <is>
          <t>C0234</t>
        </is>
      </c>
      <c r="C560" t="inlineStr">
        <is>
          <t>S008</t>
        </is>
      </c>
      <c r="D560" t="inlineStr">
        <is>
          <t>R051</t>
        </is>
      </c>
      <c r="E560" s="3" t="n">
        <v>46271.46597222222</v>
      </c>
      <c r="F560" s="3" t="n">
        <v>46271.47368055556</v>
      </c>
      <c r="G560" s="3" t="n">
        <v>46271.47354166667</v>
      </c>
      <c r="H560" t="inlineStr">
        <is>
          <t>Delivered</t>
        </is>
      </c>
      <c r="I560" t="n">
        <v>4</v>
      </c>
      <c r="J560" t="n">
        <v>7</v>
      </c>
      <c r="K560" t="n">
        <v>1444.05</v>
      </c>
      <c r="L560" t="n">
        <v>1.75</v>
      </c>
      <c r="M560" t="n">
        <v>3.1</v>
      </c>
      <c r="N560" t="n">
        <v>2.4</v>
      </c>
      <c r="O560" t="n">
        <v>5.4</v>
      </c>
      <c r="P560" t="n">
        <v>11.1</v>
      </c>
      <c r="Q560" t="n">
        <v>10.9</v>
      </c>
      <c r="R560" t="n">
        <v>-0.2</v>
      </c>
      <c r="S560" t="b">
        <v>1</v>
      </c>
      <c r="U560" t="n">
        <v>11</v>
      </c>
      <c r="V560" t="b">
        <v>0</v>
      </c>
      <c r="X560" t="b">
        <v>0</v>
      </c>
      <c r="Y560" t="n">
        <v>0.96</v>
      </c>
    </row>
    <row r="561">
      <c r="A561" t="inlineStr">
        <is>
          <t>O00560</t>
        </is>
      </c>
      <c r="B561" t="inlineStr">
        <is>
          <t>C0204</t>
        </is>
      </c>
      <c r="C561" t="inlineStr">
        <is>
          <t>S001</t>
        </is>
      </c>
      <c r="D561" t="inlineStr">
        <is>
          <t>R056</t>
        </is>
      </c>
      <c r="E561" s="3" t="n">
        <v>46270.58958333333</v>
      </c>
      <c r="F561" s="3" t="n">
        <v>46270.59638888889</v>
      </c>
      <c r="G561" s="3" t="n">
        <v>46270.59618055556</v>
      </c>
      <c r="H561" t="inlineStr">
        <is>
          <t>Delivered</t>
        </is>
      </c>
      <c r="I561" t="n">
        <v>3</v>
      </c>
      <c r="J561" t="n">
        <v>6</v>
      </c>
      <c r="K561" t="n">
        <v>1577.68</v>
      </c>
      <c r="L561" t="n">
        <v>0.57</v>
      </c>
      <c r="M561" t="n">
        <v>4.2</v>
      </c>
      <c r="N561" t="n">
        <v>3</v>
      </c>
      <c r="O561" t="n">
        <v>2.3</v>
      </c>
      <c r="P561" t="n">
        <v>9.800000000000001</v>
      </c>
      <c r="Q561" t="n">
        <v>9.5</v>
      </c>
      <c r="R561" t="n">
        <v>-0.3</v>
      </c>
      <c r="S561" t="b">
        <v>1</v>
      </c>
      <c r="U561" t="n">
        <v>14</v>
      </c>
      <c r="V561" t="b">
        <v>0</v>
      </c>
      <c r="X561" t="b">
        <v>0</v>
      </c>
      <c r="Y561" t="n">
        <v>0.41</v>
      </c>
    </row>
    <row r="562">
      <c r="A562" t="inlineStr">
        <is>
          <t>O00561</t>
        </is>
      </c>
      <c r="B562" t="inlineStr">
        <is>
          <t>C0150</t>
        </is>
      </c>
      <c r="C562" t="inlineStr">
        <is>
          <t>S005</t>
        </is>
      </c>
      <c r="D562" t="inlineStr">
        <is>
          <t>R051</t>
        </is>
      </c>
      <c r="E562" s="3" t="n">
        <v>46271.92291666667</v>
      </c>
      <c r="F562" s="3" t="n">
        <v>46271.93131944445</v>
      </c>
      <c r="G562" s="3" t="n">
        <v>46271.93013888889</v>
      </c>
      <c r="H562" t="inlineStr">
        <is>
          <t>Delivered</t>
        </is>
      </c>
      <c r="I562" t="n">
        <v>3</v>
      </c>
      <c r="J562" t="n">
        <v>6</v>
      </c>
      <c r="K562" t="n">
        <v>270.81</v>
      </c>
      <c r="L562" t="n">
        <v>1.26</v>
      </c>
      <c r="M562" t="n">
        <v>5</v>
      </c>
      <c r="N562" t="n">
        <v>1.6</v>
      </c>
      <c r="O562" t="n">
        <v>3.9</v>
      </c>
      <c r="P562" t="n">
        <v>12.1</v>
      </c>
      <c r="Q562" t="n">
        <v>10.4</v>
      </c>
      <c r="R562" t="n">
        <v>-1.7</v>
      </c>
      <c r="S562" t="b">
        <v>1</v>
      </c>
      <c r="U562" t="n">
        <v>22</v>
      </c>
      <c r="V562" t="b">
        <v>0</v>
      </c>
      <c r="X562" t="b">
        <v>0</v>
      </c>
      <c r="Y562" t="n">
        <v>0.33</v>
      </c>
    </row>
    <row r="563">
      <c r="A563" t="inlineStr">
        <is>
          <t>O00562</t>
        </is>
      </c>
      <c r="B563" t="inlineStr">
        <is>
          <t>C0001</t>
        </is>
      </c>
      <c r="C563" t="inlineStr">
        <is>
          <t>S008</t>
        </is>
      </c>
      <c r="D563" t="inlineStr">
        <is>
          <t>R053</t>
        </is>
      </c>
      <c r="E563" s="3" t="n">
        <v>46270.80902777778</v>
      </c>
      <c r="F563" s="3" t="n">
        <v>46270.81597222222</v>
      </c>
      <c r="G563" s="3" t="n">
        <v>46270.81555555556</v>
      </c>
      <c r="H563" t="inlineStr">
        <is>
          <t>Delivered</t>
        </is>
      </c>
      <c r="I563" t="n">
        <v>4</v>
      </c>
      <c r="J563" t="n">
        <v>7</v>
      </c>
      <c r="K563" t="n">
        <v>544.87</v>
      </c>
      <c r="L563" t="n">
        <v>0.91</v>
      </c>
      <c r="M563" t="n">
        <v>2.8</v>
      </c>
      <c r="N563" t="n">
        <v>3.6</v>
      </c>
      <c r="O563" t="n">
        <v>3</v>
      </c>
      <c r="P563" t="n">
        <v>10</v>
      </c>
      <c r="Q563" t="n">
        <v>9.4</v>
      </c>
      <c r="R563" t="n">
        <v>-0.6</v>
      </c>
      <c r="S563" t="b">
        <v>1</v>
      </c>
      <c r="U563" t="n">
        <v>19</v>
      </c>
      <c r="V563" t="b">
        <v>1</v>
      </c>
      <c r="X563" t="b">
        <v>0</v>
      </c>
      <c r="Y563" t="n">
        <v>0.86</v>
      </c>
    </row>
    <row r="564">
      <c r="A564" t="inlineStr">
        <is>
          <t>O00563</t>
        </is>
      </c>
      <c r="B564" t="inlineStr">
        <is>
          <t>C0209</t>
        </is>
      </c>
      <c r="C564" t="inlineStr">
        <is>
          <t>S017</t>
        </is>
      </c>
      <c r="D564" t="inlineStr">
        <is>
          <t>R024</t>
        </is>
      </c>
      <c r="E564" s="3" t="n">
        <v>46277.74861111111</v>
      </c>
      <c r="F564" s="3" t="n">
        <v>46277.755</v>
      </c>
      <c r="G564" s="3" t="n">
        <v>46277.75944444445</v>
      </c>
      <c r="H564" t="inlineStr">
        <is>
          <t>Delivered</t>
        </is>
      </c>
      <c r="I564" t="n">
        <v>2</v>
      </c>
      <c r="J564" t="n">
        <v>7</v>
      </c>
      <c r="K564" t="n">
        <v>1310.01</v>
      </c>
      <c r="L564" t="n">
        <v>1.58</v>
      </c>
      <c r="M564" t="n">
        <v>2.9</v>
      </c>
      <c r="N564" t="n">
        <v>6.7</v>
      </c>
      <c r="O564" t="n">
        <v>6</v>
      </c>
      <c r="P564" t="n">
        <v>9.199999999999999</v>
      </c>
      <c r="Q564" t="n">
        <v>15.6</v>
      </c>
      <c r="R564" t="n">
        <v>6.4</v>
      </c>
      <c r="S564" t="b">
        <v>0</v>
      </c>
      <c r="U564" t="n">
        <v>17</v>
      </c>
      <c r="V564" t="b">
        <v>0</v>
      </c>
      <c r="W564" t="inlineStr">
        <is>
          <t>Light</t>
        </is>
      </c>
      <c r="X564" t="b">
        <v>0</v>
      </c>
      <c r="Y564" t="n">
        <v>0.62</v>
      </c>
    </row>
    <row r="565">
      <c r="A565" t="inlineStr">
        <is>
          <t>O00564</t>
        </is>
      </c>
      <c r="B565" t="inlineStr">
        <is>
          <t>C0148</t>
        </is>
      </c>
      <c r="C565" t="inlineStr">
        <is>
          <t>S004</t>
        </is>
      </c>
      <c r="D565" t="inlineStr">
        <is>
          <t>R074</t>
        </is>
      </c>
      <c r="E565" s="3" t="n">
        <v>46275.50902777778</v>
      </c>
      <c r="F565" s="3" t="n">
        <v>46275.51715277778</v>
      </c>
      <c r="G565" s="3" t="n">
        <v>46275.51666666667</v>
      </c>
      <c r="H565" t="inlineStr">
        <is>
          <t>Delivered</t>
        </is>
      </c>
      <c r="I565" t="n">
        <v>6</v>
      </c>
      <c r="J565" t="n">
        <v>7</v>
      </c>
      <c r="K565" t="n">
        <v>852.26</v>
      </c>
      <c r="L565" t="n">
        <v>2.35</v>
      </c>
      <c r="M565" t="n">
        <v>1.8</v>
      </c>
      <c r="N565" t="n">
        <v>4.6</v>
      </c>
      <c r="O565" t="n">
        <v>4.6</v>
      </c>
      <c r="P565" t="n">
        <v>11.7</v>
      </c>
      <c r="Q565" t="n">
        <v>11</v>
      </c>
      <c r="R565" t="n">
        <v>-0.7</v>
      </c>
      <c r="S565" t="b">
        <v>1</v>
      </c>
      <c r="U565" t="n">
        <v>12</v>
      </c>
      <c r="V565" t="b">
        <v>0</v>
      </c>
      <c r="W565" t="inlineStr">
        <is>
          <t>Light</t>
        </is>
      </c>
      <c r="X565" t="b">
        <v>0</v>
      </c>
      <c r="Y565" t="n">
        <v>0.38</v>
      </c>
    </row>
    <row r="566">
      <c r="A566" t="inlineStr">
        <is>
          <t>O00565</t>
        </is>
      </c>
      <c r="B566" t="inlineStr">
        <is>
          <t>C0160</t>
        </is>
      </c>
      <c r="C566" t="inlineStr">
        <is>
          <t>S016</t>
        </is>
      </c>
      <c r="D566" t="inlineStr">
        <is>
          <t>R051</t>
        </is>
      </c>
      <c r="E566" s="3" t="n">
        <v>46277.88055555556</v>
      </c>
      <c r="F566" s="3" t="n">
        <v>46277.88770833334</v>
      </c>
      <c r="G566" s="3" t="n">
        <v>46277.89277777778</v>
      </c>
      <c r="H566" t="inlineStr">
        <is>
          <t>Delivered</t>
        </is>
      </c>
      <c r="I566" t="n">
        <v>2</v>
      </c>
      <c r="J566" t="n">
        <v>3</v>
      </c>
      <c r="K566" t="n">
        <v>768.13</v>
      </c>
      <c r="L566" t="n">
        <v>1.29</v>
      </c>
      <c r="M566" t="n">
        <v>5.6</v>
      </c>
      <c r="N566" t="n">
        <v>7.4</v>
      </c>
      <c r="O566" t="n">
        <v>4.6</v>
      </c>
      <c r="P566" t="n">
        <v>10.3</v>
      </c>
      <c r="Q566" t="n">
        <v>17.6</v>
      </c>
      <c r="R566" t="n">
        <v>7.3</v>
      </c>
      <c r="S566" t="b">
        <v>0</v>
      </c>
      <c r="U566" t="n">
        <v>21</v>
      </c>
      <c r="V566" t="b">
        <v>1</v>
      </c>
      <c r="X566" t="b">
        <v>1</v>
      </c>
      <c r="Y566" t="n">
        <v>0.66</v>
      </c>
    </row>
    <row r="567">
      <c r="A567" t="inlineStr">
        <is>
          <t>O00566</t>
        </is>
      </c>
      <c r="B567" t="inlineStr">
        <is>
          <t>C0225</t>
        </is>
      </c>
      <c r="C567" t="inlineStr">
        <is>
          <t>S009</t>
        </is>
      </c>
      <c r="D567" t="inlineStr">
        <is>
          <t>R019</t>
        </is>
      </c>
      <c r="E567" s="3" t="n">
        <v>46277.51666666667</v>
      </c>
      <c r="F567" s="3" t="n">
        <v>46277.52416666667</v>
      </c>
      <c r="G567" s="3" t="n">
        <v>46277.52333333333</v>
      </c>
      <c r="H567" t="inlineStr">
        <is>
          <t>Delivered</t>
        </is>
      </c>
      <c r="I567" t="n">
        <v>2</v>
      </c>
      <c r="J567" t="n">
        <v>6</v>
      </c>
      <c r="K567" t="n">
        <v>1369.19</v>
      </c>
      <c r="L567" t="n">
        <v>0.71</v>
      </c>
      <c r="M567" t="n">
        <v>2.5</v>
      </c>
      <c r="N567" t="n">
        <v>3.3</v>
      </c>
      <c r="O567" t="n">
        <v>3.8</v>
      </c>
      <c r="P567" t="n">
        <v>10.8</v>
      </c>
      <c r="Q567" t="n">
        <v>9.6</v>
      </c>
      <c r="R567" t="n">
        <v>-1.2</v>
      </c>
      <c r="S567" t="b">
        <v>1</v>
      </c>
      <c r="U567" t="n">
        <v>12</v>
      </c>
      <c r="V567" t="b">
        <v>0</v>
      </c>
      <c r="X567" t="b">
        <v>0</v>
      </c>
      <c r="Y567" t="n">
        <v>0.72</v>
      </c>
    </row>
    <row r="568">
      <c r="A568" t="inlineStr">
        <is>
          <t>O00567</t>
        </is>
      </c>
      <c r="B568" t="inlineStr">
        <is>
          <t>C0188</t>
        </is>
      </c>
      <c r="C568" t="inlineStr">
        <is>
          <t>S010</t>
        </is>
      </c>
      <c r="D568" t="inlineStr">
        <is>
          <t>R044</t>
        </is>
      </c>
      <c r="E568" s="3" t="n">
        <v>46270.75486111111</v>
      </c>
      <c r="F568" s="3" t="n">
        <v>46270.76263888889</v>
      </c>
      <c r="G568" s="3" t="n">
        <v>46270.76208333333</v>
      </c>
      <c r="H568" t="inlineStr">
        <is>
          <t>Delivered</t>
        </is>
      </c>
      <c r="I568" t="n">
        <v>1</v>
      </c>
      <c r="J568" t="n">
        <v>10</v>
      </c>
      <c r="K568" t="n">
        <v>1429.2</v>
      </c>
      <c r="L568" t="n">
        <v>1.32</v>
      </c>
      <c r="M568" t="n">
        <v>3.6</v>
      </c>
      <c r="N568" t="n">
        <v>4.2</v>
      </c>
      <c r="O568" t="n">
        <v>2.6</v>
      </c>
      <c r="P568" t="n">
        <v>11.2</v>
      </c>
      <c r="Q568" t="n">
        <v>10.4</v>
      </c>
      <c r="R568" t="n">
        <v>-0.8</v>
      </c>
      <c r="S568" t="b">
        <v>1</v>
      </c>
      <c r="U568" t="n">
        <v>18</v>
      </c>
      <c r="V568" t="b">
        <v>0</v>
      </c>
      <c r="W568" t="inlineStr">
        <is>
          <t>Light</t>
        </is>
      </c>
      <c r="X568" t="b">
        <v>0</v>
      </c>
      <c r="Y568" t="n">
        <v>0.34</v>
      </c>
    </row>
    <row r="569">
      <c r="A569" t="inlineStr">
        <is>
          <t>O00568</t>
        </is>
      </c>
      <c r="B569" t="inlineStr">
        <is>
          <t>C0211</t>
        </is>
      </c>
      <c r="C569" t="inlineStr">
        <is>
          <t>S019</t>
        </is>
      </c>
      <c r="D569" t="inlineStr">
        <is>
          <t>R004</t>
        </is>
      </c>
      <c r="E569" s="3" t="n">
        <v>46273.66666666666</v>
      </c>
      <c r="F569" s="3" t="n">
        <v>46273.67354166666</v>
      </c>
      <c r="G569" s="3" t="n">
        <v>46273.67298611111</v>
      </c>
      <c r="H569" t="inlineStr">
        <is>
          <t>Delivered</t>
        </is>
      </c>
      <c r="I569" t="n">
        <v>2</v>
      </c>
      <c r="J569" t="n">
        <v>6</v>
      </c>
      <c r="K569" t="n">
        <v>918.65</v>
      </c>
      <c r="L569" t="n">
        <v>0.7</v>
      </c>
      <c r="M569" t="n">
        <v>4.1</v>
      </c>
      <c r="N569" t="n">
        <v>2.7</v>
      </c>
      <c r="O569" t="n">
        <v>2.3</v>
      </c>
      <c r="P569" t="n">
        <v>9.9</v>
      </c>
      <c r="Q569" t="n">
        <v>9.1</v>
      </c>
      <c r="R569" t="n">
        <v>-0.8</v>
      </c>
      <c r="S569" t="b">
        <v>1</v>
      </c>
      <c r="U569" t="n">
        <v>16</v>
      </c>
      <c r="V569" t="b">
        <v>0</v>
      </c>
      <c r="X569" t="b">
        <v>0</v>
      </c>
      <c r="Y569" t="n">
        <v>0.58</v>
      </c>
    </row>
    <row r="570">
      <c r="A570" t="inlineStr">
        <is>
          <t>O00569</t>
        </is>
      </c>
      <c r="B570" t="inlineStr">
        <is>
          <t>C0226</t>
        </is>
      </c>
      <c r="C570" t="inlineStr">
        <is>
          <t>S006</t>
        </is>
      </c>
      <c r="D570" t="inlineStr">
        <is>
          <t>R001</t>
        </is>
      </c>
      <c r="E570" s="3" t="n">
        <v>46270.44166666667</v>
      </c>
      <c r="F570" s="3" t="n">
        <v>46270.45</v>
      </c>
      <c r="G570" s="3" t="n">
        <v>46270.45298611111</v>
      </c>
      <c r="H570" t="inlineStr">
        <is>
          <t>Delivered</t>
        </is>
      </c>
      <c r="I570" t="n">
        <v>1</v>
      </c>
      <c r="J570" t="n">
        <v>5</v>
      </c>
      <c r="K570" t="n">
        <v>374.36</v>
      </c>
      <c r="L570" t="n">
        <v>1.6</v>
      </c>
      <c r="M570" t="n">
        <v>5.7</v>
      </c>
      <c r="N570" t="n">
        <v>5.5</v>
      </c>
      <c r="O570" t="n">
        <v>5.2</v>
      </c>
      <c r="P570" t="n">
        <v>12</v>
      </c>
      <c r="Q570" t="n">
        <v>16.3</v>
      </c>
      <c r="R570" t="n">
        <v>4.3</v>
      </c>
      <c r="S570" t="b">
        <v>0</v>
      </c>
      <c r="U570" t="n">
        <v>10</v>
      </c>
      <c r="V570" t="b">
        <v>0</v>
      </c>
      <c r="X570" t="b">
        <v>0</v>
      </c>
      <c r="Y570" t="n">
        <v>0.61</v>
      </c>
    </row>
    <row r="571">
      <c r="A571" t="inlineStr">
        <is>
          <t>O00570</t>
        </is>
      </c>
      <c r="B571" t="inlineStr">
        <is>
          <t>C0016</t>
        </is>
      </c>
      <c r="C571" t="inlineStr">
        <is>
          <t>S017</t>
        </is>
      </c>
      <c r="D571" t="inlineStr">
        <is>
          <t>R021</t>
        </is>
      </c>
      <c r="E571" s="3" t="n">
        <v>46279.3625</v>
      </c>
      <c r="F571" s="3" t="n">
        <v>46279.37097222222</v>
      </c>
      <c r="G571" s="3" t="n">
        <v>46279.37020833333</v>
      </c>
      <c r="H571" t="inlineStr">
        <is>
          <t>Delivered</t>
        </is>
      </c>
      <c r="I571" t="n">
        <v>5</v>
      </c>
      <c r="J571" t="n">
        <v>11</v>
      </c>
      <c r="K571" t="n">
        <v>899.91</v>
      </c>
      <c r="L571" t="n">
        <v>4</v>
      </c>
      <c r="M571" t="n">
        <v>2</v>
      </c>
      <c r="N571" t="n">
        <v>2.7</v>
      </c>
      <c r="O571" t="n">
        <v>6.4</v>
      </c>
      <c r="P571" t="n">
        <v>12.2</v>
      </c>
      <c r="Q571" t="n">
        <v>11.1</v>
      </c>
      <c r="R571" t="n">
        <v>-1.1</v>
      </c>
      <c r="S571" t="b">
        <v>1</v>
      </c>
      <c r="U571" t="n">
        <v>8</v>
      </c>
      <c r="V571" t="b">
        <v>0</v>
      </c>
      <c r="W571" t="inlineStr">
        <is>
          <t>Light</t>
        </is>
      </c>
      <c r="X571" t="b">
        <v>0</v>
      </c>
      <c r="Y571" t="n">
        <v>0.34</v>
      </c>
    </row>
    <row r="572">
      <c r="A572" t="inlineStr">
        <is>
          <t>O00571</t>
        </is>
      </c>
      <c r="B572" t="inlineStr">
        <is>
          <t>C0172</t>
        </is>
      </c>
      <c r="C572" t="inlineStr">
        <is>
          <t>S018</t>
        </is>
      </c>
      <c r="D572" t="inlineStr">
        <is>
          <t>R073</t>
        </is>
      </c>
      <c r="E572" s="3" t="n">
        <v>46273.40694444445</v>
      </c>
      <c r="F572" s="3" t="n">
        <v>46273.41347222222</v>
      </c>
      <c r="G572" s="3" t="n">
        <v>46273.41979166667</v>
      </c>
      <c r="H572" t="inlineStr">
        <is>
          <t>Delivered</t>
        </is>
      </c>
      <c r="I572" t="n">
        <v>1</v>
      </c>
      <c r="J572" t="n">
        <v>5</v>
      </c>
      <c r="K572" t="n">
        <v>261.08</v>
      </c>
      <c r="L572" t="n">
        <v>3.8</v>
      </c>
      <c r="M572" t="n">
        <v>5.2</v>
      </c>
      <c r="N572" t="n">
        <v>4.4</v>
      </c>
      <c r="O572" t="n">
        <v>9</v>
      </c>
      <c r="P572" t="n">
        <v>9.4</v>
      </c>
      <c r="Q572" t="n">
        <v>18.5</v>
      </c>
      <c r="R572" t="n">
        <v>9.1</v>
      </c>
      <c r="S572" t="b">
        <v>0</v>
      </c>
      <c r="U572" t="n">
        <v>9</v>
      </c>
      <c r="V572" t="b">
        <v>0</v>
      </c>
      <c r="X572" t="b">
        <v>0</v>
      </c>
      <c r="Y572" t="n">
        <v>0.3</v>
      </c>
    </row>
    <row r="573">
      <c r="A573" t="inlineStr">
        <is>
          <t>O00572</t>
        </is>
      </c>
      <c r="B573" t="inlineStr">
        <is>
          <t>C0202</t>
        </is>
      </c>
      <c r="C573" t="inlineStr">
        <is>
          <t>S014</t>
        </is>
      </c>
      <c r="E573" s="3" t="n">
        <v>46269.79930555556</v>
      </c>
      <c r="F573" s="3" t="n">
        <v>46269.80458333333</v>
      </c>
      <c r="H573" t="inlineStr">
        <is>
          <t>Cancelled</t>
        </is>
      </c>
      <c r="I573" t="n">
        <v>3</v>
      </c>
      <c r="J573" t="n">
        <v>4</v>
      </c>
      <c r="K573" t="n">
        <v>519.87</v>
      </c>
      <c r="L573" t="n">
        <v>0.92</v>
      </c>
      <c r="M573" t="n">
        <v>7.6</v>
      </c>
      <c r="N573" t="n">
        <v>8.699999999999999</v>
      </c>
      <c r="O573" t="n">
        <v>4.1</v>
      </c>
      <c r="P573" t="n">
        <v>7.6</v>
      </c>
      <c r="T573" t="inlineStr">
        <is>
          <t>Rider unavailable</t>
        </is>
      </c>
      <c r="U573" t="n">
        <v>19</v>
      </c>
      <c r="V573" t="b">
        <v>1</v>
      </c>
      <c r="X573" t="b">
        <v>1</v>
      </c>
      <c r="Y573" t="n">
        <v>0.8100000000000001</v>
      </c>
    </row>
    <row r="574">
      <c r="A574" t="inlineStr">
        <is>
          <t>O00573</t>
        </is>
      </c>
      <c r="B574" t="inlineStr">
        <is>
          <t>C0124</t>
        </is>
      </c>
      <c r="C574" t="inlineStr">
        <is>
          <t>S004</t>
        </is>
      </c>
      <c r="D574" t="inlineStr">
        <is>
          <t>R026</t>
        </is>
      </c>
      <c r="E574" s="3" t="n">
        <v>46276.48402777778</v>
      </c>
      <c r="F574" s="3" t="n">
        <v>46276.49208333333</v>
      </c>
      <c r="G574" s="3" t="n">
        <v>46276.49041666667</v>
      </c>
      <c r="H574" t="inlineStr">
        <is>
          <t>Delivered</t>
        </is>
      </c>
      <c r="I574" t="n">
        <v>2</v>
      </c>
      <c r="J574" t="n">
        <v>9</v>
      </c>
      <c r="K574" t="n">
        <v>1120.7</v>
      </c>
      <c r="L574" t="n">
        <v>0.88</v>
      </c>
      <c r="M574" t="n">
        <v>2.9</v>
      </c>
      <c r="N574" t="n">
        <v>3.6</v>
      </c>
      <c r="O574" t="n">
        <v>2.8</v>
      </c>
      <c r="P574" t="n">
        <v>11.6</v>
      </c>
      <c r="Q574" t="n">
        <v>9.199999999999999</v>
      </c>
      <c r="R574" t="n">
        <v>-2.4</v>
      </c>
      <c r="S574" t="b">
        <v>1</v>
      </c>
      <c r="U574" t="n">
        <v>11</v>
      </c>
      <c r="V574" t="b">
        <v>0</v>
      </c>
      <c r="X574" t="b">
        <v>0</v>
      </c>
      <c r="Y574" t="n">
        <v>0.28</v>
      </c>
    </row>
    <row r="575">
      <c r="A575" t="inlineStr">
        <is>
          <t>O00574</t>
        </is>
      </c>
      <c r="B575" t="inlineStr">
        <is>
          <t>C0104</t>
        </is>
      </c>
      <c r="C575" t="inlineStr">
        <is>
          <t>S001</t>
        </is>
      </c>
      <c r="D575" t="inlineStr">
        <is>
          <t>R054</t>
        </is>
      </c>
      <c r="E575" s="3" t="n">
        <v>46276.62638888889</v>
      </c>
      <c r="F575" s="3" t="n">
        <v>46276.63375</v>
      </c>
      <c r="G575" s="3" t="n">
        <v>46276.63333333333</v>
      </c>
      <c r="H575" t="inlineStr">
        <is>
          <t>Delivered</t>
        </is>
      </c>
      <c r="I575" t="n">
        <v>2</v>
      </c>
      <c r="J575" t="n">
        <v>5</v>
      </c>
      <c r="K575" t="n">
        <v>269.11</v>
      </c>
      <c r="L575" t="n">
        <v>3.68</v>
      </c>
      <c r="M575" t="n">
        <v>2.6</v>
      </c>
      <c r="N575" t="n">
        <v>3.2</v>
      </c>
      <c r="O575" t="n">
        <v>4.2</v>
      </c>
      <c r="P575" t="n">
        <v>10.6</v>
      </c>
      <c r="Q575" t="n">
        <v>10</v>
      </c>
      <c r="R575" t="n">
        <v>-0.6</v>
      </c>
      <c r="S575" t="b">
        <v>1</v>
      </c>
      <c r="U575" t="n">
        <v>15</v>
      </c>
      <c r="V575" t="b">
        <v>0</v>
      </c>
      <c r="X575" t="b">
        <v>0</v>
      </c>
      <c r="Y575" t="n">
        <v>0.27</v>
      </c>
    </row>
    <row r="576">
      <c r="A576" t="inlineStr">
        <is>
          <t>O00575</t>
        </is>
      </c>
      <c r="B576" t="inlineStr">
        <is>
          <t>C0081</t>
        </is>
      </c>
      <c r="C576" t="inlineStr">
        <is>
          <t>S001</t>
        </is>
      </c>
      <c r="D576" t="inlineStr">
        <is>
          <t>R058</t>
        </is>
      </c>
      <c r="E576" s="3" t="n">
        <v>46266.9375</v>
      </c>
      <c r="F576" s="3" t="n">
        <v>46266.94555555555</v>
      </c>
      <c r="G576" s="3" t="n">
        <v>46266.94513888889</v>
      </c>
      <c r="H576" t="inlineStr">
        <is>
          <t>Delivered</t>
        </is>
      </c>
      <c r="I576" t="n">
        <v>5</v>
      </c>
      <c r="J576" t="n">
        <v>8</v>
      </c>
      <c r="K576" t="n">
        <v>1543.19</v>
      </c>
      <c r="L576" t="n">
        <v>4.08</v>
      </c>
      <c r="M576" t="n">
        <v>2.5</v>
      </c>
      <c r="N576" t="n">
        <v>3.5</v>
      </c>
      <c r="O576" t="n">
        <v>5</v>
      </c>
      <c r="P576" t="n">
        <v>11.6</v>
      </c>
      <c r="Q576" t="n">
        <v>11</v>
      </c>
      <c r="R576" t="n">
        <v>-0.6</v>
      </c>
      <c r="S576" t="b">
        <v>1</v>
      </c>
      <c r="U576" t="n">
        <v>22</v>
      </c>
      <c r="V576" t="b">
        <v>0</v>
      </c>
      <c r="X576" t="b">
        <v>0</v>
      </c>
      <c r="Y576" t="n">
        <v>0.73</v>
      </c>
    </row>
    <row r="577">
      <c r="A577" t="inlineStr">
        <is>
          <t>O00576</t>
        </is>
      </c>
      <c r="B577" t="inlineStr">
        <is>
          <t>C0170</t>
        </is>
      </c>
      <c r="C577" t="inlineStr">
        <is>
          <t>S004</t>
        </is>
      </c>
      <c r="D577" t="inlineStr">
        <is>
          <t>R035</t>
        </is>
      </c>
      <c r="E577" s="3" t="n">
        <v>46276.41736111111</v>
      </c>
      <c r="F577" s="3" t="n">
        <v>46276.424375</v>
      </c>
      <c r="G577" s="3" t="n">
        <v>46276.42409722223</v>
      </c>
      <c r="H577" t="inlineStr">
        <is>
          <t>Delivered</t>
        </is>
      </c>
      <c r="I577" t="n">
        <v>4</v>
      </c>
      <c r="J577" t="n">
        <v>6</v>
      </c>
      <c r="K577" t="n">
        <v>1081.35</v>
      </c>
      <c r="L577" t="n">
        <v>1.61</v>
      </c>
      <c r="M577" t="n">
        <v>1.5</v>
      </c>
      <c r="N577" t="n">
        <v>5.4</v>
      </c>
      <c r="O577" t="n">
        <v>2.8</v>
      </c>
      <c r="P577" t="n">
        <v>10.1</v>
      </c>
      <c r="Q577" t="n">
        <v>9.699999999999999</v>
      </c>
      <c r="R577" t="n">
        <v>-0.4</v>
      </c>
      <c r="S577" t="b">
        <v>1</v>
      </c>
      <c r="U577" t="n">
        <v>10</v>
      </c>
      <c r="V577" t="b">
        <v>0</v>
      </c>
      <c r="X577" t="b">
        <v>0</v>
      </c>
      <c r="Y577" t="n">
        <v>0.37</v>
      </c>
    </row>
    <row r="578">
      <c r="A578" t="inlineStr">
        <is>
          <t>O00577</t>
        </is>
      </c>
      <c r="B578" t="inlineStr">
        <is>
          <t>C0219</t>
        </is>
      </c>
      <c r="C578" t="inlineStr">
        <is>
          <t>S009</t>
        </is>
      </c>
      <c r="D578" t="inlineStr">
        <is>
          <t>R036</t>
        </is>
      </c>
      <c r="E578" s="3" t="n">
        <v>46277.63125</v>
      </c>
      <c r="F578" s="3" t="n">
        <v>46277.63833333334</v>
      </c>
      <c r="G578" s="3" t="n">
        <v>46277.63791666667</v>
      </c>
      <c r="H578" t="inlineStr">
        <is>
          <t>Delivered</t>
        </is>
      </c>
      <c r="I578" t="n">
        <v>3</v>
      </c>
      <c r="J578" t="n">
        <v>7</v>
      </c>
      <c r="K578" t="n">
        <v>430.93</v>
      </c>
      <c r="L578" t="n">
        <v>2.6</v>
      </c>
      <c r="M578" t="n">
        <v>2.5</v>
      </c>
      <c r="N578" t="n">
        <v>1.9</v>
      </c>
      <c r="O578" t="n">
        <v>5.2</v>
      </c>
      <c r="P578" t="n">
        <v>10.2</v>
      </c>
      <c r="Q578" t="n">
        <v>9.6</v>
      </c>
      <c r="R578" t="n">
        <v>-0.6</v>
      </c>
      <c r="S578" t="b">
        <v>1</v>
      </c>
      <c r="U578" t="n">
        <v>15</v>
      </c>
      <c r="V578" t="b">
        <v>0</v>
      </c>
      <c r="W578" t="inlineStr">
        <is>
          <t>Light</t>
        </is>
      </c>
      <c r="X578" t="b">
        <v>0</v>
      </c>
      <c r="Y578" t="n">
        <v>0.4</v>
      </c>
    </row>
    <row r="579">
      <c r="A579" t="inlineStr">
        <is>
          <t>O00578</t>
        </is>
      </c>
      <c r="B579" t="inlineStr">
        <is>
          <t>C0049</t>
        </is>
      </c>
      <c r="C579" t="inlineStr">
        <is>
          <t>S010</t>
        </is>
      </c>
      <c r="D579" t="inlineStr">
        <is>
          <t>R026</t>
        </is>
      </c>
      <c r="E579" s="3" t="n">
        <v>46268.99444444444</v>
      </c>
      <c r="F579" s="3" t="n">
        <v>46269.00104166667</v>
      </c>
      <c r="G579" s="3" t="n">
        <v>46269.00722222222</v>
      </c>
      <c r="H579" t="inlineStr">
        <is>
          <t>Delivered</t>
        </is>
      </c>
      <c r="I579" t="n">
        <v>2</v>
      </c>
      <c r="J579" t="n">
        <v>9</v>
      </c>
      <c r="K579" t="n">
        <v>719.52</v>
      </c>
      <c r="L579" t="n">
        <v>2.74</v>
      </c>
      <c r="M579" t="n">
        <v>6.2</v>
      </c>
      <c r="N579" t="n">
        <v>3.8</v>
      </c>
      <c r="O579" t="n">
        <v>8.5</v>
      </c>
      <c r="P579" t="n">
        <v>9.5</v>
      </c>
      <c r="Q579" t="n">
        <v>18.4</v>
      </c>
      <c r="R579" t="n">
        <v>8.9</v>
      </c>
      <c r="S579" t="b">
        <v>0</v>
      </c>
      <c r="U579" t="n">
        <v>23</v>
      </c>
      <c r="V579" t="b">
        <v>0</v>
      </c>
      <c r="W579" t="inlineStr">
        <is>
          <t>Light</t>
        </is>
      </c>
      <c r="X579" t="b">
        <v>0</v>
      </c>
      <c r="Y579" t="n">
        <v>0.31</v>
      </c>
    </row>
    <row r="580">
      <c r="A580" t="inlineStr">
        <is>
          <t>O00579</t>
        </is>
      </c>
      <c r="B580" t="inlineStr">
        <is>
          <t>C0162</t>
        </is>
      </c>
      <c r="C580" t="inlineStr">
        <is>
          <t>S016</t>
        </is>
      </c>
      <c r="D580" t="inlineStr">
        <is>
          <t>R010</t>
        </is>
      </c>
      <c r="E580" s="3" t="n">
        <v>46270.44861111111</v>
      </c>
      <c r="F580" s="3" t="n">
        <v>46270.45444444445</v>
      </c>
      <c r="G580" s="3" t="n">
        <v>46270.45395833333</v>
      </c>
      <c r="H580" t="inlineStr">
        <is>
          <t>Delivered</t>
        </is>
      </c>
      <c r="I580" t="n">
        <v>6</v>
      </c>
      <c r="J580" t="n">
        <v>6</v>
      </c>
      <c r="K580" t="n">
        <v>1424.95</v>
      </c>
      <c r="L580" t="n">
        <v>1.05</v>
      </c>
      <c r="M580" t="n">
        <v>2.5</v>
      </c>
      <c r="N580" t="n">
        <v>3.2</v>
      </c>
      <c r="O580" t="n">
        <v>2</v>
      </c>
      <c r="P580" t="n">
        <v>8.4</v>
      </c>
      <c r="Q580" t="n">
        <v>7.7</v>
      </c>
      <c r="R580" t="n">
        <v>-0.7</v>
      </c>
      <c r="S580" t="b">
        <v>1</v>
      </c>
      <c r="U580" t="n">
        <v>10</v>
      </c>
      <c r="V580" t="b">
        <v>0</v>
      </c>
      <c r="X580" t="b">
        <v>0</v>
      </c>
      <c r="Y580" t="n">
        <v>0.79</v>
      </c>
    </row>
    <row r="581">
      <c r="A581" t="inlineStr">
        <is>
          <t>O00580</t>
        </is>
      </c>
      <c r="B581" t="inlineStr">
        <is>
          <t>C0197</t>
        </is>
      </c>
      <c r="C581" t="inlineStr">
        <is>
          <t>S001</t>
        </is>
      </c>
      <c r="D581" t="inlineStr">
        <is>
          <t>R011</t>
        </is>
      </c>
      <c r="E581" s="3" t="n">
        <v>46277.73055555556</v>
      </c>
      <c r="F581" s="3" t="n">
        <v>46277.73881944444</v>
      </c>
      <c r="G581" s="3" t="n">
        <v>46277.74027777778</v>
      </c>
      <c r="H581" t="inlineStr">
        <is>
          <t>Delivered</t>
        </is>
      </c>
      <c r="I581" t="n">
        <v>3</v>
      </c>
      <c r="J581" t="n">
        <v>9</v>
      </c>
      <c r="K581" t="n">
        <v>1490.87</v>
      </c>
      <c r="L581" t="n">
        <v>2.55</v>
      </c>
      <c r="M581" t="n">
        <v>5.9</v>
      </c>
      <c r="N581" t="n">
        <v>2.1</v>
      </c>
      <c r="O581" t="n">
        <v>6</v>
      </c>
      <c r="P581" t="n">
        <v>11.9</v>
      </c>
      <c r="Q581" t="n">
        <v>14</v>
      </c>
      <c r="R581" t="n">
        <v>2.1</v>
      </c>
      <c r="S581" t="b">
        <v>0</v>
      </c>
      <c r="U581" t="n">
        <v>17</v>
      </c>
      <c r="V581" t="b">
        <v>0</v>
      </c>
      <c r="X581" t="b">
        <v>0</v>
      </c>
      <c r="Y581" t="n">
        <v>0.28</v>
      </c>
    </row>
    <row r="582">
      <c r="A582" t="inlineStr">
        <is>
          <t>O00581</t>
        </is>
      </c>
      <c r="B582" t="inlineStr">
        <is>
          <t>C0249</t>
        </is>
      </c>
      <c r="C582" t="inlineStr">
        <is>
          <t>S006</t>
        </is>
      </c>
      <c r="E582" s="3" t="n">
        <v>46266.475</v>
      </c>
      <c r="F582" s="3" t="n">
        <v>46266.48326388889</v>
      </c>
      <c r="H582" t="inlineStr">
        <is>
          <t>Cancelled</t>
        </is>
      </c>
      <c r="I582" t="n">
        <v>3</v>
      </c>
      <c r="J582" t="n">
        <v>9</v>
      </c>
      <c r="K582" t="n">
        <v>1060.69</v>
      </c>
      <c r="L582" t="n">
        <v>4.9</v>
      </c>
      <c r="M582" t="n">
        <v>6.3</v>
      </c>
      <c r="N582" t="n">
        <v>3</v>
      </c>
      <c r="O582" t="n">
        <v>14.8</v>
      </c>
      <c r="P582" t="n">
        <v>11.9</v>
      </c>
      <c r="T582" t="inlineStr">
        <is>
          <t>Payment issue</t>
        </is>
      </c>
      <c r="U582" t="n">
        <v>11</v>
      </c>
      <c r="V582" t="b">
        <v>0</v>
      </c>
      <c r="W582" t="inlineStr">
        <is>
          <t>Heavy</t>
        </is>
      </c>
      <c r="X582" t="b">
        <v>0</v>
      </c>
      <c r="Y582" t="n">
        <v>0.34</v>
      </c>
    </row>
    <row r="583">
      <c r="A583" t="inlineStr">
        <is>
          <t>O00582</t>
        </is>
      </c>
      <c r="B583" t="inlineStr">
        <is>
          <t>C0025</t>
        </is>
      </c>
      <c r="C583" t="inlineStr">
        <is>
          <t>S019</t>
        </is>
      </c>
      <c r="D583" t="inlineStr">
        <is>
          <t>R011</t>
        </is>
      </c>
      <c r="E583" s="3" t="n">
        <v>46271.78541666667</v>
      </c>
      <c r="F583" s="3" t="n">
        <v>46271.79180555556</v>
      </c>
      <c r="G583" s="3" t="n">
        <v>46271.79145833333</v>
      </c>
      <c r="H583" t="inlineStr">
        <is>
          <t>Delivered</t>
        </is>
      </c>
      <c r="I583" t="n">
        <v>4</v>
      </c>
      <c r="J583" t="n">
        <v>9</v>
      </c>
      <c r="K583" t="n">
        <v>1265.55</v>
      </c>
      <c r="L583" t="n">
        <v>1.75</v>
      </c>
      <c r="M583" t="n">
        <v>3.3</v>
      </c>
      <c r="N583" t="n">
        <v>1.7</v>
      </c>
      <c r="O583" t="n">
        <v>3.7</v>
      </c>
      <c r="P583" t="n">
        <v>9.199999999999999</v>
      </c>
      <c r="Q583" t="n">
        <v>8.699999999999999</v>
      </c>
      <c r="R583" t="n">
        <v>-0.5</v>
      </c>
      <c r="S583" t="b">
        <v>1</v>
      </c>
      <c r="U583" t="n">
        <v>18</v>
      </c>
      <c r="V583" t="b">
        <v>0</v>
      </c>
      <c r="X583" t="b">
        <v>0</v>
      </c>
      <c r="Y583" t="n">
        <v>0.5</v>
      </c>
    </row>
    <row r="584">
      <c r="A584" t="inlineStr">
        <is>
          <t>O00583</t>
        </is>
      </c>
      <c r="B584" t="inlineStr">
        <is>
          <t>C0075</t>
        </is>
      </c>
      <c r="C584" t="inlineStr">
        <is>
          <t>S008</t>
        </is>
      </c>
      <c r="D584" t="inlineStr">
        <is>
          <t>R040</t>
        </is>
      </c>
      <c r="E584" s="3" t="n">
        <v>46274.37777777778</v>
      </c>
      <c r="F584" s="3" t="n">
        <v>46274.38347222222</v>
      </c>
      <c r="G584" s="3" t="n">
        <v>46274.38326388889</v>
      </c>
      <c r="H584" t="inlineStr">
        <is>
          <t>Delivered</t>
        </is>
      </c>
      <c r="I584" t="n">
        <v>2</v>
      </c>
      <c r="J584" t="n">
        <v>8</v>
      </c>
      <c r="K584" t="n">
        <v>492.47</v>
      </c>
      <c r="L584" t="n">
        <v>1.7</v>
      </c>
      <c r="M584" t="n">
        <v>2.4</v>
      </c>
      <c r="N584" t="n">
        <v>3.6</v>
      </c>
      <c r="O584" t="n">
        <v>1.9</v>
      </c>
      <c r="P584" t="n">
        <v>8.199999999999999</v>
      </c>
      <c r="Q584" t="n">
        <v>7.9</v>
      </c>
      <c r="R584" t="n">
        <v>-0.3</v>
      </c>
      <c r="S584" t="b">
        <v>1</v>
      </c>
      <c r="U584" t="n">
        <v>9</v>
      </c>
      <c r="V584" t="b">
        <v>0</v>
      </c>
      <c r="X584" t="b">
        <v>0</v>
      </c>
      <c r="Y584" t="n">
        <v>0.17</v>
      </c>
    </row>
    <row r="585">
      <c r="A585" t="inlineStr">
        <is>
          <t>O00584</t>
        </is>
      </c>
      <c r="B585" t="inlineStr">
        <is>
          <t>C0093</t>
        </is>
      </c>
      <c r="C585" t="inlineStr">
        <is>
          <t>S005</t>
        </is>
      </c>
      <c r="D585" t="inlineStr">
        <is>
          <t>R035</t>
        </is>
      </c>
      <c r="E585" s="3" t="n">
        <v>46275.75138888889</v>
      </c>
      <c r="F585" s="3" t="n">
        <v>46275.75944444445</v>
      </c>
      <c r="G585" s="3" t="n">
        <v>46275.75895833333</v>
      </c>
      <c r="H585" t="inlineStr">
        <is>
          <t>Delivered</t>
        </is>
      </c>
      <c r="I585" t="n">
        <v>4</v>
      </c>
      <c r="J585" t="n">
        <v>5</v>
      </c>
      <c r="K585" t="n">
        <v>1084.6</v>
      </c>
      <c r="L585" t="n">
        <v>1.32</v>
      </c>
      <c r="M585" t="n">
        <v>2.9</v>
      </c>
      <c r="N585" t="n">
        <v>4.8</v>
      </c>
      <c r="O585" t="n">
        <v>3.2</v>
      </c>
      <c r="P585" t="n">
        <v>11.6</v>
      </c>
      <c r="Q585" t="n">
        <v>10.9</v>
      </c>
      <c r="R585" t="n">
        <v>-0.7</v>
      </c>
      <c r="S585" t="b">
        <v>1</v>
      </c>
      <c r="U585" t="n">
        <v>18</v>
      </c>
      <c r="V585" t="b">
        <v>0</v>
      </c>
      <c r="X585" t="b">
        <v>0</v>
      </c>
      <c r="Y585" t="n">
        <v>0.88</v>
      </c>
    </row>
    <row r="586">
      <c r="A586" t="inlineStr">
        <is>
          <t>O00585</t>
        </is>
      </c>
      <c r="B586" t="inlineStr">
        <is>
          <t>C0070</t>
        </is>
      </c>
      <c r="C586" t="inlineStr">
        <is>
          <t>S005</t>
        </is>
      </c>
      <c r="D586" t="inlineStr">
        <is>
          <t>R014</t>
        </is>
      </c>
      <c r="E586" s="3" t="n">
        <v>46276.65972222222</v>
      </c>
      <c r="F586" s="3" t="n">
        <v>46276.66666666666</v>
      </c>
      <c r="G586" s="3" t="n">
        <v>46276.66645833333</v>
      </c>
      <c r="H586" t="inlineStr">
        <is>
          <t>Delivered</t>
        </is>
      </c>
      <c r="I586" t="n">
        <v>5</v>
      </c>
      <c r="J586" t="n">
        <v>5</v>
      </c>
      <c r="K586" t="n">
        <v>1225.02</v>
      </c>
      <c r="L586" t="n">
        <v>1.66</v>
      </c>
      <c r="M586" t="n">
        <v>3.1</v>
      </c>
      <c r="N586" t="n">
        <v>3.8</v>
      </c>
      <c r="O586" t="n">
        <v>2.8</v>
      </c>
      <c r="P586" t="n">
        <v>10</v>
      </c>
      <c r="Q586" t="n">
        <v>9.699999999999999</v>
      </c>
      <c r="R586" t="n">
        <v>-0.3</v>
      </c>
      <c r="S586" t="b">
        <v>1</v>
      </c>
      <c r="U586" t="n">
        <v>15</v>
      </c>
      <c r="V586" t="b">
        <v>0</v>
      </c>
      <c r="X586" t="b">
        <v>1</v>
      </c>
      <c r="Y586" t="n">
        <v>0.43</v>
      </c>
    </row>
    <row r="587">
      <c r="A587" t="inlineStr">
        <is>
          <t>O00586</t>
        </is>
      </c>
      <c r="B587" t="inlineStr">
        <is>
          <t>C0119</t>
        </is>
      </c>
      <c r="C587" t="inlineStr">
        <is>
          <t>S020</t>
        </is>
      </c>
      <c r="D587" t="inlineStr">
        <is>
          <t>R019</t>
        </is>
      </c>
      <c r="E587" s="3" t="n">
        <v>46267.6</v>
      </c>
      <c r="F587" s="3" t="n">
        <v>46267.60763888889</v>
      </c>
      <c r="G587" s="3" t="n">
        <v>46267.6075</v>
      </c>
      <c r="H587" t="inlineStr">
        <is>
          <t>Delivered</t>
        </is>
      </c>
      <c r="I587" t="n">
        <v>4</v>
      </c>
      <c r="J587" t="n">
        <v>4</v>
      </c>
      <c r="K587" t="n">
        <v>617.4400000000001</v>
      </c>
      <c r="L587" t="n">
        <v>2.31</v>
      </c>
      <c r="M587" t="n">
        <v>3.6</v>
      </c>
      <c r="N587" t="n">
        <v>3.3</v>
      </c>
      <c r="O587" t="n">
        <v>3.9</v>
      </c>
      <c r="P587" t="n">
        <v>11</v>
      </c>
      <c r="Q587" t="n">
        <v>10.8</v>
      </c>
      <c r="R587" t="n">
        <v>-0.2</v>
      </c>
      <c r="S587" t="b">
        <v>1</v>
      </c>
      <c r="U587" t="n">
        <v>14</v>
      </c>
      <c r="V587" t="b">
        <v>0</v>
      </c>
      <c r="X587" t="b">
        <v>0</v>
      </c>
      <c r="Y587" t="n">
        <v>0.57</v>
      </c>
    </row>
    <row r="588">
      <c r="A588" t="inlineStr">
        <is>
          <t>O00587</t>
        </is>
      </c>
      <c r="B588" t="inlineStr">
        <is>
          <t>C0029</t>
        </is>
      </c>
      <c r="C588" t="inlineStr">
        <is>
          <t>S019</t>
        </is>
      </c>
      <c r="D588" t="inlineStr">
        <is>
          <t>R053</t>
        </is>
      </c>
      <c r="E588" s="3" t="n">
        <v>46279.44861111111</v>
      </c>
      <c r="F588" s="3" t="n">
        <v>46279.45513888889</v>
      </c>
      <c r="G588" s="3" t="n">
        <v>46279.455</v>
      </c>
      <c r="H588" t="inlineStr">
        <is>
          <t>Delivered</t>
        </is>
      </c>
      <c r="I588" t="n">
        <v>2</v>
      </c>
      <c r="J588" t="n">
        <v>9</v>
      </c>
      <c r="K588" t="n">
        <v>1199.78</v>
      </c>
      <c r="L588" t="n">
        <v>0.5</v>
      </c>
      <c r="M588" t="n">
        <v>4.8</v>
      </c>
      <c r="N588" t="n">
        <v>2</v>
      </c>
      <c r="O588" t="n">
        <v>2.4</v>
      </c>
      <c r="P588" t="n">
        <v>9.4</v>
      </c>
      <c r="Q588" t="n">
        <v>9.199999999999999</v>
      </c>
      <c r="R588" t="n">
        <v>-0.2</v>
      </c>
      <c r="S588" t="b">
        <v>1</v>
      </c>
      <c r="U588" t="n">
        <v>10</v>
      </c>
      <c r="V588" t="b">
        <v>0</v>
      </c>
      <c r="W588" t="inlineStr">
        <is>
          <t>Light</t>
        </is>
      </c>
      <c r="X588" t="b">
        <v>0</v>
      </c>
      <c r="Y588" t="n">
        <v>0.43</v>
      </c>
    </row>
    <row r="589">
      <c r="A589" t="inlineStr">
        <is>
          <t>O00588</t>
        </is>
      </c>
      <c r="B589" t="inlineStr">
        <is>
          <t>C0167</t>
        </is>
      </c>
      <c r="C589" t="inlineStr">
        <is>
          <t>S018</t>
        </is>
      </c>
      <c r="D589" t="inlineStr">
        <is>
          <t>R021</t>
        </is>
      </c>
      <c r="E589" s="3" t="n">
        <v>46277.62777777778</v>
      </c>
      <c r="F589" s="3" t="n">
        <v>46277.63520833333</v>
      </c>
      <c r="G589" s="3" t="n">
        <v>46277.63458333333</v>
      </c>
      <c r="H589" t="inlineStr">
        <is>
          <t>Delivered</t>
        </is>
      </c>
      <c r="I589" t="n">
        <v>1</v>
      </c>
      <c r="J589" t="n">
        <v>6</v>
      </c>
      <c r="K589" t="n">
        <v>1281.37</v>
      </c>
      <c r="L589" t="n">
        <v>1.73</v>
      </c>
      <c r="M589" t="n">
        <v>3.3</v>
      </c>
      <c r="N589" t="n">
        <v>3</v>
      </c>
      <c r="O589" t="n">
        <v>3.5</v>
      </c>
      <c r="P589" t="n">
        <v>10.7</v>
      </c>
      <c r="Q589" t="n">
        <v>9.800000000000001</v>
      </c>
      <c r="R589" t="n">
        <v>-0.9</v>
      </c>
      <c r="S589" t="b">
        <v>1</v>
      </c>
      <c r="U589" t="n">
        <v>15</v>
      </c>
      <c r="V589" t="b">
        <v>0</v>
      </c>
      <c r="W589" t="inlineStr">
        <is>
          <t>Light</t>
        </is>
      </c>
      <c r="X589" t="b">
        <v>0</v>
      </c>
      <c r="Y589" t="n">
        <v>0.37</v>
      </c>
    </row>
    <row r="590">
      <c r="A590" t="inlineStr">
        <is>
          <t>O00589</t>
        </is>
      </c>
      <c r="B590" t="inlineStr">
        <is>
          <t>C0062</t>
        </is>
      </c>
      <c r="C590" t="inlineStr">
        <is>
          <t>S015</t>
        </is>
      </c>
      <c r="D590" t="inlineStr">
        <is>
          <t>R004</t>
        </is>
      </c>
      <c r="E590" s="3" t="n">
        <v>46266.69722222222</v>
      </c>
      <c r="F590" s="3" t="n">
        <v>46266.70381944445</v>
      </c>
      <c r="G590" s="3" t="n">
        <v>46266.70333333333</v>
      </c>
      <c r="H590" t="inlineStr">
        <is>
          <t>Delivered</t>
        </is>
      </c>
      <c r="I590" t="n">
        <v>1</v>
      </c>
      <c r="J590" t="n">
        <v>7</v>
      </c>
      <c r="K590" t="n">
        <v>1354.11</v>
      </c>
      <c r="L590" t="n">
        <v>1.4</v>
      </c>
      <c r="M590" t="n">
        <v>3.1</v>
      </c>
      <c r="N590" t="n">
        <v>2.6</v>
      </c>
      <c r="O590" t="n">
        <v>3.1</v>
      </c>
      <c r="P590" t="n">
        <v>9.5</v>
      </c>
      <c r="Q590" t="n">
        <v>8.800000000000001</v>
      </c>
      <c r="R590" t="n">
        <v>-0.7</v>
      </c>
      <c r="S590" t="b">
        <v>1</v>
      </c>
      <c r="U590" t="n">
        <v>16</v>
      </c>
      <c r="V590" t="b">
        <v>0</v>
      </c>
      <c r="X590" t="b">
        <v>0</v>
      </c>
      <c r="Y590" t="n">
        <v>0.46</v>
      </c>
    </row>
    <row r="591">
      <c r="A591" t="inlineStr">
        <is>
          <t>O00590</t>
        </is>
      </c>
      <c r="B591" t="inlineStr">
        <is>
          <t>C0042</t>
        </is>
      </c>
      <c r="C591" t="inlineStr">
        <is>
          <t>S009</t>
        </is>
      </c>
      <c r="D591" t="inlineStr">
        <is>
          <t>R011</t>
        </is>
      </c>
      <c r="E591" s="3" t="n">
        <v>46277.81319444445</v>
      </c>
      <c r="F591" s="3" t="n">
        <v>46277.81868055555</v>
      </c>
      <c r="G591" s="3" t="n">
        <v>46277.81847222222</v>
      </c>
      <c r="H591" t="inlineStr">
        <is>
          <t>Delivered</t>
        </is>
      </c>
      <c r="I591" t="n">
        <v>4</v>
      </c>
      <c r="J591" t="n">
        <v>5</v>
      </c>
      <c r="K591" t="n">
        <v>469.15</v>
      </c>
      <c r="L591" t="n">
        <v>2.26</v>
      </c>
      <c r="M591" t="n">
        <v>2.1</v>
      </c>
      <c r="N591" t="n">
        <v>1.6</v>
      </c>
      <c r="O591" t="n">
        <v>3.9</v>
      </c>
      <c r="P591" t="n">
        <v>7.9</v>
      </c>
      <c r="Q591" t="n">
        <v>7.6</v>
      </c>
      <c r="R591" t="n">
        <v>-0.3</v>
      </c>
      <c r="S591" t="b">
        <v>1</v>
      </c>
      <c r="U591" t="n">
        <v>19</v>
      </c>
      <c r="V591" t="b">
        <v>1</v>
      </c>
      <c r="W591" t="inlineStr">
        <is>
          <t>Light</t>
        </is>
      </c>
      <c r="X591" t="b">
        <v>0</v>
      </c>
      <c r="Y591" t="n">
        <v>0.47</v>
      </c>
    </row>
    <row r="592">
      <c r="A592" t="inlineStr">
        <is>
          <t>O00591</t>
        </is>
      </c>
      <c r="B592" t="inlineStr">
        <is>
          <t>C0115</t>
        </is>
      </c>
      <c r="C592" t="inlineStr">
        <is>
          <t>S019</t>
        </is>
      </c>
      <c r="D592" t="inlineStr">
        <is>
          <t>R068</t>
        </is>
      </c>
      <c r="E592" s="3" t="n">
        <v>46267.98958333334</v>
      </c>
      <c r="F592" s="3" t="n">
        <v>46267.99680555556</v>
      </c>
      <c r="G592" s="3" t="n">
        <v>46267.99659722222</v>
      </c>
      <c r="H592" t="inlineStr">
        <is>
          <t>Delivered</t>
        </is>
      </c>
      <c r="I592" t="n">
        <v>5</v>
      </c>
      <c r="J592" t="n">
        <v>7</v>
      </c>
      <c r="K592" t="n">
        <v>246.61</v>
      </c>
      <c r="L592" t="n">
        <v>0.77</v>
      </c>
      <c r="M592" t="n">
        <v>4.3</v>
      </c>
      <c r="N592" t="n">
        <v>3.3</v>
      </c>
      <c r="O592" t="n">
        <v>2.5</v>
      </c>
      <c r="P592" t="n">
        <v>10.4</v>
      </c>
      <c r="Q592" t="n">
        <v>10.1</v>
      </c>
      <c r="R592" t="n">
        <v>-0.3</v>
      </c>
      <c r="S592" t="b">
        <v>1</v>
      </c>
      <c r="U592" t="n">
        <v>23</v>
      </c>
      <c r="V592" t="b">
        <v>0</v>
      </c>
      <c r="X592" t="b">
        <v>0</v>
      </c>
      <c r="Y592" t="n">
        <v>0.5</v>
      </c>
    </row>
    <row r="593">
      <c r="A593" t="inlineStr">
        <is>
          <t>O00592</t>
        </is>
      </c>
      <c r="B593" t="inlineStr">
        <is>
          <t>C0001</t>
        </is>
      </c>
      <c r="C593" t="inlineStr">
        <is>
          <t>S018</t>
        </is>
      </c>
      <c r="D593" t="inlineStr">
        <is>
          <t>R036</t>
        </is>
      </c>
      <c r="E593" s="3" t="n">
        <v>46277.56388888889</v>
      </c>
      <c r="F593" s="3" t="n">
        <v>46277.57256944444</v>
      </c>
      <c r="G593" s="3" t="n">
        <v>46277.57215277778</v>
      </c>
      <c r="H593" t="inlineStr">
        <is>
          <t>Delivered</t>
        </is>
      </c>
      <c r="I593" t="n">
        <v>1</v>
      </c>
      <c r="J593" t="n">
        <v>6</v>
      </c>
      <c r="K593" t="n">
        <v>582.49</v>
      </c>
      <c r="L593" t="n">
        <v>5.9</v>
      </c>
      <c r="M593" t="n">
        <v>3</v>
      </c>
      <c r="N593" t="n">
        <v>1.5</v>
      </c>
      <c r="O593" t="n">
        <v>7.4</v>
      </c>
      <c r="P593" t="n">
        <v>12.5</v>
      </c>
      <c r="Q593" t="n">
        <v>11.9</v>
      </c>
      <c r="R593" t="n">
        <v>-0.6</v>
      </c>
      <c r="S593" t="b">
        <v>1</v>
      </c>
      <c r="U593" t="n">
        <v>13</v>
      </c>
      <c r="V593" t="b">
        <v>0</v>
      </c>
      <c r="W593" t="inlineStr">
        <is>
          <t>Light</t>
        </is>
      </c>
      <c r="X593" t="b">
        <v>0</v>
      </c>
      <c r="Y593" t="n">
        <v>0.21</v>
      </c>
    </row>
    <row r="594">
      <c r="A594" t="inlineStr">
        <is>
          <t>O00593</t>
        </is>
      </c>
      <c r="B594" t="inlineStr">
        <is>
          <t>C0174</t>
        </is>
      </c>
      <c r="C594" t="inlineStr">
        <is>
          <t>S010</t>
        </is>
      </c>
      <c r="D594" t="inlineStr">
        <is>
          <t>R026</t>
        </is>
      </c>
      <c r="E594" s="3" t="n">
        <v>46266.94513888889</v>
      </c>
      <c r="F594" s="3" t="n">
        <v>46266.95347222222</v>
      </c>
      <c r="G594" s="3" t="n">
        <v>46266.95569444444</v>
      </c>
      <c r="H594" t="inlineStr">
        <is>
          <t>Delivered</t>
        </is>
      </c>
      <c r="I594" t="n">
        <v>3</v>
      </c>
      <c r="J594" t="n">
        <v>6</v>
      </c>
      <c r="K594" t="n">
        <v>622.25</v>
      </c>
      <c r="L594" t="n">
        <v>2.2</v>
      </c>
      <c r="M594" t="n">
        <v>6</v>
      </c>
      <c r="N594" t="n">
        <v>2.7</v>
      </c>
      <c r="O594" t="n">
        <v>6.4</v>
      </c>
      <c r="P594" t="n">
        <v>12</v>
      </c>
      <c r="Q594" t="n">
        <v>15.2</v>
      </c>
      <c r="R594" t="n">
        <v>3.2</v>
      </c>
      <c r="S594" t="b">
        <v>0</v>
      </c>
      <c r="U594" t="n">
        <v>22</v>
      </c>
      <c r="V594" t="b">
        <v>0</v>
      </c>
      <c r="X594" t="b">
        <v>0</v>
      </c>
      <c r="Y594" t="n">
        <v>0.44</v>
      </c>
    </row>
    <row r="595">
      <c r="A595" t="inlineStr">
        <is>
          <t>O00594</t>
        </is>
      </c>
      <c r="B595" t="inlineStr">
        <is>
          <t>C0049</t>
        </is>
      </c>
      <c r="C595" t="inlineStr">
        <is>
          <t>S020</t>
        </is>
      </c>
      <c r="D595" t="inlineStr">
        <is>
          <t>R036</t>
        </is>
      </c>
      <c r="E595" s="3" t="n">
        <v>46279.38263888889</v>
      </c>
      <c r="F595" s="3" t="n">
        <v>46279.39076388889</v>
      </c>
      <c r="G595" s="3" t="n">
        <v>46279.39034722222</v>
      </c>
      <c r="H595" t="inlineStr">
        <is>
          <t>Delivered</t>
        </is>
      </c>
      <c r="I595" t="n">
        <v>5</v>
      </c>
      <c r="J595" t="n">
        <v>8</v>
      </c>
      <c r="K595" t="n">
        <v>1368.73</v>
      </c>
      <c r="L595" t="n">
        <v>1.62</v>
      </c>
      <c r="M595" t="n">
        <v>5.9</v>
      </c>
      <c r="N595" t="n">
        <v>0</v>
      </c>
      <c r="O595" t="n">
        <v>5.2</v>
      </c>
      <c r="P595" t="n">
        <v>11.7</v>
      </c>
      <c r="Q595" t="n">
        <v>11.1</v>
      </c>
      <c r="R595" t="n">
        <v>-0.6</v>
      </c>
      <c r="S595" t="b">
        <v>1</v>
      </c>
      <c r="U595" t="n">
        <v>9</v>
      </c>
      <c r="V595" t="b">
        <v>0</v>
      </c>
      <c r="X595" t="b">
        <v>0</v>
      </c>
      <c r="Y595" t="n">
        <v>0.57</v>
      </c>
    </row>
    <row r="596">
      <c r="A596" t="inlineStr">
        <is>
          <t>O00595</t>
        </is>
      </c>
      <c r="B596" t="inlineStr">
        <is>
          <t>C0211</t>
        </is>
      </c>
      <c r="C596" t="inlineStr">
        <is>
          <t>S014</t>
        </is>
      </c>
      <c r="D596" t="inlineStr">
        <is>
          <t>R010</t>
        </is>
      </c>
      <c r="E596" s="3" t="n">
        <v>46270.38819444444</v>
      </c>
      <c r="F596" s="3" t="n">
        <v>46270.39625</v>
      </c>
      <c r="G596" s="3" t="n">
        <v>46270.39597222222</v>
      </c>
      <c r="H596" t="inlineStr">
        <is>
          <t>Delivered</t>
        </is>
      </c>
      <c r="I596" t="n">
        <v>6</v>
      </c>
      <c r="J596" t="n">
        <v>6</v>
      </c>
      <c r="K596" t="n">
        <v>1225.16</v>
      </c>
      <c r="L596" t="n">
        <v>0.55</v>
      </c>
      <c r="M596" t="n">
        <v>3.3</v>
      </c>
      <c r="N596" t="n">
        <v>5.4</v>
      </c>
      <c r="O596" t="n">
        <v>2.5</v>
      </c>
      <c r="P596" t="n">
        <v>11.6</v>
      </c>
      <c r="Q596" t="n">
        <v>11.2</v>
      </c>
      <c r="R596" t="n">
        <v>-0.4</v>
      </c>
      <c r="S596" t="b">
        <v>1</v>
      </c>
      <c r="U596" t="n">
        <v>9</v>
      </c>
      <c r="V596" t="b">
        <v>0</v>
      </c>
      <c r="W596" t="inlineStr">
        <is>
          <t>Light</t>
        </is>
      </c>
      <c r="X596" t="b">
        <v>0</v>
      </c>
      <c r="Y596" t="n">
        <v>0.6</v>
      </c>
    </row>
    <row r="597">
      <c r="A597" t="inlineStr">
        <is>
          <t>O00596</t>
        </is>
      </c>
      <c r="B597" t="inlineStr">
        <is>
          <t>C0119</t>
        </is>
      </c>
      <c r="C597" t="inlineStr">
        <is>
          <t>S020</t>
        </is>
      </c>
      <c r="D597" t="inlineStr">
        <is>
          <t>R032</t>
        </is>
      </c>
      <c r="E597" s="3" t="n">
        <v>46274.58888888889</v>
      </c>
      <c r="F597" s="3" t="n">
        <v>46274.59701388889</v>
      </c>
      <c r="G597" s="3" t="n">
        <v>46274.59666666666</v>
      </c>
      <c r="H597" t="inlineStr">
        <is>
          <t>Delivered</t>
        </is>
      </c>
      <c r="I597" t="n">
        <v>1</v>
      </c>
      <c r="J597" t="n">
        <v>8</v>
      </c>
      <c r="K597" t="n">
        <v>613.7</v>
      </c>
      <c r="L597" t="n">
        <v>1.85</v>
      </c>
      <c r="M597" t="n">
        <v>5.5</v>
      </c>
      <c r="N597" t="n">
        <v>1.2</v>
      </c>
      <c r="O597" t="n">
        <v>4.5</v>
      </c>
      <c r="P597" t="n">
        <v>11.7</v>
      </c>
      <c r="Q597" t="n">
        <v>11.2</v>
      </c>
      <c r="R597" t="n">
        <v>-0.5</v>
      </c>
      <c r="S597" t="b">
        <v>1</v>
      </c>
      <c r="U597" t="n">
        <v>14</v>
      </c>
      <c r="V597" t="b">
        <v>0</v>
      </c>
      <c r="X597" t="b">
        <v>0</v>
      </c>
      <c r="Y597" t="n">
        <v>0.45</v>
      </c>
    </row>
    <row r="598">
      <c r="A598" t="inlineStr">
        <is>
          <t>O00597</t>
        </is>
      </c>
      <c r="B598" t="inlineStr">
        <is>
          <t>C0072</t>
        </is>
      </c>
      <c r="C598" t="inlineStr">
        <is>
          <t>S016</t>
        </is>
      </c>
      <c r="D598" t="inlineStr">
        <is>
          <t>R063</t>
        </is>
      </c>
      <c r="E598" s="3" t="n">
        <v>46272.34375</v>
      </c>
      <c r="F598" s="3" t="n">
        <v>46272.35215277778</v>
      </c>
      <c r="G598" s="3" t="n">
        <v>46272.35145833333</v>
      </c>
      <c r="H598" t="inlineStr">
        <is>
          <t>Delivered</t>
        </is>
      </c>
      <c r="I598" t="n">
        <v>3</v>
      </c>
      <c r="J598" t="n">
        <v>5</v>
      </c>
      <c r="K598" t="n">
        <v>966.28</v>
      </c>
      <c r="L598" t="n">
        <v>1.16</v>
      </c>
      <c r="M598" t="n">
        <v>6</v>
      </c>
      <c r="N598" t="n">
        <v>1.7</v>
      </c>
      <c r="O598" t="n">
        <v>3.3</v>
      </c>
      <c r="P598" t="n">
        <v>12.1</v>
      </c>
      <c r="Q598" t="n">
        <v>11.1</v>
      </c>
      <c r="R598" t="n">
        <v>-1</v>
      </c>
      <c r="S598" t="b">
        <v>1</v>
      </c>
      <c r="U598" t="n">
        <v>8</v>
      </c>
      <c r="V598" t="b">
        <v>0</v>
      </c>
      <c r="X598" t="b">
        <v>0</v>
      </c>
      <c r="Y598" t="n">
        <v>0.28</v>
      </c>
    </row>
    <row r="599">
      <c r="A599" t="inlineStr">
        <is>
          <t>O00598</t>
        </is>
      </c>
      <c r="B599" t="inlineStr">
        <is>
          <t>C0073</t>
        </is>
      </c>
      <c r="C599" t="inlineStr">
        <is>
          <t>S013</t>
        </is>
      </c>
      <c r="D599" t="inlineStr">
        <is>
          <t>R055</t>
        </is>
      </c>
      <c r="E599" s="3" t="n">
        <v>46271.38819444444</v>
      </c>
      <c r="F599" s="3" t="n">
        <v>46271.39493055556</v>
      </c>
      <c r="G599" s="3" t="n">
        <v>46271.39416666667</v>
      </c>
      <c r="H599" t="inlineStr">
        <is>
          <t>Delivered</t>
        </is>
      </c>
      <c r="I599" t="n">
        <v>4</v>
      </c>
      <c r="J599" t="n">
        <v>9</v>
      </c>
      <c r="K599" t="n">
        <v>553.79</v>
      </c>
      <c r="L599" t="n">
        <v>0.5</v>
      </c>
      <c r="M599" t="n">
        <v>4</v>
      </c>
      <c r="N599" t="n">
        <v>2.9</v>
      </c>
      <c r="O599" t="n">
        <v>1.7</v>
      </c>
      <c r="P599" t="n">
        <v>9.699999999999999</v>
      </c>
      <c r="Q599" t="n">
        <v>8.6</v>
      </c>
      <c r="R599" t="n">
        <v>-1.1</v>
      </c>
      <c r="S599" t="b">
        <v>1</v>
      </c>
      <c r="U599" t="n">
        <v>9</v>
      </c>
      <c r="V599" t="b">
        <v>0</v>
      </c>
      <c r="X599" t="b">
        <v>0</v>
      </c>
      <c r="Y599" t="n">
        <v>0.54</v>
      </c>
    </row>
    <row r="600">
      <c r="A600" t="inlineStr">
        <is>
          <t>O00599</t>
        </is>
      </c>
      <c r="B600" t="inlineStr">
        <is>
          <t>C0122</t>
        </is>
      </c>
      <c r="C600" t="inlineStr">
        <is>
          <t>S005</t>
        </is>
      </c>
      <c r="D600" t="inlineStr">
        <is>
          <t>R067</t>
        </is>
      </c>
      <c r="E600" s="3" t="n">
        <v>46271.33402777778</v>
      </c>
      <c r="F600" s="3" t="n">
        <v>46271.34118055556</v>
      </c>
      <c r="G600" s="3" t="n">
        <v>46271.34333333333</v>
      </c>
      <c r="H600" t="inlineStr">
        <is>
          <t>Delivered</t>
        </is>
      </c>
      <c r="I600" t="n">
        <v>2</v>
      </c>
      <c r="J600" t="n">
        <v>6</v>
      </c>
      <c r="K600" t="n">
        <v>497.52</v>
      </c>
      <c r="L600" t="n">
        <v>1.52</v>
      </c>
      <c r="M600" t="n">
        <v>5</v>
      </c>
      <c r="N600" t="n">
        <v>4.2</v>
      </c>
      <c r="O600" t="n">
        <v>4.2</v>
      </c>
      <c r="P600" t="n">
        <v>10.3</v>
      </c>
      <c r="Q600" t="n">
        <v>13.4</v>
      </c>
      <c r="R600" t="n">
        <v>3.1</v>
      </c>
      <c r="S600" t="b">
        <v>0</v>
      </c>
      <c r="U600" t="n">
        <v>8</v>
      </c>
      <c r="V600" t="b">
        <v>0</v>
      </c>
      <c r="X600" t="b">
        <v>0</v>
      </c>
      <c r="Y600" t="n">
        <v>0.48</v>
      </c>
    </row>
    <row r="601">
      <c r="A601" t="inlineStr">
        <is>
          <t>O00600</t>
        </is>
      </c>
      <c r="B601" t="inlineStr">
        <is>
          <t>C0087</t>
        </is>
      </c>
      <c r="C601" t="inlineStr">
        <is>
          <t>S010</t>
        </is>
      </c>
      <c r="D601" t="inlineStr">
        <is>
          <t>R034</t>
        </is>
      </c>
      <c r="E601" s="3" t="n">
        <v>46278.69583333333</v>
      </c>
      <c r="F601" s="3" t="n">
        <v>46278.70298611111</v>
      </c>
      <c r="G601" s="3" t="n">
        <v>46278.7025</v>
      </c>
      <c r="H601" t="inlineStr">
        <is>
          <t>Delivered</t>
        </is>
      </c>
      <c r="I601" t="n">
        <v>2</v>
      </c>
      <c r="J601" t="n">
        <v>5</v>
      </c>
      <c r="K601" t="n">
        <v>1176.37</v>
      </c>
      <c r="L601" t="n">
        <v>1.47</v>
      </c>
      <c r="M601" t="n">
        <v>4</v>
      </c>
      <c r="N601" t="n">
        <v>2.5</v>
      </c>
      <c r="O601" t="n">
        <v>3.1</v>
      </c>
      <c r="P601" t="n">
        <v>10.3</v>
      </c>
      <c r="Q601" t="n">
        <v>9.6</v>
      </c>
      <c r="R601" t="n">
        <v>-0.7</v>
      </c>
      <c r="S601" t="b">
        <v>1</v>
      </c>
      <c r="U601" t="n">
        <v>16</v>
      </c>
      <c r="V601" t="b">
        <v>0</v>
      </c>
      <c r="W601" t="inlineStr">
        <is>
          <t>Light</t>
        </is>
      </c>
      <c r="X601" t="b">
        <v>0</v>
      </c>
      <c r="Y601" t="n">
        <v>0.43</v>
      </c>
    </row>
    <row r="602">
      <c r="A602" t="inlineStr">
        <is>
          <t>O00601</t>
        </is>
      </c>
      <c r="B602" t="inlineStr">
        <is>
          <t>C0219</t>
        </is>
      </c>
      <c r="C602" t="inlineStr">
        <is>
          <t>S009</t>
        </is>
      </c>
      <c r="D602" t="inlineStr">
        <is>
          <t>R030</t>
        </is>
      </c>
      <c r="E602" s="3" t="n">
        <v>46269.66458333333</v>
      </c>
      <c r="F602" s="3" t="n">
        <v>46269.67201388889</v>
      </c>
      <c r="G602" s="3" t="n">
        <v>46269.66902777777</v>
      </c>
      <c r="H602" t="inlineStr">
        <is>
          <t>Delivered</t>
        </is>
      </c>
      <c r="I602" t="n">
        <v>4</v>
      </c>
      <c r="J602" t="n">
        <v>5</v>
      </c>
      <c r="K602" t="n">
        <v>998.03</v>
      </c>
      <c r="L602" t="n">
        <v>1.5</v>
      </c>
      <c r="M602" t="n">
        <v>2.1</v>
      </c>
      <c r="N602" t="n">
        <v>0</v>
      </c>
      <c r="O602" t="n">
        <v>4.3</v>
      </c>
      <c r="P602" t="n">
        <v>10.7</v>
      </c>
      <c r="Q602" t="n">
        <v>6.4</v>
      </c>
      <c r="R602" t="n">
        <v>-4.3</v>
      </c>
      <c r="S602" t="b">
        <v>1</v>
      </c>
      <c r="U602" t="n">
        <v>15</v>
      </c>
      <c r="V602" t="b">
        <v>0</v>
      </c>
      <c r="X602" t="b">
        <v>0</v>
      </c>
      <c r="Y602" t="n">
        <v>0.54</v>
      </c>
    </row>
    <row r="603">
      <c r="A603" t="inlineStr">
        <is>
          <t>O00602</t>
        </is>
      </c>
      <c r="B603" t="inlineStr">
        <is>
          <t>C0031</t>
        </is>
      </c>
      <c r="C603" t="inlineStr">
        <is>
          <t>S019</t>
        </is>
      </c>
      <c r="D603" t="inlineStr">
        <is>
          <t>R029</t>
        </is>
      </c>
      <c r="E603" s="3" t="n">
        <v>46269.84722222222</v>
      </c>
      <c r="F603" s="3" t="n">
        <v>46269.85368055556</v>
      </c>
      <c r="G603" s="3" t="n">
        <v>46269.85333333333</v>
      </c>
      <c r="H603" t="inlineStr">
        <is>
          <t>Delivered</t>
        </is>
      </c>
      <c r="I603" t="n">
        <v>3</v>
      </c>
      <c r="J603" t="n">
        <v>10</v>
      </c>
      <c r="K603" t="n">
        <v>793.05</v>
      </c>
      <c r="L603" t="n">
        <v>2.31</v>
      </c>
      <c r="M603" t="n">
        <v>2.7</v>
      </c>
      <c r="N603" t="n">
        <v>3.1</v>
      </c>
      <c r="O603" t="n">
        <v>3</v>
      </c>
      <c r="P603" t="n">
        <v>9.300000000000001</v>
      </c>
      <c r="Q603" t="n">
        <v>8.800000000000001</v>
      </c>
      <c r="R603" t="n">
        <v>-0.5</v>
      </c>
      <c r="S603" t="b">
        <v>1</v>
      </c>
      <c r="U603" t="n">
        <v>20</v>
      </c>
      <c r="V603" t="b">
        <v>1</v>
      </c>
      <c r="X603" t="b">
        <v>0</v>
      </c>
      <c r="Y603" t="n">
        <v>0.82</v>
      </c>
    </row>
    <row r="604">
      <c r="A604" t="inlineStr">
        <is>
          <t>O00603</t>
        </is>
      </c>
      <c r="B604" t="inlineStr">
        <is>
          <t>C0116</t>
        </is>
      </c>
      <c r="C604" t="inlineStr">
        <is>
          <t>S019</t>
        </is>
      </c>
      <c r="D604" t="inlineStr">
        <is>
          <t>R073</t>
        </is>
      </c>
      <c r="E604" s="3" t="n">
        <v>46267.475</v>
      </c>
      <c r="F604" s="3" t="n">
        <v>46267.48319444444</v>
      </c>
      <c r="G604" s="3" t="n">
        <v>46267.48416666667</v>
      </c>
      <c r="H604" t="inlineStr">
        <is>
          <t>Delivered</t>
        </is>
      </c>
      <c r="I604" t="n">
        <v>4</v>
      </c>
      <c r="J604" t="n">
        <v>5</v>
      </c>
      <c r="K604" t="n">
        <v>648.09</v>
      </c>
      <c r="L604" t="n">
        <v>1.17</v>
      </c>
      <c r="M604" t="n">
        <v>5.2</v>
      </c>
      <c r="N604" t="n">
        <v>4.4</v>
      </c>
      <c r="O604" t="n">
        <v>3.6</v>
      </c>
      <c r="P604" t="n">
        <v>11.8</v>
      </c>
      <c r="Q604" t="n">
        <v>13.2</v>
      </c>
      <c r="R604" t="n">
        <v>1.4</v>
      </c>
      <c r="S604" t="b">
        <v>0</v>
      </c>
      <c r="U604" t="n">
        <v>11</v>
      </c>
      <c r="V604" t="b">
        <v>0</v>
      </c>
      <c r="X604" t="b">
        <v>0</v>
      </c>
      <c r="Y604" t="n">
        <v>0.44</v>
      </c>
    </row>
    <row r="605">
      <c r="A605" t="inlineStr">
        <is>
          <t>O00604</t>
        </is>
      </c>
      <c r="B605" t="inlineStr">
        <is>
          <t>C0044</t>
        </is>
      </c>
      <c r="C605" t="inlineStr">
        <is>
          <t>S002</t>
        </is>
      </c>
      <c r="D605" t="inlineStr">
        <is>
          <t>R069</t>
        </is>
      </c>
      <c r="E605" s="3" t="n">
        <v>46267.84236111111</v>
      </c>
      <c r="F605" s="3" t="n">
        <v>46267.84951388889</v>
      </c>
      <c r="G605" s="3" t="n">
        <v>46267.84881944444</v>
      </c>
      <c r="H605" t="inlineStr">
        <is>
          <t>Delivered</t>
        </is>
      </c>
      <c r="I605" t="n">
        <v>6</v>
      </c>
      <c r="J605" t="n">
        <v>11</v>
      </c>
      <c r="K605" t="n">
        <v>1482.82</v>
      </c>
      <c r="L605" t="n">
        <v>3.99</v>
      </c>
      <c r="M605" t="n">
        <v>1.3</v>
      </c>
      <c r="N605" t="n">
        <v>2.7</v>
      </c>
      <c r="O605" t="n">
        <v>5.3</v>
      </c>
      <c r="P605" t="n">
        <v>10.3</v>
      </c>
      <c r="Q605" t="n">
        <v>9.300000000000001</v>
      </c>
      <c r="R605" t="n">
        <v>-1</v>
      </c>
      <c r="S605" t="b">
        <v>1</v>
      </c>
      <c r="U605" t="n">
        <v>20</v>
      </c>
      <c r="V605" t="b">
        <v>1</v>
      </c>
      <c r="W605" t="inlineStr">
        <is>
          <t>Light</t>
        </is>
      </c>
      <c r="X605" t="b">
        <v>0</v>
      </c>
      <c r="Y605" t="n">
        <v>0.67</v>
      </c>
    </row>
    <row r="606">
      <c r="A606" t="inlineStr">
        <is>
          <t>O00605</t>
        </is>
      </c>
      <c r="B606" t="inlineStr">
        <is>
          <t>C0130</t>
        </is>
      </c>
      <c r="C606" t="inlineStr">
        <is>
          <t>S007</t>
        </is>
      </c>
      <c r="D606" t="inlineStr">
        <is>
          <t>R051</t>
        </is>
      </c>
      <c r="E606" s="3" t="n">
        <v>46273.375</v>
      </c>
      <c r="F606" s="3" t="n">
        <v>46273.38270833333</v>
      </c>
      <c r="G606" s="3" t="n">
        <v>46273.38222222222</v>
      </c>
      <c r="H606" t="inlineStr">
        <is>
          <t>Delivered</t>
        </is>
      </c>
      <c r="I606" t="n">
        <v>2</v>
      </c>
      <c r="J606" t="n">
        <v>7</v>
      </c>
      <c r="K606" t="n">
        <v>1502.46</v>
      </c>
      <c r="L606" t="n">
        <v>1.54</v>
      </c>
      <c r="M606" t="n">
        <v>3.8</v>
      </c>
      <c r="N606" t="n">
        <v>3.1</v>
      </c>
      <c r="O606" t="n">
        <v>3.5</v>
      </c>
      <c r="P606" t="n">
        <v>11.1</v>
      </c>
      <c r="Q606" t="n">
        <v>10.4</v>
      </c>
      <c r="R606" t="n">
        <v>-0.7</v>
      </c>
      <c r="S606" t="b">
        <v>1</v>
      </c>
      <c r="U606" t="n">
        <v>9</v>
      </c>
      <c r="V606" t="b">
        <v>0</v>
      </c>
      <c r="X606" t="b">
        <v>0</v>
      </c>
      <c r="Y606" t="n">
        <v>0.55</v>
      </c>
    </row>
    <row r="607">
      <c r="A607" t="inlineStr">
        <is>
          <t>O00606</t>
        </is>
      </c>
      <c r="B607" t="inlineStr">
        <is>
          <t>C0169</t>
        </is>
      </c>
      <c r="C607" t="inlineStr">
        <is>
          <t>S018</t>
        </is>
      </c>
      <c r="D607" t="inlineStr">
        <is>
          <t>R010</t>
        </is>
      </c>
      <c r="E607" s="3" t="n">
        <v>46269.76736111111</v>
      </c>
      <c r="F607" s="3" t="n">
        <v>46269.77576388889</v>
      </c>
      <c r="G607" s="3" t="n">
        <v>46269.77541666666</v>
      </c>
      <c r="H607" t="inlineStr">
        <is>
          <t>Delivered</t>
        </is>
      </c>
      <c r="I607" t="n">
        <v>1</v>
      </c>
      <c r="J607" t="n">
        <v>11</v>
      </c>
      <c r="K607" t="n">
        <v>1256.11</v>
      </c>
      <c r="L607" t="n">
        <v>1.69</v>
      </c>
      <c r="M607" t="n">
        <v>3.9</v>
      </c>
      <c r="N607" t="n">
        <v>4</v>
      </c>
      <c r="O607" t="n">
        <v>3.7</v>
      </c>
      <c r="P607" t="n">
        <v>12.1</v>
      </c>
      <c r="Q607" t="n">
        <v>11.6</v>
      </c>
      <c r="R607" t="n">
        <v>-0.5</v>
      </c>
      <c r="S607" t="b">
        <v>1</v>
      </c>
      <c r="U607" t="n">
        <v>18</v>
      </c>
      <c r="V607" t="b">
        <v>0</v>
      </c>
      <c r="W607" t="inlineStr">
        <is>
          <t>Heavy</t>
        </is>
      </c>
      <c r="X607" t="b">
        <v>1</v>
      </c>
      <c r="Y607" t="n">
        <v>0.13</v>
      </c>
    </row>
    <row r="608">
      <c r="A608" t="inlineStr">
        <is>
          <t>O00607</t>
        </is>
      </c>
      <c r="B608" t="inlineStr">
        <is>
          <t>C0111</t>
        </is>
      </c>
      <c r="C608" t="inlineStr">
        <is>
          <t>S015</t>
        </is>
      </c>
      <c r="D608" t="inlineStr">
        <is>
          <t>R066</t>
        </is>
      </c>
      <c r="E608" s="3" t="n">
        <v>46279.59236111111</v>
      </c>
      <c r="F608" s="3" t="n">
        <v>46279.60027777778</v>
      </c>
      <c r="G608" s="3" t="n">
        <v>46279.59972222222</v>
      </c>
      <c r="H608" t="inlineStr">
        <is>
          <t>Delivered</t>
        </is>
      </c>
      <c r="I608" t="n">
        <v>6</v>
      </c>
      <c r="J608" t="n">
        <v>10</v>
      </c>
      <c r="K608" t="n">
        <v>1122.38</v>
      </c>
      <c r="L608" t="n">
        <v>2.76</v>
      </c>
      <c r="M608" t="n">
        <v>2.6</v>
      </c>
      <c r="N608" t="n">
        <v>4.3</v>
      </c>
      <c r="O608" t="n">
        <v>3.7</v>
      </c>
      <c r="P608" t="n">
        <v>11.4</v>
      </c>
      <c r="Q608" t="n">
        <v>10.6</v>
      </c>
      <c r="R608" t="n">
        <v>-0.8</v>
      </c>
      <c r="S608" t="b">
        <v>1</v>
      </c>
      <c r="U608" t="n">
        <v>14</v>
      </c>
      <c r="V608" t="b">
        <v>0</v>
      </c>
      <c r="X608" t="b">
        <v>0</v>
      </c>
      <c r="Y608" t="n">
        <v>0.36</v>
      </c>
    </row>
    <row r="609">
      <c r="A609" t="inlineStr">
        <is>
          <t>O00608</t>
        </is>
      </c>
      <c r="B609" t="inlineStr">
        <is>
          <t>C0240</t>
        </is>
      </c>
      <c r="C609" t="inlineStr">
        <is>
          <t>S010</t>
        </is>
      </c>
      <c r="D609" t="inlineStr">
        <is>
          <t>R041</t>
        </is>
      </c>
      <c r="E609" s="3" t="n">
        <v>46270.46041666667</v>
      </c>
      <c r="F609" s="3" t="n">
        <v>46270.46729166667</v>
      </c>
      <c r="G609" s="3" t="n">
        <v>46270.46694444444</v>
      </c>
      <c r="H609" t="inlineStr">
        <is>
          <t>Delivered</t>
        </is>
      </c>
      <c r="I609" t="n">
        <v>3</v>
      </c>
      <c r="J609" t="n">
        <v>8</v>
      </c>
      <c r="K609" t="n">
        <v>1430.02</v>
      </c>
      <c r="L609" t="n">
        <v>1.71</v>
      </c>
      <c r="M609" t="n">
        <v>3</v>
      </c>
      <c r="N609" t="n">
        <v>4.2</v>
      </c>
      <c r="O609" t="n">
        <v>2.2</v>
      </c>
      <c r="P609" t="n">
        <v>9.9</v>
      </c>
      <c r="Q609" t="n">
        <v>9.4</v>
      </c>
      <c r="R609" t="n">
        <v>-0.5</v>
      </c>
      <c r="S609" t="b">
        <v>1</v>
      </c>
      <c r="U609" t="n">
        <v>11</v>
      </c>
      <c r="V609" t="b">
        <v>0</v>
      </c>
      <c r="X609" t="b">
        <v>0</v>
      </c>
      <c r="Y609" t="n">
        <v>0.55</v>
      </c>
    </row>
    <row r="610">
      <c r="A610" t="inlineStr">
        <is>
          <t>O00609</t>
        </is>
      </c>
      <c r="B610" t="inlineStr">
        <is>
          <t>C0071</t>
        </is>
      </c>
      <c r="C610" t="inlineStr">
        <is>
          <t>S013</t>
        </is>
      </c>
      <c r="D610" t="inlineStr">
        <is>
          <t>R025</t>
        </is>
      </c>
      <c r="E610" s="3" t="n">
        <v>46276.68680555555</v>
      </c>
      <c r="F610" s="3" t="n">
        <v>46276.69402777778</v>
      </c>
      <c r="G610" s="3" t="n">
        <v>46276.69625</v>
      </c>
      <c r="H610" t="inlineStr">
        <is>
          <t>Delivered</t>
        </is>
      </c>
      <c r="I610" t="n">
        <v>1</v>
      </c>
      <c r="J610" t="n">
        <v>7</v>
      </c>
      <c r="K610" t="n">
        <v>351.08</v>
      </c>
      <c r="L610" t="n">
        <v>0.85</v>
      </c>
      <c r="M610" t="n">
        <v>6.5</v>
      </c>
      <c r="N610" t="n">
        <v>2.9</v>
      </c>
      <c r="O610" t="n">
        <v>4.2</v>
      </c>
      <c r="P610" t="n">
        <v>10.4</v>
      </c>
      <c r="Q610" t="n">
        <v>13.6</v>
      </c>
      <c r="R610" t="n">
        <v>3.2</v>
      </c>
      <c r="S610" t="b">
        <v>0</v>
      </c>
      <c r="U610" t="n">
        <v>16</v>
      </c>
      <c r="V610" t="b">
        <v>0</v>
      </c>
      <c r="W610" t="inlineStr">
        <is>
          <t>Light</t>
        </is>
      </c>
      <c r="X610" t="b">
        <v>0</v>
      </c>
      <c r="Y610" t="n">
        <v>0.47</v>
      </c>
    </row>
    <row r="611">
      <c r="A611" t="inlineStr">
        <is>
          <t>O00610</t>
        </is>
      </c>
      <c r="B611" t="inlineStr">
        <is>
          <t>C0020</t>
        </is>
      </c>
      <c r="C611" t="inlineStr">
        <is>
          <t>S008</t>
        </is>
      </c>
      <c r="D611" t="inlineStr">
        <is>
          <t>R022</t>
        </is>
      </c>
      <c r="E611" s="3" t="n">
        <v>46266.89652777778</v>
      </c>
      <c r="F611" s="3" t="n">
        <v>46266.9025</v>
      </c>
      <c r="G611" s="3" t="n">
        <v>46266.90631944445</v>
      </c>
      <c r="H611" t="inlineStr">
        <is>
          <t>Delivered</t>
        </is>
      </c>
      <c r="I611" t="n">
        <v>2</v>
      </c>
      <c r="J611" t="n">
        <v>3</v>
      </c>
      <c r="K611" t="n">
        <v>1434.72</v>
      </c>
      <c r="L611" t="n">
        <v>3.51</v>
      </c>
      <c r="M611" t="n">
        <v>3.1</v>
      </c>
      <c r="N611" t="n">
        <v>2.3</v>
      </c>
      <c r="O611" t="n">
        <v>8.699999999999999</v>
      </c>
      <c r="P611" t="n">
        <v>8.6</v>
      </c>
      <c r="Q611" t="n">
        <v>14.1</v>
      </c>
      <c r="R611" t="n">
        <v>5.5</v>
      </c>
      <c r="S611" t="b">
        <v>0</v>
      </c>
      <c r="U611" t="n">
        <v>21</v>
      </c>
      <c r="V611" t="b">
        <v>1</v>
      </c>
      <c r="X611" t="b">
        <v>0</v>
      </c>
      <c r="Y611" t="n">
        <v>0.5</v>
      </c>
    </row>
    <row r="612">
      <c r="A612" t="inlineStr">
        <is>
          <t>O00611</t>
        </is>
      </c>
      <c r="B612" t="inlineStr">
        <is>
          <t>C0064</t>
        </is>
      </c>
      <c r="C612" t="inlineStr">
        <is>
          <t>S004</t>
        </is>
      </c>
      <c r="D612" t="inlineStr">
        <is>
          <t>R019</t>
        </is>
      </c>
      <c r="E612" s="3" t="n">
        <v>46279.60902777778</v>
      </c>
      <c r="F612" s="3" t="n">
        <v>46279.61611111111</v>
      </c>
      <c r="G612" s="3" t="n">
        <v>46279.61652777778</v>
      </c>
      <c r="H612" t="inlineStr">
        <is>
          <t>Delivered</t>
        </is>
      </c>
      <c r="I612" t="n">
        <v>4</v>
      </c>
      <c r="J612" t="n">
        <v>6</v>
      </c>
      <c r="K612" t="n">
        <v>275.43</v>
      </c>
      <c r="L612" t="n">
        <v>1.69</v>
      </c>
      <c r="M612" t="n">
        <v>1.6</v>
      </c>
      <c r="N612" t="n">
        <v>2.9</v>
      </c>
      <c r="O612" t="n">
        <v>6.3</v>
      </c>
      <c r="P612" t="n">
        <v>10.2</v>
      </c>
      <c r="Q612" t="n">
        <v>10.8</v>
      </c>
      <c r="R612" t="n">
        <v>0.6</v>
      </c>
      <c r="S612" t="b">
        <v>0</v>
      </c>
      <c r="U612" t="n">
        <v>14</v>
      </c>
      <c r="V612" t="b">
        <v>0</v>
      </c>
      <c r="W612" t="inlineStr">
        <is>
          <t>Light</t>
        </is>
      </c>
      <c r="X612" t="b">
        <v>0</v>
      </c>
      <c r="Y612" t="n">
        <v>0.55</v>
      </c>
    </row>
    <row r="613">
      <c r="A613" t="inlineStr">
        <is>
          <t>O00612</t>
        </is>
      </c>
      <c r="B613" t="inlineStr">
        <is>
          <t>C0243</t>
        </is>
      </c>
      <c r="C613" t="inlineStr">
        <is>
          <t>S013</t>
        </is>
      </c>
      <c r="D613" t="inlineStr">
        <is>
          <t>R066</t>
        </is>
      </c>
      <c r="E613" s="3" t="n">
        <v>46276.64583333334</v>
      </c>
      <c r="F613" s="3" t="n">
        <v>46276.65173611111</v>
      </c>
      <c r="G613" s="3" t="n">
        <v>46276.65951388889</v>
      </c>
      <c r="H613" t="inlineStr">
        <is>
          <t>Delivered</t>
        </is>
      </c>
      <c r="I613" t="n">
        <v>3</v>
      </c>
      <c r="J613" t="n">
        <v>3</v>
      </c>
      <c r="K613" t="n">
        <v>225.85</v>
      </c>
      <c r="L613" t="n">
        <v>0.83</v>
      </c>
      <c r="M613" t="n">
        <v>6.5</v>
      </c>
      <c r="N613" t="n">
        <v>9.6</v>
      </c>
      <c r="O613" t="n">
        <v>3.6</v>
      </c>
      <c r="P613" t="n">
        <v>8.5</v>
      </c>
      <c r="Q613" t="n">
        <v>19.7</v>
      </c>
      <c r="R613" t="n">
        <v>11.2</v>
      </c>
      <c r="S613" t="b">
        <v>0</v>
      </c>
      <c r="U613" t="n">
        <v>15</v>
      </c>
      <c r="V613" t="b">
        <v>0</v>
      </c>
      <c r="X613" t="b">
        <v>0</v>
      </c>
      <c r="Y613" t="n">
        <v>0.6</v>
      </c>
    </row>
    <row r="614">
      <c r="A614" t="inlineStr">
        <is>
          <t>O00613</t>
        </is>
      </c>
      <c r="B614" t="inlineStr">
        <is>
          <t>C0017</t>
        </is>
      </c>
      <c r="C614" t="inlineStr">
        <is>
          <t>S017</t>
        </is>
      </c>
      <c r="D614" t="inlineStr">
        <is>
          <t>R021</t>
        </is>
      </c>
      <c r="E614" s="3" t="n">
        <v>46277.75972222222</v>
      </c>
      <c r="F614" s="3" t="n">
        <v>46277.76791666666</v>
      </c>
      <c r="G614" s="3" t="n">
        <v>46277.76756944445</v>
      </c>
      <c r="H614" t="inlineStr">
        <is>
          <t>Delivered</t>
        </is>
      </c>
      <c r="I614" t="n">
        <v>2</v>
      </c>
      <c r="J614" t="n">
        <v>6</v>
      </c>
      <c r="K614" t="n">
        <v>978.9299999999999</v>
      </c>
      <c r="L614" t="n">
        <v>4</v>
      </c>
      <c r="M614" t="n">
        <v>1.6</v>
      </c>
      <c r="N614" t="n">
        <v>3.1</v>
      </c>
      <c r="O614" t="n">
        <v>6.6</v>
      </c>
      <c r="P614" t="n">
        <v>11.8</v>
      </c>
      <c r="Q614" t="n">
        <v>11.3</v>
      </c>
      <c r="R614" t="n">
        <v>-0.5</v>
      </c>
      <c r="S614" t="b">
        <v>1</v>
      </c>
      <c r="U614" t="n">
        <v>18</v>
      </c>
      <c r="V614" t="b">
        <v>0</v>
      </c>
      <c r="X614" t="b">
        <v>0</v>
      </c>
      <c r="Y614" t="n">
        <v>0.42</v>
      </c>
    </row>
    <row r="615">
      <c r="A615" t="inlineStr">
        <is>
          <t>O00614</t>
        </is>
      </c>
      <c r="B615" t="inlineStr">
        <is>
          <t>C0061</t>
        </is>
      </c>
      <c r="C615" t="inlineStr">
        <is>
          <t>S005</t>
        </is>
      </c>
      <c r="D615" t="inlineStr">
        <is>
          <t>R006</t>
        </is>
      </c>
      <c r="E615" s="3" t="n">
        <v>46271.75277777778</v>
      </c>
      <c r="F615" s="3" t="n">
        <v>46271.75854166667</v>
      </c>
      <c r="G615" s="3" t="n">
        <v>46271.75791666667</v>
      </c>
      <c r="H615" t="inlineStr">
        <is>
          <t>Delivered</t>
        </is>
      </c>
      <c r="I615" t="n">
        <v>6</v>
      </c>
      <c r="J615" t="n">
        <v>9</v>
      </c>
      <c r="K615" t="n">
        <v>426.92</v>
      </c>
      <c r="L615" t="n">
        <v>0.95</v>
      </c>
      <c r="M615" t="n">
        <v>3</v>
      </c>
      <c r="N615" t="n">
        <v>2.6</v>
      </c>
      <c r="O615" t="n">
        <v>1.8</v>
      </c>
      <c r="P615" t="n">
        <v>8.300000000000001</v>
      </c>
      <c r="Q615" t="n">
        <v>7.4</v>
      </c>
      <c r="R615" t="n">
        <v>-0.9</v>
      </c>
      <c r="S615" t="b">
        <v>1</v>
      </c>
      <c r="U615" t="n">
        <v>18</v>
      </c>
      <c r="V615" t="b">
        <v>0</v>
      </c>
      <c r="X615" t="b">
        <v>0</v>
      </c>
      <c r="Y615" t="n">
        <v>0.46</v>
      </c>
    </row>
    <row r="616">
      <c r="A616" t="inlineStr">
        <is>
          <t>O00615</t>
        </is>
      </c>
      <c r="B616" t="inlineStr">
        <is>
          <t>C0155</t>
        </is>
      </c>
      <c r="C616" t="inlineStr">
        <is>
          <t>S012</t>
        </is>
      </c>
      <c r="D616" t="inlineStr">
        <is>
          <t>R030</t>
        </is>
      </c>
      <c r="E616" s="3" t="n">
        <v>46269.64513888889</v>
      </c>
      <c r="F616" s="3" t="n">
        <v>46269.65222222222</v>
      </c>
      <c r="G616" s="3" t="n">
        <v>46269.65180555556</v>
      </c>
      <c r="H616" t="inlineStr">
        <is>
          <t>Delivered</t>
        </is>
      </c>
      <c r="I616" t="n">
        <v>2</v>
      </c>
      <c r="J616" t="n">
        <v>7</v>
      </c>
      <c r="K616" t="n">
        <v>957.23</v>
      </c>
      <c r="L616" t="n">
        <v>0.78</v>
      </c>
      <c r="M616" t="n">
        <v>4.8</v>
      </c>
      <c r="N616" t="n">
        <v>1</v>
      </c>
      <c r="O616" t="n">
        <v>3.8</v>
      </c>
      <c r="P616" t="n">
        <v>10.2</v>
      </c>
      <c r="Q616" t="n">
        <v>9.6</v>
      </c>
      <c r="R616" t="n">
        <v>-0.6</v>
      </c>
      <c r="S616" t="b">
        <v>1</v>
      </c>
      <c r="U616" t="n">
        <v>15</v>
      </c>
      <c r="V616" t="b">
        <v>0</v>
      </c>
      <c r="W616" t="inlineStr">
        <is>
          <t>Light</t>
        </is>
      </c>
      <c r="X616" t="b">
        <v>0</v>
      </c>
      <c r="Y616" t="n">
        <v>0.53</v>
      </c>
    </row>
    <row r="617">
      <c r="A617" t="inlineStr">
        <is>
          <t>O00616</t>
        </is>
      </c>
      <c r="B617" t="inlineStr">
        <is>
          <t>C0126</t>
        </is>
      </c>
      <c r="C617" t="inlineStr">
        <is>
          <t>S018</t>
        </is>
      </c>
      <c r="D617" t="inlineStr">
        <is>
          <t>R041</t>
        </is>
      </c>
      <c r="E617" s="3" t="n">
        <v>46266.8875</v>
      </c>
      <c r="F617" s="3" t="n">
        <v>46266.89423611111</v>
      </c>
      <c r="G617" s="3" t="n">
        <v>46266.89361111111</v>
      </c>
      <c r="H617" t="inlineStr">
        <is>
          <t>Delivered</t>
        </is>
      </c>
      <c r="I617" t="n">
        <v>6</v>
      </c>
      <c r="J617" t="n">
        <v>6</v>
      </c>
      <c r="K617" t="n">
        <v>407.85</v>
      </c>
      <c r="L617" t="n">
        <v>0.98</v>
      </c>
      <c r="M617" t="n">
        <v>2.6</v>
      </c>
      <c r="N617" t="n">
        <v>4</v>
      </c>
      <c r="O617" t="n">
        <v>2.2</v>
      </c>
      <c r="P617" t="n">
        <v>9.699999999999999</v>
      </c>
      <c r="Q617" t="n">
        <v>8.800000000000001</v>
      </c>
      <c r="R617" t="n">
        <v>-0.9</v>
      </c>
      <c r="S617" t="b">
        <v>1</v>
      </c>
      <c r="U617" t="n">
        <v>21</v>
      </c>
      <c r="V617" t="b">
        <v>1</v>
      </c>
      <c r="X617" t="b">
        <v>0</v>
      </c>
      <c r="Y617" t="n">
        <v>0.8</v>
      </c>
    </row>
    <row r="618">
      <c r="A618" t="inlineStr">
        <is>
          <t>O00617</t>
        </is>
      </c>
      <c r="B618" t="inlineStr">
        <is>
          <t>C0231</t>
        </is>
      </c>
      <c r="C618" t="inlineStr">
        <is>
          <t>S002</t>
        </is>
      </c>
      <c r="D618" t="inlineStr">
        <is>
          <t>R060</t>
        </is>
      </c>
      <c r="E618" s="3" t="n">
        <v>46270.99444444444</v>
      </c>
      <c r="F618" s="3" t="n">
        <v>46271.00236111111</v>
      </c>
      <c r="G618" s="3" t="n">
        <v>46271.00166666666</v>
      </c>
      <c r="H618" t="inlineStr">
        <is>
          <t>Delivered</t>
        </is>
      </c>
      <c r="I618" t="n">
        <v>2</v>
      </c>
      <c r="J618" t="n">
        <v>11</v>
      </c>
      <c r="K618" t="n">
        <v>470.27</v>
      </c>
      <c r="L618" t="n">
        <v>2.84</v>
      </c>
      <c r="M618" t="n">
        <v>3.3</v>
      </c>
      <c r="N618" t="n">
        <v>1.1</v>
      </c>
      <c r="O618" t="n">
        <v>6</v>
      </c>
      <c r="P618" t="n">
        <v>11.4</v>
      </c>
      <c r="Q618" t="n">
        <v>10.4</v>
      </c>
      <c r="R618" t="n">
        <v>-1</v>
      </c>
      <c r="S618" t="b">
        <v>1</v>
      </c>
      <c r="U618" t="n">
        <v>23</v>
      </c>
      <c r="V618" t="b">
        <v>0</v>
      </c>
      <c r="X618" t="b">
        <v>1</v>
      </c>
      <c r="Y618" t="n">
        <v>0.4</v>
      </c>
    </row>
    <row r="619">
      <c r="A619" t="inlineStr">
        <is>
          <t>O00618</t>
        </is>
      </c>
      <c r="B619" t="inlineStr">
        <is>
          <t>C0049</t>
        </is>
      </c>
      <c r="C619" t="inlineStr">
        <is>
          <t>S015</t>
        </is>
      </c>
      <c r="D619" t="inlineStr">
        <is>
          <t>R043</t>
        </is>
      </c>
      <c r="E619" s="3" t="n">
        <v>46269.79305555556</v>
      </c>
      <c r="F619" s="3" t="n">
        <v>46269.80097222222</v>
      </c>
      <c r="G619" s="3" t="n">
        <v>46269.800625</v>
      </c>
      <c r="H619" t="inlineStr">
        <is>
          <t>Delivered</t>
        </is>
      </c>
      <c r="I619" t="n">
        <v>2</v>
      </c>
      <c r="J619" t="n">
        <v>10</v>
      </c>
      <c r="K619" t="n">
        <v>966.33</v>
      </c>
      <c r="L619" t="n">
        <v>3.49</v>
      </c>
      <c r="M619" t="n">
        <v>3.1</v>
      </c>
      <c r="N619" t="n">
        <v>2.2</v>
      </c>
      <c r="O619" t="n">
        <v>5.6</v>
      </c>
      <c r="P619" t="n">
        <v>11.4</v>
      </c>
      <c r="Q619" t="n">
        <v>10.9</v>
      </c>
      <c r="R619" t="n">
        <v>-0.5</v>
      </c>
      <c r="S619" t="b">
        <v>1</v>
      </c>
      <c r="U619" t="n">
        <v>19</v>
      </c>
      <c r="V619" t="b">
        <v>1</v>
      </c>
      <c r="X619" t="b">
        <v>0</v>
      </c>
      <c r="Y619" t="n">
        <v>0.47</v>
      </c>
    </row>
    <row r="620">
      <c r="A620" t="inlineStr">
        <is>
          <t>O00619</t>
        </is>
      </c>
      <c r="B620" t="inlineStr">
        <is>
          <t>C0174</t>
        </is>
      </c>
      <c r="C620" t="inlineStr">
        <is>
          <t>S010</t>
        </is>
      </c>
      <c r="D620" t="inlineStr">
        <is>
          <t>R063</t>
        </is>
      </c>
      <c r="E620" s="3" t="n">
        <v>46278.33611111111</v>
      </c>
      <c r="F620" s="3" t="n">
        <v>46278.34263888889</v>
      </c>
      <c r="G620" s="3" t="n">
        <v>46278.34409722222</v>
      </c>
      <c r="H620" t="inlineStr">
        <is>
          <t>Delivered</t>
        </is>
      </c>
      <c r="I620" t="n">
        <v>3</v>
      </c>
      <c r="J620" t="n">
        <v>3</v>
      </c>
      <c r="K620" t="n">
        <v>796.9400000000001</v>
      </c>
      <c r="L620" t="n">
        <v>1.39</v>
      </c>
      <c r="M620" t="n">
        <v>4.7</v>
      </c>
      <c r="N620" t="n">
        <v>2</v>
      </c>
      <c r="O620" t="n">
        <v>4.8</v>
      </c>
      <c r="P620" t="n">
        <v>9.4</v>
      </c>
      <c r="Q620" t="n">
        <v>11.5</v>
      </c>
      <c r="R620" t="n">
        <v>2.1</v>
      </c>
      <c r="S620" t="b">
        <v>0</v>
      </c>
      <c r="U620" t="n">
        <v>8</v>
      </c>
      <c r="V620" t="b">
        <v>0</v>
      </c>
      <c r="X620" t="b">
        <v>0</v>
      </c>
      <c r="Y620" t="n">
        <v>0.66</v>
      </c>
    </row>
    <row r="621">
      <c r="A621" t="inlineStr">
        <is>
          <t>O00620</t>
        </is>
      </c>
      <c r="B621" t="inlineStr">
        <is>
          <t>C0141</t>
        </is>
      </c>
      <c r="C621" t="inlineStr">
        <is>
          <t>S009</t>
        </is>
      </c>
      <c r="D621" t="inlineStr">
        <is>
          <t>R024</t>
        </is>
      </c>
      <c r="E621" s="3" t="n">
        <v>46279.48680555556</v>
      </c>
      <c r="F621" s="3" t="n">
        <v>46279.49451388889</v>
      </c>
      <c r="G621" s="3" t="n">
        <v>46279.49409722222</v>
      </c>
      <c r="H621" t="inlineStr">
        <is>
          <t>Delivered</t>
        </is>
      </c>
      <c r="I621" t="n">
        <v>4</v>
      </c>
      <c r="J621" t="n">
        <v>6</v>
      </c>
      <c r="K621" t="n">
        <v>461.24</v>
      </c>
      <c r="L621" t="n">
        <v>0.93</v>
      </c>
      <c r="M621" t="n">
        <v>2.1</v>
      </c>
      <c r="N621" t="n">
        <v>6.5</v>
      </c>
      <c r="O621" t="n">
        <v>1.9</v>
      </c>
      <c r="P621" t="n">
        <v>11.1</v>
      </c>
      <c r="Q621" t="n">
        <v>10.5</v>
      </c>
      <c r="R621" t="n">
        <v>-0.6</v>
      </c>
      <c r="S621" t="b">
        <v>1</v>
      </c>
      <c r="U621" t="n">
        <v>11</v>
      </c>
      <c r="V621" t="b">
        <v>0</v>
      </c>
      <c r="X621" t="b">
        <v>0</v>
      </c>
      <c r="Y621" t="n">
        <v>0.33</v>
      </c>
    </row>
    <row r="622">
      <c r="A622" t="inlineStr">
        <is>
          <t>O00621</t>
        </is>
      </c>
      <c r="B622" t="inlineStr">
        <is>
          <t>C0097</t>
        </is>
      </c>
      <c r="C622" t="inlineStr">
        <is>
          <t>S004</t>
        </is>
      </c>
      <c r="D622" t="inlineStr">
        <is>
          <t>R061</t>
        </is>
      </c>
      <c r="E622" s="3" t="n">
        <v>46268.47708333333</v>
      </c>
      <c r="F622" s="3" t="n">
        <v>46268.48368055555</v>
      </c>
      <c r="G622" s="3" t="n">
        <v>46268.48291666667</v>
      </c>
      <c r="H622" t="inlineStr">
        <is>
          <t>Delivered</t>
        </is>
      </c>
      <c r="I622" t="n">
        <v>3</v>
      </c>
      <c r="J622" t="n">
        <v>10</v>
      </c>
      <c r="K622" t="n">
        <v>1179.43</v>
      </c>
      <c r="L622" t="n">
        <v>1.2</v>
      </c>
      <c r="M622" t="n">
        <v>2.1</v>
      </c>
      <c r="N622" t="n">
        <v>3.3</v>
      </c>
      <c r="O622" t="n">
        <v>3</v>
      </c>
      <c r="P622" t="n">
        <v>9.5</v>
      </c>
      <c r="Q622" t="n">
        <v>8.4</v>
      </c>
      <c r="R622" t="n">
        <v>-1.1</v>
      </c>
      <c r="S622" t="b">
        <v>1</v>
      </c>
      <c r="U622" t="n">
        <v>11</v>
      </c>
      <c r="V622" t="b">
        <v>0</v>
      </c>
      <c r="X622" t="b">
        <v>0</v>
      </c>
      <c r="Y622" t="n">
        <v>0.32</v>
      </c>
    </row>
    <row r="623">
      <c r="A623" t="inlineStr">
        <is>
          <t>O00622</t>
        </is>
      </c>
      <c r="B623" t="inlineStr">
        <is>
          <t>C0050</t>
        </is>
      </c>
      <c r="C623" t="inlineStr">
        <is>
          <t>S011</t>
        </is>
      </c>
      <c r="D623" t="inlineStr">
        <is>
          <t>R062</t>
        </is>
      </c>
      <c r="E623" s="3" t="n">
        <v>46268.37986111111</v>
      </c>
      <c r="F623" s="3" t="n">
        <v>46268.38756944444</v>
      </c>
      <c r="G623" s="3" t="n">
        <v>46268.38722222222</v>
      </c>
      <c r="H623" t="inlineStr">
        <is>
          <t>Delivered</t>
        </is>
      </c>
      <c r="I623" t="n">
        <v>1</v>
      </c>
      <c r="J623" t="n">
        <v>7</v>
      </c>
      <c r="K623" t="n">
        <v>1509.45</v>
      </c>
      <c r="L623" t="n">
        <v>0.98</v>
      </c>
      <c r="M623" t="n">
        <v>4</v>
      </c>
      <c r="N623" t="n">
        <v>4.3</v>
      </c>
      <c r="O623" t="n">
        <v>2.3</v>
      </c>
      <c r="P623" t="n">
        <v>11.1</v>
      </c>
      <c r="Q623" t="n">
        <v>10.6</v>
      </c>
      <c r="R623" t="n">
        <v>-0.5</v>
      </c>
      <c r="S623" t="b">
        <v>1</v>
      </c>
      <c r="U623" t="n">
        <v>9</v>
      </c>
      <c r="V623" t="b">
        <v>0</v>
      </c>
      <c r="X623" t="b">
        <v>0</v>
      </c>
      <c r="Y623" t="n">
        <v>0.4</v>
      </c>
    </row>
    <row r="624">
      <c r="A624" t="inlineStr">
        <is>
          <t>O00623</t>
        </is>
      </c>
      <c r="B624" t="inlineStr">
        <is>
          <t>C0130</t>
        </is>
      </c>
      <c r="C624" t="inlineStr">
        <is>
          <t>S017</t>
        </is>
      </c>
      <c r="D624" t="inlineStr">
        <is>
          <t>R065</t>
        </is>
      </c>
      <c r="E624" s="3" t="n">
        <v>46279.81805555556</v>
      </c>
      <c r="F624" s="3" t="n">
        <v>46279.82381944444</v>
      </c>
      <c r="G624" s="3" t="n">
        <v>46279.83111111111</v>
      </c>
      <c r="H624" t="inlineStr">
        <is>
          <t>Delivered</t>
        </is>
      </c>
      <c r="I624" t="n">
        <v>5</v>
      </c>
      <c r="J624" t="n">
        <v>5</v>
      </c>
      <c r="K624" t="n">
        <v>429.52</v>
      </c>
      <c r="L624" t="n">
        <v>1.68</v>
      </c>
      <c r="M624" t="n">
        <v>2.4</v>
      </c>
      <c r="N624" t="n">
        <v>10.1</v>
      </c>
      <c r="O624" t="n">
        <v>6.3</v>
      </c>
      <c r="P624" t="n">
        <v>8.300000000000001</v>
      </c>
      <c r="Q624" t="n">
        <v>18.8</v>
      </c>
      <c r="R624" t="n">
        <v>10.5</v>
      </c>
      <c r="S624" t="b">
        <v>0</v>
      </c>
      <c r="U624" t="n">
        <v>19</v>
      </c>
      <c r="V624" t="b">
        <v>1</v>
      </c>
      <c r="X624" t="b">
        <v>1</v>
      </c>
      <c r="Y624" t="n">
        <v>0.82</v>
      </c>
    </row>
    <row r="625">
      <c r="A625" t="inlineStr">
        <is>
          <t>O00624</t>
        </is>
      </c>
      <c r="B625" t="inlineStr">
        <is>
          <t>C0036</t>
        </is>
      </c>
      <c r="C625" t="inlineStr">
        <is>
          <t>S002</t>
        </is>
      </c>
      <c r="D625" t="inlineStr">
        <is>
          <t>R041</t>
        </is>
      </c>
      <c r="E625" s="3" t="n">
        <v>46274.92847222222</v>
      </c>
      <c r="F625" s="3" t="n">
        <v>46274.93673611111</v>
      </c>
      <c r="G625" s="3" t="n">
        <v>46274.93902777778</v>
      </c>
      <c r="H625" t="inlineStr">
        <is>
          <t>Delivered</t>
        </is>
      </c>
      <c r="I625" t="n">
        <v>5</v>
      </c>
      <c r="J625" t="n">
        <v>6</v>
      </c>
      <c r="K625" t="n">
        <v>1408.9</v>
      </c>
      <c r="L625" t="n">
        <v>1.44</v>
      </c>
      <c r="M625" t="n">
        <v>3.4</v>
      </c>
      <c r="N625" t="n">
        <v>7.9</v>
      </c>
      <c r="O625" t="n">
        <v>3.8</v>
      </c>
      <c r="P625" t="n">
        <v>11.9</v>
      </c>
      <c r="Q625" t="n">
        <v>15.2</v>
      </c>
      <c r="R625" t="n">
        <v>3.3</v>
      </c>
      <c r="S625" t="b">
        <v>0</v>
      </c>
      <c r="U625" t="n">
        <v>22</v>
      </c>
      <c r="V625" t="b">
        <v>0</v>
      </c>
      <c r="X625" t="b">
        <v>0</v>
      </c>
      <c r="Y625" t="n">
        <v>0.36</v>
      </c>
    </row>
    <row r="626">
      <c r="A626" t="inlineStr">
        <is>
          <t>O00625</t>
        </is>
      </c>
      <c r="B626" t="inlineStr">
        <is>
          <t>C0197</t>
        </is>
      </c>
      <c r="C626" t="inlineStr">
        <is>
          <t>S016</t>
        </is>
      </c>
      <c r="D626" t="inlineStr">
        <is>
          <t>R031</t>
        </is>
      </c>
      <c r="E626" s="3" t="n">
        <v>46275.36041666667</v>
      </c>
      <c r="F626" s="3" t="n">
        <v>46275.36875</v>
      </c>
      <c r="G626" s="3" t="n">
        <v>46275.36819444445</v>
      </c>
      <c r="H626" t="inlineStr">
        <is>
          <t>Delivered</t>
        </is>
      </c>
      <c r="I626" t="n">
        <v>6</v>
      </c>
      <c r="J626" t="n">
        <v>9</v>
      </c>
      <c r="K626" t="n">
        <v>747.14</v>
      </c>
      <c r="L626" t="n">
        <v>2.6</v>
      </c>
      <c r="M626" t="n">
        <v>3.1</v>
      </c>
      <c r="N626" t="n">
        <v>4.4</v>
      </c>
      <c r="O626" t="n">
        <v>3.7</v>
      </c>
      <c r="P626" t="n">
        <v>12</v>
      </c>
      <c r="Q626" t="n">
        <v>11.2</v>
      </c>
      <c r="R626" t="n">
        <v>-0.8</v>
      </c>
      <c r="S626" t="b">
        <v>1</v>
      </c>
      <c r="U626" t="n">
        <v>8</v>
      </c>
      <c r="V626" t="b">
        <v>0</v>
      </c>
      <c r="X626" t="b">
        <v>0</v>
      </c>
      <c r="Y626" t="n">
        <v>0.4</v>
      </c>
    </row>
    <row r="627">
      <c r="A627" t="inlineStr">
        <is>
          <t>O00626</t>
        </is>
      </c>
      <c r="B627" t="inlineStr">
        <is>
          <t>C0055</t>
        </is>
      </c>
      <c r="C627" t="inlineStr">
        <is>
          <t>S002</t>
        </is>
      </c>
      <c r="D627" t="inlineStr">
        <is>
          <t>R076</t>
        </is>
      </c>
      <c r="E627" s="3" t="n">
        <v>46267.59652777778</v>
      </c>
      <c r="F627" s="3" t="n">
        <v>46267.6025</v>
      </c>
      <c r="G627" s="3" t="n">
        <v>46267.60319444445</v>
      </c>
      <c r="H627" t="inlineStr">
        <is>
          <t>Delivered</t>
        </is>
      </c>
      <c r="I627" t="n">
        <v>6</v>
      </c>
      <c r="J627" t="n">
        <v>6</v>
      </c>
      <c r="K627" t="n">
        <v>576.01</v>
      </c>
      <c r="L627" t="n">
        <v>1.09</v>
      </c>
      <c r="M627" t="n">
        <v>4</v>
      </c>
      <c r="N627" t="n">
        <v>1.5</v>
      </c>
      <c r="O627" t="n">
        <v>4.1</v>
      </c>
      <c r="P627" t="n">
        <v>8.6</v>
      </c>
      <c r="Q627" t="n">
        <v>9.6</v>
      </c>
      <c r="R627" t="n">
        <v>1</v>
      </c>
      <c r="S627" t="b">
        <v>0</v>
      </c>
      <c r="U627" t="n">
        <v>14</v>
      </c>
      <c r="V627" t="b">
        <v>0</v>
      </c>
      <c r="X627" t="b">
        <v>0</v>
      </c>
      <c r="Y627" t="n">
        <v>0.65</v>
      </c>
    </row>
    <row r="628">
      <c r="A628" t="inlineStr">
        <is>
          <t>O00627</t>
        </is>
      </c>
      <c r="B628" t="inlineStr">
        <is>
          <t>C0156</t>
        </is>
      </c>
      <c r="C628" t="inlineStr">
        <is>
          <t>S020</t>
        </is>
      </c>
      <c r="D628" t="inlineStr">
        <is>
          <t>R045</t>
        </is>
      </c>
      <c r="E628" s="3" t="n">
        <v>46272.59166666667</v>
      </c>
      <c r="F628" s="3" t="n">
        <v>46272.59909722222</v>
      </c>
      <c r="G628" s="3" t="n">
        <v>46272.59791666667</v>
      </c>
      <c r="H628" t="inlineStr">
        <is>
          <t>Delivered</t>
        </is>
      </c>
      <c r="I628" t="n">
        <v>3</v>
      </c>
      <c r="J628" t="n">
        <v>6</v>
      </c>
      <c r="K628" t="n">
        <v>498.02</v>
      </c>
      <c r="L628" t="n">
        <v>0.67</v>
      </c>
      <c r="M628" t="n">
        <v>6.4</v>
      </c>
      <c r="N628" t="n">
        <v>0</v>
      </c>
      <c r="O628" t="n">
        <v>2.6</v>
      </c>
      <c r="P628" t="n">
        <v>10.7</v>
      </c>
      <c r="Q628" t="n">
        <v>9</v>
      </c>
      <c r="R628" t="n">
        <v>-1.7</v>
      </c>
      <c r="S628" t="b">
        <v>1</v>
      </c>
      <c r="U628" t="n">
        <v>14</v>
      </c>
      <c r="V628" t="b">
        <v>0</v>
      </c>
      <c r="X628" t="b">
        <v>0</v>
      </c>
      <c r="Y628" t="n">
        <v>0.36</v>
      </c>
    </row>
    <row r="629">
      <c r="A629" t="inlineStr">
        <is>
          <t>O00628</t>
        </is>
      </c>
      <c r="B629" t="inlineStr">
        <is>
          <t>C0088</t>
        </is>
      </c>
      <c r="C629" t="inlineStr">
        <is>
          <t>S020</t>
        </is>
      </c>
      <c r="D629" t="inlineStr">
        <is>
          <t>R019</t>
        </is>
      </c>
      <c r="E629" s="3" t="n">
        <v>46279.82916666667</v>
      </c>
      <c r="F629" s="3" t="n">
        <v>46279.835</v>
      </c>
      <c r="G629" s="3" t="n">
        <v>46279.84229166667</v>
      </c>
      <c r="H629" t="inlineStr">
        <is>
          <t>Delivered</t>
        </is>
      </c>
      <c r="I629" t="n">
        <v>2</v>
      </c>
      <c r="J629" t="n">
        <v>8</v>
      </c>
      <c r="K629" t="n">
        <v>1017.75</v>
      </c>
      <c r="L629" t="n">
        <v>1.55</v>
      </c>
      <c r="M629" t="n">
        <v>6.5</v>
      </c>
      <c r="N629" t="n">
        <v>5.4</v>
      </c>
      <c r="O629" t="n">
        <v>7</v>
      </c>
      <c r="P629" t="n">
        <v>8.4</v>
      </c>
      <c r="Q629" t="n">
        <v>18.9</v>
      </c>
      <c r="R629" t="n">
        <v>10.5</v>
      </c>
      <c r="S629" t="b">
        <v>0</v>
      </c>
      <c r="U629" t="n">
        <v>19</v>
      </c>
      <c r="V629" t="b">
        <v>1</v>
      </c>
      <c r="W629" t="inlineStr">
        <is>
          <t>Light</t>
        </is>
      </c>
      <c r="X629" t="b">
        <v>0</v>
      </c>
      <c r="Y629" t="n">
        <v>0.87</v>
      </c>
    </row>
    <row r="630">
      <c r="A630" t="inlineStr">
        <is>
          <t>O00629</t>
        </is>
      </c>
      <c r="B630" t="inlineStr">
        <is>
          <t>C0059</t>
        </is>
      </c>
      <c r="C630" t="inlineStr">
        <is>
          <t>S003</t>
        </is>
      </c>
      <c r="D630" t="inlineStr">
        <is>
          <t>R044</t>
        </is>
      </c>
      <c r="E630" s="3" t="n">
        <v>46270.58055555556</v>
      </c>
      <c r="F630" s="3" t="n">
        <v>46270.58638888889</v>
      </c>
      <c r="G630" s="3" t="n">
        <v>46270.58604166667</v>
      </c>
      <c r="H630" t="inlineStr">
        <is>
          <t>Delivered</t>
        </is>
      </c>
      <c r="I630" t="n">
        <v>6</v>
      </c>
      <c r="J630" t="n">
        <v>9</v>
      </c>
      <c r="K630" t="n">
        <v>1660.49</v>
      </c>
      <c r="L630" t="n">
        <v>2.1</v>
      </c>
      <c r="M630" t="n">
        <v>2.1</v>
      </c>
      <c r="N630" t="n">
        <v>2.9</v>
      </c>
      <c r="O630" t="n">
        <v>2.9</v>
      </c>
      <c r="P630" t="n">
        <v>8.4</v>
      </c>
      <c r="Q630" t="n">
        <v>7.9</v>
      </c>
      <c r="R630" t="n">
        <v>-0.5</v>
      </c>
      <c r="S630" t="b">
        <v>1</v>
      </c>
      <c r="U630" t="n">
        <v>13</v>
      </c>
      <c r="V630" t="b">
        <v>0</v>
      </c>
      <c r="X630" t="b">
        <v>0</v>
      </c>
      <c r="Y630" t="n">
        <v>0.41</v>
      </c>
    </row>
    <row r="631">
      <c r="A631" t="inlineStr">
        <is>
          <t>O00630</t>
        </is>
      </c>
      <c r="B631" t="inlineStr">
        <is>
          <t>C0091</t>
        </is>
      </c>
      <c r="C631" t="inlineStr">
        <is>
          <t>S018</t>
        </is>
      </c>
      <c r="D631" t="inlineStr">
        <is>
          <t>R016</t>
        </is>
      </c>
      <c r="E631" s="3" t="n">
        <v>46274.96319444444</v>
      </c>
      <c r="F631" s="3" t="n">
        <v>46274.97006944445</v>
      </c>
      <c r="G631" s="3" t="n">
        <v>46274.97236111111</v>
      </c>
      <c r="H631" t="inlineStr">
        <is>
          <t>Delivered</t>
        </is>
      </c>
      <c r="I631" t="n">
        <v>3</v>
      </c>
      <c r="J631" t="n">
        <v>10</v>
      </c>
      <c r="K631" t="n">
        <v>436.48</v>
      </c>
      <c r="L631" t="n">
        <v>0.68</v>
      </c>
      <c r="M631" t="n">
        <v>6.5</v>
      </c>
      <c r="N631" t="n">
        <v>3.9</v>
      </c>
      <c r="O631" t="n">
        <v>2.8</v>
      </c>
      <c r="P631" t="n">
        <v>9.9</v>
      </c>
      <c r="Q631" t="n">
        <v>13.2</v>
      </c>
      <c r="R631" t="n">
        <v>3.3</v>
      </c>
      <c r="S631" t="b">
        <v>0</v>
      </c>
      <c r="U631" t="n">
        <v>23</v>
      </c>
      <c r="V631" t="b">
        <v>0</v>
      </c>
      <c r="W631" t="inlineStr">
        <is>
          <t>Light</t>
        </is>
      </c>
      <c r="X631" t="b">
        <v>0</v>
      </c>
      <c r="Y631" t="n">
        <v>0.24</v>
      </c>
    </row>
    <row r="632">
      <c r="A632" t="inlineStr">
        <is>
          <t>O00631</t>
        </is>
      </c>
      <c r="B632" t="inlineStr">
        <is>
          <t>C0062</t>
        </is>
      </c>
      <c r="C632" t="inlineStr">
        <is>
          <t>S015</t>
        </is>
      </c>
      <c r="D632" t="inlineStr">
        <is>
          <t>R072</t>
        </is>
      </c>
      <c r="E632" s="3" t="n">
        <v>46268.35972222222</v>
      </c>
      <c r="F632" s="3" t="n">
        <v>46268.36958333333</v>
      </c>
      <c r="G632" s="3" t="n">
        <v>46268.36895833333</v>
      </c>
      <c r="H632" t="inlineStr">
        <is>
          <t>Delivered</t>
        </is>
      </c>
      <c r="I632" t="n">
        <v>2</v>
      </c>
      <c r="J632" t="n">
        <v>5</v>
      </c>
      <c r="K632" t="n">
        <v>1067.24</v>
      </c>
      <c r="L632" t="n">
        <v>4.6</v>
      </c>
      <c r="M632" t="n">
        <v>3.8</v>
      </c>
      <c r="N632" t="n">
        <v>4</v>
      </c>
      <c r="O632" t="n">
        <v>5.5</v>
      </c>
      <c r="P632" t="n">
        <v>14.2</v>
      </c>
      <c r="Q632" t="n">
        <v>13.3</v>
      </c>
      <c r="R632" t="n">
        <v>-0.9</v>
      </c>
      <c r="S632" t="b">
        <v>1</v>
      </c>
      <c r="U632" t="n">
        <v>8</v>
      </c>
      <c r="V632" t="b">
        <v>0</v>
      </c>
      <c r="X632" t="b">
        <v>0</v>
      </c>
      <c r="Y632" t="n">
        <v>0.47</v>
      </c>
    </row>
    <row r="633">
      <c r="A633" t="inlineStr">
        <is>
          <t>O00632</t>
        </is>
      </c>
      <c r="B633" t="inlineStr">
        <is>
          <t>C0010</t>
        </is>
      </c>
      <c r="C633" t="inlineStr">
        <is>
          <t>S017</t>
        </is>
      </c>
      <c r="E633" s="3" t="n">
        <v>46271.64166666667</v>
      </c>
      <c r="F633" s="3" t="n">
        <v>46271.64854166667</v>
      </c>
      <c r="H633" t="inlineStr">
        <is>
          <t>Cancelled</t>
        </is>
      </c>
      <c r="I633" t="n">
        <v>4</v>
      </c>
      <c r="J633" t="n">
        <v>7</v>
      </c>
      <c r="K633" t="n">
        <v>400.96</v>
      </c>
      <c r="L633" t="n">
        <v>4</v>
      </c>
      <c r="M633" t="n">
        <v>2.3</v>
      </c>
      <c r="N633" t="n">
        <v>7.6</v>
      </c>
      <c r="O633" t="n">
        <v>8.6</v>
      </c>
      <c r="P633" t="n">
        <v>9.9</v>
      </c>
      <c r="T633" t="inlineStr">
        <is>
          <t>Customer cancelled</t>
        </is>
      </c>
      <c r="U633" t="n">
        <v>15</v>
      </c>
      <c r="V633" t="b">
        <v>0</v>
      </c>
      <c r="X633" t="b">
        <v>0</v>
      </c>
      <c r="Y633" t="n">
        <v>0.27</v>
      </c>
    </row>
    <row r="634">
      <c r="A634" t="inlineStr">
        <is>
          <t>O00633</t>
        </is>
      </c>
      <c r="B634" t="inlineStr">
        <is>
          <t>C0197</t>
        </is>
      </c>
      <c r="C634" t="inlineStr">
        <is>
          <t>S001</t>
        </is>
      </c>
      <c r="D634" t="inlineStr">
        <is>
          <t>R020</t>
        </is>
      </c>
      <c r="E634" s="3" t="n">
        <v>46278.46666666667</v>
      </c>
      <c r="F634" s="3" t="n">
        <v>46278.47395833334</v>
      </c>
      <c r="G634" s="3" t="n">
        <v>46278.47375</v>
      </c>
      <c r="H634" t="inlineStr">
        <is>
          <t>Delivered</t>
        </is>
      </c>
      <c r="I634" t="n">
        <v>1</v>
      </c>
      <c r="J634" t="n">
        <v>7</v>
      </c>
      <c r="K634" t="n">
        <v>1140.26</v>
      </c>
      <c r="L634" t="n">
        <v>1.04</v>
      </c>
      <c r="M634" t="n">
        <v>2.2</v>
      </c>
      <c r="N634" t="n">
        <v>6</v>
      </c>
      <c r="O634" t="n">
        <v>2</v>
      </c>
      <c r="P634" t="n">
        <v>10.5</v>
      </c>
      <c r="Q634" t="n">
        <v>10.2</v>
      </c>
      <c r="R634" t="n">
        <v>-0.3</v>
      </c>
      <c r="S634" t="b">
        <v>1</v>
      </c>
      <c r="U634" t="n">
        <v>11</v>
      </c>
      <c r="V634" t="b">
        <v>0</v>
      </c>
      <c r="X634" t="b">
        <v>0</v>
      </c>
      <c r="Y634" t="n">
        <v>0.1</v>
      </c>
    </row>
    <row r="635">
      <c r="A635" t="inlineStr">
        <is>
          <t>O00634</t>
        </is>
      </c>
      <c r="B635" t="inlineStr">
        <is>
          <t>C0185</t>
        </is>
      </c>
      <c r="C635" t="inlineStr">
        <is>
          <t>S005</t>
        </is>
      </c>
      <c r="D635" t="inlineStr">
        <is>
          <t>R037</t>
        </is>
      </c>
      <c r="E635" s="3" t="n">
        <v>46270.90972222222</v>
      </c>
      <c r="F635" s="3" t="n">
        <v>46270.91777777778</v>
      </c>
      <c r="G635" s="3" t="n">
        <v>46270.91756944444</v>
      </c>
      <c r="H635" t="inlineStr">
        <is>
          <t>Delivered</t>
        </is>
      </c>
      <c r="I635" t="n">
        <v>2</v>
      </c>
      <c r="J635" t="n">
        <v>5</v>
      </c>
      <c r="K635" t="n">
        <v>1037.03</v>
      </c>
      <c r="L635" t="n">
        <v>1.74</v>
      </c>
      <c r="M635" t="n">
        <v>2.5</v>
      </c>
      <c r="N635" t="n">
        <v>5.7</v>
      </c>
      <c r="O635" t="n">
        <v>3.1</v>
      </c>
      <c r="P635" t="n">
        <v>11.6</v>
      </c>
      <c r="Q635" t="n">
        <v>11.3</v>
      </c>
      <c r="R635" t="n">
        <v>-0.3</v>
      </c>
      <c r="S635" t="b">
        <v>1</v>
      </c>
      <c r="U635" t="n">
        <v>21</v>
      </c>
      <c r="V635" t="b">
        <v>1</v>
      </c>
      <c r="W635" t="inlineStr">
        <is>
          <t>Light</t>
        </is>
      </c>
      <c r="X635" t="b">
        <v>0</v>
      </c>
      <c r="Y635" t="n">
        <v>0.82</v>
      </c>
    </row>
    <row r="636">
      <c r="A636" t="inlineStr">
        <is>
          <t>O00635</t>
        </is>
      </c>
      <c r="B636" t="inlineStr">
        <is>
          <t>C0212</t>
        </is>
      </c>
      <c r="C636" t="inlineStr">
        <is>
          <t>S010</t>
        </is>
      </c>
      <c r="D636" t="inlineStr">
        <is>
          <t>R002</t>
        </is>
      </c>
      <c r="E636" s="3" t="n">
        <v>46272.70694444444</v>
      </c>
      <c r="F636" s="3" t="n">
        <v>46272.713125</v>
      </c>
      <c r="G636" s="3" t="n">
        <v>46272.71263888889</v>
      </c>
      <c r="H636" t="inlineStr">
        <is>
          <t>Delivered</t>
        </is>
      </c>
      <c r="I636" t="n">
        <v>2</v>
      </c>
      <c r="J636" t="n">
        <v>9</v>
      </c>
      <c r="K636" t="n">
        <v>844.33</v>
      </c>
      <c r="L636" t="n">
        <v>2.74</v>
      </c>
      <c r="M636" t="n">
        <v>2.6</v>
      </c>
      <c r="N636" t="n">
        <v>2.6</v>
      </c>
      <c r="O636" t="n">
        <v>3</v>
      </c>
      <c r="P636" t="n">
        <v>8.9</v>
      </c>
      <c r="Q636" t="n">
        <v>8.199999999999999</v>
      </c>
      <c r="R636" t="n">
        <v>-0.7</v>
      </c>
      <c r="S636" t="b">
        <v>1</v>
      </c>
      <c r="U636" t="n">
        <v>16</v>
      </c>
      <c r="V636" t="b">
        <v>0</v>
      </c>
      <c r="W636" t="inlineStr">
        <is>
          <t>Heavy</t>
        </is>
      </c>
      <c r="X636" t="b">
        <v>0</v>
      </c>
      <c r="Y636" t="n">
        <v>0.34</v>
      </c>
    </row>
    <row r="637">
      <c r="A637" t="inlineStr">
        <is>
          <t>O00636</t>
        </is>
      </c>
      <c r="B637" t="inlineStr">
        <is>
          <t>C0097</t>
        </is>
      </c>
      <c r="C637" t="inlineStr">
        <is>
          <t>S019</t>
        </is>
      </c>
      <c r="D637" t="inlineStr">
        <is>
          <t>R025</t>
        </is>
      </c>
      <c r="E637" s="3" t="n">
        <v>46269.81527777778</v>
      </c>
      <c r="F637" s="3" t="n">
        <v>46269.82104166667</v>
      </c>
      <c r="G637" s="3" t="n">
        <v>46269.82055555555</v>
      </c>
      <c r="H637" t="inlineStr">
        <is>
          <t>Delivered</t>
        </is>
      </c>
      <c r="I637" t="n">
        <v>2</v>
      </c>
      <c r="J637" t="n">
        <v>9</v>
      </c>
      <c r="K637" t="n">
        <v>1246.3</v>
      </c>
      <c r="L637" t="n">
        <v>2.5</v>
      </c>
      <c r="M637" t="n">
        <v>2.6</v>
      </c>
      <c r="N637" t="n">
        <v>1.7</v>
      </c>
      <c r="O637" t="n">
        <v>3.3</v>
      </c>
      <c r="P637" t="n">
        <v>8.300000000000001</v>
      </c>
      <c r="Q637" t="n">
        <v>7.6</v>
      </c>
      <c r="R637" t="n">
        <v>-0.7</v>
      </c>
      <c r="S637" t="b">
        <v>1</v>
      </c>
      <c r="U637" t="n">
        <v>19</v>
      </c>
      <c r="V637" t="b">
        <v>1</v>
      </c>
      <c r="X637" t="b">
        <v>0</v>
      </c>
      <c r="Y637" t="n">
        <v>0.36</v>
      </c>
    </row>
    <row r="638">
      <c r="A638" t="inlineStr">
        <is>
          <t>O00637</t>
        </is>
      </c>
      <c r="B638" t="inlineStr">
        <is>
          <t>C0163</t>
        </is>
      </c>
      <c r="C638" t="inlineStr">
        <is>
          <t>S003</t>
        </is>
      </c>
      <c r="D638" t="inlineStr">
        <is>
          <t>R057</t>
        </is>
      </c>
      <c r="E638" s="3" t="n">
        <v>46269.94513888889</v>
      </c>
      <c r="F638" s="3" t="n">
        <v>46269.9525</v>
      </c>
      <c r="G638" s="3" t="n">
        <v>46269.95430555556</v>
      </c>
      <c r="H638" t="inlineStr">
        <is>
          <t>Delivered</t>
        </is>
      </c>
      <c r="I638" t="n">
        <v>2</v>
      </c>
      <c r="J638" t="n">
        <v>9</v>
      </c>
      <c r="K638" t="n">
        <v>309.94</v>
      </c>
      <c r="L638" t="n">
        <v>2.1</v>
      </c>
      <c r="M638" t="n">
        <v>5.8</v>
      </c>
      <c r="N638" t="n">
        <v>1.8</v>
      </c>
      <c r="O638" t="n">
        <v>5.6</v>
      </c>
      <c r="P638" t="n">
        <v>10.6</v>
      </c>
      <c r="Q638" t="n">
        <v>13.2</v>
      </c>
      <c r="R638" t="n">
        <v>2.6</v>
      </c>
      <c r="S638" t="b">
        <v>0</v>
      </c>
      <c r="U638" t="n">
        <v>22</v>
      </c>
      <c r="V638" t="b">
        <v>0</v>
      </c>
      <c r="X638" t="b">
        <v>1</v>
      </c>
      <c r="Y638" t="n">
        <v>0.2</v>
      </c>
    </row>
    <row r="639">
      <c r="A639" t="inlineStr">
        <is>
          <t>O00638</t>
        </is>
      </c>
      <c r="B639" t="inlineStr">
        <is>
          <t>C0140</t>
        </is>
      </c>
      <c r="C639" t="inlineStr">
        <is>
          <t>S017</t>
        </is>
      </c>
      <c r="D639" t="inlineStr">
        <is>
          <t>R045</t>
        </is>
      </c>
      <c r="E639" s="3" t="n">
        <v>46275.89444444444</v>
      </c>
      <c r="F639" s="3" t="n">
        <v>46275.90194444444</v>
      </c>
      <c r="G639" s="3" t="n">
        <v>46275.90291666667</v>
      </c>
      <c r="H639" t="inlineStr">
        <is>
          <t>Delivered</t>
        </is>
      </c>
      <c r="I639" t="n">
        <v>2</v>
      </c>
      <c r="J639" t="n">
        <v>6</v>
      </c>
      <c r="K639" t="n">
        <v>1190.88</v>
      </c>
      <c r="L639" t="n">
        <v>1.82</v>
      </c>
      <c r="M639" t="n">
        <v>2.6</v>
      </c>
      <c r="N639" t="n">
        <v>4.2</v>
      </c>
      <c r="O639" t="n">
        <v>5.4</v>
      </c>
      <c r="P639" t="n">
        <v>10.8</v>
      </c>
      <c r="Q639" t="n">
        <v>12.2</v>
      </c>
      <c r="R639" t="n">
        <v>1.4</v>
      </c>
      <c r="S639" t="b">
        <v>0</v>
      </c>
      <c r="U639" t="n">
        <v>21</v>
      </c>
      <c r="V639" t="b">
        <v>1</v>
      </c>
      <c r="X639" t="b">
        <v>0</v>
      </c>
      <c r="Y639" t="n">
        <v>0.43</v>
      </c>
    </row>
    <row r="640">
      <c r="A640" t="inlineStr">
        <is>
          <t>O00639</t>
        </is>
      </c>
      <c r="B640" t="inlineStr">
        <is>
          <t>C0244</t>
        </is>
      </c>
      <c r="C640" t="inlineStr">
        <is>
          <t>S015</t>
        </is>
      </c>
      <c r="D640" t="inlineStr">
        <is>
          <t>R047</t>
        </is>
      </c>
      <c r="E640" s="3" t="n">
        <v>46275.40069444444</v>
      </c>
      <c r="F640" s="3" t="n">
        <v>46275.40979166667</v>
      </c>
      <c r="G640" s="3" t="n">
        <v>46275.40902777778</v>
      </c>
      <c r="H640" t="inlineStr">
        <is>
          <t>Delivered</t>
        </is>
      </c>
      <c r="I640" t="n">
        <v>2</v>
      </c>
      <c r="J640" t="n">
        <v>7</v>
      </c>
      <c r="K640" t="n">
        <v>786.3200000000001</v>
      </c>
      <c r="L640" t="n">
        <v>0.57</v>
      </c>
      <c r="M640" t="n">
        <v>5.1</v>
      </c>
      <c r="N640" t="n">
        <v>3.6</v>
      </c>
      <c r="O640" t="n">
        <v>3.3</v>
      </c>
      <c r="P640" t="n">
        <v>13.1</v>
      </c>
      <c r="Q640" t="n">
        <v>12</v>
      </c>
      <c r="R640" t="n">
        <v>-1.1</v>
      </c>
      <c r="S640" t="b">
        <v>1</v>
      </c>
      <c r="U640" t="n">
        <v>9</v>
      </c>
      <c r="V640" t="b">
        <v>0</v>
      </c>
      <c r="X640" t="b">
        <v>0</v>
      </c>
      <c r="Y640" t="n">
        <v>0.76</v>
      </c>
    </row>
    <row r="641">
      <c r="A641" t="inlineStr">
        <is>
          <t>O00640</t>
        </is>
      </c>
      <c r="B641" t="inlineStr">
        <is>
          <t>C0051</t>
        </is>
      </c>
      <c r="C641" t="inlineStr">
        <is>
          <t>S017</t>
        </is>
      </c>
      <c r="D641" t="inlineStr">
        <is>
          <t>R067</t>
        </is>
      </c>
      <c r="E641" s="3" t="n">
        <v>46279.67847222222</v>
      </c>
      <c r="F641" s="3" t="n">
        <v>46279.68645833333</v>
      </c>
      <c r="G641" s="3" t="n">
        <v>46279.68604166667</v>
      </c>
      <c r="H641" t="inlineStr">
        <is>
          <t>Delivered</t>
        </is>
      </c>
      <c r="I641" t="n">
        <v>3</v>
      </c>
      <c r="J641" t="n">
        <v>3</v>
      </c>
      <c r="K641" t="n">
        <v>385.28</v>
      </c>
      <c r="L641" t="n">
        <v>2.58</v>
      </c>
      <c r="M641" t="n">
        <v>1.7</v>
      </c>
      <c r="N641" t="n">
        <v>3.2</v>
      </c>
      <c r="O641" t="n">
        <v>6</v>
      </c>
      <c r="P641" t="n">
        <v>11.5</v>
      </c>
      <c r="Q641" t="n">
        <v>10.9</v>
      </c>
      <c r="R641" t="n">
        <v>-0.6</v>
      </c>
      <c r="S641" t="b">
        <v>1</v>
      </c>
      <c r="U641" t="n">
        <v>16</v>
      </c>
      <c r="V641" t="b">
        <v>0</v>
      </c>
      <c r="X641" t="b">
        <v>0</v>
      </c>
      <c r="Y641" t="n">
        <v>0.51</v>
      </c>
    </row>
    <row r="642">
      <c r="A642" t="inlineStr">
        <is>
          <t>O00641</t>
        </is>
      </c>
      <c r="B642" t="inlineStr">
        <is>
          <t>C0093</t>
        </is>
      </c>
      <c r="C642" t="inlineStr">
        <is>
          <t>S010</t>
        </is>
      </c>
      <c r="D642" t="inlineStr">
        <is>
          <t>R065</t>
        </is>
      </c>
      <c r="E642" s="3" t="n">
        <v>46271.64791666667</v>
      </c>
      <c r="F642" s="3" t="n">
        <v>46271.65527777778</v>
      </c>
      <c r="G642" s="3" t="n">
        <v>46271.65486111111</v>
      </c>
      <c r="H642" t="inlineStr">
        <is>
          <t>Delivered</t>
        </is>
      </c>
      <c r="I642" t="n">
        <v>1</v>
      </c>
      <c r="J642" t="n">
        <v>8</v>
      </c>
      <c r="K642" t="n">
        <v>1725.88</v>
      </c>
      <c r="L642" t="n">
        <v>1.65</v>
      </c>
      <c r="M642" t="n">
        <v>2.9</v>
      </c>
      <c r="N642" t="n">
        <v>5.1</v>
      </c>
      <c r="O642" t="n">
        <v>2</v>
      </c>
      <c r="P642" t="n">
        <v>10.6</v>
      </c>
      <c r="Q642" t="n">
        <v>10</v>
      </c>
      <c r="R642" t="n">
        <v>-0.6</v>
      </c>
      <c r="S642" t="b">
        <v>1</v>
      </c>
      <c r="U642" t="n">
        <v>15</v>
      </c>
      <c r="V642" t="b">
        <v>0</v>
      </c>
      <c r="W642" t="inlineStr">
        <is>
          <t>Light</t>
        </is>
      </c>
      <c r="X642" t="b">
        <v>1</v>
      </c>
      <c r="Y642" t="n">
        <v>0.16</v>
      </c>
    </row>
    <row r="643">
      <c r="A643" t="inlineStr">
        <is>
          <t>O00642</t>
        </is>
      </c>
      <c r="B643" t="inlineStr">
        <is>
          <t>C0244</t>
        </is>
      </c>
      <c r="C643" t="inlineStr">
        <is>
          <t>S010</t>
        </is>
      </c>
      <c r="D643" t="inlineStr">
        <is>
          <t>R052</t>
        </is>
      </c>
      <c r="E643" s="3" t="n">
        <v>46266.6125</v>
      </c>
      <c r="F643" s="3" t="n">
        <v>46266.62013888889</v>
      </c>
      <c r="G643" s="3" t="n">
        <v>46266.61958333333</v>
      </c>
      <c r="H643" t="inlineStr">
        <is>
          <t>Delivered</t>
        </is>
      </c>
      <c r="I643" t="n">
        <v>3</v>
      </c>
      <c r="J643" t="n">
        <v>5</v>
      </c>
      <c r="K643" t="n">
        <v>1226.96</v>
      </c>
      <c r="L643" t="n">
        <v>3.32</v>
      </c>
      <c r="M643" t="n">
        <v>3.4</v>
      </c>
      <c r="N643" t="n">
        <v>1.7</v>
      </c>
      <c r="O643" t="n">
        <v>5.1</v>
      </c>
      <c r="P643" t="n">
        <v>11</v>
      </c>
      <c r="Q643" t="n">
        <v>10.2</v>
      </c>
      <c r="R643" t="n">
        <v>-0.8</v>
      </c>
      <c r="S643" t="b">
        <v>1</v>
      </c>
      <c r="U643" t="n">
        <v>14</v>
      </c>
      <c r="V643" t="b">
        <v>0</v>
      </c>
      <c r="X643" t="b">
        <v>0</v>
      </c>
      <c r="Y643" t="n">
        <v>0.76</v>
      </c>
    </row>
    <row r="644">
      <c r="A644" t="inlineStr">
        <is>
          <t>O00643</t>
        </is>
      </c>
      <c r="B644" t="inlineStr">
        <is>
          <t>C0175</t>
        </is>
      </c>
      <c r="C644" t="inlineStr">
        <is>
          <t>S002</t>
        </is>
      </c>
      <c r="D644" t="inlineStr">
        <is>
          <t>R044</t>
        </is>
      </c>
      <c r="E644" s="3" t="n">
        <v>46273.72013888889</v>
      </c>
      <c r="F644" s="3" t="n">
        <v>46273.72729166667</v>
      </c>
      <c r="G644" s="3" t="n">
        <v>46273.72715277778</v>
      </c>
      <c r="H644" t="inlineStr">
        <is>
          <t>Delivered</t>
        </is>
      </c>
      <c r="I644" t="n">
        <v>6</v>
      </c>
      <c r="J644" t="n">
        <v>10</v>
      </c>
      <c r="K644" t="n">
        <v>1571.27</v>
      </c>
      <c r="L644" t="n">
        <v>1.72</v>
      </c>
      <c r="M644" t="n">
        <v>3</v>
      </c>
      <c r="N644" t="n">
        <v>2.6</v>
      </c>
      <c r="O644" t="n">
        <v>4.5</v>
      </c>
      <c r="P644" t="n">
        <v>10.3</v>
      </c>
      <c r="Q644" t="n">
        <v>10.1</v>
      </c>
      <c r="R644" t="n">
        <v>-0.2</v>
      </c>
      <c r="S644" t="b">
        <v>1</v>
      </c>
      <c r="U644" t="n">
        <v>17</v>
      </c>
      <c r="V644" t="b">
        <v>0</v>
      </c>
      <c r="W644" t="inlineStr">
        <is>
          <t>Heavy</t>
        </is>
      </c>
      <c r="X644" t="b">
        <v>0</v>
      </c>
      <c r="Y644" t="n">
        <v>0.54</v>
      </c>
    </row>
    <row r="645">
      <c r="A645" t="inlineStr">
        <is>
          <t>O00644</t>
        </is>
      </c>
      <c r="B645" t="inlineStr">
        <is>
          <t>C0089</t>
        </is>
      </c>
      <c r="C645" t="inlineStr">
        <is>
          <t>S008</t>
        </is>
      </c>
      <c r="D645" t="inlineStr">
        <is>
          <t>R044</t>
        </is>
      </c>
      <c r="E645" s="3" t="n">
        <v>46278.57847222222</v>
      </c>
      <c r="F645" s="3" t="n">
        <v>46278.58555555555</v>
      </c>
      <c r="G645" s="3" t="n">
        <v>46278.58506944445</v>
      </c>
      <c r="H645" t="inlineStr">
        <is>
          <t>Delivered</t>
        </is>
      </c>
      <c r="I645" t="n">
        <v>2</v>
      </c>
      <c r="J645" t="n">
        <v>7</v>
      </c>
      <c r="K645" t="n">
        <v>1090.58</v>
      </c>
      <c r="L645" t="n">
        <v>0.83</v>
      </c>
      <c r="M645" t="n">
        <v>2.3</v>
      </c>
      <c r="N645" t="n">
        <v>4.1</v>
      </c>
      <c r="O645" t="n">
        <v>3</v>
      </c>
      <c r="P645" t="n">
        <v>10.2</v>
      </c>
      <c r="Q645" t="n">
        <v>9.5</v>
      </c>
      <c r="R645" t="n">
        <v>-0.7</v>
      </c>
      <c r="S645" t="b">
        <v>1</v>
      </c>
      <c r="U645" t="n">
        <v>13</v>
      </c>
      <c r="V645" t="b">
        <v>0</v>
      </c>
      <c r="X645" t="b">
        <v>0</v>
      </c>
      <c r="Y645" t="n">
        <v>0.47</v>
      </c>
    </row>
    <row r="646">
      <c r="A646" t="inlineStr">
        <is>
          <t>O00645</t>
        </is>
      </c>
      <c r="B646" t="inlineStr">
        <is>
          <t>C0072</t>
        </is>
      </c>
      <c r="C646" t="inlineStr">
        <is>
          <t>S016</t>
        </is>
      </c>
      <c r="D646" t="inlineStr">
        <is>
          <t>R007</t>
        </is>
      </c>
      <c r="E646" s="3" t="n">
        <v>46276.45486111111</v>
      </c>
      <c r="F646" s="3" t="n">
        <v>46276.46152777778</v>
      </c>
      <c r="G646" s="3" t="n">
        <v>46276.46625</v>
      </c>
      <c r="H646" t="inlineStr">
        <is>
          <t>Delivered</t>
        </is>
      </c>
      <c r="I646" t="n">
        <v>6</v>
      </c>
      <c r="J646" t="n">
        <v>8</v>
      </c>
      <c r="K646" t="n">
        <v>1578.67</v>
      </c>
      <c r="L646" t="n">
        <v>2.6</v>
      </c>
      <c r="M646" t="n">
        <v>5.1</v>
      </c>
      <c r="N646" t="n">
        <v>3.3</v>
      </c>
      <c r="O646" t="n">
        <v>8</v>
      </c>
      <c r="P646" t="n">
        <v>9.6</v>
      </c>
      <c r="Q646" t="n">
        <v>16.4</v>
      </c>
      <c r="R646" t="n">
        <v>6.8</v>
      </c>
      <c r="S646" t="b">
        <v>0</v>
      </c>
      <c r="U646" t="n">
        <v>10</v>
      </c>
      <c r="V646" t="b">
        <v>0</v>
      </c>
      <c r="W646" t="inlineStr">
        <is>
          <t>Light</t>
        </is>
      </c>
      <c r="X646" t="b">
        <v>0</v>
      </c>
      <c r="Y646" t="n">
        <v>0.42</v>
      </c>
    </row>
    <row r="647">
      <c r="A647" t="inlineStr">
        <is>
          <t>O00646</t>
        </is>
      </c>
      <c r="B647" t="inlineStr">
        <is>
          <t>C0027</t>
        </is>
      </c>
      <c r="C647" t="inlineStr">
        <is>
          <t>S001</t>
        </is>
      </c>
      <c r="D647" t="inlineStr">
        <is>
          <t>R001</t>
        </is>
      </c>
      <c r="E647" s="3" t="n">
        <v>46274.38611111111</v>
      </c>
      <c r="F647" s="3" t="n">
        <v>46274.394375</v>
      </c>
      <c r="G647" s="3" t="n">
        <v>46274.39409722222</v>
      </c>
      <c r="H647" t="inlineStr">
        <is>
          <t>Delivered</t>
        </is>
      </c>
      <c r="I647" t="n">
        <v>3</v>
      </c>
      <c r="J647" t="n">
        <v>8</v>
      </c>
      <c r="K647" t="n">
        <v>1230.76</v>
      </c>
      <c r="L647" t="n">
        <v>1.32</v>
      </c>
      <c r="M647" t="n">
        <v>4.7</v>
      </c>
      <c r="N647" t="n">
        <v>2.8</v>
      </c>
      <c r="O647" t="n">
        <v>4</v>
      </c>
      <c r="P647" t="n">
        <v>11.9</v>
      </c>
      <c r="Q647" t="n">
        <v>11.5</v>
      </c>
      <c r="R647" t="n">
        <v>-0.4</v>
      </c>
      <c r="S647" t="b">
        <v>1</v>
      </c>
      <c r="U647" t="n">
        <v>9</v>
      </c>
      <c r="V647" t="b">
        <v>0</v>
      </c>
      <c r="X647" t="b">
        <v>0</v>
      </c>
      <c r="Y647" t="n">
        <v>0.6</v>
      </c>
    </row>
    <row r="648">
      <c r="A648" t="inlineStr">
        <is>
          <t>O00647</t>
        </is>
      </c>
      <c r="B648" t="inlineStr">
        <is>
          <t>C0179</t>
        </is>
      </c>
      <c r="C648" t="inlineStr">
        <is>
          <t>S002</t>
        </is>
      </c>
      <c r="D648" t="inlineStr">
        <is>
          <t>R071</t>
        </is>
      </c>
      <c r="E648" s="3" t="n">
        <v>46267.58055555556</v>
      </c>
      <c r="F648" s="3" t="n">
        <v>46267.58847222223</v>
      </c>
      <c r="G648" s="3" t="n">
        <v>46267.58826388889</v>
      </c>
      <c r="H648" t="inlineStr">
        <is>
          <t>Delivered</t>
        </is>
      </c>
      <c r="I648" t="n">
        <v>3</v>
      </c>
      <c r="J648" t="n">
        <v>7</v>
      </c>
      <c r="K648" t="n">
        <v>545.39</v>
      </c>
      <c r="L648" t="n">
        <v>1.67</v>
      </c>
      <c r="M648" t="n">
        <v>2.1</v>
      </c>
      <c r="N648" t="n">
        <v>5.7</v>
      </c>
      <c r="O648" t="n">
        <v>3.3</v>
      </c>
      <c r="P648" t="n">
        <v>11.4</v>
      </c>
      <c r="Q648" t="n">
        <v>11.1</v>
      </c>
      <c r="R648" t="n">
        <v>-0.3</v>
      </c>
      <c r="S648" t="b">
        <v>1</v>
      </c>
      <c r="U648" t="n">
        <v>13</v>
      </c>
      <c r="V648" t="b">
        <v>0</v>
      </c>
      <c r="X648" t="b">
        <v>0</v>
      </c>
      <c r="Y648" t="n">
        <v>0.35</v>
      </c>
    </row>
    <row r="649">
      <c r="A649" t="inlineStr">
        <is>
          <t>O00648</t>
        </is>
      </c>
      <c r="B649" t="inlineStr">
        <is>
          <t>C0106</t>
        </is>
      </c>
      <c r="C649" t="inlineStr">
        <is>
          <t>S015</t>
        </is>
      </c>
      <c r="D649" t="inlineStr">
        <is>
          <t>R080</t>
        </is>
      </c>
      <c r="E649" s="3" t="n">
        <v>46274.62638888889</v>
      </c>
      <c r="F649" s="3" t="n">
        <v>46274.63472222222</v>
      </c>
      <c r="G649" s="3" t="n">
        <v>46274.635625</v>
      </c>
      <c r="H649" t="inlineStr">
        <is>
          <t>Delivered</t>
        </is>
      </c>
      <c r="I649" t="n">
        <v>5</v>
      </c>
      <c r="J649" t="n">
        <v>7</v>
      </c>
      <c r="K649" t="n">
        <v>456.8</v>
      </c>
      <c r="L649" t="n">
        <v>2.71</v>
      </c>
      <c r="M649" t="n">
        <v>4.8</v>
      </c>
      <c r="N649" t="n">
        <v>1.6</v>
      </c>
      <c r="O649" t="n">
        <v>6.9</v>
      </c>
      <c r="P649" t="n">
        <v>12</v>
      </c>
      <c r="Q649" t="n">
        <v>13.3</v>
      </c>
      <c r="R649" t="n">
        <v>1.3</v>
      </c>
      <c r="S649" t="b">
        <v>0</v>
      </c>
      <c r="U649" t="n">
        <v>15</v>
      </c>
      <c r="V649" t="b">
        <v>0</v>
      </c>
      <c r="X649" t="b">
        <v>0</v>
      </c>
      <c r="Y649" t="n">
        <v>0.42</v>
      </c>
    </row>
    <row r="650">
      <c r="A650" t="inlineStr">
        <is>
          <t>O00649</t>
        </is>
      </c>
      <c r="B650" t="inlineStr">
        <is>
          <t>C0192</t>
        </is>
      </c>
      <c r="C650" t="inlineStr">
        <is>
          <t>S002</t>
        </is>
      </c>
      <c r="D650" t="inlineStr">
        <is>
          <t>R053</t>
        </is>
      </c>
      <c r="E650" s="3" t="n">
        <v>46266.45902777778</v>
      </c>
      <c r="F650" s="3" t="n">
        <v>46266.46673611111</v>
      </c>
      <c r="G650" s="3" t="n">
        <v>46266.46631944444</v>
      </c>
      <c r="H650" t="inlineStr">
        <is>
          <t>Delivered</t>
        </is>
      </c>
      <c r="I650" t="n">
        <v>1</v>
      </c>
      <c r="J650" t="n">
        <v>9</v>
      </c>
      <c r="K650" t="n">
        <v>1152.95</v>
      </c>
      <c r="L650" t="n">
        <v>4.37</v>
      </c>
      <c r="M650" t="n">
        <v>2.2</v>
      </c>
      <c r="N650" t="n">
        <v>1.4</v>
      </c>
      <c r="O650" t="n">
        <v>6.9</v>
      </c>
      <c r="P650" t="n">
        <v>11.1</v>
      </c>
      <c r="Q650" t="n">
        <v>10.5</v>
      </c>
      <c r="R650" t="n">
        <v>-0.6</v>
      </c>
      <c r="S650" t="b">
        <v>1</v>
      </c>
      <c r="U650" t="n">
        <v>11</v>
      </c>
      <c r="V650" t="b">
        <v>0</v>
      </c>
      <c r="X650" t="b">
        <v>0</v>
      </c>
      <c r="Y650" t="n">
        <v>0.23</v>
      </c>
    </row>
    <row r="651">
      <c r="A651" t="inlineStr">
        <is>
          <t>O00650</t>
        </is>
      </c>
      <c r="B651" t="inlineStr">
        <is>
          <t>C0245</t>
        </is>
      </c>
      <c r="C651" t="inlineStr">
        <is>
          <t>S010</t>
        </is>
      </c>
      <c r="D651" t="inlineStr">
        <is>
          <t>R058</t>
        </is>
      </c>
      <c r="E651" s="3" t="n">
        <v>46268.77291666667</v>
      </c>
      <c r="F651" s="3" t="n">
        <v>46268.78006944444</v>
      </c>
      <c r="G651" s="3" t="n">
        <v>46268.77930555555</v>
      </c>
      <c r="H651" t="inlineStr">
        <is>
          <t>Delivered</t>
        </is>
      </c>
      <c r="I651" t="n">
        <v>5</v>
      </c>
      <c r="J651" t="n">
        <v>6</v>
      </c>
      <c r="K651" t="n">
        <v>534.5599999999999</v>
      </c>
      <c r="L651" t="n">
        <v>1.23</v>
      </c>
      <c r="M651" t="n">
        <v>3.7</v>
      </c>
      <c r="N651" t="n">
        <v>2.8</v>
      </c>
      <c r="O651" t="n">
        <v>2.7</v>
      </c>
      <c r="P651" t="n">
        <v>10.3</v>
      </c>
      <c r="Q651" t="n">
        <v>9.199999999999999</v>
      </c>
      <c r="R651" t="n">
        <v>-1.1</v>
      </c>
      <c r="S651" t="b">
        <v>1</v>
      </c>
      <c r="U651" t="n">
        <v>18</v>
      </c>
      <c r="V651" t="b">
        <v>0</v>
      </c>
      <c r="X651" t="b">
        <v>0</v>
      </c>
      <c r="Y651" t="n">
        <v>0.44</v>
      </c>
    </row>
    <row r="652">
      <c r="A652" t="inlineStr">
        <is>
          <t>O00651</t>
        </is>
      </c>
      <c r="B652" t="inlineStr">
        <is>
          <t>C0163</t>
        </is>
      </c>
      <c r="C652" t="inlineStr">
        <is>
          <t>S003</t>
        </is>
      </c>
      <c r="D652" t="inlineStr">
        <is>
          <t>R056</t>
        </is>
      </c>
      <c r="E652" s="3" t="n">
        <v>46273.95763888889</v>
      </c>
      <c r="F652" s="3" t="n">
        <v>46273.96430555556</v>
      </c>
      <c r="G652" s="3" t="n">
        <v>46273.96409722222</v>
      </c>
      <c r="H652" t="inlineStr">
        <is>
          <t>Delivered</t>
        </is>
      </c>
      <c r="I652" t="n">
        <v>1</v>
      </c>
      <c r="J652" t="n">
        <v>5</v>
      </c>
      <c r="K652" t="n">
        <v>1400.67</v>
      </c>
      <c r="L652" t="n">
        <v>2.1</v>
      </c>
      <c r="M652" t="n">
        <v>2.3</v>
      </c>
      <c r="N652" t="n">
        <v>2.7</v>
      </c>
      <c r="O652" t="n">
        <v>4.3</v>
      </c>
      <c r="P652" t="n">
        <v>9.6</v>
      </c>
      <c r="Q652" t="n">
        <v>9.300000000000001</v>
      </c>
      <c r="R652" t="n">
        <v>-0.3</v>
      </c>
      <c r="S652" t="b">
        <v>1</v>
      </c>
      <c r="U652" t="n">
        <v>22</v>
      </c>
      <c r="V652" t="b">
        <v>0</v>
      </c>
      <c r="X652" t="b">
        <v>1</v>
      </c>
      <c r="Y652" t="n">
        <v>0.62</v>
      </c>
    </row>
    <row r="653">
      <c r="A653" t="inlineStr">
        <is>
          <t>O00652</t>
        </is>
      </c>
      <c r="B653" t="inlineStr">
        <is>
          <t>C0134</t>
        </is>
      </c>
      <c r="C653" t="inlineStr">
        <is>
          <t>S004</t>
        </is>
      </c>
      <c r="D653" t="inlineStr">
        <is>
          <t>R008</t>
        </is>
      </c>
      <c r="E653" s="3" t="n">
        <v>46271.575</v>
      </c>
      <c r="F653" s="3" t="n">
        <v>46271.58298611111</v>
      </c>
      <c r="G653" s="3" t="n">
        <v>46271.58270833334</v>
      </c>
      <c r="H653" t="inlineStr">
        <is>
          <t>Delivered</t>
        </is>
      </c>
      <c r="I653" t="n">
        <v>3</v>
      </c>
      <c r="J653" t="n">
        <v>4</v>
      </c>
      <c r="K653" t="n">
        <v>819.95</v>
      </c>
      <c r="L653" t="n">
        <v>2.92</v>
      </c>
      <c r="M653" t="n">
        <v>1.8</v>
      </c>
      <c r="N653" t="n">
        <v>4.2</v>
      </c>
      <c r="O653" t="n">
        <v>5.1</v>
      </c>
      <c r="P653" t="n">
        <v>11.5</v>
      </c>
      <c r="Q653" t="n">
        <v>11.1</v>
      </c>
      <c r="R653" t="n">
        <v>-0.4</v>
      </c>
      <c r="S653" t="b">
        <v>1</v>
      </c>
      <c r="U653" t="n">
        <v>13</v>
      </c>
      <c r="V653" t="b">
        <v>0</v>
      </c>
      <c r="X653" t="b">
        <v>0</v>
      </c>
      <c r="Y653" t="n">
        <v>0.52</v>
      </c>
    </row>
    <row r="654">
      <c r="A654" t="inlineStr">
        <is>
          <t>O00653</t>
        </is>
      </c>
      <c r="B654" t="inlineStr">
        <is>
          <t>C0118</t>
        </is>
      </c>
      <c r="C654" t="inlineStr">
        <is>
          <t>S003</t>
        </is>
      </c>
      <c r="D654" t="inlineStr">
        <is>
          <t>R039</t>
        </is>
      </c>
      <c r="E654" s="3" t="n">
        <v>46271.41319444445</v>
      </c>
      <c r="F654" s="3" t="n">
        <v>46271.42041666667</v>
      </c>
      <c r="G654" s="3" t="n">
        <v>46271.42013888889</v>
      </c>
      <c r="H654" t="inlineStr">
        <is>
          <t>Delivered</t>
        </is>
      </c>
      <c r="I654" t="n">
        <v>5</v>
      </c>
      <c r="J654" t="n">
        <v>6</v>
      </c>
      <c r="K654" t="n">
        <v>1102.55</v>
      </c>
      <c r="L654" t="n">
        <v>1.43</v>
      </c>
      <c r="M654" t="n">
        <v>2.8</v>
      </c>
      <c r="N654" t="n">
        <v>3.5</v>
      </c>
      <c r="O654" t="n">
        <v>3.7</v>
      </c>
      <c r="P654" t="n">
        <v>10.4</v>
      </c>
      <c r="Q654" t="n">
        <v>10</v>
      </c>
      <c r="R654" t="n">
        <v>-0.4</v>
      </c>
      <c r="S654" t="b">
        <v>1</v>
      </c>
      <c r="U654" t="n">
        <v>9</v>
      </c>
      <c r="V654" t="b">
        <v>0</v>
      </c>
      <c r="W654" t="inlineStr">
        <is>
          <t>Heavy</t>
        </is>
      </c>
      <c r="X654" t="b">
        <v>0</v>
      </c>
      <c r="Y654" t="n">
        <v>0.77</v>
      </c>
    </row>
    <row r="655">
      <c r="A655" t="inlineStr">
        <is>
          <t>O00654</t>
        </is>
      </c>
      <c r="B655" t="inlineStr">
        <is>
          <t>C0151</t>
        </is>
      </c>
      <c r="C655" t="inlineStr">
        <is>
          <t>S016</t>
        </is>
      </c>
      <c r="D655" t="inlineStr">
        <is>
          <t>R055</t>
        </is>
      </c>
      <c r="E655" s="3" t="n">
        <v>46273.85</v>
      </c>
      <c r="F655" s="3" t="n">
        <v>46273.85638888889</v>
      </c>
      <c r="G655" s="3" t="n">
        <v>46273.85569444444</v>
      </c>
      <c r="H655" t="inlineStr">
        <is>
          <t>Delivered</t>
        </is>
      </c>
      <c r="I655" t="n">
        <v>2</v>
      </c>
      <c r="J655" t="n">
        <v>6</v>
      </c>
      <c r="K655" t="n">
        <v>1472.52</v>
      </c>
      <c r="L655" t="n">
        <v>1.68</v>
      </c>
      <c r="M655" t="n">
        <v>3</v>
      </c>
      <c r="N655" t="n">
        <v>2.6</v>
      </c>
      <c r="O655" t="n">
        <v>2.6</v>
      </c>
      <c r="P655" t="n">
        <v>9.199999999999999</v>
      </c>
      <c r="Q655" t="n">
        <v>8.199999999999999</v>
      </c>
      <c r="R655" t="n">
        <v>-1</v>
      </c>
      <c r="S655" t="b">
        <v>1</v>
      </c>
      <c r="U655" t="n">
        <v>20</v>
      </c>
      <c r="V655" t="b">
        <v>1</v>
      </c>
      <c r="X655" t="b">
        <v>0</v>
      </c>
      <c r="Y655" t="n">
        <v>0.55</v>
      </c>
    </row>
    <row r="656">
      <c r="A656" t="inlineStr">
        <is>
          <t>O00655</t>
        </is>
      </c>
      <c r="B656" t="inlineStr">
        <is>
          <t>C0122</t>
        </is>
      </c>
      <c r="C656" t="inlineStr">
        <is>
          <t>S015</t>
        </is>
      </c>
      <c r="D656" t="inlineStr">
        <is>
          <t>R016</t>
        </is>
      </c>
      <c r="E656" s="3" t="n">
        <v>46279.95694444444</v>
      </c>
      <c r="F656" s="3" t="n">
        <v>46279.96520833333</v>
      </c>
      <c r="G656" s="3" t="n">
        <v>46279.97006944445</v>
      </c>
      <c r="H656" t="inlineStr">
        <is>
          <t>Delivered</t>
        </is>
      </c>
      <c r="I656" t="n">
        <v>5</v>
      </c>
      <c r="J656" t="n">
        <v>6</v>
      </c>
      <c r="K656" t="n">
        <v>1404.95</v>
      </c>
      <c r="L656" t="n">
        <v>4.06</v>
      </c>
      <c r="M656" t="n">
        <v>4.6</v>
      </c>
      <c r="N656" t="n">
        <v>5.7</v>
      </c>
      <c r="O656" t="n">
        <v>8.6</v>
      </c>
      <c r="P656" t="n">
        <v>11.9</v>
      </c>
      <c r="Q656" t="n">
        <v>18.9</v>
      </c>
      <c r="R656" t="n">
        <v>7</v>
      </c>
      <c r="S656" t="b">
        <v>0</v>
      </c>
      <c r="U656" t="n">
        <v>22</v>
      </c>
      <c r="V656" t="b">
        <v>0</v>
      </c>
      <c r="X656" t="b">
        <v>0</v>
      </c>
      <c r="Y656" t="n">
        <v>0.5</v>
      </c>
    </row>
    <row r="657">
      <c r="A657" t="inlineStr">
        <is>
          <t>O00656</t>
        </is>
      </c>
      <c r="B657" t="inlineStr">
        <is>
          <t>C0057</t>
        </is>
      </c>
      <c r="C657" t="inlineStr">
        <is>
          <t>S017</t>
        </is>
      </c>
      <c r="D657" t="inlineStr">
        <is>
          <t>R026</t>
        </is>
      </c>
      <c r="E657" s="3" t="n">
        <v>46275.66527777778</v>
      </c>
      <c r="F657" s="3" t="n">
        <v>46275.67305555556</v>
      </c>
      <c r="G657" s="3" t="n">
        <v>46275.673125</v>
      </c>
      <c r="H657" t="inlineStr">
        <is>
          <t>Delivered</t>
        </is>
      </c>
      <c r="I657" t="n">
        <v>6</v>
      </c>
      <c r="J657" t="n">
        <v>7</v>
      </c>
      <c r="K657" t="n">
        <v>1254.86</v>
      </c>
      <c r="L657" t="n">
        <v>1.42</v>
      </c>
      <c r="M657" t="n">
        <v>2.2</v>
      </c>
      <c r="N657" t="n">
        <v>4.6</v>
      </c>
      <c r="O657" t="n">
        <v>4.6</v>
      </c>
      <c r="P657" t="n">
        <v>11.2</v>
      </c>
      <c r="Q657" t="n">
        <v>11.3</v>
      </c>
      <c r="R657" t="n">
        <v>0.1</v>
      </c>
      <c r="S657" t="b">
        <v>0</v>
      </c>
      <c r="U657" t="n">
        <v>15</v>
      </c>
      <c r="V657" t="b">
        <v>0</v>
      </c>
      <c r="W657" t="inlineStr">
        <is>
          <t>Light</t>
        </is>
      </c>
      <c r="X657" t="b">
        <v>0</v>
      </c>
      <c r="Y657" t="n">
        <v>0.15</v>
      </c>
    </row>
    <row r="658">
      <c r="A658" t="inlineStr">
        <is>
          <t>O00657</t>
        </is>
      </c>
      <c r="B658" t="inlineStr">
        <is>
          <t>C0113</t>
        </is>
      </c>
      <c r="C658" t="inlineStr">
        <is>
          <t>S005</t>
        </is>
      </c>
      <c r="D658" t="inlineStr">
        <is>
          <t>R065</t>
        </is>
      </c>
      <c r="E658" s="3" t="n">
        <v>46278.9375</v>
      </c>
      <c r="F658" s="3" t="n">
        <v>46278.94347222222</v>
      </c>
      <c r="G658" s="3" t="n">
        <v>46278.94263888889</v>
      </c>
      <c r="H658" t="inlineStr">
        <is>
          <t>Delivered</t>
        </is>
      </c>
      <c r="I658" t="n">
        <v>4</v>
      </c>
      <c r="J658" t="n">
        <v>5</v>
      </c>
      <c r="K658" t="n">
        <v>232.49</v>
      </c>
      <c r="L658" t="n">
        <v>0.83</v>
      </c>
      <c r="M658" t="n">
        <v>2.2</v>
      </c>
      <c r="N658" t="n">
        <v>4</v>
      </c>
      <c r="O658" t="n">
        <v>1.2</v>
      </c>
      <c r="P658" t="n">
        <v>8.6</v>
      </c>
      <c r="Q658" t="n">
        <v>7.4</v>
      </c>
      <c r="R658" t="n">
        <v>-1.2</v>
      </c>
      <c r="S658" t="b">
        <v>1</v>
      </c>
      <c r="U658" t="n">
        <v>22</v>
      </c>
      <c r="V658" t="b">
        <v>0</v>
      </c>
      <c r="X658" t="b">
        <v>0</v>
      </c>
      <c r="Y658" t="n">
        <v>0.27</v>
      </c>
    </row>
    <row r="659">
      <c r="A659" t="inlineStr">
        <is>
          <t>O00658</t>
        </is>
      </c>
      <c r="B659" t="inlineStr">
        <is>
          <t>C0246</t>
        </is>
      </c>
      <c r="C659" t="inlineStr">
        <is>
          <t>S016</t>
        </is>
      </c>
      <c r="D659" t="inlineStr">
        <is>
          <t>R026</t>
        </is>
      </c>
      <c r="E659" s="3" t="n">
        <v>46273.62013888889</v>
      </c>
      <c r="F659" s="3" t="n">
        <v>46273.62694444445</v>
      </c>
      <c r="G659" s="3" t="n">
        <v>46273.62680555556</v>
      </c>
      <c r="H659" t="inlineStr">
        <is>
          <t>Delivered</t>
        </is>
      </c>
      <c r="I659" t="n">
        <v>1</v>
      </c>
      <c r="J659" t="n">
        <v>9</v>
      </c>
      <c r="K659" t="n">
        <v>609.47</v>
      </c>
      <c r="L659" t="n">
        <v>0.61</v>
      </c>
      <c r="M659" t="n">
        <v>5.1</v>
      </c>
      <c r="N659" t="n">
        <v>2.3</v>
      </c>
      <c r="O659" t="n">
        <v>2.2</v>
      </c>
      <c r="P659" t="n">
        <v>9.800000000000001</v>
      </c>
      <c r="Q659" t="n">
        <v>9.6</v>
      </c>
      <c r="R659" t="n">
        <v>-0.2</v>
      </c>
      <c r="S659" t="b">
        <v>1</v>
      </c>
      <c r="U659" t="n">
        <v>14</v>
      </c>
      <c r="V659" t="b">
        <v>0</v>
      </c>
      <c r="X659" t="b">
        <v>0</v>
      </c>
      <c r="Y659" t="n">
        <v>0.44</v>
      </c>
    </row>
    <row r="660">
      <c r="A660" t="inlineStr">
        <is>
          <t>O00659</t>
        </is>
      </c>
      <c r="B660" t="inlineStr">
        <is>
          <t>C0134</t>
        </is>
      </c>
      <c r="C660" t="inlineStr">
        <is>
          <t>S019</t>
        </is>
      </c>
      <c r="D660" t="inlineStr">
        <is>
          <t>R016</t>
        </is>
      </c>
      <c r="E660" s="3" t="n">
        <v>46270.64166666667</v>
      </c>
      <c r="F660" s="3" t="n">
        <v>46270.64763888889</v>
      </c>
      <c r="G660" s="3" t="n">
        <v>46270.64729166667</v>
      </c>
      <c r="H660" t="inlineStr">
        <is>
          <t>Delivered</t>
        </is>
      </c>
      <c r="I660" t="n">
        <v>5</v>
      </c>
      <c r="J660" t="n">
        <v>8</v>
      </c>
      <c r="K660" t="n">
        <v>373.9</v>
      </c>
      <c r="L660" t="n">
        <v>2.5</v>
      </c>
      <c r="M660" t="n">
        <v>2.6</v>
      </c>
      <c r="N660" t="n">
        <v>1.5</v>
      </c>
      <c r="O660" t="n">
        <v>4</v>
      </c>
      <c r="P660" t="n">
        <v>8.6</v>
      </c>
      <c r="Q660" t="n">
        <v>8.1</v>
      </c>
      <c r="R660" t="n">
        <v>-0.5</v>
      </c>
      <c r="S660" t="b">
        <v>1</v>
      </c>
      <c r="U660" t="n">
        <v>15</v>
      </c>
      <c r="V660" t="b">
        <v>0</v>
      </c>
      <c r="W660" t="inlineStr">
        <is>
          <t>Light</t>
        </is>
      </c>
      <c r="X660" t="b">
        <v>0</v>
      </c>
      <c r="Y660" t="n">
        <v>0.71</v>
      </c>
    </row>
    <row r="661">
      <c r="A661" t="inlineStr">
        <is>
          <t>O00660</t>
        </is>
      </c>
      <c r="B661" t="inlineStr">
        <is>
          <t>C0001</t>
        </is>
      </c>
      <c r="C661" t="inlineStr">
        <is>
          <t>S008</t>
        </is>
      </c>
      <c r="D661" t="inlineStr">
        <is>
          <t>R064</t>
        </is>
      </c>
      <c r="E661" s="3" t="n">
        <v>46278.62916666667</v>
      </c>
      <c r="F661" s="3" t="n">
        <v>46278.63868055555</v>
      </c>
      <c r="G661" s="3" t="n">
        <v>46278.63826388889</v>
      </c>
      <c r="H661" t="inlineStr">
        <is>
          <t>Delivered</t>
        </is>
      </c>
      <c r="I661" t="n">
        <v>1</v>
      </c>
      <c r="J661" t="n">
        <v>9</v>
      </c>
      <c r="K661" t="n">
        <v>1558.08</v>
      </c>
      <c r="L661" t="n">
        <v>4.83</v>
      </c>
      <c r="M661" t="n">
        <v>3.2</v>
      </c>
      <c r="N661" t="n">
        <v>2.5</v>
      </c>
      <c r="O661" t="n">
        <v>7.4</v>
      </c>
      <c r="P661" t="n">
        <v>13.7</v>
      </c>
      <c r="Q661" t="n">
        <v>13.1</v>
      </c>
      <c r="R661" t="n">
        <v>-0.6</v>
      </c>
      <c r="S661" t="b">
        <v>1</v>
      </c>
      <c r="U661" t="n">
        <v>15</v>
      </c>
      <c r="V661" t="b">
        <v>0</v>
      </c>
      <c r="X661" t="b">
        <v>0</v>
      </c>
      <c r="Y661" t="n">
        <v>0.58</v>
      </c>
    </row>
    <row r="662">
      <c r="A662" t="inlineStr">
        <is>
          <t>O00661</t>
        </is>
      </c>
      <c r="B662" t="inlineStr">
        <is>
          <t>C0127</t>
        </is>
      </c>
      <c r="C662" t="inlineStr">
        <is>
          <t>S010</t>
        </is>
      </c>
      <c r="D662" t="inlineStr">
        <is>
          <t>R054</t>
        </is>
      </c>
      <c r="E662" s="3" t="n">
        <v>46269.99027777778</v>
      </c>
      <c r="F662" s="3" t="n">
        <v>46269.99673611111</v>
      </c>
      <c r="G662" s="3" t="n">
        <v>46269.99625</v>
      </c>
      <c r="H662" t="inlineStr">
        <is>
          <t>Delivered</t>
        </is>
      </c>
      <c r="I662" t="n">
        <v>1</v>
      </c>
      <c r="J662" t="n">
        <v>7</v>
      </c>
      <c r="K662" t="n">
        <v>1456.49</v>
      </c>
      <c r="L662" t="n">
        <v>1.44</v>
      </c>
      <c r="M662" t="n">
        <v>3.3</v>
      </c>
      <c r="N662" t="n">
        <v>2.5</v>
      </c>
      <c r="O662" t="n">
        <v>2.8</v>
      </c>
      <c r="P662" t="n">
        <v>9.300000000000001</v>
      </c>
      <c r="Q662" t="n">
        <v>8.6</v>
      </c>
      <c r="R662" t="n">
        <v>-0.7</v>
      </c>
      <c r="S662" t="b">
        <v>1</v>
      </c>
      <c r="U662" t="n">
        <v>23</v>
      </c>
      <c r="V662" t="b">
        <v>0</v>
      </c>
      <c r="W662" t="inlineStr">
        <is>
          <t>Light</t>
        </is>
      </c>
      <c r="X662" t="b">
        <v>0</v>
      </c>
      <c r="Y662" t="n">
        <v>0.53</v>
      </c>
    </row>
    <row r="663">
      <c r="A663" t="inlineStr">
        <is>
          <t>O00662</t>
        </is>
      </c>
      <c r="B663" t="inlineStr">
        <is>
          <t>C0240</t>
        </is>
      </c>
      <c r="C663" t="inlineStr">
        <is>
          <t>S015</t>
        </is>
      </c>
      <c r="D663" t="inlineStr">
        <is>
          <t>R048</t>
        </is>
      </c>
      <c r="E663" s="3" t="n">
        <v>46270.34444444445</v>
      </c>
      <c r="F663" s="3" t="n">
        <v>46270.35111111111</v>
      </c>
      <c r="G663" s="3" t="n">
        <v>46270.350625</v>
      </c>
      <c r="H663" t="inlineStr">
        <is>
          <t>Delivered</t>
        </is>
      </c>
      <c r="I663" t="n">
        <v>1</v>
      </c>
      <c r="J663" t="n">
        <v>4</v>
      </c>
      <c r="K663" t="n">
        <v>1167.57</v>
      </c>
      <c r="L663" t="n">
        <v>0.87</v>
      </c>
      <c r="M663" t="n">
        <v>3</v>
      </c>
      <c r="N663" t="n">
        <v>4.1</v>
      </c>
      <c r="O663" t="n">
        <v>1.8</v>
      </c>
      <c r="P663" t="n">
        <v>9.6</v>
      </c>
      <c r="Q663" t="n">
        <v>8.9</v>
      </c>
      <c r="R663" t="n">
        <v>-0.7</v>
      </c>
      <c r="S663" t="b">
        <v>1</v>
      </c>
      <c r="U663" t="n">
        <v>8</v>
      </c>
      <c r="V663" t="b">
        <v>0</v>
      </c>
      <c r="X663" t="b">
        <v>0</v>
      </c>
      <c r="Y663" t="n">
        <v>0.25</v>
      </c>
    </row>
    <row r="664">
      <c r="A664" t="inlineStr">
        <is>
          <t>O00663</t>
        </is>
      </c>
      <c r="B664" t="inlineStr">
        <is>
          <t>C0089</t>
        </is>
      </c>
      <c r="C664" t="inlineStr">
        <is>
          <t>S008</t>
        </is>
      </c>
      <c r="D664" t="inlineStr">
        <is>
          <t>R028</t>
        </is>
      </c>
      <c r="E664" s="3" t="n">
        <v>46275.95069444444</v>
      </c>
      <c r="F664" s="3" t="n">
        <v>46275.96020833333</v>
      </c>
      <c r="G664" s="3" t="n">
        <v>46275.96680555555</v>
      </c>
      <c r="H664" t="inlineStr">
        <is>
          <t>Delivered</t>
        </is>
      </c>
      <c r="I664" t="n">
        <v>5</v>
      </c>
      <c r="J664" t="n">
        <v>7</v>
      </c>
      <c r="K664" t="n">
        <v>746.71</v>
      </c>
      <c r="L664" t="n">
        <v>4.9</v>
      </c>
      <c r="M664" t="n">
        <v>3.8</v>
      </c>
      <c r="N664" t="n">
        <v>5.5</v>
      </c>
      <c r="O664" t="n">
        <v>13.9</v>
      </c>
      <c r="P664" t="n">
        <v>13.7</v>
      </c>
      <c r="Q664" t="n">
        <v>23.2</v>
      </c>
      <c r="R664" t="n">
        <v>9.5</v>
      </c>
      <c r="S664" t="b">
        <v>0</v>
      </c>
      <c r="U664" t="n">
        <v>22</v>
      </c>
      <c r="V664" t="b">
        <v>0</v>
      </c>
      <c r="W664" t="inlineStr">
        <is>
          <t>Light</t>
        </is>
      </c>
      <c r="X664" t="b">
        <v>0</v>
      </c>
      <c r="Y664" t="n">
        <v>0.44</v>
      </c>
    </row>
    <row r="665">
      <c r="A665" t="inlineStr">
        <is>
          <t>O00664</t>
        </is>
      </c>
      <c r="B665" t="inlineStr">
        <is>
          <t>C0170</t>
        </is>
      </c>
      <c r="C665" t="inlineStr">
        <is>
          <t>S009</t>
        </is>
      </c>
      <c r="D665" t="inlineStr">
        <is>
          <t>R072</t>
        </is>
      </c>
      <c r="E665" s="3" t="n">
        <v>46274.42291666667</v>
      </c>
      <c r="F665" s="3" t="n">
        <v>46274.42972222222</v>
      </c>
      <c r="G665" s="3" t="n">
        <v>46274.43083333333</v>
      </c>
      <c r="H665" t="inlineStr">
        <is>
          <t>Delivered</t>
        </is>
      </c>
      <c r="I665" t="n">
        <v>4</v>
      </c>
      <c r="J665" t="n">
        <v>5</v>
      </c>
      <c r="K665" t="n">
        <v>708.4400000000001</v>
      </c>
      <c r="L665" t="n">
        <v>1.49</v>
      </c>
      <c r="M665" t="n">
        <v>1.9</v>
      </c>
      <c r="N665" t="n">
        <v>5.2</v>
      </c>
      <c r="O665" t="n">
        <v>4.4</v>
      </c>
      <c r="P665" t="n">
        <v>9.800000000000001</v>
      </c>
      <c r="Q665" t="n">
        <v>11.4</v>
      </c>
      <c r="R665" t="n">
        <v>1.6</v>
      </c>
      <c r="S665" t="b">
        <v>0</v>
      </c>
      <c r="U665" t="n">
        <v>10</v>
      </c>
      <c r="V665" t="b">
        <v>0</v>
      </c>
      <c r="X665" t="b">
        <v>0</v>
      </c>
      <c r="Y665" t="n">
        <v>0.61</v>
      </c>
    </row>
    <row r="666">
      <c r="A666" t="inlineStr">
        <is>
          <t>O00665</t>
        </is>
      </c>
      <c r="B666" t="inlineStr">
        <is>
          <t>C0051</t>
        </is>
      </c>
      <c r="C666" t="inlineStr">
        <is>
          <t>S017</t>
        </is>
      </c>
      <c r="D666" t="inlineStr">
        <is>
          <t>R029</t>
        </is>
      </c>
      <c r="E666" s="3" t="n">
        <v>46276.45902777778</v>
      </c>
      <c r="F666" s="3" t="n">
        <v>46276.46506944444</v>
      </c>
      <c r="G666" s="3" t="n">
        <v>46276.47034722222</v>
      </c>
      <c r="H666" t="inlineStr">
        <is>
          <t>Delivered</t>
        </is>
      </c>
      <c r="I666" t="n">
        <v>4</v>
      </c>
      <c r="J666" t="n">
        <v>6</v>
      </c>
      <c r="K666" t="n">
        <v>752.11</v>
      </c>
      <c r="L666" t="n">
        <v>1.7</v>
      </c>
      <c r="M666" t="n">
        <v>2.6</v>
      </c>
      <c r="N666" t="n">
        <v>8.9</v>
      </c>
      <c r="O666" t="n">
        <v>4.8</v>
      </c>
      <c r="P666" t="n">
        <v>8.699999999999999</v>
      </c>
      <c r="Q666" t="n">
        <v>16.3</v>
      </c>
      <c r="R666" t="n">
        <v>7.6</v>
      </c>
      <c r="S666" t="b">
        <v>0</v>
      </c>
      <c r="U666" t="n">
        <v>11</v>
      </c>
      <c r="V666" t="b">
        <v>0</v>
      </c>
      <c r="W666" t="inlineStr">
        <is>
          <t>Light</t>
        </is>
      </c>
      <c r="X666" t="b">
        <v>0</v>
      </c>
      <c r="Y666" t="n">
        <v>0.07000000000000001</v>
      </c>
    </row>
    <row r="667">
      <c r="A667" t="inlineStr">
        <is>
          <t>O00666</t>
        </is>
      </c>
      <c r="B667" t="inlineStr">
        <is>
          <t>C0018</t>
        </is>
      </c>
      <c r="C667" t="inlineStr">
        <is>
          <t>S014</t>
        </is>
      </c>
      <c r="D667" t="inlineStr">
        <is>
          <t>R063</t>
        </is>
      </c>
      <c r="E667" s="3" t="n">
        <v>46269.34583333333</v>
      </c>
      <c r="F667" s="3" t="n">
        <v>46269.35333333333</v>
      </c>
      <c r="G667" s="3" t="n">
        <v>46269.35701388889</v>
      </c>
      <c r="H667" t="inlineStr">
        <is>
          <t>Delivered</t>
        </is>
      </c>
      <c r="I667" t="n">
        <v>4</v>
      </c>
      <c r="J667" t="n">
        <v>10</v>
      </c>
      <c r="K667" t="n">
        <v>1125.44</v>
      </c>
      <c r="L667" t="n">
        <v>1.44</v>
      </c>
      <c r="M667" t="n">
        <v>6.1</v>
      </c>
      <c r="N667" t="n">
        <v>3.4</v>
      </c>
      <c r="O667" t="n">
        <v>6.6</v>
      </c>
      <c r="P667" t="n">
        <v>10.8</v>
      </c>
      <c r="Q667" t="n">
        <v>16.1</v>
      </c>
      <c r="R667" t="n">
        <v>5.3</v>
      </c>
      <c r="S667" t="b">
        <v>0</v>
      </c>
      <c r="U667" t="n">
        <v>8</v>
      </c>
      <c r="V667" t="b">
        <v>0</v>
      </c>
      <c r="W667" t="inlineStr">
        <is>
          <t>Heavy</t>
        </is>
      </c>
      <c r="X667" t="b">
        <v>0</v>
      </c>
      <c r="Y667" t="n">
        <v>0.54</v>
      </c>
    </row>
    <row r="668">
      <c r="A668" t="inlineStr">
        <is>
          <t>O00667</t>
        </is>
      </c>
      <c r="B668" t="inlineStr">
        <is>
          <t>C0231</t>
        </is>
      </c>
      <c r="C668" t="inlineStr">
        <is>
          <t>S002</t>
        </is>
      </c>
      <c r="D668" t="inlineStr">
        <is>
          <t>R071</t>
        </is>
      </c>
      <c r="E668" s="3" t="n">
        <v>46266.89097222222</v>
      </c>
      <c r="F668" s="3" t="n">
        <v>46266.89840277778</v>
      </c>
      <c r="G668" s="3" t="n">
        <v>46266.90180555556</v>
      </c>
      <c r="H668" t="inlineStr">
        <is>
          <t>Delivered</t>
        </is>
      </c>
      <c r="I668" t="n">
        <v>3</v>
      </c>
      <c r="J668" t="n">
        <v>7</v>
      </c>
      <c r="K668" t="n">
        <v>992.04</v>
      </c>
      <c r="L668" t="n">
        <v>0.72</v>
      </c>
      <c r="M668" t="n">
        <v>3.3</v>
      </c>
      <c r="N668" t="n">
        <v>7.3</v>
      </c>
      <c r="O668" t="n">
        <v>5</v>
      </c>
      <c r="P668" t="n">
        <v>10.7</v>
      </c>
      <c r="Q668" t="n">
        <v>15.6</v>
      </c>
      <c r="R668" t="n">
        <v>4.9</v>
      </c>
      <c r="S668" t="b">
        <v>0</v>
      </c>
      <c r="U668" t="n">
        <v>21</v>
      </c>
      <c r="V668" t="b">
        <v>1</v>
      </c>
      <c r="W668" t="inlineStr">
        <is>
          <t>Heavy</t>
        </is>
      </c>
      <c r="X668" t="b">
        <v>0</v>
      </c>
      <c r="Y668" t="n">
        <v>0.5600000000000001</v>
      </c>
    </row>
    <row r="669">
      <c r="A669" t="inlineStr">
        <is>
          <t>O00668</t>
        </is>
      </c>
      <c r="B669" t="inlineStr">
        <is>
          <t>C0241</t>
        </is>
      </c>
      <c r="C669" t="inlineStr">
        <is>
          <t>S008</t>
        </is>
      </c>
      <c r="D669" t="inlineStr">
        <is>
          <t>R077</t>
        </is>
      </c>
      <c r="E669" s="3" t="n">
        <v>46276.77013888889</v>
      </c>
      <c r="F669" s="3" t="n">
        <v>46276.77798611111</v>
      </c>
      <c r="G669" s="3" t="n">
        <v>46276.77763888889</v>
      </c>
      <c r="H669" t="inlineStr">
        <is>
          <t>Delivered</t>
        </is>
      </c>
      <c r="I669" t="n">
        <v>2</v>
      </c>
      <c r="J669" t="n">
        <v>3</v>
      </c>
      <c r="K669" t="n">
        <v>1112.6</v>
      </c>
      <c r="L669" t="n">
        <v>2.75</v>
      </c>
      <c r="M669" t="n">
        <v>2.7</v>
      </c>
      <c r="N669" t="n">
        <v>3.5</v>
      </c>
      <c r="O669" t="n">
        <v>4.6</v>
      </c>
      <c r="P669" t="n">
        <v>11.3</v>
      </c>
      <c r="Q669" t="n">
        <v>10.8</v>
      </c>
      <c r="R669" t="n">
        <v>-0.5</v>
      </c>
      <c r="S669" t="b">
        <v>1</v>
      </c>
      <c r="U669" t="n">
        <v>18</v>
      </c>
      <c r="V669" t="b">
        <v>0</v>
      </c>
      <c r="X669" t="b">
        <v>0</v>
      </c>
      <c r="Y669" t="n">
        <v>0.29</v>
      </c>
    </row>
    <row r="670">
      <c r="A670" t="inlineStr">
        <is>
          <t>O00669</t>
        </is>
      </c>
      <c r="B670" t="inlineStr">
        <is>
          <t>C0191</t>
        </is>
      </c>
      <c r="C670" t="inlineStr">
        <is>
          <t>S004</t>
        </is>
      </c>
      <c r="D670" t="inlineStr">
        <is>
          <t>R007</t>
        </is>
      </c>
      <c r="E670" s="3" t="n">
        <v>46269.57569444444</v>
      </c>
      <c r="F670" s="3" t="n">
        <v>46269.58354166667</v>
      </c>
      <c r="G670" s="3" t="n">
        <v>46269.58145833333</v>
      </c>
      <c r="H670" t="inlineStr">
        <is>
          <t>Delivered</t>
        </is>
      </c>
      <c r="I670" t="n">
        <v>4</v>
      </c>
      <c r="J670" t="n">
        <v>5</v>
      </c>
      <c r="K670" t="n">
        <v>474.13</v>
      </c>
      <c r="L670" t="n">
        <v>0.5</v>
      </c>
      <c r="M670" t="n">
        <v>2.8</v>
      </c>
      <c r="N670" t="n">
        <v>2.9</v>
      </c>
      <c r="O670" t="n">
        <v>2.6</v>
      </c>
      <c r="P670" t="n">
        <v>11.3</v>
      </c>
      <c r="Q670" t="n">
        <v>8.300000000000001</v>
      </c>
      <c r="R670" t="n">
        <v>-3</v>
      </c>
      <c r="S670" t="b">
        <v>1</v>
      </c>
      <c r="U670" t="n">
        <v>13</v>
      </c>
      <c r="V670" t="b">
        <v>0</v>
      </c>
      <c r="W670" t="inlineStr">
        <is>
          <t>Light</t>
        </is>
      </c>
      <c r="X670" t="b">
        <v>0</v>
      </c>
      <c r="Y670" t="n">
        <v>0.22</v>
      </c>
    </row>
    <row r="671">
      <c r="A671" t="inlineStr">
        <is>
          <t>O00670</t>
        </is>
      </c>
      <c r="B671" t="inlineStr">
        <is>
          <t>C0073</t>
        </is>
      </c>
      <c r="C671" t="inlineStr">
        <is>
          <t>S013</t>
        </is>
      </c>
      <c r="D671" t="inlineStr">
        <is>
          <t>R041</t>
        </is>
      </c>
      <c r="E671" s="3" t="n">
        <v>46273.96319444444</v>
      </c>
      <c r="F671" s="3" t="n">
        <v>46273.96979166667</v>
      </c>
      <c r="G671" s="3" t="n">
        <v>46273.97854166666</v>
      </c>
      <c r="H671" t="inlineStr">
        <is>
          <t>Delivered</t>
        </is>
      </c>
      <c r="I671" t="n">
        <v>1</v>
      </c>
      <c r="J671" t="n">
        <v>5</v>
      </c>
      <c r="K671" t="n">
        <v>1269.49</v>
      </c>
      <c r="L671" t="n">
        <v>2.55</v>
      </c>
      <c r="M671" t="n">
        <v>6.7</v>
      </c>
      <c r="N671" t="n">
        <v>9</v>
      </c>
      <c r="O671" t="n">
        <v>6.5</v>
      </c>
      <c r="P671" t="n">
        <v>9.5</v>
      </c>
      <c r="Q671" t="n">
        <v>22.1</v>
      </c>
      <c r="R671" t="n">
        <v>12.6</v>
      </c>
      <c r="S671" t="b">
        <v>0</v>
      </c>
      <c r="U671" t="n">
        <v>23</v>
      </c>
      <c r="V671" t="b">
        <v>0</v>
      </c>
      <c r="X671" t="b">
        <v>0</v>
      </c>
      <c r="Y671" t="n">
        <v>0.44</v>
      </c>
    </row>
    <row r="672">
      <c r="A672" t="inlineStr">
        <is>
          <t>O00671</t>
        </is>
      </c>
      <c r="B672" t="inlineStr">
        <is>
          <t>C0026</t>
        </is>
      </c>
      <c r="C672" t="inlineStr">
        <is>
          <t>S020</t>
        </is>
      </c>
      <c r="D672" t="inlineStr">
        <is>
          <t>R053</t>
        </is>
      </c>
      <c r="E672" s="3" t="n">
        <v>46275.65138888889</v>
      </c>
      <c r="F672" s="3" t="n">
        <v>46275.65777777778</v>
      </c>
      <c r="G672" s="3" t="n">
        <v>46275.65694444445</v>
      </c>
      <c r="H672" t="inlineStr">
        <is>
          <t>Delivered</t>
        </is>
      </c>
      <c r="I672" t="n">
        <v>3</v>
      </c>
      <c r="J672" t="n">
        <v>11</v>
      </c>
      <c r="K672" t="n">
        <v>1263.34</v>
      </c>
      <c r="L672" t="n">
        <v>1.88</v>
      </c>
      <c r="M672" t="n">
        <v>3.1</v>
      </c>
      <c r="N672" t="n">
        <v>1.3</v>
      </c>
      <c r="O672" t="n">
        <v>3.6</v>
      </c>
      <c r="P672" t="n">
        <v>9.199999999999999</v>
      </c>
      <c r="Q672" t="n">
        <v>8</v>
      </c>
      <c r="R672" t="n">
        <v>-1.2</v>
      </c>
      <c r="S672" t="b">
        <v>1</v>
      </c>
      <c r="U672" t="n">
        <v>15</v>
      </c>
      <c r="V672" t="b">
        <v>0</v>
      </c>
      <c r="W672" t="inlineStr">
        <is>
          <t>Heavy</t>
        </is>
      </c>
      <c r="X672" t="b">
        <v>0</v>
      </c>
      <c r="Y672" t="n">
        <v>0.43</v>
      </c>
    </row>
    <row r="673">
      <c r="A673" t="inlineStr">
        <is>
          <t>O00672</t>
        </is>
      </c>
      <c r="B673" t="inlineStr">
        <is>
          <t>C0231</t>
        </is>
      </c>
      <c r="C673" t="inlineStr">
        <is>
          <t>S002</t>
        </is>
      </c>
      <c r="D673" t="inlineStr">
        <is>
          <t>R006</t>
        </is>
      </c>
      <c r="E673" s="3" t="n">
        <v>46267.80972222222</v>
      </c>
      <c r="F673" s="3" t="n">
        <v>46267.81673611111</v>
      </c>
      <c r="G673" s="3" t="n">
        <v>46267.81631944444</v>
      </c>
      <c r="H673" t="inlineStr">
        <is>
          <t>Delivered</t>
        </is>
      </c>
      <c r="I673" t="n">
        <v>3</v>
      </c>
      <c r="J673" t="n">
        <v>5</v>
      </c>
      <c r="K673" t="n">
        <v>994.79</v>
      </c>
      <c r="L673" t="n">
        <v>3.46</v>
      </c>
      <c r="M673" t="n">
        <v>1</v>
      </c>
      <c r="N673" t="n">
        <v>3.4</v>
      </c>
      <c r="O673" t="n">
        <v>5.1</v>
      </c>
      <c r="P673" t="n">
        <v>10.1</v>
      </c>
      <c r="Q673" t="n">
        <v>9.5</v>
      </c>
      <c r="R673" t="n">
        <v>-0.6</v>
      </c>
      <c r="S673" t="b">
        <v>1</v>
      </c>
      <c r="U673" t="n">
        <v>19</v>
      </c>
      <c r="V673" t="b">
        <v>1</v>
      </c>
      <c r="X673" t="b">
        <v>0</v>
      </c>
      <c r="Y673" t="n">
        <v>0.49</v>
      </c>
    </row>
    <row r="674">
      <c r="A674" t="inlineStr">
        <is>
          <t>O00673</t>
        </is>
      </c>
      <c r="B674" t="inlineStr">
        <is>
          <t>C0085</t>
        </is>
      </c>
      <c r="C674" t="inlineStr">
        <is>
          <t>S003</t>
        </is>
      </c>
      <c r="D674" t="inlineStr">
        <is>
          <t>R016</t>
        </is>
      </c>
      <c r="E674" s="3" t="n">
        <v>46275.61597222222</v>
      </c>
      <c r="F674" s="3" t="n">
        <v>46275.62340277778</v>
      </c>
      <c r="G674" s="3" t="n">
        <v>46275.62416666667</v>
      </c>
      <c r="H674" t="inlineStr">
        <is>
          <t>Delivered</t>
        </is>
      </c>
      <c r="I674" t="n">
        <v>5</v>
      </c>
      <c r="J674" t="n">
        <v>9</v>
      </c>
      <c r="K674" t="n">
        <v>616.48</v>
      </c>
      <c r="L674" t="n">
        <v>2.1</v>
      </c>
      <c r="M674" t="n">
        <v>4.7</v>
      </c>
      <c r="N674" t="n">
        <v>1</v>
      </c>
      <c r="O674" t="n">
        <v>6</v>
      </c>
      <c r="P674" t="n">
        <v>10.7</v>
      </c>
      <c r="Q674" t="n">
        <v>11.8</v>
      </c>
      <c r="R674" t="n">
        <v>1.1</v>
      </c>
      <c r="S674" t="b">
        <v>0</v>
      </c>
      <c r="U674" t="n">
        <v>14</v>
      </c>
      <c r="V674" t="b">
        <v>0</v>
      </c>
      <c r="X674" t="b">
        <v>0</v>
      </c>
      <c r="Y674" t="n">
        <v>0.45</v>
      </c>
    </row>
    <row r="675">
      <c r="A675" t="inlineStr">
        <is>
          <t>O00674</t>
        </is>
      </c>
      <c r="B675" t="inlineStr">
        <is>
          <t>C0143</t>
        </is>
      </c>
      <c r="C675" t="inlineStr">
        <is>
          <t>S006</t>
        </is>
      </c>
      <c r="D675" t="inlineStr">
        <is>
          <t>R028</t>
        </is>
      </c>
      <c r="E675" s="3" t="n">
        <v>46271.94444444445</v>
      </c>
      <c r="F675" s="3" t="n">
        <v>46271.95180555555</v>
      </c>
      <c r="G675" s="3" t="n">
        <v>46271.95118055555</v>
      </c>
      <c r="H675" t="inlineStr">
        <is>
          <t>Delivered</t>
        </is>
      </c>
      <c r="I675" t="n">
        <v>2</v>
      </c>
      <c r="J675" t="n">
        <v>7</v>
      </c>
      <c r="K675" t="n">
        <v>1551.13</v>
      </c>
      <c r="L675" t="n">
        <v>2.43</v>
      </c>
      <c r="M675" t="n">
        <v>2.9</v>
      </c>
      <c r="N675" t="n">
        <v>2.9</v>
      </c>
      <c r="O675" t="n">
        <v>3.9</v>
      </c>
      <c r="P675" t="n">
        <v>10.6</v>
      </c>
      <c r="Q675" t="n">
        <v>9.699999999999999</v>
      </c>
      <c r="R675" t="n">
        <v>-0.9</v>
      </c>
      <c r="S675" t="b">
        <v>1</v>
      </c>
      <c r="U675" t="n">
        <v>22</v>
      </c>
      <c r="V675" t="b">
        <v>0</v>
      </c>
      <c r="W675" t="inlineStr">
        <is>
          <t>Heavy</t>
        </is>
      </c>
      <c r="X675" t="b">
        <v>0</v>
      </c>
      <c r="Y675" t="n">
        <v>0.57</v>
      </c>
    </row>
    <row r="676">
      <c r="A676" t="inlineStr">
        <is>
          <t>O00675</t>
        </is>
      </c>
      <c r="B676" t="inlineStr">
        <is>
          <t>C0028</t>
        </is>
      </c>
      <c r="C676" t="inlineStr">
        <is>
          <t>S019</t>
        </is>
      </c>
      <c r="D676" t="inlineStr">
        <is>
          <t>R058</t>
        </is>
      </c>
      <c r="E676" s="3" t="n">
        <v>46266.59444444445</v>
      </c>
      <c r="F676" s="3" t="n">
        <v>46266.60180555555</v>
      </c>
      <c r="G676" s="3" t="n">
        <v>46266.60680555556</v>
      </c>
      <c r="H676" t="inlineStr">
        <is>
          <t>Delivered</t>
        </is>
      </c>
      <c r="I676" t="n">
        <v>1</v>
      </c>
      <c r="J676" t="n">
        <v>4</v>
      </c>
      <c r="K676" t="n">
        <v>1231.76</v>
      </c>
      <c r="L676" t="n">
        <v>2.18</v>
      </c>
      <c r="M676" t="n">
        <v>5.4</v>
      </c>
      <c r="N676" t="n">
        <v>5.1</v>
      </c>
      <c r="O676" t="n">
        <v>7.3</v>
      </c>
      <c r="P676" t="n">
        <v>10.6</v>
      </c>
      <c r="Q676" t="n">
        <v>17.8</v>
      </c>
      <c r="R676" t="n">
        <v>7.2</v>
      </c>
      <c r="S676" t="b">
        <v>0</v>
      </c>
      <c r="U676" t="n">
        <v>14</v>
      </c>
      <c r="V676" t="b">
        <v>0</v>
      </c>
      <c r="W676" t="inlineStr">
        <is>
          <t>Light</t>
        </is>
      </c>
      <c r="X676" t="b">
        <v>0</v>
      </c>
      <c r="Y676" t="n">
        <v>0.6899999999999999</v>
      </c>
    </row>
    <row r="677">
      <c r="A677" t="inlineStr">
        <is>
          <t>O00676</t>
        </is>
      </c>
      <c r="B677" t="inlineStr">
        <is>
          <t>C0010</t>
        </is>
      </c>
      <c r="C677" t="inlineStr">
        <is>
          <t>S007</t>
        </is>
      </c>
      <c r="D677" t="inlineStr">
        <is>
          <t>R007</t>
        </is>
      </c>
      <c r="E677" s="3" t="n">
        <v>46269.93472222222</v>
      </c>
      <c r="F677" s="3" t="n">
        <v>46269.94229166667</v>
      </c>
      <c r="G677" s="3" t="n">
        <v>46269.94173611111</v>
      </c>
      <c r="H677" t="inlineStr">
        <is>
          <t>Delivered</t>
        </is>
      </c>
      <c r="I677" t="n">
        <v>2</v>
      </c>
      <c r="J677" t="n">
        <v>9</v>
      </c>
      <c r="K677" t="n">
        <v>1575.89</v>
      </c>
      <c r="L677" t="n">
        <v>2</v>
      </c>
      <c r="M677" t="n">
        <v>3.6</v>
      </c>
      <c r="N677" t="n">
        <v>1.7</v>
      </c>
      <c r="O677" t="n">
        <v>4.8</v>
      </c>
      <c r="P677" t="n">
        <v>10.9</v>
      </c>
      <c r="Q677" t="n">
        <v>10.1</v>
      </c>
      <c r="R677" t="n">
        <v>-0.8</v>
      </c>
      <c r="S677" t="b">
        <v>1</v>
      </c>
      <c r="U677" t="n">
        <v>22</v>
      </c>
      <c r="V677" t="b">
        <v>0</v>
      </c>
      <c r="X677" t="b">
        <v>0</v>
      </c>
      <c r="Y677" t="n">
        <v>0.66</v>
      </c>
    </row>
    <row r="678">
      <c r="A678" t="inlineStr">
        <is>
          <t>O00677</t>
        </is>
      </c>
      <c r="B678" t="inlineStr">
        <is>
          <t>C0240</t>
        </is>
      </c>
      <c r="C678" t="inlineStr">
        <is>
          <t>S010</t>
        </is>
      </c>
      <c r="D678" t="inlineStr">
        <is>
          <t>R075</t>
        </is>
      </c>
      <c r="E678" s="3" t="n">
        <v>46269.95902777778</v>
      </c>
      <c r="F678" s="3" t="n">
        <v>46269.96722222222</v>
      </c>
      <c r="G678" s="3" t="n">
        <v>46269.96708333334</v>
      </c>
      <c r="H678" t="inlineStr">
        <is>
          <t>Delivered</t>
        </is>
      </c>
      <c r="I678" t="n">
        <v>1</v>
      </c>
      <c r="J678" t="n">
        <v>8</v>
      </c>
      <c r="K678" t="n">
        <v>1307.41</v>
      </c>
      <c r="L678" t="n">
        <v>3.04</v>
      </c>
      <c r="M678" t="n">
        <v>3.9</v>
      </c>
      <c r="N678" t="n">
        <v>2.5</v>
      </c>
      <c r="O678" t="n">
        <v>5.2</v>
      </c>
      <c r="P678" t="n">
        <v>11.8</v>
      </c>
      <c r="Q678" t="n">
        <v>11.6</v>
      </c>
      <c r="R678" t="n">
        <v>-0.2</v>
      </c>
      <c r="S678" t="b">
        <v>1</v>
      </c>
      <c r="U678" t="n">
        <v>23</v>
      </c>
      <c r="V678" t="b">
        <v>0</v>
      </c>
      <c r="W678" t="inlineStr">
        <is>
          <t>Light</t>
        </is>
      </c>
      <c r="X678" t="b">
        <v>0</v>
      </c>
      <c r="Y678" t="n">
        <v>0.58</v>
      </c>
    </row>
    <row r="679">
      <c r="A679" t="inlineStr">
        <is>
          <t>O00678</t>
        </is>
      </c>
      <c r="B679" t="inlineStr">
        <is>
          <t>C0121</t>
        </is>
      </c>
      <c r="C679" t="inlineStr">
        <is>
          <t>S014</t>
        </is>
      </c>
      <c r="D679" t="inlineStr">
        <is>
          <t>R042</t>
        </is>
      </c>
      <c r="E679" s="3" t="n">
        <v>46268.72083333333</v>
      </c>
      <c r="F679" s="3" t="n">
        <v>46268.72854166666</v>
      </c>
      <c r="G679" s="3" t="n">
        <v>46268.72833333333</v>
      </c>
      <c r="H679" t="inlineStr">
        <is>
          <t>Delivered</t>
        </is>
      </c>
      <c r="I679" t="n">
        <v>2</v>
      </c>
      <c r="J679" t="n">
        <v>9</v>
      </c>
      <c r="K679" t="n">
        <v>186.65</v>
      </c>
      <c r="L679" t="n">
        <v>3.26</v>
      </c>
      <c r="M679" t="n">
        <v>4.3</v>
      </c>
      <c r="N679" t="n">
        <v>0.9</v>
      </c>
      <c r="O679" t="n">
        <v>5.6</v>
      </c>
      <c r="P679" t="n">
        <v>11.1</v>
      </c>
      <c r="Q679" t="n">
        <v>10.8</v>
      </c>
      <c r="R679" t="n">
        <v>-0.3</v>
      </c>
      <c r="S679" t="b">
        <v>1</v>
      </c>
      <c r="U679" t="n">
        <v>17</v>
      </c>
      <c r="V679" t="b">
        <v>0</v>
      </c>
      <c r="X679" t="b">
        <v>0</v>
      </c>
      <c r="Y679" t="n">
        <v>0.42</v>
      </c>
    </row>
    <row r="680">
      <c r="A680" t="inlineStr">
        <is>
          <t>O00679</t>
        </is>
      </c>
      <c r="B680" t="inlineStr">
        <is>
          <t>C0218</t>
        </is>
      </c>
      <c r="C680" t="inlineStr">
        <is>
          <t>S003</t>
        </is>
      </c>
      <c r="D680" t="inlineStr">
        <is>
          <t>R044</t>
        </is>
      </c>
      <c r="E680" s="3" t="n">
        <v>46266.51527777778</v>
      </c>
      <c r="F680" s="3" t="n">
        <v>46266.52291666667</v>
      </c>
      <c r="G680" s="3" t="n">
        <v>46266.52270833333</v>
      </c>
      <c r="H680" t="inlineStr">
        <is>
          <t>Delivered</t>
        </is>
      </c>
      <c r="I680" t="n">
        <v>2</v>
      </c>
      <c r="J680" t="n">
        <v>5</v>
      </c>
      <c r="K680" t="n">
        <v>1449.84</v>
      </c>
      <c r="L680" t="n">
        <v>2.1</v>
      </c>
      <c r="M680" t="n">
        <v>3.1</v>
      </c>
      <c r="N680" t="n">
        <v>3</v>
      </c>
      <c r="O680" t="n">
        <v>4.6</v>
      </c>
      <c r="P680" t="n">
        <v>11</v>
      </c>
      <c r="Q680" t="n">
        <v>10.7</v>
      </c>
      <c r="R680" t="n">
        <v>-0.3</v>
      </c>
      <c r="S680" t="b">
        <v>1</v>
      </c>
      <c r="U680" t="n">
        <v>12</v>
      </c>
      <c r="V680" t="b">
        <v>0</v>
      </c>
      <c r="X680" t="b">
        <v>0</v>
      </c>
      <c r="Y680" t="n">
        <v>0.63</v>
      </c>
    </row>
    <row r="681">
      <c r="A681" t="inlineStr">
        <is>
          <t>O00680</t>
        </is>
      </c>
      <c r="B681" t="inlineStr">
        <is>
          <t>C0231</t>
        </is>
      </c>
      <c r="C681" t="inlineStr">
        <is>
          <t>S002</t>
        </is>
      </c>
      <c r="D681" t="inlineStr">
        <is>
          <t>R009</t>
        </is>
      </c>
      <c r="E681" s="3" t="n">
        <v>46276.37291666667</v>
      </c>
      <c r="F681" s="3" t="n">
        <v>46276.38083333334</v>
      </c>
      <c r="G681" s="3" t="n">
        <v>46276.37951388889</v>
      </c>
      <c r="H681" t="inlineStr">
        <is>
          <t>Delivered</t>
        </is>
      </c>
      <c r="I681" t="n">
        <v>2</v>
      </c>
      <c r="J681" t="n">
        <v>3</v>
      </c>
      <c r="K681" t="n">
        <v>355.79</v>
      </c>
      <c r="L681" t="n">
        <v>2.72</v>
      </c>
      <c r="M681" t="n">
        <v>3</v>
      </c>
      <c r="N681" t="n">
        <v>0.4</v>
      </c>
      <c r="O681" t="n">
        <v>6.1</v>
      </c>
      <c r="P681" t="n">
        <v>11.4</v>
      </c>
      <c r="Q681" t="n">
        <v>9.5</v>
      </c>
      <c r="R681" t="n">
        <v>-1.9</v>
      </c>
      <c r="S681" t="b">
        <v>1</v>
      </c>
      <c r="U681" t="n">
        <v>8</v>
      </c>
      <c r="V681" t="b">
        <v>0</v>
      </c>
      <c r="X681" t="b">
        <v>0</v>
      </c>
      <c r="Y681" t="n">
        <v>0.27</v>
      </c>
    </row>
    <row r="682">
      <c r="A682" t="inlineStr">
        <is>
          <t>O00681</t>
        </is>
      </c>
      <c r="B682" t="inlineStr">
        <is>
          <t>C0023</t>
        </is>
      </c>
      <c r="C682" t="inlineStr">
        <is>
          <t>S004</t>
        </is>
      </c>
      <c r="D682" t="inlineStr">
        <is>
          <t>R064</t>
        </is>
      </c>
      <c r="E682" s="3" t="n">
        <v>46271.8875</v>
      </c>
      <c r="F682" s="3" t="n">
        <v>46271.89534722222</v>
      </c>
      <c r="G682" s="3" t="n">
        <v>46271.89513888889</v>
      </c>
      <c r="H682" t="inlineStr">
        <is>
          <t>Delivered</t>
        </is>
      </c>
      <c r="I682" t="n">
        <v>4</v>
      </c>
      <c r="J682" t="n">
        <v>7</v>
      </c>
      <c r="K682" t="n">
        <v>1126.42</v>
      </c>
      <c r="L682" t="n">
        <v>3.3</v>
      </c>
      <c r="M682" t="n">
        <v>1.7</v>
      </c>
      <c r="N682" t="n">
        <v>3.2</v>
      </c>
      <c r="O682" t="n">
        <v>6.1</v>
      </c>
      <c r="P682" t="n">
        <v>11.3</v>
      </c>
      <c r="Q682" t="n">
        <v>11</v>
      </c>
      <c r="R682" t="n">
        <v>-0.3</v>
      </c>
      <c r="S682" t="b">
        <v>1</v>
      </c>
      <c r="U682" t="n">
        <v>21</v>
      </c>
      <c r="V682" t="b">
        <v>1</v>
      </c>
      <c r="X682" t="b">
        <v>0</v>
      </c>
      <c r="Y682" t="n">
        <v>0.63</v>
      </c>
    </row>
    <row r="683">
      <c r="A683" t="inlineStr">
        <is>
          <t>O00682</t>
        </is>
      </c>
      <c r="B683" t="inlineStr">
        <is>
          <t>C0244</t>
        </is>
      </c>
      <c r="C683" t="inlineStr">
        <is>
          <t>S020</t>
        </is>
      </c>
      <c r="D683" t="inlineStr">
        <is>
          <t>R079</t>
        </is>
      </c>
      <c r="E683" s="3" t="n">
        <v>46271.50763888889</v>
      </c>
      <c r="F683" s="3" t="n">
        <v>46271.51506944445</v>
      </c>
      <c r="G683" s="3" t="n">
        <v>46271.514375</v>
      </c>
      <c r="H683" t="inlineStr">
        <is>
          <t>Delivered</t>
        </is>
      </c>
      <c r="I683" t="n">
        <v>4</v>
      </c>
      <c r="J683" t="n">
        <v>4</v>
      </c>
      <c r="K683" t="n">
        <v>460.4</v>
      </c>
      <c r="L683" t="n">
        <v>1.18</v>
      </c>
      <c r="M683" t="n">
        <v>3.9</v>
      </c>
      <c r="N683" t="n">
        <v>3.4</v>
      </c>
      <c r="O683" t="n">
        <v>2.4</v>
      </c>
      <c r="P683" t="n">
        <v>10.7</v>
      </c>
      <c r="Q683" t="n">
        <v>9.699999999999999</v>
      </c>
      <c r="R683" t="n">
        <v>-1</v>
      </c>
      <c r="S683" t="b">
        <v>1</v>
      </c>
      <c r="U683" t="n">
        <v>12</v>
      </c>
      <c r="V683" t="b">
        <v>0</v>
      </c>
      <c r="X683" t="b">
        <v>0</v>
      </c>
      <c r="Y683" t="n">
        <v>0.3</v>
      </c>
    </row>
    <row r="684">
      <c r="A684" t="inlineStr">
        <is>
          <t>O00683</t>
        </is>
      </c>
      <c r="B684" t="inlineStr">
        <is>
          <t>C0150</t>
        </is>
      </c>
      <c r="C684" t="inlineStr">
        <is>
          <t>S005</t>
        </is>
      </c>
      <c r="D684" t="inlineStr">
        <is>
          <t>R004</t>
        </is>
      </c>
      <c r="E684" s="3" t="n">
        <v>46270.35902777778</v>
      </c>
      <c r="F684" s="3" t="n">
        <v>46270.36604166667</v>
      </c>
      <c r="G684" s="3" t="n">
        <v>46270.37388888889</v>
      </c>
      <c r="H684" t="inlineStr">
        <is>
          <t>Delivered</t>
        </is>
      </c>
      <c r="I684" t="n">
        <v>4</v>
      </c>
      <c r="J684" t="n">
        <v>7</v>
      </c>
      <c r="K684" t="n">
        <v>1640.38</v>
      </c>
      <c r="L684" t="n">
        <v>3.31</v>
      </c>
      <c r="M684" t="n">
        <v>6.2</v>
      </c>
      <c r="N684" t="n">
        <v>5.4</v>
      </c>
      <c r="O684" t="n">
        <v>9.800000000000001</v>
      </c>
      <c r="P684" t="n">
        <v>10.1</v>
      </c>
      <c r="Q684" t="n">
        <v>21.4</v>
      </c>
      <c r="R684" t="n">
        <v>11.3</v>
      </c>
      <c r="S684" t="b">
        <v>0</v>
      </c>
      <c r="U684" t="n">
        <v>8</v>
      </c>
      <c r="V684" t="b">
        <v>0</v>
      </c>
      <c r="W684" t="inlineStr">
        <is>
          <t>Heavy</t>
        </is>
      </c>
      <c r="X684" t="b">
        <v>0</v>
      </c>
      <c r="Y684" t="n">
        <v>0.43</v>
      </c>
    </row>
    <row r="685">
      <c r="A685" t="inlineStr">
        <is>
          <t>O00684</t>
        </is>
      </c>
      <c r="B685" t="inlineStr">
        <is>
          <t>C0164</t>
        </is>
      </c>
      <c r="C685" t="inlineStr">
        <is>
          <t>S017</t>
        </is>
      </c>
      <c r="D685" t="inlineStr">
        <is>
          <t>R036</t>
        </is>
      </c>
      <c r="E685" s="3" t="n">
        <v>46275.45555555556</v>
      </c>
      <c r="F685" s="3" t="n">
        <v>46275.46270833333</v>
      </c>
      <c r="G685" s="3" t="n">
        <v>46275.46229166666</v>
      </c>
      <c r="H685" t="inlineStr">
        <is>
          <t>Delivered</t>
        </is>
      </c>
      <c r="I685" t="n">
        <v>5</v>
      </c>
      <c r="J685" t="n">
        <v>6</v>
      </c>
      <c r="K685" t="n">
        <v>1326.06</v>
      </c>
      <c r="L685" t="n">
        <v>1.95</v>
      </c>
      <c r="M685" t="n">
        <v>2.2</v>
      </c>
      <c r="N685" t="n">
        <v>3.4</v>
      </c>
      <c r="O685" t="n">
        <v>4.1</v>
      </c>
      <c r="P685" t="n">
        <v>10.3</v>
      </c>
      <c r="Q685" t="n">
        <v>9.699999999999999</v>
      </c>
      <c r="R685" t="n">
        <v>-0.6</v>
      </c>
      <c r="S685" t="b">
        <v>1</v>
      </c>
      <c r="U685" t="n">
        <v>10</v>
      </c>
      <c r="V685" t="b">
        <v>0</v>
      </c>
      <c r="X685" t="b">
        <v>0</v>
      </c>
      <c r="Y685" t="n">
        <v>0.39</v>
      </c>
    </row>
    <row r="686">
      <c r="A686" t="inlineStr">
        <is>
          <t>O00685</t>
        </is>
      </c>
      <c r="B686" t="inlineStr">
        <is>
          <t>C0110</t>
        </is>
      </c>
      <c r="C686" t="inlineStr">
        <is>
          <t>S016</t>
        </is>
      </c>
      <c r="D686" t="inlineStr">
        <is>
          <t>R048</t>
        </is>
      </c>
      <c r="E686" s="3" t="n">
        <v>46278.63333333333</v>
      </c>
      <c r="F686" s="3" t="n">
        <v>46278.64090277778</v>
      </c>
      <c r="G686" s="3" t="n">
        <v>46278.64034722222</v>
      </c>
      <c r="H686" t="inlineStr">
        <is>
          <t>Delivered</t>
        </is>
      </c>
      <c r="I686" t="n">
        <v>4</v>
      </c>
      <c r="J686" t="n">
        <v>14</v>
      </c>
      <c r="K686" t="n">
        <v>1330.28</v>
      </c>
      <c r="L686" t="n">
        <v>2.6</v>
      </c>
      <c r="M686" t="n">
        <v>3.8</v>
      </c>
      <c r="N686" t="n">
        <v>2.5</v>
      </c>
      <c r="O686" t="n">
        <v>3.8</v>
      </c>
      <c r="P686" t="n">
        <v>10.9</v>
      </c>
      <c r="Q686" t="n">
        <v>10.1</v>
      </c>
      <c r="R686" t="n">
        <v>-0.8</v>
      </c>
      <c r="S686" t="b">
        <v>1</v>
      </c>
      <c r="U686" t="n">
        <v>15</v>
      </c>
      <c r="V686" t="b">
        <v>0</v>
      </c>
      <c r="X686" t="b">
        <v>0</v>
      </c>
      <c r="Y686" t="n">
        <v>0.46</v>
      </c>
    </row>
    <row r="687">
      <c r="A687" t="inlineStr">
        <is>
          <t>O00686</t>
        </is>
      </c>
      <c r="B687" t="inlineStr">
        <is>
          <t>C0164</t>
        </is>
      </c>
      <c r="C687" t="inlineStr">
        <is>
          <t>S007</t>
        </is>
      </c>
      <c r="D687" t="inlineStr">
        <is>
          <t>R007</t>
        </is>
      </c>
      <c r="E687" s="3" t="n">
        <v>46277.53194444445</v>
      </c>
      <c r="F687" s="3" t="n">
        <v>46277.53888888889</v>
      </c>
      <c r="G687" s="3" t="n">
        <v>46277.53888888889</v>
      </c>
      <c r="H687" t="inlineStr">
        <is>
          <t>Delivered</t>
        </is>
      </c>
      <c r="I687" t="n">
        <v>6</v>
      </c>
      <c r="J687" t="n">
        <v>6</v>
      </c>
      <c r="K687" t="n">
        <v>960.09</v>
      </c>
      <c r="L687" t="n">
        <v>0.5</v>
      </c>
      <c r="M687" t="n">
        <v>3.4</v>
      </c>
      <c r="N687" t="n">
        <v>3.5</v>
      </c>
      <c r="O687" t="n">
        <v>3.1</v>
      </c>
      <c r="P687" t="n">
        <v>10</v>
      </c>
      <c r="Q687" t="n">
        <v>10</v>
      </c>
      <c r="R687" t="n">
        <v>0</v>
      </c>
      <c r="S687" t="b">
        <v>1</v>
      </c>
      <c r="U687" t="n">
        <v>12</v>
      </c>
      <c r="V687" t="b">
        <v>0</v>
      </c>
      <c r="X687" t="b">
        <v>1</v>
      </c>
      <c r="Y687" t="n">
        <v>0.68</v>
      </c>
    </row>
    <row r="688">
      <c r="A688" t="inlineStr">
        <is>
          <t>O00687</t>
        </is>
      </c>
      <c r="B688" t="inlineStr">
        <is>
          <t>C0127</t>
        </is>
      </c>
      <c r="C688" t="inlineStr">
        <is>
          <t>S005</t>
        </is>
      </c>
      <c r="D688" t="inlineStr">
        <is>
          <t>R071</t>
        </is>
      </c>
      <c r="E688" s="3" t="n">
        <v>46275.82291666666</v>
      </c>
      <c r="F688" s="3" t="n">
        <v>46275.83041666666</v>
      </c>
      <c r="G688" s="3" t="n">
        <v>46275.82972222222</v>
      </c>
      <c r="H688" t="inlineStr">
        <is>
          <t>Delivered</t>
        </is>
      </c>
      <c r="I688" t="n">
        <v>6</v>
      </c>
      <c r="J688" t="n">
        <v>9</v>
      </c>
      <c r="K688" t="n">
        <v>1628.02</v>
      </c>
      <c r="L688" t="n">
        <v>0.84</v>
      </c>
      <c r="M688" t="n">
        <v>2.4</v>
      </c>
      <c r="N688" t="n">
        <v>5</v>
      </c>
      <c r="O688" t="n">
        <v>2.4</v>
      </c>
      <c r="P688" t="n">
        <v>10.8</v>
      </c>
      <c r="Q688" t="n">
        <v>9.800000000000001</v>
      </c>
      <c r="R688" t="n">
        <v>-1</v>
      </c>
      <c r="S688" t="b">
        <v>1</v>
      </c>
      <c r="U688" t="n">
        <v>19</v>
      </c>
      <c r="V688" t="b">
        <v>1</v>
      </c>
      <c r="X688" t="b">
        <v>0</v>
      </c>
      <c r="Y688" t="n">
        <v>0.65</v>
      </c>
    </row>
    <row r="689">
      <c r="A689" t="inlineStr">
        <is>
          <t>O00688</t>
        </is>
      </c>
      <c r="B689" t="inlineStr">
        <is>
          <t>C0196</t>
        </is>
      </c>
      <c r="C689" t="inlineStr">
        <is>
          <t>S011</t>
        </is>
      </c>
      <c r="D689" t="inlineStr">
        <is>
          <t>R035</t>
        </is>
      </c>
      <c r="E689" s="3" t="n">
        <v>46277.34930555556</v>
      </c>
      <c r="F689" s="3" t="n">
        <v>46277.35590277778</v>
      </c>
      <c r="G689" s="3" t="n">
        <v>46277.35534722222</v>
      </c>
      <c r="H689" t="inlineStr">
        <is>
          <t>Delivered</t>
        </is>
      </c>
      <c r="I689" t="n">
        <v>1</v>
      </c>
      <c r="J689" t="n">
        <v>4</v>
      </c>
      <c r="K689" t="n">
        <v>1134.63</v>
      </c>
      <c r="L689" t="n">
        <v>1.4</v>
      </c>
      <c r="M689" t="n">
        <v>3.6</v>
      </c>
      <c r="N689" t="n">
        <v>3.4</v>
      </c>
      <c r="O689" t="n">
        <v>1.7</v>
      </c>
      <c r="P689" t="n">
        <v>9.5</v>
      </c>
      <c r="Q689" t="n">
        <v>8.699999999999999</v>
      </c>
      <c r="R689" t="n">
        <v>-0.8</v>
      </c>
      <c r="S689" t="b">
        <v>1</v>
      </c>
      <c r="U689" t="n">
        <v>8</v>
      </c>
      <c r="V689" t="b">
        <v>0</v>
      </c>
      <c r="X689" t="b">
        <v>0</v>
      </c>
      <c r="Y689" t="n">
        <v>0.27</v>
      </c>
    </row>
    <row r="690">
      <c r="A690" t="inlineStr">
        <is>
          <t>O00689</t>
        </is>
      </c>
      <c r="B690" t="inlineStr">
        <is>
          <t>C0061</t>
        </is>
      </c>
      <c r="C690" t="inlineStr">
        <is>
          <t>S005</t>
        </is>
      </c>
      <c r="D690" t="inlineStr">
        <is>
          <t>R068</t>
        </is>
      </c>
      <c r="E690" s="3" t="n">
        <v>46276.84791666667</v>
      </c>
      <c r="F690" s="3" t="n">
        <v>46276.85402777778</v>
      </c>
      <c r="G690" s="3" t="n">
        <v>46276.86340277778</v>
      </c>
      <c r="H690" t="inlineStr">
        <is>
          <t>Delivered</t>
        </is>
      </c>
      <c r="I690" t="n">
        <v>1</v>
      </c>
      <c r="J690" t="n">
        <v>4</v>
      </c>
      <c r="K690" t="n">
        <v>1191.03</v>
      </c>
      <c r="L690" t="n">
        <v>2.17</v>
      </c>
      <c r="M690" t="n">
        <v>7</v>
      </c>
      <c r="N690" t="n">
        <v>7</v>
      </c>
      <c r="O690" t="n">
        <v>8.300000000000001</v>
      </c>
      <c r="P690" t="n">
        <v>8.800000000000001</v>
      </c>
      <c r="Q690" t="n">
        <v>22.3</v>
      </c>
      <c r="R690" t="n">
        <v>13.5</v>
      </c>
      <c r="S690" t="b">
        <v>0</v>
      </c>
      <c r="U690" t="n">
        <v>20</v>
      </c>
      <c r="V690" t="b">
        <v>1</v>
      </c>
      <c r="W690" t="inlineStr">
        <is>
          <t>Heavy</t>
        </is>
      </c>
      <c r="X690" t="b">
        <v>0</v>
      </c>
      <c r="Y690" t="n">
        <v>0.76</v>
      </c>
    </row>
    <row r="691">
      <c r="A691" t="inlineStr">
        <is>
          <t>O00690</t>
        </is>
      </c>
      <c r="B691" t="inlineStr">
        <is>
          <t>C0062</t>
        </is>
      </c>
      <c r="C691" t="inlineStr">
        <is>
          <t>S020</t>
        </is>
      </c>
      <c r="D691" t="inlineStr">
        <is>
          <t>R012</t>
        </is>
      </c>
      <c r="E691" s="3" t="n">
        <v>46277.60555555556</v>
      </c>
      <c r="F691" s="3" t="n">
        <v>46277.613125</v>
      </c>
      <c r="G691" s="3" t="n">
        <v>46277.61236111111</v>
      </c>
      <c r="H691" t="inlineStr">
        <is>
          <t>Delivered</t>
        </is>
      </c>
      <c r="I691" t="n">
        <v>4</v>
      </c>
      <c r="J691" t="n">
        <v>4</v>
      </c>
      <c r="K691" t="n">
        <v>1238.34</v>
      </c>
      <c r="L691" t="n">
        <v>0.63</v>
      </c>
      <c r="M691" t="n">
        <v>4</v>
      </c>
      <c r="N691" t="n">
        <v>3.9</v>
      </c>
      <c r="O691" t="n">
        <v>1.9</v>
      </c>
      <c r="P691" t="n">
        <v>10.9</v>
      </c>
      <c r="Q691" t="n">
        <v>9.800000000000001</v>
      </c>
      <c r="R691" t="n">
        <v>-1.1</v>
      </c>
      <c r="S691" t="b">
        <v>1</v>
      </c>
      <c r="U691" t="n">
        <v>14</v>
      </c>
      <c r="V691" t="b">
        <v>0</v>
      </c>
      <c r="X691" t="b">
        <v>0</v>
      </c>
      <c r="Y691" t="n">
        <v>0.58</v>
      </c>
    </row>
    <row r="692">
      <c r="A692" t="inlineStr">
        <is>
          <t>O00691</t>
        </is>
      </c>
      <c r="B692" t="inlineStr">
        <is>
          <t>C0176</t>
        </is>
      </c>
      <c r="C692" t="inlineStr">
        <is>
          <t>S015</t>
        </is>
      </c>
      <c r="D692" t="inlineStr">
        <is>
          <t>R034</t>
        </is>
      </c>
      <c r="E692" s="3" t="n">
        <v>46267.46180555555</v>
      </c>
      <c r="F692" s="3" t="n">
        <v>46267.46902777778</v>
      </c>
      <c r="G692" s="3" t="n">
        <v>46267.47159722223</v>
      </c>
      <c r="H692" t="inlineStr">
        <is>
          <t>Delivered</t>
        </is>
      </c>
      <c r="I692" t="n">
        <v>3</v>
      </c>
      <c r="J692" t="n">
        <v>8</v>
      </c>
      <c r="K692" t="n">
        <v>1294.1</v>
      </c>
      <c r="L692" t="n">
        <v>0.84</v>
      </c>
      <c r="M692" t="n">
        <v>5.5</v>
      </c>
      <c r="N692" t="n">
        <v>6.6</v>
      </c>
      <c r="O692" t="n">
        <v>2</v>
      </c>
      <c r="P692" t="n">
        <v>10.4</v>
      </c>
      <c r="Q692" t="n">
        <v>14.1</v>
      </c>
      <c r="R692" t="n">
        <v>3.7</v>
      </c>
      <c r="S692" t="b">
        <v>0</v>
      </c>
      <c r="U692" t="n">
        <v>11</v>
      </c>
      <c r="V692" t="b">
        <v>0</v>
      </c>
      <c r="X692" t="b">
        <v>0</v>
      </c>
      <c r="Y692" t="n">
        <v>0.08</v>
      </c>
    </row>
    <row r="693">
      <c r="A693" t="inlineStr">
        <is>
          <t>O00692</t>
        </is>
      </c>
      <c r="B693" t="inlineStr">
        <is>
          <t>C0124</t>
        </is>
      </c>
      <c r="C693" t="inlineStr">
        <is>
          <t>S019</t>
        </is>
      </c>
      <c r="D693" t="inlineStr">
        <is>
          <t>R075</t>
        </is>
      </c>
      <c r="E693" s="3" t="n">
        <v>46271.43194444444</v>
      </c>
      <c r="F693" s="3" t="n">
        <v>46271.43951388889</v>
      </c>
      <c r="G693" s="3" t="n">
        <v>46271.44402777778</v>
      </c>
      <c r="H693" t="inlineStr">
        <is>
          <t>Delivered</t>
        </is>
      </c>
      <c r="I693" t="n">
        <v>1</v>
      </c>
      <c r="J693" t="n">
        <v>6</v>
      </c>
      <c r="K693" t="n">
        <v>1054.96</v>
      </c>
      <c r="L693" t="n">
        <v>2.5</v>
      </c>
      <c r="M693" t="n">
        <v>4.5</v>
      </c>
      <c r="N693" t="n">
        <v>5.9</v>
      </c>
      <c r="O693" t="n">
        <v>7.1</v>
      </c>
      <c r="P693" t="n">
        <v>10.9</v>
      </c>
      <c r="Q693" t="n">
        <v>17.4</v>
      </c>
      <c r="R693" t="n">
        <v>6.5</v>
      </c>
      <c r="S693" t="b">
        <v>0</v>
      </c>
      <c r="U693" t="n">
        <v>10</v>
      </c>
      <c r="V693" t="b">
        <v>0</v>
      </c>
      <c r="W693" t="inlineStr">
        <is>
          <t>Light</t>
        </is>
      </c>
      <c r="X693" t="b">
        <v>0</v>
      </c>
      <c r="Y693" t="n">
        <v>0.6</v>
      </c>
    </row>
    <row r="694">
      <c r="A694" t="inlineStr">
        <is>
          <t>O00693</t>
        </is>
      </c>
      <c r="B694" t="inlineStr">
        <is>
          <t>C0035</t>
        </is>
      </c>
      <c r="C694" t="inlineStr">
        <is>
          <t>S010</t>
        </is>
      </c>
      <c r="D694" t="inlineStr">
        <is>
          <t>R076</t>
        </is>
      </c>
      <c r="E694" s="3" t="n">
        <v>46271.88333333333</v>
      </c>
      <c r="F694" s="3" t="n">
        <v>46271.89</v>
      </c>
      <c r="G694" s="3" t="n">
        <v>46271.88979166667</v>
      </c>
      <c r="H694" t="inlineStr">
        <is>
          <t>Delivered</t>
        </is>
      </c>
      <c r="I694" t="n">
        <v>1</v>
      </c>
      <c r="J694" t="n">
        <v>6</v>
      </c>
      <c r="K694" t="n">
        <v>1463.36</v>
      </c>
      <c r="L694" t="n">
        <v>1.43</v>
      </c>
      <c r="M694" t="n">
        <v>2.2</v>
      </c>
      <c r="N694" t="n">
        <v>4.8</v>
      </c>
      <c r="O694" t="n">
        <v>2.3</v>
      </c>
      <c r="P694" t="n">
        <v>9.6</v>
      </c>
      <c r="Q694" t="n">
        <v>9.300000000000001</v>
      </c>
      <c r="R694" t="n">
        <v>-0.3</v>
      </c>
      <c r="S694" t="b">
        <v>1</v>
      </c>
      <c r="U694" t="n">
        <v>21</v>
      </c>
      <c r="V694" t="b">
        <v>1</v>
      </c>
      <c r="X694" t="b">
        <v>0</v>
      </c>
      <c r="Y694" t="n">
        <v>0.5600000000000001</v>
      </c>
    </row>
    <row r="695">
      <c r="A695" t="inlineStr">
        <is>
          <t>O00694</t>
        </is>
      </c>
      <c r="B695" t="inlineStr">
        <is>
          <t>C0195</t>
        </is>
      </c>
      <c r="C695" t="inlineStr">
        <is>
          <t>S008</t>
        </is>
      </c>
      <c r="D695" t="inlineStr">
        <is>
          <t>R041</t>
        </is>
      </c>
      <c r="E695" s="3" t="n">
        <v>46266.42638888889</v>
      </c>
      <c r="F695" s="3" t="n">
        <v>46266.43298611111</v>
      </c>
      <c r="G695" s="3" t="n">
        <v>46266.43979166666</v>
      </c>
      <c r="H695" t="inlineStr">
        <is>
          <t>Delivered</t>
        </is>
      </c>
      <c r="I695" t="n">
        <v>4</v>
      </c>
      <c r="J695" t="n">
        <v>9</v>
      </c>
      <c r="K695" t="n">
        <v>658.41</v>
      </c>
      <c r="L695" t="n">
        <v>1.5</v>
      </c>
      <c r="M695" t="n">
        <v>5.1</v>
      </c>
      <c r="N695" t="n">
        <v>9.300000000000001</v>
      </c>
      <c r="O695" t="n">
        <v>4.9</v>
      </c>
      <c r="P695" t="n">
        <v>9.5</v>
      </c>
      <c r="Q695" t="n">
        <v>19.3</v>
      </c>
      <c r="R695" t="n">
        <v>9.800000000000001</v>
      </c>
      <c r="S695" t="b">
        <v>0</v>
      </c>
      <c r="U695" t="n">
        <v>10</v>
      </c>
      <c r="V695" t="b">
        <v>0</v>
      </c>
      <c r="X695" t="b">
        <v>0</v>
      </c>
      <c r="Y695" t="n">
        <v>0.5600000000000001</v>
      </c>
    </row>
    <row r="696">
      <c r="A696" t="inlineStr">
        <is>
          <t>O00695</t>
        </is>
      </c>
      <c r="B696" t="inlineStr">
        <is>
          <t>C0091</t>
        </is>
      </c>
      <c r="C696" t="inlineStr">
        <is>
          <t>S008</t>
        </is>
      </c>
      <c r="D696" t="inlineStr">
        <is>
          <t>R067</t>
        </is>
      </c>
      <c r="E696" s="3" t="n">
        <v>46279.65486111111</v>
      </c>
      <c r="F696" s="3" t="n">
        <v>46279.6625</v>
      </c>
      <c r="G696" s="3" t="n">
        <v>46279.66395833333</v>
      </c>
      <c r="H696" t="inlineStr">
        <is>
          <t>Delivered</t>
        </is>
      </c>
      <c r="I696" t="n">
        <v>4</v>
      </c>
      <c r="J696" t="n">
        <v>7</v>
      </c>
      <c r="K696" t="n">
        <v>319.09</v>
      </c>
      <c r="L696" t="n">
        <v>1.45</v>
      </c>
      <c r="M696" t="n">
        <v>2.6</v>
      </c>
      <c r="N696" t="n">
        <v>4.6</v>
      </c>
      <c r="O696" t="n">
        <v>5.9</v>
      </c>
      <c r="P696" t="n">
        <v>11</v>
      </c>
      <c r="Q696" t="n">
        <v>13.1</v>
      </c>
      <c r="R696" t="n">
        <v>2.1</v>
      </c>
      <c r="S696" t="b">
        <v>0</v>
      </c>
      <c r="U696" t="n">
        <v>15</v>
      </c>
      <c r="V696" t="b">
        <v>0</v>
      </c>
      <c r="W696" t="inlineStr">
        <is>
          <t>Light</t>
        </is>
      </c>
      <c r="X696" t="b">
        <v>0</v>
      </c>
      <c r="Y696" t="n">
        <v>0.53</v>
      </c>
    </row>
    <row r="697">
      <c r="A697" t="inlineStr">
        <is>
          <t>O00696</t>
        </is>
      </c>
      <c r="B697" t="inlineStr">
        <is>
          <t>C0155</t>
        </is>
      </c>
      <c r="C697" t="inlineStr">
        <is>
          <t>S007</t>
        </is>
      </c>
      <c r="D697" t="inlineStr">
        <is>
          <t>R074</t>
        </is>
      </c>
      <c r="E697" s="3" t="n">
        <v>46276.90833333333</v>
      </c>
      <c r="F697" s="3" t="n">
        <v>46276.91569444445</v>
      </c>
      <c r="G697" s="3" t="n">
        <v>46276.91486111111</v>
      </c>
      <c r="H697" t="inlineStr">
        <is>
          <t>Delivered</t>
        </is>
      </c>
      <c r="I697" t="n">
        <v>1</v>
      </c>
      <c r="J697" t="n">
        <v>10</v>
      </c>
      <c r="K697" t="n">
        <v>1328.43</v>
      </c>
      <c r="L697" t="n">
        <v>0.98</v>
      </c>
      <c r="M697" t="n">
        <v>3.1</v>
      </c>
      <c r="N697" t="n">
        <v>4.2</v>
      </c>
      <c r="O697" t="n">
        <v>2.1</v>
      </c>
      <c r="P697" t="n">
        <v>10.6</v>
      </c>
      <c r="Q697" t="n">
        <v>9.4</v>
      </c>
      <c r="R697" t="n">
        <v>-1.2</v>
      </c>
      <c r="S697" t="b">
        <v>1</v>
      </c>
      <c r="U697" t="n">
        <v>21</v>
      </c>
      <c r="V697" t="b">
        <v>1</v>
      </c>
      <c r="X697" t="b">
        <v>1</v>
      </c>
      <c r="Y697" t="n">
        <v>0.39</v>
      </c>
    </row>
    <row r="698">
      <c r="A698" t="inlineStr">
        <is>
          <t>O00697</t>
        </is>
      </c>
      <c r="B698" t="inlineStr">
        <is>
          <t>C0143</t>
        </is>
      </c>
      <c r="C698" t="inlineStr">
        <is>
          <t>S006</t>
        </is>
      </c>
      <c r="D698" t="inlineStr">
        <is>
          <t>R029</t>
        </is>
      </c>
      <c r="E698" s="3" t="n">
        <v>46270.91458333333</v>
      </c>
      <c r="F698" s="3" t="n">
        <v>46270.92069444444</v>
      </c>
      <c r="G698" s="3" t="n">
        <v>46270.93236111111</v>
      </c>
      <c r="H698" t="inlineStr">
        <is>
          <t>Delivered</t>
        </is>
      </c>
      <c r="I698" t="n">
        <v>5</v>
      </c>
      <c r="J698" t="n">
        <v>9</v>
      </c>
      <c r="K698" t="n">
        <v>1062.9</v>
      </c>
      <c r="L698" t="n">
        <v>2.7</v>
      </c>
      <c r="M698" t="n">
        <v>7.1</v>
      </c>
      <c r="N698" t="n">
        <v>9</v>
      </c>
      <c r="O698" t="n">
        <v>9.5</v>
      </c>
      <c r="P698" t="n">
        <v>8.800000000000001</v>
      </c>
      <c r="Q698" t="n">
        <v>25.6</v>
      </c>
      <c r="R698" t="n">
        <v>16.8</v>
      </c>
      <c r="S698" t="b">
        <v>0</v>
      </c>
      <c r="U698" t="n">
        <v>21</v>
      </c>
      <c r="V698" t="b">
        <v>1</v>
      </c>
      <c r="W698" t="inlineStr">
        <is>
          <t>Heavy</t>
        </is>
      </c>
      <c r="X698" t="b">
        <v>0</v>
      </c>
      <c r="Y698" t="n">
        <v>0.9</v>
      </c>
    </row>
    <row r="699">
      <c r="A699" t="inlineStr">
        <is>
          <t>O00698</t>
        </is>
      </c>
      <c r="B699" t="inlineStr">
        <is>
          <t>C0096</t>
        </is>
      </c>
      <c r="C699" t="inlineStr">
        <is>
          <t>S006</t>
        </is>
      </c>
      <c r="D699" t="inlineStr">
        <is>
          <t>R080</t>
        </is>
      </c>
      <c r="E699" s="3" t="n">
        <v>46271.98402777778</v>
      </c>
      <c r="F699" s="3" t="n">
        <v>46271.99173611111</v>
      </c>
      <c r="G699" s="3" t="n">
        <v>46271.99152777778</v>
      </c>
      <c r="H699" t="inlineStr">
        <is>
          <t>Delivered</t>
        </is>
      </c>
      <c r="I699" t="n">
        <v>4</v>
      </c>
      <c r="J699" t="n">
        <v>4</v>
      </c>
      <c r="K699" t="n">
        <v>1543.43</v>
      </c>
      <c r="L699" t="n">
        <v>3.01</v>
      </c>
      <c r="M699" t="n">
        <v>3.6</v>
      </c>
      <c r="N699" t="n">
        <v>2.5</v>
      </c>
      <c r="O699" t="n">
        <v>4.7</v>
      </c>
      <c r="P699" t="n">
        <v>11.1</v>
      </c>
      <c r="Q699" t="n">
        <v>10.8</v>
      </c>
      <c r="R699" t="n">
        <v>-0.3</v>
      </c>
      <c r="S699" t="b">
        <v>1</v>
      </c>
      <c r="U699" t="n">
        <v>23</v>
      </c>
      <c r="V699" t="b">
        <v>0</v>
      </c>
      <c r="X699" t="b">
        <v>0</v>
      </c>
      <c r="Y699" t="n">
        <v>0.24</v>
      </c>
    </row>
    <row r="700">
      <c r="A700" t="inlineStr">
        <is>
          <t>O00699</t>
        </is>
      </c>
      <c r="B700" t="inlineStr">
        <is>
          <t>C0211</t>
        </is>
      </c>
      <c r="C700" t="inlineStr">
        <is>
          <t>S019</t>
        </is>
      </c>
      <c r="D700" t="inlineStr">
        <is>
          <t>R021</t>
        </is>
      </c>
      <c r="E700" s="3" t="n">
        <v>46271.72847222222</v>
      </c>
      <c r="F700" s="3" t="n">
        <v>46271.73645833333</v>
      </c>
      <c r="G700" s="3" t="n">
        <v>46271.73597222222</v>
      </c>
      <c r="H700" t="inlineStr">
        <is>
          <t>Delivered</t>
        </is>
      </c>
      <c r="I700" t="n">
        <v>6</v>
      </c>
      <c r="J700" t="n">
        <v>8</v>
      </c>
      <c r="K700" t="n">
        <v>276.88</v>
      </c>
      <c r="L700" t="n">
        <v>2.5</v>
      </c>
      <c r="M700" t="n">
        <v>3.6</v>
      </c>
      <c r="N700" t="n">
        <v>3.3</v>
      </c>
      <c r="O700" t="n">
        <v>3.9</v>
      </c>
      <c r="P700" t="n">
        <v>11.5</v>
      </c>
      <c r="Q700" t="n">
        <v>10.8</v>
      </c>
      <c r="R700" t="n">
        <v>-0.7</v>
      </c>
      <c r="S700" t="b">
        <v>1</v>
      </c>
      <c r="U700" t="n">
        <v>17</v>
      </c>
      <c r="V700" t="b">
        <v>0</v>
      </c>
      <c r="X700" t="b">
        <v>0</v>
      </c>
      <c r="Y700" t="n">
        <v>0.57</v>
      </c>
    </row>
    <row r="701">
      <c r="A701" t="inlineStr">
        <is>
          <t>O00700</t>
        </is>
      </c>
      <c r="B701" t="inlineStr">
        <is>
          <t>C0211</t>
        </is>
      </c>
      <c r="C701" t="inlineStr">
        <is>
          <t>S014</t>
        </is>
      </c>
      <c r="D701" t="inlineStr">
        <is>
          <t>R033</t>
        </is>
      </c>
      <c r="E701" s="3" t="n">
        <v>46268.41388888889</v>
      </c>
      <c r="F701" s="3" t="n">
        <v>46268.42138888889</v>
      </c>
      <c r="G701" s="3" t="n">
        <v>46268.42118055555</v>
      </c>
      <c r="H701" t="inlineStr">
        <is>
          <t>Delivered</t>
        </is>
      </c>
      <c r="I701" t="n">
        <v>3</v>
      </c>
      <c r="J701" t="n">
        <v>8</v>
      </c>
      <c r="K701" t="n">
        <v>401.4</v>
      </c>
      <c r="L701" t="n">
        <v>1.51</v>
      </c>
      <c r="M701" t="n">
        <v>4.8</v>
      </c>
      <c r="N701" t="n">
        <v>2.4</v>
      </c>
      <c r="O701" t="n">
        <v>3.3</v>
      </c>
      <c r="P701" t="n">
        <v>10.8</v>
      </c>
      <c r="Q701" t="n">
        <v>10.5</v>
      </c>
      <c r="R701" t="n">
        <v>-0.3</v>
      </c>
      <c r="S701" t="b">
        <v>1</v>
      </c>
      <c r="U701" t="n">
        <v>9</v>
      </c>
      <c r="V701" t="b">
        <v>0</v>
      </c>
      <c r="X701" t="b">
        <v>0</v>
      </c>
      <c r="Y701" t="n">
        <v>0.48</v>
      </c>
    </row>
    <row r="702">
      <c r="A702" t="inlineStr">
        <is>
          <t>O00701</t>
        </is>
      </c>
      <c r="B702" t="inlineStr">
        <is>
          <t>C0140</t>
        </is>
      </c>
      <c r="C702" t="inlineStr">
        <is>
          <t>S007</t>
        </is>
      </c>
      <c r="D702" t="inlineStr">
        <is>
          <t>R033</t>
        </is>
      </c>
      <c r="E702" s="3" t="n">
        <v>46274.87569444445</v>
      </c>
      <c r="F702" s="3" t="n">
        <v>46274.88375</v>
      </c>
      <c r="G702" s="3" t="n">
        <v>46274.88333333333</v>
      </c>
      <c r="H702" t="inlineStr">
        <is>
          <t>Delivered</t>
        </is>
      </c>
      <c r="I702" t="n">
        <v>5</v>
      </c>
      <c r="J702" t="n">
        <v>6</v>
      </c>
      <c r="K702" t="n">
        <v>636.29</v>
      </c>
      <c r="L702" t="n">
        <v>1.84</v>
      </c>
      <c r="M702" t="n">
        <v>3.2</v>
      </c>
      <c r="N702" t="n">
        <v>3.3</v>
      </c>
      <c r="O702" t="n">
        <v>4.5</v>
      </c>
      <c r="P702" t="n">
        <v>11.6</v>
      </c>
      <c r="Q702" t="n">
        <v>11</v>
      </c>
      <c r="R702" t="n">
        <v>-0.6</v>
      </c>
      <c r="S702" t="b">
        <v>1</v>
      </c>
      <c r="U702" t="n">
        <v>21</v>
      </c>
      <c r="V702" t="b">
        <v>1</v>
      </c>
      <c r="X702" t="b">
        <v>0</v>
      </c>
      <c r="Y702" t="n">
        <v>0.65</v>
      </c>
    </row>
    <row r="703">
      <c r="A703" t="inlineStr">
        <is>
          <t>O00702</t>
        </is>
      </c>
      <c r="B703" t="inlineStr">
        <is>
          <t>C0011</t>
        </is>
      </c>
      <c r="C703" t="inlineStr">
        <is>
          <t>S012</t>
        </is>
      </c>
      <c r="D703" t="inlineStr">
        <is>
          <t>R001</t>
        </is>
      </c>
      <c r="E703" s="3" t="n">
        <v>46269.43263888889</v>
      </c>
      <c r="F703" s="3" t="n">
        <v>46269.43965277778</v>
      </c>
      <c r="G703" s="3" t="n">
        <v>46269.4425</v>
      </c>
      <c r="H703" t="inlineStr">
        <is>
          <t>Delivered</t>
        </is>
      </c>
      <c r="I703" t="n">
        <v>2</v>
      </c>
      <c r="J703" t="n">
        <v>12</v>
      </c>
      <c r="K703" t="n">
        <v>1477.65</v>
      </c>
      <c r="L703" t="n">
        <v>0.79</v>
      </c>
      <c r="M703" t="n">
        <v>5.7</v>
      </c>
      <c r="N703" t="n">
        <v>4.9</v>
      </c>
      <c r="O703" t="n">
        <v>3.6</v>
      </c>
      <c r="P703" t="n">
        <v>10.1</v>
      </c>
      <c r="Q703" t="n">
        <v>14.2</v>
      </c>
      <c r="R703" t="n">
        <v>4.1</v>
      </c>
      <c r="S703" t="b">
        <v>0</v>
      </c>
      <c r="U703" t="n">
        <v>10</v>
      </c>
      <c r="V703" t="b">
        <v>0</v>
      </c>
      <c r="W703" t="inlineStr">
        <is>
          <t>Light</t>
        </is>
      </c>
      <c r="X703" t="b">
        <v>0</v>
      </c>
      <c r="Y703" t="n">
        <v>0.27</v>
      </c>
    </row>
    <row r="704">
      <c r="A704" t="inlineStr">
        <is>
          <t>O00703</t>
        </is>
      </c>
      <c r="B704" t="inlineStr">
        <is>
          <t>C0190</t>
        </is>
      </c>
      <c r="C704" t="inlineStr">
        <is>
          <t>S003</t>
        </is>
      </c>
      <c r="D704" t="inlineStr">
        <is>
          <t>R074</t>
        </is>
      </c>
      <c r="E704" s="3" t="n">
        <v>46272.39930555555</v>
      </c>
      <c r="F704" s="3" t="n">
        <v>46272.40631944445</v>
      </c>
      <c r="G704" s="3" t="n">
        <v>46272.40881944444</v>
      </c>
      <c r="H704" t="inlineStr">
        <is>
          <t>Delivered</t>
        </is>
      </c>
      <c r="I704" t="n">
        <v>1</v>
      </c>
      <c r="J704" t="n">
        <v>10</v>
      </c>
      <c r="K704" t="n">
        <v>916.9400000000001</v>
      </c>
      <c r="L704" t="n">
        <v>0.7</v>
      </c>
      <c r="M704" t="n">
        <v>5.5</v>
      </c>
      <c r="N704" t="n">
        <v>3.8</v>
      </c>
      <c r="O704" t="n">
        <v>4.4</v>
      </c>
      <c r="P704" t="n">
        <v>10.1</v>
      </c>
      <c r="Q704" t="n">
        <v>13.7</v>
      </c>
      <c r="R704" t="n">
        <v>3.6</v>
      </c>
      <c r="S704" t="b">
        <v>0</v>
      </c>
      <c r="U704" t="n">
        <v>9</v>
      </c>
      <c r="V704" t="b">
        <v>0</v>
      </c>
      <c r="X704" t="b">
        <v>0</v>
      </c>
      <c r="Y704" t="n">
        <v>0.95</v>
      </c>
    </row>
    <row r="705">
      <c r="A705" t="inlineStr">
        <is>
          <t>O00704</t>
        </is>
      </c>
      <c r="B705" t="inlineStr">
        <is>
          <t>C0109</t>
        </is>
      </c>
      <c r="C705" t="inlineStr">
        <is>
          <t>S011</t>
        </is>
      </c>
      <c r="E705" s="3" t="n">
        <v>46275.46180555555</v>
      </c>
      <c r="F705" s="3" t="n">
        <v>46275.46951388889</v>
      </c>
      <c r="H705" t="inlineStr">
        <is>
          <t>Cancelled</t>
        </is>
      </c>
      <c r="I705" t="n">
        <v>5</v>
      </c>
      <c r="J705" t="n">
        <v>7</v>
      </c>
      <c r="K705" t="n">
        <v>264.3</v>
      </c>
      <c r="L705" t="n">
        <v>3.3</v>
      </c>
      <c r="M705" t="n">
        <v>6.1</v>
      </c>
      <c r="N705" t="n">
        <v>6.2</v>
      </c>
      <c r="O705" t="n">
        <v>6.8</v>
      </c>
      <c r="P705" t="n">
        <v>11.1</v>
      </c>
      <c r="T705" t="inlineStr">
        <is>
          <t>Rider unavailable</t>
        </is>
      </c>
      <c r="U705" t="n">
        <v>11</v>
      </c>
      <c r="V705" t="b">
        <v>0</v>
      </c>
      <c r="X705" t="b">
        <v>0</v>
      </c>
      <c r="Y705" t="n">
        <v>0.13</v>
      </c>
    </row>
    <row r="706">
      <c r="A706" t="inlineStr">
        <is>
          <t>O00705</t>
        </is>
      </c>
      <c r="B706" t="inlineStr">
        <is>
          <t>C0154</t>
        </is>
      </c>
      <c r="C706" t="inlineStr">
        <is>
          <t>S005</t>
        </is>
      </c>
      <c r="D706" t="inlineStr">
        <is>
          <t>R022</t>
        </is>
      </c>
      <c r="E706" s="3" t="n">
        <v>46272.76458333333</v>
      </c>
      <c r="F706" s="3" t="n">
        <v>46272.77097222222</v>
      </c>
      <c r="G706" s="3" t="n">
        <v>46272.77041666667</v>
      </c>
      <c r="H706" t="inlineStr">
        <is>
          <t>Delivered</t>
        </is>
      </c>
      <c r="I706" t="n">
        <v>2</v>
      </c>
      <c r="J706" t="n">
        <v>10</v>
      </c>
      <c r="K706" t="n">
        <v>858.05</v>
      </c>
      <c r="L706" t="n">
        <v>0.5</v>
      </c>
      <c r="M706" t="n">
        <v>5.1</v>
      </c>
      <c r="N706" t="n">
        <v>1.3</v>
      </c>
      <c r="O706" t="n">
        <v>2</v>
      </c>
      <c r="P706" t="n">
        <v>9.199999999999999</v>
      </c>
      <c r="Q706" t="n">
        <v>8.4</v>
      </c>
      <c r="R706" t="n">
        <v>-0.8</v>
      </c>
      <c r="S706" t="b">
        <v>1</v>
      </c>
      <c r="U706" t="n">
        <v>18</v>
      </c>
      <c r="V706" t="b">
        <v>0</v>
      </c>
      <c r="X706" t="b">
        <v>0</v>
      </c>
      <c r="Y706" t="n">
        <v>0.2</v>
      </c>
    </row>
    <row r="707">
      <c r="A707" t="inlineStr">
        <is>
          <t>O00706</t>
        </is>
      </c>
      <c r="B707" t="inlineStr">
        <is>
          <t>C0003</t>
        </is>
      </c>
      <c r="C707" t="inlineStr">
        <is>
          <t>S017</t>
        </is>
      </c>
      <c r="D707" t="inlineStr">
        <is>
          <t>R048</t>
        </is>
      </c>
      <c r="E707" s="3" t="n">
        <v>46274.87916666667</v>
      </c>
      <c r="F707" s="3" t="n">
        <v>46274.88631944444</v>
      </c>
      <c r="G707" s="3" t="n">
        <v>46274.88569444444</v>
      </c>
      <c r="H707" t="inlineStr">
        <is>
          <t>Delivered</t>
        </is>
      </c>
      <c r="I707" t="n">
        <v>3</v>
      </c>
      <c r="J707" t="n">
        <v>5</v>
      </c>
      <c r="K707" t="n">
        <v>1462.7</v>
      </c>
      <c r="L707" t="n">
        <v>1.29</v>
      </c>
      <c r="M707" t="n">
        <v>1.9</v>
      </c>
      <c r="N707" t="n">
        <v>3.9</v>
      </c>
      <c r="O707" t="n">
        <v>3.6</v>
      </c>
      <c r="P707" t="n">
        <v>10.3</v>
      </c>
      <c r="Q707" t="n">
        <v>9.4</v>
      </c>
      <c r="R707" t="n">
        <v>-0.9</v>
      </c>
      <c r="S707" t="b">
        <v>1</v>
      </c>
      <c r="U707" t="n">
        <v>21</v>
      </c>
      <c r="V707" t="b">
        <v>1</v>
      </c>
      <c r="X707" t="b">
        <v>0</v>
      </c>
      <c r="Y707" t="n">
        <v>0.58</v>
      </c>
    </row>
    <row r="708">
      <c r="A708" t="inlineStr">
        <is>
          <t>O00707</t>
        </is>
      </c>
      <c r="B708" t="inlineStr">
        <is>
          <t>C0009</t>
        </is>
      </c>
      <c r="C708" t="inlineStr">
        <is>
          <t>S011</t>
        </is>
      </c>
      <c r="D708" t="inlineStr">
        <is>
          <t>R080</t>
        </is>
      </c>
      <c r="E708" s="3" t="n">
        <v>46273.80208333334</v>
      </c>
      <c r="F708" s="3" t="n">
        <v>46273.80791666666</v>
      </c>
      <c r="G708" s="3" t="n">
        <v>46273.81222222222</v>
      </c>
      <c r="H708" t="inlineStr">
        <is>
          <t>Delivered</t>
        </is>
      </c>
      <c r="I708" t="n">
        <v>3</v>
      </c>
      <c r="J708" t="n">
        <v>4</v>
      </c>
      <c r="K708" t="n">
        <v>495.29</v>
      </c>
      <c r="L708" t="n">
        <v>0.79</v>
      </c>
      <c r="M708" t="n">
        <v>6.1</v>
      </c>
      <c r="N708" t="n">
        <v>5.3</v>
      </c>
      <c r="O708" t="n">
        <v>3.2</v>
      </c>
      <c r="P708" t="n">
        <v>8.4</v>
      </c>
      <c r="Q708" t="n">
        <v>14.6</v>
      </c>
      <c r="R708" t="n">
        <v>6.2</v>
      </c>
      <c r="S708" t="b">
        <v>0</v>
      </c>
      <c r="U708" t="n">
        <v>19</v>
      </c>
      <c r="V708" t="b">
        <v>1</v>
      </c>
      <c r="X708" t="b">
        <v>0</v>
      </c>
      <c r="Y708" t="n">
        <v>0.45</v>
      </c>
    </row>
    <row r="709">
      <c r="A709" t="inlineStr">
        <is>
          <t>O00708</t>
        </is>
      </c>
      <c r="B709" t="inlineStr">
        <is>
          <t>C0005</t>
        </is>
      </c>
      <c r="C709" t="inlineStr">
        <is>
          <t>S004</t>
        </is>
      </c>
      <c r="D709" t="inlineStr">
        <is>
          <t>R069</t>
        </is>
      </c>
      <c r="E709" s="3" t="n">
        <v>46267.85833333333</v>
      </c>
      <c r="F709" s="3" t="n">
        <v>46267.86548611111</v>
      </c>
      <c r="G709" s="3" t="n">
        <v>46267.86486111111</v>
      </c>
      <c r="H709" t="inlineStr">
        <is>
          <t>Delivered</t>
        </is>
      </c>
      <c r="I709" t="n">
        <v>4</v>
      </c>
      <c r="J709" t="n">
        <v>7</v>
      </c>
      <c r="K709" t="n">
        <v>1269.77</v>
      </c>
      <c r="L709" t="n">
        <v>2.18</v>
      </c>
      <c r="M709" t="n">
        <v>0.5</v>
      </c>
      <c r="N709" t="n">
        <v>4.6</v>
      </c>
      <c r="O709" t="n">
        <v>4.3</v>
      </c>
      <c r="P709" t="n">
        <v>10.3</v>
      </c>
      <c r="Q709" t="n">
        <v>9.4</v>
      </c>
      <c r="R709" t="n">
        <v>-0.9</v>
      </c>
      <c r="S709" t="b">
        <v>1</v>
      </c>
      <c r="U709" t="n">
        <v>20</v>
      </c>
      <c r="V709" t="b">
        <v>1</v>
      </c>
      <c r="W709" t="inlineStr">
        <is>
          <t>Light</t>
        </is>
      </c>
      <c r="X709" t="b">
        <v>0</v>
      </c>
      <c r="Y709" t="n">
        <v>0.64</v>
      </c>
    </row>
    <row r="710">
      <c r="A710" t="inlineStr">
        <is>
          <t>O00709</t>
        </is>
      </c>
      <c r="B710" t="inlineStr">
        <is>
          <t>C0112</t>
        </is>
      </c>
      <c r="C710" t="inlineStr">
        <is>
          <t>S014</t>
        </is>
      </c>
      <c r="D710" t="inlineStr">
        <is>
          <t>R009</t>
        </is>
      </c>
      <c r="E710" s="3" t="n">
        <v>46277.62569444445</v>
      </c>
      <c r="F710" s="3" t="n">
        <v>46277.63298611111</v>
      </c>
      <c r="G710" s="3" t="n">
        <v>46277.63243055555</v>
      </c>
      <c r="H710" t="inlineStr">
        <is>
          <t>Delivered</t>
        </is>
      </c>
      <c r="I710" t="n">
        <v>2</v>
      </c>
      <c r="J710" t="n">
        <v>11</v>
      </c>
      <c r="K710" t="n">
        <v>409.02</v>
      </c>
      <c r="L710" t="n">
        <v>3.3</v>
      </c>
      <c r="M710" t="n">
        <v>3.5</v>
      </c>
      <c r="N710" t="n">
        <v>0</v>
      </c>
      <c r="O710" t="n">
        <v>6.2</v>
      </c>
      <c r="P710" t="n">
        <v>10.5</v>
      </c>
      <c r="Q710" t="n">
        <v>9.699999999999999</v>
      </c>
      <c r="R710" t="n">
        <v>-0.8</v>
      </c>
      <c r="S710" t="b">
        <v>1</v>
      </c>
      <c r="U710" t="n">
        <v>15</v>
      </c>
      <c r="V710" t="b">
        <v>0</v>
      </c>
      <c r="X710" t="b">
        <v>0</v>
      </c>
      <c r="Y710" t="n">
        <v>0.46</v>
      </c>
    </row>
    <row r="711">
      <c r="A711" t="inlineStr">
        <is>
          <t>O00710</t>
        </is>
      </c>
      <c r="B711" t="inlineStr">
        <is>
          <t>C0072</t>
        </is>
      </c>
      <c r="C711" t="inlineStr">
        <is>
          <t>S011</t>
        </is>
      </c>
      <c r="D711" t="inlineStr">
        <is>
          <t>R075</t>
        </is>
      </c>
      <c r="E711" s="3" t="n">
        <v>46267.78888888889</v>
      </c>
      <c r="F711" s="3" t="n">
        <v>46267.79611111111</v>
      </c>
      <c r="G711" s="3" t="n">
        <v>46267.79541666667</v>
      </c>
      <c r="H711" t="inlineStr">
        <is>
          <t>Delivered</t>
        </is>
      </c>
      <c r="I711" t="n">
        <v>5</v>
      </c>
      <c r="J711" t="n">
        <v>6</v>
      </c>
      <c r="K711" t="n">
        <v>588.67</v>
      </c>
      <c r="L711" t="n">
        <v>1.72</v>
      </c>
      <c r="M711" t="n">
        <v>3.9</v>
      </c>
      <c r="N711" t="n">
        <v>2.5</v>
      </c>
      <c r="O711" t="n">
        <v>3</v>
      </c>
      <c r="P711" t="n">
        <v>10.4</v>
      </c>
      <c r="Q711" t="n">
        <v>9.4</v>
      </c>
      <c r="R711" t="n">
        <v>-1</v>
      </c>
      <c r="S711" t="b">
        <v>1</v>
      </c>
      <c r="U711" t="n">
        <v>18</v>
      </c>
      <c r="V711" t="b">
        <v>0</v>
      </c>
      <c r="X711" t="b">
        <v>0</v>
      </c>
      <c r="Y711" t="n">
        <v>0.48</v>
      </c>
    </row>
    <row r="712">
      <c r="A712" t="inlineStr">
        <is>
          <t>O00711</t>
        </is>
      </c>
      <c r="B712" t="inlineStr">
        <is>
          <t>C0173</t>
        </is>
      </c>
      <c r="C712" t="inlineStr">
        <is>
          <t>S017</t>
        </is>
      </c>
      <c r="D712" t="inlineStr">
        <is>
          <t>R032</t>
        </is>
      </c>
      <c r="E712" s="3" t="n">
        <v>46269.60486111111</v>
      </c>
      <c r="F712" s="3" t="n">
        <v>46269.61152777778</v>
      </c>
      <c r="G712" s="3" t="n">
        <v>46269.60840277778</v>
      </c>
      <c r="H712" t="inlineStr">
        <is>
          <t>Delivered</t>
        </is>
      </c>
      <c r="I712" t="n">
        <v>1</v>
      </c>
      <c r="J712" t="n">
        <v>6</v>
      </c>
      <c r="K712" t="n">
        <v>627.14</v>
      </c>
      <c r="L712" t="n">
        <v>0.84</v>
      </c>
      <c r="M712" t="n">
        <v>1.5</v>
      </c>
      <c r="N712" t="n">
        <v>0.8</v>
      </c>
      <c r="O712" t="n">
        <v>2.8</v>
      </c>
      <c r="P712" t="n">
        <v>9.6</v>
      </c>
      <c r="Q712" t="n">
        <v>5.1</v>
      </c>
      <c r="R712" t="n">
        <v>-4.5</v>
      </c>
      <c r="S712" t="b">
        <v>1</v>
      </c>
      <c r="U712" t="n">
        <v>14</v>
      </c>
      <c r="V712" t="b">
        <v>0</v>
      </c>
      <c r="X712" t="b">
        <v>0</v>
      </c>
      <c r="Y712" t="n">
        <v>0.24</v>
      </c>
    </row>
    <row r="713">
      <c r="A713" t="inlineStr">
        <is>
          <t>O00712</t>
        </is>
      </c>
      <c r="B713" t="inlineStr">
        <is>
          <t>C0018</t>
        </is>
      </c>
      <c r="C713" t="inlineStr">
        <is>
          <t>S009</t>
        </is>
      </c>
      <c r="D713" t="inlineStr">
        <is>
          <t>R063</t>
        </is>
      </c>
      <c r="E713" s="3" t="n">
        <v>46270.57638888889</v>
      </c>
      <c r="F713" s="3" t="n">
        <v>46270.58284722222</v>
      </c>
      <c r="G713" s="3" t="n">
        <v>46270.5825</v>
      </c>
      <c r="H713" t="inlineStr">
        <is>
          <t>Delivered</t>
        </is>
      </c>
      <c r="I713" t="n">
        <v>4</v>
      </c>
      <c r="J713" t="n">
        <v>5</v>
      </c>
      <c r="K713" t="n">
        <v>1390.99</v>
      </c>
      <c r="L713" t="n">
        <v>0.59</v>
      </c>
      <c r="M713" t="n">
        <v>2.4</v>
      </c>
      <c r="N713" t="n">
        <v>3.5</v>
      </c>
      <c r="O713" t="n">
        <v>2.8</v>
      </c>
      <c r="P713" t="n">
        <v>9.300000000000001</v>
      </c>
      <c r="Q713" t="n">
        <v>8.800000000000001</v>
      </c>
      <c r="R713" t="n">
        <v>-0.5</v>
      </c>
      <c r="S713" t="b">
        <v>1</v>
      </c>
      <c r="U713" t="n">
        <v>13</v>
      </c>
      <c r="V713" t="b">
        <v>0</v>
      </c>
      <c r="X713" t="b">
        <v>0</v>
      </c>
      <c r="Y713" t="n">
        <v>0.5600000000000001</v>
      </c>
    </row>
    <row r="714">
      <c r="A714" t="inlineStr">
        <is>
          <t>O00713</t>
        </is>
      </c>
      <c r="B714" t="inlineStr">
        <is>
          <t>C0226</t>
        </is>
      </c>
      <c r="C714" t="inlineStr">
        <is>
          <t>S001</t>
        </is>
      </c>
      <c r="D714" t="inlineStr">
        <is>
          <t>R017</t>
        </is>
      </c>
      <c r="E714" s="3" t="n">
        <v>46268.45208333333</v>
      </c>
      <c r="F714" s="3" t="n">
        <v>46268.45888888889</v>
      </c>
      <c r="G714" s="3" t="n">
        <v>46268.45819444444</v>
      </c>
      <c r="H714" t="inlineStr">
        <is>
          <t>Delivered</t>
        </is>
      </c>
      <c r="I714" t="n">
        <v>1</v>
      </c>
      <c r="J714" t="n">
        <v>4</v>
      </c>
      <c r="K714" t="n">
        <v>320.97</v>
      </c>
      <c r="L714" t="n">
        <v>1.69</v>
      </c>
      <c r="M714" t="n">
        <v>2.9</v>
      </c>
      <c r="N714" t="n">
        <v>2.4</v>
      </c>
      <c r="O714" t="n">
        <v>3.5</v>
      </c>
      <c r="P714" t="n">
        <v>9.800000000000001</v>
      </c>
      <c r="Q714" t="n">
        <v>8.800000000000001</v>
      </c>
      <c r="R714" t="n">
        <v>-1</v>
      </c>
      <c r="S714" t="b">
        <v>1</v>
      </c>
      <c r="U714" t="n">
        <v>10</v>
      </c>
      <c r="V714" t="b">
        <v>0</v>
      </c>
      <c r="W714" t="inlineStr">
        <is>
          <t>Heavy</t>
        </is>
      </c>
      <c r="X714" t="b">
        <v>0</v>
      </c>
      <c r="Y714" t="n">
        <v>0.44</v>
      </c>
    </row>
    <row r="715">
      <c r="A715" t="inlineStr">
        <is>
          <t>O00714</t>
        </is>
      </c>
      <c r="B715" t="inlineStr">
        <is>
          <t>C0045</t>
        </is>
      </c>
      <c r="C715" t="inlineStr">
        <is>
          <t>S020</t>
        </is>
      </c>
      <c r="D715" t="inlineStr">
        <is>
          <t>R026</t>
        </is>
      </c>
      <c r="E715" s="3" t="n">
        <v>46271.51736111111</v>
      </c>
      <c r="F715" s="3" t="n">
        <v>46271.52409722222</v>
      </c>
      <c r="G715" s="3" t="n">
        <v>46271.52840277777</v>
      </c>
      <c r="H715" t="inlineStr">
        <is>
          <t>Delivered</t>
        </is>
      </c>
      <c r="I715" t="n">
        <v>4</v>
      </c>
      <c r="J715" t="n">
        <v>7</v>
      </c>
      <c r="K715" t="n">
        <v>1510.13</v>
      </c>
      <c r="L715" t="n">
        <v>3.63</v>
      </c>
      <c r="M715" t="n">
        <v>4.9</v>
      </c>
      <c r="N715" t="n">
        <v>2.7</v>
      </c>
      <c r="O715" t="n">
        <v>8.4</v>
      </c>
      <c r="P715" t="n">
        <v>9.699999999999999</v>
      </c>
      <c r="Q715" t="n">
        <v>15.9</v>
      </c>
      <c r="R715" t="n">
        <v>6.2</v>
      </c>
      <c r="S715" t="b">
        <v>0</v>
      </c>
      <c r="U715" t="n">
        <v>12</v>
      </c>
      <c r="V715" t="b">
        <v>0</v>
      </c>
      <c r="X715" t="b">
        <v>0</v>
      </c>
      <c r="Y715" t="n">
        <v>0.52</v>
      </c>
    </row>
    <row r="716">
      <c r="A716" t="inlineStr">
        <is>
          <t>O00715</t>
        </is>
      </c>
      <c r="B716" t="inlineStr">
        <is>
          <t>C0160</t>
        </is>
      </c>
      <c r="C716" t="inlineStr">
        <is>
          <t>S001</t>
        </is>
      </c>
      <c r="D716" t="inlineStr">
        <is>
          <t>R078</t>
        </is>
      </c>
      <c r="E716" s="3" t="n">
        <v>46275.85347222222</v>
      </c>
      <c r="F716" s="3" t="n">
        <v>46275.86083333333</v>
      </c>
      <c r="G716" s="3" t="n">
        <v>46275.86027777778</v>
      </c>
      <c r="H716" t="inlineStr">
        <is>
          <t>Delivered</t>
        </is>
      </c>
      <c r="I716" t="n">
        <v>2</v>
      </c>
      <c r="J716" t="n">
        <v>9</v>
      </c>
      <c r="K716" t="n">
        <v>825.5599999999999</v>
      </c>
      <c r="L716" t="n">
        <v>2.58</v>
      </c>
      <c r="M716" t="n">
        <v>2.2</v>
      </c>
      <c r="N716" t="n">
        <v>4.3</v>
      </c>
      <c r="O716" t="n">
        <v>3.3</v>
      </c>
      <c r="P716" t="n">
        <v>10.6</v>
      </c>
      <c r="Q716" t="n">
        <v>9.800000000000001</v>
      </c>
      <c r="R716" t="n">
        <v>-0.8</v>
      </c>
      <c r="S716" t="b">
        <v>1</v>
      </c>
      <c r="U716" t="n">
        <v>20</v>
      </c>
      <c r="V716" t="b">
        <v>1</v>
      </c>
      <c r="X716" t="b">
        <v>0</v>
      </c>
      <c r="Y716" t="n">
        <v>0.55</v>
      </c>
    </row>
    <row r="717">
      <c r="A717" t="inlineStr">
        <is>
          <t>O00716</t>
        </is>
      </c>
      <c r="B717" t="inlineStr">
        <is>
          <t>C0021</t>
        </is>
      </c>
      <c r="C717" t="inlineStr">
        <is>
          <t>S012</t>
        </is>
      </c>
      <c r="D717" t="inlineStr">
        <is>
          <t>R074</t>
        </is>
      </c>
      <c r="E717" s="3" t="n">
        <v>46271.36111111111</v>
      </c>
      <c r="F717" s="3" t="n">
        <v>46271.36909722222</v>
      </c>
      <c r="G717" s="3" t="n">
        <v>46271.37034722222</v>
      </c>
      <c r="H717" t="inlineStr">
        <is>
          <t>Delivered</t>
        </is>
      </c>
      <c r="I717" t="n">
        <v>6</v>
      </c>
      <c r="J717" t="n">
        <v>10</v>
      </c>
      <c r="K717" t="n">
        <v>750.84</v>
      </c>
      <c r="L717" t="n">
        <v>1.14</v>
      </c>
      <c r="M717" t="n">
        <v>6.6</v>
      </c>
      <c r="N717" t="n">
        <v>3.4</v>
      </c>
      <c r="O717" t="n">
        <v>3.3</v>
      </c>
      <c r="P717" t="n">
        <v>11.5</v>
      </c>
      <c r="Q717" t="n">
        <v>13.3</v>
      </c>
      <c r="R717" t="n">
        <v>1.8</v>
      </c>
      <c r="S717" t="b">
        <v>0</v>
      </c>
      <c r="U717" t="n">
        <v>8</v>
      </c>
      <c r="V717" t="b">
        <v>0</v>
      </c>
      <c r="X717" t="b">
        <v>0</v>
      </c>
      <c r="Y717" t="n">
        <v>0.38</v>
      </c>
    </row>
    <row r="718">
      <c r="A718" t="inlineStr">
        <is>
          <t>O00717</t>
        </is>
      </c>
      <c r="B718" t="inlineStr">
        <is>
          <t>C0129</t>
        </is>
      </c>
      <c r="C718" t="inlineStr">
        <is>
          <t>S003</t>
        </is>
      </c>
      <c r="D718" t="inlineStr">
        <is>
          <t>R048</t>
        </is>
      </c>
      <c r="E718" s="3" t="n">
        <v>46274.69652777778</v>
      </c>
      <c r="F718" s="3" t="n">
        <v>46274.70388888889</v>
      </c>
      <c r="G718" s="3" t="n">
        <v>46274.70354166667</v>
      </c>
      <c r="H718" t="inlineStr">
        <is>
          <t>Delivered</t>
        </is>
      </c>
      <c r="I718" t="n">
        <v>4</v>
      </c>
      <c r="J718" t="n">
        <v>9</v>
      </c>
      <c r="K718" t="n">
        <v>418.62</v>
      </c>
      <c r="L718" t="n">
        <v>1.01</v>
      </c>
      <c r="M718" t="n">
        <v>3.2</v>
      </c>
      <c r="N718" t="n">
        <v>4.1</v>
      </c>
      <c r="O718" t="n">
        <v>2.8</v>
      </c>
      <c r="P718" t="n">
        <v>10.6</v>
      </c>
      <c r="Q718" t="n">
        <v>10.1</v>
      </c>
      <c r="R718" t="n">
        <v>-0.5</v>
      </c>
      <c r="S718" t="b">
        <v>1</v>
      </c>
      <c r="U718" t="n">
        <v>16</v>
      </c>
      <c r="V718" t="b">
        <v>0</v>
      </c>
      <c r="X718" t="b">
        <v>0</v>
      </c>
      <c r="Y718" t="n">
        <v>0.33</v>
      </c>
    </row>
    <row r="719">
      <c r="A719" t="inlineStr">
        <is>
          <t>O00718</t>
        </is>
      </c>
      <c r="B719" t="inlineStr">
        <is>
          <t>C0170</t>
        </is>
      </c>
      <c r="C719" t="inlineStr">
        <is>
          <t>S014</t>
        </is>
      </c>
      <c r="D719" t="inlineStr">
        <is>
          <t>R049</t>
        </is>
      </c>
      <c r="E719" s="3" t="n">
        <v>46266.47916666666</v>
      </c>
      <c r="F719" s="3" t="n">
        <v>46266.48659722223</v>
      </c>
      <c r="G719" s="3" t="n">
        <v>46266.48597222222</v>
      </c>
      <c r="H719" t="inlineStr">
        <is>
          <t>Delivered</t>
        </is>
      </c>
      <c r="I719" t="n">
        <v>3</v>
      </c>
      <c r="J719" t="n">
        <v>6</v>
      </c>
      <c r="K719" t="n">
        <v>1128.53</v>
      </c>
      <c r="L719" t="n">
        <v>3.3</v>
      </c>
      <c r="M719" t="n">
        <v>3.2</v>
      </c>
      <c r="N719" t="n">
        <v>3.1</v>
      </c>
      <c r="O719" t="n">
        <v>3.5</v>
      </c>
      <c r="P719" t="n">
        <v>10.7</v>
      </c>
      <c r="Q719" t="n">
        <v>9.800000000000001</v>
      </c>
      <c r="R719" t="n">
        <v>-0.9</v>
      </c>
      <c r="S719" t="b">
        <v>1</v>
      </c>
      <c r="U719" t="n">
        <v>11</v>
      </c>
      <c r="V719" t="b">
        <v>0</v>
      </c>
      <c r="X719" t="b">
        <v>0</v>
      </c>
      <c r="Y719" t="n">
        <v>0</v>
      </c>
    </row>
    <row r="720">
      <c r="A720" t="inlineStr">
        <is>
          <t>O00719</t>
        </is>
      </c>
      <c r="B720" t="inlineStr">
        <is>
          <t>C0143</t>
        </is>
      </c>
      <c r="C720" t="inlineStr">
        <is>
          <t>S016</t>
        </is>
      </c>
      <c r="D720" t="inlineStr">
        <is>
          <t>R002</t>
        </is>
      </c>
      <c r="E720" s="3" t="n">
        <v>46276.39930555555</v>
      </c>
      <c r="F720" s="3" t="n">
        <v>46276.40659722222</v>
      </c>
      <c r="G720" s="3" t="n">
        <v>46276.40597222222</v>
      </c>
      <c r="H720" t="inlineStr">
        <is>
          <t>Delivered</t>
        </is>
      </c>
      <c r="I720" t="n">
        <v>3</v>
      </c>
      <c r="J720" t="n">
        <v>5</v>
      </c>
      <c r="K720" t="n">
        <v>1178.05</v>
      </c>
      <c r="L720" t="n">
        <v>2.6</v>
      </c>
      <c r="M720" t="n">
        <v>2.3</v>
      </c>
      <c r="N720" t="n">
        <v>3.3</v>
      </c>
      <c r="O720" t="n">
        <v>4</v>
      </c>
      <c r="P720" t="n">
        <v>10.5</v>
      </c>
      <c r="Q720" t="n">
        <v>9.6</v>
      </c>
      <c r="R720" t="n">
        <v>-0.9</v>
      </c>
      <c r="S720" t="b">
        <v>1</v>
      </c>
      <c r="U720" t="n">
        <v>9</v>
      </c>
      <c r="V720" t="b">
        <v>0</v>
      </c>
      <c r="X720" t="b">
        <v>0</v>
      </c>
      <c r="Y720" t="n">
        <v>0.61</v>
      </c>
    </row>
    <row r="721">
      <c r="A721" t="inlineStr">
        <is>
          <t>O00720</t>
        </is>
      </c>
      <c r="B721" t="inlineStr">
        <is>
          <t>C0188</t>
        </is>
      </c>
      <c r="C721" t="inlineStr">
        <is>
          <t>S015</t>
        </is>
      </c>
      <c r="D721" t="inlineStr">
        <is>
          <t>R043</t>
        </is>
      </c>
      <c r="E721" s="3" t="n">
        <v>46278.89652777778</v>
      </c>
      <c r="F721" s="3" t="n">
        <v>46278.90256944444</v>
      </c>
      <c r="G721" s="3" t="n">
        <v>46278.90201388889</v>
      </c>
      <c r="H721" t="inlineStr">
        <is>
          <t>Delivered</t>
        </is>
      </c>
      <c r="I721" t="n">
        <v>2</v>
      </c>
      <c r="J721" t="n">
        <v>7</v>
      </c>
      <c r="K721" t="n">
        <v>582.95</v>
      </c>
      <c r="L721" t="n">
        <v>2.56</v>
      </c>
      <c r="M721" t="n">
        <v>1.9</v>
      </c>
      <c r="N721" t="n">
        <v>2.2</v>
      </c>
      <c r="O721" t="n">
        <v>3.8</v>
      </c>
      <c r="P721" t="n">
        <v>8.699999999999999</v>
      </c>
      <c r="Q721" t="n">
        <v>7.9</v>
      </c>
      <c r="R721" t="n">
        <v>-0.8</v>
      </c>
      <c r="S721" t="b">
        <v>1</v>
      </c>
      <c r="U721" t="n">
        <v>21</v>
      </c>
      <c r="V721" t="b">
        <v>1</v>
      </c>
      <c r="X721" t="b">
        <v>0</v>
      </c>
      <c r="Y721" t="n">
        <v>0.58</v>
      </c>
    </row>
    <row r="722">
      <c r="A722" t="inlineStr">
        <is>
          <t>O00721</t>
        </is>
      </c>
      <c r="B722" t="inlineStr">
        <is>
          <t>C0177</t>
        </is>
      </c>
      <c r="C722" t="inlineStr">
        <is>
          <t>S017</t>
        </is>
      </c>
      <c r="D722" t="inlineStr">
        <is>
          <t>R064</t>
        </is>
      </c>
      <c r="E722" s="3" t="n">
        <v>46268.65555555555</v>
      </c>
      <c r="F722" s="3" t="n">
        <v>46268.66305555555</v>
      </c>
      <c r="G722" s="3" t="n">
        <v>46268.66305555555</v>
      </c>
      <c r="H722" t="inlineStr">
        <is>
          <t>Delivered</t>
        </is>
      </c>
      <c r="I722" t="n">
        <v>3</v>
      </c>
      <c r="J722" t="n">
        <v>5</v>
      </c>
      <c r="K722" t="n">
        <v>462.72</v>
      </c>
      <c r="L722" t="n">
        <v>2.87</v>
      </c>
      <c r="M722" t="n">
        <v>1.5</v>
      </c>
      <c r="N722" t="n">
        <v>2.2</v>
      </c>
      <c r="O722" t="n">
        <v>7.1</v>
      </c>
      <c r="P722" t="n">
        <v>10.8</v>
      </c>
      <c r="Q722" t="n">
        <v>10.8</v>
      </c>
      <c r="R722" t="n">
        <v>0</v>
      </c>
      <c r="S722" t="b">
        <v>1</v>
      </c>
      <c r="U722" t="n">
        <v>15</v>
      </c>
      <c r="V722" t="b">
        <v>0</v>
      </c>
      <c r="W722" t="inlineStr">
        <is>
          <t>Light</t>
        </is>
      </c>
      <c r="X722" t="b">
        <v>0</v>
      </c>
      <c r="Y722" t="n">
        <v>0.41</v>
      </c>
    </row>
    <row r="723">
      <c r="A723" t="inlineStr">
        <is>
          <t>O00722</t>
        </is>
      </c>
      <c r="B723" t="inlineStr">
        <is>
          <t>C0079</t>
        </is>
      </c>
      <c r="C723" t="inlineStr">
        <is>
          <t>S014</t>
        </is>
      </c>
      <c r="D723" t="inlineStr">
        <is>
          <t>R009</t>
        </is>
      </c>
      <c r="E723" s="3" t="n">
        <v>46275.84375</v>
      </c>
      <c r="F723" s="3" t="n">
        <v>46275.85097222222</v>
      </c>
      <c r="G723" s="3" t="n">
        <v>46275.85666666667</v>
      </c>
      <c r="H723" t="inlineStr">
        <is>
          <t>Delivered</t>
        </is>
      </c>
      <c r="I723" t="n">
        <v>2</v>
      </c>
      <c r="J723" t="n">
        <v>4</v>
      </c>
      <c r="K723" t="n">
        <v>443.02</v>
      </c>
      <c r="L723" t="n">
        <v>2.2</v>
      </c>
      <c r="M723" t="n">
        <v>5.2</v>
      </c>
      <c r="N723" t="n">
        <v>5.2</v>
      </c>
      <c r="O723" t="n">
        <v>8.199999999999999</v>
      </c>
      <c r="P723" t="n">
        <v>10.4</v>
      </c>
      <c r="Q723" t="n">
        <v>18.6</v>
      </c>
      <c r="R723" t="n">
        <v>8.199999999999999</v>
      </c>
      <c r="S723" t="b">
        <v>0</v>
      </c>
      <c r="U723" t="n">
        <v>20</v>
      </c>
      <c r="V723" t="b">
        <v>1</v>
      </c>
      <c r="W723" t="inlineStr">
        <is>
          <t>Heavy</t>
        </is>
      </c>
      <c r="X723" t="b">
        <v>0</v>
      </c>
      <c r="Y723" t="n">
        <v>0.62</v>
      </c>
    </row>
    <row r="724">
      <c r="A724" t="inlineStr">
        <is>
          <t>O00723</t>
        </is>
      </c>
      <c r="B724" t="inlineStr">
        <is>
          <t>C0160</t>
        </is>
      </c>
      <c r="C724" t="inlineStr">
        <is>
          <t>S016</t>
        </is>
      </c>
      <c r="D724" t="inlineStr">
        <is>
          <t>R069</t>
        </is>
      </c>
      <c r="E724" s="3" t="n">
        <v>46278.85902777778</v>
      </c>
      <c r="F724" s="3" t="n">
        <v>46278.86479166667</v>
      </c>
      <c r="G724" s="3" t="n">
        <v>46278.86430555556</v>
      </c>
      <c r="H724" t="inlineStr">
        <is>
          <t>Delivered</t>
        </is>
      </c>
      <c r="I724" t="n">
        <v>3</v>
      </c>
      <c r="J724" t="n">
        <v>8</v>
      </c>
      <c r="K724" t="n">
        <v>564.11</v>
      </c>
      <c r="L724" t="n">
        <v>0.99</v>
      </c>
      <c r="M724" t="n">
        <v>2.8</v>
      </c>
      <c r="N724" t="n">
        <v>3</v>
      </c>
      <c r="O724" t="n">
        <v>1.8</v>
      </c>
      <c r="P724" t="n">
        <v>8.300000000000001</v>
      </c>
      <c r="Q724" t="n">
        <v>7.6</v>
      </c>
      <c r="R724" t="n">
        <v>-0.7</v>
      </c>
      <c r="S724" t="b">
        <v>1</v>
      </c>
      <c r="U724" t="n">
        <v>20</v>
      </c>
      <c r="V724" t="b">
        <v>1</v>
      </c>
      <c r="X724" t="b">
        <v>0</v>
      </c>
      <c r="Y724" t="n">
        <v>0.74</v>
      </c>
    </row>
    <row r="725">
      <c r="A725" t="inlineStr">
        <is>
          <t>O00724</t>
        </is>
      </c>
      <c r="B725" t="inlineStr">
        <is>
          <t>C0249</t>
        </is>
      </c>
      <c r="C725" t="inlineStr">
        <is>
          <t>S006</t>
        </is>
      </c>
      <c r="D725" t="inlineStr">
        <is>
          <t>R009</t>
        </is>
      </c>
      <c r="E725" s="3" t="n">
        <v>46277.71944444445</v>
      </c>
      <c r="F725" s="3" t="n">
        <v>46277.72680555555</v>
      </c>
      <c r="G725" s="3" t="n">
        <v>46277.72604166667</v>
      </c>
      <c r="H725" t="inlineStr">
        <is>
          <t>Delivered</t>
        </is>
      </c>
      <c r="I725" t="n">
        <v>1</v>
      </c>
      <c r="J725" t="n">
        <v>7</v>
      </c>
      <c r="K725" t="n">
        <v>471.91</v>
      </c>
      <c r="L725" t="n">
        <v>2.26</v>
      </c>
      <c r="M725" t="n">
        <v>4.3</v>
      </c>
      <c r="N725" t="n">
        <v>0.8</v>
      </c>
      <c r="O725" t="n">
        <v>4.4</v>
      </c>
      <c r="P725" t="n">
        <v>10.6</v>
      </c>
      <c r="Q725" t="n">
        <v>9.5</v>
      </c>
      <c r="R725" t="n">
        <v>-1.1</v>
      </c>
      <c r="S725" t="b">
        <v>1</v>
      </c>
      <c r="U725" t="n">
        <v>17</v>
      </c>
      <c r="V725" t="b">
        <v>0</v>
      </c>
      <c r="X725" t="b">
        <v>0</v>
      </c>
      <c r="Y725" t="n">
        <v>0.66</v>
      </c>
    </row>
    <row r="726">
      <c r="A726" t="inlineStr">
        <is>
          <t>O00725</t>
        </is>
      </c>
      <c r="B726" t="inlineStr">
        <is>
          <t>C0057</t>
        </is>
      </c>
      <c r="C726" t="inlineStr">
        <is>
          <t>S007</t>
        </is>
      </c>
      <c r="D726" t="inlineStr">
        <is>
          <t>R037</t>
        </is>
      </c>
      <c r="E726" s="3" t="n">
        <v>46279.86319444444</v>
      </c>
      <c r="F726" s="3" t="n">
        <v>46279.869375</v>
      </c>
      <c r="G726" s="3" t="n">
        <v>46279.87743055556</v>
      </c>
      <c r="H726" t="inlineStr">
        <is>
          <t>Delivered</t>
        </is>
      </c>
      <c r="I726" t="n">
        <v>2</v>
      </c>
      <c r="J726" t="n">
        <v>6</v>
      </c>
      <c r="K726" t="n">
        <v>1574.85</v>
      </c>
      <c r="L726" t="n">
        <v>1.45</v>
      </c>
      <c r="M726" t="n">
        <v>4.6</v>
      </c>
      <c r="N726" t="n">
        <v>8.800000000000001</v>
      </c>
      <c r="O726" t="n">
        <v>7</v>
      </c>
      <c r="P726" t="n">
        <v>8.9</v>
      </c>
      <c r="Q726" t="n">
        <v>20.5</v>
      </c>
      <c r="R726" t="n">
        <v>11.6</v>
      </c>
      <c r="S726" t="b">
        <v>0</v>
      </c>
      <c r="U726" t="n">
        <v>20</v>
      </c>
      <c r="V726" t="b">
        <v>1</v>
      </c>
      <c r="W726" t="inlineStr">
        <is>
          <t>Heavy</t>
        </is>
      </c>
      <c r="X726" t="b">
        <v>0</v>
      </c>
      <c r="Y726" t="n">
        <v>0.47</v>
      </c>
    </row>
    <row r="727">
      <c r="A727" t="inlineStr">
        <is>
          <t>O00726</t>
        </is>
      </c>
      <c r="B727" t="inlineStr">
        <is>
          <t>C0047</t>
        </is>
      </c>
      <c r="C727" t="inlineStr">
        <is>
          <t>S013</t>
        </is>
      </c>
      <c r="D727" t="inlineStr">
        <is>
          <t>R029</t>
        </is>
      </c>
      <c r="E727" s="3" t="n">
        <v>46272.78263888889</v>
      </c>
      <c r="F727" s="3" t="n">
        <v>46272.79069444445</v>
      </c>
      <c r="G727" s="3" t="n">
        <v>46272.79027777778</v>
      </c>
      <c r="H727" t="inlineStr">
        <is>
          <t>Delivered</t>
        </is>
      </c>
      <c r="I727" t="n">
        <v>5</v>
      </c>
      <c r="J727" t="n">
        <v>7</v>
      </c>
      <c r="K727" t="n">
        <v>1643.69</v>
      </c>
      <c r="L727" t="n">
        <v>2.72</v>
      </c>
      <c r="M727" t="n">
        <v>2.4</v>
      </c>
      <c r="N727" t="n">
        <v>4.3</v>
      </c>
      <c r="O727" t="n">
        <v>4.3</v>
      </c>
      <c r="P727" t="n">
        <v>11.6</v>
      </c>
      <c r="Q727" t="n">
        <v>11</v>
      </c>
      <c r="R727" t="n">
        <v>-0.6</v>
      </c>
      <c r="S727" t="b">
        <v>1</v>
      </c>
      <c r="U727" t="n">
        <v>18</v>
      </c>
      <c r="V727" t="b">
        <v>0</v>
      </c>
      <c r="W727" t="inlineStr">
        <is>
          <t>Heavy</t>
        </is>
      </c>
      <c r="X727" t="b">
        <v>0</v>
      </c>
      <c r="Y727" t="n">
        <v>0.4</v>
      </c>
    </row>
    <row r="728">
      <c r="A728" t="inlineStr">
        <is>
          <t>O00727</t>
        </is>
      </c>
      <c r="B728" t="inlineStr">
        <is>
          <t>C0125</t>
        </is>
      </c>
      <c r="C728" t="inlineStr">
        <is>
          <t>S002</t>
        </is>
      </c>
      <c r="D728" t="inlineStr">
        <is>
          <t>R067</t>
        </is>
      </c>
      <c r="E728" s="3" t="n">
        <v>46276.56875</v>
      </c>
      <c r="F728" s="3" t="n">
        <v>46276.57486111111</v>
      </c>
      <c r="G728" s="3" t="n">
        <v>46276.57798611111</v>
      </c>
      <c r="H728" t="inlineStr">
        <is>
          <t>Delivered</t>
        </is>
      </c>
      <c r="I728" t="n">
        <v>3</v>
      </c>
      <c r="J728" t="n">
        <v>9</v>
      </c>
      <c r="K728" t="n">
        <v>1527.98</v>
      </c>
      <c r="L728" t="n">
        <v>2.54</v>
      </c>
      <c r="M728" t="n">
        <v>2.6</v>
      </c>
      <c r="N728" t="n">
        <v>2.6</v>
      </c>
      <c r="O728" t="n">
        <v>8.1</v>
      </c>
      <c r="P728" t="n">
        <v>8.800000000000001</v>
      </c>
      <c r="Q728" t="n">
        <v>13.3</v>
      </c>
      <c r="R728" t="n">
        <v>4.5</v>
      </c>
      <c r="S728" t="b">
        <v>0</v>
      </c>
      <c r="U728" t="n">
        <v>13</v>
      </c>
      <c r="V728" t="b">
        <v>0</v>
      </c>
      <c r="X728" t="b">
        <v>0</v>
      </c>
      <c r="Y728" t="n">
        <v>0.68</v>
      </c>
    </row>
    <row r="729">
      <c r="A729" t="inlineStr">
        <is>
          <t>O00728</t>
        </is>
      </c>
      <c r="B729" t="inlineStr">
        <is>
          <t>C0046</t>
        </is>
      </c>
      <c r="C729" t="inlineStr">
        <is>
          <t>S019</t>
        </is>
      </c>
      <c r="D729" t="inlineStr">
        <is>
          <t>R035</t>
        </is>
      </c>
      <c r="E729" s="3" t="n">
        <v>46269.52361111111</v>
      </c>
      <c r="F729" s="3" t="n">
        <v>46269.52902777777</v>
      </c>
      <c r="G729" s="3" t="n">
        <v>46269.52833333334</v>
      </c>
      <c r="H729" t="inlineStr">
        <is>
          <t>Delivered</t>
        </is>
      </c>
      <c r="I729" t="n">
        <v>6</v>
      </c>
      <c r="J729" t="n">
        <v>10</v>
      </c>
      <c r="K729" t="n">
        <v>1680.39</v>
      </c>
      <c r="L729" t="n">
        <v>2.5</v>
      </c>
      <c r="M729" t="n">
        <v>1.8</v>
      </c>
      <c r="N729" t="n">
        <v>3.1</v>
      </c>
      <c r="O729" t="n">
        <v>1.9</v>
      </c>
      <c r="P729" t="n">
        <v>7.8</v>
      </c>
      <c r="Q729" t="n">
        <v>6.8</v>
      </c>
      <c r="R729" t="n">
        <v>-1</v>
      </c>
      <c r="S729" t="b">
        <v>1</v>
      </c>
      <c r="U729" t="n">
        <v>12</v>
      </c>
      <c r="V729" t="b">
        <v>0</v>
      </c>
      <c r="X729" t="b">
        <v>0</v>
      </c>
      <c r="Y729" t="n">
        <v>0.66</v>
      </c>
    </row>
    <row r="730">
      <c r="A730" t="inlineStr">
        <is>
          <t>O00729</t>
        </is>
      </c>
      <c r="B730" t="inlineStr">
        <is>
          <t>C0167</t>
        </is>
      </c>
      <c r="C730" t="inlineStr">
        <is>
          <t>S018</t>
        </is>
      </c>
      <c r="D730" t="inlineStr">
        <is>
          <t>R026</t>
        </is>
      </c>
      <c r="E730" s="3" t="n">
        <v>46272.47986111111</v>
      </c>
      <c r="F730" s="3" t="n">
        <v>46272.48791666667</v>
      </c>
      <c r="G730" s="3" t="n">
        <v>46272.48868055556</v>
      </c>
      <c r="H730" t="inlineStr">
        <is>
          <t>Delivered</t>
        </is>
      </c>
      <c r="I730" t="n">
        <v>1</v>
      </c>
      <c r="J730" t="n">
        <v>8</v>
      </c>
      <c r="K730" t="n">
        <v>438.4</v>
      </c>
      <c r="L730" t="n">
        <v>1.13</v>
      </c>
      <c r="M730" t="n">
        <v>5.5</v>
      </c>
      <c r="N730" t="n">
        <v>2.2</v>
      </c>
      <c r="O730" t="n">
        <v>5</v>
      </c>
      <c r="P730" t="n">
        <v>11.6</v>
      </c>
      <c r="Q730" t="n">
        <v>12.7</v>
      </c>
      <c r="R730" t="n">
        <v>1.1</v>
      </c>
      <c r="S730" t="b">
        <v>0</v>
      </c>
      <c r="U730" t="n">
        <v>11</v>
      </c>
      <c r="V730" t="b">
        <v>0</v>
      </c>
      <c r="X730" t="b">
        <v>0</v>
      </c>
      <c r="Y730" t="n">
        <v>1</v>
      </c>
    </row>
    <row r="731">
      <c r="A731" t="inlineStr">
        <is>
          <t>O00730</t>
        </is>
      </c>
      <c r="B731" t="inlineStr">
        <is>
          <t>C0131</t>
        </is>
      </c>
      <c r="C731" t="inlineStr">
        <is>
          <t>S004</t>
        </is>
      </c>
      <c r="E731" s="3" t="n">
        <v>46276.69722222222</v>
      </c>
      <c r="F731" s="3" t="n">
        <v>46276.70423611111</v>
      </c>
      <c r="H731" t="inlineStr">
        <is>
          <t>Cancelled</t>
        </is>
      </c>
      <c r="I731" t="n">
        <v>2</v>
      </c>
      <c r="J731" t="n">
        <v>4</v>
      </c>
      <c r="K731" t="n">
        <v>945.42</v>
      </c>
      <c r="L731" t="n">
        <v>0.89</v>
      </c>
      <c r="M731" t="n">
        <v>2.9</v>
      </c>
      <c r="N731" t="n">
        <v>0.7</v>
      </c>
      <c r="O731" t="n">
        <v>4.3</v>
      </c>
      <c r="P731" t="n">
        <v>10.1</v>
      </c>
      <c r="T731" t="inlineStr">
        <is>
          <t>Rider unavailable</t>
        </is>
      </c>
      <c r="U731" t="n">
        <v>16</v>
      </c>
      <c r="V731" t="b">
        <v>0</v>
      </c>
      <c r="W731" t="inlineStr">
        <is>
          <t>Heavy</t>
        </is>
      </c>
      <c r="X731" t="b">
        <v>0</v>
      </c>
      <c r="Y731" t="n">
        <v>0.25</v>
      </c>
    </row>
    <row r="732">
      <c r="A732" t="inlineStr">
        <is>
          <t>O00731</t>
        </is>
      </c>
      <c r="B732" t="inlineStr">
        <is>
          <t>C0173</t>
        </is>
      </c>
      <c r="C732" t="inlineStr">
        <is>
          <t>S012</t>
        </is>
      </c>
      <c r="D732" t="inlineStr">
        <is>
          <t>R047</t>
        </is>
      </c>
      <c r="E732" s="3" t="n">
        <v>46269.93680555555</v>
      </c>
      <c r="F732" s="3" t="n">
        <v>46269.94472222222</v>
      </c>
      <c r="G732" s="3" t="n">
        <v>46269.94444444445</v>
      </c>
      <c r="H732" t="inlineStr">
        <is>
          <t>Delivered</t>
        </is>
      </c>
      <c r="I732" t="n">
        <v>4</v>
      </c>
      <c r="J732" t="n">
        <v>9</v>
      </c>
      <c r="K732" t="n">
        <v>408.66</v>
      </c>
      <c r="L732" t="n">
        <v>2.73</v>
      </c>
      <c r="M732" t="n">
        <v>3.6</v>
      </c>
      <c r="N732" t="n">
        <v>1.9</v>
      </c>
      <c r="O732" t="n">
        <v>5.5</v>
      </c>
      <c r="P732" t="n">
        <v>11.4</v>
      </c>
      <c r="Q732" t="n">
        <v>11</v>
      </c>
      <c r="R732" t="n">
        <v>-0.4</v>
      </c>
      <c r="S732" t="b">
        <v>1</v>
      </c>
      <c r="U732" t="n">
        <v>22</v>
      </c>
      <c r="V732" t="b">
        <v>0</v>
      </c>
      <c r="X732" t="b">
        <v>0</v>
      </c>
      <c r="Y732" t="n">
        <v>0.86</v>
      </c>
    </row>
    <row r="733">
      <c r="A733" t="inlineStr">
        <is>
          <t>O00732</t>
        </is>
      </c>
      <c r="B733" t="inlineStr">
        <is>
          <t>C0067</t>
        </is>
      </c>
      <c r="C733" t="inlineStr">
        <is>
          <t>S002</t>
        </is>
      </c>
      <c r="E733" s="3" t="n">
        <v>46270.78263888889</v>
      </c>
      <c r="F733" s="3" t="n">
        <v>46270.78944444445</v>
      </c>
      <c r="H733" t="inlineStr">
        <is>
          <t>Cancelled</t>
        </is>
      </c>
      <c r="I733" t="n">
        <v>5</v>
      </c>
      <c r="J733" t="n">
        <v>7</v>
      </c>
      <c r="K733" t="n">
        <v>369.81</v>
      </c>
      <c r="L733" t="n">
        <v>0.84</v>
      </c>
      <c r="M733" t="n">
        <v>3.2</v>
      </c>
      <c r="N733" t="n">
        <v>2.9</v>
      </c>
      <c r="O733" t="n">
        <v>3</v>
      </c>
      <c r="P733" t="n">
        <v>9.800000000000001</v>
      </c>
      <c r="T733" t="inlineStr">
        <is>
          <t>Rider unavailable</t>
        </is>
      </c>
      <c r="U733" t="n">
        <v>18</v>
      </c>
      <c r="V733" t="b">
        <v>0</v>
      </c>
      <c r="X733" t="b">
        <v>0</v>
      </c>
      <c r="Y733" t="n">
        <v>0.41</v>
      </c>
    </row>
    <row r="734">
      <c r="A734" t="inlineStr">
        <is>
          <t>O00733</t>
        </is>
      </c>
      <c r="B734" t="inlineStr">
        <is>
          <t>C0032</t>
        </is>
      </c>
      <c r="C734" t="inlineStr">
        <is>
          <t>S008</t>
        </is>
      </c>
      <c r="D734" t="inlineStr">
        <is>
          <t>R011</t>
        </is>
      </c>
      <c r="E734" s="3" t="n">
        <v>46269.73194444444</v>
      </c>
      <c r="F734" s="3" t="n">
        <v>46269.73930555556</v>
      </c>
      <c r="G734" s="3" t="n">
        <v>46269.73909722222</v>
      </c>
      <c r="H734" t="inlineStr">
        <is>
          <t>Delivered</t>
        </is>
      </c>
      <c r="I734" t="n">
        <v>3</v>
      </c>
      <c r="J734" t="n">
        <v>8</v>
      </c>
      <c r="K734" t="n">
        <v>1363.16</v>
      </c>
      <c r="L734" t="n">
        <v>0.9399999999999999</v>
      </c>
      <c r="M734" t="n">
        <v>3.8</v>
      </c>
      <c r="N734" t="n">
        <v>3.4</v>
      </c>
      <c r="O734" t="n">
        <v>3.1</v>
      </c>
      <c r="P734" t="n">
        <v>10.6</v>
      </c>
      <c r="Q734" t="n">
        <v>10.3</v>
      </c>
      <c r="R734" t="n">
        <v>-0.3</v>
      </c>
      <c r="S734" t="b">
        <v>1</v>
      </c>
      <c r="U734" t="n">
        <v>17</v>
      </c>
      <c r="V734" t="b">
        <v>0</v>
      </c>
      <c r="X734" t="b">
        <v>0</v>
      </c>
      <c r="Y734" t="n">
        <v>0.43</v>
      </c>
    </row>
    <row r="735">
      <c r="A735" t="inlineStr">
        <is>
          <t>O00734</t>
        </is>
      </c>
      <c r="B735" t="inlineStr">
        <is>
          <t>C0237</t>
        </is>
      </c>
      <c r="C735" t="inlineStr">
        <is>
          <t>S003</t>
        </is>
      </c>
      <c r="D735" t="inlineStr">
        <is>
          <t>R026</t>
        </is>
      </c>
      <c r="E735" s="3" t="n">
        <v>46271.85</v>
      </c>
      <c r="F735" s="3" t="n">
        <v>46271.85659722222</v>
      </c>
      <c r="G735" s="3" t="n">
        <v>46271.85618055556</v>
      </c>
      <c r="H735" t="inlineStr">
        <is>
          <t>Delivered</t>
        </is>
      </c>
      <c r="I735" t="n">
        <v>3</v>
      </c>
      <c r="J735" t="n">
        <v>4</v>
      </c>
      <c r="K735" t="n">
        <v>1398.57</v>
      </c>
      <c r="L735" t="n">
        <v>2.1</v>
      </c>
      <c r="M735" t="n">
        <v>2.3</v>
      </c>
      <c r="N735" t="n">
        <v>3.1</v>
      </c>
      <c r="O735" t="n">
        <v>3.5</v>
      </c>
      <c r="P735" t="n">
        <v>9.5</v>
      </c>
      <c r="Q735" t="n">
        <v>8.9</v>
      </c>
      <c r="R735" t="n">
        <v>-0.6</v>
      </c>
      <c r="S735" t="b">
        <v>1</v>
      </c>
      <c r="U735" t="n">
        <v>20</v>
      </c>
      <c r="V735" t="b">
        <v>1</v>
      </c>
      <c r="X735" t="b">
        <v>0</v>
      </c>
      <c r="Y735" t="n">
        <v>0.7</v>
      </c>
    </row>
    <row r="736">
      <c r="A736" t="inlineStr">
        <is>
          <t>O00735</t>
        </is>
      </c>
      <c r="B736" t="inlineStr">
        <is>
          <t>C0167</t>
        </is>
      </c>
      <c r="C736" t="inlineStr">
        <is>
          <t>S018</t>
        </is>
      </c>
      <c r="D736" t="inlineStr">
        <is>
          <t>R022</t>
        </is>
      </c>
      <c r="E736" s="3" t="n">
        <v>46270.82013888889</v>
      </c>
      <c r="F736" s="3" t="n">
        <v>46270.82666666667</v>
      </c>
      <c r="G736" s="3" t="n">
        <v>46270.82597222222</v>
      </c>
      <c r="H736" t="inlineStr">
        <is>
          <t>Delivered</t>
        </is>
      </c>
      <c r="I736" t="n">
        <v>3</v>
      </c>
      <c r="J736" t="n">
        <v>5</v>
      </c>
      <c r="K736" t="n">
        <v>574.5599999999999</v>
      </c>
      <c r="L736" t="n">
        <v>1.14</v>
      </c>
      <c r="M736" t="n">
        <v>3.2</v>
      </c>
      <c r="N736" t="n">
        <v>1.7</v>
      </c>
      <c r="O736" t="n">
        <v>3.5</v>
      </c>
      <c r="P736" t="n">
        <v>9.4</v>
      </c>
      <c r="Q736" t="n">
        <v>8.4</v>
      </c>
      <c r="R736" t="n">
        <v>-1</v>
      </c>
      <c r="S736" t="b">
        <v>1</v>
      </c>
      <c r="U736" t="n">
        <v>19</v>
      </c>
      <c r="V736" t="b">
        <v>1</v>
      </c>
      <c r="X736" t="b">
        <v>0</v>
      </c>
      <c r="Y736" t="n">
        <v>0.6</v>
      </c>
    </row>
    <row r="737">
      <c r="A737" t="inlineStr">
        <is>
          <t>O00736</t>
        </is>
      </c>
      <c r="B737" t="inlineStr">
        <is>
          <t>C0081</t>
        </is>
      </c>
      <c r="C737" t="inlineStr">
        <is>
          <t>S016</t>
        </is>
      </c>
      <c r="D737" t="inlineStr">
        <is>
          <t>R037</t>
        </is>
      </c>
      <c r="E737" s="3" t="n">
        <v>46269.45625</v>
      </c>
      <c r="F737" s="3" t="n">
        <v>46269.46583333334</v>
      </c>
      <c r="G737" s="3" t="n">
        <v>46269.46854166667</v>
      </c>
      <c r="H737" t="inlineStr">
        <is>
          <t>Delivered</t>
        </is>
      </c>
      <c r="I737" t="n">
        <v>5</v>
      </c>
      <c r="J737" t="n">
        <v>10</v>
      </c>
      <c r="K737" t="n">
        <v>1600.66</v>
      </c>
      <c r="L737" t="n">
        <v>1.48</v>
      </c>
      <c r="M737" t="n">
        <v>7.2</v>
      </c>
      <c r="N737" t="n">
        <v>5.8</v>
      </c>
      <c r="O737" t="n">
        <v>4.6</v>
      </c>
      <c r="P737" t="n">
        <v>13.8</v>
      </c>
      <c r="Q737" t="n">
        <v>17.7</v>
      </c>
      <c r="R737" t="n">
        <v>3.9</v>
      </c>
      <c r="S737" t="b">
        <v>0</v>
      </c>
      <c r="U737" t="n">
        <v>10</v>
      </c>
      <c r="V737" t="b">
        <v>0</v>
      </c>
      <c r="X737" t="b">
        <v>0</v>
      </c>
      <c r="Y737" t="n">
        <v>0.32</v>
      </c>
    </row>
    <row r="738">
      <c r="A738" t="inlineStr">
        <is>
          <t>O00737</t>
        </is>
      </c>
      <c r="B738" t="inlineStr">
        <is>
          <t>C0179</t>
        </is>
      </c>
      <c r="C738" t="inlineStr">
        <is>
          <t>S012</t>
        </is>
      </c>
      <c r="D738" t="inlineStr">
        <is>
          <t>R074</t>
        </is>
      </c>
      <c r="E738" s="3" t="n">
        <v>46272.89652777778</v>
      </c>
      <c r="F738" s="3" t="n">
        <v>46272.90423611111</v>
      </c>
      <c r="G738" s="3" t="n">
        <v>46272.90354166667</v>
      </c>
      <c r="H738" t="inlineStr">
        <is>
          <t>Delivered</t>
        </is>
      </c>
      <c r="I738" t="n">
        <v>4</v>
      </c>
      <c r="J738" t="n">
        <v>8</v>
      </c>
      <c r="K738" t="n">
        <v>283.67</v>
      </c>
      <c r="L738" t="n">
        <v>2.08</v>
      </c>
      <c r="M738" t="n">
        <v>1.8</v>
      </c>
      <c r="N738" t="n">
        <v>4.1</v>
      </c>
      <c r="O738" t="n">
        <v>4.2</v>
      </c>
      <c r="P738" t="n">
        <v>11.1</v>
      </c>
      <c r="Q738" t="n">
        <v>10.1</v>
      </c>
      <c r="R738" t="n">
        <v>-1</v>
      </c>
      <c r="S738" t="b">
        <v>1</v>
      </c>
      <c r="U738" t="n">
        <v>21</v>
      </c>
      <c r="V738" t="b">
        <v>1</v>
      </c>
      <c r="W738" t="inlineStr">
        <is>
          <t>Light</t>
        </is>
      </c>
      <c r="X738" t="b">
        <v>0</v>
      </c>
      <c r="Y738" t="n">
        <v>0.88</v>
      </c>
    </row>
    <row r="739">
      <c r="A739" t="inlineStr">
        <is>
          <t>O00738</t>
        </is>
      </c>
      <c r="B739" t="inlineStr">
        <is>
          <t>C0154</t>
        </is>
      </c>
      <c r="C739" t="inlineStr">
        <is>
          <t>S010</t>
        </is>
      </c>
      <c r="D739" t="inlineStr">
        <is>
          <t>R020</t>
        </is>
      </c>
      <c r="E739" s="3" t="n">
        <v>46273.92222222222</v>
      </c>
      <c r="F739" s="3" t="n">
        <v>46273.92979166667</v>
      </c>
      <c r="G739" s="3" t="n">
        <v>46273.92930555555</v>
      </c>
      <c r="H739" t="inlineStr">
        <is>
          <t>Delivered</t>
        </is>
      </c>
      <c r="I739" t="n">
        <v>4</v>
      </c>
      <c r="J739" t="n">
        <v>10</v>
      </c>
      <c r="K739" t="n">
        <v>647.52</v>
      </c>
      <c r="L739" t="n">
        <v>1.72</v>
      </c>
      <c r="M739" t="n">
        <v>3.2</v>
      </c>
      <c r="N739" t="n">
        <v>4.1</v>
      </c>
      <c r="O739" t="n">
        <v>2.9</v>
      </c>
      <c r="P739" t="n">
        <v>10.9</v>
      </c>
      <c r="Q739" t="n">
        <v>10.2</v>
      </c>
      <c r="R739" t="n">
        <v>-0.7</v>
      </c>
      <c r="S739" t="b">
        <v>1</v>
      </c>
      <c r="U739" t="n">
        <v>22</v>
      </c>
      <c r="V739" t="b">
        <v>0</v>
      </c>
      <c r="X739" t="b">
        <v>0</v>
      </c>
      <c r="Y739" t="n">
        <v>0.62</v>
      </c>
    </row>
    <row r="740">
      <c r="A740" t="inlineStr">
        <is>
          <t>O00739</t>
        </is>
      </c>
      <c r="B740" t="inlineStr">
        <is>
          <t>C0202</t>
        </is>
      </c>
      <c r="C740" t="inlineStr">
        <is>
          <t>S019</t>
        </is>
      </c>
      <c r="D740" t="inlineStr">
        <is>
          <t>R061</t>
        </is>
      </c>
      <c r="E740" s="3" t="n">
        <v>46277.94236111111</v>
      </c>
      <c r="F740" s="3" t="n">
        <v>46277.94868055556</v>
      </c>
      <c r="G740" s="3" t="n">
        <v>46277.94840277778</v>
      </c>
      <c r="H740" t="inlineStr">
        <is>
          <t>Delivered</t>
        </is>
      </c>
      <c r="I740" t="n">
        <v>1</v>
      </c>
      <c r="J740" t="n">
        <v>6</v>
      </c>
      <c r="K740" t="n">
        <v>508.9</v>
      </c>
      <c r="L740" t="n">
        <v>1.52</v>
      </c>
      <c r="M740" t="n">
        <v>3.7</v>
      </c>
      <c r="N740" t="n">
        <v>1.4</v>
      </c>
      <c r="O740" t="n">
        <v>3.6</v>
      </c>
      <c r="P740" t="n">
        <v>9.1</v>
      </c>
      <c r="Q740" t="n">
        <v>8.699999999999999</v>
      </c>
      <c r="R740" t="n">
        <v>-0.4</v>
      </c>
      <c r="S740" t="b">
        <v>1</v>
      </c>
      <c r="U740" t="n">
        <v>22</v>
      </c>
      <c r="V740" t="b">
        <v>0</v>
      </c>
      <c r="W740" t="inlineStr">
        <is>
          <t>Heavy</t>
        </is>
      </c>
      <c r="X740" t="b">
        <v>0</v>
      </c>
      <c r="Y740" t="n">
        <v>0.45</v>
      </c>
    </row>
    <row r="741">
      <c r="A741" t="inlineStr">
        <is>
          <t>O00740</t>
        </is>
      </c>
      <c r="B741" t="inlineStr">
        <is>
          <t>C0207</t>
        </is>
      </c>
      <c r="C741" t="inlineStr">
        <is>
          <t>S009</t>
        </is>
      </c>
      <c r="D741" t="inlineStr">
        <is>
          <t>R053</t>
        </is>
      </c>
      <c r="E741" s="3" t="n">
        <v>46269.60138888889</v>
      </c>
      <c r="F741" s="3" t="n">
        <v>46269.60784722222</v>
      </c>
      <c r="G741" s="3" t="n">
        <v>46269.60701388889</v>
      </c>
      <c r="H741" t="inlineStr">
        <is>
          <t>Delivered</t>
        </is>
      </c>
      <c r="I741" t="n">
        <v>4</v>
      </c>
      <c r="J741" t="n">
        <v>8</v>
      </c>
      <c r="K741" t="n">
        <v>1655.67</v>
      </c>
      <c r="L741" t="n">
        <v>2.8</v>
      </c>
      <c r="M741" t="n">
        <v>1.9</v>
      </c>
      <c r="N741" t="n">
        <v>1.7</v>
      </c>
      <c r="O741" t="n">
        <v>4.5</v>
      </c>
      <c r="P741" t="n">
        <v>9.300000000000001</v>
      </c>
      <c r="Q741" t="n">
        <v>8.1</v>
      </c>
      <c r="R741" t="n">
        <v>-1.2</v>
      </c>
      <c r="S741" t="b">
        <v>1</v>
      </c>
      <c r="U741" t="n">
        <v>14</v>
      </c>
      <c r="V741" t="b">
        <v>0</v>
      </c>
      <c r="X741" t="b">
        <v>0</v>
      </c>
      <c r="Y741" t="n">
        <v>0.18</v>
      </c>
    </row>
    <row r="742">
      <c r="A742" t="inlineStr">
        <is>
          <t>O00741</t>
        </is>
      </c>
      <c r="B742" t="inlineStr">
        <is>
          <t>C0073</t>
        </is>
      </c>
      <c r="C742" t="inlineStr">
        <is>
          <t>S008</t>
        </is>
      </c>
      <c r="D742" t="inlineStr">
        <is>
          <t>R028</t>
        </is>
      </c>
      <c r="E742" s="3" t="n">
        <v>46277.81597222222</v>
      </c>
      <c r="F742" s="3" t="n">
        <v>46277.82256944444</v>
      </c>
      <c r="G742" s="3" t="n">
        <v>46277.82798611111</v>
      </c>
      <c r="H742" t="inlineStr">
        <is>
          <t>Delivered</t>
        </is>
      </c>
      <c r="I742" t="n">
        <v>1</v>
      </c>
      <c r="J742" t="n">
        <v>9</v>
      </c>
      <c r="K742" t="n">
        <v>447.12</v>
      </c>
      <c r="L742" t="n">
        <v>1.6</v>
      </c>
      <c r="M742" t="n">
        <v>4.9</v>
      </c>
      <c r="N742" t="n">
        <v>6.8</v>
      </c>
      <c r="O742" t="n">
        <v>5.6</v>
      </c>
      <c r="P742" t="n">
        <v>9.5</v>
      </c>
      <c r="Q742" t="n">
        <v>17.3</v>
      </c>
      <c r="R742" t="n">
        <v>7.8</v>
      </c>
      <c r="S742" t="b">
        <v>0</v>
      </c>
      <c r="U742" t="n">
        <v>19</v>
      </c>
      <c r="V742" t="b">
        <v>1</v>
      </c>
      <c r="X742" t="b">
        <v>0</v>
      </c>
      <c r="Y742" t="n">
        <v>0.87</v>
      </c>
    </row>
    <row r="743">
      <c r="A743" t="inlineStr">
        <is>
          <t>O00742</t>
        </is>
      </c>
      <c r="B743" t="inlineStr">
        <is>
          <t>C0070</t>
        </is>
      </c>
      <c r="C743" t="inlineStr">
        <is>
          <t>S015</t>
        </is>
      </c>
      <c r="D743" t="inlineStr">
        <is>
          <t>R075</t>
        </is>
      </c>
      <c r="E743" s="3" t="n">
        <v>46266.38263888889</v>
      </c>
      <c r="F743" s="3" t="n">
        <v>46266.39048611111</v>
      </c>
      <c r="G743" s="3" t="n">
        <v>46266.39027777778</v>
      </c>
      <c r="H743" t="inlineStr">
        <is>
          <t>Delivered</t>
        </is>
      </c>
      <c r="I743" t="n">
        <v>1</v>
      </c>
      <c r="J743" t="n">
        <v>9</v>
      </c>
      <c r="K743" t="n">
        <v>994.45</v>
      </c>
      <c r="L743" t="n">
        <v>2.46</v>
      </c>
      <c r="M743" t="n">
        <v>3.4</v>
      </c>
      <c r="N743" t="n">
        <v>2.6</v>
      </c>
      <c r="O743" t="n">
        <v>5</v>
      </c>
      <c r="P743" t="n">
        <v>11.3</v>
      </c>
      <c r="Q743" t="n">
        <v>11</v>
      </c>
      <c r="R743" t="n">
        <v>-0.3</v>
      </c>
      <c r="S743" t="b">
        <v>1</v>
      </c>
      <c r="U743" t="n">
        <v>9</v>
      </c>
      <c r="V743" t="b">
        <v>0</v>
      </c>
      <c r="X743" t="b">
        <v>0</v>
      </c>
      <c r="Y743" t="n">
        <v>0.91</v>
      </c>
    </row>
    <row r="744">
      <c r="A744" t="inlineStr">
        <is>
          <t>O00743</t>
        </is>
      </c>
      <c r="B744" t="inlineStr">
        <is>
          <t>C0121</t>
        </is>
      </c>
      <c r="C744" t="inlineStr">
        <is>
          <t>S014</t>
        </is>
      </c>
      <c r="E744" s="3" t="n">
        <v>46278.88541666666</v>
      </c>
      <c r="F744" s="3" t="n">
        <v>46278.89083333333</v>
      </c>
      <c r="H744" t="inlineStr">
        <is>
          <t>Cancelled</t>
        </is>
      </c>
      <c r="I744" t="n">
        <v>2</v>
      </c>
      <c r="J744" t="n">
        <v>10</v>
      </c>
      <c r="K744" t="n">
        <v>1434.31</v>
      </c>
      <c r="L744" t="n">
        <v>1.41</v>
      </c>
      <c r="M744" t="n">
        <v>6.4</v>
      </c>
      <c r="N744" t="n">
        <v>7.1</v>
      </c>
      <c r="O744" t="n">
        <v>4.2</v>
      </c>
      <c r="P744" t="n">
        <v>7.8</v>
      </c>
      <c r="T744" t="inlineStr">
        <is>
          <t>Rider unavailable</t>
        </is>
      </c>
      <c r="U744" t="n">
        <v>21</v>
      </c>
      <c r="V744" t="b">
        <v>1</v>
      </c>
      <c r="X744" t="b">
        <v>0</v>
      </c>
      <c r="Y744" t="n">
        <v>0.53</v>
      </c>
    </row>
    <row r="745">
      <c r="A745" t="inlineStr">
        <is>
          <t>O00744</t>
        </is>
      </c>
      <c r="B745" t="inlineStr">
        <is>
          <t>C0138</t>
        </is>
      </c>
      <c r="C745" t="inlineStr">
        <is>
          <t>S007</t>
        </is>
      </c>
      <c r="D745" t="inlineStr">
        <is>
          <t>R060</t>
        </is>
      </c>
      <c r="E745" s="3" t="n">
        <v>46275.86111111111</v>
      </c>
      <c r="F745" s="3" t="n">
        <v>46275.86875</v>
      </c>
      <c r="G745" s="3" t="n">
        <v>46275.86826388889</v>
      </c>
      <c r="H745" t="inlineStr">
        <is>
          <t>Delivered</t>
        </is>
      </c>
      <c r="I745" t="n">
        <v>1</v>
      </c>
      <c r="J745" t="n">
        <v>5</v>
      </c>
      <c r="K745" t="n">
        <v>472.14</v>
      </c>
      <c r="L745" t="n">
        <v>3.78</v>
      </c>
      <c r="M745" t="n">
        <v>2.9</v>
      </c>
      <c r="N745" t="n">
        <v>2.6</v>
      </c>
      <c r="O745" t="n">
        <v>4.8</v>
      </c>
      <c r="P745" t="n">
        <v>11</v>
      </c>
      <c r="Q745" t="n">
        <v>10.3</v>
      </c>
      <c r="R745" t="n">
        <v>-0.7</v>
      </c>
      <c r="S745" t="b">
        <v>1</v>
      </c>
      <c r="U745" t="n">
        <v>20</v>
      </c>
      <c r="V745" t="b">
        <v>1</v>
      </c>
      <c r="X745" t="b">
        <v>0</v>
      </c>
      <c r="Y745" t="n">
        <v>0.75</v>
      </c>
    </row>
    <row r="746">
      <c r="A746" t="inlineStr">
        <is>
          <t>O00745</t>
        </is>
      </c>
      <c r="B746" t="inlineStr">
        <is>
          <t>C0202</t>
        </is>
      </c>
      <c r="C746" t="inlineStr">
        <is>
          <t>S014</t>
        </is>
      </c>
      <c r="D746" t="inlineStr">
        <is>
          <t>R041</t>
        </is>
      </c>
      <c r="E746" s="3" t="n">
        <v>46279.43402777778</v>
      </c>
      <c r="F746" s="3" t="n">
        <v>46279.44222222222</v>
      </c>
      <c r="G746" s="3" t="n">
        <v>46279.44145833333</v>
      </c>
      <c r="H746" t="inlineStr">
        <is>
          <t>Delivered</t>
        </is>
      </c>
      <c r="I746" t="n">
        <v>4</v>
      </c>
      <c r="J746" t="n">
        <v>7</v>
      </c>
      <c r="K746" t="n">
        <v>614.84</v>
      </c>
      <c r="L746" t="n">
        <v>3.3</v>
      </c>
      <c r="M746" t="n">
        <v>2.6</v>
      </c>
      <c r="N746" t="n">
        <v>3.6</v>
      </c>
      <c r="O746" t="n">
        <v>4.5</v>
      </c>
      <c r="P746" t="n">
        <v>11.8</v>
      </c>
      <c r="Q746" t="n">
        <v>10.7</v>
      </c>
      <c r="R746" t="n">
        <v>-1.1</v>
      </c>
      <c r="S746" t="b">
        <v>1</v>
      </c>
      <c r="U746" t="n">
        <v>10</v>
      </c>
      <c r="V746" t="b">
        <v>0</v>
      </c>
      <c r="X746" t="b">
        <v>0</v>
      </c>
      <c r="Y746" t="n">
        <v>0.38</v>
      </c>
    </row>
    <row r="747">
      <c r="A747" t="inlineStr">
        <is>
          <t>O00746</t>
        </is>
      </c>
      <c r="B747" t="inlineStr">
        <is>
          <t>C0238</t>
        </is>
      </c>
      <c r="C747" t="inlineStr">
        <is>
          <t>S001</t>
        </is>
      </c>
      <c r="D747" t="inlineStr">
        <is>
          <t>R050</t>
        </is>
      </c>
      <c r="E747" s="3" t="n">
        <v>46269.94236111111</v>
      </c>
      <c r="F747" s="3" t="n">
        <v>46269.94972222222</v>
      </c>
      <c r="G747" s="3" t="n">
        <v>46269.94902777778</v>
      </c>
      <c r="H747" t="inlineStr">
        <is>
          <t>Delivered</t>
        </is>
      </c>
      <c r="I747" t="n">
        <v>5</v>
      </c>
      <c r="J747" t="n">
        <v>7</v>
      </c>
      <c r="K747" t="n">
        <v>442.35</v>
      </c>
      <c r="L747" t="n">
        <v>0.5</v>
      </c>
      <c r="M747" t="n">
        <v>3.3</v>
      </c>
      <c r="N747" t="n">
        <v>3.7</v>
      </c>
      <c r="O747" t="n">
        <v>2.6</v>
      </c>
      <c r="P747" t="n">
        <v>10.6</v>
      </c>
      <c r="Q747" t="n">
        <v>9.6</v>
      </c>
      <c r="R747" t="n">
        <v>-1</v>
      </c>
      <c r="S747" t="b">
        <v>1</v>
      </c>
      <c r="U747" t="n">
        <v>22</v>
      </c>
      <c r="V747" t="b">
        <v>0</v>
      </c>
      <c r="X747" t="b">
        <v>0</v>
      </c>
      <c r="Y747" t="n">
        <v>0.64</v>
      </c>
    </row>
    <row r="748">
      <c r="A748" t="inlineStr">
        <is>
          <t>O00747</t>
        </is>
      </c>
      <c r="B748" t="inlineStr">
        <is>
          <t>C0171</t>
        </is>
      </c>
      <c r="C748" t="inlineStr">
        <is>
          <t>S014</t>
        </is>
      </c>
      <c r="D748" t="inlineStr">
        <is>
          <t>R041</t>
        </is>
      </c>
      <c r="E748" s="3" t="n">
        <v>46276.75069444445</v>
      </c>
      <c r="F748" s="3" t="n">
        <v>46276.75743055555</v>
      </c>
      <c r="G748" s="3" t="n">
        <v>46276.75694444445</v>
      </c>
      <c r="H748" t="inlineStr">
        <is>
          <t>Delivered</t>
        </is>
      </c>
      <c r="I748" t="n">
        <v>1</v>
      </c>
      <c r="J748" t="n">
        <v>5</v>
      </c>
      <c r="K748" t="n">
        <v>455.15</v>
      </c>
      <c r="L748" t="n">
        <v>1.79</v>
      </c>
      <c r="M748" t="n">
        <v>2.2</v>
      </c>
      <c r="N748" t="n">
        <v>4.2</v>
      </c>
      <c r="O748" t="n">
        <v>2.6</v>
      </c>
      <c r="P748" t="n">
        <v>9.699999999999999</v>
      </c>
      <c r="Q748" t="n">
        <v>9</v>
      </c>
      <c r="R748" t="n">
        <v>-0.7</v>
      </c>
      <c r="S748" t="b">
        <v>1</v>
      </c>
      <c r="U748" t="n">
        <v>18</v>
      </c>
      <c r="V748" t="b">
        <v>0</v>
      </c>
      <c r="X748" t="b">
        <v>0</v>
      </c>
      <c r="Y748" t="n">
        <v>0.43</v>
      </c>
    </row>
    <row r="749">
      <c r="A749" t="inlineStr">
        <is>
          <t>O00748</t>
        </is>
      </c>
      <c r="B749" t="inlineStr">
        <is>
          <t>C0053</t>
        </is>
      </c>
      <c r="C749" t="inlineStr">
        <is>
          <t>S017</t>
        </is>
      </c>
      <c r="D749" t="inlineStr">
        <is>
          <t>R031</t>
        </is>
      </c>
      <c r="E749" s="3" t="n">
        <v>46278.92569444444</v>
      </c>
      <c r="F749" s="3" t="n">
        <v>46278.93340277778</v>
      </c>
      <c r="G749" s="3" t="n">
        <v>46278.93923611111</v>
      </c>
      <c r="H749" t="inlineStr">
        <is>
          <t>Delivered</t>
        </is>
      </c>
      <c r="I749" t="n">
        <v>6</v>
      </c>
      <c r="J749" t="n">
        <v>10</v>
      </c>
      <c r="K749" t="n">
        <v>822.3200000000001</v>
      </c>
      <c r="L749" t="n">
        <v>3.4</v>
      </c>
      <c r="M749" t="n">
        <v>4.2</v>
      </c>
      <c r="N749" t="n">
        <v>7.5</v>
      </c>
      <c r="O749" t="n">
        <v>7.8</v>
      </c>
      <c r="P749" t="n">
        <v>11.1</v>
      </c>
      <c r="Q749" t="n">
        <v>19.5</v>
      </c>
      <c r="R749" t="n">
        <v>8.4</v>
      </c>
      <c r="S749" t="b">
        <v>0</v>
      </c>
      <c r="U749" t="n">
        <v>22</v>
      </c>
      <c r="V749" t="b">
        <v>0</v>
      </c>
      <c r="X749" t="b">
        <v>0</v>
      </c>
      <c r="Y749" t="n">
        <v>0.47</v>
      </c>
    </row>
    <row r="750">
      <c r="A750" t="inlineStr">
        <is>
          <t>O00749</t>
        </is>
      </c>
      <c r="B750" t="inlineStr">
        <is>
          <t>C0033</t>
        </is>
      </c>
      <c r="C750" t="inlineStr">
        <is>
          <t>S016</t>
        </is>
      </c>
      <c r="D750" t="inlineStr">
        <is>
          <t>R002</t>
        </is>
      </c>
      <c r="E750" s="3" t="n">
        <v>46271.72777777778</v>
      </c>
      <c r="F750" s="3" t="n">
        <v>46271.73569444445</v>
      </c>
      <c r="G750" s="3" t="n">
        <v>46271.74458333333</v>
      </c>
      <c r="H750" t="inlineStr">
        <is>
          <t>Delivered</t>
        </is>
      </c>
      <c r="I750" t="n">
        <v>1</v>
      </c>
      <c r="J750" t="n">
        <v>5</v>
      </c>
      <c r="K750" t="n">
        <v>347.4</v>
      </c>
      <c r="L750" t="n">
        <v>2.6</v>
      </c>
      <c r="M750" t="n">
        <v>6.3</v>
      </c>
      <c r="N750" t="n">
        <v>10</v>
      </c>
      <c r="O750" t="n">
        <v>7.8</v>
      </c>
      <c r="P750" t="n">
        <v>11.4</v>
      </c>
      <c r="Q750" t="n">
        <v>24.2</v>
      </c>
      <c r="R750" t="n">
        <v>12.8</v>
      </c>
      <c r="S750" t="b">
        <v>0</v>
      </c>
      <c r="U750" t="n">
        <v>17</v>
      </c>
      <c r="V750" t="b">
        <v>0</v>
      </c>
      <c r="X750" t="b">
        <v>0</v>
      </c>
      <c r="Y750" t="n">
        <v>0.54</v>
      </c>
    </row>
    <row r="751">
      <c r="A751" t="inlineStr">
        <is>
          <t>O00750</t>
        </is>
      </c>
      <c r="B751" t="inlineStr">
        <is>
          <t>C0116</t>
        </is>
      </c>
      <c r="C751" t="inlineStr">
        <is>
          <t>S009</t>
        </is>
      </c>
      <c r="D751" t="inlineStr">
        <is>
          <t>R042</t>
        </is>
      </c>
      <c r="E751" s="3" t="n">
        <v>46273.77847222222</v>
      </c>
      <c r="F751" s="3" t="n">
        <v>46273.78708333334</v>
      </c>
      <c r="G751" s="3" t="n">
        <v>46273.78506944444</v>
      </c>
      <c r="H751" t="inlineStr">
        <is>
          <t>Delivered</t>
        </is>
      </c>
      <c r="I751" t="n">
        <v>1</v>
      </c>
      <c r="J751" t="n">
        <v>8</v>
      </c>
      <c r="K751" t="n">
        <v>1221.73</v>
      </c>
      <c r="L751" t="n">
        <v>1.53</v>
      </c>
      <c r="M751" t="n">
        <v>4.3</v>
      </c>
      <c r="N751" t="n">
        <v>0.8</v>
      </c>
      <c r="O751" t="n">
        <v>4.4</v>
      </c>
      <c r="P751" t="n">
        <v>12.4</v>
      </c>
      <c r="Q751" t="n">
        <v>9.5</v>
      </c>
      <c r="R751" t="n">
        <v>-2.9</v>
      </c>
      <c r="S751" t="b">
        <v>1</v>
      </c>
      <c r="U751" t="n">
        <v>18</v>
      </c>
      <c r="V751" t="b">
        <v>0</v>
      </c>
      <c r="X751" t="b">
        <v>1</v>
      </c>
      <c r="Y751" t="n">
        <v>0.42</v>
      </c>
    </row>
    <row r="752">
      <c r="A752" t="inlineStr">
        <is>
          <t>O00751</t>
        </is>
      </c>
      <c r="B752" t="inlineStr">
        <is>
          <t>C0123</t>
        </is>
      </c>
      <c r="C752" t="inlineStr">
        <is>
          <t>S004</t>
        </is>
      </c>
      <c r="D752" t="inlineStr">
        <is>
          <t>R026</t>
        </is>
      </c>
      <c r="E752" s="3" t="n">
        <v>46275.46736111111</v>
      </c>
      <c r="F752" s="3" t="n">
        <v>46275.47381944444</v>
      </c>
      <c r="G752" s="3" t="n">
        <v>46275.47263888889</v>
      </c>
      <c r="H752" t="inlineStr">
        <is>
          <t>Delivered</t>
        </is>
      </c>
      <c r="I752" t="n">
        <v>6</v>
      </c>
      <c r="J752" t="n">
        <v>7</v>
      </c>
      <c r="K752" t="n">
        <v>1711.9</v>
      </c>
      <c r="L752" t="n">
        <v>0.74</v>
      </c>
      <c r="M752" t="n">
        <v>1</v>
      </c>
      <c r="N752" t="n">
        <v>4.1</v>
      </c>
      <c r="O752" t="n">
        <v>2.5</v>
      </c>
      <c r="P752" t="n">
        <v>9.300000000000001</v>
      </c>
      <c r="Q752" t="n">
        <v>7.6</v>
      </c>
      <c r="R752" t="n">
        <v>-1.7</v>
      </c>
      <c r="S752" t="b">
        <v>1</v>
      </c>
      <c r="U752" t="n">
        <v>11</v>
      </c>
      <c r="V752" t="b">
        <v>0</v>
      </c>
      <c r="X752" t="b">
        <v>0</v>
      </c>
      <c r="Y752" t="n">
        <v>0.33</v>
      </c>
    </row>
    <row r="753">
      <c r="A753" t="inlineStr">
        <is>
          <t>O00752</t>
        </is>
      </c>
      <c r="B753" t="inlineStr">
        <is>
          <t>C0147</t>
        </is>
      </c>
      <c r="C753" t="inlineStr">
        <is>
          <t>S015</t>
        </is>
      </c>
      <c r="D753" t="inlineStr">
        <is>
          <t>R078</t>
        </is>
      </c>
      <c r="E753" s="3" t="n">
        <v>46267.93541666667</v>
      </c>
      <c r="F753" s="3" t="n">
        <v>46267.943125</v>
      </c>
      <c r="G753" s="3" t="n">
        <v>46267.9425</v>
      </c>
      <c r="H753" t="inlineStr">
        <is>
          <t>Delivered</t>
        </is>
      </c>
      <c r="I753" t="n">
        <v>4</v>
      </c>
      <c r="J753" t="n">
        <v>4</v>
      </c>
      <c r="K753" t="n">
        <v>1137.16</v>
      </c>
      <c r="L753" t="n">
        <v>0.73</v>
      </c>
      <c r="M753" t="n">
        <v>3.5</v>
      </c>
      <c r="N753" t="n">
        <v>4.8</v>
      </c>
      <c r="O753" t="n">
        <v>1.9</v>
      </c>
      <c r="P753" t="n">
        <v>11.1</v>
      </c>
      <c r="Q753" t="n">
        <v>10.2</v>
      </c>
      <c r="R753" t="n">
        <v>-0.9</v>
      </c>
      <c r="S753" t="b">
        <v>1</v>
      </c>
      <c r="U753" t="n">
        <v>22</v>
      </c>
      <c r="V753" t="b">
        <v>0</v>
      </c>
      <c r="W753" t="inlineStr">
        <is>
          <t>Light</t>
        </is>
      </c>
      <c r="X753" t="b">
        <v>0</v>
      </c>
      <c r="Y753" t="n">
        <v>0.19</v>
      </c>
    </row>
    <row r="754">
      <c r="A754" t="inlineStr">
        <is>
          <t>O00753</t>
        </is>
      </c>
      <c r="B754" t="inlineStr">
        <is>
          <t>C0122</t>
        </is>
      </c>
      <c r="C754" t="inlineStr">
        <is>
          <t>S015</t>
        </is>
      </c>
      <c r="D754" t="inlineStr">
        <is>
          <t>R052</t>
        </is>
      </c>
      <c r="E754" s="3" t="n">
        <v>46275.68541666667</v>
      </c>
      <c r="F754" s="3" t="n">
        <v>46275.69326388889</v>
      </c>
      <c r="G754" s="3" t="n">
        <v>46275.69305555556</v>
      </c>
      <c r="H754" t="inlineStr">
        <is>
          <t>Delivered</t>
        </is>
      </c>
      <c r="I754" t="n">
        <v>2</v>
      </c>
      <c r="J754" t="n">
        <v>2</v>
      </c>
      <c r="K754" t="n">
        <v>483.14</v>
      </c>
      <c r="L754" t="n">
        <v>4.6</v>
      </c>
      <c r="M754" t="n">
        <v>2.3</v>
      </c>
      <c r="N754" t="n">
        <v>1.9</v>
      </c>
      <c r="O754" t="n">
        <v>6.8</v>
      </c>
      <c r="P754" t="n">
        <v>11.3</v>
      </c>
      <c r="Q754" t="n">
        <v>11</v>
      </c>
      <c r="R754" t="n">
        <v>-0.3</v>
      </c>
      <c r="S754" t="b">
        <v>1</v>
      </c>
      <c r="U754" t="n">
        <v>16</v>
      </c>
      <c r="V754" t="b">
        <v>0</v>
      </c>
      <c r="W754" t="inlineStr">
        <is>
          <t>Heavy</t>
        </is>
      </c>
      <c r="X754" t="b">
        <v>0</v>
      </c>
      <c r="Y754" t="n">
        <v>0.57</v>
      </c>
    </row>
    <row r="755">
      <c r="A755" t="inlineStr">
        <is>
          <t>O00754</t>
        </is>
      </c>
      <c r="B755" t="inlineStr">
        <is>
          <t>C0022</t>
        </is>
      </c>
      <c r="C755" t="inlineStr">
        <is>
          <t>S014</t>
        </is>
      </c>
      <c r="D755" t="inlineStr">
        <is>
          <t>R035</t>
        </is>
      </c>
      <c r="E755" s="3" t="n">
        <v>46268.44652777778</v>
      </c>
      <c r="F755" s="3" t="n">
        <v>46268.45430555556</v>
      </c>
      <c r="G755" s="3" t="n">
        <v>46268.45409722222</v>
      </c>
      <c r="H755" t="inlineStr">
        <is>
          <t>Delivered</t>
        </is>
      </c>
      <c r="I755" t="n">
        <v>1</v>
      </c>
      <c r="J755" t="n">
        <v>4</v>
      </c>
      <c r="K755" t="n">
        <v>630.5</v>
      </c>
      <c r="L755" t="n">
        <v>3.3</v>
      </c>
      <c r="M755" t="n">
        <v>2.3</v>
      </c>
      <c r="N755" t="n">
        <v>3.8</v>
      </c>
      <c r="O755" t="n">
        <v>4.8</v>
      </c>
      <c r="P755" t="n">
        <v>11.2</v>
      </c>
      <c r="Q755" t="n">
        <v>10.9</v>
      </c>
      <c r="R755" t="n">
        <v>-0.3</v>
      </c>
      <c r="S755" t="b">
        <v>1</v>
      </c>
      <c r="U755" t="n">
        <v>10</v>
      </c>
      <c r="V755" t="b">
        <v>0</v>
      </c>
      <c r="W755" t="inlineStr">
        <is>
          <t>Light</t>
        </is>
      </c>
      <c r="X755" t="b">
        <v>0</v>
      </c>
      <c r="Y755" t="n">
        <v>0.47</v>
      </c>
    </row>
    <row r="756">
      <c r="A756" t="inlineStr">
        <is>
          <t>O00755</t>
        </is>
      </c>
      <c r="B756" t="inlineStr">
        <is>
          <t>C0145</t>
        </is>
      </c>
      <c r="C756" t="inlineStr">
        <is>
          <t>S018</t>
        </is>
      </c>
      <c r="D756" t="inlineStr">
        <is>
          <t>R060</t>
        </is>
      </c>
      <c r="E756" s="3" t="n">
        <v>46278.73402777778</v>
      </c>
      <c r="F756" s="3" t="n">
        <v>46278.74236111111</v>
      </c>
      <c r="G756" s="3" t="n">
        <v>46278.74520833333</v>
      </c>
      <c r="H756" t="inlineStr">
        <is>
          <t>Delivered</t>
        </is>
      </c>
      <c r="I756" t="n">
        <v>2</v>
      </c>
      <c r="J756" t="n">
        <v>10</v>
      </c>
      <c r="K756" t="n">
        <v>1747.56</v>
      </c>
      <c r="L756" t="n">
        <v>2.27</v>
      </c>
      <c r="M756" t="n">
        <v>7</v>
      </c>
      <c r="N756" t="n">
        <v>2.7</v>
      </c>
      <c r="O756" t="n">
        <v>6.3</v>
      </c>
      <c r="P756" t="n">
        <v>12</v>
      </c>
      <c r="Q756" t="n">
        <v>16.1</v>
      </c>
      <c r="R756" t="n">
        <v>4.1</v>
      </c>
      <c r="S756" t="b">
        <v>0</v>
      </c>
      <c r="U756" t="n">
        <v>17</v>
      </c>
      <c r="V756" t="b">
        <v>0</v>
      </c>
      <c r="X756" t="b">
        <v>0</v>
      </c>
      <c r="Y756" t="n">
        <v>0.54</v>
      </c>
    </row>
    <row r="757">
      <c r="A757" t="inlineStr">
        <is>
          <t>O00756</t>
        </is>
      </c>
      <c r="B757" t="inlineStr">
        <is>
          <t>C0124</t>
        </is>
      </c>
      <c r="C757" t="inlineStr">
        <is>
          <t>S014</t>
        </is>
      </c>
      <c r="D757" t="inlineStr">
        <is>
          <t>R008</t>
        </is>
      </c>
      <c r="E757" s="3" t="n">
        <v>46278.71388888889</v>
      </c>
      <c r="F757" s="3" t="n">
        <v>46278.72173611111</v>
      </c>
      <c r="G757" s="3" t="n">
        <v>46278.72166666666</v>
      </c>
      <c r="H757" t="inlineStr">
        <is>
          <t>Delivered</t>
        </is>
      </c>
      <c r="I757" t="n">
        <v>1</v>
      </c>
      <c r="J757" t="n">
        <v>9</v>
      </c>
      <c r="K757" t="n">
        <v>978.8</v>
      </c>
      <c r="L757" t="n">
        <v>1.23</v>
      </c>
      <c r="M757" t="n">
        <v>4.2</v>
      </c>
      <c r="N757" t="n">
        <v>4.4</v>
      </c>
      <c r="O757" t="n">
        <v>2.6</v>
      </c>
      <c r="P757" t="n">
        <v>11.3</v>
      </c>
      <c r="Q757" t="n">
        <v>11.2</v>
      </c>
      <c r="R757" t="n">
        <v>-0.1</v>
      </c>
      <c r="S757" t="b">
        <v>1</v>
      </c>
      <c r="U757" t="n">
        <v>17</v>
      </c>
      <c r="V757" t="b">
        <v>0</v>
      </c>
      <c r="X757" t="b">
        <v>0</v>
      </c>
      <c r="Y757" t="n">
        <v>0.33</v>
      </c>
    </row>
    <row r="758">
      <c r="A758" t="inlineStr">
        <is>
          <t>O00757</t>
        </is>
      </c>
      <c r="B758" t="inlineStr">
        <is>
          <t>C0205</t>
        </is>
      </c>
      <c r="C758" t="inlineStr">
        <is>
          <t>S011</t>
        </is>
      </c>
      <c r="D758" t="inlineStr">
        <is>
          <t>R062</t>
        </is>
      </c>
      <c r="E758" s="3" t="n">
        <v>46270.87013888889</v>
      </c>
      <c r="F758" s="3" t="n">
        <v>46270.8775</v>
      </c>
      <c r="G758" s="3" t="n">
        <v>46270.87708333333</v>
      </c>
      <c r="H758" t="inlineStr">
        <is>
          <t>Delivered</t>
        </is>
      </c>
      <c r="I758" t="n">
        <v>1</v>
      </c>
      <c r="J758" t="n">
        <v>7</v>
      </c>
      <c r="K758" t="n">
        <v>1465.42</v>
      </c>
      <c r="L758" t="n">
        <v>2.52</v>
      </c>
      <c r="M758" t="n">
        <v>3.3</v>
      </c>
      <c r="N758" t="n">
        <v>3.7</v>
      </c>
      <c r="O758" t="n">
        <v>3</v>
      </c>
      <c r="P758" t="n">
        <v>10.6</v>
      </c>
      <c r="Q758" t="n">
        <v>10</v>
      </c>
      <c r="R758" t="n">
        <v>-0.6</v>
      </c>
      <c r="S758" t="b">
        <v>1</v>
      </c>
      <c r="U758" t="n">
        <v>20</v>
      </c>
      <c r="V758" t="b">
        <v>1</v>
      </c>
      <c r="X758" t="b">
        <v>0</v>
      </c>
      <c r="Y758" t="n">
        <v>0.48</v>
      </c>
    </row>
    <row r="759">
      <c r="A759" t="inlineStr">
        <is>
          <t>O00758</t>
        </is>
      </c>
      <c r="B759" t="inlineStr">
        <is>
          <t>C0070</t>
        </is>
      </c>
      <c r="C759" t="inlineStr">
        <is>
          <t>S005</t>
        </is>
      </c>
      <c r="D759" t="inlineStr">
        <is>
          <t>R046</t>
        </is>
      </c>
      <c r="E759" s="3" t="n">
        <v>46279.94444444445</v>
      </c>
      <c r="F759" s="3" t="n">
        <v>46279.951875</v>
      </c>
      <c r="G759" s="3" t="n">
        <v>46279.95159722222</v>
      </c>
      <c r="H759" t="inlineStr">
        <is>
          <t>Delivered</t>
        </is>
      </c>
      <c r="I759" t="n">
        <v>6</v>
      </c>
      <c r="J759" t="n">
        <v>6</v>
      </c>
      <c r="K759" t="n">
        <v>612.5</v>
      </c>
      <c r="L759" t="n">
        <v>2.3</v>
      </c>
      <c r="M759" t="n">
        <v>3.4</v>
      </c>
      <c r="N759" t="n">
        <v>3.7</v>
      </c>
      <c r="O759" t="n">
        <v>3.2</v>
      </c>
      <c r="P759" t="n">
        <v>10.7</v>
      </c>
      <c r="Q759" t="n">
        <v>10.3</v>
      </c>
      <c r="R759" t="n">
        <v>-0.4</v>
      </c>
      <c r="S759" t="b">
        <v>1</v>
      </c>
      <c r="U759" t="n">
        <v>22</v>
      </c>
      <c r="V759" t="b">
        <v>0</v>
      </c>
      <c r="X759" t="b">
        <v>0</v>
      </c>
      <c r="Y759" t="n">
        <v>0.88</v>
      </c>
    </row>
    <row r="760">
      <c r="A760" t="inlineStr">
        <is>
          <t>O00759</t>
        </is>
      </c>
      <c r="B760" t="inlineStr">
        <is>
          <t>C0105</t>
        </is>
      </c>
      <c r="C760" t="inlineStr">
        <is>
          <t>S017</t>
        </is>
      </c>
      <c r="D760" t="inlineStr">
        <is>
          <t>R057</t>
        </is>
      </c>
      <c r="E760" s="3" t="n">
        <v>46271.94444444445</v>
      </c>
      <c r="F760" s="3" t="n">
        <v>46271.95145833334</v>
      </c>
      <c r="G760" s="3" t="n">
        <v>46271.95159722222</v>
      </c>
      <c r="H760" t="inlineStr">
        <is>
          <t>Delivered</t>
        </is>
      </c>
      <c r="I760" t="n">
        <v>5</v>
      </c>
      <c r="J760" t="n">
        <v>13</v>
      </c>
      <c r="K760" t="n">
        <v>557.6799999999999</v>
      </c>
      <c r="L760" t="n">
        <v>1.25</v>
      </c>
      <c r="M760" t="n">
        <v>4.1</v>
      </c>
      <c r="N760" t="n">
        <v>1.9</v>
      </c>
      <c r="O760" t="n">
        <v>4.3</v>
      </c>
      <c r="P760" t="n">
        <v>10.1</v>
      </c>
      <c r="Q760" t="n">
        <v>10.3</v>
      </c>
      <c r="R760" t="n">
        <v>0.2</v>
      </c>
      <c r="S760" t="b">
        <v>0</v>
      </c>
      <c r="U760" t="n">
        <v>22</v>
      </c>
      <c r="V760" t="b">
        <v>0</v>
      </c>
      <c r="X760" t="b">
        <v>0</v>
      </c>
      <c r="Y760" t="n">
        <v>0.44</v>
      </c>
    </row>
    <row r="761">
      <c r="A761" t="inlineStr">
        <is>
          <t>O00760</t>
        </is>
      </c>
      <c r="B761" t="inlineStr">
        <is>
          <t>C0111</t>
        </is>
      </c>
      <c r="C761" t="inlineStr">
        <is>
          <t>S020</t>
        </is>
      </c>
      <c r="D761" t="inlineStr">
        <is>
          <t>R012</t>
        </is>
      </c>
      <c r="E761" s="3" t="n">
        <v>46276.36041666667</v>
      </c>
      <c r="F761" s="3" t="n">
        <v>46276.36666666667</v>
      </c>
      <c r="G761" s="3" t="n">
        <v>46276.37291666667</v>
      </c>
      <c r="H761" t="inlineStr">
        <is>
          <t>Delivered</t>
        </is>
      </c>
      <c r="I761" t="n">
        <v>1</v>
      </c>
      <c r="J761" t="n">
        <v>5</v>
      </c>
      <c r="K761" t="n">
        <v>984.48</v>
      </c>
      <c r="L761" t="n">
        <v>0.66</v>
      </c>
      <c r="M761" t="n">
        <v>5.7</v>
      </c>
      <c r="N761" t="n">
        <v>7.8</v>
      </c>
      <c r="O761" t="n">
        <v>4.5</v>
      </c>
      <c r="P761" t="n">
        <v>9</v>
      </c>
      <c r="Q761" t="n">
        <v>18</v>
      </c>
      <c r="R761" t="n">
        <v>9</v>
      </c>
      <c r="S761" t="b">
        <v>0</v>
      </c>
      <c r="U761" t="n">
        <v>8</v>
      </c>
      <c r="V761" t="b">
        <v>0</v>
      </c>
      <c r="W761" t="inlineStr">
        <is>
          <t>Light</t>
        </is>
      </c>
      <c r="X761" t="b">
        <v>0</v>
      </c>
      <c r="Y761" t="n">
        <v>0.74</v>
      </c>
    </row>
    <row r="762">
      <c r="A762" t="inlineStr">
        <is>
          <t>O00761</t>
        </is>
      </c>
      <c r="B762" t="inlineStr">
        <is>
          <t>C0200</t>
        </is>
      </c>
      <c r="C762" t="inlineStr">
        <is>
          <t>S007</t>
        </is>
      </c>
      <c r="D762" t="inlineStr">
        <is>
          <t>R053</t>
        </is>
      </c>
      <c r="E762" s="3" t="n">
        <v>46271.54930555556</v>
      </c>
      <c r="F762" s="3" t="n">
        <v>46271.55722222223</v>
      </c>
      <c r="G762" s="3" t="n">
        <v>46271.55694444444</v>
      </c>
      <c r="H762" t="inlineStr">
        <is>
          <t>Delivered</t>
        </is>
      </c>
      <c r="I762" t="n">
        <v>4</v>
      </c>
      <c r="J762" t="n">
        <v>8</v>
      </c>
      <c r="K762" t="n">
        <v>1630.88</v>
      </c>
      <c r="L762" t="n">
        <v>1.49</v>
      </c>
      <c r="M762" t="n">
        <v>5.3</v>
      </c>
      <c r="N762" t="n">
        <v>0.6</v>
      </c>
      <c r="O762" t="n">
        <v>5.1</v>
      </c>
      <c r="P762" t="n">
        <v>11.4</v>
      </c>
      <c r="Q762" t="n">
        <v>11</v>
      </c>
      <c r="R762" t="n">
        <v>-0.4</v>
      </c>
      <c r="S762" t="b">
        <v>1</v>
      </c>
      <c r="U762" t="n">
        <v>13</v>
      </c>
      <c r="V762" t="b">
        <v>0</v>
      </c>
      <c r="W762" t="inlineStr">
        <is>
          <t>Light</t>
        </is>
      </c>
      <c r="X762" t="b">
        <v>0</v>
      </c>
      <c r="Y762" t="n">
        <v>0.37</v>
      </c>
    </row>
    <row r="763">
      <c r="A763" t="inlineStr">
        <is>
          <t>O00762</t>
        </is>
      </c>
      <c r="B763" t="inlineStr">
        <is>
          <t>C0176</t>
        </is>
      </c>
      <c r="C763" t="inlineStr">
        <is>
          <t>S015</t>
        </is>
      </c>
      <c r="E763" s="3" t="n">
        <v>46279.89027777778</v>
      </c>
      <c r="F763" s="3" t="n">
        <v>46279.89618055556</v>
      </c>
      <c r="H763" t="inlineStr">
        <is>
          <t>Cancelled</t>
        </is>
      </c>
      <c r="I763" t="n">
        <v>2</v>
      </c>
      <c r="J763" t="n">
        <v>3</v>
      </c>
      <c r="K763" t="n">
        <v>1353.26</v>
      </c>
      <c r="L763" t="n">
        <v>0.77</v>
      </c>
      <c r="M763" t="n">
        <v>4.3</v>
      </c>
      <c r="N763" t="n">
        <v>9.4</v>
      </c>
      <c r="O763" t="n">
        <v>4.6</v>
      </c>
      <c r="P763" t="n">
        <v>8.5</v>
      </c>
      <c r="T763" t="inlineStr">
        <is>
          <t>Payment issue</t>
        </is>
      </c>
      <c r="U763" t="n">
        <v>21</v>
      </c>
      <c r="V763" t="b">
        <v>1</v>
      </c>
      <c r="W763" t="inlineStr">
        <is>
          <t>Light</t>
        </is>
      </c>
      <c r="X763" t="b">
        <v>0</v>
      </c>
      <c r="Y763" t="n">
        <v>0.66</v>
      </c>
    </row>
    <row r="764">
      <c r="A764" t="inlineStr">
        <is>
          <t>O00763</t>
        </is>
      </c>
      <c r="B764" t="inlineStr">
        <is>
          <t>C0069</t>
        </is>
      </c>
      <c r="C764" t="inlineStr">
        <is>
          <t>S019</t>
        </is>
      </c>
      <c r="D764" t="inlineStr">
        <is>
          <t>R043</t>
        </is>
      </c>
      <c r="E764" s="3" t="n">
        <v>46279.95138888889</v>
      </c>
      <c r="F764" s="3" t="n">
        <v>46279.95743055556</v>
      </c>
      <c r="G764" s="3" t="n">
        <v>46279.95673611111</v>
      </c>
      <c r="H764" t="inlineStr">
        <is>
          <t>Delivered</t>
        </is>
      </c>
      <c r="I764" t="n">
        <v>1</v>
      </c>
      <c r="J764" t="n">
        <v>5</v>
      </c>
      <c r="K764" t="n">
        <v>1211.21</v>
      </c>
      <c r="L764" t="n">
        <v>2.1</v>
      </c>
      <c r="M764" t="n">
        <v>3</v>
      </c>
      <c r="N764" t="n">
        <v>1.4</v>
      </c>
      <c r="O764" t="n">
        <v>3.3</v>
      </c>
      <c r="P764" t="n">
        <v>8.699999999999999</v>
      </c>
      <c r="Q764" t="n">
        <v>7.7</v>
      </c>
      <c r="R764" t="n">
        <v>-1</v>
      </c>
      <c r="S764" t="b">
        <v>1</v>
      </c>
      <c r="U764" t="n">
        <v>22</v>
      </c>
      <c r="V764" t="b">
        <v>0</v>
      </c>
      <c r="X764" t="b">
        <v>0</v>
      </c>
      <c r="Y764" t="n">
        <v>0.63</v>
      </c>
    </row>
    <row r="765">
      <c r="A765" t="inlineStr">
        <is>
          <t>O00764</t>
        </is>
      </c>
      <c r="B765" t="inlineStr">
        <is>
          <t>C0222</t>
        </is>
      </c>
      <c r="C765" t="inlineStr">
        <is>
          <t>S010</t>
        </is>
      </c>
      <c r="D765" t="inlineStr">
        <is>
          <t>R048</t>
        </is>
      </c>
      <c r="E765" s="3" t="n">
        <v>46277.91805555556</v>
      </c>
      <c r="F765" s="3" t="n">
        <v>46277.92430555556</v>
      </c>
      <c r="G765" s="3" t="n">
        <v>46277.92895833333</v>
      </c>
      <c r="H765" t="inlineStr">
        <is>
          <t>Delivered</t>
        </is>
      </c>
      <c r="I765" t="n">
        <v>2</v>
      </c>
      <c r="J765" t="n">
        <v>5</v>
      </c>
      <c r="K765" t="n">
        <v>538.6799999999999</v>
      </c>
      <c r="L765" t="n">
        <v>1.76</v>
      </c>
      <c r="M765" t="n">
        <v>6.3</v>
      </c>
      <c r="N765" t="n">
        <v>5</v>
      </c>
      <c r="O765" t="n">
        <v>4.4</v>
      </c>
      <c r="P765" t="n">
        <v>9</v>
      </c>
      <c r="Q765" t="n">
        <v>15.7</v>
      </c>
      <c r="R765" t="n">
        <v>6.7</v>
      </c>
      <c r="S765" t="b">
        <v>0</v>
      </c>
      <c r="U765" t="n">
        <v>22</v>
      </c>
      <c r="V765" t="b">
        <v>0</v>
      </c>
      <c r="X765" t="b">
        <v>0</v>
      </c>
      <c r="Y765" t="n">
        <v>0.4</v>
      </c>
    </row>
    <row r="766">
      <c r="A766" t="inlineStr">
        <is>
          <t>O00765</t>
        </is>
      </c>
      <c r="B766" t="inlineStr">
        <is>
          <t>C0163</t>
        </is>
      </c>
      <c r="C766" t="inlineStr">
        <is>
          <t>S018</t>
        </is>
      </c>
      <c r="D766" t="inlineStr">
        <is>
          <t>R073</t>
        </is>
      </c>
      <c r="E766" s="3" t="n">
        <v>46270.40555555555</v>
      </c>
      <c r="F766" s="3" t="n">
        <v>46270.41326388889</v>
      </c>
      <c r="G766" s="3" t="n">
        <v>46270.41284722222</v>
      </c>
      <c r="H766" t="inlineStr">
        <is>
          <t>Delivered</t>
        </is>
      </c>
      <c r="I766" t="n">
        <v>1</v>
      </c>
      <c r="J766" t="n">
        <v>7</v>
      </c>
      <c r="K766" t="n">
        <v>329.65</v>
      </c>
      <c r="L766" t="n">
        <v>0.5</v>
      </c>
      <c r="M766" t="n">
        <v>5.2</v>
      </c>
      <c r="N766" t="n">
        <v>3.2</v>
      </c>
      <c r="O766" t="n">
        <v>2.1</v>
      </c>
      <c r="P766" t="n">
        <v>11.1</v>
      </c>
      <c r="Q766" t="n">
        <v>10.5</v>
      </c>
      <c r="R766" t="n">
        <v>-0.6</v>
      </c>
      <c r="S766" t="b">
        <v>1</v>
      </c>
      <c r="U766" t="n">
        <v>9</v>
      </c>
      <c r="V766" t="b">
        <v>0</v>
      </c>
      <c r="X766" t="b">
        <v>0</v>
      </c>
      <c r="Y766" t="n">
        <v>0.39</v>
      </c>
    </row>
    <row r="767">
      <c r="A767" t="inlineStr">
        <is>
          <t>O00766</t>
        </is>
      </c>
      <c r="B767" t="inlineStr">
        <is>
          <t>C0082</t>
        </is>
      </c>
      <c r="C767" t="inlineStr">
        <is>
          <t>S016</t>
        </is>
      </c>
      <c r="D767" t="inlineStr">
        <is>
          <t>R035</t>
        </is>
      </c>
      <c r="E767" s="3" t="n">
        <v>46277.87291666667</v>
      </c>
      <c r="F767" s="3" t="n">
        <v>46277.878125</v>
      </c>
      <c r="G767" s="3" t="n">
        <v>46277.885625</v>
      </c>
      <c r="H767" t="inlineStr">
        <is>
          <t>Delivered</t>
        </is>
      </c>
      <c r="I767" t="n">
        <v>6</v>
      </c>
      <c r="J767" t="n">
        <v>11</v>
      </c>
      <c r="K767" t="n">
        <v>823.22</v>
      </c>
      <c r="L767" t="n">
        <v>0.61</v>
      </c>
      <c r="M767" t="n">
        <v>6</v>
      </c>
      <c r="N767" t="n">
        <v>8.6</v>
      </c>
      <c r="O767" t="n">
        <v>3.7</v>
      </c>
      <c r="P767" t="n">
        <v>7.5</v>
      </c>
      <c r="Q767" t="n">
        <v>18.3</v>
      </c>
      <c r="R767" t="n">
        <v>10.8</v>
      </c>
      <c r="S767" t="b">
        <v>0</v>
      </c>
      <c r="U767" t="n">
        <v>20</v>
      </c>
      <c r="V767" t="b">
        <v>1</v>
      </c>
      <c r="X767" t="b">
        <v>0</v>
      </c>
      <c r="Y767" t="n">
        <v>0.75</v>
      </c>
    </row>
    <row r="768">
      <c r="A768" t="inlineStr">
        <is>
          <t>O00767</t>
        </is>
      </c>
      <c r="B768" t="inlineStr">
        <is>
          <t>C0105</t>
        </is>
      </c>
      <c r="C768" t="inlineStr">
        <is>
          <t>S007</t>
        </is>
      </c>
      <c r="D768" t="inlineStr">
        <is>
          <t>R008</t>
        </is>
      </c>
      <c r="E768" s="3" t="n">
        <v>46273.69166666667</v>
      </c>
      <c r="F768" s="3" t="n">
        <v>46273.69861111111</v>
      </c>
      <c r="G768" s="3" t="n">
        <v>46273.69833333333</v>
      </c>
      <c r="H768" t="inlineStr">
        <is>
          <t>Delivered</t>
        </is>
      </c>
      <c r="I768" t="n">
        <v>5</v>
      </c>
      <c r="J768" t="n">
        <v>5</v>
      </c>
      <c r="K768" t="n">
        <v>1547.44</v>
      </c>
      <c r="L768" t="n">
        <v>0.5</v>
      </c>
      <c r="M768" t="n">
        <v>3.4</v>
      </c>
      <c r="N768" t="n">
        <v>4.6</v>
      </c>
      <c r="O768" t="n">
        <v>1.6</v>
      </c>
      <c r="P768" t="n">
        <v>10</v>
      </c>
      <c r="Q768" t="n">
        <v>9.6</v>
      </c>
      <c r="R768" t="n">
        <v>-0.4</v>
      </c>
      <c r="S768" t="b">
        <v>1</v>
      </c>
      <c r="U768" t="n">
        <v>16</v>
      </c>
      <c r="V768" t="b">
        <v>0</v>
      </c>
      <c r="X768" t="b">
        <v>0</v>
      </c>
      <c r="Y768" t="n">
        <v>0.36</v>
      </c>
    </row>
    <row r="769">
      <c r="A769" t="inlineStr">
        <is>
          <t>O00768</t>
        </is>
      </c>
      <c r="B769" t="inlineStr">
        <is>
          <t>C0194</t>
        </is>
      </c>
      <c r="C769" t="inlineStr">
        <is>
          <t>S009</t>
        </is>
      </c>
      <c r="D769" t="inlineStr">
        <is>
          <t>R064</t>
        </is>
      </c>
      <c r="E769" s="3" t="n">
        <v>46270.81180555555</v>
      </c>
      <c r="F769" s="3" t="n">
        <v>46270.81965277778</v>
      </c>
      <c r="G769" s="3" t="n">
        <v>46270.81895833334</v>
      </c>
      <c r="H769" t="inlineStr">
        <is>
          <t>Delivered</t>
        </is>
      </c>
      <c r="I769" t="n">
        <v>6</v>
      </c>
      <c r="J769" t="n">
        <v>9</v>
      </c>
      <c r="K769" t="n">
        <v>932.99</v>
      </c>
      <c r="L769" t="n">
        <v>2.77</v>
      </c>
      <c r="M769" t="n">
        <v>1.4</v>
      </c>
      <c r="N769" t="n">
        <v>4.9</v>
      </c>
      <c r="O769" t="n">
        <v>4</v>
      </c>
      <c r="P769" t="n">
        <v>11.3</v>
      </c>
      <c r="Q769" t="n">
        <v>10.3</v>
      </c>
      <c r="R769" t="n">
        <v>-1</v>
      </c>
      <c r="S769" t="b">
        <v>1</v>
      </c>
      <c r="U769" t="n">
        <v>19</v>
      </c>
      <c r="V769" t="b">
        <v>1</v>
      </c>
      <c r="W769" t="inlineStr">
        <is>
          <t>Light</t>
        </is>
      </c>
      <c r="X769" t="b">
        <v>0</v>
      </c>
      <c r="Y769" t="n">
        <v>0.26</v>
      </c>
    </row>
    <row r="770">
      <c r="A770" t="inlineStr">
        <is>
          <t>O00769</t>
        </is>
      </c>
      <c r="B770" t="inlineStr">
        <is>
          <t>C0168</t>
        </is>
      </c>
      <c r="C770" t="inlineStr">
        <is>
          <t>S005</t>
        </is>
      </c>
      <c r="D770" t="inlineStr">
        <is>
          <t>R036</t>
        </is>
      </c>
      <c r="E770" s="3" t="n">
        <v>46273.61388888889</v>
      </c>
      <c r="F770" s="3" t="n">
        <v>46273.62034722222</v>
      </c>
      <c r="G770" s="3" t="n">
        <v>46273.61993055556</v>
      </c>
      <c r="H770" t="inlineStr">
        <is>
          <t>Delivered</t>
        </is>
      </c>
      <c r="I770" t="n">
        <v>5</v>
      </c>
      <c r="J770" t="n">
        <v>7</v>
      </c>
      <c r="K770" t="n">
        <v>1549.71</v>
      </c>
      <c r="L770" t="n">
        <v>1.21</v>
      </c>
      <c r="M770" t="n">
        <v>3.2</v>
      </c>
      <c r="N770" t="n">
        <v>2.4</v>
      </c>
      <c r="O770" t="n">
        <v>3.1</v>
      </c>
      <c r="P770" t="n">
        <v>9.300000000000001</v>
      </c>
      <c r="Q770" t="n">
        <v>8.699999999999999</v>
      </c>
      <c r="R770" t="n">
        <v>-0.6</v>
      </c>
      <c r="S770" t="b">
        <v>1</v>
      </c>
      <c r="U770" t="n">
        <v>14</v>
      </c>
      <c r="V770" t="b">
        <v>0</v>
      </c>
      <c r="X770" t="b">
        <v>0</v>
      </c>
      <c r="Y770" t="n">
        <v>0.78</v>
      </c>
    </row>
    <row r="771">
      <c r="A771" t="inlineStr">
        <is>
          <t>O00770</t>
        </is>
      </c>
      <c r="B771" t="inlineStr">
        <is>
          <t>C0059</t>
        </is>
      </c>
      <c r="C771" t="inlineStr">
        <is>
          <t>S003</t>
        </is>
      </c>
      <c r="D771" t="inlineStr">
        <is>
          <t>R010</t>
        </is>
      </c>
      <c r="E771" s="3" t="n">
        <v>46266.87361111111</v>
      </c>
      <c r="F771" s="3" t="n">
        <v>46266.87930555556</v>
      </c>
      <c r="G771" s="3" t="n">
        <v>46266.890625</v>
      </c>
      <c r="H771" t="inlineStr">
        <is>
          <t>Delivered</t>
        </is>
      </c>
      <c r="I771" t="n">
        <v>3</v>
      </c>
      <c r="J771" t="n">
        <v>5</v>
      </c>
      <c r="K771" t="n">
        <v>1068.21</v>
      </c>
      <c r="L771" t="n">
        <v>2.1</v>
      </c>
      <c r="M771" t="n">
        <v>5.6</v>
      </c>
      <c r="N771" t="n">
        <v>11.6</v>
      </c>
      <c r="O771" t="n">
        <v>7.2</v>
      </c>
      <c r="P771" t="n">
        <v>8.199999999999999</v>
      </c>
      <c r="Q771" t="n">
        <v>24.5</v>
      </c>
      <c r="R771" t="n">
        <v>16.3</v>
      </c>
      <c r="S771" t="b">
        <v>0</v>
      </c>
      <c r="U771" t="n">
        <v>20</v>
      </c>
      <c r="V771" t="b">
        <v>1</v>
      </c>
      <c r="X771" t="b">
        <v>0</v>
      </c>
      <c r="Y771" t="n">
        <v>0.9399999999999999</v>
      </c>
    </row>
    <row r="772">
      <c r="A772" t="inlineStr">
        <is>
          <t>O00771</t>
        </is>
      </c>
      <c r="B772" t="inlineStr">
        <is>
          <t>C0055</t>
        </is>
      </c>
      <c r="C772" t="inlineStr">
        <is>
          <t>S002</t>
        </is>
      </c>
      <c r="D772" t="inlineStr">
        <is>
          <t>R075</t>
        </is>
      </c>
      <c r="E772" s="3" t="n">
        <v>46272.64930555555</v>
      </c>
      <c r="F772" s="3" t="n">
        <v>46272.65583333333</v>
      </c>
      <c r="G772" s="3" t="n">
        <v>46272.65784722222</v>
      </c>
      <c r="H772" t="inlineStr">
        <is>
          <t>Delivered</t>
        </is>
      </c>
      <c r="I772" t="n">
        <v>2</v>
      </c>
      <c r="J772" t="n">
        <v>6</v>
      </c>
      <c r="K772" t="n">
        <v>779.84</v>
      </c>
      <c r="L772" t="n">
        <v>2.48</v>
      </c>
      <c r="M772" t="n">
        <v>1.6</v>
      </c>
      <c r="N772" t="n">
        <v>3.6</v>
      </c>
      <c r="O772" t="n">
        <v>7.1</v>
      </c>
      <c r="P772" t="n">
        <v>9.4</v>
      </c>
      <c r="Q772" t="n">
        <v>12.3</v>
      </c>
      <c r="R772" t="n">
        <v>2.9</v>
      </c>
      <c r="S772" t="b">
        <v>0</v>
      </c>
      <c r="U772" t="n">
        <v>15</v>
      </c>
      <c r="V772" t="b">
        <v>0</v>
      </c>
      <c r="X772" t="b">
        <v>0</v>
      </c>
      <c r="Y772" t="n">
        <v>0.72</v>
      </c>
    </row>
    <row r="773">
      <c r="A773" t="inlineStr">
        <is>
          <t>O00772</t>
        </is>
      </c>
      <c r="B773" t="inlineStr">
        <is>
          <t>C0204</t>
        </is>
      </c>
      <c r="C773" t="inlineStr">
        <is>
          <t>S001</t>
        </is>
      </c>
      <c r="D773" t="inlineStr">
        <is>
          <t>R035</t>
        </is>
      </c>
      <c r="E773" s="3" t="n">
        <v>46269.64722222222</v>
      </c>
      <c r="F773" s="3" t="n">
        <v>46269.65520833333</v>
      </c>
      <c r="G773" s="3" t="n">
        <v>46269.65472222222</v>
      </c>
      <c r="H773" t="inlineStr">
        <is>
          <t>Delivered</t>
        </is>
      </c>
      <c r="I773" t="n">
        <v>2</v>
      </c>
      <c r="J773" t="n">
        <v>8</v>
      </c>
      <c r="K773" t="n">
        <v>1102.04</v>
      </c>
      <c r="L773" t="n">
        <v>1.71</v>
      </c>
      <c r="M773" t="n">
        <v>2.9</v>
      </c>
      <c r="N773" t="n">
        <v>4.9</v>
      </c>
      <c r="O773" t="n">
        <v>3</v>
      </c>
      <c r="P773" t="n">
        <v>11.5</v>
      </c>
      <c r="Q773" t="n">
        <v>10.8</v>
      </c>
      <c r="R773" t="n">
        <v>-0.7</v>
      </c>
      <c r="S773" t="b">
        <v>1</v>
      </c>
      <c r="U773" t="n">
        <v>15</v>
      </c>
      <c r="V773" t="b">
        <v>0</v>
      </c>
      <c r="X773" t="b">
        <v>0</v>
      </c>
      <c r="Y773" t="n">
        <v>0.74</v>
      </c>
    </row>
    <row r="774">
      <c r="A774" t="inlineStr">
        <is>
          <t>O00773</t>
        </is>
      </c>
      <c r="B774" t="inlineStr">
        <is>
          <t>C0240</t>
        </is>
      </c>
      <c r="C774" t="inlineStr">
        <is>
          <t>S005</t>
        </is>
      </c>
      <c r="D774" t="inlineStr">
        <is>
          <t>R045</t>
        </is>
      </c>
      <c r="E774" s="3" t="n">
        <v>46279.36319444444</v>
      </c>
      <c r="F774" s="3" t="n">
        <v>46279.37125</v>
      </c>
      <c r="G774" s="3" t="n">
        <v>46279.37104166667</v>
      </c>
      <c r="H774" t="inlineStr">
        <is>
          <t>Delivered</t>
        </is>
      </c>
      <c r="I774" t="n">
        <v>2</v>
      </c>
      <c r="J774" t="n">
        <v>2</v>
      </c>
      <c r="K774" t="n">
        <v>495.84</v>
      </c>
      <c r="L774" t="n">
        <v>3.19</v>
      </c>
      <c r="M774" t="n">
        <v>4.7</v>
      </c>
      <c r="N774" t="n">
        <v>2</v>
      </c>
      <c r="O774" t="n">
        <v>4.6</v>
      </c>
      <c r="P774" t="n">
        <v>11.6</v>
      </c>
      <c r="Q774" t="n">
        <v>11.3</v>
      </c>
      <c r="R774" t="n">
        <v>-0.3</v>
      </c>
      <c r="S774" t="b">
        <v>1</v>
      </c>
      <c r="U774" t="n">
        <v>8</v>
      </c>
      <c r="V774" t="b">
        <v>0</v>
      </c>
      <c r="X774" t="b">
        <v>0</v>
      </c>
      <c r="Y774" t="n">
        <v>0.1</v>
      </c>
    </row>
    <row r="775">
      <c r="A775" t="inlineStr">
        <is>
          <t>O00774</t>
        </is>
      </c>
      <c r="B775" t="inlineStr">
        <is>
          <t>C0183</t>
        </is>
      </c>
      <c r="C775" t="inlineStr">
        <is>
          <t>S008</t>
        </is>
      </c>
      <c r="D775" t="inlineStr">
        <is>
          <t>R003</t>
        </is>
      </c>
      <c r="E775" s="3" t="n">
        <v>46269.57916666667</v>
      </c>
      <c r="F775" s="3" t="n">
        <v>46269.58569444445</v>
      </c>
      <c r="G775" s="3" t="n">
        <v>46269.58513888889</v>
      </c>
      <c r="H775" t="inlineStr">
        <is>
          <t>Delivered</t>
        </is>
      </c>
      <c r="I775" t="n">
        <v>3</v>
      </c>
      <c r="J775" t="n">
        <v>4</v>
      </c>
      <c r="K775" t="n">
        <v>900.35</v>
      </c>
      <c r="L775" t="n">
        <v>1.47</v>
      </c>
      <c r="M775" t="n">
        <v>3</v>
      </c>
      <c r="N775" t="n">
        <v>1.7</v>
      </c>
      <c r="O775" t="n">
        <v>3.9</v>
      </c>
      <c r="P775" t="n">
        <v>9.4</v>
      </c>
      <c r="Q775" t="n">
        <v>8.6</v>
      </c>
      <c r="R775" t="n">
        <v>-0.8</v>
      </c>
      <c r="S775" t="b">
        <v>1</v>
      </c>
      <c r="U775" t="n">
        <v>13</v>
      </c>
      <c r="V775" t="b">
        <v>0</v>
      </c>
      <c r="W775" t="inlineStr">
        <is>
          <t>Light</t>
        </is>
      </c>
      <c r="X775" t="b">
        <v>0</v>
      </c>
      <c r="Y775" t="n">
        <v>0.58</v>
      </c>
    </row>
    <row r="776">
      <c r="A776" t="inlineStr">
        <is>
          <t>O00775</t>
        </is>
      </c>
      <c r="B776" t="inlineStr">
        <is>
          <t>C0040</t>
        </is>
      </c>
      <c r="C776" t="inlineStr">
        <is>
          <t>S016</t>
        </is>
      </c>
      <c r="D776" t="inlineStr">
        <is>
          <t>R069</t>
        </is>
      </c>
      <c r="E776" s="3" t="n">
        <v>46277.33819444444</v>
      </c>
      <c r="F776" s="3" t="n">
        <v>46277.34701388889</v>
      </c>
      <c r="G776" s="3" t="n">
        <v>46277.35347222222</v>
      </c>
      <c r="H776" t="inlineStr">
        <is>
          <t>Delivered</t>
        </is>
      </c>
      <c r="I776" t="n">
        <v>5</v>
      </c>
      <c r="J776" t="n">
        <v>5</v>
      </c>
      <c r="K776" t="n">
        <v>539.29</v>
      </c>
      <c r="L776" t="n">
        <v>2.6</v>
      </c>
      <c r="M776" t="n">
        <v>6.4</v>
      </c>
      <c r="N776" t="n">
        <v>7.4</v>
      </c>
      <c r="O776" t="n">
        <v>8.199999999999999</v>
      </c>
      <c r="P776" t="n">
        <v>12.7</v>
      </c>
      <c r="Q776" t="n">
        <v>22</v>
      </c>
      <c r="R776" t="n">
        <v>9.300000000000001</v>
      </c>
      <c r="S776" t="b">
        <v>0</v>
      </c>
      <c r="U776" t="n">
        <v>8</v>
      </c>
      <c r="V776" t="b">
        <v>0</v>
      </c>
      <c r="W776" t="inlineStr">
        <is>
          <t>Heavy</t>
        </is>
      </c>
      <c r="X776" t="b">
        <v>0</v>
      </c>
      <c r="Y776" t="n">
        <v>0.55</v>
      </c>
    </row>
    <row r="777">
      <c r="A777" t="inlineStr">
        <is>
          <t>O00776</t>
        </is>
      </c>
      <c r="B777" t="inlineStr">
        <is>
          <t>C0200</t>
        </is>
      </c>
      <c r="C777" t="inlineStr">
        <is>
          <t>S002</t>
        </is>
      </c>
      <c r="D777" t="inlineStr">
        <is>
          <t>R030</t>
        </is>
      </c>
      <c r="E777" s="3" t="n">
        <v>46271.63125</v>
      </c>
      <c r="F777" s="3" t="n">
        <v>46271.64027777778</v>
      </c>
      <c r="G777" s="3" t="n">
        <v>46271.63736111111</v>
      </c>
      <c r="H777" t="inlineStr">
        <is>
          <t>Delivered</t>
        </is>
      </c>
      <c r="I777" t="n">
        <v>1</v>
      </c>
      <c r="J777" t="n">
        <v>6</v>
      </c>
      <c r="K777" t="n">
        <v>1487.68</v>
      </c>
      <c r="L777" t="n">
        <v>1.48</v>
      </c>
      <c r="M777" t="n">
        <v>3.7</v>
      </c>
      <c r="N777" t="n">
        <v>0</v>
      </c>
      <c r="O777" t="n">
        <v>5.2</v>
      </c>
      <c r="P777" t="n">
        <v>13</v>
      </c>
      <c r="Q777" t="n">
        <v>8.800000000000001</v>
      </c>
      <c r="R777" t="n">
        <v>-4.2</v>
      </c>
      <c r="S777" t="b">
        <v>1</v>
      </c>
      <c r="U777" t="n">
        <v>15</v>
      </c>
      <c r="V777" t="b">
        <v>0</v>
      </c>
      <c r="X777" t="b">
        <v>0</v>
      </c>
      <c r="Y777" t="n">
        <v>0.62</v>
      </c>
    </row>
    <row r="778">
      <c r="A778" t="inlineStr">
        <is>
          <t>O00777</t>
        </is>
      </c>
      <c r="B778" t="inlineStr">
        <is>
          <t>C0048</t>
        </is>
      </c>
      <c r="C778" t="inlineStr">
        <is>
          <t>S007</t>
        </is>
      </c>
      <c r="D778" t="inlineStr">
        <is>
          <t>R065</t>
        </is>
      </c>
      <c r="E778" s="3" t="n">
        <v>46273.87152777778</v>
      </c>
      <c r="F778" s="3" t="n">
        <v>46273.87805555556</v>
      </c>
      <c r="G778" s="3" t="n">
        <v>46273.87743055556</v>
      </c>
      <c r="H778" t="inlineStr">
        <is>
          <t>Delivered</t>
        </is>
      </c>
      <c r="I778" t="n">
        <v>5</v>
      </c>
      <c r="J778" t="n">
        <v>8</v>
      </c>
      <c r="K778" t="n">
        <v>593.8099999999999</v>
      </c>
      <c r="L778" t="n">
        <v>0.83</v>
      </c>
      <c r="M778" t="n">
        <v>1.8</v>
      </c>
      <c r="N778" t="n">
        <v>5.2</v>
      </c>
      <c r="O778" t="n">
        <v>1.5</v>
      </c>
      <c r="P778" t="n">
        <v>9.4</v>
      </c>
      <c r="Q778" t="n">
        <v>8.5</v>
      </c>
      <c r="R778" t="n">
        <v>-0.9</v>
      </c>
      <c r="S778" t="b">
        <v>1</v>
      </c>
      <c r="U778" t="n">
        <v>20</v>
      </c>
      <c r="V778" t="b">
        <v>1</v>
      </c>
      <c r="X778" t="b">
        <v>0</v>
      </c>
      <c r="Y778" t="n">
        <v>0.64</v>
      </c>
    </row>
    <row r="779">
      <c r="A779" t="inlineStr">
        <is>
          <t>O00778</t>
        </is>
      </c>
      <c r="B779" t="inlineStr">
        <is>
          <t>C0229</t>
        </is>
      </c>
      <c r="C779" t="inlineStr">
        <is>
          <t>S009</t>
        </is>
      </c>
      <c r="D779" t="inlineStr">
        <is>
          <t>R074</t>
        </is>
      </c>
      <c r="E779" s="3" t="n">
        <v>46270.78958333333</v>
      </c>
      <c r="F779" s="3" t="n">
        <v>46270.79708333333</v>
      </c>
      <c r="G779" s="3" t="n">
        <v>46270.79631944445</v>
      </c>
      <c r="H779" t="inlineStr">
        <is>
          <t>Delivered</t>
        </is>
      </c>
      <c r="I779" t="n">
        <v>1</v>
      </c>
      <c r="J779" t="n">
        <v>10</v>
      </c>
      <c r="K779" t="n">
        <v>1603.76</v>
      </c>
      <c r="L779" t="n">
        <v>1.87</v>
      </c>
      <c r="M779" t="n">
        <v>1.6</v>
      </c>
      <c r="N779" t="n">
        <v>4.3</v>
      </c>
      <c r="O779" t="n">
        <v>3.8</v>
      </c>
      <c r="P779" t="n">
        <v>10.8</v>
      </c>
      <c r="Q779" t="n">
        <v>9.699999999999999</v>
      </c>
      <c r="R779" t="n">
        <v>-1.1</v>
      </c>
      <c r="S779" t="b">
        <v>1</v>
      </c>
      <c r="U779" t="n">
        <v>18</v>
      </c>
      <c r="V779" t="b">
        <v>0</v>
      </c>
      <c r="W779" t="inlineStr">
        <is>
          <t>Light</t>
        </is>
      </c>
      <c r="X779" t="b">
        <v>0</v>
      </c>
      <c r="Y779" t="n">
        <v>0.33</v>
      </c>
    </row>
    <row r="780">
      <c r="A780" t="inlineStr">
        <is>
          <t>O00779</t>
        </is>
      </c>
      <c r="B780" t="inlineStr">
        <is>
          <t>C0071</t>
        </is>
      </c>
      <c r="C780" t="inlineStr">
        <is>
          <t>S003</t>
        </is>
      </c>
      <c r="D780" t="inlineStr">
        <is>
          <t>R059</t>
        </is>
      </c>
      <c r="E780" s="3" t="n">
        <v>46266.44236111111</v>
      </c>
      <c r="F780" s="3" t="n">
        <v>46266.44888888889</v>
      </c>
      <c r="G780" s="3" t="n">
        <v>46266.44826388889</v>
      </c>
      <c r="H780" t="inlineStr">
        <is>
          <t>Delivered</t>
        </is>
      </c>
      <c r="I780" t="n">
        <v>3</v>
      </c>
      <c r="J780" t="n">
        <v>12</v>
      </c>
      <c r="K780" t="n">
        <v>578.97</v>
      </c>
      <c r="L780" t="n">
        <v>2.1</v>
      </c>
      <c r="M780" t="n">
        <v>3</v>
      </c>
      <c r="N780" t="n">
        <v>1.9</v>
      </c>
      <c r="O780" t="n">
        <v>3.6</v>
      </c>
      <c r="P780" t="n">
        <v>9.4</v>
      </c>
      <c r="Q780" t="n">
        <v>8.5</v>
      </c>
      <c r="R780" t="n">
        <v>-0.9</v>
      </c>
      <c r="S780" t="b">
        <v>1</v>
      </c>
      <c r="U780" t="n">
        <v>10</v>
      </c>
      <c r="V780" t="b">
        <v>0</v>
      </c>
      <c r="X780" t="b">
        <v>0</v>
      </c>
      <c r="Y780" t="n">
        <v>0.31</v>
      </c>
    </row>
    <row r="781">
      <c r="A781" t="inlineStr">
        <is>
          <t>O00780</t>
        </is>
      </c>
      <c r="B781" t="inlineStr">
        <is>
          <t>C0102</t>
        </is>
      </c>
      <c r="C781" t="inlineStr">
        <is>
          <t>S015</t>
        </is>
      </c>
      <c r="D781" t="inlineStr">
        <is>
          <t>R021</t>
        </is>
      </c>
      <c r="E781" s="3" t="n">
        <v>46278.90416666667</v>
      </c>
      <c r="F781" s="3" t="n">
        <v>46278.91041666667</v>
      </c>
      <c r="G781" s="3" t="n">
        <v>46278.91631944444</v>
      </c>
      <c r="H781" t="inlineStr">
        <is>
          <t>Delivered</t>
        </is>
      </c>
      <c r="I781" t="n">
        <v>4</v>
      </c>
      <c r="J781" t="n">
        <v>4</v>
      </c>
      <c r="K781" t="n">
        <v>1577.67</v>
      </c>
      <c r="L781" t="n">
        <v>1.5</v>
      </c>
      <c r="M781" t="n">
        <v>4.6</v>
      </c>
      <c r="N781" t="n">
        <v>7.3</v>
      </c>
      <c r="O781" t="n">
        <v>5.6</v>
      </c>
      <c r="P781" t="n">
        <v>9</v>
      </c>
      <c r="Q781" t="n">
        <v>17.5</v>
      </c>
      <c r="R781" t="n">
        <v>8.5</v>
      </c>
      <c r="S781" t="b">
        <v>0</v>
      </c>
      <c r="U781" t="n">
        <v>21</v>
      </c>
      <c r="V781" t="b">
        <v>1</v>
      </c>
      <c r="X781" t="b">
        <v>0</v>
      </c>
      <c r="Y781" t="n">
        <v>1</v>
      </c>
    </row>
    <row r="782">
      <c r="A782" t="inlineStr">
        <is>
          <t>O00781</t>
        </is>
      </c>
      <c r="B782" t="inlineStr">
        <is>
          <t>C0246</t>
        </is>
      </c>
      <c r="C782" t="inlineStr">
        <is>
          <t>S011</t>
        </is>
      </c>
      <c r="D782" t="inlineStr">
        <is>
          <t>R065</t>
        </is>
      </c>
      <c r="E782" s="3" t="n">
        <v>46268.8125</v>
      </c>
      <c r="F782" s="3" t="n">
        <v>46268.82069444445</v>
      </c>
      <c r="G782" s="3" t="n">
        <v>46268.82020833333</v>
      </c>
      <c r="H782" t="inlineStr">
        <is>
          <t>Delivered</t>
        </is>
      </c>
      <c r="I782" t="n">
        <v>6</v>
      </c>
      <c r="J782" t="n">
        <v>8</v>
      </c>
      <c r="K782" t="n">
        <v>304.57</v>
      </c>
      <c r="L782" t="n">
        <v>3.3</v>
      </c>
      <c r="M782" t="n">
        <v>2.6</v>
      </c>
      <c r="N782" t="n">
        <v>5.3</v>
      </c>
      <c r="O782" t="n">
        <v>3.2</v>
      </c>
      <c r="P782" t="n">
        <v>11.8</v>
      </c>
      <c r="Q782" t="n">
        <v>11.1</v>
      </c>
      <c r="R782" t="n">
        <v>-0.7</v>
      </c>
      <c r="S782" t="b">
        <v>1</v>
      </c>
      <c r="U782" t="n">
        <v>19</v>
      </c>
      <c r="V782" t="b">
        <v>1</v>
      </c>
      <c r="X782" t="b">
        <v>0</v>
      </c>
      <c r="Y782" t="n">
        <v>0.62</v>
      </c>
    </row>
    <row r="783">
      <c r="A783" t="inlineStr">
        <is>
          <t>O00782</t>
        </is>
      </c>
      <c r="B783" t="inlineStr">
        <is>
          <t>C0001</t>
        </is>
      </c>
      <c r="C783" t="inlineStr">
        <is>
          <t>S003</t>
        </is>
      </c>
      <c r="D783" t="inlineStr">
        <is>
          <t>R060</t>
        </is>
      </c>
      <c r="E783" s="3" t="n">
        <v>46267.50972222222</v>
      </c>
      <c r="F783" s="3" t="n">
        <v>46267.51680555556</v>
      </c>
      <c r="G783" s="3" t="n">
        <v>46267.51645833333</v>
      </c>
      <c r="H783" t="inlineStr">
        <is>
          <t>Delivered</t>
        </is>
      </c>
      <c r="I783" t="n">
        <v>2</v>
      </c>
      <c r="J783" t="n">
        <v>4</v>
      </c>
      <c r="K783" t="n">
        <v>485.76</v>
      </c>
      <c r="L783" t="n">
        <v>0.84</v>
      </c>
      <c r="M783" t="n">
        <v>4.1</v>
      </c>
      <c r="N783" t="n">
        <v>1.5</v>
      </c>
      <c r="O783" t="n">
        <v>4.1</v>
      </c>
      <c r="P783" t="n">
        <v>10.2</v>
      </c>
      <c r="Q783" t="n">
        <v>9.699999999999999</v>
      </c>
      <c r="R783" t="n">
        <v>-0.5</v>
      </c>
      <c r="S783" t="b">
        <v>1</v>
      </c>
      <c r="U783" t="n">
        <v>12</v>
      </c>
      <c r="V783" t="b">
        <v>0</v>
      </c>
      <c r="W783" t="inlineStr">
        <is>
          <t>Heavy</t>
        </is>
      </c>
      <c r="X783" t="b">
        <v>0</v>
      </c>
      <c r="Y783" t="n">
        <v>0.39</v>
      </c>
    </row>
    <row r="784">
      <c r="A784" t="inlineStr">
        <is>
          <t>O00783</t>
        </is>
      </c>
      <c r="B784" t="inlineStr">
        <is>
          <t>C0232</t>
        </is>
      </c>
      <c r="C784" t="inlineStr">
        <is>
          <t>S004</t>
        </is>
      </c>
      <c r="D784" t="inlineStr">
        <is>
          <t>R009</t>
        </is>
      </c>
      <c r="E784" s="3" t="n">
        <v>46273.36319444444</v>
      </c>
      <c r="F784" s="3" t="n">
        <v>46273.37201388889</v>
      </c>
      <c r="G784" s="3" t="n">
        <v>46273.37166666667</v>
      </c>
      <c r="H784" t="inlineStr">
        <is>
          <t>Delivered</t>
        </is>
      </c>
      <c r="I784" t="n">
        <v>4</v>
      </c>
      <c r="J784" t="n">
        <v>6</v>
      </c>
      <c r="K784" t="n">
        <v>1381.7</v>
      </c>
      <c r="L784" t="n">
        <v>3.3</v>
      </c>
      <c r="M784" t="n">
        <v>1.6</v>
      </c>
      <c r="N784" t="n">
        <v>2.8</v>
      </c>
      <c r="O784" t="n">
        <v>7.8</v>
      </c>
      <c r="P784" t="n">
        <v>12.7</v>
      </c>
      <c r="Q784" t="n">
        <v>12.2</v>
      </c>
      <c r="R784" t="n">
        <v>-0.5</v>
      </c>
      <c r="S784" t="b">
        <v>1</v>
      </c>
      <c r="U784" t="n">
        <v>8</v>
      </c>
      <c r="V784" t="b">
        <v>0</v>
      </c>
      <c r="W784" t="inlineStr">
        <is>
          <t>Light</t>
        </is>
      </c>
      <c r="X784" t="b">
        <v>0</v>
      </c>
      <c r="Y784" t="n">
        <v>0.52</v>
      </c>
    </row>
    <row r="785">
      <c r="A785" t="inlineStr">
        <is>
          <t>O00784</t>
        </is>
      </c>
      <c r="B785" t="inlineStr">
        <is>
          <t>C0122</t>
        </is>
      </c>
      <c r="C785" t="inlineStr">
        <is>
          <t>S020</t>
        </is>
      </c>
      <c r="D785" t="inlineStr">
        <is>
          <t>R029</t>
        </is>
      </c>
      <c r="E785" s="3" t="n">
        <v>46273.48680555556</v>
      </c>
      <c r="F785" s="3" t="n">
        <v>46273.49465277778</v>
      </c>
      <c r="G785" s="3" t="n">
        <v>46273.49444444444</v>
      </c>
      <c r="H785" t="inlineStr">
        <is>
          <t>Delivered</t>
        </is>
      </c>
      <c r="I785" t="n">
        <v>2</v>
      </c>
      <c r="J785" t="n">
        <v>9</v>
      </c>
      <c r="K785" t="n">
        <v>1163.45</v>
      </c>
      <c r="L785" t="n">
        <v>0.92</v>
      </c>
      <c r="M785" t="n">
        <v>3.9</v>
      </c>
      <c r="N785" t="n">
        <v>5</v>
      </c>
      <c r="O785" t="n">
        <v>2.1</v>
      </c>
      <c r="P785" t="n">
        <v>11.3</v>
      </c>
      <c r="Q785" t="n">
        <v>11</v>
      </c>
      <c r="R785" t="n">
        <v>-0.3</v>
      </c>
      <c r="S785" t="b">
        <v>1</v>
      </c>
      <c r="U785" t="n">
        <v>11</v>
      </c>
      <c r="V785" t="b">
        <v>0</v>
      </c>
      <c r="X785" t="b">
        <v>0</v>
      </c>
      <c r="Y785" t="n">
        <v>0.47</v>
      </c>
    </row>
    <row r="786">
      <c r="A786" t="inlineStr">
        <is>
          <t>O00785</t>
        </is>
      </c>
      <c r="B786" t="inlineStr">
        <is>
          <t>C0041</t>
        </is>
      </c>
      <c r="C786" t="inlineStr">
        <is>
          <t>S011</t>
        </is>
      </c>
      <c r="D786" t="inlineStr">
        <is>
          <t>R061</t>
        </is>
      </c>
      <c r="E786" s="3" t="n">
        <v>46270.49097222222</v>
      </c>
      <c r="F786" s="3" t="n">
        <v>46270.49777777777</v>
      </c>
      <c r="G786" s="3" t="n">
        <v>46270.50111111111</v>
      </c>
      <c r="H786" t="inlineStr">
        <is>
          <t>Delivered</t>
        </is>
      </c>
      <c r="I786" t="n">
        <v>5</v>
      </c>
      <c r="J786" t="n">
        <v>9</v>
      </c>
      <c r="K786" t="n">
        <v>1538.05</v>
      </c>
      <c r="L786" t="n">
        <v>2.66</v>
      </c>
      <c r="M786" t="n">
        <v>5.7</v>
      </c>
      <c r="N786" t="n">
        <v>2.6</v>
      </c>
      <c r="O786" t="n">
        <v>6.4</v>
      </c>
      <c r="P786" t="n">
        <v>9.800000000000001</v>
      </c>
      <c r="Q786" t="n">
        <v>14.6</v>
      </c>
      <c r="R786" t="n">
        <v>4.8</v>
      </c>
      <c r="S786" t="b">
        <v>0</v>
      </c>
      <c r="U786" t="n">
        <v>11</v>
      </c>
      <c r="V786" t="b">
        <v>0</v>
      </c>
      <c r="X786" t="b">
        <v>0</v>
      </c>
      <c r="Y786" t="n">
        <v>0.5</v>
      </c>
    </row>
    <row r="787">
      <c r="A787" t="inlineStr">
        <is>
          <t>O00786</t>
        </is>
      </c>
      <c r="B787" t="inlineStr">
        <is>
          <t>C0191</t>
        </is>
      </c>
      <c r="C787" t="inlineStr">
        <is>
          <t>S019</t>
        </is>
      </c>
      <c r="D787" t="inlineStr">
        <is>
          <t>R021</t>
        </is>
      </c>
      <c r="E787" s="3" t="n">
        <v>46267.70486111111</v>
      </c>
      <c r="F787" s="3" t="n">
        <v>46267.71305555556</v>
      </c>
      <c r="G787" s="3" t="n">
        <v>46267.71263888889</v>
      </c>
      <c r="H787" t="inlineStr">
        <is>
          <t>Delivered</t>
        </is>
      </c>
      <c r="I787" t="n">
        <v>5</v>
      </c>
      <c r="J787" t="n">
        <v>8</v>
      </c>
      <c r="K787" t="n">
        <v>1215.81</v>
      </c>
      <c r="L787" t="n">
        <v>2.4</v>
      </c>
      <c r="M787" t="n">
        <v>3.6</v>
      </c>
      <c r="N787" t="n">
        <v>3.7</v>
      </c>
      <c r="O787" t="n">
        <v>3.9</v>
      </c>
      <c r="P787" t="n">
        <v>11.8</v>
      </c>
      <c r="Q787" t="n">
        <v>11.2</v>
      </c>
      <c r="R787" t="n">
        <v>-0.6</v>
      </c>
      <c r="S787" t="b">
        <v>1</v>
      </c>
      <c r="U787" t="n">
        <v>16</v>
      </c>
      <c r="V787" t="b">
        <v>0</v>
      </c>
      <c r="X787" t="b">
        <v>0</v>
      </c>
      <c r="Y787" t="n">
        <v>0.17</v>
      </c>
    </row>
    <row r="788">
      <c r="A788" t="inlineStr">
        <is>
          <t>O00787</t>
        </is>
      </c>
      <c r="B788" t="inlineStr">
        <is>
          <t>C0025</t>
        </is>
      </c>
      <c r="C788" t="inlineStr">
        <is>
          <t>S019</t>
        </is>
      </c>
      <c r="D788" t="inlineStr">
        <is>
          <t>R017</t>
        </is>
      </c>
      <c r="E788" s="3" t="n">
        <v>46271.72083333333</v>
      </c>
      <c r="F788" s="3" t="n">
        <v>46271.72881944444</v>
      </c>
      <c r="G788" s="3" t="n">
        <v>46271.72833333333</v>
      </c>
      <c r="H788" t="inlineStr">
        <is>
          <t>Delivered</t>
        </is>
      </c>
      <c r="I788" t="n">
        <v>4</v>
      </c>
      <c r="J788" t="n">
        <v>5</v>
      </c>
      <c r="K788" t="n">
        <v>355.96</v>
      </c>
      <c r="L788" t="n">
        <v>2.13</v>
      </c>
      <c r="M788" t="n">
        <v>3.3</v>
      </c>
      <c r="N788" t="n">
        <v>1.9</v>
      </c>
      <c r="O788" t="n">
        <v>5.6</v>
      </c>
      <c r="P788" t="n">
        <v>11.5</v>
      </c>
      <c r="Q788" t="n">
        <v>10.8</v>
      </c>
      <c r="R788" t="n">
        <v>-0.7</v>
      </c>
      <c r="S788" t="b">
        <v>1</v>
      </c>
      <c r="U788" t="n">
        <v>17</v>
      </c>
      <c r="V788" t="b">
        <v>0</v>
      </c>
      <c r="X788" t="b">
        <v>0</v>
      </c>
      <c r="Y788" t="n">
        <v>0.5600000000000001</v>
      </c>
    </row>
    <row r="789">
      <c r="A789" t="inlineStr">
        <is>
          <t>O00788</t>
        </is>
      </c>
      <c r="B789" t="inlineStr">
        <is>
          <t>C0186</t>
        </is>
      </c>
      <c r="C789" t="inlineStr">
        <is>
          <t>S006</t>
        </is>
      </c>
      <c r="D789" t="inlineStr">
        <is>
          <t>R049</t>
        </is>
      </c>
      <c r="E789" s="3" t="n">
        <v>46273.56458333333</v>
      </c>
      <c r="F789" s="3" t="n">
        <v>46273.57326388889</v>
      </c>
      <c r="G789" s="3" t="n">
        <v>46273.57263888889</v>
      </c>
      <c r="H789" t="inlineStr">
        <is>
          <t>Delivered</t>
        </is>
      </c>
      <c r="I789" t="n">
        <v>1</v>
      </c>
      <c r="J789" t="n">
        <v>2</v>
      </c>
      <c r="K789" t="n">
        <v>886.6799999999999</v>
      </c>
      <c r="L789" t="n">
        <v>3.37</v>
      </c>
      <c r="M789" t="n">
        <v>2.9</v>
      </c>
      <c r="N789" t="n">
        <v>3.6</v>
      </c>
      <c r="O789" t="n">
        <v>5.1</v>
      </c>
      <c r="P789" t="n">
        <v>12.5</v>
      </c>
      <c r="Q789" t="n">
        <v>11.6</v>
      </c>
      <c r="R789" t="n">
        <v>-0.9</v>
      </c>
      <c r="S789" t="b">
        <v>1</v>
      </c>
      <c r="U789" t="n">
        <v>13</v>
      </c>
      <c r="V789" t="b">
        <v>0</v>
      </c>
      <c r="W789" t="inlineStr">
        <is>
          <t>Heavy</t>
        </is>
      </c>
      <c r="X789" t="b">
        <v>0</v>
      </c>
      <c r="Y789" t="n">
        <v>0.18</v>
      </c>
    </row>
    <row r="790">
      <c r="A790" t="inlineStr">
        <is>
          <t>O00789</t>
        </is>
      </c>
      <c r="B790" t="inlineStr">
        <is>
          <t>C0250</t>
        </is>
      </c>
      <c r="C790" t="inlineStr">
        <is>
          <t>S003</t>
        </is>
      </c>
      <c r="D790" t="inlineStr">
        <is>
          <t>R046</t>
        </is>
      </c>
      <c r="E790" s="3" t="n">
        <v>46269.52361111111</v>
      </c>
      <c r="F790" s="3" t="n">
        <v>46269.53215277778</v>
      </c>
      <c r="G790" s="3" t="n">
        <v>46269.531875</v>
      </c>
      <c r="H790" t="inlineStr">
        <is>
          <t>Delivered</t>
        </is>
      </c>
      <c r="I790" t="n">
        <v>5</v>
      </c>
      <c r="J790" t="n">
        <v>5</v>
      </c>
      <c r="K790" t="n">
        <v>1375.74</v>
      </c>
      <c r="L790" t="n">
        <v>1.52</v>
      </c>
      <c r="M790" t="n">
        <v>2.7</v>
      </c>
      <c r="N790" t="n">
        <v>5.2</v>
      </c>
      <c r="O790" t="n">
        <v>4</v>
      </c>
      <c r="P790" t="n">
        <v>12.3</v>
      </c>
      <c r="Q790" t="n">
        <v>11.9</v>
      </c>
      <c r="R790" t="n">
        <v>-0.4</v>
      </c>
      <c r="S790" t="b">
        <v>1</v>
      </c>
      <c r="U790" t="n">
        <v>12</v>
      </c>
      <c r="V790" t="b">
        <v>0</v>
      </c>
      <c r="W790" t="inlineStr">
        <is>
          <t>Light</t>
        </is>
      </c>
      <c r="X790" t="b">
        <v>0</v>
      </c>
      <c r="Y790" t="n">
        <v>0.38</v>
      </c>
    </row>
    <row r="791">
      <c r="A791" t="inlineStr">
        <is>
          <t>O00790</t>
        </is>
      </c>
      <c r="B791" t="inlineStr">
        <is>
          <t>C0248</t>
        </is>
      </c>
      <c r="C791" t="inlineStr">
        <is>
          <t>S017</t>
        </is>
      </c>
      <c r="D791" t="inlineStr">
        <is>
          <t>R060</t>
        </is>
      </c>
      <c r="E791" s="3" t="n">
        <v>46279.79722222222</v>
      </c>
      <c r="F791" s="3" t="n">
        <v>46279.80402777778</v>
      </c>
      <c r="G791" s="3" t="n">
        <v>46279.80277777778</v>
      </c>
      <c r="H791" t="inlineStr">
        <is>
          <t>Delivered</t>
        </is>
      </c>
      <c r="I791" t="n">
        <v>3</v>
      </c>
      <c r="J791" t="n">
        <v>8</v>
      </c>
      <c r="K791" t="n">
        <v>1658.95</v>
      </c>
      <c r="L791" t="n">
        <v>0.5</v>
      </c>
      <c r="M791" t="n">
        <v>1.8</v>
      </c>
      <c r="N791" t="n">
        <v>3.8</v>
      </c>
      <c r="O791" t="n">
        <v>2.4</v>
      </c>
      <c r="P791" t="n">
        <v>9.800000000000001</v>
      </c>
      <c r="Q791" t="n">
        <v>8</v>
      </c>
      <c r="R791" t="n">
        <v>-1.8</v>
      </c>
      <c r="S791" t="b">
        <v>1</v>
      </c>
      <c r="U791" t="n">
        <v>19</v>
      </c>
      <c r="V791" t="b">
        <v>1</v>
      </c>
      <c r="X791" t="b">
        <v>1</v>
      </c>
      <c r="Y791" t="n">
        <v>0.49</v>
      </c>
    </row>
    <row r="792">
      <c r="A792" t="inlineStr">
        <is>
          <t>O00791</t>
        </is>
      </c>
      <c r="B792" t="inlineStr">
        <is>
          <t>C0193</t>
        </is>
      </c>
      <c r="C792" t="inlineStr">
        <is>
          <t>S008</t>
        </is>
      </c>
      <c r="D792" t="inlineStr">
        <is>
          <t>R065</t>
        </is>
      </c>
      <c r="E792" s="3" t="n">
        <v>46279.80694444444</v>
      </c>
      <c r="F792" s="3" t="n">
        <v>46279.81395833333</v>
      </c>
      <c r="G792" s="3" t="n">
        <v>46279.81354166667</v>
      </c>
      <c r="H792" t="inlineStr">
        <is>
          <t>Delivered</t>
        </is>
      </c>
      <c r="I792" t="n">
        <v>6</v>
      </c>
      <c r="J792" t="n">
        <v>6</v>
      </c>
      <c r="K792" t="n">
        <v>1145.57</v>
      </c>
      <c r="L792" t="n">
        <v>3.37</v>
      </c>
      <c r="M792" t="n">
        <v>1.3</v>
      </c>
      <c r="N792" t="n">
        <v>4.5</v>
      </c>
      <c r="O792" t="n">
        <v>3.7</v>
      </c>
      <c r="P792" t="n">
        <v>10.1</v>
      </c>
      <c r="Q792" t="n">
        <v>9.5</v>
      </c>
      <c r="R792" t="n">
        <v>-0.6</v>
      </c>
      <c r="S792" t="b">
        <v>1</v>
      </c>
      <c r="U792" t="n">
        <v>19</v>
      </c>
      <c r="V792" t="b">
        <v>1</v>
      </c>
      <c r="W792" t="inlineStr">
        <is>
          <t>Light</t>
        </is>
      </c>
      <c r="X792" t="b">
        <v>0</v>
      </c>
      <c r="Y792" t="n">
        <v>0.76</v>
      </c>
    </row>
    <row r="793">
      <c r="A793" t="inlineStr">
        <is>
          <t>O00792</t>
        </is>
      </c>
      <c r="B793" t="inlineStr">
        <is>
          <t>C0054</t>
        </is>
      </c>
      <c r="C793" t="inlineStr">
        <is>
          <t>S009</t>
        </is>
      </c>
      <c r="D793" t="inlineStr">
        <is>
          <t>R064</t>
        </is>
      </c>
      <c r="E793" s="3" t="n">
        <v>46269.59722222222</v>
      </c>
      <c r="F793" s="3" t="n">
        <v>46269.60465277778</v>
      </c>
      <c r="G793" s="3" t="n">
        <v>46269.60347222222</v>
      </c>
      <c r="H793" t="inlineStr">
        <is>
          <t>Delivered</t>
        </is>
      </c>
      <c r="I793" t="n">
        <v>5</v>
      </c>
      <c r="J793" t="n">
        <v>6</v>
      </c>
      <c r="K793" t="n">
        <v>514.23</v>
      </c>
      <c r="L793" t="n">
        <v>1.13</v>
      </c>
      <c r="M793" t="n">
        <v>2.4</v>
      </c>
      <c r="N793" t="n">
        <v>3.5</v>
      </c>
      <c r="O793" t="n">
        <v>3.2</v>
      </c>
      <c r="P793" t="n">
        <v>10.7</v>
      </c>
      <c r="Q793" t="n">
        <v>9</v>
      </c>
      <c r="R793" t="n">
        <v>-1.7</v>
      </c>
      <c r="S793" t="b">
        <v>1</v>
      </c>
      <c r="U793" t="n">
        <v>14</v>
      </c>
      <c r="V793" t="b">
        <v>0</v>
      </c>
      <c r="X793" t="b">
        <v>0</v>
      </c>
      <c r="Y793" t="n">
        <v>0.31</v>
      </c>
    </row>
    <row r="794">
      <c r="A794" t="inlineStr">
        <is>
          <t>O00793</t>
        </is>
      </c>
      <c r="B794" t="inlineStr">
        <is>
          <t>C0032</t>
        </is>
      </c>
      <c r="C794" t="inlineStr">
        <is>
          <t>S018</t>
        </is>
      </c>
      <c r="D794" t="inlineStr">
        <is>
          <t>R064</t>
        </is>
      </c>
      <c r="E794" s="3" t="n">
        <v>46273.33611111111</v>
      </c>
      <c r="F794" s="3" t="n">
        <v>46273.34354166667</v>
      </c>
      <c r="G794" s="3" t="n">
        <v>46273.34604166666</v>
      </c>
      <c r="H794" t="inlineStr">
        <is>
          <t>Delivered</t>
        </is>
      </c>
      <c r="I794" t="n">
        <v>2</v>
      </c>
      <c r="J794" t="n">
        <v>5</v>
      </c>
      <c r="K794" t="n">
        <v>278.67</v>
      </c>
      <c r="L794" t="n">
        <v>1.27</v>
      </c>
      <c r="M794" t="n">
        <v>4.6</v>
      </c>
      <c r="N794" t="n">
        <v>3.3</v>
      </c>
      <c r="O794" t="n">
        <v>6.4</v>
      </c>
      <c r="P794" t="n">
        <v>10.7</v>
      </c>
      <c r="Q794" t="n">
        <v>14.3</v>
      </c>
      <c r="R794" t="n">
        <v>3.6</v>
      </c>
      <c r="S794" t="b">
        <v>0</v>
      </c>
      <c r="U794" t="n">
        <v>8</v>
      </c>
      <c r="V794" t="b">
        <v>0</v>
      </c>
      <c r="W794" t="inlineStr">
        <is>
          <t>Heavy</t>
        </is>
      </c>
      <c r="X794" t="b">
        <v>0</v>
      </c>
      <c r="Y794" t="n">
        <v>0.45</v>
      </c>
    </row>
    <row r="795">
      <c r="A795" t="inlineStr">
        <is>
          <t>O00794</t>
        </is>
      </c>
      <c r="B795" t="inlineStr">
        <is>
          <t>C0130</t>
        </is>
      </c>
      <c r="C795" t="inlineStr">
        <is>
          <t>S017</t>
        </is>
      </c>
      <c r="D795" t="inlineStr">
        <is>
          <t>R046</t>
        </is>
      </c>
      <c r="E795" s="3" t="n">
        <v>46271.57638888889</v>
      </c>
      <c r="F795" s="3" t="n">
        <v>46271.58340277777</v>
      </c>
      <c r="G795" s="3" t="n">
        <v>46271.58305555556</v>
      </c>
      <c r="H795" t="inlineStr">
        <is>
          <t>Delivered</t>
        </is>
      </c>
      <c r="I795" t="n">
        <v>3</v>
      </c>
      <c r="J795" t="n">
        <v>6</v>
      </c>
      <c r="K795" t="n">
        <v>207.3</v>
      </c>
      <c r="L795" t="n">
        <v>1.37</v>
      </c>
      <c r="M795" t="n">
        <v>2.3</v>
      </c>
      <c r="N795" t="n">
        <v>4.9</v>
      </c>
      <c r="O795" t="n">
        <v>2.4</v>
      </c>
      <c r="P795" t="n">
        <v>10.1</v>
      </c>
      <c r="Q795" t="n">
        <v>9.6</v>
      </c>
      <c r="R795" t="n">
        <v>-0.5</v>
      </c>
      <c r="S795" t="b">
        <v>1</v>
      </c>
      <c r="U795" t="n">
        <v>13</v>
      </c>
      <c r="V795" t="b">
        <v>0</v>
      </c>
      <c r="X795" t="b">
        <v>0</v>
      </c>
      <c r="Y795" t="n">
        <v>0.36</v>
      </c>
    </row>
    <row r="796">
      <c r="A796" t="inlineStr">
        <is>
          <t>O00795</t>
        </is>
      </c>
      <c r="B796" t="inlineStr">
        <is>
          <t>C0146</t>
        </is>
      </c>
      <c r="C796" t="inlineStr">
        <is>
          <t>S007</t>
        </is>
      </c>
      <c r="D796" t="inlineStr">
        <is>
          <t>R056</t>
        </is>
      </c>
      <c r="E796" s="3" t="n">
        <v>46276.48125</v>
      </c>
      <c r="F796" s="3" t="n">
        <v>46276.48847222222</v>
      </c>
      <c r="G796" s="3" t="n">
        <v>46276.49027777778</v>
      </c>
      <c r="H796" t="inlineStr">
        <is>
          <t>Delivered</t>
        </is>
      </c>
      <c r="I796" t="n">
        <v>2</v>
      </c>
      <c r="J796" t="n">
        <v>5</v>
      </c>
      <c r="K796" t="n">
        <v>385.03</v>
      </c>
      <c r="L796" t="n">
        <v>0.92</v>
      </c>
      <c r="M796" t="n">
        <v>5.9</v>
      </c>
      <c r="N796" t="n">
        <v>2.7</v>
      </c>
      <c r="O796" t="n">
        <v>4.5</v>
      </c>
      <c r="P796" t="n">
        <v>10.4</v>
      </c>
      <c r="Q796" t="n">
        <v>13</v>
      </c>
      <c r="R796" t="n">
        <v>2.6</v>
      </c>
      <c r="S796" t="b">
        <v>0</v>
      </c>
      <c r="U796" t="n">
        <v>11</v>
      </c>
      <c r="V796" t="b">
        <v>0</v>
      </c>
      <c r="W796" t="inlineStr">
        <is>
          <t>Heavy</t>
        </is>
      </c>
      <c r="X796" t="b">
        <v>0</v>
      </c>
      <c r="Y796" t="n">
        <v>0.13</v>
      </c>
    </row>
    <row r="797">
      <c r="A797" t="inlineStr">
        <is>
          <t>O00796</t>
        </is>
      </c>
      <c r="B797" t="inlineStr">
        <is>
          <t>C0164</t>
        </is>
      </c>
      <c r="C797" t="inlineStr">
        <is>
          <t>S012</t>
        </is>
      </c>
      <c r="D797" t="inlineStr">
        <is>
          <t>R075</t>
        </is>
      </c>
      <c r="E797" s="3" t="n">
        <v>46267.96666666667</v>
      </c>
      <c r="F797" s="3" t="n">
        <v>46267.97576388889</v>
      </c>
      <c r="G797" s="3" t="n">
        <v>46267.97513888889</v>
      </c>
      <c r="H797" t="inlineStr">
        <is>
          <t>Delivered</t>
        </is>
      </c>
      <c r="I797" t="n">
        <v>3</v>
      </c>
      <c r="J797" t="n">
        <v>12</v>
      </c>
      <c r="K797" t="n">
        <v>1292.61</v>
      </c>
      <c r="L797" t="n">
        <v>2.99</v>
      </c>
      <c r="M797" t="n">
        <v>4.7</v>
      </c>
      <c r="N797" t="n">
        <v>3.8</v>
      </c>
      <c r="O797" t="n">
        <v>3.7</v>
      </c>
      <c r="P797" t="n">
        <v>13.1</v>
      </c>
      <c r="Q797" t="n">
        <v>12.2</v>
      </c>
      <c r="R797" t="n">
        <v>-0.9</v>
      </c>
      <c r="S797" t="b">
        <v>1</v>
      </c>
      <c r="U797" t="n">
        <v>23</v>
      </c>
      <c r="V797" t="b">
        <v>0</v>
      </c>
      <c r="X797" t="b">
        <v>0</v>
      </c>
      <c r="Y797" t="n">
        <v>0.44</v>
      </c>
    </row>
    <row r="798">
      <c r="A798" t="inlineStr">
        <is>
          <t>O00797</t>
        </is>
      </c>
      <c r="B798" t="inlineStr">
        <is>
          <t>C0160</t>
        </is>
      </c>
      <c r="C798" t="inlineStr">
        <is>
          <t>S011</t>
        </is>
      </c>
      <c r="D798" t="inlineStr">
        <is>
          <t>R008</t>
        </is>
      </c>
      <c r="E798" s="3" t="n">
        <v>46276.82777777778</v>
      </c>
      <c r="F798" s="3" t="n">
        <v>46276.83458333334</v>
      </c>
      <c r="G798" s="3" t="n">
        <v>46276.83444444444</v>
      </c>
      <c r="H798" t="inlineStr">
        <is>
          <t>Delivered</t>
        </is>
      </c>
      <c r="I798" t="n">
        <v>3</v>
      </c>
      <c r="J798" t="n">
        <v>3</v>
      </c>
      <c r="K798" t="n">
        <v>1240.43</v>
      </c>
      <c r="L798" t="n">
        <v>3.23</v>
      </c>
      <c r="M798" t="n">
        <v>2.7</v>
      </c>
      <c r="N798" t="n">
        <v>2.3</v>
      </c>
      <c r="O798" t="n">
        <v>4.6</v>
      </c>
      <c r="P798" t="n">
        <v>9.800000000000001</v>
      </c>
      <c r="Q798" t="n">
        <v>9.6</v>
      </c>
      <c r="R798" t="n">
        <v>-0.2</v>
      </c>
      <c r="S798" t="b">
        <v>1</v>
      </c>
      <c r="U798" t="n">
        <v>19</v>
      </c>
      <c r="V798" t="b">
        <v>1</v>
      </c>
      <c r="X798" t="b">
        <v>0</v>
      </c>
      <c r="Y798" t="n">
        <v>0.89</v>
      </c>
    </row>
    <row r="799">
      <c r="A799" t="inlineStr">
        <is>
          <t>O00798</t>
        </is>
      </c>
      <c r="B799" t="inlineStr">
        <is>
          <t>C0228</t>
        </is>
      </c>
      <c r="C799" t="inlineStr">
        <is>
          <t>S003</t>
        </is>
      </c>
      <c r="D799" t="inlineStr">
        <is>
          <t>R031</t>
        </is>
      </c>
      <c r="E799" s="3" t="n">
        <v>46278.56319444445</v>
      </c>
      <c r="F799" s="3" t="n">
        <v>46278.57048611111</v>
      </c>
      <c r="G799" s="3" t="n">
        <v>46278.57013888889</v>
      </c>
      <c r="H799" t="inlineStr">
        <is>
          <t>Delivered</t>
        </is>
      </c>
      <c r="I799" t="n">
        <v>3</v>
      </c>
      <c r="J799" t="n">
        <v>8</v>
      </c>
      <c r="K799" t="n">
        <v>543.48</v>
      </c>
      <c r="L799" t="n">
        <v>2.1</v>
      </c>
      <c r="M799" t="n">
        <v>2.5</v>
      </c>
      <c r="N799" t="n">
        <v>4.1</v>
      </c>
      <c r="O799" t="n">
        <v>3.4</v>
      </c>
      <c r="P799" t="n">
        <v>10.5</v>
      </c>
      <c r="Q799" t="n">
        <v>10</v>
      </c>
      <c r="R799" t="n">
        <v>-0.5</v>
      </c>
      <c r="S799" t="b">
        <v>1</v>
      </c>
      <c r="U799" t="n">
        <v>13</v>
      </c>
      <c r="V799" t="b">
        <v>0</v>
      </c>
      <c r="W799" t="inlineStr">
        <is>
          <t>Light</t>
        </is>
      </c>
      <c r="X799" t="b">
        <v>0</v>
      </c>
      <c r="Y799" t="n">
        <v>0.67</v>
      </c>
    </row>
    <row r="800">
      <c r="A800" t="inlineStr">
        <is>
          <t>O00799</t>
        </is>
      </c>
      <c r="B800" t="inlineStr">
        <is>
          <t>C0196</t>
        </is>
      </c>
      <c r="C800" t="inlineStr">
        <is>
          <t>S001</t>
        </is>
      </c>
      <c r="D800" t="inlineStr">
        <is>
          <t>R028</t>
        </is>
      </c>
      <c r="E800" s="3" t="n">
        <v>46279.59722222222</v>
      </c>
      <c r="F800" s="3" t="n">
        <v>46279.60506944444</v>
      </c>
      <c r="G800" s="3" t="n">
        <v>46279.60451388889</v>
      </c>
      <c r="H800" t="inlineStr">
        <is>
          <t>Delivered</t>
        </is>
      </c>
      <c r="I800" t="n">
        <v>6</v>
      </c>
      <c r="J800" t="n">
        <v>7</v>
      </c>
      <c r="K800" t="n">
        <v>249.49</v>
      </c>
      <c r="L800" t="n">
        <v>4.25</v>
      </c>
      <c r="M800" t="n">
        <v>3.5</v>
      </c>
      <c r="N800" t="n">
        <v>1.7</v>
      </c>
      <c r="O800" t="n">
        <v>5.3</v>
      </c>
      <c r="P800" t="n">
        <v>11.3</v>
      </c>
      <c r="Q800" t="n">
        <v>10.5</v>
      </c>
      <c r="R800" t="n">
        <v>-0.8</v>
      </c>
      <c r="S800" t="b">
        <v>1</v>
      </c>
      <c r="U800" t="n">
        <v>14</v>
      </c>
      <c r="V800" t="b">
        <v>0</v>
      </c>
      <c r="W800" t="inlineStr">
        <is>
          <t>Light</t>
        </is>
      </c>
      <c r="X800" t="b">
        <v>0</v>
      </c>
      <c r="Y800" t="n">
        <v>0.36</v>
      </c>
    </row>
    <row r="801">
      <c r="A801" t="inlineStr">
        <is>
          <t>O00800</t>
        </is>
      </c>
      <c r="B801" t="inlineStr">
        <is>
          <t>C0124</t>
        </is>
      </c>
      <c r="C801" t="inlineStr">
        <is>
          <t>S014</t>
        </is>
      </c>
      <c r="D801" t="inlineStr">
        <is>
          <t>R006</t>
        </is>
      </c>
      <c r="E801" s="3" t="n">
        <v>46275.575</v>
      </c>
      <c r="F801" s="3" t="n">
        <v>46275.58229166667</v>
      </c>
      <c r="G801" s="3" t="n">
        <v>46275.58173611111</v>
      </c>
      <c r="H801" t="inlineStr">
        <is>
          <t>Delivered</t>
        </is>
      </c>
      <c r="I801" t="n">
        <v>2</v>
      </c>
      <c r="J801" t="n">
        <v>9</v>
      </c>
      <c r="K801" t="n">
        <v>661.11</v>
      </c>
      <c r="L801" t="n">
        <v>3.3</v>
      </c>
      <c r="M801" t="n">
        <v>3.4</v>
      </c>
      <c r="N801" t="n">
        <v>0.6</v>
      </c>
      <c r="O801" t="n">
        <v>5.7</v>
      </c>
      <c r="P801" t="n">
        <v>10.5</v>
      </c>
      <c r="Q801" t="n">
        <v>9.699999999999999</v>
      </c>
      <c r="R801" t="n">
        <v>-0.8</v>
      </c>
      <c r="S801" t="b">
        <v>1</v>
      </c>
      <c r="U801" t="n">
        <v>13</v>
      </c>
      <c r="V801" t="b">
        <v>0</v>
      </c>
      <c r="W801" t="inlineStr">
        <is>
          <t>Heavy</t>
        </is>
      </c>
      <c r="X801" t="b">
        <v>0</v>
      </c>
      <c r="Y801" t="n">
        <v>0.39</v>
      </c>
    </row>
    <row r="802">
      <c r="A802" t="inlineStr">
        <is>
          <t>O00801</t>
        </is>
      </c>
      <c r="B802" t="inlineStr">
        <is>
          <t>C0133</t>
        </is>
      </c>
      <c r="C802" t="inlineStr">
        <is>
          <t>S013</t>
        </is>
      </c>
      <c r="D802" t="inlineStr">
        <is>
          <t>R061</t>
        </is>
      </c>
      <c r="E802" s="3" t="n">
        <v>46277.84375</v>
      </c>
      <c r="F802" s="3" t="n">
        <v>46277.85097222222</v>
      </c>
      <c r="G802" s="3" t="n">
        <v>46277.85041666667</v>
      </c>
      <c r="H802" t="inlineStr">
        <is>
          <t>Delivered</t>
        </is>
      </c>
      <c r="I802" t="n">
        <v>5</v>
      </c>
      <c r="J802" t="n">
        <v>9</v>
      </c>
      <c r="K802" t="n">
        <v>1365.56</v>
      </c>
      <c r="L802" t="n">
        <v>0.64</v>
      </c>
      <c r="M802" t="n">
        <v>3.5</v>
      </c>
      <c r="N802" t="n">
        <v>3.9</v>
      </c>
      <c r="O802" t="n">
        <v>2.2</v>
      </c>
      <c r="P802" t="n">
        <v>10.4</v>
      </c>
      <c r="Q802" t="n">
        <v>9.6</v>
      </c>
      <c r="R802" t="n">
        <v>-0.8</v>
      </c>
      <c r="S802" t="b">
        <v>1</v>
      </c>
      <c r="U802" t="n">
        <v>20</v>
      </c>
      <c r="V802" t="b">
        <v>1</v>
      </c>
      <c r="W802" t="inlineStr">
        <is>
          <t>Light</t>
        </is>
      </c>
      <c r="X802" t="b">
        <v>0</v>
      </c>
      <c r="Y802" t="n">
        <v>0.5</v>
      </c>
    </row>
    <row r="803">
      <c r="A803" t="inlineStr">
        <is>
          <t>O00802</t>
        </is>
      </c>
      <c r="B803" t="inlineStr">
        <is>
          <t>C0213</t>
        </is>
      </c>
      <c r="C803" t="inlineStr">
        <is>
          <t>S001</t>
        </is>
      </c>
      <c r="D803" t="inlineStr">
        <is>
          <t>R016</t>
        </is>
      </c>
      <c r="E803" s="3" t="n">
        <v>46267.98263888889</v>
      </c>
      <c r="F803" s="3" t="n">
        <v>46267.9875</v>
      </c>
      <c r="G803" s="3" t="n">
        <v>46267.99013888889</v>
      </c>
      <c r="H803" t="inlineStr">
        <is>
          <t>Delivered</t>
        </is>
      </c>
      <c r="I803" t="n">
        <v>3</v>
      </c>
      <c r="J803" t="n">
        <v>4</v>
      </c>
      <c r="K803" t="n">
        <v>820.22</v>
      </c>
      <c r="L803" t="n">
        <v>0.71</v>
      </c>
      <c r="M803" t="n">
        <v>3.9</v>
      </c>
      <c r="N803" t="n">
        <v>4.8</v>
      </c>
      <c r="O803" t="n">
        <v>2.1</v>
      </c>
      <c r="P803" t="n">
        <v>7</v>
      </c>
      <c r="Q803" t="n">
        <v>10.8</v>
      </c>
      <c r="R803" t="n">
        <v>3.8</v>
      </c>
      <c r="S803" t="b">
        <v>0</v>
      </c>
      <c r="U803" t="n">
        <v>23</v>
      </c>
      <c r="V803" t="b">
        <v>0</v>
      </c>
      <c r="X803" t="b">
        <v>0</v>
      </c>
      <c r="Y803" t="n">
        <v>0.13</v>
      </c>
    </row>
    <row r="804">
      <c r="A804" t="inlineStr">
        <is>
          <t>O00803</t>
        </is>
      </c>
      <c r="B804" t="inlineStr">
        <is>
          <t>C0094</t>
        </is>
      </c>
      <c r="C804" t="inlineStr">
        <is>
          <t>S014</t>
        </is>
      </c>
      <c r="D804" t="inlineStr">
        <is>
          <t>R008</t>
        </is>
      </c>
      <c r="E804" s="3" t="n">
        <v>46279.68680555555</v>
      </c>
      <c r="F804" s="3" t="n">
        <v>46279.69305555556</v>
      </c>
      <c r="G804" s="3" t="n">
        <v>46279.6925</v>
      </c>
      <c r="H804" t="inlineStr">
        <is>
          <t>Delivered</t>
        </is>
      </c>
      <c r="I804" t="n">
        <v>3</v>
      </c>
      <c r="J804" t="n">
        <v>8</v>
      </c>
      <c r="K804" t="n">
        <v>473.11</v>
      </c>
      <c r="L804" t="n">
        <v>1.04</v>
      </c>
      <c r="M804" t="n">
        <v>3</v>
      </c>
      <c r="N804" t="n">
        <v>3</v>
      </c>
      <c r="O804" t="n">
        <v>2.2</v>
      </c>
      <c r="P804" t="n">
        <v>9</v>
      </c>
      <c r="Q804" t="n">
        <v>8.199999999999999</v>
      </c>
      <c r="R804" t="n">
        <v>-0.8</v>
      </c>
      <c r="S804" t="b">
        <v>1</v>
      </c>
      <c r="U804" t="n">
        <v>16</v>
      </c>
      <c r="V804" t="b">
        <v>0</v>
      </c>
      <c r="W804" t="inlineStr">
        <is>
          <t>Light</t>
        </is>
      </c>
      <c r="X804" t="b">
        <v>0</v>
      </c>
      <c r="Y804" t="n">
        <v>0.45</v>
      </c>
    </row>
    <row r="805">
      <c r="A805" t="inlineStr">
        <is>
          <t>O00804</t>
        </is>
      </c>
      <c r="B805" t="inlineStr">
        <is>
          <t>C0039</t>
        </is>
      </c>
      <c r="C805" t="inlineStr">
        <is>
          <t>S006</t>
        </is>
      </c>
      <c r="D805" t="inlineStr">
        <is>
          <t>R058</t>
        </is>
      </c>
      <c r="E805" s="3" t="n">
        <v>46279.50972222222</v>
      </c>
      <c r="F805" s="3" t="n">
        <v>46279.51819444444</v>
      </c>
      <c r="G805" s="3" t="n">
        <v>46279.51881944444</v>
      </c>
      <c r="H805" t="inlineStr">
        <is>
          <t>Delivered</t>
        </is>
      </c>
      <c r="I805" t="n">
        <v>4</v>
      </c>
      <c r="J805" t="n">
        <v>9</v>
      </c>
      <c r="K805" t="n">
        <v>485.57</v>
      </c>
      <c r="L805" t="n">
        <v>0.91</v>
      </c>
      <c r="M805" t="n">
        <v>5.1</v>
      </c>
      <c r="N805" t="n">
        <v>5.4</v>
      </c>
      <c r="O805" t="n">
        <v>2.6</v>
      </c>
      <c r="P805" t="n">
        <v>12.2</v>
      </c>
      <c r="Q805" t="n">
        <v>13.1</v>
      </c>
      <c r="R805" t="n">
        <v>0.9</v>
      </c>
      <c r="S805" t="b">
        <v>0</v>
      </c>
      <c r="U805" t="n">
        <v>12</v>
      </c>
      <c r="V805" t="b">
        <v>0</v>
      </c>
      <c r="X805" t="b">
        <v>0</v>
      </c>
      <c r="Y805" t="n">
        <v>0.15</v>
      </c>
    </row>
    <row r="806">
      <c r="A806" t="inlineStr">
        <is>
          <t>O00805</t>
        </is>
      </c>
      <c r="B806" t="inlineStr">
        <is>
          <t>C0060</t>
        </is>
      </c>
      <c r="C806" t="inlineStr">
        <is>
          <t>S019</t>
        </is>
      </c>
      <c r="D806" t="inlineStr">
        <is>
          <t>R061</t>
        </is>
      </c>
      <c r="E806" s="3" t="n">
        <v>46271.37222222222</v>
      </c>
      <c r="F806" s="3" t="n">
        <v>46271.37923611111</v>
      </c>
      <c r="G806" s="3" t="n">
        <v>46271.38166666667</v>
      </c>
      <c r="H806" t="inlineStr">
        <is>
          <t>Delivered</t>
        </is>
      </c>
      <c r="I806" t="n">
        <v>1</v>
      </c>
      <c r="J806" t="n">
        <v>11</v>
      </c>
      <c r="K806" t="n">
        <v>1450.97</v>
      </c>
      <c r="L806" t="n">
        <v>1.55</v>
      </c>
      <c r="M806" t="n">
        <v>5.1</v>
      </c>
      <c r="N806" t="n">
        <v>3.5</v>
      </c>
      <c r="O806" t="n">
        <v>5</v>
      </c>
      <c r="P806" t="n">
        <v>10.1</v>
      </c>
      <c r="Q806" t="n">
        <v>13.6</v>
      </c>
      <c r="R806" t="n">
        <v>3.5</v>
      </c>
      <c r="S806" t="b">
        <v>0</v>
      </c>
      <c r="U806" t="n">
        <v>8</v>
      </c>
      <c r="V806" t="b">
        <v>0</v>
      </c>
      <c r="W806" t="inlineStr">
        <is>
          <t>Light</t>
        </is>
      </c>
      <c r="X806" t="b">
        <v>0</v>
      </c>
      <c r="Y806" t="n">
        <v>0.43</v>
      </c>
    </row>
    <row r="807">
      <c r="A807" t="inlineStr">
        <is>
          <t>O00806</t>
        </is>
      </c>
      <c r="B807" t="inlineStr">
        <is>
          <t>C0061</t>
        </is>
      </c>
      <c r="C807" t="inlineStr">
        <is>
          <t>S015</t>
        </is>
      </c>
      <c r="D807" t="inlineStr">
        <is>
          <t>R077</t>
        </is>
      </c>
      <c r="E807" s="3" t="n">
        <v>46278.78263888889</v>
      </c>
      <c r="F807" s="3" t="n">
        <v>46278.79013888889</v>
      </c>
      <c r="G807" s="3" t="n">
        <v>46278.78986111111</v>
      </c>
      <c r="H807" t="inlineStr">
        <is>
          <t>Delivered</t>
        </is>
      </c>
      <c r="I807" t="n">
        <v>3</v>
      </c>
      <c r="J807" t="n">
        <v>6</v>
      </c>
      <c r="K807" t="n">
        <v>333.84</v>
      </c>
      <c r="L807" t="n">
        <v>1.37</v>
      </c>
      <c r="M807" t="n">
        <v>2.4</v>
      </c>
      <c r="N807" t="n">
        <v>5.1</v>
      </c>
      <c r="O807" t="n">
        <v>2.9</v>
      </c>
      <c r="P807" t="n">
        <v>10.8</v>
      </c>
      <c r="Q807" t="n">
        <v>10.4</v>
      </c>
      <c r="R807" t="n">
        <v>-0.4</v>
      </c>
      <c r="S807" t="b">
        <v>1</v>
      </c>
      <c r="U807" t="n">
        <v>18</v>
      </c>
      <c r="V807" t="b">
        <v>0</v>
      </c>
      <c r="X807" t="b">
        <v>0</v>
      </c>
      <c r="Y807" t="n">
        <v>0.29</v>
      </c>
    </row>
    <row r="808">
      <c r="A808" t="inlineStr">
        <is>
          <t>O00807</t>
        </is>
      </c>
      <c r="B808" t="inlineStr">
        <is>
          <t>C0025</t>
        </is>
      </c>
      <c r="C808" t="inlineStr">
        <is>
          <t>S019</t>
        </is>
      </c>
      <c r="D808" t="inlineStr">
        <is>
          <t>R027</t>
        </is>
      </c>
      <c r="E808" s="3" t="n">
        <v>46266.62013888889</v>
      </c>
      <c r="F808" s="3" t="n">
        <v>46266.62708333333</v>
      </c>
      <c r="G808" s="3" t="n">
        <v>46266.63618055556</v>
      </c>
      <c r="H808" t="inlineStr">
        <is>
          <t>Delivered</t>
        </is>
      </c>
      <c r="I808" t="n">
        <v>5</v>
      </c>
      <c r="J808" t="n">
        <v>9</v>
      </c>
      <c r="K808" t="n">
        <v>665.72</v>
      </c>
      <c r="L808" t="n">
        <v>2.5</v>
      </c>
      <c r="M808" t="n">
        <v>4.7</v>
      </c>
      <c r="N808" t="n">
        <v>10.2</v>
      </c>
      <c r="O808" t="n">
        <v>8.199999999999999</v>
      </c>
      <c r="P808" t="n">
        <v>10</v>
      </c>
      <c r="Q808" t="n">
        <v>23.1</v>
      </c>
      <c r="R808" t="n">
        <v>13.1</v>
      </c>
      <c r="S808" t="b">
        <v>0</v>
      </c>
      <c r="U808" t="n">
        <v>14</v>
      </c>
      <c r="V808" t="b">
        <v>0</v>
      </c>
      <c r="W808" t="inlineStr">
        <is>
          <t>Light</t>
        </is>
      </c>
      <c r="X808" t="b">
        <v>0</v>
      </c>
      <c r="Y808" t="n">
        <v>0.54</v>
      </c>
    </row>
    <row r="809">
      <c r="A809" t="inlineStr">
        <is>
          <t>O00808</t>
        </is>
      </c>
      <c r="B809" t="inlineStr">
        <is>
          <t>C0198</t>
        </is>
      </c>
      <c r="C809" t="inlineStr">
        <is>
          <t>S015</t>
        </is>
      </c>
      <c r="D809" t="inlineStr">
        <is>
          <t>R029</t>
        </is>
      </c>
      <c r="E809" s="3" t="n">
        <v>46270.33680555555</v>
      </c>
      <c r="F809" s="3" t="n">
        <v>46270.34416666667</v>
      </c>
      <c r="G809" s="3" t="n">
        <v>46270.34951388889</v>
      </c>
      <c r="H809" t="inlineStr">
        <is>
          <t>Delivered</t>
        </is>
      </c>
      <c r="I809" t="n">
        <v>2</v>
      </c>
      <c r="J809" t="n">
        <v>8</v>
      </c>
      <c r="K809" t="n">
        <v>828.48</v>
      </c>
      <c r="L809" t="n">
        <v>1.76</v>
      </c>
      <c r="M809" t="n">
        <v>5.6</v>
      </c>
      <c r="N809" t="n">
        <v>8.1</v>
      </c>
      <c r="O809" t="n">
        <v>4.7</v>
      </c>
      <c r="P809" t="n">
        <v>10.6</v>
      </c>
      <c r="Q809" t="n">
        <v>18.3</v>
      </c>
      <c r="R809" t="n">
        <v>7.7</v>
      </c>
      <c r="S809" t="b">
        <v>0</v>
      </c>
      <c r="U809" t="n">
        <v>8</v>
      </c>
      <c r="V809" t="b">
        <v>0</v>
      </c>
      <c r="X809" t="b">
        <v>0</v>
      </c>
      <c r="Y809" t="n">
        <v>0.25</v>
      </c>
    </row>
    <row r="810">
      <c r="A810" t="inlineStr">
        <is>
          <t>O00809</t>
        </is>
      </c>
      <c r="B810" t="inlineStr">
        <is>
          <t>C0110</t>
        </is>
      </c>
      <c r="C810" t="inlineStr">
        <is>
          <t>S001</t>
        </is>
      </c>
      <c r="D810" t="inlineStr">
        <is>
          <t>R001</t>
        </is>
      </c>
      <c r="E810" s="3" t="n">
        <v>46274.9</v>
      </c>
      <c r="F810" s="3" t="n">
        <v>46274.90777777778</v>
      </c>
      <c r="G810" s="3" t="n">
        <v>46274.90736111111</v>
      </c>
      <c r="H810" t="inlineStr">
        <is>
          <t>Delivered</t>
        </is>
      </c>
      <c r="I810" t="n">
        <v>5</v>
      </c>
      <c r="J810" t="n">
        <v>5</v>
      </c>
      <c r="K810" t="n">
        <v>1410.32</v>
      </c>
      <c r="L810" t="n">
        <v>3.68</v>
      </c>
      <c r="M810" t="n">
        <v>2.2</v>
      </c>
      <c r="N810" t="n">
        <v>3.5</v>
      </c>
      <c r="O810" t="n">
        <v>4.9</v>
      </c>
      <c r="P810" t="n">
        <v>11.2</v>
      </c>
      <c r="Q810" t="n">
        <v>10.6</v>
      </c>
      <c r="R810" t="n">
        <v>-0.6</v>
      </c>
      <c r="S810" t="b">
        <v>1</v>
      </c>
      <c r="U810" t="n">
        <v>21</v>
      </c>
      <c r="V810" t="b">
        <v>1</v>
      </c>
      <c r="X810" t="b">
        <v>0</v>
      </c>
      <c r="Y810" t="n">
        <v>0.58</v>
      </c>
    </row>
    <row r="811">
      <c r="A811" t="inlineStr">
        <is>
          <t>O00810</t>
        </is>
      </c>
      <c r="B811" t="inlineStr">
        <is>
          <t>C0165</t>
        </is>
      </c>
      <c r="C811" t="inlineStr">
        <is>
          <t>S008</t>
        </is>
      </c>
      <c r="D811" t="inlineStr">
        <is>
          <t>R049</t>
        </is>
      </c>
      <c r="E811" s="3" t="n">
        <v>46278.69791666666</v>
      </c>
      <c r="F811" s="3" t="n">
        <v>46278.70569444444</v>
      </c>
      <c r="G811" s="3" t="n">
        <v>46278.70493055556</v>
      </c>
      <c r="H811" t="inlineStr">
        <is>
          <t>Delivered</t>
        </is>
      </c>
      <c r="I811" t="n">
        <v>4</v>
      </c>
      <c r="J811" t="n">
        <v>4</v>
      </c>
      <c r="K811" t="n">
        <v>655.95</v>
      </c>
      <c r="L811" t="n">
        <v>2.19</v>
      </c>
      <c r="M811" t="n">
        <v>2.4</v>
      </c>
      <c r="N811" t="n">
        <v>4.7</v>
      </c>
      <c r="O811" t="n">
        <v>3</v>
      </c>
      <c r="P811" t="n">
        <v>11.2</v>
      </c>
      <c r="Q811" t="n">
        <v>10.1</v>
      </c>
      <c r="R811" t="n">
        <v>-1.1</v>
      </c>
      <c r="S811" t="b">
        <v>1</v>
      </c>
      <c r="U811" t="n">
        <v>16</v>
      </c>
      <c r="V811" t="b">
        <v>0</v>
      </c>
      <c r="X811" t="b">
        <v>0</v>
      </c>
      <c r="Y811" t="n">
        <v>0.36</v>
      </c>
    </row>
    <row r="812">
      <c r="A812" t="inlineStr">
        <is>
          <t>O00811</t>
        </is>
      </c>
      <c r="B812" t="inlineStr">
        <is>
          <t>C0163</t>
        </is>
      </c>
      <c r="C812" t="inlineStr">
        <is>
          <t>S003</t>
        </is>
      </c>
      <c r="E812" s="3" t="n">
        <v>46266.3375</v>
      </c>
      <c r="F812" s="3" t="n">
        <v>46266.34326388889</v>
      </c>
      <c r="H812" t="inlineStr">
        <is>
          <t>Cancelled</t>
        </is>
      </c>
      <c r="I812" t="n">
        <v>4</v>
      </c>
      <c r="J812" t="n">
        <v>8</v>
      </c>
      <c r="K812" t="n">
        <v>362.69</v>
      </c>
      <c r="L812" t="n">
        <v>0.71</v>
      </c>
      <c r="M812" t="n">
        <v>4.2</v>
      </c>
      <c r="N812" t="n">
        <v>6.3</v>
      </c>
      <c r="O812" t="n">
        <v>2.8</v>
      </c>
      <c r="P812" t="n">
        <v>8.300000000000001</v>
      </c>
      <c r="T812" t="inlineStr">
        <is>
          <t>Payment issue</t>
        </is>
      </c>
      <c r="U812" t="n">
        <v>8</v>
      </c>
      <c r="V812" t="b">
        <v>0</v>
      </c>
      <c r="X812" t="b">
        <v>0</v>
      </c>
      <c r="Y812" t="n">
        <v>0.39</v>
      </c>
    </row>
    <row r="813">
      <c r="A813" t="inlineStr">
        <is>
          <t>O00812</t>
        </is>
      </c>
      <c r="B813" t="inlineStr">
        <is>
          <t>C0093</t>
        </is>
      </c>
      <c r="C813" t="inlineStr">
        <is>
          <t>S005</t>
        </is>
      </c>
      <c r="D813" t="inlineStr">
        <is>
          <t>R070</t>
        </is>
      </c>
      <c r="E813" s="3" t="n">
        <v>46266.86875</v>
      </c>
      <c r="F813" s="3" t="n">
        <v>46266.87555555555</v>
      </c>
      <c r="G813" s="3" t="n">
        <v>46266.88215277778</v>
      </c>
      <c r="H813" t="inlineStr">
        <is>
          <t>Delivered</t>
        </is>
      </c>
      <c r="I813" t="n">
        <v>2</v>
      </c>
      <c r="J813" t="n">
        <v>9</v>
      </c>
      <c r="K813" t="n">
        <v>1567.65</v>
      </c>
      <c r="L813" t="n">
        <v>1.17</v>
      </c>
      <c r="M813" t="n">
        <v>6.7</v>
      </c>
      <c r="N813" t="n">
        <v>7</v>
      </c>
      <c r="O813" t="n">
        <v>5.6</v>
      </c>
      <c r="P813" t="n">
        <v>9.800000000000001</v>
      </c>
      <c r="Q813" t="n">
        <v>19.3</v>
      </c>
      <c r="R813" t="n">
        <v>9.5</v>
      </c>
      <c r="S813" t="b">
        <v>0</v>
      </c>
      <c r="U813" t="n">
        <v>20</v>
      </c>
      <c r="V813" t="b">
        <v>1</v>
      </c>
      <c r="W813" t="inlineStr">
        <is>
          <t>Heavy</t>
        </is>
      </c>
      <c r="X813" t="b">
        <v>0</v>
      </c>
      <c r="Y813" t="n">
        <v>0.33</v>
      </c>
    </row>
    <row r="814">
      <c r="A814" t="inlineStr">
        <is>
          <t>O00813</t>
        </is>
      </c>
      <c r="B814" t="inlineStr">
        <is>
          <t>C0206</t>
        </is>
      </c>
      <c r="C814" t="inlineStr">
        <is>
          <t>S002</t>
        </is>
      </c>
      <c r="D814" t="inlineStr">
        <is>
          <t>R022</t>
        </is>
      </c>
      <c r="E814" s="3" t="n">
        <v>46277.55763888889</v>
      </c>
      <c r="F814" s="3" t="n">
        <v>46277.56527777778</v>
      </c>
      <c r="G814" s="3" t="n">
        <v>46277.56458333333</v>
      </c>
      <c r="H814" t="inlineStr">
        <is>
          <t>Delivered</t>
        </is>
      </c>
      <c r="I814" t="n">
        <v>2</v>
      </c>
      <c r="J814" t="n">
        <v>7</v>
      </c>
      <c r="K814" t="n">
        <v>619.84</v>
      </c>
      <c r="L814" t="n">
        <v>2.1</v>
      </c>
      <c r="M814" t="n">
        <v>2.3</v>
      </c>
      <c r="N814" t="n">
        <v>2.8</v>
      </c>
      <c r="O814" t="n">
        <v>4.9</v>
      </c>
      <c r="P814" t="n">
        <v>11</v>
      </c>
      <c r="Q814" t="n">
        <v>10</v>
      </c>
      <c r="R814" t="n">
        <v>-1</v>
      </c>
      <c r="S814" t="b">
        <v>1</v>
      </c>
      <c r="U814" t="n">
        <v>13</v>
      </c>
      <c r="V814" t="b">
        <v>0</v>
      </c>
      <c r="X814" t="b">
        <v>0</v>
      </c>
      <c r="Y814" t="n">
        <v>0.33</v>
      </c>
    </row>
    <row r="815">
      <c r="A815" t="inlineStr">
        <is>
          <t>O00814</t>
        </is>
      </c>
      <c r="B815" t="inlineStr">
        <is>
          <t>C0066</t>
        </is>
      </c>
      <c r="C815" t="inlineStr">
        <is>
          <t>S014</t>
        </is>
      </c>
      <c r="D815" t="inlineStr">
        <is>
          <t>R057</t>
        </is>
      </c>
      <c r="E815" s="3" t="n">
        <v>46275.47361111111</v>
      </c>
      <c r="F815" s="3" t="n">
        <v>46275.48083333333</v>
      </c>
      <c r="G815" s="3" t="n">
        <v>46275.480625</v>
      </c>
      <c r="H815" t="inlineStr">
        <is>
          <t>Delivered</t>
        </is>
      </c>
      <c r="I815" t="n">
        <v>4</v>
      </c>
      <c r="J815" t="n">
        <v>8</v>
      </c>
      <c r="K815" t="n">
        <v>1065.6</v>
      </c>
      <c r="L815" t="n">
        <v>1.48</v>
      </c>
      <c r="M815" t="n">
        <v>4.3</v>
      </c>
      <c r="N815" t="n">
        <v>1.4</v>
      </c>
      <c r="O815" t="n">
        <v>4.4</v>
      </c>
      <c r="P815" t="n">
        <v>10.4</v>
      </c>
      <c r="Q815" t="n">
        <v>10.1</v>
      </c>
      <c r="R815" t="n">
        <v>-0.3</v>
      </c>
      <c r="S815" t="b">
        <v>1</v>
      </c>
      <c r="U815" t="n">
        <v>11</v>
      </c>
      <c r="V815" t="b">
        <v>0</v>
      </c>
      <c r="W815" t="inlineStr">
        <is>
          <t>Heavy</t>
        </is>
      </c>
      <c r="X815" t="b">
        <v>0</v>
      </c>
      <c r="Y815" t="n">
        <v>0.38</v>
      </c>
    </row>
    <row r="816">
      <c r="A816" t="inlineStr">
        <is>
          <t>O00815</t>
        </is>
      </c>
      <c r="B816" t="inlineStr">
        <is>
          <t>C0215</t>
        </is>
      </c>
      <c r="C816" t="inlineStr">
        <is>
          <t>S013</t>
        </is>
      </c>
      <c r="D816" t="inlineStr">
        <is>
          <t>R073</t>
        </is>
      </c>
      <c r="E816" s="3" t="n">
        <v>46270.66111111111</v>
      </c>
      <c r="F816" s="3" t="n">
        <v>46270.66715277778</v>
      </c>
      <c r="G816" s="3" t="n">
        <v>46270.66631944444</v>
      </c>
      <c r="H816" t="inlineStr">
        <is>
          <t>Delivered</t>
        </is>
      </c>
      <c r="I816" t="n">
        <v>2</v>
      </c>
      <c r="J816" t="n">
        <v>7</v>
      </c>
      <c r="K816" t="n">
        <v>1019.97</v>
      </c>
      <c r="L816" t="n">
        <v>2.43</v>
      </c>
      <c r="M816" t="n">
        <v>2.9</v>
      </c>
      <c r="N816" t="n">
        <v>2.1</v>
      </c>
      <c r="O816" t="n">
        <v>2.5</v>
      </c>
      <c r="P816" t="n">
        <v>8.699999999999999</v>
      </c>
      <c r="Q816" t="n">
        <v>7.5</v>
      </c>
      <c r="R816" t="n">
        <v>-1.2</v>
      </c>
      <c r="S816" t="b">
        <v>1</v>
      </c>
      <c r="U816" t="n">
        <v>15</v>
      </c>
      <c r="V816" t="b">
        <v>0</v>
      </c>
      <c r="W816" t="inlineStr">
        <is>
          <t>Light</t>
        </is>
      </c>
      <c r="X816" t="b">
        <v>0</v>
      </c>
      <c r="Y816" t="n">
        <v>0.43</v>
      </c>
    </row>
    <row r="817">
      <c r="A817" t="inlineStr">
        <is>
          <t>O00816</t>
        </is>
      </c>
      <c r="B817" t="inlineStr">
        <is>
          <t>C0008</t>
        </is>
      </c>
      <c r="C817" t="inlineStr">
        <is>
          <t>S006</t>
        </is>
      </c>
      <c r="D817" t="inlineStr">
        <is>
          <t>R068</t>
        </is>
      </c>
      <c r="E817" s="3" t="n">
        <v>46276.53125</v>
      </c>
      <c r="F817" s="3" t="n">
        <v>46276.53861111111</v>
      </c>
      <c r="G817" s="3" t="n">
        <v>46276.53798611111</v>
      </c>
      <c r="H817" t="inlineStr">
        <is>
          <t>Delivered</t>
        </is>
      </c>
      <c r="I817" t="n">
        <v>6</v>
      </c>
      <c r="J817" t="n">
        <v>8</v>
      </c>
      <c r="K817" t="n">
        <v>1093.23</v>
      </c>
      <c r="L817" t="n">
        <v>1.06</v>
      </c>
      <c r="M817" t="n">
        <v>3.9</v>
      </c>
      <c r="N817" t="n">
        <v>3.3</v>
      </c>
      <c r="O817" t="n">
        <v>2.5</v>
      </c>
      <c r="P817" t="n">
        <v>10.6</v>
      </c>
      <c r="Q817" t="n">
        <v>9.699999999999999</v>
      </c>
      <c r="R817" t="n">
        <v>-0.9</v>
      </c>
      <c r="S817" t="b">
        <v>1</v>
      </c>
      <c r="U817" t="n">
        <v>12</v>
      </c>
      <c r="V817" t="b">
        <v>0</v>
      </c>
      <c r="X817" t="b">
        <v>0</v>
      </c>
      <c r="Y817" t="n">
        <v>0.5</v>
      </c>
    </row>
    <row r="818">
      <c r="A818" t="inlineStr">
        <is>
          <t>O00817</t>
        </is>
      </c>
      <c r="B818" t="inlineStr">
        <is>
          <t>C0043</t>
        </is>
      </c>
      <c r="C818" t="inlineStr">
        <is>
          <t>S002</t>
        </is>
      </c>
      <c r="D818" t="inlineStr">
        <is>
          <t>R035</t>
        </is>
      </c>
      <c r="E818" s="3" t="n">
        <v>46272.79930555556</v>
      </c>
      <c r="F818" s="3" t="n">
        <v>46272.80597222222</v>
      </c>
      <c r="G818" s="3" t="n">
        <v>46272.81770833334</v>
      </c>
      <c r="H818" t="inlineStr">
        <is>
          <t>Delivered</t>
        </is>
      </c>
      <c r="I818" t="n">
        <v>4</v>
      </c>
      <c r="J818" t="n">
        <v>9</v>
      </c>
      <c r="K818" t="n">
        <v>821.37</v>
      </c>
      <c r="L818" t="n">
        <v>4.2</v>
      </c>
      <c r="M818" t="n">
        <v>3.7</v>
      </c>
      <c r="N818" t="n">
        <v>10.6</v>
      </c>
      <c r="O818" t="n">
        <v>12.2</v>
      </c>
      <c r="P818" t="n">
        <v>9.6</v>
      </c>
      <c r="Q818" t="n">
        <v>26.5</v>
      </c>
      <c r="R818" t="n">
        <v>16.9</v>
      </c>
      <c r="S818" t="b">
        <v>0</v>
      </c>
      <c r="U818" t="n">
        <v>19</v>
      </c>
      <c r="V818" t="b">
        <v>1</v>
      </c>
      <c r="X818" t="b">
        <v>0</v>
      </c>
      <c r="Y818" t="n">
        <v>0.86</v>
      </c>
    </row>
    <row r="819">
      <c r="A819" t="inlineStr">
        <is>
          <t>O00818</t>
        </is>
      </c>
      <c r="B819" t="inlineStr">
        <is>
          <t>C0219</t>
        </is>
      </c>
      <c r="C819" t="inlineStr">
        <is>
          <t>S009</t>
        </is>
      </c>
      <c r="D819" t="inlineStr">
        <is>
          <t>R008</t>
        </is>
      </c>
      <c r="E819" s="3" t="n">
        <v>46274.45486111111</v>
      </c>
      <c r="F819" s="3" t="n">
        <v>46274.46166666667</v>
      </c>
      <c r="G819" s="3" t="n">
        <v>46274.46145833333</v>
      </c>
      <c r="H819" t="inlineStr">
        <is>
          <t>Delivered</t>
        </is>
      </c>
      <c r="I819" t="n">
        <v>4</v>
      </c>
      <c r="J819" t="n">
        <v>5</v>
      </c>
      <c r="K819" t="n">
        <v>1398.9</v>
      </c>
      <c r="L819" t="n">
        <v>2.22</v>
      </c>
      <c r="M819" t="n">
        <v>1.8</v>
      </c>
      <c r="N819" t="n">
        <v>4.3</v>
      </c>
      <c r="O819" t="n">
        <v>3.4</v>
      </c>
      <c r="P819" t="n">
        <v>9.800000000000001</v>
      </c>
      <c r="Q819" t="n">
        <v>9.5</v>
      </c>
      <c r="R819" t="n">
        <v>-0.3</v>
      </c>
      <c r="S819" t="b">
        <v>1</v>
      </c>
      <c r="U819" t="n">
        <v>10</v>
      </c>
      <c r="V819" t="b">
        <v>0</v>
      </c>
      <c r="X819" t="b">
        <v>0</v>
      </c>
      <c r="Y819" t="n">
        <v>0.54</v>
      </c>
    </row>
    <row r="820">
      <c r="A820" t="inlineStr">
        <is>
          <t>O00819</t>
        </is>
      </c>
      <c r="B820" t="inlineStr">
        <is>
          <t>C0117</t>
        </is>
      </c>
      <c r="C820" t="inlineStr">
        <is>
          <t>S002</t>
        </is>
      </c>
      <c r="D820" t="inlineStr">
        <is>
          <t>R001</t>
        </is>
      </c>
      <c r="E820" s="3" t="n">
        <v>46278.83263888889</v>
      </c>
      <c r="F820" s="3" t="n">
        <v>46278.84</v>
      </c>
      <c r="G820" s="3" t="n">
        <v>46278.83923611111</v>
      </c>
      <c r="H820" t="inlineStr">
        <is>
          <t>Delivered</t>
        </is>
      </c>
      <c r="I820" t="n">
        <v>3</v>
      </c>
      <c r="J820" t="n">
        <v>6</v>
      </c>
      <c r="K820" t="n">
        <v>647.02</v>
      </c>
      <c r="L820" t="n">
        <v>5</v>
      </c>
      <c r="M820" t="n">
        <v>0.9</v>
      </c>
      <c r="N820" t="n">
        <v>2.3</v>
      </c>
      <c r="O820" t="n">
        <v>6.3</v>
      </c>
      <c r="P820" t="n">
        <v>10.6</v>
      </c>
      <c r="Q820" t="n">
        <v>9.5</v>
      </c>
      <c r="R820" t="n">
        <v>-1.1</v>
      </c>
      <c r="S820" t="b">
        <v>1</v>
      </c>
      <c r="U820" t="n">
        <v>19</v>
      </c>
      <c r="V820" t="b">
        <v>1</v>
      </c>
      <c r="X820" t="b">
        <v>0</v>
      </c>
      <c r="Y820" t="n">
        <v>0.73</v>
      </c>
    </row>
    <row r="821">
      <c r="A821" t="inlineStr">
        <is>
          <t>O00820</t>
        </is>
      </c>
      <c r="B821" t="inlineStr">
        <is>
          <t>C0031</t>
        </is>
      </c>
      <c r="C821" t="inlineStr">
        <is>
          <t>S014</t>
        </is>
      </c>
      <c r="D821" t="inlineStr">
        <is>
          <t>R044</t>
        </is>
      </c>
      <c r="E821" s="3" t="n">
        <v>46269.9875</v>
      </c>
      <c r="F821" s="3" t="n">
        <v>46269.99618055556</v>
      </c>
      <c r="G821" s="3" t="n">
        <v>46269.99590277778</v>
      </c>
      <c r="H821" t="inlineStr">
        <is>
          <t>Delivered</t>
        </is>
      </c>
      <c r="I821" t="n">
        <v>2</v>
      </c>
      <c r="J821" t="n">
        <v>3</v>
      </c>
      <c r="K821" t="n">
        <v>749.17</v>
      </c>
      <c r="L821" t="n">
        <v>3.3</v>
      </c>
      <c r="M821" t="n">
        <v>3.4</v>
      </c>
      <c r="N821" t="n">
        <v>3</v>
      </c>
      <c r="O821" t="n">
        <v>5.7</v>
      </c>
      <c r="P821" t="n">
        <v>12.5</v>
      </c>
      <c r="Q821" t="n">
        <v>12.1</v>
      </c>
      <c r="R821" t="n">
        <v>-0.4</v>
      </c>
      <c r="S821" t="b">
        <v>1</v>
      </c>
      <c r="U821" t="n">
        <v>23</v>
      </c>
      <c r="V821" t="b">
        <v>0</v>
      </c>
      <c r="W821" t="inlineStr">
        <is>
          <t>Light</t>
        </is>
      </c>
      <c r="X821" t="b">
        <v>0</v>
      </c>
      <c r="Y821" t="n">
        <v>0.43</v>
      </c>
    </row>
    <row r="822">
      <c r="A822" t="inlineStr">
        <is>
          <t>O00821</t>
        </is>
      </c>
      <c r="B822" t="inlineStr">
        <is>
          <t>C0198</t>
        </is>
      </c>
      <c r="C822" t="inlineStr">
        <is>
          <t>S020</t>
        </is>
      </c>
      <c r="D822" t="inlineStr">
        <is>
          <t>R075</t>
        </is>
      </c>
      <c r="E822" s="3" t="n">
        <v>46278.80138888889</v>
      </c>
      <c r="F822" s="3" t="n">
        <v>46278.80715277778</v>
      </c>
      <c r="G822" s="3" t="n">
        <v>46278.80680555556</v>
      </c>
      <c r="H822" t="inlineStr">
        <is>
          <t>Delivered</t>
        </is>
      </c>
      <c r="I822" t="n">
        <v>4</v>
      </c>
      <c r="J822" t="n">
        <v>11</v>
      </c>
      <c r="K822" t="n">
        <v>739.28</v>
      </c>
      <c r="L822" t="n">
        <v>1.5</v>
      </c>
      <c r="M822" t="n">
        <v>2.5</v>
      </c>
      <c r="N822" t="n">
        <v>2.8</v>
      </c>
      <c r="O822" t="n">
        <v>2.5</v>
      </c>
      <c r="P822" t="n">
        <v>8.300000000000001</v>
      </c>
      <c r="Q822" t="n">
        <v>7.8</v>
      </c>
      <c r="R822" t="n">
        <v>-0.5</v>
      </c>
      <c r="S822" t="b">
        <v>1</v>
      </c>
      <c r="U822" t="n">
        <v>19</v>
      </c>
      <c r="V822" t="b">
        <v>1</v>
      </c>
      <c r="W822" t="inlineStr">
        <is>
          <t>Light</t>
        </is>
      </c>
      <c r="X822" t="b">
        <v>0</v>
      </c>
      <c r="Y822" t="n">
        <v>0.74</v>
      </c>
    </row>
    <row r="823">
      <c r="A823" t="inlineStr">
        <is>
          <t>O00822</t>
        </is>
      </c>
      <c r="B823" t="inlineStr">
        <is>
          <t>C0011</t>
        </is>
      </c>
      <c r="C823" t="inlineStr">
        <is>
          <t>S012</t>
        </is>
      </c>
      <c r="E823" s="3" t="n">
        <v>46274.50694444445</v>
      </c>
      <c r="F823" s="3" t="n">
        <v>46274.515625</v>
      </c>
      <c r="H823" t="inlineStr">
        <is>
          <t>Cancelled</t>
        </is>
      </c>
      <c r="I823" t="n">
        <v>6</v>
      </c>
      <c r="J823" t="n">
        <v>9</v>
      </c>
      <c r="K823" t="n">
        <v>1571.19</v>
      </c>
      <c r="L823" t="n">
        <v>2.08</v>
      </c>
      <c r="M823" t="n">
        <v>5.7</v>
      </c>
      <c r="N823" t="n">
        <v>1.4</v>
      </c>
      <c r="O823" t="n">
        <v>6.8</v>
      </c>
      <c r="P823" t="n">
        <v>12.5</v>
      </c>
      <c r="T823" t="inlineStr">
        <is>
          <t>Item unavailable</t>
        </is>
      </c>
      <c r="U823" t="n">
        <v>12</v>
      </c>
      <c r="V823" t="b">
        <v>0</v>
      </c>
      <c r="W823" t="inlineStr">
        <is>
          <t>Light</t>
        </is>
      </c>
      <c r="X823" t="b">
        <v>0</v>
      </c>
      <c r="Y823" t="n">
        <v>0.3</v>
      </c>
    </row>
    <row r="824">
      <c r="A824" t="inlineStr">
        <is>
          <t>O00823</t>
        </is>
      </c>
      <c r="B824" t="inlineStr">
        <is>
          <t>C0012</t>
        </is>
      </c>
      <c r="C824" t="inlineStr">
        <is>
          <t>S006</t>
        </is>
      </c>
      <c r="D824" t="inlineStr">
        <is>
          <t>R072</t>
        </is>
      </c>
      <c r="E824" s="3" t="n">
        <v>46275.97708333333</v>
      </c>
      <c r="F824" s="3" t="n">
        <v>46275.98423611111</v>
      </c>
      <c r="G824" s="3" t="n">
        <v>46275.98340277778</v>
      </c>
      <c r="H824" t="inlineStr">
        <is>
          <t>Delivered</t>
        </is>
      </c>
      <c r="I824" t="n">
        <v>2</v>
      </c>
      <c r="J824" t="n">
        <v>3</v>
      </c>
      <c r="K824" t="n">
        <v>509.57</v>
      </c>
      <c r="L824" t="n">
        <v>1.3</v>
      </c>
      <c r="M824" t="n">
        <v>2.6</v>
      </c>
      <c r="N824" t="n">
        <v>3.6</v>
      </c>
      <c r="O824" t="n">
        <v>2.9</v>
      </c>
      <c r="P824" t="n">
        <v>10.3</v>
      </c>
      <c r="Q824" t="n">
        <v>9.1</v>
      </c>
      <c r="R824" t="n">
        <v>-1.2</v>
      </c>
      <c r="S824" t="b">
        <v>1</v>
      </c>
      <c r="U824" t="n">
        <v>23</v>
      </c>
      <c r="V824" t="b">
        <v>0</v>
      </c>
      <c r="W824" t="inlineStr">
        <is>
          <t>Light</t>
        </is>
      </c>
      <c r="X824" t="b">
        <v>0</v>
      </c>
      <c r="Y824" t="n">
        <v>0.34</v>
      </c>
    </row>
    <row r="825">
      <c r="A825" t="inlineStr">
        <is>
          <t>O00824</t>
        </is>
      </c>
      <c r="B825" t="inlineStr">
        <is>
          <t>C0041</t>
        </is>
      </c>
      <c r="C825" t="inlineStr">
        <is>
          <t>S001</t>
        </is>
      </c>
      <c r="D825" t="inlineStr">
        <is>
          <t>R010</t>
        </is>
      </c>
      <c r="E825" s="3" t="n">
        <v>46268.77569444444</v>
      </c>
      <c r="F825" s="3" t="n">
        <v>46268.78326388889</v>
      </c>
      <c r="G825" s="3" t="n">
        <v>46268.78284722222</v>
      </c>
      <c r="H825" t="inlineStr">
        <is>
          <t>Delivered</t>
        </is>
      </c>
      <c r="I825" t="n">
        <v>4</v>
      </c>
      <c r="J825" t="n">
        <v>5</v>
      </c>
      <c r="K825" t="n">
        <v>1055.13</v>
      </c>
      <c r="L825" t="n">
        <v>1.6</v>
      </c>
      <c r="M825" t="n">
        <v>2.6</v>
      </c>
      <c r="N825" t="n">
        <v>5.6</v>
      </c>
      <c r="O825" t="n">
        <v>2.1</v>
      </c>
      <c r="P825" t="n">
        <v>10.9</v>
      </c>
      <c r="Q825" t="n">
        <v>10.3</v>
      </c>
      <c r="R825" t="n">
        <v>-0.6</v>
      </c>
      <c r="S825" t="b">
        <v>1</v>
      </c>
      <c r="U825" t="n">
        <v>18</v>
      </c>
      <c r="V825" t="b">
        <v>0</v>
      </c>
      <c r="X825" t="b">
        <v>0</v>
      </c>
      <c r="Y825" t="n">
        <v>0.39</v>
      </c>
    </row>
    <row r="826">
      <c r="A826" t="inlineStr">
        <is>
          <t>O00825</t>
        </is>
      </c>
      <c r="B826" t="inlineStr">
        <is>
          <t>C0008</t>
        </is>
      </c>
      <c r="C826" t="inlineStr">
        <is>
          <t>S011</t>
        </is>
      </c>
      <c r="D826" t="inlineStr">
        <is>
          <t>R075</t>
        </is>
      </c>
      <c r="E826" s="3" t="n">
        <v>46277.56597222222</v>
      </c>
      <c r="F826" s="3" t="n">
        <v>46277.574375</v>
      </c>
      <c r="G826" s="3" t="n">
        <v>46277.58055555556</v>
      </c>
      <c r="H826" t="inlineStr">
        <is>
          <t>Delivered</t>
        </is>
      </c>
      <c r="I826" t="n">
        <v>2</v>
      </c>
      <c r="J826" t="n">
        <v>3</v>
      </c>
      <c r="K826" t="n">
        <v>600.89</v>
      </c>
      <c r="L826" t="n">
        <v>3.3</v>
      </c>
      <c r="M826" t="n">
        <v>6.8</v>
      </c>
      <c r="N826" t="n">
        <v>3.9</v>
      </c>
      <c r="O826" t="n">
        <v>10.3</v>
      </c>
      <c r="P826" t="n">
        <v>12.1</v>
      </c>
      <c r="Q826" t="n">
        <v>21</v>
      </c>
      <c r="R826" t="n">
        <v>8.9</v>
      </c>
      <c r="S826" t="b">
        <v>0</v>
      </c>
      <c r="U826" t="n">
        <v>13</v>
      </c>
      <c r="V826" t="b">
        <v>0</v>
      </c>
      <c r="X826" t="b">
        <v>0</v>
      </c>
      <c r="Y826" t="n">
        <v>0.7</v>
      </c>
    </row>
    <row r="827">
      <c r="A827" t="inlineStr">
        <is>
          <t>O00826</t>
        </is>
      </c>
      <c r="B827" t="inlineStr">
        <is>
          <t>C0025</t>
        </is>
      </c>
      <c r="C827" t="inlineStr">
        <is>
          <t>S004</t>
        </is>
      </c>
      <c r="D827" t="inlineStr">
        <is>
          <t>R062</t>
        </is>
      </c>
      <c r="E827" s="3" t="n">
        <v>46278.90069444444</v>
      </c>
      <c r="F827" s="3" t="n">
        <v>46278.90819444445</v>
      </c>
      <c r="G827" s="3" t="n">
        <v>46278.9075</v>
      </c>
      <c r="H827" t="inlineStr">
        <is>
          <t>Delivered</t>
        </is>
      </c>
      <c r="I827" t="n">
        <v>1</v>
      </c>
      <c r="J827" t="n">
        <v>5</v>
      </c>
      <c r="K827" t="n">
        <v>1607.56</v>
      </c>
      <c r="L827" t="n">
        <v>3.3</v>
      </c>
      <c r="M827" t="n">
        <v>2.1</v>
      </c>
      <c r="N827" t="n">
        <v>3.4</v>
      </c>
      <c r="O827" t="n">
        <v>4.3</v>
      </c>
      <c r="P827" t="n">
        <v>10.8</v>
      </c>
      <c r="Q827" t="n">
        <v>9.800000000000001</v>
      </c>
      <c r="R827" t="n">
        <v>-1</v>
      </c>
      <c r="S827" t="b">
        <v>1</v>
      </c>
      <c r="U827" t="n">
        <v>21</v>
      </c>
      <c r="V827" t="b">
        <v>1</v>
      </c>
      <c r="W827" t="inlineStr">
        <is>
          <t>Light</t>
        </is>
      </c>
      <c r="X827" t="b">
        <v>0</v>
      </c>
      <c r="Y827" t="n">
        <v>0.54</v>
      </c>
    </row>
    <row r="828">
      <c r="A828" t="inlineStr">
        <is>
          <t>O00827</t>
        </is>
      </c>
      <c r="B828" t="inlineStr">
        <is>
          <t>C0192</t>
        </is>
      </c>
      <c r="C828" t="inlineStr">
        <is>
          <t>S007</t>
        </is>
      </c>
      <c r="D828" t="inlineStr">
        <is>
          <t>R023</t>
        </is>
      </c>
      <c r="E828" s="3" t="n">
        <v>46271.65555555555</v>
      </c>
      <c r="F828" s="3" t="n">
        <v>46271.66284722222</v>
      </c>
      <c r="G828" s="3" t="n">
        <v>46271.66215277778</v>
      </c>
      <c r="H828" t="inlineStr">
        <is>
          <t>Delivered</t>
        </is>
      </c>
      <c r="I828" t="n">
        <v>5</v>
      </c>
      <c r="J828" t="n">
        <v>8</v>
      </c>
      <c r="K828" t="n">
        <v>437.91</v>
      </c>
      <c r="L828" t="n">
        <v>0.5</v>
      </c>
      <c r="M828" t="n">
        <v>3.1</v>
      </c>
      <c r="N828" t="n">
        <v>4.7</v>
      </c>
      <c r="O828" t="n">
        <v>1.7</v>
      </c>
      <c r="P828" t="n">
        <v>10.5</v>
      </c>
      <c r="Q828" t="n">
        <v>9.5</v>
      </c>
      <c r="R828" t="n">
        <v>-1</v>
      </c>
      <c r="S828" t="b">
        <v>1</v>
      </c>
      <c r="U828" t="n">
        <v>15</v>
      </c>
      <c r="V828" t="b">
        <v>0</v>
      </c>
      <c r="X828" t="b">
        <v>0</v>
      </c>
      <c r="Y828" t="n">
        <v>0.44</v>
      </c>
    </row>
    <row r="829">
      <c r="A829" t="inlineStr">
        <is>
          <t>O00828</t>
        </is>
      </c>
      <c r="B829" t="inlineStr">
        <is>
          <t>C0249</t>
        </is>
      </c>
      <c r="C829" t="inlineStr">
        <is>
          <t>S006</t>
        </is>
      </c>
      <c r="D829" t="inlineStr">
        <is>
          <t>R044</t>
        </is>
      </c>
      <c r="E829" s="3" t="n">
        <v>46277.66041666667</v>
      </c>
      <c r="F829" s="3" t="n">
        <v>46277.66645833333</v>
      </c>
      <c r="G829" s="3" t="n">
        <v>46277.66590277778</v>
      </c>
      <c r="H829" t="inlineStr">
        <is>
          <t>Delivered</t>
        </is>
      </c>
      <c r="I829" t="n">
        <v>6</v>
      </c>
      <c r="J829" t="n">
        <v>10</v>
      </c>
      <c r="K829" t="n">
        <v>877.3</v>
      </c>
      <c r="L829" t="n">
        <v>0.59</v>
      </c>
      <c r="M829" t="n">
        <v>3.5</v>
      </c>
      <c r="N829" t="n">
        <v>2.5</v>
      </c>
      <c r="O829" t="n">
        <v>1.9</v>
      </c>
      <c r="P829" t="n">
        <v>8.699999999999999</v>
      </c>
      <c r="Q829" t="n">
        <v>7.9</v>
      </c>
      <c r="R829" t="n">
        <v>-0.8</v>
      </c>
      <c r="S829" t="b">
        <v>1</v>
      </c>
      <c r="U829" t="n">
        <v>15</v>
      </c>
      <c r="V829" t="b">
        <v>0</v>
      </c>
      <c r="W829" t="inlineStr">
        <is>
          <t>Heavy</t>
        </is>
      </c>
      <c r="X829" t="b">
        <v>0</v>
      </c>
      <c r="Y829" t="n">
        <v>0.29</v>
      </c>
    </row>
    <row r="830">
      <c r="A830" t="inlineStr">
        <is>
          <t>O00829</t>
        </is>
      </c>
      <c r="B830" t="inlineStr">
        <is>
          <t>C0029</t>
        </is>
      </c>
      <c r="C830" t="inlineStr">
        <is>
          <t>S004</t>
        </is>
      </c>
      <c r="D830" t="inlineStr">
        <is>
          <t>R010</t>
        </is>
      </c>
      <c r="E830" s="3" t="n">
        <v>46279.48611111111</v>
      </c>
      <c r="F830" s="3" t="n">
        <v>46279.49180555555</v>
      </c>
      <c r="G830" s="3" t="n">
        <v>46279.49152777778</v>
      </c>
      <c r="H830" t="inlineStr">
        <is>
          <t>Delivered</t>
        </is>
      </c>
      <c r="I830" t="n">
        <v>2</v>
      </c>
      <c r="J830" t="n">
        <v>4</v>
      </c>
      <c r="K830" t="n">
        <v>1297.21</v>
      </c>
      <c r="L830" t="n">
        <v>3.3</v>
      </c>
      <c r="M830" t="n">
        <v>0.8</v>
      </c>
      <c r="N830" t="n">
        <v>3.3</v>
      </c>
      <c r="O830" t="n">
        <v>3.7</v>
      </c>
      <c r="P830" t="n">
        <v>8.199999999999999</v>
      </c>
      <c r="Q830" t="n">
        <v>7.8</v>
      </c>
      <c r="R830" t="n">
        <v>-0.4</v>
      </c>
      <c r="S830" t="b">
        <v>1</v>
      </c>
      <c r="U830" t="n">
        <v>11</v>
      </c>
      <c r="V830" t="b">
        <v>0</v>
      </c>
      <c r="X830" t="b">
        <v>0</v>
      </c>
      <c r="Y830" t="n">
        <v>0.64</v>
      </c>
    </row>
    <row r="831">
      <c r="A831" t="inlineStr">
        <is>
          <t>O00830</t>
        </is>
      </c>
      <c r="B831" t="inlineStr">
        <is>
          <t>C0202</t>
        </is>
      </c>
      <c r="C831" t="inlineStr">
        <is>
          <t>S019</t>
        </is>
      </c>
      <c r="D831" t="inlineStr">
        <is>
          <t>R056</t>
        </is>
      </c>
      <c r="E831" s="3" t="n">
        <v>46272.79097222222</v>
      </c>
      <c r="F831" s="3" t="n">
        <v>46272.79944444444</v>
      </c>
      <c r="G831" s="3" t="n">
        <v>46272.79979166666</v>
      </c>
      <c r="H831" t="inlineStr">
        <is>
          <t>Delivered</t>
        </is>
      </c>
      <c r="I831" t="n">
        <v>2</v>
      </c>
      <c r="J831" t="n">
        <v>7</v>
      </c>
      <c r="K831" t="n">
        <v>902.0599999999999</v>
      </c>
      <c r="L831" t="n">
        <v>1.2</v>
      </c>
      <c r="M831" t="n">
        <v>4.9</v>
      </c>
      <c r="N831" t="n">
        <v>3.1</v>
      </c>
      <c r="O831" t="n">
        <v>4.8</v>
      </c>
      <c r="P831" t="n">
        <v>12.2</v>
      </c>
      <c r="Q831" t="n">
        <v>12.7</v>
      </c>
      <c r="R831" t="n">
        <v>0.5</v>
      </c>
      <c r="S831" t="b">
        <v>0</v>
      </c>
      <c r="U831" t="n">
        <v>18</v>
      </c>
      <c r="V831" t="b">
        <v>0</v>
      </c>
      <c r="X831" t="b">
        <v>0</v>
      </c>
      <c r="Y831" t="n">
        <v>0.73</v>
      </c>
    </row>
    <row r="832">
      <c r="A832" t="inlineStr">
        <is>
          <t>O00831</t>
        </is>
      </c>
      <c r="B832" t="inlineStr">
        <is>
          <t>C0159</t>
        </is>
      </c>
      <c r="C832" t="inlineStr">
        <is>
          <t>S007</t>
        </is>
      </c>
      <c r="D832" t="inlineStr">
        <is>
          <t>R050</t>
        </is>
      </c>
      <c r="E832" s="3" t="n">
        <v>46279.75694444445</v>
      </c>
      <c r="F832" s="3" t="n">
        <v>46279.76333333334</v>
      </c>
      <c r="G832" s="3" t="n">
        <v>46279.76291666667</v>
      </c>
      <c r="H832" t="inlineStr">
        <is>
          <t>Delivered</t>
        </is>
      </c>
      <c r="I832" t="n">
        <v>2</v>
      </c>
      <c r="J832" t="n">
        <v>5</v>
      </c>
      <c r="K832" t="n">
        <v>680.3099999999999</v>
      </c>
      <c r="L832" t="n">
        <v>1.71</v>
      </c>
      <c r="M832" t="n">
        <v>2.8</v>
      </c>
      <c r="N832" t="n">
        <v>2.2</v>
      </c>
      <c r="O832" t="n">
        <v>3.6</v>
      </c>
      <c r="P832" t="n">
        <v>9.199999999999999</v>
      </c>
      <c r="Q832" t="n">
        <v>8.6</v>
      </c>
      <c r="R832" t="n">
        <v>-0.6</v>
      </c>
      <c r="S832" t="b">
        <v>1</v>
      </c>
      <c r="U832" t="n">
        <v>18</v>
      </c>
      <c r="V832" t="b">
        <v>0</v>
      </c>
      <c r="X832" t="b">
        <v>0</v>
      </c>
      <c r="Y832" t="n">
        <v>0.4</v>
      </c>
    </row>
    <row r="833">
      <c r="A833" t="inlineStr">
        <is>
          <t>O00832</t>
        </is>
      </c>
      <c r="B833" t="inlineStr">
        <is>
          <t>C0139</t>
        </is>
      </c>
      <c r="C833" t="inlineStr">
        <is>
          <t>S013</t>
        </is>
      </c>
      <c r="D833" t="inlineStr">
        <is>
          <t>R018</t>
        </is>
      </c>
      <c r="E833" s="3" t="n">
        <v>46270.75138888889</v>
      </c>
      <c r="F833" s="3" t="n">
        <v>46270.75708333333</v>
      </c>
      <c r="G833" s="3" t="n">
        <v>46270.75652777778</v>
      </c>
      <c r="H833" t="inlineStr">
        <is>
          <t>Delivered</t>
        </is>
      </c>
      <c r="I833" t="n">
        <v>3</v>
      </c>
      <c r="J833" t="n">
        <v>6</v>
      </c>
      <c r="K833" t="n">
        <v>833.53</v>
      </c>
      <c r="L833" t="n">
        <v>3</v>
      </c>
      <c r="M833" t="n">
        <v>2.6</v>
      </c>
      <c r="N833" t="n">
        <v>2</v>
      </c>
      <c r="O833" t="n">
        <v>2.8</v>
      </c>
      <c r="P833" t="n">
        <v>8.199999999999999</v>
      </c>
      <c r="Q833" t="n">
        <v>7.4</v>
      </c>
      <c r="R833" t="n">
        <v>-0.8</v>
      </c>
      <c r="S833" t="b">
        <v>1</v>
      </c>
      <c r="U833" t="n">
        <v>18</v>
      </c>
      <c r="V833" t="b">
        <v>0</v>
      </c>
      <c r="X833" t="b">
        <v>0</v>
      </c>
      <c r="Y833" t="n">
        <v>0.34</v>
      </c>
    </row>
    <row r="834">
      <c r="A834" t="inlineStr">
        <is>
          <t>O00833</t>
        </is>
      </c>
      <c r="B834" t="inlineStr">
        <is>
          <t>C0192</t>
        </is>
      </c>
      <c r="C834" t="inlineStr">
        <is>
          <t>S012</t>
        </is>
      </c>
      <c r="D834" t="inlineStr">
        <is>
          <t>R036</t>
        </is>
      </c>
      <c r="E834" s="3" t="n">
        <v>46269.38055555556</v>
      </c>
      <c r="F834" s="3" t="n">
        <v>46269.38784722222</v>
      </c>
      <c r="G834" s="3" t="n">
        <v>46269.38736111111</v>
      </c>
      <c r="H834" t="inlineStr">
        <is>
          <t>Delivered</t>
        </is>
      </c>
      <c r="I834" t="n">
        <v>3</v>
      </c>
      <c r="J834" t="n">
        <v>8</v>
      </c>
      <c r="K834" t="n">
        <v>417.78</v>
      </c>
      <c r="L834" t="n">
        <v>1.68</v>
      </c>
      <c r="M834" t="n">
        <v>3.6</v>
      </c>
      <c r="N834" t="n">
        <v>2.3</v>
      </c>
      <c r="O834" t="n">
        <v>3.9</v>
      </c>
      <c r="P834" t="n">
        <v>10.5</v>
      </c>
      <c r="Q834" t="n">
        <v>9.800000000000001</v>
      </c>
      <c r="R834" t="n">
        <v>-0.7</v>
      </c>
      <c r="S834" t="b">
        <v>1</v>
      </c>
      <c r="U834" t="n">
        <v>9</v>
      </c>
      <c r="V834" t="b">
        <v>0</v>
      </c>
      <c r="X834" t="b">
        <v>0</v>
      </c>
      <c r="Y834" t="n">
        <v>0.62</v>
      </c>
    </row>
    <row r="835">
      <c r="A835" t="inlineStr">
        <is>
          <t>O00834</t>
        </is>
      </c>
      <c r="B835" t="inlineStr">
        <is>
          <t>C0163</t>
        </is>
      </c>
      <c r="C835" t="inlineStr">
        <is>
          <t>S003</t>
        </is>
      </c>
      <c r="E835" s="3" t="n">
        <v>46267.52916666667</v>
      </c>
      <c r="F835" s="3" t="n">
        <v>46267.535</v>
      </c>
      <c r="H835" t="inlineStr">
        <is>
          <t>Cancelled</t>
        </is>
      </c>
      <c r="I835" t="n">
        <v>5</v>
      </c>
      <c r="J835" t="n">
        <v>8</v>
      </c>
      <c r="K835" t="n">
        <v>636.49</v>
      </c>
      <c r="L835" t="n">
        <v>0.5</v>
      </c>
      <c r="M835" t="n">
        <v>4.9</v>
      </c>
      <c r="N835" t="n">
        <v>5.8</v>
      </c>
      <c r="O835" t="n">
        <v>4.1</v>
      </c>
      <c r="P835" t="n">
        <v>8.4</v>
      </c>
      <c r="T835" t="inlineStr">
        <is>
          <t>Rider unavailable</t>
        </is>
      </c>
      <c r="U835" t="n">
        <v>12</v>
      </c>
      <c r="V835" t="b">
        <v>0</v>
      </c>
      <c r="W835" t="inlineStr">
        <is>
          <t>Heavy</t>
        </is>
      </c>
      <c r="X835" t="b">
        <v>0</v>
      </c>
      <c r="Y835" t="n">
        <v>0.37</v>
      </c>
    </row>
    <row r="836">
      <c r="A836" t="inlineStr">
        <is>
          <t>O00835</t>
        </is>
      </c>
      <c r="B836" t="inlineStr">
        <is>
          <t>C0162</t>
        </is>
      </c>
      <c r="C836" t="inlineStr">
        <is>
          <t>S001</t>
        </is>
      </c>
      <c r="D836" t="inlineStr">
        <is>
          <t>R031</t>
        </is>
      </c>
      <c r="E836" s="3" t="n">
        <v>46277.64652777778</v>
      </c>
      <c r="F836" s="3" t="n">
        <v>46277.65291666667</v>
      </c>
      <c r="G836" s="3" t="n">
        <v>46277.65256944444</v>
      </c>
      <c r="H836" t="inlineStr">
        <is>
          <t>Delivered</t>
        </is>
      </c>
      <c r="I836" t="n">
        <v>2</v>
      </c>
      <c r="J836" t="n">
        <v>2</v>
      </c>
      <c r="K836" t="n">
        <v>1061.22</v>
      </c>
      <c r="L836" t="n">
        <v>0.84</v>
      </c>
      <c r="M836" t="n">
        <v>2.4</v>
      </c>
      <c r="N836" t="n">
        <v>4.5</v>
      </c>
      <c r="O836" t="n">
        <v>1.8</v>
      </c>
      <c r="P836" t="n">
        <v>9.199999999999999</v>
      </c>
      <c r="Q836" t="n">
        <v>8.699999999999999</v>
      </c>
      <c r="R836" t="n">
        <v>-0.5</v>
      </c>
      <c r="S836" t="b">
        <v>1</v>
      </c>
      <c r="U836" t="n">
        <v>15</v>
      </c>
      <c r="V836" t="b">
        <v>0</v>
      </c>
      <c r="X836" t="b">
        <v>0</v>
      </c>
      <c r="Y836" t="n">
        <v>0.66</v>
      </c>
    </row>
    <row r="837">
      <c r="A837" t="inlineStr">
        <is>
          <t>O00836</t>
        </is>
      </c>
      <c r="B837" t="inlineStr">
        <is>
          <t>C0037</t>
        </is>
      </c>
      <c r="C837" t="inlineStr">
        <is>
          <t>S003</t>
        </is>
      </c>
      <c r="D837" t="inlineStr">
        <is>
          <t>R076</t>
        </is>
      </c>
      <c r="E837" s="3" t="n">
        <v>46269.40347222222</v>
      </c>
      <c r="F837" s="3" t="n">
        <v>46269.41</v>
      </c>
      <c r="G837" s="3" t="n">
        <v>46269.40972222222</v>
      </c>
      <c r="H837" t="inlineStr">
        <is>
          <t>Delivered</t>
        </is>
      </c>
      <c r="I837" t="n">
        <v>4</v>
      </c>
      <c r="J837" t="n">
        <v>10</v>
      </c>
      <c r="K837" t="n">
        <v>902.97</v>
      </c>
      <c r="L837" t="n">
        <v>2.1</v>
      </c>
      <c r="M837" t="n">
        <v>3</v>
      </c>
      <c r="N837" t="n">
        <v>2.7</v>
      </c>
      <c r="O837" t="n">
        <v>3.3</v>
      </c>
      <c r="P837" t="n">
        <v>9.4</v>
      </c>
      <c r="Q837" t="n">
        <v>9</v>
      </c>
      <c r="R837" t="n">
        <v>-0.4</v>
      </c>
      <c r="S837" t="b">
        <v>1</v>
      </c>
      <c r="U837" t="n">
        <v>9</v>
      </c>
      <c r="V837" t="b">
        <v>0</v>
      </c>
      <c r="X837" t="b">
        <v>0</v>
      </c>
      <c r="Y837" t="n">
        <v>0.47</v>
      </c>
    </row>
    <row r="838">
      <c r="A838" t="inlineStr">
        <is>
          <t>O00837</t>
        </is>
      </c>
      <c r="B838" t="inlineStr">
        <is>
          <t>C0052</t>
        </is>
      </c>
      <c r="C838" t="inlineStr">
        <is>
          <t>S010</t>
        </is>
      </c>
      <c r="D838" t="inlineStr">
        <is>
          <t>R050</t>
        </is>
      </c>
      <c r="E838" s="3" t="n">
        <v>46273.91180555556</v>
      </c>
      <c r="F838" s="3" t="n">
        <v>46273.91826388889</v>
      </c>
      <c r="G838" s="3" t="n">
        <v>46273.92534722222</v>
      </c>
      <c r="H838" t="inlineStr">
        <is>
          <t>Delivered</t>
        </is>
      </c>
      <c r="I838" t="n">
        <v>2</v>
      </c>
      <c r="J838" t="n">
        <v>4</v>
      </c>
      <c r="K838" t="n">
        <v>1371.31</v>
      </c>
      <c r="L838" t="n">
        <v>2.32</v>
      </c>
      <c r="M838" t="n">
        <v>6.2</v>
      </c>
      <c r="N838" t="n">
        <v>5.1</v>
      </c>
      <c r="O838" t="n">
        <v>8.199999999999999</v>
      </c>
      <c r="P838" t="n">
        <v>9.300000000000001</v>
      </c>
      <c r="Q838" t="n">
        <v>19.5</v>
      </c>
      <c r="R838" t="n">
        <v>10.2</v>
      </c>
      <c r="S838" t="b">
        <v>0</v>
      </c>
      <c r="U838" t="n">
        <v>21</v>
      </c>
      <c r="V838" t="b">
        <v>1</v>
      </c>
      <c r="X838" t="b">
        <v>0</v>
      </c>
      <c r="Y838" t="n">
        <v>0.86</v>
      </c>
    </row>
    <row r="839">
      <c r="A839" t="inlineStr">
        <is>
          <t>O00838</t>
        </is>
      </c>
      <c r="B839" t="inlineStr">
        <is>
          <t>C0021</t>
        </is>
      </c>
      <c r="C839" t="inlineStr">
        <is>
          <t>S002</t>
        </is>
      </c>
      <c r="D839" t="inlineStr">
        <is>
          <t>R010</t>
        </is>
      </c>
      <c r="E839" s="3" t="n">
        <v>46266.69027777778</v>
      </c>
      <c r="F839" s="3" t="n">
        <v>46266.69805555556</v>
      </c>
      <c r="G839" s="3" t="n">
        <v>46266.69729166666</v>
      </c>
      <c r="H839" t="inlineStr">
        <is>
          <t>Delivered</t>
        </is>
      </c>
      <c r="I839" t="n">
        <v>1</v>
      </c>
      <c r="J839" t="n">
        <v>10</v>
      </c>
      <c r="K839" t="n">
        <v>1572.85</v>
      </c>
      <c r="L839" t="n">
        <v>1.4</v>
      </c>
      <c r="M839" t="n">
        <v>1.8</v>
      </c>
      <c r="N839" t="n">
        <v>5.4</v>
      </c>
      <c r="O839" t="n">
        <v>2.9</v>
      </c>
      <c r="P839" t="n">
        <v>11.2</v>
      </c>
      <c r="Q839" t="n">
        <v>10.1</v>
      </c>
      <c r="R839" t="n">
        <v>-1.1</v>
      </c>
      <c r="S839" t="b">
        <v>1</v>
      </c>
      <c r="U839" t="n">
        <v>16</v>
      </c>
      <c r="V839" t="b">
        <v>0</v>
      </c>
      <c r="X839" t="b">
        <v>0</v>
      </c>
      <c r="Y839" t="n">
        <v>0.45</v>
      </c>
    </row>
    <row r="840">
      <c r="A840" t="inlineStr">
        <is>
          <t>O00839</t>
        </is>
      </c>
      <c r="B840" t="inlineStr">
        <is>
          <t>C0157</t>
        </is>
      </c>
      <c r="C840" t="inlineStr">
        <is>
          <t>S017</t>
        </is>
      </c>
      <c r="D840" t="inlineStr">
        <is>
          <t>R022</t>
        </is>
      </c>
      <c r="E840" s="3" t="n">
        <v>46271.76319444444</v>
      </c>
      <c r="F840" s="3" t="n">
        <v>46271.77034722222</v>
      </c>
      <c r="G840" s="3" t="n">
        <v>46271.76972222222</v>
      </c>
      <c r="H840" t="inlineStr">
        <is>
          <t>Delivered</t>
        </is>
      </c>
      <c r="I840" t="n">
        <v>3</v>
      </c>
      <c r="J840" t="n">
        <v>8</v>
      </c>
      <c r="K840" t="n">
        <v>685.14</v>
      </c>
      <c r="L840" t="n">
        <v>2.47</v>
      </c>
      <c r="M840" t="n">
        <v>1.5</v>
      </c>
      <c r="N840" t="n">
        <v>2.9</v>
      </c>
      <c r="O840" t="n">
        <v>5</v>
      </c>
      <c r="P840" t="n">
        <v>10.3</v>
      </c>
      <c r="Q840" t="n">
        <v>9.4</v>
      </c>
      <c r="R840" t="n">
        <v>-0.9</v>
      </c>
      <c r="S840" t="b">
        <v>1</v>
      </c>
      <c r="U840" t="n">
        <v>18</v>
      </c>
      <c r="V840" t="b">
        <v>0</v>
      </c>
      <c r="X840" t="b">
        <v>0</v>
      </c>
      <c r="Y840" t="n">
        <v>0.38</v>
      </c>
    </row>
    <row r="841">
      <c r="A841" t="inlineStr">
        <is>
          <t>O00840</t>
        </is>
      </c>
      <c r="B841" t="inlineStr">
        <is>
          <t>C0063</t>
        </is>
      </c>
      <c r="C841" t="inlineStr">
        <is>
          <t>S009</t>
        </is>
      </c>
      <c r="D841" t="inlineStr">
        <is>
          <t>R042</t>
        </is>
      </c>
      <c r="E841" s="3" t="n">
        <v>46269.95625</v>
      </c>
      <c r="F841" s="3" t="n">
        <v>46269.96388888889</v>
      </c>
      <c r="G841" s="3" t="n">
        <v>46269.96347222223</v>
      </c>
      <c r="H841" t="inlineStr">
        <is>
          <t>Delivered</t>
        </is>
      </c>
      <c r="I841" t="n">
        <v>1</v>
      </c>
      <c r="J841" t="n">
        <v>12</v>
      </c>
      <c r="K841" t="n">
        <v>706.42</v>
      </c>
      <c r="L841" t="n">
        <v>1.48</v>
      </c>
      <c r="M841" t="n">
        <v>5.4</v>
      </c>
      <c r="N841" t="n">
        <v>0</v>
      </c>
      <c r="O841" t="n">
        <v>5</v>
      </c>
      <c r="P841" t="n">
        <v>11</v>
      </c>
      <c r="Q841" t="n">
        <v>10.4</v>
      </c>
      <c r="R841" t="n">
        <v>-0.6</v>
      </c>
      <c r="S841" t="b">
        <v>1</v>
      </c>
      <c r="U841" t="n">
        <v>22</v>
      </c>
      <c r="V841" t="b">
        <v>0</v>
      </c>
      <c r="X841" t="b">
        <v>0</v>
      </c>
      <c r="Y841" t="n">
        <v>0.8100000000000001</v>
      </c>
    </row>
    <row r="842">
      <c r="A842" t="inlineStr">
        <is>
          <t>O00841</t>
        </is>
      </c>
      <c r="B842" t="inlineStr">
        <is>
          <t>C0246</t>
        </is>
      </c>
      <c r="C842" t="inlineStr">
        <is>
          <t>S006</t>
        </is>
      </c>
      <c r="D842" t="inlineStr">
        <is>
          <t>R042</t>
        </is>
      </c>
      <c r="E842" s="3" t="n">
        <v>46274.75208333333</v>
      </c>
      <c r="F842" s="3" t="n">
        <v>46274.75979166666</v>
      </c>
      <c r="G842" s="3" t="n">
        <v>46274.75930555556</v>
      </c>
      <c r="H842" t="inlineStr">
        <is>
          <t>Delivered</t>
        </is>
      </c>
      <c r="I842" t="n">
        <v>1</v>
      </c>
      <c r="J842" t="n">
        <v>13</v>
      </c>
      <c r="K842" t="n">
        <v>838.04</v>
      </c>
      <c r="L842" t="n">
        <v>2.06</v>
      </c>
      <c r="M842" t="n">
        <v>5.1</v>
      </c>
      <c r="N842" t="n">
        <v>0</v>
      </c>
      <c r="O842" t="n">
        <v>5.3</v>
      </c>
      <c r="P842" t="n">
        <v>11.1</v>
      </c>
      <c r="Q842" t="n">
        <v>10.4</v>
      </c>
      <c r="R842" t="n">
        <v>-0.7</v>
      </c>
      <c r="S842" t="b">
        <v>1</v>
      </c>
      <c r="U842" t="n">
        <v>18</v>
      </c>
      <c r="V842" t="b">
        <v>0</v>
      </c>
      <c r="W842" t="inlineStr">
        <is>
          <t>Light</t>
        </is>
      </c>
      <c r="X842" t="b">
        <v>0</v>
      </c>
      <c r="Y842" t="n">
        <v>0.43</v>
      </c>
    </row>
    <row r="843">
      <c r="A843" t="inlineStr">
        <is>
          <t>O00842</t>
        </is>
      </c>
      <c r="B843" t="inlineStr">
        <is>
          <t>C0006</t>
        </is>
      </c>
      <c r="C843" t="inlineStr">
        <is>
          <t>S015</t>
        </is>
      </c>
      <c r="D843" t="inlineStr">
        <is>
          <t>R042</t>
        </is>
      </c>
      <c r="E843" s="3" t="n">
        <v>46267.60208333333</v>
      </c>
      <c r="F843" s="3" t="n">
        <v>46267.60944444445</v>
      </c>
      <c r="G843" s="3" t="n">
        <v>46267.60743055555</v>
      </c>
      <c r="H843" t="inlineStr">
        <is>
          <t>Delivered</t>
        </is>
      </c>
      <c r="I843" t="n">
        <v>2</v>
      </c>
      <c r="J843" t="n">
        <v>4</v>
      </c>
      <c r="K843" t="n">
        <v>422.75</v>
      </c>
      <c r="L843" t="n">
        <v>0.5</v>
      </c>
      <c r="M843" t="n">
        <v>3.4</v>
      </c>
      <c r="N843" t="n">
        <v>1.6</v>
      </c>
      <c r="O843" t="n">
        <v>2.7</v>
      </c>
      <c r="P843" t="n">
        <v>10.6</v>
      </c>
      <c r="Q843" t="n">
        <v>7.7</v>
      </c>
      <c r="R843" t="n">
        <v>-2.9</v>
      </c>
      <c r="S843" t="b">
        <v>1</v>
      </c>
      <c r="U843" t="n">
        <v>14</v>
      </c>
      <c r="V843" t="b">
        <v>0</v>
      </c>
      <c r="X843" t="b">
        <v>0</v>
      </c>
      <c r="Y843" t="n">
        <v>0.61</v>
      </c>
    </row>
    <row r="844">
      <c r="A844" t="inlineStr">
        <is>
          <t>O00843</t>
        </is>
      </c>
      <c r="B844" t="inlineStr">
        <is>
          <t>C0038</t>
        </is>
      </c>
      <c r="C844" t="inlineStr">
        <is>
          <t>S008</t>
        </is>
      </c>
      <c r="D844" t="inlineStr">
        <is>
          <t>R056</t>
        </is>
      </c>
      <c r="E844" s="3" t="n">
        <v>46274.78402777778</v>
      </c>
      <c r="F844" s="3" t="n">
        <v>46274.78944444445</v>
      </c>
      <c r="G844" s="3" t="n">
        <v>46274.79194444444</v>
      </c>
      <c r="H844" t="inlineStr">
        <is>
          <t>Delivered</t>
        </is>
      </c>
      <c r="I844" t="n">
        <v>6</v>
      </c>
      <c r="J844" t="n">
        <v>8</v>
      </c>
      <c r="K844" t="n">
        <v>1477.57</v>
      </c>
      <c r="L844" t="n">
        <v>1.83</v>
      </c>
      <c r="M844" t="n">
        <v>2.8</v>
      </c>
      <c r="N844" t="n">
        <v>3.7</v>
      </c>
      <c r="O844" t="n">
        <v>4.9</v>
      </c>
      <c r="P844" t="n">
        <v>7.8</v>
      </c>
      <c r="Q844" t="n">
        <v>11.4</v>
      </c>
      <c r="R844" t="n">
        <v>3.6</v>
      </c>
      <c r="S844" t="b">
        <v>0</v>
      </c>
      <c r="U844" t="n">
        <v>18</v>
      </c>
      <c r="V844" t="b">
        <v>0</v>
      </c>
      <c r="X844" t="b">
        <v>0</v>
      </c>
      <c r="Y844" t="n">
        <v>0.14</v>
      </c>
    </row>
    <row r="845">
      <c r="A845" t="inlineStr">
        <is>
          <t>O00844</t>
        </is>
      </c>
      <c r="B845" t="inlineStr">
        <is>
          <t>C0010</t>
        </is>
      </c>
      <c r="C845" t="inlineStr">
        <is>
          <t>S007</t>
        </is>
      </c>
      <c r="D845" t="inlineStr">
        <is>
          <t>R018</t>
        </is>
      </c>
      <c r="E845" s="3" t="n">
        <v>46278.57708333333</v>
      </c>
      <c r="F845" s="3" t="n">
        <v>46278.58555555555</v>
      </c>
      <c r="G845" s="3" t="n">
        <v>46278.586875</v>
      </c>
      <c r="H845" t="inlineStr">
        <is>
          <t>Delivered</t>
        </is>
      </c>
      <c r="I845" t="n">
        <v>3</v>
      </c>
      <c r="J845" t="n">
        <v>9</v>
      </c>
      <c r="K845" t="n">
        <v>244.47</v>
      </c>
      <c r="L845" t="n">
        <v>2.15</v>
      </c>
      <c r="M845" t="n">
        <v>4.3</v>
      </c>
      <c r="N845" t="n">
        <v>3.2</v>
      </c>
      <c r="O845" t="n">
        <v>6.7</v>
      </c>
      <c r="P845" t="n">
        <v>12.2</v>
      </c>
      <c r="Q845" t="n">
        <v>14.1</v>
      </c>
      <c r="R845" t="n">
        <v>1.9</v>
      </c>
      <c r="S845" t="b">
        <v>0</v>
      </c>
      <c r="U845" t="n">
        <v>13</v>
      </c>
      <c r="V845" t="b">
        <v>0</v>
      </c>
      <c r="W845" t="inlineStr">
        <is>
          <t>Heavy</t>
        </is>
      </c>
      <c r="X845" t="b">
        <v>0</v>
      </c>
      <c r="Y845" t="n">
        <v>0.13</v>
      </c>
    </row>
    <row r="846">
      <c r="A846" t="inlineStr">
        <is>
          <t>O00845</t>
        </is>
      </c>
      <c r="B846" t="inlineStr">
        <is>
          <t>C0204</t>
        </is>
      </c>
      <c r="C846" t="inlineStr">
        <is>
          <t>S006</t>
        </is>
      </c>
      <c r="D846" t="inlineStr">
        <is>
          <t>R059</t>
        </is>
      </c>
      <c r="E846" s="3" t="n">
        <v>46275.75277777778</v>
      </c>
      <c r="F846" s="3" t="n">
        <v>46275.76006944444</v>
      </c>
      <c r="G846" s="3" t="n">
        <v>46275.76159722222</v>
      </c>
      <c r="H846" t="inlineStr">
        <is>
          <t>Delivered</t>
        </is>
      </c>
      <c r="I846" t="n">
        <v>5</v>
      </c>
      <c r="J846" t="n">
        <v>7</v>
      </c>
      <c r="K846" t="n">
        <v>941.9</v>
      </c>
      <c r="L846" t="n">
        <v>2.53</v>
      </c>
      <c r="M846" t="n">
        <v>5.9</v>
      </c>
      <c r="N846" t="n">
        <v>0.4</v>
      </c>
      <c r="O846" t="n">
        <v>6.4</v>
      </c>
      <c r="P846" t="n">
        <v>10.5</v>
      </c>
      <c r="Q846" t="n">
        <v>12.7</v>
      </c>
      <c r="R846" t="n">
        <v>2.2</v>
      </c>
      <c r="S846" t="b">
        <v>0</v>
      </c>
      <c r="U846" t="n">
        <v>18</v>
      </c>
      <c r="V846" t="b">
        <v>0</v>
      </c>
      <c r="X846" t="b">
        <v>0</v>
      </c>
      <c r="Y846" t="n">
        <v>0.38</v>
      </c>
    </row>
    <row r="847">
      <c r="A847" t="inlineStr">
        <is>
          <t>O00846</t>
        </is>
      </c>
      <c r="B847" t="inlineStr">
        <is>
          <t>C0147</t>
        </is>
      </c>
      <c r="C847" t="inlineStr">
        <is>
          <t>S005</t>
        </is>
      </c>
      <c r="D847" t="inlineStr">
        <is>
          <t>R058</t>
        </is>
      </c>
      <c r="E847" s="3" t="n">
        <v>46272.8875</v>
      </c>
      <c r="F847" s="3" t="n">
        <v>46272.89402777778</v>
      </c>
      <c r="G847" s="3" t="n">
        <v>46272.89340277778</v>
      </c>
      <c r="H847" t="inlineStr">
        <is>
          <t>Delivered</t>
        </is>
      </c>
      <c r="I847" t="n">
        <v>4</v>
      </c>
      <c r="J847" t="n">
        <v>8</v>
      </c>
      <c r="K847" t="n">
        <v>1631.18</v>
      </c>
      <c r="L847" t="n">
        <v>0.87</v>
      </c>
      <c r="M847" t="n">
        <v>3.1</v>
      </c>
      <c r="N847" t="n">
        <v>3.3</v>
      </c>
      <c r="O847" t="n">
        <v>2.1</v>
      </c>
      <c r="P847" t="n">
        <v>9.4</v>
      </c>
      <c r="Q847" t="n">
        <v>8.5</v>
      </c>
      <c r="R847" t="n">
        <v>-0.9</v>
      </c>
      <c r="S847" t="b">
        <v>1</v>
      </c>
      <c r="U847" t="n">
        <v>21</v>
      </c>
      <c r="V847" t="b">
        <v>1</v>
      </c>
      <c r="X847" t="b">
        <v>0</v>
      </c>
      <c r="Y847" t="n">
        <v>0.75</v>
      </c>
    </row>
    <row r="848">
      <c r="A848" t="inlineStr">
        <is>
          <t>O00847</t>
        </is>
      </c>
      <c r="B848" t="inlineStr">
        <is>
          <t>C0180</t>
        </is>
      </c>
      <c r="C848" t="inlineStr">
        <is>
          <t>S006</t>
        </is>
      </c>
      <c r="E848" s="3" t="n">
        <v>46275.75694444445</v>
      </c>
      <c r="F848" s="3" t="n">
        <v>46275.76423611111</v>
      </c>
      <c r="H848" t="inlineStr">
        <is>
          <t>Cancelled</t>
        </is>
      </c>
      <c r="I848" t="n">
        <v>2</v>
      </c>
      <c r="J848" t="n">
        <v>3</v>
      </c>
      <c r="K848" t="n">
        <v>1427.53</v>
      </c>
      <c r="L848" t="n">
        <v>1.33</v>
      </c>
      <c r="M848" t="n">
        <v>6.8</v>
      </c>
      <c r="N848" t="n">
        <v>2</v>
      </c>
      <c r="O848" t="n">
        <v>5</v>
      </c>
      <c r="P848" t="n">
        <v>10.5</v>
      </c>
      <c r="T848" t="inlineStr">
        <is>
          <t>Item unavailable</t>
        </is>
      </c>
      <c r="U848" t="n">
        <v>18</v>
      </c>
      <c r="V848" t="b">
        <v>0</v>
      </c>
      <c r="X848" t="b">
        <v>0</v>
      </c>
      <c r="Y848" t="n">
        <v>0.6</v>
      </c>
    </row>
    <row r="849">
      <c r="A849" t="inlineStr">
        <is>
          <t>O00848</t>
        </is>
      </c>
      <c r="B849" t="inlineStr">
        <is>
          <t>C0127</t>
        </is>
      </c>
      <c r="C849" t="inlineStr">
        <is>
          <t>S010</t>
        </is>
      </c>
      <c r="D849" t="inlineStr">
        <is>
          <t>R008</t>
        </is>
      </c>
      <c r="E849" s="3" t="n">
        <v>46271.56666666667</v>
      </c>
      <c r="F849" s="3" t="n">
        <v>46271.57361111111</v>
      </c>
      <c r="G849" s="3" t="n">
        <v>46271.57736111111</v>
      </c>
      <c r="H849" t="inlineStr">
        <is>
          <t>Delivered</t>
        </is>
      </c>
      <c r="I849" t="n">
        <v>1</v>
      </c>
      <c r="J849" t="n">
        <v>8</v>
      </c>
      <c r="K849" t="n">
        <v>281.92</v>
      </c>
      <c r="L849" t="n">
        <v>1.01</v>
      </c>
      <c r="M849" t="n">
        <v>6.8</v>
      </c>
      <c r="N849" t="n">
        <v>6.2</v>
      </c>
      <c r="O849" t="n">
        <v>2.5</v>
      </c>
      <c r="P849" t="n">
        <v>10</v>
      </c>
      <c r="Q849" t="n">
        <v>15.4</v>
      </c>
      <c r="R849" t="n">
        <v>5.4</v>
      </c>
      <c r="S849" t="b">
        <v>0</v>
      </c>
      <c r="U849" t="n">
        <v>13</v>
      </c>
      <c r="V849" t="b">
        <v>0</v>
      </c>
      <c r="X849" t="b">
        <v>0</v>
      </c>
      <c r="Y849" t="n">
        <v>0.04</v>
      </c>
    </row>
    <row r="850">
      <c r="A850" t="inlineStr">
        <is>
          <t>O00849</t>
        </is>
      </c>
      <c r="B850" t="inlineStr">
        <is>
          <t>C0001</t>
        </is>
      </c>
      <c r="C850" t="inlineStr">
        <is>
          <t>S003</t>
        </is>
      </c>
      <c r="D850" t="inlineStr">
        <is>
          <t>R074</t>
        </is>
      </c>
      <c r="E850" s="3" t="n">
        <v>46272.36319444444</v>
      </c>
      <c r="F850" s="3" t="n">
        <v>46272.37</v>
      </c>
      <c r="G850" s="3" t="n">
        <v>46272.36972222223</v>
      </c>
      <c r="H850" t="inlineStr">
        <is>
          <t>Delivered</t>
        </is>
      </c>
      <c r="I850" t="n">
        <v>6</v>
      </c>
      <c r="J850" t="n">
        <v>11</v>
      </c>
      <c r="K850" t="n">
        <v>763.27</v>
      </c>
      <c r="L850" t="n">
        <v>0.52</v>
      </c>
      <c r="M850" t="n">
        <v>3.9</v>
      </c>
      <c r="N850" t="n">
        <v>4.2</v>
      </c>
      <c r="O850" t="n">
        <v>1.3</v>
      </c>
      <c r="P850" t="n">
        <v>9.800000000000001</v>
      </c>
      <c r="Q850" t="n">
        <v>9.4</v>
      </c>
      <c r="R850" t="n">
        <v>-0.4</v>
      </c>
      <c r="S850" t="b">
        <v>1</v>
      </c>
      <c r="U850" t="n">
        <v>8</v>
      </c>
      <c r="V850" t="b">
        <v>0</v>
      </c>
      <c r="X850" t="b">
        <v>0</v>
      </c>
      <c r="Y850" t="n">
        <v>0.29</v>
      </c>
    </row>
    <row r="851">
      <c r="A851" t="inlineStr">
        <is>
          <t>O00850</t>
        </is>
      </c>
      <c r="B851" t="inlineStr">
        <is>
          <t>C0021</t>
        </is>
      </c>
      <c r="C851" t="inlineStr">
        <is>
          <t>S012</t>
        </is>
      </c>
      <c r="D851" t="inlineStr">
        <is>
          <t>R057</t>
        </is>
      </c>
      <c r="E851" s="3" t="n">
        <v>46276.875</v>
      </c>
      <c r="F851" s="3" t="n">
        <v>46276.88270833333</v>
      </c>
      <c r="G851" s="3" t="n">
        <v>46276.88243055555</v>
      </c>
      <c r="H851" t="inlineStr">
        <is>
          <t>Delivered</t>
        </is>
      </c>
      <c r="I851" t="n">
        <v>4</v>
      </c>
      <c r="J851" t="n">
        <v>11</v>
      </c>
      <c r="K851" t="n">
        <v>1394.18</v>
      </c>
      <c r="L851" t="n">
        <v>4.23</v>
      </c>
      <c r="M851" t="n">
        <v>2.6</v>
      </c>
      <c r="N851" t="n">
        <v>1.9</v>
      </c>
      <c r="O851" t="n">
        <v>6.2</v>
      </c>
      <c r="P851" t="n">
        <v>11.1</v>
      </c>
      <c r="Q851" t="n">
        <v>10.7</v>
      </c>
      <c r="R851" t="n">
        <v>-0.4</v>
      </c>
      <c r="S851" t="b">
        <v>1</v>
      </c>
      <c r="U851" t="n">
        <v>21</v>
      </c>
      <c r="V851" t="b">
        <v>1</v>
      </c>
      <c r="W851" t="inlineStr">
        <is>
          <t>Heavy</t>
        </is>
      </c>
      <c r="X851" t="b">
        <v>0</v>
      </c>
      <c r="Y851" t="n">
        <v>0.88</v>
      </c>
    </row>
    <row r="852">
      <c r="A852" t="inlineStr">
        <is>
          <t>O00851</t>
        </is>
      </c>
      <c r="B852" t="inlineStr">
        <is>
          <t>C0224</t>
        </is>
      </c>
      <c r="C852" t="inlineStr">
        <is>
          <t>S014</t>
        </is>
      </c>
      <c r="D852" t="inlineStr">
        <is>
          <t>R070</t>
        </is>
      </c>
      <c r="E852" s="3" t="n">
        <v>46279.72777777778</v>
      </c>
      <c r="F852" s="3" t="n">
        <v>46279.73631944445</v>
      </c>
      <c r="G852" s="3" t="n">
        <v>46279.73972222222</v>
      </c>
      <c r="H852" t="inlineStr">
        <is>
          <t>Delivered</t>
        </is>
      </c>
      <c r="I852" t="n">
        <v>6</v>
      </c>
      <c r="J852" t="n">
        <v>9</v>
      </c>
      <c r="K852" t="n">
        <v>1436.87</v>
      </c>
      <c r="L852" t="n">
        <v>3.03</v>
      </c>
      <c r="M852" t="n">
        <v>6.8</v>
      </c>
      <c r="N852" t="n">
        <v>2.9</v>
      </c>
      <c r="O852" t="n">
        <v>7.5</v>
      </c>
      <c r="P852" t="n">
        <v>12.3</v>
      </c>
      <c r="Q852" t="n">
        <v>17.2</v>
      </c>
      <c r="R852" t="n">
        <v>4.9</v>
      </c>
      <c r="S852" t="b">
        <v>0</v>
      </c>
      <c r="U852" t="n">
        <v>17</v>
      </c>
      <c r="V852" t="b">
        <v>0</v>
      </c>
      <c r="W852" t="inlineStr">
        <is>
          <t>Light</t>
        </is>
      </c>
      <c r="X852" t="b">
        <v>0</v>
      </c>
      <c r="Y852" t="n">
        <v>0.5</v>
      </c>
    </row>
    <row r="853">
      <c r="A853" t="inlineStr">
        <is>
          <t>O00852</t>
        </is>
      </c>
      <c r="B853" t="inlineStr">
        <is>
          <t>C0020</t>
        </is>
      </c>
      <c r="C853" t="inlineStr">
        <is>
          <t>S008</t>
        </is>
      </c>
      <c r="D853" t="inlineStr">
        <is>
          <t>R034</t>
        </is>
      </c>
      <c r="E853" s="3" t="n">
        <v>46266.76666666667</v>
      </c>
      <c r="F853" s="3" t="n">
        <v>46266.77347222222</v>
      </c>
      <c r="G853" s="3" t="n">
        <v>46266.77333333333</v>
      </c>
      <c r="H853" t="inlineStr">
        <is>
          <t>Delivered</t>
        </is>
      </c>
      <c r="I853" t="n">
        <v>1</v>
      </c>
      <c r="J853" t="n">
        <v>6</v>
      </c>
      <c r="K853" t="n">
        <v>402.4</v>
      </c>
      <c r="L853" t="n">
        <v>3.07</v>
      </c>
      <c r="M853" t="n">
        <v>1.7</v>
      </c>
      <c r="N853" t="n">
        <v>2.2</v>
      </c>
      <c r="O853" t="n">
        <v>5.7</v>
      </c>
      <c r="P853" t="n">
        <v>9.800000000000001</v>
      </c>
      <c r="Q853" t="n">
        <v>9.6</v>
      </c>
      <c r="R853" t="n">
        <v>-0.2</v>
      </c>
      <c r="S853" t="b">
        <v>1</v>
      </c>
      <c r="U853" t="n">
        <v>18</v>
      </c>
      <c r="V853" t="b">
        <v>0</v>
      </c>
      <c r="X853" t="b">
        <v>0</v>
      </c>
      <c r="Y853" t="n">
        <v>0.42</v>
      </c>
    </row>
    <row r="854">
      <c r="A854" t="inlineStr">
        <is>
          <t>O00853</t>
        </is>
      </c>
      <c r="B854" t="inlineStr">
        <is>
          <t>C0072</t>
        </is>
      </c>
      <c r="C854" t="inlineStr">
        <is>
          <t>S016</t>
        </is>
      </c>
      <c r="D854" t="inlineStr">
        <is>
          <t>R068</t>
        </is>
      </c>
      <c r="E854" s="3" t="n">
        <v>46278.41736111111</v>
      </c>
      <c r="F854" s="3" t="n">
        <v>46278.42520833333</v>
      </c>
      <c r="G854" s="3" t="n">
        <v>46278.42472222223</v>
      </c>
      <c r="H854" t="inlineStr">
        <is>
          <t>Delivered</t>
        </is>
      </c>
      <c r="I854" t="n">
        <v>6</v>
      </c>
      <c r="J854" t="n">
        <v>6</v>
      </c>
      <c r="K854" t="n">
        <v>666.42</v>
      </c>
      <c r="L854" t="n">
        <v>2.6</v>
      </c>
      <c r="M854" t="n">
        <v>3.8</v>
      </c>
      <c r="N854" t="n">
        <v>2.6</v>
      </c>
      <c r="O854" t="n">
        <v>4.2</v>
      </c>
      <c r="P854" t="n">
        <v>11.3</v>
      </c>
      <c r="Q854" t="n">
        <v>10.6</v>
      </c>
      <c r="R854" t="n">
        <v>-0.7</v>
      </c>
      <c r="S854" t="b">
        <v>1</v>
      </c>
      <c r="U854" t="n">
        <v>10</v>
      </c>
      <c r="V854" t="b">
        <v>0</v>
      </c>
      <c r="X854" t="b">
        <v>0</v>
      </c>
      <c r="Y854" t="n">
        <v>0.44</v>
      </c>
    </row>
    <row r="855">
      <c r="A855" t="inlineStr">
        <is>
          <t>O00854</t>
        </is>
      </c>
      <c r="B855" t="inlineStr">
        <is>
          <t>C0025</t>
        </is>
      </c>
      <c r="C855" t="inlineStr">
        <is>
          <t>S019</t>
        </is>
      </c>
      <c r="D855" t="inlineStr">
        <is>
          <t>R006</t>
        </is>
      </c>
      <c r="E855" s="3" t="n">
        <v>46278.70069444444</v>
      </c>
      <c r="F855" s="3" t="n">
        <v>46278.70798611111</v>
      </c>
      <c r="G855" s="3" t="n">
        <v>46278.70993055555</v>
      </c>
      <c r="H855" t="inlineStr">
        <is>
          <t>Delivered</t>
        </is>
      </c>
      <c r="I855" t="n">
        <v>3</v>
      </c>
      <c r="J855" t="n">
        <v>5</v>
      </c>
      <c r="K855" t="n">
        <v>1330.13</v>
      </c>
      <c r="L855" t="n">
        <v>1.34</v>
      </c>
      <c r="M855" t="n">
        <v>5.2</v>
      </c>
      <c r="N855" t="n">
        <v>4.8</v>
      </c>
      <c r="O855" t="n">
        <v>3.3</v>
      </c>
      <c r="P855" t="n">
        <v>10.5</v>
      </c>
      <c r="Q855" t="n">
        <v>13.3</v>
      </c>
      <c r="R855" t="n">
        <v>2.8</v>
      </c>
      <c r="S855" t="b">
        <v>0</v>
      </c>
      <c r="U855" t="n">
        <v>16</v>
      </c>
      <c r="V855" t="b">
        <v>0</v>
      </c>
      <c r="X855" t="b">
        <v>0</v>
      </c>
      <c r="Y855" t="n">
        <v>0.13</v>
      </c>
    </row>
    <row r="856">
      <c r="A856" t="inlineStr">
        <is>
          <t>O00855</t>
        </is>
      </c>
      <c r="B856" t="inlineStr">
        <is>
          <t>C0181</t>
        </is>
      </c>
      <c r="C856" t="inlineStr">
        <is>
          <t>S020</t>
        </is>
      </c>
      <c r="D856" t="inlineStr">
        <is>
          <t>R007</t>
        </is>
      </c>
      <c r="E856" s="3" t="n">
        <v>46271.60138888889</v>
      </c>
      <c r="F856" s="3" t="n">
        <v>46271.609375</v>
      </c>
      <c r="G856" s="3" t="n">
        <v>46271.60923611111</v>
      </c>
      <c r="H856" t="inlineStr">
        <is>
          <t>Delivered</t>
        </is>
      </c>
      <c r="I856" t="n">
        <v>3</v>
      </c>
      <c r="J856" t="n">
        <v>8</v>
      </c>
      <c r="K856" t="n">
        <v>1051.59</v>
      </c>
      <c r="L856" t="n">
        <v>3.8</v>
      </c>
      <c r="M856" t="n">
        <v>4</v>
      </c>
      <c r="N856" t="n">
        <v>1.6</v>
      </c>
      <c r="O856" t="n">
        <v>5.7</v>
      </c>
      <c r="P856" t="n">
        <v>11.5</v>
      </c>
      <c r="Q856" t="n">
        <v>11.3</v>
      </c>
      <c r="R856" t="n">
        <v>-0.2</v>
      </c>
      <c r="S856" t="b">
        <v>1</v>
      </c>
      <c r="U856" t="n">
        <v>14</v>
      </c>
      <c r="V856" t="b">
        <v>0</v>
      </c>
      <c r="X856" t="b">
        <v>0</v>
      </c>
      <c r="Y856" t="n">
        <v>0.62</v>
      </c>
    </row>
    <row r="857">
      <c r="A857" t="inlineStr">
        <is>
          <t>O00856</t>
        </is>
      </c>
      <c r="B857" t="inlineStr">
        <is>
          <t>C0159</t>
        </is>
      </c>
      <c r="C857" t="inlineStr">
        <is>
          <t>S007</t>
        </is>
      </c>
      <c r="E857" s="3" t="n">
        <v>46271.90625</v>
      </c>
      <c r="F857" s="3" t="n">
        <v>46271.91319444445</v>
      </c>
      <c r="H857" t="inlineStr">
        <is>
          <t>Cancelled</t>
        </is>
      </c>
      <c r="I857" t="n">
        <v>2</v>
      </c>
      <c r="J857" t="n">
        <v>5</v>
      </c>
      <c r="K857" t="n">
        <v>1199.74</v>
      </c>
      <c r="L857" t="n">
        <v>2.3</v>
      </c>
      <c r="M857" t="n">
        <v>3.9</v>
      </c>
      <c r="N857" t="n">
        <v>5.4</v>
      </c>
      <c r="O857" t="n">
        <v>6</v>
      </c>
      <c r="P857" t="n">
        <v>10</v>
      </c>
      <c r="T857" t="inlineStr">
        <is>
          <t>Rider unavailable</t>
        </is>
      </c>
      <c r="U857" t="n">
        <v>21</v>
      </c>
      <c r="V857" t="b">
        <v>1</v>
      </c>
      <c r="X857" t="b">
        <v>0</v>
      </c>
      <c r="Y857" t="n">
        <v>0.54</v>
      </c>
    </row>
    <row r="858">
      <c r="A858" t="inlineStr">
        <is>
          <t>O00857</t>
        </is>
      </c>
      <c r="B858" t="inlineStr">
        <is>
          <t>C0240</t>
        </is>
      </c>
      <c r="C858" t="inlineStr">
        <is>
          <t>S020</t>
        </is>
      </c>
      <c r="D858" t="inlineStr">
        <is>
          <t>R037</t>
        </is>
      </c>
      <c r="E858" s="3" t="n">
        <v>46268.65694444445</v>
      </c>
      <c r="F858" s="3" t="n">
        <v>46268.66402777778</v>
      </c>
      <c r="G858" s="3" t="n">
        <v>46268.67465277778</v>
      </c>
      <c r="H858" t="inlineStr">
        <is>
          <t>Delivered</t>
        </is>
      </c>
      <c r="I858" t="n">
        <v>1</v>
      </c>
      <c r="J858" t="n">
        <v>7</v>
      </c>
      <c r="K858" t="n">
        <v>171.87</v>
      </c>
      <c r="L858" t="n">
        <v>3.8</v>
      </c>
      <c r="M858" t="n">
        <v>6</v>
      </c>
      <c r="N858" t="n">
        <v>9.1</v>
      </c>
      <c r="O858" t="n">
        <v>10.4</v>
      </c>
      <c r="P858" t="n">
        <v>10.2</v>
      </c>
      <c r="Q858" t="n">
        <v>25.5</v>
      </c>
      <c r="R858" t="n">
        <v>15.3</v>
      </c>
      <c r="S858" t="b">
        <v>0</v>
      </c>
      <c r="U858" t="n">
        <v>15</v>
      </c>
      <c r="V858" t="b">
        <v>0</v>
      </c>
      <c r="X858" t="b">
        <v>0</v>
      </c>
      <c r="Y858" t="n">
        <v>0.5600000000000001</v>
      </c>
    </row>
    <row r="859">
      <c r="A859" t="inlineStr">
        <is>
          <t>O00858</t>
        </is>
      </c>
      <c r="B859" t="inlineStr">
        <is>
          <t>C0043</t>
        </is>
      </c>
      <c r="C859" t="inlineStr">
        <is>
          <t>S002</t>
        </is>
      </c>
      <c r="D859" t="inlineStr">
        <is>
          <t>R021</t>
        </is>
      </c>
      <c r="E859" s="3" t="n">
        <v>46274.38194444445</v>
      </c>
      <c r="F859" s="3" t="n">
        <v>46274.38986111111</v>
      </c>
      <c r="G859" s="3" t="n">
        <v>46274.38965277778</v>
      </c>
      <c r="H859" t="inlineStr">
        <is>
          <t>Delivered</t>
        </is>
      </c>
      <c r="I859" t="n">
        <v>1</v>
      </c>
      <c r="J859" t="n">
        <v>7</v>
      </c>
      <c r="K859" t="n">
        <v>325.67</v>
      </c>
      <c r="L859" t="n">
        <v>2.04</v>
      </c>
      <c r="M859" t="n">
        <v>3.5</v>
      </c>
      <c r="N859" t="n">
        <v>3.1</v>
      </c>
      <c r="O859" t="n">
        <v>4.5</v>
      </c>
      <c r="P859" t="n">
        <v>11.4</v>
      </c>
      <c r="Q859" t="n">
        <v>11.1</v>
      </c>
      <c r="R859" t="n">
        <v>-0.3</v>
      </c>
      <c r="S859" t="b">
        <v>1</v>
      </c>
      <c r="U859" t="n">
        <v>9</v>
      </c>
      <c r="V859" t="b">
        <v>0</v>
      </c>
      <c r="W859" t="inlineStr">
        <is>
          <t>Light</t>
        </is>
      </c>
      <c r="X859" t="b">
        <v>0</v>
      </c>
      <c r="Y859" t="n">
        <v>0.31</v>
      </c>
    </row>
    <row r="860">
      <c r="A860" t="inlineStr">
        <is>
          <t>O00859</t>
        </is>
      </c>
      <c r="B860" t="inlineStr">
        <is>
          <t>C0110</t>
        </is>
      </c>
      <c r="C860" t="inlineStr">
        <is>
          <t>S006</t>
        </is>
      </c>
      <c r="D860" t="inlineStr">
        <is>
          <t>R079</t>
        </is>
      </c>
      <c r="E860" s="3" t="n">
        <v>46277.50555555556</v>
      </c>
      <c r="F860" s="3" t="n">
        <v>46277.51381944444</v>
      </c>
      <c r="G860" s="3" t="n">
        <v>46277.51354166667</v>
      </c>
      <c r="H860" t="inlineStr">
        <is>
          <t>Delivered</t>
        </is>
      </c>
      <c r="I860" t="n">
        <v>2</v>
      </c>
      <c r="J860" t="n">
        <v>7</v>
      </c>
      <c r="K860" t="n">
        <v>1106.77</v>
      </c>
      <c r="L860" t="n">
        <v>0.99</v>
      </c>
      <c r="M860" t="n">
        <v>4.1</v>
      </c>
      <c r="N860" t="n">
        <v>2.6</v>
      </c>
      <c r="O860" t="n">
        <v>4.8</v>
      </c>
      <c r="P860" t="n">
        <v>11.9</v>
      </c>
      <c r="Q860" t="n">
        <v>11.5</v>
      </c>
      <c r="R860" t="n">
        <v>-0.4</v>
      </c>
      <c r="S860" t="b">
        <v>1</v>
      </c>
      <c r="U860" t="n">
        <v>12</v>
      </c>
      <c r="V860" t="b">
        <v>0</v>
      </c>
      <c r="W860" t="inlineStr">
        <is>
          <t>Heavy</t>
        </is>
      </c>
      <c r="X860" t="b">
        <v>0</v>
      </c>
      <c r="Y860" t="n">
        <v>0.32</v>
      </c>
    </row>
    <row r="861">
      <c r="A861" t="inlineStr">
        <is>
          <t>O00860</t>
        </is>
      </c>
      <c r="B861" t="inlineStr">
        <is>
          <t>C0049</t>
        </is>
      </c>
      <c r="C861" t="inlineStr">
        <is>
          <t>S020</t>
        </is>
      </c>
      <c r="D861" t="inlineStr">
        <is>
          <t>R074</t>
        </is>
      </c>
      <c r="E861" s="3" t="n">
        <v>46272.38194444445</v>
      </c>
      <c r="F861" s="3" t="n">
        <v>46272.38888888889</v>
      </c>
      <c r="G861" s="3" t="n">
        <v>46272.38840277777</v>
      </c>
      <c r="H861" t="inlineStr">
        <is>
          <t>Delivered</t>
        </is>
      </c>
      <c r="I861" t="n">
        <v>1</v>
      </c>
      <c r="J861" t="n">
        <v>3</v>
      </c>
      <c r="K861" t="n">
        <v>245.29</v>
      </c>
      <c r="L861" t="n">
        <v>3.8</v>
      </c>
      <c r="M861" t="n">
        <v>2.5</v>
      </c>
      <c r="N861" t="n">
        <v>2.5</v>
      </c>
      <c r="O861" t="n">
        <v>4.3</v>
      </c>
      <c r="P861" t="n">
        <v>10</v>
      </c>
      <c r="Q861" t="n">
        <v>9.300000000000001</v>
      </c>
      <c r="R861" t="n">
        <v>-0.7</v>
      </c>
      <c r="S861" t="b">
        <v>1</v>
      </c>
      <c r="U861" t="n">
        <v>9</v>
      </c>
      <c r="V861" t="b">
        <v>0</v>
      </c>
      <c r="W861" t="inlineStr">
        <is>
          <t>Light</t>
        </is>
      </c>
      <c r="X861" t="b">
        <v>0</v>
      </c>
      <c r="Y861" t="n">
        <v>0.36</v>
      </c>
    </row>
    <row r="862">
      <c r="A862" t="inlineStr">
        <is>
          <t>O00861</t>
        </is>
      </c>
      <c r="B862" t="inlineStr">
        <is>
          <t>C0150</t>
        </is>
      </c>
      <c r="C862" t="inlineStr">
        <is>
          <t>S020</t>
        </is>
      </c>
      <c r="D862" t="inlineStr">
        <is>
          <t>R070</t>
        </is>
      </c>
      <c r="E862" s="3" t="n">
        <v>46275.38194444445</v>
      </c>
      <c r="F862" s="3" t="n">
        <v>46275.38826388889</v>
      </c>
      <c r="G862" s="3" t="n">
        <v>46275.38798611111</v>
      </c>
      <c r="H862" t="inlineStr">
        <is>
          <t>Delivered</t>
        </is>
      </c>
      <c r="I862" t="n">
        <v>2</v>
      </c>
      <c r="J862" t="n">
        <v>3</v>
      </c>
      <c r="K862" t="n">
        <v>718.67</v>
      </c>
      <c r="L862" t="n">
        <v>1.85</v>
      </c>
      <c r="M862" t="n">
        <v>2.5</v>
      </c>
      <c r="N862" t="n">
        <v>3.6</v>
      </c>
      <c r="O862" t="n">
        <v>2.6</v>
      </c>
      <c r="P862" t="n">
        <v>9.1</v>
      </c>
      <c r="Q862" t="n">
        <v>8.699999999999999</v>
      </c>
      <c r="R862" t="n">
        <v>-0.4</v>
      </c>
      <c r="S862" t="b">
        <v>1</v>
      </c>
      <c r="U862" t="n">
        <v>9</v>
      </c>
      <c r="V862" t="b">
        <v>0</v>
      </c>
      <c r="X862" t="b">
        <v>0</v>
      </c>
      <c r="Y862" t="n">
        <v>0.44</v>
      </c>
    </row>
    <row r="863">
      <c r="A863" t="inlineStr">
        <is>
          <t>O00862</t>
        </is>
      </c>
      <c r="B863" t="inlineStr">
        <is>
          <t>C0194</t>
        </is>
      </c>
      <c r="C863" t="inlineStr">
        <is>
          <t>S014</t>
        </is>
      </c>
      <c r="D863" t="inlineStr">
        <is>
          <t>R007</t>
        </is>
      </c>
      <c r="E863" s="3" t="n">
        <v>46271.92638888889</v>
      </c>
      <c r="F863" s="3" t="n">
        <v>46271.93256944444</v>
      </c>
      <c r="G863" s="3" t="n">
        <v>46271.93215277778</v>
      </c>
      <c r="H863" t="inlineStr">
        <is>
          <t>Delivered</t>
        </is>
      </c>
      <c r="I863" t="n">
        <v>6</v>
      </c>
      <c r="J863" t="n">
        <v>8</v>
      </c>
      <c r="K863" t="n">
        <v>562.59</v>
      </c>
      <c r="L863" t="n">
        <v>1.75</v>
      </c>
      <c r="M863" t="n">
        <v>4.7</v>
      </c>
      <c r="N863" t="n">
        <v>0.8</v>
      </c>
      <c r="O863" t="n">
        <v>2.8</v>
      </c>
      <c r="P863" t="n">
        <v>8.9</v>
      </c>
      <c r="Q863" t="n">
        <v>8.300000000000001</v>
      </c>
      <c r="R863" t="n">
        <v>-0.6</v>
      </c>
      <c r="S863" t="b">
        <v>1</v>
      </c>
      <c r="U863" t="n">
        <v>22</v>
      </c>
      <c r="V863" t="b">
        <v>0</v>
      </c>
      <c r="X863" t="b">
        <v>0</v>
      </c>
      <c r="Y863" t="n">
        <v>0.53</v>
      </c>
    </row>
    <row r="864">
      <c r="A864" t="inlineStr">
        <is>
          <t>O00863</t>
        </is>
      </c>
      <c r="B864" t="inlineStr">
        <is>
          <t>C0233</t>
        </is>
      </c>
      <c r="C864" t="inlineStr">
        <is>
          <t>S002</t>
        </is>
      </c>
      <c r="D864" t="inlineStr">
        <is>
          <t>R045</t>
        </is>
      </c>
      <c r="E864" s="3" t="n">
        <v>46269.70555555556</v>
      </c>
      <c r="F864" s="3" t="n">
        <v>46269.71152777778</v>
      </c>
      <c r="G864" s="3" t="n">
        <v>46269.70972222222</v>
      </c>
      <c r="H864" t="inlineStr">
        <is>
          <t>Delivered</t>
        </is>
      </c>
      <c r="I864" t="n">
        <v>2</v>
      </c>
      <c r="J864" t="n">
        <v>7</v>
      </c>
      <c r="K864" t="n">
        <v>1093.19</v>
      </c>
      <c r="L864" t="n">
        <v>0.6899999999999999</v>
      </c>
      <c r="M864" t="n">
        <v>2.3</v>
      </c>
      <c r="N864" t="n">
        <v>1.5</v>
      </c>
      <c r="O864" t="n">
        <v>2.3</v>
      </c>
      <c r="P864" t="n">
        <v>8.6</v>
      </c>
      <c r="Q864" t="n">
        <v>6</v>
      </c>
      <c r="R864" t="n">
        <v>-2.6</v>
      </c>
      <c r="S864" t="b">
        <v>1</v>
      </c>
      <c r="U864" t="n">
        <v>16</v>
      </c>
      <c r="V864" t="b">
        <v>0</v>
      </c>
      <c r="X864" t="b">
        <v>0</v>
      </c>
      <c r="Y864" t="n">
        <v>0.35</v>
      </c>
    </row>
    <row r="865">
      <c r="A865" t="inlineStr">
        <is>
          <t>O00864</t>
        </is>
      </c>
      <c r="B865" t="inlineStr">
        <is>
          <t>C0090</t>
        </is>
      </c>
      <c r="C865" t="inlineStr">
        <is>
          <t>S010</t>
        </is>
      </c>
      <c r="E865" s="3" t="n">
        <v>46272.63333333333</v>
      </c>
      <c r="F865" s="3" t="n">
        <v>46272.64125</v>
      </c>
      <c r="H865" t="inlineStr">
        <is>
          <t>Cancelled</t>
        </is>
      </c>
      <c r="I865" t="n">
        <v>2</v>
      </c>
      <c r="J865" t="n">
        <v>5</v>
      </c>
      <c r="K865" t="n">
        <v>1510.24</v>
      </c>
      <c r="L865" t="n">
        <v>1.06</v>
      </c>
      <c r="M865" t="n">
        <v>5.8</v>
      </c>
      <c r="N865" t="n">
        <v>4.7</v>
      </c>
      <c r="O865" t="n">
        <v>3</v>
      </c>
      <c r="P865" t="n">
        <v>11.4</v>
      </c>
      <c r="T865" t="inlineStr">
        <is>
          <t>Rider unavailable</t>
        </is>
      </c>
      <c r="U865" t="n">
        <v>15</v>
      </c>
      <c r="V865" t="b">
        <v>0</v>
      </c>
      <c r="X865" t="b">
        <v>0</v>
      </c>
      <c r="Y865" t="n">
        <v>0.34</v>
      </c>
    </row>
    <row r="866">
      <c r="A866" t="inlineStr">
        <is>
          <t>O00865</t>
        </is>
      </c>
      <c r="B866" t="inlineStr">
        <is>
          <t>C0166</t>
        </is>
      </c>
      <c r="C866" t="inlineStr">
        <is>
          <t>S007</t>
        </is>
      </c>
      <c r="D866" t="inlineStr">
        <is>
          <t>R035</t>
        </is>
      </c>
      <c r="E866" s="3" t="n">
        <v>46266.76597222222</v>
      </c>
      <c r="F866" s="3" t="n">
        <v>46266.77319444445</v>
      </c>
      <c r="G866" s="3" t="n">
        <v>46266.77284722222</v>
      </c>
      <c r="H866" t="inlineStr">
        <is>
          <t>Delivered</t>
        </is>
      </c>
      <c r="I866" t="n">
        <v>4</v>
      </c>
      <c r="J866" t="n">
        <v>6</v>
      </c>
      <c r="K866" t="n">
        <v>1452.63</v>
      </c>
      <c r="L866" t="n">
        <v>0.5</v>
      </c>
      <c r="M866" t="n">
        <v>3.1</v>
      </c>
      <c r="N866" t="n">
        <v>5.4</v>
      </c>
      <c r="O866" t="n">
        <v>1.4</v>
      </c>
      <c r="P866" t="n">
        <v>10.4</v>
      </c>
      <c r="Q866" t="n">
        <v>9.9</v>
      </c>
      <c r="R866" t="n">
        <v>-0.5</v>
      </c>
      <c r="S866" t="b">
        <v>1</v>
      </c>
      <c r="U866" t="n">
        <v>18</v>
      </c>
      <c r="V866" t="b">
        <v>0</v>
      </c>
      <c r="X866" t="b">
        <v>0</v>
      </c>
      <c r="Y866" t="n">
        <v>0.41</v>
      </c>
    </row>
    <row r="867">
      <c r="A867" t="inlineStr">
        <is>
          <t>O00866</t>
        </is>
      </c>
      <c r="B867" t="inlineStr">
        <is>
          <t>C0004</t>
        </is>
      </c>
      <c r="C867" t="inlineStr">
        <is>
          <t>S009</t>
        </is>
      </c>
      <c r="D867" t="inlineStr">
        <is>
          <t>R039</t>
        </is>
      </c>
      <c r="E867" s="3" t="n">
        <v>46271.55069444444</v>
      </c>
      <c r="F867" s="3" t="n">
        <v>46271.55791666666</v>
      </c>
      <c r="G867" s="3" t="n">
        <v>46271.55729166666</v>
      </c>
      <c r="H867" t="inlineStr">
        <is>
          <t>Delivered</t>
        </is>
      </c>
      <c r="I867" t="n">
        <v>5</v>
      </c>
      <c r="J867" t="n">
        <v>6</v>
      </c>
      <c r="K867" t="n">
        <v>238.08</v>
      </c>
      <c r="L867" t="n">
        <v>2.31</v>
      </c>
      <c r="M867" t="n">
        <v>1.9</v>
      </c>
      <c r="N867" t="n">
        <v>2.6</v>
      </c>
      <c r="O867" t="n">
        <v>5</v>
      </c>
      <c r="P867" t="n">
        <v>10.4</v>
      </c>
      <c r="Q867" t="n">
        <v>9.5</v>
      </c>
      <c r="R867" t="n">
        <v>-0.9</v>
      </c>
      <c r="S867" t="b">
        <v>1</v>
      </c>
      <c r="U867" t="n">
        <v>13</v>
      </c>
      <c r="V867" t="b">
        <v>0</v>
      </c>
      <c r="W867" t="inlineStr">
        <is>
          <t>Light</t>
        </is>
      </c>
      <c r="X867" t="b">
        <v>0</v>
      </c>
      <c r="Y867" t="n">
        <v>0.4</v>
      </c>
    </row>
    <row r="868">
      <c r="A868" t="inlineStr">
        <is>
          <t>O00867</t>
        </is>
      </c>
      <c r="B868" t="inlineStr">
        <is>
          <t>C0067</t>
        </is>
      </c>
      <c r="C868" t="inlineStr">
        <is>
          <t>S017</t>
        </is>
      </c>
      <c r="D868" t="inlineStr">
        <is>
          <t>R048</t>
        </is>
      </c>
      <c r="E868" s="3" t="n">
        <v>46275.40416666667</v>
      </c>
      <c r="F868" s="3" t="n">
        <v>46275.41118055556</v>
      </c>
      <c r="G868" s="3" t="n">
        <v>46275.41069444444</v>
      </c>
      <c r="H868" t="inlineStr">
        <is>
          <t>Delivered</t>
        </is>
      </c>
      <c r="I868" t="n">
        <v>6</v>
      </c>
      <c r="J868" t="n">
        <v>6</v>
      </c>
      <c r="K868" t="n">
        <v>560.54</v>
      </c>
      <c r="L868" t="n">
        <v>2.33</v>
      </c>
      <c r="M868" t="n">
        <v>1.6</v>
      </c>
      <c r="N868" t="n">
        <v>3.4</v>
      </c>
      <c r="O868" t="n">
        <v>4.4</v>
      </c>
      <c r="P868" t="n">
        <v>10.1</v>
      </c>
      <c r="Q868" t="n">
        <v>9.4</v>
      </c>
      <c r="R868" t="n">
        <v>-0.7</v>
      </c>
      <c r="S868" t="b">
        <v>1</v>
      </c>
      <c r="U868" t="n">
        <v>9</v>
      </c>
      <c r="V868" t="b">
        <v>0</v>
      </c>
      <c r="W868" t="inlineStr">
        <is>
          <t>Light</t>
        </is>
      </c>
      <c r="X868" t="b">
        <v>0</v>
      </c>
      <c r="Y868" t="n">
        <v>0.3</v>
      </c>
    </row>
    <row r="869">
      <c r="A869" t="inlineStr">
        <is>
          <t>O00868</t>
        </is>
      </c>
      <c r="B869" t="inlineStr">
        <is>
          <t>C0183</t>
        </is>
      </c>
      <c r="C869" t="inlineStr">
        <is>
          <t>S018</t>
        </is>
      </c>
      <c r="D869" t="inlineStr">
        <is>
          <t>R080</t>
        </is>
      </c>
      <c r="E869" s="3" t="n">
        <v>46271.50486111111</v>
      </c>
      <c r="F869" s="3" t="n">
        <v>46271.51138888889</v>
      </c>
      <c r="G869" s="3" t="n">
        <v>46271.51104166666</v>
      </c>
      <c r="H869" t="inlineStr">
        <is>
          <t>Delivered</t>
        </is>
      </c>
      <c r="I869" t="n">
        <v>3</v>
      </c>
      <c r="J869" t="n">
        <v>5</v>
      </c>
      <c r="K869" t="n">
        <v>337.12</v>
      </c>
      <c r="L869" t="n">
        <v>1.51</v>
      </c>
      <c r="M869" t="n">
        <v>4.4</v>
      </c>
      <c r="N869" t="n">
        <v>1.6</v>
      </c>
      <c r="O869" t="n">
        <v>2.9</v>
      </c>
      <c r="P869" t="n">
        <v>9.4</v>
      </c>
      <c r="Q869" t="n">
        <v>8.9</v>
      </c>
      <c r="R869" t="n">
        <v>-0.5</v>
      </c>
      <c r="S869" t="b">
        <v>1</v>
      </c>
      <c r="U869" t="n">
        <v>12</v>
      </c>
      <c r="V869" t="b">
        <v>0</v>
      </c>
      <c r="X869" t="b">
        <v>0</v>
      </c>
      <c r="Y869" t="n">
        <v>0.47</v>
      </c>
    </row>
    <row r="870">
      <c r="A870" t="inlineStr">
        <is>
          <t>O00869</t>
        </is>
      </c>
      <c r="B870" t="inlineStr">
        <is>
          <t>C0086</t>
        </is>
      </c>
      <c r="C870" t="inlineStr">
        <is>
          <t>S013</t>
        </is>
      </c>
      <c r="D870" t="inlineStr">
        <is>
          <t>R062</t>
        </is>
      </c>
      <c r="E870" s="3" t="n">
        <v>46275.95277777778</v>
      </c>
      <c r="F870" s="3" t="n">
        <v>46275.95770833334</v>
      </c>
      <c r="G870" s="3" t="n">
        <v>46275.96361111111</v>
      </c>
      <c r="H870" t="inlineStr">
        <is>
          <t>Delivered</t>
        </is>
      </c>
      <c r="I870" t="n">
        <v>3</v>
      </c>
      <c r="J870" t="n">
        <v>13</v>
      </c>
      <c r="K870" t="n">
        <v>1423.36</v>
      </c>
      <c r="L870" t="n">
        <v>0.52</v>
      </c>
      <c r="M870" t="n">
        <v>6.2</v>
      </c>
      <c r="N870" t="n">
        <v>5.4</v>
      </c>
      <c r="O870" t="n">
        <v>3.9</v>
      </c>
      <c r="P870" t="n">
        <v>7.1</v>
      </c>
      <c r="Q870" t="n">
        <v>15.6</v>
      </c>
      <c r="R870" t="n">
        <v>8.5</v>
      </c>
      <c r="S870" t="b">
        <v>0</v>
      </c>
      <c r="U870" t="n">
        <v>22</v>
      </c>
      <c r="V870" t="b">
        <v>0</v>
      </c>
      <c r="W870" t="inlineStr">
        <is>
          <t>Heavy</t>
        </is>
      </c>
      <c r="X870" t="b">
        <v>0</v>
      </c>
      <c r="Y870" t="n">
        <v>0.28</v>
      </c>
    </row>
    <row r="871">
      <c r="A871" t="inlineStr">
        <is>
          <t>O00870</t>
        </is>
      </c>
      <c r="B871" t="inlineStr">
        <is>
          <t>C0144</t>
        </is>
      </c>
      <c r="C871" t="inlineStr">
        <is>
          <t>S019</t>
        </is>
      </c>
      <c r="D871" t="inlineStr">
        <is>
          <t>R036</t>
        </is>
      </c>
      <c r="E871" s="3" t="n">
        <v>46269.92638888889</v>
      </c>
      <c r="F871" s="3" t="n">
        <v>46269.93534722222</v>
      </c>
      <c r="G871" s="3" t="n">
        <v>46269.93548611111</v>
      </c>
      <c r="H871" t="inlineStr">
        <is>
          <t>Delivered</t>
        </is>
      </c>
      <c r="I871" t="n">
        <v>6</v>
      </c>
      <c r="J871" t="n">
        <v>7</v>
      </c>
      <c r="K871" t="n">
        <v>1154.52</v>
      </c>
      <c r="L871" t="n">
        <v>2.5</v>
      </c>
      <c r="M871" t="n">
        <v>4.3</v>
      </c>
      <c r="N871" t="n">
        <v>2.6</v>
      </c>
      <c r="O871" t="n">
        <v>6.3</v>
      </c>
      <c r="P871" t="n">
        <v>12.9</v>
      </c>
      <c r="Q871" t="n">
        <v>13.1</v>
      </c>
      <c r="R871" t="n">
        <v>0.2</v>
      </c>
      <c r="S871" t="b">
        <v>0</v>
      </c>
      <c r="U871" t="n">
        <v>22</v>
      </c>
      <c r="V871" t="b">
        <v>0</v>
      </c>
      <c r="X871" t="b">
        <v>0</v>
      </c>
      <c r="Y871" t="n">
        <v>0.35</v>
      </c>
    </row>
    <row r="872">
      <c r="A872" t="inlineStr">
        <is>
          <t>O00871</t>
        </is>
      </c>
      <c r="B872" t="inlineStr">
        <is>
          <t>C0241</t>
        </is>
      </c>
      <c r="C872" t="inlineStr">
        <is>
          <t>S003</t>
        </is>
      </c>
      <c r="D872" t="inlineStr">
        <is>
          <t>R008</t>
        </is>
      </c>
      <c r="E872" s="3" t="n">
        <v>46277.35</v>
      </c>
      <c r="F872" s="3" t="n">
        <v>46277.35645833334</v>
      </c>
      <c r="G872" s="3" t="n">
        <v>46277.35611111111</v>
      </c>
      <c r="H872" t="inlineStr">
        <is>
          <t>Delivered</t>
        </is>
      </c>
      <c r="I872" t="n">
        <v>3</v>
      </c>
      <c r="J872" t="n">
        <v>7</v>
      </c>
      <c r="K872" t="n">
        <v>1604.88</v>
      </c>
      <c r="L872" t="n">
        <v>0.95</v>
      </c>
      <c r="M872" t="n">
        <v>2.8</v>
      </c>
      <c r="N872" t="n">
        <v>3.8</v>
      </c>
      <c r="O872" t="n">
        <v>2.2</v>
      </c>
      <c r="P872" t="n">
        <v>9.300000000000001</v>
      </c>
      <c r="Q872" t="n">
        <v>8.800000000000001</v>
      </c>
      <c r="R872" t="n">
        <v>-0.5</v>
      </c>
      <c r="S872" t="b">
        <v>1</v>
      </c>
      <c r="U872" t="n">
        <v>8</v>
      </c>
      <c r="V872" t="b">
        <v>0</v>
      </c>
      <c r="W872" t="inlineStr">
        <is>
          <t>Light</t>
        </is>
      </c>
      <c r="X872" t="b">
        <v>0</v>
      </c>
      <c r="Y872" t="n">
        <v>0.25</v>
      </c>
    </row>
    <row r="873">
      <c r="A873" t="inlineStr">
        <is>
          <t>O00872</t>
        </is>
      </c>
      <c r="B873" t="inlineStr">
        <is>
          <t>C0243</t>
        </is>
      </c>
      <c r="C873" t="inlineStr">
        <is>
          <t>S003</t>
        </is>
      </c>
      <c r="D873" t="inlineStr">
        <is>
          <t>R033</t>
        </is>
      </c>
      <c r="E873" s="3" t="n">
        <v>46273.99375</v>
      </c>
      <c r="F873" s="3" t="n">
        <v>46274.00076388889</v>
      </c>
      <c r="G873" s="3" t="n">
        <v>46274.00006944445</v>
      </c>
      <c r="H873" t="inlineStr">
        <is>
          <t>Delivered</t>
        </is>
      </c>
      <c r="I873" t="n">
        <v>2</v>
      </c>
      <c r="J873" t="n">
        <v>7</v>
      </c>
      <c r="K873" t="n">
        <v>1586.17</v>
      </c>
      <c r="L873" t="n">
        <v>2.1</v>
      </c>
      <c r="M873" t="n">
        <v>3.3</v>
      </c>
      <c r="N873" t="n">
        <v>1.7</v>
      </c>
      <c r="O873" t="n">
        <v>4.1</v>
      </c>
      <c r="P873" t="n">
        <v>10.1</v>
      </c>
      <c r="Q873" t="n">
        <v>9.1</v>
      </c>
      <c r="R873" t="n">
        <v>-1</v>
      </c>
      <c r="S873" t="b">
        <v>1</v>
      </c>
      <c r="U873" t="n">
        <v>23</v>
      </c>
      <c r="V873" t="b">
        <v>0</v>
      </c>
      <c r="W873" t="inlineStr">
        <is>
          <t>Light</t>
        </is>
      </c>
      <c r="X873" t="b">
        <v>0</v>
      </c>
      <c r="Y873" t="n">
        <v>0.28</v>
      </c>
    </row>
    <row r="874">
      <c r="A874" t="inlineStr">
        <is>
          <t>O00873</t>
        </is>
      </c>
      <c r="B874" t="inlineStr">
        <is>
          <t>C0119</t>
        </is>
      </c>
      <c r="C874" t="inlineStr">
        <is>
          <t>S010</t>
        </is>
      </c>
      <c r="D874" t="inlineStr">
        <is>
          <t>R051</t>
        </is>
      </c>
      <c r="E874" s="3" t="n">
        <v>46273.63402777778</v>
      </c>
      <c r="F874" s="3" t="n">
        <v>46273.64166666667</v>
      </c>
      <c r="G874" s="3" t="n">
        <v>46273.64131944445</v>
      </c>
      <c r="H874" t="inlineStr">
        <is>
          <t>Delivered</t>
        </is>
      </c>
      <c r="I874" t="n">
        <v>1</v>
      </c>
      <c r="J874" t="n">
        <v>8</v>
      </c>
      <c r="K874" t="n">
        <v>672.54</v>
      </c>
      <c r="L874" t="n">
        <v>1.09</v>
      </c>
      <c r="M874" t="n">
        <v>5.4</v>
      </c>
      <c r="N874" t="n">
        <v>2</v>
      </c>
      <c r="O874" t="n">
        <v>3.1</v>
      </c>
      <c r="P874" t="n">
        <v>11</v>
      </c>
      <c r="Q874" t="n">
        <v>10.5</v>
      </c>
      <c r="R874" t="n">
        <v>-0.5</v>
      </c>
      <c r="S874" t="b">
        <v>1</v>
      </c>
      <c r="U874" t="n">
        <v>15</v>
      </c>
      <c r="V874" t="b">
        <v>0</v>
      </c>
      <c r="X874" t="b">
        <v>0</v>
      </c>
      <c r="Y874" t="n">
        <v>0.29</v>
      </c>
    </row>
    <row r="875">
      <c r="A875" t="inlineStr">
        <is>
          <t>O00874</t>
        </is>
      </c>
      <c r="B875" t="inlineStr">
        <is>
          <t>C0234</t>
        </is>
      </c>
      <c r="C875" t="inlineStr">
        <is>
          <t>S008</t>
        </is>
      </c>
      <c r="D875" t="inlineStr">
        <is>
          <t>R070</t>
        </is>
      </c>
      <c r="E875" s="3" t="n">
        <v>46278.90486111111</v>
      </c>
      <c r="F875" s="3" t="n">
        <v>46278.91236111111</v>
      </c>
      <c r="G875" s="3" t="n">
        <v>46278.91173611111</v>
      </c>
      <c r="H875" t="inlineStr">
        <is>
          <t>Delivered</t>
        </is>
      </c>
      <c r="I875" t="n">
        <v>2</v>
      </c>
      <c r="J875" t="n">
        <v>4</v>
      </c>
      <c r="K875" t="n">
        <v>747.85</v>
      </c>
      <c r="L875" t="n">
        <v>2.35</v>
      </c>
      <c r="M875" t="n">
        <v>2.7</v>
      </c>
      <c r="N875" t="n">
        <v>3.8</v>
      </c>
      <c r="O875" t="n">
        <v>3.4</v>
      </c>
      <c r="P875" t="n">
        <v>10.8</v>
      </c>
      <c r="Q875" t="n">
        <v>9.9</v>
      </c>
      <c r="R875" t="n">
        <v>-0.9</v>
      </c>
      <c r="S875" t="b">
        <v>1</v>
      </c>
      <c r="U875" t="n">
        <v>21</v>
      </c>
      <c r="V875" t="b">
        <v>1</v>
      </c>
      <c r="X875" t="b">
        <v>0</v>
      </c>
      <c r="Y875" t="n">
        <v>0.66</v>
      </c>
    </row>
    <row r="876">
      <c r="A876" t="inlineStr">
        <is>
          <t>O00875</t>
        </is>
      </c>
      <c r="B876" t="inlineStr">
        <is>
          <t>C0212</t>
        </is>
      </c>
      <c r="C876" t="inlineStr">
        <is>
          <t>S015</t>
        </is>
      </c>
      <c r="D876" t="inlineStr">
        <is>
          <t>R047</t>
        </is>
      </c>
      <c r="E876" s="3" t="n">
        <v>46269.48333333333</v>
      </c>
      <c r="F876" s="3" t="n">
        <v>46269.49159722222</v>
      </c>
      <c r="G876" s="3" t="n">
        <v>46269.49486111111</v>
      </c>
      <c r="H876" t="inlineStr">
        <is>
          <t>Delivered</t>
        </is>
      </c>
      <c r="I876" t="n">
        <v>3</v>
      </c>
      <c r="J876" t="n">
        <v>9</v>
      </c>
      <c r="K876" t="n">
        <v>458.83</v>
      </c>
      <c r="L876" t="n">
        <v>3.47</v>
      </c>
      <c r="M876" t="n">
        <v>6.2</v>
      </c>
      <c r="N876" t="n">
        <v>2.8</v>
      </c>
      <c r="O876" t="n">
        <v>7.6</v>
      </c>
      <c r="P876" t="n">
        <v>11.9</v>
      </c>
      <c r="Q876" t="n">
        <v>16.6</v>
      </c>
      <c r="R876" t="n">
        <v>4.7</v>
      </c>
      <c r="S876" t="b">
        <v>0</v>
      </c>
      <c r="U876" t="n">
        <v>11</v>
      </c>
      <c r="V876" t="b">
        <v>0</v>
      </c>
      <c r="W876" t="inlineStr">
        <is>
          <t>Light</t>
        </is>
      </c>
      <c r="X876" t="b">
        <v>0</v>
      </c>
      <c r="Y876" t="n">
        <v>0.18</v>
      </c>
    </row>
    <row r="877">
      <c r="A877" t="inlineStr">
        <is>
          <t>O00876</t>
        </is>
      </c>
      <c r="B877" t="inlineStr">
        <is>
          <t>C0204</t>
        </is>
      </c>
      <c r="C877" t="inlineStr">
        <is>
          <t>S011</t>
        </is>
      </c>
      <c r="D877" t="inlineStr">
        <is>
          <t>R037</t>
        </is>
      </c>
      <c r="E877" s="3" t="n">
        <v>46270.82083333333</v>
      </c>
      <c r="F877" s="3" t="n">
        <v>46270.82847222222</v>
      </c>
      <c r="G877" s="3" t="n">
        <v>46270.83826388889</v>
      </c>
      <c r="H877" t="inlineStr">
        <is>
          <t>Delivered</t>
        </is>
      </c>
      <c r="I877" t="n">
        <v>1</v>
      </c>
      <c r="J877" t="n">
        <v>9</v>
      </c>
      <c r="K877" t="n">
        <v>945.45</v>
      </c>
      <c r="L877" t="n">
        <v>3.3</v>
      </c>
      <c r="M877" t="n">
        <v>5.7</v>
      </c>
      <c r="N877" t="n">
        <v>9.699999999999999</v>
      </c>
      <c r="O877" t="n">
        <v>9.800000000000001</v>
      </c>
      <c r="P877" t="n">
        <v>11</v>
      </c>
      <c r="Q877" t="n">
        <v>25.1</v>
      </c>
      <c r="R877" t="n">
        <v>14.1</v>
      </c>
      <c r="S877" t="b">
        <v>0</v>
      </c>
      <c r="U877" t="n">
        <v>19</v>
      </c>
      <c r="V877" t="b">
        <v>1</v>
      </c>
      <c r="X877" t="b">
        <v>0</v>
      </c>
      <c r="Y877" t="n">
        <v>0.59</v>
      </c>
    </row>
    <row r="878">
      <c r="A878" t="inlineStr">
        <is>
          <t>O00877</t>
        </is>
      </c>
      <c r="B878" t="inlineStr">
        <is>
          <t>C0110</t>
        </is>
      </c>
      <c r="C878" t="inlineStr">
        <is>
          <t>S006</t>
        </is>
      </c>
      <c r="D878" t="inlineStr">
        <is>
          <t>R075</t>
        </is>
      </c>
      <c r="E878" s="3" t="n">
        <v>46278.41319444445</v>
      </c>
      <c r="F878" s="3" t="n">
        <v>46278.42041666667</v>
      </c>
      <c r="G878" s="3" t="n">
        <v>46278.41965277777</v>
      </c>
      <c r="H878" t="inlineStr">
        <is>
          <t>Delivered</t>
        </is>
      </c>
      <c r="I878" t="n">
        <v>4</v>
      </c>
      <c r="J878" t="n">
        <v>7</v>
      </c>
      <c r="K878" t="n">
        <v>439.16</v>
      </c>
      <c r="L878" t="n">
        <v>4.42</v>
      </c>
      <c r="M878" t="n">
        <v>2.8</v>
      </c>
      <c r="N878" t="n">
        <v>2.2</v>
      </c>
      <c r="O878" t="n">
        <v>4.3</v>
      </c>
      <c r="P878" t="n">
        <v>10.4</v>
      </c>
      <c r="Q878" t="n">
        <v>9.300000000000001</v>
      </c>
      <c r="R878" t="n">
        <v>-1.1</v>
      </c>
      <c r="S878" t="b">
        <v>1</v>
      </c>
      <c r="U878" t="n">
        <v>9</v>
      </c>
      <c r="V878" t="b">
        <v>0</v>
      </c>
      <c r="X878" t="b">
        <v>0</v>
      </c>
      <c r="Y878" t="n">
        <v>0.49</v>
      </c>
    </row>
    <row r="879">
      <c r="A879" t="inlineStr">
        <is>
          <t>O00878</t>
        </is>
      </c>
      <c r="B879" t="inlineStr">
        <is>
          <t>C0051</t>
        </is>
      </c>
      <c r="C879" t="inlineStr">
        <is>
          <t>S012</t>
        </is>
      </c>
      <c r="D879" t="inlineStr">
        <is>
          <t>R080</t>
        </is>
      </c>
      <c r="E879" s="3" t="n">
        <v>46277.90347222222</v>
      </c>
      <c r="F879" s="3" t="n">
        <v>46277.90979166667</v>
      </c>
      <c r="G879" s="3" t="n">
        <v>46277.90916666666</v>
      </c>
      <c r="H879" t="inlineStr">
        <is>
          <t>Delivered</t>
        </is>
      </c>
      <c r="I879" t="n">
        <v>5</v>
      </c>
      <c r="J879" t="n">
        <v>5</v>
      </c>
      <c r="K879" t="n">
        <v>933.58</v>
      </c>
      <c r="L879" t="n">
        <v>4.66</v>
      </c>
      <c r="M879" t="n">
        <v>2.2</v>
      </c>
      <c r="N879" t="n">
        <v>1.8</v>
      </c>
      <c r="O879" t="n">
        <v>4.2</v>
      </c>
      <c r="P879" t="n">
        <v>9.1</v>
      </c>
      <c r="Q879" t="n">
        <v>8.199999999999999</v>
      </c>
      <c r="R879" t="n">
        <v>-0.9</v>
      </c>
      <c r="S879" t="b">
        <v>1</v>
      </c>
      <c r="U879" t="n">
        <v>21</v>
      </c>
      <c r="V879" t="b">
        <v>1</v>
      </c>
      <c r="W879" t="inlineStr">
        <is>
          <t>Light</t>
        </is>
      </c>
      <c r="X879" t="b">
        <v>0</v>
      </c>
      <c r="Y879" t="n">
        <v>0.51</v>
      </c>
    </row>
    <row r="880">
      <c r="A880" t="inlineStr">
        <is>
          <t>O00879</t>
        </is>
      </c>
      <c r="B880" t="inlineStr">
        <is>
          <t>C0198</t>
        </is>
      </c>
      <c r="C880" t="inlineStr">
        <is>
          <t>S015</t>
        </is>
      </c>
      <c r="D880" t="inlineStr">
        <is>
          <t>R058</t>
        </is>
      </c>
      <c r="E880" s="3" t="n">
        <v>46270.98958333334</v>
      </c>
      <c r="F880" s="3" t="n">
        <v>46270.99597222222</v>
      </c>
      <c r="G880" s="3" t="n">
        <v>46270.99555555556</v>
      </c>
      <c r="H880" t="inlineStr">
        <is>
          <t>Delivered</t>
        </is>
      </c>
      <c r="I880" t="n">
        <v>1</v>
      </c>
      <c r="J880" t="n">
        <v>6</v>
      </c>
      <c r="K880" t="n">
        <v>884.35</v>
      </c>
      <c r="L880" t="n">
        <v>1.98</v>
      </c>
      <c r="M880" t="n">
        <v>2.1</v>
      </c>
      <c r="N880" t="n">
        <v>3.3</v>
      </c>
      <c r="O880" t="n">
        <v>3.2</v>
      </c>
      <c r="P880" t="n">
        <v>9.199999999999999</v>
      </c>
      <c r="Q880" t="n">
        <v>8.6</v>
      </c>
      <c r="R880" t="n">
        <v>-0.6</v>
      </c>
      <c r="S880" t="b">
        <v>1</v>
      </c>
      <c r="U880" t="n">
        <v>23</v>
      </c>
      <c r="V880" t="b">
        <v>0</v>
      </c>
      <c r="X880" t="b">
        <v>0</v>
      </c>
      <c r="Y880" t="n">
        <v>0.71</v>
      </c>
    </row>
    <row r="881">
      <c r="A881" t="inlineStr">
        <is>
          <t>O00880</t>
        </is>
      </c>
      <c r="B881" t="inlineStr">
        <is>
          <t>C0133</t>
        </is>
      </c>
      <c r="C881" t="inlineStr">
        <is>
          <t>S008</t>
        </is>
      </c>
      <c r="D881" t="inlineStr">
        <is>
          <t>R069</t>
        </is>
      </c>
      <c r="E881" s="3" t="n">
        <v>46266.37777777778</v>
      </c>
      <c r="F881" s="3" t="n">
        <v>46266.38527777778</v>
      </c>
      <c r="G881" s="3" t="n">
        <v>46266.38472222222</v>
      </c>
      <c r="H881" t="inlineStr">
        <is>
          <t>Delivered</t>
        </is>
      </c>
      <c r="I881" t="n">
        <v>5</v>
      </c>
      <c r="J881" t="n">
        <v>5</v>
      </c>
      <c r="K881" t="n">
        <v>906.02</v>
      </c>
      <c r="L881" t="n">
        <v>1.66</v>
      </c>
      <c r="M881" t="n">
        <v>3.8</v>
      </c>
      <c r="N881" t="n">
        <v>3.2</v>
      </c>
      <c r="O881" t="n">
        <v>3</v>
      </c>
      <c r="P881" t="n">
        <v>10.8</v>
      </c>
      <c r="Q881" t="n">
        <v>10</v>
      </c>
      <c r="R881" t="n">
        <v>-0.8</v>
      </c>
      <c r="S881" t="b">
        <v>1</v>
      </c>
      <c r="U881" t="n">
        <v>9</v>
      </c>
      <c r="V881" t="b">
        <v>0</v>
      </c>
      <c r="X881" t="b">
        <v>0</v>
      </c>
      <c r="Y881" t="n">
        <v>0.3</v>
      </c>
    </row>
    <row r="882">
      <c r="A882" t="inlineStr">
        <is>
          <t>O00881</t>
        </is>
      </c>
      <c r="B882" t="inlineStr">
        <is>
          <t>C0077</t>
        </is>
      </c>
      <c r="C882" t="inlineStr">
        <is>
          <t>S003</t>
        </is>
      </c>
      <c r="D882" t="inlineStr">
        <is>
          <t>R077</t>
        </is>
      </c>
      <c r="E882" s="3" t="n">
        <v>46269.40138888889</v>
      </c>
      <c r="F882" s="3" t="n">
        <v>46269.40930555556</v>
      </c>
      <c r="G882" s="3" t="n">
        <v>46269.41069444444</v>
      </c>
      <c r="H882" t="inlineStr">
        <is>
          <t>Delivered</t>
        </is>
      </c>
      <c r="I882" t="n">
        <v>5</v>
      </c>
      <c r="J882" t="n">
        <v>7</v>
      </c>
      <c r="K882" t="n">
        <v>1432.69</v>
      </c>
      <c r="L882" t="n">
        <v>2.1</v>
      </c>
      <c r="M882" t="n">
        <v>3.6</v>
      </c>
      <c r="N882" t="n">
        <v>3.6</v>
      </c>
      <c r="O882" t="n">
        <v>6.2</v>
      </c>
      <c r="P882" t="n">
        <v>11.4</v>
      </c>
      <c r="Q882" t="n">
        <v>13.4</v>
      </c>
      <c r="R882" t="n">
        <v>2</v>
      </c>
      <c r="S882" t="b">
        <v>0</v>
      </c>
      <c r="U882" t="n">
        <v>9</v>
      </c>
      <c r="V882" t="b">
        <v>0</v>
      </c>
      <c r="X882" t="b">
        <v>0</v>
      </c>
      <c r="Y882" t="n">
        <v>0.78</v>
      </c>
    </row>
    <row r="883">
      <c r="A883" t="inlineStr">
        <is>
          <t>O00882</t>
        </is>
      </c>
      <c r="B883" t="inlineStr">
        <is>
          <t>C0160</t>
        </is>
      </c>
      <c r="C883" t="inlineStr">
        <is>
          <t>S016</t>
        </is>
      </c>
      <c r="D883" t="inlineStr">
        <is>
          <t>R030</t>
        </is>
      </c>
      <c r="E883" s="3" t="n">
        <v>46271.45833333334</v>
      </c>
      <c r="F883" s="3" t="n">
        <v>46271.46527777778</v>
      </c>
      <c r="G883" s="3" t="n">
        <v>46271.46604166667</v>
      </c>
      <c r="H883" t="inlineStr">
        <is>
          <t>Delivered</t>
        </is>
      </c>
      <c r="I883" t="n">
        <v>2</v>
      </c>
      <c r="J883" t="n">
        <v>8</v>
      </c>
      <c r="K883" t="n">
        <v>1742.12</v>
      </c>
      <c r="L883" t="n">
        <v>1.01</v>
      </c>
      <c r="M883" t="n">
        <v>6.1</v>
      </c>
      <c r="N883" t="n">
        <v>2.4</v>
      </c>
      <c r="O883" t="n">
        <v>2.6</v>
      </c>
      <c r="P883" t="n">
        <v>10</v>
      </c>
      <c r="Q883" t="n">
        <v>11.1</v>
      </c>
      <c r="R883" t="n">
        <v>1.1</v>
      </c>
      <c r="S883" t="b">
        <v>0</v>
      </c>
      <c r="U883" t="n">
        <v>11</v>
      </c>
      <c r="V883" t="b">
        <v>0</v>
      </c>
      <c r="X883" t="b">
        <v>0</v>
      </c>
      <c r="Y883" t="n">
        <v>0.22</v>
      </c>
    </row>
    <row r="884">
      <c r="A884" t="inlineStr">
        <is>
          <t>O00883</t>
        </is>
      </c>
      <c r="B884" t="inlineStr">
        <is>
          <t>C0003</t>
        </is>
      </c>
      <c r="C884" t="inlineStr">
        <is>
          <t>S007</t>
        </is>
      </c>
      <c r="D884" t="inlineStr">
        <is>
          <t>R045</t>
        </is>
      </c>
      <c r="E884" s="3" t="n">
        <v>46271.55347222222</v>
      </c>
      <c r="F884" s="3" t="n">
        <v>46271.56041666667</v>
      </c>
      <c r="G884" s="3" t="n">
        <v>46271.56104166667</v>
      </c>
      <c r="H884" t="inlineStr">
        <is>
          <t>Delivered</t>
        </is>
      </c>
      <c r="I884" t="n">
        <v>1</v>
      </c>
      <c r="J884" t="n">
        <v>7</v>
      </c>
      <c r="K884" t="n">
        <v>723.96</v>
      </c>
      <c r="L884" t="n">
        <v>1.18</v>
      </c>
      <c r="M884" t="n">
        <v>5.6</v>
      </c>
      <c r="N884" t="n">
        <v>1.3</v>
      </c>
      <c r="O884" t="n">
        <v>4</v>
      </c>
      <c r="P884" t="n">
        <v>10</v>
      </c>
      <c r="Q884" t="n">
        <v>10.9</v>
      </c>
      <c r="R884" t="n">
        <v>0.9</v>
      </c>
      <c r="S884" t="b">
        <v>0</v>
      </c>
      <c r="U884" t="n">
        <v>13</v>
      </c>
      <c r="V884" t="b">
        <v>0</v>
      </c>
      <c r="W884" t="inlineStr">
        <is>
          <t>Light</t>
        </is>
      </c>
      <c r="X884" t="b">
        <v>0</v>
      </c>
      <c r="Y884" t="n">
        <v>0.25</v>
      </c>
    </row>
    <row r="885">
      <c r="A885" t="inlineStr">
        <is>
          <t>O00884</t>
        </is>
      </c>
      <c r="B885" t="inlineStr">
        <is>
          <t>C0169</t>
        </is>
      </c>
      <c r="C885" t="inlineStr">
        <is>
          <t>S018</t>
        </is>
      </c>
      <c r="D885" t="inlineStr">
        <is>
          <t>R004</t>
        </is>
      </c>
      <c r="E885" s="3" t="n">
        <v>46276.87361111111</v>
      </c>
      <c r="F885" s="3" t="n">
        <v>46276.88076388889</v>
      </c>
      <c r="G885" s="3" t="n">
        <v>46276.87993055556</v>
      </c>
      <c r="H885" t="inlineStr">
        <is>
          <t>Delivered</t>
        </is>
      </c>
      <c r="I885" t="n">
        <v>6</v>
      </c>
      <c r="J885" t="n">
        <v>7</v>
      </c>
      <c r="K885" t="n">
        <v>912.05</v>
      </c>
      <c r="L885" t="n">
        <v>2.38</v>
      </c>
      <c r="M885" t="n">
        <v>2.9</v>
      </c>
      <c r="N885" t="n">
        <v>1.7</v>
      </c>
      <c r="O885" t="n">
        <v>4.5</v>
      </c>
      <c r="P885" t="n">
        <v>10.3</v>
      </c>
      <c r="Q885" t="n">
        <v>9.1</v>
      </c>
      <c r="R885" t="n">
        <v>-1.2</v>
      </c>
      <c r="S885" t="b">
        <v>1</v>
      </c>
      <c r="U885" t="n">
        <v>20</v>
      </c>
      <c r="V885" t="b">
        <v>1</v>
      </c>
      <c r="W885" t="inlineStr">
        <is>
          <t>Light</t>
        </is>
      </c>
      <c r="X885" t="b">
        <v>0</v>
      </c>
      <c r="Y885" t="n">
        <v>0.48</v>
      </c>
    </row>
    <row r="886">
      <c r="A886" t="inlineStr">
        <is>
          <t>O00885</t>
        </is>
      </c>
      <c r="B886" t="inlineStr">
        <is>
          <t>C0026</t>
        </is>
      </c>
      <c r="C886" t="inlineStr">
        <is>
          <t>S020</t>
        </is>
      </c>
      <c r="D886" t="inlineStr">
        <is>
          <t>R060</t>
        </is>
      </c>
      <c r="E886" s="3" t="n">
        <v>46268.63333333333</v>
      </c>
      <c r="F886" s="3" t="n">
        <v>46268.64097222222</v>
      </c>
      <c r="G886" s="3" t="n">
        <v>46268.64069444445</v>
      </c>
      <c r="H886" t="inlineStr">
        <is>
          <t>Delivered</t>
        </is>
      </c>
      <c r="I886" t="n">
        <v>6</v>
      </c>
      <c r="J886" t="n">
        <v>6</v>
      </c>
      <c r="K886" t="n">
        <v>1449.67</v>
      </c>
      <c r="L886" t="n">
        <v>3.8</v>
      </c>
      <c r="M886" t="n">
        <v>3.5</v>
      </c>
      <c r="N886" t="n">
        <v>1.5</v>
      </c>
      <c r="O886" t="n">
        <v>5.6</v>
      </c>
      <c r="P886" t="n">
        <v>11</v>
      </c>
      <c r="Q886" t="n">
        <v>10.6</v>
      </c>
      <c r="R886" t="n">
        <v>-0.4</v>
      </c>
      <c r="S886" t="b">
        <v>1</v>
      </c>
      <c r="U886" t="n">
        <v>15</v>
      </c>
      <c r="V886" t="b">
        <v>0</v>
      </c>
      <c r="X886" t="b">
        <v>0</v>
      </c>
      <c r="Y886" t="n">
        <v>0.48</v>
      </c>
    </row>
    <row r="887">
      <c r="A887" t="inlineStr">
        <is>
          <t>O00886</t>
        </is>
      </c>
      <c r="B887" t="inlineStr">
        <is>
          <t>C0021</t>
        </is>
      </c>
      <c r="C887" t="inlineStr">
        <is>
          <t>S007</t>
        </is>
      </c>
      <c r="D887" t="inlineStr">
        <is>
          <t>R078</t>
        </is>
      </c>
      <c r="E887" s="3" t="n">
        <v>46267.83611111111</v>
      </c>
      <c r="F887" s="3" t="n">
        <v>46267.8425</v>
      </c>
      <c r="G887" s="3" t="n">
        <v>46267.84597222223</v>
      </c>
      <c r="H887" t="inlineStr">
        <is>
          <t>Delivered</t>
        </is>
      </c>
      <c r="I887" t="n">
        <v>6</v>
      </c>
      <c r="J887" t="n">
        <v>7</v>
      </c>
      <c r="K887" t="n">
        <v>895.29</v>
      </c>
      <c r="L887" t="n">
        <v>0.5</v>
      </c>
      <c r="M887" t="n">
        <v>3.5</v>
      </c>
      <c r="N887" t="n">
        <v>7.5</v>
      </c>
      <c r="O887" t="n">
        <v>3.2</v>
      </c>
      <c r="P887" t="n">
        <v>9.199999999999999</v>
      </c>
      <c r="Q887" t="n">
        <v>14.2</v>
      </c>
      <c r="R887" t="n">
        <v>5</v>
      </c>
      <c r="S887" t="b">
        <v>0</v>
      </c>
      <c r="U887" t="n">
        <v>20</v>
      </c>
      <c r="V887" t="b">
        <v>1</v>
      </c>
      <c r="X887" t="b">
        <v>0</v>
      </c>
      <c r="Y887" t="n">
        <v>0.65</v>
      </c>
    </row>
    <row r="888">
      <c r="A888" t="inlineStr">
        <is>
          <t>O00887</t>
        </is>
      </c>
      <c r="B888" t="inlineStr">
        <is>
          <t>C0228</t>
        </is>
      </c>
      <c r="C888" t="inlineStr">
        <is>
          <t>S003</t>
        </is>
      </c>
      <c r="D888" t="inlineStr">
        <is>
          <t>R080</t>
        </is>
      </c>
      <c r="E888" s="3" t="n">
        <v>46269.71736111111</v>
      </c>
      <c r="F888" s="3" t="n">
        <v>46269.72604166667</v>
      </c>
      <c r="G888" s="3" t="n">
        <v>46269.72361111111</v>
      </c>
      <c r="H888" t="inlineStr">
        <is>
          <t>Delivered</t>
        </is>
      </c>
      <c r="I888" t="n">
        <v>4</v>
      </c>
      <c r="J888" t="n">
        <v>5</v>
      </c>
      <c r="K888" t="n">
        <v>1422.25</v>
      </c>
      <c r="L888" t="n">
        <v>1.69</v>
      </c>
      <c r="M888" t="n">
        <v>3.8</v>
      </c>
      <c r="N888" t="n">
        <v>0.1</v>
      </c>
      <c r="O888" t="n">
        <v>5.1</v>
      </c>
      <c r="P888" t="n">
        <v>12.5</v>
      </c>
      <c r="Q888" t="n">
        <v>9</v>
      </c>
      <c r="R888" t="n">
        <v>-3.5</v>
      </c>
      <c r="S888" t="b">
        <v>1</v>
      </c>
      <c r="U888" t="n">
        <v>17</v>
      </c>
      <c r="V888" t="b">
        <v>0</v>
      </c>
      <c r="X888" t="b">
        <v>0</v>
      </c>
      <c r="Y888" t="n">
        <v>0.47</v>
      </c>
    </row>
    <row r="889">
      <c r="A889" t="inlineStr">
        <is>
          <t>O00888</t>
        </is>
      </c>
      <c r="B889" t="inlineStr">
        <is>
          <t>C0070</t>
        </is>
      </c>
      <c r="C889" t="inlineStr">
        <is>
          <t>S015</t>
        </is>
      </c>
      <c r="D889" t="inlineStr">
        <is>
          <t>R077</t>
        </is>
      </c>
      <c r="E889" s="3" t="n">
        <v>46273.51736111111</v>
      </c>
      <c r="F889" s="3" t="n">
        <v>46273.52472222222</v>
      </c>
      <c r="G889" s="3" t="n">
        <v>46273.525625</v>
      </c>
      <c r="H889" t="inlineStr">
        <is>
          <t>Delivered</t>
        </is>
      </c>
      <c r="I889" t="n">
        <v>1</v>
      </c>
      <c r="J889" t="n">
        <v>1</v>
      </c>
      <c r="K889" t="n">
        <v>1254.09</v>
      </c>
      <c r="L889" t="n">
        <v>0.91</v>
      </c>
      <c r="M889" t="n">
        <v>5</v>
      </c>
      <c r="N889" t="n">
        <v>4.9</v>
      </c>
      <c r="O889" t="n">
        <v>2</v>
      </c>
      <c r="P889" t="n">
        <v>10.6</v>
      </c>
      <c r="Q889" t="n">
        <v>11.9</v>
      </c>
      <c r="R889" t="n">
        <v>1.3</v>
      </c>
      <c r="S889" t="b">
        <v>0</v>
      </c>
      <c r="U889" t="n">
        <v>12</v>
      </c>
      <c r="V889" t="b">
        <v>0</v>
      </c>
      <c r="X889" t="b">
        <v>0</v>
      </c>
      <c r="Y889" t="n">
        <v>0</v>
      </c>
    </row>
    <row r="890">
      <c r="A890" t="inlineStr">
        <is>
          <t>O00889</t>
        </is>
      </c>
      <c r="B890" t="inlineStr">
        <is>
          <t>C0163</t>
        </is>
      </c>
      <c r="C890" t="inlineStr">
        <is>
          <t>S013</t>
        </is>
      </c>
      <c r="D890" t="inlineStr">
        <is>
          <t>R070</t>
        </is>
      </c>
      <c r="E890" s="3" t="n">
        <v>46275.79583333333</v>
      </c>
      <c r="F890" s="3" t="n">
        <v>46275.80125</v>
      </c>
      <c r="G890" s="3" t="n">
        <v>46275.80041666667</v>
      </c>
      <c r="H890" t="inlineStr">
        <is>
          <t>Delivered</t>
        </is>
      </c>
      <c r="I890" t="n">
        <v>6</v>
      </c>
      <c r="J890" t="n">
        <v>7</v>
      </c>
      <c r="K890" t="n">
        <v>1354.09</v>
      </c>
      <c r="L890" t="n">
        <v>0.5</v>
      </c>
      <c r="M890" t="n">
        <v>2.3</v>
      </c>
      <c r="N890" t="n">
        <v>2.9</v>
      </c>
      <c r="O890" t="n">
        <v>1.4</v>
      </c>
      <c r="P890" t="n">
        <v>7.8</v>
      </c>
      <c r="Q890" t="n">
        <v>6.6</v>
      </c>
      <c r="R890" t="n">
        <v>-1.2</v>
      </c>
      <c r="S890" t="b">
        <v>1</v>
      </c>
      <c r="U890" t="n">
        <v>19</v>
      </c>
      <c r="V890" t="b">
        <v>1</v>
      </c>
      <c r="X890" t="b">
        <v>0</v>
      </c>
      <c r="Y890" t="n">
        <v>0.6899999999999999</v>
      </c>
    </row>
    <row r="891">
      <c r="A891" t="inlineStr">
        <is>
          <t>O00890</t>
        </is>
      </c>
      <c r="B891" t="inlineStr">
        <is>
          <t>C0185</t>
        </is>
      </c>
      <c r="C891" t="inlineStr">
        <is>
          <t>S005</t>
        </is>
      </c>
      <c r="D891" t="inlineStr">
        <is>
          <t>R059</t>
        </is>
      </c>
      <c r="E891" s="3" t="n">
        <v>46278.42291666667</v>
      </c>
      <c r="F891" s="3" t="n">
        <v>46278.43055555555</v>
      </c>
      <c r="G891" s="3" t="n">
        <v>46278.42979166667</v>
      </c>
      <c r="H891" t="inlineStr">
        <is>
          <t>Delivered</t>
        </is>
      </c>
      <c r="I891" t="n">
        <v>5</v>
      </c>
      <c r="J891" t="n">
        <v>12</v>
      </c>
      <c r="K891" t="n">
        <v>1347.82</v>
      </c>
      <c r="L891" t="n">
        <v>1.56</v>
      </c>
      <c r="M891" t="n">
        <v>3.5</v>
      </c>
      <c r="N891" t="n">
        <v>3.9</v>
      </c>
      <c r="O891" t="n">
        <v>2.5</v>
      </c>
      <c r="P891" t="n">
        <v>11</v>
      </c>
      <c r="Q891" t="n">
        <v>9.9</v>
      </c>
      <c r="R891" t="n">
        <v>-1.1</v>
      </c>
      <c r="S891" t="b">
        <v>1</v>
      </c>
      <c r="U891" t="n">
        <v>10</v>
      </c>
      <c r="V891" t="b">
        <v>0</v>
      </c>
      <c r="X891" t="b">
        <v>0</v>
      </c>
      <c r="Y891" t="n">
        <v>0.42</v>
      </c>
    </row>
    <row r="892">
      <c r="A892" t="inlineStr">
        <is>
          <t>O00891</t>
        </is>
      </c>
      <c r="B892" t="inlineStr">
        <is>
          <t>C0012</t>
        </is>
      </c>
      <c r="C892" t="inlineStr">
        <is>
          <t>S016</t>
        </is>
      </c>
      <c r="D892" t="inlineStr">
        <is>
          <t>R045</t>
        </is>
      </c>
      <c r="E892" s="3" t="n">
        <v>46270.88888888889</v>
      </c>
      <c r="F892" s="3" t="n">
        <v>46270.89548611111</v>
      </c>
      <c r="G892" s="3" t="n">
        <v>46270.89479166667</v>
      </c>
      <c r="H892" t="inlineStr">
        <is>
          <t>Delivered</t>
        </is>
      </c>
      <c r="I892" t="n">
        <v>2</v>
      </c>
      <c r="J892" t="n">
        <v>7</v>
      </c>
      <c r="K892" t="n">
        <v>1469.63</v>
      </c>
      <c r="L892" t="n">
        <v>2.5</v>
      </c>
      <c r="M892" t="n">
        <v>3.1</v>
      </c>
      <c r="N892" t="n">
        <v>1.9</v>
      </c>
      <c r="O892" t="n">
        <v>3.5</v>
      </c>
      <c r="P892" t="n">
        <v>9.5</v>
      </c>
      <c r="Q892" t="n">
        <v>8.5</v>
      </c>
      <c r="R892" t="n">
        <v>-1</v>
      </c>
      <c r="S892" t="b">
        <v>1</v>
      </c>
      <c r="U892" t="n">
        <v>21</v>
      </c>
      <c r="V892" t="b">
        <v>1</v>
      </c>
      <c r="X892" t="b">
        <v>0</v>
      </c>
      <c r="Y892" t="n">
        <v>0.8</v>
      </c>
    </row>
    <row r="893">
      <c r="A893" t="inlineStr">
        <is>
          <t>O00892</t>
        </is>
      </c>
      <c r="B893" t="inlineStr">
        <is>
          <t>C0016</t>
        </is>
      </c>
      <c r="C893" t="inlineStr">
        <is>
          <t>S007</t>
        </is>
      </c>
      <c r="D893" t="inlineStr">
        <is>
          <t>R020</t>
        </is>
      </c>
      <c r="E893" s="3" t="n">
        <v>46278.39930555555</v>
      </c>
      <c r="F893" s="3" t="n">
        <v>46278.40645833333</v>
      </c>
      <c r="G893" s="3" t="n">
        <v>46278.40618055555</v>
      </c>
      <c r="H893" t="inlineStr">
        <is>
          <t>Delivered</t>
        </is>
      </c>
      <c r="I893" t="n">
        <v>2</v>
      </c>
      <c r="J893" t="n">
        <v>4</v>
      </c>
      <c r="K893" t="n">
        <v>187.46</v>
      </c>
      <c r="L893" t="n">
        <v>1.31</v>
      </c>
      <c r="M893" t="n">
        <v>3.1</v>
      </c>
      <c r="N893" t="n">
        <v>4.6</v>
      </c>
      <c r="O893" t="n">
        <v>2.2</v>
      </c>
      <c r="P893" t="n">
        <v>10.3</v>
      </c>
      <c r="Q893" t="n">
        <v>9.9</v>
      </c>
      <c r="R893" t="n">
        <v>-0.4</v>
      </c>
      <c r="S893" t="b">
        <v>1</v>
      </c>
      <c r="U893" t="n">
        <v>9</v>
      </c>
      <c r="V893" t="b">
        <v>0</v>
      </c>
      <c r="X893" t="b">
        <v>0</v>
      </c>
      <c r="Y893" t="n">
        <v>0.19</v>
      </c>
    </row>
    <row r="894">
      <c r="A894" t="inlineStr">
        <is>
          <t>O00893</t>
        </is>
      </c>
      <c r="B894" t="inlineStr">
        <is>
          <t>C0198</t>
        </is>
      </c>
      <c r="C894" t="inlineStr">
        <is>
          <t>S015</t>
        </is>
      </c>
      <c r="D894" t="inlineStr">
        <is>
          <t>R027</t>
        </is>
      </c>
      <c r="E894" s="3" t="n">
        <v>46275.72986111111</v>
      </c>
      <c r="F894" s="3" t="n">
        <v>46275.73736111111</v>
      </c>
      <c r="G894" s="3" t="n">
        <v>46275.73680555556</v>
      </c>
      <c r="H894" t="inlineStr">
        <is>
          <t>Delivered</t>
        </is>
      </c>
      <c r="I894" t="n">
        <v>5</v>
      </c>
      <c r="J894" t="n">
        <v>6</v>
      </c>
      <c r="K894" t="n">
        <v>1065.25</v>
      </c>
      <c r="L894" t="n">
        <v>0.74</v>
      </c>
      <c r="M894" t="n">
        <v>3.1</v>
      </c>
      <c r="N894" t="n">
        <v>5.7</v>
      </c>
      <c r="O894" t="n">
        <v>1.2</v>
      </c>
      <c r="P894" t="n">
        <v>10.8</v>
      </c>
      <c r="Q894" t="n">
        <v>10</v>
      </c>
      <c r="R894" t="n">
        <v>-0.8</v>
      </c>
      <c r="S894" t="b">
        <v>1</v>
      </c>
      <c r="U894" t="n">
        <v>17</v>
      </c>
      <c r="V894" t="b">
        <v>0</v>
      </c>
      <c r="X894" t="b">
        <v>0</v>
      </c>
      <c r="Y894" t="n">
        <v>0.22</v>
      </c>
    </row>
    <row r="895">
      <c r="A895" t="inlineStr">
        <is>
          <t>O00894</t>
        </is>
      </c>
      <c r="B895" t="inlineStr">
        <is>
          <t>C0240</t>
        </is>
      </c>
      <c r="C895" t="inlineStr">
        <is>
          <t>S020</t>
        </is>
      </c>
      <c r="D895" t="inlineStr">
        <is>
          <t>R054</t>
        </is>
      </c>
      <c r="E895" s="3" t="n">
        <v>46275.56527777778</v>
      </c>
      <c r="F895" s="3" t="n">
        <v>46275.57416666667</v>
      </c>
      <c r="G895" s="3" t="n">
        <v>46275.57347222222</v>
      </c>
      <c r="H895" t="inlineStr">
        <is>
          <t>Delivered</t>
        </is>
      </c>
      <c r="I895" t="n">
        <v>6</v>
      </c>
      <c r="J895" t="n">
        <v>8</v>
      </c>
      <c r="K895" t="n">
        <v>1497.76</v>
      </c>
      <c r="L895" t="n">
        <v>3.8</v>
      </c>
      <c r="M895" t="n">
        <v>3.2</v>
      </c>
      <c r="N895" t="n">
        <v>3.4</v>
      </c>
      <c r="O895" t="n">
        <v>5.2</v>
      </c>
      <c r="P895" t="n">
        <v>12.8</v>
      </c>
      <c r="Q895" t="n">
        <v>11.8</v>
      </c>
      <c r="R895" t="n">
        <v>-1</v>
      </c>
      <c r="S895" t="b">
        <v>1</v>
      </c>
      <c r="U895" t="n">
        <v>13</v>
      </c>
      <c r="V895" t="b">
        <v>0</v>
      </c>
      <c r="X895" t="b">
        <v>0</v>
      </c>
      <c r="Y895" t="n">
        <v>0.46</v>
      </c>
    </row>
    <row r="896">
      <c r="A896" t="inlineStr">
        <is>
          <t>O00895</t>
        </is>
      </c>
      <c r="B896" t="inlineStr">
        <is>
          <t>C0222</t>
        </is>
      </c>
      <c r="C896" t="inlineStr">
        <is>
          <t>S010</t>
        </is>
      </c>
      <c r="D896" t="inlineStr">
        <is>
          <t>R036</t>
        </is>
      </c>
      <c r="E896" s="3" t="n">
        <v>46279.89305555556</v>
      </c>
      <c r="F896" s="3" t="n">
        <v>46279.89958333333</v>
      </c>
      <c r="G896" s="3" t="n">
        <v>46279.90541666667</v>
      </c>
      <c r="H896" t="inlineStr">
        <is>
          <t>Delivered</t>
        </is>
      </c>
      <c r="I896" t="n">
        <v>4</v>
      </c>
      <c r="J896" t="n">
        <v>8</v>
      </c>
      <c r="K896" t="n">
        <v>1149.81</v>
      </c>
      <c r="L896" t="n">
        <v>1.55</v>
      </c>
      <c r="M896" t="n">
        <v>6.7</v>
      </c>
      <c r="N896" t="n">
        <v>3.8</v>
      </c>
      <c r="O896" t="n">
        <v>7.3</v>
      </c>
      <c r="P896" t="n">
        <v>9.4</v>
      </c>
      <c r="Q896" t="n">
        <v>17.8</v>
      </c>
      <c r="R896" t="n">
        <v>8.4</v>
      </c>
      <c r="S896" t="b">
        <v>0</v>
      </c>
      <c r="U896" t="n">
        <v>21</v>
      </c>
      <c r="V896" t="b">
        <v>1</v>
      </c>
      <c r="W896" t="inlineStr">
        <is>
          <t>Light</t>
        </is>
      </c>
      <c r="X896" t="b">
        <v>0</v>
      </c>
      <c r="Y896" t="n">
        <v>0.9</v>
      </c>
    </row>
    <row r="897">
      <c r="A897" t="inlineStr">
        <is>
          <t>O00896</t>
        </is>
      </c>
      <c r="B897" t="inlineStr">
        <is>
          <t>C0208</t>
        </is>
      </c>
      <c r="C897" t="inlineStr">
        <is>
          <t>S007</t>
        </is>
      </c>
      <c r="D897" t="inlineStr">
        <is>
          <t>R067</t>
        </is>
      </c>
      <c r="E897" s="3" t="n">
        <v>46269.78888888889</v>
      </c>
      <c r="F897" s="3" t="n">
        <v>46269.79520833334</v>
      </c>
      <c r="G897" s="3" t="n">
        <v>46269.79875</v>
      </c>
      <c r="H897" t="inlineStr">
        <is>
          <t>Delivered</t>
        </is>
      </c>
      <c r="I897" t="n">
        <v>6</v>
      </c>
      <c r="J897" t="n">
        <v>10</v>
      </c>
      <c r="K897" t="n">
        <v>519.8200000000001</v>
      </c>
      <c r="L897" t="n">
        <v>2.17</v>
      </c>
      <c r="M897" t="n">
        <v>5.5</v>
      </c>
      <c r="N897" t="n">
        <v>1.4</v>
      </c>
      <c r="O897" t="n">
        <v>7.3</v>
      </c>
      <c r="P897" t="n">
        <v>9.1</v>
      </c>
      <c r="Q897" t="n">
        <v>14.2</v>
      </c>
      <c r="R897" t="n">
        <v>5.1</v>
      </c>
      <c r="S897" t="b">
        <v>0</v>
      </c>
      <c r="U897" t="n">
        <v>18</v>
      </c>
      <c r="V897" t="b">
        <v>0</v>
      </c>
      <c r="W897" t="inlineStr">
        <is>
          <t>Heavy</t>
        </is>
      </c>
      <c r="X897" t="b">
        <v>0</v>
      </c>
      <c r="Y897" t="n">
        <v>0.16</v>
      </c>
    </row>
    <row r="898">
      <c r="A898" t="inlineStr">
        <is>
          <t>O00897</t>
        </is>
      </c>
      <c r="B898" t="inlineStr">
        <is>
          <t>C0156</t>
        </is>
      </c>
      <c r="C898" t="inlineStr">
        <is>
          <t>S005</t>
        </is>
      </c>
      <c r="D898" t="inlineStr">
        <is>
          <t>R031</t>
        </is>
      </c>
      <c r="E898" s="3" t="n">
        <v>46268.95972222222</v>
      </c>
      <c r="F898" s="3" t="n">
        <v>46268.9675</v>
      </c>
      <c r="G898" s="3" t="n">
        <v>46268.97479166667</v>
      </c>
      <c r="H898" t="inlineStr">
        <is>
          <t>Delivered</t>
        </is>
      </c>
      <c r="I898" t="n">
        <v>4</v>
      </c>
      <c r="J898" t="n">
        <v>8</v>
      </c>
      <c r="K898" t="n">
        <v>1181.2</v>
      </c>
      <c r="L898" t="n">
        <v>1.97</v>
      </c>
      <c r="M898" t="n">
        <v>6</v>
      </c>
      <c r="N898" t="n">
        <v>10.3</v>
      </c>
      <c r="O898" t="n">
        <v>5.4</v>
      </c>
      <c r="P898" t="n">
        <v>11.2</v>
      </c>
      <c r="Q898" t="n">
        <v>21.7</v>
      </c>
      <c r="R898" t="n">
        <v>10.5</v>
      </c>
      <c r="S898" t="b">
        <v>0</v>
      </c>
      <c r="U898" t="n">
        <v>23</v>
      </c>
      <c r="V898" t="b">
        <v>0</v>
      </c>
      <c r="X898" t="b">
        <v>0</v>
      </c>
      <c r="Y898" t="n">
        <v>0.65</v>
      </c>
    </row>
    <row r="899">
      <c r="A899" t="inlineStr">
        <is>
          <t>O00898</t>
        </is>
      </c>
      <c r="B899" t="inlineStr">
        <is>
          <t>C0015</t>
        </is>
      </c>
      <c r="C899" t="inlineStr">
        <is>
          <t>S015</t>
        </is>
      </c>
      <c r="D899" t="inlineStr">
        <is>
          <t>R018</t>
        </is>
      </c>
      <c r="E899" s="3" t="n">
        <v>46268.74930555555</v>
      </c>
      <c r="F899" s="3" t="n">
        <v>46268.75729166667</v>
      </c>
      <c r="G899" s="3" t="n">
        <v>46268.76034722223</v>
      </c>
      <c r="H899" t="inlineStr">
        <is>
          <t>Delivered</t>
        </is>
      </c>
      <c r="I899" t="n">
        <v>1</v>
      </c>
      <c r="J899" t="n">
        <v>5</v>
      </c>
      <c r="K899" t="n">
        <v>1274.79</v>
      </c>
      <c r="L899" t="n">
        <v>1.79</v>
      </c>
      <c r="M899" t="n">
        <v>5.4</v>
      </c>
      <c r="N899" t="n">
        <v>5.3</v>
      </c>
      <c r="O899" t="n">
        <v>5.2</v>
      </c>
      <c r="P899" t="n">
        <v>11.5</v>
      </c>
      <c r="Q899" t="n">
        <v>15.9</v>
      </c>
      <c r="R899" t="n">
        <v>4.4</v>
      </c>
      <c r="S899" t="b">
        <v>0</v>
      </c>
      <c r="U899" t="n">
        <v>17</v>
      </c>
      <c r="V899" t="b">
        <v>0</v>
      </c>
      <c r="X899" t="b">
        <v>0</v>
      </c>
      <c r="Y899" t="n">
        <v>0.66</v>
      </c>
    </row>
    <row r="900">
      <c r="A900" t="inlineStr">
        <is>
          <t>O00899</t>
        </is>
      </c>
      <c r="B900" t="inlineStr">
        <is>
          <t>C0011</t>
        </is>
      </c>
      <c r="C900" t="inlineStr">
        <is>
          <t>S002</t>
        </is>
      </c>
      <c r="D900" t="inlineStr">
        <is>
          <t>R042</t>
        </is>
      </c>
      <c r="E900" s="3" t="n">
        <v>46272.43888888889</v>
      </c>
      <c r="F900" s="3" t="n">
        <v>46272.44604166667</v>
      </c>
      <c r="G900" s="3" t="n">
        <v>46272.44541666667</v>
      </c>
      <c r="H900" t="inlineStr">
        <is>
          <t>Delivered</t>
        </is>
      </c>
      <c r="I900" t="n">
        <v>1</v>
      </c>
      <c r="J900" t="n">
        <v>6</v>
      </c>
      <c r="K900" t="n">
        <v>807.66</v>
      </c>
      <c r="L900" t="n">
        <v>2.57</v>
      </c>
      <c r="M900" t="n">
        <v>2.3</v>
      </c>
      <c r="N900" t="n">
        <v>1.6</v>
      </c>
      <c r="O900" t="n">
        <v>5.5</v>
      </c>
      <c r="P900" t="n">
        <v>10.3</v>
      </c>
      <c r="Q900" t="n">
        <v>9.4</v>
      </c>
      <c r="R900" t="n">
        <v>-0.9</v>
      </c>
      <c r="S900" t="b">
        <v>1</v>
      </c>
      <c r="U900" t="n">
        <v>10</v>
      </c>
      <c r="V900" t="b">
        <v>0</v>
      </c>
      <c r="W900" t="inlineStr">
        <is>
          <t>Light</t>
        </is>
      </c>
      <c r="X900" t="b">
        <v>0</v>
      </c>
      <c r="Y900" t="n">
        <v>0.53</v>
      </c>
    </row>
    <row r="901">
      <c r="A901" t="inlineStr">
        <is>
          <t>O00900</t>
        </is>
      </c>
      <c r="B901" t="inlineStr">
        <is>
          <t>C0047</t>
        </is>
      </c>
      <c r="C901" t="inlineStr">
        <is>
          <t>S018</t>
        </is>
      </c>
      <c r="D901" t="inlineStr">
        <is>
          <t>R038</t>
        </is>
      </c>
      <c r="E901" s="3" t="n">
        <v>46276.44305555556</v>
      </c>
      <c r="F901" s="3" t="n">
        <v>46276.44965277778</v>
      </c>
      <c r="G901" s="3" t="n">
        <v>46276.44923611111</v>
      </c>
      <c r="H901" t="inlineStr">
        <is>
          <t>Delivered</t>
        </is>
      </c>
      <c r="I901" t="n">
        <v>3</v>
      </c>
      <c r="J901" t="n">
        <v>8</v>
      </c>
      <c r="K901" t="n">
        <v>1489.94</v>
      </c>
      <c r="L901" t="n">
        <v>1.72</v>
      </c>
      <c r="M901" t="n">
        <v>3.2</v>
      </c>
      <c r="N901" t="n">
        <v>3.6</v>
      </c>
      <c r="O901" t="n">
        <v>2.1</v>
      </c>
      <c r="P901" t="n">
        <v>9.5</v>
      </c>
      <c r="Q901" t="n">
        <v>8.9</v>
      </c>
      <c r="R901" t="n">
        <v>-0.6</v>
      </c>
      <c r="S901" t="b">
        <v>1</v>
      </c>
      <c r="U901" t="n">
        <v>10</v>
      </c>
      <c r="V901" t="b">
        <v>0</v>
      </c>
      <c r="X901" t="b">
        <v>0</v>
      </c>
      <c r="Y901" t="n">
        <v>0.32</v>
      </c>
    </row>
    <row r="902">
      <c r="A902" t="inlineStr">
        <is>
          <t>O00901</t>
        </is>
      </c>
      <c r="B902" t="inlineStr">
        <is>
          <t>C0142</t>
        </is>
      </c>
      <c r="C902" t="inlineStr">
        <is>
          <t>S011</t>
        </is>
      </c>
      <c r="D902" t="inlineStr">
        <is>
          <t>R076</t>
        </is>
      </c>
      <c r="E902" s="3" t="n">
        <v>46270.41944444444</v>
      </c>
      <c r="F902" s="3" t="n">
        <v>46270.42583333333</v>
      </c>
      <c r="G902" s="3" t="n">
        <v>46270.42527777778</v>
      </c>
      <c r="H902" t="inlineStr">
        <is>
          <t>Delivered</t>
        </is>
      </c>
      <c r="I902" t="n">
        <v>2</v>
      </c>
      <c r="J902" t="n">
        <v>5</v>
      </c>
      <c r="K902" t="n">
        <v>715.35</v>
      </c>
      <c r="L902" t="n">
        <v>0.97</v>
      </c>
      <c r="M902" t="n">
        <v>4.2</v>
      </c>
      <c r="N902" t="n">
        <v>1.9</v>
      </c>
      <c r="O902" t="n">
        <v>2.3</v>
      </c>
      <c r="P902" t="n">
        <v>9.199999999999999</v>
      </c>
      <c r="Q902" t="n">
        <v>8.4</v>
      </c>
      <c r="R902" t="n">
        <v>-0.8</v>
      </c>
      <c r="S902" t="b">
        <v>1</v>
      </c>
      <c r="U902" t="n">
        <v>10</v>
      </c>
      <c r="V902" t="b">
        <v>0</v>
      </c>
      <c r="X902" t="b">
        <v>0</v>
      </c>
      <c r="Y902" t="n">
        <v>0.5600000000000001</v>
      </c>
    </row>
    <row r="903">
      <c r="A903" t="inlineStr">
        <is>
          <t>O00902</t>
        </is>
      </c>
      <c r="B903" t="inlineStr">
        <is>
          <t>C0096</t>
        </is>
      </c>
      <c r="C903" t="inlineStr">
        <is>
          <t>S001</t>
        </is>
      </c>
      <c r="D903" t="inlineStr">
        <is>
          <t>R058</t>
        </is>
      </c>
      <c r="E903" s="3" t="n">
        <v>46274.50138888889</v>
      </c>
      <c r="F903" s="3" t="n">
        <v>46274.50861111111</v>
      </c>
      <c r="G903" s="3" t="n">
        <v>46274.51243055556</v>
      </c>
      <c r="H903" t="inlineStr">
        <is>
          <t>Delivered</t>
        </is>
      </c>
      <c r="I903" t="n">
        <v>4</v>
      </c>
      <c r="J903" t="n">
        <v>6</v>
      </c>
      <c r="K903" t="n">
        <v>264.14</v>
      </c>
      <c r="L903" t="n">
        <v>1.52</v>
      </c>
      <c r="M903" t="n">
        <v>5.8</v>
      </c>
      <c r="N903" t="n">
        <v>4.5</v>
      </c>
      <c r="O903" t="n">
        <v>5.6</v>
      </c>
      <c r="P903" t="n">
        <v>10.4</v>
      </c>
      <c r="Q903" t="n">
        <v>15.9</v>
      </c>
      <c r="R903" t="n">
        <v>5.5</v>
      </c>
      <c r="S903" t="b">
        <v>0</v>
      </c>
      <c r="U903" t="n">
        <v>12</v>
      </c>
      <c r="V903" t="b">
        <v>0</v>
      </c>
      <c r="X903" t="b">
        <v>0</v>
      </c>
      <c r="Y903" t="n">
        <v>0.68</v>
      </c>
    </row>
    <row r="904">
      <c r="A904" t="inlineStr">
        <is>
          <t>O00903</t>
        </is>
      </c>
      <c r="B904" t="inlineStr">
        <is>
          <t>C0039</t>
        </is>
      </c>
      <c r="C904" t="inlineStr">
        <is>
          <t>S016</t>
        </is>
      </c>
      <c r="D904" t="inlineStr">
        <is>
          <t>R022</t>
        </is>
      </c>
      <c r="E904" s="3" t="n">
        <v>46272.50972222222</v>
      </c>
      <c r="F904" s="3" t="n">
        <v>46272.51652777778</v>
      </c>
      <c r="G904" s="3" t="n">
        <v>46272.51534722222</v>
      </c>
      <c r="H904" t="inlineStr">
        <is>
          <t>Delivered</t>
        </is>
      </c>
      <c r="I904" t="n">
        <v>4</v>
      </c>
      <c r="J904" t="n">
        <v>8</v>
      </c>
      <c r="K904" t="n">
        <v>732.86</v>
      </c>
      <c r="L904" t="n">
        <v>1.4</v>
      </c>
      <c r="M904" t="n">
        <v>4.2</v>
      </c>
      <c r="N904" t="n">
        <v>0</v>
      </c>
      <c r="O904" t="n">
        <v>3.9</v>
      </c>
      <c r="P904" t="n">
        <v>9.800000000000001</v>
      </c>
      <c r="Q904" t="n">
        <v>8.1</v>
      </c>
      <c r="R904" t="n">
        <v>-1.7</v>
      </c>
      <c r="S904" t="b">
        <v>1</v>
      </c>
      <c r="U904" t="n">
        <v>12</v>
      </c>
      <c r="V904" t="b">
        <v>0</v>
      </c>
      <c r="X904" t="b">
        <v>0</v>
      </c>
      <c r="Y904" t="n">
        <v>0.17</v>
      </c>
    </row>
    <row r="905">
      <c r="A905" t="inlineStr">
        <is>
          <t>O00904</t>
        </is>
      </c>
      <c r="B905" t="inlineStr">
        <is>
          <t>C0060</t>
        </is>
      </c>
      <c r="C905" t="inlineStr">
        <is>
          <t>S009</t>
        </is>
      </c>
      <c r="D905" t="inlineStr">
        <is>
          <t>R038</t>
        </is>
      </c>
      <c r="E905" s="3" t="n">
        <v>46272.89861111111</v>
      </c>
      <c r="F905" s="3" t="n">
        <v>46272.90625</v>
      </c>
      <c r="G905" s="3" t="n">
        <v>46272.90597222222</v>
      </c>
      <c r="H905" t="inlineStr">
        <is>
          <t>Delivered</t>
        </is>
      </c>
      <c r="I905" t="n">
        <v>1</v>
      </c>
      <c r="J905" t="n">
        <v>9</v>
      </c>
      <c r="K905" t="n">
        <v>1266.13</v>
      </c>
      <c r="L905" t="n">
        <v>1.98</v>
      </c>
      <c r="M905" t="n">
        <v>2.3</v>
      </c>
      <c r="N905" t="n">
        <v>5.4</v>
      </c>
      <c r="O905" t="n">
        <v>2.9</v>
      </c>
      <c r="P905" t="n">
        <v>11</v>
      </c>
      <c r="Q905" t="n">
        <v>10.6</v>
      </c>
      <c r="R905" t="n">
        <v>-0.4</v>
      </c>
      <c r="S905" t="b">
        <v>1</v>
      </c>
      <c r="U905" t="n">
        <v>21</v>
      </c>
      <c r="V905" t="b">
        <v>1</v>
      </c>
      <c r="X905" t="b">
        <v>0</v>
      </c>
      <c r="Y905" t="n">
        <v>0.49</v>
      </c>
    </row>
    <row r="906">
      <c r="A906" t="inlineStr">
        <is>
          <t>O00905</t>
        </is>
      </c>
      <c r="B906" t="inlineStr">
        <is>
          <t>C0026</t>
        </is>
      </c>
      <c r="C906" t="inlineStr">
        <is>
          <t>S005</t>
        </is>
      </c>
      <c r="D906" t="inlineStr">
        <is>
          <t>R060</t>
        </is>
      </c>
      <c r="E906" s="3" t="n">
        <v>46275.43541666667</v>
      </c>
      <c r="F906" s="3" t="n">
        <v>46275.44118055556</v>
      </c>
      <c r="G906" s="3" t="n">
        <v>46275.440625</v>
      </c>
      <c r="H906" t="inlineStr">
        <is>
          <t>Delivered</t>
        </is>
      </c>
      <c r="I906" t="n">
        <v>5</v>
      </c>
      <c r="J906" t="n">
        <v>9</v>
      </c>
      <c r="K906" t="n">
        <v>1600.13</v>
      </c>
      <c r="L906" t="n">
        <v>0.93</v>
      </c>
      <c r="M906" t="n">
        <v>3.8</v>
      </c>
      <c r="N906" t="n">
        <v>1.8</v>
      </c>
      <c r="O906" t="n">
        <v>1.9</v>
      </c>
      <c r="P906" t="n">
        <v>8.300000000000001</v>
      </c>
      <c r="Q906" t="n">
        <v>7.5</v>
      </c>
      <c r="R906" t="n">
        <v>-0.8</v>
      </c>
      <c r="S906" t="b">
        <v>1</v>
      </c>
      <c r="U906" t="n">
        <v>10</v>
      </c>
      <c r="V906" t="b">
        <v>0</v>
      </c>
      <c r="X906" t="b">
        <v>0</v>
      </c>
      <c r="Y906" t="n">
        <v>0.43</v>
      </c>
    </row>
    <row r="907">
      <c r="A907" t="inlineStr">
        <is>
          <t>O00906</t>
        </is>
      </c>
      <c r="B907" t="inlineStr">
        <is>
          <t>C0238</t>
        </is>
      </c>
      <c r="C907" t="inlineStr">
        <is>
          <t>S011</t>
        </is>
      </c>
      <c r="D907" t="inlineStr">
        <is>
          <t>R074</t>
        </is>
      </c>
      <c r="E907" s="3" t="n">
        <v>46270.69583333333</v>
      </c>
      <c r="F907" s="3" t="n">
        <v>46270.70354166667</v>
      </c>
      <c r="G907" s="3" t="n">
        <v>46270.70333333333</v>
      </c>
      <c r="H907" t="inlineStr">
        <is>
          <t>Delivered</t>
        </is>
      </c>
      <c r="I907" t="n">
        <v>3</v>
      </c>
      <c r="J907" t="n">
        <v>10</v>
      </c>
      <c r="K907" t="n">
        <v>1756.23</v>
      </c>
      <c r="L907" t="n">
        <v>1.53</v>
      </c>
      <c r="M907" t="n">
        <v>5</v>
      </c>
      <c r="N907" t="n">
        <v>3.1</v>
      </c>
      <c r="O907" t="n">
        <v>2.7</v>
      </c>
      <c r="P907" t="n">
        <v>11.1</v>
      </c>
      <c r="Q907" t="n">
        <v>10.8</v>
      </c>
      <c r="R907" t="n">
        <v>-0.3</v>
      </c>
      <c r="S907" t="b">
        <v>1</v>
      </c>
      <c r="U907" t="n">
        <v>16</v>
      </c>
      <c r="V907" t="b">
        <v>0</v>
      </c>
      <c r="X907" t="b">
        <v>0</v>
      </c>
      <c r="Y907" t="n">
        <v>0.5</v>
      </c>
    </row>
    <row r="908">
      <c r="A908" t="inlineStr">
        <is>
          <t>O00907</t>
        </is>
      </c>
      <c r="B908" t="inlineStr">
        <is>
          <t>C0141</t>
        </is>
      </c>
      <c r="C908" t="inlineStr">
        <is>
          <t>S009</t>
        </is>
      </c>
      <c r="D908" t="inlineStr">
        <is>
          <t>R058</t>
        </is>
      </c>
      <c r="E908" s="3" t="n">
        <v>46273.97291666667</v>
      </c>
      <c r="F908" s="3" t="n">
        <v>46273.98159722222</v>
      </c>
      <c r="G908" s="3" t="n">
        <v>46273.98131944444</v>
      </c>
      <c r="H908" t="inlineStr">
        <is>
          <t>Delivered</t>
        </is>
      </c>
      <c r="I908" t="n">
        <v>2</v>
      </c>
      <c r="J908" t="n">
        <v>5</v>
      </c>
      <c r="K908" t="n">
        <v>578.9</v>
      </c>
      <c r="L908" t="n">
        <v>2.8</v>
      </c>
      <c r="M908" t="n">
        <v>3.7</v>
      </c>
      <c r="N908" t="n">
        <v>1.2</v>
      </c>
      <c r="O908" t="n">
        <v>7.2</v>
      </c>
      <c r="P908" t="n">
        <v>12.5</v>
      </c>
      <c r="Q908" t="n">
        <v>12.1</v>
      </c>
      <c r="R908" t="n">
        <v>-0.4</v>
      </c>
      <c r="S908" t="b">
        <v>1</v>
      </c>
      <c r="U908" t="n">
        <v>23</v>
      </c>
      <c r="V908" t="b">
        <v>0</v>
      </c>
      <c r="X908" t="b">
        <v>0</v>
      </c>
      <c r="Y908" t="n">
        <v>0.32</v>
      </c>
    </row>
    <row r="909">
      <c r="A909" t="inlineStr">
        <is>
          <t>O00908</t>
        </is>
      </c>
      <c r="B909" t="inlineStr">
        <is>
          <t>C0144</t>
        </is>
      </c>
      <c r="C909" t="inlineStr">
        <is>
          <t>S009</t>
        </is>
      </c>
      <c r="D909" t="inlineStr">
        <is>
          <t>R047</t>
        </is>
      </c>
      <c r="E909" s="3" t="n">
        <v>46269.65416666667</v>
      </c>
      <c r="F909" s="3" t="n">
        <v>46269.66173611111</v>
      </c>
      <c r="G909" s="3" t="n">
        <v>46269.66027777778</v>
      </c>
      <c r="H909" t="inlineStr">
        <is>
          <t>Delivered</t>
        </is>
      </c>
      <c r="I909" t="n">
        <v>2</v>
      </c>
      <c r="J909" t="n">
        <v>5</v>
      </c>
      <c r="K909" t="n">
        <v>340.57</v>
      </c>
      <c r="L909" t="n">
        <v>1.3</v>
      </c>
      <c r="M909" t="n">
        <v>2.6</v>
      </c>
      <c r="N909" t="n">
        <v>3.1</v>
      </c>
      <c r="O909" t="n">
        <v>3</v>
      </c>
      <c r="P909" t="n">
        <v>10.9</v>
      </c>
      <c r="Q909" t="n">
        <v>8.800000000000001</v>
      </c>
      <c r="R909" t="n">
        <v>-2.1</v>
      </c>
      <c r="S909" t="b">
        <v>1</v>
      </c>
      <c r="U909" t="n">
        <v>15</v>
      </c>
      <c r="V909" t="b">
        <v>0</v>
      </c>
      <c r="X909" t="b">
        <v>0</v>
      </c>
      <c r="Y909" t="n">
        <v>0.18</v>
      </c>
    </row>
    <row r="910">
      <c r="A910" t="inlineStr">
        <is>
          <t>O00909</t>
        </is>
      </c>
      <c r="B910" t="inlineStr">
        <is>
          <t>C0209</t>
        </is>
      </c>
      <c r="C910" t="inlineStr">
        <is>
          <t>S002</t>
        </is>
      </c>
      <c r="D910" t="inlineStr">
        <is>
          <t>R036</t>
        </is>
      </c>
      <c r="E910" s="3" t="n">
        <v>46275.46875</v>
      </c>
      <c r="F910" s="3" t="n">
        <v>46275.47645833333</v>
      </c>
      <c r="G910" s="3" t="n">
        <v>46275.47569444445</v>
      </c>
      <c r="H910" t="inlineStr">
        <is>
          <t>Delivered</t>
        </is>
      </c>
      <c r="I910" t="n">
        <v>5</v>
      </c>
      <c r="J910" t="n">
        <v>12</v>
      </c>
      <c r="K910" t="n">
        <v>1474.21</v>
      </c>
      <c r="L910" t="n">
        <v>3.24</v>
      </c>
      <c r="M910" t="n">
        <v>2.8</v>
      </c>
      <c r="N910" t="n">
        <v>0</v>
      </c>
      <c r="O910" t="n">
        <v>7.2</v>
      </c>
      <c r="P910" t="n">
        <v>11.1</v>
      </c>
      <c r="Q910" t="n">
        <v>10</v>
      </c>
      <c r="R910" t="n">
        <v>-1.1</v>
      </c>
      <c r="S910" t="b">
        <v>1</v>
      </c>
      <c r="U910" t="n">
        <v>11</v>
      </c>
      <c r="V910" t="b">
        <v>0</v>
      </c>
      <c r="X910" t="b">
        <v>0</v>
      </c>
      <c r="Y910" t="n">
        <v>0.63</v>
      </c>
    </row>
    <row r="911">
      <c r="A911" t="inlineStr">
        <is>
          <t>O00910</t>
        </is>
      </c>
      <c r="B911" t="inlineStr">
        <is>
          <t>C0242</t>
        </is>
      </c>
      <c r="C911" t="inlineStr">
        <is>
          <t>S019</t>
        </is>
      </c>
      <c r="D911" t="inlineStr">
        <is>
          <t>R018</t>
        </is>
      </c>
      <c r="E911" s="3" t="n">
        <v>46267.55763888889</v>
      </c>
      <c r="F911" s="3" t="n">
        <v>46267.56506944444</v>
      </c>
      <c r="G911" s="3" t="n">
        <v>46267.56493055556</v>
      </c>
      <c r="H911" t="inlineStr">
        <is>
          <t>Delivered</t>
        </is>
      </c>
      <c r="I911" t="n">
        <v>3</v>
      </c>
      <c r="J911" t="n">
        <v>9</v>
      </c>
      <c r="K911" t="n">
        <v>490.78</v>
      </c>
      <c r="L911" t="n">
        <v>0.74</v>
      </c>
      <c r="M911" t="n">
        <v>3.5</v>
      </c>
      <c r="N911" t="n">
        <v>4.6</v>
      </c>
      <c r="O911" t="n">
        <v>2.4</v>
      </c>
      <c r="P911" t="n">
        <v>10.7</v>
      </c>
      <c r="Q911" t="n">
        <v>10.5</v>
      </c>
      <c r="R911" t="n">
        <v>-0.2</v>
      </c>
      <c r="S911" t="b">
        <v>1</v>
      </c>
      <c r="U911" t="n">
        <v>13</v>
      </c>
      <c r="V911" t="b">
        <v>0</v>
      </c>
      <c r="X911" t="b">
        <v>0</v>
      </c>
      <c r="Y911" t="n">
        <v>0.72</v>
      </c>
    </row>
    <row r="912">
      <c r="A912" t="inlineStr">
        <is>
          <t>O00911</t>
        </is>
      </c>
      <c r="B912" t="inlineStr">
        <is>
          <t>C0250</t>
        </is>
      </c>
      <c r="C912" t="inlineStr">
        <is>
          <t>S018</t>
        </is>
      </c>
      <c r="D912" t="inlineStr">
        <is>
          <t>R023</t>
        </is>
      </c>
      <c r="E912" s="3" t="n">
        <v>46277.47916666666</v>
      </c>
      <c r="F912" s="3" t="n">
        <v>46277.48729166666</v>
      </c>
      <c r="G912" s="3" t="n">
        <v>46277.48666666666</v>
      </c>
      <c r="H912" t="inlineStr">
        <is>
          <t>Delivered</t>
        </is>
      </c>
      <c r="I912" t="n">
        <v>4</v>
      </c>
      <c r="J912" t="n">
        <v>5</v>
      </c>
      <c r="K912" t="n">
        <v>1553.51</v>
      </c>
      <c r="L912" t="n">
        <v>0.71</v>
      </c>
      <c r="M912" t="n">
        <v>3.4</v>
      </c>
      <c r="N912" t="n">
        <v>5.3</v>
      </c>
      <c r="O912" t="n">
        <v>2.1</v>
      </c>
      <c r="P912" t="n">
        <v>11.7</v>
      </c>
      <c r="Q912" t="n">
        <v>10.8</v>
      </c>
      <c r="R912" t="n">
        <v>-0.9</v>
      </c>
      <c r="S912" t="b">
        <v>1</v>
      </c>
      <c r="U912" t="n">
        <v>11</v>
      </c>
      <c r="V912" t="b">
        <v>0</v>
      </c>
      <c r="X912" t="b">
        <v>0</v>
      </c>
      <c r="Y912" t="n">
        <v>0.63</v>
      </c>
    </row>
    <row r="913">
      <c r="A913" t="inlineStr">
        <is>
          <t>O00912</t>
        </is>
      </c>
      <c r="B913" t="inlineStr">
        <is>
          <t>C0155</t>
        </is>
      </c>
      <c r="C913" t="inlineStr">
        <is>
          <t>S012</t>
        </is>
      </c>
      <c r="D913" t="inlineStr">
        <is>
          <t>R003</t>
        </is>
      </c>
      <c r="E913" s="3" t="n">
        <v>46270.77152777778</v>
      </c>
      <c r="F913" s="3" t="n">
        <v>46270.77840277777</v>
      </c>
      <c r="G913" s="3" t="n">
        <v>46270.77784722222</v>
      </c>
      <c r="H913" t="inlineStr">
        <is>
          <t>Delivered</t>
        </is>
      </c>
      <c r="I913" t="n">
        <v>3</v>
      </c>
      <c r="J913" t="n">
        <v>3</v>
      </c>
      <c r="K913" t="n">
        <v>229.67</v>
      </c>
      <c r="L913" t="n">
        <v>2.06</v>
      </c>
      <c r="M913" t="n">
        <v>3</v>
      </c>
      <c r="N913" t="n">
        <v>2.5</v>
      </c>
      <c r="O913" t="n">
        <v>3.6</v>
      </c>
      <c r="P913" t="n">
        <v>9.9</v>
      </c>
      <c r="Q913" t="n">
        <v>9.1</v>
      </c>
      <c r="R913" t="n">
        <v>-0.8</v>
      </c>
      <c r="S913" t="b">
        <v>1</v>
      </c>
      <c r="U913" t="n">
        <v>18</v>
      </c>
      <c r="V913" t="b">
        <v>0</v>
      </c>
      <c r="W913" t="inlineStr">
        <is>
          <t>Heavy</t>
        </is>
      </c>
      <c r="X913" t="b">
        <v>0</v>
      </c>
      <c r="Y913" t="n">
        <v>0.37</v>
      </c>
    </row>
    <row r="914">
      <c r="A914" t="inlineStr">
        <is>
          <t>O00913</t>
        </is>
      </c>
      <c r="B914" t="inlineStr">
        <is>
          <t>C0106</t>
        </is>
      </c>
      <c r="C914" t="inlineStr">
        <is>
          <t>S020</t>
        </is>
      </c>
      <c r="D914" t="inlineStr">
        <is>
          <t>R077</t>
        </is>
      </c>
      <c r="E914" s="3" t="n">
        <v>46279.90069444444</v>
      </c>
      <c r="F914" s="3" t="n">
        <v>46279.906875</v>
      </c>
      <c r="G914" s="3" t="n">
        <v>46279.90666666667</v>
      </c>
      <c r="H914" t="inlineStr">
        <is>
          <t>Delivered</t>
        </is>
      </c>
      <c r="I914" t="n">
        <v>3</v>
      </c>
      <c r="J914" t="n">
        <v>6</v>
      </c>
      <c r="K914" t="n">
        <v>637.86</v>
      </c>
      <c r="L914" t="n">
        <v>0.97</v>
      </c>
      <c r="M914" t="n">
        <v>2.9</v>
      </c>
      <c r="N914" t="n">
        <v>3.7</v>
      </c>
      <c r="O914" t="n">
        <v>2</v>
      </c>
      <c r="P914" t="n">
        <v>8.9</v>
      </c>
      <c r="Q914" t="n">
        <v>8.6</v>
      </c>
      <c r="R914" t="n">
        <v>-0.3</v>
      </c>
      <c r="S914" t="b">
        <v>1</v>
      </c>
      <c r="U914" t="n">
        <v>21</v>
      </c>
      <c r="V914" t="b">
        <v>1</v>
      </c>
      <c r="W914" t="inlineStr">
        <is>
          <t>Light</t>
        </is>
      </c>
      <c r="X914" t="b">
        <v>0</v>
      </c>
      <c r="Y914" t="n">
        <v>0.46</v>
      </c>
    </row>
    <row r="915">
      <c r="A915" t="inlineStr">
        <is>
          <t>O00914</t>
        </is>
      </c>
      <c r="B915" t="inlineStr">
        <is>
          <t>C0154</t>
        </is>
      </c>
      <c r="C915" t="inlineStr">
        <is>
          <t>S020</t>
        </is>
      </c>
      <c r="D915" t="inlineStr">
        <is>
          <t>R016</t>
        </is>
      </c>
      <c r="E915" s="3" t="n">
        <v>46273.84027777778</v>
      </c>
      <c r="F915" s="3" t="n">
        <v>46273.84631944444</v>
      </c>
      <c r="G915" s="3" t="n">
        <v>46273.84576388889</v>
      </c>
      <c r="H915" t="inlineStr">
        <is>
          <t>Delivered</t>
        </is>
      </c>
      <c r="I915" t="n">
        <v>4</v>
      </c>
      <c r="J915" t="n">
        <v>7</v>
      </c>
      <c r="K915" t="n">
        <v>718.59</v>
      </c>
      <c r="L915" t="n">
        <v>1.02</v>
      </c>
      <c r="M915" t="n">
        <v>2.8</v>
      </c>
      <c r="N915" t="n">
        <v>3.2</v>
      </c>
      <c r="O915" t="n">
        <v>1.9</v>
      </c>
      <c r="P915" t="n">
        <v>8.699999999999999</v>
      </c>
      <c r="Q915" t="n">
        <v>7.9</v>
      </c>
      <c r="R915" t="n">
        <v>-0.8</v>
      </c>
      <c r="S915" t="b">
        <v>1</v>
      </c>
      <c r="U915" t="n">
        <v>20</v>
      </c>
      <c r="V915" t="b">
        <v>1</v>
      </c>
      <c r="X915" t="b">
        <v>0</v>
      </c>
      <c r="Y915" t="n">
        <v>0.76</v>
      </c>
    </row>
    <row r="916">
      <c r="A916" t="inlineStr">
        <is>
          <t>O00915</t>
        </is>
      </c>
      <c r="B916" t="inlineStr">
        <is>
          <t>C0011</t>
        </is>
      </c>
      <c r="C916" t="inlineStr">
        <is>
          <t>S012</t>
        </is>
      </c>
      <c r="D916" t="inlineStr">
        <is>
          <t>R073</t>
        </is>
      </c>
      <c r="E916" s="3" t="n">
        <v>46276.7125</v>
      </c>
      <c r="F916" s="3" t="n">
        <v>46276.72097222223</v>
      </c>
      <c r="G916" s="3" t="n">
        <v>46276.72034722222</v>
      </c>
      <c r="H916" t="inlineStr">
        <is>
          <t>Delivered</t>
        </is>
      </c>
      <c r="I916" t="n">
        <v>2</v>
      </c>
      <c r="J916" t="n">
        <v>5</v>
      </c>
      <c r="K916" t="n">
        <v>721.75</v>
      </c>
      <c r="L916" t="n">
        <v>2.51</v>
      </c>
      <c r="M916" t="n">
        <v>4.2</v>
      </c>
      <c r="N916" t="n">
        <v>2.2</v>
      </c>
      <c r="O916" t="n">
        <v>4.9</v>
      </c>
      <c r="P916" t="n">
        <v>12.2</v>
      </c>
      <c r="Q916" t="n">
        <v>11.3</v>
      </c>
      <c r="R916" t="n">
        <v>-0.9</v>
      </c>
      <c r="S916" t="b">
        <v>1</v>
      </c>
      <c r="U916" t="n">
        <v>17</v>
      </c>
      <c r="V916" t="b">
        <v>0</v>
      </c>
      <c r="X916" t="b">
        <v>0</v>
      </c>
      <c r="Y916" t="n">
        <v>0.57</v>
      </c>
    </row>
    <row r="917">
      <c r="A917" t="inlineStr">
        <is>
          <t>O00916</t>
        </is>
      </c>
      <c r="B917" t="inlineStr">
        <is>
          <t>C0037</t>
        </is>
      </c>
      <c r="C917" t="inlineStr">
        <is>
          <t>S018</t>
        </is>
      </c>
      <c r="E917" s="3" t="n">
        <v>46272.45069444444</v>
      </c>
      <c r="F917" s="3" t="n">
        <v>46272.4575</v>
      </c>
      <c r="H917" t="inlineStr">
        <is>
          <t>Cancelled</t>
        </is>
      </c>
      <c r="I917" t="n">
        <v>5</v>
      </c>
      <c r="J917" t="n">
        <v>8</v>
      </c>
      <c r="K917" t="n">
        <v>314.56</v>
      </c>
      <c r="L917" t="n">
        <v>1.55</v>
      </c>
      <c r="M917" t="n">
        <v>7.6</v>
      </c>
      <c r="N917" t="n">
        <v>6.2</v>
      </c>
      <c r="O917" t="n">
        <v>6.5</v>
      </c>
      <c r="P917" t="n">
        <v>9.800000000000001</v>
      </c>
      <c r="T917" t="inlineStr">
        <is>
          <t>Item unavailable</t>
        </is>
      </c>
      <c r="U917" t="n">
        <v>10</v>
      </c>
      <c r="V917" t="b">
        <v>0</v>
      </c>
      <c r="W917" t="inlineStr">
        <is>
          <t>Light</t>
        </is>
      </c>
      <c r="X917" t="b">
        <v>0</v>
      </c>
      <c r="Y917" t="n">
        <v>0.82</v>
      </c>
    </row>
    <row r="918">
      <c r="A918" t="inlineStr">
        <is>
          <t>O00917</t>
        </is>
      </c>
      <c r="B918" t="inlineStr">
        <is>
          <t>C0227</t>
        </is>
      </c>
      <c r="C918" t="inlineStr">
        <is>
          <t>S004</t>
        </is>
      </c>
      <c r="D918" t="inlineStr">
        <is>
          <t>R045</t>
        </is>
      </c>
      <c r="E918" s="3" t="n">
        <v>46270.71805555555</v>
      </c>
      <c r="F918" s="3" t="n">
        <v>46270.72486111111</v>
      </c>
      <c r="G918" s="3" t="n">
        <v>46270.72458333334</v>
      </c>
      <c r="H918" t="inlineStr">
        <is>
          <t>Delivered</t>
        </is>
      </c>
      <c r="I918" t="n">
        <v>5</v>
      </c>
      <c r="J918" t="n">
        <v>5</v>
      </c>
      <c r="K918" t="n">
        <v>510.21</v>
      </c>
      <c r="L918" t="n">
        <v>1.84</v>
      </c>
      <c r="M918" t="n">
        <v>2.4</v>
      </c>
      <c r="N918" t="n">
        <v>1.5</v>
      </c>
      <c r="O918" t="n">
        <v>5.5</v>
      </c>
      <c r="P918" t="n">
        <v>9.800000000000001</v>
      </c>
      <c r="Q918" t="n">
        <v>9.4</v>
      </c>
      <c r="R918" t="n">
        <v>-0.4</v>
      </c>
      <c r="S918" t="b">
        <v>1</v>
      </c>
      <c r="U918" t="n">
        <v>17</v>
      </c>
      <c r="V918" t="b">
        <v>0</v>
      </c>
      <c r="W918" t="inlineStr">
        <is>
          <t>Heavy</t>
        </is>
      </c>
      <c r="X918" t="b">
        <v>0</v>
      </c>
      <c r="Y918" t="n">
        <v>0.45</v>
      </c>
    </row>
    <row r="919">
      <c r="A919" t="inlineStr">
        <is>
          <t>O00918</t>
        </is>
      </c>
      <c r="B919" t="inlineStr">
        <is>
          <t>C0161</t>
        </is>
      </c>
      <c r="C919" t="inlineStr">
        <is>
          <t>S005</t>
        </is>
      </c>
      <c r="D919" t="inlineStr">
        <is>
          <t>R078</t>
        </is>
      </c>
      <c r="E919" s="3" t="n">
        <v>46270.71736111111</v>
      </c>
      <c r="F919" s="3" t="n">
        <v>46270.72458333334</v>
      </c>
      <c r="G919" s="3" t="n">
        <v>46270.72909722223</v>
      </c>
      <c r="H919" t="inlineStr">
        <is>
          <t>Delivered</t>
        </is>
      </c>
      <c r="I919" t="n">
        <v>4</v>
      </c>
      <c r="J919" t="n">
        <v>6</v>
      </c>
      <c r="K919" t="n">
        <v>518.0700000000001</v>
      </c>
      <c r="L919" t="n">
        <v>1.44</v>
      </c>
      <c r="M919" t="n">
        <v>4.8</v>
      </c>
      <c r="N919" t="n">
        <v>7.8</v>
      </c>
      <c r="O919" t="n">
        <v>4.4</v>
      </c>
      <c r="P919" t="n">
        <v>10.4</v>
      </c>
      <c r="Q919" t="n">
        <v>16.9</v>
      </c>
      <c r="R919" t="n">
        <v>6.5</v>
      </c>
      <c r="S919" t="b">
        <v>0</v>
      </c>
      <c r="U919" t="n">
        <v>17</v>
      </c>
      <c r="V919" t="b">
        <v>0</v>
      </c>
      <c r="X919" t="b">
        <v>0</v>
      </c>
      <c r="Y919" t="n">
        <v>0.3</v>
      </c>
    </row>
    <row r="920">
      <c r="A920" t="inlineStr">
        <is>
          <t>O00919</t>
        </is>
      </c>
      <c r="B920" t="inlineStr">
        <is>
          <t>C0071</t>
        </is>
      </c>
      <c r="C920" t="inlineStr">
        <is>
          <t>S013</t>
        </is>
      </c>
      <c r="E920" s="3" t="n">
        <v>46277.58055555556</v>
      </c>
      <c r="F920" s="3" t="n">
        <v>46277.58645833333</v>
      </c>
      <c r="H920" t="inlineStr">
        <is>
          <t>Cancelled</t>
        </is>
      </c>
      <c r="I920" t="n">
        <v>3</v>
      </c>
      <c r="J920" t="n">
        <v>6</v>
      </c>
      <c r="K920" t="n">
        <v>1145.17</v>
      </c>
      <c r="L920" t="n">
        <v>2.19</v>
      </c>
      <c r="M920" t="n">
        <v>5.1</v>
      </c>
      <c r="N920" t="n">
        <v>5.2</v>
      </c>
      <c r="O920" t="n">
        <v>6.5</v>
      </c>
      <c r="P920" t="n">
        <v>8.5</v>
      </c>
      <c r="T920" t="inlineStr">
        <is>
          <t>Customer cancelled</t>
        </is>
      </c>
      <c r="U920" t="n">
        <v>13</v>
      </c>
      <c r="V920" t="b">
        <v>0</v>
      </c>
      <c r="W920" t="inlineStr">
        <is>
          <t>Light</t>
        </is>
      </c>
      <c r="X920" t="b">
        <v>0</v>
      </c>
      <c r="Y920" t="n">
        <v>0.39</v>
      </c>
    </row>
    <row r="921">
      <c r="A921" t="inlineStr">
        <is>
          <t>O00920</t>
        </is>
      </c>
      <c r="B921" t="inlineStr">
        <is>
          <t>C0150</t>
        </is>
      </c>
      <c r="C921" t="inlineStr">
        <is>
          <t>S005</t>
        </is>
      </c>
      <c r="D921" t="inlineStr">
        <is>
          <t>R069</t>
        </is>
      </c>
      <c r="E921" s="3" t="n">
        <v>46270.44027777778</v>
      </c>
      <c r="F921" s="3" t="n">
        <v>46270.44930555556</v>
      </c>
      <c r="G921" s="3" t="n">
        <v>46270.44902777778</v>
      </c>
      <c r="H921" t="inlineStr">
        <is>
          <t>Delivered</t>
        </is>
      </c>
      <c r="I921" t="n">
        <v>5</v>
      </c>
      <c r="J921" t="n">
        <v>7</v>
      </c>
      <c r="K921" t="n">
        <v>1126.02</v>
      </c>
      <c r="L921" t="n">
        <v>3.48</v>
      </c>
      <c r="M921" t="n">
        <v>4.3</v>
      </c>
      <c r="N921" t="n">
        <v>2.3</v>
      </c>
      <c r="O921" t="n">
        <v>6</v>
      </c>
      <c r="P921" t="n">
        <v>13</v>
      </c>
      <c r="Q921" t="n">
        <v>12.6</v>
      </c>
      <c r="R921" t="n">
        <v>-0.4</v>
      </c>
      <c r="S921" t="b">
        <v>1</v>
      </c>
      <c r="U921" t="n">
        <v>10</v>
      </c>
      <c r="V921" t="b">
        <v>0</v>
      </c>
      <c r="X921" t="b">
        <v>0</v>
      </c>
      <c r="Y921" t="n">
        <v>0.47</v>
      </c>
    </row>
    <row r="922">
      <c r="A922" t="inlineStr">
        <is>
          <t>O00921</t>
        </is>
      </c>
      <c r="B922" t="inlineStr">
        <is>
          <t>C0204</t>
        </is>
      </c>
      <c r="C922" t="inlineStr">
        <is>
          <t>S001</t>
        </is>
      </c>
      <c r="D922" t="inlineStr">
        <is>
          <t>R022</t>
        </is>
      </c>
      <c r="E922" s="3" t="n">
        <v>46276.84930555556</v>
      </c>
      <c r="F922" s="3" t="n">
        <v>46276.85652777777</v>
      </c>
      <c r="G922" s="3" t="n">
        <v>46276.85611111111</v>
      </c>
      <c r="H922" t="inlineStr">
        <is>
          <t>Delivered</t>
        </is>
      </c>
      <c r="I922" t="n">
        <v>3</v>
      </c>
      <c r="J922" t="n">
        <v>8</v>
      </c>
      <c r="K922" t="n">
        <v>1206.15</v>
      </c>
      <c r="L922" t="n">
        <v>1.02</v>
      </c>
      <c r="M922" t="n">
        <v>3.6</v>
      </c>
      <c r="N922" t="n">
        <v>3.4</v>
      </c>
      <c r="O922" t="n">
        <v>2.8</v>
      </c>
      <c r="P922" t="n">
        <v>10.4</v>
      </c>
      <c r="Q922" t="n">
        <v>9.800000000000001</v>
      </c>
      <c r="R922" t="n">
        <v>-0.6</v>
      </c>
      <c r="S922" t="b">
        <v>1</v>
      </c>
      <c r="U922" t="n">
        <v>20</v>
      </c>
      <c r="V922" t="b">
        <v>1</v>
      </c>
      <c r="W922" t="inlineStr">
        <is>
          <t>Light</t>
        </is>
      </c>
      <c r="X922" t="b">
        <v>0</v>
      </c>
      <c r="Y922" t="n">
        <v>0.42</v>
      </c>
    </row>
    <row r="923">
      <c r="A923" t="inlineStr">
        <is>
          <t>O00922</t>
        </is>
      </c>
      <c r="B923" t="inlineStr">
        <is>
          <t>C0130</t>
        </is>
      </c>
      <c r="C923" t="inlineStr">
        <is>
          <t>S017</t>
        </is>
      </c>
      <c r="D923" t="inlineStr">
        <is>
          <t>R059</t>
        </is>
      </c>
      <c r="E923" s="3" t="n">
        <v>46266.93333333333</v>
      </c>
      <c r="F923" s="3" t="n">
        <v>46266.94055555556</v>
      </c>
      <c r="G923" s="3" t="n">
        <v>46266.93986111111</v>
      </c>
      <c r="H923" t="inlineStr">
        <is>
          <t>Delivered</t>
        </is>
      </c>
      <c r="I923" t="n">
        <v>3</v>
      </c>
      <c r="J923" t="n">
        <v>11</v>
      </c>
      <c r="K923" t="n">
        <v>549.51</v>
      </c>
      <c r="L923" t="n">
        <v>1.06</v>
      </c>
      <c r="M923" t="n">
        <v>2.1</v>
      </c>
      <c r="N923" t="n">
        <v>3.7</v>
      </c>
      <c r="O923" t="n">
        <v>3.6</v>
      </c>
      <c r="P923" t="n">
        <v>10.4</v>
      </c>
      <c r="Q923" t="n">
        <v>9.4</v>
      </c>
      <c r="R923" t="n">
        <v>-1</v>
      </c>
      <c r="S923" t="b">
        <v>1</v>
      </c>
      <c r="U923" t="n">
        <v>22</v>
      </c>
      <c r="V923" t="b">
        <v>0</v>
      </c>
      <c r="W923" t="inlineStr">
        <is>
          <t>Light</t>
        </is>
      </c>
      <c r="X923" t="b">
        <v>0</v>
      </c>
      <c r="Y923" t="n">
        <v>0.58</v>
      </c>
    </row>
    <row r="924">
      <c r="A924" t="inlineStr">
        <is>
          <t>O00923</t>
        </is>
      </c>
      <c r="B924" t="inlineStr">
        <is>
          <t>C0096</t>
        </is>
      </c>
      <c r="C924" t="inlineStr">
        <is>
          <t>S001</t>
        </is>
      </c>
      <c r="D924" t="inlineStr">
        <is>
          <t>R041</t>
        </is>
      </c>
      <c r="E924" s="3" t="n">
        <v>46278.77013888889</v>
      </c>
      <c r="F924" s="3" t="n">
        <v>46278.77784722222</v>
      </c>
      <c r="G924" s="3" t="n">
        <v>46278.77708333333</v>
      </c>
      <c r="H924" t="inlineStr">
        <is>
          <t>Delivered</t>
        </is>
      </c>
      <c r="I924" t="n">
        <v>1</v>
      </c>
      <c r="J924" t="n">
        <v>7</v>
      </c>
      <c r="K924" t="n">
        <v>1009.32</v>
      </c>
      <c r="L924" t="n">
        <v>3.89</v>
      </c>
      <c r="M924" t="n">
        <v>1.9</v>
      </c>
      <c r="N924" t="n">
        <v>3.8</v>
      </c>
      <c r="O924" t="n">
        <v>4.3</v>
      </c>
      <c r="P924" t="n">
        <v>11.1</v>
      </c>
      <c r="Q924" t="n">
        <v>10</v>
      </c>
      <c r="R924" t="n">
        <v>-1.1</v>
      </c>
      <c r="S924" t="b">
        <v>1</v>
      </c>
      <c r="U924" t="n">
        <v>18</v>
      </c>
      <c r="V924" t="b">
        <v>0</v>
      </c>
      <c r="X924" t="b">
        <v>0</v>
      </c>
      <c r="Y924" t="n">
        <v>0.58</v>
      </c>
    </row>
    <row r="925">
      <c r="A925" t="inlineStr">
        <is>
          <t>O00924</t>
        </is>
      </c>
      <c r="B925" t="inlineStr">
        <is>
          <t>C0191</t>
        </is>
      </c>
      <c r="C925" t="inlineStr">
        <is>
          <t>S004</t>
        </is>
      </c>
      <c r="D925" t="inlineStr">
        <is>
          <t>R078</t>
        </is>
      </c>
      <c r="E925" s="3" t="n">
        <v>46268.60833333333</v>
      </c>
      <c r="F925" s="3" t="n">
        <v>46268.61368055556</v>
      </c>
      <c r="G925" s="3" t="n">
        <v>46268.61763888889</v>
      </c>
      <c r="H925" t="inlineStr">
        <is>
          <t>Delivered</t>
        </is>
      </c>
      <c r="I925" t="n">
        <v>1</v>
      </c>
      <c r="J925" t="n">
        <v>5</v>
      </c>
      <c r="K925" t="n">
        <v>1073.72</v>
      </c>
      <c r="L925" t="n">
        <v>0.5</v>
      </c>
      <c r="M925" t="n">
        <v>1.5</v>
      </c>
      <c r="N925" t="n">
        <v>9.199999999999999</v>
      </c>
      <c r="O925" t="n">
        <v>2.7</v>
      </c>
      <c r="P925" t="n">
        <v>7.7</v>
      </c>
      <c r="Q925" t="n">
        <v>13.4</v>
      </c>
      <c r="R925" t="n">
        <v>5.7</v>
      </c>
      <c r="S925" t="b">
        <v>0</v>
      </c>
      <c r="U925" t="n">
        <v>14</v>
      </c>
      <c r="V925" t="b">
        <v>0</v>
      </c>
      <c r="X925" t="b">
        <v>0</v>
      </c>
      <c r="Y925" t="n">
        <v>0.59</v>
      </c>
    </row>
    <row r="926">
      <c r="A926" t="inlineStr">
        <is>
          <t>O00925</t>
        </is>
      </c>
      <c r="B926" t="inlineStr">
        <is>
          <t>C0149</t>
        </is>
      </c>
      <c r="C926" t="inlineStr">
        <is>
          <t>S013</t>
        </is>
      </c>
      <c r="D926" t="inlineStr">
        <is>
          <t>R069</t>
        </is>
      </c>
      <c r="E926" s="3" t="n">
        <v>46276.88819444444</v>
      </c>
      <c r="F926" s="3" t="n">
        <v>46276.89430555556</v>
      </c>
      <c r="G926" s="3" t="n">
        <v>46276.90354166667</v>
      </c>
      <c r="H926" t="inlineStr">
        <is>
          <t>Delivered</t>
        </is>
      </c>
      <c r="I926" t="n">
        <v>5</v>
      </c>
      <c r="J926" t="n">
        <v>7</v>
      </c>
      <c r="K926" t="n">
        <v>939.46</v>
      </c>
      <c r="L926" t="n">
        <v>3</v>
      </c>
      <c r="M926" t="n">
        <v>5.4</v>
      </c>
      <c r="N926" t="n">
        <v>8</v>
      </c>
      <c r="O926" t="n">
        <v>8.699999999999999</v>
      </c>
      <c r="P926" t="n">
        <v>8.800000000000001</v>
      </c>
      <c r="Q926" t="n">
        <v>22.1</v>
      </c>
      <c r="R926" t="n">
        <v>13.3</v>
      </c>
      <c r="S926" t="b">
        <v>0</v>
      </c>
      <c r="U926" t="n">
        <v>21</v>
      </c>
      <c r="V926" t="b">
        <v>1</v>
      </c>
      <c r="X926" t="b">
        <v>0</v>
      </c>
      <c r="Y926" t="n">
        <v>0.53</v>
      </c>
    </row>
    <row r="927">
      <c r="A927" t="inlineStr">
        <is>
          <t>O00926</t>
        </is>
      </c>
      <c r="B927" t="inlineStr">
        <is>
          <t>C0204</t>
        </is>
      </c>
      <c r="C927" t="inlineStr">
        <is>
          <t>S011</t>
        </is>
      </c>
      <c r="D927" t="inlineStr">
        <is>
          <t>R011</t>
        </is>
      </c>
      <c r="E927" s="3" t="n">
        <v>46268.59861111111</v>
      </c>
      <c r="F927" s="3" t="n">
        <v>46268.606875</v>
      </c>
      <c r="G927" s="3" t="n">
        <v>46268.60611111111</v>
      </c>
      <c r="H927" t="inlineStr">
        <is>
          <t>Delivered</t>
        </is>
      </c>
      <c r="I927" t="n">
        <v>5</v>
      </c>
      <c r="J927" t="n">
        <v>8</v>
      </c>
      <c r="K927" t="n">
        <v>1158.92</v>
      </c>
      <c r="L927" t="n">
        <v>1.2</v>
      </c>
      <c r="M927" t="n">
        <v>5.1</v>
      </c>
      <c r="N927" t="n">
        <v>1.7</v>
      </c>
      <c r="O927" t="n">
        <v>4</v>
      </c>
      <c r="P927" t="n">
        <v>11.9</v>
      </c>
      <c r="Q927" t="n">
        <v>10.8</v>
      </c>
      <c r="R927" t="n">
        <v>-1.1</v>
      </c>
      <c r="S927" t="b">
        <v>1</v>
      </c>
      <c r="U927" t="n">
        <v>14</v>
      </c>
      <c r="V927" t="b">
        <v>0</v>
      </c>
      <c r="W927" t="inlineStr">
        <is>
          <t>Heavy</t>
        </is>
      </c>
      <c r="X927" t="b">
        <v>0</v>
      </c>
      <c r="Y927" t="n">
        <v>0.36</v>
      </c>
    </row>
    <row r="928">
      <c r="A928" t="inlineStr">
        <is>
          <t>O00927</t>
        </is>
      </c>
      <c r="B928" t="inlineStr">
        <is>
          <t>C0243</t>
        </is>
      </c>
      <c r="C928" t="inlineStr">
        <is>
          <t>S003</t>
        </is>
      </c>
      <c r="D928" t="inlineStr">
        <is>
          <t>R059</t>
        </is>
      </c>
      <c r="E928" s="3" t="n">
        <v>46271.93541666667</v>
      </c>
      <c r="F928" s="3" t="n">
        <v>46271.94194444444</v>
      </c>
      <c r="G928" s="3" t="n">
        <v>46271.94131944444</v>
      </c>
      <c r="H928" t="inlineStr">
        <is>
          <t>Delivered</t>
        </is>
      </c>
      <c r="I928" t="n">
        <v>4</v>
      </c>
      <c r="J928" t="n">
        <v>7</v>
      </c>
      <c r="K928" t="n">
        <v>740.67</v>
      </c>
      <c r="L928" t="n">
        <v>0.5</v>
      </c>
      <c r="M928" t="n">
        <v>3.7</v>
      </c>
      <c r="N928" t="n">
        <v>0.9</v>
      </c>
      <c r="O928" t="n">
        <v>3.9</v>
      </c>
      <c r="P928" t="n">
        <v>9.4</v>
      </c>
      <c r="Q928" t="n">
        <v>8.5</v>
      </c>
      <c r="R928" t="n">
        <v>-0.9</v>
      </c>
      <c r="S928" t="b">
        <v>1</v>
      </c>
      <c r="U928" t="n">
        <v>22</v>
      </c>
      <c r="V928" t="b">
        <v>0</v>
      </c>
      <c r="W928" t="inlineStr">
        <is>
          <t>Heavy</t>
        </is>
      </c>
      <c r="X928" t="b">
        <v>0</v>
      </c>
      <c r="Y928" t="n">
        <v>0.5</v>
      </c>
    </row>
    <row r="929">
      <c r="A929" t="inlineStr">
        <is>
          <t>O00928</t>
        </is>
      </c>
      <c r="B929" t="inlineStr">
        <is>
          <t>C0103</t>
        </is>
      </c>
      <c r="C929" t="inlineStr">
        <is>
          <t>S007</t>
        </is>
      </c>
      <c r="D929" t="inlineStr">
        <is>
          <t>R053</t>
        </is>
      </c>
      <c r="E929" s="3" t="n">
        <v>46273.37708333333</v>
      </c>
      <c r="F929" s="3" t="n">
        <v>46273.38381944445</v>
      </c>
      <c r="G929" s="3" t="n">
        <v>46273.38298611111</v>
      </c>
      <c r="H929" t="inlineStr">
        <is>
          <t>Delivered</t>
        </is>
      </c>
      <c r="I929" t="n">
        <v>4</v>
      </c>
      <c r="J929" t="n">
        <v>4</v>
      </c>
      <c r="K929" t="n">
        <v>1135.71</v>
      </c>
      <c r="L929" t="n">
        <v>0.8100000000000001</v>
      </c>
      <c r="M929" t="n">
        <v>3.1</v>
      </c>
      <c r="N929" t="n">
        <v>2.2</v>
      </c>
      <c r="O929" t="n">
        <v>3.2</v>
      </c>
      <c r="P929" t="n">
        <v>9.699999999999999</v>
      </c>
      <c r="Q929" t="n">
        <v>8.5</v>
      </c>
      <c r="R929" t="n">
        <v>-1.2</v>
      </c>
      <c r="S929" t="b">
        <v>1</v>
      </c>
      <c r="U929" t="n">
        <v>9</v>
      </c>
      <c r="V929" t="b">
        <v>0</v>
      </c>
      <c r="X929" t="b">
        <v>0</v>
      </c>
      <c r="Y929" t="n">
        <v>0.5</v>
      </c>
    </row>
    <row r="930">
      <c r="A930" t="inlineStr">
        <is>
          <t>O00929</t>
        </is>
      </c>
      <c r="B930" t="inlineStr">
        <is>
          <t>C0011</t>
        </is>
      </c>
      <c r="C930" t="inlineStr">
        <is>
          <t>S012</t>
        </is>
      </c>
      <c r="D930" t="inlineStr">
        <is>
          <t>R027</t>
        </is>
      </c>
      <c r="E930" s="3" t="n">
        <v>46279.70833333334</v>
      </c>
      <c r="F930" s="3" t="n">
        <v>46279.71652777777</v>
      </c>
      <c r="G930" s="3" t="n">
        <v>46279.71625</v>
      </c>
      <c r="H930" t="inlineStr">
        <is>
          <t>Delivered</t>
        </is>
      </c>
      <c r="I930" t="n">
        <v>3</v>
      </c>
      <c r="J930" t="n">
        <v>7</v>
      </c>
      <c r="K930" t="n">
        <v>1111.14</v>
      </c>
      <c r="L930" t="n">
        <v>0.5</v>
      </c>
      <c r="M930" t="n">
        <v>4.2</v>
      </c>
      <c r="N930" t="n">
        <v>5.2</v>
      </c>
      <c r="O930" t="n">
        <v>2</v>
      </c>
      <c r="P930" t="n">
        <v>11.8</v>
      </c>
      <c r="Q930" t="n">
        <v>11.4</v>
      </c>
      <c r="R930" t="n">
        <v>-0.4</v>
      </c>
      <c r="S930" t="b">
        <v>1</v>
      </c>
      <c r="U930" t="n">
        <v>17</v>
      </c>
      <c r="V930" t="b">
        <v>0</v>
      </c>
      <c r="W930" t="inlineStr">
        <is>
          <t>Light</t>
        </is>
      </c>
      <c r="X930" t="b">
        <v>0</v>
      </c>
      <c r="Y930" t="n">
        <v>0.58</v>
      </c>
    </row>
    <row r="931">
      <c r="A931" t="inlineStr">
        <is>
          <t>O00930</t>
        </is>
      </c>
      <c r="B931" t="inlineStr">
        <is>
          <t>C0141</t>
        </is>
      </c>
      <c r="C931" t="inlineStr">
        <is>
          <t>S019</t>
        </is>
      </c>
      <c r="D931" t="inlineStr">
        <is>
          <t>R050</t>
        </is>
      </c>
      <c r="E931" s="3" t="n">
        <v>46266.75555555556</v>
      </c>
      <c r="F931" s="3" t="n">
        <v>46266.76256944444</v>
      </c>
      <c r="G931" s="3" t="n">
        <v>46266.76256944444</v>
      </c>
      <c r="H931" t="inlineStr">
        <is>
          <t>Delivered</t>
        </is>
      </c>
      <c r="I931" t="n">
        <v>5</v>
      </c>
      <c r="J931" t="n">
        <v>5</v>
      </c>
      <c r="K931" t="n">
        <v>497.25</v>
      </c>
      <c r="L931" t="n">
        <v>1.3</v>
      </c>
      <c r="M931" t="n">
        <v>4.8</v>
      </c>
      <c r="N931" t="n">
        <v>1</v>
      </c>
      <c r="O931" t="n">
        <v>4.4</v>
      </c>
      <c r="P931" t="n">
        <v>10.1</v>
      </c>
      <c r="Q931" t="n">
        <v>10.1</v>
      </c>
      <c r="R931" t="n">
        <v>0</v>
      </c>
      <c r="S931" t="b">
        <v>1</v>
      </c>
      <c r="U931" t="n">
        <v>18</v>
      </c>
      <c r="V931" t="b">
        <v>0</v>
      </c>
      <c r="X931" t="b">
        <v>0</v>
      </c>
      <c r="Y931" t="n">
        <v>0.44</v>
      </c>
    </row>
    <row r="932">
      <c r="A932" t="inlineStr">
        <is>
          <t>O00931</t>
        </is>
      </c>
      <c r="B932" t="inlineStr">
        <is>
          <t>C0221</t>
        </is>
      </c>
      <c r="C932" t="inlineStr">
        <is>
          <t>S013</t>
        </is>
      </c>
      <c r="D932" t="inlineStr">
        <is>
          <t>R010</t>
        </is>
      </c>
      <c r="E932" s="3" t="n">
        <v>46277.74513888889</v>
      </c>
      <c r="F932" s="3" t="n">
        <v>46277.75256944444</v>
      </c>
      <c r="G932" s="3" t="n">
        <v>46277.75180555556</v>
      </c>
      <c r="H932" t="inlineStr">
        <is>
          <t>Delivered</t>
        </is>
      </c>
      <c r="I932" t="n">
        <v>6</v>
      </c>
      <c r="J932" t="n">
        <v>6</v>
      </c>
      <c r="K932" t="n">
        <v>1490.93</v>
      </c>
      <c r="L932" t="n">
        <v>1.31</v>
      </c>
      <c r="M932" t="n">
        <v>3.6</v>
      </c>
      <c r="N932" t="n">
        <v>4.2</v>
      </c>
      <c r="O932" t="n">
        <v>1.8</v>
      </c>
      <c r="P932" t="n">
        <v>10.7</v>
      </c>
      <c r="Q932" t="n">
        <v>9.6</v>
      </c>
      <c r="R932" t="n">
        <v>-1.1</v>
      </c>
      <c r="S932" t="b">
        <v>1</v>
      </c>
      <c r="U932" t="n">
        <v>17</v>
      </c>
      <c r="V932" t="b">
        <v>0</v>
      </c>
      <c r="X932" t="b">
        <v>0</v>
      </c>
      <c r="Y932" t="n">
        <v>0.15</v>
      </c>
    </row>
    <row r="933">
      <c r="A933" t="inlineStr">
        <is>
          <t>O00932</t>
        </is>
      </c>
      <c r="B933" t="inlineStr">
        <is>
          <t>C0129</t>
        </is>
      </c>
      <c r="C933" t="inlineStr">
        <is>
          <t>S003</t>
        </is>
      </c>
      <c r="D933" t="inlineStr">
        <is>
          <t>R078</t>
        </is>
      </c>
      <c r="E933" s="3" t="n">
        <v>46279.49097222222</v>
      </c>
      <c r="F933" s="3" t="n">
        <v>46279.49784722222</v>
      </c>
      <c r="G933" s="3" t="n">
        <v>46279.50319444444</v>
      </c>
      <c r="H933" t="inlineStr">
        <is>
          <t>Delivered</t>
        </is>
      </c>
      <c r="I933" t="n">
        <v>3</v>
      </c>
      <c r="J933" t="n">
        <v>10</v>
      </c>
      <c r="K933" t="n">
        <v>856.77</v>
      </c>
      <c r="L933" t="n">
        <v>1.31</v>
      </c>
      <c r="M933" t="n">
        <v>5.8</v>
      </c>
      <c r="N933" t="n">
        <v>7.5</v>
      </c>
      <c r="O933" t="n">
        <v>4.4</v>
      </c>
      <c r="P933" t="n">
        <v>9.9</v>
      </c>
      <c r="Q933" t="n">
        <v>17.6</v>
      </c>
      <c r="R933" t="n">
        <v>7.7</v>
      </c>
      <c r="S933" t="b">
        <v>0</v>
      </c>
      <c r="U933" t="n">
        <v>11</v>
      </c>
      <c r="V933" t="b">
        <v>0</v>
      </c>
      <c r="X933" t="b">
        <v>0</v>
      </c>
      <c r="Y933" t="n">
        <v>0.57</v>
      </c>
    </row>
    <row r="934">
      <c r="A934" t="inlineStr">
        <is>
          <t>O00933</t>
        </is>
      </c>
      <c r="B934" t="inlineStr">
        <is>
          <t>C0223</t>
        </is>
      </c>
      <c r="C934" t="inlineStr">
        <is>
          <t>S007</t>
        </is>
      </c>
      <c r="D934" t="inlineStr">
        <is>
          <t>R013</t>
        </is>
      </c>
      <c r="E934" s="3" t="n">
        <v>46279.40208333333</v>
      </c>
      <c r="F934" s="3" t="n">
        <v>46279.40875</v>
      </c>
      <c r="G934" s="3" t="n">
        <v>46279.41368055555</v>
      </c>
      <c r="H934" t="inlineStr">
        <is>
          <t>Delivered</t>
        </is>
      </c>
      <c r="I934" t="n">
        <v>6</v>
      </c>
      <c r="J934" t="n">
        <v>7</v>
      </c>
      <c r="K934" t="n">
        <v>443.26</v>
      </c>
      <c r="L934" t="n">
        <v>0.97</v>
      </c>
      <c r="M934" t="n">
        <v>5.1</v>
      </c>
      <c r="N934" t="n">
        <v>7.9</v>
      </c>
      <c r="O934" t="n">
        <v>3.8</v>
      </c>
      <c r="P934" t="n">
        <v>9.6</v>
      </c>
      <c r="Q934" t="n">
        <v>16.7</v>
      </c>
      <c r="R934" t="n">
        <v>7.1</v>
      </c>
      <c r="S934" t="b">
        <v>0</v>
      </c>
      <c r="U934" t="n">
        <v>9</v>
      </c>
      <c r="V934" t="b">
        <v>0</v>
      </c>
      <c r="X934" t="b">
        <v>0</v>
      </c>
      <c r="Y934" t="n">
        <v>0.58</v>
      </c>
    </row>
    <row r="935">
      <c r="A935" t="inlineStr">
        <is>
          <t>O00934</t>
        </is>
      </c>
      <c r="B935" t="inlineStr">
        <is>
          <t>C0243</t>
        </is>
      </c>
      <c r="C935" t="inlineStr">
        <is>
          <t>S013</t>
        </is>
      </c>
      <c r="D935" t="inlineStr">
        <is>
          <t>R036</t>
        </is>
      </c>
      <c r="E935" s="3" t="n">
        <v>46277.38541666666</v>
      </c>
      <c r="F935" s="3" t="n">
        <v>46277.39333333333</v>
      </c>
      <c r="G935" s="3" t="n">
        <v>46277.39305555556</v>
      </c>
      <c r="H935" t="inlineStr">
        <is>
          <t>Delivered</t>
        </is>
      </c>
      <c r="I935" t="n">
        <v>1</v>
      </c>
      <c r="J935" t="n">
        <v>11</v>
      </c>
      <c r="K935" t="n">
        <v>651.41</v>
      </c>
      <c r="L935" t="n">
        <v>2.64</v>
      </c>
      <c r="M935" t="n">
        <v>4.1</v>
      </c>
      <c r="N935" t="n">
        <v>0.7</v>
      </c>
      <c r="O935" t="n">
        <v>6.2</v>
      </c>
      <c r="P935" t="n">
        <v>11.4</v>
      </c>
      <c r="Q935" t="n">
        <v>11</v>
      </c>
      <c r="R935" t="n">
        <v>-0.4</v>
      </c>
      <c r="S935" t="b">
        <v>1</v>
      </c>
      <c r="U935" t="n">
        <v>9</v>
      </c>
      <c r="V935" t="b">
        <v>0</v>
      </c>
      <c r="W935" t="inlineStr">
        <is>
          <t>Heavy</t>
        </is>
      </c>
      <c r="X935" t="b">
        <v>0</v>
      </c>
      <c r="Y935" t="n">
        <v>0.7</v>
      </c>
    </row>
    <row r="936">
      <c r="A936" t="inlineStr">
        <is>
          <t>O00935</t>
        </is>
      </c>
      <c r="B936" t="inlineStr">
        <is>
          <t>C0126</t>
        </is>
      </c>
      <c r="C936" t="inlineStr">
        <is>
          <t>S018</t>
        </is>
      </c>
      <c r="D936" t="inlineStr">
        <is>
          <t>R043</t>
        </is>
      </c>
      <c r="E936" s="3" t="n">
        <v>46268.75347222222</v>
      </c>
      <c r="F936" s="3" t="n">
        <v>46268.75930555556</v>
      </c>
      <c r="G936" s="3" t="n">
        <v>46268.75909722222</v>
      </c>
      <c r="H936" t="inlineStr">
        <is>
          <t>Delivered</t>
        </is>
      </c>
      <c r="I936" t="n">
        <v>4</v>
      </c>
      <c r="J936" t="n">
        <v>8</v>
      </c>
      <c r="K936" t="n">
        <v>756.0599999999999</v>
      </c>
      <c r="L936" t="n">
        <v>0.5</v>
      </c>
      <c r="M936" t="n">
        <v>4.7</v>
      </c>
      <c r="N936" t="n">
        <v>1.2</v>
      </c>
      <c r="O936" t="n">
        <v>2.2</v>
      </c>
      <c r="P936" t="n">
        <v>8.4</v>
      </c>
      <c r="Q936" t="n">
        <v>8.1</v>
      </c>
      <c r="R936" t="n">
        <v>-0.3</v>
      </c>
      <c r="S936" t="b">
        <v>1</v>
      </c>
      <c r="U936" t="n">
        <v>18</v>
      </c>
      <c r="V936" t="b">
        <v>0</v>
      </c>
      <c r="X936" t="b">
        <v>0</v>
      </c>
      <c r="Y936" t="n">
        <v>0.48</v>
      </c>
    </row>
    <row r="937">
      <c r="A937" t="inlineStr">
        <is>
          <t>O00936</t>
        </is>
      </c>
      <c r="B937" t="inlineStr">
        <is>
          <t>C0198</t>
        </is>
      </c>
      <c r="C937" t="inlineStr">
        <is>
          <t>S005</t>
        </is>
      </c>
      <c r="D937" t="inlineStr">
        <is>
          <t>R039</t>
        </is>
      </c>
      <c r="E937" s="3" t="n">
        <v>46277.86458333334</v>
      </c>
      <c r="F937" s="3" t="n">
        <v>46277.87083333333</v>
      </c>
      <c r="G937" s="3" t="n">
        <v>46277.87020833333</v>
      </c>
      <c r="H937" t="inlineStr">
        <is>
          <t>Delivered</t>
        </is>
      </c>
      <c r="I937" t="n">
        <v>1</v>
      </c>
      <c r="J937" t="n">
        <v>7</v>
      </c>
      <c r="K937" t="n">
        <v>485.47</v>
      </c>
      <c r="L937" t="n">
        <v>3.3</v>
      </c>
      <c r="M937" t="n">
        <v>2.4</v>
      </c>
      <c r="N937" t="n">
        <v>2.9</v>
      </c>
      <c r="O937" t="n">
        <v>2.8</v>
      </c>
      <c r="P937" t="n">
        <v>9</v>
      </c>
      <c r="Q937" t="n">
        <v>8.1</v>
      </c>
      <c r="R937" t="n">
        <v>-0.9</v>
      </c>
      <c r="S937" t="b">
        <v>1</v>
      </c>
      <c r="U937" t="n">
        <v>20</v>
      </c>
      <c r="V937" t="b">
        <v>1</v>
      </c>
      <c r="X937" t="b">
        <v>0</v>
      </c>
      <c r="Y937" t="n">
        <v>0.62</v>
      </c>
    </row>
    <row r="938">
      <c r="A938" t="inlineStr">
        <is>
          <t>O00937</t>
        </is>
      </c>
      <c r="B938" t="inlineStr">
        <is>
          <t>C0157</t>
        </is>
      </c>
      <c r="C938" t="inlineStr">
        <is>
          <t>S017</t>
        </is>
      </c>
      <c r="D938" t="inlineStr">
        <is>
          <t>R074</t>
        </is>
      </c>
      <c r="E938" s="3" t="n">
        <v>46267.54722222222</v>
      </c>
      <c r="F938" s="3" t="n">
        <v>46267.55548611111</v>
      </c>
      <c r="G938" s="3" t="n">
        <v>46267.55513888889</v>
      </c>
      <c r="H938" t="inlineStr">
        <is>
          <t>Delivered</t>
        </is>
      </c>
      <c r="I938" t="n">
        <v>1</v>
      </c>
      <c r="J938" t="n">
        <v>10</v>
      </c>
      <c r="K938" t="n">
        <v>1253.08</v>
      </c>
      <c r="L938" t="n">
        <v>1.71</v>
      </c>
      <c r="M938" t="n">
        <v>2.6</v>
      </c>
      <c r="N938" t="n">
        <v>3.2</v>
      </c>
      <c r="O938" t="n">
        <v>5.6</v>
      </c>
      <c r="P938" t="n">
        <v>11.9</v>
      </c>
      <c r="Q938" t="n">
        <v>11.4</v>
      </c>
      <c r="R938" t="n">
        <v>-0.5</v>
      </c>
      <c r="S938" t="b">
        <v>1</v>
      </c>
      <c r="U938" t="n">
        <v>13</v>
      </c>
      <c r="V938" t="b">
        <v>0</v>
      </c>
      <c r="X938" t="b">
        <v>1</v>
      </c>
      <c r="Y938" t="n">
        <v>0.52</v>
      </c>
    </row>
    <row r="939">
      <c r="A939" t="inlineStr">
        <is>
          <t>O00938</t>
        </is>
      </c>
      <c r="B939" t="inlineStr">
        <is>
          <t>C0232</t>
        </is>
      </c>
      <c r="C939" t="inlineStr">
        <is>
          <t>S009</t>
        </is>
      </c>
      <c r="D939" t="inlineStr">
        <is>
          <t>R007</t>
        </is>
      </c>
      <c r="E939" s="3" t="n">
        <v>46276.73333333333</v>
      </c>
      <c r="F939" s="3" t="n">
        <v>46276.74173611111</v>
      </c>
      <c r="G939" s="3" t="n">
        <v>46276.74</v>
      </c>
      <c r="H939" t="inlineStr">
        <is>
          <t>Delivered</t>
        </is>
      </c>
      <c r="I939" t="n">
        <v>6</v>
      </c>
      <c r="J939" t="n">
        <v>11</v>
      </c>
      <c r="K939" t="n">
        <v>1017.47</v>
      </c>
      <c r="L939" t="n">
        <v>1.55</v>
      </c>
      <c r="M939" t="n">
        <v>3.7</v>
      </c>
      <c r="N939" t="n">
        <v>1.6</v>
      </c>
      <c r="O939" t="n">
        <v>4.3</v>
      </c>
      <c r="P939" t="n">
        <v>12.1</v>
      </c>
      <c r="Q939" t="n">
        <v>9.6</v>
      </c>
      <c r="R939" t="n">
        <v>-2.5</v>
      </c>
      <c r="S939" t="b">
        <v>1</v>
      </c>
      <c r="U939" t="n">
        <v>17</v>
      </c>
      <c r="V939" t="b">
        <v>0</v>
      </c>
      <c r="X939" t="b">
        <v>0</v>
      </c>
      <c r="Y939" t="n">
        <v>0.18</v>
      </c>
    </row>
    <row r="940">
      <c r="A940" t="inlineStr">
        <is>
          <t>O00939</t>
        </is>
      </c>
      <c r="B940" t="inlineStr">
        <is>
          <t>C0136</t>
        </is>
      </c>
      <c r="C940" t="inlineStr">
        <is>
          <t>S019</t>
        </is>
      </c>
      <c r="D940" t="inlineStr">
        <is>
          <t>R056</t>
        </is>
      </c>
      <c r="E940" s="3" t="n">
        <v>46277.49375</v>
      </c>
      <c r="F940" s="3" t="n">
        <v>46277.50166666666</v>
      </c>
      <c r="G940" s="3" t="n">
        <v>46277.50083333333</v>
      </c>
      <c r="H940" t="inlineStr">
        <is>
          <t>Delivered</t>
        </is>
      </c>
      <c r="I940" t="n">
        <v>6</v>
      </c>
      <c r="J940" t="n">
        <v>9</v>
      </c>
      <c r="K940" t="n">
        <v>1673.65</v>
      </c>
      <c r="L940" t="n">
        <v>2.5</v>
      </c>
      <c r="M940" t="n">
        <v>3.4</v>
      </c>
      <c r="N940" t="n">
        <v>2.3</v>
      </c>
      <c r="O940" t="n">
        <v>4.5</v>
      </c>
      <c r="P940" t="n">
        <v>11.4</v>
      </c>
      <c r="Q940" t="n">
        <v>10.2</v>
      </c>
      <c r="R940" t="n">
        <v>-1.2</v>
      </c>
      <c r="S940" t="b">
        <v>1</v>
      </c>
      <c r="U940" t="n">
        <v>11</v>
      </c>
      <c r="V940" t="b">
        <v>0</v>
      </c>
      <c r="W940" t="inlineStr">
        <is>
          <t>Light</t>
        </is>
      </c>
      <c r="X940" t="b">
        <v>0</v>
      </c>
      <c r="Y940" t="n">
        <v>0.78</v>
      </c>
    </row>
    <row r="941">
      <c r="A941" t="inlineStr">
        <is>
          <t>O00940</t>
        </is>
      </c>
      <c r="B941" t="inlineStr">
        <is>
          <t>C0094</t>
        </is>
      </c>
      <c r="C941" t="inlineStr">
        <is>
          <t>S019</t>
        </is>
      </c>
      <c r="E941" s="3" t="n">
        <v>46276.99930555555</v>
      </c>
      <c r="F941" s="3" t="n">
        <v>46277.00708333333</v>
      </c>
      <c r="H941" t="inlineStr">
        <is>
          <t>Cancelled</t>
        </is>
      </c>
      <c r="I941" t="n">
        <v>2</v>
      </c>
      <c r="J941" t="n">
        <v>7</v>
      </c>
      <c r="K941" t="n">
        <v>711.27</v>
      </c>
      <c r="L941" t="n">
        <v>0.61</v>
      </c>
      <c r="M941" t="n">
        <v>3.7</v>
      </c>
      <c r="N941" t="n">
        <v>3.9</v>
      </c>
      <c r="O941" t="n">
        <v>3.5</v>
      </c>
      <c r="P941" t="n">
        <v>11.2</v>
      </c>
      <c r="T941" t="inlineStr">
        <is>
          <t>Payment issue</t>
        </is>
      </c>
      <c r="U941" t="n">
        <v>23</v>
      </c>
      <c r="V941" t="b">
        <v>0</v>
      </c>
      <c r="W941" t="inlineStr">
        <is>
          <t>Light</t>
        </is>
      </c>
      <c r="X941" t="b">
        <v>0</v>
      </c>
      <c r="Y941" t="n">
        <v>0.51</v>
      </c>
    </row>
    <row r="942">
      <c r="A942" t="inlineStr">
        <is>
          <t>O00941</t>
        </is>
      </c>
      <c r="B942" t="inlineStr">
        <is>
          <t>C0201</t>
        </is>
      </c>
      <c r="C942" t="inlineStr">
        <is>
          <t>S013</t>
        </is>
      </c>
      <c r="D942" t="inlineStr">
        <is>
          <t>R066</t>
        </is>
      </c>
      <c r="E942" s="3" t="n">
        <v>46275.86736111111</v>
      </c>
      <c r="F942" s="3" t="n">
        <v>46275.87340277778</v>
      </c>
      <c r="G942" s="3" t="n">
        <v>46275.87319444444</v>
      </c>
      <c r="H942" t="inlineStr">
        <is>
          <t>Delivered</t>
        </is>
      </c>
      <c r="I942" t="n">
        <v>2</v>
      </c>
      <c r="J942" t="n">
        <v>12</v>
      </c>
      <c r="K942" t="n">
        <v>1024.68</v>
      </c>
      <c r="L942" t="n">
        <v>0.89</v>
      </c>
      <c r="M942" t="n">
        <v>2.7</v>
      </c>
      <c r="N942" t="n">
        <v>4.1</v>
      </c>
      <c r="O942" t="n">
        <v>1.6</v>
      </c>
      <c r="P942" t="n">
        <v>8.699999999999999</v>
      </c>
      <c r="Q942" t="n">
        <v>8.4</v>
      </c>
      <c r="R942" t="n">
        <v>-0.3</v>
      </c>
      <c r="S942" t="b">
        <v>1</v>
      </c>
      <c r="U942" t="n">
        <v>20</v>
      </c>
      <c r="V942" t="b">
        <v>1</v>
      </c>
      <c r="X942" t="b">
        <v>0</v>
      </c>
      <c r="Y942" t="n">
        <v>0.79</v>
      </c>
    </row>
    <row r="943">
      <c r="A943" t="inlineStr">
        <is>
          <t>O00942</t>
        </is>
      </c>
      <c r="B943" t="inlineStr">
        <is>
          <t>C0160</t>
        </is>
      </c>
      <c r="C943" t="inlineStr">
        <is>
          <t>S011</t>
        </is>
      </c>
      <c r="D943" t="inlineStr">
        <is>
          <t>R050</t>
        </is>
      </c>
      <c r="E943" s="3" t="n">
        <v>46267.69375</v>
      </c>
      <c r="F943" s="3" t="n">
        <v>46267.70118055555</v>
      </c>
      <c r="G943" s="3" t="n">
        <v>46267.70555555556</v>
      </c>
      <c r="H943" t="inlineStr">
        <is>
          <t>Delivered</t>
        </is>
      </c>
      <c r="I943" t="n">
        <v>1</v>
      </c>
      <c r="J943" t="n">
        <v>12</v>
      </c>
      <c r="K943" t="n">
        <v>1355.34</v>
      </c>
      <c r="L943" t="n">
        <v>2.05</v>
      </c>
      <c r="M943" t="n">
        <v>5.6</v>
      </c>
      <c r="N943" t="n">
        <v>3.6</v>
      </c>
      <c r="O943" t="n">
        <v>7.8</v>
      </c>
      <c r="P943" t="n">
        <v>10.7</v>
      </c>
      <c r="Q943" t="n">
        <v>17</v>
      </c>
      <c r="R943" t="n">
        <v>6.3</v>
      </c>
      <c r="S943" t="b">
        <v>0</v>
      </c>
      <c r="U943" t="n">
        <v>16</v>
      </c>
      <c r="V943" t="b">
        <v>0</v>
      </c>
      <c r="W943" t="inlineStr">
        <is>
          <t>Light</t>
        </is>
      </c>
      <c r="X943" t="b">
        <v>0</v>
      </c>
      <c r="Y943" t="n">
        <v>0.7</v>
      </c>
    </row>
    <row r="944">
      <c r="A944" t="inlineStr">
        <is>
          <t>O00943</t>
        </is>
      </c>
      <c r="B944" t="inlineStr">
        <is>
          <t>C0079</t>
        </is>
      </c>
      <c r="C944" t="inlineStr">
        <is>
          <t>S014</t>
        </is>
      </c>
      <c r="D944" t="inlineStr">
        <is>
          <t>R076</t>
        </is>
      </c>
      <c r="E944" s="3" t="n">
        <v>46278.73541666667</v>
      </c>
      <c r="F944" s="3" t="n">
        <v>46278.74201388889</v>
      </c>
      <c r="G944" s="3" t="n">
        <v>46278.74138888889</v>
      </c>
      <c r="H944" t="inlineStr">
        <is>
          <t>Delivered</t>
        </is>
      </c>
      <c r="I944" t="n">
        <v>2</v>
      </c>
      <c r="J944" t="n">
        <v>8</v>
      </c>
      <c r="K944" t="n">
        <v>993.92</v>
      </c>
      <c r="L944" t="n">
        <v>3.3</v>
      </c>
      <c r="M944" t="n">
        <v>2.6</v>
      </c>
      <c r="N944" t="n">
        <v>1.7</v>
      </c>
      <c r="O944" t="n">
        <v>4.3</v>
      </c>
      <c r="P944" t="n">
        <v>9.5</v>
      </c>
      <c r="Q944" t="n">
        <v>8.6</v>
      </c>
      <c r="R944" t="n">
        <v>-0.9</v>
      </c>
      <c r="S944" t="b">
        <v>1</v>
      </c>
      <c r="U944" t="n">
        <v>17</v>
      </c>
      <c r="V944" t="b">
        <v>0</v>
      </c>
      <c r="X944" t="b">
        <v>0</v>
      </c>
      <c r="Y944" t="n">
        <v>0.36</v>
      </c>
    </row>
    <row r="945">
      <c r="A945" t="inlineStr">
        <is>
          <t>O00944</t>
        </is>
      </c>
      <c r="B945" t="inlineStr">
        <is>
          <t>C0136</t>
        </is>
      </c>
      <c r="C945" t="inlineStr">
        <is>
          <t>S014</t>
        </is>
      </c>
      <c r="D945" t="inlineStr">
        <is>
          <t>R031</t>
        </is>
      </c>
      <c r="E945" s="3" t="n">
        <v>46273.83958333333</v>
      </c>
      <c r="F945" s="3" t="n">
        <v>46273.84548611111</v>
      </c>
      <c r="G945" s="3" t="n">
        <v>46273.84493055556</v>
      </c>
      <c r="H945" t="inlineStr">
        <is>
          <t>Delivered</t>
        </is>
      </c>
      <c r="I945" t="n">
        <v>1</v>
      </c>
      <c r="J945" t="n">
        <v>5</v>
      </c>
      <c r="K945" t="n">
        <v>678.6900000000001</v>
      </c>
      <c r="L945" t="n">
        <v>1.29</v>
      </c>
      <c r="M945" t="n">
        <v>2</v>
      </c>
      <c r="N945" t="n">
        <v>4.1</v>
      </c>
      <c r="O945" t="n">
        <v>1.6</v>
      </c>
      <c r="P945" t="n">
        <v>8.5</v>
      </c>
      <c r="Q945" t="n">
        <v>7.7</v>
      </c>
      <c r="R945" t="n">
        <v>-0.8</v>
      </c>
      <c r="S945" t="b">
        <v>1</v>
      </c>
      <c r="U945" t="n">
        <v>20</v>
      </c>
      <c r="V945" t="b">
        <v>1</v>
      </c>
      <c r="W945" t="inlineStr">
        <is>
          <t>Light</t>
        </is>
      </c>
      <c r="X945" t="b">
        <v>0</v>
      </c>
      <c r="Y945" t="n">
        <v>0.4</v>
      </c>
    </row>
    <row r="946">
      <c r="A946" t="inlineStr">
        <is>
          <t>O00945</t>
        </is>
      </c>
      <c r="B946" t="inlineStr">
        <is>
          <t>C0024</t>
        </is>
      </c>
      <c r="C946" t="inlineStr">
        <is>
          <t>S009</t>
        </is>
      </c>
      <c r="D946" t="inlineStr">
        <is>
          <t>R056</t>
        </is>
      </c>
      <c r="E946" s="3" t="n">
        <v>46279.36319444444</v>
      </c>
      <c r="F946" s="3" t="n">
        <v>46279.37020833333</v>
      </c>
      <c r="G946" s="3" t="n">
        <v>46279.36958333333</v>
      </c>
      <c r="H946" t="inlineStr">
        <is>
          <t>Delivered</t>
        </is>
      </c>
      <c r="I946" t="n">
        <v>2</v>
      </c>
      <c r="J946" t="n">
        <v>7</v>
      </c>
      <c r="K946" t="n">
        <v>1554.1</v>
      </c>
      <c r="L946" t="n">
        <v>0.91</v>
      </c>
      <c r="M946" t="n">
        <v>4</v>
      </c>
      <c r="N946" t="n">
        <v>1.9</v>
      </c>
      <c r="O946" t="n">
        <v>3.3</v>
      </c>
      <c r="P946" t="n">
        <v>10.1</v>
      </c>
      <c r="Q946" t="n">
        <v>9.199999999999999</v>
      </c>
      <c r="R946" t="n">
        <v>-0.9</v>
      </c>
      <c r="S946" t="b">
        <v>1</v>
      </c>
      <c r="U946" t="n">
        <v>8</v>
      </c>
      <c r="V946" t="b">
        <v>0</v>
      </c>
      <c r="X946" t="b">
        <v>0</v>
      </c>
      <c r="Y946" t="n">
        <v>0.49</v>
      </c>
    </row>
    <row r="947">
      <c r="A947" t="inlineStr">
        <is>
          <t>O00946</t>
        </is>
      </c>
      <c r="B947" t="inlineStr">
        <is>
          <t>C0151</t>
        </is>
      </c>
      <c r="C947" t="inlineStr">
        <is>
          <t>S011</t>
        </is>
      </c>
      <c r="D947" t="inlineStr">
        <is>
          <t>R022</t>
        </is>
      </c>
      <c r="E947" s="3" t="n">
        <v>46274.525</v>
      </c>
      <c r="F947" s="3" t="n">
        <v>46274.53104166667</v>
      </c>
      <c r="G947" s="3" t="n">
        <v>46274.53409722223</v>
      </c>
      <c r="H947" t="inlineStr">
        <is>
          <t>Delivered</t>
        </is>
      </c>
      <c r="I947" t="n">
        <v>1</v>
      </c>
      <c r="J947" t="n">
        <v>13</v>
      </c>
      <c r="K947" t="n">
        <v>670.5</v>
      </c>
      <c r="L947" t="n">
        <v>1.21</v>
      </c>
      <c r="M947" t="n">
        <v>6</v>
      </c>
      <c r="N947" t="n">
        <v>3.9</v>
      </c>
      <c r="O947" t="n">
        <v>3.3</v>
      </c>
      <c r="P947" t="n">
        <v>8.699999999999999</v>
      </c>
      <c r="Q947" t="n">
        <v>13.1</v>
      </c>
      <c r="R947" t="n">
        <v>4.4</v>
      </c>
      <c r="S947" t="b">
        <v>0</v>
      </c>
      <c r="U947" t="n">
        <v>12</v>
      </c>
      <c r="V947" t="b">
        <v>0</v>
      </c>
      <c r="X947" t="b">
        <v>0</v>
      </c>
      <c r="Y947" t="n">
        <v>0.18</v>
      </c>
    </row>
    <row r="948">
      <c r="A948" t="inlineStr">
        <is>
          <t>O00947</t>
        </is>
      </c>
      <c r="B948" t="inlineStr">
        <is>
          <t>C0197</t>
        </is>
      </c>
      <c r="C948" t="inlineStr">
        <is>
          <t>S011</t>
        </is>
      </c>
      <c r="D948" t="inlineStr">
        <is>
          <t>R032</t>
        </is>
      </c>
      <c r="E948" s="3" t="n">
        <v>46275.76180555556</v>
      </c>
      <c r="F948" s="3" t="n">
        <v>46275.76958333333</v>
      </c>
      <c r="G948" s="3" t="n">
        <v>46275.76944444444</v>
      </c>
      <c r="H948" t="inlineStr">
        <is>
          <t>Delivered</t>
        </is>
      </c>
      <c r="I948" t="n">
        <v>2</v>
      </c>
      <c r="J948" t="n">
        <v>3</v>
      </c>
      <c r="K948" t="n">
        <v>772.49</v>
      </c>
      <c r="L948" t="n">
        <v>1.6</v>
      </c>
      <c r="M948" t="n">
        <v>3.9</v>
      </c>
      <c r="N948" t="n">
        <v>3.5</v>
      </c>
      <c r="O948" t="n">
        <v>3.6</v>
      </c>
      <c r="P948" t="n">
        <v>11.2</v>
      </c>
      <c r="Q948" t="n">
        <v>11</v>
      </c>
      <c r="R948" t="n">
        <v>-0.2</v>
      </c>
      <c r="S948" t="b">
        <v>1</v>
      </c>
      <c r="U948" t="n">
        <v>18</v>
      </c>
      <c r="V948" t="b">
        <v>0</v>
      </c>
      <c r="X948" t="b">
        <v>0</v>
      </c>
      <c r="Y948" t="n">
        <v>0.37</v>
      </c>
    </row>
    <row r="949">
      <c r="A949" t="inlineStr">
        <is>
          <t>O00948</t>
        </is>
      </c>
      <c r="B949" t="inlineStr">
        <is>
          <t>C0010</t>
        </is>
      </c>
      <c r="C949" t="inlineStr">
        <is>
          <t>S017</t>
        </is>
      </c>
      <c r="D949" t="inlineStr">
        <is>
          <t>R005</t>
        </is>
      </c>
      <c r="E949" s="3" t="n">
        <v>46269.89513888889</v>
      </c>
      <c r="F949" s="3" t="n">
        <v>46269.90166666666</v>
      </c>
      <c r="G949" s="3" t="n">
        <v>46269.90097222223</v>
      </c>
      <c r="H949" t="inlineStr">
        <is>
          <t>Delivered</t>
        </is>
      </c>
      <c r="I949" t="n">
        <v>5</v>
      </c>
      <c r="J949" t="n">
        <v>5</v>
      </c>
      <c r="K949" t="n">
        <v>1619.17</v>
      </c>
      <c r="L949" t="n">
        <v>0.5</v>
      </c>
      <c r="M949" t="n">
        <v>2.6</v>
      </c>
      <c r="N949" t="n">
        <v>2.9</v>
      </c>
      <c r="O949" t="n">
        <v>2.9</v>
      </c>
      <c r="P949" t="n">
        <v>9.4</v>
      </c>
      <c r="Q949" t="n">
        <v>8.4</v>
      </c>
      <c r="R949" t="n">
        <v>-1</v>
      </c>
      <c r="S949" t="b">
        <v>1</v>
      </c>
      <c r="U949" t="n">
        <v>21</v>
      </c>
      <c r="V949" t="b">
        <v>1</v>
      </c>
      <c r="X949" t="b">
        <v>0</v>
      </c>
      <c r="Y949" t="n">
        <v>1</v>
      </c>
    </row>
    <row r="950">
      <c r="A950" t="inlineStr">
        <is>
          <t>O00949</t>
        </is>
      </c>
      <c r="B950" t="inlineStr">
        <is>
          <t>C0108</t>
        </is>
      </c>
      <c r="C950" t="inlineStr">
        <is>
          <t>S016</t>
        </is>
      </c>
      <c r="D950" t="inlineStr">
        <is>
          <t>R059</t>
        </is>
      </c>
      <c r="E950" s="3" t="n">
        <v>46269.82569444444</v>
      </c>
      <c r="F950" s="3" t="n">
        <v>46269.83277777778</v>
      </c>
      <c r="G950" s="3" t="n">
        <v>46269.83986111111</v>
      </c>
      <c r="H950" t="inlineStr">
        <is>
          <t>Delivered</t>
        </is>
      </c>
      <c r="I950" t="n">
        <v>1</v>
      </c>
      <c r="J950" t="n">
        <v>8</v>
      </c>
      <c r="K950" t="n">
        <v>1649.06</v>
      </c>
      <c r="L950" t="n">
        <v>1.75</v>
      </c>
      <c r="M950" t="n">
        <v>6.5</v>
      </c>
      <c r="N950" t="n">
        <v>8.9</v>
      </c>
      <c r="O950" t="n">
        <v>4.9</v>
      </c>
      <c r="P950" t="n">
        <v>10.2</v>
      </c>
      <c r="Q950" t="n">
        <v>20.4</v>
      </c>
      <c r="R950" t="n">
        <v>10.2</v>
      </c>
      <c r="S950" t="b">
        <v>0</v>
      </c>
      <c r="U950" t="n">
        <v>19</v>
      </c>
      <c r="V950" t="b">
        <v>1</v>
      </c>
      <c r="X950" t="b">
        <v>0</v>
      </c>
      <c r="Y950" t="n">
        <v>0.57</v>
      </c>
    </row>
    <row r="951">
      <c r="A951" t="inlineStr">
        <is>
          <t>O00950</t>
        </is>
      </c>
      <c r="B951" t="inlineStr">
        <is>
          <t>C0099</t>
        </is>
      </c>
      <c r="C951" t="inlineStr">
        <is>
          <t>S007</t>
        </is>
      </c>
      <c r="D951" t="inlineStr">
        <is>
          <t>R035</t>
        </is>
      </c>
      <c r="E951" s="3" t="n">
        <v>46269.56458333333</v>
      </c>
      <c r="F951" s="3" t="n">
        <v>46269.57180555556</v>
      </c>
      <c r="G951" s="3" t="n">
        <v>46269.57125</v>
      </c>
      <c r="H951" t="inlineStr">
        <is>
          <t>Delivered</t>
        </is>
      </c>
      <c r="I951" t="n">
        <v>1</v>
      </c>
      <c r="J951" t="n">
        <v>5</v>
      </c>
      <c r="K951" t="n">
        <v>979.64</v>
      </c>
      <c r="L951" t="n">
        <v>2.24</v>
      </c>
      <c r="M951" t="n">
        <v>2</v>
      </c>
      <c r="N951" t="n">
        <v>4.2</v>
      </c>
      <c r="O951" t="n">
        <v>3.4</v>
      </c>
      <c r="P951" t="n">
        <v>10.4</v>
      </c>
      <c r="Q951" t="n">
        <v>9.6</v>
      </c>
      <c r="R951" t="n">
        <v>-0.8</v>
      </c>
      <c r="S951" t="b">
        <v>1</v>
      </c>
      <c r="U951" t="n">
        <v>13</v>
      </c>
      <c r="V951" t="b">
        <v>0</v>
      </c>
      <c r="X951" t="b">
        <v>0</v>
      </c>
      <c r="Y951" t="n">
        <v>0.52</v>
      </c>
    </row>
    <row r="952">
      <c r="A952" t="inlineStr">
        <is>
          <t>O00951</t>
        </is>
      </c>
      <c r="B952" t="inlineStr">
        <is>
          <t>C0230</t>
        </is>
      </c>
      <c r="C952" t="inlineStr">
        <is>
          <t>S018</t>
        </is>
      </c>
      <c r="D952" t="inlineStr">
        <is>
          <t>R079</t>
        </is>
      </c>
      <c r="E952" s="3" t="n">
        <v>46276.44513888889</v>
      </c>
      <c r="F952" s="3" t="n">
        <v>46276.45145833334</v>
      </c>
      <c r="G952" s="3" t="n">
        <v>46276.45368055555</v>
      </c>
      <c r="H952" t="inlineStr">
        <is>
          <t>Delivered</t>
        </is>
      </c>
      <c r="I952" t="n">
        <v>4</v>
      </c>
      <c r="J952" t="n">
        <v>7</v>
      </c>
      <c r="K952" t="n">
        <v>893.87</v>
      </c>
      <c r="L952" t="n">
        <v>1.8</v>
      </c>
      <c r="M952" t="n">
        <v>5.3</v>
      </c>
      <c r="N952" t="n">
        <v>2.3</v>
      </c>
      <c r="O952" t="n">
        <v>4.7</v>
      </c>
      <c r="P952" t="n">
        <v>9.1</v>
      </c>
      <c r="Q952" t="n">
        <v>12.3</v>
      </c>
      <c r="R952" t="n">
        <v>3.2</v>
      </c>
      <c r="S952" t="b">
        <v>0</v>
      </c>
      <c r="U952" t="n">
        <v>10</v>
      </c>
      <c r="V952" t="b">
        <v>0</v>
      </c>
      <c r="X952" t="b">
        <v>0</v>
      </c>
      <c r="Y952" t="n">
        <v>0.27</v>
      </c>
    </row>
    <row r="953">
      <c r="A953" t="inlineStr">
        <is>
          <t>O00952</t>
        </is>
      </c>
      <c r="B953" t="inlineStr">
        <is>
          <t>C0214</t>
        </is>
      </c>
      <c r="C953" t="inlineStr">
        <is>
          <t>S002</t>
        </is>
      </c>
      <c r="D953" t="inlineStr">
        <is>
          <t>R068</t>
        </is>
      </c>
      <c r="E953" s="3" t="n">
        <v>46270.43125</v>
      </c>
      <c r="F953" s="3" t="n">
        <v>46270.43951388889</v>
      </c>
      <c r="G953" s="3" t="n">
        <v>46270.43958333333</v>
      </c>
      <c r="H953" t="inlineStr">
        <is>
          <t>Delivered</t>
        </is>
      </c>
      <c r="I953" t="n">
        <v>6</v>
      </c>
      <c r="J953" t="n">
        <v>6</v>
      </c>
      <c r="K953" t="n">
        <v>1235.8</v>
      </c>
      <c r="L953" t="n">
        <v>1.36</v>
      </c>
      <c r="M953" t="n">
        <v>2.9</v>
      </c>
      <c r="N953" t="n">
        <v>5.1</v>
      </c>
      <c r="O953" t="n">
        <v>4</v>
      </c>
      <c r="P953" t="n">
        <v>11.9</v>
      </c>
      <c r="Q953" t="n">
        <v>12</v>
      </c>
      <c r="R953" t="n">
        <v>0.1</v>
      </c>
      <c r="S953" t="b">
        <v>0</v>
      </c>
      <c r="U953" t="n">
        <v>10</v>
      </c>
      <c r="V953" t="b">
        <v>0</v>
      </c>
      <c r="X953" t="b">
        <v>0</v>
      </c>
      <c r="Y953" t="n">
        <v>0.23</v>
      </c>
    </row>
    <row r="954">
      <c r="A954" t="inlineStr">
        <is>
          <t>O00953</t>
        </is>
      </c>
      <c r="B954" t="inlineStr">
        <is>
          <t>C0115</t>
        </is>
      </c>
      <c r="C954" t="inlineStr">
        <is>
          <t>S019</t>
        </is>
      </c>
      <c r="D954" t="inlineStr">
        <is>
          <t>R067</t>
        </is>
      </c>
      <c r="E954" s="3" t="n">
        <v>46271.33472222222</v>
      </c>
      <c r="F954" s="3" t="n">
        <v>46271.34145833334</v>
      </c>
      <c r="G954" s="3" t="n">
        <v>46271.34118055556</v>
      </c>
      <c r="H954" t="inlineStr">
        <is>
          <t>Delivered</t>
        </is>
      </c>
      <c r="I954" t="n">
        <v>4</v>
      </c>
      <c r="J954" t="n">
        <v>10</v>
      </c>
      <c r="K954" t="n">
        <v>1409.31</v>
      </c>
      <c r="L954" t="n">
        <v>2</v>
      </c>
      <c r="M954" t="n">
        <v>3.1</v>
      </c>
      <c r="N954" t="n">
        <v>2.6</v>
      </c>
      <c r="O954" t="n">
        <v>3.6</v>
      </c>
      <c r="P954" t="n">
        <v>9.699999999999999</v>
      </c>
      <c r="Q954" t="n">
        <v>9.300000000000001</v>
      </c>
      <c r="R954" t="n">
        <v>-0.4</v>
      </c>
      <c r="S954" t="b">
        <v>1</v>
      </c>
      <c r="U954" t="n">
        <v>8</v>
      </c>
      <c r="V954" t="b">
        <v>0</v>
      </c>
      <c r="W954" t="inlineStr">
        <is>
          <t>Light</t>
        </is>
      </c>
      <c r="X954" t="b">
        <v>0</v>
      </c>
      <c r="Y954" t="n">
        <v>0.34</v>
      </c>
    </row>
    <row r="955">
      <c r="A955" t="inlineStr">
        <is>
          <t>O00954</t>
        </is>
      </c>
      <c r="B955" t="inlineStr">
        <is>
          <t>C0110</t>
        </is>
      </c>
      <c r="C955" t="inlineStr">
        <is>
          <t>S006</t>
        </is>
      </c>
      <c r="D955" t="inlineStr">
        <is>
          <t>R036</t>
        </is>
      </c>
      <c r="E955" s="3" t="n">
        <v>46270.33680555555</v>
      </c>
      <c r="F955" s="3" t="n">
        <v>46270.34486111111</v>
      </c>
      <c r="G955" s="3" t="n">
        <v>46270.34409722222</v>
      </c>
      <c r="H955" t="inlineStr">
        <is>
          <t>Delivered</t>
        </is>
      </c>
      <c r="I955" t="n">
        <v>4</v>
      </c>
      <c r="J955" t="n">
        <v>4</v>
      </c>
      <c r="K955" t="n">
        <v>296.83</v>
      </c>
      <c r="L955" t="n">
        <v>2.46</v>
      </c>
      <c r="M955" t="n">
        <v>4.1</v>
      </c>
      <c r="N955" t="n">
        <v>1.1</v>
      </c>
      <c r="O955" t="n">
        <v>5.3</v>
      </c>
      <c r="P955" t="n">
        <v>11.6</v>
      </c>
      <c r="Q955" t="n">
        <v>10.5</v>
      </c>
      <c r="R955" t="n">
        <v>-1.1</v>
      </c>
      <c r="S955" t="b">
        <v>1</v>
      </c>
      <c r="U955" t="n">
        <v>8</v>
      </c>
      <c r="V955" t="b">
        <v>0</v>
      </c>
      <c r="W955" t="inlineStr">
        <is>
          <t>Light</t>
        </is>
      </c>
      <c r="X955" t="b">
        <v>0</v>
      </c>
      <c r="Y955" t="n">
        <v>0.53</v>
      </c>
    </row>
    <row r="956">
      <c r="A956" t="inlineStr">
        <is>
          <t>O00955</t>
        </is>
      </c>
      <c r="B956" t="inlineStr">
        <is>
          <t>C0122</t>
        </is>
      </c>
      <c r="C956" t="inlineStr">
        <is>
          <t>S015</t>
        </is>
      </c>
      <c r="D956" t="inlineStr">
        <is>
          <t>R080</t>
        </is>
      </c>
      <c r="E956" s="3" t="n">
        <v>46269.63402777778</v>
      </c>
      <c r="F956" s="3" t="n">
        <v>46269.64076388889</v>
      </c>
      <c r="G956" s="3" t="n">
        <v>46269.64020833333</v>
      </c>
      <c r="H956" t="inlineStr">
        <is>
          <t>Delivered</t>
        </is>
      </c>
      <c r="I956" t="n">
        <v>6</v>
      </c>
      <c r="J956" t="n">
        <v>10</v>
      </c>
      <c r="K956" t="n">
        <v>964.26</v>
      </c>
      <c r="L956" t="n">
        <v>1.1</v>
      </c>
      <c r="M956" t="n">
        <v>4</v>
      </c>
      <c r="N956" t="n">
        <v>1.3</v>
      </c>
      <c r="O956" t="n">
        <v>3.6</v>
      </c>
      <c r="P956" t="n">
        <v>9.699999999999999</v>
      </c>
      <c r="Q956" t="n">
        <v>8.9</v>
      </c>
      <c r="R956" t="n">
        <v>-0.8</v>
      </c>
      <c r="S956" t="b">
        <v>1</v>
      </c>
      <c r="U956" t="n">
        <v>15</v>
      </c>
      <c r="V956" t="b">
        <v>0</v>
      </c>
      <c r="X956" t="b">
        <v>1</v>
      </c>
      <c r="Y956" t="n">
        <v>0.3</v>
      </c>
    </row>
    <row r="957">
      <c r="A957" t="inlineStr">
        <is>
          <t>O00956</t>
        </is>
      </c>
      <c r="B957" t="inlineStr">
        <is>
          <t>C0192</t>
        </is>
      </c>
      <c r="C957" t="inlineStr">
        <is>
          <t>S017</t>
        </is>
      </c>
      <c r="D957" t="inlineStr">
        <is>
          <t>R067</t>
        </is>
      </c>
      <c r="E957" s="3" t="n">
        <v>46271.34791666667</v>
      </c>
      <c r="F957" s="3" t="n">
        <v>46271.35430555556</v>
      </c>
      <c r="G957" s="3" t="n">
        <v>46271.35243055555</v>
      </c>
      <c r="H957" t="inlineStr">
        <is>
          <t>Delivered</t>
        </is>
      </c>
      <c r="I957" t="n">
        <v>2</v>
      </c>
      <c r="J957" t="n">
        <v>4</v>
      </c>
      <c r="K957" t="n">
        <v>1479.58</v>
      </c>
      <c r="L957" t="n">
        <v>0.62</v>
      </c>
      <c r="M957" t="n">
        <v>2.1</v>
      </c>
      <c r="N957" t="n">
        <v>1.9</v>
      </c>
      <c r="O957" t="n">
        <v>2.5</v>
      </c>
      <c r="P957" t="n">
        <v>9.199999999999999</v>
      </c>
      <c r="Q957" t="n">
        <v>6.5</v>
      </c>
      <c r="R957" t="n">
        <v>-2.7</v>
      </c>
      <c r="S957" t="b">
        <v>1</v>
      </c>
      <c r="U957" t="n">
        <v>8</v>
      </c>
      <c r="V957" t="b">
        <v>0</v>
      </c>
      <c r="X957" t="b">
        <v>0</v>
      </c>
      <c r="Y957" t="n">
        <v>0.47</v>
      </c>
    </row>
    <row r="958">
      <c r="A958" t="inlineStr">
        <is>
          <t>O00957</t>
        </is>
      </c>
      <c r="B958" t="inlineStr">
        <is>
          <t>C0035</t>
        </is>
      </c>
      <c r="C958" t="inlineStr">
        <is>
          <t>S015</t>
        </is>
      </c>
      <c r="E958" s="3" t="n">
        <v>46269.49375</v>
      </c>
      <c r="F958" s="3" t="n">
        <v>46269.50090277778</v>
      </c>
      <c r="H958" t="inlineStr">
        <is>
          <t>Cancelled</t>
        </is>
      </c>
      <c r="I958" t="n">
        <v>4</v>
      </c>
      <c r="J958" t="n">
        <v>5</v>
      </c>
      <c r="K958" t="n">
        <v>1289.37</v>
      </c>
      <c r="L958" t="n">
        <v>1.53</v>
      </c>
      <c r="M958" t="n">
        <v>5.8</v>
      </c>
      <c r="N958" t="n">
        <v>7.2</v>
      </c>
      <c r="O958" t="n">
        <v>5.6</v>
      </c>
      <c r="P958" t="n">
        <v>10.3</v>
      </c>
      <c r="T958" t="inlineStr">
        <is>
          <t>Payment issue</t>
        </is>
      </c>
      <c r="U958" t="n">
        <v>11</v>
      </c>
      <c r="V958" t="b">
        <v>0</v>
      </c>
      <c r="W958" t="inlineStr">
        <is>
          <t>Light</t>
        </is>
      </c>
      <c r="X958" t="b">
        <v>0</v>
      </c>
      <c r="Y958" t="n">
        <v>0.5600000000000001</v>
      </c>
    </row>
    <row r="959">
      <c r="A959" t="inlineStr">
        <is>
          <t>O00958</t>
        </is>
      </c>
      <c r="B959" t="inlineStr">
        <is>
          <t>C0250</t>
        </is>
      </c>
      <c r="C959" t="inlineStr">
        <is>
          <t>S008</t>
        </is>
      </c>
      <c r="D959" t="inlineStr">
        <is>
          <t>R061</t>
        </is>
      </c>
      <c r="E959" s="3" t="n">
        <v>46272.35069444445</v>
      </c>
      <c r="F959" s="3" t="n">
        <v>46272.35854166667</v>
      </c>
      <c r="G959" s="3" t="n">
        <v>46272.35833333333</v>
      </c>
      <c r="H959" t="inlineStr">
        <is>
          <t>Delivered</t>
        </is>
      </c>
      <c r="I959" t="n">
        <v>5</v>
      </c>
      <c r="J959" t="n">
        <v>7</v>
      </c>
      <c r="K959" t="n">
        <v>491.14</v>
      </c>
      <c r="L959" t="n">
        <v>1.62</v>
      </c>
      <c r="M959" t="n">
        <v>3.7</v>
      </c>
      <c r="N959" t="n">
        <v>2.5</v>
      </c>
      <c r="O959" t="n">
        <v>4.8</v>
      </c>
      <c r="P959" t="n">
        <v>11.3</v>
      </c>
      <c r="Q959" t="n">
        <v>11</v>
      </c>
      <c r="R959" t="n">
        <v>-0.3</v>
      </c>
      <c r="S959" t="b">
        <v>1</v>
      </c>
      <c r="U959" t="n">
        <v>8</v>
      </c>
      <c r="V959" t="b">
        <v>0</v>
      </c>
      <c r="W959" t="inlineStr">
        <is>
          <t>Light</t>
        </is>
      </c>
      <c r="X959" t="b">
        <v>0</v>
      </c>
      <c r="Y959" t="n">
        <v>0.62</v>
      </c>
    </row>
    <row r="960">
      <c r="A960" t="inlineStr">
        <is>
          <t>O00959</t>
        </is>
      </c>
      <c r="B960" t="inlineStr">
        <is>
          <t>C0137</t>
        </is>
      </c>
      <c r="C960" t="inlineStr">
        <is>
          <t>S015</t>
        </is>
      </c>
      <c r="D960" t="inlineStr">
        <is>
          <t>R065</t>
        </is>
      </c>
      <c r="E960" s="3" t="n">
        <v>46269.95347222222</v>
      </c>
      <c r="F960" s="3" t="n">
        <v>46269.96</v>
      </c>
      <c r="G960" s="3" t="n">
        <v>46269.95958333334</v>
      </c>
      <c r="H960" t="inlineStr">
        <is>
          <t>Delivered</t>
        </is>
      </c>
      <c r="I960" t="n">
        <v>1</v>
      </c>
      <c r="J960" t="n">
        <v>6</v>
      </c>
      <c r="K960" t="n">
        <v>282.83</v>
      </c>
      <c r="L960" t="n">
        <v>0.74</v>
      </c>
      <c r="M960" t="n">
        <v>2.6</v>
      </c>
      <c r="N960" t="n">
        <v>4.3</v>
      </c>
      <c r="O960" t="n">
        <v>1.9</v>
      </c>
      <c r="P960" t="n">
        <v>9.4</v>
      </c>
      <c r="Q960" t="n">
        <v>8.800000000000001</v>
      </c>
      <c r="R960" t="n">
        <v>-0.6</v>
      </c>
      <c r="S960" t="b">
        <v>1</v>
      </c>
      <c r="U960" t="n">
        <v>22</v>
      </c>
      <c r="V960" t="b">
        <v>0</v>
      </c>
      <c r="W960" t="inlineStr">
        <is>
          <t>Light</t>
        </is>
      </c>
      <c r="X960" t="b">
        <v>0</v>
      </c>
      <c r="Y960" t="n">
        <v>0.44</v>
      </c>
    </row>
    <row r="961">
      <c r="A961" t="inlineStr">
        <is>
          <t>O00960</t>
        </is>
      </c>
      <c r="B961" t="inlineStr">
        <is>
          <t>C0005</t>
        </is>
      </c>
      <c r="C961" t="inlineStr">
        <is>
          <t>S014</t>
        </is>
      </c>
      <c r="D961" t="inlineStr">
        <is>
          <t>R054</t>
        </is>
      </c>
      <c r="E961" s="3" t="n">
        <v>46273.93194444444</v>
      </c>
      <c r="F961" s="3" t="n">
        <v>46273.939375</v>
      </c>
      <c r="G961" s="3" t="n">
        <v>46273.93868055556</v>
      </c>
      <c r="H961" t="inlineStr">
        <is>
          <t>Delivered</t>
        </is>
      </c>
      <c r="I961" t="n">
        <v>4</v>
      </c>
      <c r="J961" t="n">
        <v>7</v>
      </c>
      <c r="K961" t="n">
        <v>847.21</v>
      </c>
      <c r="L961" t="n">
        <v>1.49</v>
      </c>
      <c r="M961" t="n">
        <v>3.6</v>
      </c>
      <c r="N961" t="n">
        <v>3.1</v>
      </c>
      <c r="O961" t="n">
        <v>3</v>
      </c>
      <c r="P961" t="n">
        <v>10.7</v>
      </c>
      <c r="Q961" t="n">
        <v>9.699999999999999</v>
      </c>
      <c r="R961" t="n">
        <v>-1</v>
      </c>
      <c r="S961" t="b">
        <v>1</v>
      </c>
      <c r="U961" t="n">
        <v>22</v>
      </c>
      <c r="V961" t="b">
        <v>0</v>
      </c>
      <c r="X961" t="b">
        <v>0</v>
      </c>
      <c r="Y961" t="n">
        <v>0.51</v>
      </c>
    </row>
    <row r="962">
      <c r="A962" t="inlineStr">
        <is>
          <t>O00961</t>
        </is>
      </c>
      <c r="B962" t="inlineStr">
        <is>
          <t>C0181</t>
        </is>
      </c>
      <c r="C962" t="inlineStr">
        <is>
          <t>S005</t>
        </is>
      </c>
      <c r="D962" t="inlineStr">
        <is>
          <t>R075</t>
        </is>
      </c>
      <c r="E962" s="3" t="n">
        <v>46271.93194444444</v>
      </c>
      <c r="F962" s="3" t="n">
        <v>46271.94229166667</v>
      </c>
      <c r="G962" s="3" t="n">
        <v>46271.94340277778</v>
      </c>
      <c r="H962" t="inlineStr">
        <is>
          <t>Delivered</t>
        </is>
      </c>
      <c r="I962" t="n">
        <v>2</v>
      </c>
      <c r="J962" t="n">
        <v>5</v>
      </c>
      <c r="K962" t="n">
        <v>1458.54</v>
      </c>
      <c r="L962" t="n">
        <v>2.42</v>
      </c>
      <c r="M962" t="n">
        <v>4.4</v>
      </c>
      <c r="N962" t="n">
        <v>4.5</v>
      </c>
      <c r="O962" t="n">
        <v>7.6</v>
      </c>
      <c r="P962" t="n">
        <v>14.9</v>
      </c>
      <c r="Q962" t="n">
        <v>16.5</v>
      </c>
      <c r="R962" t="n">
        <v>1.6</v>
      </c>
      <c r="S962" t="b">
        <v>0</v>
      </c>
      <c r="U962" t="n">
        <v>22</v>
      </c>
      <c r="V962" t="b">
        <v>0</v>
      </c>
      <c r="X962" t="b">
        <v>0</v>
      </c>
      <c r="Y962" t="n">
        <v>0.53</v>
      </c>
    </row>
    <row r="963">
      <c r="A963" t="inlineStr">
        <is>
          <t>O00962</t>
        </is>
      </c>
      <c r="B963" t="inlineStr">
        <is>
          <t>C0040</t>
        </is>
      </c>
      <c r="C963" t="inlineStr">
        <is>
          <t>S001</t>
        </is>
      </c>
      <c r="D963" t="inlineStr">
        <is>
          <t>R021</t>
        </is>
      </c>
      <c r="E963" s="3" t="n">
        <v>46274.73194444444</v>
      </c>
      <c r="F963" s="3" t="n">
        <v>46274.73861111111</v>
      </c>
      <c r="G963" s="3" t="n">
        <v>46274.74402777778</v>
      </c>
      <c r="H963" t="inlineStr">
        <is>
          <t>Delivered</t>
        </is>
      </c>
      <c r="I963" t="n">
        <v>5</v>
      </c>
      <c r="J963" t="n">
        <v>7</v>
      </c>
      <c r="K963" t="n">
        <v>1039.08</v>
      </c>
      <c r="L963" t="n">
        <v>2.39</v>
      </c>
      <c r="M963" t="n">
        <v>5.1</v>
      </c>
      <c r="N963" t="n">
        <v>5.8</v>
      </c>
      <c r="O963" t="n">
        <v>6.6</v>
      </c>
      <c r="P963" t="n">
        <v>9.6</v>
      </c>
      <c r="Q963" t="n">
        <v>17.4</v>
      </c>
      <c r="R963" t="n">
        <v>7.8</v>
      </c>
      <c r="S963" t="b">
        <v>0</v>
      </c>
      <c r="U963" t="n">
        <v>17</v>
      </c>
      <c r="V963" t="b">
        <v>0</v>
      </c>
      <c r="X963" t="b">
        <v>0</v>
      </c>
      <c r="Y963" t="n">
        <v>0.36</v>
      </c>
    </row>
    <row r="964">
      <c r="A964" t="inlineStr">
        <is>
          <t>O00963</t>
        </is>
      </c>
      <c r="B964" t="inlineStr">
        <is>
          <t>C0082</t>
        </is>
      </c>
      <c r="C964" t="inlineStr">
        <is>
          <t>S006</t>
        </is>
      </c>
      <c r="E964" s="3" t="n">
        <v>46274.93680555555</v>
      </c>
      <c r="F964" s="3" t="n">
        <v>46274.94347222222</v>
      </c>
      <c r="H964" t="inlineStr">
        <is>
          <t>Cancelled</t>
        </is>
      </c>
      <c r="I964" t="n">
        <v>3</v>
      </c>
      <c r="J964" t="n">
        <v>9</v>
      </c>
      <c r="K964" t="n">
        <v>465.32</v>
      </c>
      <c r="L964" t="n">
        <v>0.53</v>
      </c>
      <c r="M964" t="n">
        <v>5.7</v>
      </c>
      <c r="N964" t="n">
        <v>0</v>
      </c>
      <c r="O964" t="n">
        <v>3</v>
      </c>
      <c r="P964" t="n">
        <v>9.6</v>
      </c>
      <c r="T964" t="inlineStr">
        <is>
          <t>Customer cancelled</t>
        </is>
      </c>
      <c r="U964" t="n">
        <v>22</v>
      </c>
      <c r="V964" t="b">
        <v>0</v>
      </c>
      <c r="X964" t="b">
        <v>0</v>
      </c>
      <c r="Y964" t="n">
        <v>0.62</v>
      </c>
    </row>
    <row r="965">
      <c r="A965" t="inlineStr">
        <is>
          <t>O00964</t>
        </is>
      </c>
      <c r="B965" t="inlineStr">
        <is>
          <t>C0049</t>
        </is>
      </c>
      <c r="C965" t="inlineStr">
        <is>
          <t>S010</t>
        </is>
      </c>
      <c r="D965" t="inlineStr">
        <is>
          <t>R078</t>
        </is>
      </c>
      <c r="E965" s="3" t="n">
        <v>46279.53055555555</v>
      </c>
      <c r="F965" s="3" t="n">
        <v>46279.53854166667</v>
      </c>
      <c r="G965" s="3" t="n">
        <v>46279.54659722222</v>
      </c>
      <c r="H965" t="inlineStr">
        <is>
          <t>Delivered</t>
        </is>
      </c>
      <c r="I965" t="n">
        <v>1</v>
      </c>
      <c r="J965" t="n">
        <v>4</v>
      </c>
      <c r="K965" t="n">
        <v>687.1799999999999</v>
      </c>
      <c r="L965" t="n">
        <v>4</v>
      </c>
      <c r="M965" t="n">
        <v>7.2</v>
      </c>
      <c r="N965" t="n">
        <v>7.6</v>
      </c>
      <c r="O965" t="n">
        <v>8.199999999999999</v>
      </c>
      <c r="P965" t="n">
        <v>11.5</v>
      </c>
      <c r="Q965" t="n">
        <v>23.1</v>
      </c>
      <c r="R965" t="n">
        <v>11.6</v>
      </c>
      <c r="S965" t="b">
        <v>0</v>
      </c>
      <c r="U965" t="n">
        <v>12</v>
      </c>
      <c r="V965" t="b">
        <v>0</v>
      </c>
      <c r="X965" t="b">
        <v>0</v>
      </c>
      <c r="Y965" t="n">
        <v>0.44</v>
      </c>
    </row>
    <row r="966">
      <c r="A966" t="inlineStr">
        <is>
          <t>O00965</t>
        </is>
      </c>
      <c r="B966" t="inlineStr">
        <is>
          <t>C0180</t>
        </is>
      </c>
      <c r="C966" t="inlineStr">
        <is>
          <t>S011</t>
        </is>
      </c>
      <c r="D966" t="inlineStr">
        <is>
          <t>R005</t>
        </is>
      </c>
      <c r="E966" s="3" t="n">
        <v>46271.67152777778</v>
      </c>
      <c r="F966" s="3" t="n">
        <v>46271.67958333333</v>
      </c>
      <c r="G966" s="3" t="n">
        <v>46271.68180555556</v>
      </c>
      <c r="H966" t="inlineStr">
        <is>
          <t>Delivered</t>
        </is>
      </c>
      <c r="I966" t="n">
        <v>2</v>
      </c>
      <c r="J966" t="n">
        <v>14</v>
      </c>
      <c r="K966" t="n">
        <v>1407.97</v>
      </c>
      <c r="L966" t="n">
        <v>2.51</v>
      </c>
      <c r="M966" t="n">
        <v>6.9</v>
      </c>
      <c r="N966" t="n">
        <v>0.7</v>
      </c>
      <c r="O966" t="n">
        <v>7.2</v>
      </c>
      <c r="P966" t="n">
        <v>11.6</v>
      </c>
      <c r="Q966" t="n">
        <v>14.8</v>
      </c>
      <c r="R966" t="n">
        <v>3.2</v>
      </c>
      <c r="S966" t="b">
        <v>0</v>
      </c>
      <c r="U966" t="n">
        <v>16</v>
      </c>
      <c r="V966" t="b">
        <v>0</v>
      </c>
      <c r="W966" t="inlineStr">
        <is>
          <t>Light</t>
        </is>
      </c>
      <c r="X966" t="b">
        <v>0</v>
      </c>
      <c r="Y966" t="n">
        <v>0.39</v>
      </c>
    </row>
    <row r="967">
      <c r="A967" t="inlineStr">
        <is>
          <t>O00966</t>
        </is>
      </c>
      <c r="B967" t="inlineStr">
        <is>
          <t>C0012</t>
        </is>
      </c>
      <c r="C967" t="inlineStr">
        <is>
          <t>S016</t>
        </is>
      </c>
      <c r="D967" t="inlineStr">
        <is>
          <t>R005</t>
        </is>
      </c>
      <c r="E967" s="3" t="n">
        <v>46274.86527777778</v>
      </c>
      <c r="F967" s="3" t="n">
        <v>46274.87284722222</v>
      </c>
      <c r="G967" s="3" t="n">
        <v>46274.87826388889</v>
      </c>
      <c r="H967" t="inlineStr">
        <is>
          <t>Delivered</t>
        </is>
      </c>
      <c r="I967" t="n">
        <v>6</v>
      </c>
      <c r="J967" t="n">
        <v>9</v>
      </c>
      <c r="K967" t="n">
        <v>606.99</v>
      </c>
      <c r="L967" t="n">
        <v>2.4</v>
      </c>
      <c r="M967" t="n">
        <v>7.7</v>
      </c>
      <c r="N967" t="n">
        <v>3.8</v>
      </c>
      <c r="O967" t="n">
        <v>7.2</v>
      </c>
      <c r="P967" t="n">
        <v>10.9</v>
      </c>
      <c r="Q967" t="n">
        <v>18.7</v>
      </c>
      <c r="R967" t="n">
        <v>7.8</v>
      </c>
      <c r="S967" t="b">
        <v>0</v>
      </c>
      <c r="U967" t="n">
        <v>20</v>
      </c>
      <c r="V967" t="b">
        <v>1</v>
      </c>
      <c r="X967" t="b">
        <v>1</v>
      </c>
      <c r="Y967" t="n">
        <v>0.5</v>
      </c>
    </row>
    <row r="968">
      <c r="A968" t="inlineStr">
        <is>
          <t>O00967</t>
        </is>
      </c>
      <c r="B968" t="inlineStr">
        <is>
          <t>C0181</t>
        </is>
      </c>
      <c r="C968" t="inlineStr">
        <is>
          <t>S015</t>
        </is>
      </c>
      <c r="E968" s="3" t="n">
        <v>46278.56041666667</v>
      </c>
      <c r="F968" s="3" t="n">
        <v>46278.56861111111</v>
      </c>
      <c r="H968" t="inlineStr">
        <is>
          <t>Cancelled</t>
        </is>
      </c>
      <c r="I968" t="n">
        <v>2</v>
      </c>
      <c r="J968" t="n">
        <v>6</v>
      </c>
      <c r="K968" t="n">
        <v>1523.72</v>
      </c>
      <c r="L968" t="n">
        <v>2.93</v>
      </c>
      <c r="M968" t="n">
        <v>5.2</v>
      </c>
      <c r="N968" t="n">
        <v>7</v>
      </c>
      <c r="O968" t="n">
        <v>8.9</v>
      </c>
      <c r="P968" t="n">
        <v>11.8</v>
      </c>
      <c r="T968" t="inlineStr">
        <is>
          <t>Payment issue</t>
        </is>
      </c>
      <c r="U968" t="n">
        <v>13</v>
      </c>
      <c r="V968" t="b">
        <v>0</v>
      </c>
      <c r="W968" t="inlineStr">
        <is>
          <t>Light</t>
        </is>
      </c>
      <c r="X968" t="b">
        <v>0</v>
      </c>
      <c r="Y968" t="n">
        <v>0.77</v>
      </c>
    </row>
    <row r="969">
      <c r="A969" t="inlineStr">
        <is>
          <t>O00968</t>
        </is>
      </c>
      <c r="B969" t="inlineStr">
        <is>
          <t>C0155</t>
        </is>
      </c>
      <c r="C969" t="inlineStr">
        <is>
          <t>S012</t>
        </is>
      </c>
      <c r="D969" t="inlineStr">
        <is>
          <t>R036</t>
        </is>
      </c>
      <c r="E969" s="3" t="n">
        <v>46276.73333333333</v>
      </c>
      <c r="F969" s="3" t="n">
        <v>46276.74041666667</v>
      </c>
      <c r="G969" s="3" t="n">
        <v>46276.73965277777</v>
      </c>
      <c r="H969" t="inlineStr">
        <is>
          <t>Delivered</t>
        </is>
      </c>
      <c r="I969" t="n">
        <v>5</v>
      </c>
      <c r="J969" t="n">
        <v>7</v>
      </c>
      <c r="K969" t="n">
        <v>892.79</v>
      </c>
      <c r="L969" t="n">
        <v>0.97</v>
      </c>
      <c r="M969" t="n">
        <v>4.7</v>
      </c>
      <c r="N969" t="n">
        <v>1.3</v>
      </c>
      <c r="O969" t="n">
        <v>3.1</v>
      </c>
      <c r="P969" t="n">
        <v>10.2</v>
      </c>
      <c r="Q969" t="n">
        <v>9.1</v>
      </c>
      <c r="R969" t="n">
        <v>-1.1</v>
      </c>
      <c r="S969" t="b">
        <v>1</v>
      </c>
      <c r="U969" t="n">
        <v>17</v>
      </c>
      <c r="V969" t="b">
        <v>0</v>
      </c>
      <c r="X969" t="b">
        <v>0</v>
      </c>
      <c r="Y969" t="n">
        <v>0.64</v>
      </c>
    </row>
    <row r="970">
      <c r="A970" t="inlineStr">
        <is>
          <t>O00969</t>
        </is>
      </c>
      <c r="B970" t="inlineStr">
        <is>
          <t>C0129</t>
        </is>
      </c>
      <c r="C970" t="inlineStr">
        <is>
          <t>S003</t>
        </is>
      </c>
      <c r="D970" t="inlineStr">
        <is>
          <t>R049</t>
        </is>
      </c>
      <c r="E970" s="3" t="n">
        <v>46277.93958333333</v>
      </c>
      <c r="F970" s="3" t="n">
        <v>46277.94576388889</v>
      </c>
      <c r="G970" s="3" t="n">
        <v>46277.94875</v>
      </c>
      <c r="H970" t="inlineStr">
        <is>
          <t>Delivered</t>
        </is>
      </c>
      <c r="I970" t="n">
        <v>1</v>
      </c>
      <c r="J970" t="n">
        <v>1</v>
      </c>
      <c r="K970" t="n">
        <v>1168.59</v>
      </c>
      <c r="L970" t="n">
        <v>0.51</v>
      </c>
      <c r="M970" t="n">
        <v>4.9</v>
      </c>
      <c r="N970" t="n">
        <v>5.3</v>
      </c>
      <c r="O970" t="n">
        <v>3</v>
      </c>
      <c r="P970" t="n">
        <v>8.9</v>
      </c>
      <c r="Q970" t="n">
        <v>13.2</v>
      </c>
      <c r="R970" t="n">
        <v>4.3</v>
      </c>
      <c r="S970" t="b">
        <v>0</v>
      </c>
      <c r="U970" t="n">
        <v>22</v>
      </c>
      <c r="V970" t="b">
        <v>0</v>
      </c>
      <c r="X970" t="b">
        <v>0</v>
      </c>
      <c r="Y970" t="n">
        <v>0.72</v>
      </c>
    </row>
    <row r="971">
      <c r="A971" t="inlineStr">
        <is>
          <t>O00970</t>
        </is>
      </c>
      <c r="B971" t="inlineStr">
        <is>
          <t>C0031</t>
        </is>
      </c>
      <c r="C971" t="inlineStr">
        <is>
          <t>S019</t>
        </is>
      </c>
      <c r="D971" t="inlineStr">
        <is>
          <t>R058</t>
        </is>
      </c>
      <c r="E971" s="3" t="n">
        <v>46266.88611111111</v>
      </c>
      <c r="F971" s="3" t="n">
        <v>46266.89097222222</v>
      </c>
      <c r="G971" s="3" t="n">
        <v>46266.89722222222</v>
      </c>
      <c r="H971" t="inlineStr">
        <is>
          <t>Delivered</t>
        </is>
      </c>
      <c r="I971" t="n">
        <v>3</v>
      </c>
      <c r="J971" t="n">
        <v>9</v>
      </c>
      <c r="K971" t="n">
        <v>1506.68</v>
      </c>
      <c r="L971" t="n">
        <v>0.63</v>
      </c>
      <c r="M971" t="n">
        <v>4.8</v>
      </c>
      <c r="N971" t="n">
        <v>7.5</v>
      </c>
      <c r="O971" t="n">
        <v>3.8</v>
      </c>
      <c r="P971" t="n">
        <v>7</v>
      </c>
      <c r="Q971" t="n">
        <v>16</v>
      </c>
      <c r="R971" t="n">
        <v>9</v>
      </c>
      <c r="S971" t="b">
        <v>0</v>
      </c>
      <c r="U971" t="n">
        <v>21</v>
      </c>
      <c r="V971" t="b">
        <v>1</v>
      </c>
      <c r="W971" t="inlineStr">
        <is>
          <t>Light</t>
        </is>
      </c>
      <c r="X971" t="b">
        <v>0</v>
      </c>
      <c r="Y971" t="n">
        <v>0.57</v>
      </c>
    </row>
    <row r="972">
      <c r="A972" t="inlineStr">
        <is>
          <t>O00971</t>
        </is>
      </c>
      <c r="B972" t="inlineStr">
        <is>
          <t>C0026</t>
        </is>
      </c>
      <c r="C972" t="inlineStr">
        <is>
          <t>S010</t>
        </is>
      </c>
      <c r="D972" t="inlineStr">
        <is>
          <t>R075</t>
        </is>
      </c>
      <c r="E972" s="3" t="n">
        <v>46268.64166666667</v>
      </c>
      <c r="F972" s="3" t="n">
        <v>46268.64798611111</v>
      </c>
      <c r="G972" s="3" t="n">
        <v>46268.64729166667</v>
      </c>
      <c r="H972" t="inlineStr">
        <is>
          <t>Delivered</t>
        </is>
      </c>
      <c r="I972" t="n">
        <v>4</v>
      </c>
      <c r="J972" t="n">
        <v>11</v>
      </c>
      <c r="K972" t="n">
        <v>989.62</v>
      </c>
      <c r="L972" t="n">
        <v>0.92</v>
      </c>
      <c r="M972" t="n">
        <v>4.3</v>
      </c>
      <c r="N972" t="n">
        <v>2.4</v>
      </c>
      <c r="O972" t="n">
        <v>1.4</v>
      </c>
      <c r="P972" t="n">
        <v>9.1</v>
      </c>
      <c r="Q972" t="n">
        <v>8.1</v>
      </c>
      <c r="R972" t="n">
        <v>-1</v>
      </c>
      <c r="S972" t="b">
        <v>1</v>
      </c>
      <c r="U972" t="n">
        <v>15</v>
      </c>
      <c r="V972" t="b">
        <v>0</v>
      </c>
      <c r="X972" t="b">
        <v>0</v>
      </c>
      <c r="Y972" t="n">
        <v>0.11</v>
      </c>
    </row>
    <row r="973">
      <c r="A973" t="inlineStr">
        <is>
          <t>O00972</t>
        </is>
      </c>
      <c r="B973" t="inlineStr">
        <is>
          <t>C0128</t>
        </is>
      </c>
      <c r="C973" t="inlineStr">
        <is>
          <t>S002</t>
        </is>
      </c>
      <c r="D973" t="inlineStr">
        <is>
          <t>R072</t>
        </is>
      </c>
      <c r="E973" s="3" t="n">
        <v>46268.88472222222</v>
      </c>
      <c r="F973" s="3" t="n">
        <v>46268.89215277778</v>
      </c>
      <c r="G973" s="3" t="n">
        <v>46268.89145833333</v>
      </c>
      <c r="H973" t="inlineStr">
        <is>
          <t>Delivered</t>
        </is>
      </c>
      <c r="I973" t="n">
        <v>5</v>
      </c>
      <c r="J973" t="n">
        <v>11</v>
      </c>
      <c r="K973" t="n">
        <v>342.21</v>
      </c>
      <c r="L973" t="n">
        <v>2.57</v>
      </c>
      <c r="M973" t="n">
        <v>1.9</v>
      </c>
      <c r="N973" t="n">
        <v>3.3</v>
      </c>
      <c r="O973" t="n">
        <v>4.5</v>
      </c>
      <c r="P973" t="n">
        <v>10.7</v>
      </c>
      <c r="Q973" t="n">
        <v>9.699999999999999</v>
      </c>
      <c r="R973" t="n">
        <v>-1</v>
      </c>
      <c r="S973" t="b">
        <v>1</v>
      </c>
      <c r="U973" t="n">
        <v>21</v>
      </c>
      <c r="V973" t="b">
        <v>1</v>
      </c>
      <c r="W973" t="inlineStr">
        <is>
          <t>Light</t>
        </is>
      </c>
      <c r="X973" t="b">
        <v>0</v>
      </c>
      <c r="Y973" t="n">
        <v>0.54</v>
      </c>
    </row>
    <row r="974">
      <c r="A974" t="inlineStr">
        <is>
          <t>O00973</t>
        </is>
      </c>
      <c r="B974" t="inlineStr">
        <is>
          <t>C0134</t>
        </is>
      </c>
      <c r="C974" t="inlineStr">
        <is>
          <t>S009</t>
        </is>
      </c>
      <c r="D974" t="inlineStr">
        <is>
          <t>R062</t>
        </is>
      </c>
      <c r="E974" s="3" t="n">
        <v>46275.59375</v>
      </c>
      <c r="F974" s="3" t="n">
        <v>46275.60131944445</v>
      </c>
      <c r="G974" s="3" t="n">
        <v>46275.60069444445</v>
      </c>
      <c r="H974" t="inlineStr">
        <is>
          <t>Delivered</t>
        </is>
      </c>
      <c r="I974" t="n">
        <v>1</v>
      </c>
      <c r="J974" t="n">
        <v>8</v>
      </c>
      <c r="K974" t="n">
        <v>1683.88</v>
      </c>
      <c r="L974" t="n">
        <v>2.38</v>
      </c>
      <c r="M974" t="n">
        <v>2.9</v>
      </c>
      <c r="N974" t="n">
        <v>2.9</v>
      </c>
      <c r="O974" t="n">
        <v>4.2</v>
      </c>
      <c r="P974" t="n">
        <v>10.9</v>
      </c>
      <c r="Q974" t="n">
        <v>10</v>
      </c>
      <c r="R974" t="n">
        <v>-0.9</v>
      </c>
      <c r="S974" t="b">
        <v>1</v>
      </c>
      <c r="U974" t="n">
        <v>14</v>
      </c>
      <c r="V974" t="b">
        <v>0</v>
      </c>
      <c r="X974" t="b">
        <v>0</v>
      </c>
      <c r="Y974" t="n">
        <v>0.21</v>
      </c>
    </row>
    <row r="975">
      <c r="A975" t="inlineStr">
        <is>
          <t>O00974</t>
        </is>
      </c>
      <c r="B975" t="inlineStr">
        <is>
          <t>C0164</t>
        </is>
      </c>
      <c r="C975" t="inlineStr">
        <is>
          <t>S002</t>
        </is>
      </c>
      <c r="D975" t="inlineStr">
        <is>
          <t>R078</t>
        </is>
      </c>
      <c r="E975" s="3" t="n">
        <v>46275.47777777778</v>
      </c>
      <c r="F975" s="3" t="n">
        <v>46275.48430555555</v>
      </c>
      <c r="G975" s="3" t="n">
        <v>46275.48361111111</v>
      </c>
      <c r="H975" t="inlineStr">
        <is>
          <t>Delivered</t>
        </is>
      </c>
      <c r="I975" t="n">
        <v>2</v>
      </c>
      <c r="J975" t="n">
        <v>9</v>
      </c>
      <c r="K975" t="n">
        <v>952.75</v>
      </c>
      <c r="L975" t="n">
        <v>3.07</v>
      </c>
      <c r="M975" t="n">
        <v>1.1</v>
      </c>
      <c r="N975" t="n">
        <v>3.9</v>
      </c>
      <c r="O975" t="n">
        <v>3.4</v>
      </c>
      <c r="P975" t="n">
        <v>9.4</v>
      </c>
      <c r="Q975" t="n">
        <v>8.4</v>
      </c>
      <c r="R975" t="n">
        <v>-1</v>
      </c>
      <c r="S975" t="b">
        <v>1</v>
      </c>
      <c r="U975" t="n">
        <v>11</v>
      </c>
      <c r="V975" t="b">
        <v>0</v>
      </c>
      <c r="X975" t="b">
        <v>0</v>
      </c>
      <c r="Y975" t="n">
        <v>0.66</v>
      </c>
    </row>
    <row r="976">
      <c r="A976" t="inlineStr">
        <is>
          <t>O00975</t>
        </is>
      </c>
      <c r="B976" t="inlineStr">
        <is>
          <t>C0215</t>
        </is>
      </c>
      <c r="C976" t="inlineStr">
        <is>
          <t>S013</t>
        </is>
      </c>
      <c r="D976" t="inlineStr">
        <is>
          <t>R002</t>
        </is>
      </c>
      <c r="E976" s="3" t="n">
        <v>46272.38125</v>
      </c>
      <c r="F976" s="3" t="n">
        <v>46272.38902777778</v>
      </c>
      <c r="G976" s="3" t="n">
        <v>46272.38826388889</v>
      </c>
      <c r="H976" t="inlineStr">
        <is>
          <t>Delivered</t>
        </is>
      </c>
      <c r="I976" t="n">
        <v>6</v>
      </c>
      <c r="J976" t="n">
        <v>7</v>
      </c>
      <c r="K976" t="n">
        <v>526.24</v>
      </c>
      <c r="L976" t="n">
        <v>2.13</v>
      </c>
      <c r="M976" t="n">
        <v>3.4</v>
      </c>
      <c r="N976" t="n">
        <v>3.1</v>
      </c>
      <c r="O976" t="n">
        <v>3.6</v>
      </c>
      <c r="P976" t="n">
        <v>11.2</v>
      </c>
      <c r="Q976" t="n">
        <v>10.1</v>
      </c>
      <c r="R976" t="n">
        <v>-1.1</v>
      </c>
      <c r="S976" t="b">
        <v>1</v>
      </c>
      <c r="U976" t="n">
        <v>9</v>
      </c>
      <c r="V976" t="b">
        <v>0</v>
      </c>
      <c r="X976" t="b">
        <v>0</v>
      </c>
      <c r="Y976" t="n">
        <v>0.46</v>
      </c>
    </row>
    <row r="977">
      <c r="A977" t="inlineStr">
        <is>
          <t>O00976</t>
        </is>
      </c>
      <c r="B977" t="inlineStr">
        <is>
          <t>C0128</t>
        </is>
      </c>
      <c r="C977" t="inlineStr">
        <is>
          <t>S017</t>
        </is>
      </c>
      <c r="D977" t="inlineStr">
        <is>
          <t>R007</t>
        </is>
      </c>
      <c r="E977" s="3" t="n">
        <v>46268.71944444445</v>
      </c>
      <c r="F977" s="3" t="n">
        <v>46268.72798611111</v>
      </c>
      <c r="G977" s="3" t="n">
        <v>46268.72715277778</v>
      </c>
      <c r="H977" t="inlineStr">
        <is>
          <t>Delivered</t>
        </is>
      </c>
      <c r="I977" t="n">
        <v>5</v>
      </c>
      <c r="J977" t="n">
        <v>8</v>
      </c>
      <c r="K977" t="n">
        <v>984.91</v>
      </c>
      <c r="L977" t="n">
        <v>2.66</v>
      </c>
      <c r="M977" t="n">
        <v>2.4</v>
      </c>
      <c r="N977" t="n">
        <v>0.9</v>
      </c>
      <c r="O977" t="n">
        <v>7.8</v>
      </c>
      <c r="P977" t="n">
        <v>12.3</v>
      </c>
      <c r="Q977" t="n">
        <v>11.1</v>
      </c>
      <c r="R977" t="n">
        <v>-1.2</v>
      </c>
      <c r="S977" t="b">
        <v>1</v>
      </c>
      <c r="U977" t="n">
        <v>17</v>
      </c>
      <c r="V977" t="b">
        <v>0</v>
      </c>
      <c r="X977" t="b">
        <v>0</v>
      </c>
      <c r="Y977" t="n">
        <v>0.78</v>
      </c>
    </row>
    <row r="978">
      <c r="A978" t="inlineStr">
        <is>
          <t>O00977</t>
        </is>
      </c>
      <c r="B978" t="inlineStr">
        <is>
          <t>C0084</t>
        </is>
      </c>
      <c r="C978" t="inlineStr">
        <is>
          <t>S010</t>
        </is>
      </c>
      <c r="D978" t="inlineStr">
        <is>
          <t>R037</t>
        </is>
      </c>
      <c r="E978" s="3" t="n">
        <v>46279.36736111111</v>
      </c>
      <c r="F978" s="3" t="n">
        <v>46279.37548611111</v>
      </c>
      <c r="G978" s="3" t="n">
        <v>46279.37465277778</v>
      </c>
      <c r="H978" t="inlineStr">
        <is>
          <t>Delivered</t>
        </is>
      </c>
      <c r="I978" t="n">
        <v>4</v>
      </c>
      <c r="J978" t="n">
        <v>8</v>
      </c>
      <c r="K978" t="n">
        <v>1431.63</v>
      </c>
      <c r="L978" t="n">
        <v>0.86</v>
      </c>
      <c r="M978" t="n">
        <v>3.6</v>
      </c>
      <c r="N978" t="n">
        <v>4.7</v>
      </c>
      <c r="O978" t="n">
        <v>2.2</v>
      </c>
      <c r="P978" t="n">
        <v>11.7</v>
      </c>
      <c r="Q978" t="n">
        <v>10.5</v>
      </c>
      <c r="R978" t="n">
        <v>-1.2</v>
      </c>
      <c r="S978" t="b">
        <v>1</v>
      </c>
      <c r="U978" t="n">
        <v>8</v>
      </c>
      <c r="V978" t="b">
        <v>0</v>
      </c>
      <c r="X978" t="b">
        <v>0</v>
      </c>
      <c r="Y978" t="n">
        <v>0.43</v>
      </c>
    </row>
    <row r="979">
      <c r="A979" t="inlineStr">
        <is>
          <t>O00978</t>
        </is>
      </c>
      <c r="B979" t="inlineStr">
        <is>
          <t>C0021</t>
        </is>
      </c>
      <c r="C979" t="inlineStr">
        <is>
          <t>S012</t>
        </is>
      </c>
      <c r="D979" t="inlineStr">
        <is>
          <t>R004</t>
        </is>
      </c>
      <c r="E979" s="3" t="n">
        <v>46279.66111111111</v>
      </c>
      <c r="F979" s="3" t="n">
        <v>46279.66909722222</v>
      </c>
      <c r="G979" s="3" t="n">
        <v>46279.67444444444</v>
      </c>
      <c r="H979" t="inlineStr">
        <is>
          <t>Delivered</t>
        </is>
      </c>
      <c r="I979" t="n">
        <v>6</v>
      </c>
      <c r="J979" t="n">
        <v>8</v>
      </c>
      <c r="K979" t="n">
        <v>521.34</v>
      </c>
      <c r="L979" t="n">
        <v>4.46</v>
      </c>
      <c r="M979" t="n">
        <v>5.8</v>
      </c>
      <c r="N979" t="n">
        <v>1.7</v>
      </c>
      <c r="O979" t="n">
        <v>11.7</v>
      </c>
      <c r="P979" t="n">
        <v>11.5</v>
      </c>
      <c r="Q979" t="n">
        <v>19.2</v>
      </c>
      <c r="R979" t="n">
        <v>7.7</v>
      </c>
      <c r="S979" t="b">
        <v>0</v>
      </c>
      <c r="U979" t="n">
        <v>15</v>
      </c>
      <c r="V979" t="b">
        <v>0</v>
      </c>
      <c r="X979" t="b">
        <v>0</v>
      </c>
      <c r="Y979" t="n">
        <v>0.27</v>
      </c>
    </row>
    <row r="980">
      <c r="A980" t="inlineStr">
        <is>
          <t>O00979</t>
        </is>
      </c>
      <c r="B980" t="inlineStr">
        <is>
          <t>C0160</t>
        </is>
      </c>
      <c r="C980" t="inlineStr">
        <is>
          <t>S006</t>
        </is>
      </c>
      <c r="D980" t="inlineStr">
        <is>
          <t>R053</t>
        </is>
      </c>
      <c r="E980" s="3" t="n">
        <v>46278.47291666667</v>
      </c>
      <c r="F980" s="3" t="n">
        <v>46278.48118055556</v>
      </c>
      <c r="G980" s="3" t="n">
        <v>46278.48048611111</v>
      </c>
      <c r="H980" t="inlineStr">
        <is>
          <t>Delivered</t>
        </is>
      </c>
      <c r="I980" t="n">
        <v>3</v>
      </c>
      <c r="J980" t="n">
        <v>5</v>
      </c>
      <c r="K980" t="n">
        <v>1014.26</v>
      </c>
      <c r="L980" t="n">
        <v>2.94</v>
      </c>
      <c r="M980" t="n">
        <v>3.2</v>
      </c>
      <c r="N980" t="n">
        <v>2.5</v>
      </c>
      <c r="O980" t="n">
        <v>5.2</v>
      </c>
      <c r="P980" t="n">
        <v>11.9</v>
      </c>
      <c r="Q980" t="n">
        <v>10.9</v>
      </c>
      <c r="R980" t="n">
        <v>-1</v>
      </c>
      <c r="S980" t="b">
        <v>1</v>
      </c>
      <c r="U980" t="n">
        <v>11</v>
      </c>
      <c r="V980" t="b">
        <v>0</v>
      </c>
      <c r="W980" t="inlineStr">
        <is>
          <t>Light</t>
        </is>
      </c>
      <c r="X980" t="b">
        <v>1</v>
      </c>
      <c r="Y980" t="n">
        <v>0.37</v>
      </c>
    </row>
    <row r="981">
      <c r="A981" t="inlineStr">
        <is>
          <t>O00980</t>
        </is>
      </c>
      <c r="B981" t="inlineStr">
        <is>
          <t>C0079</t>
        </is>
      </c>
      <c r="C981" t="inlineStr">
        <is>
          <t>S009</t>
        </is>
      </c>
      <c r="D981" t="inlineStr">
        <is>
          <t>R025</t>
        </is>
      </c>
      <c r="E981" s="3" t="n">
        <v>46268.71666666667</v>
      </c>
      <c r="F981" s="3" t="n">
        <v>46268.72270833333</v>
      </c>
      <c r="G981" s="3" t="n">
        <v>46268.72256944444</v>
      </c>
      <c r="H981" t="inlineStr">
        <is>
          <t>Delivered</t>
        </is>
      </c>
      <c r="I981" t="n">
        <v>5</v>
      </c>
      <c r="J981" t="n">
        <v>9</v>
      </c>
      <c r="K981" t="n">
        <v>446.97</v>
      </c>
      <c r="L981" t="n">
        <v>0.88</v>
      </c>
      <c r="M981" t="n">
        <v>3.2</v>
      </c>
      <c r="N981" t="n">
        <v>2</v>
      </c>
      <c r="O981" t="n">
        <v>3.3</v>
      </c>
      <c r="P981" t="n">
        <v>8.699999999999999</v>
      </c>
      <c r="Q981" t="n">
        <v>8.5</v>
      </c>
      <c r="R981" t="n">
        <v>-0.2</v>
      </c>
      <c r="S981" t="b">
        <v>1</v>
      </c>
      <c r="U981" t="n">
        <v>17</v>
      </c>
      <c r="V981" t="b">
        <v>0</v>
      </c>
      <c r="X981" t="b">
        <v>0</v>
      </c>
      <c r="Y981" t="n">
        <v>0.47</v>
      </c>
    </row>
    <row r="982">
      <c r="A982" t="inlineStr">
        <is>
          <t>O00981</t>
        </is>
      </c>
      <c r="B982" t="inlineStr">
        <is>
          <t>C0039</t>
        </is>
      </c>
      <c r="C982" t="inlineStr">
        <is>
          <t>S006</t>
        </is>
      </c>
      <c r="D982" t="inlineStr">
        <is>
          <t>R029</t>
        </is>
      </c>
      <c r="E982" s="3" t="n">
        <v>46268.42430555556</v>
      </c>
      <c r="F982" s="3" t="n">
        <v>46268.43097222222</v>
      </c>
      <c r="G982" s="3" t="n">
        <v>46268.43041666667</v>
      </c>
      <c r="H982" t="inlineStr">
        <is>
          <t>Delivered</t>
        </is>
      </c>
      <c r="I982" t="n">
        <v>5</v>
      </c>
      <c r="J982" t="n">
        <v>9</v>
      </c>
      <c r="K982" t="n">
        <v>946.47</v>
      </c>
      <c r="L982" t="n">
        <v>1.43</v>
      </c>
      <c r="M982" t="n">
        <v>3.1</v>
      </c>
      <c r="N982" t="n">
        <v>3.3</v>
      </c>
      <c r="O982" t="n">
        <v>2.4</v>
      </c>
      <c r="P982" t="n">
        <v>9.6</v>
      </c>
      <c r="Q982" t="n">
        <v>8.800000000000001</v>
      </c>
      <c r="R982" t="n">
        <v>-0.8</v>
      </c>
      <c r="S982" t="b">
        <v>1</v>
      </c>
      <c r="U982" t="n">
        <v>10</v>
      </c>
      <c r="V982" t="b">
        <v>0</v>
      </c>
      <c r="X982" t="b">
        <v>0</v>
      </c>
      <c r="Y982" t="n">
        <v>0.5600000000000001</v>
      </c>
    </row>
    <row r="983">
      <c r="A983" t="inlineStr">
        <is>
          <t>O00982</t>
        </is>
      </c>
      <c r="B983" t="inlineStr">
        <is>
          <t>C0154</t>
        </is>
      </c>
      <c r="C983" t="inlineStr">
        <is>
          <t>S005</t>
        </is>
      </c>
      <c r="D983" t="inlineStr">
        <is>
          <t>R054</t>
        </is>
      </c>
      <c r="E983" s="3" t="n">
        <v>46272.98472222222</v>
      </c>
      <c r="F983" s="3" t="n">
        <v>46272.99243055555</v>
      </c>
      <c r="G983" s="3" t="n">
        <v>46272.99180555555</v>
      </c>
      <c r="H983" t="inlineStr">
        <is>
          <t>Delivered</t>
        </is>
      </c>
      <c r="I983" t="n">
        <v>2</v>
      </c>
      <c r="J983" t="n">
        <v>7</v>
      </c>
      <c r="K983" t="n">
        <v>1031.24</v>
      </c>
      <c r="L983" t="n">
        <v>2.08</v>
      </c>
      <c r="M983" t="n">
        <v>3.6</v>
      </c>
      <c r="N983" t="n">
        <v>2.7</v>
      </c>
      <c r="O983" t="n">
        <v>3.9</v>
      </c>
      <c r="P983" t="n">
        <v>11.1</v>
      </c>
      <c r="Q983" t="n">
        <v>10.2</v>
      </c>
      <c r="R983" t="n">
        <v>-0.9</v>
      </c>
      <c r="S983" t="b">
        <v>1</v>
      </c>
      <c r="U983" t="n">
        <v>23</v>
      </c>
      <c r="V983" t="b">
        <v>0</v>
      </c>
      <c r="X983" t="b">
        <v>0</v>
      </c>
      <c r="Y983" t="n">
        <v>0.47</v>
      </c>
    </row>
    <row r="984">
      <c r="A984" t="inlineStr">
        <is>
          <t>O00983</t>
        </is>
      </c>
      <c r="B984" t="inlineStr">
        <is>
          <t>C0068</t>
        </is>
      </c>
      <c r="C984" t="inlineStr">
        <is>
          <t>S020</t>
        </is>
      </c>
      <c r="D984" t="inlineStr">
        <is>
          <t>R041</t>
        </is>
      </c>
      <c r="E984" s="3" t="n">
        <v>46274.42569444444</v>
      </c>
      <c r="F984" s="3" t="n">
        <v>46274.43333333333</v>
      </c>
      <c r="G984" s="3" t="n">
        <v>46274.43277777778</v>
      </c>
      <c r="H984" t="inlineStr">
        <is>
          <t>Delivered</t>
        </is>
      </c>
      <c r="I984" t="n">
        <v>2</v>
      </c>
      <c r="J984" t="n">
        <v>5</v>
      </c>
      <c r="K984" t="n">
        <v>1187.51</v>
      </c>
      <c r="L984" t="n">
        <v>1.42</v>
      </c>
      <c r="M984" t="n">
        <v>3.1</v>
      </c>
      <c r="N984" t="n">
        <v>4</v>
      </c>
      <c r="O984" t="n">
        <v>3.1</v>
      </c>
      <c r="P984" t="n">
        <v>11</v>
      </c>
      <c r="Q984" t="n">
        <v>10.2</v>
      </c>
      <c r="R984" t="n">
        <v>-0.8</v>
      </c>
      <c r="S984" t="b">
        <v>1</v>
      </c>
      <c r="U984" t="n">
        <v>10</v>
      </c>
      <c r="V984" t="b">
        <v>0</v>
      </c>
      <c r="X984" t="b">
        <v>0</v>
      </c>
      <c r="Y984" t="n">
        <v>0.6899999999999999</v>
      </c>
    </row>
    <row r="985">
      <c r="A985" t="inlineStr">
        <is>
          <t>O00984</t>
        </is>
      </c>
      <c r="B985" t="inlineStr">
        <is>
          <t>C0197</t>
        </is>
      </c>
      <c r="C985" t="inlineStr">
        <is>
          <t>S016</t>
        </is>
      </c>
      <c r="D985" t="inlineStr">
        <is>
          <t>R037</t>
        </is>
      </c>
      <c r="E985" s="3" t="n">
        <v>46266.43333333333</v>
      </c>
      <c r="F985" s="3" t="n">
        <v>46266.43944444445</v>
      </c>
      <c r="G985" s="3" t="n">
        <v>46266.43888888889</v>
      </c>
      <c r="H985" t="inlineStr">
        <is>
          <t>Delivered</t>
        </is>
      </c>
      <c r="I985" t="n">
        <v>3</v>
      </c>
      <c r="J985" t="n">
        <v>6</v>
      </c>
      <c r="K985" t="n">
        <v>565.23</v>
      </c>
      <c r="L985" t="n">
        <v>1.99</v>
      </c>
      <c r="M985" t="n">
        <v>3</v>
      </c>
      <c r="N985" t="n">
        <v>2.4</v>
      </c>
      <c r="O985" t="n">
        <v>2.6</v>
      </c>
      <c r="P985" t="n">
        <v>8.800000000000001</v>
      </c>
      <c r="Q985" t="n">
        <v>8</v>
      </c>
      <c r="R985" t="n">
        <v>-0.8</v>
      </c>
      <c r="S985" t="b">
        <v>1</v>
      </c>
      <c r="U985" t="n">
        <v>10</v>
      </c>
      <c r="V985" t="b">
        <v>0</v>
      </c>
      <c r="X985" t="b">
        <v>0</v>
      </c>
      <c r="Y985" t="n">
        <v>0.48</v>
      </c>
    </row>
    <row r="986">
      <c r="A986" t="inlineStr">
        <is>
          <t>O00985</t>
        </is>
      </c>
      <c r="B986" t="inlineStr">
        <is>
          <t>C0039</t>
        </is>
      </c>
      <c r="C986" t="inlineStr">
        <is>
          <t>S011</t>
        </is>
      </c>
      <c r="D986" t="inlineStr">
        <is>
          <t>R025</t>
        </is>
      </c>
      <c r="E986" s="3" t="n">
        <v>46271.55</v>
      </c>
      <c r="F986" s="3" t="n">
        <v>46271.55944444444</v>
      </c>
      <c r="G986" s="3" t="n">
        <v>46271.56333333333</v>
      </c>
      <c r="H986" t="inlineStr">
        <is>
          <t>Delivered</t>
        </is>
      </c>
      <c r="I986" t="n">
        <v>1</v>
      </c>
      <c r="J986" t="n">
        <v>10</v>
      </c>
      <c r="K986" t="n">
        <v>977.76</v>
      </c>
      <c r="L986" t="n">
        <v>3.25</v>
      </c>
      <c r="M986" t="n">
        <v>7.2</v>
      </c>
      <c r="N986" t="n">
        <v>3.6</v>
      </c>
      <c r="O986" t="n">
        <v>8.4</v>
      </c>
      <c r="P986" t="n">
        <v>13.6</v>
      </c>
      <c r="Q986" t="n">
        <v>19.2</v>
      </c>
      <c r="R986" t="n">
        <v>5.6</v>
      </c>
      <c r="S986" t="b">
        <v>0</v>
      </c>
      <c r="U986" t="n">
        <v>13</v>
      </c>
      <c r="V986" t="b">
        <v>0</v>
      </c>
      <c r="X986" t="b">
        <v>0</v>
      </c>
      <c r="Y986" t="n">
        <v>0.57</v>
      </c>
    </row>
    <row r="987">
      <c r="A987" t="inlineStr">
        <is>
          <t>O00986</t>
        </is>
      </c>
      <c r="B987" t="inlineStr">
        <is>
          <t>C0053</t>
        </is>
      </c>
      <c r="C987" t="inlineStr">
        <is>
          <t>S002</t>
        </is>
      </c>
      <c r="D987" t="inlineStr">
        <is>
          <t>R067</t>
        </is>
      </c>
      <c r="E987" s="3" t="n">
        <v>46273.56319444445</v>
      </c>
      <c r="F987" s="3" t="n">
        <v>46273.57013888889</v>
      </c>
      <c r="G987" s="3" t="n">
        <v>46273.56951388889</v>
      </c>
      <c r="H987" t="inlineStr">
        <is>
          <t>Delivered</t>
        </is>
      </c>
      <c r="I987" t="n">
        <v>2</v>
      </c>
      <c r="J987" t="n">
        <v>4</v>
      </c>
      <c r="K987" t="n">
        <v>460.5</v>
      </c>
      <c r="L987" t="n">
        <v>1.67</v>
      </c>
      <c r="M987" t="n">
        <v>1.1</v>
      </c>
      <c r="N987" t="n">
        <v>5</v>
      </c>
      <c r="O987" t="n">
        <v>3</v>
      </c>
      <c r="P987" t="n">
        <v>10</v>
      </c>
      <c r="Q987" t="n">
        <v>9.1</v>
      </c>
      <c r="R987" t="n">
        <v>-0.9</v>
      </c>
      <c r="S987" t="b">
        <v>1</v>
      </c>
      <c r="U987" t="n">
        <v>13</v>
      </c>
      <c r="V987" t="b">
        <v>0</v>
      </c>
      <c r="X987" t="b">
        <v>0</v>
      </c>
      <c r="Y987" t="n">
        <v>0.44</v>
      </c>
    </row>
    <row r="988">
      <c r="A988" t="inlineStr">
        <is>
          <t>O00987</t>
        </is>
      </c>
      <c r="B988" t="inlineStr">
        <is>
          <t>C0161</t>
        </is>
      </c>
      <c r="C988" t="inlineStr">
        <is>
          <t>S020</t>
        </is>
      </c>
      <c r="D988" t="inlineStr">
        <is>
          <t>R040</t>
        </is>
      </c>
      <c r="E988" s="3" t="n">
        <v>46268.55625</v>
      </c>
      <c r="F988" s="3" t="n">
        <v>46268.564375</v>
      </c>
      <c r="G988" s="3" t="n">
        <v>46268.56409722222</v>
      </c>
      <c r="H988" t="inlineStr">
        <is>
          <t>Delivered</t>
        </is>
      </c>
      <c r="I988" t="n">
        <v>4</v>
      </c>
      <c r="J988" t="n">
        <v>4</v>
      </c>
      <c r="K988" t="n">
        <v>653.09</v>
      </c>
      <c r="L988" t="n">
        <v>2.53</v>
      </c>
      <c r="M988" t="n">
        <v>2.9</v>
      </c>
      <c r="N988" t="n">
        <v>5.3</v>
      </c>
      <c r="O988" t="n">
        <v>3.1</v>
      </c>
      <c r="P988" t="n">
        <v>11.7</v>
      </c>
      <c r="Q988" t="n">
        <v>11.3</v>
      </c>
      <c r="R988" t="n">
        <v>-0.4</v>
      </c>
      <c r="S988" t="b">
        <v>1</v>
      </c>
      <c r="U988" t="n">
        <v>13</v>
      </c>
      <c r="V988" t="b">
        <v>0</v>
      </c>
      <c r="X988" t="b">
        <v>0</v>
      </c>
      <c r="Y988" t="n">
        <v>0.38</v>
      </c>
    </row>
    <row r="989">
      <c r="A989" t="inlineStr">
        <is>
          <t>O00988</t>
        </is>
      </c>
      <c r="B989" t="inlineStr">
        <is>
          <t>C0242</t>
        </is>
      </c>
      <c r="C989" t="inlineStr">
        <is>
          <t>S009</t>
        </is>
      </c>
      <c r="D989" t="inlineStr">
        <is>
          <t>R079</t>
        </is>
      </c>
      <c r="E989" s="3" t="n">
        <v>46266.86458333334</v>
      </c>
      <c r="F989" s="3" t="n">
        <v>46266.87215277777</v>
      </c>
      <c r="G989" s="3" t="n">
        <v>46266.871875</v>
      </c>
      <c r="H989" t="inlineStr">
        <is>
          <t>Delivered</t>
        </is>
      </c>
      <c r="I989" t="n">
        <v>6</v>
      </c>
      <c r="J989" t="n">
        <v>9</v>
      </c>
      <c r="K989" t="n">
        <v>1269.11</v>
      </c>
      <c r="L989" t="n">
        <v>1.57</v>
      </c>
      <c r="M989" t="n">
        <v>1.9</v>
      </c>
      <c r="N989" t="n">
        <v>4.5</v>
      </c>
      <c r="O989" t="n">
        <v>4.1</v>
      </c>
      <c r="P989" t="n">
        <v>10.9</v>
      </c>
      <c r="Q989" t="n">
        <v>10.5</v>
      </c>
      <c r="R989" t="n">
        <v>-0.4</v>
      </c>
      <c r="S989" t="b">
        <v>1</v>
      </c>
      <c r="U989" t="n">
        <v>20</v>
      </c>
      <c r="V989" t="b">
        <v>1</v>
      </c>
      <c r="X989" t="b">
        <v>1</v>
      </c>
      <c r="Y989" t="n">
        <v>0.77</v>
      </c>
    </row>
    <row r="990">
      <c r="A990" t="inlineStr">
        <is>
          <t>O00989</t>
        </is>
      </c>
      <c r="B990" t="inlineStr">
        <is>
          <t>C0244</t>
        </is>
      </c>
      <c r="C990" t="inlineStr">
        <is>
          <t>S005</t>
        </is>
      </c>
      <c r="D990" t="inlineStr">
        <is>
          <t>R021</t>
        </is>
      </c>
      <c r="E990" s="3" t="n">
        <v>46266.61319444444</v>
      </c>
      <c r="F990" s="3" t="n">
        <v>46266.62159722222</v>
      </c>
      <c r="G990" s="3" t="n">
        <v>46266.62138888889</v>
      </c>
      <c r="H990" t="inlineStr">
        <is>
          <t>Delivered</t>
        </is>
      </c>
      <c r="I990" t="n">
        <v>2</v>
      </c>
      <c r="J990" t="n">
        <v>11</v>
      </c>
      <c r="K990" t="n">
        <v>1422.48</v>
      </c>
      <c r="L990" t="n">
        <v>2.39</v>
      </c>
      <c r="M990" t="n">
        <v>3.5</v>
      </c>
      <c r="N990" t="n">
        <v>4.4</v>
      </c>
      <c r="O990" t="n">
        <v>3.9</v>
      </c>
      <c r="P990" t="n">
        <v>12.1</v>
      </c>
      <c r="Q990" t="n">
        <v>11.8</v>
      </c>
      <c r="R990" t="n">
        <v>-0.3</v>
      </c>
      <c r="S990" t="b">
        <v>1</v>
      </c>
      <c r="U990" t="n">
        <v>14</v>
      </c>
      <c r="V990" t="b">
        <v>0</v>
      </c>
      <c r="X990" t="b">
        <v>0</v>
      </c>
      <c r="Y990" t="n">
        <v>0.32</v>
      </c>
    </row>
    <row r="991">
      <c r="A991" t="inlineStr">
        <is>
          <t>O00990</t>
        </is>
      </c>
      <c r="B991" t="inlineStr">
        <is>
          <t>C0028</t>
        </is>
      </c>
      <c r="C991" t="inlineStr">
        <is>
          <t>S014</t>
        </is>
      </c>
      <c r="D991" t="inlineStr">
        <is>
          <t>R073</t>
        </is>
      </c>
      <c r="E991" s="3" t="n">
        <v>46278.97361111111</v>
      </c>
      <c r="F991" s="3" t="n">
        <v>46278.98</v>
      </c>
      <c r="G991" s="3" t="n">
        <v>46278.97951388889</v>
      </c>
      <c r="H991" t="inlineStr">
        <is>
          <t>Delivered</t>
        </is>
      </c>
      <c r="I991" t="n">
        <v>1</v>
      </c>
      <c r="J991" t="n">
        <v>7</v>
      </c>
      <c r="K991" t="n">
        <v>733.21</v>
      </c>
      <c r="L991" t="n">
        <v>2.23</v>
      </c>
      <c r="M991" t="n">
        <v>2.6</v>
      </c>
      <c r="N991" t="n">
        <v>2</v>
      </c>
      <c r="O991" t="n">
        <v>3.9</v>
      </c>
      <c r="P991" t="n">
        <v>9.199999999999999</v>
      </c>
      <c r="Q991" t="n">
        <v>8.5</v>
      </c>
      <c r="R991" t="n">
        <v>-0.7</v>
      </c>
      <c r="S991" t="b">
        <v>1</v>
      </c>
      <c r="U991" t="n">
        <v>23</v>
      </c>
      <c r="V991" t="b">
        <v>0</v>
      </c>
      <c r="W991" t="inlineStr">
        <is>
          <t>Heavy</t>
        </is>
      </c>
      <c r="X991" t="b">
        <v>0</v>
      </c>
      <c r="Y991" t="n">
        <v>0.53</v>
      </c>
    </row>
    <row r="992">
      <c r="A992" t="inlineStr">
        <is>
          <t>O00991</t>
        </is>
      </c>
      <c r="B992" t="inlineStr">
        <is>
          <t>C0095</t>
        </is>
      </c>
      <c r="C992" t="inlineStr">
        <is>
          <t>S002</t>
        </is>
      </c>
      <c r="D992" t="inlineStr">
        <is>
          <t>R069</t>
        </is>
      </c>
      <c r="E992" s="3" t="n">
        <v>46275.87152777778</v>
      </c>
      <c r="F992" s="3" t="n">
        <v>46275.87986111111</v>
      </c>
      <c r="G992" s="3" t="n">
        <v>46275.88902777778</v>
      </c>
      <c r="H992" t="inlineStr">
        <is>
          <t>Delivered</t>
        </is>
      </c>
      <c r="I992" t="n">
        <v>1</v>
      </c>
      <c r="J992" t="n">
        <v>10</v>
      </c>
      <c r="K992" t="n">
        <v>1097.81</v>
      </c>
      <c r="L992" t="n">
        <v>5</v>
      </c>
      <c r="M992" t="n">
        <v>3.4</v>
      </c>
      <c r="N992" t="n">
        <v>7.9</v>
      </c>
      <c r="O992" t="n">
        <v>14</v>
      </c>
      <c r="P992" t="n">
        <v>12</v>
      </c>
      <c r="Q992" t="n">
        <v>25.2</v>
      </c>
      <c r="R992" t="n">
        <v>13.2</v>
      </c>
      <c r="S992" t="b">
        <v>0</v>
      </c>
      <c r="U992" t="n">
        <v>20</v>
      </c>
      <c r="V992" t="b">
        <v>1</v>
      </c>
      <c r="X992" t="b">
        <v>0</v>
      </c>
      <c r="Y992" t="n">
        <v>0.49</v>
      </c>
    </row>
    <row r="993">
      <c r="A993" t="inlineStr">
        <is>
          <t>O00992</t>
        </is>
      </c>
      <c r="B993" t="inlineStr">
        <is>
          <t>C0063</t>
        </is>
      </c>
      <c r="C993" t="inlineStr">
        <is>
          <t>S019</t>
        </is>
      </c>
      <c r="D993" t="inlineStr">
        <is>
          <t>R018</t>
        </is>
      </c>
      <c r="E993" s="3" t="n">
        <v>46274.45277777778</v>
      </c>
      <c r="F993" s="3" t="n">
        <v>46274.45958333334</v>
      </c>
      <c r="G993" s="3" t="n">
        <v>46274.45902777778</v>
      </c>
      <c r="H993" t="inlineStr">
        <is>
          <t>Delivered</t>
        </is>
      </c>
      <c r="I993" t="n">
        <v>3</v>
      </c>
      <c r="J993" t="n">
        <v>5</v>
      </c>
      <c r="K993" t="n">
        <v>1162.63</v>
      </c>
      <c r="L993" t="n">
        <v>1.74</v>
      </c>
      <c r="M993" t="n">
        <v>3</v>
      </c>
      <c r="N993" t="n">
        <v>3.5</v>
      </c>
      <c r="O993" t="n">
        <v>2.5</v>
      </c>
      <c r="P993" t="n">
        <v>9.800000000000001</v>
      </c>
      <c r="Q993" t="n">
        <v>9</v>
      </c>
      <c r="R993" t="n">
        <v>-0.8</v>
      </c>
      <c r="S993" t="b">
        <v>1</v>
      </c>
      <c r="U993" t="n">
        <v>10</v>
      </c>
      <c r="V993" t="b">
        <v>0</v>
      </c>
      <c r="X993" t="b">
        <v>0</v>
      </c>
      <c r="Y993" t="n">
        <v>0.29</v>
      </c>
    </row>
    <row r="994">
      <c r="A994" t="inlineStr">
        <is>
          <t>O00993</t>
        </is>
      </c>
      <c r="B994" t="inlineStr">
        <is>
          <t>C0087</t>
        </is>
      </c>
      <c r="C994" t="inlineStr">
        <is>
          <t>S005</t>
        </is>
      </c>
      <c r="D994" t="inlineStr">
        <is>
          <t>R052</t>
        </is>
      </c>
      <c r="E994" s="3" t="n">
        <v>46270.87222222222</v>
      </c>
      <c r="F994" s="3" t="n">
        <v>46270.88020833334</v>
      </c>
      <c r="G994" s="3" t="n">
        <v>46270.88222222222</v>
      </c>
      <c r="H994" t="inlineStr">
        <is>
          <t>Delivered</t>
        </is>
      </c>
      <c r="I994" t="n">
        <v>6</v>
      </c>
      <c r="J994" t="n">
        <v>9</v>
      </c>
      <c r="K994" t="n">
        <v>926.84</v>
      </c>
      <c r="L994" t="n">
        <v>3.1</v>
      </c>
      <c r="M994" t="n">
        <v>6</v>
      </c>
      <c r="N994" t="n">
        <v>0.4</v>
      </c>
      <c r="O994" t="n">
        <v>8.1</v>
      </c>
      <c r="P994" t="n">
        <v>11.5</v>
      </c>
      <c r="Q994" t="n">
        <v>14.4</v>
      </c>
      <c r="R994" t="n">
        <v>2.9</v>
      </c>
      <c r="S994" t="b">
        <v>0</v>
      </c>
      <c r="U994" t="n">
        <v>20</v>
      </c>
      <c r="V994" t="b">
        <v>1</v>
      </c>
      <c r="X994" t="b">
        <v>0</v>
      </c>
      <c r="Y994" t="n">
        <v>0.66</v>
      </c>
    </row>
    <row r="995">
      <c r="A995" t="inlineStr">
        <is>
          <t>O00994</t>
        </is>
      </c>
      <c r="B995" t="inlineStr">
        <is>
          <t>C0117</t>
        </is>
      </c>
      <c r="C995" t="inlineStr">
        <is>
          <t>S002</t>
        </is>
      </c>
      <c r="D995" t="inlineStr">
        <is>
          <t>R047</t>
        </is>
      </c>
      <c r="E995" s="3" t="n">
        <v>46267.78194444445</v>
      </c>
      <c r="F995" s="3" t="n">
        <v>46267.78881944445</v>
      </c>
      <c r="G995" s="3" t="n">
        <v>46267.78854166667</v>
      </c>
      <c r="H995" t="inlineStr">
        <is>
          <t>Delivered</t>
        </is>
      </c>
      <c r="I995" t="n">
        <v>4</v>
      </c>
      <c r="J995" t="n">
        <v>7</v>
      </c>
      <c r="K995" t="n">
        <v>867.41</v>
      </c>
      <c r="L995" t="n">
        <v>0.5</v>
      </c>
      <c r="M995" t="n">
        <v>2.8</v>
      </c>
      <c r="N995" t="n">
        <v>4.9</v>
      </c>
      <c r="O995" t="n">
        <v>1.8</v>
      </c>
      <c r="P995" t="n">
        <v>9.9</v>
      </c>
      <c r="Q995" t="n">
        <v>9.5</v>
      </c>
      <c r="R995" t="n">
        <v>-0.4</v>
      </c>
      <c r="S995" t="b">
        <v>1</v>
      </c>
      <c r="U995" t="n">
        <v>18</v>
      </c>
      <c r="V995" t="b">
        <v>0</v>
      </c>
      <c r="X995" t="b">
        <v>0</v>
      </c>
      <c r="Y995" t="n">
        <v>0.36</v>
      </c>
    </row>
    <row r="996">
      <c r="A996" t="inlineStr">
        <is>
          <t>O00995</t>
        </is>
      </c>
      <c r="B996" t="inlineStr">
        <is>
          <t>C0040</t>
        </is>
      </c>
      <c r="C996" t="inlineStr">
        <is>
          <t>S006</t>
        </is>
      </c>
      <c r="D996" t="inlineStr">
        <is>
          <t>R076</t>
        </is>
      </c>
      <c r="E996" s="3" t="n">
        <v>46269.54791666667</v>
      </c>
      <c r="F996" s="3" t="n">
        <v>46269.55506944445</v>
      </c>
      <c r="G996" s="3" t="n">
        <v>46269.55458333333</v>
      </c>
      <c r="H996" t="inlineStr">
        <is>
          <t>Delivered</t>
        </is>
      </c>
      <c r="I996" t="n">
        <v>2</v>
      </c>
      <c r="J996" t="n">
        <v>11</v>
      </c>
      <c r="K996" t="n">
        <v>980.42</v>
      </c>
      <c r="L996" t="n">
        <v>0.5</v>
      </c>
      <c r="M996" t="n">
        <v>4.7</v>
      </c>
      <c r="N996" t="n">
        <v>2.9</v>
      </c>
      <c r="O996" t="n">
        <v>2</v>
      </c>
      <c r="P996" t="n">
        <v>10.3</v>
      </c>
      <c r="Q996" t="n">
        <v>9.6</v>
      </c>
      <c r="R996" t="n">
        <v>-0.7</v>
      </c>
      <c r="S996" t="b">
        <v>1</v>
      </c>
      <c r="U996" t="n">
        <v>13</v>
      </c>
      <c r="V996" t="b">
        <v>0</v>
      </c>
      <c r="X996" t="b">
        <v>0</v>
      </c>
      <c r="Y996" t="n">
        <v>0.47</v>
      </c>
    </row>
    <row r="997">
      <c r="A997" t="inlineStr">
        <is>
          <t>O00996</t>
        </is>
      </c>
      <c r="B997" t="inlineStr">
        <is>
          <t>C0205</t>
        </is>
      </c>
      <c r="C997" t="inlineStr">
        <is>
          <t>S016</t>
        </is>
      </c>
      <c r="D997" t="inlineStr">
        <is>
          <t>R045</t>
        </is>
      </c>
      <c r="E997" s="3" t="n">
        <v>46277.98680555556</v>
      </c>
      <c r="F997" s="3" t="n">
        <v>46277.99243055555</v>
      </c>
      <c r="G997" s="3" t="n">
        <v>46277.99229166667</v>
      </c>
      <c r="H997" t="inlineStr">
        <is>
          <t>Delivered</t>
        </is>
      </c>
      <c r="I997" t="n">
        <v>2</v>
      </c>
      <c r="J997" t="n">
        <v>6</v>
      </c>
      <c r="K997" t="n">
        <v>358.03</v>
      </c>
      <c r="L997" t="n">
        <v>1.72</v>
      </c>
      <c r="M997" t="n">
        <v>3.3</v>
      </c>
      <c r="N997" t="n">
        <v>1.6</v>
      </c>
      <c r="O997" t="n">
        <v>3</v>
      </c>
      <c r="P997" t="n">
        <v>8.1</v>
      </c>
      <c r="Q997" t="n">
        <v>7.9</v>
      </c>
      <c r="R997" t="n">
        <v>-0.2</v>
      </c>
      <c r="S997" t="b">
        <v>1</v>
      </c>
      <c r="U997" t="n">
        <v>23</v>
      </c>
      <c r="V997" t="b">
        <v>0</v>
      </c>
      <c r="X997" t="b">
        <v>0</v>
      </c>
      <c r="Y997" t="n">
        <v>0.51</v>
      </c>
    </row>
    <row r="998">
      <c r="A998" t="inlineStr">
        <is>
          <t>O00997</t>
        </is>
      </c>
      <c r="B998" t="inlineStr">
        <is>
          <t>C0024</t>
        </is>
      </c>
      <c r="C998" t="inlineStr">
        <is>
          <t>S014</t>
        </is>
      </c>
      <c r="D998" t="inlineStr">
        <is>
          <t>R002</t>
        </is>
      </c>
      <c r="E998" s="3" t="n">
        <v>46270.58125</v>
      </c>
      <c r="F998" s="3" t="n">
        <v>46270.58847222223</v>
      </c>
      <c r="G998" s="3" t="n">
        <v>46270.58791666666</v>
      </c>
      <c r="H998" t="inlineStr">
        <is>
          <t>Delivered</t>
        </is>
      </c>
      <c r="I998" t="n">
        <v>1</v>
      </c>
      <c r="J998" t="n">
        <v>8</v>
      </c>
      <c r="K998" t="n">
        <v>1441.26</v>
      </c>
      <c r="L998" t="n">
        <v>1.46</v>
      </c>
      <c r="M998" t="n">
        <v>2.9</v>
      </c>
      <c r="N998" t="n">
        <v>4.5</v>
      </c>
      <c r="O998" t="n">
        <v>2.2</v>
      </c>
      <c r="P998" t="n">
        <v>10.4</v>
      </c>
      <c r="Q998" t="n">
        <v>9.6</v>
      </c>
      <c r="R998" t="n">
        <v>-0.8</v>
      </c>
      <c r="S998" t="b">
        <v>1</v>
      </c>
      <c r="U998" t="n">
        <v>13</v>
      </c>
      <c r="V998" t="b">
        <v>0</v>
      </c>
      <c r="X998" t="b">
        <v>0</v>
      </c>
      <c r="Y998" t="n">
        <v>0.27</v>
      </c>
    </row>
    <row r="999">
      <c r="A999" t="inlineStr">
        <is>
          <t>O00998</t>
        </is>
      </c>
      <c r="B999" t="inlineStr">
        <is>
          <t>C0236</t>
        </is>
      </c>
      <c r="C999" t="inlineStr">
        <is>
          <t>S001</t>
        </is>
      </c>
      <c r="D999" t="inlineStr">
        <is>
          <t>R010</t>
        </is>
      </c>
      <c r="E999" s="3" t="n">
        <v>46268.44166666667</v>
      </c>
      <c r="F999" s="3" t="n">
        <v>46268.44965277778</v>
      </c>
      <c r="G999" s="3" t="n">
        <v>46268.44923611111</v>
      </c>
      <c r="H999" t="inlineStr">
        <is>
          <t>Delivered</t>
        </is>
      </c>
      <c r="I999" t="n">
        <v>6</v>
      </c>
      <c r="J999" t="n">
        <v>6</v>
      </c>
      <c r="K999" t="n">
        <v>1481.07</v>
      </c>
      <c r="L999" t="n">
        <v>3.58</v>
      </c>
      <c r="M999" t="n">
        <v>2.3</v>
      </c>
      <c r="N999" t="n">
        <v>3.4</v>
      </c>
      <c r="O999" t="n">
        <v>5.2</v>
      </c>
      <c r="P999" t="n">
        <v>11.5</v>
      </c>
      <c r="Q999" t="n">
        <v>10.9</v>
      </c>
      <c r="R999" t="n">
        <v>-0.6</v>
      </c>
      <c r="S999" t="b">
        <v>1</v>
      </c>
      <c r="U999" t="n">
        <v>10</v>
      </c>
      <c r="V999" t="b">
        <v>0</v>
      </c>
      <c r="W999" t="inlineStr">
        <is>
          <t>Heavy</t>
        </is>
      </c>
      <c r="X999" t="b">
        <v>0</v>
      </c>
      <c r="Y999" t="n">
        <v>0.62</v>
      </c>
    </row>
    <row r="1000">
      <c r="A1000" t="inlineStr">
        <is>
          <t>O00999</t>
        </is>
      </c>
      <c r="B1000" t="inlineStr">
        <is>
          <t>C0161</t>
        </is>
      </c>
      <c r="C1000" t="inlineStr">
        <is>
          <t>S010</t>
        </is>
      </c>
      <c r="D1000" t="inlineStr">
        <is>
          <t>R006</t>
        </is>
      </c>
      <c r="E1000" s="3" t="n">
        <v>46270.50833333333</v>
      </c>
      <c r="F1000" s="3" t="n">
        <v>46270.51583333333</v>
      </c>
      <c r="G1000" s="3" t="n">
        <v>46270.519375</v>
      </c>
      <c r="H1000" t="inlineStr">
        <is>
          <t>Delivered</t>
        </is>
      </c>
      <c r="I1000" t="n">
        <v>3</v>
      </c>
      <c r="J1000" t="n">
        <v>6</v>
      </c>
      <c r="K1000" t="n">
        <v>1035.17</v>
      </c>
      <c r="L1000" t="n">
        <v>0.88</v>
      </c>
      <c r="M1000" t="n">
        <v>6.2</v>
      </c>
      <c r="N1000" t="n">
        <v>6.2</v>
      </c>
      <c r="O1000" t="n">
        <v>3.5</v>
      </c>
      <c r="P1000" t="n">
        <v>10.8</v>
      </c>
      <c r="Q1000" t="n">
        <v>15.9</v>
      </c>
      <c r="R1000" t="n">
        <v>5.1</v>
      </c>
      <c r="S1000" t="b">
        <v>0</v>
      </c>
      <c r="U1000" t="n">
        <v>12</v>
      </c>
      <c r="V1000" t="b">
        <v>0</v>
      </c>
      <c r="X1000" t="b">
        <v>0</v>
      </c>
      <c r="Y1000" t="n">
        <v>0.48</v>
      </c>
    </row>
    <row r="1001">
      <c r="A1001" t="inlineStr">
        <is>
          <t>O01000</t>
        </is>
      </c>
      <c r="B1001" t="inlineStr">
        <is>
          <t>C0022</t>
        </is>
      </c>
      <c r="C1001" t="inlineStr">
        <is>
          <t>S009</t>
        </is>
      </c>
      <c r="D1001" t="inlineStr">
        <is>
          <t>R026</t>
        </is>
      </c>
      <c r="E1001" s="3" t="n">
        <v>46274.63333333333</v>
      </c>
      <c r="F1001" s="3" t="n">
        <v>46274.63916666667</v>
      </c>
      <c r="G1001" s="3" t="n">
        <v>46274.63875</v>
      </c>
      <c r="H1001" t="inlineStr">
        <is>
          <t>Delivered</t>
        </is>
      </c>
      <c r="I1001" t="n">
        <v>2</v>
      </c>
      <c r="J1001" t="n">
        <v>8</v>
      </c>
      <c r="K1001" t="n">
        <v>1277.72</v>
      </c>
      <c r="L1001" t="n">
        <v>0.78</v>
      </c>
      <c r="M1001" t="n">
        <v>3.2</v>
      </c>
      <c r="N1001" t="n">
        <v>2.3</v>
      </c>
      <c r="O1001" t="n">
        <v>2.3</v>
      </c>
      <c r="P1001" t="n">
        <v>8.4</v>
      </c>
      <c r="Q1001" t="n">
        <v>7.8</v>
      </c>
      <c r="R1001" t="n">
        <v>-0.6</v>
      </c>
      <c r="S1001" t="b">
        <v>1</v>
      </c>
      <c r="U1001" t="n">
        <v>15</v>
      </c>
      <c r="V1001" t="b">
        <v>0</v>
      </c>
      <c r="X1001" t="b">
        <v>0</v>
      </c>
      <c r="Y1001" t="n">
        <v>0.45</v>
      </c>
    </row>
    <row r="1002">
      <c r="A1002" t="inlineStr">
        <is>
          <t>O01001</t>
        </is>
      </c>
      <c r="B1002" t="inlineStr">
        <is>
          <t>C0086</t>
        </is>
      </c>
      <c r="C1002" t="inlineStr">
        <is>
          <t>S008</t>
        </is>
      </c>
      <c r="D1002" t="inlineStr">
        <is>
          <t>R035</t>
        </is>
      </c>
      <c r="E1002" s="3" t="n">
        <v>46278.62847222222</v>
      </c>
      <c r="F1002" s="3" t="n">
        <v>46278.63763888889</v>
      </c>
      <c r="G1002" s="3" t="n">
        <v>46278.64361111111</v>
      </c>
      <c r="H1002" t="inlineStr">
        <is>
          <t>Delivered</t>
        </is>
      </c>
      <c r="I1002" t="n">
        <v>4</v>
      </c>
      <c r="J1002" t="n">
        <v>10</v>
      </c>
      <c r="K1002" t="n">
        <v>1588.94</v>
      </c>
      <c r="L1002" t="n">
        <v>4.9</v>
      </c>
      <c r="M1002" t="n">
        <v>4.4</v>
      </c>
      <c r="N1002" t="n">
        <v>7.4</v>
      </c>
      <c r="O1002" t="n">
        <v>10</v>
      </c>
      <c r="P1002" t="n">
        <v>13.2</v>
      </c>
      <c r="Q1002" t="n">
        <v>21.8</v>
      </c>
      <c r="R1002" t="n">
        <v>8.6</v>
      </c>
      <c r="S1002" t="b">
        <v>0</v>
      </c>
      <c r="U1002" t="n">
        <v>15</v>
      </c>
      <c r="V1002" t="b">
        <v>0</v>
      </c>
      <c r="X1002" t="b">
        <v>0</v>
      </c>
      <c r="Y1002" t="n">
        <v>0.43</v>
      </c>
    </row>
    <row r="1003">
      <c r="A1003" t="inlineStr">
        <is>
          <t>O01002</t>
        </is>
      </c>
      <c r="B1003" t="inlineStr">
        <is>
          <t>C0085</t>
        </is>
      </c>
      <c r="C1003" t="inlineStr">
        <is>
          <t>S013</t>
        </is>
      </c>
      <c r="D1003" t="inlineStr">
        <is>
          <t>R064</t>
        </is>
      </c>
      <c r="E1003" s="3" t="n">
        <v>46278.6125</v>
      </c>
      <c r="F1003" s="3" t="n">
        <v>46278.62041666666</v>
      </c>
      <c r="G1003" s="3" t="n">
        <v>46278.62548611111</v>
      </c>
      <c r="H1003" t="inlineStr">
        <is>
          <t>Delivered</t>
        </is>
      </c>
      <c r="I1003" t="n">
        <v>4</v>
      </c>
      <c r="J1003" t="n">
        <v>7</v>
      </c>
      <c r="K1003" t="n">
        <v>1469.51</v>
      </c>
      <c r="L1003" t="n">
        <v>2.22</v>
      </c>
      <c r="M1003" t="n">
        <v>7</v>
      </c>
      <c r="N1003" t="n">
        <v>3.3</v>
      </c>
      <c r="O1003" t="n">
        <v>8.4</v>
      </c>
      <c r="P1003" t="n">
        <v>11.4</v>
      </c>
      <c r="Q1003" t="n">
        <v>18.7</v>
      </c>
      <c r="R1003" t="n">
        <v>7.3</v>
      </c>
      <c r="S1003" t="b">
        <v>0</v>
      </c>
      <c r="U1003" t="n">
        <v>14</v>
      </c>
      <c r="V1003" t="b">
        <v>0</v>
      </c>
      <c r="W1003" t="inlineStr">
        <is>
          <t>Light</t>
        </is>
      </c>
      <c r="X1003" t="b">
        <v>0</v>
      </c>
      <c r="Y1003" t="n">
        <v>0.83</v>
      </c>
    </row>
    <row r="1004">
      <c r="A1004" t="inlineStr">
        <is>
          <t>O01003</t>
        </is>
      </c>
      <c r="B1004" t="inlineStr">
        <is>
          <t>C0198</t>
        </is>
      </c>
      <c r="C1004" t="inlineStr">
        <is>
          <t>S010</t>
        </is>
      </c>
      <c r="D1004" t="inlineStr">
        <is>
          <t>R003</t>
        </is>
      </c>
      <c r="E1004" s="3" t="n">
        <v>46279.37361111111</v>
      </c>
      <c r="F1004" s="3" t="n">
        <v>46279.38083333334</v>
      </c>
      <c r="G1004" s="3" t="n">
        <v>46279.38041666667</v>
      </c>
      <c r="H1004" t="inlineStr">
        <is>
          <t>Delivered</t>
        </is>
      </c>
      <c r="I1004" t="n">
        <v>6</v>
      </c>
      <c r="J1004" t="n">
        <v>7</v>
      </c>
      <c r="K1004" t="n">
        <v>1300.13</v>
      </c>
      <c r="L1004" t="n">
        <v>1.92</v>
      </c>
      <c r="M1004" t="n">
        <v>3.8</v>
      </c>
      <c r="N1004" t="n">
        <v>2.1</v>
      </c>
      <c r="O1004" t="n">
        <v>3.9</v>
      </c>
      <c r="P1004" t="n">
        <v>10.4</v>
      </c>
      <c r="Q1004" t="n">
        <v>9.800000000000001</v>
      </c>
      <c r="R1004" t="n">
        <v>-0.6</v>
      </c>
      <c r="S1004" t="b">
        <v>1</v>
      </c>
      <c r="U1004" t="n">
        <v>8</v>
      </c>
      <c r="V1004" t="b">
        <v>0</v>
      </c>
      <c r="X1004" t="b">
        <v>0</v>
      </c>
      <c r="Y1004" t="n">
        <v>0.58</v>
      </c>
    </row>
    <row r="1005">
      <c r="A1005" t="inlineStr">
        <is>
          <t>O01004</t>
        </is>
      </c>
      <c r="B1005" t="inlineStr">
        <is>
          <t>C0183</t>
        </is>
      </c>
      <c r="C1005" t="inlineStr">
        <is>
          <t>S013</t>
        </is>
      </c>
      <c r="D1005" t="inlineStr">
        <is>
          <t>R079</t>
        </is>
      </c>
      <c r="E1005" s="3" t="n">
        <v>46278.98958333334</v>
      </c>
      <c r="F1005" s="3" t="n">
        <v>46278.996875</v>
      </c>
      <c r="G1005" s="3" t="n">
        <v>46278.996875</v>
      </c>
      <c r="H1005" t="inlineStr">
        <is>
          <t>Delivered</t>
        </is>
      </c>
      <c r="I1005" t="n">
        <v>1</v>
      </c>
      <c r="J1005" t="n">
        <v>4</v>
      </c>
      <c r="K1005" t="n">
        <v>1171.46</v>
      </c>
      <c r="L1005" t="n">
        <v>1.24</v>
      </c>
      <c r="M1005" t="n">
        <v>5</v>
      </c>
      <c r="N1005" t="n">
        <v>3</v>
      </c>
      <c r="O1005" t="n">
        <v>2.6</v>
      </c>
      <c r="P1005" t="n">
        <v>10.5</v>
      </c>
      <c r="Q1005" t="n">
        <v>10.5</v>
      </c>
      <c r="R1005" t="n">
        <v>0</v>
      </c>
      <c r="S1005" t="b">
        <v>1</v>
      </c>
      <c r="U1005" t="n">
        <v>23</v>
      </c>
      <c r="V1005" t="b">
        <v>0</v>
      </c>
      <c r="X1005" t="b">
        <v>0</v>
      </c>
      <c r="Y1005" t="n">
        <v>0.1</v>
      </c>
    </row>
    <row r="1006">
      <c r="A1006" t="inlineStr">
        <is>
          <t>O01005</t>
        </is>
      </c>
      <c r="B1006" t="inlineStr">
        <is>
          <t>C0023</t>
        </is>
      </c>
      <c r="C1006" t="inlineStr">
        <is>
          <t>S014</t>
        </is>
      </c>
      <c r="D1006" t="inlineStr">
        <is>
          <t>R012</t>
        </is>
      </c>
      <c r="E1006" s="3" t="n">
        <v>46270.84236111111</v>
      </c>
      <c r="F1006" s="3" t="n">
        <v>46270.84826388889</v>
      </c>
      <c r="G1006" s="3" t="n">
        <v>46270.84756944444</v>
      </c>
      <c r="H1006" t="inlineStr">
        <is>
          <t>Delivered</t>
        </is>
      </c>
      <c r="I1006" t="n">
        <v>2</v>
      </c>
      <c r="J1006" t="n">
        <v>9</v>
      </c>
      <c r="K1006" t="n">
        <v>1010.94</v>
      </c>
      <c r="L1006" t="n">
        <v>0.61</v>
      </c>
      <c r="M1006" t="n">
        <v>2.6</v>
      </c>
      <c r="N1006" t="n">
        <v>3.7</v>
      </c>
      <c r="O1006" t="n">
        <v>1.2</v>
      </c>
      <c r="P1006" t="n">
        <v>8.5</v>
      </c>
      <c r="Q1006" t="n">
        <v>7.5</v>
      </c>
      <c r="R1006" t="n">
        <v>-1</v>
      </c>
      <c r="S1006" t="b">
        <v>1</v>
      </c>
      <c r="U1006" t="n">
        <v>20</v>
      </c>
      <c r="V1006" t="b">
        <v>1</v>
      </c>
      <c r="X1006" t="b">
        <v>0</v>
      </c>
      <c r="Y1006" t="n">
        <v>0.49</v>
      </c>
    </row>
    <row r="1007">
      <c r="A1007" t="inlineStr">
        <is>
          <t>O01006</t>
        </is>
      </c>
      <c r="B1007" t="inlineStr">
        <is>
          <t>C0005</t>
        </is>
      </c>
      <c r="C1007" t="inlineStr">
        <is>
          <t>S014</t>
        </is>
      </c>
      <c r="D1007" t="inlineStr">
        <is>
          <t>R019</t>
        </is>
      </c>
      <c r="E1007" s="3" t="n">
        <v>46271.97847222222</v>
      </c>
      <c r="F1007" s="3" t="n">
        <v>46271.98777777778</v>
      </c>
      <c r="G1007" s="3" t="n">
        <v>46271.99138888889</v>
      </c>
      <c r="H1007" t="inlineStr">
        <is>
          <t>Delivered</t>
        </is>
      </c>
      <c r="I1007" t="n">
        <v>6</v>
      </c>
      <c r="J1007" t="n">
        <v>7</v>
      </c>
      <c r="K1007" t="n">
        <v>1516.72</v>
      </c>
      <c r="L1007" t="n">
        <v>3.3</v>
      </c>
      <c r="M1007" t="n">
        <v>6.1</v>
      </c>
      <c r="N1007" t="n">
        <v>5.7</v>
      </c>
      <c r="O1007" t="n">
        <v>6.9</v>
      </c>
      <c r="P1007" t="n">
        <v>13.4</v>
      </c>
      <c r="Q1007" t="n">
        <v>18.6</v>
      </c>
      <c r="R1007" t="n">
        <v>5.2</v>
      </c>
      <c r="S1007" t="b">
        <v>0</v>
      </c>
      <c r="U1007" t="n">
        <v>23</v>
      </c>
      <c r="V1007" t="b">
        <v>0</v>
      </c>
      <c r="X1007" t="b">
        <v>0</v>
      </c>
      <c r="Y1007" t="n">
        <v>0.32</v>
      </c>
    </row>
    <row r="1008">
      <c r="A1008" t="inlineStr">
        <is>
          <t>O01007</t>
        </is>
      </c>
      <c r="B1008" t="inlineStr">
        <is>
          <t>C0073</t>
        </is>
      </c>
      <c r="C1008" t="inlineStr">
        <is>
          <t>S008</t>
        </is>
      </c>
      <c r="D1008" t="inlineStr">
        <is>
          <t>R061</t>
        </is>
      </c>
      <c r="E1008" s="3" t="n">
        <v>46273.86597222222</v>
      </c>
      <c r="F1008" s="3" t="n">
        <v>46273.87083333333</v>
      </c>
      <c r="G1008" s="3" t="n">
        <v>46273.87027777778</v>
      </c>
      <c r="H1008" t="inlineStr">
        <is>
          <t>Delivered</t>
        </is>
      </c>
      <c r="I1008" t="n">
        <v>1</v>
      </c>
      <c r="J1008" t="n">
        <v>12</v>
      </c>
      <c r="K1008" t="n">
        <v>576.8200000000001</v>
      </c>
      <c r="L1008" t="n">
        <v>1.59</v>
      </c>
      <c r="M1008" t="n">
        <v>1.9</v>
      </c>
      <c r="N1008" t="n">
        <v>2</v>
      </c>
      <c r="O1008" t="n">
        <v>2.3</v>
      </c>
      <c r="P1008" t="n">
        <v>7</v>
      </c>
      <c r="Q1008" t="n">
        <v>6.2</v>
      </c>
      <c r="R1008" t="n">
        <v>-0.8</v>
      </c>
      <c r="S1008" t="b">
        <v>1</v>
      </c>
      <c r="U1008" t="n">
        <v>20</v>
      </c>
      <c r="V1008" t="b">
        <v>1</v>
      </c>
      <c r="X1008" t="b">
        <v>0</v>
      </c>
      <c r="Y1008" t="n">
        <v>0.51</v>
      </c>
    </row>
    <row r="1009">
      <c r="A1009" t="inlineStr">
        <is>
          <t>O01008</t>
        </is>
      </c>
      <c r="B1009" t="inlineStr">
        <is>
          <t>C0127</t>
        </is>
      </c>
      <c r="C1009" t="inlineStr">
        <is>
          <t>S010</t>
        </is>
      </c>
      <c r="D1009" t="inlineStr">
        <is>
          <t>R037</t>
        </is>
      </c>
      <c r="E1009" s="3" t="n">
        <v>46279.84305555555</v>
      </c>
      <c r="F1009" s="3" t="n">
        <v>46279.84868055556</v>
      </c>
      <c r="G1009" s="3" t="n">
        <v>46279.85652777777</v>
      </c>
      <c r="H1009" t="inlineStr">
        <is>
          <t>Delivered</t>
        </is>
      </c>
      <c r="I1009" t="n">
        <v>5</v>
      </c>
      <c r="J1009" t="n">
        <v>10</v>
      </c>
      <c r="K1009" t="n">
        <v>754.64</v>
      </c>
      <c r="L1009" t="n">
        <v>0.5</v>
      </c>
      <c r="M1009" t="n">
        <v>5.8</v>
      </c>
      <c r="N1009" t="n">
        <v>11.2</v>
      </c>
      <c r="O1009" t="n">
        <v>2.4</v>
      </c>
      <c r="P1009" t="n">
        <v>8.1</v>
      </c>
      <c r="Q1009" t="n">
        <v>19.4</v>
      </c>
      <c r="R1009" t="n">
        <v>11.3</v>
      </c>
      <c r="S1009" t="b">
        <v>0</v>
      </c>
      <c r="U1009" t="n">
        <v>20</v>
      </c>
      <c r="V1009" t="b">
        <v>1</v>
      </c>
      <c r="X1009" t="b">
        <v>0</v>
      </c>
      <c r="Y1009" t="n">
        <v>0.52</v>
      </c>
    </row>
    <row r="1010">
      <c r="A1010" t="inlineStr">
        <is>
          <t>O01009</t>
        </is>
      </c>
      <c r="B1010" t="inlineStr">
        <is>
          <t>C0025</t>
        </is>
      </c>
      <c r="C1010" t="inlineStr">
        <is>
          <t>S009</t>
        </is>
      </c>
      <c r="D1010" t="inlineStr">
        <is>
          <t>R001</t>
        </is>
      </c>
      <c r="E1010" s="3" t="n">
        <v>46269.87361111111</v>
      </c>
      <c r="F1010" s="3" t="n">
        <v>46269.87993055556</v>
      </c>
      <c r="G1010" s="3" t="n">
        <v>46269.88680555556</v>
      </c>
      <c r="H1010" t="inlineStr">
        <is>
          <t>Delivered</t>
        </is>
      </c>
      <c r="I1010" t="n">
        <v>2</v>
      </c>
      <c r="J1010" t="n">
        <v>5</v>
      </c>
      <c r="K1010" t="n">
        <v>526.76</v>
      </c>
      <c r="L1010" t="n">
        <v>2.8</v>
      </c>
      <c r="M1010" t="n">
        <v>2.7</v>
      </c>
      <c r="N1010" t="n">
        <v>7.9</v>
      </c>
      <c r="O1010" t="n">
        <v>8.4</v>
      </c>
      <c r="P1010" t="n">
        <v>9.1</v>
      </c>
      <c r="Q1010" t="n">
        <v>19</v>
      </c>
      <c r="R1010" t="n">
        <v>9.9</v>
      </c>
      <c r="S1010" t="b">
        <v>0</v>
      </c>
      <c r="U1010" t="n">
        <v>20</v>
      </c>
      <c r="V1010" t="b">
        <v>1</v>
      </c>
      <c r="X1010" t="b">
        <v>0</v>
      </c>
      <c r="Y1010" t="n">
        <v>0.78</v>
      </c>
    </row>
    <row r="1011">
      <c r="A1011" t="inlineStr">
        <is>
          <t>O01010</t>
        </is>
      </c>
      <c r="B1011" t="inlineStr">
        <is>
          <t>C0073</t>
        </is>
      </c>
      <c r="C1011" t="inlineStr">
        <is>
          <t>S003</t>
        </is>
      </c>
      <c r="D1011" t="inlineStr">
        <is>
          <t>R019</t>
        </is>
      </c>
      <c r="E1011" s="3" t="n">
        <v>46272.54513888889</v>
      </c>
      <c r="F1011" s="3" t="n">
        <v>46272.55263888889</v>
      </c>
      <c r="G1011" s="3" t="n">
        <v>46272.55277777778</v>
      </c>
      <c r="H1011" t="inlineStr">
        <is>
          <t>Delivered</t>
        </is>
      </c>
      <c r="I1011" t="n">
        <v>5</v>
      </c>
      <c r="J1011" t="n">
        <v>6</v>
      </c>
      <c r="K1011" t="n">
        <v>1393.33</v>
      </c>
      <c r="L1011" t="n">
        <v>0.5</v>
      </c>
      <c r="M1011" t="n">
        <v>4.1</v>
      </c>
      <c r="N1011" t="n">
        <v>4.4</v>
      </c>
      <c r="O1011" t="n">
        <v>2.6</v>
      </c>
      <c r="P1011" t="n">
        <v>10.8</v>
      </c>
      <c r="Q1011" t="n">
        <v>11</v>
      </c>
      <c r="R1011" t="n">
        <v>0.2</v>
      </c>
      <c r="S1011" t="b">
        <v>0</v>
      </c>
      <c r="U1011" t="n">
        <v>13</v>
      </c>
      <c r="V1011" t="b">
        <v>0</v>
      </c>
      <c r="X1011" t="b">
        <v>0</v>
      </c>
      <c r="Y1011" t="n">
        <v>0.53</v>
      </c>
    </row>
    <row r="1012">
      <c r="A1012" t="inlineStr">
        <is>
          <t>O01011</t>
        </is>
      </c>
      <c r="B1012" t="inlineStr">
        <is>
          <t>C0081</t>
        </is>
      </c>
      <c r="C1012" t="inlineStr">
        <is>
          <t>S016</t>
        </is>
      </c>
      <c r="D1012" t="inlineStr">
        <is>
          <t>R005</t>
        </is>
      </c>
      <c r="E1012" s="3" t="n">
        <v>46275.3625</v>
      </c>
      <c r="F1012" s="3" t="n">
        <v>46275.36743055555</v>
      </c>
      <c r="G1012" s="3" t="n">
        <v>46275.37104166667</v>
      </c>
      <c r="H1012" t="inlineStr">
        <is>
          <t>Delivered</t>
        </is>
      </c>
      <c r="I1012" t="n">
        <v>6</v>
      </c>
      <c r="J1012" t="n">
        <v>7</v>
      </c>
      <c r="K1012" t="n">
        <v>920.16</v>
      </c>
      <c r="L1012" t="n">
        <v>1.45</v>
      </c>
      <c r="M1012" t="n">
        <v>6.6</v>
      </c>
      <c r="N1012" t="n">
        <v>1.9</v>
      </c>
      <c r="O1012" t="n">
        <v>3.9</v>
      </c>
      <c r="P1012" t="n">
        <v>7.1</v>
      </c>
      <c r="Q1012" t="n">
        <v>12.3</v>
      </c>
      <c r="R1012" t="n">
        <v>5.2</v>
      </c>
      <c r="S1012" t="b">
        <v>0</v>
      </c>
      <c r="U1012" t="n">
        <v>8</v>
      </c>
      <c r="V1012" t="b">
        <v>0</v>
      </c>
      <c r="X1012" t="b">
        <v>0</v>
      </c>
      <c r="Y1012" t="n">
        <v>0.34</v>
      </c>
    </row>
    <row r="1013">
      <c r="A1013" t="inlineStr">
        <is>
          <t>O01012</t>
        </is>
      </c>
      <c r="B1013" t="inlineStr">
        <is>
          <t>C0102</t>
        </is>
      </c>
      <c r="C1013" t="inlineStr">
        <is>
          <t>S020</t>
        </is>
      </c>
      <c r="D1013" t="inlineStr">
        <is>
          <t>R066</t>
        </is>
      </c>
      <c r="E1013" s="3" t="n">
        <v>46275.93611111111</v>
      </c>
      <c r="F1013" s="3" t="n">
        <v>46275.94263888889</v>
      </c>
      <c r="G1013" s="3" t="n">
        <v>46275.94993055556</v>
      </c>
      <c r="H1013" t="inlineStr">
        <is>
          <t>Delivered</t>
        </is>
      </c>
      <c r="I1013" t="n">
        <v>2</v>
      </c>
      <c r="J1013" t="n">
        <v>10</v>
      </c>
      <c r="K1013" t="n">
        <v>1018.56</v>
      </c>
      <c r="L1013" t="n">
        <v>1.4</v>
      </c>
      <c r="M1013" t="n">
        <v>6.5</v>
      </c>
      <c r="N1013" t="n">
        <v>9.300000000000001</v>
      </c>
      <c r="O1013" t="n">
        <v>4.1</v>
      </c>
      <c r="P1013" t="n">
        <v>9.4</v>
      </c>
      <c r="Q1013" t="n">
        <v>19.9</v>
      </c>
      <c r="R1013" t="n">
        <v>10.5</v>
      </c>
      <c r="S1013" t="b">
        <v>0</v>
      </c>
      <c r="U1013" t="n">
        <v>22</v>
      </c>
      <c r="V1013" t="b">
        <v>0</v>
      </c>
      <c r="X1013" t="b">
        <v>0</v>
      </c>
      <c r="Y1013" t="n">
        <v>0.5600000000000001</v>
      </c>
    </row>
    <row r="1014">
      <c r="A1014" t="inlineStr">
        <is>
          <t>O01013</t>
        </is>
      </c>
      <c r="B1014" t="inlineStr">
        <is>
          <t>C0196</t>
        </is>
      </c>
      <c r="C1014" t="inlineStr">
        <is>
          <t>S001</t>
        </is>
      </c>
      <c r="D1014" t="inlineStr">
        <is>
          <t>R010</t>
        </is>
      </c>
      <c r="E1014" s="3" t="n">
        <v>46279.65902777778</v>
      </c>
      <c r="F1014" s="3" t="n">
        <v>46279.66520833333</v>
      </c>
      <c r="G1014" s="3" t="n">
        <v>46279.665</v>
      </c>
      <c r="H1014" t="inlineStr">
        <is>
          <t>Delivered</t>
        </is>
      </c>
      <c r="I1014" t="n">
        <v>5</v>
      </c>
      <c r="J1014" t="n">
        <v>11</v>
      </c>
      <c r="K1014" t="n">
        <v>275.82</v>
      </c>
      <c r="L1014" t="n">
        <v>1.27</v>
      </c>
      <c r="M1014" t="n">
        <v>3</v>
      </c>
      <c r="N1014" t="n">
        <v>3.9</v>
      </c>
      <c r="O1014" t="n">
        <v>1.7</v>
      </c>
      <c r="P1014" t="n">
        <v>8.9</v>
      </c>
      <c r="Q1014" t="n">
        <v>8.6</v>
      </c>
      <c r="R1014" t="n">
        <v>-0.3</v>
      </c>
      <c r="S1014" t="b">
        <v>1</v>
      </c>
      <c r="U1014" t="n">
        <v>15</v>
      </c>
      <c r="V1014" t="b">
        <v>0</v>
      </c>
      <c r="X1014" t="b">
        <v>1</v>
      </c>
      <c r="Y1014" t="n">
        <v>0.15</v>
      </c>
    </row>
    <row r="1015">
      <c r="A1015" t="inlineStr">
        <is>
          <t>O01014</t>
        </is>
      </c>
      <c r="B1015" t="inlineStr">
        <is>
          <t>C0127</t>
        </is>
      </c>
      <c r="C1015" t="inlineStr">
        <is>
          <t>S010</t>
        </is>
      </c>
      <c r="D1015" t="inlineStr">
        <is>
          <t>R054</t>
        </is>
      </c>
      <c r="E1015" s="3" t="n">
        <v>46273.93472222222</v>
      </c>
      <c r="F1015" s="3" t="n">
        <v>46273.94208333334</v>
      </c>
      <c r="G1015" s="3" t="n">
        <v>46273.941875</v>
      </c>
      <c r="H1015" t="inlineStr">
        <is>
          <t>Delivered</t>
        </is>
      </c>
      <c r="I1015" t="n">
        <v>3</v>
      </c>
      <c r="J1015" t="n">
        <v>10</v>
      </c>
      <c r="K1015" t="n">
        <v>447.81</v>
      </c>
      <c r="L1015" t="n">
        <v>2.47</v>
      </c>
      <c r="M1015" t="n">
        <v>3.7</v>
      </c>
      <c r="N1015" t="n">
        <v>2.6</v>
      </c>
      <c r="O1015" t="n">
        <v>4</v>
      </c>
      <c r="P1015" t="n">
        <v>10.6</v>
      </c>
      <c r="Q1015" t="n">
        <v>10.3</v>
      </c>
      <c r="R1015" t="n">
        <v>-0.3</v>
      </c>
      <c r="S1015" t="b">
        <v>1</v>
      </c>
      <c r="U1015" t="n">
        <v>22</v>
      </c>
      <c r="V1015" t="b">
        <v>0</v>
      </c>
      <c r="X1015" t="b">
        <v>0</v>
      </c>
      <c r="Y1015" t="n">
        <v>0.42</v>
      </c>
    </row>
    <row r="1016">
      <c r="A1016" t="inlineStr">
        <is>
          <t>O01015</t>
        </is>
      </c>
      <c r="B1016" t="inlineStr">
        <is>
          <t>C0131</t>
        </is>
      </c>
      <c r="C1016" t="inlineStr">
        <is>
          <t>S014</t>
        </is>
      </c>
      <c r="D1016" t="inlineStr">
        <is>
          <t>R031</t>
        </is>
      </c>
      <c r="E1016" s="3" t="n">
        <v>46266.42986111111</v>
      </c>
      <c r="F1016" s="3" t="n">
        <v>46266.43763888889</v>
      </c>
      <c r="G1016" s="3" t="n">
        <v>46266.43743055555</v>
      </c>
      <c r="H1016" t="inlineStr">
        <is>
          <t>Delivered</t>
        </is>
      </c>
      <c r="I1016" t="n">
        <v>6</v>
      </c>
      <c r="J1016" t="n">
        <v>6</v>
      </c>
      <c r="K1016" t="n">
        <v>810.59</v>
      </c>
      <c r="L1016" t="n">
        <v>3.3</v>
      </c>
      <c r="M1016" t="n">
        <v>2.4</v>
      </c>
      <c r="N1016" t="n">
        <v>3.6</v>
      </c>
      <c r="O1016" t="n">
        <v>4.9</v>
      </c>
      <c r="P1016" t="n">
        <v>11.2</v>
      </c>
      <c r="Q1016" t="n">
        <v>10.9</v>
      </c>
      <c r="R1016" t="n">
        <v>-0.3</v>
      </c>
      <c r="S1016" t="b">
        <v>1</v>
      </c>
      <c r="U1016" t="n">
        <v>10</v>
      </c>
      <c r="V1016" t="b">
        <v>0</v>
      </c>
      <c r="W1016" t="inlineStr">
        <is>
          <t>Light</t>
        </is>
      </c>
      <c r="X1016" t="b">
        <v>0</v>
      </c>
      <c r="Y1016" t="n">
        <v>1</v>
      </c>
    </row>
    <row r="1017">
      <c r="A1017" t="inlineStr">
        <is>
          <t>O01016</t>
        </is>
      </c>
      <c r="B1017" t="inlineStr">
        <is>
          <t>C0125</t>
        </is>
      </c>
      <c r="C1017" t="inlineStr">
        <is>
          <t>S002</t>
        </is>
      </c>
      <c r="D1017" t="inlineStr">
        <is>
          <t>R038</t>
        </is>
      </c>
      <c r="E1017" s="3" t="n">
        <v>46276.38402777778</v>
      </c>
      <c r="F1017" s="3" t="n">
        <v>46276.39083333333</v>
      </c>
      <c r="G1017" s="3" t="n">
        <v>46276.39069444445</v>
      </c>
      <c r="H1017" t="inlineStr">
        <is>
          <t>Delivered</t>
        </is>
      </c>
      <c r="I1017" t="n">
        <v>4</v>
      </c>
      <c r="J1017" t="n">
        <v>11</v>
      </c>
      <c r="K1017" t="n">
        <v>564.61</v>
      </c>
      <c r="L1017" t="n">
        <v>5</v>
      </c>
      <c r="M1017" t="n">
        <v>1.2</v>
      </c>
      <c r="N1017" t="n">
        <v>2.9</v>
      </c>
      <c r="O1017" t="n">
        <v>5.5</v>
      </c>
      <c r="P1017" t="n">
        <v>9.800000000000001</v>
      </c>
      <c r="Q1017" t="n">
        <v>9.6</v>
      </c>
      <c r="R1017" t="n">
        <v>-0.2</v>
      </c>
      <c r="S1017" t="b">
        <v>1</v>
      </c>
      <c r="U1017" t="n">
        <v>9</v>
      </c>
      <c r="V1017" t="b">
        <v>0</v>
      </c>
      <c r="X1017" t="b">
        <v>0</v>
      </c>
      <c r="Y1017" t="n">
        <v>0.53</v>
      </c>
    </row>
    <row r="1018">
      <c r="A1018" t="inlineStr">
        <is>
          <t>O01017</t>
        </is>
      </c>
      <c r="B1018" t="inlineStr">
        <is>
          <t>C0224</t>
        </is>
      </c>
      <c r="C1018" t="inlineStr">
        <is>
          <t>S004</t>
        </is>
      </c>
      <c r="D1018" t="inlineStr">
        <is>
          <t>R032</t>
        </is>
      </c>
      <c r="E1018" s="3" t="n">
        <v>46266.48263888889</v>
      </c>
      <c r="F1018" s="3" t="n">
        <v>46266.48916666667</v>
      </c>
      <c r="G1018" s="3" t="n">
        <v>46266.490625</v>
      </c>
      <c r="H1018" t="inlineStr">
        <is>
          <t>Delivered</t>
        </is>
      </c>
      <c r="I1018" t="n">
        <v>4</v>
      </c>
      <c r="J1018" t="n">
        <v>8</v>
      </c>
      <c r="K1018" t="n">
        <v>1018.18</v>
      </c>
      <c r="L1018" t="n">
        <v>2.85</v>
      </c>
      <c r="M1018" t="n">
        <v>2.6</v>
      </c>
      <c r="N1018" t="n">
        <v>2.7</v>
      </c>
      <c r="O1018" t="n">
        <v>6.3</v>
      </c>
      <c r="P1018" t="n">
        <v>9.4</v>
      </c>
      <c r="Q1018" t="n">
        <v>11.5</v>
      </c>
      <c r="R1018" t="n">
        <v>2.1</v>
      </c>
      <c r="S1018" t="b">
        <v>0</v>
      </c>
      <c r="U1018" t="n">
        <v>11</v>
      </c>
      <c r="V1018" t="b">
        <v>0</v>
      </c>
      <c r="X1018" t="b">
        <v>0</v>
      </c>
      <c r="Y1018" t="n">
        <v>0.22</v>
      </c>
    </row>
    <row r="1019">
      <c r="A1019" t="inlineStr">
        <is>
          <t>O01018</t>
        </is>
      </c>
      <c r="B1019" t="inlineStr">
        <is>
          <t>C0094</t>
        </is>
      </c>
      <c r="C1019" t="inlineStr">
        <is>
          <t>S014</t>
        </is>
      </c>
      <c r="D1019" t="inlineStr">
        <is>
          <t>R061</t>
        </is>
      </c>
      <c r="E1019" s="3" t="n">
        <v>46273.65555555555</v>
      </c>
      <c r="F1019" s="3" t="n">
        <v>46273.66381944445</v>
      </c>
      <c r="G1019" s="3" t="n">
        <v>46273.66298611111</v>
      </c>
      <c r="H1019" t="inlineStr">
        <is>
          <t>Delivered</t>
        </is>
      </c>
      <c r="I1019" t="n">
        <v>1</v>
      </c>
      <c r="J1019" t="n">
        <v>8</v>
      </c>
      <c r="K1019" t="n">
        <v>1056.63</v>
      </c>
      <c r="L1019" t="n">
        <v>3.3</v>
      </c>
      <c r="M1019" t="n">
        <v>4.2</v>
      </c>
      <c r="N1019" t="n">
        <v>1.9</v>
      </c>
      <c r="O1019" t="n">
        <v>4.6</v>
      </c>
      <c r="P1019" t="n">
        <v>11.9</v>
      </c>
      <c r="Q1019" t="n">
        <v>10.7</v>
      </c>
      <c r="R1019" t="n">
        <v>-1.2</v>
      </c>
      <c r="S1019" t="b">
        <v>1</v>
      </c>
      <c r="U1019" t="n">
        <v>15</v>
      </c>
      <c r="V1019" t="b">
        <v>0</v>
      </c>
      <c r="X1019" t="b">
        <v>0</v>
      </c>
      <c r="Y1019" t="n">
        <v>0.43</v>
      </c>
    </row>
    <row r="1020">
      <c r="A1020" t="inlineStr">
        <is>
          <t>O01019</t>
        </is>
      </c>
      <c r="B1020" t="inlineStr">
        <is>
          <t>C0247</t>
        </is>
      </c>
      <c r="C1020" t="inlineStr">
        <is>
          <t>S003</t>
        </is>
      </c>
      <c r="E1020" s="3" t="n">
        <v>46267.51666666667</v>
      </c>
      <c r="F1020" s="3" t="n">
        <v>46267.523125</v>
      </c>
      <c r="H1020" t="inlineStr">
        <is>
          <t>Cancelled</t>
        </is>
      </c>
      <c r="I1020" t="n">
        <v>3</v>
      </c>
      <c r="J1020" t="n">
        <v>9</v>
      </c>
      <c r="K1020" t="n">
        <v>1149.36</v>
      </c>
      <c r="L1020" t="n">
        <v>0.5</v>
      </c>
      <c r="M1020" t="n">
        <v>4.2</v>
      </c>
      <c r="N1020" t="n">
        <v>3.4</v>
      </c>
      <c r="O1020" t="n">
        <v>4.7</v>
      </c>
      <c r="P1020" t="n">
        <v>9.300000000000001</v>
      </c>
      <c r="T1020" t="inlineStr">
        <is>
          <t>Customer cancelled</t>
        </is>
      </c>
      <c r="U1020" t="n">
        <v>12</v>
      </c>
      <c r="V1020" t="b">
        <v>0</v>
      </c>
      <c r="W1020" t="inlineStr">
        <is>
          <t>Heavy</t>
        </is>
      </c>
      <c r="X1020" t="b">
        <v>0</v>
      </c>
      <c r="Y1020" t="n">
        <v>0.57</v>
      </c>
    </row>
    <row r="1021">
      <c r="A1021" t="inlineStr">
        <is>
          <t>O01020</t>
        </is>
      </c>
      <c r="B1021" t="inlineStr">
        <is>
          <t>C0230</t>
        </is>
      </c>
      <c r="C1021" t="inlineStr">
        <is>
          <t>S008</t>
        </is>
      </c>
      <c r="D1021" t="inlineStr">
        <is>
          <t>R037</t>
        </is>
      </c>
      <c r="E1021" s="3" t="n">
        <v>46277.86944444444</v>
      </c>
      <c r="F1021" s="3" t="n">
        <v>46277.87618055556</v>
      </c>
      <c r="G1021" s="3" t="n">
        <v>46277.88493055556</v>
      </c>
      <c r="H1021" t="inlineStr">
        <is>
          <t>Delivered</t>
        </is>
      </c>
      <c r="I1021" t="n">
        <v>6</v>
      </c>
      <c r="J1021" t="n">
        <v>6</v>
      </c>
      <c r="K1021" t="n">
        <v>626.26</v>
      </c>
      <c r="L1021" t="n">
        <v>3.06</v>
      </c>
      <c r="M1021" t="n">
        <v>3.3</v>
      </c>
      <c r="N1021" t="n">
        <v>9.1</v>
      </c>
      <c r="O1021" t="n">
        <v>9.9</v>
      </c>
      <c r="P1021" t="n">
        <v>9.699999999999999</v>
      </c>
      <c r="Q1021" t="n">
        <v>22.3</v>
      </c>
      <c r="R1021" t="n">
        <v>12.6</v>
      </c>
      <c r="S1021" t="b">
        <v>0</v>
      </c>
      <c r="U1021" t="n">
        <v>20</v>
      </c>
      <c r="V1021" t="b">
        <v>1</v>
      </c>
      <c r="W1021" t="inlineStr">
        <is>
          <t>Light</t>
        </is>
      </c>
      <c r="X1021" t="b">
        <v>0</v>
      </c>
      <c r="Y1021" t="n">
        <v>0.54</v>
      </c>
    </row>
    <row r="1022">
      <c r="A1022" t="inlineStr">
        <is>
          <t>O01021</t>
        </is>
      </c>
      <c r="B1022" t="inlineStr">
        <is>
          <t>C0202</t>
        </is>
      </c>
      <c r="C1022" t="inlineStr">
        <is>
          <t>S019</t>
        </is>
      </c>
      <c r="D1022" t="inlineStr">
        <is>
          <t>R056</t>
        </is>
      </c>
      <c r="E1022" s="3" t="n">
        <v>46271.46319444444</v>
      </c>
      <c r="F1022" s="3" t="n">
        <v>46271.47097222223</v>
      </c>
      <c r="G1022" s="3" t="n">
        <v>46271.47076388889</v>
      </c>
      <c r="H1022" t="inlineStr">
        <is>
          <t>Delivered</t>
        </is>
      </c>
      <c r="I1022" t="n">
        <v>1</v>
      </c>
      <c r="J1022" t="n">
        <v>6</v>
      </c>
      <c r="K1022" t="n">
        <v>1136.94</v>
      </c>
      <c r="L1022" t="n">
        <v>2.5</v>
      </c>
      <c r="M1022" t="n">
        <v>3.3</v>
      </c>
      <c r="N1022" t="n">
        <v>2.6</v>
      </c>
      <c r="O1022" t="n">
        <v>5</v>
      </c>
      <c r="P1022" t="n">
        <v>11.2</v>
      </c>
      <c r="Q1022" t="n">
        <v>10.9</v>
      </c>
      <c r="R1022" t="n">
        <v>-0.3</v>
      </c>
      <c r="S1022" t="b">
        <v>1</v>
      </c>
      <c r="U1022" t="n">
        <v>11</v>
      </c>
      <c r="V1022" t="b">
        <v>0</v>
      </c>
      <c r="W1022" t="inlineStr">
        <is>
          <t>Light</t>
        </is>
      </c>
      <c r="X1022" t="b">
        <v>0</v>
      </c>
      <c r="Y1022" t="n">
        <v>0.51</v>
      </c>
    </row>
    <row r="1023">
      <c r="A1023" t="inlineStr">
        <is>
          <t>O01022</t>
        </is>
      </c>
      <c r="B1023" t="inlineStr">
        <is>
          <t>C0034</t>
        </is>
      </c>
      <c r="C1023" t="inlineStr">
        <is>
          <t>S007</t>
        </is>
      </c>
      <c r="D1023" t="inlineStr">
        <is>
          <t>R027</t>
        </is>
      </c>
      <c r="E1023" s="3" t="n">
        <v>46267.50486111111</v>
      </c>
      <c r="F1023" s="3" t="n">
        <v>46267.51208333333</v>
      </c>
      <c r="G1023" s="3" t="n">
        <v>46267.51159722222</v>
      </c>
      <c r="H1023" t="inlineStr">
        <is>
          <t>Delivered</t>
        </is>
      </c>
      <c r="I1023" t="n">
        <v>3</v>
      </c>
      <c r="J1023" t="n">
        <v>4</v>
      </c>
      <c r="K1023" t="n">
        <v>254.45</v>
      </c>
      <c r="L1023" t="n">
        <v>4.4</v>
      </c>
      <c r="M1023" t="n">
        <v>2.2</v>
      </c>
      <c r="N1023" t="n">
        <v>3</v>
      </c>
      <c r="O1023" t="n">
        <v>4.5</v>
      </c>
      <c r="P1023" t="n">
        <v>10.4</v>
      </c>
      <c r="Q1023" t="n">
        <v>9.699999999999999</v>
      </c>
      <c r="R1023" t="n">
        <v>-0.7</v>
      </c>
      <c r="S1023" t="b">
        <v>1</v>
      </c>
      <c r="U1023" t="n">
        <v>12</v>
      </c>
      <c r="V1023" t="b">
        <v>0</v>
      </c>
      <c r="X1023" t="b">
        <v>0</v>
      </c>
      <c r="Y1023" t="n">
        <v>0.82</v>
      </c>
    </row>
    <row r="1024">
      <c r="A1024" t="inlineStr">
        <is>
          <t>O01023</t>
        </is>
      </c>
      <c r="B1024" t="inlineStr">
        <is>
          <t>C0054</t>
        </is>
      </c>
      <c r="C1024" t="inlineStr">
        <is>
          <t>S009</t>
        </is>
      </c>
      <c r="D1024" t="inlineStr">
        <is>
          <t>R016</t>
        </is>
      </c>
      <c r="E1024" s="3" t="n">
        <v>46275.77152777778</v>
      </c>
      <c r="F1024" s="3" t="n">
        <v>46275.77763888889</v>
      </c>
      <c r="G1024" s="3" t="n">
        <v>46275.77972222222</v>
      </c>
      <c r="H1024" t="inlineStr">
        <is>
          <t>Delivered</t>
        </is>
      </c>
      <c r="I1024" t="n">
        <v>4</v>
      </c>
      <c r="J1024" t="n">
        <v>6</v>
      </c>
      <c r="K1024" t="n">
        <v>305.84</v>
      </c>
      <c r="L1024" t="n">
        <v>1.55</v>
      </c>
      <c r="M1024" t="n">
        <v>1.7</v>
      </c>
      <c r="N1024" t="n">
        <v>4.6</v>
      </c>
      <c r="O1024" t="n">
        <v>5.5</v>
      </c>
      <c r="P1024" t="n">
        <v>8.800000000000001</v>
      </c>
      <c r="Q1024" t="n">
        <v>11.8</v>
      </c>
      <c r="R1024" t="n">
        <v>3</v>
      </c>
      <c r="S1024" t="b">
        <v>0</v>
      </c>
      <c r="U1024" t="n">
        <v>18</v>
      </c>
      <c r="V1024" t="b">
        <v>0</v>
      </c>
      <c r="W1024" t="inlineStr">
        <is>
          <t>Heavy</t>
        </is>
      </c>
      <c r="X1024" t="b">
        <v>0</v>
      </c>
      <c r="Y1024" t="n">
        <v>0.27</v>
      </c>
    </row>
    <row r="1025">
      <c r="A1025" t="inlineStr">
        <is>
          <t>O01024</t>
        </is>
      </c>
      <c r="B1025" t="inlineStr">
        <is>
          <t>C0165</t>
        </is>
      </c>
      <c r="C1025" t="inlineStr">
        <is>
          <t>S018</t>
        </is>
      </c>
      <c r="D1025" t="inlineStr">
        <is>
          <t>R048</t>
        </is>
      </c>
      <c r="E1025" s="3" t="n">
        <v>46271.60069444445</v>
      </c>
      <c r="F1025" s="3" t="n">
        <v>46271.60763888889</v>
      </c>
      <c r="G1025" s="3" t="n">
        <v>46271.60736111111</v>
      </c>
      <c r="H1025" t="inlineStr">
        <is>
          <t>Delivered</t>
        </is>
      </c>
      <c r="I1025" t="n">
        <v>4</v>
      </c>
      <c r="J1025" t="n">
        <v>9</v>
      </c>
      <c r="K1025" t="n">
        <v>567.99</v>
      </c>
      <c r="L1025" t="n">
        <v>4.25</v>
      </c>
      <c r="M1025" t="n">
        <v>3</v>
      </c>
      <c r="N1025" t="n">
        <v>2.3</v>
      </c>
      <c r="O1025" t="n">
        <v>4.3</v>
      </c>
      <c r="P1025" t="n">
        <v>10</v>
      </c>
      <c r="Q1025" t="n">
        <v>9.6</v>
      </c>
      <c r="R1025" t="n">
        <v>-0.4</v>
      </c>
      <c r="S1025" t="b">
        <v>1</v>
      </c>
      <c r="U1025" t="n">
        <v>14</v>
      </c>
      <c r="V1025" t="b">
        <v>0</v>
      </c>
      <c r="X1025" t="b">
        <v>0</v>
      </c>
      <c r="Y1025" t="n">
        <v>0.25</v>
      </c>
    </row>
    <row r="1026">
      <c r="A1026" t="inlineStr">
        <is>
          <t>O01025</t>
        </is>
      </c>
      <c r="B1026" t="inlineStr">
        <is>
          <t>C0082</t>
        </is>
      </c>
      <c r="C1026" t="inlineStr">
        <is>
          <t>S006</t>
        </is>
      </c>
      <c r="D1026" t="inlineStr">
        <is>
          <t>R035</t>
        </is>
      </c>
      <c r="E1026" s="3" t="n">
        <v>46271.42986111111</v>
      </c>
      <c r="F1026" s="3" t="n">
        <v>46271.43902777778</v>
      </c>
      <c r="G1026" s="3" t="n">
        <v>46271.43868055556</v>
      </c>
      <c r="H1026" t="inlineStr">
        <is>
          <t>Delivered</t>
        </is>
      </c>
      <c r="I1026" t="n">
        <v>3</v>
      </c>
      <c r="J1026" t="n">
        <v>3</v>
      </c>
      <c r="K1026" t="n">
        <v>1162.81</v>
      </c>
      <c r="L1026" t="n">
        <v>1.72</v>
      </c>
      <c r="M1026" t="n">
        <v>3</v>
      </c>
      <c r="N1026" t="n">
        <v>6.1</v>
      </c>
      <c r="O1026" t="n">
        <v>3.6</v>
      </c>
      <c r="P1026" t="n">
        <v>13.2</v>
      </c>
      <c r="Q1026" t="n">
        <v>12.7</v>
      </c>
      <c r="R1026" t="n">
        <v>-0.5</v>
      </c>
      <c r="S1026" t="b">
        <v>1</v>
      </c>
      <c r="U1026" t="n">
        <v>10</v>
      </c>
      <c r="V1026" t="b">
        <v>0</v>
      </c>
      <c r="W1026" t="inlineStr">
        <is>
          <t>Light</t>
        </is>
      </c>
      <c r="X1026" t="b">
        <v>0</v>
      </c>
      <c r="Y1026" t="n">
        <v>0</v>
      </c>
    </row>
    <row r="1027">
      <c r="A1027" t="inlineStr">
        <is>
          <t>O01026</t>
        </is>
      </c>
      <c r="B1027" t="inlineStr">
        <is>
          <t>C0186</t>
        </is>
      </c>
      <c r="C1027" t="inlineStr">
        <is>
          <t>S006</t>
        </is>
      </c>
      <c r="D1027" t="inlineStr">
        <is>
          <t>R029</t>
        </is>
      </c>
      <c r="E1027" s="3" t="n">
        <v>46270.55069444444</v>
      </c>
      <c r="F1027" s="3" t="n">
        <v>46270.55694444444</v>
      </c>
      <c r="G1027" s="3" t="n">
        <v>46270.55659722222</v>
      </c>
      <c r="H1027" t="inlineStr">
        <is>
          <t>Delivered</t>
        </is>
      </c>
      <c r="I1027" t="n">
        <v>2</v>
      </c>
      <c r="J1027" t="n">
        <v>6</v>
      </c>
      <c r="K1027" t="n">
        <v>1349.51</v>
      </c>
      <c r="L1027" t="n">
        <v>1.59</v>
      </c>
      <c r="M1027" t="n">
        <v>2</v>
      </c>
      <c r="N1027" t="n">
        <v>4.5</v>
      </c>
      <c r="O1027" t="n">
        <v>2</v>
      </c>
      <c r="P1027" t="n">
        <v>9</v>
      </c>
      <c r="Q1027" t="n">
        <v>8.5</v>
      </c>
      <c r="R1027" t="n">
        <v>-0.5</v>
      </c>
      <c r="S1027" t="b">
        <v>1</v>
      </c>
      <c r="U1027" t="n">
        <v>13</v>
      </c>
      <c r="V1027" t="b">
        <v>0</v>
      </c>
      <c r="X1027" t="b">
        <v>0</v>
      </c>
      <c r="Y1027" t="n">
        <v>0.53</v>
      </c>
    </row>
    <row r="1028">
      <c r="A1028" t="inlineStr">
        <is>
          <t>O01027</t>
        </is>
      </c>
      <c r="B1028" t="inlineStr">
        <is>
          <t>C0075</t>
        </is>
      </c>
      <c r="C1028" t="inlineStr">
        <is>
          <t>S013</t>
        </is>
      </c>
      <c r="D1028" t="inlineStr">
        <is>
          <t>R026</t>
        </is>
      </c>
      <c r="E1028" s="3" t="n">
        <v>46274.89513888889</v>
      </c>
      <c r="F1028" s="3" t="n">
        <v>46274.90138888889</v>
      </c>
      <c r="G1028" s="3" t="n">
        <v>46274.90118055556</v>
      </c>
      <c r="H1028" t="inlineStr">
        <is>
          <t>Delivered</t>
        </is>
      </c>
      <c r="I1028" t="n">
        <v>6</v>
      </c>
      <c r="J1028" t="n">
        <v>8</v>
      </c>
      <c r="K1028" t="n">
        <v>1392.82</v>
      </c>
      <c r="L1028" t="n">
        <v>1.18</v>
      </c>
      <c r="M1028" t="n">
        <v>3</v>
      </c>
      <c r="N1028" t="n">
        <v>4</v>
      </c>
      <c r="O1028" t="n">
        <v>1.7</v>
      </c>
      <c r="P1028" t="n">
        <v>9</v>
      </c>
      <c r="Q1028" t="n">
        <v>8.699999999999999</v>
      </c>
      <c r="R1028" t="n">
        <v>-0.3</v>
      </c>
      <c r="S1028" t="b">
        <v>1</v>
      </c>
      <c r="U1028" t="n">
        <v>21</v>
      </c>
      <c r="V1028" t="b">
        <v>1</v>
      </c>
      <c r="X1028" t="b">
        <v>0</v>
      </c>
      <c r="Y1028" t="n">
        <v>0.23</v>
      </c>
    </row>
    <row r="1029">
      <c r="A1029" t="inlineStr">
        <is>
          <t>O01028</t>
        </is>
      </c>
      <c r="B1029" t="inlineStr">
        <is>
          <t>C0047</t>
        </is>
      </c>
      <c r="C1029" t="inlineStr">
        <is>
          <t>S013</t>
        </is>
      </c>
      <c r="D1029" t="inlineStr">
        <is>
          <t>R037</t>
        </is>
      </c>
      <c r="E1029" s="3" t="n">
        <v>46269.38125</v>
      </c>
      <c r="F1029" s="3" t="n">
        <v>46269.38826388889</v>
      </c>
      <c r="G1029" s="3" t="n">
        <v>46269.39611111111</v>
      </c>
      <c r="H1029" t="inlineStr">
        <is>
          <t>Delivered</t>
        </is>
      </c>
      <c r="I1029" t="n">
        <v>3</v>
      </c>
      <c r="J1029" t="n">
        <v>4</v>
      </c>
      <c r="K1029" t="n">
        <v>534.61</v>
      </c>
      <c r="L1029" t="n">
        <v>3</v>
      </c>
      <c r="M1029" t="n">
        <v>6.7</v>
      </c>
      <c r="N1029" t="n">
        <v>8.4</v>
      </c>
      <c r="O1029" t="n">
        <v>6.3</v>
      </c>
      <c r="P1029" t="n">
        <v>10.1</v>
      </c>
      <c r="Q1029" t="n">
        <v>21.4</v>
      </c>
      <c r="R1029" t="n">
        <v>11.3</v>
      </c>
      <c r="S1029" t="b">
        <v>0</v>
      </c>
      <c r="U1029" t="n">
        <v>9</v>
      </c>
      <c r="V1029" t="b">
        <v>0</v>
      </c>
      <c r="X1029" t="b">
        <v>0</v>
      </c>
      <c r="Y1029" t="n">
        <v>0.4</v>
      </c>
    </row>
    <row r="1030">
      <c r="A1030" t="inlineStr">
        <is>
          <t>O01029</t>
        </is>
      </c>
      <c r="B1030" t="inlineStr">
        <is>
          <t>C0111</t>
        </is>
      </c>
      <c r="C1030" t="inlineStr">
        <is>
          <t>S005</t>
        </is>
      </c>
      <c r="D1030" t="inlineStr">
        <is>
          <t>R022</t>
        </is>
      </c>
      <c r="E1030" s="3" t="n">
        <v>46269.86527777778</v>
      </c>
      <c r="F1030" s="3" t="n">
        <v>46269.87145833333</v>
      </c>
      <c r="G1030" s="3" t="n">
        <v>46269.870625</v>
      </c>
      <c r="H1030" t="inlineStr">
        <is>
          <t>Delivered</t>
        </is>
      </c>
      <c r="I1030" t="n">
        <v>4</v>
      </c>
      <c r="J1030" t="n">
        <v>7</v>
      </c>
      <c r="K1030" t="n">
        <v>765.72</v>
      </c>
      <c r="L1030" t="n">
        <v>1.07</v>
      </c>
      <c r="M1030" t="n">
        <v>2.4</v>
      </c>
      <c r="N1030" t="n">
        <v>3</v>
      </c>
      <c r="O1030" t="n">
        <v>2.3</v>
      </c>
      <c r="P1030" t="n">
        <v>8.9</v>
      </c>
      <c r="Q1030" t="n">
        <v>7.7</v>
      </c>
      <c r="R1030" t="n">
        <v>-1.2</v>
      </c>
      <c r="S1030" t="b">
        <v>1</v>
      </c>
      <c r="U1030" t="n">
        <v>20</v>
      </c>
      <c r="V1030" t="b">
        <v>1</v>
      </c>
      <c r="X1030" t="b">
        <v>0</v>
      </c>
      <c r="Y1030" t="n">
        <v>0.76</v>
      </c>
    </row>
    <row r="1031">
      <c r="A1031" t="inlineStr">
        <is>
          <t>O01030</t>
        </is>
      </c>
      <c r="B1031" t="inlineStr">
        <is>
          <t>C0054</t>
        </is>
      </c>
      <c r="C1031" t="inlineStr">
        <is>
          <t>S004</t>
        </is>
      </c>
      <c r="D1031" t="inlineStr">
        <is>
          <t>R045</t>
        </is>
      </c>
      <c r="E1031" s="3" t="n">
        <v>46276.57291666666</v>
      </c>
      <c r="F1031" s="3" t="n">
        <v>46276.57923611111</v>
      </c>
      <c r="G1031" s="3" t="n">
        <v>46276.57895833333</v>
      </c>
      <c r="H1031" t="inlineStr">
        <is>
          <t>Delivered</t>
        </is>
      </c>
      <c r="I1031" t="n">
        <v>4</v>
      </c>
      <c r="J1031" t="n">
        <v>7</v>
      </c>
      <c r="K1031" t="n">
        <v>1060.9</v>
      </c>
      <c r="L1031" t="n">
        <v>3.25</v>
      </c>
      <c r="M1031" t="n">
        <v>1.4</v>
      </c>
      <c r="N1031" t="n">
        <v>0.9</v>
      </c>
      <c r="O1031" t="n">
        <v>6.4</v>
      </c>
      <c r="P1031" t="n">
        <v>9.1</v>
      </c>
      <c r="Q1031" t="n">
        <v>8.699999999999999</v>
      </c>
      <c r="R1031" t="n">
        <v>-0.4</v>
      </c>
      <c r="S1031" t="b">
        <v>1</v>
      </c>
      <c r="U1031" t="n">
        <v>13</v>
      </c>
      <c r="V1031" t="b">
        <v>0</v>
      </c>
      <c r="W1031" t="inlineStr">
        <is>
          <t>Light</t>
        </is>
      </c>
      <c r="X1031" t="b">
        <v>0</v>
      </c>
      <c r="Y1031" t="n">
        <v>0.51</v>
      </c>
    </row>
    <row r="1032">
      <c r="A1032" t="inlineStr">
        <is>
          <t>O01031</t>
        </is>
      </c>
      <c r="B1032" t="inlineStr">
        <is>
          <t>C0231</t>
        </is>
      </c>
      <c r="C1032" t="inlineStr">
        <is>
          <t>S017</t>
        </is>
      </c>
      <c r="D1032" t="inlineStr">
        <is>
          <t>R064</t>
        </is>
      </c>
      <c r="E1032" s="3" t="n">
        <v>46273.60625</v>
      </c>
      <c r="F1032" s="3" t="n">
        <v>46273.61319444444</v>
      </c>
      <c r="G1032" s="3" t="n">
        <v>46273.61319444444</v>
      </c>
      <c r="H1032" t="inlineStr">
        <is>
          <t>Delivered</t>
        </is>
      </c>
      <c r="I1032" t="n">
        <v>2</v>
      </c>
      <c r="J1032" t="n">
        <v>8</v>
      </c>
      <c r="K1032" t="n">
        <v>362.73</v>
      </c>
      <c r="L1032" t="n">
        <v>2.15</v>
      </c>
      <c r="M1032" t="n">
        <v>2.5</v>
      </c>
      <c r="N1032" t="n">
        <v>2.7</v>
      </c>
      <c r="O1032" t="n">
        <v>4.8</v>
      </c>
      <c r="P1032" t="n">
        <v>10</v>
      </c>
      <c r="Q1032" t="n">
        <v>10</v>
      </c>
      <c r="R1032" t="n">
        <v>0</v>
      </c>
      <c r="S1032" t="b">
        <v>1</v>
      </c>
      <c r="U1032" t="n">
        <v>14</v>
      </c>
      <c r="V1032" t="b">
        <v>0</v>
      </c>
      <c r="X1032" t="b">
        <v>0</v>
      </c>
      <c r="Y1032" t="n">
        <v>0.37</v>
      </c>
    </row>
    <row r="1033">
      <c r="A1033" t="inlineStr">
        <is>
          <t>O01032</t>
        </is>
      </c>
      <c r="B1033" t="inlineStr">
        <is>
          <t>C0166</t>
        </is>
      </c>
      <c r="C1033" t="inlineStr">
        <is>
          <t>S017</t>
        </is>
      </c>
      <c r="D1033" t="inlineStr">
        <is>
          <t>R044</t>
        </is>
      </c>
      <c r="E1033" s="3" t="n">
        <v>46268.46736111111</v>
      </c>
      <c r="F1033" s="3" t="n">
        <v>46268.47479166667</v>
      </c>
      <c r="G1033" s="3" t="n">
        <v>46268.47409722222</v>
      </c>
      <c r="H1033" t="inlineStr">
        <is>
          <t>Delivered</t>
        </is>
      </c>
      <c r="I1033" t="n">
        <v>6</v>
      </c>
      <c r="J1033" t="n">
        <v>6</v>
      </c>
      <c r="K1033" t="n">
        <v>1365.98</v>
      </c>
      <c r="L1033" t="n">
        <v>1</v>
      </c>
      <c r="M1033" t="n">
        <v>2.1</v>
      </c>
      <c r="N1033" t="n">
        <v>4.6</v>
      </c>
      <c r="O1033" t="n">
        <v>3</v>
      </c>
      <c r="P1033" t="n">
        <v>10.7</v>
      </c>
      <c r="Q1033" t="n">
        <v>9.699999999999999</v>
      </c>
      <c r="R1033" t="n">
        <v>-1</v>
      </c>
      <c r="S1033" t="b">
        <v>1</v>
      </c>
      <c r="U1033" t="n">
        <v>11</v>
      </c>
      <c r="V1033" t="b">
        <v>0</v>
      </c>
      <c r="X1033" t="b">
        <v>1</v>
      </c>
      <c r="Y1033" t="n">
        <v>0.33</v>
      </c>
    </row>
    <row r="1034">
      <c r="A1034" t="inlineStr">
        <is>
          <t>O01033</t>
        </is>
      </c>
      <c r="B1034" t="inlineStr">
        <is>
          <t>C0171</t>
        </is>
      </c>
      <c r="C1034" t="inlineStr">
        <is>
          <t>S014</t>
        </is>
      </c>
      <c r="D1034" t="inlineStr">
        <is>
          <t>R064</t>
        </is>
      </c>
      <c r="E1034" s="3" t="n">
        <v>46275.77361111111</v>
      </c>
      <c r="F1034" s="3" t="n">
        <v>46275.78097222222</v>
      </c>
      <c r="G1034" s="3" t="n">
        <v>46275.78027777778</v>
      </c>
      <c r="H1034" t="inlineStr">
        <is>
          <t>Delivered</t>
        </is>
      </c>
      <c r="I1034" t="n">
        <v>1</v>
      </c>
      <c r="J1034" t="n">
        <v>6</v>
      </c>
      <c r="K1034" t="n">
        <v>1181.25</v>
      </c>
      <c r="L1034" t="n">
        <v>0.68</v>
      </c>
      <c r="M1034" t="n">
        <v>4.3</v>
      </c>
      <c r="N1034" t="n">
        <v>3.4</v>
      </c>
      <c r="O1034" t="n">
        <v>1.9</v>
      </c>
      <c r="P1034" t="n">
        <v>10.6</v>
      </c>
      <c r="Q1034" t="n">
        <v>9.6</v>
      </c>
      <c r="R1034" t="n">
        <v>-1</v>
      </c>
      <c r="S1034" t="b">
        <v>1</v>
      </c>
      <c r="U1034" t="n">
        <v>18</v>
      </c>
      <c r="V1034" t="b">
        <v>0</v>
      </c>
      <c r="X1034" t="b">
        <v>0</v>
      </c>
      <c r="Y1034" t="n">
        <v>0.36</v>
      </c>
    </row>
    <row r="1035">
      <c r="A1035" t="inlineStr">
        <is>
          <t>O01034</t>
        </is>
      </c>
      <c r="B1035" t="inlineStr">
        <is>
          <t>C0219</t>
        </is>
      </c>
      <c r="C1035" t="inlineStr">
        <is>
          <t>S019</t>
        </is>
      </c>
      <c r="D1035" t="inlineStr">
        <is>
          <t>R052</t>
        </is>
      </c>
      <c r="E1035" s="3" t="n">
        <v>46272.91527777778</v>
      </c>
      <c r="F1035" s="3" t="n">
        <v>46272.92277777778</v>
      </c>
      <c r="G1035" s="3" t="n">
        <v>46272.92263888889</v>
      </c>
      <c r="H1035" t="inlineStr">
        <is>
          <t>Delivered</t>
        </is>
      </c>
      <c r="I1035" t="n">
        <v>3</v>
      </c>
      <c r="J1035" t="n">
        <v>7</v>
      </c>
      <c r="K1035" t="n">
        <v>1654.11</v>
      </c>
      <c r="L1035" t="n">
        <v>2.43</v>
      </c>
      <c r="M1035" t="n">
        <v>2.6</v>
      </c>
      <c r="N1035" t="n">
        <v>3.5</v>
      </c>
      <c r="O1035" t="n">
        <v>4.5</v>
      </c>
      <c r="P1035" t="n">
        <v>10.8</v>
      </c>
      <c r="Q1035" t="n">
        <v>10.6</v>
      </c>
      <c r="R1035" t="n">
        <v>-0.2</v>
      </c>
      <c r="S1035" t="b">
        <v>1</v>
      </c>
      <c r="U1035" t="n">
        <v>21</v>
      </c>
      <c r="V1035" t="b">
        <v>1</v>
      </c>
      <c r="W1035" t="inlineStr">
        <is>
          <t>Light</t>
        </is>
      </c>
      <c r="X1035" t="b">
        <v>0</v>
      </c>
      <c r="Y1035" t="n">
        <v>0.77</v>
      </c>
    </row>
    <row r="1036">
      <c r="A1036" t="inlineStr">
        <is>
          <t>O01035</t>
        </is>
      </c>
      <c r="B1036" t="inlineStr">
        <is>
          <t>C0029</t>
        </is>
      </c>
      <c r="C1036" t="inlineStr">
        <is>
          <t>S009</t>
        </is>
      </c>
      <c r="D1036" t="inlineStr">
        <is>
          <t>R008</t>
        </is>
      </c>
      <c r="E1036" s="3" t="n">
        <v>46274.67222222222</v>
      </c>
      <c r="F1036" s="3" t="n">
        <v>46274.67777777778</v>
      </c>
      <c r="G1036" s="3" t="n">
        <v>46274.6775</v>
      </c>
      <c r="H1036" t="inlineStr">
        <is>
          <t>Delivered</t>
        </is>
      </c>
      <c r="I1036" t="n">
        <v>4</v>
      </c>
      <c r="J1036" t="n">
        <v>5</v>
      </c>
      <c r="K1036" t="n">
        <v>473.65</v>
      </c>
      <c r="L1036" t="n">
        <v>1.26</v>
      </c>
      <c r="M1036" t="n">
        <v>1.6</v>
      </c>
      <c r="N1036" t="n">
        <v>3.6</v>
      </c>
      <c r="O1036" t="n">
        <v>2.4</v>
      </c>
      <c r="P1036" t="n">
        <v>8</v>
      </c>
      <c r="Q1036" t="n">
        <v>7.6</v>
      </c>
      <c r="R1036" t="n">
        <v>-0.4</v>
      </c>
      <c r="S1036" t="b">
        <v>1</v>
      </c>
      <c r="U1036" t="n">
        <v>16</v>
      </c>
      <c r="V1036" t="b">
        <v>0</v>
      </c>
      <c r="X1036" t="b">
        <v>0</v>
      </c>
      <c r="Y1036" t="n">
        <v>0.29</v>
      </c>
    </row>
    <row r="1037">
      <c r="A1037" t="inlineStr">
        <is>
          <t>O01036</t>
        </is>
      </c>
      <c r="B1037" t="inlineStr">
        <is>
          <t>C0090</t>
        </is>
      </c>
      <c r="C1037" t="inlineStr">
        <is>
          <t>S015</t>
        </is>
      </c>
      <c r="D1037" t="inlineStr">
        <is>
          <t>R021</t>
        </is>
      </c>
      <c r="E1037" s="3" t="n">
        <v>46274.52222222222</v>
      </c>
      <c r="F1037" s="3" t="n">
        <v>46274.53027777778</v>
      </c>
      <c r="G1037" s="3" t="n">
        <v>46274.52951388889</v>
      </c>
      <c r="H1037" t="inlineStr">
        <is>
          <t>Delivered</t>
        </is>
      </c>
      <c r="I1037" t="n">
        <v>1</v>
      </c>
      <c r="J1037" t="n">
        <v>6</v>
      </c>
      <c r="K1037" t="n">
        <v>967.25</v>
      </c>
      <c r="L1037" t="n">
        <v>1.21</v>
      </c>
      <c r="M1037" t="n">
        <v>4.9</v>
      </c>
      <c r="N1037" t="n">
        <v>2.4</v>
      </c>
      <c r="O1037" t="n">
        <v>3.2</v>
      </c>
      <c r="P1037" t="n">
        <v>11.6</v>
      </c>
      <c r="Q1037" t="n">
        <v>10.5</v>
      </c>
      <c r="R1037" t="n">
        <v>-1.1</v>
      </c>
      <c r="S1037" t="b">
        <v>1</v>
      </c>
      <c r="U1037" t="n">
        <v>12</v>
      </c>
      <c r="V1037" t="b">
        <v>0</v>
      </c>
      <c r="X1037" t="b">
        <v>0</v>
      </c>
      <c r="Y1037" t="n">
        <v>0.6</v>
      </c>
    </row>
    <row r="1038">
      <c r="A1038" t="inlineStr">
        <is>
          <t>O01037</t>
        </is>
      </c>
      <c r="B1038" t="inlineStr">
        <is>
          <t>C0070</t>
        </is>
      </c>
      <c r="C1038" t="inlineStr">
        <is>
          <t>S020</t>
        </is>
      </c>
      <c r="D1038" t="inlineStr">
        <is>
          <t>R015</t>
        </is>
      </c>
      <c r="E1038" s="3" t="n">
        <v>46270.66458333333</v>
      </c>
      <c r="F1038" s="3" t="n">
        <v>46270.67180555555</v>
      </c>
      <c r="G1038" s="3" t="n">
        <v>46270.674375</v>
      </c>
      <c r="H1038" t="inlineStr">
        <is>
          <t>Delivered</t>
        </is>
      </c>
      <c r="I1038" t="n">
        <v>4</v>
      </c>
      <c r="J1038" t="n">
        <v>7</v>
      </c>
      <c r="K1038" t="n">
        <v>1256.42</v>
      </c>
      <c r="L1038" t="n">
        <v>2.22</v>
      </c>
      <c r="M1038" t="n">
        <v>6.4</v>
      </c>
      <c r="N1038" t="n">
        <v>0.6</v>
      </c>
      <c r="O1038" t="n">
        <v>7.1</v>
      </c>
      <c r="P1038" t="n">
        <v>10.4</v>
      </c>
      <c r="Q1038" t="n">
        <v>14.1</v>
      </c>
      <c r="R1038" t="n">
        <v>3.7</v>
      </c>
      <c r="S1038" t="b">
        <v>0</v>
      </c>
      <c r="U1038" t="n">
        <v>15</v>
      </c>
      <c r="V1038" t="b">
        <v>0</v>
      </c>
      <c r="W1038" t="inlineStr">
        <is>
          <t>Light</t>
        </is>
      </c>
      <c r="X1038" t="b">
        <v>0</v>
      </c>
      <c r="Y1038" t="n">
        <v>0.35</v>
      </c>
    </row>
    <row r="1039">
      <c r="A1039" t="inlineStr">
        <is>
          <t>O01038</t>
        </is>
      </c>
      <c r="B1039" t="inlineStr">
        <is>
          <t>C0165</t>
        </is>
      </c>
      <c r="C1039" t="inlineStr">
        <is>
          <t>S003</t>
        </is>
      </c>
      <c r="D1039" t="inlineStr">
        <is>
          <t>R008</t>
        </is>
      </c>
      <c r="E1039" s="3" t="n">
        <v>46268.65208333333</v>
      </c>
      <c r="F1039" s="3" t="n">
        <v>46268.65979166667</v>
      </c>
      <c r="G1039" s="3" t="n">
        <v>46268.65909722223</v>
      </c>
      <c r="H1039" t="inlineStr">
        <is>
          <t>Delivered</t>
        </is>
      </c>
      <c r="I1039" t="n">
        <v>4</v>
      </c>
      <c r="J1039" t="n">
        <v>4</v>
      </c>
      <c r="K1039" t="n">
        <v>782.14</v>
      </c>
      <c r="L1039" t="n">
        <v>1.86</v>
      </c>
      <c r="M1039" t="n">
        <v>2.5</v>
      </c>
      <c r="N1039" t="n">
        <v>4.6</v>
      </c>
      <c r="O1039" t="n">
        <v>3</v>
      </c>
      <c r="P1039" t="n">
        <v>11.1</v>
      </c>
      <c r="Q1039" t="n">
        <v>10.1</v>
      </c>
      <c r="R1039" t="n">
        <v>-1</v>
      </c>
      <c r="S1039" t="b">
        <v>1</v>
      </c>
      <c r="U1039" t="n">
        <v>15</v>
      </c>
      <c r="V1039" t="b">
        <v>0</v>
      </c>
      <c r="X1039" t="b">
        <v>0</v>
      </c>
      <c r="Y1039" t="n">
        <v>0.36</v>
      </c>
    </row>
    <row r="1040">
      <c r="A1040" t="inlineStr">
        <is>
          <t>O01039</t>
        </is>
      </c>
      <c r="B1040" t="inlineStr">
        <is>
          <t>C0237</t>
        </is>
      </c>
      <c r="C1040" t="inlineStr">
        <is>
          <t>S003</t>
        </is>
      </c>
      <c r="D1040" t="inlineStr">
        <is>
          <t>R009</t>
        </is>
      </c>
      <c r="E1040" s="3" t="n">
        <v>46276.44375</v>
      </c>
      <c r="F1040" s="3" t="n">
        <v>46276.45270833333</v>
      </c>
      <c r="G1040" s="3" t="n">
        <v>46276.45180555555</v>
      </c>
      <c r="H1040" t="inlineStr">
        <is>
          <t>Delivered</t>
        </is>
      </c>
      <c r="I1040" t="n">
        <v>2</v>
      </c>
      <c r="J1040" t="n">
        <v>4</v>
      </c>
      <c r="K1040" t="n">
        <v>1472.2</v>
      </c>
      <c r="L1040" t="n">
        <v>2.1</v>
      </c>
      <c r="M1040" t="n">
        <v>2.8</v>
      </c>
      <c r="N1040" t="n">
        <v>0.3</v>
      </c>
      <c r="O1040" t="n">
        <v>8.5</v>
      </c>
      <c r="P1040" t="n">
        <v>12.9</v>
      </c>
      <c r="Q1040" t="n">
        <v>11.6</v>
      </c>
      <c r="R1040" t="n">
        <v>-1.3</v>
      </c>
      <c r="S1040" t="b">
        <v>1</v>
      </c>
      <c r="U1040" t="n">
        <v>10</v>
      </c>
      <c r="V1040" t="b">
        <v>0</v>
      </c>
      <c r="W1040" t="inlineStr">
        <is>
          <t>Heavy</t>
        </is>
      </c>
      <c r="X1040" t="b">
        <v>0</v>
      </c>
      <c r="Y1040" t="n">
        <v>0.49</v>
      </c>
    </row>
    <row r="1041">
      <c r="A1041" t="inlineStr">
        <is>
          <t>O01040</t>
        </is>
      </c>
      <c r="B1041" t="inlineStr">
        <is>
          <t>C0212</t>
        </is>
      </c>
      <c r="C1041" t="inlineStr">
        <is>
          <t>S020</t>
        </is>
      </c>
      <c r="D1041" t="inlineStr">
        <is>
          <t>R074</t>
        </is>
      </c>
      <c r="E1041" s="3" t="n">
        <v>46277.72847222222</v>
      </c>
      <c r="F1041" s="3" t="n">
        <v>46277.735</v>
      </c>
      <c r="G1041" s="3" t="n">
        <v>46277.73451388889</v>
      </c>
      <c r="H1041" t="inlineStr">
        <is>
          <t>Delivered</t>
        </is>
      </c>
      <c r="I1041" t="n">
        <v>1</v>
      </c>
      <c r="J1041" t="n">
        <v>6</v>
      </c>
      <c r="K1041" t="n">
        <v>727.5700000000001</v>
      </c>
      <c r="L1041" t="n">
        <v>0.5</v>
      </c>
      <c r="M1041" t="n">
        <v>3.2</v>
      </c>
      <c r="N1041" t="n">
        <v>4.1</v>
      </c>
      <c r="O1041" t="n">
        <v>1.4</v>
      </c>
      <c r="P1041" t="n">
        <v>9.4</v>
      </c>
      <c r="Q1041" t="n">
        <v>8.699999999999999</v>
      </c>
      <c r="R1041" t="n">
        <v>-0.7</v>
      </c>
      <c r="S1041" t="b">
        <v>1</v>
      </c>
      <c r="U1041" t="n">
        <v>17</v>
      </c>
      <c r="V1041" t="b">
        <v>0</v>
      </c>
      <c r="X1041" t="b">
        <v>0</v>
      </c>
      <c r="Y1041" t="n">
        <v>0.5</v>
      </c>
    </row>
    <row r="1042">
      <c r="A1042" t="inlineStr">
        <is>
          <t>O01041</t>
        </is>
      </c>
      <c r="B1042" t="inlineStr">
        <is>
          <t>C0216</t>
        </is>
      </c>
      <c r="C1042" t="inlineStr">
        <is>
          <t>S006</t>
        </is>
      </c>
      <c r="D1042" t="inlineStr">
        <is>
          <t>R014</t>
        </is>
      </c>
      <c r="E1042" s="3" t="n">
        <v>46267.77013888889</v>
      </c>
      <c r="F1042" s="3" t="n">
        <v>46267.77840277777</v>
      </c>
      <c r="G1042" s="3" t="n">
        <v>46267.78409722223</v>
      </c>
      <c r="H1042" t="inlineStr">
        <is>
          <t>Delivered</t>
        </is>
      </c>
      <c r="I1042" t="n">
        <v>2</v>
      </c>
      <c r="J1042" t="n">
        <v>7</v>
      </c>
      <c r="K1042" t="n">
        <v>1384.28</v>
      </c>
      <c r="L1042" t="n">
        <v>2.14</v>
      </c>
      <c r="M1042" t="n">
        <v>5.4</v>
      </c>
      <c r="N1042" t="n">
        <v>8.4</v>
      </c>
      <c r="O1042" t="n">
        <v>6.2</v>
      </c>
      <c r="P1042" t="n">
        <v>11.9</v>
      </c>
      <c r="Q1042" t="n">
        <v>20.1</v>
      </c>
      <c r="R1042" t="n">
        <v>8.199999999999999</v>
      </c>
      <c r="S1042" t="b">
        <v>0</v>
      </c>
      <c r="U1042" t="n">
        <v>18</v>
      </c>
      <c r="V1042" t="b">
        <v>0</v>
      </c>
      <c r="X1042" t="b">
        <v>0</v>
      </c>
      <c r="Y1042" t="n">
        <v>0.36</v>
      </c>
    </row>
    <row r="1043">
      <c r="A1043" t="inlineStr">
        <is>
          <t>O01042</t>
        </is>
      </c>
      <c r="B1043" t="inlineStr">
        <is>
          <t>C0005</t>
        </is>
      </c>
      <c r="C1043" t="inlineStr">
        <is>
          <t>S014</t>
        </is>
      </c>
      <c r="D1043" t="inlineStr">
        <is>
          <t>R004</t>
        </is>
      </c>
      <c r="E1043" s="3" t="n">
        <v>46279.47847222222</v>
      </c>
      <c r="F1043" s="3" t="n">
        <v>46279.48527777778</v>
      </c>
      <c r="G1043" s="3" t="n">
        <v>46279.48451388889</v>
      </c>
      <c r="H1043" t="inlineStr">
        <is>
          <t>Delivered</t>
        </is>
      </c>
      <c r="I1043" t="n">
        <v>1</v>
      </c>
      <c r="J1043" t="n">
        <v>8</v>
      </c>
      <c r="K1043" t="n">
        <v>1064.96</v>
      </c>
      <c r="L1043" t="n">
        <v>0.95</v>
      </c>
      <c r="M1043" t="n">
        <v>4.5</v>
      </c>
      <c r="N1043" t="n">
        <v>1.4</v>
      </c>
      <c r="O1043" t="n">
        <v>2.8</v>
      </c>
      <c r="P1043" t="n">
        <v>9.800000000000001</v>
      </c>
      <c r="Q1043" t="n">
        <v>8.699999999999999</v>
      </c>
      <c r="R1043" t="n">
        <v>-1.1</v>
      </c>
      <c r="S1043" t="b">
        <v>1</v>
      </c>
      <c r="U1043" t="n">
        <v>11</v>
      </c>
      <c r="V1043" t="b">
        <v>0</v>
      </c>
      <c r="W1043" t="inlineStr">
        <is>
          <t>Light</t>
        </is>
      </c>
      <c r="X1043" t="b">
        <v>0</v>
      </c>
      <c r="Y1043" t="n">
        <v>0.37</v>
      </c>
    </row>
    <row r="1044">
      <c r="A1044" t="inlineStr">
        <is>
          <t>O01043</t>
        </is>
      </c>
      <c r="B1044" t="inlineStr">
        <is>
          <t>C0078</t>
        </is>
      </c>
      <c r="C1044" t="inlineStr">
        <is>
          <t>S013</t>
        </is>
      </c>
      <c r="D1044" t="inlineStr">
        <is>
          <t>R068</t>
        </is>
      </c>
      <c r="E1044" s="3" t="n">
        <v>46270.82083333333</v>
      </c>
      <c r="F1044" s="3" t="n">
        <v>46270.82826388889</v>
      </c>
      <c r="G1044" s="3" t="n">
        <v>46270.82791666667</v>
      </c>
      <c r="H1044" t="inlineStr">
        <is>
          <t>Delivered</t>
        </is>
      </c>
      <c r="I1044" t="n">
        <v>6</v>
      </c>
      <c r="J1044" t="n">
        <v>9</v>
      </c>
      <c r="K1044" t="n">
        <v>1158.03</v>
      </c>
      <c r="L1044" t="n">
        <v>3</v>
      </c>
      <c r="M1044" t="n">
        <v>2.9</v>
      </c>
      <c r="N1044" t="n">
        <v>3</v>
      </c>
      <c r="O1044" t="n">
        <v>4.3</v>
      </c>
      <c r="P1044" t="n">
        <v>10.7</v>
      </c>
      <c r="Q1044" t="n">
        <v>10.2</v>
      </c>
      <c r="R1044" t="n">
        <v>-0.5</v>
      </c>
      <c r="S1044" t="b">
        <v>1</v>
      </c>
      <c r="U1044" t="n">
        <v>19</v>
      </c>
      <c r="V1044" t="b">
        <v>1</v>
      </c>
      <c r="W1044" t="inlineStr">
        <is>
          <t>Light</t>
        </is>
      </c>
      <c r="X1044" t="b">
        <v>1</v>
      </c>
      <c r="Y1044" t="n">
        <v>0.93</v>
      </c>
    </row>
    <row r="1045">
      <c r="A1045" t="inlineStr">
        <is>
          <t>O01044</t>
        </is>
      </c>
      <c r="B1045" t="inlineStr">
        <is>
          <t>C0150</t>
        </is>
      </c>
      <c r="C1045" t="inlineStr">
        <is>
          <t>S020</t>
        </is>
      </c>
      <c r="D1045" t="inlineStr">
        <is>
          <t>R032</t>
        </is>
      </c>
      <c r="E1045" s="3" t="n">
        <v>46277.45625</v>
      </c>
      <c r="F1045" s="3" t="n">
        <v>46277.46416666666</v>
      </c>
      <c r="G1045" s="3" t="n">
        <v>46277.46395833333</v>
      </c>
      <c r="H1045" t="inlineStr">
        <is>
          <t>Delivered</t>
        </is>
      </c>
      <c r="I1045" t="n">
        <v>2</v>
      </c>
      <c r="J1045" t="n">
        <v>9</v>
      </c>
      <c r="K1045" t="n">
        <v>446.68</v>
      </c>
      <c r="L1045" t="n">
        <v>3.8</v>
      </c>
      <c r="M1045" t="n">
        <v>3.6</v>
      </c>
      <c r="N1045" t="n">
        <v>0.9</v>
      </c>
      <c r="O1045" t="n">
        <v>6.6</v>
      </c>
      <c r="P1045" t="n">
        <v>11.4</v>
      </c>
      <c r="Q1045" t="n">
        <v>11.1</v>
      </c>
      <c r="R1045" t="n">
        <v>-0.3</v>
      </c>
      <c r="S1045" t="b">
        <v>1</v>
      </c>
      <c r="U1045" t="n">
        <v>10</v>
      </c>
      <c r="V1045" t="b">
        <v>0</v>
      </c>
      <c r="X1045" t="b">
        <v>0</v>
      </c>
      <c r="Y1045" t="n">
        <v>0.57</v>
      </c>
    </row>
    <row r="1046">
      <c r="A1046" t="inlineStr">
        <is>
          <t>O01045</t>
        </is>
      </c>
      <c r="B1046" t="inlineStr">
        <is>
          <t>C0168</t>
        </is>
      </c>
      <c r="C1046" t="inlineStr">
        <is>
          <t>S010</t>
        </is>
      </c>
      <c r="D1046" t="inlineStr">
        <is>
          <t>R025</t>
        </is>
      </c>
      <c r="E1046" s="3" t="n">
        <v>46268.49305555555</v>
      </c>
      <c r="F1046" s="3" t="n">
        <v>46268.49958333333</v>
      </c>
      <c r="G1046" s="3" t="n">
        <v>46268.499375</v>
      </c>
      <c r="H1046" t="inlineStr">
        <is>
          <t>Delivered</t>
        </is>
      </c>
      <c r="I1046" t="n">
        <v>4</v>
      </c>
      <c r="J1046" t="n">
        <v>6</v>
      </c>
      <c r="K1046" t="n">
        <v>853.78</v>
      </c>
      <c r="L1046" t="n">
        <v>3.93</v>
      </c>
      <c r="M1046" t="n">
        <v>2.7</v>
      </c>
      <c r="N1046" t="n">
        <v>1.6</v>
      </c>
      <c r="O1046" t="n">
        <v>4.8</v>
      </c>
      <c r="P1046" t="n">
        <v>9.4</v>
      </c>
      <c r="Q1046" t="n">
        <v>9.1</v>
      </c>
      <c r="R1046" t="n">
        <v>-0.3</v>
      </c>
      <c r="S1046" t="b">
        <v>1</v>
      </c>
      <c r="U1046" t="n">
        <v>11</v>
      </c>
      <c r="V1046" t="b">
        <v>0</v>
      </c>
      <c r="X1046" t="b">
        <v>0</v>
      </c>
      <c r="Y1046" t="n">
        <v>0.23</v>
      </c>
    </row>
    <row r="1047">
      <c r="A1047" t="inlineStr">
        <is>
          <t>O01046</t>
        </is>
      </c>
      <c r="B1047" t="inlineStr">
        <is>
          <t>C0127</t>
        </is>
      </c>
      <c r="C1047" t="inlineStr">
        <is>
          <t>S015</t>
        </is>
      </c>
      <c r="D1047" t="inlineStr">
        <is>
          <t>R048</t>
        </is>
      </c>
      <c r="E1047" s="3" t="n">
        <v>46277.60277777778</v>
      </c>
      <c r="F1047" s="3" t="n">
        <v>46277.61027777778</v>
      </c>
      <c r="G1047" s="3" t="n">
        <v>46277.61680555555</v>
      </c>
      <c r="H1047" t="inlineStr">
        <is>
          <t>Delivered</t>
        </is>
      </c>
      <c r="I1047" t="n">
        <v>4</v>
      </c>
      <c r="J1047" t="n">
        <v>6</v>
      </c>
      <c r="K1047" t="n">
        <v>987.02</v>
      </c>
      <c r="L1047" t="n">
        <v>2.16</v>
      </c>
      <c r="M1047" t="n">
        <v>6.5</v>
      </c>
      <c r="N1047" t="n">
        <v>7.3</v>
      </c>
      <c r="O1047" t="n">
        <v>6.4</v>
      </c>
      <c r="P1047" t="n">
        <v>10.8</v>
      </c>
      <c r="Q1047" t="n">
        <v>20.2</v>
      </c>
      <c r="R1047" t="n">
        <v>9.4</v>
      </c>
      <c r="S1047" t="b">
        <v>0</v>
      </c>
      <c r="U1047" t="n">
        <v>14</v>
      </c>
      <c r="V1047" t="b">
        <v>0</v>
      </c>
      <c r="X1047" t="b">
        <v>0</v>
      </c>
      <c r="Y1047" t="n">
        <v>0.43</v>
      </c>
    </row>
    <row r="1048">
      <c r="A1048" t="inlineStr">
        <is>
          <t>O01047</t>
        </is>
      </c>
      <c r="B1048" t="inlineStr">
        <is>
          <t>C0031</t>
        </is>
      </c>
      <c r="C1048" t="inlineStr">
        <is>
          <t>S004</t>
        </is>
      </c>
      <c r="D1048" t="inlineStr">
        <is>
          <t>R016</t>
        </is>
      </c>
      <c r="E1048" s="3" t="n">
        <v>46268.80625</v>
      </c>
      <c r="F1048" s="3" t="n">
        <v>46268.81347222222</v>
      </c>
      <c r="G1048" s="3" t="n">
        <v>46268.813125</v>
      </c>
      <c r="H1048" t="inlineStr">
        <is>
          <t>Delivered</t>
        </is>
      </c>
      <c r="I1048" t="n">
        <v>5</v>
      </c>
      <c r="J1048" t="n">
        <v>10</v>
      </c>
      <c r="K1048" t="n">
        <v>596.62</v>
      </c>
      <c r="L1048" t="n">
        <v>3.3</v>
      </c>
      <c r="M1048" t="n">
        <v>1.9</v>
      </c>
      <c r="N1048" t="n">
        <v>3</v>
      </c>
      <c r="O1048" t="n">
        <v>5</v>
      </c>
      <c r="P1048" t="n">
        <v>10.4</v>
      </c>
      <c r="Q1048" t="n">
        <v>9.9</v>
      </c>
      <c r="R1048" t="n">
        <v>-0.5</v>
      </c>
      <c r="S1048" t="b">
        <v>1</v>
      </c>
      <c r="U1048" t="n">
        <v>19</v>
      </c>
      <c r="V1048" t="b">
        <v>1</v>
      </c>
      <c r="W1048" t="inlineStr">
        <is>
          <t>Light</t>
        </is>
      </c>
      <c r="X1048" t="b">
        <v>0</v>
      </c>
      <c r="Y1048" t="n">
        <v>0.54</v>
      </c>
    </row>
    <row r="1049">
      <c r="A1049" t="inlineStr">
        <is>
          <t>O01048</t>
        </is>
      </c>
      <c r="B1049" t="inlineStr">
        <is>
          <t>C0071</t>
        </is>
      </c>
      <c r="C1049" t="inlineStr">
        <is>
          <t>S008</t>
        </is>
      </c>
      <c r="D1049" t="inlineStr">
        <is>
          <t>R014</t>
        </is>
      </c>
      <c r="E1049" s="3" t="n">
        <v>46271.63055555556</v>
      </c>
      <c r="F1049" s="3" t="n">
        <v>46271.638125</v>
      </c>
      <c r="G1049" s="3" t="n">
        <v>46271.63784722222</v>
      </c>
      <c r="H1049" t="inlineStr">
        <is>
          <t>Delivered</t>
        </is>
      </c>
      <c r="I1049" t="n">
        <v>1</v>
      </c>
      <c r="J1049" t="n">
        <v>8</v>
      </c>
      <c r="K1049" t="n">
        <v>1470.94</v>
      </c>
      <c r="L1049" t="n">
        <v>1.87</v>
      </c>
      <c r="M1049" t="n">
        <v>2.5</v>
      </c>
      <c r="N1049" t="n">
        <v>4.6</v>
      </c>
      <c r="O1049" t="n">
        <v>3.4</v>
      </c>
      <c r="P1049" t="n">
        <v>10.9</v>
      </c>
      <c r="Q1049" t="n">
        <v>10.5</v>
      </c>
      <c r="R1049" t="n">
        <v>-0.4</v>
      </c>
      <c r="S1049" t="b">
        <v>1</v>
      </c>
      <c r="U1049" t="n">
        <v>15</v>
      </c>
      <c r="V1049" t="b">
        <v>0</v>
      </c>
      <c r="X1049" t="b">
        <v>0</v>
      </c>
      <c r="Y1049" t="n">
        <v>0.43</v>
      </c>
    </row>
    <row r="1050">
      <c r="A1050" t="inlineStr">
        <is>
          <t>O01049</t>
        </is>
      </c>
      <c r="B1050" t="inlineStr">
        <is>
          <t>C0094</t>
        </is>
      </c>
      <c r="C1050" t="inlineStr">
        <is>
          <t>S009</t>
        </is>
      </c>
      <c r="D1050" t="inlineStr">
        <is>
          <t>R044</t>
        </is>
      </c>
      <c r="E1050" s="3" t="n">
        <v>46273.75972222222</v>
      </c>
      <c r="F1050" s="3" t="n">
        <v>46273.76701388889</v>
      </c>
      <c r="G1050" s="3" t="n">
        <v>46273.76652777778</v>
      </c>
      <c r="H1050" t="inlineStr">
        <is>
          <t>Delivered</t>
        </is>
      </c>
      <c r="I1050" t="n">
        <v>4</v>
      </c>
      <c r="J1050" t="n">
        <v>8</v>
      </c>
      <c r="K1050" t="n">
        <v>1346.45</v>
      </c>
      <c r="L1050" t="n">
        <v>1.1</v>
      </c>
      <c r="M1050" t="n">
        <v>3.3</v>
      </c>
      <c r="N1050" t="n">
        <v>4.1</v>
      </c>
      <c r="O1050" t="n">
        <v>2.4</v>
      </c>
      <c r="P1050" t="n">
        <v>10.5</v>
      </c>
      <c r="Q1050" t="n">
        <v>9.800000000000001</v>
      </c>
      <c r="R1050" t="n">
        <v>-0.7</v>
      </c>
      <c r="S1050" t="b">
        <v>1</v>
      </c>
      <c r="U1050" t="n">
        <v>18</v>
      </c>
      <c r="V1050" t="b">
        <v>0</v>
      </c>
      <c r="X1050" t="b">
        <v>1</v>
      </c>
      <c r="Y1050" t="n">
        <v>0.54</v>
      </c>
    </row>
    <row r="1051">
      <c r="A1051" t="inlineStr">
        <is>
          <t>O01050</t>
        </is>
      </c>
      <c r="B1051" t="inlineStr">
        <is>
          <t>C0160</t>
        </is>
      </c>
      <c r="C1051" t="inlineStr">
        <is>
          <t>S016</t>
        </is>
      </c>
      <c r="D1051" t="inlineStr">
        <is>
          <t>R050</t>
        </is>
      </c>
      <c r="E1051" s="3" t="n">
        <v>46279.66875</v>
      </c>
      <c r="F1051" s="3" t="n">
        <v>46279.67611111111</v>
      </c>
      <c r="G1051" s="3" t="n">
        <v>46279.67548611111</v>
      </c>
      <c r="H1051" t="inlineStr">
        <is>
          <t>Delivered</t>
        </is>
      </c>
      <c r="I1051" t="n">
        <v>6</v>
      </c>
      <c r="J1051" t="n">
        <v>6</v>
      </c>
      <c r="K1051" t="n">
        <v>699.02</v>
      </c>
      <c r="L1051" t="n">
        <v>1.33</v>
      </c>
      <c r="M1051" t="n">
        <v>5.1</v>
      </c>
      <c r="N1051" t="n">
        <v>2.1</v>
      </c>
      <c r="O1051" t="n">
        <v>2.5</v>
      </c>
      <c r="P1051" t="n">
        <v>10.6</v>
      </c>
      <c r="Q1051" t="n">
        <v>9.699999999999999</v>
      </c>
      <c r="R1051" t="n">
        <v>-0.9</v>
      </c>
      <c r="S1051" t="b">
        <v>1</v>
      </c>
      <c r="U1051" t="n">
        <v>16</v>
      </c>
      <c r="V1051" t="b">
        <v>0</v>
      </c>
      <c r="X1051" t="b">
        <v>0</v>
      </c>
      <c r="Y1051" t="n">
        <v>0.14</v>
      </c>
    </row>
    <row r="1052">
      <c r="A1052" t="inlineStr">
        <is>
          <t>O01051</t>
        </is>
      </c>
      <c r="B1052" t="inlineStr">
        <is>
          <t>C0032</t>
        </is>
      </c>
      <c r="C1052" t="inlineStr">
        <is>
          <t>S008</t>
        </is>
      </c>
      <c r="D1052" t="inlineStr">
        <is>
          <t>R027</t>
        </is>
      </c>
      <c r="E1052" s="3" t="n">
        <v>46279.90347222222</v>
      </c>
      <c r="F1052" s="3" t="n">
        <v>46279.90930555556</v>
      </c>
      <c r="G1052" s="3" t="n">
        <v>46279.90881944444</v>
      </c>
      <c r="H1052" t="inlineStr">
        <is>
          <t>Delivered</t>
        </is>
      </c>
      <c r="I1052" t="n">
        <v>4</v>
      </c>
      <c r="J1052" t="n">
        <v>9</v>
      </c>
      <c r="K1052" t="n">
        <v>374.74</v>
      </c>
      <c r="L1052" t="n">
        <v>0.5</v>
      </c>
      <c r="M1052" t="n">
        <v>1.6</v>
      </c>
      <c r="N1052" t="n">
        <v>4.5</v>
      </c>
      <c r="O1052" t="n">
        <v>1.6</v>
      </c>
      <c r="P1052" t="n">
        <v>8.4</v>
      </c>
      <c r="Q1052" t="n">
        <v>7.7</v>
      </c>
      <c r="R1052" t="n">
        <v>-0.7</v>
      </c>
      <c r="S1052" t="b">
        <v>1</v>
      </c>
      <c r="U1052" t="n">
        <v>21</v>
      </c>
      <c r="V1052" t="b">
        <v>1</v>
      </c>
      <c r="X1052" t="b">
        <v>0</v>
      </c>
      <c r="Y1052" t="n">
        <v>0.77</v>
      </c>
    </row>
    <row r="1053">
      <c r="A1053" t="inlineStr">
        <is>
          <t>O01052</t>
        </is>
      </c>
      <c r="B1053" t="inlineStr">
        <is>
          <t>C0079</t>
        </is>
      </c>
      <c r="C1053" t="inlineStr">
        <is>
          <t>S009</t>
        </is>
      </c>
      <c r="D1053" t="inlineStr">
        <is>
          <t>R058</t>
        </is>
      </c>
      <c r="E1053" s="3" t="n">
        <v>46273.68333333333</v>
      </c>
      <c r="F1053" s="3" t="n">
        <v>46273.69166666667</v>
      </c>
      <c r="G1053" s="3" t="n">
        <v>46273.69118055556</v>
      </c>
      <c r="H1053" t="inlineStr">
        <is>
          <t>Delivered</t>
        </is>
      </c>
      <c r="I1053" t="n">
        <v>5</v>
      </c>
      <c r="J1053" t="n">
        <v>6</v>
      </c>
      <c r="K1053" t="n">
        <v>654.74</v>
      </c>
      <c r="L1053" t="n">
        <v>0.8</v>
      </c>
      <c r="M1053" t="n">
        <v>2.7</v>
      </c>
      <c r="N1053" t="n">
        <v>5.4</v>
      </c>
      <c r="O1053" t="n">
        <v>3.2</v>
      </c>
      <c r="P1053" t="n">
        <v>12</v>
      </c>
      <c r="Q1053" t="n">
        <v>11.3</v>
      </c>
      <c r="R1053" t="n">
        <v>-0.7</v>
      </c>
      <c r="S1053" t="b">
        <v>1</v>
      </c>
      <c r="U1053" t="n">
        <v>16</v>
      </c>
      <c r="V1053" t="b">
        <v>0</v>
      </c>
      <c r="W1053" t="inlineStr">
        <is>
          <t>Light</t>
        </is>
      </c>
      <c r="X1053" t="b">
        <v>0</v>
      </c>
      <c r="Y1053" t="n">
        <v>0.58</v>
      </c>
    </row>
    <row r="1054">
      <c r="A1054" t="inlineStr">
        <is>
          <t>O01053</t>
        </is>
      </c>
      <c r="B1054" t="inlineStr">
        <is>
          <t>C0014</t>
        </is>
      </c>
      <c r="C1054" t="inlineStr">
        <is>
          <t>S003</t>
        </is>
      </c>
      <c r="D1054" t="inlineStr">
        <is>
          <t>R015</t>
        </is>
      </c>
      <c r="E1054" s="3" t="n">
        <v>46268.87361111111</v>
      </c>
      <c r="F1054" s="3" t="n">
        <v>46268.87965277778</v>
      </c>
      <c r="G1054" s="3" t="n">
        <v>46268.87902777778</v>
      </c>
      <c r="H1054" t="inlineStr">
        <is>
          <t>Delivered</t>
        </is>
      </c>
      <c r="I1054" t="n">
        <v>1</v>
      </c>
      <c r="J1054" t="n">
        <v>7</v>
      </c>
      <c r="K1054" t="n">
        <v>853.88</v>
      </c>
      <c r="L1054" t="n">
        <v>1.8</v>
      </c>
      <c r="M1054" t="n">
        <v>2.5</v>
      </c>
      <c r="N1054" t="n">
        <v>2.2</v>
      </c>
      <c r="O1054" t="n">
        <v>3.1</v>
      </c>
      <c r="P1054" t="n">
        <v>8.699999999999999</v>
      </c>
      <c r="Q1054" t="n">
        <v>7.8</v>
      </c>
      <c r="R1054" t="n">
        <v>-0.9</v>
      </c>
      <c r="S1054" t="b">
        <v>1</v>
      </c>
      <c r="U1054" t="n">
        <v>20</v>
      </c>
      <c r="V1054" t="b">
        <v>1</v>
      </c>
      <c r="X1054" t="b">
        <v>0</v>
      </c>
      <c r="Y1054" t="n">
        <v>0.71</v>
      </c>
    </row>
    <row r="1055">
      <c r="A1055" t="inlineStr">
        <is>
          <t>O01054</t>
        </is>
      </c>
      <c r="B1055" t="inlineStr">
        <is>
          <t>C0125</t>
        </is>
      </c>
      <c r="C1055" t="inlineStr">
        <is>
          <t>S012</t>
        </is>
      </c>
      <c r="D1055" t="inlineStr">
        <is>
          <t>R011</t>
        </is>
      </c>
      <c r="E1055" s="3" t="n">
        <v>46266.71597222222</v>
      </c>
      <c r="F1055" s="3" t="n">
        <v>46266.72229166667</v>
      </c>
      <c r="G1055" s="3" t="n">
        <v>46266.72166666666</v>
      </c>
      <c r="H1055" t="inlineStr">
        <is>
          <t>Delivered</t>
        </is>
      </c>
      <c r="I1055" t="n">
        <v>6</v>
      </c>
      <c r="J1055" t="n">
        <v>6</v>
      </c>
      <c r="K1055" t="n">
        <v>1176.42</v>
      </c>
      <c r="L1055" t="n">
        <v>1.64</v>
      </c>
      <c r="M1055" t="n">
        <v>2.9</v>
      </c>
      <c r="N1055" t="n">
        <v>1.7</v>
      </c>
      <c r="O1055" t="n">
        <v>3.6</v>
      </c>
      <c r="P1055" t="n">
        <v>9.1</v>
      </c>
      <c r="Q1055" t="n">
        <v>8.199999999999999</v>
      </c>
      <c r="R1055" t="n">
        <v>-0.9</v>
      </c>
      <c r="S1055" t="b">
        <v>1</v>
      </c>
      <c r="U1055" t="n">
        <v>17</v>
      </c>
      <c r="V1055" t="b">
        <v>0</v>
      </c>
      <c r="W1055" t="inlineStr">
        <is>
          <t>Light</t>
        </is>
      </c>
      <c r="X1055" t="b">
        <v>0</v>
      </c>
      <c r="Y1055" t="n">
        <v>0.39</v>
      </c>
    </row>
    <row r="1056">
      <c r="A1056" t="inlineStr">
        <is>
          <t>O01055</t>
        </is>
      </c>
      <c r="B1056" t="inlineStr">
        <is>
          <t>C0177</t>
        </is>
      </c>
      <c r="C1056" t="inlineStr">
        <is>
          <t>S017</t>
        </is>
      </c>
      <c r="D1056" t="inlineStr">
        <is>
          <t>R011</t>
        </is>
      </c>
      <c r="E1056" s="3" t="n">
        <v>46278.69027777778</v>
      </c>
      <c r="F1056" s="3" t="n">
        <v>46278.69784722223</v>
      </c>
      <c r="G1056" s="3" t="n">
        <v>46278.69597222222</v>
      </c>
      <c r="H1056" t="inlineStr">
        <is>
          <t>Delivered</t>
        </is>
      </c>
      <c r="I1056" t="n">
        <v>2</v>
      </c>
      <c r="J1056" t="n">
        <v>3</v>
      </c>
      <c r="K1056" t="n">
        <v>1529.7</v>
      </c>
      <c r="L1056" t="n">
        <v>0.5</v>
      </c>
      <c r="M1056" t="n">
        <v>1.6</v>
      </c>
      <c r="N1056" t="n">
        <v>3</v>
      </c>
      <c r="O1056" t="n">
        <v>3.7</v>
      </c>
      <c r="P1056" t="n">
        <v>10.9</v>
      </c>
      <c r="Q1056" t="n">
        <v>8.199999999999999</v>
      </c>
      <c r="R1056" t="n">
        <v>-2.7</v>
      </c>
      <c r="S1056" t="b">
        <v>1</v>
      </c>
      <c r="U1056" t="n">
        <v>16</v>
      </c>
      <c r="V1056" t="b">
        <v>0</v>
      </c>
      <c r="W1056" t="inlineStr">
        <is>
          <t>Light</t>
        </is>
      </c>
      <c r="X1056" t="b">
        <v>0</v>
      </c>
      <c r="Y1056" t="n">
        <v>0.6</v>
      </c>
    </row>
    <row r="1057">
      <c r="A1057" t="inlineStr">
        <is>
          <t>O01056</t>
        </is>
      </c>
      <c r="B1057" t="inlineStr">
        <is>
          <t>C0189</t>
        </is>
      </c>
      <c r="C1057" t="inlineStr">
        <is>
          <t>S011</t>
        </is>
      </c>
      <c r="D1057" t="inlineStr">
        <is>
          <t>R052</t>
        </is>
      </c>
      <c r="E1057" s="3" t="n">
        <v>46276.60555555556</v>
      </c>
      <c r="F1057" s="3" t="n">
        <v>46276.61111111111</v>
      </c>
      <c r="G1057" s="3" t="n">
        <v>46276.61041666667</v>
      </c>
      <c r="H1057" t="inlineStr">
        <is>
          <t>Delivered</t>
        </is>
      </c>
      <c r="I1057" t="n">
        <v>6</v>
      </c>
      <c r="J1057" t="n">
        <v>9</v>
      </c>
      <c r="K1057" t="n">
        <v>1351.42</v>
      </c>
      <c r="L1057" t="n">
        <v>0.5</v>
      </c>
      <c r="M1057" t="n">
        <v>2.8</v>
      </c>
      <c r="N1057" t="n">
        <v>3.1</v>
      </c>
      <c r="O1057" t="n">
        <v>1.1</v>
      </c>
      <c r="P1057" t="n">
        <v>8</v>
      </c>
      <c r="Q1057" t="n">
        <v>7</v>
      </c>
      <c r="R1057" t="n">
        <v>-1</v>
      </c>
      <c r="S1057" t="b">
        <v>1</v>
      </c>
      <c r="U1057" t="n">
        <v>14</v>
      </c>
      <c r="V1057" t="b">
        <v>0</v>
      </c>
      <c r="X1057" t="b">
        <v>0</v>
      </c>
      <c r="Y1057" t="n">
        <v>0.48</v>
      </c>
    </row>
    <row r="1058">
      <c r="A1058" t="inlineStr">
        <is>
          <t>O01057</t>
        </is>
      </c>
      <c r="B1058" t="inlineStr">
        <is>
          <t>C0171</t>
        </is>
      </c>
      <c r="C1058" t="inlineStr">
        <is>
          <t>S019</t>
        </is>
      </c>
      <c r="E1058" s="3" t="n">
        <v>46276.55625</v>
      </c>
      <c r="F1058" s="3" t="n">
        <v>46276.56347222222</v>
      </c>
      <c r="H1058" t="inlineStr">
        <is>
          <t>Cancelled</t>
        </is>
      </c>
      <c r="I1058" t="n">
        <v>6</v>
      </c>
      <c r="J1058" t="n">
        <v>6</v>
      </c>
      <c r="K1058" t="n">
        <v>1190.15</v>
      </c>
      <c r="L1058" t="n">
        <v>2.11</v>
      </c>
      <c r="M1058" t="n">
        <v>5.7</v>
      </c>
      <c r="N1058" t="n">
        <v>4.4</v>
      </c>
      <c r="O1058" t="n">
        <v>8.1</v>
      </c>
      <c r="P1058" t="n">
        <v>10.4</v>
      </c>
      <c r="T1058" t="inlineStr">
        <is>
          <t>Payment issue</t>
        </is>
      </c>
      <c r="U1058" t="n">
        <v>13</v>
      </c>
      <c r="V1058" t="b">
        <v>0</v>
      </c>
      <c r="W1058" t="inlineStr">
        <is>
          <t>Heavy</t>
        </is>
      </c>
      <c r="X1058" t="b">
        <v>0</v>
      </c>
      <c r="Y1058" t="n">
        <v>0.49</v>
      </c>
    </row>
    <row r="1059">
      <c r="A1059" t="inlineStr">
        <is>
          <t>O01058</t>
        </is>
      </c>
      <c r="B1059" t="inlineStr">
        <is>
          <t>C0014</t>
        </is>
      </c>
      <c r="C1059" t="inlineStr">
        <is>
          <t>S013</t>
        </is>
      </c>
      <c r="D1059" t="inlineStr">
        <is>
          <t>R003</t>
        </is>
      </c>
      <c r="E1059" s="3" t="n">
        <v>46272.92222222222</v>
      </c>
      <c r="F1059" s="3" t="n">
        <v>46272.92715277777</v>
      </c>
      <c r="G1059" s="3" t="n">
        <v>46272.92666666667</v>
      </c>
      <c r="H1059" t="inlineStr">
        <is>
          <t>Delivered</t>
        </is>
      </c>
      <c r="I1059" t="n">
        <v>2</v>
      </c>
      <c r="J1059" t="n">
        <v>7</v>
      </c>
      <c r="K1059" t="n">
        <v>1155.54</v>
      </c>
      <c r="L1059" t="n">
        <v>1.55</v>
      </c>
      <c r="M1059" t="n">
        <v>2.7</v>
      </c>
      <c r="N1059" t="n">
        <v>1.7</v>
      </c>
      <c r="O1059" t="n">
        <v>2</v>
      </c>
      <c r="P1059" t="n">
        <v>7.1</v>
      </c>
      <c r="Q1059" t="n">
        <v>6.4</v>
      </c>
      <c r="R1059" t="n">
        <v>-0.7</v>
      </c>
      <c r="S1059" t="b">
        <v>1</v>
      </c>
      <c r="U1059" t="n">
        <v>22</v>
      </c>
      <c r="V1059" t="b">
        <v>0</v>
      </c>
      <c r="X1059" t="b">
        <v>0</v>
      </c>
      <c r="Y1059" t="n">
        <v>0.46</v>
      </c>
    </row>
    <row r="1060">
      <c r="A1060" t="inlineStr">
        <is>
          <t>O01059</t>
        </is>
      </c>
      <c r="B1060" t="inlineStr">
        <is>
          <t>C0122</t>
        </is>
      </c>
      <c r="C1060" t="inlineStr">
        <is>
          <t>S015</t>
        </is>
      </c>
      <c r="D1060" t="inlineStr">
        <is>
          <t>R001</t>
        </is>
      </c>
      <c r="E1060" s="3" t="n">
        <v>46269.37083333333</v>
      </c>
      <c r="F1060" s="3" t="n">
        <v>46269.37770833333</v>
      </c>
      <c r="G1060" s="3" t="n">
        <v>46269.379375</v>
      </c>
      <c r="H1060" t="inlineStr">
        <is>
          <t>Delivered</t>
        </is>
      </c>
      <c r="I1060" t="n">
        <v>3</v>
      </c>
      <c r="J1060" t="n">
        <v>4</v>
      </c>
      <c r="K1060" t="n">
        <v>711.17</v>
      </c>
      <c r="L1060" t="n">
        <v>0.55</v>
      </c>
      <c r="M1060" t="n">
        <v>4.3</v>
      </c>
      <c r="N1060" t="n">
        <v>6</v>
      </c>
      <c r="O1060" t="n">
        <v>2</v>
      </c>
      <c r="P1060" t="n">
        <v>9.9</v>
      </c>
      <c r="Q1060" t="n">
        <v>12.3</v>
      </c>
      <c r="R1060" t="n">
        <v>2.4</v>
      </c>
      <c r="S1060" t="b">
        <v>0</v>
      </c>
      <c r="U1060" t="n">
        <v>8</v>
      </c>
      <c r="V1060" t="b">
        <v>0</v>
      </c>
      <c r="X1060" t="b">
        <v>0</v>
      </c>
      <c r="Y1060" t="n">
        <v>0.28</v>
      </c>
    </row>
    <row r="1061">
      <c r="A1061" t="inlineStr">
        <is>
          <t>O01060</t>
        </is>
      </c>
      <c r="B1061" t="inlineStr">
        <is>
          <t>C0157</t>
        </is>
      </c>
      <c r="C1061" t="inlineStr">
        <is>
          <t>S012</t>
        </is>
      </c>
      <c r="D1061" t="inlineStr">
        <is>
          <t>R025</t>
        </is>
      </c>
      <c r="E1061" s="3" t="n">
        <v>46272.56875</v>
      </c>
      <c r="F1061" s="3" t="n">
        <v>46272.57534722222</v>
      </c>
      <c r="G1061" s="3" t="n">
        <v>46272.57458333333</v>
      </c>
      <c r="H1061" t="inlineStr">
        <is>
          <t>Delivered</t>
        </is>
      </c>
      <c r="I1061" t="n">
        <v>2</v>
      </c>
      <c r="J1061" t="n">
        <v>11</v>
      </c>
      <c r="K1061" t="n">
        <v>481.57</v>
      </c>
      <c r="L1061" t="n">
        <v>2.28</v>
      </c>
      <c r="M1061" t="n">
        <v>3.4</v>
      </c>
      <c r="N1061" t="n">
        <v>1.3</v>
      </c>
      <c r="O1061" t="n">
        <v>3.7</v>
      </c>
      <c r="P1061" t="n">
        <v>9.5</v>
      </c>
      <c r="Q1061" t="n">
        <v>8.4</v>
      </c>
      <c r="R1061" t="n">
        <v>-1.1</v>
      </c>
      <c r="S1061" t="b">
        <v>1</v>
      </c>
      <c r="U1061" t="n">
        <v>13</v>
      </c>
      <c r="V1061" t="b">
        <v>0</v>
      </c>
      <c r="X1061" t="b">
        <v>0</v>
      </c>
      <c r="Y1061" t="n">
        <v>0.5</v>
      </c>
    </row>
    <row r="1062">
      <c r="A1062" t="inlineStr">
        <is>
          <t>O01061</t>
        </is>
      </c>
      <c r="B1062" t="inlineStr">
        <is>
          <t>C0196</t>
        </is>
      </c>
      <c r="C1062" t="inlineStr">
        <is>
          <t>S006</t>
        </is>
      </c>
      <c r="D1062" t="inlineStr">
        <is>
          <t>R034</t>
        </is>
      </c>
      <c r="E1062" s="3" t="n">
        <v>46266.60347222222</v>
      </c>
      <c r="F1062" s="3" t="n">
        <v>46266.60944444445</v>
      </c>
      <c r="G1062" s="3" t="n">
        <v>46266.6125</v>
      </c>
      <c r="H1062" t="inlineStr">
        <is>
          <t>Delivered</t>
        </is>
      </c>
      <c r="I1062" t="n">
        <v>6</v>
      </c>
      <c r="J1062" t="n">
        <v>6</v>
      </c>
      <c r="K1062" t="n">
        <v>1432.91</v>
      </c>
      <c r="L1062" t="n">
        <v>0.84</v>
      </c>
      <c r="M1062" t="n">
        <v>6.7</v>
      </c>
      <c r="N1062" t="n">
        <v>3.8</v>
      </c>
      <c r="O1062" t="n">
        <v>2.5</v>
      </c>
      <c r="P1062" t="n">
        <v>8.6</v>
      </c>
      <c r="Q1062" t="n">
        <v>13</v>
      </c>
      <c r="R1062" t="n">
        <v>4.4</v>
      </c>
      <c r="S1062" t="b">
        <v>0</v>
      </c>
      <c r="U1062" t="n">
        <v>14</v>
      </c>
      <c r="V1062" t="b">
        <v>0</v>
      </c>
      <c r="X1062" t="b">
        <v>0</v>
      </c>
      <c r="Y1062" t="n">
        <v>0.22</v>
      </c>
    </row>
    <row r="1063">
      <c r="A1063" t="inlineStr">
        <is>
          <t>O01062</t>
        </is>
      </c>
      <c r="B1063" t="inlineStr">
        <is>
          <t>C0232</t>
        </is>
      </c>
      <c r="C1063" t="inlineStr">
        <is>
          <t>S009</t>
        </is>
      </c>
      <c r="D1063" t="inlineStr">
        <is>
          <t>R079</t>
        </is>
      </c>
      <c r="E1063" s="3" t="n">
        <v>46269.57430555556</v>
      </c>
      <c r="F1063" s="3" t="n">
        <v>46269.58201388889</v>
      </c>
      <c r="G1063" s="3" t="n">
        <v>46269.57944444445</v>
      </c>
      <c r="H1063" t="inlineStr">
        <is>
          <t>Delivered</t>
        </is>
      </c>
      <c r="I1063" t="n">
        <v>3</v>
      </c>
      <c r="J1063" t="n">
        <v>5</v>
      </c>
      <c r="K1063" t="n">
        <v>190.92</v>
      </c>
      <c r="L1063" t="n">
        <v>0.5</v>
      </c>
      <c r="M1063" t="n">
        <v>1.6</v>
      </c>
      <c r="N1063" t="n">
        <v>2</v>
      </c>
      <c r="O1063" t="n">
        <v>3.8</v>
      </c>
      <c r="P1063" t="n">
        <v>11.1</v>
      </c>
      <c r="Q1063" t="n">
        <v>7.4</v>
      </c>
      <c r="R1063" t="n">
        <v>-3.7</v>
      </c>
      <c r="S1063" t="b">
        <v>1</v>
      </c>
      <c r="U1063" t="n">
        <v>13</v>
      </c>
      <c r="V1063" t="b">
        <v>0</v>
      </c>
      <c r="W1063" t="inlineStr">
        <is>
          <t>Light</t>
        </is>
      </c>
      <c r="X1063" t="b">
        <v>0</v>
      </c>
      <c r="Y1063" t="n">
        <v>0.68</v>
      </c>
    </row>
    <row r="1064">
      <c r="A1064" t="inlineStr">
        <is>
          <t>O01063</t>
        </is>
      </c>
      <c r="B1064" t="inlineStr">
        <is>
          <t>C0021</t>
        </is>
      </c>
      <c r="C1064" t="inlineStr">
        <is>
          <t>S007</t>
        </is>
      </c>
      <c r="D1064" t="inlineStr">
        <is>
          <t>R025</t>
        </is>
      </c>
      <c r="E1064" s="3" t="n">
        <v>46272.93958333333</v>
      </c>
      <c r="F1064" s="3" t="n">
        <v>46272.946875</v>
      </c>
      <c r="G1064" s="3" t="n">
        <v>46272.94576388889</v>
      </c>
      <c r="H1064" t="inlineStr">
        <is>
          <t>Delivered</t>
        </is>
      </c>
      <c r="I1064" t="n">
        <v>4</v>
      </c>
      <c r="J1064" t="n">
        <v>7</v>
      </c>
      <c r="K1064" t="n">
        <v>1503.64</v>
      </c>
      <c r="L1064" t="n">
        <v>1.27</v>
      </c>
      <c r="M1064" t="n">
        <v>3.5</v>
      </c>
      <c r="N1064" t="n">
        <v>0.4</v>
      </c>
      <c r="O1064" t="n">
        <v>5</v>
      </c>
      <c r="P1064" t="n">
        <v>10.5</v>
      </c>
      <c r="Q1064" t="n">
        <v>8.9</v>
      </c>
      <c r="R1064" t="n">
        <v>-1.6</v>
      </c>
      <c r="S1064" t="b">
        <v>1</v>
      </c>
      <c r="U1064" t="n">
        <v>22</v>
      </c>
      <c r="V1064" t="b">
        <v>0</v>
      </c>
      <c r="W1064" t="inlineStr">
        <is>
          <t>Light</t>
        </is>
      </c>
      <c r="X1064" t="b">
        <v>0</v>
      </c>
      <c r="Y1064" t="n">
        <v>0.41</v>
      </c>
    </row>
    <row r="1065">
      <c r="A1065" t="inlineStr">
        <is>
          <t>O01064</t>
        </is>
      </c>
      <c r="B1065" t="inlineStr">
        <is>
          <t>C0096</t>
        </is>
      </c>
      <c r="C1065" t="inlineStr">
        <is>
          <t>S006</t>
        </is>
      </c>
      <c r="D1065" t="inlineStr">
        <is>
          <t>R068</t>
        </is>
      </c>
      <c r="E1065" s="3" t="n">
        <v>46278.49305555555</v>
      </c>
      <c r="F1065" s="3" t="n">
        <v>46278.50083333333</v>
      </c>
      <c r="G1065" s="3" t="n">
        <v>46278.50034722222</v>
      </c>
      <c r="H1065" t="inlineStr">
        <is>
          <t>Delivered</t>
        </is>
      </c>
      <c r="I1065" t="n">
        <v>1</v>
      </c>
      <c r="J1065" t="n">
        <v>11</v>
      </c>
      <c r="K1065" t="n">
        <v>1142.81</v>
      </c>
      <c r="L1065" t="n">
        <v>1.66</v>
      </c>
      <c r="M1065" t="n">
        <v>3.5</v>
      </c>
      <c r="N1065" t="n">
        <v>3.9</v>
      </c>
      <c r="O1065" t="n">
        <v>3.1</v>
      </c>
      <c r="P1065" t="n">
        <v>11.2</v>
      </c>
      <c r="Q1065" t="n">
        <v>10.5</v>
      </c>
      <c r="R1065" t="n">
        <v>-0.7</v>
      </c>
      <c r="S1065" t="b">
        <v>1</v>
      </c>
      <c r="U1065" t="n">
        <v>11</v>
      </c>
      <c r="V1065" t="b">
        <v>0</v>
      </c>
      <c r="W1065" t="inlineStr">
        <is>
          <t>Light</t>
        </is>
      </c>
      <c r="X1065" t="b">
        <v>1</v>
      </c>
      <c r="Y1065" t="n">
        <v>0.39</v>
      </c>
    </row>
    <row r="1066">
      <c r="A1066" t="inlineStr">
        <is>
          <t>O01065</t>
        </is>
      </c>
      <c r="B1066" t="inlineStr">
        <is>
          <t>C0219</t>
        </is>
      </c>
      <c r="C1066" t="inlineStr">
        <is>
          <t>S014</t>
        </is>
      </c>
      <c r="D1066" t="inlineStr">
        <is>
          <t>R003</t>
        </is>
      </c>
      <c r="E1066" s="3" t="n">
        <v>46278.58055555556</v>
      </c>
      <c r="F1066" s="3" t="n">
        <v>46278.58833333333</v>
      </c>
      <c r="G1066" s="3" t="n">
        <v>46278.58770833333</v>
      </c>
      <c r="H1066" t="inlineStr">
        <is>
          <t>Delivered</t>
        </is>
      </c>
      <c r="I1066" t="n">
        <v>6</v>
      </c>
      <c r="J1066" t="n">
        <v>12</v>
      </c>
      <c r="K1066" t="n">
        <v>647.8099999999999</v>
      </c>
      <c r="L1066" t="n">
        <v>3.3</v>
      </c>
      <c r="M1066" t="n">
        <v>2.4</v>
      </c>
      <c r="N1066" t="n">
        <v>3.3</v>
      </c>
      <c r="O1066" t="n">
        <v>4.6</v>
      </c>
      <c r="P1066" t="n">
        <v>11.2</v>
      </c>
      <c r="Q1066" t="n">
        <v>10.3</v>
      </c>
      <c r="R1066" t="n">
        <v>-0.9</v>
      </c>
      <c r="S1066" t="b">
        <v>1</v>
      </c>
      <c r="U1066" t="n">
        <v>13</v>
      </c>
      <c r="V1066" t="b">
        <v>0</v>
      </c>
      <c r="W1066" t="inlineStr">
        <is>
          <t>Heavy</t>
        </is>
      </c>
      <c r="X1066" t="b">
        <v>0</v>
      </c>
      <c r="Y1066" t="n">
        <v>0.49</v>
      </c>
    </row>
    <row r="1067">
      <c r="A1067" t="inlineStr">
        <is>
          <t>O01066</t>
        </is>
      </c>
      <c r="B1067" t="inlineStr">
        <is>
          <t>C0052</t>
        </is>
      </c>
      <c r="C1067" t="inlineStr">
        <is>
          <t>S015</t>
        </is>
      </c>
      <c r="D1067" t="inlineStr">
        <is>
          <t>R079</t>
        </is>
      </c>
      <c r="E1067" s="3" t="n">
        <v>46267.76111111111</v>
      </c>
      <c r="F1067" s="3" t="n">
        <v>46267.76743055556</v>
      </c>
      <c r="G1067" s="3" t="n">
        <v>46267.76854166666</v>
      </c>
      <c r="H1067" t="inlineStr">
        <is>
          <t>Delivered</t>
        </is>
      </c>
      <c r="I1067" t="n">
        <v>6</v>
      </c>
      <c r="J1067" t="n">
        <v>7</v>
      </c>
      <c r="K1067" t="n">
        <v>570.9400000000001</v>
      </c>
      <c r="L1067" t="n">
        <v>0.5</v>
      </c>
      <c r="M1067" t="n">
        <v>5.6</v>
      </c>
      <c r="N1067" t="n">
        <v>2.3</v>
      </c>
      <c r="O1067" t="n">
        <v>2.7</v>
      </c>
      <c r="P1067" t="n">
        <v>9.1</v>
      </c>
      <c r="Q1067" t="n">
        <v>10.7</v>
      </c>
      <c r="R1067" t="n">
        <v>1.6</v>
      </c>
      <c r="S1067" t="b">
        <v>0</v>
      </c>
      <c r="U1067" t="n">
        <v>18</v>
      </c>
      <c r="V1067" t="b">
        <v>0</v>
      </c>
      <c r="X1067" t="b">
        <v>0</v>
      </c>
      <c r="Y1067" t="n">
        <v>0.52</v>
      </c>
    </row>
    <row r="1068">
      <c r="A1068" t="inlineStr">
        <is>
          <t>O01067</t>
        </is>
      </c>
      <c r="B1068" t="inlineStr">
        <is>
          <t>C0244</t>
        </is>
      </c>
      <c r="C1068" t="inlineStr">
        <is>
          <t>S015</t>
        </is>
      </c>
      <c r="D1068" t="inlineStr">
        <is>
          <t>R075</t>
        </is>
      </c>
      <c r="E1068" s="3" t="n">
        <v>46266.93125</v>
      </c>
      <c r="F1068" s="3" t="n">
        <v>46266.93875</v>
      </c>
      <c r="G1068" s="3" t="n">
        <v>46266.93826388889</v>
      </c>
      <c r="H1068" t="inlineStr">
        <is>
          <t>Delivered</t>
        </is>
      </c>
      <c r="I1068" t="n">
        <v>2</v>
      </c>
      <c r="J1068" t="n">
        <v>6</v>
      </c>
      <c r="K1068" t="n">
        <v>1465.78</v>
      </c>
      <c r="L1068" t="n">
        <v>4.35</v>
      </c>
      <c r="M1068" t="n">
        <v>1.9</v>
      </c>
      <c r="N1068" t="n">
        <v>3.1</v>
      </c>
      <c r="O1068" t="n">
        <v>5.1</v>
      </c>
      <c r="P1068" t="n">
        <v>10.8</v>
      </c>
      <c r="Q1068" t="n">
        <v>10.1</v>
      </c>
      <c r="R1068" t="n">
        <v>-0.7</v>
      </c>
      <c r="S1068" t="b">
        <v>1</v>
      </c>
      <c r="U1068" t="n">
        <v>22</v>
      </c>
      <c r="V1068" t="b">
        <v>0</v>
      </c>
      <c r="W1068" t="inlineStr">
        <is>
          <t>Light</t>
        </is>
      </c>
      <c r="X1068" t="b">
        <v>0</v>
      </c>
      <c r="Y1068" t="n">
        <v>0.79</v>
      </c>
    </row>
    <row r="1069">
      <c r="A1069" t="inlineStr">
        <is>
          <t>O01068</t>
        </is>
      </c>
      <c r="B1069" t="inlineStr">
        <is>
          <t>C0095</t>
        </is>
      </c>
      <c r="C1069" t="inlineStr">
        <is>
          <t>S012</t>
        </is>
      </c>
      <c r="D1069" t="inlineStr">
        <is>
          <t>R030</t>
        </is>
      </c>
      <c r="E1069" s="3" t="n">
        <v>46278.86180555556</v>
      </c>
      <c r="F1069" s="3" t="n">
        <v>46278.87055555556</v>
      </c>
      <c r="G1069" s="3" t="n">
        <v>46278.87625</v>
      </c>
      <c r="H1069" t="inlineStr">
        <is>
          <t>Delivered</t>
        </is>
      </c>
      <c r="I1069" t="n">
        <v>3</v>
      </c>
      <c r="J1069" t="n">
        <v>8</v>
      </c>
      <c r="K1069" t="n">
        <v>1049.37</v>
      </c>
      <c r="L1069" t="n">
        <v>5.3</v>
      </c>
      <c r="M1069" t="n">
        <v>6.1</v>
      </c>
      <c r="N1069" t="n">
        <v>3.2</v>
      </c>
      <c r="O1069" t="n">
        <v>11.4</v>
      </c>
      <c r="P1069" t="n">
        <v>12.6</v>
      </c>
      <c r="Q1069" t="n">
        <v>20.8</v>
      </c>
      <c r="R1069" t="n">
        <v>8.199999999999999</v>
      </c>
      <c r="S1069" t="b">
        <v>0</v>
      </c>
      <c r="U1069" t="n">
        <v>20</v>
      </c>
      <c r="V1069" t="b">
        <v>1</v>
      </c>
      <c r="W1069" t="inlineStr">
        <is>
          <t>Light</t>
        </is>
      </c>
      <c r="X1069" t="b">
        <v>0</v>
      </c>
      <c r="Y1069" t="n">
        <v>0.53</v>
      </c>
    </row>
    <row r="1070">
      <c r="A1070" t="inlineStr">
        <is>
          <t>O01069</t>
        </is>
      </c>
      <c r="B1070" t="inlineStr">
        <is>
          <t>C0047</t>
        </is>
      </c>
      <c r="C1070" t="inlineStr">
        <is>
          <t>S018</t>
        </is>
      </c>
      <c r="D1070" t="inlineStr">
        <is>
          <t>R078</t>
        </is>
      </c>
      <c r="E1070" s="3" t="n">
        <v>46271.64166666667</v>
      </c>
      <c r="F1070" s="3" t="n">
        <v>46271.64854166667</v>
      </c>
      <c r="G1070" s="3" t="n">
        <v>46271.65361111111</v>
      </c>
      <c r="H1070" t="inlineStr">
        <is>
          <t>Delivered</t>
        </is>
      </c>
      <c r="I1070" t="n">
        <v>6</v>
      </c>
      <c r="J1070" t="n">
        <v>9</v>
      </c>
      <c r="K1070" t="n">
        <v>1298.24</v>
      </c>
      <c r="L1070" t="n">
        <v>0.86</v>
      </c>
      <c r="M1070" t="n">
        <v>5.4</v>
      </c>
      <c r="N1070" t="n">
        <v>7.8</v>
      </c>
      <c r="O1070" t="n">
        <v>4</v>
      </c>
      <c r="P1070" t="n">
        <v>9.9</v>
      </c>
      <c r="Q1070" t="n">
        <v>17.2</v>
      </c>
      <c r="R1070" t="n">
        <v>7.3</v>
      </c>
      <c r="S1070" t="b">
        <v>0</v>
      </c>
      <c r="U1070" t="n">
        <v>15</v>
      </c>
      <c r="V1070" t="b">
        <v>0</v>
      </c>
      <c r="W1070" t="inlineStr">
        <is>
          <t>Heavy</t>
        </is>
      </c>
      <c r="X1070" t="b">
        <v>0</v>
      </c>
      <c r="Y1070" t="n">
        <v>0.16</v>
      </c>
    </row>
    <row r="1071">
      <c r="A1071" t="inlineStr">
        <is>
          <t>O01070</t>
        </is>
      </c>
      <c r="B1071" t="inlineStr">
        <is>
          <t>C0134</t>
        </is>
      </c>
      <c r="C1071" t="inlineStr">
        <is>
          <t>S009</t>
        </is>
      </c>
      <c r="D1071" t="inlineStr">
        <is>
          <t>R041</t>
        </is>
      </c>
      <c r="E1071" s="3" t="n">
        <v>46278.42083333333</v>
      </c>
      <c r="F1071" s="3" t="n">
        <v>46278.42756944444</v>
      </c>
      <c r="G1071" s="3" t="n">
        <v>46278.42701388889</v>
      </c>
      <c r="H1071" t="inlineStr">
        <is>
          <t>Delivered</t>
        </is>
      </c>
      <c r="I1071" t="n">
        <v>3</v>
      </c>
      <c r="J1071" t="n">
        <v>7</v>
      </c>
      <c r="K1071" t="n">
        <v>205.6</v>
      </c>
      <c r="L1071" t="n">
        <v>0.63</v>
      </c>
      <c r="M1071" t="n">
        <v>1.5</v>
      </c>
      <c r="N1071" t="n">
        <v>5.7</v>
      </c>
      <c r="O1071" t="n">
        <v>1.7</v>
      </c>
      <c r="P1071" t="n">
        <v>9.699999999999999</v>
      </c>
      <c r="Q1071" t="n">
        <v>8.9</v>
      </c>
      <c r="R1071" t="n">
        <v>-0.8</v>
      </c>
      <c r="S1071" t="b">
        <v>1</v>
      </c>
      <c r="U1071" t="n">
        <v>10</v>
      </c>
      <c r="V1071" t="b">
        <v>0</v>
      </c>
      <c r="X1071" t="b">
        <v>0</v>
      </c>
      <c r="Y1071" t="n">
        <v>0.46</v>
      </c>
    </row>
    <row r="1072">
      <c r="A1072" t="inlineStr">
        <is>
          <t>O01071</t>
        </is>
      </c>
      <c r="B1072" t="inlineStr">
        <is>
          <t>C0053</t>
        </is>
      </c>
      <c r="C1072" t="inlineStr">
        <is>
          <t>S002</t>
        </is>
      </c>
      <c r="D1072" t="inlineStr">
        <is>
          <t>R032</t>
        </is>
      </c>
      <c r="E1072" s="3" t="n">
        <v>46275.97152777778</v>
      </c>
      <c r="F1072" s="3" t="n">
        <v>46275.97965277778</v>
      </c>
      <c r="G1072" s="3" t="n">
        <v>46275.97958333333</v>
      </c>
      <c r="H1072" t="inlineStr">
        <is>
          <t>Delivered</t>
        </is>
      </c>
      <c r="I1072" t="n">
        <v>3</v>
      </c>
      <c r="J1072" t="n">
        <v>5</v>
      </c>
      <c r="K1072" t="n">
        <v>996.95</v>
      </c>
      <c r="L1072" t="n">
        <v>1.15</v>
      </c>
      <c r="M1072" t="n">
        <v>3.1</v>
      </c>
      <c r="N1072" t="n">
        <v>4.4</v>
      </c>
      <c r="O1072" t="n">
        <v>4.2</v>
      </c>
      <c r="P1072" t="n">
        <v>11.7</v>
      </c>
      <c r="Q1072" t="n">
        <v>11.6</v>
      </c>
      <c r="R1072" t="n">
        <v>-0.1</v>
      </c>
      <c r="S1072" t="b">
        <v>1</v>
      </c>
      <c r="U1072" t="n">
        <v>23</v>
      </c>
      <c r="V1072" t="b">
        <v>0</v>
      </c>
      <c r="W1072" t="inlineStr">
        <is>
          <t>Light</t>
        </is>
      </c>
      <c r="X1072" t="b">
        <v>0</v>
      </c>
      <c r="Y1072" t="n">
        <v>0.47</v>
      </c>
    </row>
    <row r="1073">
      <c r="A1073" t="inlineStr">
        <is>
          <t>O01072</t>
        </is>
      </c>
      <c r="B1073" t="inlineStr">
        <is>
          <t>C0123</t>
        </is>
      </c>
      <c r="C1073" t="inlineStr">
        <is>
          <t>S004</t>
        </is>
      </c>
      <c r="D1073" t="inlineStr">
        <is>
          <t>R004</t>
        </is>
      </c>
      <c r="E1073" s="3" t="n">
        <v>46275.61666666667</v>
      </c>
      <c r="F1073" s="3" t="n">
        <v>46275.62319444444</v>
      </c>
      <c r="G1073" s="3" t="n">
        <v>46275.62222222222</v>
      </c>
      <c r="H1073" t="inlineStr">
        <is>
          <t>Delivered</t>
        </is>
      </c>
      <c r="I1073" t="n">
        <v>4</v>
      </c>
      <c r="J1073" t="n">
        <v>8</v>
      </c>
      <c r="K1073" t="n">
        <v>480.47</v>
      </c>
      <c r="L1073" t="n">
        <v>0.55</v>
      </c>
      <c r="M1073" t="n">
        <v>1.2</v>
      </c>
      <c r="N1073" t="n">
        <v>3.6</v>
      </c>
      <c r="O1073" t="n">
        <v>3.3</v>
      </c>
      <c r="P1073" t="n">
        <v>9.4</v>
      </c>
      <c r="Q1073" t="n">
        <v>8</v>
      </c>
      <c r="R1073" t="n">
        <v>-1.4</v>
      </c>
      <c r="S1073" t="b">
        <v>1</v>
      </c>
      <c r="U1073" t="n">
        <v>14</v>
      </c>
      <c r="V1073" t="b">
        <v>0</v>
      </c>
      <c r="W1073" t="inlineStr">
        <is>
          <t>Light</t>
        </is>
      </c>
      <c r="X1073" t="b">
        <v>0</v>
      </c>
      <c r="Y1073" t="n">
        <v>0.42</v>
      </c>
    </row>
    <row r="1074">
      <c r="A1074" t="inlineStr">
        <is>
          <t>O01073</t>
        </is>
      </c>
      <c r="B1074" t="inlineStr">
        <is>
          <t>C0042</t>
        </is>
      </c>
      <c r="C1074" t="inlineStr">
        <is>
          <t>S009</t>
        </is>
      </c>
      <c r="D1074" t="inlineStr">
        <is>
          <t>R040</t>
        </is>
      </c>
      <c r="E1074" s="3" t="n">
        <v>46278.83958333333</v>
      </c>
      <c r="F1074" s="3" t="n">
        <v>46278.84583333333</v>
      </c>
      <c r="G1074" s="3" t="n">
        <v>46278.84541666666</v>
      </c>
      <c r="H1074" t="inlineStr">
        <is>
          <t>Delivered</t>
        </is>
      </c>
      <c r="I1074" t="n">
        <v>2</v>
      </c>
      <c r="J1074" t="n">
        <v>5</v>
      </c>
      <c r="K1074" t="n">
        <v>1192.99</v>
      </c>
      <c r="L1074" t="n">
        <v>1.53</v>
      </c>
      <c r="M1074" t="n">
        <v>1.5</v>
      </c>
      <c r="N1074" t="n">
        <v>4.5</v>
      </c>
      <c r="O1074" t="n">
        <v>2.4</v>
      </c>
      <c r="P1074" t="n">
        <v>9</v>
      </c>
      <c r="Q1074" t="n">
        <v>8.4</v>
      </c>
      <c r="R1074" t="n">
        <v>-0.6</v>
      </c>
      <c r="S1074" t="b">
        <v>1</v>
      </c>
      <c r="U1074" t="n">
        <v>20</v>
      </c>
      <c r="V1074" t="b">
        <v>1</v>
      </c>
      <c r="X1074" t="b">
        <v>0</v>
      </c>
      <c r="Y1074" t="n">
        <v>0.61</v>
      </c>
    </row>
    <row r="1075">
      <c r="A1075" t="inlineStr">
        <is>
          <t>O01074</t>
        </is>
      </c>
      <c r="B1075" t="inlineStr">
        <is>
          <t>C0135</t>
        </is>
      </c>
      <c r="C1075" t="inlineStr">
        <is>
          <t>S009</t>
        </is>
      </c>
      <c r="D1075" t="inlineStr">
        <is>
          <t>R070</t>
        </is>
      </c>
      <c r="E1075" s="3" t="n">
        <v>46268.66736111111</v>
      </c>
      <c r="F1075" s="3" t="n">
        <v>46268.67486111111</v>
      </c>
      <c r="G1075" s="3" t="n">
        <v>46268.67444444444</v>
      </c>
      <c r="H1075" t="inlineStr">
        <is>
          <t>Delivered</t>
        </is>
      </c>
      <c r="I1075" t="n">
        <v>2</v>
      </c>
      <c r="J1075" t="n">
        <v>11</v>
      </c>
      <c r="K1075" t="n">
        <v>1071.38</v>
      </c>
      <c r="L1075" t="n">
        <v>1.38</v>
      </c>
      <c r="M1075" t="n">
        <v>3.2</v>
      </c>
      <c r="N1075" t="n">
        <v>4.6</v>
      </c>
      <c r="O1075" t="n">
        <v>2.4</v>
      </c>
      <c r="P1075" t="n">
        <v>10.8</v>
      </c>
      <c r="Q1075" t="n">
        <v>10.2</v>
      </c>
      <c r="R1075" t="n">
        <v>-0.6</v>
      </c>
      <c r="S1075" t="b">
        <v>1</v>
      </c>
      <c r="U1075" t="n">
        <v>16</v>
      </c>
      <c r="V1075" t="b">
        <v>0</v>
      </c>
      <c r="X1075" t="b">
        <v>0</v>
      </c>
      <c r="Y1075" t="n">
        <v>0.24</v>
      </c>
    </row>
    <row r="1076">
      <c r="A1076" t="inlineStr">
        <is>
          <t>O01075</t>
        </is>
      </c>
      <c r="B1076" t="inlineStr">
        <is>
          <t>C0029</t>
        </is>
      </c>
      <c r="C1076" t="inlineStr">
        <is>
          <t>S009</t>
        </is>
      </c>
      <c r="D1076" t="inlineStr">
        <is>
          <t>R037</t>
        </is>
      </c>
      <c r="E1076" s="3" t="n">
        <v>46273.62222222222</v>
      </c>
      <c r="F1076" s="3" t="n">
        <v>46273.629375</v>
      </c>
      <c r="G1076" s="3" t="n">
        <v>46273.62909722222</v>
      </c>
      <c r="H1076" t="inlineStr">
        <is>
          <t>Delivered</t>
        </is>
      </c>
      <c r="I1076" t="n">
        <v>6</v>
      </c>
      <c r="J1076" t="n">
        <v>6</v>
      </c>
      <c r="K1076" t="n">
        <v>834.71</v>
      </c>
      <c r="L1076" t="n">
        <v>1.17</v>
      </c>
      <c r="M1076" t="n">
        <v>2.8</v>
      </c>
      <c r="N1076" t="n">
        <v>4.7</v>
      </c>
      <c r="O1076" t="n">
        <v>2.4</v>
      </c>
      <c r="P1076" t="n">
        <v>10.3</v>
      </c>
      <c r="Q1076" t="n">
        <v>9.9</v>
      </c>
      <c r="R1076" t="n">
        <v>-0.4</v>
      </c>
      <c r="S1076" t="b">
        <v>1</v>
      </c>
      <c r="U1076" t="n">
        <v>14</v>
      </c>
      <c r="V1076" t="b">
        <v>0</v>
      </c>
      <c r="X1076" t="b">
        <v>0</v>
      </c>
      <c r="Y1076" t="n">
        <v>0.3</v>
      </c>
    </row>
    <row r="1077">
      <c r="A1077" t="inlineStr">
        <is>
          <t>O01076</t>
        </is>
      </c>
      <c r="B1077" t="inlineStr">
        <is>
          <t>C0112</t>
        </is>
      </c>
      <c r="C1077" t="inlineStr">
        <is>
          <t>S009</t>
        </is>
      </c>
      <c r="D1077" t="inlineStr">
        <is>
          <t>R055</t>
        </is>
      </c>
      <c r="E1077" s="3" t="n">
        <v>46276.74305555555</v>
      </c>
      <c r="F1077" s="3" t="n">
        <v>46276.75083333333</v>
      </c>
      <c r="G1077" s="3" t="n">
        <v>46276.75076388889</v>
      </c>
      <c r="H1077" t="inlineStr">
        <is>
          <t>Delivered</t>
        </is>
      </c>
      <c r="I1077" t="n">
        <v>3</v>
      </c>
      <c r="J1077" t="n">
        <v>5</v>
      </c>
      <c r="K1077" t="n">
        <v>560.9299999999999</v>
      </c>
      <c r="L1077" t="n">
        <v>1.77</v>
      </c>
      <c r="M1077" t="n">
        <v>3.2</v>
      </c>
      <c r="N1077" t="n">
        <v>2</v>
      </c>
      <c r="O1077" t="n">
        <v>5.8</v>
      </c>
      <c r="P1077" t="n">
        <v>11.2</v>
      </c>
      <c r="Q1077" t="n">
        <v>11.1</v>
      </c>
      <c r="R1077" t="n">
        <v>-0.1</v>
      </c>
      <c r="S1077" t="b">
        <v>1</v>
      </c>
      <c r="U1077" t="n">
        <v>17</v>
      </c>
      <c r="V1077" t="b">
        <v>0</v>
      </c>
      <c r="X1077" t="b">
        <v>0</v>
      </c>
      <c r="Y1077" t="n">
        <v>0.59</v>
      </c>
    </row>
    <row r="1078">
      <c r="A1078" t="inlineStr">
        <is>
          <t>O01077</t>
        </is>
      </c>
      <c r="B1078" t="inlineStr">
        <is>
          <t>C0133</t>
        </is>
      </c>
      <c r="C1078" t="inlineStr">
        <is>
          <t>S013</t>
        </is>
      </c>
      <c r="D1078" t="inlineStr">
        <is>
          <t>R006</t>
        </is>
      </c>
      <c r="E1078" s="3" t="n">
        <v>46275.66458333333</v>
      </c>
      <c r="F1078" s="3" t="n">
        <v>46275.67319444445</v>
      </c>
      <c r="G1078" s="3" t="n">
        <v>46275.67284722222</v>
      </c>
      <c r="H1078" t="inlineStr">
        <is>
          <t>Delivered</t>
        </is>
      </c>
      <c r="I1078" t="n">
        <v>3</v>
      </c>
      <c r="J1078" t="n">
        <v>6</v>
      </c>
      <c r="K1078" t="n">
        <v>532.7</v>
      </c>
      <c r="L1078" t="n">
        <v>3</v>
      </c>
      <c r="M1078" t="n">
        <v>3.4</v>
      </c>
      <c r="N1078" t="n">
        <v>2.2</v>
      </c>
      <c r="O1078" t="n">
        <v>6.3</v>
      </c>
      <c r="P1078" t="n">
        <v>12.4</v>
      </c>
      <c r="Q1078" t="n">
        <v>11.9</v>
      </c>
      <c r="R1078" t="n">
        <v>-0.5</v>
      </c>
      <c r="S1078" t="b">
        <v>1</v>
      </c>
      <c r="U1078" t="n">
        <v>15</v>
      </c>
      <c r="V1078" t="b">
        <v>0</v>
      </c>
      <c r="W1078" t="inlineStr">
        <is>
          <t>Heavy</t>
        </is>
      </c>
      <c r="X1078" t="b">
        <v>0</v>
      </c>
      <c r="Y1078" t="n">
        <v>0.38</v>
      </c>
    </row>
    <row r="1079">
      <c r="A1079" t="inlineStr">
        <is>
          <t>O01078</t>
        </is>
      </c>
      <c r="B1079" t="inlineStr">
        <is>
          <t>C0203</t>
        </is>
      </c>
      <c r="C1079" t="inlineStr">
        <is>
          <t>S016</t>
        </is>
      </c>
      <c r="D1079" t="inlineStr">
        <is>
          <t>R066</t>
        </is>
      </c>
      <c r="E1079" s="3" t="n">
        <v>46272.5625</v>
      </c>
      <c r="F1079" s="3" t="n">
        <v>46272.56909722222</v>
      </c>
      <c r="G1079" s="3" t="n">
        <v>46272.56888888889</v>
      </c>
      <c r="H1079" t="inlineStr">
        <is>
          <t>Delivered</t>
        </is>
      </c>
      <c r="I1079" t="n">
        <v>3</v>
      </c>
      <c r="J1079" t="n">
        <v>5</v>
      </c>
      <c r="K1079" t="n">
        <v>306.41</v>
      </c>
      <c r="L1079" t="n">
        <v>2.6</v>
      </c>
      <c r="M1079" t="n">
        <v>2.9</v>
      </c>
      <c r="N1079" t="n">
        <v>3.5</v>
      </c>
      <c r="O1079" t="n">
        <v>2.8</v>
      </c>
      <c r="P1079" t="n">
        <v>9.5</v>
      </c>
      <c r="Q1079" t="n">
        <v>9.199999999999999</v>
      </c>
      <c r="R1079" t="n">
        <v>-0.3</v>
      </c>
      <c r="S1079" t="b">
        <v>1</v>
      </c>
      <c r="U1079" t="n">
        <v>13</v>
      </c>
      <c r="V1079" t="b">
        <v>0</v>
      </c>
      <c r="X1079" t="b">
        <v>0</v>
      </c>
      <c r="Y1079" t="n">
        <v>0.55</v>
      </c>
    </row>
    <row r="1080">
      <c r="A1080" t="inlineStr">
        <is>
          <t>O01079</t>
        </is>
      </c>
      <c r="B1080" t="inlineStr">
        <is>
          <t>C0184</t>
        </is>
      </c>
      <c r="C1080" t="inlineStr">
        <is>
          <t>S002</t>
        </is>
      </c>
      <c r="D1080" t="inlineStr">
        <is>
          <t>R006</t>
        </is>
      </c>
      <c r="E1080" s="3" t="n">
        <v>46276.89861111111</v>
      </c>
      <c r="F1080" s="3" t="n">
        <v>46276.90361111111</v>
      </c>
      <c r="G1080" s="3" t="n">
        <v>46276.90326388889</v>
      </c>
      <c r="H1080" t="inlineStr">
        <is>
          <t>Delivered</t>
        </is>
      </c>
      <c r="I1080" t="n">
        <v>5</v>
      </c>
      <c r="J1080" t="n">
        <v>5</v>
      </c>
      <c r="K1080" t="n">
        <v>1077.73</v>
      </c>
      <c r="L1080" t="n">
        <v>1.12</v>
      </c>
      <c r="M1080" t="n">
        <v>1.3</v>
      </c>
      <c r="N1080" t="n">
        <v>3.3</v>
      </c>
      <c r="O1080" t="n">
        <v>2.1</v>
      </c>
      <c r="P1080" t="n">
        <v>7.2</v>
      </c>
      <c r="Q1080" t="n">
        <v>6.7</v>
      </c>
      <c r="R1080" t="n">
        <v>-0.5</v>
      </c>
      <c r="S1080" t="b">
        <v>1</v>
      </c>
      <c r="U1080" t="n">
        <v>21</v>
      </c>
      <c r="V1080" t="b">
        <v>1</v>
      </c>
      <c r="X1080" t="b">
        <v>0</v>
      </c>
      <c r="Y1080" t="n">
        <v>0.93</v>
      </c>
    </row>
    <row r="1081">
      <c r="A1081" t="inlineStr">
        <is>
          <t>O01080</t>
        </is>
      </c>
      <c r="B1081" t="inlineStr">
        <is>
          <t>C0012</t>
        </is>
      </c>
      <c r="C1081" t="inlineStr">
        <is>
          <t>S006</t>
        </is>
      </c>
      <c r="D1081" t="inlineStr">
        <is>
          <t>R061</t>
        </is>
      </c>
      <c r="E1081" s="3" t="n">
        <v>46267.44791666666</v>
      </c>
      <c r="F1081" s="3" t="n">
        <v>46267.45569444444</v>
      </c>
      <c r="G1081" s="3" t="n">
        <v>46267.45680555556</v>
      </c>
      <c r="H1081" t="inlineStr">
        <is>
          <t>Delivered</t>
        </is>
      </c>
      <c r="I1081" t="n">
        <v>1</v>
      </c>
      <c r="J1081" t="n">
        <v>4</v>
      </c>
      <c r="K1081" t="n">
        <v>1007.28</v>
      </c>
      <c r="L1081" t="n">
        <v>2.71</v>
      </c>
      <c r="M1081" t="n">
        <v>4.7</v>
      </c>
      <c r="N1081" t="n">
        <v>1.4</v>
      </c>
      <c r="O1081" t="n">
        <v>6.7</v>
      </c>
      <c r="P1081" t="n">
        <v>11.2</v>
      </c>
      <c r="Q1081" t="n">
        <v>12.8</v>
      </c>
      <c r="R1081" t="n">
        <v>1.6</v>
      </c>
      <c r="S1081" t="b">
        <v>0</v>
      </c>
      <c r="U1081" t="n">
        <v>10</v>
      </c>
      <c r="V1081" t="b">
        <v>0</v>
      </c>
      <c r="X1081" t="b">
        <v>0</v>
      </c>
      <c r="Y1081" t="n">
        <v>0.51</v>
      </c>
    </row>
    <row r="1082">
      <c r="A1082" t="inlineStr">
        <is>
          <t>O01081</t>
        </is>
      </c>
      <c r="B1082" t="inlineStr">
        <is>
          <t>C0042</t>
        </is>
      </c>
      <c r="C1082" t="inlineStr">
        <is>
          <t>S019</t>
        </is>
      </c>
      <c r="D1082" t="inlineStr">
        <is>
          <t>R064</t>
        </is>
      </c>
      <c r="E1082" s="3" t="n">
        <v>46273.79305555556</v>
      </c>
      <c r="F1082" s="3" t="n">
        <v>46273.80013888889</v>
      </c>
      <c r="G1082" s="3" t="n">
        <v>46273.79979166666</v>
      </c>
      <c r="H1082" t="inlineStr">
        <is>
          <t>Delivered</t>
        </is>
      </c>
      <c r="I1082" t="n">
        <v>1</v>
      </c>
      <c r="J1082" t="n">
        <v>5</v>
      </c>
      <c r="K1082" t="n">
        <v>1199.59</v>
      </c>
      <c r="L1082" t="n">
        <v>0.88</v>
      </c>
      <c r="M1082" t="n">
        <v>3</v>
      </c>
      <c r="N1082" t="n">
        <v>4.9</v>
      </c>
      <c r="O1082" t="n">
        <v>1.8</v>
      </c>
      <c r="P1082" t="n">
        <v>10.2</v>
      </c>
      <c r="Q1082" t="n">
        <v>9.699999999999999</v>
      </c>
      <c r="R1082" t="n">
        <v>-0.5</v>
      </c>
      <c r="S1082" t="b">
        <v>1</v>
      </c>
      <c r="U1082" t="n">
        <v>19</v>
      </c>
      <c r="V1082" t="b">
        <v>1</v>
      </c>
      <c r="X1082" t="b">
        <v>0</v>
      </c>
      <c r="Y1082" t="n">
        <v>0.6</v>
      </c>
    </row>
    <row r="1083">
      <c r="A1083" t="inlineStr">
        <is>
          <t>O01082</t>
        </is>
      </c>
      <c r="B1083" t="inlineStr">
        <is>
          <t>C0114</t>
        </is>
      </c>
      <c r="C1083" t="inlineStr">
        <is>
          <t>S006</t>
        </is>
      </c>
      <c r="D1083" t="inlineStr">
        <is>
          <t>R071</t>
        </is>
      </c>
      <c r="E1083" s="3" t="n">
        <v>46269.575</v>
      </c>
      <c r="F1083" s="3" t="n">
        <v>46269.58208333333</v>
      </c>
      <c r="G1083" s="3" t="n">
        <v>46269.58173611111</v>
      </c>
      <c r="H1083" t="inlineStr">
        <is>
          <t>Delivered</t>
        </is>
      </c>
      <c r="I1083" t="n">
        <v>2</v>
      </c>
      <c r="J1083" t="n">
        <v>4</v>
      </c>
      <c r="K1083" t="n">
        <v>537.3</v>
      </c>
      <c r="L1083" t="n">
        <v>1.72</v>
      </c>
      <c r="M1083" t="n">
        <v>2.8</v>
      </c>
      <c r="N1083" t="n">
        <v>4.6</v>
      </c>
      <c r="O1083" t="n">
        <v>2.3</v>
      </c>
      <c r="P1083" t="n">
        <v>10.2</v>
      </c>
      <c r="Q1083" t="n">
        <v>9.699999999999999</v>
      </c>
      <c r="R1083" t="n">
        <v>-0.5</v>
      </c>
      <c r="S1083" t="b">
        <v>1</v>
      </c>
      <c r="U1083" t="n">
        <v>13</v>
      </c>
      <c r="V1083" t="b">
        <v>0</v>
      </c>
      <c r="X1083" t="b">
        <v>0</v>
      </c>
      <c r="Y1083" t="n">
        <v>0</v>
      </c>
    </row>
    <row r="1084">
      <c r="A1084" t="inlineStr">
        <is>
          <t>O01083</t>
        </is>
      </c>
      <c r="B1084" t="inlineStr">
        <is>
          <t>C0126</t>
        </is>
      </c>
      <c r="C1084" t="inlineStr">
        <is>
          <t>S008</t>
        </is>
      </c>
      <c r="D1084" t="inlineStr">
        <is>
          <t>R048</t>
        </is>
      </c>
      <c r="E1084" s="3" t="n">
        <v>46279.88680555556</v>
      </c>
      <c r="F1084" s="3" t="n">
        <v>46279.89493055556</v>
      </c>
      <c r="G1084" s="3" t="n">
        <v>46279.89451388889</v>
      </c>
      <c r="H1084" t="inlineStr">
        <is>
          <t>Delivered</t>
        </is>
      </c>
      <c r="I1084" t="n">
        <v>2</v>
      </c>
      <c r="J1084" t="n">
        <v>8</v>
      </c>
      <c r="K1084" t="n">
        <v>457.53</v>
      </c>
      <c r="L1084" t="n">
        <v>1.76</v>
      </c>
      <c r="M1084" t="n">
        <v>4.2</v>
      </c>
      <c r="N1084" t="n">
        <v>3.6</v>
      </c>
      <c r="O1084" t="n">
        <v>3.3</v>
      </c>
      <c r="P1084" t="n">
        <v>11.7</v>
      </c>
      <c r="Q1084" t="n">
        <v>11.1</v>
      </c>
      <c r="R1084" t="n">
        <v>-0.6</v>
      </c>
      <c r="S1084" t="b">
        <v>1</v>
      </c>
      <c r="U1084" t="n">
        <v>21</v>
      </c>
      <c r="V1084" t="b">
        <v>1</v>
      </c>
      <c r="X1084" t="b">
        <v>0</v>
      </c>
      <c r="Y1084" t="n">
        <v>0.28</v>
      </c>
    </row>
    <row r="1085">
      <c r="A1085" t="inlineStr">
        <is>
          <t>O01084</t>
        </is>
      </c>
      <c r="B1085" t="inlineStr">
        <is>
          <t>C0112</t>
        </is>
      </c>
      <c r="C1085" t="inlineStr">
        <is>
          <t>S014</t>
        </is>
      </c>
      <c r="D1085" t="inlineStr">
        <is>
          <t>R065</t>
        </is>
      </c>
      <c r="E1085" s="3" t="n">
        <v>46277.35555555556</v>
      </c>
      <c r="F1085" s="3" t="n">
        <v>46277.36291666667</v>
      </c>
      <c r="G1085" s="3" t="n">
        <v>46277.37270833334</v>
      </c>
      <c r="H1085" t="inlineStr">
        <is>
          <t>Delivered</t>
        </is>
      </c>
      <c r="I1085" t="n">
        <v>1</v>
      </c>
      <c r="J1085" t="n">
        <v>4</v>
      </c>
      <c r="K1085" t="n">
        <v>498.75</v>
      </c>
      <c r="L1085" t="n">
        <v>2.58</v>
      </c>
      <c r="M1085" t="n">
        <v>6.2</v>
      </c>
      <c r="N1085" t="n">
        <v>10</v>
      </c>
      <c r="O1085" t="n">
        <v>8.5</v>
      </c>
      <c r="P1085" t="n">
        <v>10.6</v>
      </c>
      <c r="Q1085" t="n">
        <v>24.7</v>
      </c>
      <c r="R1085" t="n">
        <v>14.1</v>
      </c>
      <c r="S1085" t="b">
        <v>0</v>
      </c>
      <c r="U1085" t="n">
        <v>8</v>
      </c>
      <c r="V1085" t="b">
        <v>0</v>
      </c>
      <c r="W1085" t="inlineStr">
        <is>
          <t>Light</t>
        </is>
      </c>
      <c r="X1085" t="b">
        <v>0</v>
      </c>
      <c r="Y1085" t="n">
        <v>0.65</v>
      </c>
    </row>
    <row r="1086">
      <c r="A1086" t="inlineStr">
        <is>
          <t>O01085</t>
        </is>
      </c>
      <c r="B1086" t="inlineStr">
        <is>
          <t>C0081</t>
        </is>
      </c>
      <c r="C1086" t="inlineStr">
        <is>
          <t>S016</t>
        </is>
      </c>
      <c r="D1086" t="inlineStr">
        <is>
          <t>R040</t>
        </is>
      </c>
      <c r="E1086" s="3" t="n">
        <v>46271.61736111111</v>
      </c>
      <c r="F1086" s="3" t="n">
        <v>46271.62409722222</v>
      </c>
      <c r="G1086" s="3" t="n">
        <v>46271.62340277778</v>
      </c>
      <c r="H1086" t="inlineStr">
        <is>
          <t>Delivered</t>
        </is>
      </c>
      <c r="I1086" t="n">
        <v>6</v>
      </c>
      <c r="J1086" t="n">
        <v>8</v>
      </c>
      <c r="K1086" t="n">
        <v>1445.68</v>
      </c>
      <c r="L1086" t="n">
        <v>0.87</v>
      </c>
      <c r="M1086" t="n">
        <v>4</v>
      </c>
      <c r="N1086" t="n">
        <v>3.2</v>
      </c>
      <c r="O1086" t="n">
        <v>1.5</v>
      </c>
      <c r="P1086" t="n">
        <v>9.699999999999999</v>
      </c>
      <c r="Q1086" t="n">
        <v>8.699999999999999</v>
      </c>
      <c r="R1086" t="n">
        <v>-1</v>
      </c>
      <c r="S1086" t="b">
        <v>1</v>
      </c>
      <c r="U1086" t="n">
        <v>14</v>
      </c>
      <c r="V1086" t="b">
        <v>0</v>
      </c>
      <c r="X1086" t="b">
        <v>0</v>
      </c>
      <c r="Y1086" t="n">
        <v>0.3</v>
      </c>
    </row>
    <row r="1087">
      <c r="A1087" t="inlineStr">
        <is>
          <t>O01086</t>
        </is>
      </c>
      <c r="B1087" t="inlineStr">
        <is>
          <t>C0152</t>
        </is>
      </c>
      <c r="C1087" t="inlineStr">
        <is>
          <t>S010</t>
        </is>
      </c>
      <c r="D1087" t="inlineStr">
        <is>
          <t>R059</t>
        </is>
      </c>
      <c r="E1087" s="3" t="n">
        <v>46276.37777777778</v>
      </c>
      <c r="F1087" s="3" t="n">
        <v>46276.38597222222</v>
      </c>
      <c r="G1087" s="3" t="n">
        <v>46276.38555555556</v>
      </c>
      <c r="H1087" t="inlineStr">
        <is>
          <t>Delivered</t>
        </is>
      </c>
      <c r="I1087" t="n">
        <v>2</v>
      </c>
      <c r="J1087" t="n">
        <v>6</v>
      </c>
      <c r="K1087" t="n">
        <v>1534.4</v>
      </c>
      <c r="L1087" t="n">
        <v>2.31</v>
      </c>
      <c r="M1087" t="n">
        <v>4.1</v>
      </c>
      <c r="N1087" t="n">
        <v>2.4</v>
      </c>
      <c r="O1087" t="n">
        <v>4.7</v>
      </c>
      <c r="P1087" t="n">
        <v>11.8</v>
      </c>
      <c r="Q1087" t="n">
        <v>11.2</v>
      </c>
      <c r="R1087" t="n">
        <v>-0.6</v>
      </c>
      <c r="S1087" t="b">
        <v>1</v>
      </c>
      <c r="U1087" t="n">
        <v>9</v>
      </c>
      <c r="V1087" t="b">
        <v>0</v>
      </c>
      <c r="X1087" t="b">
        <v>0</v>
      </c>
      <c r="Y1087" t="n">
        <v>0.27</v>
      </c>
    </row>
    <row r="1088">
      <c r="A1088" t="inlineStr">
        <is>
          <t>O01087</t>
        </is>
      </c>
      <c r="B1088" t="inlineStr">
        <is>
          <t>C0028</t>
        </is>
      </c>
      <c r="C1088" t="inlineStr">
        <is>
          <t>S009</t>
        </is>
      </c>
      <c r="D1088" t="inlineStr">
        <is>
          <t>R031</t>
        </is>
      </c>
      <c r="E1088" s="3" t="n">
        <v>46279.84097222222</v>
      </c>
      <c r="F1088" s="3" t="n">
        <v>46279.846875</v>
      </c>
      <c r="G1088" s="3" t="n">
        <v>46279.84638888889</v>
      </c>
      <c r="H1088" t="inlineStr">
        <is>
          <t>Delivered</t>
        </is>
      </c>
      <c r="I1088" t="n">
        <v>4</v>
      </c>
      <c r="J1088" t="n">
        <v>6</v>
      </c>
      <c r="K1088" t="n">
        <v>1333.92</v>
      </c>
      <c r="L1088" t="n">
        <v>2.09</v>
      </c>
      <c r="M1088" t="n">
        <v>0.8</v>
      </c>
      <c r="N1088" t="n">
        <v>4.7</v>
      </c>
      <c r="O1088" t="n">
        <v>2.3</v>
      </c>
      <c r="P1088" t="n">
        <v>8.5</v>
      </c>
      <c r="Q1088" t="n">
        <v>7.8</v>
      </c>
      <c r="R1088" t="n">
        <v>-0.7</v>
      </c>
      <c r="S1088" t="b">
        <v>1</v>
      </c>
      <c r="U1088" t="n">
        <v>20</v>
      </c>
      <c r="V1088" t="b">
        <v>1</v>
      </c>
      <c r="X1088" t="b">
        <v>0</v>
      </c>
      <c r="Y1088" t="n">
        <v>0.52</v>
      </c>
    </row>
    <row r="1089">
      <c r="A1089" t="inlineStr">
        <is>
          <t>O01088</t>
        </is>
      </c>
      <c r="B1089" t="inlineStr">
        <is>
          <t>C0168</t>
        </is>
      </c>
      <c r="C1089" t="inlineStr">
        <is>
          <t>S010</t>
        </is>
      </c>
      <c r="D1089" t="inlineStr">
        <is>
          <t>R044</t>
        </is>
      </c>
      <c r="E1089" s="3" t="n">
        <v>46268.95763888889</v>
      </c>
      <c r="F1089" s="3" t="n">
        <v>46268.96631944444</v>
      </c>
      <c r="G1089" s="3" t="n">
        <v>46268.97173611111</v>
      </c>
      <c r="H1089" t="inlineStr">
        <is>
          <t>Delivered</t>
        </is>
      </c>
      <c r="I1089" t="n">
        <v>4</v>
      </c>
      <c r="J1089" t="n">
        <v>11</v>
      </c>
      <c r="K1089" t="n">
        <v>1006.94</v>
      </c>
      <c r="L1089" t="n">
        <v>3.87</v>
      </c>
      <c r="M1089" t="n">
        <v>6.7</v>
      </c>
      <c r="N1089" t="n">
        <v>4.1</v>
      </c>
      <c r="O1089" t="n">
        <v>9.5</v>
      </c>
      <c r="P1089" t="n">
        <v>12.5</v>
      </c>
      <c r="Q1089" t="n">
        <v>20.3</v>
      </c>
      <c r="R1089" t="n">
        <v>7.8</v>
      </c>
      <c r="S1089" t="b">
        <v>0</v>
      </c>
      <c r="U1089" t="n">
        <v>22</v>
      </c>
      <c r="V1089" t="b">
        <v>0</v>
      </c>
      <c r="X1089" t="b">
        <v>0</v>
      </c>
      <c r="Y1089" t="n">
        <v>0.34</v>
      </c>
    </row>
    <row r="1090">
      <c r="A1090" t="inlineStr">
        <is>
          <t>O01089</t>
        </is>
      </c>
      <c r="B1090" t="inlineStr">
        <is>
          <t>C0073</t>
        </is>
      </c>
      <c r="C1090" t="inlineStr">
        <is>
          <t>S018</t>
        </is>
      </c>
      <c r="D1090" t="inlineStr">
        <is>
          <t>R015</t>
        </is>
      </c>
      <c r="E1090" s="3" t="n">
        <v>46271.94305555556</v>
      </c>
      <c r="F1090" s="3" t="n">
        <v>46271.95076388889</v>
      </c>
      <c r="G1090" s="3" t="n">
        <v>46271.95</v>
      </c>
      <c r="H1090" t="inlineStr">
        <is>
          <t>Delivered</t>
        </is>
      </c>
      <c r="I1090" t="n">
        <v>6</v>
      </c>
      <c r="J1090" t="n">
        <v>6</v>
      </c>
      <c r="K1090" t="n">
        <v>1452.59</v>
      </c>
      <c r="L1090" t="n">
        <v>1.11</v>
      </c>
      <c r="M1090" t="n">
        <v>4.8</v>
      </c>
      <c r="N1090" t="n">
        <v>2.1</v>
      </c>
      <c r="O1090" t="n">
        <v>3.1</v>
      </c>
      <c r="P1090" t="n">
        <v>11.1</v>
      </c>
      <c r="Q1090" t="n">
        <v>10</v>
      </c>
      <c r="R1090" t="n">
        <v>-1.1</v>
      </c>
      <c r="S1090" t="b">
        <v>1</v>
      </c>
      <c r="U1090" t="n">
        <v>22</v>
      </c>
      <c r="V1090" t="b">
        <v>0</v>
      </c>
      <c r="X1090" t="b">
        <v>0</v>
      </c>
      <c r="Y1090" t="n">
        <v>0.5600000000000001</v>
      </c>
    </row>
    <row r="1091">
      <c r="A1091" t="inlineStr">
        <is>
          <t>O01090</t>
        </is>
      </c>
      <c r="B1091" t="inlineStr">
        <is>
          <t>C0111</t>
        </is>
      </c>
      <c r="C1091" t="inlineStr">
        <is>
          <t>S005</t>
        </is>
      </c>
      <c r="D1091" t="inlineStr">
        <is>
          <t>R037</t>
        </is>
      </c>
      <c r="E1091" s="3" t="n">
        <v>46272.81736111111</v>
      </c>
      <c r="F1091" s="3" t="n">
        <v>46272.82548611111</v>
      </c>
      <c r="G1091" s="3" t="n">
        <v>46272.825</v>
      </c>
      <c r="H1091" t="inlineStr">
        <is>
          <t>Delivered</t>
        </is>
      </c>
      <c r="I1091" t="n">
        <v>1</v>
      </c>
      <c r="J1091" t="n">
        <v>2</v>
      </c>
      <c r="K1091" t="n">
        <v>1348.92</v>
      </c>
      <c r="L1091" t="n">
        <v>0.61</v>
      </c>
      <c r="M1091" t="n">
        <v>3.4</v>
      </c>
      <c r="N1091" t="n">
        <v>5.1</v>
      </c>
      <c r="O1091" t="n">
        <v>2.5</v>
      </c>
      <c r="P1091" t="n">
        <v>11.7</v>
      </c>
      <c r="Q1091" t="n">
        <v>11</v>
      </c>
      <c r="R1091" t="n">
        <v>-0.7</v>
      </c>
      <c r="S1091" t="b">
        <v>1</v>
      </c>
      <c r="U1091" t="n">
        <v>19</v>
      </c>
      <c r="V1091" t="b">
        <v>1</v>
      </c>
      <c r="X1091" t="b">
        <v>0</v>
      </c>
      <c r="Y1091" t="n">
        <v>0.92</v>
      </c>
    </row>
    <row r="1092">
      <c r="A1092" t="inlineStr">
        <is>
          <t>O01091</t>
        </is>
      </c>
      <c r="B1092" t="inlineStr">
        <is>
          <t>C0188</t>
        </is>
      </c>
      <c r="C1092" t="inlineStr">
        <is>
          <t>S005</t>
        </is>
      </c>
      <c r="D1092" t="inlineStr">
        <is>
          <t>R029</t>
        </is>
      </c>
      <c r="E1092" s="3" t="n">
        <v>46267.85138888889</v>
      </c>
      <c r="F1092" s="3" t="n">
        <v>46267.85847222222</v>
      </c>
      <c r="G1092" s="3" t="n">
        <v>46267.85819444444</v>
      </c>
      <c r="H1092" t="inlineStr">
        <is>
          <t>Delivered</t>
        </is>
      </c>
      <c r="I1092" t="n">
        <v>5</v>
      </c>
      <c r="J1092" t="n">
        <v>5</v>
      </c>
      <c r="K1092" t="n">
        <v>878.17</v>
      </c>
      <c r="L1092" t="n">
        <v>1.74</v>
      </c>
      <c r="M1092" t="n">
        <v>2.6</v>
      </c>
      <c r="N1092" t="n">
        <v>4.9</v>
      </c>
      <c r="O1092" t="n">
        <v>2.3</v>
      </c>
      <c r="P1092" t="n">
        <v>10.2</v>
      </c>
      <c r="Q1092" t="n">
        <v>9.800000000000001</v>
      </c>
      <c r="R1092" t="n">
        <v>-0.4</v>
      </c>
      <c r="S1092" t="b">
        <v>1</v>
      </c>
      <c r="U1092" t="n">
        <v>20</v>
      </c>
      <c r="V1092" t="b">
        <v>1</v>
      </c>
      <c r="X1092" t="b">
        <v>0</v>
      </c>
      <c r="Y1092" t="n">
        <v>0.72</v>
      </c>
    </row>
    <row r="1093">
      <c r="A1093" t="inlineStr">
        <is>
          <t>O01092</t>
        </is>
      </c>
      <c r="B1093" t="inlineStr">
        <is>
          <t>C0007</t>
        </is>
      </c>
      <c r="C1093" t="inlineStr">
        <is>
          <t>S006</t>
        </is>
      </c>
      <c r="D1093" t="inlineStr">
        <is>
          <t>R074</t>
        </is>
      </c>
      <c r="E1093" s="3" t="n">
        <v>46279.98541666667</v>
      </c>
      <c r="F1093" s="3" t="n">
        <v>46279.99263888889</v>
      </c>
      <c r="G1093" s="3" t="n">
        <v>46279.99222222222</v>
      </c>
      <c r="H1093" t="inlineStr">
        <is>
          <t>Delivered</t>
        </is>
      </c>
      <c r="I1093" t="n">
        <v>3</v>
      </c>
      <c r="J1093" t="n">
        <v>7</v>
      </c>
      <c r="K1093" t="n">
        <v>1723.21</v>
      </c>
      <c r="L1093" t="n">
        <v>2.27</v>
      </c>
      <c r="M1093" t="n">
        <v>3.3</v>
      </c>
      <c r="N1093" t="n">
        <v>2.2</v>
      </c>
      <c r="O1093" t="n">
        <v>4.3</v>
      </c>
      <c r="P1093" t="n">
        <v>10.4</v>
      </c>
      <c r="Q1093" t="n">
        <v>9.800000000000001</v>
      </c>
      <c r="R1093" t="n">
        <v>-0.6</v>
      </c>
      <c r="S1093" t="b">
        <v>1</v>
      </c>
      <c r="U1093" t="n">
        <v>23</v>
      </c>
      <c r="V1093" t="b">
        <v>0</v>
      </c>
      <c r="W1093" t="inlineStr">
        <is>
          <t>Light</t>
        </is>
      </c>
      <c r="X1093" t="b">
        <v>0</v>
      </c>
      <c r="Y1093" t="n">
        <v>0.36</v>
      </c>
    </row>
    <row r="1094">
      <c r="A1094" t="inlineStr">
        <is>
          <t>O01093</t>
        </is>
      </c>
      <c r="B1094" t="inlineStr">
        <is>
          <t>C0121</t>
        </is>
      </c>
      <c r="C1094" t="inlineStr">
        <is>
          <t>S004</t>
        </is>
      </c>
      <c r="D1094" t="inlineStr">
        <is>
          <t>R029</t>
        </is>
      </c>
      <c r="E1094" s="3" t="n">
        <v>46275.40208333333</v>
      </c>
      <c r="F1094" s="3" t="n">
        <v>46275.40902777778</v>
      </c>
      <c r="G1094" s="3" t="n">
        <v>46275.41208333334</v>
      </c>
      <c r="H1094" t="inlineStr">
        <is>
          <t>Delivered</t>
        </is>
      </c>
      <c r="I1094" t="n">
        <v>3</v>
      </c>
      <c r="J1094" t="n">
        <v>8</v>
      </c>
      <c r="K1094" t="n">
        <v>1515.27</v>
      </c>
      <c r="L1094" t="n">
        <v>1.22</v>
      </c>
      <c r="M1094" t="n">
        <v>3.6</v>
      </c>
      <c r="N1094" t="n">
        <v>7.2</v>
      </c>
      <c r="O1094" t="n">
        <v>3.6</v>
      </c>
      <c r="P1094" t="n">
        <v>10</v>
      </c>
      <c r="Q1094" t="n">
        <v>14.4</v>
      </c>
      <c r="R1094" t="n">
        <v>4.4</v>
      </c>
      <c r="S1094" t="b">
        <v>0</v>
      </c>
      <c r="U1094" t="n">
        <v>9</v>
      </c>
      <c r="V1094" t="b">
        <v>0</v>
      </c>
      <c r="X1094" t="b">
        <v>0</v>
      </c>
      <c r="Y1094" t="n">
        <v>0.27</v>
      </c>
    </row>
    <row r="1095">
      <c r="A1095" t="inlineStr">
        <is>
          <t>O01094</t>
        </is>
      </c>
      <c r="B1095" t="inlineStr">
        <is>
          <t>C0088</t>
        </is>
      </c>
      <c r="C1095" t="inlineStr">
        <is>
          <t>S010</t>
        </is>
      </c>
      <c r="D1095" t="inlineStr">
        <is>
          <t>R055</t>
        </is>
      </c>
      <c r="E1095" s="3" t="n">
        <v>46268.89027777778</v>
      </c>
      <c r="F1095" s="3" t="n">
        <v>46268.89569444444</v>
      </c>
      <c r="G1095" s="3" t="n">
        <v>46268.90069444444</v>
      </c>
      <c r="H1095" t="inlineStr">
        <is>
          <t>Delivered</t>
        </is>
      </c>
      <c r="I1095" t="n">
        <v>2</v>
      </c>
      <c r="J1095" t="n">
        <v>6</v>
      </c>
      <c r="K1095" t="n">
        <v>331.39</v>
      </c>
      <c r="L1095" t="n">
        <v>1.98</v>
      </c>
      <c r="M1095" t="n">
        <v>6.4</v>
      </c>
      <c r="N1095" t="n">
        <v>2.3</v>
      </c>
      <c r="O1095" t="n">
        <v>6.3</v>
      </c>
      <c r="P1095" t="n">
        <v>7.8</v>
      </c>
      <c r="Q1095" t="n">
        <v>15</v>
      </c>
      <c r="R1095" t="n">
        <v>7.2</v>
      </c>
      <c r="S1095" t="b">
        <v>0</v>
      </c>
      <c r="U1095" t="n">
        <v>21</v>
      </c>
      <c r="V1095" t="b">
        <v>1</v>
      </c>
      <c r="W1095" t="inlineStr">
        <is>
          <t>Light</t>
        </is>
      </c>
      <c r="X1095" t="b">
        <v>0</v>
      </c>
      <c r="Y1095" t="n">
        <v>0.44</v>
      </c>
    </row>
    <row r="1096">
      <c r="A1096" t="inlineStr">
        <is>
          <t>O01095</t>
        </is>
      </c>
      <c r="B1096" t="inlineStr">
        <is>
          <t>C0079</t>
        </is>
      </c>
      <c r="C1096" t="inlineStr">
        <is>
          <t>S019</t>
        </is>
      </c>
      <c r="D1096" t="inlineStr">
        <is>
          <t>R029</t>
        </is>
      </c>
      <c r="E1096" s="3" t="n">
        <v>46268.52013888889</v>
      </c>
      <c r="F1096" s="3" t="n">
        <v>46268.52715277778</v>
      </c>
      <c r="G1096" s="3" t="n">
        <v>46268.52638888889</v>
      </c>
      <c r="H1096" t="inlineStr">
        <is>
          <t>Delivered</t>
        </is>
      </c>
      <c r="I1096" t="n">
        <v>2</v>
      </c>
      <c r="J1096" t="n">
        <v>4</v>
      </c>
      <c r="K1096" t="n">
        <v>1075.52</v>
      </c>
      <c r="L1096" t="n">
        <v>1.41</v>
      </c>
      <c r="M1096" t="n">
        <v>2.6</v>
      </c>
      <c r="N1096" t="n">
        <v>4.2</v>
      </c>
      <c r="O1096" t="n">
        <v>2.2</v>
      </c>
      <c r="P1096" t="n">
        <v>10.1</v>
      </c>
      <c r="Q1096" t="n">
        <v>9</v>
      </c>
      <c r="R1096" t="n">
        <v>-1.1</v>
      </c>
      <c r="S1096" t="b">
        <v>1</v>
      </c>
      <c r="U1096" t="n">
        <v>12</v>
      </c>
      <c r="V1096" t="b">
        <v>0</v>
      </c>
      <c r="W1096" t="inlineStr">
        <is>
          <t>Light</t>
        </is>
      </c>
      <c r="X1096" t="b">
        <v>0</v>
      </c>
      <c r="Y1096" t="n">
        <v>0.34</v>
      </c>
    </row>
    <row r="1097">
      <c r="A1097" t="inlineStr">
        <is>
          <t>O01096</t>
        </is>
      </c>
      <c r="B1097" t="inlineStr">
        <is>
          <t>C0024</t>
        </is>
      </c>
      <c r="C1097" t="inlineStr">
        <is>
          <t>S019</t>
        </is>
      </c>
      <c r="D1097" t="inlineStr">
        <is>
          <t>R048</t>
        </is>
      </c>
      <c r="E1097" s="3" t="n">
        <v>46275.54166666666</v>
      </c>
      <c r="F1097" s="3" t="n">
        <v>46275.54895833333</v>
      </c>
      <c r="G1097" s="3" t="n">
        <v>46275.54854166666</v>
      </c>
      <c r="H1097" t="inlineStr">
        <is>
          <t>Delivered</t>
        </is>
      </c>
      <c r="I1097" t="n">
        <v>1</v>
      </c>
      <c r="J1097" t="n">
        <v>7</v>
      </c>
      <c r="K1097" t="n">
        <v>686.5700000000001</v>
      </c>
      <c r="L1097" t="n">
        <v>2.5</v>
      </c>
      <c r="M1097" t="n">
        <v>2.8</v>
      </c>
      <c r="N1097" t="n">
        <v>3.1</v>
      </c>
      <c r="O1097" t="n">
        <v>4</v>
      </c>
      <c r="P1097" t="n">
        <v>10.5</v>
      </c>
      <c r="Q1097" t="n">
        <v>9.9</v>
      </c>
      <c r="R1097" t="n">
        <v>-0.6</v>
      </c>
      <c r="S1097" t="b">
        <v>1</v>
      </c>
      <c r="U1097" t="n">
        <v>13</v>
      </c>
      <c r="V1097" t="b">
        <v>0</v>
      </c>
      <c r="X1097" t="b">
        <v>0</v>
      </c>
      <c r="Y1097" t="n">
        <v>0.49</v>
      </c>
    </row>
    <row r="1098">
      <c r="A1098" t="inlineStr">
        <is>
          <t>O01097</t>
        </is>
      </c>
      <c r="B1098" t="inlineStr">
        <is>
          <t>C0111</t>
        </is>
      </c>
      <c r="C1098" t="inlineStr">
        <is>
          <t>S010</t>
        </is>
      </c>
      <c r="D1098" t="inlineStr">
        <is>
          <t>R077</t>
        </is>
      </c>
      <c r="E1098" s="3" t="n">
        <v>46276.93541666667</v>
      </c>
      <c r="F1098" s="3" t="n">
        <v>46276.94111111111</v>
      </c>
      <c r="G1098" s="3" t="n">
        <v>46276.94076388889</v>
      </c>
      <c r="H1098" t="inlineStr">
        <is>
          <t>Delivered</t>
        </is>
      </c>
      <c r="I1098" t="n">
        <v>3</v>
      </c>
      <c r="J1098" t="n">
        <v>7</v>
      </c>
      <c r="K1098" t="n">
        <v>852.64</v>
      </c>
      <c r="L1098" t="n">
        <v>1.47</v>
      </c>
      <c r="M1098" t="n">
        <v>2.7</v>
      </c>
      <c r="N1098" t="n">
        <v>3</v>
      </c>
      <c r="O1098" t="n">
        <v>2</v>
      </c>
      <c r="P1098" t="n">
        <v>8.199999999999999</v>
      </c>
      <c r="Q1098" t="n">
        <v>7.7</v>
      </c>
      <c r="R1098" t="n">
        <v>-0.5</v>
      </c>
      <c r="S1098" t="b">
        <v>1</v>
      </c>
      <c r="U1098" t="n">
        <v>22</v>
      </c>
      <c r="V1098" t="b">
        <v>0</v>
      </c>
      <c r="X1098" t="b">
        <v>0</v>
      </c>
      <c r="Y1098" t="n">
        <v>0.36</v>
      </c>
    </row>
    <row r="1099">
      <c r="A1099" t="inlineStr">
        <is>
          <t>O01098</t>
        </is>
      </c>
      <c r="B1099" t="inlineStr">
        <is>
          <t>C0032</t>
        </is>
      </c>
      <c r="C1099" t="inlineStr">
        <is>
          <t>S003</t>
        </is>
      </c>
      <c r="D1099" t="inlineStr">
        <is>
          <t>R017</t>
        </is>
      </c>
      <c r="E1099" s="3" t="n">
        <v>46273.54930555556</v>
      </c>
      <c r="F1099" s="3" t="n">
        <v>46273.55652777778</v>
      </c>
      <c r="G1099" s="3" t="n">
        <v>46273.55583333333</v>
      </c>
      <c r="H1099" t="inlineStr">
        <is>
          <t>Delivered</t>
        </is>
      </c>
      <c r="I1099" t="n">
        <v>2</v>
      </c>
      <c r="J1099" t="n">
        <v>6</v>
      </c>
      <c r="K1099" t="n">
        <v>987.37</v>
      </c>
      <c r="L1099" t="n">
        <v>1.27</v>
      </c>
      <c r="M1099" t="n">
        <v>4</v>
      </c>
      <c r="N1099" t="n">
        <v>1.8</v>
      </c>
      <c r="O1099" t="n">
        <v>3.6</v>
      </c>
      <c r="P1099" t="n">
        <v>10.4</v>
      </c>
      <c r="Q1099" t="n">
        <v>9.4</v>
      </c>
      <c r="R1099" t="n">
        <v>-1</v>
      </c>
      <c r="S1099" t="b">
        <v>1</v>
      </c>
      <c r="U1099" t="n">
        <v>13</v>
      </c>
      <c r="V1099" t="b">
        <v>0</v>
      </c>
      <c r="X1099" t="b">
        <v>0</v>
      </c>
      <c r="Y1099" t="n">
        <v>0.57</v>
      </c>
    </row>
    <row r="1100">
      <c r="A1100" t="inlineStr">
        <is>
          <t>O01099</t>
        </is>
      </c>
      <c r="B1100" t="inlineStr">
        <is>
          <t>C0035</t>
        </is>
      </c>
      <c r="C1100" t="inlineStr">
        <is>
          <t>S015</t>
        </is>
      </c>
      <c r="D1100" t="inlineStr">
        <is>
          <t>R055</t>
        </is>
      </c>
      <c r="E1100" s="3" t="n">
        <v>46272.89375</v>
      </c>
      <c r="F1100" s="3" t="n">
        <v>46272.9</v>
      </c>
      <c r="G1100" s="3" t="n">
        <v>46272.89979166666</v>
      </c>
      <c r="H1100" t="inlineStr">
        <is>
          <t>Delivered</t>
        </is>
      </c>
      <c r="I1100" t="n">
        <v>6</v>
      </c>
      <c r="J1100" t="n">
        <v>9</v>
      </c>
      <c r="K1100" t="n">
        <v>1326.4</v>
      </c>
      <c r="L1100" t="n">
        <v>1.72</v>
      </c>
      <c r="M1100" t="n">
        <v>3</v>
      </c>
      <c r="N1100" t="n">
        <v>3.5</v>
      </c>
      <c r="O1100" t="n">
        <v>2.2</v>
      </c>
      <c r="P1100" t="n">
        <v>9</v>
      </c>
      <c r="Q1100" t="n">
        <v>8.699999999999999</v>
      </c>
      <c r="R1100" t="n">
        <v>-0.3</v>
      </c>
      <c r="S1100" t="b">
        <v>1</v>
      </c>
      <c r="U1100" t="n">
        <v>21</v>
      </c>
      <c r="V1100" t="b">
        <v>1</v>
      </c>
      <c r="X1100" t="b">
        <v>0</v>
      </c>
      <c r="Y1100" t="n">
        <v>0.51</v>
      </c>
    </row>
    <row r="1101">
      <c r="A1101" t="inlineStr">
        <is>
          <t>O01100</t>
        </is>
      </c>
      <c r="B1101" t="inlineStr">
        <is>
          <t>C0198</t>
        </is>
      </c>
      <c r="C1101" t="inlineStr">
        <is>
          <t>S015</t>
        </is>
      </c>
      <c r="D1101" t="inlineStr">
        <is>
          <t>R058</t>
        </is>
      </c>
      <c r="E1101" s="3" t="n">
        <v>46278.97222222222</v>
      </c>
      <c r="F1101" s="3" t="n">
        <v>46278.97916666666</v>
      </c>
      <c r="G1101" s="3" t="n">
        <v>46278.97854166666</v>
      </c>
      <c r="H1101" t="inlineStr">
        <is>
          <t>Delivered</t>
        </is>
      </c>
      <c r="I1101" t="n">
        <v>4</v>
      </c>
      <c r="J1101" t="n">
        <v>6</v>
      </c>
      <c r="K1101" t="n">
        <v>310.23</v>
      </c>
      <c r="L1101" t="n">
        <v>1.19</v>
      </c>
      <c r="M1101" t="n">
        <v>3.2</v>
      </c>
      <c r="N1101" t="n">
        <v>3.9</v>
      </c>
      <c r="O1101" t="n">
        <v>2</v>
      </c>
      <c r="P1101" t="n">
        <v>10</v>
      </c>
      <c r="Q1101" t="n">
        <v>9.1</v>
      </c>
      <c r="R1101" t="n">
        <v>-0.9</v>
      </c>
      <c r="S1101" t="b">
        <v>1</v>
      </c>
      <c r="U1101" t="n">
        <v>23</v>
      </c>
      <c r="V1101" t="b">
        <v>0</v>
      </c>
      <c r="X1101" t="b">
        <v>0</v>
      </c>
      <c r="Y1101" t="n">
        <v>0.42</v>
      </c>
    </row>
    <row r="1102">
      <c r="A1102" t="inlineStr">
        <is>
          <t>O01101</t>
        </is>
      </c>
      <c r="B1102" t="inlineStr">
        <is>
          <t>C0124</t>
        </is>
      </c>
      <c r="C1102" t="inlineStr">
        <is>
          <t>S009</t>
        </is>
      </c>
      <c r="D1102" t="inlineStr">
        <is>
          <t>R034</t>
        </is>
      </c>
      <c r="E1102" s="3" t="n">
        <v>46266.67986111111</v>
      </c>
      <c r="F1102" s="3" t="n">
        <v>46266.68868055556</v>
      </c>
      <c r="G1102" s="3" t="n">
        <v>46266.69173611111</v>
      </c>
      <c r="H1102" t="inlineStr">
        <is>
          <t>Delivered</t>
        </is>
      </c>
      <c r="I1102" t="n">
        <v>6</v>
      </c>
      <c r="J1102" t="n">
        <v>6</v>
      </c>
      <c r="K1102" t="n">
        <v>979.4299999999999</v>
      </c>
      <c r="L1102" t="n">
        <v>2.5</v>
      </c>
      <c r="M1102" t="n">
        <v>4.2</v>
      </c>
      <c r="N1102" t="n">
        <v>4.9</v>
      </c>
      <c r="O1102" t="n">
        <v>8</v>
      </c>
      <c r="P1102" t="n">
        <v>12.7</v>
      </c>
      <c r="Q1102" t="n">
        <v>17.1</v>
      </c>
      <c r="R1102" t="n">
        <v>4.4</v>
      </c>
      <c r="S1102" t="b">
        <v>0</v>
      </c>
      <c r="U1102" t="n">
        <v>16</v>
      </c>
      <c r="V1102" t="b">
        <v>0</v>
      </c>
      <c r="W1102" t="inlineStr">
        <is>
          <t>Light</t>
        </is>
      </c>
      <c r="X1102" t="b">
        <v>0</v>
      </c>
      <c r="Y1102" t="n">
        <v>0.47</v>
      </c>
    </row>
    <row r="1103">
      <c r="A1103" t="inlineStr">
        <is>
          <t>O01102</t>
        </is>
      </c>
      <c r="B1103" t="inlineStr">
        <is>
          <t>C0075</t>
        </is>
      </c>
      <c r="C1103" t="inlineStr">
        <is>
          <t>S013</t>
        </is>
      </c>
      <c r="D1103" t="inlineStr">
        <is>
          <t>R077</t>
        </is>
      </c>
      <c r="E1103" s="3" t="n">
        <v>46268.91458333333</v>
      </c>
      <c r="F1103" s="3" t="n">
        <v>46268.92152777778</v>
      </c>
      <c r="G1103" s="3" t="n">
        <v>46268.92104166667</v>
      </c>
      <c r="H1103" t="inlineStr">
        <is>
          <t>Delivered</t>
        </is>
      </c>
      <c r="I1103" t="n">
        <v>5</v>
      </c>
      <c r="J1103" t="n">
        <v>14</v>
      </c>
      <c r="K1103" t="n">
        <v>244.43</v>
      </c>
      <c r="L1103" t="n">
        <v>2.27</v>
      </c>
      <c r="M1103" t="n">
        <v>3</v>
      </c>
      <c r="N1103" t="n">
        <v>2.6</v>
      </c>
      <c r="O1103" t="n">
        <v>3.7</v>
      </c>
      <c r="P1103" t="n">
        <v>10</v>
      </c>
      <c r="Q1103" t="n">
        <v>9.300000000000001</v>
      </c>
      <c r="R1103" t="n">
        <v>-0.7</v>
      </c>
      <c r="S1103" t="b">
        <v>1</v>
      </c>
      <c r="U1103" t="n">
        <v>21</v>
      </c>
      <c r="V1103" t="b">
        <v>1</v>
      </c>
      <c r="W1103" t="inlineStr">
        <is>
          <t>Light</t>
        </is>
      </c>
      <c r="X1103" t="b">
        <v>0</v>
      </c>
      <c r="Y1103" t="n">
        <v>0.58</v>
      </c>
    </row>
    <row r="1104">
      <c r="A1104" t="inlineStr">
        <is>
          <t>O01103</t>
        </is>
      </c>
      <c r="B1104" t="inlineStr">
        <is>
          <t>C0057</t>
        </is>
      </c>
      <c r="C1104" t="inlineStr">
        <is>
          <t>S012</t>
        </is>
      </c>
      <c r="E1104" s="3" t="n">
        <v>46278.99305555555</v>
      </c>
      <c r="F1104" s="3" t="n">
        <v>46278.99923611111</v>
      </c>
      <c r="H1104" t="inlineStr">
        <is>
          <t>Cancelled</t>
        </is>
      </c>
      <c r="I1104" t="n">
        <v>3</v>
      </c>
      <c r="J1104" t="n">
        <v>4</v>
      </c>
      <c r="K1104" t="n">
        <v>368.96</v>
      </c>
      <c r="L1104" t="n">
        <v>0.66</v>
      </c>
      <c r="M1104" t="n">
        <v>6</v>
      </c>
      <c r="N1104" t="n">
        <v>7.3</v>
      </c>
      <c r="O1104" t="n">
        <v>2.9</v>
      </c>
      <c r="P1104" t="n">
        <v>8.9</v>
      </c>
      <c r="T1104" t="inlineStr">
        <is>
          <t>Item unavailable</t>
        </is>
      </c>
      <c r="U1104" t="n">
        <v>23</v>
      </c>
      <c r="V1104" t="b">
        <v>0</v>
      </c>
      <c r="X1104" t="b">
        <v>0</v>
      </c>
      <c r="Y1104" t="n">
        <v>0.46</v>
      </c>
    </row>
    <row r="1105">
      <c r="A1105" t="inlineStr">
        <is>
          <t>O01104</t>
        </is>
      </c>
      <c r="B1105" t="inlineStr">
        <is>
          <t>C0067</t>
        </is>
      </c>
      <c r="C1105" t="inlineStr">
        <is>
          <t>S017</t>
        </is>
      </c>
      <c r="D1105" t="inlineStr">
        <is>
          <t>R058</t>
        </is>
      </c>
      <c r="E1105" s="3" t="n">
        <v>46270.63055555556</v>
      </c>
      <c r="F1105" s="3" t="n">
        <v>46270.63708333333</v>
      </c>
      <c r="G1105" s="3" t="n">
        <v>46270.63583333333</v>
      </c>
      <c r="H1105" t="inlineStr">
        <is>
          <t>Delivered</t>
        </is>
      </c>
      <c r="I1105" t="n">
        <v>1</v>
      </c>
      <c r="J1105" t="n">
        <v>5</v>
      </c>
      <c r="K1105" t="n">
        <v>1323.64</v>
      </c>
      <c r="L1105" t="n">
        <v>0.78</v>
      </c>
      <c r="M1105" t="n">
        <v>2.6</v>
      </c>
      <c r="N1105" t="n">
        <v>2.1</v>
      </c>
      <c r="O1105" t="n">
        <v>2.9</v>
      </c>
      <c r="P1105" t="n">
        <v>9.4</v>
      </c>
      <c r="Q1105" t="n">
        <v>7.6</v>
      </c>
      <c r="R1105" t="n">
        <v>-1.8</v>
      </c>
      <c r="S1105" t="b">
        <v>1</v>
      </c>
      <c r="U1105" t="n">
        <v>15</v>
      </c>
      <c r="V1105" t="b">
        <v>0</v>
      </c>
      <c r="X1105" t="b">
        <v>1</v>
      </c>
      <c r="Y1105" t="n">
        <v>0.35</v>
      </c>
    </row>
    <row r="1106">
      <c r="A1106" t="inlineStr">
        <is>
          <t>O01105</t>
        </is>
      </c>
      <c r="B1106" t="inlineStr">
        <is>
          <t>C0122</t>
        </is>
      </c>
      <c r="C1106" t="inlineStr">
        <is>
          <t>S015</t>
        </is>
      </c>
      <c r="D1106" t="inlineStr">
        <is>
          <t>R057</t>
        </is>
      </c>
      <c r="E1106" s="3" t="n">
        <v>46266.71180555555</v>
      </c>
      <c r="F1106" s="3" t="n">
        <v>46266.721875</v>
      </c>
      <c r="G1106" s="3" t="n">
        <v>46266.72347222222</v>
      </c>
      <c r="H1106" t="inlineStr">
        <is>
          <t>Delivered</t>
        </is>
      </c>
      <c r="I1106" t="n">
        <v>2</v>
      </c>
      <c r="J1106" t="n">
        <v>3</v>
      </c>
      <c r="K1106" t="n">
        <v>739.25</v>
      </c>
      <c r="L1106" t="n">
        <v>3.58</v>
      </c>
      <c r="M1106" t="n">
        <v>5.6</v>
      </c>
      <c r="N1106" t="n">
        <v>1.5</v>
      </c>
      <c r="O1106" t="n">
        <v>9.800000000000001</v>
      </c>
      <c r="P1106" t="n">
        <v>14.5</v>
      </c>
      <c r="Q1106" t="n">
        <v>16.8</v>
      </c>
      <c r="R1106" t="n">
        <v>2.3</v>
      </c>
      <c r="S1106" t="b">
        <v>0</v>
      </c>
      <c r="U1106" t="n">
        <v>17</v>
      </c>
      <c r="V1106" t="b">
        <v>0</v>
      </c>
      <c r="W1106" t="inlineStr">
        <is>
          <t>Light</t>
        </is>
      </c>
      <c r="X1106" t="b">
        <v>0</v>
      </c>
      <c r="Y1106" t="n">
        <v>0.84</v>
      </c>
    </row>
    <row r="1107">
      <c r="A1107" t="inlineStr">
        <is>
          <t>O01106</t>
        </is>
      </c>
      <c r="B1107" t="inlineStr">
        <is>
          <t>C0172</t>
        </is>
      </c>
      <c r="C1107" t="inlineStr">
        <is>
          <t>S018</t>
        </is>
      </c>
      <c r="D1107" t="inlineStr">
        <is>
          <t>R048</t>
        </is>
      </c>
      <c r="E1107" s="3" t="n">
        <v>46275.75416666667</v>
      </c>
      <c r="F1107" s="3" t="n">
        <v>46275.76208333333</v>
      </c>
      <c r="G1107" s="3" t="n">
        <v>46275.76159722222</v>
      </c>
      <c r="H1107" t="inlineStr">
        <is>
          <t>Delivered</t>
        </is>
      </c>
      <c r="I1107" t="n">
        <v>4</v>
      </c>
      <c r="J1107" t="n">
        <v>6</v>
      </c>
      <c r="K1107" t="n">
        <v>554.58</v>
      </c>
      <c r="L1107" t="n">
        <v>2.68</v>
      </c>
      <c r="M1107" t="n">
        <v>3.4</v>
      </c>
      <c r="N1107" t="n">
        <v>3</v>
      </c>
      <c r="O1107" t="n">
        <v>4.3</v>
      </c>
      <c r="P1107" t="n">
        <v>11.4</v>
      </c>
      <c r="Q1107" t="n">
        <v>10.7</v>
      </c>
      <c r="R1107" t="n">
        <v>-0.7</v>
      </c>
      <c r="S1107" t="b">
        <v>1</v>
      </c>
      <c r="U1107" t="n">
        <v>18</v>
      </c>
      <c r="V1107" t="b">
        <v>0</v>
      </c>
      <c r="X1107" t="b">
        <v>0</v>
      </c>
      <c r="Y1107" t="n">
        <v>0.41</v>
      </c>
    </row>
    <row r="1108">
      <c r="A1108" t="inlineStr">
        <is>
          <t>O01107</t>
        </is>
      </c>
      <c r="B1108" t="inlineStr">
        <is>
          <t>C0077</t>
        </is>
      </c>
      <c r="C1108" t="inlineStr">
        <is>
          <t>S008</t>
        </is>
      </c>
      <c r="D1108" t="inlineStr">
        <is>
          <t>R006</t>
        </is>
      </c>
      <c r="E1108" s="3" t="n">
        <v>46267.90277777778</v>
      </c>
      <c r="F1108" s="3" t="n">
        <v>46267.90770833333</v>
      </c>
      <c r="G1108" s="3" t="n">
        <v>46267.90736111111</v>
      </c>
      <c r="H1108" t="inlineStr">
        <is>
          <t>Delivered</t>
        </is>
      </c>
      <c r="I1108" t="n">
        <v>2</v>
      </c>
      <c r="J1108" t="n">
        <v>7</v>
      </c>
      <c r="K1108" t="n">
        <v>426.6</v>
      </c>
      <c r="L1108" t="n">
        <v>1.14</v>
      </c>
      <c r="M1108" t="n">
        <v>1.7</v>
      </c>
      <c r="N1108" t="n">
        <v>2.9</v>
      </c>
      <c r="O1108" t="n">
        <v>2</v>
      </c>
      <c r="P1108" t="n">
        <v>7.1</v>
      </c>
      <c r="Q1108" t="n">
        <v>6.6</v>
      </c>
      <c r="R1108" t="n">
        <v>-0.5</v>
      </c>
      <c r="S1108" t="b">
        <v>1</v>
      </c>
      <c r="U1108" t="n">
        <v>21</v>
      </c>
      <c r="V1108" t="b">
        <v>1</v>
      </c>
      <c r="W1108" t="inlineStr">
        <is>
          <t>Light</t>
        </is>
      </c>
      <c r="X1108" t="b">
        <v>0</v>
      </c>
      <c r="Y1108" t="n">
        <v>0.6</v>
      </c>
    </row>
    <row r="1109">
      <c r="A1109" t="inlineStr">
        <is>
          <t>O01108</t>
        </is>
      </c>
      <c r="B1109" t="inlineStr">
        <is>
          <t>C0168</t>
        </is>
      </c>
      <c r="C1109" t="inlineStr">
        <is>
          <t>S015</t>
        </is>
      </c>
      <c r="D1109" t="inlineStr">
        <is>
          <t>R032</t>
        </is>
      </c>
      <c r="E1109" s="3" t="n">
        <v>46275.34930555556</v>
      </c>
      <c r="F1109" s="3" t="n">
        <v>46275.35611111111</v>
      </c>
      <c r="G1109" s="3" t="n">
        <v>46275.35527777778</v>
      </c>
      <c r="H1109" t="inlineStr">
        <is>
          <t>Delivered</t>
        </is>
      </c>
      <c r="I1109" t="n">
        <v>6</v>
      </c>
      <c r="J1109" t="n">
        <v>8</v>
      </c>
      <c r="K1109" t="n">
        <v>1033.76</v>
      </c>
      <c r="L1109" t="n">
        <v>1.46</v>
      </c>
      <c r="M1109" t="n">
        <v>4.3</v>
      </c>
      <c r="N1109" t="n">
        <v>1.6</v>
      </c>
      <c r="O1109" t="n">
        <v>2.7</v>
      </c>
      <c r="P1109" t="n">
        <v>9.800000000000001</v>
      </c>
      <c r="Q1109" t="n">
        <v>8.6</v>
      </c>
      <c r="R1109" t="n">
        <v>-1.2</v>
      </c>
      <c r="S1109" t="b">
        <v>1</v>
      </c>
      <c r="U1109" t="n">
        <v>8</v>
      </c>
      <c r="V1109" t="b">
        <v>0</v>
      </c>
      <c r="X1109" t="b">
        <v>0</v>
      </c>
      <c r="Y1109" t="n">
        <v>0.48</v>
      </c>
    </row>
    <row r="1110">
      <c r="A1110" t="inlineStr">
        <is>
          <t>O01109</t>
        </is>
      </c>
      <c r="B1110" t="inlineStr">
        <is>
          <t>C0065</t>
        </is>
      </c>
      <c r="C1110" t="inlineStr">
        <is>
          <t>S013</t>
        </is>
      </c>
      <c r="D1110" t="inlineStr">
        <is>
          <t>R077</t>
        </is>
      </c>
      <c r="E1110" s="3" t="n">
        <v>46276.39652777778</v>
      </c>
      <c r="F1110" s="3" t="n">
        <v>46276.40541666667</v>
      </c>
      <c r="G1110" s="3" t="n">
        <v>46276.40506944444</v>
      </c>
      <c r="H1110" t="inlineStr">
        <is>
          <t>Delivered</t>
        </is>
      </c>
      <c r="I1110" t="n">
        <v>2</v>
      </c>
      <c r="J1110" t="n">
        <v>11</v>
      </c>
      <c r="K1110" t="n">
        <v>786.36</v>
      </c>
      <c r="L1110" t="n">
        <v>1.47</v>
      </c>
      <c r="M1110" t="n">
        <v>5.1</v>
      </c>
      <c r="N1110" t="n">
        <v>4.5</v>
      </c>
      <c r="O1110" t="n">
        <v>2.7</v>
      </c>
      <c r="P1110" t="n">
        <v>12.8</v>
      </c>
      <c r="Q1110" t="n">
        <v>12.3</v>
      </c>
      <c r="R1110" t="n">
        <v>-0.5</v>
      </c>
      <c r="S1110" t="b">
        <v>1</v>
      </c>
      <c r="U1110" t="n">
        <v>9</v>
      </c>
      <c r="V1110" t="b">
        <v>0</v>
      </c>
      <c r="X1110" t="b">
        <v>0</v>
      </c>
      <c r="Y1110" t="n">
        <v>0.15</v>
      </c>
    </row>
    <row r="1111">
      <c r="A1111" t="inlineStr">
        <is>
          <t>O01110</t>
        </is>
      </c>
      <c r="B1111" t="inlineStr">
        <is>
          <t>C0151</t>
        </is>
      </c>
      <c r="C1111" t="inlineStr">
        <is>
          <t>S016</t>
        </is>
      </c>
      <c r="D1111" t="inlineStr">
        <is>
          <t>R063</t>
        </is>
      </c>
      <c r="E1111" s="3" t="n">
        <v>46275.47152777778</v>
      </c>
      <c r="F1111" s="3" t="n">
        <v>46275.47951388889</v>
      </c>
      <c r="G1111" s="3" t="n">
        <v>46275.47930555556</v>
      </c>
      <c r="H1111" t="inlineStr">
        <is>
          <t>Delivered</t>
        </is>
      </c>
      <c r="I1111" t="n">
        <v>2</v>
      </c>
      <c r="J1111" t="n">
        <v>5</v>
      </c>
      <c r="K1111" t="n">
        <v>169.67</v>
      </c>
      <c r="L1111" t="n">
        <v>2.5</v>
      </c>
      <c r="M1111" t="n">
        <v>4</v>
      </c>
      <c r="N1111" t="n">
        <v>2.3</v>
      </c>
      <c r="O1111" t="n">
        <v>4.9</v>
      </c>
      <c r="P1111" t="n">
        <v>11.5</v>
      </c>
      <c r="Q1111" t="n">
        <v>11.2</v>
      </c>
      <c r="R1111" t="n">
        <v>-0.3</v>
      </c>
      <c r="S1111" t="b">
        <v>1</v>
      </c>
      <c r="U1111" t="n">
        <v>11</v>
      </c>
      <c r="V1111" t="b">
        <v>0</v>
      </c>
      <c r="X1111" t="b">
        <v>0</v>
      </c>
      <c r="Y1111" t="n">
        <v>0.28</v>
      </c>
    </row>
    <row r="1112">
      <c r="A1112" t="inlineStr">
        <is>
          <t>O01111</t>
        </is>
      </c>
      <c r="B1112" t="inlineStr">
        <is>
          <t>C0169</t>
        </is>
      </c>
      <c r="C1112" t="inlineStr">
        <is>
          <t>S018</t>
        </is>
      </c>
      <c r="D1112" t="inlineStr">
        <is>
          <t>R064</t>
        </is>
      </c>
      <c r="E1112" s="3" t="n">
        <v>46278.67777777778</v>
      </c>
      <c r="F1112" s="3" t="n">
        <v>46278.68527777777</v>
      </c>
      <c r="G1112" s="3" t="n">
        <v>46278.68458333334</v>
      </c>
      <c r="H1112" t="inlineStr">
        <is>
          <t>Delivered</t>
        </is>
      </c>
      <c r="I1112" t="n">
        <v>6</v>
      </c>
      <c r="J1112" t="n">
        <v>8</v>
      </c>
      <c r="K1112" t="n">
        <v>1349.47</v>
      </c>
      <c r="L1112" t="n">
        <v>1.47</v>
      </c>
      <c r="M1112" t="n">
        <v>3.8</v>
      </c>
      <c r="N1112" t="n">
        <v>1.6</v>
      </c>
      <c r="O1112" t="n">
        <v>4.4</v>
      </c>
      <c r="P1112" t="n">
        <v>10.8</v>
      </c>
      <c r="Q1112" t="n">
        <v>9.800000000000001</v>
      </c>
      <c r="R1112" t="n">
        <v>-1</v>
      </c>
      <c r="S1112" t="b">
        <v>1</v>
      </c>
      <c r="U1112" t="n">
        <v>16</v>
      </c>
      <c r="V1112" t="b">
        <v>0</v>
      </c>
      <c r="W1112" t="inlineStr">
        <is>
          <t>Light</t>
        </is>
      </c>
      <c r="X1112" t="b">
        <v>0</v>
      </c>
      <c r="Y1112" t="n">
        <v>0.65</v>
      </c>
    </row>
    <row r="1113">
      <c r="A1113" t="inlineStr">
        <is>
          <t>O01112</t>
        </is>
      </c>
      <c r="B1113" t="inlineStr">
        <is>
          <t>C0096</t>
        </is>
      </c>
      <c r="C1113" t="inlineStr">
        <is>
          <t>S001</t>
        </is>
      </c>
      <c r="D1113" t="inlineStr">
        <is>
          <t>R068</t>
        </is>
      </c>
      <c r="E1113" s="3" t="n">
        <v>46269.67708333334</v>
      </c>
      <c r="F1113" s="3" t="n">
        <v>46269.68458333334</v>
      </c>
      <c r="G1113" s="3" t="n">
        <v>46269.684375</v>
      </c>
      <c r="H1113" t="inlineStr">
        <is>
          <t>Delivered</t>
        </is>
      </c>
      <c r="I1113" t="n">
        <v>2</v>
      </c>
      <c r="J1113" t="n">
        <v>8</v>
      </c>
      <c r="K1113" t="n">
        <v>940.92</v>
      </c>
      <c r="L1113" t="n">
        <v>0.6</v>
      </c>
      <c r="M1113" t="n">
        <v>3.1</v>
      </c>
      <c r="N1113" t="n">
        <v>5.2</v>
      </c>
      <c r="O1113" t="n">
        <v>2.2</v>
      </c>
      <c r="P1113" t="n">
        <v>10.8</v>
      </c>
      <c r="Q1113" t="n">
        <v>10.5</v>
      </c>
      <c r="R1113" t="n">
        <v>-0.3</v>
      </c>
      <c r="S1113" t="b">
        <v>1</v>
      </c>
      <c r="U1113" t="n">
        <v>16</v>
      </c>
      <c r="V1113" t="b">
        <v>0</v>
      </c>
      <c r="X1113" t="b">
        <v>0</v>
      </c>
      <c r="Y1113" t="n">
        <v>0.48</v>
      </c>
    </row>
    <row r="1114">
      <c r="A1114" t="inlineStr">
        <is>
          <t>O01113</t>
        </is>
      </c>
      <c r="B1114" t="inlineStr">
        <is>
          <t>C0067</t>
        </is>
      </c>
      <c r="C1114" t="inlineStr">
        <is>
          <t>S007</t>
        </is>
      </c>
      <c r="D1114" t="inlineStr">
        <is>
          <t>R074</t>
        </is>
      </c>
      <c r="E1114" s="3" t="n">
        <v>46270.54791666667</v>
      </c>
      <c r="F1114" s="3" t="n">
        <v>46270.55465277778</v>
      </c>
      <c r="G1114" s="3" t="n">
        <v>46270.55861111111</v>
      </c>
      <c r="H1114" t="inlineStr">
        <is>
          <t>Delivered</t>
        </is>
      </c>
      <c r="I1114" t="n">
        <v>2</v>
      </c>
      <c r="J1114" t="n">
        <v>8</v>
      </c>
      <c r="K1114" t="n">
        <v>870.99</v>
      </c>
      <c r="L1114" t="n">
        <v>1.8</v>
      </c>
      <c r="M1114" t="n">
        <v>5.4</v>
      </c>
      <c r="N1114" t="n">
        <v>4.4</v>
      </c>
      <c r="O1114" t="n">
        <v>5.6</v>
      </c>
      <c r="P1114" t="n">
        <v>9.699999999999999</v>
      </c>
      <c r="Q1114" t="n">
        <v>15.4</v>
      </c>
      <c r="R1114" t="n">
        <v>5.7</v>
      </c>
      <c r="S1114" t="b">
        <v>0</v>
      </c>
      <c r="U1114" t="n">
        <v>13</v>
      </c>
      <c r="V1114" t="b">
        <v>0</v>
      </c>
      <c r="X1114" t="b">
        <v>0</v>
      </c>
      <c r="Y1114" t="n">
        <v>0.41</v>
      </c>
    </row>
    <row r="1115">
      <c r="A1115" t="inlineStr">
        <is>
          <t>O01114</t>
        </is>
      </c>
      <c r="B1115" t="inlineStr">
        <is>
          <t>C0149</t>
        </is>
      </c>
      <c r="C1115" t="inlineStr">
        <is>
          <t>S008</t>
        </is>
      </c>
      <c r="D1115" t="inlineStr">
        <is>
          <t>R073</t>
        </is>
      </c>
      <c r="E1115" s="3" t="n">
        <v>46274.81805555556</v>
      </c>
      <c r="F1115" s="3" t="n">
        <v>46274.82340277778</v>
      </c>
      <c r="G1115" s="3" t="n">
        <v>46274.83145833333</v>
      </c>
      <c r="H1115" t="inlineStr">
        <is>
          <t>Delivered</t>
        </is>
      </c>
      <c r="I1115" t="n">
        <v>5</v>
      </c>
      <c r="J1115" t="n">
        <v>5</v>
      </c>
      <c r="K1115" t="n">
        <v>883.9</v>
      </c>
      <c r="L1115" t="n">
        <v>2.52</v>
      </c>
      <c r="M1115" t="n">
        <v>3.2</v>
      </c>
      <c r="N1115" t="n">
        <v>7.1</v>
      </c>
      <c r="O1115" t="n">
        <v>9</v>
      </c>
      <c r="P1115" t="n">
        <v>7.7</v>
      </c>
      <c r="Q1115" t="n">
        <v>19.3</v>
      </c>
      <c r="R1115" t="n">
        <v>11.6</v>
      </c>
      <c r="S1115" t="b">
        <v>0</v>
      </c>
      <c r="U1115" t="n">
        <v>19</v>
      </c>
      <c r="V1115" t="b">
        <v>1</v>
      </c>
      <c r="W1115" t="inlineStr">
        <is>
          <t>Light</t>
        </is>
      </c>
      <c r="X1115" t="b">
        <v>0</v>
      </c>
      <c r="Y1115" t="n">
        <v>0.77</v>
      </c>
    </row>
    <row r="1116">
      <c r="A1116" t="inlineStr">
        <is>
          <t>O01115</t>
        </is>
      </c>
      <c r="B1116" t="inlineStr">
        <is>
          <t>C0102</t>
        </is>
      </c>
      <c r="C1116" t="inlineStr">
        <is>
          <t>S020</t>
        </is>
      </c>
      <c r="D1116" t="inlineStr">
        <is>
          <t>R051</t>
        </is>
      </c>
      <c r="E1116" s="3" t="n">
        <v>46275.94166666667</v>
      </c>
      <c r="F1116" s="3" t="n">
        <v>46275.94784722223</v>
      </c>
      <c r="G1116" s="3" t="n">
        <v>46275.9475</v>
      </c>
      <c r="H1116" t="inlineStr">
        <is>
          <t>Delivered</t>
        </is>
      </c>
      <c r="I1116" t="n">
        <v>4</v>
      </c>
      <c r="J1116" t="n">
        <v>7</v>
      </c>
      <c r="K1116" t="n">
        <v>582.62</v>
      </c>
      <c r="L1116" t="n">
        <v>1.53</v>
      </c>
      <c r="M1116" t="n">
        <v>3</v>
      </c>
      <c r="N1116" t="n">
        <v>2.7</v>
      </c>
      <c r="O1116" t="n">
        <v>2.7</v>
      </c>
      <c r="P1116" t="n">
        <v>8.9</v>
      </c>
      <c r="Q1116" t="n">
        <v>8.4</v>
      </c>
      <c r="R1116" t="n">
        <v>-0.5</v>
      </c>
      <c r="S1116" t="b">
        <v>1</v>
      </c>
      <c r="U1116" t="n">
        <v>22</v>
      </c>
      <c r="V1116" t="b">
        <v>0</v>
      </c>
      <c r="X1116" t="b">
        <v>0</v>
      </c>
      <c r="Y1116" t="n">
        <v>0.57</v>
      </c>
    </row>
    <row r="1117">
      <c r="A1117" t="inlineStr">
        <is>
          <t>O01116</t>
        </is>
      </c>
      <c r="B1117" t="inlineStr">
        <is>
          <t>C0012</t>
        </is>
      </c>
      <c r="C1117" t="inlineStr">
        <is>
          <t>S001</t>
        </is>
      </c>
      <c r="D1117" t="inlineStr">
        <is>
          <t>R060</t>
        </is>
      </c>
      <c r="E1117" s="3" t="n">
        <v>46266.68819444445</v>
      </c>
      <c r="F1117" s="3" t="n">
        <v>46266.69520833333</v>
      </c>
      <c r="G1117" s="3" t="n">
        <v>46266.69472222222</v>
      </c>
      <c r="H1117" t="inlineStr">
        <is>
          <t>Delivered</t>
        </is>
      </c>
      <c r="I1117" t="n">
        <v>5</v>
      </c>
      <c r="J1117" t="n">
        <v>8</v>
      </c>
      <c r="K1117" t="n">
        <v>1498.72</v>
      </c>
      <c r="L1117" t="n">
        <v>2.28</v>
      </c>
      <c r="M1117" t="n">
        <v>3</v>
      </c>
      <c r="N1117" t="n">
        <v>0.4</v>
      </c>
      <c r="O1117" t="n">
        <v>6</v>
      </c>
      <c r="P1117" t="n">
        <v>10.1</v>
      </c>
      <c r="Q1117" t="n">
        <v>9.4</v>
      </c>
      <c r="R1117" t="n">
        <v>-0.7</v>
      </c>
      <c r="S1117" t="b">
        <v>1</v>
      </c>
      <c r="U1117" t="n">
        <v>16</v>
      </c>
      <c r="V1117" t="b">
        <v>0</v>
      </c>
      <c r="W1117" t="inlineStr">
        <is>
          <t>Light</t>
        </is>
      </c>
      <c r="X1117" t="b">
        <v>0</v>
      </c>
      <c r="Y1117" t="n">
        <v>0.6</v>
      </c>
    </row>
    <row r="1118">
      <c r="A1118" t="inlineStr">
        <is>
          <t>O01117</t>
        </is>
      </c>
      <c r="B1118" t="inlineStr">
        <is>
          <t>C0126</t>
        </is>
      </c>
      <c r="C1118" t="inlineStr">
        <is>
          <t>S003</t>
        </is>
      </c>
      <c r="D1118" t="inlineStr">
        <is>
          <t>R046</t>
        </is>
      </c>
      <c r="E1118" s="3" t="n">
        <v>46277.99305555555</v>
      </c>
      <c r="F1118" s="3" t="n">
        <v>46277.99993055555</v>
      </c>
      <c r="G1118" s="3" t="n">
        <v>46277.99958333333</v>
      </c>
      <c r="H1118" t="inlineStr">
        <is>
          <t>Delivered</t>
        </is>
      </c>
      <c r="I1118" t="n">
        <v>1</v>
      </c>
      <c r="J1118" t="n">
        <v>7</v>
      </c>
      <c r="K1118" t="n">
        <v>631.33</v>
      </c>
      <c r="L1118" t="n">
        <v>0.54</v>
      </c>
      <c r="M1118" t="n">
        <v>2.7</v>
      </c>
      <c r="N1118" t="n">
        <v>4.7</v>
      </c>
      <c r="O1118" t="n">
        <v>2</v>
      </c>
      <c r="P1118" t="n">
        <v>9.9</v>
      </c>
      <c r="Q1118" t="n">
        <v>9.4</v>
      </c>
      <c r="R1118" t="n">
        <v>-0.5</v>
      </c>
      <c r="S1118" t="b">
        <v>1</v>
      </c>
      <c r="U1118" t="n">
        <v>23</v>
      </c>
      <c r="V1118" t="b">
        <v>0</v>
      </c>
      <c r="W1118" t="inlineStr">
        <is>
          <t>Light</t>
        </is>
      </c>
      <c r="X1118" t="b">
        <v>0</v>
      </c>
      <c r="Y1118" t="n">
        <v>0.01</v>
      </c>
    </row>
    <row r="1119">
      <c r="A1119" t="inlineStr">
        <is>
          <t>O01118</t>
        </is>
      </c>
      <c r="B1119" t="inlineStr">
        <is>
          <t>C0235</t>
        </is>
      </c>
      <c r="C1119" t="inlineStr">
        <is>
          <t>S012</t>
        </is>
      </c>
      <c r="D1119" t="inlineStr">
        <is>
          <t>R035</t>
        </is>
      </c>
      <c r="E1119" s="3" t="n">
        <v>46276.7</v>
      </c>
      <c r="F1119" s="3" t="n">
        <v>46276.70708333333</v>
      </c>
      <c r="G1119" s="3" t="n">
        <v>46276.706875</v>
      </c>
      <c r="H1119" t="inlineStr">
        <is>
          <t>Delivered</t>
        </is>
      </c>
      <c r="I1119" t="n">
        <v>5</v>
      </c>
      <c r="J1119" t="n">
        <v>5</v>
      </c>
      <c r="K1119" t="n">
        <v>1194.89</v>
      </c>
      <c r="L1119" t="n">
        <v>1.14</v>
      </c>
      <c r="M1119" t="n">
        <v>3.7</v>
      </c>
      <c r="N1119" t="n">
        <v>3.8</v>
      </c>
      <c r="O1119" t="n">
        <v>2.4</v>
      </c>
      <c r="P1119" t="n">
        <v>10.2</v>
      </c>
      <c r="Q1119" t="n">
        <v>9.9</v>
      </c>
      <c r="R1119" t="n">
        <v>-0.3</v>
      </c>
      <c r="S1119" t="b">
        <v>1</v>
      </c>
      <c r="U1119" t="n">
        <v>16</v>
      </c>
      <c r="V1119" t="b">
        <v>0</v>
      </c>
      <c r="X1119" t="b">
        <v>0</v>
      </c>
      <c r="Y1119" t="n">
        <v>0.44</v>
      </c>
    </row>
    <row r="1120">
      <c r="A1120" t="inlineStr">
        <is>
          <t>O01119</t>
        </is>
      </c>
      <c r="B1120" t="inlineStr">
        <is>
          <t>C0225</t>
        </is>
      </c>
      <c r="C1120" t="inlineStr">
        <is>
          <t>S019</t>
        </is>
      </c>
      <c r="D1120" t="inlineStr">
        <is>
          <t>R054</t>
        </is>
      </c>
      <c r="E1120" s="3" t="n">
        <v>46270.38125</v>
      </c>
      <c r="F1120" s="3" t="n">
        <v>46270.38805555556</v>
      </c>
      <c r="G1120" s="3" t="n">
        <v>46270.3875</v>
      </c>
      <c r="H1120" t="inlineStr">
        <is>
          <t>Delivered</t>
        </is>
      </c>
      <c r="I1120" t="n">
        <v>4</v>
      </c>
      <c r="J1120" t="n">
        <v>5</v>
      </c>
      <c r="K1120" t="n">
        <v>1212.45</v>
      </c>
      <c r="L1120" t="n">
        <v>2.5</v>
      </c>
      <c r="M1120" t="n">
        <v>3.8</v>
      </c>
      <c r="N1120" t="n">
        <v>1.6</v>
      </c>
      <c r="O1120" t="n">
        <v>3.6</v>
      </c>
      <c r="P1120" t="n">
        <v>9.800000000000001</v>
      </c>
      <c r="Q1120" t="n">
        <v>9</v>
      </c>
      <c r="R1120" t="n">
        <v>-0.8</v>
      </c>
      <c r="S1120" t="b">
        <v>1</v>
      </c>
      <c r="U1120" t="n">
        <v>9</v>
      </c>
      <c r="V1120" t="b">
        <v>0</v>
      </c>
      <c r="X1120" t="b">
        <v>0</v>
      </c>
      <c r="Y1120" t="n">
        <v>0.65</v>
      </c>
    </row>
    <row r="1121">
      <c r="A1121" t="inlineStr">
        <is>
          <t>O01120</t>
        </is>
      </c>
      <c r="B1121" t="inlineStr">
        <is>
          <t>C0236</t>
        </is>
      </c>
      <c r="C1121" t="inlineStr">
        <is>
          <t>S006</t>
        </is>
      </c>
      <c r="D1121" t="inlineStr">
        <is>
          <t>R076</t>
        </is>
      </c>
      <c r="E1121" s="3" t="n">
        <v>46271.66180555556</v>
      </c>
      <c r="F1121" s="3" t="n">
        <v>46271.66819444444</v>
      </c>
      <c r="G1121" s="3" t="n">
        <v>46271.66798611111</v>
      </c>
      <c r="H1121" t="inlineStr">
        <is>
          <t>Delivered</t>
        </is>
      </c>
      <c r="I1121" t="n">
        <v>4</v>
      </c>
      <c r="J1121" t="n">
        <v>4</v>
      </c>
      <c r="K1121" t="n">
        <v>1325.97</v>
      </c>
      <c r="L1121" t="n">
        <v>1.16</v>
      </c>
      <c r="M1121" t="n">
        <v>3.9</v>
      </c>
      <c r="N1121" t="n">
        <v>1.9</v>
      </c>
      <c r="O1121" t="n">
        <v>3.1</v>
      </c>
      <c r="P1121" t="n">
        <v>9.199999999999999</v>
      </c>
      <c r="Q1121" t="n">
        <v>8.9</v>
      </c>
      <c r="R1121" t="n">
        <v>-0.3</v>
      </c>
      <c r="S1121" t="b">
        <v>1</v>
      </c>
      <c r="U1121" t="n">
        <v>15</v>
      </c>
      <c r="V1121" t="b">
        <v>0</v>
      </c>
      <c r="X1121" t="b">
        <v>0</v>
      </c>
      <c r="Y1121" t="n">
        <v>0.65</v>
      </c>
    </row>
    <row r="1122">
      <c r="A1122" t="inlineStr">
        <is>
          <t>O01121</t>
        </is>
      </c>
      <c r="B1122" t="inlineStr">
        <is>
          <t>C0136</t>
        </is>
      </c>
      <c r="C1122" t="inlineStr">
        <is>
          <t>S019</t>
        </is>
      </c>
      <c r="D1122" t="inlineStr">
        <is>
          <t>R068</t>
        </is>
      </c>
      <c r="E1122" s="3" t="n">
        <v>46269.68263888889</v>
      </c>
      <c r="F1122" s="3" t="n">
        <v>46269.69194444444</v>
      </c>
      <c r="G1122" s="3" t="n">
        <v>46269.69444444445</v>
      </c>
      <c r="H1122" t="inlineStr">
        <is>
          <t>Delivered</t>
        </is>
      </c>
      <c r="I1122" t="n">
        <v>3</v>
      </c>
      <c r="J1122" t="n">
        <v>5</v>
      </c>
      <c r="K1122" t="n">
        <v>1056.11</v>
      </c>
      <c r="L1122" t="n">
        <v>2.5</v>
      </c>
      <c r="M1122" t="n">
        <v>6.3</v>
      </c>
      <c r="N1122" t="n">
        <v>4.6</v>
      </c>
      <c r="O1122" t="n">
        <v>6.1</v>
      </c>
      <c r="P1122" t="n">
        <v>13.4</v>
      </c>
      <c r="Q1122" t="n">
        <v>17</v>
      </c>
      <c r="R1122" t="n">
        <v>3.6</v>
      </c>
      <c r="S1122" t="b">
        <v>0</v>
      </c>
      <c r="U1122" t="n">
        <v>16</v>
      </c>
      <c r="V1122" t="b">
        <v>0</v>
      </c>
      <c r="X1122" t="b">
        <v>0</v>
      </c>
      <c r="Y1122" t="n">
        <v>0.26</v>
      </c>
    </row>
    <row r="1123">
      <c r="A1123" t="inlineStr">
        <is>
          <t>O01122</t>
        </is>
      </c>
      <c r="B1123" t="inlineStr">
        <is>
          <t>C0009</t>
        </is>
      </c>
      <c r="C1123" t="inlineStr">
        <is>
          <t>S016</t>
        </is>
      </c>
      <c r="D1123" t="inlineStr">
        <is>
          <t>R026</t>
        </is>
      </c>
      <c r="E1123" s="3" t="n">
        <v>46266.37916666667</v>
      </c>
      <c r="F1123" s="3" t="n">
        <v>46266.38694444444</v>
      </c>
      <c r="G1123" s="3" t="n">
        <v>46266.38631944444</v>
      </c>
      <c r="H1123" t="inlineStr">
        <is>
          <t>Delivered</t>
        </is>
      </c>
      <c r="I1123" t="n">
        <v>4</v>
      </c>
      <c r="J1123" t="n">
        <v>4</v>
      </c>
      <c r="K1123" t="n">
        <v>1377.09</v>
      </c>
      <c r="L1123" t="n">
        <v>1.09</v>
      </c>
      <c r="M1123" t="n">
        <v>4.8</v>
      </c>
      <c r="N1123" t="n">
        <v>2.3</v>
      </c>
      <c r="O1123" t="n">
        <v>3.2</v>
      </c>
      <c r="P1123" t="n">
        <v>11.2</v>
      </c>
      <c r="Q1123" t="n">
        <v>10.3</v>
      </c>
      <c r="R1123" t="n">
        <v>-0.9</v>
      </c>
      <c r="S1123" t="b">
        <v>1</v>
      </c>
      <c r="U1123" t="n">
        <v>9</v>
      </c>
      <c r="V1123" t="b">
        <v>0</v>
      </c>
      <c r="X1123" t="b">
        <v>0</v>
      </c>
      <c r="Y1123" t="n">
        <v>0.59</v>
      </c>
    </row>
    <row r="1124">
      <c r="A1124" t="inlineStr">
        <is>
          <t>O01123</t>
        </is>
      </c>
      <c r="B1124" t="inlineStr">
        <is>
          <t>C0186</t>
        </is>
      </c>
      <c r="C1124" t="inlineStr">
        <is>
          <t>S001</t>
        </is>
      </c>
      <c r="D1124" t="inlineStr">
        <is>
          <t>R023</t>
        </is>
      </c>
      <c r="E1124" s="3" t="n">
        <v>46276.78472222222</v>
      </c>
      <c r="F1124" s="3" t="n">
        <v>46276.79298611111</v>
      </c>
      <c r="G1124" s="3" t="n">
        <v>46276.79270833333</v>
      </c>
      <c r="H1124" t="inlineStr">
        <is>
          <t>Delivered</t>
        </is>
      </c>
      <c r="I1124" t="n">
        <v>5</v>
      </c>
      <c r="J1124" t="n">
        <v>11</v>
      </c>
      <c r="K1124" t="n">
        <v>669.9299999999999</v>
      </c>
      <c r="L1124" t="n">
        <v>1.63</v>
      </c>
      <c r="M1124" t="n">
        <v>4.1</v>
      </c>
      <c r="N1124" t="n">
        <v>3.7</v>
      </c>
      <c r="O1124" t="n">
        <v>3.7</v>
      </c>
      <c r="P1124" t="n">
        <v>11.9</v>
      </c>
      <c r="Q1124" t="n">
        <v>11.5</v>
      </c>
      <c r="R1124" t="n">
        <v>-0.4</v>
      </c>
      <c r="S1124" t="b">
        <v>1</v>
      </c>
      <c r="U1124" t="n">
        <v>18</v>
      </c>
      <c r="V1124" t="b">
        <v>0</v>
      </c>
      <c r="X1124" t="b">
        <v>0</v>
      </c>
      <c r="Y1124" t="n">
        <v>0.24</v>
      </c>
    </row>
    <row r="1125">
      <c r="A1125" t="inlineStr">
        <is>
          <t>O01124</t>
        </is>
      </c>
      <c r="B1125" t="inlineStr">
        <is>
          <t>C0049</t>
        </is>
      </c>
      <c r="C1125" t="inlineStr">
        <is>
          <t>S010</t>
        </is>
      </c>
      <c r="D1125" t="inlineStr">
        <is>
          <t>R038</t>
        </is>
      </c>
      <c r="E1125" s="3" t="n">
        <v>46276.95972222222</v>
      </c>
      <c r="F1125" s="3" t="n">
        <v>46276.96895833333</v>
      </c>
      <c r="G1125" s="3" t="n">
        <v>46276.96875</v>
      </c>
      <c r="H1125" t="inlineStr">
        <is>
          <t>Delivered</t>
        </is>
      </c>
      <c r="I1125" t="n">
        <v>4</v>
      </c>
      <c r="J1125" t="n">
        <v>5</v>
      </c>
      <c r="K1125" t="n">
        <v>824.75</v>
      </c>
      <c r="L1125" t="n">
        <v>2.65</v>
      </c>
      <c r="M1125" t="n">
        <v>3.6</v>
      </c>
      <c r="N1125" t="n">
        <v>6.1</v>
      </c>
      <c r="O1125" t="n">
        <v>3.3</v>
      </c>
      <c r="P1125" t="n">
        <v>13.3</v>
      </c>
      <c r="Q1125" t="n">
        <v>13</v>
      </c>
      <c r="R1125" t="n">
        <v>-0.3</v>
      </c>
      <c r="S1125" t="b">
        <v>1</v>
      </c>
      <c r="U1125" t="n">
        <v>23</v>
      </c>
      <c r="V1125" t="b">
        <v>0</v>
      </c>
      <c r="X1125" t="b">
        <v>0</v>
      </c>
      <c r="Y1125" t="n">
        <v>0.21</v>
      </c>
    </row>
    <row r="1126">
      <c r="A1126" t="inlineStr">
        <is>
          <t>O01125</t>
        </is>
      </c>
      <c r="B1126" t="inlineStr">
        <is>
          <t>C0153</t>
        </is>
      </c>
      <c r="C1126" t="inlineStr">
        <is>
          <t>S008</t>
        </is>
      </c>
      <c r="D1126" t="inlineStr">
        <is>
          <t>R024</t>
        </is>
      </c>
      <c r="E1126" s="3" t="n">
        <v>46278.41944444444</v>
      </c>
      <c r="F1126" s="3" t="n">
        <v>46278.42645833334</v>
      </c>
      <c r="G1126" s="3" t="n">
        <v>46278.42611111111</v>
      </c>
      <c r="H1126" t="inlineStr">
        <is>
          <t>Delivered</t>
        </is>
      </c>
      <c r="I1126" t="n">
        <v>5</v>
      </c>
      <c r="J1126" t="n">
        <v>10</v>
      </c>
      <c r="K1126" t="n">
        <v>1733.94</v>
      </c>
      <c r="L1126" t="n">
        <v>3</v>
      </c>
      <c r="M1126" t="n">
        <v>2.1</v>
      </c>
      <c r="N1126" t="n">
        <v>3.8</v>
      </c>
      <c r="O1126" t="n">
        <v>3.7</v>
      </c>
      <c r="P1126" t="n">
        <v>10.1</v>
      </c>
      <c r="Q1126" t="n">
        <v>9.6</v>
      </c>
      <c r="R1126" t="n">
        <v>-0.5</v>
      </c>
      <c r="S1126" t="b">
        <v>1</v>
      </c>
      <c r="U1126" t="n">
        <v>10</v>
      </c>
      <c r="V1126" t="b">
        <v>0</v>
      </c>
      <c r="X1126" t="b">
        <v>0</v>
      </c>
      <c r="Y1126" t="n">
        <v>0.5</v>
      </c>
    </row>
    <row r="1127">
      <c r="A1127" t="inlineStr">
        <is>
          <t>O01126</t>
        </is>
      </c>
      <c r="B1127" t="inlineStr">
        <is>
          <t>C0143</t>
        </is>
      </c>
      <c r="C1127" t="inlineStr">
        <is>
          <t>S006</t>
        </is>
      </c>
      <c r="D1127" t="inlineStr">
        <is>
          <t>R060</t>
        </is>
      </c>
      <c r="E1127" s="3" t="n">
        <v>46268.375</v>
      </c>
      <c r="F1127" s="3" t="n">
        <v>46268.38166666667</v>
      </c>
      <c r="G1127" s="3" t="n">
        <v>46268.38097222222</v>
      </c>
      <c r="H1127" t="inlineStr">
        <is>
          <t>Delivered</t>
        </is>
      </c>
      <c r="I1127" t="n">
        <v>1</v>
      </c>
      <c r="J1127" t="n">
        <v>5</v>
      </c>
      <c r="K1127" t="n">
        <v>969.98</v>
      </c>
      <c r="L1127" t="n">
        <v>1.4</v>
      </c>
      <c r="M1127" t="n">
        <v>4.8</v>
      </c>
      <c r="N1127" t="n">
        <v>0</v>
      </c>
      <c r="O1127" t="n">
        <v>3.8</v>
      </c>
      <c r="P1127" t="n">
        <v>9.6</v>
      </c>
      <c r="Q1127" t="n">
        <v>8.6</v>
      </c>
      <c r="R1127" t="n">
        <v>-1</v>
      </c>
      <c r="S1127" t="b">
        <v>1</v>
      </c>
      <c r="U1127" t="n">
        <v>9</v>
      </c>
      <c r="V1127" t="b">
        <v>0</v>
      </c>
      <c r="W1127" t="inlineStr">
        <is>
          <t>Light</t>
        </is>
      </c>
      <c r="X1127" t="b">
        <v>0</v>
      </c>
      <c r="Y1127" t="n">
        <v>0.6</v>
      </c>
    </row>
    <row r="1128">
      <c r="A1128" t="inlineStr">
        <is>
          <t>O01127</t>
        </is>
      </c>
      <c r="B1128" t="inlineStr">
        <is>
          <t>C0084</t>
        </is>
      </c>
      <c r="C1128" t="inlineStr">
        <is>
          <t>S010</t>
        </is>
      </c>
      <c r="D1128" t="inlineStr">
        <is>
          <t>R022</t>
        </is>
      </c>
      <c r="E1128" s="3" t="n">
        <v>46273.48541666667</v>
      </c>
      <c r="F1128" s="3" t="n">
        <v>46273.49347222222</v>
      </c>
      <c r="G1128" s="3" t="n">
        <v>46273.49284722222</v>
      </c>
      <c r="H1128" t="inlineStr">
        <is>
          <t>Delivered</t>
        </is>
      </c>
      <c r="I1128" t="n">
        <v>6</v>
      </c>
      <c r="J1128" t="n">
        <v>8</v>
      </c>
      <c r="K1128" t="n">
        <v>1041.89</v>
      </c>
      <c r="L1128" t="n">
        <v>1.09</v>
      </c>
      <c r="M1128" t="n">
        <v>6.3</v>
      </c>
      <c r="N1128" t="n">
        <v>1.1</v>
      </c>
      <c r="O1128" t="n">
        <v>3.3</v>
      </c>
      <c r="P1128" t="n">
        <v>11.6</v>
      </c>
      <c r="Q1128" t="n">
        <v>10.7</v>
      </c>
      <c r="R1128" t="n">
        <v>-0.9</v>
      </c>
      <c r="S1128" t="b">
        <v>1</v>
      </c>
      <c r="U1128" t="n">
        <v>11</v>
      </c>
      <c r="V1128" t="b">
        <v>0</v>
      </c>
      <c r="W1128" t="inlineStr">
        <is>
          <t>Light</t>
        </is>
      </c>
      <c r="X1128" t="b">
        <v>0</v>
      </c>
      <c r="Y1128" t="n">
        <v>0.18</v>
      </c>
    </row>
    <row r="1129">
      <c r="A1129" t="inlineStr">
        <is>
          <t>O01128</t>
        </is>
      </c>
      <c r="B1129" t="inlineStr">
        <is>
          <t>C0042</t>
        </is>
      </c>
      <c r="C1129" t="inlineStr">
        <is>
          <t>S019</t>
        </is>
      </c>
      <c r="D1129" t="inlineStr">
        <is>
          <t>R067</t>
        </is>
      </c>
      <c r="E1129" s="3" t="n">
        <v>46279.42916666667</v>
      </c>
      <c r="F1129" s="3" t="n">
        <v>46279.43625</v>
      </c>
      <c r="G1129" s="3" t="n">
        <v>46279.43541666667</v>
      </c>
      <c r="H1129" t="inlineStr">
        <is>
          <t>Delivered</t>
        </is>
      </c>
      <c r="I1129" t="n">
        <v>5</v>
      </c>
      <c r="J1129" t="n">
        <v>5</v>
      </c>
      <c r="K1129" t="n">
        <v>437.64</v>
      </c>
      <c r="L1129" t="n">
        <v>1.58</v>
      </c>
      <c r="M1129" t="n">
        <v>3.3</v>
      </c>
      <c r="N1129" t="n">
        <v>2.3</v>
      </c>
      <c r="O1129" t="n">
        <v>3.4</v>
      </c>
      <c r="P1129" t="n">
        <v>10.2</v>
      </c>
      <c r="Q1129" t="n">
        <v>9</v>
      </c>
      <c r="R1129" t="n">
        <v>-1.2</v>
      </c>
      <c r="S1129" t="b">
        <v>1</v>
      </c>
      <c r="U1129" t="n">
        <v>10</v>
      </c>
      <c r="V1129" t="b">
        <v>0</v>
      </c>
      <c r="W1129" t="inlineStr">
        <is>
          <t>Light</t>
        </is>
      </c>
      <c r="X1129" t="b">
        <v>0</v>
      </c>
      <c r="Y1129" t="n">
        <v>0.47</v>
      </c>
    </row>
    <row r="1130">
      <c r="A1130" t="inlineStr">
        <is>
          <t>O01129</t>
        </is>
      </c>
      <c r="B1130" t="inlineStr">
        <is>
          <t>C0237</t>
        </is>
      </c>
      <c r="C1130" t="inlineStr">
        <is>
          <t>S013</t>
        </is>
      </c>
      <c r="D1130" t="inlineStr">
        <is>
          <t>R020</t>
        </is>
      </c>
      <c r="E1130" s="3" t="n">
        <v>46274.96597222222</v>
      </c>
      <c r="F1130" s="3" t="n">
        <v>46274.97284722222</v>
      </c>
      <c r="G1130" s="3" t="n">
        <v>46274.97222222222</v>
      </c>
      <c r="H1130" t="inlineStr">
        <is>
          <t>Delivered</t>
        </is>
      </c>
      <c r="I1130" t="n">
        <v>4</v>
      </c>
      <c r="J1130" t="n">
        <v>15</v>
      </c>
      <c r="K1130" t="n">
        <v>1632.43</v>
      </c>
      <c r="L1130" t="n">
        <v>0.5</v>
      </c>
      <c r="M1130" t="n">
        <v>3.5</v>
      </c>
      <c r="N1130" t="n">
        <v>3.9</v>
      </c>
      <c r="O1130" t="n">
        <v>1.6</v>
      </c>
      <c r="P1130" t="n">
        <v>9.9</v>
      </c>
      <c r="Q1130" t="n">
        <v>9</v>
      </c>
      <c r="R1130" t="n">
        <v>-0.9</v>
      </c>
      <c r="S1130" t="b">
        <v>1</v>
      </c>
      <c r="U1130" t="n">
        <v>23</v>
      </c>
      <c r="V1130" t="b">
        <v>0</v>
      </c>
      <c r="W1130" t="inlineStr">
        <is>
          <t>Light</t>
        </is>
      </c>
      <c r="X1130" t="b">
        <v>0</v>
      </c>
      <c r="Y1130" t="n">
        <v>0.43</v>
      </c>
    </row>
    <row r="1131">
      <c r="A1131" t="inlineStr">
        <is>
          <t>O01130</t>
        </is>
      </c>
      <c r="B1131" t="inlineStr">
        <is>
          <t>C0162</t>
        </is>
      </c>
      <c r="C1131" t="inlineStr">
        <is>
          <t>S006</t>
        </is>
      </c>
      <c r="D1131" t="inlineStr">
        <is>
          <t>R047</t>
        </is>
      </c>
      <c r="E1131" s="3" t="n">
        <v>46279.50416666667</v>
      </c>
      <c r="F1131" s="3" t="n">
        <v>46279.51131944444</v>
      </c>
      <c r="G1131" s="3" t="n">
        <v>46279.51597222222</v>
      </c>
      <c r="H1131" t="inlineStr">
        <is>
          <t>Delivered</t>
        </is>
      </c>
      <c r="I1131" t="n">
        <v>3</v>
      </c>
      <c r="J1131" t="n">
        <v>4</v>
      </c>
      <c r="K1131" t="n">
        <v>1176.42</v>
      </c>
      <c r="L1131" t="n">
        <v>1.63</v>
      </c>
      <c r="M1131" t="n">
        <v>6.1</v>
      </c>
      <c r="N1131" t="n">
        <v>5.5</v>
      </c>
      <c r="O1131" t="n">
        <v>5.5</v>
      </c>
      <c r="P1131" t="n">
        <v>10.3</v>
      </c>
      <c r="Q1131" t="n">
        <v>17</v>
      </c>
      <c r="R1131" t="n">
        <v>6.7</v>
      </c>
      <c r="S1131" t="b">
        <v>0</v>
      </c>
      <c r="U1131" t="n">
        <v>12</v>
      </c>
      <c r="V1131" t="b">
        <v>0</v>
      </c>
      <c r="X1131" t="b">
        <v>0</v>
      </c>
      <c r="Y1131" t="n">
        <v>0.49</v>
      </c>
    </row>
    <row r="1132">
      <c r="A1132" t="inlineStr">
        <is>
          <t>O01131</t>
        </is>
      </c>
      <c r="B1132" t="inlineStr">
        <is>
          <t>C0003</t>
        </is>
      </c>
      <c r="C1132" t="inlineStr">
        <is>
          <t>S012</t>
        </is>
      </c>
      <c r="D1132" t="inlineStr">
        <is>
          <t>R021</t>
        </is>
      </c>
      <c r="E1132" s="3" t="n">
        <v>46279.94236111111</v>
      </c>
      <c r="F1132" s="3" t="n">
        <v>46279.94875</v>
      </c>
      <c r="G1132" s="3" t="n">
        <v>46279.94791666666</v>
      </c>
      <c r="H1132" t="inlineStr">
        <is>
          <t>Delivered</t>
        </is>
      </c>
      <c r="I1132" t="n">
        <v>5</v>
      </c>
      <c r="J1132" t="n">
        <v>5</v>
      </c>
      <c r="K1132" t="n">
        <v>988.09</v>
      </c>
      <c r="L1132" t="n">
        <v>1.79</v>
      </c>
      <c r="M1132" t="n">
        <v>2.9</v>
      </c>
      <c r="N1132" t="n">
        <v>1.9</v>
      </c>
      <c r="O1132" t="n">
        <v>3.2</v>
      </c>
      <c r="P1132" t="n">
        <v>9.199999999999999</v>
      </c>
      <c r="Q1132" t="n">
        <v>8</v>
      </c>
      <c r="R1132" t="n">
        <v>-1.2</v>
      </c>
      <c r="S1132" t="b">
        <v>1</v>
      </c>
      <c r="U1132" t="n">
        <v>22</v>
      </c>
      <c r="V1132" t="b">
        <v>0</v>
      </c>
      <c r="W1132" t="inlineStr">
        <is>
          <t>Light</t>
        </is>
      </c>
      <c r="X1132" t="b">
        <v>0</v>
      </c>
      <c r="Y1132" t="n">
        <v>0.27</v>
      </c>
    </row>
    <row r="1133">
      <c r="A1133" t="inlineStr">
        <is>
          <t>O01132</t>
        </is>
      </c>
      <c r="B1133" t="inlineStr">
        <is>
          <t>C0187</t>
        </is>
      </c>
      <c r="C1133" t="inlineStr">
        <is>
          <t>S019</t>
        </is>
      </c>
      <c r="D1133" t="inlineStr">
        <is>
          <t>R048</t>
        </is>
      </c>
      <c r="E1133" s="3" t="n">
        <v>46279.70763888889</v>
      </c>
      <c r="F1133" s="3" t="n">
        <v>46279.71520833333</v>
      </c>
      <c r="G1133" s="3" t="n">
        <v>46279.71444444444</v>
      </c>
      <c r="H1133" t="inlineStr">
        <is>
          <t>Delivered</t>
        </is>
      </c>
      <c r="I1133" t="n">
        <v>6</v>
      </c>
      <c r="J1133" t="n">
        <v>9</v>
      </c>
      <c r="K1133" t="n">
        <v>1247.39</v>
      </c>
      <c r="L1133" t="n">
        <v>2.5</v>
      </c>
      <c r="M1133" t="n">
        <v>3.5</v>
      </c>
      <c r="N1133" t="n">
        <v>2.7</v>
      </c>
      <c r="O1133" t="n">
        <v>3.6</v>
      </c>
      <c r="P1133" t="n">
        <v>10.9</v>
      </c>
      <c r="Q1133" t="n">
        <v>9.800000000000001</v>
      </c>
      <c r="R1133" t="n">
        <v>-1.1</v>
      </c>
      <c r="S1133" t="b">
        <v>1</v>
      </c>
      <c r="U1133" t="n">
        <v>16</v>
      </c>
      <c r="V1133" t="b">
        <v>0</v>
      </c>
      <c r="X1133" t="b">
        <v>0</v>
      </c>
      <c r="Y1133" t="n">
        <v>0.44</v>
      </c>
    </row>
    <row r="1134">
      <c r="A1134" t="inlineStr">
        <is>
          <t>O01133</t>
        </is>
      </c>
      <c r="B1134" t="inlineStr">
        <is>
          <t>C0149</t>
        </is>
      </c>
      <c r="C1134" t="inlineStr">
        <is>
          <t>S018</t>
        </is>
      </c>
      <c r="D1134" t="inlineStr">
        <is>
          <t>R066</t>
        </is>
      </c>
      <c r="E1134" s="3" t="n">
        <v>46266.52222222222</v>
      </c>
      <c r="F1134" s="3" t="n">
        <v>46266.530625</v>
      </c>
      <c r="G1134" s="3" t="n">
        <v>46266.53027777778</v>
      </c>
      <c r="H1134" t="inlineStr">
        <is>
          <t>Delivered</t>
        </is>
      </c>
      <c r="I1134" t="n">
        <v>1</v>
      </c>
      <c r="J1134" t="n">
        <v>6</v>
      </c>
      <c r="K1134" t="n">
        <v>1223.25</v>
      </c>
      <c r="L1134" t="n">
        <v>1.86</v>
      </c>
      <c r="M1134" t="n">
        <v>3.4</v>
      </c>
      <c r="N1134" t="n">
        <v>5.5</v>
      </c>
      <c r="O1134" t="n">
        <v>2.7</v>
      </c>
      <c r="P1134" t="n">
        <v>12.1</v>
      </c>
      <c r="Q1134" t="n">
        <v>11.6</v>
      </c>
      <c r="R1134" t="n">
        <v>-0.5</v>
      </c>
      <c r="S1134" t="b">
        <v>1</v>
      </c>
      <c r="U1134" t="n">
        <v>12</v>
      </c>
      <c r="V1134" t="b">
        <v>0</v>
      </c>
      <c r="X1134" t="b">
        <v>0</v>
      </c>
      <c r="Y1134" t="n">
        <v>0.33</v>
      </c>
    </row>
    <row r="1135">
      <c r="A1135" t="inlineStr">
        <is>
          <t>O01134</t>
        </is>
      </c>
      <c r="B1135" t="inlineStr">
        <is>
          <t>C0160</t>
        </is>
      </c>
      <c r="C1135" t="inlineStr">
        <is>
          <t>S001</t>
        </is>
      </c>
      <c r="D1135" t="inlineStr">
        <is>
          <t>R017</t>
        </is>
      </c>
      <c r="E1135" s="3" t="n">
        <v>46277.42777777778</v>
      </c>
      <c r="F1135" s="3" t="n">
        <v>46277.43625</v>
      </c>
      <c r="G1135" s="3" t="n">
        <v>46277.43555555555</v>
      </c>
      <c r="H1135" t="inlineStr">
        <is>
          <t>Delivered</t>
        </is>
      </c>
      <c r="I1135" t="n">
        <v>4</v>
      </c>
      <c r="J1135" t="n">
        <v>4</v>
      </c>
      <c r="K1135" t="n">
        <v>233.39</v>
      </c>
      <c r="L1135" t="n">
        <v>1.65</v>
      </c>
      <c r="M1135" t="n">
        <v>4.2</v>
      </c>
      <c r="N1135" t="n">
        <v>2.6</v>
      </c>
      <c r="O1135" t="n">
        <v>4.4</v>
      </c>
      <c r="P1135" t="n">
        <v>12.2</v>
      </c>
      <c r="Q1135" t="n">
        <v>11.2</v>
      </c>
      <c r="R1135" t="n">
        <v>-1</v>
      </c>
      <c r="S1135" t="b">
        <v>1</v>
      </c>
      <c r="U1135" t="n">
        <v>10</v>
      </c>
      <c r="V1135" t="b">
        <v>0</v>
      </c>
      <c r="X1135" t="b">
        <v>0</v>
      </c>
      <c r="Y1135" t="n">
        <v>0.24</v>
      </c>
    </row>
    <row r="1136">
      <c r="A1136" t="inlineStr">
        <is>
          <t>O01135</t>
        </is>
      </c>
      <c r="B1136" t="inlineStr">
        <is>
          <t>C0015</t>
        </is>
      </c>
      <c r="C1136" t="inlineStr">
        <is>
          <t>S015</t>
        </is>
      </c>
      <c r="E1136" s="3" t="n">
        <v>46272.50972222222</v>
      </c>
      <c r="F1136" s="3" t="n">
        <v>46272.51694444445</v>
      </c>
      <c r="H1136" t="inlineStr">
        <is>
          <t>Cancelled</t>
        </is>
      </c>
      <c r="I1136" t="n">
        <v>2</v>
      </c>
      <c r="J1136" t="n">
        <v>10</v>
      </c>
      <c r="K1136" t="n">
        <v>599.99</v>
      </c>
      <c r="L1136" t="n">
        <v>0.75</v>
      </c>
      <c r="M1136" t="n">
        <v>6.5</v>
      </c>
      <c r="N1136" t="n">
        <v>5.4</v>
      </c>
      <c r="O1136" t="n">
        <v>2.4</v>
      </c>
      <c r="P1136" t="n">
        <v>10.4</v>
      </c>
      <c r="T1136" t="inlineStr">
        <is>
          <t>Payment issue</t>
        </is>
      </c>
      <c r="U1136" t="n">
        <v>12</v>
      </c>
      <c r="V1136" t="b">
        <v>0</v>
      </c>
      <c r="X1136" t="b">
        <v>0</v>
      </c>
      <c r="Y1136" t="n">
        <v>0.31</v>
      </c>
    </row>
    <row r="1137">
      <c r="A1137" t="inlineStr">
        <is>
          <t>O01136</t>
        </is>
      </c>
      <c r="B1137" t="inlineStr">
        <is>
          <t>C0151</t>
        </is>
      </c>
      <c r="C1137" t="inlineStr">
        <is>
          <t>S011</t>
        </is>
      </c>
      <c r="D1137" t="inlineStr">
        <is>
          <t>R002</t>
        </is>
      </c>
      <c r="E1137" s="3" t="n">
        <v>46274.77638888889</v>
      </c>
      <c r="F1137" s="3" t="n">
        <v>46274.78402777778</v>
      </c>
      <c r="G1137" s="3" t="n">
        <v>46274.78923611111</v>
      </c>
      <c r="H1137" t="inlineStr">
        <is>
          <t>Delivered</t>
        </is>
      </c>
      <c r="I1137" t="n">
        <v>3</v>
      </c>
      <c r="J1137" t="n">
        <v>7</v>
      </c>
      <c r="K1137" t="n">
        <v>1315.8</v>
      </c>
      <c r="L1137" t="n">
        <v>3.3</v>
      </c>
      <c r="M1137" t="n">
        <v>5.6</v>
      </c>
      <c r="N1137" t="n">
        <v>3.7</v>
      </c>
      <c r="O1137" t="n">
        <v>9.300000000000001</v>
      </c>
      <c r="P1137" t="n">
        <v>11</v>
      </c>
      <c r="Q1137" t="n">
        <v>18.5</v>
      </c>
      <c r="R1137" t="n">
        <v>7.5</v>
      </c>
      <c r="S1137" t="b">
        <v>0</v>
      </c>
      <c r="U1137" t="n">
        <v>18</v>
      </c>
      <c r="V1137" t="b">
        <v>0</v>
      </c>
      <c r="X1137" t="b">
        <v>0</v>
      </c>
      <c r="Y1137" t="n">
        <v>0.53</v>
      </c>
    </row>
    <row r="1138">
      <c r="A1138" t="inlineStr">
        <is>
          <t>O01137</t>
        </is>
      </c>
      <c r="B1138" t="inlineStr">
        <is>
          <t>C0228</t>
        </is>
      </c>
      <c r="C1138" t="inlineStr">
        <is>
          <t>S013</t>
        </is>
      </c>
      <c r="D1138" t="inlineStr">
        <is>
          <t>R042</t>
        </is>
      </c>
      <c r="E1138" s="3" t="n">
        <v>46276.34930555556</v>
      </c>
      <c r="F1138" s="3" t="n">
        <v>46276.35729166667</v>
      </c>
      <c r="G1138" s="3" t="n">
        <v>46276.35701388889</v>
      </c>
      <c r="H1138" t="inlineStr">
        <is>
          <t>Delivered</t>
        </is>
      </c>
      <c r="I1138" t="n">
        <v>6</v>
      </c>
      <c r="J1138" t="n">
        <v>10</v>
      </c>
      <c r="K1138" t="n">
        <v>575.86</v>
      </c>
      <c r="L1138" t="n">
        <v>3</v>
      </c>
      <c r="M1138" t="n">
        <v>4.3</v>
      </c>
      <c r="N1138" t="n">
        <v>2.2</v>
      </c>
      <c r="O1138" t="n">
        <v>4.6</v>
      </c>
      <c r="P1138" t="n">
        <v>11.5</v>
      </c>
      <c r="Q1138" t="n">
        <v>11.1</v>
      </c>
      <c r="R1138" t="n">
        <v>-0.4</v>
      </c>
      <c r="S1138" t="b">
        <v>1</v>
      </c>
      <c r="U1138" t="n">
        <v>8</v>
      </c>
      <c r="V1138" t="b">
        <v>0</v>
      </c>
      <c r="X1138" t="b">
        <v>0</v>
      </c>
      <c r="Y1138" t="n">
        <v>0.32</v>
      </c>
    </row>
    <row r="1139">
      <c r="A1139" t="inlineStr">
        <is>
          <t>O01138</t>
        </is>
      </c>
      <c r="B1139" t="inlineStr">
        <is>
          <t>C0045</t>
        </is>
      </c>
      <c r="C1139" t="inlineStr">
        <is>
          <t>S005</t>
        </is>
      </c>
      <c r="D1139" t="inlineStr">
        <is>
          <t>R049</t>
        </is>
      </c>
      <c r="E1139" s="3" t="n">
        <v>46270.36388888889</v>
      </c>
      <c r="F1139" s="3" t="n">
        <v>46270.37034722222</v>
      </c>
      <c r="G1139" s="3" t="n">
        <v>46270.37652777778</v>
      </c>
      <c r="H1139" t="inlineStr">
        <is>
          <t>Delivered</t>
        </is>
      </c>
      <c r="I1139" t="n">
        <v>1</v>
      </c>
      <c r="J1139" t="n">
        <v>7</v>
      </c>
      <c r="K1139" t="n">
        <v>1065.34</v>
      </c>
      <c r="L1139" t="n">
        <v>0.64</v>
      </c>
      <c r="M1139" t="n">
        <v>4.8</v>
      </c>
      <c r="N1139" t="n">
        <v>8.4</v>
      </c>
      <c r="O1139" t="n">
        <v>5</v>
      </c>
      <c r="P1139" t="n">
        <v>9.300000000000001</v>
      </c>
      <c r="Q1139" t="n">
        <v>18.2</v>
      </c>
      <c r="R1139" t="n">
        <v>8.9</v>
      </c>
      <c r="S1139" t="b">
        <v>0</v>
      </c>
      <c r="U1139" t="n">
        <v>8</v>
      </c>
      <c r="V1139" t="b">
        <v>0</v>
      </c>
      <c r="W1139" t="inlineStr">
        <is>
          <t>Heavy</t>
        </is>
      </c>
      <c r="X1139" t="b">
        <v>0</v>
      </c>
      <c r="Y1139" t="n">
        <v>0.64</v>
      </c>
    </row>
    <row r="1140">
      <c r="A1140" t="inlineStr">
        <is>
          <t>O01139</t>
        </is>
      </c>
      <c r="B1140" t="inlineStr">
        <is>
          <t>C0152</t>
        </is>
      </c>
      <c r="C1140" t="inlineStr">
        <is>
          <t>S020</t>
        </is>
      </c>
      <c r="D1140" t="inlineStr">
        <is>
          <t>R076</t>
        </is>
      </c>
      <c r="E1140" s="3" t="n">
        <v>46272.91805555556</v>
      </c>
      <c r="F1140" s="3" t="n">
        <v>46272.92625</v>
      </c>
      <c r="G1140" s="3" t="n">
        <v>46272.93125</v>
      </c>
      <c r="H1140" t="inlineStr">
        <is>
          <t>Delivered</t>
        </is>
      </c>
      <c r="I1140" t="n">
        <v>3</v>
      </c>
      <c r="J1140" t="n">
        <v>4</v>
      </c>
      <c r="K1140" t="n">
        <v>1554.03</v>
      </c>
      <c r="L1140" t="n">
        <v>3.8</v>
      </c>
      <c r="M1140" t="n">
        <v>5.5</v>
      </c>
      <c r="N1140" t="n">
        <v>2.9</v>
      </c>
      <c r="O1140" t="n">
        <v>10.7</v>
      </c>
      <c r="P1140" t="n">
        <v>11.8</v>
      </c>
      <c r="Q1140" t="n">
        <v>19</v>
      </c>
      <c r="R1140" t="n">
        <v>7.2</v>
      </c>
      <c r="S1140" t="b">
        <v>0</v>
      </c>
      <c r="U1140" t="n">
        <v>22</v>
      </c>
      <c r="V1140" t="b">
        <v>0</v>
      </c>
      <c r="X1140" t="b">
        <v>0</v>
      </c>
      <c r="Y1140" t="n">
        <v>0.79</v>
      </c>
    </row>
    <row r="1141">
      <c r="A1141" t="inlineStr">
        <is>
          <t>O01140</t>
        </is>
      </c>
      <c r="B1141" t="inlineStr">
        <is>
          <t>C0145</t>
        </is>
      </c>
      <c r="C1141" t="inlineStr">
        <is>
          <t>S008</t>
        </is>
      </c>
      <c r="D1141" t="inlineStr">
        <is>
          <t>R043</t>
        </is>
      </c>
      <c r="E1141" s="3" t="n">
        <v>46269.90902777778</v>
      </c>
      <c r="F1141" s="3" t="n">
        <v>46269.91576388889</v>
      </c>
      <c r="G1141" s="3" t="n">
        <v>46269.91541666666</v>
      </c>
      <c r="H1141" t="inlineStr">
        <is>
          <t>Delivered</t>
        </is>
      </c>
      <c r="I1141" t="n">
        <v>6</v>
      </c>
      <c r="J1141" t="n">
        <v>8</v>
      </c>
      <c r="K1141" t="n">
        <v>1026.88</v>
      </c>
      <c r="L1141" t="n">
        <v>1.84</v>
      </c>
      <c r="M1141" t="n">
        <v>3</v>
      </c>
      <c r="N1141" t="n">
        <v>2.7</v>
      </c>
      <c r="O1141" t="n">
        <v>3.5</v>
      </c>
      <c r="P1141" t="n">
        <v>9.699999999999999</v>
      </c>
      <c r="Q1141" t="n">
        <v>9.199999999999999</v>
      </c>
      <c r="R1141" t="n">
        <v>-0.5</v>
      </c>
      <c r="S1141" t="b">
        <v>1</v>
      </c>
      <c r="U1141" t="n">
        <v>21</v>
      </c>
      <c r="V1141" t="b">
        <v>1</v>
      </c>
      <c r="X1141" t="b">
        <v>0</v>
      </c>
      <c r="Y1141" t="n">
        <v>0.61</v>
      </c>
    </row>
    <row r="1142">
      <c r="A1142" t="inlineStr">
        <is>
          <t>O01141</t>
        </is>
      </c>
      <c r="B1142" t="inlineStr">
        <is>
          <t>C0181</t>
        </is>
      </c>
      <c r="C1142" t="inlineStr">
        <is>
          <t>S005</t>
        </is>
      </c>
      <c r="D1142" t="inlineStr">
        <is>
          <t>R028</t>
        </is>
      </c>
      <c r="E1142" s="3" t="n">
        <v>46273.97013888889</v>
      </c>
      <c r="F1142" s="3" t="n">
        <v>46273.97833333333</v>
      </c>
      <c r="G1142" s="3" t="n">
        <v>46273.978125</v>
      </c>
      <c r="H1142" t="inlineStr">
        <is>
          <t>Delivered</t>
        </is>
      </c>
      <c r="I1142" t="n">
        <v>5</v>
      </c>
      <c r="J1142" t="n">
        <v>8</v>
      </c>
      <c r="K1142" t="n">
        <v>619.4</v>
      </c>
      <c r="L1142" t="n">
        <v>1.09</v>
      </c>
      <c r="M1142" t="n">
        <v>4.5</v>
      </c>
      <c r="N1142" t="n">
        <v>4.5</v>
      </c>
      <c r="O1142" t="n">
        <v>2.5</v>
      </c>
      <c r="P1142" t="n">
        <v>11.8</v>
      </c>
      <c r="Q1142" t="n">
        <v>11.5</v>
      </c>
      <c r="R1142" t="n">
        <v>-0.3</v>
      </c>
      <c r="S1142" t="b">
        <v>1</v>
      </c>
      <c r="U1142" t="n">
        <v>23</v>
      </c>
      <c r="V1142" t="b">
        <v>0</v>
      </c>
      <c r="X1142" t="b">
        <v>0</v>
      </c>
      <c r="Y1142" t="n">
        <v>0.48</v>
      </c>
    </row>
    <row r="1143">
      <c r="A1143" t="inlineStr">
        <is>
          <t>O01142</t>
        </is>
      </c>
      <c r="B1143" t="inlineStr">
        <is>
          <t>C0198</t>
        </is>
      </c>
      <c r="C1143" t="inlineStr">
        <is>
          <t>S005</t>
        </is>
      </c>
      <c r="D1143" t="inlineStr">
        <is>
          <t>R052</t>
        </is>
      </c>
      <c r="E1143" s="3" t="n">
        <v>46272.4625</v>
      </c>
      <c r="F1143" s="3" t="n">
        <v>46272.47027777778</v>
      </c>
      <c r="G1143" s="3" t="n">
        <v>46272.47076388889</v>
      </c>
      <c r="H1143" t="inlineStr">
        <is>
          <t>Delivered</t>
        </is>
      </c>
      <c r="I1143" t="n">
        <v>2</v>
      </c>
      <c r="J1143" t="n">
        <v>6</v>
      </c>
      <c r="K1143" t="n">
        <v>967.78</v>
      </c>
      <c r="L1143" t="n">
        <v>1.64</v>
      </c>
      <c r="M1143" t="n">
        <v>4.4</v>
      </c>
      <c r="N1143" t="n">
        <v>3</v>
      </c>
      <c r="O1143" t="n">
        <v>4.4</v>
      </c>
      <c r="P1143" t="n">
        <v>11.2</v>
      </c>
      <c r="Q1143" t="n">
        <v>11.9</v>
      </c>
      <c r="R1143" t="n">
        <v>0.7</v>
      </c>
      <c r="S1143" t="b">
        <v>0</v>
      </c>
      <c r="U1143" t="n">
        <v>11</v>
      </c>
      <c r="V1143" t="b">
        <v>0</v>
      </c>
      <c r="X1143" t="b">
        <v>0</v>
      </c>
      <c r="Y1143" t="n">
        <v>0.45</v>
      </c>
    </row>
    <row r="1144">
      <c r="A1144" t="inlineStr">
        <is>
          <t>O01143</t>
        </is>
      </c>
      <c r="B1144" t="inlineStr">
        <is>
          <t>C0052</t>
        </is>
      </c>
      <c r="C1144" t="inlineStr">
        <is>
          <t>S020</t>
        </is>
      </c>
      <c r="D1144" t="inlineStr">
        <is>
          <t>R039</t>
        </is>
      </c>
      <c r="E1144" s="3" t="n">
        <v>46266.75486111111</v>
      </c>
      <c r="F1144" s="3" t="n">
        <v>46266.76256944444</v>
      </c>
      <c r="G1144" s="3" t="n">
        <v>46266.76541666667</v>
      </c>
      <c r="H1144" t="inlineStr">
        <is>
          <t>Delivered</t>
        </is>
      </c>
      <c r="I1144" t="n">
        <v>4</v>
      </c>
      <c r="J1144" t="n">
        <v>5</v>
      </c>
      <c r="K1144" t="n">
        <v>346.94</v>
      </c>
      <c r="L1144" t="n">
        <v>1.88</v>
      </c>
      <c r="M1144" t="n">
        <v>5.6</v>
      </c>
      <c r="N1144" t="n">
        <v>4.9</v>
      </c>
      <c r="O1144" t="n">
        <v>4.6</v>
      </c>
      <c r="P1144" t="n">
        <v>11.1</v>
      </c>
      <c r="Q1144" t="n">
        <v>15.2</v>
      </c>
      <c r="R1144" t="n">
        <v>4.1</v>
      </c>
      <c r="S1144" t="b">
        <v>0</v>
      </c>
      <c r="U1144" t="n">
        <v>18</v>
      </c>
      <c r="V1144" t="b">
        <v>0</v>
      </c>
      <c r="W1144" t="inlineStr">
        <is>
          <t>Light</t>
        </is>
      </c>
      <c r="X1144" t="b">
        <v>0</v>
      </c>
      <c r="Y1144" t="n">
        <v>0.2</v>
      </c>
    </row>
    <row r="1145">
      <c r="A1145" t="inlineStr">
        <is>
          <t>O01144</t>
        </is>
      </c>
      <c r="B1145" t="inlineStr">
        <is>
          <t>C0144</t>
        </is>
      </c>
      <c r="C1145" t="inlineStr">
        <is>
          <t>S009</t>
        </is>
      </c>
      <c r="D1145" t="inlineStr">
        <is>
          <t>R001</t>
        </is>
      </c>
      <c r="E1145" s="3" t="n">
        <v>46274.67708333334</v>
      </c>
      <c r="F1145" s="3" t="n">
        <v>46274.68277777778</v>
      </c>
      <c r="G1145" s="3" t="n">
        <v>46274.68201388889</v>
      </c>
      <c r="H1145" t="inlineStr">
        <is>
          <t>Delivered</t>
        </is>
      </c>
      <c r="I1145" t="n">
        <v>3</v>
      </c>
      <c r="J1145" t="n">
        <v>3</v>
      </c>
      <c r="K1145" t="n">
        <v>481.23</v>
      </c>
      <c r="L1145" t="n">
        <v>1.04</v>
      </c>
      <c r="M1145" t="n">
        <v>1.8</v>
      </c>
      <c r="N1145" t="n">
        <v>2.9</v>
      </c>
      <c r="O1145" t="n">
        <v>2.4</v>
      </c>
      <c r="P1145" t="n">
        <v>8.199999999999999</v>
      </c>
      <c r="Q1145" t="n">
        <v>7.1</v>
      </c>
      <c r="R1145" t="n">
        <v>-1.1</v>
      </c>
      <c r="S1145" t="b">
        <v>1</v>
      </c>
      <c r="U1145" t="n">
        <v>16</v>
      </c>
      <c r="V1145" t="b">
        <v>0</v>
      </c>
      <c r="X1145" t="b">
        <v>0</v>
      </c>
      <c r="Y1145" t="n">
        <v>0.36</v>
      </c>
    </row>
    <row r="1146">
      <c r="A1146" t="inlineStr">
        <is>
          <t>O01145</t>
        </is>
      </c>
      <c r="B1146" t="inlineStr">
        <is>
          <t>C0127</t>
        </is>
      </c>
      <c r="C1146" t="inlineStr">
        <is>
          <t>S010</t>
        </is>
      </c>
      <c r="D1146" t="inlineStr">
        <is>
          <t>R057</t>
        </is>
      </c>
      <c r="E1146" s="3" t="n">
        <v>46266.95208333333</v>
      </c>
      <c r="F1146" s="3" t="n">
        <v>46266.96048611111</v>
      </c>
      <c r="G1146" s="3" t="n">
        <v>46266.96388888889</v>
      </c>
      <c r="H1146" t="inlineStr">
        <is>
          <t>Delivered</t>
        </is>
      </c>
      <c r="I1146" t="n">
        <v>2</v>
      </c>
      <c r="J1146" t="n">
        <v>4</v>
      </c>
      <c r="K1146" t="n">
        <v>1336.15</v>
      </c>
      <c r="L1146" t="n">
        <v>4</v>
      </c>
      <c r="M1146" t="n">
        <v>6.1</v>
      </c>
      <c r="N1146" t="n">
        <v>1.7</v>
      </c>
      <c r="O1146" t="n">
        <v>9.199999999999999</v>
      </c>
      <c r="P1146" t="n">
        <v>12.1</v>
      </c>
      <c r="Q1146" t="n">
        <v>17</v>
      </c>
      <c r="R1146" t="n">
        <v>4.9</v>
      </c>
      <c r="S1146" t="b">
        <v>0</v>
      </c>
      <c r="U1146" t="n">
        <v>22</v>
      </c>
      <c r="V1146" t="b">
        <v>0</v>
      </c>
      <c r="X1146" t="b">
        <v>0</v>
      </c>
      <c r="Y1146" t="n">
        <v>0.36</v>
      </c>
    </row>
    <row r="1147">
      <c r="A1147" t="inlineStr">
        <is>
          <t>O01146</t>
        </is>
      </c>
      <c r="B1147" t="inlineStr">
        <is>
          <t>C0107</t>
        </is>
      </c>
      <c r="C1147" t="inlineStr">
        <is>
          <t>S011</t>
        </is>
      </c>
      <c r="D1147" t="inlineStr">
        <is>
          <t>R077</t>
        </is>
      </c>
      <c r="E1147" s="3" t="n">
        <v>46276.98333333333</v>
      </c>
      <c r="F1147" s="3" t="n">
        <v>46276.98986111111</v>
      </c>
      <c r="G1147" s="3" t="n">
        <v>46276.98930555556</v>
      </c>
      <c r="H1147" t="inlineStr">
        <is>
          <t>Delivered</t>
        </is>
      </c>
      <c r="I1147" t="n">
        <v>1</v>
      </c>
      <c r="J1147" t="n">
        <v>10</v>
      </c>
      <c r="K1147" t="n">
        <v>1783.02</v>
      </c>
      <c r="L1147" t="n">
        <v>2.96</v>
      </c>
      <c r="M1147" t="n">
        <v>2.8</v>
      </c>
      <c r="N1147" t="n">
        <v>2.6</v>
      </c>
      <c r="O1147" t="n">
        <v>3.2</v>
      </c>
      <c r="P1147" t="n">
        <v>9.4</v>
      </c>
      <c r="Q1147" t="n">
        <v>8.6</v>
      </c>
      <c r="R1147" t="n">
        <v>-0.8</v>
      </c>
      <c r="S1147" t="b">
        <v>1</v>
      </c>
      <c r="U1147" t="n">
        <v>23</v>
      </c>
      <c r="V1147" t="b">
        <v>0</v>
      </c>
      <c r="X1147" t="b">
        <v>0</v>
      </c>
      <c r="Y1147" t="n">
        <v>0.5</v>
      </c>
    </row>
    <row r="1148">
      <c r="A1148" t="inlineStr">
        <is>
          <t>O01147</t>
        </is>
      </c>
      <c r="B1148" t="inlineStr">
        <is>
          <t>C0046</t>
        </is>
      </c>
      <c r="C1148" t="inlineStr">
        <is>
          <t>S014</t>
        </is>
      </c>
      <c r="D1148" t="inlineStr">
        <is>
          <t>R077</t>
        </is>
      </c>
      <c r="E1148" s="3" t="n">
        <v>46271.69652777778</v>
      </c>
      <c r="F1148" s="3" t="n">
        <v>46271.70305555555</v>
      </c>
      <c r="G1148" s="3" t="n">
        <v>46271.705625</v>
      </c>
      <c r="H1148" t="inlineStr">
        <is>
          <t>Delivered</t>
        </is>
      </c>
      <c r="I1148" t="n">
        <v>2</v>
      </c>
      <c r="J1148" t="n">
        <v>13</v>
      </c>
      <c r="K1148" t="n">
        <v>1160.95</v>
      </c>
      <c r="L1148" t="n">
        <v>0.5</v>
      </c>
      <c r="M1148" t="n">
        <v>5.1</v>
      </c>
      <c r="N1148" t="n">
        <v>5.9</v>
      </c>
      <c r="O1148" t="n">
        <v>2.2</v>
      </c>
      <c r="P1148" t="n">
        <v>9.4</v>
      </c>
      <c r="Q1148" t="n">
        <v>13.1</v>
      </c>
      <c r="R1148" t="n">
        <v>3.7</v>
      </c>
      <c r="S1148" t="b">
        <v>0</v>
      </c>
      <c r="U1148" t="n">
        <v>16</v>
      </c>
      <c r="V1148" t="b">
        <v>0</v>
      </c>
      <c r="X1148" t="b">
        <v>0</v>
      </c>
      <c r="Y1148" t="n">
        <v>0.31</v>
      </c>
    </row>
    <row r="1149">
      <c r="A1149" t="inlineStr">
        <is>
          <t>O01148</t>
        </is>
      </c>
      <c r="B1149" t="inlineStr">
        <is>
          <t>C0091</t>
        </is>
      </c>
      <c r="C1149" t="inlineStr">
        <is>
          <t>S018</t>
        </is>
      </c>
      <c r="D1149" t="inlineStr">
        <is>
          <t>R051</t>
        </is>
      </c>
      <c r="E1149" s="3" t="n">
        <v>46273.90069444444</v>
      </c>
      <c r="F1149" s="3" t="n">
        <v>46273.90666666667</v>
      </c>
      <c r="G1149" s="3" t="n">
        <v>46273.90597222222</v>
      </c>
      <c r="H1149" t="inlineStr">
        <is>
          <t>Delivered</t>
        </is>
      </c>
      <c r="I1149" t="n">
        <v>2</v>
      </c>
      <c r="J1149" t="n">
        <v>4</v>
      </c>
      <c r="K1149" t="n">
        <v>464.98</v>
      </c>
      <c r="L1149" t="n">
        <v>0.9399999999999999</v>
      </c>
      <c r="M1149" t="n">
        <v>2.2</v>
      </c>
      <c r="N1149" t="n">
        <v>3.6</v>
      </c>
      <c r="O1149" t="n">
        <v>1.8</v>
      </c>
      <c r="P1149" t="n">
        <v>8.6</v>
      </c>
      <c r="Q1149" t="n">
        <v>7.6</v>
      </c>
      <c r="R1149" t="n">
        <v>-1</v>
      </c>
      <c r="S1149" t="b">
        <v>1</v>
      </c>
      <c r="U1149" t="n">
        <v>21</v>
      </c>
      <c r="V1149" t="b">
        <v>1</v>
      </c>
      <c r="X1149" t="b">
        <v>0</v>
      </c>
      <c r="Y1149" t="n">
        <v>0.45</v>
      </c>
    </row>
    <row r="1150">
      <c r="A1150" t="inlineStr">
        <is>
          <t>O01149</t>
        </is>
      </c>
      <c r="B1150" t="inlineStr">
        <is>
          <t>C0184</t>
        </is>
      </c>
      <c r="C1150" t="inlineStr">
        <is>
          <t>S002</t>
        </is>
      </c>
      <c r="D1150" t="inlineStr">
        <is>
          <t>R044</t>
        </is>
      </c>
      <c r="E1150" s="3" t="n">
        <v>46276.48263888889</v>
      </c>
      <c r="F1150" s="3" t="n">
        <v>46276.49006944444</v>
      </c>
      <c r="G1150" s="3" t="n">
        <v>46276.48951388889</v>
      </c>
      <c r="H1150" t="inlineStr">
        <is>
          <t>Delivered</t>
        </is>
      </c>
      <c r="I1150" t="n">
        <v>1</v>
      </c>
      <c r="J1150" t="n">
        <v>9</v>
      </c>
      <c r="K1150" t="n">
        <v>1530.65</v>
      </c>
      <c r="L1150" t="n">
        <v>4.64</v>
      </c>
      <c r="M1150" t="n">
        <v>1.6</v>
      </c>
      <c r="N1150" t="n">
        <v>2.7</v>
      </c>
      <c r="O1150" t="n">
        <v>5.6</v>
      </c>
      <c r="P1150" t="n">
        <v>10.7</v>
      </c>
      <c r="Q1150" t="n">
        <v>9.9</v>
      </c>
      <c r="R1150" t="n">
        <v>-0.8</v>
      </c>
      <c r="S1150" t="b">
        <v>1</v>
      </c>
      <c r="U1150" t="n">
        <v>11</v>
      </c>
      <c r="V1150" t="b">
        <v>0</v>
      </c>
      <c r="W1150" t="inlineStr">
        <is>
          <t>Light</t>
        </is>
      </c>
      <c r="X1150" t="b">
        <v>0</v>
      </c>
      <c r="Y1150" t="n">
        <v>0.35</v>
      </c>
    </row>
    <row r="1151">
      <c r="A1151" t="inlineStr">
        <is>
          <t>O01150</t>
        </is>
      </c>
      <c r="B1151" t="inlineStr">
        <is>
          <t>C0022</t>
        </is>
      </c>
      <c r="C1151" t="inlineStr">
        <is>
          <t>S019</t>
        </is>
      </c>
      <c r="D1151" t="inlineStr">
        <is>
          <t>R063</t>
        </is>
      </c>
      <c r="E1151" s="3" t="n">
        <v>46270.52638888889</v>
      </c>
      <c r="F1151" s="3" t="n">
        <v>46270.53388888889</v>
      </c>
      <c r="G1151" s="3" t="n">
        <v>46270.53326388889</v>
      </c>
      <c r="H1151" t="inlineStr">
        <is>
          <t>Delivered</t>
        </is>
      </c>
      <c r="I1151" t="n">
        <v>1</v>
      </c>
      <c r="J1151" t="n">
        <v>10</v>
      </c>
      <c r="K1151" t="n">
        <v>677.02</v>
      </c>
      <c r="L1151" t="n">
        <v>1.52</v>
      </c>
      <c r="M1151" t="n">
        <v>3.6</v>
      </c>
      <c r="N1151" t="n">
        <v>2.5</v>
      </c>
      <c r="O1151" t="n">
        <v>3.8</v>
      </c>
      <c r="P1151" t="n">
        <v>10.8</v>
      </c>
      <c r="Q1151" t="n">
        <v>9.9</v>
      </c>
      <c r="R1151" t="n">
        <v>-0.9</v>
      </c>
      <c r="S1151" t="b">
        <v>1</v>
      </c>
      <c r="U1151" t="n">
        <v>12</v>
      </c>
      <c r="V1151" t="b">
        <v>0</v>
      </c>
      <c r="W1151" t="inlineStr">
        <is>
          <t>Light</t>
        </is>
      </c>
      <c r="X1151" t="b">
        <v>0</v>
      </c>
      <c r="Y1151" t="n">
        <v>0.43</v>
      </c>
    </row>
    <row r="1152">
      <c r="A1152" t="inlineStr">
        <is>
          <t>O01151</t>
        </is>
      </c>
      <c r="B1152" t="inlineStr">
        <is>
          <t>C0122</t>
        </is>
      </c>
      <c r="C1152" t="inlineStr">
        <is>
          <t>S015</t>
        </is>
      </c>
      <c r="D1152" t="inlineStr">
        <is>
          <t>R059</t>
        </is>
      </c>
      <c r="E1152" s="3" t="n">
        <v>46275.86944444444</v>
      </c>
      <c r="F1152" s="3" t="n">
        <v>46275.87652777778</v>
      </c>
      <c r="G1152" s="3" t="n">
        <v>46275.87604166667</v>
      </c>
      <c r="H1152" t="inlineStr">
        <is>
          <t>Delivered</t>
        </is>
      </c>
      <c r="I1152" t="n">
        <v>3</v>
      </c>
      <c r="J1152" t="n">
        <v>4</v>
      </c>
      <c r="K1152" t="n">
        <v>292.59</v>
      </c>
      <c r="L1152" t="n">
        <v>3.49</v>
      </c>
      <c r="M1152" t="n">
        <v>2.5</v>
      </c>
      <c r="N1152" t="n">
        <v>2.2</v>
      </c>
      <c r="O1152" t="n">
        <v>4.8</v>
      </c>
      <c r="P1152" t="n">
        <v>10.2</v>
      </c>
      <c r="Q1152" t="n">
        <v>9.5</v>
      </c>
      <c r="R1152" t="n">
        <v>-0.7</v>
      </c>
      <c r="S1152" t="b">
        <v>1</v>
      </c>
      <c r="U1152" t="n">
        <v>20</v>
      </c>
      <c r="V1152" t="b">
        <v>1</v>
      </c>
      <c r="X1152" t="b">
        <v>0</v>
      </c>
      <c r="Y1152" t="n">
        <v>0.53</v>
      </c>
    </row>
    <row r="1153">
      <c r="A1153" t="inlineStr">
        <is>
          <t>O01152</t>
        </is>
      </c>
      <c r="B1153" t="inlineStr">
        <is>
          <t>C0113</t>
        </is>
      </c>
      <c r="C1153" t="inlineStr">
        <is>
          <t>S015</t>
        </is>
      </c>
      <c r="D1153" t="inlineStr">
        <is>
          <t>R010</t>
        </is>
      </c>
      <c r="E1153" s="3" t="n">
        <v>46277.6125</v>
      </c>
      <c r="F1153" s="3" t="n">
        <v>46277.61979166666</v>
      </c>
      <c r="G1153" s="3" t="n">
        <v>46277.62479166667</v>
      </c>
      <c r="H1153" t="inlineStr">
        <is>
          <t>Delivered</t>
        </is>
      </c>
      <c r="I1153" t="n">
        <v>6</v>
      </c>
      <c r="J1153" t="n">
        <v>8</v>
      </c>
      <c r="K1153" t="n">
        <v>964.86</v>
      </c>
      <c r="L1153" t="n">
        <v>1.27</v>
      </c>
      <c r="M1153" t="n">
        <v>4.5</v>
      </c>
      <c r="N1153" t="n">
        <v>9.5</v>
      </c>
      <c r="O1153" t="n">
        <v>3.7</v>
      </c>
      <c r="P1153" t="n">
        <v>10.5</v>
      </c>
      <c r="Q1153" t="n">
        <v>17.7</v>
      </c>
      <c r="R1153" t="n">
        <v>7.2</v>
      </c>
      <c r="S1153" t="b">
        <v>0</v>
      </c>
      <c r="U1153" t="n">
        <v>14</v>
      </c>
      <c r="V1153" t="b">
        <v>0</v>
      </c>
      <c r="X1153" t="b">
        <v>0</v>
      </c>
      <c r="Y1153" t="n">
        <v>0.4</v>
      </c>
    </row>
    <row r="1154">
      <c r="A1154" t="inlineStr">
        <is>
          <t>O01153</t>
        </is>
      </c>
      <c r="B1154" t="inlineStr">
        <is>
          <t>C0149</t>
        </is>
      </c>
      <c r="C1154" t="inlineStr">
        <is>
          <t>S008</t>
        </is>
      </c>
      <c r="D1154" t="inlineStr">
        <is>
          <t>R064</t>
        </is>
      </c>
      <c r="E1154" s="3" t="n">
        <v>46266.45833333334</v>
      </c>
      <c r="F1154" s="3" t="n">
        <v>46266.46729166667</v>
      </c>
      <c r="G1154" s="3" t="n">
        <v>46266.473125</v>
      </c>
      <c r="H1154" t="inlineStr">
        <is>
          <t>Delivered</t>
        </is>
      </c>
      <c r="I1154" t="n">
        <v>3</v>
      </c>
      <c r="J1154" t="n">
        <v>7</v>
      </c>
      <c r="K1154" t="n">
        <v>1007.67</v>
      </c>
      <c r="L1154" t="n">
        <v>4.9</v>
      </c>
      <c r="M1154" t="n">
        <v>4.6</v>
      </c>
      <c r="N1154" t="n">
        <v>5.2</v>
      </c>
      <c r="O1154" t="n">
        <v>11.5</v>
      </c>
      <c r="P1154" t="n">
        <v>12.9</v>
      </c>
      <c r="Q1154" t="n">
        <v>21.3</v>
      </c>
      <c r="R1154" t="n">
        <v>8.4</v>
      </c>
      <c r="S1154" t="b">
        <v>0</v>
      </c>
      <c r="U1154" t="n">
        <v>11</v>
      </c>
      <c r="V1154" t="b">
        <v>0</v>
      </c>
      <c r="X1154" t="b">
        <v>0</v>
      </c>
      <c r="Y1154" t="n">
        <v>0.21</v>
      </c>
    </row>
    <row r="1155">
      <c r="A1155" t="inlineStr">
        <is>
          <t>O01154</t>
        </is>
      </c>
      <c r="B1155" t="inlineStr">
        <is>
          <t>C0063</t>
        </is>
      </c>
      <c r="C1155" t="inlineStr">
        <is>
          <t>S004</t>
        </is>
      </c>
      <c r="D1155" t="inlineStr">
        <is>
          <t>R030</t>
        </is>
      </c>
      <c r="E1155" s="3" t="n">
        <v>46277.91458333333</v>
      </c>
      <c r="F1155" s="3" t="n">
        <v>46277.92097222222</v>
      </c>
      <c r="G1155" s="3" t="n">
        <v>46277.92083333333</v>
      </c>
      <c r="H1155" t="inlineStr">
        <is>
          <t>Delivered</t>
        </is>
      </c>
      <c r="I1155" t="n">
        <v>5</v>
      </c>
      <c r="J1155" t="n">
        <v>7</v>
      </c>
      <c r="K1155" t="n">
        <v>1738.09</v>
      </c>
      <c r="L1155" t="n">
        <v>0.99</v>
      </c>
      <c r="M1155" t="n">
        <v>3.7</v>
      </c>
      <c r="N1155" t="n">
        <v>1.6</v>
      </c>
      <c r="O1155" t="n">
        <v>3.7</v>
      </c>
      <c r="P1155" t="n">
        <v>9.199999999999999</v>
      </c>
      <c r="Q1155" t="n">
        <v>9</v>
      </c>
      <c r="R1155" t="n">
        <v>-0.2</v>
      </c>
      <c r="S1155" t="b">
        <v>1</v>
      </c>
      <c r="U1155" t="n">
        <v>21</v>
      </c>
      <c r="V1155" t="b">
        <v>1</v>
      </c>
      <c r="W1155" t="inlineStr">
        <is>
          <t>Light</t>
        </is>
      </c>
      <c r="X1155" t="b">
        <v>0</v>
      </c>
      <c r="Y1155" t="n">
        <v>0.54</v>
      </c>
    </row>
    <row r="1156">
      <c r="A1156" t="inlineStr">
        <is>
          <t>O01155</t>
        </is>
      </c>
      <c r="B1156" t="inlineStr">
        <is>
          <t>C0152</t>
        </is>
      </c>
      <c r="C1156" t="inlineStr">
        <is>
          <t>S010</t>
        </is>
      </c>
      <c r="E1156" s="3" t="n">
        <v>46275.86944444444</v>
      </c>
      <c r="F1156" s="3" t="n">
        <v>46275.87611111111</v>
      </c>
      <c r="H1156" t="inlineStr">
        <is>
          <t>Cancelled</t>
        </is>
      </c>
      <c r="I1156" t="n">
        <v>4</v>
      </c>
      <c r="J1156" t="n">
        <v>8</v>
      </c>
      <c r="K1156" t="n">
        <v>1182.52</v>
      </c>
      <c r="L1156" t="n">
        <v>3.77</v>
      </c>
      <c r="M1156" t="n">
        <v>5.4</v>
      </c>
      <c r="N1156" t="n">
        <v>5.7</v>
      </c>
      <c r="O1156" t="n">
        <v>11.3</v>
      </c>
      <c r="P1156" t="n">
        <v>9.6</v>
      </c>
      <c r="T1156" t="inlineStr">
        <is>
          <t>Customer cancelled</t>
        </is>
      </c>
      <c r="U1156" t="n">
        <v>20</v>
      </c>
      <c r="V1156" t="b">
        <v>1</v>
      </c>
      <c r="X1156" t="b">
        <v>0</v>
      </c>
      <c r="Y1156" t="n">
        <v>0.88</v>
      </c>
    </row>
    <row r="1157">
      <c r="A1157" t="inlineStr">
        <is>
          <t>O01156</t>
        </is>
      </c>
      <c r="B1157" t="inlineStr">
        <is>
          <t>C0249</t>
        </is>
      </c>
      <c r="C1157" t="inlineStr">
        <is>
          <t>S016</t>
        </is>
      </c>
      <c r="D1157" t="inlineStr">
        <is>
          <t>R002</t>
        </is>
      </c>
      <c r="E1157" s="3" t="n">
        <v>46279.70138888889</v>
      </c>
      <c r="F1157" s="3" t="n">
        <v>46279.71076388889</v>
      </c>
      <c r="G1157" s="3" t="n">
        <v>46279.71055555555</v>
      </c>
      <c r="H1157" t="inlineStr">
        <is>
          <t>Delivered</t>
        </is>
      </c>
      <c r="I1157" t="n">
        <v>2</v>
      </c>
      <c r="J1157" t="n">
        <v>3</v>
      </c>
      <c r="K1157" t="n">
        <v>1083.41</v>
      </c>
      <c r="L1157" t="n">
        <v>1.9</v>
      </c>
      <c r="M1157" t="n">
        <v>4.2</v>
      </c>
      <c r="N1157" t="n">
        <v>5.6</v>
      </c>
      <c r="O1157" t="n">
        <v>3.4</v>
      </c>
      <c r="P1157" t="n">
        <v>13.5</v>
      </c>
      <c r="Q1157" t="n">
        <v>13.2</v>
      </c>
      <c r="R1157" t="n">
        <v>-0.3</v>
      </c>
      <c r="S1157" t="b">
        <v>1</v>
      </c>
      <c r="U1157" t="n">
        <v>16</v>
      </c>
      <c r="V1157" t="b">
        <v>0</v>
      </c>
      <c r="X1157" t="b">
        <v>0</v>
      </c>
      <c r="Y1157" t="n">
        <v>0.25</v>
      </c>
    </row>
    <row r="1158">
      <c r="A1158" t="inlineStr">
        <is>
          <t>O01157</t>
        </is>
      </c>
      <c r="B1158" t="inlineStr">
        <is>
          <t>C0218</t>
        </is>
      </c>
      <c r="C1158" t="inlineStr">
        <is>
          <t>S013</t>
        </is>
      </c>
      <c r="D1158" t="inlineStr">
        <is>
          <t>R036</t>
        </is>
      </c>
      <c r="E1158" s="3" t="n">
        <v>46269.43611111111</v>
      </c>
      <c r="F1158" s="3" t="n">
        <v>46269.44305555556</v>
      </c>
      <c r="G1158" s="3" t="n">
        <v>46269.44256944444</v>
      </c>
      <c r="H1158" t="inlineStr">
        <is>
          <t>Delivered</t>
        </is>
      </c>
      <c r="I1158" t="n">
        <v>6</v>
      </c>
      <c r="J1158" t="n">
        <v>9</v>
      </c>
      <c r="K1158" t="n">
        <v>1366.4</v>
      </c>
      <c r="L1158" t="n">
        <v>2.84</v>
      </c>
      <c r="M1158" t="n">
        <v>4.4</v>
      </c>
      <c r="N1158" t="n">
        <v>1.5</v>
      </c>
      <c r="O1158" t="n">
        <v>3.4</v>
      </c>
      <c r="P1158" t="n">
        <v>10</v>
      </c>
      <c r="Q1158" t="n">
        <v>9.300000000000001</v>
      </c>
      <c r="R1158" t="n">
        <v>-0.7</v>
      </c>
      <c r="S1158" t="b">
        <v>1</v>
      </c>
      <c r="U1158" t="n">
        <v>10</v>
      </c>
      <c r="V1158" t="b">
        <v>0</v>
      </c>
      <c r="X1158" t="b">
        <v>0</v>
      </c>
      <c r="Y1158" t="n">
        <v>0.38</v>
      </c>
    </row>
    <row r="1159">
      <c r="A1159" t="inlineStr">
        <is>
          <t>O01158</t>
        </is>
      </c>
      <c r="B1159" t="inlineStr">
        <is>
          <t>C0015</t>
        </is>
      </c>
      <c r="C1159" t="inlineStr">
        <is>
          <t>S020</t>
        </is>
      </c>
      <c r="D1159" t="inlineStr">
        <is>
          <t>R006</t>
        </is>
      </c>
      <c r="E1159" s="3" t="n">
        <v>46272.61527777778</v>
      </c>
      <c r="F1159" s="3" t="n">
        <v>46272.62375</v>
      </c>
      <c r="G1159" s="3" t="n">
        <v>46272.62826388889</v>
      </c>
      <c r="H1159" t="inlineStr">
        <is>
          <t>Delivered</t>
        </is>
      </c>
      <c r="I1159" t="n">
        <v>2</v>
      </c>
      <c r="J1159" t="n">
        <v>5</v>
      </c>
      <c r="K1159" t="n">
        <v>337.86</v>
      </c>
      <c r="L1159" t="n">
        <v>3.8</v>
      </c>
      <c r="M1159" t="n">
        <v>6.7</v>
      </c>
      <c r="N1159" t="n">
        <v>2.7</v>
      </c>
      <c r="O1159" t="n">
        <v>9.300000000000001</v>
      </c>
      <c r="P1159" t="n">
        <v>12.2</v>
      </c>
      <c r="Q1159" t="n">
        <v>18.7</v>
      </c>
      <c r="R1159" t="n">
        <v>6.5</v>
      </c>
      <c r="S1159" t="b">
        <v>0</v>
      </c>
      <c r="U1159" t="n">
        <v>14</v>
      </c>
      <c r="V1159" t="b">
        <v>0</v>
      </c>
      <c r="X1159" t="b">
        <v>0</v>
      </c>
      <c r="Y1159" t="n">
        <v>0.35</v>
      </c>
    </row>
    <row r="1160">
      <c r="A1160" t="inlineStr">
        <is>
          <t>O01159</t>
        </is>
      </c>
      <c r="B1160" t="inlineStr">
        <is>
          <t>C0133</t>
        </is>
      </c>
      <c r="C1160" t="inlineStr">
        <is>
          <t>S008</t>
        </is>
      </c>
      <c r="D1160" t="inlineStr">
        <is>
          <t>R037</t>
        </is>
      </c>
      <c r="E1160" s="3" t="n">
        <v>46267.73888888889</v>
      </c>
      <c r="F1160" s="3" t="n">
        <v>46267.74659722222</v>
      </c>
      <c r="G1160" s="3" t="n">
        <v>46267.75145833333</v>
      </c>
      <c r="H1160" t="inlineStr">
        <is>
          <t>Delivered</t>
        </is>
      </c>
      <c r="I1160" t="n">
        <v>3</v>
      </c>
      <c r="J1160" t="n">
        <v>7</v>
      </c>
      <c r="K1160" t="n">
        <v>630.33</v>
      </c>
      <c r="L1160" t="n">
        <v>2.11</v>
      </c>
      <c r="M1160" t="n">
        <v>4.3</v>
      </c>
      <c r="N1160" t="n">
        <v>8.4</v>
      </c>
      <c r="O1160" t="n">
        <v>5.3</v>
      </c>
      <c r="P1160" t="n">
        <v>11.1</v>
      </c>
      <c r="Q1160" t="n">
        <v>18.1</v>
      </c>
      <c r="R1160" t="n">
        <v>7</v>
      </c>
      <c r="S1160" t="b">
        <v>0</v>
      </c>
      <c r="U1160" t="n">
        <v>17</v>
      </c>
      <c r="V1160" t="b">
        <v>0</v>
      </c>
      <c r="X1160" t="b">
        <v>0</v>
      </c>
      <c r="Y1160" t="n">
        <v>0.54</v>
      </c>
    </row>
    <row r="1161">
      <c r="A1161" t="inlineStr">
        <is>
          <t>O01160</t>
        </is>
      </c>
      <c r="B1161" t="inlineStr">
        <is>
          <t>C0057</t>
        </is>
      </c>
      <c r="C1161" t="inlineStr">
        <is>
          <t>S007</t>
        </is>
      </c>
      <c r="D1161" t="inlineStr">
        <is>
          <t>R046</t>
        </is>
      </c>
      <c r="E1161" s="3" t="n">
        <v>46272.94652777778</v>
      </c>
      <c r="F1161" s="3" t="n">
        <v>46272.95541666666</v>
      </c>
      <c r="G1161" s="3" t="n">
        <v>46272.96111111111</v>
      </c>
      <c r="H1161" t="inlineStr">
        <is>
          <t>Delivered</t>
        </is>
      </c>
      <c r="I1161" t="n">
        <v>4</v>
      </c>
      <c r="J1161" t="n">
        <v>7</v>
      </c>
      <c r="K1161" t="n">
        <v>789.6</v>
      </c>
      <c r="L1161" t="n">
        <v>4.4</v>
      </c>
      <c r="M1161" t="n">
        <v>3.9</v>
      </c>
      <c r="N1161" t="n">
        <v>7</v>
      </c>
      <c r="O1161" t="n">
        <v>10</v>
      </c>
      <c r="P1161" t="n">
        <v>12.8</v>
      </c>
      <c r="Q1161" t="n">
        <v>21</v>
      </c>
      <c r="R1161" t="n">
        <v>8.199999999999999</v>
      </c>
      <c r="S1161" t="b">
        <v>0</v>
      </c>
      <c r="U1161" t="n">
        <v>22</v>
      </c>
      <c r="V1161" t="b">
        <v>0</v>
      </c>
      <c r="W1161" t="inlineStr">
        <is>
          <t>Light</t>
        </is>
      </c>
      <c r="X1161" t="b">
        <v>0</v>
      </c>
      <c r="Y1161" t="n">
        <v>0.28</v>
      </c>
    </row>
    <row r="1162">
      <c r="A1162" t="inlineStr">
        <is>
          <t>O01161</t>
        </is>
      </c>
      <c r="B1162" t="inlineStr">
        <is>
          <t>C0156</t>
        </is>
      </c>
      <c r="C1162" t="inlineStr">
        <is>
          <t>S015</t>
        </is>
      </c>
      <c r="D1162" t="inlineStr">
        <is>
          <t>R040</t>
        </is>
      </c>
      <c r="E1162" s="3" t="n">
        <v>46268.51041666666</v>
      </c>
      <c r="F1162" s="3" t="n">
        <v>46268.51736111111</v>
      </c>
      <c r="G1162" s="3" t="n">
        <v>46268.51701388889</v>
      </c>
      <c r="H1162" t="inlineStr">
        <is>
          <t>Delivered</t>
        </is>
      </c>
      <c r="I1162" t="n">
        <v>1</v>
      </c>
      <c r="J1162" t="n">
        <v>3</v>
      </c>
      <c r="K1162" t="n">
        <v>801.13</v>
      </c>
      <c r="L1162" t="n">
        <v>0.82</v>
      </c>
      <c r="M1162" t="n">
        <v>2.8</v>
      </c>
      <c r="N1162" t="n">
        <v>4.9</v>
      </c>
      <c r="O1162" t="n">
        <v>1.8</v>
      </c>
      <c r="P1162" t="n">
        <v>10</v>
      </c>
      <c r="Q1162" t="n">
        <v>9.5</v>
      </c>
      <c r="R1162" t="n">
        <v>-0.5</v>
      </c>
      <c r="S1162" t="b">
        <v>1</v>
      </c>
      <c r="U1162" t="n">
        <v>12</v>
      </c>
      <c r="V1162" t="b">
        <v>0</v>
      </c>
      <c r="X1162" t="b">
        <v>0</v>
      </c>
      <c r="Y1162" t="n">
        <v>0.36</v>
      </c>
    </row>
    <row r="1163">
      <c r="A1163" t="inlineStr">
        <is>
          <t>O01162</t>
        </is>
      </c>
      <c r="B1163" t="inlineStr">
        <is>
          <t>C0142</t>
        </is>
      </c>
      <c r="C1163" t="inlineStr">
        <is>
          <t>S006</t>
        </is>
      </c>
      <c r="D1163" t="inlineStr">
        <is>
          <t>R061</t>
        </is>
      </c>
      <c r="E1163" s="3" t="n">
        <v>46267.86597222222</v>
      </c>
      <c r="F1163" s="3" t="n">
        <v>46267.87173611111</v>
      </c>
      <c r="G1163" s="3" t="n">
        <v>46267.87590277778</v>
      </c>
      <c r="H1163" t="inlineStr">
        <is>
          <t>Delivered</t>
        </is>
      </c>
      <c r="I1163" t="n">
        <v>5</v>
      </c>
      <c r="J1163" t="n">
        <v>8</v>
      </c>
      <c r="K1163" t="n">
        <v>1549.29</v>
      </c>
      <c r="L1163" t="n">
        <v>1.5</v>
      </c>
      <c r="M1163" t="n">
        <v>6.4</v>
      </c>
      <c r="N1163" t="n">
        <v>3.2</v>
      </c>
      <c r="O1163" t="n">
        <v>4.7</v>
      </c>
      <c r="P1163" t="n">
        <v>8.300000000000001</v>
      </c>
      <c r="Q1163" t="n">
        <v>14.3</v>
      </c>
      <c r="R1163" t="n">
        <v>6</v>
      </c>
      <c r="S1163" t="b">
        <v>0</v>
      </c>
      <c r="U1163" t="n">
        <v>20</v>
      </c>
      <c r="V1163" t="b">
        <v>1</v>
      </c>
      <c r="X1163" t="b">
        <v>0</v>
      </c>
      <c r="Y1163" t="n">
        <v>0.62</v>
      </c>
    </row>
    <row r="1164">
      <c r="A1164" t="inlineStr">
        <is>
          <t>O01163</t>
        </is>
      </c>
      <c r="B1164" t="inlineStr">
        <is>
          <t>C0212</t>
        </is>
      </c>
      <c r="C1164" t="inlineStr">
        <is>
          <t>S020</t>
        </is>
      </c>
      <c r="D1164" t="inlineStr">
        <is>
          <t>R010</t>
        </is>
      </c>
      <c r="E1164" s="3" t="n">
        <v>46268.69513888889</v>
      </c>
      <c r="F1164" s="3" t="n">
        <v>46268.70222222222</v>
      </c>
      <c r="G1164" s="3" t="n">
        <v>46268.70201388889</v>
      </c>
      <c r="H1164" t="inlineStr">
        <is>
          <t>Delivered</t>
        </is>
      </c>
      <c r="I1164" t="n">
        <v>2</v>
      </c>
      <c r="J1164" t="n">
        <v>9</v>
      </c>
      <c r="K1164" t="n">
        <v>233.39</v>
      </c>
      <c r="L1164" t="n">
        <v>1.6</v>
      </c>
      <c r="M1164" t="n">
        <v>3.4</v>
      </c>
      <c r="N1164" t="n">
        <v>4.2</v>
      </c>
      <c r="O1164" t="n">
        <v>2.3</v>
      </c>
      <c r="P1164" t="n">
        <v>10.2</v>
      </c>
      <c r="Q1164" t="n">
        <v>9.9</v>
      </c>
      <c r="R1164" t="n">
        <v>-0.3</v>
      </c>
      <c r="S1164" t="b">
        <v>1</v>
      </c>
      <c r="U1164" t="n">
        <v>16</v>
      </c>
      <c r="V1164" t="b">
        <v>0</v>
      </c>
      <c r="X1164" t="b">
        <v>0</v>
      </c>
      <c r="Y1164" t="n">
        <v>0.37</v>
      </c>
    </row>
    <row r="1165">
      <c r="A1165" t="inlineStr">
        <is>
          <t>O01164</t>
        </is>
      </c>
      <c r="B1165" t="inlineStr">
        <is>
          <t>C0197</t>
        </is>
      </c>
      <c r="C1165" t="inlineStr">
        <is>
          <t>S011</t>
        </is>
      </c>
      <c r="D1165" t="inlineStr">
        <is>
          <t>R034</t>
        </is>
      </c>
      <c r="E1165" s="3" t="n">
        <v>46276.59166666667</v>
      </c>
      <c r="F1165" s="3" t="n">
        <v>46276.59930555556</v>
      </c>
      <c r="G1165" s="3" t="n">
        <v>46276.59916666667</v>
      </c>
      <c r="H1165" t="inlineStr">
        <is>
          <t>Delivered</t>
        </is>
      </c>
      <c r="I1165" t="n">
        <v>2</v>
      </c>
      <c r="J1165" t="n">
        <v>6</v>
      </c>
      <c r="K1165" t="n">
        <v>544.02</v>
      </c>
      <c r="L1165" t="n">
        <v>0.88</v>
      </c>
      <c r="M1165" t="n">
        <v>4.8</v>
      </c>
      <c r="N1165" t="n">
        <v>3.3</v>
      </c>
      <c r="O1165" t="n">
        <v>2.7</v>
      </c>
      <c r="P1165" t="n">
        <v>11</v>
      </c>
      <c r="Q1165" t="n">
        <v>10.8</v>
      </c>
      <c r="R1165" t="n">
        <v>-0.2</v>
      </c>
      <c r="S1165" t="b">
        <v>1</v>
      </c>
      <c r="U1165" t="n">
        <v>14</v>
      </c>
      <c r="V1165" t="b">
        <v>0</v>
      </c>
      <c r="X1165" t="b">
        <v>0</v>
      </c>
      <c r="Y1165" t="n">
        <v>0.32</v>
      </c>
    </row>
    <row r="1166">
      <c r="A1166" t="inlineStr">
        <is>
          <t>O01165</t>
        </is>
      </c>
      <c r="B1166" t="inlineStr">
        <is>
          <t>C0149</t>
        </is>
      </c>
      <c r="C1166" t="inlineStr">
        <is>
          <t>S013</t>
        </is>
      </c>
      <c r="D1166" t="inlineStr">
        <is>
          <t>R046</t>
        </is>
      </c>
      <c r="E1166" s="3" t="n">
        <v>46279.85277777778</v>
      </c>
      <c r="F1166" s="3" t="n">
        <v>46279.85916666667</v>
      </c>
      <c r="G1166" s="3" t="n">
        <v>46279.85902777778</v>
      </c>
      <c r="H1166" t="inlineStr">
        <is>
          <t>Delivered</t>
        </is>
      </c>
      <c r="I1166" t="n">
        <v>1</v>
      </c>
      <c r="J1166" t="n">
        <v>4</v>
      </c>
      <c r="K1166" t="n">
        <v>1457.91</v>
      </c>
      <c r="L1166" t="n">
        <v>1.62</v>
      </c>
      <c r="M1166" t="n">
        <v>2.1</v>
      </c>
      <c r="N1166" t="n">
        <v>4.5</v>
      </c>
      <c r="O1166" t="n">
        <v>2.4</v>
      </c>
      <c r="P1166" t="n">
        <v>9.199999999999999</v>
      </c>
      <c r="Q1166" t="n">
        <v>9</v>
      </c>
      <c r="R1166" t="n">
        <v>-0.2</v>
      </c>
      <c r="S1166" t="b">
        <v>1</v>
      </c>
      <c r="U1166" t="n">
        <v>20</v>
      </c>
      <c r="V1166" t="b">
        <v>1</v>
      </c>
      <c r="X1166" t="b">
        <v>0</v>
      </c>
      <c r="Y1166" t="n">
        <v>0.73</v>
      </c>
    </row>
    <row r="1167">
      <c r="A1167" t="inlineStr">
        <is>
          <t>O01166</t>
        </is>
      </c>
      <c r="B1167" t="inlineStr">
        <is>
          <t>C0024</t>
        </is>
      </c>
      <c r="C1167" t="inlineStr">
        <is>
          <t>S009</t>
        </is>
      </c>
      <c r="D1167" t="inlineStr">
        <is>
          <t>R058</t>
        </is>
      </c>
      <c r="E1167" s="3" t="n">
        <v>46270.86875</v>
      </c>
      <c r="F1167" s="3" t="n">
        <v>46270.87493055555</v>
      </c>
      <c r="G1167" s="3" t="n">
        <v>46270.87840277778</v>
      </c>
      <c r="H1167" t="inlineStr">
        <is>
          <t>Delivered</t>
        </is>
      </c>
      <c r="I1167" t="n">
        <v>1</v>
      </c>
      <c r="J1167" t="n">
        <v>3</v>
      </c>
      <c r="K1167" t="n">
        <v>268.26</v>
      </c>
      <c r="L1167" t="n">
        <v>0.5</v>
      </c>
      <c r="M1167" t="n">
        <v>1.9</v>
      </c>
      <c r="N1167" t="n">
        <v>6.8</v>
      </c>
      <c r="O1167" t="n">
        <v>5.2</v>
      </c>
      <c r="P1167" t="n">
        <v>8.9</v>
      </c>
      <c r="Q1167" t="n">
        <v>13.9</v>
      </c>
      <c r="R1167" t="n">
        <v>5</v>
      </c>
      <c r="S1167" t="b">
        <v>0</v>
      </c>
      <c r="U1167" t="n">
        <v>20</v>
      </c>
      <c r="V1167" t="b">
        <v>1</v>
      </c>
      <c r="W1167" t="inlineStr">
        <is>
          <t>Heavy</t>
        </is>
      </c>
      <c r="X1167" t="b">
        <v>0</v>
      </c>
      <c r="Y1167" t="n">
        <v>0.72</v>
      </c>
    </row>
    <row r="1168">
      <c r="A1168" t="inlineStr">
        <is>
          <t>O01167</t>
        </is>
      </c>
      <c r="B1168" t="inlineStr">
        <is>
          <t>C0004</t>
        </is>
      </c>
      <c r="C1168" t="inlineStr">
        <is>
          <t>S014</t>
        </is>
      </c>
      <c r="D1168" t="inlineStr">
        <is>
          <t>R077</t>
        </is>
      </c>
      <c r="E1168" s="3" t="n">
        <v>46268.81180555555</v>
      </c>
      <c r="F1168" s="3" t="n">
        <v>46268.81944444445</v>
      </c>
      <c r="G1168" s="3" t="n">
        <v>46268.81888888889</v>
      </c>
      <c r="H1168" t="inlineStr">
        <is>
          <t>Delivered</t>
        </is>
      </c>
      <c r="I1168" t="n">
        <v>2</v>
      </c>
      <c r="J1168" t="n">
        <v>6</v>
      </c>
      <c r="K1168" t="n">
        <v>254.64</v>
      </c>
      <c r="L1168" t="n">
        <v>1.44</v>
      </c>
      <c r="M1168" t="n">
        <v>3.7</v>
      </c>
      <c r="N1168" t="n">
        <v>3.7</v>
      </c>
      <c r="O1168" t="n">
        <v>2.8</v>
      </c>
      <c r="P1168" t="n">
        <v>11</v>
      </c>
      <c r="Q1168" t="n">
        <v>10.2</v>
      </c>
      <c r="R1168" t="n">
        <v>-0.8</v>
      </c>
      <c r="S1168" t="b">
        <v>1</v>
      </c>
      <c r="U1168" t="n">
        <v>19</v>
      </c>
      <c r="V1168" t="b">
        <v>1</v>
      </c>
      <c r="W1168" t="inlineStr">
        <is>
          <t>Light</t>
        </is>
      </c>
      <c r="X1168" t="b">
        <v>0</v>
      </c>
      <c r="Y1168" t="n">
        <v>0.39</v>
      </c>
    </row>
    <row r="1169">
      <c r="A1169" t="inlineStr">
        <is>
          <t>O01168</t>
        </is>
      </c>
      <c r="B1169" t="inlineStr">
        <is>
          <t>C0045</t>
        </is>
      </c>
      <c r="C1169" t="inlineStr">
        <is>
          <t>S010</t>
        </is>
      </c>
      <c r="D1169" t="inlineStr">
        <is>
          <t>R028</t>
        </is>
      </c>
      <c r="E1169" s="3" t="n">
        <v>46279.52291666667</v>
      </c>
      <c r="F1169" s="3" t="n">
        <v>46279.53</v>
      </c>
      <c r="G1169" s="3" t="n">
        <v>46279.52972222222</v>
      </c>
      <c r="H1169" t="inlineStr">
        <is>
          <t>Delivered</t>
        </is>
      </c>
      <c r="I1169" t="n">
        <v>1</v>
      </c>
      <c r="J1169" t="n">
        <v>4</v>
      </c>
      <c r="K1169" t="n">
        <v>498.54</v>
      </c>
      <c r="L1169" t="n">
        <v>0.55</v>
      </c>
      <c r="M1169" t="n">
        <v>3.9</v>
      </c>
      <c r="N1169" t="n">
        <v>4</v>
      </c>
      <c r="O1169" t="n">
        <v>1.9</v>
      </c>
      <c r="P1169" t="n">
        <v>10.2</v>
      </c>
      <c r="Q1169" t="n">
        <v>9.800000000000001</v>
      </c>
      <c r="R1169" t="n">
        <v>-0.4</v>
      </c>
      <c r="S1169" t="b">
        <v>1</v>
      </c>
      <c r="U1169" t="n">
        <v>12</v>
      </c>
      <c r="V1169" t="b">
        <v>0</v>
      </c>
      <c r="X1169" t="b">
        <v>0</v>
      </c>
      <c r="Y1169" t="n">
        <v>0.47</v>
      </c>
    </row>
    <row r="1170">
      <c r="A1170" t="inlineStr">
        <is>
          <t>O01169</t>
        </is>
      </c>
      <c r="B1170" t="inlineStr">
        <is>
          <t>C0115</t>
        </is>
      </c>
      <c r="C1170" t="inlineStr">
        <is>
          <t>S014</t>
        </is>
      </c>
      <c r="D1170" t="inlineStr">
        <is>
          <t>R057</t>
        </is>
      </c>
      <c r="E1170" s="3" t="n">
        <v>46276.59722222222</v>
      </c>
      <c r="F1170" s="3" t="n">
        <v>46276.60243055555</v>
      </c>
      <c r="G1170" s="3" t="n">
        <v>46276.601875</v>
      </c>
      <c r="H1170" t="inlineStr">
        <is>
          <t>Delivered</t>
        </is>
      </c>
      <c r="I1170" t="n">
        <v>2</v>
      </c>
      <c r="J1170" t="n">
        <v>5</v>
      </c>
      <c r="K1170" t="n">
        <v>966.61</v>
      </c>
      <c r="L1170" t="n">
        <v>1.77</v>
      </c>
      <c r="M1170" t="n">
        <v>3.9</v>
      </c>
      <c r="N1170" t="n">
        <v>0</v>
      </c>
      <c r="O1170" t="n">
        <v>2.8</v>
      </c>
      <c r="P1170" t="n">
        <v>7.5</v>
      </c>
      <c r="Q1170" t="n">
        <v>6.7</v>
      </c>
      <c r="R1170" t="n">
        <v>-0.8</v>
      </c>
      <c r="S1170" t="b">
        <v>1</v>
      </c>
      <c r="U1170" t="n">
        <v>14</v>
      </c>
      <c r="V1170" t="b">
        <v>0</v>
      </c>
      <c r="X1170" t="b">
        <v>0</v>
      </c>
      <c r="Y1170" t="n">
        <v>0.32</v>
      </c>
    </row>
    <row r="1171">
      <c r="A1171" t="inlineStr">
        <is>
          <t>O01170</t>
        </is>
      </c>
      <c r="B1171" t="inlineStr">
        <is>
          <t>C0211</t>
        </is>
      </c>
      <c r="C1171" t="inlineStr">
        <is>
          <t>S019</t>
        </is>
      </c>
      <c r="D1171" t="inlineStr">
        <is>
          <t>R008</t>
        </is>
      </c>
      <c r="E1171" s="3" t="n">
        <v>46270.49861111111</v>
      </c>
      <c r="F1171" s="3" t="n">
        <v>46270.50576388889</v>
      </c>
      <c r="G1171" s="3" t="n">
        <v>46270.50513888889</v>
      </c>
      <c r="H1171" t="inlineStr">
        <is>
          <t>Delivered</t>
        </is>
      </c>
      <c r="I1171" t="n">
        <v>4</v>
      </c>
      <c r="J1171" t="n">
        <v>10</v>
      </c>
      <c r="K1171" t="n">
        <v>1507.79</v>
      </c>
      <c r="L1171" t="n">
        <v>0.5</v>
      </c>
      <c r="M1171" t="n">
        <v>4</v>
      </c>
      <c r="N1171" t="n">
        <v>3.8</v>
      </c>
      <c r="O1171" t="n">
        <v>1.6</v>
      </c>
      <c r="P1171" t="n">
        <v>10.3</v>
      </c>
      <c r="Q1171" t="n">
        <v>9.4</v>
      </c>
      <c r="R1171" t="n">
        <v>-0.9</v>
      </c>
      <c r="S1171" t="b">
        <v>1</v>
      </c>
      <c r="U1171" t="n">
        <v>11</v>
      </c>
      <c r="V1171" t="b">
        <v>0</v>
      </c>
      <c r="X1171" t="b">
        <v>0</v>
      </c>
      <c r="Y1171" t="n">
        <v>0.52</v>
      </c>
    </row>
    <row r="1172">
      <c r="A1172" t="inlineStr">
        <is>
          <t>O01171</t>
        </is>
      </c>
      <c r="B1172" t="inlineStr">
        <is>
          <t>C0156</t>
        </is>
      </c>
      <c r="C1172" t="inlineStr">
        <is>
          <t>S020</t>
        </is>
      </c>
      <c r="D1172" t="inlineStr">
        <is>
          <t>R011</t>
        </is>
      </c>
      <c r="E1172" s="3" t="n">
        <v>46278.90347222222</v>
      </c>
      <c r="F1172" s="3" t="n">
        <v>46278.91145833334</v>
      </c>
      <c r="G1172" s="3" t="n">
        <v>46278.91097222222</v>
      </c>
      <c r="H1172" t="inlineStr">
        <is>
          <t>Delivered</t>
        </is>
      </c>
      <c r="I1172" t="n">
        <v>5</v>
      </c>
      <c r="J1172" t="n">
        <v>8</v>
      </c>
      <c r="K1172" t="n">
        <v>471.85</v>
      </c>
      <c r="L1172" t="n">
        <v>1.16</v>
      </c>
      <c r="M1172" t="n">
        <v>4.1</v>
      </c>
      <c r="N1172" t="n">
        <v>3.9</v>
      </c>
      <c r="O1172" t="n">
        <v>2.8</v>
      </c>
      <c r="P1172" t="n">
        <v>11.5</v>
      </c>
      <c r="Q1172" t="n">
        <v>10.8</v>
      </c>
      <c r="R1172" t="n">
        <v>-0.7</v>
      </c>
      <c r="S1172" t="b">
        <v>1</v>
      </c>
      <c r="U1172" t="n">
        <v>21</v>
      </c>
      <c r="V1172" t="b">
        <v>1</v>
      </c>
      <c r="X1172" t="b">
        <v>0</v>
      </c>
      <c r="Y1172" t="n">
        <v>0.66</v>
      </c>
    </row>
    <row r="1173">
      <c r="A1173" t="inlineStr">
        <is>
          <t>O01172</t>
        </is>
      </c>
      <c r="B1173" t="inlineStr">
        <is>
          <t>C0050</t>
        </is>
      </c>
      <c r="C1173" t="inlineStr">
        <is>
          <t>S001</t>
        </is>
      </c>
      <c r="D1173" t="inlineStr">
        <is>
          <t>R062</t>
        </is>
      </c>
      <c r="E1173" s="3" t="n">
        <v>46279.65138888889</v>
      </c>
      <c r="F1173" s="3" t="n">
        <v>46279.65923611111</v>
      </c>
      <c r="G1173" s="3" t="n">
        <v>46279.65840277778</v>
      </c>
      <c r="H1173" t="inlineStr">
        <is>
          <t>Delivered</t>
        </is>
      </c>
      <c r="I1173" t="n">
        <v>6</v>
      </c>
      <c r="J1173" t="n">
        <v>8</v>
      </c>
      <c r="K1173" t="n">
        <v>1291.42</v>
      </c>
      <c r="L1173" t="n">
        <v>2.12</v>
      </c>
      <c r="M1173" t="n">
        <v>2.9</v>
      </c>
      <c r="N1173" t="n">
        <v>3.5</v>
      </c>
      <c r="O1173" t="n">
        <v>3.7</v>
      </c>
      <c r="P1173" t="n">
        <v>11.3</v>
      </c>
      <c r="Q1173" t="n">
        <v>10.1</v>
      </c>
      <c r="R1173" t="n">
        <v>-1.2</v>
      </c>
      <c r="S1173" t="b">
        <v>1</v>
      </c>
      <c r="U1173" t="n">
        <v>15</v>
      </c>
      <c r="V1173" t="b">
        <v>0</v>
      </c>
      <c r="X1173" t="b">
        <v>1</v>
      </c>
      <c r="Y1173" t="n">
        <v>0.32</v>
      </c>
    </row>
    <row r="1174">
      <c r="A1174" t="inlineStr">
        <is>
          <t>O01173</t>
        </is>
      </c>
      <c r="B1174" t="inlineStr">
        <is>
          <t>C0148</t>
        </is>
      </c>
      <c r="C1174" t="inlineStr">
        <is>
          <t>S019</t>
        </is>
      </c>
      <c r="D1174" t="inlineStr">
        <is>
          <t>R076</t>
        </is>
      </c>
      <c r="E1174" s="3" t="n">
        <v>46268.77013888889</v>
      </c>
      <c r="F1174" s="3" t="n">
        <v>46268.77701388889</v>
      </c>
      <c r="G1174" s="3" t="n">
        <v>46268.77625</v>
      </c>
      <c r="H1174" t="inlineStr">
        <is>
          <t>Delivered</t>
        </is>
      </c>
      <c r="I1174" t="n">
        <v>6</v>
      </c>
      <c r="J1174" t="n">
        <v>8</v>
      </c>
      <c r="K1174" t="n">
        <v>1109.65</v>
      </c>
      <c r="L1174" t="n">
        <v>2.5</v>
      </c>
      <c r="M1174" t="n">
        <v>2.3</v>
      </c>
      <c r="N1174" t="n">
        <v>3</v>
      </c>
      <c r="O1174" t="n">
        <v>3.5</v>
      </c>
      <c r="P1174" t="n">
        <v>9.9</v>
      </c>
      <c r="Q1174" t="n">
        <v>8.800000000000001</v>
      </c>
      <c r="R1174" t="n">
        <v>-1.1</v>
      </c>
      <c r="S1174" t="b">
        <v>1</v>
      </c>
      <c r="U1174" t="n">
        <v>18</v>
      </c>
      <c r="V1174" t="b">
        <v>0</v>
      </c>
      <c r="X1174" t="b">
        <v>0</v>
      </c>
      <c r="Y1174" t="n">
        <v>0.86</v>
      </c>
    </row>
    <row r="1175">
      <c r="A1175" t="inlineStr">
        <is>
          <t>O01174</t>
        </is>
      </c>
      <c r="B1175" t="inlineStr">
        <is>
          <t>C0248</t>
        </is>
      </c>
      <c r="C1175" t="inlineStr">
        <is>
          <t>S017</t>
        </is>
      </c>
      <c r="D1175" t="inlineStr">
        <is>
          <t>R016</t>
        </is>
      </c>
      <c r="E1175" s="3" t="n">
        <v>46276.95208333333</v>
      </c>
      <c r="F1175" s="3" t="n">
        <v>46276.96055555555</v>
      </c>
      <c r="G1175" s="3" t="n">
        <v>46276.959375</v>
      </c>
      <c r="H1175" t="inlineStr">
        <is>
          <t>Delivered</t>
        </is>
      </c>
      <c r="I1175" t="n">
        <v>6</v>
      </c>
      <c r="J1175" t="n">
        <v>6</v>
      </c>
      <c r="K1175" t="n">
        <v>600.39</v>
      </c>
      <c r="L1175" t="n">
        <v>0.63</v>
      </c>
      <c r="M1175" t="n">
        <v>1.9</v>
      </c>
      <c r="N1175" t="n">
        <v>6.4</v>
      </c>
      <c r="O1175" t="n">
        <v>2.2</v>
      </c>
      <c r="P1175" t="n">
        <v>12.2</v>
      </c>
      <c r="Q1175" t="n">
        <v>10.5</v>
      </c>
      <c r="R1175" t="n">
        <v>-1.7</v>
      </c>
      <c r="S1175" t="b">
        <v>1</v>
      </c>
      <c r="U1175" t="n">
        <v>22</v>
      </c>
      <c r="V1175" t="b">
        <v>0</v>
      </c>
      <c r="X1175" t="b">
        <v>0</v>
      </c>
      <c r="Y1175" t="n">
        <v>0.3</v>
      </c>
    </row>
    <row r="1176">
      <c r="A1176" t="inlineStr">
        <is>
          <t>O01175</t>
        </is>
      </c>
      <c r="B1176" t="inlineStr">
        <is>
          <t>C0175</t>
        </is>
      </c>
      <c r="C1176" t="inlineStr">
        <is>
          <t>S007</t>
        </is>
      </c>
      <c r="D1176" t="inlineStr">
        <is>
          <t>R023</t>
        </is>
      </c>
      <c r="E1176" s="3" t="n">
        <v>46278.46388888889</v>
      </c>
      <c r="F1176" s="3" t="n">
        <v>46278.47125</v>
      </c>
      <c r="G1176" s="3" t="n">
        <v>46278.47625</v>
      </c>
      <c r="H1176" t="inlineStr">
        <is>
          <t>Delivered</t>
        </is>
      </c>
      <c r="I1176" t="n">
        <v>1</v>
      </c>
      <c r="J1176" t="n">
        <v>9</v>
      </c>
      <c r="K1176" t="n">
        <v>1416.9</v>
      </c>
      <c r="L1176" t="n">
        <v>1.8</v>
      </c>
      <c r="M1176" t="n">
        <v>5.7</v>
      </c>
      <c r="N1176" t="n">
        <v>6.4</v>
      </c>
      <c r="O1176" t="n">
        <v>5.6</v>
      </c>
      <c r="P1176" t="n">
        <v>10.6</v>
      </c>
      <c r="Q1176" t="n">
        <v>17.8</v>
      </c>
      <c r="R1176" t="n">
        <v>7.2</v>
      </c>
      <c r="S1176" t="b">
        <v>0</v>
      </c>
      <c r="U1176" t="n">
        <v>11</v>
      </c>
      <c r="V1176" t="b">
        <v>0</v>
      </c>
      <c r="X1176" t="b">
        <v>0</v>
      </c>
      <c r="Y1176" t="n">
        <v>0.38</v>
      </c>
    </row>
    <row r="1177">
      <c r="A1177" t="inlineStr">
        <is>
          <t>O01176</t>
        </is>
      </c>
      <c r="B1177" t="inlineStr">
        <is>
          <t>C0095</t>
        </is>
      </c>
      <c r="C1177" t="inlineStr">
        <is>
          <t>S007</t>
        </is>
      </c>
      <c r="D1177" t="inlineStr">
        <is>
          <t>R019</t>
        </is>
      </c>
      <c r="E1177" s="3" t="n">
        <v>46271.95694444444</v>
      </c>
      <c r="F1177" s="3" t="n">
        <v>46271.96569444444</v>
      </c>
      <c r="G1177" s="3" t="n">
        <v>46271.96416666666</v>
      </c>
      <c r="H1177" t="inlineStr">
        <is>
          <t>Delivered</t>
        </is>
      </c>
      <c r="I1177" t="n">
        <v>5</v>
      </c>
      <c r="J1177" t="n">
        <v>5</v>
      </c>
      <c r="K1177" t="n">
        <v>1521.33</v>
      </c>
      <c r="L1177" t="n">
        <v>0.99</v>
      </c>
      <c r="M1177" t="n">
        <v>4.1</v>
      </c>
      <c r="N1177" t="n">
        <v>3.4</v>
      </c>
      <c r="O1177" t="n">
        <v>2.9</v>
      </c>
      <c r="P1177" t="n">
        <v>12.6</v>
      </c>
      <c r="Q1177" t="n">
        <v>10.4</v>
      </c>
      <c r="R1177" t="n">
        <v>-2.2</v>
      </c>
      <c r="S1177" t="b">
        <v>1</v>
      </c>
      <c r="U1177" t="n">
        <v>22</v>
      </c>
      <c r="V1177" t="b">
        <v>0</v>
      </c>
      <c r="X1177" t="b">
        <v>0</v>
      </c>
      <c r="Y1177" t="n">
        <v>0.4</v>
      </c>
    </row>
    <row r="1178">
      <c r="A1178" t="inlineStr">
        <is>
          <t>O01177</t>
        </is>
      </c>
      <c r="B1178" t="inlineStr">
        <is>
          <t>C0122</t>
        </is>
      </c>
      <c r="C1178" t="inlineStr">
        <is>
          <t>S010</t>
        </is>
      </c>
      <c r="D1178" t="inlineStr">
        <is>
          <t>R037</t>
        </is>
      </c>
      <c r="E1178" s="3" t="n">
        <v>46267.89791666667</v>
      </c>
      <c r="F1178" s="3" t="n">
        <v>46267.90604166667</v>
      </c>
      <c r="G1178" s="3" t="n">
        <v>46267.90548611111</v>
      </c>
      <c r="H1178" t="inlineStr">
        <is>
          <t>Delivered</t>
        </is>
      </c>
      <c r="I1178" t="n">
        <v>4</v>
      </c>
      <c r="J1178" t="n">
        <v>7</v>
      </c>
      <c r="K1178" t="n">
        <v>764.75</v>
      </c>
      <c r="L1178" t="n">
        <v>4</v>
      </c>
      <c r="M1178" t="n">
        <v>2</v>
      </c>
      <c r="N1178" t="n">
        <v>4.4</v>
      </c>
      <c r="O1178" t="n">
        <v>4.5</v>
      </c>
      <c r="P1178" t="n">
        <v>11.7</v>
      </c>
      <c r="Q1178" t="n">
        <v>10.9</v>
      </c>
      <c r="R1178" t="n">
        <v>-0.8</v>
      </c>
      <c r="S1178" t="b">
        <v>1</v>
      </c>
      <c r="U1178" t="n">
        <v>21</v>
      </c>
      <c r="V1178" t="b">
        <v>1</v>
      </c>
      <c r="X1178" t="b">
        <v>0</v>
      </c>
      <c r="Y1178" t="n">
        <v>0.67</v>
      </c>
    </row>
    <row r="1179">
      <c r="A1179" t="inlineStr">
        <is>
          <t>O01178</t>
        </is>
      </c>
      <c r="B1179" t="inlineStr">
        <is>
          <t>C0151</t>
        </is>
      </c>
      <c r="C1179" t="inlineStr">
        <is>
          <t>S016</t>
        </is>
      </c>
      <c r="D1179" t="inlineStr">
        <is>
          <t>R066</t>
        </is>
      </c>
      <c r="E1179" s="3" t="n">
        <v>46270.65694444445</v>
      </c>
      <c r="F1179" s="3" t="n">
        <v>46270.66444444445</v>
      </c>
      <c r="G1179" s="3" t="n">
        <v>46270.66395833333</v>
      </c>
      <c r="H1179" t="inlineStr">
        <is>
          <t>Delivered</t>
        </is>
      </c>
      <c r="I1179" t="n">
        <v>6</v>
      </c>
      <c r="J1179" t="n">
        <v>7</v>
      </c>
      <c r="K1179" t="n">
        <v>1398.37</v>
      </c>
      <c r="L1179" t="n">
        <v>2.6</v>
      </c>
      <c r="M1179" t="n">
        <v>2.7</v>
      </c>
      <c r="N1179" t="n">
        <v>4.4</v>
      </c>
      <c r="O1179" t="n">
        <v>3</v>
      </c>
      <c r="P1179" t="n">
        <v>10.8</v>
      </c>
      <c r="Q1179" t="n">
        <v>10.1</v>
      </c>
      <c r="R1179" t="n">
        <v>-0.7</v>
      </c>
      <c r="S1179" t="b">
        <v>1</v>
      </c>
      <c r="U1179" t="n">
        <v>15</v>
      </c>
      <c r="V1179" t="b">
        <v>0</v>
      </c>
      <c r="W1179" t="inlineStr">
        <is>
          <t>Light</t>
        </is>
      </c>
      <c r="X1179" t="b">
        <v>0</v>
      </c>
      <c r="Y1179" t="n">
        <v>0.58</v>
      </c>
    </row>
    <row r="1180">
      <c r="A1180" t="inlineStr">
        <is>
          <t>O01179</t>
        </is>
      </c>
      <c r="B1180" t="inlineStr">
        <is>
          <t>C0123</t>
        </is>
      </c>
      <c r="C1180" t="inlineStr">
        <is>
          <t>S019</t>
        </is>
      </c>
      <c r="D1180" t="inlineStr">
        <is>
          <t>R042</t>
        </is>
      </c>
      <c r="E1180" s="3" t="n">
        <v>46271.62638888889</v>
      </c>
      <c r="F1180" s="3" t="n">
        <v>46271.63236111111</v>
      </c>
      <c r="G1180" s="3" t="n">
        <v>46271.63173611111</v>
      </c>
      <c r="H1180" t="inlineStr">
        <is>
          <t>Delivered</t>
        </is>
      </c>
      <c r="I1180" t="n">
        <v>1</v>
      </c>
      <c r="J1180" t="n">
        <v>3</v>
      </c>
      <c r="K1180" t="n">
        <v>1148.96</v>
      </c>
      <c r="L1180" t="n">
        <v>1.29</v>
      </c>
      <c r="M1180" t="n">
        <v>4.4</v>
      </c>
      <c r="N1180" t="n">
        <v>0.1</v>
      </c>
      <c r="O1180" t="n">
        <v>3.2</v>
      </c>
      <c r="P1180" t="n">
        <v>8.6</v>
      </c>
      <c r="Q1180" t="n">
        <v>7.7</v>
      </c>
      <c r="R1180" t="n">
        <v>-0.9</v>
      </c>
      <c r="S1180" t="b">
        <v>1</v>
      </c>
      <c r="U1180" t="n">
        <v>15</v>
      </c>
      <c r="V1180" t="b">
        <v>0</v>
      </c>
      <c r="X1180" t="b">
        <v>0</v>
      </c>
      <c r="Y1180" t="n">
        <v>0.52</v>
      </c>
    </row>
    <row r="1181">
      <c r="A1181" t="inlineStr">
        <is>
          <t>O01180</t>
        </is>
      </c>
      <c r="B1181" t="inlineStr">
        <is>
          <t>C0199</t>
        </is>
      </c>
      <c r="C1181" t="inlineStr">
        <is>
          <t>S010</t>
        </is>
      </c>
      <c r="D1181" t="inlineStr">
        <is>
          <t>R010</t>
        </is>
      </c>
      <c r="E1181" s="3" t="n">
        <v>46272.44513888889</v>
      </c>
      <c r="F1181" s="3" t="n">
        <v>46272.45041666667</v>
      </c>
      <c r="G1181" s="3" t="n">
        <v>46272.45736111111</v>
      </c>
      <c r="H1181" t="inlineStr">
        <is>
          <t>Delivered</t>
        </is>
      </c>
      <c r="I1181" t="n">
        <v>3</v>
      </c>
      <c r="J1181" t="n">
        <v>6</v>
      </c>
      <c r="K1181" t="n">
        <v>898.9</v>
      </c>
      <c r="L1181" t="n">
        <v>0.8</v>
      </c>
      <c r="M1181" t="n">
        <v>5.9</v>
      </c>
      <c r="N1181" t="n">
        <v>8.699999999999999</v>
      </c>
      <c r="O1181" t="n">
        <v>2.9</v>
      </c>
      <c r="P1181" t="n">
        <v>7.6</v>
      </c>
      <c r="Q1181" t="n">
        <v>17.6</v>
      </c>
      <c r="R1181" t="n">
        <v>10</v>
      </c>
      <c r="S1181" t="b">
        <v>0</v>
      </c>
      <c r="U1181" t="n">
        <v>10</v>
      </c>
      <c r="V1181" t="b">
        <v>0</v>
      </c>
      <c r="X1181" t="b">
        <v>0</v>
      </c>
      <c r="Y1181" t="n">
        <v>0.39</v>
      </c>
    </row>
    <row r="1182">
      <c r="A1182" t="inlineStr">
        <is>
          <t>O01181</t>
        </is>
      </c>
      <c r="B1182" t="inlineStr">
        <is>
          <t>C0057</t>
        </is>
      </c>
      <c r="C1182" t="inlineStr">
        <is>
          <t>S007</t>
        </is>
      </c>
      <c r="D1182" t="inlineStr">
        <is>
          <t>R004</t>
        </is>
      </c>
      <c r="E1182" s="3" t="n">
        <v>46277.84583333333</v>
      </c>
      <c r="F1182" s="3" t="n">
        <v>46277.85263888889</v>
      </c>
      <c r="G1182" s="3" t="n">
        <v>46277.85805555555</v>
      </c>
      <c r="H1182" t="inlineStr">
        <is>
          <t>Delivered</t>
        </is>
      </c>
      <c r="I1182" t="n">
        <v>2</v>
      </c>
      <c r="J1182" t="n">
        <v>8</v>
      </c>
      <c r="K1182" t="n">
        <v>1444.94</v>
      </c>
      <c r="L1182" t="n">
        <v>3.34</v>
      </c>
      <c r="M1182" t="n">
        <v>3.3</v>
      </c>
      <c r="N1182" t="n">
        <v>5.9</v>
      </c>
      <c r="O1182" t="n">
        <v>8.4</v>
      </c>
      <c r="P1182" t="n">
        <v>9.800000000000001</v>
      </c>
      <c r="Q1182" t="n">
        <v>17.6</v>
      </c>
      <c r="R1182" t="n">
        <v>7.8</v>
      </c>
      <c r="S1182" t="b">
        <v>0</v>
      </c>
      <c r="U1182" t="n">
        <v>20</v>
      </c>
      <c r="V1182" t="b">
        <v>1</v>
      </c>
      <c r="X1182" t="b">
        <v>0</v>
      </c>
      <c r="Y1182" t="n">
        <v>0.57</v>
      </c>
    </row>
    <row r="1183">
      <c r="A1183" t="inlineStr">
        <is>
          <t>O01182</t>
        </is>
      </c>
      <c r="B1183" t="inlineStr">
        <is>
          <t>C0108</t>
        </is>
      </c>
      <c r="C1183" t="inlineStr">
        <is>
          <t>S016</t>
        </is>
      </c>
      <c r="D1183" t="inlineStr">
        <is>
          <t>R046</t>
        </is>
      </c>
      <c r="E1183" s="3" t="n">
        <v>46266.58125</v>
      </c>
      <c r="F1183" s="3" t="n">
        <v>46266.58861111111</v>
      </c>
      <c r="G1183" s="3" t="n">
        <v>46266.58791666666</v>
      </c>
      <c r="H1183" t="inlineStr">
        <is>
          <t>Delivered</t>
        </is>
      </c>
      <c r="I1183" t="n">
        <v>6</v>
      </c>
      <c r="J1183" t="n">
        <v>6</v>
      </c>
      <c r="K1183" t="n">
        <v>858.58</v>
      </c>
      <c r="L1183" t="n">
        <v>0.5</v>
      </c>
      <c r="M1183" t="n">
        <v>3.6</v>
      </c>
      <c r="N1183" t="n">
        <v>4.5</v>
      </c>
      <c r="O1183" t="n">
        <v>1.5</v>
      </c>
      <c r="P1183" t="n">
        <v>10.6</v>
      </c>
      <c r="Q1183" t="n">
        <v>9.6</v>
      </c>
      <c r="R1183" t="n">
        <v>-1</v>
      </c>
      <c r="S1183" t="b">
        <v>1</v>
      </c>
      <c r="U1183" t="n">
        <v>13</v>
      </c>
      <c r="V1183" t="b">
        <v>0</v>
      </c>
      <c r="X1183" t="b">
        <v>0</v>
      </c>
      <c r="Y1183" t="n">
        <v>0.16</v>
      </c>
    </row>
    <row r="1184">
      <c r="A1184" t="inlineStr">
        <is>
          <t>O01183</t>
        </is>
      </c>
      <c r="B1184" t="inlineStr">
        <is>
          <t>C0172</t>
        </is>
      </c>
      <c r="C1184" t="inlineStr">
        <is>
          <t>S018</t>
        </is>
      </c>
      <c r="D1184" t="inlineStr">
        <is>
          <t>R009</t>
        </is>
      </c>
      <c r="E1184" s="3" t="n">
        <v>46277.64236111111</v>
      </c>
      <c r="F1184" s="3" t="n">
        <v>46277.64902777778</v>
      </c>
      <c r="G1184" s="3" t="n">
        <v>46277.64888888889</v>
      </c>
      <c r="H1184" t="inlineStr">
        <is>
          <t>Delivered</t>
        </is>
      </c>
      <c r="I1184" t="n">
        <v>3</v>
      </c>
      <c r="J1184" t="n">
        <v>7</v>
      </c>
      <c r="K1184" t="n">
        <v>568.88</v>
      </c>
      <c r="L1184" t="n">
        <v>0.5</v>
      </c>
      <c r="M1184" t="n">
        <v>4.7</v>
      </c>
      <c r="N1184" t="n">
        <v>1.6</v>
      </c>
      <c r="O1184" t="n">
        <v>3.1</v>
      </c>
      <c r="P1184" t="n">
        <v>9.6</v>
      </c>
      <c r="Q1184" t="n">
        <v>9.4</v>
      </c>
      <c r="R1184" t="n">
        <v>-0.2</v>
      </c>
      <c r="S1184" t="b">
        <v>1</v>
      </c>
      <c r="U1184" t="n">
        <v>15</v>
      </c>
      <c r="V1184" t="b">
        <v>0</v>
      </c>
      <c r="W1184" t="inlineStr">
        <is>
          <t>Light</t>
        </is>
      </c>
      <c r="X1184" t="b">
        <v>0</v>
      </c>
      <c r="Y1184" t="n">
        <v>0.36</v>
      </c>
    </row>
    <row r="1185">
      <c r="A1185" t="inlineStr">
        <is>
          <t>O01184</t>
        </is>
      </c>
      <c r="B1185" t="inlineStr">
        <is>
          <t>C0073</t>
        </is>
      </c>
      <c r="C1185" t="inlineStr">
        <is>
          <t>S018</t>
        </is>
      </c>
      <c r="D1185" t="inlineStr">
        <is>
          <t>R001</t>
        </is>
      </c>
      <c r="E1185" s="3" t="n">
        <v>46277.71597222222</v>
      </c>
      <c r="F1185" s="3" t="n">
        <v>46277.72513888889</v>
      </c>
      <c r="G1185" s="3" t="n">
        <v>46277.72472222222</v>
      </c>
      <c r="H1185" t="inlineStr">
        <is>
          <t>Delivered</t>
        </is>
      </c>
      <c r="I1185" t="n">
        <v>2</v>
      </c>
      <c r="J1185" t="n">
        <v>7</v>
      </c>
      <c r="K1185" t="n">
        <v>368.8</v>
      </c>
      <c r="L1185" t="n">
        <v>3.77</v>
      </c>
      <c r="M1185" t="n">
        <v>3.8</v>
      </c>
      <c r="N1185" t="n">
        <v>3.4</v>
      </c>
      <c r="O1185" t="n">
        <v>5.4</v>
      </c>
      <c r="P1185" t="n">
        <v>13.2</v>
      </c>
      <c r="Q1185" t="n">
        <v>12.6</v>
      </c>
      <c r="R1185" t="n">
        <v>-0.6</v>
      </c>
      <c r="S1185" t="b">
        <v>1</v>
      </c>
      <c r="U1185" t="n">
        <v>17</v>
      </c>
      <c r="V1185" t="b">
        <v>0</v>
      </c>
      <c r="X1185" t="b">
        <v>0</v>
      </c>
      <c r="Y1185" t="n">
        <v>0.08</v>
      </c>
    </row>
    <row r="1186">
      <c r="A1186" t="inlineStr">
        <is>
          <t>O01185</t>
        </is>
      </c>
      <c r="B1186" t="inlineStr">
        <is>
          <t>C0135</t>
        </is>
      </c>
      <c r="C1186" t="inlineStr">
        <is>
          <t>S014</t>
        </is>
      </c>
      <c r="D1186" t="inlineStr">
        <is>
          <t>R056</t>
        </is>
      </c>
      <c r="E1186" s="3" t="n">
        <v>46277.89722222222</v>
      </c>
      <c r="F1186" s="3" t="n">
        <v>46277.90347222222</v>
      </c>
      <c r="G1186" s="3" t="n">
        <v>46277.90305555556</v>
      </c>
      <c r="H1186" t="inlineStr">
        <is>
          <t>Delivered</t>
        </is>
      </c>
      <c r="I1186" t="n">
        <v>5</v>
      </c>
      <c r="J1186" t="n">
        <v>6</v>
      </c>
      <c r="K1186" t="n">
        <v>1089.25</v>
      </c>
      <c r="L1186" t="n">
        <v>1.14</v>
      </c>
      <c r="M1186" t="n">
        <v>3.4</v>
      </c>
      <c r="N1186" t="n">
        <v>2.4</v>
      </c>
      <c r="O1186" t="n">
        <v>2.6</v>
      </c>
      <c r="P1186" t="n">
        <v>9</v>
      </c>
      <c r="Q1186" t="n">
        <v>8.4</v>
      </c>
      <c r="R1186" t="n">
        <v>-0.6</v>
      </c>
      <c r="S1186" t="b">
        <v>1</v>
      </c>
      <c r="U1186" t="n">
        <v>21</v>
      </c>
      <c r="V1186" t="b">
        <v>1</v>
      </c>
      <c r="W1186" t="inlineStr">
        <is>
          <t>Light</t>
        </is>
      </c>
      <c r="X1186" t="b">
        <v>0</v>
      </c>
      <c r="Y1186" t="n">
        <v>0.65</v>
      </c>
    </row>
    <row r="1187">
      <c r="A1187" t="inlineStr">
        <is>
          <t>O01186</t>
        </is>
      </c>
      <c r="B1187" t="inlineStr">
        <is>
          <t>C0106</t>
        </is>
      </c>
      <c r="C1187" t="inlineStr">
        <is>
          <t>S010</t>
        </is>
      </c>
      <c r="D1187" t="inlineStr">
        <is>
          <t>R052</t>
        </is>
      </c>
      <c r="E1187" s="3" t="n">
        <v>46278.79375</v>
      </c>
      <c r="F1187" s="3" t="n">
        <v>46278.8</v>
      </c>
      <c r="G1187" s="3" t="n">
        <v>46278.79923611111</v>
      </c>
      <c r="H1187" t="inlineStr">
        <is>
          <t>Delivered</t>
        </is>
      </c>
      <c r="I1187" t="n">
        <v>2</v>
      </c>
      <c r="J1187" t="n">
        <v>12</v>
      </c>
      <c r="K1187" t="n">
        <v>1428.46</v>
      </c>
      <c r="L1187" t="n">
        <v>0.76</v>
      </c>
      <c r="M1187" t="n">
        <v>3.3</v>
      </c>
      <c r="N1187" t="n">
        <v>2.6</v>
      </c>
      <c r="O1187" t="n">
        <v>2</v>
      </c>
      <c r="P1187" t="n">
        <v>9</v>
      </c>
      <c r="Q1187" t="n">
        <v>7.9</v>
      </c>
      <c r="R1187" t="n">
        <v>-1.1</v>
      </c>
      <c r="S1187" t="b">
        <v>1</v>
      </c>
      <c r="U1187" t="n">
        <v>19</v>
      </c>
      <c r="V1187" t="b">
        <v>1</v>
      </c>
      <c r="X1187" t="b">
        <v>0</v>
      </c>
      <c r="Y1187" t="n">
        <v>0.77</v>
      </c>
    </row>
    <row r="1188">
      <c r="A1188" t="inlineStr">
        <is>
          <t>O01187</t>
        </is>
      </c>
      <c r="B1188" t="inlineStr">
        <is>
          <t>C0198</t>
        </is>
      </c>
      <c r="C1188" t="inlineStr">
        <is>
          <t>S005</t>
        </is>
      </c>
      <c r="D1188" t="inlineStr">
        <is>
          <t>R026</t>
        </is>
      </c>
      <c r="E1188" s="3" t="n">
        <v>46277.80277777778</v>
      </c>
      <c r="F1188" s="3" t="n">
        <v>46277.80993055556</v>
      </c>
      <c r="G1188" s="3" t="n">
        <v>46277.82013888889</v>
      </c>
      <c r="H1188" t="inlineStr">
        <is>
          <t>Delivered</t>
        </is>
      </c>
      <c r="I1188" t="n">
        <v>5</v>
      </c>
      <c r="J1188" t="n">
        <v>5</v>
      </c>
      <c r="K1188" t="n">
        <v>828.85</v>
      </c>
      <c r="L1188" t="n">
        <v>4.17</v>
      </c>
      <c r="M1188" t="n">
        <v>6.8</v>
      </c>
      <c r="N1188" t="n">
        <v>6.9</v>
      </c>
      <c r="O1188" t="n">
        <v>11.4</v>
      </c>
      <c r="P1188" t="n">
        <v>10.3</v>
      </c>
      <c r="Q1188" t="n">
        <v>25</v>
      </c>
      <c r="R1188" t="n">
        <v>14.7</v>
      </c>
      <c r="S1188" t="b">
        <v>0</v>
      </c>
      <c r="U1188" t="n">
        <v>19</v>
      </c>
      <c r="V1188" t="b">
        <v>1</v>
      </c>
      <c r="X1188" t="b">
        <v>0</v>
      </c>
      <c r="Y1188" t="n">
        <v>0.62</v>
      </c>
    </row>
    <row r="1189">
      <c r="A1189" t="inlineStr">
        <is>
          <t>O01188</t>
        </is>
      </c>
      <c r="B1189" t="inlineStr">
        <is>
          <t>C0111</t>
        </is>
      </c>
      <c r="C1189" t="inlineStr">
        <is>
          <t>S005</t>
        </is>
      </c>
      <c r="D1189" t="inlineStr">
        <is>
          <t>R026</t>
        </is>
      </c>
      <c r="E1189" s="3" t="n">
        <v>46266.66666666666</v>
      </c>
      <c r="F1189" s="3" t="n">
        <v>46266.67430555556</v>
      </c>
      <c r="G1189" s="3" t="n">
        <v>46266.67770833334</v>
      </c>
      <c r="H1189" t="inlineStr">
        <is>
          <t>Delivered</t>
        </is>
      </c>
      <c r="I1189" t="n">
        <v>2</v>
      </c>
      <c r="J1189" t="n">
        <v>6</v>
      </c>
      <c r="K1189" t="n">
        <v>553.23</v>
      </c>
      <c r="L1189" t="n">
        <v>1.44</v>
      </c>
      <c r="M1189" t="n">
        <v>5.6</v>
      </c>
      <c r="N1189" t="n">
        <v>5.4</v>
      </c>
      <c r="O1189" t="n">
        <v>5</v>
      </c>
      <c r="P1189" t="n">
        <v>11</v>
      </c>
      <c r="Q1189" t="n">
        <v>15.9</v>
      </c>
      <c r="R1189" t="n">
        <v>4.9</v>
      </c>
      <c r="S1189" t="b">
        <v>0</v>
      </c>
      <c r="U1189" t="n">
        <v>16</v>
      </c>
      <c r="V1189" t="b">
        <v>0</v>
      </c>
      <c r="X1189" t="b">
        <v>0</v>
      </c>
      <c r="Y1189" t="n">
        <v>0.5600000000000001</v>
      </c>
    </row>
    <row r="1190">
      <c r="A1190" t="inlineStr">
        <is>
          <t>O01189</t>
        </is>
      </c>
      <c r="B1190" t="inlineStr">
        <is>
          <t>C0113</t>
        </is>
      </c>
      <c r="C1190" t="inlineStr">
        <is>
          <t>S010</t>
        </is>
      </c>
      <c r="D1190" t="inlineStr">
        <is>
          <t>R035</t>
        </is>
      </c>
      <c r="E1190" s="3" t="n">
        <v>46270.39444444444</v>
      </c>
      <c r="F1190" s="3" t="n">
        <v>46270.40006944445</v>
      </c>
      <c r="G1190" s="3" t="n">
        <v>46270.39965277778</v>
      </c>
      <c r="H1190" t="inlineStr">
        <is>
          <t>Delivered</t>
        </is>
      </c>
      <c r="I1190" t="n">
        <v>3</v>
      </c>
      <c r="J1190" t="n">
        <v>7</v>
      </c>
      <c r="K1190" t="n">
        <v>998.62</v>
      </c>
      <c r="L1190" t="n">
        <v>0.5600000000000001</v>
      </c>
      <c r="M1190" t="n">
        <v>2.6</v>
      </c>
      <c r="N1190" t="n">
        <v>4</v>
      </c>
      <c r="O1190" t="n">
        <v>0.9</v>
      </c>
      <c r="P1190" t="n">
        <v>8.1</v>
      </c>
      <c r="Q1190" t="n">
        <v>7.5</v>
      </c>
      <c r="R1190" t="n">
        <v>-0.6</v>
      </c>
      <c r="S1190" t="b">
        <v>1</v>
      </c>
      <c r="U1190" t="n">
        <v>9</v>
      </c>
      <c r="V1190" t="b">
        <v>0</v>
      </c>
      <c r="X1190" t="b">
        <v>0</v>
      </c>
      <c r="Y1190" t="n">
        <v>0.12</v>
      </c>
    </row>
    <row r="1191">
      <c r="A1191" t="inlineStr">
        <is>
          <t>O01190</t>
        </is>
      </c>
      <c r="B1191" t="inlineStr">
        <is>
          <t>C0077</t>
        </is>
      </c>
      <c r="C1191" t="inlineStr">
        <is>
          <t>S003</t>
        </is>
      </c>
      <c r="D1191" t="inlineStr">
        <is>
          <t>R031</t>
        </is>
      </c>
      <c r="E1191" s="3" t="n">
        <v>46278.90138888889</v>
      </c>
      <c r="F1191" s="3" t="n">
        <v>46278.90826388889</v>
      </c>
      <c r="G1191" s="3" t="n">
        <v>46278.90805555556</v>
      </c>
      <c r="H1191" t="inlineStr">
        <is>
          <t>Delivered</t>
        </is>
      </c>
      <c r="I1191" t="n">
        <v>1</v>
      </c>
      <c r="J1191" t="n">
        <v>4</v>
      </c>
      <c r="K1191" t="n">
        <v>214.71</v>
      </c>
      <c r="L1191" t="n">
        <v>1.09</v>
      </c>
      <c r="M1191" t="n">
        <v>2</v>
      </c>
      <c r="N1191" t="n">
        <v>5.5</v>
      </c>
      <c r="O1191" t="n">
        <v>2.1</v>
      </c>
      <c r="P1191" t="n">
        <v>9.9</v>
      </c>
      <c r="Q1191" t="n">
        <v>9.6</v>
      </c>
      <c r="R1191" t="n">
        <v>-0.3</v>
      </c>
      <c r="S1191" t="b">
        <v>1</v>
      </c>
      <c r="U1191" t="n">
        <v>21</v>
      </c>
      <c r="V1191" t="b">
        <v>1</v>
      </c>
      <c r="X1191" t="b">
        <v>0</v>
      </c>
      <c r="Y1191" t="n">
        <v>0.53</v>
      </c>
    </row>
    <row r="1192">
      <c r="A1192" t="inlineStr">
        <is>
          <t>O01191</t>
        </is>
      </c>
      <c r="B1192" t="inlineStr">
        <is>
          <t>C0232</t>
        </is>
      </c>
      <c r="C1192" t="inlineStr">
        <is>
          <t>S019</t>
        </is>
      </c>
      <c r="D1192" t="inlineStr">
        <is>
          <t>R049</t>
        </is>
      </c>
      <c r="E1192" s="3" t="n">
        <v>46270.55069444444</v>
      </c>
      <c r="F1192" s="3" t="n">
        <v>46270.55729166666</v>
      </c>
      <c r="G1192" s="3" t="n">
        <v>46270.55965277777</v>
      </c>
      <c r="H1192" t="inlineStr">
        <is>
          <t>Delivered</t>
        </is>
      </c>
      <c r="I1192" t="n">
        <v>2</v>
      </c>
      <c r="J1192" t="n">
        <v>7</v>
      </c>
      <c r="K1192" t="n">
        <v>1209.98</v>
      </c>
      <c r="L1192" t="n">
        <v>0.91</v>
      </c>
      <c r="M1192" t="n">
        <v>4.6</v>
      </c>
      <c r="N1192" t="n">
        <v>5.8</v>
      </c>
      <c r="O1192" t="n">
        <v>2.5</v>
      </c>
      <c r="P1192" t="n">
        <v>9.5</v>
      </c>
      <c r="Q1192" t="n">
        <v>12.9</v>
      </c>
      <c r="R1192" t="n">
        <v>3.4</v>
      </c>
      <c r="S1192" t="b">
        <v>0</v>
      </c>
      <c r="U1192" t="n">
        <v>13</v>
      </c>
      <c r="V1192" t="b">
        <v>0</v>
      </c>
      <c r="X1192" t="b">
        <v>0</v>
      </c>
      <c r="Y1192" t="n">
        <v>0.28</v>
      </c>
    </row>
    <row r="1193">
      <c r="A1193" t="inlineStr">
        <is>
          <t>O01192</t>
        </is>
      </c>
      <c r="B1193" t="inlineStr">
        <is>
          <t>C0079</t>
        </is>
      </c>
      <c r="C1193" t="inlineStr">
        <is>
          <t>S004</t>
        </is>
      </c>
      <c r="D1193" t="inlineStr">
        <is>
          <t>R067</t>
        </is>
      </c>
      <c r="E1193" s="3" t="n">
        <v>46279.94930555556</v>
      </c>
      <c r="F1193" s="3" t="n">
        <v>46279.95652777778</v>
      </c>
      <c r="G1193" s="3" t="n">
        <v>46279.95625</v>
      </c>
      <c r="H1193" t="inlineStr">
        <is>
          <t>Delivered</t>
        </is>
      </c>
      <c r="I1193" t="n">
        <v>4</v>
      </c>
      <c r="J1193" t="n">
        <v>8</v>
      </c>
      <c r="K1193" t="n">
        <v>1169.94</v>
      </c>
      <c r="L1193" t="n">
        <v>0.99</v>
      </c>
      <c r="M1193" t="n">
        <v>2.8</v>
      </c>
      <c r="N1193" t="n">
        <v>3.9</v>
      </c>
      <c r="O1193" t="n">
        <v>3.3</v>
      </c>
      <c r="P1193" t="n">
        <v>10.4</v>
      </c>
      <c r="Q1193" t="n">
        <v>10</v>
      </c>
      <c r="R1193" t="n">
        <v>-0.4</v>
      </c>
      <c r="S1193" t="b">
        <v>1</v>
      </c>
      <c r="U1193" t="n">
        <v>22</v>
      </c>
      <c r="V1193" t="b">
        <v>0</v>
      </c>
      <c r="X1193" t="b">
        <v>0</v>
      </c>
      <c r="Y1193" t="n">
        <v>0.59</v>
      </c>
    </row>
    <row r="1194">
      <c r="A1194" t="inlineStr">
        <is>
          <t>O01193</t>
        </is>
      </c>
      <c r="B1194" t="inlineStr">
        <is>
          <t>C0148</t>
        </is>
      </c>
      <c r="C1194" t="inlineStr">
        <is>
          <t>S014</t>
        </is>
      </c>
      <c r="D1194" t="inlineStr">
        <is>
          <t>R012</t>
        </is>
      </c>
      <c r="E1194" s="3" t="n">
        <v>46268.83472222222</v>
      </c>
      <c r="F1194" s="3" t="n">
        <v>46268.84159722222</v>
      </c>
      <c r="G1194" s="3" t="n">
        <v>46268.85270833333</v>
      </c>
      <c r="H1194" t="inlineStr">
        <is>
          <t>Delivered</t>
        </is>
      </c>
      <c r="I1194" t="n">
        <v>6</v>
      </c>
      <c r="J1194" t="n">
        <v>8</v>
      </c>
      <c r="K1194" t="n">
        <v>1268.94</v>
      </c>
      <c r="L1194" t="n">
        <v>3.3</v>
      </c>
      <c r="M1194" t="n">
        <v>6</v>
      </c>
      <c r="N1194" t="n">
        <v>9.199999999999999</v>
      </c>
      <c r="O1194" t="n">
        <v>10.7</v>
      </c>
      <c r="P1194" t="n">
        <v>9.9</v>
      </c>
      <c r="Q1194" t="n">
        <v>25.9</v>
      </c>
      <c r="R1194" t="n">
        <v>16</v>
      </c>
      <c r="S1194" t="b">
        <v>0</v>
      </c>
      <c r="U1194" t="n">
        <v>20</v>
      </c>
      <c r="V1194" t="b">
        <v>1</v>
      </c>
      <c r="W1194" t="inlineStr">
        <is>
          <t>Light</t>
        </is>
      </c>
      <c r="X1194" t="b">
        <v>0</v>
      </c>
      <c r="Y1194" t="n">
        <v>0.71</v>
      </c>
    </row>
    <row r="1195">
      <c r="A1195" t="inlineStr">
        <is>
          <t>O01194</t>
        </is>
      </c>
      <c r="B1195" t="inlineStr">
        <is>
          <t>C0085</t>
        </is>
      </c>
      <c r="C1195" t="inlineStr">
        <is>
          <t>S008</t>
        </is>
      </c>
      <c r="D1195" t="inlineStr">
        <is>
          <t>R014</t>
        </is>
      </c>
      <c r="E1195" s="3" t="n">
        <v>46274.80416666667</v>
      </c>
      <c r="F1195" s="3" t="n">
        <v>46274.81027777777</v>
      </c>
      <c r="G1195" s="3" t="n">
        <v>46274.80958333334</v>
      </c>
      <c r="H1195" t="inlineStr">
        <is>
          <t>Delivered</t>
        </is>
      </c>
      <c r="I1195" t="n">
        <v>5</v>
      </c>
      <c r="J1195" t="n">
        <v>6</v>
      </c>
      <c r="K1195" t="n">
        <v>1350.89</v>
      </c>
      <c r="L1195" t="n">
        <v>1.68</v>
      </c>
      <c r="M1195" t="n">
        <v>1.5</v>
      </c>
      <c r="N1195" t="n">
        <v>3.4</v>
      </c>
      <c r="O1195" t="n">
        <v>2.9</v>
      </c>
      <c r="P1195" t="n">
        <v>8.800000000000001</v>
      </c>
      <c r="Q1195" t="n">
        <v>7.8</v>
      </c>
      <c r="R1195" t="n">
        <v>-1</v>
      </c>
      <c r="S1195" t="b">
        <v>1</v>
      </c>
      <c r="U1195" t="n">
        <v>19</v>
      </c>
      <c r="V1195" t="b">
        <v>1</v>
      </c>
      <c r="W1195" t="inlineStr">
        <is>
          <t>Light</t>
        </is>
      </c>
      <c r="X1195" t="b">
        <v>0</v>
      </c>
      <c r="Y1195" t="n">
        <v>0.57</v>
      </c>
    </row>
    <row r="1196">
      <c r="A1196" t="inlineStr">
        <is>
          <t>O01195</t>
        </is>
      </c>
      <c r="B1196" t="inlineStr">
        <is>
          <t>C0169</t>
        </is>
      </c>
      <c r="C1196" t="inlineStr">
        <is>
          <t>S018</t>
        </is>
      </c>
      <c r="D1196" t="inlineStr">
        <is>
          <t>R066</t>
        </is>
      </c>
      <c r="E1196" s="3" t="n">
        <v>46274.74513888889</v>
      </c>
      <c r="F1196" s="3" t="n">
        <v>46274.75305555556</v>
      </c>
      <c r="G1196" s="3" t="n">
        <v>46274.75270833333</v>
      </c>
      <c r="H1196" t="inlineStr">
        <is>
          <t>Delivered</t>
        </is>
      </c>
      <c r="I1196" t="n">
        <v>4</v>
      </c>
      <c r="J1196" t="n">
        <v>7</v>
      </c>
      <c r="K1196" t="n">
        <v>1058.76</v>
      </c>
      <c r="L1196" t="n">
        <v>0.5</v>
      </c>
      <c r="M1196" t="n">
        <v>2.8</v>
      </c>
      <c r="N1196" t="n">
        <v>5.6</v>
      </c>
      <c r="O1196" t="n">
        <v>2.5</v>
      </c>
      <c r="P1196" t="n">
        <v>11.4</v>
      </c>
      <c r="Q1196" t="n">
        <v>10.9</v>
      </c>
      <c r="R1196" t="n">
        <v>-0.5</v>
      </c>
      <c r="S1196" t="b">
        <v>1</v>
      </c>
      <c r="U1196" t="n">
        <v>17</v>
      </c>
      <c r="V1196" t="b">
        <v>0</v>
      </c>
      <c r="X1196" t="b">
        <v>0</v>
      </c>
      <c r="Y1196" t="n">
        <v>0.67</v>
      </c>
    </row>
    <row r="1197">
      <c r="A1197" t="inlineStr">
        <is>
          <t>O01196</t>
        </is>
      </c>
      <c r="B1197" t="inlineStr">
        <is>
          <t>C0131</t>
        </is>
      </c>
      <c r="C1197" t="inlineStr">
        <is>
          <t>S019</t>
        </is>
      </c>
      <c r="D1197" t="inlineStr">
        <is>
          <t>R057</t>
        </is>
      </c>
      <c r="E1197" s="3" t="n">
        <v>46279.89513888889</v>
      </c>
      <c r="F1197" s="3" t="n">
        <v>46279.90104166666</v>
      </c>
      <c r="G1197" s="3" t="n">
        <v>46279.90076388889</v>
      </c>
      <c r="H1197" t="inlineStr">
        <is>
          <t>Delivered</t>
        </is>
      </c>
      <c r="I1197" t="n">
        <v>3</v>
      </c>
      <c r="J1197" t="n">
        <v>5</v>
      </c>
      <c r="K1197" t="n">
        <v>867.75</v>
      </c>
      <c r="L1197" t="n">
        <v>2.21</v>
      </c>
      <c r="M1197" t="n">
        <v>3</v>
      </c>
      <c r="N1197" t="n">
        <v>1.1</v>
      </c>
      <c r="O1197" t="n">
        <v>4</v>
      </c>
      <c r="P1197" t="n">
        <v>8.5</v>
      </c>
      <c r="Q1197" t="n">
        <v>8.1</v>
      </c>
      <c r="R1197" t="n">
        <v>-0.4</v>
      </c>
      <c r="S1197" t="b">
        <v>1</v>
      </c>
      <c r="U1197" t="n">
        <v>21</v>
      </c>
      <c r="V1197" t="b">
        <v>1</v>
      </c>
      <c r="X1197" t="b">
        <v>0</v>
      </c>
      <c r="Y1197" t="n">
        <v>0.72</v>
      </c>
    </row>
    <row r="1198">
      <c r="A1198" t="inlineStr">
        <is>
          <t>O01197</t>
        </is>
      </c>
      <c r="B1198" t="inlineStr">
        <is>
          <t>C0112</t>
        </is>
      </c>
      <c r="C1198" t="inlineStr">
        <is>
          <t>S014</t>
        </is>
      </c>
      <c r="D1198" t="inlineStr">
        <is>
          <t>R034</t>
        </is>
      </c>
      <c r="E1198" s="3" t="n">
        <v>46269.86597222222</v>
      </c>
      <c r="F1198" s="3" t="n">
        <v>46269.87305555555</v>
      </c>
      <c r="G1198" s="3" t="n">
        <v>46269.87291666667</v>
      </c>
      <c r="H1198" t="inlineStr">
        <is>
          <t>Delivered</t>
        </is>
      </c>
      <c r="I1198" t="n">
        <v>2</v>
      </c>
      <c r="J1198" t="n">
        <v>8</v>
      </c>
      <c r="K1198" t="n">
        <v>1338.42</v>
      </c>
      <c r="L1198" t="n">
        <v>2.84</v>
      </c>
      <c r="M1198" t="n">
        <v>2.7</v>
      </c>
      <c r="N1198" t="n">
        <v>2.7</v>
      </c>
      <c r="O1198" t="n">
        <v>4.6</v>
      </c>
      <c r="P1198" t="n">
        <v>10.2</v>
      </c>
      <c r="Q1198" t="n">
        <v>10</v>
      </c>
      <c r="R1198" t="n">
        <v>-0.2</v>
      </c>
      <c r="S1198" t="b">
        <v>1</v>
      </c>
      <c r="U1198" t="n">
        <v>20</v>
      </c>
      <c r="V1198" t="b">
        <v>1</v>
      </c>
      <c r="W1198" t="inlineStr">
        <is>
          <t>Light</t>
        </is>
      </c>
      <c r="X1198" t="b">
        <v>0</v>
      </c>
      <c r="Y1198" t="n">
        <v>0.78</v>
      </c>
    </row>
    <row r="1199">
      <c r="A1199" t="inlineStr">
        <is>
          <t>O01198</t>
        </is>
      </c>
      <c r="B1199" t="inlineStr">
        <is>
          <t>C0123</t>
        </is>
      </c>
      <c r="C1199" t="inlineStr">
        <is>
          <t>S004</t>
        </is>
      </c>
      <c r="D1199" t="inlineStr">
        <is>
          <t>R011</t>
        </is>
      </c>
      <c r="E1199" s="3" t="n">
        <v>46269.39375</v>
      </c>
      <c r="F1199" s="3" t="n">
        <v>46269.39972222222</v>
      </c>
      <c r="G1199" s="3" t="n">
        <v>46269.39805555555</v>
      </c>
      <c r="H1199" t="inlineStr">
        <is>
          <t>Delivered</t>
        </is>
      </c>
      <c r="I1199" t="n">
        <v>2</v>
      </c>
      <c r="J1199" t="n">
        <v>5</v>
      </c>
      <c r="K1199" t="n">
        <v>1276.39</v>
      </c>
      <c r="L1199" t="n">
        <v>0.5</v>
      </c>
      <c r="M1199" t="n">
        <v>2.5</v>
      </c>
      <c r="N1199" t="n">
        <v>1.5</v>
      </c>
      <c r="O1199" t="n">
        <v>2.1</v>
      </c>
      <c r="P1199" t="n">
        <v>8.6</v>
      </c>
      <c r="Q1199" t="n">
        <v>6.2</v>
      </c>
      <c r="R1199" t="n">
        <v>-2.4</v>
      </c>
      <c r="S1199" t="b">
        <v>1</v>
      </c>
      <c r="U1199" t="n">
        <v>9</v>
      </c>
      <c r="V1199" t="b">
        <v>0</v>
      </c>
      <c r="X1199" t="b">
        <v>0</v>
      </c>
      <c r="Y1199" t="n">
        <v>0.32</v>
      </c>
    </row>
    <row r="1200">
      <c r="A1200" t="inlineStr">
        <is>
          <t>O01199</t>
        </is>
      </c>
      <c r="B1200" t="inlineStr">
        <is>
          <t>C0122</t>
        </is>
      </c>
      <c r="C1200" t="inlineStr">
        <is>
          <t>S015</t>
        </is>
      </c>
      <c r="D1200" t="inlineStr">
        <is>
          <t>R016</t>
        </is>
      </c>
      <c r="E1200" s="3" t="n">
        <v>46275.51666666667</v>
      </c>
      <c r="F1200" s="3" t="n">
        <v>46275.52465277778</v>
      </c>
      <c r="G1200" s="3" t="n">
        <v>46275.52430555555</v>
      </c>
      <c r="H1200" t="inlineStr">
        <is>
          <t>Delivered</t>
        </is>
      </c>
      <c r="I1200" t="n">
        <v>2</v>
      </c>
      <c r="J1200" t="n">
        <v>9</v>
      </c>
      <c r="K1200" t="n">
        <v>1097.2</v>
      </c>
      <c r="L1200" t="n">
        <v>1.4</v>
      </c>
      <c r="M1200" t="n">
        <v>4</v>
      </c>
      <c r="N1200" t="n">
        <v>4.6</v>
      </c>
      <c r="O1200" t="n">
        <v>2.4</v>
      </c>
      <c r="P1200" t="n">
        <v>11.5</v>
      </c>
      <c r="Q1200" t="n">
        <v>11</v>
      </c>
      <c r="R1200" t="n">
        <v>-0.5</v>
      </c>
      <c r="S1200" t="b">
        <v>1</v>
      </c>
      <c r="U1200" t="n">
        <v>12</v>
      </c>
      <c r="V1200" t="b">
        <v>0</v>
      </c>
      <c r="X1200" t="b">
        <v>0</v>
      </c>
      <c r="Y1200" t="n">
        <v>0.28</v>
      </c>
    </row>
    <row r="1201">
      <c r="A1201" t="inlineStr">
        <is>
          <t>O01200</t>
        </is>
      </c>
      <c r="B1201" t="inlineStr">
        <is>
          <t>C0110</t>
        </is>
      </c>
      <c r="C1201" t="inlineStr">
        <is>
          <t>S001</t>
        </is>
      </c>
      <c r="D1201" t="inlineStr">
        <is>
          <t>R050</t>
        </is>
      </c>
      <c r="E1201" s="3" t="n">
        <v>46274.70902777778</v>
      </c>
      <c r="F1201" s="3" t="n">
        <v>46274.7175</v>
      </c>
      <c r="G1201" s="3" t="n">
        <v>46274.71729166667</v>
      </c>
      <c r="H1201" t="inlineStr">
        <is>
          <t>Delivered</t>
        </is>
      </c>
      <c r="I1201" t="n">
        <v>4</v>
      </c>
      <c r="J1201" t="n">
        <v>12</v>
      </c>
      <c r="K1201" t="n">
        <v>997.45</v>
      </c>
      <c r="L1201" t="n">
        <v>1.83</v>
      </c>
      <c r="M1201" t="n">
        <v>4.4</v>
      </c>
      <c r="N1201" t="n">
        <v>4.3</v>
      </c>
      <c r="O1201" t="n">
        <v>3.2</v>
      </c>
      <c r="P1201" t="n">
        <v>12.2</v>
      </c>
      <c r="Q1201" t="n">
        <v>11.9</v>
      </c>
      <c r="R1201" t="n">
        <v>-0.3</v>
      </c>
      <c r="S1201" t="b">
        <v>1</v>
      </c>
      <c r="U1201" t="n">
        <v>17</v>
      </c>
      <c r="V1201" t="b">
        <v>0</v>
      </c>
      <c r="X1201" t="b">
        <v>0</v>
      </c>
      <c r="Y1201" t="n">
        <v>0</v>
      </c>
    </row>
    <row r="1202">
      <c r="A1202" t="inlineStr">
        <is>
          <t>O01201</t>
        </is>
      </c>
      <c r="B1202" t="inlineStr">
        <is>
          <t>C0128</t>
        </is>
      </c>
      <c r="C1202" t="inlineStr">
        <is>
          <t>S017</t>
        </is>
      </c>
      <c r="D1202" t="inlineStr">
        <is>
          <t>R043</t>
        </is>
      </c>
      <c r="E1202" s="3" t="n">
        <v>46270.92777777778</v>
      </c>
      <c r="F1202" s="3" t="n">
        <v>46270.93430555556</v>
      </c>
      <c r="G1202" s="3" t="n">
        <v>46270.93354166667</v>
      </c>
      <c r="H1202" t="inlineStr">
        <is>
          <t>Delivered</t>
        </is>
      </c>
      <c r="I1202" t="n">
        <v>2</v>
      </c>
      <c r="J1202" t="n">
        <v>7</v>
      </c>
      <c r="K1202" t="n">
        <v>1173.1</v>
      </c>
      <c r="L1202" t="n">
        <v>1.08</v>
      </c>
      <c r="M1202" t="n">
        <v>3</v>
      </c>
      <c r="N1202" t="n">
        <v>1.7</v>
      </c>
      <c r="O1202" t="n">
        <v>3.6</v>
      </c>
      <c r="P1202" t="n">
        <v>9.4</v>
      </c>
      <c r="Q1202" t="n">
        <v>8.300000000000001</v>
      </c>
      <c r="R1202" t="n">
        <v>-1.1</v>
      </c>
      <c r="S1202" t="b">
        <v>1</v>
      </c>
      <c r="U1202" t="n">
        <v>22</v>
      </c>
      <c r="V1202" t="b">
        <v>0</v>
      </c>
      <c r="X1202" t="b">
        <v>0</v>
      </c>
      <c r="Y1202" t="n">
        <v>0.53</v>
      </c>
    </row>
    <row r="1203">
      <c r="A1203" t="inlineStr">
        <is>
          <t>O01202</t>
        </is>
      </c>
      <c r="B1203" t="inlineStr">
        <is>
          <t>C0140</t>
        </is>
      </c>
      <c r="C1203" t="inlineStr">
        <is>
          <t>S007</t>
        </is>
      </c>
      <c r="D1203" t="inlineStr">
        <is>
          <t>R080</t>
        </is>
      </c>
      <c r="E1203" s="3" t="n">
        <v>46273.64513888889</v>
      </c>
      <c r="F1203" s="3" t="n">
        <v>46273.65180555556</v>
      </c>
      <c r="G1203" s="3" t="n">
        <v>46273.65048611111</v>
      </c>
      <c r="H1203" t="inlineStr">
        <is>
          <t>Delivered</t>
        </is>
      </c>
      <c r="I1203" t="n">
        <v>3</v>
      </c>
      <c r="J1203" t="n">
        <v>3</v>
      </c>
      <c r="K1203" t="n">
        <v>1157.52</v>
      </c>
      <c r="L1203" t="n">
        <v>0.88</v>
      </c>
      <c r="M1203" t="n">
        <v>4.2</v>
      </c>
      <c r="N1203" t="n">
        <v>0.8</v>
      </c>
      <c r="O1203" t="n">
        <v>2.7</v>
      </c>
      <c r="P1203" t="n">
        <v>9.6</v>
      </c>
      <c r="Q1203" t="n">
        <v>7.7</v>
      </c>
      <c r="R1203" t="n">
        <v>-1.9</v>
      </c>
      <c r="S1203" t="b">
        <v>1</v>
      </c>
      <c r="U1203" t="n">
        <v>15</v>
      </c>
      <c r="V1203" t="b">
        <v>0</v>
      </c>
      <c r="X1203" t="b">
        <v>0</v>
      </c>
      <c r="Y1203" t="n">
        <v>0.29</v>
      </c>
    </row>
    <row r="1204">
      <c r="A1204" t="inlineStr">
        <is>
          <t>O01203</t>
        </is>
      </c>
      <c r="B1204" t="inlineStr">
        <is>
          <t>C0042</t>
        </is>
      </c>
      <c r="C1204" t="inlineStr">
        <is>
          <t>S004</t>
        </is>
      </c>
      <c r="D1204" t="inlineStr">
        <is>
          <t>R031</t>
        </is>
      </c>
      <c r="E1204" s="3" t="n">
        <v>46275.59583333333</v>
      </c>
      <c r="F1204" s="3" t="n">
        <v>46275.605</v>
      </c>
      <c r="G1204" s="3" t="n">
        <v>46275.604375</v>
      </c>
      <c r="H1204" t="inlineStr">
        <is>
          <t>Delivered</t>
        </is>
      </c>
      <c r="I1204" t="n">
        <v>5</v>
      </c>
      <c r="J1204" t="n">
        <v>11</v>
      </c>
      <c r="K1204" t="n">
        <v>1722.93</v>
      </c>
      <c r="L1204" t="n">
        <v>3.3</v>
      </c>
      <c r="M1204" t="n">
        <v>2.3</v>
      </c>
      <c r="N1204" t="n">
        <v>4.8</v>
      </c>
      <c r="O1204" t="n">
        <v>5.2</v>
      </c>
      <c r="P1204" t="n">
        <v>13.2</v>
      </c>
      <c r="Q1204" t="n">
        <v>12.3</v>
      </c>
      <c r="R1204" t="n">
        <v>-0.9</v>
      </c>
      <c r="S1204" t="b">
        <v>1</v>
      </c>
      <c r="U1204" t="n">
        <v>14</v>
      </c>
      <c r="V1204" t="b">
        <v>0</v>
      </c>
      <c r="W1204" t="inlineStr">
        <is>
          <t>Light</t>
        </is>
      </c>
      <c r="X1204" t="b">
        <v>0</v>
      </c>
      <c r="Y1204" t="n">
        <v>0.44</v>
      </c>
    </row>
    <row r="1205">
      <c r="A1205" t="inlineStr">
        <is>
          <t>O01204</t>
        </is>
      </c>
      <c r="B1205" t="inlineStr">
        <is>
          <t>C0042</t>
        </is>
      </c>
      <c r="C1205" t="inlineStr">
        <is>
          <t>S004</t>
        </is>
      </c>
      <c r="D1205" t="inlineStr">
        <is>
          <t>R042</t>
        </is>
      </c>
      <c r="E1205" s="3" t="n">
        <v>46273.94027777778</v>
      </c>
      <c r="F1205" s="3" t="n">
        <v>46273.94756944444</v>
      </c>
      <c r="G1205" s="3" t="n">
        <v>46273.94722222222</v>
      </c>
      <c r="H1205" t="inlineStr">
        <is>
          <t>Delivered</t>
        </is>
      </c>
      <c r="I1205" t="n">
        <v>5</v>
      </c>
      <c r="J1205" t="n">
        <v>8</v>
      </c>
      <c r="K1205" t="n">
        <v>557.48</v>
      </c>
      <c r="L1205" t="n">
        <v>2.36</v>
      </c>
      <c r="M1205" t="n">
        <v>2.2</v>
      </c>
      <c r="N1205" t="n">
        <v>1.3</v>
      </c>
      <c r="O1205" t="n">
        <v>6.5</v>
      </c>
      <c r="P1205" t="n">
        <v>10.5</v>
      </c>
      <c r="Q1205" t="n">
        <v>10</v>
      </c>
      <c r="R1205" t="n">
        <v>-0.5</v>
      </c>
      <c r="S1205" t="b">
        <v>1</v>
      </c>
      <c r="U1205" t="n">
        <v>22</v>
      </c>
      <c r="V1205" t="b">
        <v>0</v>
      </c>
      <c r="X1205" t="b">
        <v>0</v>
      </c>
      <c r="Y1205" t="n">
        <v>0.79</v>
      </c>
    </row>
    <row r="1206">
      <c r="A1206" t="inlineStr">
        <is>
          <t>O01205</t>
        </is>
      </c>
      <c r="B1206" t="inlineStr">
        <is>
          <t>C0035</t>
        </is>
      </c>
      <c r="C1206" t="inlineStr">
        <is>
          <t>S010</t>
        </is>
      </c>
      <c r="D1206" t="inlineStr">
        <is>
          <t>R074</t>
        </is>
      </c>
      <c r="E1206" s="3" t="n">
        <v>46269.82916666667</v>
      </c>
      <c r="F1206" s="3" t="n">
        <v>46269.83548611111</v>
      </c>
      <c r="G1206" s="3" t="n">
        <v>46269.83513888889</v>
      </c>
      <c r="H1206" t="inlineStr">
        <is>
          <t>Delivered</t>
        </is>
      </c>
      <c r="I1206" t="n">
        <v>2</v>
      </c>
      <c r="J1206" t="n">
        <v>7</v>
      </c>
      <c r="K1206" t="n">
        <v>834.28</v>
      </c>
      <c r="L1206" t="n">
        <v>3.03</v>
      </c>
      <c r="M1206" t="n">
        <v>2.1</v>
      </c>
      <c r="N1206" t="n">
        <v>2.7</v>
      </c>
      <c r="O1206" t="n">
        <v>3.8</v>
      </c>
      <c r="P1206" t="n">
        <v>9.1</v>
      </c>
      <c r="Q1206" t="n">
        <v>8.6</v>
      </c>
      <c r="R1206" t="n">
        <v>-0.5</v>
      </c>
      <c r="S1206" t="b">
        <v>1</v>
      </c>
      <c r="U1206" t="n">
        <v>19</v>
      </c>
      <c r="V1206" t="b">
        <v>1</v>
      </c>
      <c r="W1206" t="inlineStr">
        <is>
          <t>Light</t>
        </is>
      </c>
      <c r="X1206" t="b">
        <v>0</v>
      </c>
      <c r="Y1206" t="n">
        <v>0.66</v>
      </c>
    </row>
    <row r="1207">
      <c r="A1207" t="inlineStr">
        <is>
          <t>O01206</t>
        </is>
      </c>
      <c r="B1207" t="inlineStr">
        <is>
          <t>C0088</t>
        </is>
      </c>
      <c r="C1207" t="inlineStr">
        <is>
          <t>S020</t>
        </is>
      </c>
      <c r="D1207" t="inlineStr">
        <is>
          <t>R069</t>
        </is>
      </c>
      <c r="E1207" s="3" t="n">
        <v>46276.99444444444</v>
      </c>
      <c r="F1207" s="3" t="n">
        <v>46277.00020833333</v>
      </c>
      <c r="G1207" s="3" t="n">
        <v>46276.99944444445</v>
      </c>
      <c r="H1207" t="inlineStr">
        <is>
          <t>Delivered</t>
        </is>
      </c>
      <c r="I1207" t="n">
        <v>4</v>
      </c>
      <c r="J1207" t="n">
        <v>6</v>
      </c>
      <c r="K1207" t="n">
        <v>382.18</v>
      </c>
      <c r="L1207" t="n">
        <v>1.47</v>
      </c>
      <c r="M1207" t="n">
        <v>2.7</v>
      </c>
      <c r="N1207" t="n">
        <v>2.3</v>
      </c>
      <c r="O1207" t="n">
        <v>2.2</v>
      </c>
      <c r="P1207" t="n">
        <v>8.300000000000001</v>
      </c>
      <c r="Q1207" t="n">
        <v>7.2</v>
      </c>
      <c r="R1207" t="n">
        <v>-1.1</v>
      </c>
      <c r="S1207" t="b">
        <v>1</v>
      </c>
      <c r="U1207" t="n">
        <v>23</v>
      </c>
      <c r="V1207" t="b">
        <v>0</v>
      </c>
      <c r="W1207" t="inlineStr">
        <is>
          <t>Light</t>
        </is>
      </c>
      <c r="X1207" t="b">
        <v>0</v>
      </c>
      <c r="Y1207" t="n">
        <v>0.36</v>
      </c>
    </row>
    <row r="1208">
      <c r="A1208" t="inlineStr">
        <is>
          <t>O01207</t>
        </is>
      </c>
      <c r="B1208" t="inlineStr">
        <is>
          <t>C0116</t>
        </is>
      </c>
      <c r="C1208" t="inlineStr">
        <is>
          <t>S019</t>
        </is>
      </c>
      <c r="D1208" t="inlineStr">
        <is>
          <t>R031</t>
        </is>
      </c>
      <c r="E1208" s="3" t="n">
        <v>46275.76319444444</v>
      </c>
      <c r="F1208" s="3" t="n">
        <v>46275.77</v>
      </c>
      <c r="G1208" s="3" t="n">
        <v>46275.769375</v>
      </c>
      <c r="H1208" t="inlineStr">
        <is>
          <t>Delivered</t>
        </is>
      </c>
      <c r="I1208" t="n">
        <v>6</v>
      </c>
      <c r="J1208" t="n">
        <v>8</v>
      </c>
      <c r="K1208" t="n">
        <v>1371.49</v>
      </c>
      <c r="L1208" t="n">
        <v>0.95</v>
      </c>
      <c r="M1208" t="n">
        <v>2.6</v>
      </c>
      <c r="N1208" t="n">
        <v>4.4</v>
      </c>
      <c r="O1208" t="n">
        <v>1.9</v>
      </c>
      <c r="P1208" t="n">
        <v>9.800000000000001</v>
      </c>
      <c r="Q1208" t="n">
        <v>8.9</v>
      </c>
      <c r="R1208" t="n">
        <v>-0.9</v>
      </c>
      <c r="S1208" t="b">
        <v>1</v>
      </c>
      <c r="U1208" t="n">
        <v>18</v>
      </c>
      <c r="V1208" t="b">
        <v>0</v>
      </c>
      <c r="W1208" t="inlineStr">
        <is>
          <t>Light</t>
        </is>
      </c>
      <c r="X1208" t="b">
        <v>0</v>
      </c>
      <c r="Y1208" t="n">
        <v>0.26</v>
      </c>
    </row>
    <row r="1209">
      <c r="A1209" t="inlineStr">
        <is>
          <t>O01208</t>
        </is>
      </c>
      <c r="B1209" t="inlineStr">
        <is>
          <t>C0058</t>
        </is>
      </c>
      <c r="C1209" t="inlineStr">
        <is>
          <t>S011</t>
        </is>
      </c>
      <c r="D1209" t="inlineStr">
        <is>
          <t>R027</t>
        </is>
      </c>
      <c r="E1209" s="3" t="n">
        <v>46269.58333333334</v>
      </c>
      <c r="F1209" s="3" t="n">
        <v>46269.59013888889</v>
      </c>
      <c r="G1209" s="3" t="n">
        <v>46269.58951388889</v>
      </c>
      <c r="H1209" t="inlineStr">
        <is>
          <t>Delivered</t>
        </is>
      </c>
      <c r="I1209" t="n">
        <v>3</v>
      </c>
      <c r="J1209" t="n">
        <v>9</v>
      </c>
      <c r="K1209" t="n">
        <v>1702.51</v>
      </c>
      <c r="L1209" t="n">
        <v>0.92</v>
      </c>
      <c r="M1209" t="n">
        <v>3</v>
      </c>
      <c r="N1209" t="n">
        <v>3.9</v>
      </c>
      <c r="O1209" t="n">
        <v>2</v>
      </c>
      <c r="P1209" t="n">
        <v>9.800000000000001</v>
      </c>
      <c r="Q1209" t="n">
        <v>8.9</v>
      </c>
      <c r="R1209" t="n">
        <v>-0.9</v>
      </c>
      <c r="S1209" t="b">
        <v>1</v>
      </c>
      <c r="U1209" t="n">
        <v>14</v>
      </c>
      <c r="V1209" t="b">
        <v>0</v>
      </c>
      <c r="W1209" t="inlineStr">
        <is>
          <t>Light</t>
        </is>
      </c>
      <c r="X1209" t="b">
        <v>0</v>
      </c>
      <c r="Y1209" t="n">
        <v>0.63</v>
      </c>
    </row>
    <row r="1210">
      <c r="A1210" t="inlineStr">
        <is>
          <t>O01209</t>
        </is>
      </c>
      <c r="B1210" t="inlineStr">
        <is>
          <t>C0248</t>
        </is>
      </c>
      <c r="C1210" t="inlineStr">
        <is>
          <t>S002</t>
        </is>
      </c>
      <c r="D1210" t="inlineStr">
        <is>
          <t>R012</t>
        </is>
      </c>
      <c r="E1210" s="3" t="n">
        <v>46271.74791666667</v>
      </c>
      <c r="F1210" s="3" t="n">
        <v>46271.75513888889</v>
      </c>
      <c r="G1210" s="3" t="n">
        <v>46271.75444444444</v>
      </c>
      <c r="H1210" t="inlineStr">
        <is>
          <t>Delivered</t>
        </is>
      </c>
      <c r="I1210" t="n">
        <v>5</v>
      </c>
      <c r="J1210" t="n">
        <v>5</v>
      </c>
      <c r="K1210" t="n">
        <v>947.49</v>
      </c>
      <c r="L1210" t="n">
        <v>2.81</v>
      </c>
      <c r="M1210" t="n">
        <v>2.3</v>
      </c>
      <c r="N1210" t="n">
        <v>2.4</v>
      </c>
      <c r="O1210" t="n">
        <v>4.7</v>
      </c>
      <c r="P1210" t="n">
        <v>10.4</v>
      </c>
      <c r="Q1210" t="n">
        <v>9.4</v>
      </c>
      <c r="R1210" t="n">
        <v>-1</v>
      </c>
      <c r="S1210" t="b">
        <v>1</v>
      </c>
      <c r="U1210" t="n">
        <v>17</v>
      </c>
      <c r="V1210" t="b">
        <v>0</v>
      </c>
      <c r="X1210" t="b">
        <v>0</v>
      </c>
      <c r="Y1210" t="n">
        <v>0.55</v>
      </c>
    </row>
    <row r="1211">
      <c r="A1211" t="inlineStr">
        <is>
          <t>O01210</t>
        </is>
      </c>
      <c r="B1211" t="inlineStr">
        <is>
          <t>C0064</t>
        </is>
      </c>
      <c r="C1211" t="inlineStr">
        <is>
          <t>S004</t>
        </is>
      </c>
      <c r="D1211" t="inlineStr">
        <is>
          <t>R004</t>
        </is>
      </c>
      <c r="E1211" s="3" t="n">
        <v>46278.70069444444</v>
      </c>
      <c r="F1211" s="3" t="n">
        <v>46278.71034722222</v>
      </c>
      <c r="G1211" s="3" t="n">
        <v>46278.71</v>
      </c>
      <c r="H1211" t="inlineStr">
        <is>
          <t>Delivered</t>
        </is>
      </c>
      <c r="I1211" t="n">
        <v>3</v>
      </c>
      <c r="J1211" t="n">
        <v>9</v>
      </c>
      <c r="K1211" t="n">
        <v>916.09</v>
      </c>
      <c r="L1211" t="n">
        <v>2.06</v>
      </c>
      <c r="M1211" t="n">
        <v>3.3</v>
      </c>
      <c r="N1211" t="n">
        <v>4.3</v>
      </c>
      <c r="O1211" t="n">
        <v>5.8</v>
      </c>
      <c r="P1211" t="n">
        <v>13.9</v>
      </c>
      <c r="Q1211" t="n">
        <v>13.4</v>
      </c>
      <c r="R1211" t="n">
        <v>-0.5</v>
      </c>
      <c r="S1211" t="b">
        <v>1</v>
      </c>
      <c r="U1211" t="n">
        <v>16</v>
      </c>
      <c r="V1211" t="b">
        <v>0</v>
      </c>
      <c r="W1211" t="inlineStr">
        <is>
          <t>Heavy</t>
        </is>
      </c>
      <c r="X1211" t="b">
        <v>0</v>
      </c>
      <c r="Y1211" t="n">
        <v>0.31</v>
      </c>
    </row>
    <row r="1212">
      <c r="A1212" t="inlineStr">
        <is>
          <t>O01211</t>
        </is>
      </c>
      <c r="B1212" t="inlineStr">
        <is>
          <t>C0059</t>
        </is>
      </c>
      <c r="C1212" t="inlineStr">
        <is>
          <t>S003</t>
        </is>
      </c>
      <c r="D1212" t="inlineStr">
        <is>
          <t>R070</t>
        </is>
      </c>
      <c r="E1212" s="3" t="n">
        <v>46269.41875</v>
      </c>
      <c r="F1212" s="3" t="n">
        <v>46269.42680555556</v>
      </c>
      <c r="G1212" s="3" t="n">
        <v>46269.429375</v>
      </c>
      <c r="H1212" t="inlineStr">
        <is>
          <t>Delivered</t>
        </is>
      </c>
      <c r="I1212" t="n">
        <v>1</v>
      </c>
      <c r="J1212" t="n">
        <v>4</v>
      </c>
      <c r="K1212" t="n">
        <v>755.1799999999999</v>
      </c>
      <c r="L1212" t="n">
        <v>2.1</v>
      </c>
      <c r="M1212" t="n">
        <v>4.6</v>
      </c>
      <c r="N1212" t="n">
        <v>5</v>
      </c>
      <c r="O1212" t="n">
        <v>5.8</v>
      </c>
      <c r="P1212" t="n">
        <v>11.6</v>
      </c>
      <c r="Q1212" t="n">
        <v>15.3</v>
      </c>
      <c r="R1212" t="n">
        <v>3.7</v>
      </c>
      <c r="S1212" t="b">
        <v>0</v>
      </c>
      <c r="U1212" t="n">
        <v>10</v>
      </c>
      <c r="V1212" t="b">
        <v>0</v>
      </c>
      <c r="X1212" t="b">
        <v>0</v>
      </c>
      <c r="Y1212" t="n">
        <v>0.51</v>
      </c>
    </row>
    <row r="1213">
      <c r="A1213" t="inlineStr">
        <is>
          <t>O01212</t>
        </is>
      </c>
      <c r="B1213" t="inlineStr">
        <is>
          <t>C0196</t>
        </is>
      </c>
      <c r="C1213" t="inlineStr">
        <is>
          <t>S001</t>
        </is>
      </c>
      <c r="D1213" t="inlineStr">
        <is>
          <t>R046</t>
        </is>
      </c>
      <c r="E1213" s="3" t="n">
        <v>46278.56805555556</v>
      </c>
      <c r="F1213" s="3" t="n">
        <v>46278.57409722222</v>
      </c>
      <c r="G1213" s="3" t="n">
        <v>46278.57972222222</v>
      </c>
      <c r="H1213" t="inlineStr">
        <is>
          <t>Delivered</t>
        </is>
      </c>
      <c r="I1213" t="n">
        <v>2</v>
      </c>
      <c r="J1213" t="n">
        <v>5</v>
      </c>
      <c r="K1213" t="n">
        <v>588.73</v>
      </c>
      <c r="L1213" t="n">
        <v>1.6</v>
      </c>
      <c r="M1213" t="n">
        <v>3.9</v>
      </c>
      <c r="N1213" t="n">
        <v>6.4</v>
      </c>
      <c r="O1213" t="n">
        <v>6.5</v>
      </c>
      <c r="P1213" t="n">
        <v>8.699999999999999</v>
      </c>
      <c r="Q1213" t="n">
        <v>16.8</v>
      </c>
      <c r="R1213" t="n">
        <v>8.1</v>
      </c>
      <c r="S1213" t="b">
        <v>0</v>
      </c>
      <c r="U1213" t="n">
        <v>13</v>
      </c>
      <c r="V1213" t="b">
        <v>0</v>
      </c>
      <c r="X1213" t="b">
        <v>0</v>
      </c>
      <c r="Y1213" t="n">
        <v>0.95</v>
      </c>
    </row>
    <row r="1214">
      <c r="A1214" t="inlineStr">
        <is>
          <t>O01213</t>
        </is>
      </c>
      <c r="B1214" t="inlineStr">
        <is>
          <t>C0095</t>
        </is>
      </c>
      <c r="C1214" t="inlineStr">
        <is>
          <t>S007</t>
        </is>
      </c>
      <c r="D1214" t="inlineStr">
        <is>
          <t>R030</t>
        </is>
      </c>
      <c r="E1214" s="3" t="n">
        <v>46273.46180555555</v>
      </c>
      <c r="F1214" s="3" t="n">
        <v>46273.46791666667</v>
      </c>
      <c r="G1214" s="3" t="n">
        <v>46273.46743055555</v>
      </c>
      <c r="H1214" t="inlineStr">
        <is>
          <t>Delivered</t>
        </is>
      </c>
      <c r="I1214" t="n">
        <v>6</v>
      </c>
      <c r="J1214" t="n">
        <v>8</v>
      </c>
      <c r="K1214" t="n">
        <v>477.89</v>
      </c>
      <c r="L1214" t="n">
        <v>1.67</v>
      </c>
      <c r="M1214" t="n">
        <v>3</v>
      </c>
      <c r="N1214" t="n">
        <v>1.3</v>
      </c>
      <c r="O1214" t="n">
        <v>3.8</v>
      </c>
      <c r="P1214" t="n">
        <v>8.800000000000001</v>
      </c>
      <c r="Q1214" t="n">
        <v>8.1</v>
      </c>
      <c r="R1214" t="n">
        <v>-0.7</v>
      </c>
      <c r="S1214" t="b">
        <v>1</v>
      </c>
      <c r="U1214" t="n">
        <v>11</v>
      </c>
      <c r="V1214" t="b">
        <v>0</v>
      </c>
      <c r="X1214" t="b">
        <v>0</v>
      </c>
      <c r="Y1214" t="n">
        <v>0.28</v>
      </c>
    </row>
    <row r="1215">
      <c r="A1215" t="inlineStr">
        <is>
          <t>O01214</t>
        </is>
      </c>
      <c r="B1215" t="inlineStr">
        <is>
          <t>C0210</t>
        </is>
      </c>
      <c r="C1215" t="inlineStr">
        <is>
          <t>S014</t>
        </is>
      </c>
      <c r="D1215" t="inlineStr">
        <is>
          <t>R077</t>
        </is>
      </c>
      <c r="E1215" s="3" t="n">
        <v>46272.54930555556</v>
      </c>
      <c r="F1215" s="3" t="n">
        <v>46272.55645833333</v>
      </c>
      <c r="G1215" s="3" t="n">
        <v>46272.55625</v>
      </c>
      <c r="H1215" t="inlineStr">
        <is>
          <t>Delivered</t>
        </is>
      </c>
      <c r="I1215" t="n">
        <v>2</v>
      </c>
      <c r="J1215" t="n">
        <v>9</v>
      </c>
      <c r="K1215" t="n">
        <v>1049.65</v>
      </c>
      <c r="L1215" t="n">
        <v>3.3</v>
      </c>
      <c r="M1215" t="n">
        <v>2.9</v>
      </c>
      <c r="N1215" t="n">
        <v>2.2</v>
      </c>
      <c r="O1215" t="n">
        <v>4.9</v>
      </c>
      <c r="P1215" t="n">
        <v>10.3</v>
      </c>
      <c r="Q1215" t="n">
        <v>10</v>
      </c>
      <c r="R1215" t="n">
        <v>-0.3</v>
      </c>
      <c r="S1215" t="b">
        <v>1</v>
      </c>
      <c r="U1215" t="n">
        <v>13</v>
      </c>
      <c r="V1215" t="b">
        <v>0</v>
      </c>
      <c r="X1215" t="b">
        <v>0</v>
      </c>
      <c r="Y1215" t="n">
        <v>0.51</v>
      </c>
    </row>
    <row r="1216">
      <c r="A1216" t="inlineStr">
        <is>
          <t>O01215</t>
        </is>
      </c>
      <c r="B1216" t="inlineStr">
        <is>
          <t>C0111</t>
        </is>
      </c>
      <c r="C1216" t="inlineStr">
        <is>
          <t>S020</t>
        </is>
      </c>
      <c r="D1216" t="inlineStr">
        <is>
          <t>R073</t>
        </is>
      </c>
      <c r="E1216" s="3" t="n">
        <v>46267.90763888889</v>
      </c>
      <c r="F1216" s="3" t="n">
        <v>46267.91472222222</v>
      </c>
      <c r="G1216" s="3" t="n">
        <v>46267.914375</v>
      </c>
      <c r="H1216" t="inlineStr">
        <is>
          <t>Delivered</t>
        </is>
      </c>
      <c r="I1216" t="n">
        <v>6</v>
      </c>
      <c r="J1216" t="n">
        <v>9</v>
      </c>
      <c r="K1216" t="n">
        <v>804</v>
      </c>
      <c r="L1216" t="n">
        <v>1.22</v>
      </c>
      <c r="M1216" t="n">
        <v>3.3</v>
      </c>
      <c r="N1216" t="n">
        <v>4.1</v>
      </c>
      <c r="O1216" t="n">
        <v>2.3</v>
      </c>
      <c r="P1216" t="n">
        <v>10.2</v>
      </c>
      <c r="Q1216" t="n">
        <v>9.699999999999999</v>
      </c>
      <c r="R1216" t="n">
        <v>-0.5</v>
      </c>
      <c r="S1216" t="b">
        <v>1</v>
      </c>
      <c r="U1216" t="n">
        <v>21</v>
      </c>
      <c r="V1216" t="b">
        <v>1</v>
      </c>
      <c r="X1216" t="b">
        <v>0</v>
      </c>
      <c r="Y1216" t="n">
        <v>0.53</v>
      </c>
    </row>
    <row r="1217">
      <c r="A1217" t="inlineStr">
        <is>
          <t>O01216</t>
        </is>
      </c>
      <c r="B1217" t="inlineStr">
        <is>
          <t>C0178</t>
        </is>
      </c>
      <c r="C1217" t="inlineStr">
        <is>
          <t>S017</t>
        </is>
      </c>
      <c r="D1217" t="inlineStr">
        <is>
          <t>R064</t>
        </is>
      </c>
      <c r="E1217" s="3" t="n">
        <v>46272.51180555556</v>
      </c>
      <c r="F1217" s="3" t="n">
        <v>46272.51819444444</v>
      </c>
      <c r="G1217" s="3" t="n">
        <v>46272.51763888889</v>
      </c>
      <c r="H1217" t="inlineStr">
        <is>
          <t>Delivered</t>
        </is>
      </c>
      <c r="I1217" t="n">
        <v>2</v>
      </c>
      <c r="J1217" t="n">
        <v>9</v>
      </c>
      <c r="K1217" t="n">
        <v>1019.7</v>
      </c>
      <c r="L1217" t="n">
        <v>2.57</v>
      </c>
      <c r="M1217" t="n">
        <v>1.9</v>
      </c>
      <c r="N1217" t="n">
        <v>2.6</v>
      </c>
      <c r="O1217" t="n">
        <v>3.9</v>
      </c>
      <c r="P1217" t="n">
        <v>9.199999999999999</v>
      </c>
      <c r="Q1217" t="n">
        <v>8.4</v>
      </c>
      <c r="R1217" t="n">
        <v>-0.8</v>
      </c>
      <c r="S1217" t="b">
        <v>1</v>
      </c>
      <c r="U1217" t="n">
        <v>12</v>
      </c>
      <c r="V1217" t="b">
        <v>0</v>
      </c>
      <c r="W1217" t="inlineStr">
        <is>
          <t>Light</t>
        </is>
      </c>
      <c r="X1217" t="b">
        <v>0</v>
      </c>
      <c r="Y1217" t="n">
        <v>0.37</v>
      </c>
    </row>
    <row r="1218">
      <c r="A1218" t="inlineStr">
        <is>
          <t>O01217</t>
        </is>
      </c>
      <c r="B1218" t="inlineStr">
        <is>
          <t>C0250</t>
        </is>
      </c>
      <c r="C1218" t="inlineStr">
        <is>
          <t>S018</t>
        </is>
      </c>
      <c r="D1218" t="inlineStr">
        <is>
          <t>R017</t>
        </is>
      </c>
      <c r="E1218" s="3" t="n">
        <v>46268.54513888889</v>
      </c>
      <c r="F1218" s="3" t="n">
        <v>46268.55208333334</v>
      </c>
      <c r="G1218" s="3" t="n">
        <v>46268.55152777778</v>
      </c>
      <c r="H1218" t="inlineStr">
        <is>
          <t>Delivered</t>
        </is>
      </c>
      <c r="I1218" t="n">
        <v>5</v>
      </c>
      <c r="J1218" t="n">
        <v>5</v>
      </c>
      <c r="K1218" t="n">
        <v>1362.2</v>
      </c>
      <c r="L1218" t="n">
        <v>0.8</v>
      </c>
      <c r="M1218" t="n">
        <v>3.7</v>
      </c>
      <c r="N1218" t="n">
        <v>3.1</v>
      </c>
      <c r="O1218" t="n">
        <v>2.4</v>
      </c>
      <c r="P1218" t="n">
        <v>10</v>
      </c>
      <c r="Q1218" t="n">
        <v>9.199999999999999</v>
      </c>
      <c r="R1218" t="n">
        <v>-0.8</v>
      </c>
      <c r="S1218" t="b">
        <v>1</v>
      </c>
      <c r="U1218" t="n">
        <v>13</v>
      </c>
      <c r="V1218" t="b">
        <v>0</v>
      </c>
      <c r="W1218" t="inlineStr">
        <is>
          <t>Light</t>
        </is>
      </c>
      <c r="X1218" t="b">
        <v>0</v>
      </c>
      <c r="Y1218" t="n">
        <v>0.14</v>
      </c>
    </row>
    <row r="1219">
      <c r="A1219" t="inlineStr">
        <is>
          <t>O01218</t>
        </is>
      </c>
      <c r="B1219" t="inlineStr">
        <is>
          <t>C0081</t>
        </is>
      </c>
      <c r="C1219" t="inlineStr">
        <is>
          <t>S016</t>
        </is>
      </c>
      <c r="D1219" t="inlineStr">
        <is>
          <t>R013</t>
        </is>
      </c>
      <c r="E1219" s="3" t="n">
        <v>46272.47222222222</v>
      </c>
      <c r="F1219" s="3" t="n">
        <v>46272.48076388889</v>
      </c>
      <c r="G1219" s="3" t="n">
        <v>46272.48444444445</v>
      </c>
      <c r="H1219" t="inlineStr">
        <is>
          <t>Delivered</t>
        </is>
      </c>
      <c r="I1219" t="n">
        <v>2</v>
      </c>
      <c r="J1219" t="n">
        <v>6</v>
      </c>
      <c r="K1219" t="n">
        <v>1263.76</v>
      </c>
      <c r="L1219" t="n">
        <v>2.6</v>
      </c>
      <c r="M1219" t="n">
        <v>4.8</v>
      </c>
      <c r="N1219" t="n">
        <v>6</v>
      </c>
      <c r="O1219" t="n">
        <v>6.9</v>
      </c>
      <c r="P1219" t="n">
        <v>12.3</v>
      </c>
      <c r="Q1219" t="n">
        <v>17.6</v>
      </c>
      <c r="R1219" t="n">
        <v>5.3</v>
      </c>
      <c r="S1219" t="b">
        <v>0</v>
      </c>
      <c r="U1219" t="n">
        <v>11</v>
      </c>
      <c r="V1219" t="b">
        <v>0</v>
      </c>
      <c r="X1219" t="b">
        <v>0</v>
      </c>
      <c r="Y1219" t="n">
        <v>0.5600000000000001</v>
      </c>
    </row>
    <row r="1220">
      <c r="A1220" t="inlineStr">
        <is>
          <t>O01219</t>
        </is>
      </c>
      <c r="B1220" t="inlineStr">
        <is>
          <t>C0210</t>
        </is>
      </c>
      <c r="C1220" t="inlineStr">
        <is>
          <t>S004</t>
        </is>
      </c>
      <c r="D1220" t="inlineStr">
        <is>
          <t>R062</t>
        </is>
      </c>
      <c r="E1220" s="3" t="n">
        <v>46266.57013888889</v>
      </c>
      <c r="F1220" s="3" t="n">
        <v>46266.57791666667</v>
      </c>
      <c r="G1220" s="3" t="n">
        <v>46266.57722222222</v>
      </c>
      <c r="H1220" t="inlineStr">
        <is>
          <t>Delivered</t>
        </is>
      </c>
      <c r="I1220" t="n">
        <v>3</v>
      </c>
      <c r="J1220" t="n">
        <v>6</v>
      </c>
      <c r="K1220" t="n">
        <v>1001.85</v>
      </c>
      <c r="L1220" t="n">
        <v>2.33</v>
      </c>
      <c r="M1220" t="n">
        <v>1.4</v>
      </c>
      <c r="N1220" t="n">
        <v>2.9</v>
      </c>
      <c r="O1220" t="n">
        <v>5.9</v>
      </c>
      <c r="P1220" t="n">
        <v>11.2</v>
      </c>
      <c r="Q1220" t="n">
        <v>10.2</v>
      </c>
      <c r="R1220" t="n">
        <v>-1</v>
      </c>
      <c r="S1220" t="b">
        <v>1</v>
      </c>
      <c r="U1220" t="n">
        <v>13</v>
      </c>
      <c r="V1220" t="b">
        <v>0</v>
      </c>
      <c r="X1220" t="b">
        <v>0</v>
      </c>
      <c r="Y1220" t="n">
        <v>0.8100000000000001</v>
      </c>
    </row>
    <row r="1221">
      <c r="A1221" t="inlineStr">
        <is>
          <t>O01220</t>
        </is>
      </c>
      <c r="B1221" t="inlineStr">
        <is>
          <t>C0150</t>
        </is>
      </c>
      <c r="C1221" t="inlineStr">
        <is>
          <t>S020</t>
        </is>
      </c>
      <c r="D1221" t="inlineStr">
        <is>
          <t>R009</t>
        </is>
      </c>
      <c r="E1221" s="3" t="n">
        <v>46268.64444444444</v>
      </c>
      <c r="F1221" s="3" t="n">
        <v>46268.65236111111</v>
      </c>
      <c r="G1221" s="3" t="n">
        <v>46268.651875</v>
      </c>
      <c r="H1221" t="inlineStr">
        <is>
          <t>Delivered</t>
        </is>
      </c>
      <c r="I1221" t="n">
        <v>3</v>
      </c>
      <c r="J1221" t="n">
        <v>8</v>
      </c>
      <c r="K1221" t="n">
        <v>1411.66</v>
      </c>
      <c r="L1221" t="n">
        <v>2.39</v>
      </c>
      <c r="M1221" t="n">
        <v>4.3</v>
      </c>
      <c r="N1221" t="n">
        <v>2.1</v>
      </c>
      <c r="O1221" t="n">
        <v>4.3</v>
      </c>
      <c r="P1221" t="n">
        <v>11.4</v>
      </c>
      <c r="Q1221" t="n">
        <v>10.7</v>
      </c>
      <c r="R1221" t="n">
        <v>-0.7</v>
      </c>
      <c r="S1221" t="b">
        <v>1</v>
      </c>
      <c r="U1221" t="n">
        <v>15</v>
      </c>
      <c r="V1221" t="b">
        <v>0</v>
      </c>
      <c r="X1221" t="b">
        <v>0</v>
      </c>
      <c r="Y1221" t="n">
        <v>0.42</v>
      </c>
    </row>
    <row r="1222">
      <c r="A1222" t="inlineStr">
        <is>
          <t>O01221</t>
        </is>
      </c>
      <c r="B1222" t="inlineStr">
        <is>
          <t>C0181</t>
        </is>
      </c>
      <c r="C1222" t="inlineStr">
        <is>
          <t>S015</t>
        </is>
      </c>
      <c r="D1222" t="inlineStr">
        <is>
          <t>R002</t>
        </is>
      </c>
      <c r="E1222" s="3" t="n">
        <v>46274.87361111111</v>
      </c>
      <c r="F1222" s="3" t="n">
        <v>46274.87965277778</v>
      </c>
      <c r="G1222" s="3" t="n">
        <v>46274.88625</v>
      </c>
      <c r="H1222" t="inlineStr">
        <is>
          <t>Delivered</t>
        </is>
      </c>
      <c r="I1222" t="n">
        <v>6</v>
      </c>
      <c r="J1222" t="n">
        <v>12</v>
      </c>
      <c r="K1222" t="n">
        <v>1003.29</v>
      </c>
      <c r="L1222" t="n">
        <v>1.08</v>
      </c>
      <c r="M1222" t="n">
        <v>5.6</v>
      </c>
      <c r="N1222" t="n">
        <v>8.300000000000001</v>
      </c>
      <c r="O1222" t="n">
        <v>4.4</v>
      </c>
      <c r="P1222" t="n">
        <v>8.699999999999999</v>
      </c>
      <c r="Q1222" t="n">
        <v>18.2</v>
      </c>
      <c r="R1222" t="n">
        <v>9.5</v>
      </c>
      <c r="S1222" t="b">
        <v>0</v>
      </c>
      <c r="U1222" t="n">
        <v>20</v>
      </c>
      <c r="V1222" t="b">
        <v>1</v>
      </c>
      <c r="X1222" t="b">
        <v>0</v>
      </c>
      <c r="Y1222" t="n">
        <v>0.71</v>
      </c>
    </row>
    <row r="1223">
      <c r="A1223" t="inlineStr">
        <is>
          <t>O01222</t>
        </is>
      </c>
      <c r="B1223" t="inlineStr">
        <is>
          <t>C0245</t>
        </is>
      </c>
      <c r="C1223" t="inlineStr">
        <is>
          <t>S010</t>
        </is>
      </c>
      <c r="D1223" t="inlineStr">
        <is>
          <t>R009</t>
        </is>
      </c>
      <c r="E1223" s="3" t="n">
        <v>46273.48263888889</v>
      </c>
      <c r="F1223" s="3" t="n">
        <v>46273.48944444444</v>
      </c>
      <c r="G1223" s="3" t="n">
        <v>46273.48875</v>
      </c>
      <c r="H1223" t="inlineStr">
        <is>
          <t>Delivered</t>
        </is>
      </c>
      <c r="I1223" t="n">
        <v>4</v>
      </c>
      <c r="J1223" t="n">
        <v>7</v>
      </c>
      <c r="K1223" t="n">
        <v>380.65</v>
      </c>
      <c r="L1223" t="n">
        <v>1.83</v>
      </c>
      <c r="M1223" t="n">
        <v>4.2</v>
      </c>
      <c r="N1223" t="n">
        <v>1</v>
      </c>
      <c r="O1223" t="n">
        <v>3.6</v>
      </c>
      <c r="P1223" t="n">
        <v>9.800000000000001</v>
      </c>
      <c r="Q1223" t="n">
        <v>8.800000000000001</v>
      </c>
      <c r="R1223" t="n">
        <v>-1</v>
      </c>
      <c r="S1223" t="b">
        <v>1</v>
      </c>
      <c r="U1223" t="n">
        <v>11</v>
      </c>
      <c r="V1223" t="b">
        <v>0</v>
      </c>
      <c r="W1223" t="inlineStr">
        <is>
          <t>Light</t>
        </is>
      </c>
      <c r="X1223" t="b">
        <v>0</v>
      </c>
      <c r="Y1223" t="n">
        <v>0.5</v>
      </c>
    </row>
    <row r="1224">
      <c r="A1224" t="inlineStr">
        <is>
          <t>O01223</t>
        </is>
      </c>
      <c r="B1224" t="inlineStr">
        <is>
          <t>C0149</t>
        </is>
      </c>
      <c r="C1224" t="inlineStr">
        <is>
          <t>S013</t>
        </is>
      </c>
      <c r="D1224" t="inlineStr">
        <is>
          <t>R026</t>
        </is>
      </c>
      <c r="E1224" s="3" t="n">
        <v>46266.38819444444</v>
      </c>
      <c r="F1224" s="3" t="n">
        <v>46266.39458333333</v>
      </c>
      <c r="G1224" s="3" t="n">
        <v>46266.39381944444</v>
      </c>
      <c r="H1224" t="inlineStr">
        <is>
          <t>Delivered</t>
        </is>
      </c>
      <c r="I1224" t="n">
        <v>6</v>
      </c>
      <c r="J1224" t="n">
        <v>9</v>
      </c>
      <c r="K1224" t="n">
        <v>1446.56</v>
      </c>
      <c r="L1224" t="n">
        <v>2.2</v>
      </c>
      <c r="M1224" t="n">
        <v>3.7</v>
      </c>
      <c r="N1224" t="n">
        <v>1.1</v>
      </c>
      <c r="O1224" t="n">
        <v>3.3</v>
      </c>
      <c r="P1224" t="n">
        <v>9.199999999999999</v>
      </c>
      <c r="Q1224" t="n">
        <v>8.1</v>
      </c>
      <c r="R1224" t="n">
        <v>-1.1</v>
      </c>
      <c r="S1224" t="b">
        <v>1</v>
      </c>
      <c r="U1224" t="n">
        <v>9</v>
      </c>
      <c r="V1224" t="b">
        <v>0</v>
      </c>
      <c r="X1224" t="b">
        <v>0</v>
      </c>
      <c r="Y1224" t="n">
        <v>0.48</v>
      </c>
    </row>
    <row r="1225">
      <c r="A1225" t="inlineStr">
        <is>
          <t>O01224</t>
        </is>
      </c>
      <c r="B1225" t="inlineStr">
        <is>
          <t>C0200</t>
        </is>
      </c>
      <c r="C1225" t="inlineStr">
        <is>
          <t>S007</t>
        </is>
      </c>
      <c r="D1225" t="inlineStr">
        <is>
          <t>R015</t>
        </is>
      </c>
      <c r="E1225" s="3" t="n">
        <v>46268.68958333333</v>
      </c>
      <c r="F1225" s="3" t="n">
        <v>46268.69590277778</v>
      </c>
      <c r="G1225" s="3" t="n">
        <v>46268.69576388889</v>
      </c>
      <c r="H1225" t="inlineStr">
        <is>
          <t>Delivered</t>
        </is>
      </c>
      <c r="I1225" t="n">
        <v>3</v>
      </c>
      <c r="J1225" t="n">
        <v>8</v>
      </c>
      <c r="K1225" t="n">
        <v>987.91</v>
      </c>
      <c r="L1225" t="n">
        <v>1.84</v>
      </c>
      <c r="M1225" t="n">
        <v>3.4</v>
      </c>
      <c r="N1225" t="n">
        <v>1.5</v>
      </c>
      <c r="O1225" t="n">
        <v>4</v>
      </c>
      <c r="P1225" t="n">
        <v>9.1</v>
      </c>
      <c r="Q1225" t="n">
        <v>8.9</v>
      </c>
      <c r="R1225" t="n">
        <v>-0.2</v>
      </c>
      <c r="S1225" t="b">
        <v>1</v>
      </c>
      <c r="U1225" t="n">
        <v>16</v>
      </c>
      <c r="V1225" t="b">
        <v>0</v>
      </c>
      <c r="W1225" t="inlineStr">
        <is>
          <t>Light</t>
        </is>
      </c>
      <c r="X1225" t="b">
        <v>1</v>
      </c>
      <c r="Y1225" t="n">
        <v>0.29</v>
      </c>
    </row>
    <row r="1226">
      <c r="A1226" t="inlineStr">
        <is>
          <t>O01225</t>
        </is>
      </c>
      <c r="B1226" t="inlineStr">
        <is>
          <t>C0185</t>
        </is>
      </c>
      <c r="C1226" t="inlineStr">
        <is>
          <t>S010</t>
        </is>
      </c>
      <c r="D1226" t="inlineStr">
        <is>
          <t>R032</t>
        </is>
      </c>
      <c r="E1226" s="3" t="n">
        <v>46268.42291666667</v>
      </c>
      <c r="F1226" s="3" t="n">
        <v>46268.43027777778</v>
      </c>
      <c r="G1226" s="3" t="n">
        <v>46268.43013888889</v>
      </c>
      <c r="H1226" t="inlineStr">
        <is>
          <t>Delivered</t>
        </is>
      </c>
      <c r="I1226" t="n">
        <v>2</v>
      </c>
      <c r="J1226" t="n">
        <v>3</v>
      </c>
      <c r="K1226" t="n">
        <v>1529.86</v>
      </c>
      <c r="L1226" t="n">
        <v>2.55</v>
      </c>
      <c r="M1226" t="n">
        <v>5.4</v>
      </c>
      <c r="N1226" t="n">
        <v>0.7</v>
      </c>
      <c r="O1226" t="n">
        <v>4.3</v>
      </c>
      <c r="P1226" t="n">
        <v>10.6</v>
      </c>
      <c r="Q1226" t="n">
        <v>10.4</v>
      </c>
      <c r="R1226" t="n">
        <v>-0.2</v>
      </c>
      <c r="S1226" t="b">
        <v>1</v>
      </c>
      <c r="U1226" t="n">
        <v>10</v>
      </c>
      <c r="V1226" t="b">
        <v>0</v>
      </c>
      <c r="X1226" t="b">
        <v>0</v>
      </c>
      <c r="Y1226" t="n">
        <v>0.17</v>
      </c>
    </row>
    <row r="1227">
      <c r="A1227" t="inlineStr">
        <is>
          <t>O01226</t>
        </is>
      </c>
      <c r="B1227" t="inlineStr">
        <is>
          <t>C0193</t>
        </is>
      </c>
      <c r="C1227" t="inlineStr">
        <is>
          <t>S008</t>
        </is>
      </c>
      <c r="D1227" t="inlineStr">
        <is>
          <t>R045</t>
        </is>
      </c>
      <c r="E1227" s="3" t="n">
        <v>46277.72222222222</v>
      </c>
      <c r="F1227" s="3" t="n">
        <v>46277.72951388889</v>
      </c>
      <c r="G1227" s="3" t="n">
        <v>46277.73034722222</v>
      </c>
      <c r="H1227" t="inlineStr">
        <is>
          <t>Delivered</t>
        </is>
      </c>
      <c r="I1227" t="n">
        <v>1</v>
      </c>
      <c r="J1227" t="n">
        <v>7</v>
      </c>
      <c r="K1227" t="n">
        <v>1034.63</v>
      </c>
      <c r="L1227" t="n">
        <v>2.01</v>
      </c>
      <c r="M1227" t="n">
        <v>4.7</v>
      </c>
      <c r="N1227" t="n">
        <v>0</v>
      </c>
      <c r="O1227" t="n">
        <v>7</v>
      </c>
      <c r="P1227" t="n">
        <v>10.5</v>
      </c>
      <c r="Q1227" t="n">
        <v>11.7</v>
      </c>
      <c r="R1227" t="n">
        <v>1.2</v>
      </c>
      <c r="S1227" t="b">
        <v>0</v>
      </c>
      <c r="U1227" t="n">
        <v>17</v>
      </c>
      <c r="V1227" t="b">
        <v>0</v>
      </c>
      <c r="X1227" t="b">
        <v>0</v>
      </c>
      <c r="Y1227" t="n">
        <v>0.67</v>
      </c>
    </row>
    <row r="1228">
      <c r="A1228" t="inlineStr">
        <is>
          <t>O01227</t>
        </is>
      </c>
      <c r="B1228" t="inlineStr">
        <is>
          <t>C0097</t>
        </is>
      </c>
      <c r="C1228" t="inlineStr">
        <is>
          <t>S014</t>
        </is>
      </c>
      <c r="D1228" t="inlineStr">
        <is>
          <t>R072</t>
        </is>
      </c>
      <c r="E1228" s="3" t="n">
        <v>46277.67569444444</v>
      </c>
      <c r="F1228" s="3" t="n">
        <v>46277.68270833333</v>
      </c>
      <c r="G1228" s="3" t="n">
        <v>46277.68229166666</v>
      </c>
      <c r="H1228" t="inlineStr">
        <is>
          <t>Delivered</t>
        </is>
      </c>
      <c r="I1228" t="n">
        <v>1</v>
      </c>
      <c r="J1228" t="n">
        <v>4</v>
      </c>
      <c r="K1228" t="n">
        <v>1566.17</v>
      </c>
      <c r="L1228" t="n">
        <v>0.83</v>
      </c>
      <c r="M1228" t="n">
        <v>3</v>
      </c>
      <c r="N1228" t="n">
        <v>5.1</v>
      </c>
      <c r="O1228" t="n">
        <v>1.4</v>
      </c>
      <c r="P1228" t="n">
        <v>10.1</v>
      </c>
      <c r="Q1228" t="n">
        <v>9.5</v>
      </c>
      <c r="R1228" t="n">
        <v>-0.6</v>
      </c>
      <c r="S1228" t="b">
        <v>1</v>
      </c>
      <c r="U1228" t="n">
        <v>16</v>
      </c>
      <c r="V1228" t="b">
        <v>0</v>
      </c>
      <c r="X1228" t="b">
        <v>0</v>
      </c>
      <c r="Y1228" t="n">
        <v>0.24</v>
      </c>
    </row>
    <row r="1229">
      <c r="A1229" t="inlineStr">
        <is>
          <t>O01228</t>
        </is>
      </c>
      <c r="B1229" t="inlineStr">
        <is>
          <t>C0188</t>
        </is>
      </c>
      <c r="C1229" t="inlineStr">
        <is>
          <t>S015</t>
        </is>
      </c>
      <c r="D1229" t="inlineStr">
        <is>
          <t>R042</t>
        </is>
      </c>
      <c r="E1229" s="3" t="n">
        <v>46272.41597222222</v>
      </c>
      <c r="F1229" s="3" t="n">
        <v>46272.42402777778</v>
      </c>
      <c r="G1229" s="3" t="n">
        <v>46272.42625</v>
      </c>
      <c r="H1229" t="inlineStr">
        <is>
          <t>Delivered</t>
        </is>
      </c>
      <c r="I1229" t="n">
        <v>4</v>
      </c>
      <c r="J1229" t="n">
        <v>10</v>
      </c>
      <c r="K1229" t="n">
        <v>460.67</v>
      </c>
      <c r="L1229" t="n">
        <v>2.86</v>
      </c>
      <c r="M1229" t="n">
        <v>6.9</v>
      </c>
      <c r="N1229" t="n">
        <v>1.6</v>
      </c>
      <c r="O1229" t="n">
        <v>6.3</v>
      </c>
      <c r="P1229" t="n">
        <v>11.6</v>
      </c>
      <c r="Q1229" t="n">
        <v>14.8</v>
      </c>
      <c r="R1229" t="n">
        <v>3.2</v>
      </c>
      <c r="S1229" t="b">
        <v>0</v>
      </c>
      <c r="U1229" t="n">
        <v>9</v>
      </c>
      <c r="V1229" t="b">
        <v>0</v>
      </c>
      <c r="X1229" t="b">
        <v>0</v>
      </c>
      <c r="Y1229" t="n">
        <v>0.34</v>
      </c>
    </row>
    <row r="1230">
      <c r="A1230" t="inlineStr">
        <is>
          <t>O01229</t>
        </is>
      </c>
      <c r="B1230" t="inlineStr">
        <is>
          <t>C0197</t>
        </is>
      </c>
      <c r="C1230" t="inlineStr">
        <is>
          <t>S016</t>
        </is>
      </c>
      <c r="D1230" t="inlineStr">
        <is>
          <t>R044</t>
        </is>
      </c>
      <c r="E1230" s="3" t="n">
        <v>46273.57152777778</v>
      </c>
      <c r="F1230" s="3" t="n">
        <v>46273.57923611111</v>
      </c>
      <c r="G1230" s="3" t="n">
        <v>46273.57840277778</v>
      </c>
      <c r="H1230" t="inlineStr">
        <is>
          <t>Delivered</t>
        </is>
      </c>
      <c r="I1230" t="n">
        <v>5</v>
      </c>
      <c r="J1230" t="n">
        <v>7</v>
      </c>
      <c r="K1230" t="n">
        <v>1042.13</v>
      </c>
      <c r="L1230" t="n">
        <v>2.6</v>
      </c>
      <c r="M1230" t="n">
        <v>3.4</v>
      </c>
      <c r="N1230" t="n">
        <v>3.1</v>
      </c>
      <c r="O1230" t="n">
        <v>3.4</v>
      </c>
      <c r="P1230" t="n">
        <v>11.1</v>
      </c>
      <c r="Q1230" t="n">
        <v>9.9</v>
      </c>
      <c r="R1230" t="n">
        <v>-1.2</v>
      </c>
      <c r="S1230" t="b">
        <v>1</v>
      </c>
      <c r="U1230" t="n">
        <v>13</v>
      </c>
      <c r="V1230" t="b">
        <v>0</v>
      </c>
      <c r="X1230" t="b">
        <v>0</v>
      </c>
      <c r="Y1230" t="n">
        <v>0.37</v>
      </c>
    </row>
    <row r="1231">
      <c r="A1231" t="inlineStr">
        <is>
          <t>O01230</t>
        </is>
      </c>
      <c r="B1231" t="inlineStr">
        <is>
          <t>C0040</t>
        </is>
      </c>
      <c r="C1231" t="inlineStr">
        <is>
          <t>S006</t>
        </is>
      </c>
      <c r="D1231" t="inlineStr">
        <is>
          <t>R062</t>
        </is>
      </c>
      <c r="E1231" s="3" t="n">
        <v>46267.98958333334</v>
      </c>
      <c r="F1231" s="3" t="n">
        <v>46267.99694444444</v>
      </c>
      <c r="G1231" s="3" t="n">
        <v>46267.99652777778</v>
      </c>
      <c r="H1231" t="inlineStr">
        <is>
          <t>Delivered</t>
        </is>
      </c>
      <c r="I1231" t="n">
        <v>5</v>
      </c>
      <c r="J1231" t="n">
        <v>9</v>
      </c>
      <c r="K1231" t="n">
        <v>522.27</v>
      </c>
      <c r="L1231" t="n">
        <v>1.04</v>
      </c>
      <c r="M1231" t="n">
        <v>4.5</v>
      </c>
      <c r="N1231" t="n">
        <v>3.3</v>
      </c>
      <c r="O1231" t="n">
        <v>2.2</v>
      </c>
      <c r="P1231" t="n">
        <v>10.6</v>
      </c>
      <c r="Q1231" t="n">
        <v>10</v>
      </c>
      <c r="R1231" t="n">
        <v>-0.6</v>
      </c>
      <c r="S1231" t="b">
        <v>1</v>
      </c>
      <c r="U1231" t="n">
        <v>23</v>
      </c>
      <c r="V1231" t="b">
        <v>0</v>
      </c>
      <c r="X1231" t="b">
        <v>0</v>
      </c>
      <c r="Y1231" t="n">
        <v>0.43</v>
      </c>
    </row>
    <row r="1232">
      <c r="A1232" t="inlineStr">
        <is>
          <t>O01231</t>
        </is>
      </c>
      <c r="B1232" t="inlineStr">
        <is>
          <t>C0013</t>
        </is>
      </c>
      <c r="C1232" t="inlineStr">
        <is>
          <t>S011</t>
        </is>
      </c>
      <c r="D1232" t="inlineStr">
        <is>
          <t>R016</t>
        </is>
      </c>
      <c r="E1232" s="3" t="n">
        <v>46272.53263888889</v>
      </c>
      <c r="F1232" s="3" t="n">
        <v>46272.54111111111</v>
      </c>
      <c r="G1232" s="3" t="n">
        <v>46272.54597222222</v>
      </c>
      <c r="H1232" t="inlineStr">
        <is>
          <t>Delivered</t>
        </is>
      </c>
      <c r="I1232" t="n">
        <v>1</v>
      </c>
      <c r="J1232" t="n">
        <v>7</v>
      </c>
      <c r="K1232" t="n">
        <v>1086.19</v>
      </c>
      <c r="L1232" t="n">
        <v>3.3</v>
      </c>
      <c r="M1232" t="n">
        <v>6.5</v>
      </c>
      <c r="N1232" t="n">
        <v>3.9</v>
      </c>
      <c r="O1232" t="n">
        <v>8.9</v>
      </c>
      <c r="P1232" t="n">
        <v>12.2</v>
      </c>
      <c r="Q1232" t="n">
        <v>19.2</v>
      </c>
      <c r="R1232" t="n">
        <v>7</v>
      </c>
      <c r="S1232" t="b">
        <v>0</v>
      </c>
      <c r="U1232" t="n">
        <v>12</v>
      </c>
      <c r="V1232" t="b">
        <v>0</v>
      </c>
      <c r="X1232" t="b">
        <v>0</v>
      </c>
      <c r="Y1232" t="n">
        <v>0.6</v>
      </c>
    </row>
    <row r="1233">
      <c r="A1233" t="inlineStr">
        <is>
          <t>O01232</t>
        </is>
      </c>
      <c r="B1233" t="inlineStr">
        <is>
          <t>C0147</t>
        </is>
      </c>
      <c r="C1233" t="inlineStr">
        <is>
          <t>S005</t>
        </is>
      </c>
      <c r="D1233" t="inlineStr">
        <is>
          <t>R028</t>
        </is>
      </c>
      <c r="E1233" s="3" t="n">
        <v>46267.70972222222</v>
      </c>
      <c r="F1233" s="3" t="n">
        <v>46267.71798611111</v>
      </c>
      <c r="G1233" s="3" t="n">
        <v>46267.71729166667</v>
      </c>
      <c r="H1233" t="inlineStr">
        <is>
          <t>Delivered</t>
        </is>
      </c>
      <c r="I1233" t="n">
        <v>1</v>
      </c>
      <c r="J1233" t="n">
        <v>7</v>
      </c>
      <c r="K1233" t="n">
        <v>637.62</v>
      </c>
      <c r="L1233" t="n">
        <v>2.67</v>
      </c>
      <c r="M1233" t="n">
        <v>3.2</v>
      </c>
      <c r="N1233" t="n">
        <v>3.1</v>
      </c>
      <c r="O1233" t="n">
        <v>4.6</v>
      </c>
      <c r="P1233" t="n">
        <v>11.9</v>
      </c>
      <c r="Q1233" t="n">
        <v>10.9</v>
      </c>
      <c r="R1233" t="n">
        <v>-1</v>
      </c>
      <c r="S1233" t="b">
        <v>1</v>
      </c>
      <c r="U1233" t="n">
        <v>17</v>
      </c>
      <c r="V1233" t="b">
        <v>0</v>
      </c>
      <c r="X1233" t="b">
        <v>1</v>
      </c>
      <c r="Y1233" t="n">
        <v>0.89</v>
      </c>
    </row>
    <row r="1234">
      <c r="A1234" t="inlineStr">
        <is>
          <t>O01233</t>
        </is>
      </c>
      <c r="B1234" t="inlineStr">
        <is>
          <t>C0196</t>
        </is>
      </c>
      <c r="C1234" t="inlineStr">
        <is>
          <t>S006</t>
        </is>
      </c>
      <c r="D1234" t="inlineStr">
        <is>
          <t>R057</t>
        </is>
      </c>
      <c r="E1234" s="3" t="n">
        <v>46273.96319444444</v>
      </c>
      <c r="F1234" s="3" t="n">
        <v>46273.97256944444</v>
      </c>
      <c r="G1234" s="3" t="n">
        <v>46273.97236111111</v>
      </c>
      <c r="H1234" t="inlineStr">
        <is>
          <t>Delivered</t>
        </is>
      </c>
      <c r="I1234" t="n">
        <v>3</v>
      </c>
      <c r="J1234" t="n">
        <v>7</v>
      </c>
      <c r="K1234" t="n">
        <v>629.3099999999999</v>
      </c>
      <c r="L1234" t="n">
        <v>3.24</v>
      </c>
      <c r="M1234" t="n">
        <v>4.2</v>
      </c>
      <c r="N1234" t="n">
        <v>1.3</v>
      </c>
      <c r="O1234" t="n">
        <v>7.7</v>
      </c>
      <c r="P1234" t="n">
        <v>13.5</v>
      </c>
      <c r="Q1234" t="n">
        <v>13.2</v>
      </c>
      <c r="R1234" t="n">
        <v>-0.3</v>
      </c>
      <c r="S1234" t="b">
        <v>1</v>
      </c>
      <c r="U1234" t="n">
        <v>23</v>
      </c>
      <c r="V1234" t="b">
        <v>0</v>
      </c>
      <c r="X1234" t="b">
        <v>0</v>
      </c>
      <c r="Y1234" t="n">
        <v>0.59</v>
      </c>
    </row>
    <row r="1235">
      <c r="A1235" t="inlineStr">
        <is>
          <t>O01234</t>
        </is>
      </c>
      <c r="B1235" t="inlineStr">
        <is>
          <t>C0233</t>
        </is>
      </c>
      <c r="C1235" t="inlineStr">
        <is>
          <t>S012</t>
        </is>
      </c>
      <c r="D1235" t="inlineStr">
        <is>
          <t>R064</t>
        </is>
      </c>
      <c r="E1235" s="3" t="n">
        <v>46275.66666666666</v>
      </c>
      <c r="F1235" s="3" t="n">
        <v>46275.67402777778</v>
      </c>
      <c r="G1235" s="3" t="n">
        <v>46275.67361111111</v>
      </c>
      <c r="H1235" t="inlineStr">
        <is>
          <t>Delivered</t>
        </is>
      </c>
      <c r="I1235" t="n">
        <v>4</v>
      </c>
      <c r="J1235" t="n">
        <v>5</v>
      </c>
      <c r="K1235" t="n">
        <v>725.9</v>
      </c>
      <c r="L1235" t="n">
        <v>0.98</v>
      </c>
      <c r="M1235" t="n">
        <v>3.5</v>
      </c>
      <c r="N1235" t="n">
        <v>4.2</v>
      </c>
      <c r="O1235" t="n">
        <v>2.3</v>
      </c>
      <c r="P1235" t="n">
        <v>10.6</v>
      </c>
      <c r="Q1235" t="n">
        <v>10</v>
      </c>
      <c r="R1235" t="n">
        <v>-0.6</v>
      </c>
      <c r="S1235" t="b">
        <v>1</v>
      </c>
      <c r="U1235" t="n">
        <v>16</v>
      </c>
      <c r="V1235" t="b">
        <v>0</v>
      </c>
      <c r="X1235" t="b">
        <v>0</v>
      </c>
      <c r="Y1235" t="n">
        <v>0.41</v>
      </c>
    </row>
    <row r="1236">
      <c r="A1236" t="inlineStr">
        <is>
          <t>O01235</t>
        </is>
      </c>
      <c r="B1236" t="inlineStr">
        <is>
          <t>C0002</t>
        </is>
      </c>
      <c r="C1236" t="inlineStr">
        <is>
          <t>S017</t>
        </is>
      </c>
      <c r="D1236" t="inlineStr">
        <is>
          <t>R005</t>
        </is>
      </c>
      <c r="E1236" s="3" t="n">
        <v>46273.52986111111</v>
      </c>
      <c r="F1236" s="3" t="n">
        <v>46273.53930555555</v>
      </c>
      <c r="G1236" s="3" t="n">
        <v>46273.53833333333</v>
      </c>
      <c r="H1236" t="inlineStr">
        <is>
          <t>Delivered</t>
        </is>
      </c>
      <c r="I1236" t="n">
        <v>2</v>
      </c>
      <c r="J1236" t="n">
        <v>6</v>
      </c>
      <c r="K1236" t="n">
        <v>447.33</v>
      </c>
      <c r="L1236" t="n">
        <v>1.9</v>
      </c>
      <c r="M1236" t="n">
        <v>2.7</v>
      </c>
      <c r="N1236" t="n">
        <v>2.1</v>
      </c>
      <c r="O1236" t="n">
        <v>7.4</v>
      </c>
      <c r="P1236" t="n">
        <v>13.6</v>
      </c>
      <c r="Q1236" t="n">
        <v>12.2</v>
      </c>
      <c r="R1236" t="n">
        <v>-1.4</v>
      </c>
      <c r="S1236" t="b">
        <v>1</v>
      </c>
      <c r="U1236" t="n">
        <v>12</v>
      </c>
      <c r="V1236" t="b">
        <v>0</v>
      </c>
      <c r="W1236" t="inlineStr">
        <is>
          <t>Light</t>
        </is>
      </c>
      <c r="X1236" t="b">
        <v>0</v>
      </c>
      <c r="Y1236" t="n">
        <v>0.61</v>
      </c>
    </row>
    <row r="1237">
      <c r="A1237" t="inlineStr">
        <is>
          <t>O01236</t>
        </is>
      </c>
      <c r="B1237" t="inlineStr">
        <is>
          <t>C0201</t>
        </is>
      </c>
      <c r="C1237" t="inlineStr">
        <is>
          <t>S003</t>
        </is>
      </c>
      <c r="D1237" t="inlineStr">
        <is>
          <t>R001</t>
        </is>
      </c>
      <c r="E1237" s="3" t="n">
        <v>46273.75069444445</v>
      </c>
      <c r="F1237" s="3" t="n">
        <v>46273.75666666667</v>
      </c>
      <c r="G1237" s="3" t="n">
        <v>46273.75604166667</v>
      </c>
      <c r="H1237" t="inlineStr">
        <is>
          <t>Delivered</t>
        </is>
      </c>
      <c r="I1237" t="n">
        <v>2</v>
      </c>
      <c r="J1237" t="n">
        <v>10</v>
      </c>
      <c r="K1237" t="n">
        <v>693.04</v>
      </c>
      <c r="L1237" t="n">
        <v>1.26</v>
      </c>
      <c r="M1237" t="n">
        <v>3</v>
      </c>
      <c r="N1237" t="n">
        <v>2.1</v>
      </c>
      <c r="O1237" t="n">
        <v>2.6</v>
      </c>
      <c r="P1237" t="n">
        <v>8.6</v>
      </c>
      <c r="Q1237" t="n">
        <v>7.7</v>
      </c>
      <c r="R1237" t="n">
        <v>-0.9</v>
      </c>
      <c r="S1237" t="b">
        <v>1</v>
      </c>
      <c r="U1237" t="n">
        <v>18</v>
      </c>
      <c r="V1237" t="b">
        <v>0</v>
      </c>
      <c r="X1237" t="b">
        <v>1</v>
      </c>
      <c r="Y1237" t="n">
        <v>0.41</v>
      </c>
    </row>
    <row r="1238">
      <c r="A1238" t="inlineStr">
        <is>
          <t>O01237</t>
        </is>
      </c>
      <c r="B1238" t="inlineStr">
        <is>
          <t>C0121</t>
        </is>
      </c>
      <c r="C1238" t="inlineStr">
        <is>
          <t>S019</t>
        </is>
      </c>
      <c r="D1238" t="inlineStr">
        <is>
          <t>R069</t>
        </is>
      </c>
      <c r="E1238" s="3" t="n">
        <v>46274.68472222222</v>
      </c>
      <c r="F1238" s="3" t="n">
        <v>46274.69263888889</v>
      </c>
      <c r="G1238" s="3" t="n">
        <v>46274.69243055556</v>
      </c>
      <c r="H1238" t="inlineStr">
        <is>
          <t>Delivered</t>
        </is>
      </c>
      <c r="I1238" t="n">
        <v>4</v>
      </c>
      <c r="J1238" t="n">
        <v>4</v>
      </c>
      <c r="K1238" t="n">
        <v>954.62</v>
      </c>
      <c r="L1238" t="n">
        <v>2.5</v>
      </c>
      <c r="M1238" t="n">
        <v>3.6</v>
      </c>
      <c r="N1238" t="n">
        <v>3.1</v>
      </c>
      <c r="O1238" t="n">
        <v>4.4</v>
      </c>
      <c r="P1238" t="n">
        <v>11.4</v>
      </c>
      <c r="Q1238" t="n">
        <v>11.1</v>
      </c>
      <c r="R1238" t="n">
        <v>-0.3</v>
      </c>
      <c r="S1238" t="b">
        <v>1</v>
      </c>
      <c r="U1238" t="n">
        <v>16</v>
      </c>
      <c r="V1238" t="b">
        <v>0</v>
      </c>
      <c r="X1238" t="b">
        <v>0</v>
      </c>
      <c r="Y1238" t="n">
        <v>0.26</v>
      </c>
    </row>
    <row r="1239">
      <c r="A1239" t="inlineStr">
        <is>
          <t>O01238</t>
        </is>
      </c>
      <c r="B1239" t="inlineStr">
        <is>
          <t>C0202</t>
        </is>
      </c>
      <c r="C1239" t="inlineStr">
        <is>
          <t>S014</t>
        </is>
      </c>
      <c r="D1239" t="inlineStr">
        <is>
          <t>R061</t>
        </is>
      </c>
      <c r="E1239" s="3" t="n">
        <v>46274.50347222222</v>
      </c>
      <c r="F1239" s="3" t="n">
        <v>46274.51236111111</v>
      </c>
      <c r="G1239" s="3" t="n">
        <v>46274.51208333333</v>
      </c>
      <c r="H1239" t="inlineStr">
        <is>
          <t>Delivered</t>
        </is>
      </c>
      <c r="I1239" t="n">
        <v>1</v>
      </c>
      <c r="J1239" t="n">
        <v>4</v>
      </c>
      <c r="K1239" t="n">
        <v>335.23</v>
      </c>
      <c r="L1239" t="n">
        <v>1.53</v>
      </c>
      <c r="M1239" t="n">
        <v>4.2</v>
      </c>
      <c r="N1239" t="n">
        <v>4.3</v>
      </c>
      <c r="O1239" t="n">
        <v>3.9</v>
      </c>
      <c r="P1239" t="n">
        <v>12.8</v>
      </c>
      <c r="Q1239" t="n">
        <v>12.4</v>
      </c>
      <c r="R1239" t="n">
        <v>-0.4</v>
      </c>
      <c r="S1239" t="b">
        <v>1</v>
      </c>
      <c r="U1239" t="n">
        <v>12</v>
      </c>
      <c r="V1239" t="b">
        <v>0</v>
      </c>
      <c r="W1239" t="inlineStr">
        <is>
          <t>Light</t>
        </is>
      </c>
      <c r="X1239" t="b">
        <v>0</v>
      </c>
      <c r="Y1239" t="n">
        <v>0.44</v>
      </c>
    </row>
    <row r="1240">
      <c r="A1240" t="inlineStr">
        <is>
          <t>O01239</t>
        </is>
      </c>
      <c r="B1240" t="inlineStr">
        <is>
          <t>C0199</t>
        </is>
      </c>
      <c r="C1240" t="inlineStr">
        <is>
          <t>S015</t>
        </is>
      </c>
      <c r="D1240" t="inlineStr">
        <is>
          <t>R062</t>
        </is>
      </c>
      <c r="E1240" s="3" t="n">
        <v>46277.98472222222</v>
      </c>
      <c r="F1240" s="3" t="n">
        <v>46277.991875</v>
      </c>
      <c r="G1240" s="3" t="n">
        <v>46277.99118055555</v>
      </c>
      <c r="H1240" t="inlineStr">
        <is>
          <t>Delivered</t>
        </is>
      </c>
      <c r="I1240" t="n">
        <v>6</v>
      </c>
      <c r="J1240" t="n">
        <v>8</v>
      </c>
      <c r="K1240" t="n">
        <v>438.65</v>
      </c>
      <c r="L1240" t="n">
        <v>0.5</v>
      </c>
      <c r="M1240" t="n">
        <v>5.3</v>
      </c>
      <c r="N1240" t="n">
        <v>2.1</v>
      </c>
      <c r="O1240" t="n">
        <v>1.9</v>
      </c>
      <c r="P1240" t="n">
        <v>10.3</v>
      </c>
      <c r="Q1240" t="n">
        <v>9.300000000000001</v>
      </c>
      <c r="R1240" t="n">
        <v>-1</v>
      </c>
      <c r="S1240" t="b">
        <v>1</v>
      </c>
      <c r="U1240" t="n">
        <v>23</v>
      </c>
      <c r="V1240" t="b">
        <v>0</v>
      </c>
      <c r="X1240" t="b">
        <v>0</v>
      </c>
      <c r="Y1240" t="n">
        <v>0.44</v>
      </c>
    </row>
    <row r="1241">
      <c r="A1241" t="inlineStr">
        <is>
          <t>O01240</t>
        </is>
      </c>
      <c r="B1241" t="inlineStr">
        <is>
          <t>C0183</t>
        </is>
      </c>
      <c r="C1241" t="inlineStr">
        <is>
          <t>S003</t>
        </is>
      </c>
      <c r="D1241" t="inlineStr">
        <is>
          <t>R031</t>
        </is>
      </c>
      <c r="E1241" s="3" t="n">
        <v>46266.58402777778</v>
      </c>
      <c r="F1241" s="3" t="n">
        <v>46266.590625</v>
      </c>
      <c r="G1241" s="3" t="n">
        <v>46266.58979166667</v>
      </c>
      <c r="H1241" t="inlineStr">
        <is>
          <t>Delivered</t>
        </is>
      </c>
      <c r="I1241" t="n">
        <v>1</v>
      </c>
      <c r="J1241" t="n">
        <v>4</v>
      </c>
      <c r="K1241" t="n">
        <v>1075.48</v>
      </c>
      <c r="L1241" t="n">
        <v>2.1</v>
      </c>
      <c r="M1241" t="n">
        <v>2.1</v>
      </c>
      <c r="N1241" t="n">
        <v>3.6</v>
      </c>
      <c r="O1241" t="n">
        <v>2.6</v>
      </c>
      <c r="P1241" t="n">
        <v>9.5</v>
      </c>
      <c r="Q1241" t="n">
        <v>8.300000000000001</v>
      </c>
      <c r="R1241" t="n">
        <v>-1.2</v>
      </c>
      <c r="S1241" t="b">
        <v>1</v>
      </c>
      <c r="U1241" t="n">
        <v>14</v>
      </c>
      <c r="V1241" t="b">
        <v>0</v>
      </c>
      <c r="W1241" t="inlineStr">
        <is>
          <t>Light</t>
        </is>
      </c>
      <c r="X1241" t="b">
        <v>0</v>
      </c>
      <c r="Y1241" t="n">
        <v>0.68</v>
      </c>
    </row>
    <row r="1242">
      <c r="A1242" t="inlineStr">
        <is>
          <t>O01241</t>
        </is>
      </c>
      <c r="B1242" t="inlineStr">
        <is>
          <t>C0247</t>
        </is>
      </c>
      <c r="C1242" t="inlineStr">
        <is>
          <t>S013</t>
        </is>
      </c>
      <c r="D1242" t="inlineStr">
        <is>
          <t>R038</t>
        </is>
      </c>
      <c r="E1242" s="3" t="n">
        <v>46266.65</v>
      </c>
      <c r="F1242" s="3" t="n">
        <v>46266.655625</v>
      </c>
      <c r="G1242" s="3" t="n">
        <v>46266.65534722222</v>
      </c>
      <c r="H1242" t="inlineStr">
        <is>
          <t>Delivered</t>
        </is>
      </c>
      <c r="I1242" t="n">
        <v>6</v>
      </c>
      <c r="J1242" t="n">
        <v>7</v>
      </c>
      <c r="K1242" t="n">
        <v>1071.38</v>
      </c>
      <c r="L1242" t="n">
        <v>0.91</v>
      </c>
      <c r="M1242" t="n">
        <v>2.9</v>
      </c>
      <c r="N1242" t="n">
        <v>2.7</v>
      </c>
      <c r="O1242" t="n">
        <v>2.1</v>
      </c>
      <c r="P1242" t="n">
        <v>8.1</v>
      </c>
      <c r="Q1242" t="n">
        <v>7.7</v>
      </c>
      <c r="R1242" t="n">
        <v>-0.4</v>
      </c>
      <c r="S1242" t="b">
        <v>1</v>
      </c>
      <c r="U1242" t="n">
        <v>15</v>
      </c>
      <c r="V1242" t="b">
        <v>0</v>
      </c>
      <c r="W1242" t="inlineStr">
        <is>
          <t>Light</t>
        </is>
      </c>
      <c r="X1242" t="b">
        <v>0</v>
      </c>
      <c r="Y1242" t="n">
        <v>0.86</v>
      </c>
    </row>
    <row r="1243">
      <c r="A1243" t="inlineStr">
        <is>
          <t>O01242</t>
        </is>
      </c>
      <c r="B1243" t="inlineStr">
        <is>
          <t>C0025</t>
        </is>
      </c>
      <c r="C1243" t="inlineStr">
        <is>
          <t>S019</t>
        </is>
      </c>
      <c r="D1243" t="inlineStr">
        <is>
          <t>R054</t>
        </is>
      </c>
      <c r="E1243" s="3" t="n">
        <v>46277.6125</v>
      </c>
      <c r="F1243" s="3" t="n">
        <v>46277.61875</v>
      </c>
      <c r="G1243" s="3" t="n">
        <v>46277.61805555555</v>
      </c>
      <c r="H1243" t="inlineStr">
        <is>
          <t>Delivered</t>
        </is>
      </c>
      <c r="I1243" t="n">
        <v>4</v>
      </c>
      <c r="J1243" t="n">
        <v>7</v>
      </c>
      <c r="K1243" t="n">
        <v>797.8099999999999</v>
      </c>
      <c r="L1243" t="n">
        <v>1.29</v>
      </c>
      <c r="M1243" t="n">
        <v>3</v>
      </c>
      <c r="N1243" t="n">
        <v>2.7</v>
      </c>
      <c r="O1243" t="n">
        <v>2.3</v>
      </c>
      <c r="P1243" t="n">
        <v>9</v>
      </c>
      <c r="Q1243" t="n">
        <v>8</v>
      </c>
      <c r="R1243" t="n">
        <v>-1</v>
      </c>
      <c r="S1243" t="b">
        <v>1</v>
      </c>
      <c r="U1243" t="n">
        <v>14</v>
      </c>
      <c r="V1243" t="b">
        <v>0</v>
      </c>
      <c r="X1243" t="b">
        <v>0</v>
      </c>
      <c r="Y1243" t="n">
        <v>0.6</v>
      </c>
    </row>
    <row r="1244">
      <c r="A1244" t="inlineStr">
        <is>
          <t>O01243</t>
        </is>
      </c>
      <c r="B1244" t="inlineStr">
        <is>
          <t>C0092</t>
        </is>
      </c>
      <c r="C1244" t="inlineStr">
        <is>
          <t>S012</t>
        </is>
      </c>
      <c r="D1244" t="inlineStr">
        <is>
          <t>R041</t>
        </is>
      </c>
      <c r="E1244" s="3" t="n">
        <v>46271.69930555556</v>
      </c>
      <c r="F1244" s="3" t="n">
        <v>46271.70805555556</v>
      </c>
      <c r="G1244" s="3" t="n">
        <v>46271.7075</v>
      </c>
      <c r="H1244" t="inlineStr">
        <is>
          <t>Delivered</t>
        </is>
      </c>
      <c r="I1244" t="n">
        <v>5</v>
      </c>
      <c r="J1244" t="n">
        <v>9</v>
      </c>
      <c r="K1244" t="n">
        <v>1390.13</v>
      </c>
      <c r="L1244" t="n">
        <v>0.5</v>
      </c>
      <c r="M1244" t="n">
        <v>4.3</v>
      </c>
      <c r="N1244" t="n">
        <v>5.4</v>
      </c>
      <c r="O1244" t="n">
        <v>2.1</v>
      </c>
      <c r="P1244" t="n">
        <v>12.6</v>
      </c>
      <c r="Q1244" t="n">
        <v>11.8</v>
      </c>
      <c r="R1244" t="n">
        <v>-0.8</v>
      </c>
      <c r="S1244" t="b">
        <v>1</v>
      </c>
      <c r="U1244" t="n">
        <v>16</v>
      </c>
      <c r="V1244" t="b">
        <v>0</v>
      </c>
      <c r="W1244" t="inlineStr">
        <is>
          <t>Light</t>
        </is>
      </c>
      <c r="X1244" t="b">
        <v>0</v>
      </c>
      <c r="Y1244" t="n">
        <v>0.43</v>
      </c>
    </row>
    <row r="1245">
      <c r="A1245" t="inlineStr">
        <is>
          <t>O01244</t>
        </is>
      </c>
      <c r="B1245" t="inlineStr">
        <is>
          <t>C0085</t>
        </is>
      </c>
      <c r="C1245" t="inlineStr">
        <is>
          <t>S003</t>
        </is>
      </c>
      <c r="D1245" t="inlineStr">
        <is>
          <t>R069</t>
        </is>
      </c>
      <c r="E1245" s="3" t="n">
        <v>46279.89722222222</v>
      </c>
      <c r="F1245" s="3" t="n">
        <v>46279.90444444444</v>
      </c>
      <c r="G1245" s="3" t="n">
        <v>46279.90430555555</v>
      </c>
      <c r="H1245" t="inlineStr">
        <is>
          <t>Delivered</t>
        </is>
      </c>
      <c r="I1245" t="n">
        <v>1</v>
      </c>
      <c r="J1245" t="n">
        <v>12</v>
      </c>
      <c r="K1245" t="n">
        <v>1378.65</v>
      </c>
      <c r="L1245" t="n">
        <v>1.18</v>
      </c>
      <c r="M1245" t="n">
        <v>2.2</v>
      </c>
      <c r="N1245" t="n">
        <v>4.5</v>
      </c>
      <c r="O1245" t="n">
        <v>3.5</v>
      </c>
      <c r="P1245" t="n">
        <v>10.4</v>
      </c>
      <c r="Q1245" t="n">
        <v>10.2</v>
      </c>
      <c r="R1245" t="n">
        <v>-0.2</v>
      </c>
      <c r="S1245" t="b">
        <v>1</v>
      </c>
      <c r="U1245" t="n">
        <v>21</v>
      </c>
      <c r="V1245" t="b">
        <v>1</v>
      </c>
      <c r="W1245" t="inlineStr">
        <is>
          <t>Light</t>
        </is>
      </c>
      <c r="X1245" t="b">
        <v>0</v>
      </c>
      <c r="Y1245" t="n">
        <v>0.45</v>
      </c>
    </row>
    <row r="1246">
      <c r="A1246" t="inlineStr">
        <is>
          <t>O01245</t>
        </is>
      </c>
      <c r="B1246" t="inlineStr">
        <is>
          <t>C0145</t>
        </is>
      </c>
      <c r="C1246" t="inlineStr">
        <is>
          <t>S018</t>
        </is>
      </c>
      <c r="D1246" t="inlineStr">
        <is>
          <t>R011</t>
        </is>
      </c>
      <c r="E1246" s="3" t="n">
        <v>46269.95347222222</v>
      </c>
      <c r="F1246" s="3" t="n">
        <v>46269.960625</v>
      </c>
      <c r="G1246" s="3" t="n">
        <v>46269.96048611111</v>
      </c>
      <c r="H1246" t="inlineStr">
        <is>
          <t>Delivered</t>
        </is>
      </c>
      <c r="I1246" t="n">
        <v>4</v>
      </c>
      <c r="J1246" t="n">
        <v>4</v>
      </c>
      <c r="K1246" t="n">
        <v>310.56</v>
      </c>
      <c r="L1246" t="n">
        <v>1.33</v>
      </c>
      <c r="M1246" t="n">
        <v>4.3</v>
      </c>
      <c r="N1246" t="n">
        <v>0.8</v>
      </c>
      <c r="O1246" t="n">
        <v>5</v>
      </c>
      <c r="P1246" t="n">
        <v>10.3</v>
      </c>
      <c r="Q1246" t="n">
        <v>10.1</v>
      </c>
      <c r="R1246" t="n">
        <v>-0.2</v>
      </c>
      <c r="S1246" t="b">
        <v>1</v>
      </c>
      <c r="U1246" t="n">
        <v>22</v>
      </c>
      <c r="V1246" t="b">
        <v>0</v>
      </c>
      <c r="X1246" t="b">
        <v>0</v>
      </c>
      <c r="Y1246" t="n">
        <v>0.71</v>
      </c>
    </row>
    <row r="1247">
      <c r="A1247" t="inlineStr">
        <is>
          <t>O01246</t>
        </is>
      </c>
      <c r="B1247" t="inlineStr">
        <is>
          <t>C0142</t>
        </is>
      </c>
      <c r="C1247" t="inlineStr">
        <is>
          <t>S011</t>
        </is>
      </c>
      <c r="D1247" t="inlineStr">
        <is>
          <t>R030</t>
        </is>
      </c>
      <c r="E1247" s="3" t="n">
        <v>46267.90972222222</v>
      </c>
      <c r="F1247" s="3" t="n">
        <v>46267.91708333333</v>
      </c>
      <c r="G1247" s="3" t="n">
        <v>46267.91645833333</v>
      </c>
      <c r="H1247" t="inlineStr">
        <is>
          <t>Delivered</t>
        </is>
      </c>
      <c r="I1247" t="n">
        <v>2</v>
      </c>
      <c r="J1247" t="n">
        <v>3</v>
      </c>
      <c r="K1247" t="n">
        <v>1236.36</v>
      </c>
      <c r="L1247" t="n">
        <v>3.3</v>
      </c>
      <c r="M1247" t="n">
        <v>3.1</v>
      </c>
      <c r="N1247" t="n">
        <v>1.5</v>
      </c>
      <c r="O1247" t="n">
        <v>5.1</v>
      </c>
      <c r="P1247" t="n">
        <v>10.6</v>
      </c>
      <c r="Q1247" t="n">
        <v>9.699999999999999</v>
      </c>
      <c r="R1247" t="n">
        <v>-0.9</v>
      </c>
      <c r="S1247" t="b">
        <v>1</v>
      </c>
      <c r="U1247" t="n">
        <v>21</v>
      </c>
      <c r="V1247" t="b">
        <v>1</v>
      </c>
      <c r="X1247" t="b">
        <v>0</v>
      </c>
      <c r="Y1247" t="n">
        <v>0.71</v>
      </c>
    </row>
    <row r="1248">
      <c r="A1248" t="inlineStr">
        <is>
          <t>O01247</t>
        </is>
      </c>
      <c r="B1248" t="inlineStr">
        <is>
          <t>C0099</t>
        </is>
      </c>
      <c r="C1248" t="inlineStr">
        <is>
          <t>S007</t>
        </is>
      </c>
      <c r="D1248" t="inlineStr">
        <is>
          <t>R046</t>
        </is>
      </c>
      <c r="E1248" s="3" t="n">
        <v>46274.97847222222</v>
      </c>
      <c r="F1248" s="3" t="n">
        <v>46274.98534722222</v>
      </c>
      <c r="G1248" s="3" t="n">
        <v>46274.98847222222</v>
      </c>
      <c r="H1248" t="inlineStr">
        <is>
          <t>Delivered</t>
        </is>
      </c>
      <c r="I1248" t="n">
        <v>3</v>
      </c>
      <c r="J1248" t="n">
        <v>4</v>
      </c>
      <c r="K1248" t="n">
        <v>684.23</v>
      </c>
      <c r="L1248" t="n">
        <v>0.9</v>
      </c>
      <c r="M1248" t="n">
        <v>5</v>
      </c>
      <c r="N1248" t="n">
        <v>5.2</v>
      </c>
      <c r="O1248" t="n">
        <v>4.2</v>
      </c>
      <c r="P1248" t="n">
        <v>9.9</v>
      </c>
      <c r="Q1248" t="n">
        <v>14.4</v>
      </c>
      <c r="R1248" t="n">
        <v>4.5</v>
      </c>
      <c r="S1248" t="b">
        <v>0</v>
      </c>
      <c r="U1248" t="n">
        <v>23</v>
      </c>
      <c r="V1248" t="b">
        <v>0</v>
      </c>
      <c r="W1248" t="inlineStr">
        <is>
          <t>Light</t>
        </is>
      </c>
      <c r="X1248" t="b">
        <v>0</v>
      </c>
      <c r="Y1248" t="n">
        <v>0.54</v>
      </c>
    </row>
    <row r="1249">
      <c r="A1249" t="inlineStr">
        <is>
          <t>O01248</t>
        </is>
      </c>
      <c r="B1249" t="inlineStr">
        <is>
          <t>C0073</t>
        </is>
      </c>
      <c r="C1249" t="inlineStr">
        <is>
          <t>S003</t>
        </is>
      </c>
      <c r="D1249" t="inlineStr">
        <is>
          <t>R024</t>
        </is>
      </c>
      <c r="E1249" s="3" t="n">
        <v>46273.47083333333</v>
      </c>
      <c r="F1249" s="3" t="n">
        <v>46273.47708333333</v>
      </c>
      <c r="G1249" s="3" t="n">
        <v>46273.48222222222</v>
      </c>
      <c r="H1249" t="inlineStr">
        <is>
          <t>Delivered</t>
        </is>
      </c>
      <c r="I1249" t="n">
        <v>6</v>
      </c>
      <c r="J1249" t="n">
        <v>10</v>
      </c>
      <c r="K1249" t="n">
        <v>1822.01</v>
      </c>
      <c r="L1249" t="n">
        <v>2.1</v>
      </c>
      <c r="M1249" t="n">
        <v>4.3</v>
      </c>
      <c r="N1249" t="n">
        <v>7.8</v>
      </c>
      <c r="O1249" t="n">
        <v>4.3</v>
      </c>
      <c r="P1249" t="n">
        <v>9</v>
      </c>
      <c r="Q1249" t="n">
        <v>16.4</v>
      </c>
      <c r="R1249" t="n">
        <v>7.4</v>
      </c>
      <c r="S1249" t="b">
        <v>0</v>
      </c>
      <c r="U1249" t="n">
        <v>11</v>
      </c>
      <c r="V1249" t="b">
        <v>0</v>
      </c>
      <c r="X1249" t="b">
        <v>0</v>
      </c>
      <c r="Y1249" t="n">
        <v>0.21</v>
      </c>
    </row>
    <row r="1250">
      <c r="A1250" t="inlineStr">
        <is>
          <t>O01249</t>
        </is>
      </c>
      <c r="B1250" t="inlineStr">
        <is>
          <t>C0177</t>
        </is>
      </c>
      <c r="C1250" t="inlineStr">
        <is>
          <t>S017</t>
        </is>
      </c>
      <c r="D1250" t="inlineStr">
        <is>
          <t>R039</t>
        </is>
      </c>
      <c r="E1250" s="3" t="n">
        <v>46268.37638888889</v>
      </c>
      <c r="F1250" s="3" t="n">
        <v>46268.38388888889</v>
      </c>
      <c r="G1250" s="3" t="n">
        <v>46268.38333333333</v>
      </c>
      <c r="H1250" t="inlineStr">
        <is>
          <t>Delivered</t>
        </is>
      </c>
      <c r="I1250" t="n">
        <v>2</v>
      </c>
      <c r="J1250" t="n">
        <v>3</v>
      </c>
      <c r="K1250" t="n">
        <v>1105.27</v>
      </c>
      <c r="L1250" t="n">
        <v>2.68</v>
      </c>
      <c r="M1250" t="n">
        <v>1.4</v>
      </c>
      <c r="N1250" t="n">
        <v>4.4</v>
      </c>
      <c r="O1250" t="n">
        <v>4.2</v>
      </c>
      <c r="P1250" t="n">
        <v>10.8</v>
      </c>
      <c r="Q1250" t="n">
        <v>10</v>
      </c>
      <c r="R1250" t="n">
        <v>-0.8</v>
      </c>
      <c r="S1250" t="b">
        <v>1</v>
      </c>
      <c r="U1250" t="n">
        <v>9</v>
      </c>
      <c r="V1250" t="b">
        <v>0</v>
      </c>
      <c r="X1250" t="b">
        <v>0</v>
      </c>
      <c r="Y1250" t="n">
        <v>0.44</v>
      </c>
    </row>
    <row r="1251">
      <c r="A1251" t="inlineStr">
        <is>
          <t>O01250</t>
        </is>
      </c>
      <c r="B1251" t="inlineStr">
        <is>
          <t>C0009</t>
        </is>
      </c>
      <c r="C1251" t="inlineStr">
        <is>
          <t>S006</t>
        </is>
      </c>
      <c r="D1251" t="inlineStr">
        <is>
          <t>R003</t>
        </is>
      </c>
      <c r="E1251" s="3" t="n">
        <v>46279.53541666667</v>
      </c>
      <c r="F1251" s="3" t="n">
        <v>46279.54368055556</v>
      </c>
      <c r="G1251" s="3" t="n">
        <v>46279.54291666667</v>
      </c>
      <c r="H1251" t="inlineStr">
        <is>
          <t>Delivered</t>
        </is>
      </c>
      <c r="I1251" t="n">
        <v>2</v>
      </c>
      <c r="J1251" t="n">
        <v>7</v>
      </c>
      <c r="K1251" t="n">
        <v>1392.21</v>
      </c>
      <c r="L1251" t="n">
        <v>1.89</v>
      </c>
      <c r="M1251" t="n">
        <v>4.5</v>
      </c>
      <c r="N1251" t="n">
        <v>2.5</v>
      </c>
      <c r="O1251" t="n">
        <v>3.8</v>
      </c>
      <c r="P1251" t="n">
        <v>11.9</v>
      </c>
      <c r="Q1251" t="n">
        <v>10.8</v>
      </c>
      <c r="R1251" t="n">
        <v>-1.1</v>
      </c>
      <c r="S1251" t="b">
        <v>1</v>
      </c>
      <c r="U1251" t="n">
        <v>12</v>
      </c>
      <c r="V1251" t="b">
        <v>0</v>
      </c>
      <c r="X1251" t="b">
        <v>0</v>
      </c>
      <c r="Y1251" t="n">
        <v>0.9</v>
      </c>
    </row>
    <row r="1252">
      <c r="A1252" t="inlineStr">
        <is>
          <t>O01251</t>
        </is>
      </c>
      <c r="B1252" t="inlineStr">
        <is>
          <t>C0006</t>
        </is>
      </c>
      <c r="C1252" t="inlineStr">
        <is>
          <t>S015</t>
        </is>
      </c>
      <c r="D1252" t="inlineStr">
        <is>
          <t>R051</t>
        </is>
      </c>
      <c r="E1252" s="3" t="n">
        <v>46266.63402777778</v>
      </c>
      <c r="F1252" s="3" t="n">
        <v>46266.64180555556</v>
      </c>
      <c r="G1252" s="3" t="n">
        <v>46266.64111111111</v>
      </c>
      <c r="H1252" t="inlineStr">
        <is>
          <t>Delivered</t>
        </is>
      </c>
      <c r="I1252" t="n">
        <v>5</v>
      </c>
      <c r="J1252" t="n">
        <v>9</v>
      </c>
      <c r="K1252" t="n">
        <v>1657.18</v>
      </c>
      <c r="L1252" t="n">
        <v>2.85</v>
      </c>
      <c r="M1252" t="n">
        <v>3.9</v>
      </c>
      <c r="N1252" t="n">
        <v>1.8</v>
      </c>
      <c r="O1252" t="n">
        <v>4.5</v>
      </c>
      <c r="P1252" t="n">
        <v>11.2</v>
      </c>
      <c r="Q1252" t="n">
        <v>10.2</v>
      </c>
      <c r="R1252" t="n">
        <v>-1</v>
      </c>
      <c r="S1252" t="b">
        <v>1</v>
      </c>
      <c r="U1252" t="n">
        <v>15</v>
      </c>
      <c r="V1252" t="b">
        <v>0</v>
      </c>
      <c r="X1252" t="b">
        <v>0</v>
      </c>
      <c r="Y1252" t="n">
        <v>0.41</v>
      </c>
    </row>
    <row r="1253">
      <c r="A1253" t="inlineStr">
        <is>
          <t>O01252</t>
        </is>
      </c>
      <c r="B1253" t="inlineStr">
        <is>
          <t>C0027</t>
        </is>
      </c>
      <c r="C1253" t="inlineStr">
        <is>
          <t>S011</t>
        </is>
      </c>
      <c r="D1253" t="inlineStr">
        <is>
          <t>R039</t>
        </is>
      </c>
      <c r="E1253" s="3" t="n">
        <v>46268.38125</v>
      </c>
      <c r="F1253" s="3" t="n">
        <v>46268.38916666667</v>
      </c>
      <c r="G1253" s="3" t="n">
        <v>46268.39395833333</v>
      </c>
      <c r="H1253" t="inlineStr">
        <is>
          <t>Delivered</t>
        </is>
      </c>
      <c r="I1253" t="n">
        <v>3</v>
      </c>
      <c r="J1253" t="n">
        <v>4</v>
      </c>
      <c r="K1253" t="n">
        <v>1467.07</v>
      </c>
      <c r="L1253" t="n">
        <v>1.95</v>
      </c>
      <c r="M1253" t="n">
        <v>6.8</v>
      </c>
      <c r="N1253" t="n">
        <v>6.1</v>
      </c>
      <c r="O1253" t="n">
        <v>5.4</v>
      </c>
      <c r="P1253" t="n">
        <v>11.4</v>
      </c>
      <c r="Q1253" t="n">
        <v>18.3</v>
      </c>
      <c r="R1253" t="n">
        <v>6.9</v>
      </c>
      <c r="S1253" t="b">
        <v>0</v>
      </c>
      <c r="U1253" t="n">
        <v>9</v>
      </c>
      <c r="V1253" t="b">
        <v>0</v>
      </c>
      <c r="X1253" t="b">
        <v>0</v>
      </c>
      <c r="Y1253" t="n">
        <v>0.45</v>
      </c>
    </row>
    <row r="1254">
      <c r="A1254" t="inlineStr">
        <is>
          <t>O01253</t>
        </is>
      </c>
      <c r="B1254" t="inlineStr">
        <is>
          <t>C0097</t>
        </is>
      </c>
      <c r="C1254" t="inlineStr">
        <is>
          <t>S009</t>
        </is>
      </c>
      <c r="D1254" t="inlineStr">
        <is>
          <t>R070</t>
        </is>
      </c>
      <c r="E1254" s="3" t="n">
        <v>46276.47708333333</v>
      </c>
      <c r="F1254" s="3" t="n">
        <v>46276.48215277777</v>
      </c>
      <c r="G1254" s="3" t="n">
        <v>46276.48194444444</v>
      </c>
      <c r="H1254" t="inlineStr">
        <is>
          <t>Delivered</t>
        </is>
      </c>
      <c r="I1254" t="n">
        <v>6</v>
      </c>
      <c r="J1254" t="n">
        <v>7</v>
      </c>
      <c r="K1254" t="n">
        <v>531.04</v>
      </c>
      <c r="L1254" t="n">
        <v>2.8</v>
      </c>
      <c r="M1254" t="n">
        <v>1.3</v>
      </c>
      <c r="N1254" t="n">
        <v>2.3</v>
      </c>
      <c r="O1254" t="n">
        <v>3.4</v>
      </c>
      <c r="P1254" t="n">
        <v>7.3</v>
      </c>
      <c r="Q1254" t="n">
        <v>7</v>
      </c>
      <c r="R1254" t="n">
        <v>-0.3</v>
      </c>
      <c r="S1254" t="b">
        <v>1</v>
      </c>
      <c r="U1254" t="n">
        <v>11</v>
      </c>
      <c r="V1254" t="b">
        <v>0</v>
      </c>
      <c r="W1254" t="inlineStr">
        <is>
          <t>Light</t>
        </is>
      </c>
      <c r="X1254" t="b">
        <v>0</v>
      </c>
      <c r="Y1254" t="n">
        <v>0.38</v>
      </c>
    </row>
    <row r="1255">
      <c r="A1255" t="inlineStr">
        <is>
          <t>O01254</t>
        </is>
      </c>
      <c r="B1255" t="inlineStr">
        <is>
          <t>C0224</t>
        </is>
      </c>
      <c r="C1255" t="inlineStr">
        <is>
          <t>S004</t>
        </is>
      </c>
      <c r="D1255" t="inlineStr">
        <is>
          <t>R076</t>
        </is>
      </c>
      <c r="E1255" s="3" t="n">
        <v>46268.42361111111</v>
      </c>
      <c r="F1255" s="3" t="n">
        <v>46268.43090277778</v>
      </c>
      <c r="G1255" s="3" t="n">
        <v>46268.43069444445</v>
      </c>
      <c r="H1255" t="inlineStr">
        <is>
          <t>Delivered</t>
        </is>
      </c>
      <c r="I1255" t="n">
        <v>5</v>
      </c>
      <c r="J1255" t="n">
        <v>5</v>
      </c>
      <c r="K1255" t="n">
        <v>772.54</v>
      </c>
      <c r="L1255" t="n">
        <v>0.5600000000000001</v>
      </c>
      <c r="M1255" t="n">
        <v>1.6</v>
      </c>
      <c r="N1255" t="n">
        <v>5.2</v>
      </c>
      <c r="O1255" t="n">
        <v>3.3</v>
      </c>
      <c r="P1255" t="n">
        <v>10.5</v>
      </c>
      <c r="Q1255" t="n">
        <v>10.2</v>
      </c>
      <c r="R1255" t="n">
        <v>-0.3</v>
      </c>
      <c r="S1255" t="b">
        <v>1</v>
      </c>
      <c r="U1255" t="n">
        <v>10</v>
      </c>
      <c r="V1255" t="b">
        <v>0</v>
      </c>
      <c r="X1255" t="b">
        <v>0</v>
      </c>
      <c r="Y1255" t="n">
        <v>0.63</v>
      </c>
    </row>
    <row r="1256">
      <c r="A1256" t="inlineStr">
        <is>
          <t>O01255</t>
        </is>
      </c>
      <c r="B1256" t="inlineStr">
        <is>
          <t>C0018</t>
        </is>
      </c>
      <c r="C1256" t="inlineStr">
        <is>
          <t>S004</t>
        </is>
      </c>
      <c r="D1256" t="inlineStr">
        <is>
          <t>R043</t>
        </is>
      </c>
      <c r="E1256" s="3" t="n">
        <v>46272.38611111111</v>
      </c>
      <c r="F1256" s="3" t="n">
        <v>46272.39340277778</v>
      </c>
      <c r="G1256" s="3" t="n">
        <v>46272.39270833333</v>
      </c>
      <c r="H1256" t="inlineStr">
        <is>
          <t>Delivered</t>
        </is>
      </c>
      <c r="I1256" t="n">
        <v>2</v>
      </c>
      <c r="J1256" t="n">
        <v>8</v>
      </c>
      <c r="K1256" t="n">
        <v>977.7</v>
      </c>
      <c r="L1256" t="n">
        <v>1.89</v>
      </c>
      <c r="M1256" t="n">
        <v>2.3</v>
      </c>
      <c r="N1256" t="n">
        <v>1.7</v>
      </c>
      <c r="O1256" t="n">
        <v>5.5</v>
      </c>
      <c r="P1256" t="n">
        <v>10.5</v>
      </c>
      <c r="Q1256" t="n">
        <v>9.5</v>
      </c>
      <c r="R1256" t="n">
        <v>-1</v>
      </c>
      <c r="S1256" t="b">
        <v>1</v>
      </c>
      <c r="U1256" t="n">
        <v>9</v>
      </c>
      <c r="V1256" t="b">
        <v>0</v>
      </c>
      <c r="W1256" t="inlineStr">
        <is>
          <t>Light</t>
        </is>
      </c>
      <c r="X1256" t="b">
        <v>1</v>
      </c>
      <c r="Y1256" t="n">
        <v>0.24</v>
      </c>
    </row>
    <row r="1257">
      <c r="A1257" t="inlineStr">
        <is>
          <t>O01256</t>
        </is>
      </c>
      <c r="B1257" t="inlineStr">
        <is>
          <t>C0038</t>
        </is>
      </c>
      <c r="C1257" t="inlineStr">
        <is>
          <t>S018</t>
        </is>
      </c>
      <c r="D1257" t="inlineStr">
        <is>
          <t>R008</t>
        </is>
      </c>
      <c r="E1257" s="3" t="n">
        <v>46279.40208333333</v>
      </c>
      <c r="F1257" s="3" t="n">
        <v>46279.40895833333</v>
      </c>
      <c r="G1257" s="3" t="n">
        <v>46279.40847222223</v>
      </c>
      <c r="H1257" t="inlineStr">
        <is>
          <t>Delivered</t>
        </is>
      </c>
      <c r="I1257" t="n">
        <v>1</v>
      </c>
      <c r="J1257" t="n">
        <v>11</v>
      </c>
      <c r="K1257" t="n">
        <v>425.86</v>
      </c>
      <c r="L1257" t="n">
        <v>1.1</v>
      </c>
      <c r="M1257" t="n">
        <v>3.2</v>
      </c>
      <c r="N1257" t="n">
        <v>4.4</v>
      </c>
      <c r="O1257" t="n">
        <v>1.6</v>
      </c>
      <c r="P1257" t="n">
        <v>9.9</v>
      </c>
      <c r="Q1257" t="n">
        <v>9.199999999999999</v>
      </c>
      <c r="R1257" t="n">
        <v>-0.7</v>
      </c>
      <c r="S1257" t="b">
        <v>1</v>
      </c>
      <c r="U1257" t="n">
        <v>9</v>
      </c>
      <c r="V1257" t="b">
        <v>0</v>
      </c>
      <c r="X1257" t="b">
        <v>0</v>
      </c>
      <c r="Y1257" t="n">
        <v>0.26</v>
      </c>
    </row>
    <row r="1258">
      <c r="A1258" t="inlineStr">
        <is>
          <t>O01257</t>
        </is>
      </c>
      <c r="B1258" t="inlineStr">
        <is>
          <t>C0034</t>
        </is>
      </c>
      <c r="C1258" t="inlineStr">
        <is>
          <t>S007</t>
        </is>
      </c>
      <c r="D1258" t="inlineStr">
        <is>
          <t>R045</t>
        </is>
      </c>
      <c r="E1258" s="3" t="n">
        <v>46269.97569444445</v>
      </c>
      <c r="F1258" s="3" t="n">
        <v>46269.98243055555</v>
      </c>
      <c r="G1258" s="3" t="n">
        <v>46269.98201388889</v>
      </c>
      <c r="H1258" t="inlineStr">
        <is>
          <t>Delivered</t>
        </is>
      </c>
      <c r="I1258" t="n">
        <v>1</v>
      </c>
      <c r="J1258" t="n">
        <v>4</v>
      </c>
      <c r="K1258" t="n">
        <v>711.08</v>
      </c>
      <c r="L1258" t="n">
        <v>1.82</v>
      </c>
      <c r="M1258" t="n">
        <v>3.2</v>
      </c>
      <c r="N1258" t="n">
        <v>2.9</v>
      </c>
      <c r="O1258" t="n">
        <v>3</v>
      </c>
      <c r="P1258" t="n">
        <v>9.699999999999999</v>
      </c>
      <c r="Q1258" t="n">
        <v>9.1</v>
      </c>
      <c r="R1258" t="n">
        <v>-0.6</v>
      </c>
      <c r="S1258" t="b">
        <v>1</v>
      </c>
      <c r="U1258" t="n">
        <v>23</v>
      </c>
      <c r="V1258" t="b">
        <v>0</v>
      </c>
      <c r="X1258" t="b">
        <v>0</v>
      </c>
      <c r="Y1258" t="n">
        <v>0.36</v>
      </c>
    </row>
    <row r="1259">
      <c r="A1259" t="inlineStr">
        <is>
          <t>O01258</t>
        </is>
      </c>
      <c r="B1259" t="inlineStr">
        <is>
          <t>C0109</t>
        </is>
      </c>
      <c r="C1259" t="inlineStr">
        <is>
          <t>S006</t>
        </is>
      </c>
      <c r="D1259" t="inlineStr">
        <is>
          <t>R066</t>
        </is>
      </c>
      <c r="E1259" s="3" t="n">
        <v>46267.41736111111</v>
      </c>
      <c r="F1259" s="3" t="n">
        <v>46267.42368055556</v>
      </c>
      <c r="G1259" s="3" t="n">
        <v>46267.42298611111</v>
      </c>
      <c r="H1259" t="inlineStr">
        <is>
          <t>Delivered</t>
        </is>
      </c>
      <c r="I1259" t="n">
        <v>2</v>
      </c>
      <c r="J1259" t="n">
        <v>11</v>
      </c>
      <c r="K1259" t="n">
        <v>1374.86</v>
      </c>
      <c r="L1259" t="n">
        <v>0.87</v>
      </c>
      <c r="M1259" t="n">
        <v>2.6</v>
      </c>
      <c r="N1259" t="n">
        <v>4</v>
      </c>
      <c r="O1259" t="n">
        <v>1.5</v>
      </c>
      <c r="P1259" t="n">
        <v>9.1</v>
      </c>
      <c r="Q1259" t="n">
        <v>8.1</v>
      </c>
      <c r="R1259" t="n">
        <v>-1</v>
      </c>
      <c r="S1259" t="b">
        <v>1</v>
      </c>
      <c r="U1259" t="n">
        <v>10</v>
      </c>
      <c r="V1259" t="b">
        <v>0</v>
      </c>
      <c r="X1259" t="b">
        <v>0</v>
      </c>
      <c r="Y1259" t="n">
        <v>0.48</v>
      </c>
    </row>
    <row r="1260">
      <c r="A1260" t="inlineStr">
        <is>
          <t>O01259</t>
        </is>
      </c>
      <c r="B1260" t="inlineStr">
        <is>
          <t>C0102</t>
        </is>
      </c>
      <c r="C1260" t="inlineStr">
        <is>
          <t>S015</t>
        </is>
      </c>
      <c r="D1260" t="inlineStr">
        <is>
          <t>R002</t>
        </is>
      </c>
      <c r="E1260" s="3" t="n">
        <v>46270.35625</v>
      </c>
      <c r="F1260" s="3" t="n">
        <v>46270.36347222222</v>
      </c>
      <c r="G1260" s="3" t="n">
        <v>46270.36319444444</v>
      </c>
      <c r="H1260" t="inlineStr">
        <is>
          <t>Delivered</t>
        </is>
      </c>
      <c r="I1260" t="n">
        <v>1</v>
      </c>
      <c r="J1260" t="n">
        <v>5</v>
      </c>
      <c r="K1260" t="n">
        <v>318</v>
      </c>
      <c r="L1260" t="n">
        <v>2.31</v>
      </c>
      <c r="M1260" t="n">
        <v>3</v>
      </c>
      <c r="N1260" t="n">
        <v>3.4</v>
      </c>
      <c r="O1260" t="n">
        <v>3.6</v>
      </c>
      <c r="P1260" t="n">
        <v>10.4</v>
      </c>
      <c r="Q1260" t="n">
        <v>10</v>
      </c>
      <c r="R1260" t="n">
        <v>-0.4</v>
      </c>
      <c r="S1260" t="b">
        <v>1</v>
      </c>
      <c r="U1260" t="n">
        <v>8</v>
      </c>
      <c r="V1260" t="b">
        <v>0</v>
      </c>
      <c r="X1260" t="b">
        <v>0</v>
      </c>
      <c r="Y1260" t="n">
        <v>0.36</v>
      </c>
    </row>
    <row r="1261">
      <c r="A1261" t="inlineStr">
        <is>
          <t>O01260</t>
        </is>
      </c>
      <c r="B1261" t="inlineStr">
        <is>
          <t>C0169</t>
        </is>
      </c>
      <c r="C1261" t="inlineStr">
        <is>
          <t>S018</t>
        </is>
      </c>
      <c r="D1261" t="inlineStr">
        <is>
          <t>R076</t>
        </is>
      </c>
      <c r="E1261" s="3" t="n">
        <v>46278.51666666667</v>
      </c>
      <c r="F1261" s="3" t="n">
        <v>46278.52423611111</v>
      </c>
      <c r="G1261" s="3" t="n">
        <v>46278.52388888889</v>
      </c>
      <c r="H1261" t="inlineStr">
        <is>
          <t>Delivered</t>
        </is>
      </c>
      <c r="I1261" t="n">
        <v>3</v>
      </c>
      <c r="J1261" t="n">
        <v>5</v>
      </c>
      <c r="K1261" t="n">
        <v>274.32</v>
      </c>
      <c r="L1261" t="n">
        <v>2.21</v>
      </c>
      <c r="M1261" t="n">
        <v>3.6</v>
      </c>
      <c r="N1261" t="n">
        <v>2.3</v>
      </c>
      <c r="O1261" t="n">
        <v>4.5</v>
      </c>
      <c r="P1261" t="n">
        <v>10.9</v>
      </c>
      <c r="Q1261" t="n">
        <v>10.4</v>
      </c>
      <c r="R1261" t="n">
        <v>-0.5</v>
      </c>
      <c r="S1261" t="b">
        <v>1</v>
      </c>
      <c r="U1261" t="n">
        <v>12</v>
      </c>
      <c r="V1261" t="b">
        <v>0</v>
      </c>
      <c r="X1261" t="b">
        <v>1</v>
      </c>
      <c r="Y1261" t="n">
        <v>0.27</v>
      </c>
    </row>
    <row r="1262">
      <c r="A1262" t="inlineStr">
        <is>
          <t>O01261</t>
        </is>
      </c>
      <c r="B1262" t="inlineStr">
        <is>
          <t>C0132</t>
        </is>
      </c>
      <c r="C1262" t="inlineStr">
        <is>
          <t>S019</t>
        </is>
      </c>
      <c r="D1262" t="inlineStr">
        <is>
          <t>R062</t>
        </is>
      </c>
      <c r="E1262" s="3" t="n">
        <v>46271.97708333333</v>
      </c>
      <c r="F1262" s="3" t="n">
        <v>46271.98548611111</v>
      </c>
      <c r="G1262" s="3" t="n">
        <v>46271.98486111111</v>
      </c>
      <c r="H1262" t="inlineStr">
        <is>
          <t>Delivered</t>
        </is>
      </c>
      <c r="I1262" t="n">
        <v>1</v>
      </c>
      <c r="J1262" t="n">
        <v>4</v>
      </c>
      <c r="K1262" t="n">
        <v>1257.59</v>
      </c>
      <c r="L1262" t="n">
        <v>2.39</v>
      </c>
      <c r="M1262" t="n">
        <v>3.3</v>
      </c>
      <c r="N1262" t="n">
        <v>3.9</v>
      </c>
      <c r="O1262" t="n">
        <v>4</v>
      </c>
      <c r="P1262" t="n">
        <v>12.1</v>
      </c>
      <c r="Q1262" t="n">
        <v>11.2</v>
      </c>
      <c r="R1262" t="n">
        <v>-0.9</v>
      </c>
      <c r="S1262" t="b">
        <v>1</v>
      </c>
      <c r="U1262" t="n">
        <v>23</v>
      </c>
      <c r="V1262" t="b">
        <v>0</v>
      </c>
      <c r="X1262" t="b">
        <v>0</v>
      </c>
      <c r="Y1262" t="n">
        <v>0.45</v>
      </c>
    </row>
    <row r="1263">
      <c r="A1263" t="inlineStr">
        <is>
          <t>O01262</t>
        </is>
      </c>
      <c r="B1263" t="inlineStr">
        <is>
          <t>C0124</t>
        </is>
      </c>
      <c r="C1263" t="inlineStr">
        <is>
          <t>S014</t>
        </is>
      </c>
      <c r="D1263" t="inlineStr">
        <is>
          <t>R065</t>
        </is>
      </c>
      <c r="E1263" s="3" t="n">
        <v>46271.6875</v>
      </c>
      <c r="F1263" s="3" t="n">
        <v>46271.69375</v>
      </c>
      <c r="G1263" s="3" t="n">
        <v>46271.70090277777</v>
      </c>
      <c r="H1263" t="inlineStr">
        <is>
          <t>Delivered</t>
        </is>
      </c>
      <c r="I1263" t="n">
        <v>1</v>
      </c>
      <c r="J1263" t="n">
        <v>10</v>
      </c>
      <c r="K1263" t="n">
        <v>813.85</v>
      </c>
      <c r="L1263" t="n">
        <v>0.64</v>
      </c>
      <c r="M1263" t="n">
        <v>6.3</v>
      </c>
      <c r="N1263" t="n">
        <v>10</v>
      </c>
      <c r="O1263" t="n">
        <v>3.1</v>
      </c>
      <c r="P1263" t="n">
        <v>9</v>
      </c>
      <c r="Q1263" t="n">
        <v>19.3</v>
      </c>
      <c r="R1263" t="n">
        <v>10.3</v>
      </c>
      <c r="S1263" t="b">
        <v>0</v>
      </c>
      <c r="U1263" t="n">
        <v>16</v>
      </c>
      <c r="V1263" t="b">
        <v>0</v>
      </c>
      <c r="X1263" t="b">
        <v>0</v>
      </c>
      <c r="Y1263" t="n">
        <v>0.5</v>
      </c>
    </row>
    <row r="1264">
      <c r="A1264" t="inlineStr">
        <is>
          <t>O01263</t>
        </is>
      </c>
      <c r="B1264" t="inlineStr">
        <is>
          <t>C0196</t>
        </is>
      </c>
      <c r="C1264" t="inlineStr">
        <is>
          <t>S001</t>
        </is>
      </c>
      <c r="D1264" t="inlineStr">
        <is>
          <t>R044</t>
        </is>
      </c>
      <c r="E1264" s="3" t="n">
        <v>46276.98055555556</v>
      </c>
      <c r="F1264" s="3" t="n">
        <v>46276.98743055556</v>
      </c>
      <c r="G1264" s="3" t="n">
        <v>46276.986875</v>
      </c>
      <c r="H1264" t="inlineStr">
        <is>
          <t>Delivered</t>
        </is>
      </c>
      <c r="I1264" t="n">
        <v>6</v>
      </c>
      <c r="J1264" t="n">
        <v>8</v>
      </c>
      <c r="K1264" t="n">
        <v>919.24</v>
      </c>
      <c r="L1264" t="n">
        <v>2.95</v>
      </c>
      <c r="M1264" t="n">
        <v>2.9</v>
      </c>
      <c r="N1264" t="n">
        <v>3.4</v>
      </c>
      <c r="O1264" t="n">
        <v>2.8</v>
      </c>
      <c r="P1264" t="n">
        <v>9.9</v>
      </c>
      <c r="Q1264" t="n">
        <v>9.1</v>
      </c>
      <c r="R1264" t="n">
        <v>-0.8</v>
      </c>
      <c r="S1264" t="b">
        <v>1</v>
      </c>
      <c r="U1264" t="n">
        <v>23</v>
      </c>
      <c r="V1264" t="b">
        <v>0</v>
      </c>
      <c r="X1264" t="b">
        <v>0</v>
      </c>
      <c r="Y1264" t="n">
        <v>0.21</v>
      </c>
    </row>
    <row r="1265">
      <c r="A1265" t="inlineStr">
        <is>
          <t>O01264</t>
        </is>
      </c>
      <c r="B1265" t="inlineStr">
        <is>
          <t>C0195</t>
        </is>
      </c>
      <c r="C1265" t="inlineStr">
        <is>
          <t>S013</t>
        </is>
      </c>
      <c r="D1265" t="inlineStr">
        <is>
          <t>R027</t>
        </is>
      </c>
      <c r="E1265" s="3" t="n">
        <v>46274.67013888889</v>
      </c>
      <c r="F1265" s="3" t="n">
        <v>46274.67631944444</v>
      </c>
      <c r="G1265" s="3" t="n">
        <v>46274.68409722222</v>
      </c>
      <c r="H1265" t="inlineStr">
        <is>
          <t>Delivered</t>
        </is>
      </c>
      <c r="I1265" t="n">
        <v>2</v>
      </c>
      <c r="J1265" t="n">
        <v>6</v>
      </c>
      <c r="K1265" t="n">
        <v>270.87</v>
      </c>
      <c r="L1265" t="n">
        <v>1.16</v>
      </c>
      <c r="M1265" t="n">
        <v>6.6</v>
      </c>
      <c r="N1265" t="n">
        <v>9.5</v>
      </c>
      <c r="O1265" t="n">
        <v>3.9</v>
      </c>
      <c r="P1265" t="n">
        <v>8.9</v>
      </c>
      <c r="Q1265" t="n">
        <v>20.1</v>
      </c>
      <c r="R1265" t="n">
        <v>11.2</v>
      </c>
      <c r="S1265" t="b">
        <v>0</v>
      </c>
      <c r="U1265" t="n">
        <v>16</v>
      </c>
      <c r="V1265" t="b">
        <v>0</v>
      </c>
      <c r="X1265" t="b">
        <v>0</v>
      </c>
      <c r="Y1265" t="n">
        <v>0.41</v>
      </c>
    </row>
    <row r="1266">
      <c r="A1266" t="inlineStr">
        <is>
          <t>O01265</t>
        </is>
      </c>
      <c r="B1266" t="inlineStr">
        <is>
          <t>C0098</t>
        </is>
      </c>
      <c r="C1266" t="inlineStr">
        <is>
          <t>S004</t>
        </is>
      </c>
      <c r="D1266" t="inlineStr">
        <is>
          <t>R046</t>
        </is>
      </c>
      <c r="E1266" s="3" t="n">
        <v>46272.36388888889</v>
      </c>
      <c r="F1266" s="3" t="n">
        <v>46272.370625</v>
      </c>
      <c r="G1266" s="3" t="n">
        <v>46272.37027777778</v>
      </c>
      <c r="H1266" t="inlineStr">
        <is>
          <t>Delivered</t>
        </is>
      </c>
      <c r="I1266" t="n">
        <v>6</v>
      </c>
      <c r="J1266" t="n">
        <v>7</v>
      </c>
      <c r="K1266" t="n">
        <v>1430.23</v>
      </c>
      <c r="L1266" t="n">
        <v>1.66</v>
      </c>
      <c r="M1266" t="n">
        <v>2.1</v>
      </c>
      <c r="N1266" t="n">
        <v>4.4</v>
      </c>
      <c r="O1266" t="n">
        <v>2.7</v>
      </c>
      <c r="P1266" t="n">
        <v>9.699999999999999</v>
      </c>
      <c r="Q1266" t="n">
        <v>9.199999999999999</v>
      </c>
      <c r="R1266" t="n">
        <v>-0.5</v>
      </c>
      <c r="S1266" t="b">
        <v>1</v>
      </c>
      <c r="U1266" t="n">
        <v>8</v>
      </c>
      <c r="V1266" t="b">
        <v>0</v>
      </c>
      <c r="X1266" t="b">
        <v>0</v>
      </c>
      <c r="Y1266" t="n">
        <v>0.09</v>
      </c>
    </row>
    <row r="1267">
      <c r="A1267" t="inlineStr">
        <is>
          <t>O01266</t>
        </is>
      </c>
      <c r="B1267" t="inlineStr">
        <is>
          <t>C0212</t>
        </is>
      </c>
      <c r="C1267" t="inlineStr">
        <is>
          <t>S015</t>
        </is>
      </c>
      <c r="D1267" t="inlineStr">
        <is>
          <t>R009</t>
        </is>
      </c>
      <c r="E1267" s="3" t="n">
        <v>46268.98611111111</v>
      </c>
      <c r="F1267" s="3" t="n">
        <v>46268.99340277778</v>
      </c>
      <c r="G1267" s="3" t="n">
        <v>46268.99256944445</v>
      </c>
      <c r="H1267" t="inlineStr">
        <is>
          <t>Delivered</t>
        </is>
      </c>
      <c r="I1267" t="n">
        <v>4</v>
      </c>
      <c r="J1267" t="n">
        <v>8</v>
      </c>
      <c r="K1267" t="n">
        <v>1590.58</v>
      </c>
      <c r="L1267" t="n">
        <v>3.6</v>
      </c>
      <c r="M1267" t="n">
        <v>3.4</v>
      </c>
      <c r="N1267" t="n">
        <v>1.1</v>
      </c>
      <c r="O1267" t="n">
        <v>4.8</v>
      </c>
      <c r="P1267" t="n">
        <v>10.5</v>
      </c>
      <c r="Q1267" t="n">
        <v>9.300000000000001</v>
      </c>
      <c r="R1267" t="n">
        <v>-1.2</v>
      </c>
      <c r="S1267" t="b">
        <v>1</v>
      </c>
      <c r="U1267" t="n">
        <v>23</v>
      </c>
      <c r="V1267" t="b">
        <v>0</v>
      </c>
      <c r="X1267" t="b">
        <v>0</v>
      </c>
      <c r="Y1267" t="n">
        <v>0.3</v>
      </c>
    </row>
    <row r="1268">
      <c r="A1268" t="inlineStr">
        <is>
          <t>O01267</t>
        </is>
      </c>
      <c r="B1268" t="inlineStr">
        <is>
          <t>C0172</t>
        </is>
      </c>
      <c r="C1268" t="inlineStr">
        <is>
          <t>S008</t>
        </is>
      </c>
      <c r="D1268" t="inlineStr">
        <is>
          <t>R038</t>
        </is>
      </c>
      <c r="E1268" s="3" t="n">
        <v>46270.76944444444</v>
      </c>
      <c r="F1268" s="3" t="n">
        <v>46270.77625</v>
      </c>
      <c r="G1268" s="3" t="n">
        <v>46270.78173611111</v>
      </c>
      <c r="H1268" t="inlineStr">
        <is>
          <t>Delivered</t>
        </is>
      </c>
      <c r="I1268" t="n">
        <v>5</v>
      </c>
      <c r="J1268" t="n">
        <v>5</v>
      </c>
      <c r="K1268" t="n">
        <v>969.37</v>
      </c>
      <c r="L1268" t="n">
        <v>2.65</v>
      </c>
      <c r="M1268" t="n">
        <v>3.6</v>
      </c>
      <c r="N1268" t="n">
        <v>6.6</v>
      </c>
      <c r="O1268" t="n">
        <v>7.5</v>
      </c>
      <c r="P1268" t="n">
        <v>9.800000000000001</v>
      </c>
      <c r="Q1268" t="n">
        <v>17.7</v>
      </c>
      <c r="R1268" t="n">
        <v>7.9</v>
      </c>
      <c r="S1268" t="b">
        <v>0</v>
      </c>
      <c r="U1268" t="n">
        <v>18</v>
      </c>
      <c r="V1268" t="b">
        <v>0</v>
      </c>
      <c r="W1268" t="inlineStr">
        <is>
          <t>Light</t>
        </is>
      </c>
      <c r="X1268" t="b">
        <v>0</v>
      </c>
      <c r="Y1268" t="n">
        <v>0.38</v>
      </c>
    </row>
    <row r="1269">
      <c r="A1269" t="inlineStr">
        <is>
          <t>O01268</t>
        </is>
      </c>
      <c r="B1269" t="inlineStr">
        <is>
          <t>C0188</t>
        </is>
      </c>
      <c r="C1269" t="inlineStr">
        <is>
          <t>S005</t>
        </is>
      </c>
      <c r="D1269" t="inlineStr">
        <is>
          <t>R002</t>
        </is>
      </c>
      <c r="E1269" s="3" t="n">
        <v>46273.82777777778</v>
      </c>
      <c r="F1269" s="3" t="n">
        <v>46273.83340277777</v>
      </c>
      <c r="G1269" s="3" t="n">
        <v>46273.84076388889</v>
      </c>
      <c r="H1269" t="inlineStr">
        <is>
          <t>Delivered</t>
        </is>
      </c>
      <c r="I1269" t="n">
        <v>3</v>
      </c>
      <c r="J1269" t="n">
        <v>3</v>
      </c>
      <c r="K1269" t="n">
        <v>394.08</v>
      </c>
      <c r="L1269" t="n">
        <v>2.37</v>
      </c>
      <c r="M1269" t="n">
        <v>3.3</v>
      </c>
      <c r="N1269" t="n">
        <v>8</v>
      </c>
      <c r="O1269" t="n">
        <v>7.5</v>
      </c>
      <c r="P1269" t="n">
        <v>8.1</v>
      </c>
      <c r="Q1269" t="n">
        <v>18.7</v>
      </c>
      <c r="R1269" t="n">
        <v>10.6</v>
      </c>
      <c r="S1269" t="b">
        <v>0</v>
      </c>
      <c r="U1269" t="n">
        <v>19</v>
      </c>
      <c r="V1269" t="b">
        <v>1</v>
      </c>
      <c r="X1269" t="b">
        <v>0</v>
      </c>
      <c r="Y1269" t="n">
        <v>0.8</v>
      </c>
    </row>
    <row r="1270">
      <c r="A1270" t="inlineStr">
        <is>
          <t>O01269</t>
        </is>
      </c>
      <c r="B1270" t="inlineStr">
        <is>
          <t>C0201</t>
        </is>
      </c>
      <c r="C1270" t="inlineStr">
        <is>
          <t>S003</t>
        </is>
      </c>
      <c r="D1270" t="inlineStr">
        <is>
          <t>R080</t>
        </is>
      </c>
      <c r="E1270" s="3" t="n">
        <v>46269.84027777778</v>
      </c>
      <c r="F1270" s="3" t="n">
        <v>46269.84763888889</v>
      </c>
      <c r="G1270" s="3" t="n">
        <v>46269.84694444444</v>
      </c>
      <c r="H1270" t="inlineStr">
        <is>
          <t>Delivered</t>
        </is>
      </c>
      <c r="I1270" t="n">
        <v>4</v>
      </c>
      <c r="J1270" t="n">
        <v>5</v>
      </c>
      <c r="K1270" t="n">
        <v>1608.4</v>
      </c>
      <c r="L1270" t="n">
        <v>1.7</v>
      </c>
      <c r="M1270" t="n">
        <v>2</v>
      </c>
      <c r="N1270" t="n">
        <v>2.7</v>
      </c>
      <c r="O1270" t="n">
        <v>4.9</v>
      </c>
      <c r="P1270" t="n">
        <v>10.6</v>
      </c>
      <c r="Q1270" t="n">
        <v>9.6</v>
      </c>
      <c r="R1270" t="n">
        <v>-1</v>
      </c>
      <c r="S1270" t="b">
        <v>1</v>
      </c>
      <c r="U1270" t="n">
        <v>20</v>
      </c>
      <c r="V1270" t="b">
        <v>1</v>
      </c>
      <c r="X1270" t="b">
        <v>0</v>
      </c>
      <c r="Y1270" t="n">
        <v>0.75</v>
      </c>
    </row>
    <row r="1271">
      <c r="A1271" t="inlineStr">
        <is>
          <t>O01270</t>
        </is>
      </c>
      <c r="B1271" t="inlineStr">
        <is>
          <t>C0214</t>
        </is>
      </c>
      <c r="C1271" t="inlineStr">
        <is>
          <t>S007</t>
        </is>
      </c>
      <c r="D1271" t="inlineStr">
        <is>
          <t>R006</t>
        </is>
      </c>
      <c r="E1271" s="3" t="n">
        <v>46275.90833333333</v>
      </c>
      <c r="F1271" s="3" t="n">
        <v>46275.91388888889</v>
      </c>
      <c r="G1271" s="3" t="n">
        <v>46275.91354166667</v>
      </c>
      <c r="H1271" t="inlineStr">
        <is>
          <t>Delivered</t>
        </is>
      </c>
      <c r="I1271" t="n">
        <v>5</v>
      </c>
      <c r="J1271" t="n">
        <v>9</v>
      </c>
      <c r="K1271" t="n">
        <v>503.16</v>
      </c>
      <c r="L1271" t="n">
        <v>3.66</v>
      </c>
      <c r="M1271" t="n">
        <v>1.9</v>
      </c>
      <c r="N1271" t="n">
        <v>2.4</v>
      </c>
      <c r="O1271" t="n">
        <v>3.2</v>
      </c>
      <c r="P1271" t="n">
        <v>8</v>
      </c>
      <c r="Q1271" t="n">
        <v>7.5</v>
      </c>
      <c r="R1271" t="n">
        <v>-0.5</v>
      </c>
      <c r="S1271" t="b">
        <v>1</v>
      </c>
      <c r="U1271" t="n">
        <v>21</v>
      </c>
      <c r="V1271" t="b">
        <v>1</v>
      </c>
      <c r="X1271" t="b">
        <v>0</v>
      </c>
      <c r="Y1271" t="n">
        <v>0.65</v>
      </c>
    </row>
    <row r="1272">
      <c r="A1272" t="inlineStr">
        <is>
          <t>O01271</t>
        </is>
      </c>
      <c r="B1272" t="inlineStr">
        <is>
          <t>C0035</t>
        </is>
      </c>
      <c r="C1272" t="inlineStr">
        <is>
          <t>S015</t>
        </is>
      </c>
      <c r="D1272" t="inlineStr">
        <is>
          <t>R005</t>
        </is>
      </c>
      <c r="E1272" s="3" t="n">
        <v>46268.87777777778</v>
      </c>
      <c r="F1272" s="3" t="n">
        <v>46268.88423611111</v>
      </c>
      <c r="G1272" s="3" t="n">
        <v>46268.88347222222</v>
      </c>
      <c r="H1272" t="inlineStr">
        <is>
          <t>Delivered</t>
        </is>
      </c>
      <c r="I1272" t="n">
        <v>1</v>
      </c>
      <c r="J1272" t="n">
        <v>7</v>
      </c>
      <c r="K1272" t="n">
        <v>1152.36</v>
      </c>
      <c r="L1272" t="n">
        <v>0.53</v>
      </c>
      <c r="M1272" t="n">
        <v>2.5</v>
      </c>
      <c r="N1272" t="n">
        <v>3.7</v>
      </c>
      <c r="O1272" t="n">
        <v>2</v>
      </c>
      <c r="P1272" t="n">
        <v>9.300000000000001</v>
      </c>
      <c r="Q1272" t="n">
        <v>8.199999999999999</v>
      </c>
      <c r="R1272" t="n">
        <v>-1.1</v>
      </c>
      <c r="S1272" t="b">
        <v>1</v>
      </c>
      <c r="U1272" t="n">
        <v>21</v>
      </c>
      <c r="V1272" t="b">
        <v>1</v>
      </c>
      <c r="X1272" t="b">
        <v>0</v>
      </c>
      <c r="Y1272" t="n">
        <v>0.99</v>
      </c>
    </row>
    <row r="1273">
      <c r="A1273" t="inlineStr">
        <is>
          <t>O01272</t>
        </is>
      </c>
      <c r="B1273" t="inlineStr">
        <is>
          <t>C0120</t>
        </is>
      </c>
      <c r="C1273" t="inlineStr">
        <is>
          <t>S011</t>
        </is>
      </c>
      <c r="D1273" t="inlineStr">
        <is>
          <t>R024</t>
        </is>
      </c>
      <c r="E1273" s="3" t="n">
        <v>46270.52708333333</v>
      </c>
      <c r="F1273" s="3" t="n">
        <v>46270.53541666667</v>
      </c>
      <c r="G1273" s="3" t="n">
        <v>46270.54083333333</v>
      </c>
      <c r="H1273" t="inlineStr">
        <is>
          <t>Delivered</t>
        </is>
      </c>
      <c r="I1273" t="n">
        <v>1</v>
      </c>
      <c r="J1273" t="n">
        <v>7</v>
      </c>
      <c r="K1273" t="n">
        <v>547.0599999999999</v>
      </c>
      <c r="L1273" t="n">
        <v>2.42</v>
      </c>
      <c r="M1273" t="n">
        <v>6.1</v>
      </c>
      <c r="N1273" t="n">
        <v>6.9</v>
      </c>
      <c r="O1273" t="n">
        <v>6.8</v>
      </c>
      <c r="P1273" t="n">
        <v>12</v>
      </c>
      <c r="Q1273" t="n">
        <v>19.8</v>
      </c>
      <c r="R1273" t="n">
        <v>7.8</v>
      </c>
      <c r="S1273" t="b">
        <v>0</v>
      </c>
      <c r="U1273" t="n">
        <v>12</v>
      </c>
      <c r="V1273" t="b">
        <v>0</v>
      </c>
      <c r="X1273" t="b">
        <v>0</v>
      </c>
      <c r="Y1273" t="n">
        <v>0.42</v>
      </c>
    </row>
    <row r="1274">
      <c r="A1274" t="inlineStr">
        <is>
          <t>O01273</t>
        </is>
      </c>
      <c r="B1274" t="inlineStr">
        <is>
          <t>C0088</t>
        </is>
      </c>
      <c r="C1274" t="inlineStr">
        <is>
          <t>S015</t>
        </is>
      </c>
      <c r="D1274" t="inlineStr">
        <is>
          <t>R027</t>
        </is>
      </c>
      <c r="E1274" s="3" t="n">
        <v>46272.76319444444</v>
      </c>
      <c r="F1274" s="3" t="n">
        <v>46272.77166666667</v>
      </c>
      <c r="G1274" s="3" t="n">
        <v>46272.77104166667</v>
      </c>
      <c r="H1274" t="inlineStr">
        <is>
          <t>Delivered</t>
        </is>
      </c>
      <c r="I1274" t="n">
        <v>2</v>
      </c>
      <c r="J1274" t="n">
        <v>7</v>
      </c>
      <c r="K1274" t="n">
        <v>754.16</v>
      </c>
      <c r="L1274" t="n">
        <v>3.03</v>
      </c>
      <c r="M1274" t="n">
        <v>2.1</v>
      </c>
      <c r="N1274" t="n">
        <v>5.1</v>
      </c>
      <c r="O1274" t="n">
        <v>4.1</v>
      </c>
      <c r="P1274" t="n">
        <v>12.2</v>
      </c>
      <c r="Q1274" t="n">
        <v>11.3</v>
      </c>
      <c r="R1274" t="n">
        <v>-0.9</v>
      </c>
      <c r="S1274" t="b">
        <v>1</v>
      </c>
      <c r="U1274" t="n">
        <v>18</v>
      </c>
      <c r="V1274" t="b">
        <v>0</v>
      </c>
      <c r="W1274" t="inlineStr">
        <is>
          <t>Light</t>
        </is>
      </c>
      <c r="X1274" t="b">
        <v>0</v>
      </c>
      <c r="Y1274" t="n">
        <v>0.08</v>
      </c>
    </row>
    <row r="1275">
      <c r="A1275" t="inlineStr">
        <is>
          <t>O01274</t>
        </is>
      </c>
      <c r="B1275" t="inlineStr">
        <is>
          <t>C0139</t>
        </is>
      </c>
      <c r="C1275" t="inlineStr">
        <is>
          <t>S013</t>
        </is>
      </c>
      <c r="D1275" t="inlineStr">
        <is>
          <t>R025</t>
        </is>
      </c>
      <c r="E1275" s="3" t="n">
        <v>46273.8125</v>
      </c>
      <c r="F1275" s="3" t="n">
        <v>46273.81986111111</v>
      </c>
      <c r="G1275" s="3" t="n">
        <v>46273.81902777778</v>
      </c>
      <c r="H1275" t="inlineStr">
        <is>
          <t>Delivered</t>
        </is>
      </c>
      <c r="I1275" t="n">
        <v>5</v>
      </c>
      <c r="J1275" t="n">
        <v>5</v>
      </c>
      <c r="K1275" t="n">
        <v>690.33</v>
      </c>
      <c r="L1275" t="n">
        <v>2.82</v>
      </c>
      <c r="M1275" t="n">
        <v>2.9</v>
      </c>
      <c r="N1275" t="n">
        <v>2.4</v>
      </c>
      <c r="O1275" t="n">
        <v>4.1</v>
      </c>
      <c r="P1275" t="n">
        <v>10.6</v>
      </c>
      <c r="Q1275" t="n">
        <v>9.4</v>
      </c>
      <c r="R1275" t="n">
        <v>-1.2</v>
      </c>
      <c r="S1275" t="b">
        <v>1</v>
      </c>
      <c r="U1275" t="n">
        <v>19</v>
      </c>
      <c r="V1275" t="b">
        <v>1</v>
      </c>
      <c r="X1275" t="b">
        <v>0</v>
      </c>
      <c r="Y1275" t="n">
        <v>0.5600000000000001</v>
      </c>
    </row>
    <row r="1276">
      <c r="A1276" t="inlineStr">
        <is>
          <t>O01275</t>
        </is>
      </c>
      <c r="B1276" t="inlineStr">
        <is>
          <t>C0223</t>
        </is>
      </c>
      <c r="C1276" t="inlineStr">
        <is>
          <t>S002</t>
        </is>
      </c>
      <c r="D1276" t="inlineStr">
        <is>
          <t>R032</t>
        </is>
      </c>
      <c r="E1276" s="3" t="n">
        <v>46269.44444444445</v>
      </c>
      <c r="F1276" s="3" t="n">
        <v>46269.45201388889</v>
      </c>
      <c r="G1276" s="3" t="n">
        <v>46269.45111111111</v>
      </c>
      <c r="H1276" t="inlineStr">
        <is>
          <t>Delivered</t>
        </is>
      </c>
      <c r="I1276" t="n">
        <v>2</v>
      </c>
      <c r="J1276" t="n">
        <v>5</v>
      </c>
      <c r="K1276" t="n">
        <v>1228.61</v>
      </c>
      <c r="L1276" t="n">
        <v>2.07</v>
      </c>
      <c r="M1276" t="n">
        <v>2.6</v>
      </c>
      <c r="N1276" t="n">
        <v>0.4</v>
      </c>
      <c r="O1276" t="n">
        <v>6.6</v>
      </c>
      <c r="P1276" t="n">
        <v>10.9</v>
      </c>
      <c r="Q1276" t="n">
        <v>9.6</v>
      </c>
      <c r="R1276" t="n">
        <v>-1.3</v>
      </c>
      <c r="S1276" t="b">
        <v>1</v>
      </c>
      <c r="U1276" t="n">
        <v>10</v>
      </c>
      <c r="V1276" t="b">
        <v>0</v>
      </c>
      <c r="X1276" t="b">
        <v>0</v>
      </c>
      <c r="Y1276" t="n">
        <v>0.53</v>
      </c>
    </row>
    <row r="1277">
      <c r="A1277" t="inlineStr">
        <is>
          <t>O01276</t>
        </is>
      </c>
      <c r="B1277" t="inlineStr">
        <is>
          <t>C0106</t>
        </is>
      </c>
      <c r="C1277" t="inlineStr">
        <is>
          <t>S020</t>
        </is>
      </c>
      <c r="D1277" t="inlineStr">
        <is>
          <t>R052</t>
        </is>
      </c>
      <c r="E1277" s="3" t="n">
        <v>46276.42152777778</v>
      </c>
      <c r="F1277" s="3" t="n">
        <v>46276.428125</v>
      </c>
      <c r="G1277" s="3" t="n">
        <v>46276.42777777778</v>
      </c>
      <c r="H1277" t="inlineStr">
        <is>
          <t>Delivered</t>
        </is>
      </c>
      <c r="I1277" t="n">
        <v>6</v>
      </c>
      <c r="J1277" t="n">
        <v>8</v>
      </c>
      <c r="K1277" t="n">
        <v>266.32</v>
      </c>
      <c r="L1277" t="n">
        <v>0.9</v>
      </c>
      <c r="M1277" t="n">
        <v>4.3</v>
      </c>
      <c r="N1277" t="n">
        <v>2.5</v>
      </c>
      <c r="O1277" t="n">
        <v>2.2</v>
      </c>
      <c r="P1277" t="n">
        <v>9.5</v>
      </c>
      <c r="Q1277" t="n">
        <v>9</v>
      </c>
      <c r="R1277" t="n">
        <v>-0.5</v>
      </c>
      <c r="S1277" t="b">
        <v>1</v>
      </c>
      <c r="U1277" t="n">
        <v>10</v>
      </c>
      <c r="V1277" t="b">
        <v>0</v>
      </c>
      <c r="X1277" t="b">
        <v>0</v>
      </c>
      <c r="Y1277" t="n">
        <v>0.65</v>
      </c>
    </row>
    <row r="1278">
      <c r="A1278" t="inlineStr">
        <is>
          <t>O01277</t>
        </is>
      </c>
      <c r="B1278" t="inlineStr">
        <is>
          <t>C0111</t>
        </is>
      </c>
      <c r="C1278" t="inlineStr">
        <is>
          <t>S020</t>
        </is>
      </c>
      <c r="D1278" t="inlineStr">
        <is>
          <t>R014</t>
        </is>
      </c>
      <c r="E1278" s="3" t="n">
        <v>46274.86527777778</v>
      </c>
      <c r="F1278" s="3" t="n">
        <v>46274.87194444444</v>
      </c>
      <c r="G1278" s="3" t="n">
        <v>46274.87152777778</v>
      </c>
      <c r="H1278" t="inlineStr">
        <is>
          <t>Delivered</t>
        </is>
      </c>
      <c r="I1278" t="n">
        <v>6</v>
      </c>
      <c r="J1278" t="n">
        <v>8</v>
      </c>
      <c r="K1278" t="n">
        <v>646.16</v>
      </c>
      <c r="L1278" t="n">
        <v>0.66</v>
      </c>
      <c r="M1278" t="n">
        <v>3</v>
      </c>
      <c r="N1278" t="n">
        <v>4.7</v>
      </c>
      <c r="O1278" t="n">
        <v>1.3</v>
      </c>
      <c r="P1278" t="n">
        <v>9.6</v>
      </c>
      <c r="Q1278" t="n">
        <v>9</v>
      </c>
      <c r="R1278" t="n">
        <v>-0.6</v>
      </c>
      <c r="S1278" t="b">
        <v>1</v>
      </c>
      <c r="U1278" t="n">
        <v>20</v>
      </c>
      <c r="V1278" t="b">
        <v>1</v>
      </c>
      <c r="X1278" t="b">
        <v>0</v>
      </c>
      <c r="Y1278" t="n">
        <v>0.57</v>
      </c>
    </row>
    <row r="1279">
      <c r="A1279" t="inlineStr">
        <is>
          <t>O01278</t>
        </is>
      </c>
      <c r="B1279" t="inlineStr">
        <is>
          <t>C0167</t>
        </is>
      </c>
      <c r="C1279" t="inlineStr">
        <is>
          <t>S008</t>
        </is>
      </c>
      <c r="D1279" t="inlineStr">
        <is>
          <t>R029</t>
        </is>
      </c>
      <c r="E1279" s="3" t="n">
        <v>46272.93611111111</v>
      </c>
      <c r="F1279" s="3" t="n">
        <v>46272.94555555555</v>
      </c>
      <c r="G1279" s="3" t="n">
        <v>46272.94486111111</v>
      </c>
      <c r="H1279" t="inlineStr">
        <is>
          <t>Delivered</t>
        </is>
      </c>
      <c r="I1279" t="n">
        <v>5</v>
      </c>
      <c r="J1279" t="n">
        <v>9</v>
      </c>
      <c r="K1279" t="n">
        <v>1456.15</v>
      </c>
      <c r="L1279" t="n">
        <v>4.38</v>
      </c>
      <c r="M1279" t="n">
        <v>2.2</v>
      </c>
      <c r="N1279" t="n">
        <v>5</v>
      </c>
      <c r="O1279" t="n">
        <v>5.4</v>
      </c>
      <c r="P1279" t="n">
        <v>13.6</v>
      </c>
      <c r="Q1279" t="n">
        <v>12.6</v>
      </c>
      <c r="R1279" t="n">
        <v>-1</v>
      </c>
      <c r="S1279" t="b">
        <v>1</v>
      </c>
      <c r="U1279" t="n">
        <v>22</v>
      </c>
      <c r="V1279" t="b">
        <v>0</v>
      </c>
      <c r="X1279" t="b">
        <v>0</v>
      </c>
      <c r="Y1279" t="n">
        <v>0.66</v>
      </c>
    </row>
    <row r="1280">
      <c r="A1280" t="inlineStr">
        <is>
          <t>O01279</t>
        </is>
      </c>
      <c r="B1280" t="inlineStr">
        <is>
          <t>C0015</t>
        </is>
      </c>
      <c r="C1280" t="inlineStr">
        <is>
          <t>S005</t>
        </is>
      </c>
      <c r="D1280" t="inlineStr">
        <is>
          <t>R072</t>
        </is>
      </c>
      <c r="E1280" s="3" t="n">
        <v>46269.88125</v>
      </c>
      <c r="F1280" s="3" t="n">
        <v>46269.888125</v>
      </c>
      <c r="G1280" s="3" t="n">
        <v>46269.88770833334</v>
      </c>
      <c r="H1280" t="inlineStr">
        <is>
          <t>Delivered</t>
        </is>
      </c>
      <c r="I1280" t="n">
        <v>2</v>
      </c>
      <c r="J1280" t="n">
        <v>10</v>
      </c>
      <c r="K1280" t="n">
        <v>495.96</v>
      </c>
      <c r="L1280" t="n">
        <v>2.72</v>
      </c>
      <c r="M1280" t="n">
        <v>2.3</v>
      </c>
      <c r="N1280" t="n">
        <v>3.7</v>
      </c>
      <c r="O1280" t="n">
        <v>3.3</v>
      </c>
      <c r="P1280" t="n">
        <v>9.9</v>
      </c>
      <c r="Q1280" t="n">
        <v>9.300000000000001</v>
      </c>
      <c r="R1280" t="n">
        <v>-0.6</v>
      </c>
      <c r="S1280" t="b">
        <v>1</v>
      </c>
      <c r="U1280" t="n">
        <v>21</v>
      </c>
      <c r="V1280" t="b">
        <v>1</v>
      </c>
      <c r="X1280" t="b">
        <v>0</v>
      </c>
      <c r="Y1280" t="n">
        <v>0.66</v>
      </c>
    </row>
    <row r="1281">
      <c r="A1281" t="inlineStr">
        <is>
          <t>O01280</t>
        </is>
      </c>
      <c r="B1281" t="inlineStr">
        <is>
          <t>C0055</t>
        </is>
      </c>
      <c r="C1281" t="inlineStr">
        <is>
          <t>S002</t>
        </is>
      </c>
      <c r="D1281" t="inlineStr">
        <is>
          <t>R033</t>
        </is>
      </c>
      <c r="E1281" s="3" t="n">
        <v>46279.57638888889</v>
      </c>
      <c r="F1281" s="3" t="n">
        <v>46279.58305555556</v>
      </c>
      <c r="G1281" s="3" t="n">
        <v>46279.58291666667</v>
      </c>
      <c r="H1281" t="inlineStr">
        <is>
          <t>Delivered</t>
        </is>
      </c>
      <c r="I1281" t="n">
        <v>4</v>
      </c>
      <c r="J1281" t="n">
        <v>10</v>
      </c>
      <c r="K1281" t="n">
        <v>1240.11</v>
      </c>
      <c r="L1281" t="n">
        <v>1.11</v>
      </c>
      <c r="M1281" t="n">
        <v>2.8</v>
      </c>
      <c r="N1281" t="n">
        <v>3</v>
      </c>
      <c r="O1281" t="n">
        <v>3.6</v>
      </c>
      <c r="P1281" t="n">
        <v>9.6</v>
      </c>
      <c r="Q1281" t="n">
        <v>9.4</v>
      </c>
      <c r="R1281" t="n">
        <v>-0.2</v>
      </c>
      <c r="S1281" t="b">
        <v>1</v>
      </c>
      <c r="U1281" t="n">
        <v>13</v>
      </c>
      <c r="V1281" t="b">
        <v>0</v>
      </c>
      <c r="X1281" t="b">
        <v>0</v>
      </c>
      <c r="Y1281" t="n">
        <v>0.61</v>
      </c>
    </row>
    <row r="1282">
      <c r="A1282" t="inlineStr">
        <is>
          <t>O01281</t>
        </is>
      </c>
      <c r="B1282" t="inlineStr">
        <is>
          <t>C0030</t>
        </is>
      </c>
      <c r="C1282" t="inlineStr">
        <is>
          <t>S012</t>
        </is>
      </c>
      <c r="D1282" t="inlineStr">
        <is>
          <t>R025</t>
        </is>
      </c>
      <c r="E1282" s="3" t="n">
        <v>46276.78541666667</v>
      </c>
      <c r="F1282" s="3" t="n">
        <v>46276.79104166666</v>
      </c>
      <c r="G1282" s="3" t="n">
        <v>46276.79472222222</v>
      </c>
      <c r="H1282" t="inlineStr">
        <is>
          <t>Delivered</t>
        </is>
      </c>
      <c r="I1282" t="n">
        <v>2</v>
      </c>
      <c r="J1282" t="n">
        <v>11</v>
      </c>
      <c r="K1282" t="n">
        <v>1114.26</v>
      </c>
      <c r="L1282" t="n">
        <v>1.32</v>
      </c>
      <c r="M1282" t="n">
        <v>6.5</v>
      </c>
      <c r="N1282" t="n">
        <v>1.9</v>
      </c>
      <c r="O1282" t="n">
        <v>5</v>
      </c>
      <c r="P1282" t="n">
        <v>8.1</v>
      </c>
      <c r="Q1282" t="n">
        <v>13.4</v>
      </c>
      <c r="R1282" t="n">
        <v>5.3</v>
      </c>
      <c r="S1282" t="b">
        <v>0</v>
      </c>
      <c r="U1282" t="n">
        <v>18</v>
      </c>
      <c r="V1282" t="b">
        <v>0</v>
      </c>
      <c r="X1282" t="b">
        <v>0</v>
      </c>
      <c r="Y1282" t="n">
        <v>0.71</v>
      </c>
    </row>
    <row r="1283">
      <c r="A1283" t="inlineStr">
        <is>
          <t>O01282</t>
        </is>
      </c>
      <c r="B1283" t="inlineStr">
        <is>
          <t>C0089</t>
        </is>
      </c>
      <c r="C1283" t="inlineStr">
        <is>
          <t>S003</t>
        </is>
      </c>
      <c r="D1283" t="inlineStr">
        <is>
          <t>R050</t>
        </is>
      </c>
      <c r="E1283" s="3" t="n">
        <v>46270.56111111111</v>
      </c>
      <c r="F1283" s="3" t="n">
        <v>46270.56840277778</v>
      </c>
      <c r="G1283" s="3" t="n">
        <v>46270.56763888889</v>
      </c>
      <c r="H1283" t="inlineStr">
        <is>
          <t>Delivered</t>
        </is>
      </c>
      <c r="I1283" t="n">
        <v>1</v>
      </c>
      <c r="J1283" t="n">
        <v>7</v>
      </c>
      <c r="K1283" t="n">
        <v>542.65</v>
      </c>
      <c r="L1283" t="n">
        <v>1.6</v>
      </c>
      <c r="M1283" t="n">
        <v>3.5</v>
      </c>
      <c r="N1283" t="n">
        <v>1.2</v>
      </c>
      <c r="O1283" t="n">
        <v>4.7</v>
      </c>
      <c r="P1283" t="n">
        <v>10.5</v>
      </c>
      <c r="Q1283" t="n">
        <v>9.4</v>
      </c>
      <c r="R1283" t="n">
        <v>-1.1</v>
      </c>
      <c r="S1283" t="b">
        <v>1</v>
      </c>
      <c r="U1283" t="n">
        <v>13</v>
      </c>
      <c r="V1283" t="b">
        <v>0</v>
      </c>
      <c r="X1283" t="b">
        <v>0</v>
      </c>
      <c r="Y1283" t="n">
        <v>0.71</v>
      </c>
    </row>
    <row r="1284">
      <c r="A1284" t="inlineStr">
        <is>
          <t>O01283</t>
        </is>
      </c>
      <c r="B1284" t="inlineStr">
        <is>
          <t>C0176</t>
        </is>
      </c>
      <c r="C1284" t="inlineStr">
        <is>
          <t>S020</t>
        </is>
      </c>
      <c r="D1284" t="inlineStr">
        <is>
          <t>R073</t>
        </is>
      </c>
      <c r="E1284" s="3" t="n">
        <v>46271.38819444444</v>
      </c>
      <c r="F1284" s="3" t="n">
        <v>46271.39583333334</v>
      </c>
      <c r="G1284" s="3" t="n">
        <v>46271.39513888889</v>
      </c>
      <c r="H1284" t="inlineStr">
        <is>
          <t>Delivered</t>
        </is>
      </c>
      <c r="I1284" t="n">
        <v>2</v>
      </c>
      <c r="J1284" t="n">
        <v>5</v>
      </c>
      <c r="K1284" t="n">
        <v>1454.1</v>
      </c>
      <c r="L1284" t="n">
        <v>2.6</v>
      </c>
      <c r="M1284" t="n">
        <v>4.2</v>
      </c>
      <c r="N1284" t="n">
        <v>2.2</v>
      </c>
      <c r="O1284" t="n">
        <v>3.6</v>
      </c>
      <c r="P1284" t="n">
        <v>11</v>
      </c>
      <c r="Q1284" t="n">
        <v>10</v>
      </c>
      <c r="R1284" t="n">
        <v>-1</v>
      </c>
      <c r="S1284" t="b">
        <v>1</v>
      </c>
      <c r="U1284" t="n">
        <v>9</v>
      </c>
      <c r="V1284" t="b">
        <v>0</v>
      </c>
      <c r="X1284" t="b">
        <v>0</v>
      </c>
      <c r="Y1284" t="n">
        <v>0.4</v>
      </c>
    </row>
    <row r="1285">
      <c r="A1285" t="inlineStr">
        <is>
          <t>O01284</t>
        </is>
      </c>
      <c r="B1285" t="inlineStr">
        <is>
          <t>C0209</t>
        </is>
      </c>
      <c r="C1285" t="inlineStr">
        <is>
          <t>S017</t>
        </is>
      </c>
      <c r="D1285" t="inlineStr">
        <is>
          <t>R025</t>
        </is>
      </c>
      <c r="E1285" s="3" t="n">
        <v>46276.58541666667</v>
      </c>
      <c r="F1285" s="3" t="n">
        <v>46276.59118055556</v>
      </c>
      <c r="G1285" s="3" t="n">
        <v>46276.59111111111</v>
      </c>
      <c r="H1285" t="inlineStr">
        <is>
          <t>Delivered</t>
        </is>
      </c>
      <c r="I1285" t="n">
        <v>6</v>
      </c>
      <c r="J1285" t="n">
        <v>7</v>
      </c>
      <c r="K1285" t="n">
        <v>268.35</v>
      </c>
      <c r="L1285" t="n">
        <v>0.5</v>
      </c>
      <c r="M1285" t="n">
        <v>3.3</v>
      </c>
      <c r="N1285" t="n">
        <v>2.5</v>
      </c>
      <c r="O1285" t="n">
        <v>2.4</v>
      </c>
      <c r="P1285" t="n">
        <v>8.300000000000001</v>
      </c>
      <c r="Q1285" t="n">
        <v>8.199999999999999</v>
      </c>
      <c r="R1285" t="n">
        <v>-0.1</v>
      </c>
      <c r="S1285" t="b">
        <v>1</v>
      </c>
      <c r="U1285" t="n">
        <v>14</v>
      </c>
      <c r="V1285" t="b">
        <v>0</v>
      </c>
      <c r="X1285" t="b">
        <v>0</v>
      </c>
      <c r="Y1285" t="n">
        <v>0.48</v>
      </c>
    </row>
    <row r="1286">
      <c r="A1286" t="inlineStr">
        <is>
          <t>O01285</t>
        </is>
      </c>
      <c r="B1286" t="inlineStr">
        <is>
          <t>C0120</t>
        </is>
      </c>
      <c r="C1286" t="inlineStr">
        <is>
          <t>S001</t>
        </is>
      </c>
      <c r="D1286" t="inlineStr">
        <is>
          <t>R035</t>
        </is>
      </c>
      <c r="E1286" s="3" t="n">
        <v>46272.74444444444</v>
      </c>
      <c r="F1286" s="3" t="n">
        <v>46272.75048611111</v>
      </c>
      <c r="G1286" s="3" t="n">
        <v>46272.74986111111</v>
      </c>
      <c r="H1286" t="inlineStr">
        <is>
          <t>Delivered</t>
        </is>
      </c>
      <c r="I1286" t="n">
        <v>1</v>
      </c>
      <c r="J1286" t="n">
        <v>5</v>
      </c>
      <c r="K1286" t="n">
        <v>530.39</v>
      </c>
      <c r="L1286" t="n">
        <v>2.16</v>
      </c>
      <c r="M1286" t="n">
        <v>2.4</v>
      </c>
      <c r="N1286" t="n">
        <v>3</v>
      </c>
      <c r="O1286" t="n">
        <v>2.4</v>
      </c>
      <c r="P1286" t="n">
        <v>8.699999999999999</v>
      </c>
      <c r="Q1286" t="n">
        <v>7.8</v>
      </c>
      <c r="R1286" t="n">
        <v>-0.9</v>
      </c>
      <c r="S1286" t="b">
        <v>1</v>
      </c>
      <c r="U1286" t="n">
        <v>17</v>
      </c>
      <c r="V1286" t="b">
        <v>0</v>
      </c>
      <c r="X1286" t="b">
        <v>0</v>
      </c>
      <c r="Y1286" t="n">
        <v>0.39</v>
      </c>
    </row>
    <row r="1287">
      <c r="A1287" t="inlineStr">
        <is>
          <t>O01286</t>
        </is>
      </c>
      <c r="B1287" t="inlineStr">
        <is>
          <t>C0190</t>
        </is>
      </c>
      <c r="C1287" t="inlineStr">
        <is>
          <t>S008</t>
        </is>
      </c>
      <c r="D1287" t="inlineStr">
        <is>
          <t>R059</t>
        </is>
      </c>
      <c r="E1287" s="3" t="n">
        <v>46277.87152777778</v>
      </c>
      <c r="F1287" s="3" t="n">
        <v>46277.87715277778</v>
      </c>
      <c r="G1287" s="3" t="n">
        <v>46277.87673611111</v>
      </c>
      <c r="H1287" t="inlineStr">
        <is>
          <t>Delivered</t>
        </is>
      </c>
      <c r="I1287" t="n">
        <v>1</v>
      </c>
      <c r="J1287" t="n">
        <v>4</v>
      </c>
      <c r="K1287" t="n">
        <v>1287.39</v>
      </c>
      <c r="L1287" t="n">
        <v>0.5</v>
      </c>
      <c r="M1287" t="n">
        <v>1.8</v>
      </c>
      <c r="N1287" t="n">
        <v>3.8</v>
      </c>
      <c r="O1287" t="n">
        <v>1.9</v>
      </c>
      <c r="P1287" t="n">
        <v>8.1</v>
      </c>
      <c r="Q1287" t="n">
        <v>7.5</v>
      </c>
      <c r="R1287" t="n">
        <v>-0.6</v>
      </c>
      <c r="S1287" t="b">
        <v>1</v>
      </c>
      <c r="U1287" t="n">
        <v>20</v>
      </c>
      <c r="V1287" t="b">
        <v>1</v>
      </c>
      <c r="W1287" t="inlineStr">
        <is>
          <t>Light</t>
        </is>
      </c>
      <c r="X1287" t="b">
        <v>0</v>
      </c>
      <c r="Y1287" t="n">
        <v>0.36</v>
      </c>
    </row>
    <row r="1288">
      <c r="A1288" t="inlineStr">
        <is>
          <t>O01287</t>
        </is>
      </c>
      <c r="B1288" t="inlineStr">
        <is>
          <t>C0093</t>
        </is>
      </c>
      <c r="C1288" t="inlineStr">
        <is>
          <t>S005</t>
        </is>
      </c>
      <c r="D1288" t="inlineStr">
        <is>
          <t>R001</t>
        </is>
      </c>
      <c r="E1288" s="3" t="n">
        <v>46276.60694444444</v>
      </c>
      <c r="F1288" s="3" t="n">
        <v>46276.61284722222</v>
      </c>
      <c r="G1288" s="3" t="n">
        <v>46276.62125</v>
      </c>
      <c r="H1288" t="inlineStr">
        <is>
          <t>Delivered</t>
        </is>
      </c>
      <c r="I1288" t="n">
        <v>6</v>
      </c>
      <c r="J1288" t="n">
        <v>9</v>
      </c>
      <c r="K1288" t="n">
        <v>1169.68</v>
      </c>
      <c r="L1288" t="n">
        <v>4.9</v>
      </c>
      <c r="M1288" t="n">
        <v>5.4</v>
      </c>
      <c r="N1288" t="n">
        <v>4.3</v>
      </c>
      <c r="O1288" t="n">
        <v>11</v>
      </c>
      <c r="P1288" t="n">
        <v>8.5</v>
      </c>
      <c r="Q1288" t="n">
        <v>20.6</v>
      </c>
      <c r="R1288" t="n">
        <v>12.1</v>
      </c>
      <c r="S1288" t="b">
        <v>0</v>
      </c>
      <c r="U1288" t="n">
        <v>14</v>
      </c>
      <c r="V1288" t="b">
        <v>0</v>
      </c>
      <c r="W1288" t="inlineStr">
        <is>
          <t>Light</t>
        </is>
      </c>
      <c r="X1288" t="b">
        <v>0</v>
      </c>
      <c r="Y1288" t="n">
        <v>0.34</v>
      </c>
    </row>
    <row r="1289">
      <c r="A1289" t="inlineStr">
        <is>
          <t>O01288</t>
        </is>
      </c>
      <c r="B1289" t="inlineStr">
        <is>
          <t>C0209</t>
        </is>
      </c>
      <c r="C1289" t="inlineStr">
        <is>
          <t>S012</t>
        </is>
      </c>
      <c r="D1289" t="inlineStr">
        <is>
          <t>R060</t>
        </is>
      </c>
      <c r="E1289" s="3" t="n">
        <v>46277.35</v>
      </c>
      <c r="F1289" s="3" t="n">
        <v>46277.35645833334</v>
      </c>
      <c r="G1289" s="3" t="n">
        <v>46277.35770833334</v>
      </c>
      <c r="H1289" t="inlineStr">
        <is>
          <t>Delivered</t>
        </is>
      </c>
      <c r="I1289" t="n">
        <v>3</v>
      </c>
      <c r="J1289" t="n">
        <v>3</v>
      </c>
      <c r="K1289" t="n">
        <v>1510.63</v>
      </c>
      <c r="L1289" t="n">
        <v>1.44</v>
      </c>
      <c r="M1289" t="n">
        <v>4.4</v>
      </c>
      <c r="N1289" t="n">
        <v>2.3</v>
      </c>
      <c r="O1289" t="n">
        <v>4.4</v>
      </c>
      <c r="P1289" t="n">
        <v>9.300000000000001</v>
      </c>
      <c r="Q1289" t="n">
        <v>11.1</v>
      </c>
      <c r="R1289" t="n">
        <v>1.8</v>
      </c>
      <c r="S1289" t="b">
        <v>0</v>
      </c>
      <c r="U1289" t="n">
        <v>8</v>
      </c>
      <c r="V1289" t="b">
        <v>0</v>
      </c>
      <c r="X1289" t="b">
        <v>0</v>
      </c>
      <c r="Y1289" t="n">
        <v>0.51</v>
      </c>
    </row>
    <row r="1290">
      <c r="A1290" t="inlineStr">
        <is>
          <t>O01289</t>
        </is>
      </c>
      <c r="B1290" t="inlineStr">
        <is>
          <t>C0190</t>
        </is>
      </c>
      <c r="C1290" t="inlineStr">
        <is>
          <t>S008</t>
        </is>
      </c>
      <c r="D1290" t="inlineStr">
        <is>
          <t>R047</t>
        </is>
      </c>
      <c r="E1290" s="3" t="n">
        <v>46270.56597222222</v>
      </c>
      <c r="F1290" s="3" t="n">
        <v>46270.57451388889</v>
      </c>
      <c r="G1290" s="3" t="n">
        <v>46270.578125</v>
      </c>
      <c r="H1290" t="inlineStr">
        <is>
          <t>Delivered</t>
        </is>
      </c>
      <c r="I1290" t="n">
        <v>1</v>
      </c>
      <c r="J1290" t="n">
        <v>5</v>
      </c>
      <c r="K1290" t="n">
        <v>1512.35</v>
      </c>
      <c r="L1290" t="n">
        <v>3.71</v>
      </c>
      <c r="M1290" t="n">
        <v>3.4</v>
      </c>
      <c r="N1290" t="n">
        <v>5.1</v>
      </c>
      <c r="O1290" t="n">
        <v>9</v>
      </c>
      <c r="P1290" t="n">
        <v>12.3</v>
      </c>
      <c r="Q1290" t="n">
        <v>17.5</v>
      </c>
      <c r="R1290" t="n">
        <v>5.2</v>
      </c>
      <c r="S1290" t="b">
        <v>0</v>
      </c>
      <c r="U1290" t="n">
        <v>13</v>
      </c>
      <c r="V1290" t="b">
        <v>0</v>
      </c>
      <c r="X1290" t="b">
        <v>0</v>
      </c>
      <c r="Y1290" t="n">
        <v>0.57</v>
      </c>
    </row>
    <row r="1291">
      <c r="A1291" t="inlineStr">
        <is>
          <t>O01290</t>
        </is>
      </c>
      <c r="B1291" t="inlineStr">
        <is>
          <t>C0128</t>
        </is>
      </c>
      <c r="C1291" t="inlineStr">
        <is>
          <t>S002</t>
        </is>
      </c>
      <c r="D1291" t="inlineStr">
        <is>
          <t>R045</t>
        </is>
      </c>
      <c r="E1291" s="3" t="n">
        <v>46269.61180555556</v>
      </c>
      <c r="F1291" s="3" t="n">
        <v>46269.61909722222</v>
      </c>
      <c r="G1291" s="3" t="n">
        <v>46269.61736111111</v>
      </c>
      <c r="H1291" t="inlineStr">
        <is>
          <t>Delivered</t>
        </is>
      </c>
      <c r="I1291" t="n">
        <v>4</v>
      </c>
      <c r="J1291" t="n">
        <v>9</v>
      </c>
      <c r="K1291" t="n">
        <v>1440.99</v>
      </c>
      <c r="L1291" t="n">
        <v>0.93</v>
      </c>
      <c r="M1291" t="n">
        <v>3</v>
      </c>
      <c r="N1291" t="n">
        <v>2.2</v>
      </c>
      <c r="O1291" t="n">
        <v>2.8</v>
      </c>
      <c r="P1291" t="n">
        <v>10.5</v>
      </c>
      <c r="Q1291" t="n">
        <v>8</v>
      </c>
      <c r="R1291" t="n">
        <v>-2.5</v>
      </c>
      <c r="S1291" t="b">
        <v>1</v>
      </c>
      <c r="U1291" t="n">
        <v>14</v>
      </c>
      <c r="V1291" t="b">
        <v>0</v>
      </c>
      <c r="X1291" t="b">
        <v>0</v>
      </c>
      <c r="Y1291" t="n">
        <v>0.2</v>
      </c>
    </row>
    <row r="1292">
      <c r="A1292" t="inlineStr">
        <is>
          <t>O01291</t>
        </is>
      </c>
      <c r="B1292" t="inlineStr">
        <is>
          <t>C0142</t>
        </is>
      </c>
      <c r="C1292" t="inlineStr">
        <is>
          <t>S006</t>
        </is>
      </c>
      <c r="D1292" t="inlineStr">
        <is>
          <t>R001</t>
        </is>
      </c>
      <c r="E1292" s="3" t="n">
        <v>46267.975</v>
      </c>
      <c r="F1292" s="3" t="n">
        <v>46267.98291666667</v>
      </c>
      <c r="G1292" s="3" t="n">
        <v>46267.98215277777</v>
      </c>
      <c r="H1292" t="inlineStr">
        <is>
          <t>Delivered</t>
        </is>
      </c>
      <c r="I1292" t="n">
        <v>2</v>
      </c>
      <c r="J1292" t="n">
        <v>6</v>
      </c>
      <c r="K1292" t="n">
        <v>955.73</v>
      </c>
      <c r="L1292" t="n">
        <v>1.14</v>
      </c>
      <c r="M1292" t="n">
        <v>3.9</v>
      </c>
      <c r="N1292" t="n">
        <v>4.1</v>
      </c>
      <c r="O1292" t="n">
        <v>2.3</v>
      </c>
      <c r="P1292" t="n">
        <v>11.4</v>
      </c>
      <c r="Q1292" t="n">
        <v>10.3</v>
      </c>
      <c r="R1292" t="n">
        <v>-1.1</v>
      </c>
      <c r="S1292" t="b">
        <v>1</v>
      </c>
      <c r="U1292" t="n">
        <v>23</v>
      </c>
      <c r="V1292" t="b">
        <v>0</v>
      </c>
      <c r="X1292" t="b">
        <v>0</v>
      </c>
      <c r="Y1292" t="n">
        <v>0.32</v>
      </c>
    </row>
    <row r="1293">
      <c r="A1293" t="inlineStr">
        <is>
          <t>O01292</t>
        </is>
      </c>
      <c r="B1293" t="inlineStr">
        <is>
          <t>C0168</t>
        </is>
      </c>
      <c r="C1293" t="inlineStr">
        <is>
          <t>S020</t>
        </is>
      </c>
      <c r="D1293" t="inlineStr">
        <is>
          <t>R038</t>
        </is>
      </c>
      <c r="E1293" s="3" t="n">
        <v>46275.64375</v>
      </c>
      <c r="F1293" s="3" t="n">
        <v>46275.65048611111</v>
      </c>
      <c r="G1293" s="3" t="n">
        <v>46275.65902777778</v>
      </c>
      <c r="H1293" t="inlineStr">
        <is>
          <t>Delivered</t>
        </is>
      </c>
      <c r="I1293" t="n">
        <v>4</v>
      </c>
      <c r="J1293" t="n">
        <v>9</v>
      </c>
      <c r="K1293" t="n">
        <v>793.61</v>
      </c>
      <c r="L1293" t="n">
        <v>3.11</v>
      </c>
      <c r="M1293" t="n">
        <v>5.8</v>
      </c>
      <c r="N1293" t="n">
        <v>6.9</v>
      </c>
      <c r="O1293" t="n">
        <v>9.300000000000001</v>
      </c>
      <c r="P1293" t="n">
        <v>9.699999999999999</v>
      </c>
      <c r="Q1293" t="n">
        <v>22</v>
      </c>
      <c r="R1293" t="n">
        <v>12.3</v>
      </c>
      <c r="S1293" t="b">
        <v>0</v>
      </c>
      <c r="U1293" t="n">
        <v>15</v>
      </c>
      <c r="V1293" t="b">
        <v>0</v>
      </c>
      <c r="W1293" t="inlineStr">
        <is>
          <t>Heavy</t>
        </is>
      </c>
      <c r="X1293" t="b">
        <v>0</v>
      </c>
      <c r="Y1293" t="n">
        <v>0.26</v>
      </c>
    </row>
    <row r="1294">
      <c r="A1294" t="inlineStr">
        <is>
          <t>O01293</t>
        </is>
      </c>
      <c r="B1294" t="inlineStr">
        <is>
          <t>C0200</t>
        </is>
      </c>
      <c r="C1294" t="inlineStr">
        <is>
          <t>S007</t>
        </is>
      </c>
      <c r="D1294" t="inlineStr">
        <is>
          <t>R050</t>
        </is>
      </c>
      <c r="E1294" s="3" t="n">
        <v>46278.39305555556</v>
      </c>
      <c r="F1294" s="3" t="n">
        <v>46278.40076388889</v>
      </c>
      <c r="G1294" s="3" t="n">
        <v>46278.40506944444</v>
      </c>
      <c r="H1294" t="inlineStr">
        <is>
          <t>Delivered</t>
        </is>
      </c>
      <c r="I1294" t="n">
        <v>1</v>
      </c>
      <c r="J1294" t="n">
        <v>5</v>
      </c>
      <c r="K1294" t="n">
        <v>1269.02</v>
      </c>
      <c r="L1294" t="n">
        <v>4.4</v>
      </c>
      <c r="M1294" t="n">
        <v>4.5</v>
      </c>
      <c r="N1294" t="n">
        <v>3.8</v>
      </c>
      <c r="O1294" t="n">
        <v>9</v>
      </c>
      <c r="P1294" t="n">
        <v>11.1</v>
      </c>
      <c r="Q1294" t="n">
        <v>17.3</v>
      </c>
      <c r="R1294" t="n">
        <v>6.2</v>
      </c>
      <c r="S1294" t="b">
        <v>0</v>
      </c>
      <c r="U1294" t="n">
        <v>9</v>
      </c>
      <c r="V1294" t="b">
        <v>0</v>
      </c>
      <c r="X1294" t="b">
        <v>0</v>
      </c>
      <c r="Y1294" t="n">
        <v>0.3</v>
      </c>
    </row>
    <row r="1295">
      <c r="A1295" t="inlineStr">
        <is>
          <t>O01294</t>
        </is>
      </c>
      <c r="B1295" t="inlineStr">
        <is>
          <t>C0065</t>
        </is>
      </c>
      <c r="C1295" t="inlineStr">
        <is>
          <t>S003</t>
        </is>
      </c>
      <c r="D1295" t="inlineStr">
        <is>
          <t>R047</t>
        </is>
      </c>
      <c r="E1295" s="3" t="n">
        <v>46273.87569444445</v>
      </c>
      <c r="F1295" s="3" t="n">
        <v>46273.88173611111</v>
      </c>
      <c r="G1295" s="3" t="n">
        <v>46273.88111111111</v>
      </c>
      <c r="H1295" t="inlineStr">
        <is>
          <t>Delivered</t>
        </is>
      </c>
      <c r="I1295" t="n">
        <v>2</v>
      </c>
      <c r="J1295" t="n">
        <v>9</v>
      </c>
      <c r="K1295" t="n">
        <v>1617.88</v>
      </c>
      <c r="L1295" t="n">
        <v>2.1</v>
      </c>
      <c r="M1295" t="n">
        <v>2.3</v>
      </c>
      <c r="N1295" t="n">
        <v>2.5</v>
      </c>
      <c r="O1295" t="n">
        <v>3</v>
      </c>
      <c r="P1295" t="n">
        <v>8.699999999999999</v>
      </c>
      <c r="Q1295" t="n">
        <v>7.8</v>
      </c>
      <c r="R1295" t="n">
        <v>-0.9</v>
      </c>
      <c r="S1295" t="b">
        <v>1</v>
      </c>
      <c r="U1295" t="n">
        <v>21</v>
      </c>
      <c r="V1295" t="b">
        <v>1</v>
      </c>
      <c r="X1295" t="b">
        <v>0</v>
      </c>
      <c r="Y1295" t="n">
        <v>0.58</v>
      </c>
    </row>
    <row r="1296">
      <c r="A1296" t="inlineStr">
        <is>
          <t>O01295</t>
        </is>
      </c>
      <c r="B1296" t="inlineStr">
        <is>
          <t>C0083</t>
        </is>
      </c>
      <c r="C1296" t="inlineStr">
        <is>
          <t>S001</t>
        </is>
      </c>
      <c r="D1296" t="inlineStr">
        <is>
          <t>R042</t>
        </is>
      </c>
      <c r="E1296" s="3" t="n">
        <v>46279.98888888889</v>
      </c>
      <c r="F1296" s="3" t="n">
        <v>46279.99625</v>
      </c>
      <c r="G1296" s="3" t="n">
        <v>46280.00229166666</v>
      </c>
      <c r="H1296" t="inlineStr">
        <is>
          <t>Delivered</t>
        </is>
      </c>
      <c r="I1296" t="n">
        <v>3</v>
      </c>
      <c r="J1296" t="n">
        <v>11</v>
      </c>
      <c r="K1296" t="n">
        <v>1425.7</v>
      </c>
      <c r="L1296" t="n">
        <v>4.04</v>
      </c>
      <c r="M1296" t="n">
        <v>5</v>
      </c>
      <c r="N1296" t="n">
        <v>2.8</v>
      </c>
      <c r="O1296" t="n">
        <v>11.5</v>
      </c>
      <c r="P1296" t="n">
        <v>10.6</v>
      </c>
      <c r="Q1296" t="n">
        <v>19.3</v>
      </c>
      <c r="R1296" t="n">
        <v>8.699999999999999</v>
      </c>
      <c r="S1296" t="b">
        <v>0</v>
      </c>
      <c r="U1296" t="n">
        <v>23</v>
      </c>
      <c r="V1296" t="b">
        <v>0</v>
      </c>
      <c r="X1296" t="b">
        <v>0</v>
      </c>
      <c r="Y1296" t="n">
        <v>0.61</v>
      </c>
    </row>
    <row r="1297">
      <c r="A1297" t="inlineStr">
        <is>
          <t>O01296</t>
        </is>
      </c>
      <c r="B1297" t="inlineStr">
        <is>
          <t>C0095</t>
        </is>
      </c>
      <c r="C1297" t="inlineStr">
        <is>
          <t>S012</t>
        </is>
      </c>
      <c r="D1297" t="inlineStr">
        <is>
          <t>R066</t>
        </is>
      </c>
      <c r="E1297" s="3" t="n">
        <v>46278.67986111111</v>
      </c>
      <c r="F1297" s="3" t="n">
        <v>46278.68736111111</v>
      </c>
      <c r="G1297" s="3" t="n">
        <v>46278.68652777778</v>
      </c>
      <c r="H1297" t="inlineStr">
        <is>
          <t>Delivered</t>
        </is>
      </c>
      <c r="I1297" t="n">
        <v>5</v>
      </c>
      <c r="J1297" t="n">
        <v>7</v>
      </c>
      <c r="K1297" t="n">
        <v>1572.2</v>
      </c>
      <c r="L1297" t="n">
        <v>0.92</v>
      </c>
      <c r="M1297" t="n">
        <v>2.6</v>
      </c>
      <c r="N1297" t="n">
        <v>4.9</v>
      </c>
      <c r="O1297" t="n">
        <v>2.1</v>
      </c>
      <c r="P1297" t="n">
        <v>10.8</v>
      </c>
      <c r="Q1297" t="n">
        <v>9.6</v>
      </c>
      <c r="R1297" t="n">
        <v>-1.2</v>
      </c>
      <c r="S1297" t="b">
        <v>1</v>
      </c>
      <c r="U1297" t="n">
        <v>16</v>
      </c>
      <c r="V1297" t="b">
        <v>0</v>
      </c>
      <c r="X1297" t="b">
        <v>0</v>
      </c>
      <c r="Y1297" t="n">
        <v>0.51</v>
      </c>
    </row>
    <row r="1298">
      <c r="A1298" t="inlineStr">
        <is>
          <t>O01297</t>
        </is>
      </c>
      <c r="B1298" t="inlineStr">
        <is>
          <t>C0115</t>
        </is>
      </c>
      <c r="C1298" t="inlineStr">
        <is>
          <t>S014</t>
        </is>
      </c>
      <c r="D1298" t="inlineStr">
        <is>
          <t>R040</t>
        </is>
      </c>
      <c r="E1298" s="3" t="n">
        <v>46270.95069444444</v>
      </c>
      <c r="F1298" s="3" t="n">
        <v>46270.9575</v>
      </c>
      <c r="G1298" s="3" t="n">
        <v>46270.95680555556</v>
      </c>
      <c r="H1298" t="inlineStr">
        <is>
          <t>Delivered</t>
        </is>
      </c>
      <c r="I1298" t="n">
        <v>4</v>
      </c>
      <c r="J1298" t="n">
        <v>7</v>
      </c>
      <c r="K1298" t="n">
        <v>351.18</v>
      </c>
      <c r="L1298" t="n">
        <v>0.57</v>
      </c>
      <c r="M1298" t="n">
        <v>3.7</v>
      </c>
      <c r="N1298" t="n">
        <v>3.9</v>
      </c>
      <c r="O1298" t="n">
        <v>1.2</v>
      </c>
      <c r="P1298" t="n">
        <v>9.800000000000001</v>
      </c>
      <c r="Q1298" t="n">
        <v>8.800000000000001</v>
      </c>
      <c r="R1298" t="n">
        <v>-1</v>
      </c>
      <c r="S1298" t="b">
        <v>1</v>
      </c>
      <c r="U1298" t="n">
        <v>22</v>
      </c>
      <c r="V1298" t="b">
        <v>0</v>
      </c>
      <c r="W1298" t="inlineStr">
        <is>
          <t>Light</t>
        </is>
      </c>
      <c r="X1298" t="b">
        <v>0</v>
      </c>
      <c r="Y1298" t="n">
        <v>0.31</v>
      </c>
    </row>
    <row r="1299">
      <c r="A1299" t="inlineStr">
        <is>
          <t>O01298</t>
        </is>
      </c>
      <c r="B1299" t="inlineStr">
        <is>
          <t>C0209</t>
        </is>
      </c>
      <c r="C1299" t="inlineStr">
        <is>
          <t>S017</t>
        </is>
      </c>
      <c r="D1299" t="inlineStr">
        <is>
          <t>R034</t>
        </is>
      </c>
      <c r="E1299" s="3" t="n">
        <v>46272.80972222222</v>
      </c>
      <c r="F1299" s="3" t="n">
        <v>46272.81729166667</v>
      </c>
      <c r="G1299" s="3" t="n">
        <v>46272.82243055556</v>
      </c>
      <c r="H1299" t="inlineStr">
        <is>
          <t>Delivered</t>
        </is>
      </c>
      <c r="I1299" t="n">
        <v>4</v>
      </c>
      <c r="J1299" t="n">
        <v>7</v>
      </c>
      <c r="K1299" t="n">
        <v>878.41</v>
      </c>
      <c r="L1299" t="n">
        <v>3.66</v>
      </c>
      <c r="M1299" t="n">
        <v>2</v>
      </c>
      <c r="N1299" t="n">
        <v>7.1</v>
      </c>
      <c r="O1299" t="n">
        <v>9.199999999999999</v>
      </c>
      <c r="P1299" t="n">
        <v>10.9</v>
      </c>
      <c r="Q1299" t="n">
        <v>18.3</v>
      </c>
      <c r="R1299" t="n">
        <v>7.4</v>
      </c>
      <c r="S1299" t="b">
        <v>0</v>
      </c>
      <c r="U1299" t="n">
        <v>19</v>
      </c>
      <c r="V1299" t="b">
        <v>1</v>
      </c>
      <c r="X1299" t="b">
        <v>0</v>
      </c>
      <c r="Y1299" t="n">
        <v>0.77</v>
      </c>
    </row>
    <row r="1300">
      <c r="A1300" t="inlineStr">
        <is>
          <t>O01299</t>
        </is>
      </c>
      <c r="B1300" t="inlineStr">
        <is>
          <t>C0181</t>
        </is>
      </c>
      <c r="C1300" t="inlineStr">
        <is>
          <t>S005</t>
        </is>
      </c>
      <c r="D1300" t="inlineStr">
        <is>
          <t>R002</t>
        </is>
      </c>
      <c r="E1300" s="3" t="n">
        <v>46271.47569444445</v>
      </c>
      <c r="F1300" s="3" t="n">
        <v>46271.48270833334</v>
      </c>
      <c r="G1300" s="3" t="n">
        <v>46271.48680555556</v>
      </c>
      <c r="H1300" t="inlineStr">
        <is>
          <t>Delivered</t>
        </is>
      </c>
      <c r="I1300" t="n">
        <v>4</v>
      </c>
      <c r="J1300" t="n">
        <v>7</v>
      </c>
      <c r="K1300" t="n">
        <v>878.41</v>
      </c>
      <c r="L1300" t="n">
        <v>0.66</v>
      </c>
      <c r="M1300" t="n">
        <v>4.3</v>
      </c>
      <c r="N1300" t="n">
        <v>8.5</v>
      </c>
      <c r="O1300" t="n">
        <v>3.2</v>
      </c>
      <c r="P1300" t="n">
        <v>10.1</v>
      </c>
      <c r="Q1300" t="n">
        <v>16</v>
      </c>
      <c r="R1300" t="n">
        <v>5.9</v>
      </c>
      <c r="S1300" t="b">
        <v>0</v>
      </c>
      <c r="U1300" t="n">
        <v>11</v>
      </c>
      <c r="V1300" t="b">
        <v>0</v>
      </c>
      <c r="X1300" t="b">
        <v>0</v>
      </c>
      <c r="Y1300" t="n">
        <v>0.63</v>
      </c>
    </row>
    <row r="1301">
      <c r="A1301" t="inlineStr">
        <is>
          <t>O01300</t>
        </is>
      </c>
      <c r="B1301" t="inlineStr">
        <is>
          <t>C0112</t>
        </is>
      </c>
      <c r="C1301" t="inlineStr">
        <is>
          <t>S014</t>
        </is>
      </c>
      <c r="D1301" t="inlineStr">
        <is>
          <t>R071</t>
        </is>
      </c>
      <c r="E1301" s="3" t="n">
        <v>46276.89375</v>
      </c>
      <c r="F1301" s="3" t="n">
        <v>46276.90090277778</v>
      </c>
      <c r="G1301" s="3" t="n">
        <v>46276.91020833333</v>
      </c>
      <c r="H1301" t="inlineStr">
        <is>
          <t>Delivered</t>
        </is>
      </c>
      <c r="I1301" t="n">
        <v>2</v>
      </c>
      <c r="J1301" t="n">
        <v>9</v>
      </c>
      <c r="K1301" t="n">
        <v>816.3</v>
      </c>
      <c r="L1301" t="n">
        <v>2.78</v>
      </c>
      <c r="M1301" t="n">
        <v>6.5</v>
      </c>
      <c r="N1301" t="n">
        <v>9.1</v>
      </c>
      <c r="O1301" t="n">
        <v>8.1</v>
      </c>
      <c r="P1301" t="n">
        <v>10.3</v>
      </c>
      <c r="Q1301" t="n">
        <v>23.7</v>
      </c>
      <c r="R1301" t="n">
        <v>13.4</v>
      </c>
      <c r="S1301" t="b">
        <v>0</v>
      </c>
      <c r="U1301" t="n">
        <v>21</v>
      </c>
      <c r="V1301" t="b">
        <v>1</v>
      </c>
      <c r="X1301" t="b">
        <v>0</v>
      </c>
      <c r="Y1301" t="n">
        <v>0.63</v>
      </c>
    </row>
    <row r="1302">
      <c r="A1302" t="inlineStr">
        <is>
          <t>O01301</t>
        </is>
      </c>
      <c r="B1302" t="inlineStr">
        <is>
          <t>C0053</t>
        </is>
      </c>
      <c r="C1302" t="inlineStr">
        <is>
          <t>S002</t>
        </is>
      </c>
      <c r="D1302" t="inlineStr">
        <is>
          <t>R022</t>
        </is>
      </c>
      <c r="E1302" s="3" t="n">
        <v>46270.45208333333</v>
      </c>
      <c r="F1302" s="3" t="n">
        <v>46270.45881944444</v>
      </c>
      <c r="G1302" s="3" t="n">
        <v>46270.45638888889</v>
      </c>
      <c r="H1302" t="inlineStr">
        <is>
          <t>Delivered</t>
        </is>
      </c>
      <c r="I1302" t="n">
        <v>4</v>
      </c>
      <c r="J1302" t="n">
        <v>4</v>
      </c>
      <c r="K1302" t="n">
        <v>1225.04</v>
      </c>
      <c r="L1302" t="n">
        <v>0.82</v>
      </c>
      <c r="M1302" t="n">
        <v>1</v>
      </c>
      <c r="N1302" t="n">
        <v>2.2</v>
      </c>
      <c r="O1302" t="n">
        <v>3</v>
      </c>
      <c r="P1302" t="n">
        <v>9.699999999999999</v>
      </c>
      <c r="Q1302" t="n">
        <v>6.2</v>
      </c>
      <c r="R1302" t="n">
        <v>-3.5</v>
      </c>
      <c r="S1302" t="b">
        <v>1</v>
      </c>
      <c r="U1302" t="n">
        <v>10</v>
      </c>
      <c r="V1302" t="b">
        <v>0</v>
      </c>
      <c r="X1302" t="b">
        <v>0</v>
      </c>
      <c r="Y1302" t="n">
        <v>0.35</v>
      </c>
    </row>
    <row r="1303">
      <c r="A1303" t="inlineStr">
        <is>
          <t>O01302</t>
        </is>
      </c>
      <c r="B1303" t="inlineStr">
        <is>
          <t>C0180</t>
        </is>
      </c>
      <c r="C1303" t="inlineStr">
        <is>
          <t>S011</t>
        </is>
      </c>
      <c r="D1303" t="inlineStr">
        <is>
          <t>R008</t>
        </is>
      </c>
      <c r="E1303" s="3" t="n">
        <v>46279.54513888889</v>
      </c>
      <c r="F1303" s="3" t="n">
        <v>46279.55236111111</v>
      </c>
      <c r="G1303" s="3" t="n">
        <v>46279.551875</v>
      </c>
      <c r="H1303" t="inlineStr">
        <is>
          <t>Delivered</t>
        </is>
      </c>
      <c r="I1303" t="n">
        <v>4</v>
      </c>
      <c r="J1303" t="n">
        <v>5</v>
      </c>
      <c r="K1303" t="n">
        <v>1066.59</v>
      </c>
      <c r="L1303" t="n">
        <v>2.33</v>
      </c>
      <c r="M1303" t="n">
        <v>3</v>
      </c>
      <c r="N1303" t="n">
        <v>4.1</v>
      </c>
      <c r="O1303" t="n">
        <v>2.6</v>
      </c>
      <c r="P1303" t="n">
        <v>10.4</v>
      </c>
      <c r="Q1303" t="n">
        <v>9.699999999999999</v>
      </c>
      <c r="R1303" t="n">
        <v>-0.7</v>
      </c>
      <c r="S1303" t="b">
        <v>1</v>
      </c>
      <c r="U1303" t="n">
        <v>13</v>
      </c>
      <c r="V1303" t="b">
        <v>0</v>
      </c>
      <c r="X1303" t="b">
        <v>0</v>
      </c>
      <c r="Y1303" t="n">
        <v>0.25</v>
      </c>
    </row>
    <row r="1304">
      <c r="A1304" t="inlineStr">
        <is>
          <t>O01303</t>
        </is>
      </c>
      <c r="B1304" t="inlineStr">
        <is>
          <t>C0191</t>
        </is>
      </c>
      <c r="C1304" t="inlineStr">
        <is>
          <t>S004</t>
        </is>
      </c>
      <c r="D1304" t="inlineStr">
        <is>
          <t>R035</t>
        </is>
      </c>
      <c r="E1304" s="3" t="n">
        <v>46268.59513888889</v>
      </c>
      <c r="F1304" s="3" t="n">
        <v>46268.60090277778</v>
      </c>
      <c r="G1304" s="3" t="n">
        <v>46268.60048611111</v>
      </c>
      <c r="H1304" t="inlineStr">
        <is>
          <t>Delivered</t>
        </is>
      </c>
      <c r="I1304" t="n">
        <v>6</v>
      </c>
      <c r="J1304" t="n">
        <v>11</v>
      </c>
      <c r="K1304" t="n">
        <v>862.87</v>
      </c>
      <c r="L1304" t="n">
        <v>1.22</v>
      </c>
      <c r="M1304" t="n">
        <v>2.3</v>
      </c>
      <c r="N1304" t="n">
        <v>2.9</v>
      </c>
      <c r="O1304" t="n">
        <v>2.5</v>
      </c>
      <c r="P1304" t="n">
        <v>8.300000000000001</v>
      </c>
      <c r="Q1304" t="n">
        <v>7.7</v>
      </c>
      <c r="R1304" t="n">
        <v>-0.6</v>
      </c>
      <c r="S1304" t="b">
        <v>1</v>
      </c>
      <c r="U1304" t="n">
        <v>14</v>
      </c>
      <c r="V1304" t="b">
        <v>0</v>
      </c>
      <c r="X1304" t="b">
        <v>0</v>
      </c>
      <c r="Y1304" t="n">
        <v>0.45</v>
      </c>
    </row>
    <row r="1305">
      <c r="A1305" t="inlineStr">
        <is>
          <t>O01304</t>
        </is>
      </c>
      <c r="B1305" t="inlineStr">
        <is>
          <t>C0026</t>
        </is>
      </c>
      <c r="C1305" t="inlineStr">
        <is>
          <t>S015</t>
        </is>
      </c>
      <c r="D1305" t="inlineStr">
        <is>
          <t>R010</t>
        </is>
      </c>
      <c r="E1305" s="3" t="n">
        <v>46269.57569444444</v>
      </c>
      <c r="F1305" s="3" t="n">
        <v>46269.58354166667</v>
      </c>
      <c r="G1305" s="3" t="n">
        <v>46269.58319444444</v>
      </c>
      <c r="H1305" t="inlineStr">
        <is>
          <t>Delivered</t>
        </is>
      </c>
      <c r="I1305" t="n">
        <v>2</v>
      </c>
      <c r="J1305" t="n">
        <v>2</v>
      </c>
      <c r="K1305" t="n">
        <v>1149.77</v>
      </c>
      <c r="L1305" t="n">
        <v>2.21</v>
      </c>
      <c r="M1305" t="n">
        <v>2.8</v>
      </c>
      <c r="N1305" t="n">
        <v>3.8</v>
      </c>
      <c r="O1305" t="n">
        <v>4.2</v>
      </c>
      <c r="P1305" t="n">
        <v>11.3</v>
      </c>
      <c r="Q1305" t="n">
        <v>10.8</v>
      </c>
      <c r="R1305" t="n">
        <v>-0.5</v>
      </c>
      <c r="S1305" t="b">
        <v>1</v>
      </c>
      <c r="U1305" t="n">
        <v>13</v>
      </c>
      <c r="V1305" t="b">
        <v>0</v>
      </c>
      <c r="X1305" t="b">
        <v>0</v>
      </c>
      <c r="Y1305" t="n">
        <v>0.87</v>
      </c>
    </row>
    <row r="1306">
      <c r="A1306" t="inlineStr">
        <is>
          <t>O01305</t>
        </is>
      </c>
      <c r="B1306" t="inlineStr">
        <is>
          <t>C0066</t>
        </is>
      </c>
      <c r="C1306" t="inlineStr">
        <is>
          <t>S004</t>
        </is>
      </c>
      <c r="D1306" t="inlineStr">
        <is>
          <t>R056</t>
        </is>
      </c>
      <c r="E1306" s="3" t="n">
        <v>46278.65625</v>
      </c>
      <c r="F1306" s="3" t="n">
        <v>46278.66430555555</v>
      </c>
      <c r="G1306" s="3" t="n">
        <v>46278.66402777778</v>
      </c>
      <c r="H1306" t="inlineStr">
        <is>
          <t>Delivered</t>
        </is>
      </c>
      <c r="I1306" t="n">
        <v>1</v>
      </c>
      <c r="J1306" t="n">
        <v>4</v>
      </c>
      <c r="K1306" t="n">
        <v>1310.2</v>
      </c>
      <c r="L1306" t="n">
        <v>3.3</v>
      </c>
      <c r="M1306" t="n">
        <v>2.4</v>
      </c>
      <c r="N1306" t="n">
        <v>2.9</v>
      </c>
      <c r="O1306" t="n">
        <v>5.9</v>
      </c>
      <c r="P1306" t="n">
        <v>11.6</v>
      </c>
      <c r="Q1306" t="n">
        <v>11.2</v>
      </c>
      <c r="R1306" t="n">
        <v>-0.4</v>
      </c>
      <c r="S1306" t="b">
        <v>1</v>
      </c>
      <c r="U1306" t="n">
        <v>15</v>
      </c>
      <c r="V1306" t="b">
        <v>0</v>
      </c>
      <c r="X1306" t="b">
        <v>0</v>
      </c>
      <c r="Y1306" t="n">
        <v>0.34</v>
      </c>
    </row>
    <row r="1307">
      <c r="A1307" t="inlineStr">
        <is>
          <t>O01306</t>
        </is>
      </c>
      <c r="B1307" t="inlineStr">
        <is>
          <t>C0214</t>
        </is>
      </c>
      <c r="C1307" t="inlineStr">
        <is>
          <t>S007</t>
        </is>
      </c>
      <c r="D1307" t="inlineStr">
        <is>
          <t>R058</t>
        </is>
      </c>
      <c r="E1307" s="3" t="n">
        <v>46272.52013888889</v>
      </c>
      <c r="F1307" s="3" t="n">
        <v>46272.52770833333</v>
      </c>
      <c r="G1307" s="3" t="n">
        <v>46272.53416666666</v>
      </c>
      <c r="H1307" t="inlineStr">
        <is>
          <t>Delivered</t>
        </is>
      </c>
      <c r="I1307" t="n">
        <v>1</v>
      </c>
      <c r="J1307" t="n">
        <v>6</v>
      </c>
      <c r="K1307" t="n">
        <v>1290.12</v>
      </c>
      <c r="L1307" t="n">
        <v>3.37</v>
      </c>
      <c r="M1307" t="n">
        <v>5.8</v>
      </c>
      <c r="N1307" t="n">
        <v>3.9</v>
      </c>
      <c r="O1307" t="n">
        <v>10.5</v>
      </c>
      <c r="P1307" t="n">
        <v>10.9</v>
      </c>
      <c r="Q1307" t="n">
        <v>20.2</v>
      </c>
      <c r="R1307" t="n">
        <v>9.300000000000001</v>
      </c>
      <c r="S1307" t="b">
        <v>0</v>
      </c>
      <c r="U1307" t="n">
        <v>12</v>
      </c>
      <c r="V1307" t="b">
        <v>0</v>
      </c>
      <c r="X1307" t="b">
        <v>0</v>
      </c>
      <c r="Y1307" t="n">
        <v>0.7</v>
      </c>
    </row>
    <row r="1308">
      <c r="A1308" t="inlineStr">
        <is>
          <t>O01307</t>
        </is>
      </c>
      <c r="B1308" t="inlineStr">
        <is>
          <t>C0061</t>
        </is>
      </c>
      <c r="C1308" t="inlineStr">
        <is>
          <t>S020</t>
        </is>
      </c>
      <c r="D1308" t="inlineStr">
        <is>
          <t>R035</t>
        </is>
      </c>
      <c r="E1308" s="3" t="n">
        <v>46269.64027777778</v>
      </c>
      <c r="F1308" s="3" t="n">
        <v>46269.64791666667</v>
      </c>
      <c r="G1308" s="3" t="n">
        <v>46269.64708333334</v>
      </c>
      <c r="H1308" t="inlineStr">
        <is>
          <t>Delivered</t>
        </is>
      </c>
      <c r="I1308" t="n">
        <v>5</v>
      </c>
      <c r="J1308" t="n">
        <v>12</v>
      </c>
      <c r="K1308" t="n">
        <v>659.17</v>
      </c>
      <c r="L1308" t="n">
        <v>1.5</v>
      </c>
      <c r="M1308" t="n">
        <v>3.3</v>
      </c>
      <c r="N1308" t="n">
        <v>4</v>
      </c>
      <c r="O1308" t="n">
        <v>2.5</v>
      </c>
      <c r="P1308" t="n">
        <v>11</v>
      </c>
      <c r="Q1308" t="n">
        <v>9.800000000000001</v>
      </c>
      <c r="R1308" t="n">
        <v>-1.2</v>
      </c>
      <c r="S1308" t="b">
        <v>1</v>
      </c>
      <c r="U1308" t="n">
        <v>15</v>
      </c>
      <c r="V1308" t="b">
        <v>0</v>
      </c>
      <c r="X1308" t="b">
        <v>0</v>
      </c>
      <c r="Y1308" t="n">
        <v>0.46</v>
      </c>
    </row>
    <row r="1309">
      <c r="A1309" t="inlineStr">
        <is>
          <t>O01308</t>
        </is>
      </c>
      <c r="B1309" t="inlineStr">
        <is>
          <t>C0246</t>
        </is>
      </c>
      <c r="C1309" t="inlineStr">
        <is>
          <t>S011</t>
        </is>
      </c>
      <c r="E1309" s="3" t="n">
        <v>46279.92291666667</v>
      </c>
      <c r="F1309" s="3" t="n">
        <v>46279.93159722222</v>
      </c>
      <c r="H1309" t="inlineStr">
        <is>
          <t>Cancelled</t>
        </is>
      </c>
      <c r="I1309" t="n">
        <v>3</v>
      </c>
      <c r="J1309" t="n">
        <v>6</v>
      </c>
      <c r="K1309" t="n">
        <v>951.42</v>
      </c>
      <c r="L1309" t="n">
        <v>3.3</v>
      </c>
      <c r="M1309" t="n">
        <v>4.6</v>
      </c>
      <c r="N1309" t="n">
        <v>3.6</v>
      </c>
      <c r="O1309" t="n">
        <v>10.8</v>
      </c>
      <c r="P1309" t="n">
        <v>12.5</v>
      </c>
      <c r="T1309" t="inlineStr">
        <is>
          <t>Customer cancelled</t>
        </is>
      </c>
      <c r="U1309" t="n">
        <v>22</v>
      </c>
      <c r="V1309" t="b">
        <v>0</v>
      </c>
      <c r="W1309" t="inlineStr">
        <is>
          <t>Light</t>
        </is>
      </c>
      <c r="X1309" t="b">
        <v>0</v>
      </c>
      <c r="Y1309" t="n">
        <v>0.64</v>
      </c>
    </row>
    <row r="1310">
      <c r="A1310" t="inlineStr">
        <is>
          <t>O01309</t>
        </is>
      </c>
      <c r="B1310" t="inlineStr">
        <is>
          <t>C0153</t>
        </is>
      </c>
      <c r="C1310" t="inlineStr">
        <is>
          <t>S018</t>
        </is>
      </c>
      <c r="D1310" t="inlineStr">
        <is>
          <t>R012</t>
        </is>
      </c>
      <c r="E1310" s="3" t="n">
        <v>46272.72916666666</v>
      </c>
      <c r="F1310" s="3" t="n">
        <v>46272.73548611111</v>
      </c>
      <c r="G1310" s="3" t="n">
        <v>46272.73527777778</v>
      </c>
      <c r="H1310" t="inlineStr">
        <is>
          <t>Delivered</t>
        </is>
      </c>
      <c r="I1310" t="n">
        <v>2</v>
      </c>
      <c r="J1310" t="n">
        <v>7</v>
      </c>
      <c r="K1310" t="n">
        <v>782.11</v>
      </c>
      <c r="L1310" t="n">
        <v>0.54</v>
      </c>
      <c r="M1310" t="n">
        <v>3.2</v>
      </c>
      <c r="N1310" t="n">
        <v>3.4</v>
      </c>
      <c r="O1310" t="n">
        <v>2.2</v>
      </c>
      <c r="P1310" t="n">
        <v>9.1</v>
      </c>
      <c r="Q1310" t="n">
        <v>8.800000000000001</v>
      </c>
      <c r="R1310" t="n">
        <v>-0.3</v>
      </c>
      <c r="S1310" t="b">
        <v>1</v>
      </c>
      <c r="U1310" t="n">
        <v>17</v>
      </c>
      <c r="V1310" t="b">
        <v>0</v>
      </c>
      <c r="W1310" t="inlineStr">
        <is>
          <t>Light</t>
        </is>
      </c>
      <c r="X1310" t="b">
        <v>0</v>
      </c>
      <c r="Y1310" t="n">
        <v>0.71</v>
      </c>
    </row>
    <row r="1311">
      <c r="A1311" t="inlineStr">
        <is>
          <t>O01310</t>
        </is>
      </c>
      <c r="B1311" t="inlineStr">
        <is>
          <t>C0243</t>
        </is>
      </c>
      <c r="C1311" t="inlineStr">
        <is>
          <t>S013</t>
        </is>
      </c>
      <c r="D1311" t="inlineStr">
        <is>
          <t>R011</t>
        </is>
      </c>
      <c r="E1311" s="3" t="n">
        <v>46268.34791666667</v>
      </c>
      <c r="F1311" s="3" t="n">
        <v>46268.35520833333</v>
      </c>
      <c r="G1311" s="3" t="n">
        <v>46268.355</v>
      </c>
      <c r="H1311" t="inlineStr">
        <is>
          <t>Delivered</t>
        </is>
      </c>
      <c r="I1311" t="n">
        <v>2</v>
      </c>
      <c r="J1311" t="n">
        <v>9</v>
      </c>
      <c r="K1311" t="n">
        <v>1608.81</v>
      </c>
      <c r="L1311" t="n">
        <v>0.77</v>
      </c>
      <c r="M1311" t="n">
        <v>6.1</v>
      </c>
      <c r="N1311" t="n">
        <v>0.8</v>
      </c>
      <c r="O1311" t="n">
        <v>3.3</v>
      </c>
      <c r="P1311" t="n">
        <v>10.5</v>
      </c>
      <c r="Q1311" t="n">
        <v>10.2</v>
      </c>
      <c r="R1311" t="n">
        <v>-0.3</v>
      </c>
      <c r="S1311" t="b">
        <v>1</v>
      </c>
      <c r="U1311" t="n">
        <v>8</v>
      </c>
      <c r="V1311" t="b">
        <v>0</v>
      </c>
      <c r="X1311" t="b">
        <v>1</v>
      </c>
      <c r="Y1311" t="n">
        <v>0.5600000000000001</v>
      </c>
    </row>
    <row r="1312">
      <c r="A1312" t="inlineStr">
        <is>
          <t>O01311</t>
        </is>
      </c>
      <c r="B1312" t="inlineStr">
        <is>
          <t>C0136</t>
        </is>
      </c>
      <c r="C1312" t="inlineStr">
        <is>
          <t>S009</t>
        </is>
      </c>
      <c r="D1312" t="inlineStr">
        <is>
          <t>R022</t>
        </is>
      </c>
      <c r="E1312" s="3" t="n">
        <v>46274.96527777778</v>
      </c>
      <c r="F1312" s="3" t="n">
        <v>46274.97208333333</v>
      </c>
      <c r="G1312" s="3" t="n">
        <v>46274.97048611111</v>
      </c>
      <c r="H1312" t="inlineStr">
        <is>
          <t>Delivered</t>
        </is>
      </c>
      <c r="I1312" t="n">
        <v>2</v>
      </c>
      <c r="J1312" t="n">
        <v>4</v>
      </c>
      <c r="K1312" t="n">
        <v>662.65</v>
      </c>
      <c r="L1312" t="n">
        <v>0.77</v>
      </c>
      <c r="M1312" t="n">
        <v>2.1</v>
      </c>
      <c r="N1312" t="n">
        <v>1</v>
      </c>
      <c r="O1312" t="n">
        <v>4.5</v>
      </c>
      <c r="P1312" t="n">
        <v>9.800000000000001</v>
      </c>
      <c r="Q1312" t="n">
        <v>7.5</v>
      </c>
      <c r="R1312" t="n">
        <v>-2.3</v>
      </c>
      <c r="S1312" t="b">
        <v>1</v>
      </c>
      <c r="U1312" t="n">
        <v>23</v>
      </c>
      <c r="V1312" t="b">
        <v>0</v>
      </c>
      <c r="X1312" t="b">
        <v>0</v>
      </c>
      <c r="Y1312" t="n">
        <v>0.89</v>
      </c>
    </row>
    <row r="1313">
      <c r="A1313" t="inlineStr">
        <is>
          <t>O01312</t>
        </is>
      </c>
      <c r="B1313" t="inlineStr">
        <is>
          <t>C0196</t>
        </is>
      </c>
      <c r="C1313" t="inlineStr">
        <is>
          <t>S011</t>
        </is>
      </c>
      <c r="D1313" t="inlineStr">
        <is>
          <t>R032</t>
        </is>
      </c>
      <c r="E1313" s="3" t="n">
        <v>46278.63958333333</v>
      </c>
      <c r="F1313" s="3" t="n">
        <v>46278.64784722222</v>
      </c>
      <c r="G1313" s="3" t="n">
        <v>46278.64701388889</v>
      </c>
      <c r="H1313" t="inlineStr">
        <is>
          <t>Delivered</t>
        </is>
      </c>
      <c r="I1313" t="n">
        <v>2</v>
      </c>
      <c r="J1313" t="n">
        <v>7</v>
      </c>
      <c r="K1313" t="n">
        <v>734.86</v>
      </c>
      <c r="L1313" t="n">
        <v>1.58</v>
      </c>
      <c r="M1313" t="n">
        <v>5.1</v>
      </c>
      <c r="N1313" t="n">
        <v>1.4</v>
      </c>
      <c r="O1313" t="n">
        <v>4.2</v>
      </c>
      <c r="P1313" t="n">
        <v>11.9</v>
      </c>
      <c r="Q1313" t="n">
        <v>10.7</v>
      </c>
      <c r="R1313" t="n">
        <v>-1.2</v>
      </c>
      <c r="S1313" t="b">
        <v>1</v>
      </c>
      <c r="U1313" t="n">
        <v>15</v>
      </c>
      <c r="V1313" t="b">
        <v>0</v>
      </c>
      <c r="X1313" t="b">
        <v>1</v>
      </c>
      <c r="Y1313" t="n">
        <v>0.7</v>
      </c>
    </row>
    <row r="1314">
      <c r="A1314" t="inlineStr">
        <is>
          <t>O01313</t>
        </is>
      </c>
      <c r="B1314" t="inlineStr">
        <is>
          <t>C0108</t>
        </is>
      </c>
      <c r="C1314" t="inlineStr">
        <is>
          <t>S001</t>
        </is>
      </c>
      <c r="D1314" t="inlineStr">
        <is>
          <t>R042</t>
        </is>
      </c>
      <c r="E1314" s="3" t="n">
        <v>46271.82569444444</v>
      </c>
      <c r="F1314" s="3" t="n">
        <v>46271.83298611111</v>
      </c>
      <c r="G1314" s="3" t="n">
        <v>46271.83236111111</v>
      </c>
      <c r="H1314" t="inlineStr">
        <is>
          <t>Delivered</t>
        </is>
      </c>
      <c r="I1314" t="n">
        <v>4</v>
      </c>
      <c r="J1314" t="n">
        <v>12</v>
      </c>
      <c r="K1314" t="n">
        <v>1654.93</v>
      </c>
      <c r="L1314" t="n">
        <v>0.63</v>
      </c>
      <c r="M1314" t="n">
        <v>4.7</v>
      </c>
      <c r="N1314" t="n">
        <v>2</v>
      </c>
      <c r="O1314" t="n">
        <v>2.9</v>
      </c>
      <c r="P1314" t="n">
        <v>10.5</v>
      </c>
      <c r="Q1314" t="n">
        <v>9.6</v>
      </c>
      <c r="R1314" t="n">
        <v>-0.9</v>
      </c>
      <c r="S1314" t="b">
        <v>1</v>
      </c>
      <c r="U1314" t="n">
        <v>19</v>
      </c>
      <c r="V1314" t="b">
        <v>1</v>
      </c>
      <c r="W1314" t="inlineStr">
        <is>
          <t>Light</t>
        </is>
      </c>
      <c r="X1314" t="b">
        <v>0</v>
      </c>
      <c r="Y1314" t="n">
        <v>0.8</v>
      </c>
    </row>
    <row r="1315">
      <c r="A1315" t="inlineStr">
        <is>
          <t>O01314</t>
        </is>
      </c>
      <c r="B1315" t="inlineStr">
        <is>
          <t>C0217</t>
        </is>
      </c>
      <c r="C1315" t="inlineStr">
        <is>
          <t>S002</t>
        </is>
      </c>
      <c r="D1315" t="inlineStr">
        <is>
          <t>R040</t>
        </is>
      </c>
      <c r="E1315" s="3" t="n">
        <v>46275.70694444444</v>
      </c>
      <c r="F1315" s="3" t="n">
        <v>46275.71368055556</v>
      </c>
      <c r="G1315" s="3" t="n">
        <v>46275.71319444444</v>
      </c>
      <c r="H1315" t="inlineStr">
        <is>
          <t>Delivered</t>
        </is>
      </c>
      <c r="I1315" t="n">
        <v>1</v>
      </c>
      <c r="J1315" t="n">
        <v>12</v>
      </c>
      <c r="K1315" t="n">
        <v>697.47</v>
      </c>
      <c r="L1315" t="n">
        <v>0.93</v>
      </c>
      <c r="M1315" t="n">
        <v>1.5</v>
      </c>
      <c r="N1315" t="n">
        <v>4.9</v>
      </c>
      <c r="O1315" t="n">
        <v>2.6</v>
      </c>
      <c r="P1315" t="n">
        <v>9.699999999999999</v>
      </c>
      <c r="Q1315" t="n">
        <v>9</v>
      </c>
      <c r="R1315" t="n">
        <v>-0.7</v>
      </c>
      <c r="S1315" t="b">
        <v>1</v>
      </c>
      <c r="U1315" t="n">
        <v>16</v>
      </c>
      <c r="V1315" t="b">
        <v>0</v>
      </c>
      <c r="W1315" t="inlineStr">
        <is>
          <t>Light</t>
        </is>
      </c>
      <c r="X1315" t="b">
        <v>0</v>
      </c>
      <c r="Y1315" t="n">
        <v>0.53</v>
      </c>
    </row>
    <row r="1316">
      <c r="A1316" t="inlineStr">
        <is>
          <t>O01315</t>
        </is>
      </c>
      <c r="B1316" t="inlineStr">
        <is>
          <t>C0117</t>
        </is>
      </c>
      <c r="C1316" t="inlineStr">
        <is>
          <t>S007</t>
        </is>
      </c>
      <c r="D1316" t="inlineStr">
        <is>
          <t>R061</t>
        </is>
      </c>
      <c r="E1316" s="3" t="n">
        <v>46269.7125</v>
      </c>
      <c r="F1316" s="3" t="n">
        <v>46269.71965277778</v>
      </c>
      <c r="G1316" s="3" t="n">
        <v>46269.71909722222</v>
      </c>
      <c r="H1316" t="inlineStr">
        <is>
          <t>Delivered</t>
        </is>
      </c>
      <c r="I1316" t="n">
        <v>2</v>
      </c>
      <c r="J1316" t="n">
        <v>6</v>
      </c>
      <c r="K1316" t="n">
        <v>1463.76</v>
      </c>
      <c r="L1316" t="n">
        <v>1.6</v>
      </c>
      <c r="M1316" t="n">
        <v>3.4</v>
      </c>
      <c r="N1316" t="n">
        <v>2.1</v>
      </c>
      <c r="O1316" t="n">
        <v>4</v>
      </c>
      <c r="P1316" t="n">
        <v>10.3</v>
      </c>
      <c r="Q1316" t="n">
        <v>9.5</v>
      </c>
      <c r="R1316" t="n">
        <v>-0.8</v>
      </c>
      <c r="S1316" t="b">
        <v>1</v>
      </c>
      <c r="U1316" t="n">
        <v>17</v>
      </c>
      <c r="V1316" t="b">
        <v>0</v>
      </c>
      <c r="X1316" t="b">
        <v>0</v>
      </c>
      <c r="Y1316" t="n">
        <v>0.71</v>
      </c>
    </row>
    <row r="1317">
      <c r="A1317" t="inlineStr">
        <is>
          <t>O01316</t>
        </is>
      </c>
      <c r="B1317" t="inlineStr">
        <is>
          <t>C0100</t>
        </is>
      </c>
      <c r="C1317" t="inlineStr">
        <is>
          <t>S013</t>
        </is>
      </c>
      <c r="D1317" t="inlineStr">
        <is>
          <t>R052</t>
        </is>
      </c>
      <c r="E1317" s="3" t="n">
        <v>46279.80972222222</v>
      </c>
      <c r="F1317" s="3" t="n">
        <v>46279.81541666666</v>
      </c>
      <c r="G1317" s="3" t="n">
        <v>46279.815</v>
      </c>
      <c r="H1317" t="inlineStr">
        <is>
          <t>Delivered</t>
        </is>
      </c>
      <c r="I1317" t="n">
        <v>4</v>
      </c>
      <c r="J1317" t="n">
        <v>4</v>
      </c>
      <c r="K1317" t="n">
        <v>382.96</v>
      </c>
      <c r="L1317" t="n">
        <v>2.85</v>
      </c>
      <c r="M1317" t="n">
        <v>2.6</v>
      </c>
      <c r="N1317" t="n">
        <v>2.3</v>
      </c>
      <c r="O1317" t="n">
        <v>2.7</v>
      </c>
      <c r="P1317" t="n">
        <v>8.199999999999999</v>
      </c>
      <c r="Q1317" t="n">
        <v>7.6</v>
      </c>
      <c r="R1317" t="n">
        <v>-0.6</v>
      </c>
      <c r="S1317" t="b">
        <v>1</v>
      </c>
      <c r="U1317" t="n">
        <v>19</v>
      </c>
      <c r="V1317" t="b">
        <v>1</v>
      </c>
      <c r="X1317" t="b">
        <v>0</v>
      </c>
      <c r="Y1317" t="n">
        <v>0.77</v>
      </c>
    </row>
    <row r="1318">
      <c r="A1318" t="inlineStr">
        <is>
          <t>O01317</t>
        </is>
      </c>
      <c r="B1318" t="inlineStr">
        <is>
          <t>C0085</t>
        </is>
      </c>
      <c r="C1318" t="inlineStr">
        <is>
          <t>S013</t>
        </is>
      </c>
      <c r="D1318" t="inlineStr">
        <is>
          <t>R030</t>
        </is>
      </c>
      <c r="E1318" s="3" t="n">
        <v>46279.44583333333</v>
      </c>
      <c r="F1318" s="3" t="n">
        <v>46279.45319444445</v>
      </c>
      <c r="G1318" s="3" t="n">
        <v>46279.45305555555</v>
      </c>
      <c r="H1318" t="inlineStr">
        <is>
          <t>Delivered</t>
        </is>
      </c>
      <c r="I1318" t="n">
        <v>1</v>
      </c>
      <c r="J1318" t="n">
        <v>2</v>
      </c>
      <c r="K1318" t="n">
        <v>1306.82</v>
      </c>
      <c r="L1318" t="n">
        <v>2.19</v>
      </c>
      <c r="M1318" t="n">
        <v>4.7</v>
      </c>
      <c r="N1318" t="n">
        <v>0</v>
      </c>
      <c r="O1318" t="n">
        <v>5.7</v>
      </c>
      <c r="P1318" t="n">
        <v>10.6</v>
      </c>
      <c r="Q1318" t="n">
        <v>10.4</v>
      </c>
      <c r="R1318" t="n">
        <v>-0.2</v>
      </c>
      <c r="S1318" t="b">
        <v>1</v>
      </c>
      <c r="U1318" t="n">
        <v>10</v>
      </c>
      <c r="V1318" t="b">
        <v>0</v>
      </c>
      <c r="X1318" t="b">
        <v>0</v>
      </c>
      <c r="Y1318" t="n">
        <v>0.62</v>
      </c>
    </row>
    <row r="1319">
      <c r="A1319" t="inlineStr">
        <is>
          <t>O01318</t>
        </is>
      </c>
      <c r="B1319" t="inlineStr">
        <is>
          <t>C0126</t>
        </is>
      </c>
      <c r="C1319" t="inlineStr">
        <is>
          <t>S018</t>
        </is>
      </c>
      <c r="D1319" t="inlineStr">
        <is>
          <t>R052</t>
        </is>
      </c>
      <c r="E1319" s="3" t="n">
        <v>46269.37638888889</v>
      </c>
      <c r="F1319" s="3" t="n">
        <v>46269.38256944445</v>
      </c>
      <c r="G1319" s="3" t="n">
        <v>46269.381875</v>
      </c>
      <c r="H1319" t="inlineStr">
        <is>
          <t>Delivered</t>
        </is>
      </c>
      <c r="I1319" t="n">
        <v>1</v>
      </c>
      <c r="J1319" t="n">
        <v>8</v>
      </c>
      <c r="K1319" t="n">
        <v>1032.69</v>
      </c>
      <c r="L1319" t="n">
        <v>2.02</v>
      </c>
      <c r="M1319" t="n">
        <v>3</v>
      </c>
      <c r="N1319" t="n">
        <v>2.3</v>
      </c>
      <c r="O1319" t="n">
        <v>2.6</v>
      </c>
      <c r="P1319" t="n">
        <v>8.9</v>
      </c>
      <c r="Q1319" t="n">
        <v>7.9</v>
      </c>
      <c r="R1319" t="n">
        <v>-1</v>
      </c>
      <c r="S1319" t="b">
        <v>1</v>
      </c>
      <c r="U1319" t="n">
        <v>9</v>
      </c>
      <c r="V1319" t="b">
        <v>0</v>
      </c>
      <c r="X1319" t="b">
        <v>0</v>
      </c>
      <c r="Y1319" t="n">
        <v>0.39</v>
      </c>
    </row>
    <row r="1320">
      <c r="A1320" t="inlineStr">
        <is>
          <t>O01319</t>
        </is>
      </c>
      <c r="B1320" t="inlineStr">
        <is>
          <t>C0060</t>
        </is>
      </c>
      <c r="C1320" t="inlineStr">
        <is>
          <t>S019</t>
        </is>
      </c>
      <c r="D1320" t="inlineStr">
        <is>
          <t>R034</t>
        </is>
      </c>
      <c r="E1320" s="3" t="n">
        <v>46277.55208333334</v>
      </c>
      <c r="F1320" s="3" t="n">
        <v>46277.55868055556</v>
      </c>
      <c r="G1320" s="3" t="n">
        <v>46277.55847222222</v>
      </c>
      <c r="H1320" t="inlineStr">
        <is>
          <t>Delivered</t>
        </is>
      </c>
      <c r="I1320" t="n">
        <v>6</v>
      </c>
      <c r="J1320" t="n">
        <v>10</v>
      </c>
      <c r="K1320" t="n">
        <v>1320.36</v>
      </c>
      <c r="L1320" t="n">
        <v>0.5</v>
      </c>
      <c r="M1320" t="n">
        <v>3.3</v>
      </c>
      <c r="N1320" t="n">
        <v>4.1</v>
      </c>
      <c r="O1320" t="n">
        <v>1.8</v>
      </c>
      <c r="P1320" t="n">
        <v>9.5</v>
      </c>
      <c r="Q1320" t="n">
        <v>9.199999999999999</v>
      </c>
      <c r="R1320" t="n">
        <v>-0.3</v>
      </c>
      <c r="S1320" t="b">
        <v>1</v>
      </c>
      <c r="U1320" t="n">
        <v>13</v>
      </c>
      <c r="V1320" t="b">
        <v>0</v>
      </c>
      <c r="X1320" t="b">
        <v>0</v>
      </c>
      <c r="Y1320" t="n">
        <v>0.62</v>
      </c>
    </row>
    <row r="1321">
      <c r="A1321" t="inlineStr">
        <is>
          <t>O01320</t>
        </is>
      </c>
      <c r="B1321" t="inlineStr">
        <is>
          <t>C0061</t>
        </is>
      </c>
      <c r="C1321" t="inlineStr">
        <is>
          <t>S020</t>
        </is>
      </c>
      <c r="D1321" t="inlineStr">
        <is>
          <t>R006</t>
        </is>
      </c>
      <c r="E1321" s="3" t="n">
        <v>46268.68680555555</v>
      </c>
      <c r="F1321" s="3" t="n">
        <v>46268.694375</v>
      </c>
      <c r="G1321" s="3" t="n">
        <v>46268.69375</v>
      </c>
      <c r="H1321" t="inlineStr">
        <is>
          <t>Delivered</t>
        </is>
      </c>
      <c r="I1321" t="n">
        <v>2</v>
      </c>
      <c r="J1321" t="n">
        <v>7</v>
      </c>
      <c r="K1321" t="n">
        <v>429.35</v>
      </c>
      <c r="L1321" t="n">
        <v>0.87</v>
      </c>
      <c r="M1321" t="n">
        <v>5.1</v>
      </c>
      <c r="N1321" t="n">
        <v>2.8</v>
      </c>
      <c r="O1321" t="n">
        <v>2.1</v>
      </c>
      <c r="P1321" t="n">
        <v>10.9</v>
      </c>
      <c r="Q1321" t="n">
        <v>10</v>
      </c>
      <c r="R1321" t="n">
        <v>-0.9</v>
      </c>
      <c r="S1321" t="b">
        <v>1</v>
      </c>
      <c r="U1321" t="n">
        <v>16</v>
      </c>
      <c r="V1321" t="b">
        <v>0</v>
      </c>
      <c r="X1321" t="b">
        <v>0</v>
      </c>
      <c r="Y1321" t="n">
        <v>0.21</v>
      </c>
    </row>
    <row r="1322">
      <c r="A1322" t="inlineStr">
        <is>
          <t>O01321</t>
        </is>
      </c>
      <c r="B1322" t="inlineStr">
        <is>
          <t>C0044</t>
        </is>
      </c>
      <c r="C1322" t="inlineStr">
        <is>
          <t>S012</t>
        </is>
      </c>
      <c r="D1322" t="inlineStr">
        <is>
          <t>R013</t>
        </is>
      </c>
      <c r="E1322" s="3" t="n">
        <v>46278.66736111111</v>
      </c>
      <c r="F1322" s="3" t="n">
        <v>46278.67423611111</v>
      </c>
      <c r="G1322" s="3" t="n">
        <v>46278.67409722223</v>
      </c>
      <c r="H1322" t="inlineStr">
        <is>
          <t>Delivered</t>
        </is>
      </c>
      <c r="I1322" t="n">
        <v>4</v>
      </c>
      <c r="J1322" t="n">
        <v>7</v>
      </c>
      <c r="K1322" t="n">
        <v>1336.29</v>
      </c>
      <c r="L1322" t="n">
        <v>0.98</v>
      </c>
      <c r="M1322" t="n">
        <v>3.5</v>
      </c>
      <c r="N1322" t="n">
        <v>4</v>
      </c>
      <c r="O1322" t="n">
        <v>2.2</v>
      </c>
      <c r="P1322" t="n">
        <v>9.9</v>
      </c>
      <c r="Q1322" t="n">
        <v>9.699999999999999</v>
      </c>
      <c r="R1322" t="n">
        <v>-0.2</v>
      </c>
      <c r="S1322" t="b">
        <v>1</v>
      </c>
      <c r="U1322" t="n">
        <v>16</v>
      </c>
      <c r="V1322" t="b">
        <v>0</v>
      </c>
      <c r="X1322" t="b">
        <v>0</v>
      </c>
      <c r="Y1322" t="n">
        <v>0.45</v>
      </c>
    </row>
    <row r="1323">
      <c r="A1323" t="inlineStr">
        <is>
          <t>O01322</t>
        </is>
      </c>
      <c r="B1323" t="inlineStr">
        <is>
          <t>C0034</t>
        </is>
      </c>
      <c r="C1323" t="inlineStr">
        <is>
          <t>S002</t>
        </is>
      </c>
      <c r="D1323" t="inlineStr">
        <is>
          <t>R045</t>
        </is>
      </c>
      <c r="E1323" s="3" t="n">
        <v>46271.64722222222</v>
      </c>
      <c r="F1323" s="3" t="n">
        <v>46271.653125</v>
      </c>
      <c r="G1323" s="3" t="n">
        <v>46271.65284722222</v>
      </c>
      <c r="H1323" t="inlineStr">
        <is>
          <t>Delivered</t>
        </is>
      </c>
      <c r="I1323" t="n">
        <v>6</v>
      </c>
      <c r="J1323" t="n">
        <v>8</v>
      </c>
      <c r="K1323" t="n">
        <v>1214.67</v>
      </c>
      <c r="L1323" t="n">
        <v>0.5</v>
      </c>
      <c r="M1323" t="n">
        <v>2.7</v>
      </c>
      <c r="N1323" t="n">
        <v>2.9</v>
      </c>
      <c r="O1323" t="n">
        <v>2.5</v>
      </c>
      <c r="P1323" t="n">
        <v>8.5</v>
      </c>
      <c r="Q1323" t="n">
        <v>8.1</v>
      </c>
      <c r="R1323" t="n">
        <v>-0.4</v>
      </c>
      <c r="S1323" t="b">
        <v>1</v>
      </c>
      <c r="U1323" t="n">
        <v>15</v>
      </c>
      <c r="V1323" t="b">
        <v>0</v>
      </c>
      <c r="X1323" t="b">
        <v>0</v>
      </c>
      <c r="Y1323" t="n">
        <v>0.7</v>
      </c>
    </row>
    <row r="1324">
      <c r="A1324" t="inlineStr">
        <is>
          <t>O01323</t>
        </is>
      </c>
      <c r="B1324" t="inlineStr">
        <is>
          <t>C0045</t>
        </is>
      </c>
      <c r="C1324" t="inlineStr">
        <is>
          <t>S020</t>
        </is>
      </c>
      <c r="D1324" t="inlineStr">
        <is>
          <t>R077</t>
        </is>
      </c>
      <c r="E1324" s="3" t="n">
        <v>46267.77777777778</v>
      </c>
      <c r="F1324" s="3" t="n">
        <v>46267.78652777777</v>
      </c>
      <c r="G1324" s="3" t="n">
        <v>46267.78611111111</v>
      </c>
      <c r="H1324" t="inlineStr">
        <is>
          <t>Delivered</t>
        </is>
      </c>
      <c r="I1324" t="n">
        <v>1</v>
      </c>
      <c r="J1324" t="n">
        <v>6</v>
      </c>
      <c r="K1324" t="n">
        <v>280.69</v>
      </c>
      <c r="L1324" t="n">
        <v>0.88</v>
      </c>
      <c r="M1324" t="n">
        <v>6</v>
      </c>
      <c r="N1324" t="n">
        <v>3.3</v>
      </c>
      <c r="O1324" t="n">
        <v>2.7</v>
      </c>
      <c r="P1324" t="n">
        <v>12.6</v>
      </c>
      <c r="Q1324" t="n">
        <v>12</v>
      </c>
      <c r="R1324" t="n">
        <v>-0.6</v>
      </c>
      <c r="S1324" t="b">
        <v>1</v>
      </c>
      <c r="U1324" t="n">
        <v>18</v>
      </c>
      <c r="V1324" t="b">
        <v>0</v>
      </c>
      <c r="X1324" t="b">
        <v>0</v>
      </c>
      <c r="Y1324" t="n">
        <v>0.35</v>
      </c>
    </row>
    <row r="1325">
      <c r="A1325" t="inlineStr">
        <is>
          <t>O01324</t>
        </is>
      </c>
      <c r="B1325" t="inlineStr">
        <is>
          <t>C0052</t>
        </is>
      </c>
      <c r="C1325" t="inlineStr">
        <is>
          <t>S015</t>
        </is>
      </c>
      <c r="D1325" t="inlineStr">
        <is>
          <t>R020</t>
        </is>
      </c>
      <c r="E1325" s="3" t="n">
        <v>46277.63263888889</v>
      </c>
      <c r="F1325" s="3" t="n">
        <v>46277.63909722222</v>
      </c>
      <c r="G1325" s="3" t="n">
        <v>46277.63861111111</v>
      </c>
      <c r="H1325" t="inlineStr">
        <is>
          <t>Delivered</t>
        </is>
      </c>
      <c r="I1325" t="n">
        <v>5</v>
      </c>
      <c r="J1325" t="n">
        <v>10</v>
      </c>
      <c r="K1325" t="n">
        <v>806.39</v>
      </c>
      <c r="L1325" t="n">
        <v>3.42</v>
      </c>
      <c r="M1325" t="n">
        <v>2</v>
      </c>
      <c r="N1325" t="n">
        <v>3.2</v>
      </c>
      <c r="O1325" t="n">
        <v>3.4</v>
      </c>
      <c r="P1325" t="n">
        <v>9.300000000000001</v>
      </c>
      <c r="Q1325" t="n">
        <v>8.6</v>
      </c>
      <c r="R1325" t="n">
        <v>-0.7</v>
      </c>
      <c r="S1325" t="b">
        <v>1</v>
      </c>
      <c r="U1325" t="n">
        <v>15</v>
      </c>
      <c r="V1325" t="b">
        <v>0</v>
      </c>
      <c r="X1325" t="b">
        <v>0</v>
      </c>
      <c r="Y1325" t="n">
        <v>0.66</v>
      </c>
    </row>
    <row r="1326">
      <c r="A1326" t="inlineStr">
        <is>
          <t>O01325</t>
        </is>
      </c>
      <c r="B1326" t="inlineStr">
        <is>
          <t>C0247</t>
        </is>
      </c>
      <c r="C1326" t="inlineStr">
        <is>
          <t>S008</t>
        </is>
      </c>
      <c r="D1326" t="inlineStr">
        <is>
          <t>R010</t>
        </is>
      </c>
      <c r="E1326" s="3" t="n">
        <v>46276.33958333333</v>
      </c>
      <c r="F1326" s="3" t="n">
        <v>46276.34875</v>
      </c>
      <c r="G1326" s="3" t="n">
        <v>46276.35625</v>
      </c>
      <c r="H1326" t="inlineStr">
        <is>
          <t>Delivered</t>
        </is>
      </c>
      <c r="I1326" t="n">
        <v>1</v>
      </c>
      <c r="J1326" t="n">
        <v>7</v>
      </c>
      <c r="K1326" t="n">
        <v>1559.16</v>
      </c>
      <c r="L1326" t="n">
        <v>4.65</v>
      </c>
      <c r="M1326" t="n">
        <v>4.5</v>
      </c>
      <c r="N1326" t="n">
        <v>8.4</v>
      </c>
      <c r="O1326" t="n">
        <v>11.1</v>
      </c>
      <c r="P1326" t="n">
        <v>13.2</v>
      </c>
      <c r="Q1326" t="n">
        <v>24</v>
      </c>
      <c r="R1326" t="n">
        <v>10.8</v>
      </c>
      <c r="S1326" t="b">
        <v>0</v>
      </c>
      <c r="U1326" t="n">
        <v>8</v>
      </c>
      <c r="V1326" t="b">
        <v>0</v>
      </c>
      <c r="X1326" t="b">
        <v>0</v>
      </c>
      <c r="Y1326" t="n">
        <v>0.87</v>
      </c>
    </row>
    <row r="1327">
      <c r="A1327" t="inlineStr">
        <is>
          <t>O01326</t>
        </is>
      </c>
      <c r="B1327" t="inlineStr">
        <is>
          <t>C0124</t>
        </is>
      </c>
      <c r="C1327" t="inlineStr">
        <is>
          <t>S019</t>
        </is>
      </c>
      <c r="D1327" t="inlineStr">
        <is>
          <t>R036</t>
        </is>
      </c>
      <c r="E1327" s="3" t="n">
        <v>46279.84444444445</v>
      </c>
      <c r="F1327" s="3" t="n">
        <v>46279.85118055555</v>
      </c>
      <c r="G1327" s="3" t="n">
        <v>46279.85069444445</v>
      </c>
      <c r="H1327" t="inlineStr">
        <is>
          <t>Delivered</t>
        </is>
      </c>
      <c r="I1327" t="n">
        <v>3</v>
      </c>
      <c r="J1327" t="n">
        <v>4</v>
      </c>
      <c r="K1327" t="n">
        <v>423.84</v>
      </c>
      <c r="L1327" t="n">
        <v>0.93</v>
      </c>
      <c r="M1327" t="n">
        <v>3.4</v>
      </c>
      <c r="N1327" t="n">
        <v>2.1</v>
      </c>
      <c r="O1327" t="n">
        <v>3.5</v>
      </c>
      <c r="P1327" t="n">
        <v>9.699999999999999</v>
      </c>
      <c r="Q1327" t="n">
        <v>9</v>
      </c>
      <c r="R1327" t="n">
        <v>-0.7</v>
      </c>
      <c r="S1327" t="b">
        <v>1</v>
      </c>
      <c r="U1327" t="n">
        <v>20</v>
      </c>
      <c r="V1327" t="b">
        <v>1</v>
      </c>
      <c r="W1327" t="inlineStr">
        <is>
          <t>Heavy</t>
        </is>
      </c>
      <c r="X1327" t="b">
        <v>0</v>
      </c>
      <c r="Y1327" t="n">
        <v>0.46</v>
      </c>
    </row>
    <row r="1328">
      <c r="A1328" t="inlineStr">
        <is>
          <t>O01327</t>
        </is>
      </c>
      <c r="B1328" t="inlineStr">
        <is>
          <t>C0088</t>
        </is>
      </c>
      <c r="C1328" t="inlineStr">
        <is>
          <t>S015</t>
        </is>
      </c>
      <c r="D1328" t="inlineStr">
        <is>
          <t>R063</t>
        </is>
      </c>
      <c r="E1328" s="3" t="n">
        <v>46271.40138888889</v>
      </c>
      <c r="F1328" s="3" t="n">
        <v>46271.40736111111</v>
      </c>
      <c r="G1328" s="3" t="n">
        <v>46271.406875</v>
      </c>
      <c r="H1328" t="inlineStr">
        <is>
          <t>Delivered</t>
        </is>
      </c>
      <c r="I1328" t="n">
        <v>4</v>
      </c>
      <c r="J1328" t="n">
        <v>15</v>
      </c>
      <c r="K1328" t="n">
        <v>1227.43</v>
      </c>
      <c r="L1328" t="n">
        <v>0.5</v>
      </c>
      <c r="M1328" t="n">
        <v>4.8</v>
      </c>
      <c r="N1328" t="n">
        <v>1.7</v>
      </c>
      <c r="O1328" t="n">
        <v>1.4</v>
      </c>
      <c r="P1328" t="n">
        <v>8.6</v>
      </c>
      <c r="Q1328" t="n">
        <v>7.9</v>
      </c>
      <c r="R1328" t="n">
        <v>-0.7</v>
      </c>
      <c r="S1328" t="b">
        <v>1</v>
      </c>
      <c r="U1328" t="n">
        <v>9</v>
      </c>
      <c r="V1328" t="b">
        <v>0</v>
      </c>
      <c r="X1328" t="b">
        <v>0</v>
      </c>
      <c r="Y1328" t="n">
        <v>0.28</v>
      </c>
    </row>
    <row r="1329">
      <c r="A1329" t="inlineStr">
        <is>
          <t>O01328</t>
        </is>
      </c>
      <c r="B1329" t="inlineStr">
        <is>
          <t>C0083</t>
        </is>
      </c>
      <c r="C1329" t="inlineStr">
        <is>
          <t>S001</t>
        </is>
      </c>
      <c r="D1329" t="inlineStr">
        <is>
          <t>R051</t>
        </is>
      </c>
      <c r="E1329" s="3" t="n">
        <v>46277.80555555555</v>
      </c>
      <c r="F1329" s="3" t="n">
        <v>46277.81277777778</v>
      </c>
      <c r="G1329" s="3" t="n">
        <v>46277.81229166667</v>
      </c>
      <c r="H1329" t="inlineStr">
        <is>
          <t>Delivered</t>
        </is>
      </c>
      <c r="I1329" t="n">
        <v>5</v>
      </c>
      <c r="J1329" t="n">
        <v>5</v>
      </c>
      <c r="K1329" t="n">
        <v>1497.44</v>
      </c>
      <c r="L1329" t="n">
        <v>0.9</v>
      </c>
      <c r="M1329" t="n">
        <v>4.7</v>
      </c>
      <c r="N1329" t="n">
        <v>2</v>
      </c>
      <c r="O1329" t="n">
        <v>3</v>
      </c>
      <c r="P1329" t="n">
        <v>10.4</v>
      </c>
      <c r="Q1329" t="n">
        <v>9.699999999999999</v>
      </c>
      <c r="R1329" t="n">
        <v>-0.7</v>
      </c>
      <c r="S1329" t="b">
        <v>1</v>
      </c>
      <c r="U1329" t="n">
        <v>19</v>
      </c>
      <c r="V1329" t="b">
        <v>1</v>
      </c>
      <c r="X1329" t="b">
        <v>1</v>
      </c>
      <c r="Y1329" t="n">
        <v>0.5600000000000001</v>
      </c>
    </row>
    <row r="1330">
      <c r="A1330" t="inlineStr">
        <is>
          <t>O01329</t>
        </is>
      </c>
      <c r="B1330" t="inlineStr">
        <is>
          <t>C0023</t>
        </is>
      </c>
      <c r="C1330" t="inlineStr">
        <is>
          <t>S009</t>
        </is>
      </c>
      <c r="D1330" t="inlineStr">
        <is>
          <t>R026</t>
        </is>
      </c>
      <c r="E1330" s="3" t="n">
        <v>46266.77708333333</v>
      </c>
      <c r="F1330" s="3" t="n">
        <v>46266.78423611111</v>
      </c>
      <c r="G1330" s="3" t="n">
        <v>46266.78395833333</v>
      </c>
      <c r="H1330" t="inlineStr">
        <is>
          <t>Delivered</t>
        </is>
      </c>
      <c r="I1330" t="n">
        <v>3</v>
      </c>
      <c r="J1330" t="n">
        <v>7</v>
      </c>
      <c r="K1330" t="n">
        <v>278.16</v>
      </c>
      <c r="L1330" t="n">
        <v>1.74</v>
      </c>
      <c r="M1330" t="n">
        <v>2.3</v>
      </c>
      <c r="N1330" t="n">
        <v>3.6</v>
      </c>
      <c r="O1330" t="n">
        <v>4</v>
      </c>
      <c r="P1330" t="n">
        <v>10.3</v>
      </c>
      <c r="Q1330" t="n">
        <v>9.9</v>
      </c>
      <c r="R1330" t="n">
        <v>-0.4</v>
      </c>
      <c r="S1330" t="b">
        <v>1</v>
      </c>
      <c r="U1330" t="n">
        <v>18</v>
      </c>
      <c r="V1330" t="b">
        <v>0</v>
      </c>
      <c r="X1330" t="b">
        <v>0</v>
      </c>
      <c r="Y1330" t="n">
        <v>0.43</v>
      </c>
    </row>
    <row r="1331">
      <c r="A1331" t="inlineStr">
        <is>
          <t>O01330</t>
        </is>
      </c>
      <c r="B1331" t="inlineStr">
        <is>
          <t>C0127</t>
        </is>
      </c>
      <c r="C1331" t="inlineStr">
        <is>
          <t>S020</t>
        </is>
      </c>
      <c r="E1331" s="3" t="n">
        <v>46271.93680555555</v>
      </c>
      <c r="F1331" s="3" t="n">
        <v>46271.94520833333</v>
      </c>
      <c r="H1331" t="inlineStr">
        <is>
          <t>Cancelled</t>
        </is>
      </c>
      <c r="I1331" t="n">
        <v>4</v>
      </c>
      <c r="J1331" t="n">
        <v>4</v>
      </c>
      <c r="K1331" t="n">
        <v>1288.82</v>
      </c>
      <c r="L1331" t="n">
        <v>2.91</v>
      </c>
      <c r="M1331" t="n">
        <v>6.6</v>
      </c>
      <c r="N1331" t="n">
        <v>1.5</v>
      </c>
      <c r="O1331" t="n">
        <v>6.1</v>
      </c>
      <c r="P1331" t="n">
        <v>12.1</v>
      </c>
      <c r="T1331" t="inlineStr">
        <is>
          <t>Customer cancelled</t>
        </is>
      </c>
      <c r="U1331" t="n">
        <v>22</v>
      </c>
      <c r="V1331" t="b">
        <v>0</v>
      </c>
      <c r="X1331" t="b">
        <v>0</v>
      </c>
      <c r="Y1331" t="n">
        <v>0.13</v>
      </c>
    </row>
    <row r="1332">
      <c r="A1332" t="inlineStr">
        <is>
          <t>O01331</t>
        </is>
      </c>
      <c r="B1332" t="inlineStr">
        <is>
          <t>C0014</t>
        </is>
      </c>
      <c r="C1332" t="inlineStr">
        <is>
          <t>S018</t>
        </is>
      </c>
      <c r="D1332" t="inlineStr">
        <is>
          <t>R049</t>
        </is>
      </c>
      <c r="E1332" s="3" t="n">
        <v>46278.88194444445</v>
      </c>
      <c r="F1332" s="3" t="n">
        <v>46278.88993055555</v>
      </c>
      <c r="G1332" s="3" t="n">
        <v>46278.89340277778</v>
      </c>
      <c r="H1332" t="inlineStr">
        <is>
          <t>Delivered</t>
        </is>
      </c>
      <c r="I1332" t="n">
        <v>1</v>
      </c>
      <c r="J1332" t="n">
        <v>3</v>
      </c>
      <c r="K1332" t="n">
        <v>692.12</v>
      </c>
      <c r="L1332" t="n">
        <v>0.8100000000000001</v>
      </c>
      <c r="M1332" t="n">
        <v>4.9</v>
      </c>
      <c r="N1332" t="n">
        <v>7.9</v>
      </c>
      <c r="O1332" t="n">
        <v>3.6</v>
      </c>
      <c r="P1332" t="n">
        <v>11.5</v>
      </c>
      <c r="Q1332" t="n">
        <v>16.5</v>
      </c>
      <c r="R1332" t="n">
        <v>5</v>
      </c>
      <c r="S1332" t="b">
        <v>0</v>
      </c>
      <c r="U1332" t="n">
        <v>21</v>
      </c>
      <c r="V1332" t="b">
        <v>1</v>
      </c>
      <c r="X1332" t="b">
        <v>0</v>
      </c>
      <c r="Y1332" t="n">
        <v>0.66</v>
      </c>
    </row>
    <row r="1333">
      <c r="A1333" t="inlineStr">
        <is>
          <t>O01332</t>
        </is>
      </c>
      <c r="B1333" t="inlineStr">
        <is>
          <t>C0033</t>
        </is>
      </c>
      <c r="C1333" t="inlineStr">
        <is>
          <t>S011</t>
        </is>
      </c>
      <c r="D1333" t="inlineStr">
        <is>
          <t>R043</t>
        </is>
      </c>
      <c r="E1333" s="3" t="n">
        <v>46274.99305555555</v>
      </c>
      <c r="F1333" s="3" t="n">
        <v>46275.00076388889</v>
      </c>
      <c r="G1333" s="3" t="n">
        <v>46274.99993055555</v>
      </c>
      <c r="H1333" t="inlineStr">
        <is>
          <t>Delivered</t>
        </is>
      </c>
      <c r="I1333" t="n">
        <v>3</v>
      </c>
      <c r="J1333" t="n">
        <v>7</v>
      </c>
      <c r="K1333" t="n">
        <v>492.91</v>
      </c>
      <c r="L1333" t="n">
        <v>0.5</v>
      </c>
      <c r="M1333" t="n">
        <v>7.4</v>
      </c>
      <c r="N1333" t="n">
        <v>0.3</v>
      </c>
      <c r="O1333" t="n">
        <v>2.2</v>
      </c>
      <c r="P1333" t="n">
        <v>11.1</v>
      </c>
      <c r="Q1333" t="n">
        <v>9.9</v>
      </c>
      <c r="R1333" t="n">
        <v>-1.2</v>
      </c>
      <c r="S1333" t="b">
        <v>1</v>
      </c>
      <c r="U1333" t="n">
        <v>23</v>
      </c>
      <c r="V1333" t="b">
        <v>0</v>
      </c>
      <c r="X1333" t="b">
        <v>0</v>
      </c>
      <c r="Y1333" t="n">
        <v>0.32</v>
      </c>
    </row>
    <row r="1334">
      <c r="A1334" t="inlineStr">
        <is>
          <t>O01333</t>
        </is>
      </c>
      <c r="B1334" t="inlineStr">
        <is>
          <t>C0186</t>
        </is>
      </c>
      <c r="C1334" t="inlineStr">
        <is>
          <t>S016</t>
        </is>
      </c>
      <c r="D1334" t="inlineStr">
        <is>
          <t>R030</t>
        </is>
      </c>
      <c r="E1334" s="3" t="n">
        <v>46277.93125</v>
      </c>
      <c r="F1334" s="3" t="n">
        <v>46277.93861111111</v>
      </c>
      <c r="G1334" s="3" t="n">
        <v>46277.93791666667</v>
      </c>
      <c r="H1334" t="inlineStr">
        <is>
          <t>Delivered</t>
        </is>
      </c>
      <c r="I1334" t="n">
        <v>3</v>
      </c>
      <c r="J1334" t="n">
        <v>12</v>
      </c>
      <c r="K1334" t="n">
        <v>1657.25</v>
      </c>
      <c r="L1334" t="n">
        <v>2.44</v>
      </c>
      <c r="M1334" t="n">
        <v>4.3</v>
      </c>
      <c r="N1334" t="n">
        <v>0.8</v>
      </c>
      <c r="O1334" t="n">
        <v>4.5</v>
      </c>
      <c r="P1334" t="n">
        <v>10.6</v>
      </c>
      <c r="Q1334" t="n">
        <v>9.6</v>
      </c>
      <c r="R1334" t="n">
        <v>-1</v>
      </c>
      <c r="S1334" t="b">
        <v>1</v>
      </c>
      <c r="U1334" t="n">
        <v>22</v>
      </c>
      <c r="V1334" t="b">
        <v>0</v>
      </c>
      <c r="X1334" t="b">
        <v>0</v>
      </c>
      <c r="Y1334" t="n">
        <v>0.45</v>
      </c>
    </row>
    <row r="1335">
      <c r="A1335" t="inlineStr">
        <is>
          <t>O01334</t>
        </is>
      </c>
      <c r="B1335" t="inlineStr">
        <is>
          <t>C0069</t>
        </is>
      </c>
      <c r="C1335" t="inlineStr">
        <is>
          <t>S004</t>
        </is>
      </c>
      <c r="D1335" t="inlineStr">
        <is>
          <t>R050</t>
        </is>
      </c>
      <c r="E1335" s="3" t="n">
        <v>46270.57291666666</v>
      </c>
      <c r="F1335" s="3" t="n">
        <v>46270.58006944445</v>
      </c>
      <c r="G1335" s="3" t="n">
        <v>46270.57958333333</v>
      </c>
      <c r="H1335" t="inlineStr">
        <is>
          <t>Delivered</t>
        </is>
      </c>
      <c r="I1335" t="n">
        <v>5</v>
      </c>
      <c r="J1335" t="n">
        <v>10</v>
      </c>
      <c r="K1335" t="n">
        <v>1436.56</v>
      </c>
      <c r="L1335" t="n">
        <v>1.02</v>
      </c>
      <c r="M1335" t="n">
        <v>2.4</v>
      </c>
      <c r="N1335" t="n">
        <v>3.1</v>
      </c>
      <c r="O1335" t="n">
        <v>4.1</v>
      </c>
      <c r="P1335" t="n">
        <v>10.3</v>
      </c>
      <c r="Q1335" t="n">
        <v>9.6</v>
      </c>
      <c r="R1335" t="n">
        <v>-0.7</v>
      </c>
      <c r="S1335" t="b">
        <v>1</v>
      </c>
      <c r="U1335" t="n">
        <v>13</v>
      </c>
      <c r="V1335" t="b">
        <v>0</v>
      </c>
      <c r="X1335" t="b">
        <v>0</v>
      </c>
      <c r="Y1335" t="n">
        <v>0.88</v>
      </c>
    </row>
    <row r="1336">
      <c r="A1336" t="inlineStr">
        <is>
          <t>O01335</t>
        </is>
      </c>
      <c r="B1336" t="inlineStr">
        <is>
          <t>C0091</t>
        </is>
      </c>
      <c r="C1336" t="inlineStr">
        <is>
          <t>S018</t>
        </is>
      </c>
      <c r="D1336" t="inlineStr">
        <is>
          <t>R018</t>
        </is>
      </c>
      <c r="E1336" s="3" t="n">
        <v>46276.47916666666</v>
      </c>
      <c r="F1336" s="3" t="n">
        <v>46276.486875</v>
      </c>
      <c r="G1336" s="3" t="n">
        <v>46276.48611111111</v>
      </c>
      <c r="H1336" t="inlineStr">
        <is>
          <t>Delivered</t>
        </is>
      </c>
      <c r="I1336" t="n">
        <v>3</v>
      </c>
      <c r="J1336" t="n">
        <v>11</v>
      </c>
      <c r="K1336" t="n">
        <v>1486.76</v>
      </c>
      <c r="L1336" t="n">
        <v>1.59</v>
      </c>
      <c r="M1336" t="n">
        <v>4.2</v>
      </c>
      <c r="N1336" t="n">
        <v>2.5</v>
      </c>
      <c r="O1336" t="n">
        <v>3.3</v>
      </c>
      <c r="P1336" t="n">
        <v>11.1</v>
      </c>
      <c r="Q1336" t="n">
        <v>10</v>
      </c>
      <c r="R1336" t="n">
        <v>-1.1</v>
      </c>
      <c r="S1336" t="b">
        <v>1</v>
      </c>
      <c r="U1336" t="n">
        <v>11</v>
      </c>
      <c r="V1336" t="b">
        <v>0</v>
      </c>
      <c r="X1336" t="b">
        <v>0</v>
      </c>
      <c r="Y1336" t="n">
        <v>0.62</v>
      </c>
    </row>
    <row r="1337">
      <c r="A1337" t="inlineStr">
        <is>
          <t>O01336</t>
        </is>
      </c>
      <c r="B1337" t="inlineStr">
        <is>
          <t>C0232</t>
        </is>
      </c>
      <c r="C1337" t="inlineStr">
        <is>
          <t>S009</t>
        </is>
      </c>
      <c r="D1337" t="inlineStr">
        <is>
          <t>R041</t>
        </is>
      </c>
      <c r="E1337" s="3" t="n">
        <v>46279.86111111111</v>
      </c>
      <c r="F1337" s="3" t="n">
        <v>46279.86930555556</v>
      </c>
      <c r="G1337" s="3" t="n">
        <v>46279.86854166666</v>
      </c>
      <c r="H1337" t="inlineStr">
        <is>
          <t>Delivered</t>
        </is>
      </c>
      <c r="I1337" t="n">
        <v>3</v>
      </c>
      <c r="J1337" t="n">
        <v>8</v>
      </c>
      <c r="K1337" t="n">
        <v>1488.43</v>
      </c>
      <c r="L1337" t="n">
        <v>2.59</v>
      </c>
      <c r="M1337" t="n">
        <v>2.5</v>
      </c>
      <c r="N1337" t="n">
        <v>4.9</v>
      </c>
      <c r="O1337" t="n">
        <v>3.3</v>
      </c>
      <c r="P1337" t="n">
        <v>11.8</v>
      </c>
      <c r="Q1337" t="n">
        <v>10.7</v>
      </c>
      <c r="R1337" t="n">
        <v>-1.1</v>
      </c>
      <c r="S1337" t="b">
        <v>1</v>
      </c>
      <c r="U1337" t="n">
        <v>20</v>
      </c>
      <c r="V1337" t="b">
        <v>1</v>
      </c>
      <c r="X1337" t="b">
        <v>0</v>
      </c>
      <c r="Y1337" t="n">
        <v>0.37</v>
      </c>
    </row>
    <row r="1338">
      <c r="A1338" t="inlineStr">
        <is>
          <t>O01337</t>
        </is>
      </c>
      <c r="B1338" t="inlineStr">
        <is>
          <t>C0210</t>
        </is>
      </c>
      <c r="C1338" t="inlineStr">
        <is>
          <t>S014</t>
        </is>
      </c>
      <c r="D1338" t="inlineStr">
        <is>
          <t>R036</t>
        </is>
      </c>
      <c r="E1338" s="3" t="n">
        <v>46273.86597222222</v>
      </c>
      <c r="F1338" s="3" t="n">
        <v>46273.87173611111</v>
      </c>
      <c r="G1338" s="3" t="n">
        <v>46273.87145833333</v>
      </c>
      <c r="H1338" t="inlineStr">
        <is>
          <t>Delivered</t>
        </is>
      </c>
      <c r="I1338" t="n">
        <v>3</v>
      </c>
      <c r="J1338" t="n">
        <v>6</v>
      </c>
      <c r="K1338" t="n">
        <v>1079.82</v>
      </c>
      <c r="L1338" t="n">
        <v>1.82</v>
      </c>
      <c r="M1338" t="n">
        <v>2.5</v>
      </c>
      <c r="N1338" t="n">
        <v>1.9</v>
      </c>
      <c r="O1338" t="n">
        <v>3.5</v>
      </c>
      <c r="P1338" t="n">
        <v>8.300000000000001</v>
      </c>
      <c r="Q1338" t="n">
        <v>7.9</v>
      </c>
      <c r="R1338" t="n">
        <v>-0.4</v>
      </c>
      <c r="S1338" t="b">
        <v>1</v>
      </c>
      <c r="U1338" t="n">
        <v>20</v>
      </c>
      <c r="V1338" t="b">
        <v>1</v>
      </c>
      <c r="W1338" t="inlineStr">
        <is>
          <t>Light</t>
        </is>
      </c>
      <c r="X1338" t="b">
        <v>0</v>
      </c>
      <c r="Y1338" t="n">
        <v>0.6</v>
      </c>
    </row>
    <row r="1339">
      <c r="A1339" t="inlineStr">
        <is>
          <t>O01338</t>
        </is>
      </c>
      <c r="B1339" t="inlineStr">
        <is>
          <t>C0192</t>
        </is>
      </c>
      <c r="C1339" t="inlineStr">
        <is>
          <t>S012</t>
        </is>
      </c>
      <c r="D1339" t="inlineStr">
        <is>
          <t>R046</t>
        </is>
      </c>
      <c r="E1339" s="3" t="n">
        <v>46271.47569444445</v>
      </c>
      <c r="F1339" s="3" t="n">
        <v>46271.48319444444</v>
      </c>
      <c r="G1339" s="3" t="n">
        <v>46271.48243055555</v>
      </c>
      <c r="H1339" t="inlineStr">
        <is>
          <t>Delivered</t>
        </is>
      </c>
      <c r="I1339" t="n">
        <v>2</v>
      </c>
      <c r="J1339" t="n">
        <v>7</v>
      </c>
      <c r="K1339" t="n">
        <v>1272.04</v>
      </c>
      <c r="L1339" t="n">
        <v>3.41</v>
      </c>
      <c r="M1339" t="n">
        <v>2.4</v>
      </c>
      <c r="N1339" t="n">
        <v>2.6</v>
      </c>
      <c r="O1339" t="n">
        <v>4.7</v>
      </c>
      <c r="P1339" t="n">
        <v>10.8</v>
      </c>
      <c r="Q1339" t="n">
        <v>9.699999999999999</v>
      </c>
      <c r="R1339" t="n">
        <v>-1.1</v>
      </c>
      <c r="S1339" t="b">
        <v>1</v>
      </c>
      <c r="U1339" t="n">
        <v>11</v>
      </c>
      <c r="V1339" t="b">
        <v>0</v>
      </c>
      <c r="X1339" t="b">
        <v>0</v>
      </c>
      <c r="Y1339" t="n">
        <v>0.5</v>
      </c>
    </row>
    <row r="1340">
      <c r="A1340" t="inlineStr">
        <is>
          <t>O01339</t>
        </is>
      </c>
      <c r="B1340" t="inlineStr">
        <is>
          <t>C0249</t>
        </is>
      </c>
      <c r="C1340" t="inlineStr">
        <is>
          <t>S006</t>
        </is>
      </c>
      <c r="D1340" t="inlineStr">
        <is>
          <t>R035</t>
        </is>
      </c>
      <c r="E1340" s="3" t="n">
        <v>46266.41111111111</v>
      </c>
      <c r="F1340" s="3" t="n">
        <v>46266.41888888889</v>
      </c>
      <c r="G1340" s="3" t="n">
        <v>46266.41819444444</v>
      </c>
      <c r="H1340" t="inlineStr">
        <is>
          <t>Delivered</t>
        </is>
      </c>
      <c r="I1340" t="n">
        <v>3</v>
      </c>
      <c r="J1340" t="n">
        <v>11</v>
      </c>
      <c r="K1340" t="n">
        <v>659.45</v>
      </c>
      <c r="L1340" t="n">
        <v>1.91</v>
      </c>
      <c r="M1340" t="n">
        <v>3.3</v>
      </c>
      <c r="N1340" t="n">
        <v>3.9</v>
      </c>
      <c r="O1340" t="n">
        <v>3</v>
      </c>
      <c r="P1340" t="n">
        <v>11.2</v>
      </c>
      <c r="Q1340" t="n">
        <v>10.2</v>
      </c>
      <c r="R1340" t="n">
        <v>-1</v>
      </c>
      <c r="S1340" t="b">
        <v>1</v>
      </c>
      <c r="U1340" t="n">
        <v>9</v>
      </c>
      <c r="V1340" t="b">
        <v>0</v>
      </c>
      <c r="X1340" t="b">
        <v>0</v>
      </c>
      <c r="Y1340" t="n">
        <v>0.49</v>
      </c>
    </row>
    <row r="1341">
      <c r="A1341" t="inlineStr">
        <is>
          <t>O01340</t>
        </is>
      </c>
      <c r="B1341" t="inlineStr">
        <is>
          <t>C0031</t>
        </is>
      </c>
      <c r="C1341" t="inlineStr">
        <is>
          <t>S014</t>
        </is>
      </c>
      <c r="D1341" t="inlineStr">
        <is>
          <t>R057</t>
        </is>
      </c>
      <c r="E1341" s="3" t="n">
        <v>46272.51041666666</v>
      </c>
      <c r="F1341" s="3" t="n">
        <v>46272.51819444444</v>
      </c>
      <c r="G1341" s="3" t="n">
        <v>46272.51625</v>
      </c>
      <c r="H1341" t="inlineStr">
        <is>
          <t>Delivered</t>
        </is>
      </c>
      <c r="I1341" t="n">
        <v>2</v>
      </c>
      <c r="J1341" t="n">
        <v>8</v>
      </c>
      <c r="K1341" t="n">
        <v>1241.32</v>
      </c>
      <c r="L1341" t="n">
        <v>0.6899999999999999</v>
      </c>
      <c r="M1341" t="n">
        <v>5.5</v>
      </c>
      <c r="N1341" t="n">
        <v>0.6</v>
      </c>
      <c r="O1341" t="n">
        <v>2.2</v>
      </c>
      <c r="P1341" t="n">
        <v>11.2</v>
      </c>
      <c r="Q1341" t="n">
        <v>8.4</v>
      </c>
      <c r="R1341" t="n">
        <v>-2.8</v>
      </c>
      <c r="S1341" t="b">
        <v>1</v>
      </c>
      <c r="U1341" t="n">
        <v>12</v>
      </c>
      <c r="V1341" t="b">
        <v>0</v>
      </c>
      <c r="X1341" t="b">
        <v>0</v>
      </c>
      <c r="Y1341" t="n">
        <v>0.32</v>
      </c>
    </row>
    <row r="1342">
      <c r="A1342" t="inlineStr">
        <is>
          <t>O01341</t>
        </is>
      </c>
      <c r="B1342" t="inlineStr">
        <is>
          <t>C0184</t>
        </is>
      </c>
      <c r="C1342" t="inlineStr">
        <is>
          <t>S017</t>
        </is>
      </c>
      <c r="D1342" t="inlineStr">
        <is>
          <t>R064</t>
        </is>
      </c>
      <c r="E1342" s="3" t="n">
        <v>46279.83263888889</v>
      </c>
      <c r="F1342" s="3" t="n">
        <v>46279.83840277778</v>
      </c>
      <c r="G1342" s="3" t="n">
        <v>46279.83791666666</v>
      </c>
      <c r="H1342" t="inlineStr">
        <is>
          <t>Delivered</t>
        </is>
      </c>
      <c r="I1342" t="n">
        <v>2</v>
      </c>
      <c r="J1342" t="n">
        <v>8</v>
      </c>
      <c r="K1342" t="n">
        <v>1598.82</v>
      </c>
      <c r="L1342" t="n">
        <v>1.67</v>
      </c>
      <c r="M1342" t="n">
        <v>1</v>
      </c>
      <c r="N1342" t="n">
        <v>3.4</v>
      </c>
      <c r="O1342" t="n">
        <v>3.2</v>
      </c>
      <c r="P1342" t="n">
        <v>8.300000000000001</v>
      </c>
      <c r="Q1342" t="n">
        <v>7.6</v>
      </c>
      <c r="R1342" t="n">
        <v>-0.7</v>
      </c>
      <c r="S1342" t="b">
        <v>1</v>
      </c>
      <c r="U1342" t="n">
        <v>19</v>
      </c>
      <c r="V1342" t="b">
        <v>1</v>
      </c>
      <c r="X1342" t="b">
        <v>1</v>
      </c>
      <c r="Y1342" t="n">
        <v>0.82</v>
      </c>
    </row>
    <row r="1343">
      <c r="A1343" t="inlineStr">
        <is>
          <t>O01342</t>
        </is>
      </c>
      <c r="B1343" t="inlineStr">
        <is>
          <t>C0128</t>
        </is>
      </c>
      <c r="C1343" t="inlineStr">
        <is>
          <t>S007</t>
        </is>
      </c>
      <c r="D1343" t="inlineStr">
        <is>
          <t>R008</t>
        </is>
      </c>
      <c r="E1343" s="3" t="n">
        <v>46276.77013888889</v>
      </c>
      <c r="F1343" s="3" t="n">
        <v>46276.77743055556</v>
      </c>
      <c r="G1343" s="3" t="n">
        <v>46276.77902777777</v>
      </c>
      <c r="H1343" t="inlineStr">
        <is>
          <t>Delivered</t>
        </is>
      </c>
      <c r="I1343" t="n">
        <v>2</v>
      </c>
      <c r="J1343" t="n">
        <v>3</v>
      </c>
      <c r="K1343" t="n">
        <v>434.54</v>
      </c>
      <c r="L1343" t="n">
        <v>1.5</v>
      </c>
      <c r="M1343" t="n">
        <v>4.7</v>
      </c>
      <c r="N1343" t="n">
        <v>5.3</v>
      </c>
      <c r="O1343" t="n">
        <v>2.8</v>
      </c>
      <c r="P1343" t="n">
        <v>10.5</v>
      </c>
      <c r="Q1343" t="n">
        <v>12.8</v>
      </c>
      <c r="R1343" t="n">
        <v>2.3</v>
      </c>
      <c r="S1343" t="b">
        <v>0</v>
      </c>
      <c r="U1343" t="n">
        <v>18</v>
      </c>
      <c r="V1343" t="b">
        <v>0</v>
      </c>
      <c r="X1343" t="b">
        <v>0</v>
      </c>
      <c r="Y1343" t="n">
        <v>0.06</v>
      </c>
    </row>
    <row r="1344">
      <c r="A1344" t="inlineStr">
        <is>
          <t>O01343</t>
        </is>
      </c>
      <c r="B1344" t="inlineStr">
        <is>
          <t>C0178</t>
        </is>
      </c>
      <c r="C1344" t="inlineStr">
        <is>
          <t>S007</t>
        </is>
      </c>
      <c r="D1344" t="inlineStr">
        <is>
          <t>R048</t>
        </is>
      </c>
      <c r="E1344" s="3" t="n">
        <v>46266.98680555556</v>
      </c>
      <c r="F1344" s="3" t="n">
        <v>46266.995</v>
      </c>
      <c r="G1344" s="3" t="n">
        <v>46266.99479166666</v>
      </c>
      <c r="H1344" t="inlineStr">
        <is>
          <t>Delivered</t>
        </is>
      </c>
      <c r="I1344" t="n">
        <v>5</v>
      </c>
      <c r="J1344" t="n">
        <v>5</v>
      </c>
      <c r="K1344" t="n">
        <v>1448.21</v>
      </c>
      <c r="L1344" t="n">
        <v>2.4</v>
      </c>
      <c r="M1344" t="n">
        <v>3.3</v>
      </c>
      <c r="N1344" t="n">
        <v>3.3</v>
      </c>
      <c r="O1344" t="n">
        <v>4.9</v>
      </c>
      <c r="P1344" t="n">
        <v>11.8</v>
      </c>
      <c r="Q1344" t="n">
        <v>11.5</v>
      </c>
      <c r="R1344" t="n">
        <v>-0.3</v>
      </c>
      <c r="S1344" t="b">
        <v>1</v>
      </c>
      <c r="U1344" t="n">
        <v>23</v>
      </c>
      <c r="V1344" t="b">
        <v>0</v>
      </c>
      <c r="X1344" t="b">
        <v>0</v>
      </c>
      <c r="Y1344" t="n">
        <v>0.64</v>
      </c>
    </row>
    <row r="1345">
      <c r="A1345" t="inlineStr">
        <is>
          <t>O01344</t>
        </is>
      </c>
      <c r="B1345" t="inlineStr">
        <is>
          <t>C0218</t>
        </is>
      </c>
      <c r="C1345" t="inlineStr">
        <is>
          <t>S008</t>
        </is>
      </c>
      <c r="D1345" t="inlineStr">
        <is>
          <t>R022</t>
        </is>
      </c>
      <c r="E1345" s="3" t="n">
        <v>46268.975</v>
      </c>
      <c r="F1345" s="3" t="n">
        <v>46268.98451388889</v>
      </c>
      <c r="G1345" s="3" t="n">
        <v>46268.984375</v>
      </c>
      <c r="H1345" t="inlineStr">
        <is>
          <t>Delivered</t>
        </is>
      </c>
      <c r="I1345" t="n">
        <v>2</v>
      </c>
      <c r="J1345" t="n">
        <v>6</v>
      </c>
      <c r="K1345" t="n">
        <v>1004.39</v>
      </c>
      <c r="L1345" t="n">
        <v>2.28</v>
      </c>
      <c r="M1345" t="n">
        <v>4.2</v>
      </c>
      <c r="N1345" t="n">
        <v>2.3</v>
      </c>
      <c r="O1345" t="n">
        <v>7</v>
      </c>
      <c r="P1345" t="n">
        <v>13.7</v>
      </c>
      <c r="Q1345" t="n">
        <v>13.5</v>
      </c>
      <c r="R1345" t="n">
        <v>-0.2</v>
      </c>
      <c r="S1345" t="b">
        <v>1</v>
      </c>
      <c r="U1345" t="n">
        <v>23</v>
      </c>
      <c r="V1345" t="b">
        <v>0</v>
      </c>
      <c r="W1345" t="inlineStr">
        <is>
          <t>Light</t>
        </is>
      </c>
      <c r="X1345" t="b">
        <v>0</v>
      </c>
      <c r="Y1345" t="n">
        <v>0.73</v>
      </c>
    </row>
    <row r="1346">
      <c r="A1346" t="inlineStr">
        <is>
          <t>O01345</t>
        </is>
      </c>
      <c r="B1346" t="inlineStr">
        <is>
          <t>C0241</t>
        </is>
      </c>
      <c r="C1346" t="inlineStr">
        <is>
          <t>S013</t>
        </is>
      </c>
      <c r="D1346" t="inlineStr">
        <is>
          <t>R022</t>
        </is>
      </c>
      <c r="E1346" s="3" t="n">
        <v>46277.43819444445</v>
      </c>
      <c r="F1346" s="3" t="n">
        <v>46277.44486111111</v>
      </c>
      <c r="G1346" s="3" t="n">
        <v>46277.44458333333</v>
      </c>
      <c r="H1346" t="inlineStr">
        <is>
          <t>Delivered</t>
        </is>
      </c>
      <c r="I1346" t="n">
        <v>6</v>
      </c>
      <c r="J1346" t="n">
        <v>6</v>
      </c>
      <c r="K1346" t="n">
        <v>1038.27</v>
      </c>
      <c r="L1346" t="n">
        <v>0.61</v>
      </c>
      <c r="M1346" t="n">
        <v>4.5</v>
      </c>
      <c r="N1346" t="n">
        <v>2.5</v>
      </c>
      <c r="O1346" t="n">
        <v>2.2</v>
      </c>
      <c r="P1346" t="n">
        <v>9.6</v>
      </c>
      <c r="Q1346" t="n">
        <v>9.199999999999999</v>
      </c>
      <c r="R1346" t="n">
        <v>-0.4</v>
      </c>
      <c r="S1346" t="b">
        <v>1</v>
      </c>
      <c r="U1346" t="n">
        <v>10</v>
      </c>
      <c r="V1346" t="b">
        <v>0</v>
      </c>
      <c r="X1346" t="b">
        <v>0</v>
      </c>
      <c r="Y1346" t="n">
        <v>0.63</v>
      </c>
    </row>
    <row r="1347">
      <c r="A1347" t="inlineStr">
        <is>
          <t>O01346</t>
        </is>
      </c>
      <c r="B1347" t="inlineStr">
        <is>
          <t>C0025</t>
        </is>
      </c>
      <c r="C1347" t="inlineStr">
        <is>
          <t>S019</t>
        </is>
      </c>
      <c r="D1347" t="inlineStr">
        <is>
          <t>R080</t>
        </is>
      </c>
      <c r="E1347" s="3" t="n">
        <v>46266.85555555556</v>
      </c>
      <c r="F1347" s="3" t="n">
        <v>46266.86236111111</v>
      </c>
      <c r="G1347" s="3" t="n">
        <v>46266.86215277778</v>
      </c>
      <c r="H1347" t="inlineStr">
        <is>
          <t>Delivered</t>
        </is>
      </c>
      <c r="I1347" t="n">
        <v>5</v>
      </c>
      <c r="J1347" t="n">
        <v>8</v>
      </c>
      <c r="K1347" t="n">
        <v>389.23</v>
      </c>
      <c r="L1347" t="n">
        <v>1.74</v>
      </c>
      <c r="M1347" t="n">
        <v>3.6</v>
      </c>
      <c r="N1347" t="n">
        <v>3.3</v>
      </c>
      <c r="O1347" t="n">
        <v>2.6</v>
      </c>
      <c r="P1347" t="n">
        <v>9.800000000000001</v>
      </c>
      <c r="Q1347" t="n">
        <v>9.5</v>
      </c>
      <c r="R1347" t="n">
        <v>-0.3</v>
      </c>
      <c r="S1347" t="b">
        <v>1</v>
      </c>
      <c r="U1347" t="n">
        <v>20</v>
      </c>
      <c r="V1347" t="b">
        <v>1</v>
      </c>
      <c r="X1347" t="b">
        <v>0</v>
      </c>
      <c r="Y1347" t="n">
        <v>0.47</v>
      </c>
    </row>
    <row r="1348">
      <c r="A1348" t="inlineStr">
        <is>
          <t>O01347</t>
        </is>
      </c>
      <c r="B1348" t="inlineStr">
        <is>
          <t>C0002</t>
        </is>
      </c>
      <c r="C1348" t="inlineStr">
        <is>
          <t>S017</t>
        </is>
      </c>
      <c r="D1348" t="inlineStr">
        <is>
          <t>R062</t>
        </is>
      </c>
      <c r="E1348" s="3" t="n">
        <v>46269.55486111111</v>
      </c>
      <c r="F1348" s="3" t="n">
        <v>46269.56173611111</v>
      </c>
      <c r="G1348" s="3" t="n">
        <v>46269.56173611111</v>
      </c>
      <c r="H1348" t="inlineStr">
        <is>
          <t>Delivered</t>
        </is>
      </c>
      <c r="I1348" t="n">
        <v>3</v>
      </c>
      <c r="J1348" t="n">
        <v>7</v>
      </c>
      <c r="K1348" t="n">
        <v>338.63</v>
      </c>
      <c r="L1348" t="n">
        <v>1.38</v>
      </c>
      <c r="M1348" t="n">
        <v>1.6</v>
      </c>
      <c r="N1348" t="n">
        <v>4.6</v>
      </c>
      <c r="O1348" t="n">
        <v>3.6</v>
      </c>
      <c r="P1348" t="n">
        <v>9.9</v>
      </c>
      <c r="Q1348" t="n">
        <v>9.9</v>
      </c>
      <c r="R1348" t="n">
        <v>0</v>
      </c>
      <c r="S1348" t="b">
        <v>1</v>
      </c>
      <c r="U1348" t="n">
        <v>13</v>
      </c>
      <c r="V1348" t="b">
        <v>0</v>
      </c>
      <c r="X1348" t="b">
        <v>1</v>
      </c>
      <c r="Y1348" t="n">
        <v>0.23</v>
      </c>
    </row>
    <row r="1349">
      <c r="A1349" t="inlineStr">
        <is>
          <t>O01348</t>
        </is>
      </c>
      <c r="B1349" t="inlineStr">
        <is>
          <t>C0024</t>
        </is>
      </c>
      <c r="C1349" t="inlineStr">
        <is>
          <t>S014</t>
        </is>
      </c>
      <c r="D1349" t="inlineStr">
        <is>
          <t>R024</t>
        </is>
      </c>
      <c r="E1349" s="3" t="n">
        <v>46270.49305555555</v>
      </c>
      <c r="F1349" s="3" t="n">
        <v>46270.50069444445</v>
      </c>
      <c r="G1349" s="3" t="n">
        <v>46270.50013888889</v>
      </c>
      <c r="H1349" t="inlineStr">
        <is>
          <t>Delivered</t>
        </is>
      </c>
      <c r="I1349" t="n">
        <v>6</v>
      </c>
      <c r="J1349" t="n">
        <v>15</v>
      </c>
      <c r="K1349" t="n">
        <v>389.39</v>
      </c>
      <c r="L1349" t="n">
        <v>0.6899999999999999</v>
      </c>
      <c r="M1349" t="n">
        <v>2.8</v>
      </c>
      <c r="N1349" t="n">
        <v>6</v>
      </c>
      <c r="O1349" t="n">
        <v>1.4</v>
      </c>
      <c r="P1349" t="n">
        <v>11</v>
      </c>
      <c r="Q1349" t="n">
        <v>10.2</v>
      </c>
      <c r="R1349" t="n">
        <v>-0.8</v>
      </c>
      <c r="S1349" t="b">
        <v>1</v>
      </c>
      <c r="U1349" t="n">
        <v>11</v>
      </c>
      <c r="V1349" t="b">
        <v>0</v>
      </c>
      <c r="X1349" t="b">
        <v>0</v>
      </c>
      <c r="Y1349" t="n">
        <v>0.3</v>
      </c>
    </row>
    <row r="1350">
      <c r="A1350" t="inlineStr">
        <is>
          <t>O01349</t>
        </is>
      </c>
      <c r="B1350" t="inlineStr">
        <is>
          <t>C0223</t>
        </is>
      </c>
      <c r="C1350" t="inlineStr">
        <is>
          <t>S002</t>
        </is>
      </c>
      <c r="D1350" t="inlineStr">
        <is>
          <t>R016</t>
        </is>
      </c>
      <c r="E1350" s="3" t="n">
        <v>46274.87222222222</v>
      </c>
      <c r="F1350" s="3" t="n">
        <v>46274.87840277778</v>
      </c>
      <c r="G1350" s="3" t="n">
        <v>46274.88284722222</v>
      </c>
      <c r="H1350" t="inlineStr">
        <is>
          <t>Delivered</t>
        </is>
      </c>
      <c r="I1350" t="n">
        <v>2</v>
      </c>
      <c r="J1350" t="n">
        <v>5</v>
      </c>
      <c r="K1350" t="n">
        <v>226.27</v>
      </c>
      <c r="L1350" t="n">
        <v>1.44</v>
      </c>
      <c r="M1350" t="n">
        <v>3</v>
      </c>
      <c r="N1350" t="n">
        <v>7.4</v>
      </c>
      <c r="O1350" t="n">
        <v>4.9</v>
      </c>
      <c r="P1350" t="n">
        <v>8.9</v>
      </c>
      <c r="Q1350" t="n">
        <v>15.3</v>
      </c>
      <c r="R1350" t="n">
        <v>6.4</v>
      </c>
      <c r="S1350" t="b">
        <v>0</v>
      </c>
      <c r="U1350" t="n">
        <v>20</v>
      </c>
      <c r="V1350" t="b">
        <v>1</v>
      </c>
      <c r="W1350" t="inlineStr">
        <is>
          <t>Light</t>
        </is>
      </c>
      <c r="X1350" t="b">
        <v>0</v>
      </c>
      <c r="Y1350" t="n">
        <v>0.19</v>
      </c>
    </row>
    <row r="1351">
      <c r="A1351" t="inlineStr">
        <is>
          <t>O01350</t>
        </is>
      </c>
      <c r="B1351" t="inlineStr">
        <is>
          <t>C0241</t>
        </is>
      </c>
      <c r="C1351" t="inlineStr">
        <is>
          <t>S013</t>
        </is>
      </c>
      <c r="D1351" t="inlineStr">
        <is>
          <t>R018</t>
        </is>
      </c>
      <c r="E1351" s="3" t="n">
        <v>46278.89305555556</v>
      </c>
      <c r="F1351" s="3" t="n">
        <v>46278.90041666666</v>
      </c>
      <c r="G1351" s="3" t="n">
        <v>46278.89993055556</v>
      </c>
      <c r="H1351" t="inlineStr">
        <is>
          <t>Delivered</t>
        </is>
      </c>
      <c r="I1351" t="n">
        <v>2</v>
      </c>
      <c r="J1351" t="n">
        <v>7</v>
      </c>
      <c r="K1351" t="n">
        <v>1245.17</v>
      </c>
      <c r="L1351" t="n">
        <v>2.46</v>
      </c>
      <c r="M1351" t="n">
        <v>2.7</v>
      </c>
      <c r="N1351" t="n">
        <v>3.8</v>
      </c>
      <c r="O1351" t="n">
        <v>3.4</v>
      </c>
      <c r="P1351" t="n">
        <v>10.6</v>
      </c>
      <c r="Q1351" t="n">
        <v>9.9</v>
      </c>
      <c r="R1351" t="n">
        <v>-0.7</v>
      </c>
      <c r="S1351" t="b">
        <v>1</v>
      </c>
      <c r="U1351" t="n">
        <v>21</v>
      </c>
      <c r="V1351" t="b">
        <v>1</v>
      </c>
      <c r="X1351" t="b">
        <v>0</v>
      </c>
      <c r="Y1351" t="n">
        <v>0.6</v>
      </c>
    </row>
    <row r="1352">
      <c r="A1352" t="inlineStr">
        <is>
          <t>O01351</t>
        </is>
      </c>
      <c r="B1352" t="inlineStr">
        <is>
          <t>C0132</t>
        </is>
      </c>
      <c r="C1352" t="inlineStr">
        <is>
          <t>S019</t>
        </is>
      </c>
      <c r="D1352" t="inlineStr">
        <is>
          <t>R056</t>
        </is>
      </c>
      <c r="E1352" s="3" t="n">
        <v>46277.46388888889</v>
      </c>
      <c r="F1352" s="3" t="n">
        <v>46277.46993055556</v>
      </c>
      <c r="G1352" s="3" t="n">
        <v>46277.46916666667</v>
      </c>
      <c r="H1352" t="inlineStr">
        <is>
          <t>Delivered</t>
        </is>
      </c>
      <c r="I1352" t="n">
        <v>4</v>
      </c>
      <c r="J1352" t="n">
        <v>5</v>
      </c>
      <c r="K1352" t="n">
        <v>1338.22</v>
      </c>
      <c r="L1352" t="n">
        <v>2.5</v>
      </c>
      <c r="M1352" t="n">
        <v>2.4</v>
      </c>
      <c r="N1352" t="n">
        <v>2.5</v>
      </c>
      <c r="O1352" t="n">
        <v>2.7</v>
      </c>
      <c r="P1352" t="n">
        <v>8.699999999999999</v>
      </c>
      <c r="Q1352" t="n">
        <v>7.6</v>
      </c>
      <c r="R1352" t="n">
        <v>-1.1</v>
      </c>
      <c r="S1352" t="b">
        <v>1</v>
      </c>
      <c r="U1352" t="n">
        <v>11</v>
      </c>
      <c r="V1352" t="b">
        <v>0</v>
      </c>
      <c r="W1352" t="inlineStr">
        <is>
          <t>Light</t>
        </is>
      </c>
      <c r="X1352" t="b">
        <v>0</v>
      </c>
      <c r="Y1352" t="n">
        <v>0.38</v>
      </c>
    </row>
    <row r="1353">
      <c r="A1353" t="inlineStr">
        <is>
          <t>O01352</t>
        </is>
      </c>
      <c r="B1353" t="inlineStr">
        <is>
          <t>C0086</t>
        </is>
      </c>
      <c r="C1353" t="inlineStr">
        <is>
          <t>S018</t>
        </is>
      </c>
      <c r="D1353" t="inlineStr">
        <is>
          <t>R015</t>
        </is>
      </c>
      <c r="E1353" s="3" t="n">
        <v>46271.57847222222</v>
      </c>
      <c r="F1353" s="3" t="n">
        <v>46271.58472222222</v>
      </c>
      <c r="G1353" s="3" t="n">
        <v>46271.58861111111</v>
      </c>
      <c r="H1353" t="inlineStr">
        <is>
          <t>Delivered</t>
        </is>
      </c>
      <c r="I1353" t="n">
        <v>2</v>
      </c>
      <c r="J1353" t="n">
        <v>7</v>
      </c>
      <c r="K1353" t="n">
        <v>888.7</v>
      </c>
      <c r="L1353" t="n">
        <v>1.57</v>
      </c>
      <c r="M1353" t="n">
        <v>5.5</v>
      </c>
      <c r="N1353" t="n">
        <v>3.4</v>
      </c>
      <c r="O1353" t="n">
        <v>5.6</v>
      </c>
      <c r="P1353" t="n">
        <v>9</v>
      </c>
      <c r="Q1353" t="n">
        <v>14.6</v>
      </c>
      <c r="R1353" t="n">
        <v>5.6</v>
      </c>
      <c r="S1353" t="b">
        <v>0</v>
      </c>
      <c r="U1353" t="n">
        <v>13</v>
      </c>
      <c r="V1353" t="b">
        <v>0</v>
      </c>
      <c r="X1353" t="b">
        <v>0</v>
      </c>
      <c r="Y1353" t="n">
        <v>0.72</v>
      </c>
    </row>
    <row r="1354">
      <c r="A1354" t="inlineStr">
        <is>
          <t>O01353</t>
        </is>
      </c>
      <c r="B1354" t="inlineStr">
        <is>
          <t>C0234</t>
        </is>
      </c>
      <c r="C1354" t="inlineStr">
        <is>
          <t>S003</t>
        </is>
      </c>
      <c r="D1354" t="inlineStr">
        <is>
          <t>R022</t>
        </is>
      </c>
      <c r="E1354" s="3" t="n">
        <v>46275.73888888889</v>
      </c>
      <c r="F1354" s="3" t="n">
        <v>46275.74590277778</v>
      </c>
      <c r="G1354" s="3" t="n">
        <v>46275.74805555555</v>
      </c>
      <c r="H1354" t="inlineStr">
        <is>
          <t>Delivered</t>
        </is>
      </c>
      <c r="I1354" t="n">
        <v>2</v>
      </c>
      <c r="J1354" t="n">
        <v>6</v>
      </c>
      <c r="K1354" t="n">
        <v>1274.13</v>
      </c>
      <c r="L1354" t="n">
        <v>1.84</v>
      </c>
      <c r="M1354" t="n">
        <v>4.6</v>
      </c>
      <c r="N1354" t="n">
        <v>2.9</v>
      </c>
      <c r="O1354" t="n">
        <v>5.7</v>
      </c>
      <c r="P1354" t="n">
        <v>10.1</v>
      </c>
      <c r="Q1354" t="n">
        <v>13.2</v>
      </c>
      <c r="R1354" t="n">
        <v>3.1</v>
      </c>
      <c r="S1354" t="b">
        <v>0</v>
      </c>
      <c r="U1354" t="n">
        <v>17</v>
      </c>
      <c r="V1354" t="b">
        <v>0</v>
      </c>
      <c r="X1354" t="b">
        <v>0</v>
      </c>
      <c r="Y1354" t="n">
        <v>0.49</v>
      </c>
    </row>
    <row r="1355">
      <c r="A1355" t="inlineStr">
        <is>
          <t>O01354</t>
        </is>
      </c>
      <c r="B1355" t="inlineStr">
        <is>
          <t>C0019</t>
        </is>
      </c>
      <c r="C1355" t="inlineStr">
        <is>
          <t>S011</t>
        </is>
      </c>
      <c r="D1355" t="inlineStr">
        <is>
          <t>R021</t>
        </is>
      </c>
      <c r="E1355" s="3" t="n">
        <v>46267.95972222222</v>
      </c>
      <c r="F1355" s="3" t="n">
        <v>46267.96743055555</v>
      </c>
      <c r="G1355" s="3" t="n">
        <v>46267.96673611111</v>
      </c>
      <c r="H1355" t="inlineStr">
        <is>
          <t>Delivered</t>
        </is>
      </c>
      <c r="I1355" t="n">
        <v>1</v>
      </c>
      <c r="J1355" t="n">
        <v>6</v>
      </c>
      <c r="K1355" t="n">
        <v>1567.12</v>
      </c>
      <c r="L1355" t="n">
        <v>3.3</v>
      </c>
      <c r="M1355" t="n">
        <v>3.6</v>
      </c>
      <c r="N1355" t="n">
        <v>2.9</v>
      </c>
      <c r="O1355" t="n">
        <v>3.6</v>
      </c>
      <c r="P1355" t="n">
        <v>11.1</v>
      </c>
      <c r="Q1355" t="n">
        <v>10.1</v>
      </c>
      <c r="R1355" t="n">
        <v>-1</v>
      </c>
      <c r="S1355" t="b">
        <v>1</v>
      </c>
      <c r="U1355" t="n">
        <v>23</v>
      </c>
      <c r="V1355" t="b">
        <v>0</v>
      </c>
      <c r="X1355" t="b">
        <v>0</v>
      </c>
      <c r="Y1355" t="n">
        <v>0.32</v>
      </c>
    </row>
    <row r="1356">
      <c r="A1356" t="inlineStr">
        <is>
          <t>O01355</t>
        </is>
      </c>
      <c r="B1356" t="inlineStr">
        <is>
          <t>C0115</t>
        </is>
      </c>
      <c r="C1356" t="inlineStr">
        <is>
          <t>S009</t>
        </is>
      </c>
      <c r="D1356" t="inlineStr">
        <is>
          <t>R080</t>
        </is>
      </c>
      <c r="E1356" s="3" t="n">
        <v>46272.43333333333</v>
      </c>
      <c r="F1356" s="3" t="n">
        <v>46272.44076388889</v>
      </c>
      <c r="G1356" s="3" t="n">
        <v>46272.43666666667</v>
      </c>
      <c r="H1356" t="inlineStr">
        <is>
          <t>Delivered</t>
        </is>
      </c>
      <c r="I1356" t="n">
        <v>2</v>
      </c>
      <c r="J1356" t="n">
        <v>6</v>
      </c>
      <c r="K1356" t="n">
        <v>953.25</v>
      </c>
      <c r="L1356" t="n">
        <v>0.5</v>
      </c>
      <c r="M1356" t="n">
        <v>2.3</v>
      </c>
      <c r="N1356" t="n">
        <v>0.4</v>
      </c>
      <c r="O1356" t="n">
        <v>2.1</v>
      </c>
      <c r="P1356" t="n">
        <v>10.7</v>
      </c>
      <c r="Q1356" t="n">
        <v>4.8</v>
      </c>
      <c r="R1356" t="n">
        <v>-5.9</v>
      </c>
      <c r="S1356" t="b">
        <v>1</v>
      </c>
      <c r="U1356" t="n">
        <v>10</v>
      </c>
      <c r="V1356" t="b">
        <v>0</v>
      </c>
      <c r="X1356" t="b">
        <v>0</v>
      </c>
      <c r="Y1356" t="n">
        <v>0.36</v>
      </c>
    </row>
    <row r="1357">
      <c r="A1357" t="inlineStr">
        <is>
          <t>O01356</t>
        </is>
      </c>
      <c r="B1357" t="inlineStr">
        <is>
          <t>C0124</t>
        </is>
      </c>
      <c r="C1357" t="inlineStr">
        <is>
          <t>S004</t>
        </is>
      </c>
      <c r="D1357" t="inlineStr">
        <is>
          <t>R025</t>
        </is>
      </c>
      <c r="E1357" s="3" t="n">
        <v>46271.875</v>
      </c>
      <c r="F1357" s="3" t="n">
        <v>46271.88069444444</v>
      </c>
      <c r="G1357" s="3" t="n">
        <v>46271.88</v>
      </c>
      <c r="H1357" t="inlineStr">
        <is>
          <t>Delivered</t>
        </is>
      </c>
      <c r="I1357" t="n">
        <v>1</v>
      </c>
      <c r="J1357" t="n">
        <v>4</v>
      </c>
      <c r="K1357" t="n">
        <v>314.17</v>
      </c>
      <c r="L1357" t="n">
        <v>2.3</v>
      </c>
      <c r="M1357" t="n">
        <v>1.4</v>
      </c>
      <c r="N1357" t="n">
        <v>2.6</v>
      </c>
      <c r="O1357" t="n">
        <v>3.2</v>
      </c>
      <c r="P1357" t="n">
        <v>8.199999999999999</v>
      </c>
      <c r="Q1357" t="n">
        <v>7.2</v>
      </c>
      <c r="R1357" t="n">
        <v>-1</v>
      </c>
      <c r="S1357" t="b">
        <v>1</v>
      </c>
      <c r="U1357" t="n">
        <v>21</v>
      </c>
      <c r="V1357" t="b">
        <v>1</v>
      </c>
      <c r="X1357" t="b">
        <v>0</v>
      </c>
      <c r="Y1357" t="n">
        <v>0.6</v>
      </c>
    </row>
    <row r="1358">
      <c r="A1358" t="inlineStr">
        <is>
          <t>O01357</t>
        </is>
      </c>
      <c r="B1358" t="inlineStr">
        <is>
          <t>C0133</t>
        </is>
      </c>
      <c r="C1358" t="inlineStr">
        <is>
          <t>S013</t>
        </is>
      </c>
      <c r="D1358" t="inlineStr">
        <is>
          <t>R005</t>
        </is>
      </c>
      <c r="E1358" s="3" t="n">
        <v>46278.73194444444</v>
      </c>
      <c r="F1358" s="3" t="n">
        <v>46278.73888888889</v>
      </c>
      <c r="G1358" s="3" t="n">
        <v>46278.74055555555</v>
      </c>
      <c r="H1358" t="inlineStr">
        <is>
          <t>Delivered</t>
        </is>
      </c>
      <c r="I1358" t="n">
        <v>6</v>
      </c>
      <c r="J1358" t="n">
        <v>10</v>
      </c>
      <c r="K1358" t="n">
        <v>1520.81</v>
      </c>
      <c r="L1358" t="n">
        <v>1.1</v>
      </c>
      <c r="M1358" t="n">
        <v>6.7</v>
      </c>
      <c r="N1358" t="n">
        <v>2.3</v>
      </c>
      <c r="O1358" t="n">
        <v>3.5</v>
      </c>
      <c r="P1358" t="n">
        <v>10</v>
      </c>
      <c r="Q1358" t="n">
        <v>12.4</v>
      </c>
      <c r="R1358" t="n">
        <v>2.4</v>
      </c>
      <c r="S1358" t="b">
        <v>0</v>
      </c>
      <c r="U1358" t="n">
        <v>17</v>
      </c>
      <c r="V1358" t="b">
        <v>0</v>
      </c>
      <c r="X1358" t="b">
        <v>0</v>
      </c>
      <c r="Y1358" t="n">
        <v>0.42</v>
      </c>
    </row>
    <row r="1359">
      <c r="A1359" t="inlineStr">
        <is>
          <t>O01358</t>
        </is>
      </c>
      <c r="B1359" t="inlineStr">
        <is>
          <t>C0039</t>
        </is>
      </c>
      <c r="C1359" t="inlineStr">
        <is>
          <t>S016</t>
        </is>
      </c>
      <c r="D1359" t="inlineStr">
        <is>
          <t>R007</t>
        </is>
      </c>
      <c r="E1359" s="3" t="n">
        <v>46269.88541666666</v>
      </c>
      <c r="F1359" s="3" t="n">
        <v>46269.89291666666</v>
      </c>
      <c r="G1359" s="3" t="n">
        <v>46269.89659722222</v>
      </c>
      <c r="H1359" t="inlineStr">
        <is>
          <t>Delivered</t>
        </is>
      </c>
      <c r="I1359" t="n">
        <v>1</v>
      </c>
      <c r="J1359" t="n">
        <v>9</v>
      </c>
      <c r="K1359" t="n">
        <v>820.4299999999999</v>
      </c>
      <c r="L1359" t="n">
        <v>1.44</v>
      </c>
      <c r="M1359" t="n">
        <v>6.7</v>
      </c>
      <c r="N1359" t="n">
        <v>3.5</v>
      </c>
      <c r="O1359" t="n">
        <v>5.9</v>
      </c>
      <c r="P1359" t="n">
        <v>10.8</v>
      </c>
      <c r="Q1359" t="n">
        <v>16.1</v>
      </c>
      <c r="R1359" t="n">
        <v>5.3</v>
      </c>
      <c r="S1359" t="b">
        <v>0</v>
      </c>
      <c r="U1359" t="n">
        <v>21</v>
      </c>
      <c r="V1359" t="b">
        <v>1</v>
      </c>
      <c r="X1359" t="b">
        <v>0</v>
      </c>
      <c r="Y1359" t="n">
        <v>1</v>
      </c>
    </row>
    <row r="1360">
      <c r="A1360" t="inlineStr">
        <is>
          <t>O01359</t>
        </is>
      </c>
      <c r="B1360" t="inlineStr">
        <is>
          <t>C0201</t>
        </is>
      </c>
      <c r="C1360" t="inlineStr">
        <is>
          <t>S013</t>
        </is>
      </c>
      <c r="D1360" t="inlineStr">
        <is>
          <t>R028</t>
        </is>
      </c>
      <c r="E1360" s="3" t="n">
        <v>46270.86041666667</v>
      </c>
      <c r="F1360" s="3" t="n">
        <v>46270.86694444445</v>
      </c>
      <c r="G1360" s="3" t="n">
        <v>46270.87361111111</v>
      </c>
      <c r="H1360" t="inlineStr">
        <is>
          <t>Delivered</t>
        </is>
      </c>
      <c r="I1360" t="n">
        <v>5</v>
      </c>
      <c r="J1360" t="n">
        <v>6</v>
      </c>
      <c r="K1360" t="n">
        <v>914.91</v>
      </c>
      <c r="L1360" t="n">
        <v>1.36</v>
      </c>
      <c r="M1360" t="n">
        <v>6.4</v>
      </c>
      <c r="N1360" t="n">
        <v>8.300000000000001</v>
      </c>
      <c r="O1360" t="n">
        <v>4.3</v>
      </c>
      <c r="P1360" t="n">
        <v>9.4</v>
      </c>
      <c r="Q1360" t="n">
        <v>19</v>
      </c>
      <c r="R1360" t="n">
        <v>9.6</v>
      </c>
      <c r="S1360" t="b">
        <v>0</v>
      </c>
      <c r="U1360" t="n">
        <v>20</v>
      </c>
      <c r="V1360" t="b">
        <v>1</v>
      </c>
      <c r="X1360" t="b">
        <v>0</v>
      </c>
      <c r="Y1360" t="n">
        <v>0.66</v>
      </c>
    </row>
    <row r="1361">
      <c r="A1361" t="inlineStr">
        <is>
          <t>O01360</t>
        </is>
      </c>
      <c r="B1361" t="inlineStr">
        <is>
          <t>C0195</t>
        </is>
      </c>
      <c r="C1361" t="inlineStr">
        <is>
          <t>S013</t>
        </is>
      </c>
      <c r="D1361" t="inlineStr">
        <is>
          <t>R015</t>
        </is>
      </c>
      <c r="E1361" s="3" t="n">
        <v>46276.75</v>
      </c>
      <c r="F1361" s="3" t="n">
        <v>46276.75673611111</v>
      </c>
      <c r="G1361" s="3" t="n">
        <v>46276.75611111111</v>
      </c>
      <c r="H1361" t="inlineStr">
        <is>
          <t>Delivered</t>
        </is>
      </c>
      <c r="I1361" t="n">
        <v>5</v>
      </c>
      <c r="J1361" t="n">
        <v>12</v>
      </c>
      <c r="K1361" t="n">
        <v>1197.18</v>
      </c>
      <c r="L1361" t="n">
        <v>1.88</v>
      </c>
      <c r="M1361" t="n">
        <v>4.2</v>
      </c>
      <c r="N1361" t="n">
        <v>1.2</v>
      </c>
      <c r="O1361" t="n">
        <v>3.4</v>
      </c>
      <c r="P1361" t="n">
        <v>9.699999999999999</v>
      </c>
      <c r="Q1361" t="n">
        <v>8.800000000000001</v>
      </c>
      <c r="R1361" t="n">
        <v>-0.9</v>
      </c>
      <c r="S1361" t="b">
        <v>1</v>
      </c>
      <c r="U1361" t="n">
        <v>18</v>
      </c>
      <c r="V1361" t="b">
        <v>0</v>
      </c>
      <c r="X1361" t="b">
        <v>0</v>
      </c>
      <c r="Y1361" t="n">
        <v>0.48</v>
      </c>
    </row>
    <row r="1362">
      <c r="A1362" t="inlineStr">
        <is>
          <t>O01361</t>
        </is>
      </c>
      <c r="B1362" t="inlineStr">
        <is>
          <t>C0035</t>
        </is>
      </c>
      <c r="C1362" t="inlineStr">
        <is>
          <t>S010</t>
        </is>
      </c>
      <c r="D1362" t="inlineStr">
        <is>
          <t>R012</t>
        </is>
      </c>
      <c r="E1362" s="3" t="n">
        <v>46268.77569444444</v>
      </c>
      <c r="F1362" s="3" t="n">
        <v>46268.78055555555</v>
      </c>
      <c r="G1362" s="3" t="n">
        <v>46268.78027777778</v>
      </c>
      <c r="H1362" t="inlineStr">
        <is>
          <t>Delivered</t>
        </is>
      </c>
      <c r="I1362" t="n">
        <v>6</v>
      </c>
      <c r="J1362" t="n">
        <v>10</v>
      </c>
      <c r="K1362" t="n">
        <v>1291.91</v>
      </c>
      <c r="L1362" t="n">
        <v>1.02</v>
      </c>
      <c r="M1362" t="n">
        <v>2.5</v>
      </c>
      <c r="N1362" t="n">
        <v>2.4</v>
      </c>
      <c r="O1362" t="n">
        <v>1.7</v>
      </c>
      <c r="P1362" t="n">
        <v>7</v>
      </c>
      <c r="Q1362" t="n">
        <v>6.6</v>
      </c>
      <c r="R1362" t="n">
        <v>-0.4</v>
      </c>
      <c r="S1362" t="b">
        <v>1</v>
      </c>
      <c r="U1362" t="n">
        <v>18</v>
      </c>
      <c r="V1362" t="b">
        <v>0</v>
      </c>
      <c r="X1362" t="b">
        <v>0</v>
      </c>
      <c r="Y1362" t="n">
        <v>0.78</v>
      </c>
    </row>
    <row r="1363">
      <c r="A1363" t="inlineStr">
        <is>
          <t>O01362</t>
        </is>
      </c>
      <c r="B1363" t="inlineStr">
        <is>
          <t>C0006</t>
        </is>
      </c>
      <c r="C1363" t="inlineStr">
        <is>
          <t>S010</t>
        </is>
      </c>
      <c r="D1363" t="inlineStr">
        <is>
          <t>R014</t>
        </is>
      </c>
      <c r="E1363" s="3" t="n">
        <v>46266.40277777778</v>
      </c>
      <c r="F1363" s="3" t="n">
        <v>46266.41006944444</v>
      </c>
      <c r="G1363" s="3" t="n">
        <v>46266.41333333333</v>
      </c>
      <c r="H1363" t="inlineStr">
        <is>
          <t>Delivered</t>
        </is>
      </c>
      <c r="I1363" t="n">
        <v>4</v>
      </c>
      <c r="J1363" t="n">
        <v>8</v>
      </c>
      <c r="K1363" t="n">
        <v>1076.15</v>
      </c>
      <c r="L1363" t="n">
        <v>1.23</v>
      </c>
      <c r="M1363" t="n">
        <v>7</v>
      </c>
      <c r="N1363" t="n">
        <v>5.2</v>
      </c>
      <c r="O1363" t="n">
        <v>3.1</v>
      </c>
      <c r="P1363" t="n">
        <v>10.5</v>
      </c>
      <c r="Q1363" t="n">
        <v>15.2</v>
      </c>
      <c r="R1363" t="n">
        <v>4.7</v>
      </c>
      <c r="S1363" t="b">
        <v>0</v>
      </c>
      <c r="U1363" t="n">
        <v>9</v>
      </c>
      <c r="V1363" t="b">
        <v>0</v>
      </c>
      <c r="X1363" t="b">
        <v>0</v>
      </c>
      <c r="Y1363" t="n">
        <v>0.25</v>
      </c>
    </row>
    <row r="1364">
      <c r="A1364" t="inlineStr">
        <is>
          <t>O01363</t>
        </is>
      </c>
      <c r="B1364" t="inlineStr">
        <is>
          <t>C0014</t>
        </is>
      </c>
      <c r="C1364" t="inlineStr">
        <is>
          <t>S013</t>
        </is>
      </c>
      <c r="D1364" t="inlineStr">
        <is>
          <t>R050</t>
        </is>
      </c>
      <c r="E1364" s="3" t="n">
        <v>46271.90416666667</v>
      </c>
      <c r="F1364" s="3" t="n">
        <v>46271.91131944444</v>
      </c>
      <c r="G1364" s="3" t="n">
        <v>46271.91090277778</v>
      </c>
      <c r="H1364" t="inlineStr">
        <is>
          <t>Delivered</t>
        </is>
      </c>
      <c r="I1364" t="n">
        <v>5</v>
      </c>
      <c r="J1364" t="n">
        <v>6</v>
      </c>
      <c r="K1364" t="n">
        <v>866.9400000000001</v>
      </c>
      <c r="L1364" t="n">
        <v>3</v>
      </c>
      <c r="M1364" t="n">
        <v>3.6</v>
      </c>
      <c r="N1364" t="n">
        <v>2.7</v>
      </c>
      <c r="O1364" t="n">
        <v>3.4</v>
      </c>
      <c r="P1364" t="n">
        <v>10.3</v>
      </c>
      <c r="Q1364" t="n">
        <v>9.699999999999999</v>
      </c>
      <c r="R1364" t="n">
        <v>-0.6</v>
      </c>
      <c r="S1364" t="b">
        <v>1</v>
      </c>
      <c r="U1364" t="n">
        <v>21</v>
      </c>
      <c r="V1364" t="b">
        <v>1</v>
      </c>
      <c r="X1364" t="b">
        <v>0</v>
      </c>
      <c r="Y1364" t="n">
        <v>0.62</v>
      </c>
    </row>
    <row r="1365">
      <c r="A1365" t="inlineStr">
        <is>
          <t>O01364</t>
        </is>
      </c>
      <c r="B1365" t="inlineStr">
        <is>
          <t>C0148</t>
        </is>
      </c>
      <c r="C1365" t="inlineStr">
        <is>
          <t>S014</t>
        </is>
      </c>
      <c r="D1365" t="inlineStr">
        <is>
          <t>R034</t>
        </is>
      </c>
      <c r="E1365" s="3" t="n">
        <v>46278.53055555555</v>
      </c>
      <c r="F1365" s="3" t="n">
        <v>46278.53819444445</v>
      </c>
      <c r="G1365" s="3" t="n">
        <v>46278.53805555555</v>
      </c>
      <c r="H1365" t="inlineStr">
        <is>
          <t>Delivered</t>
        </is>
      </c>
      <c r="I1365" t="n">
        <v>5</v>
      </c>
      <c r="J1365" t="n">
        <v>5</v>
      </c>
      <c r="K1365" t="n">
        <v>1344.81</v>
      </c>
      <c r="L1365" t="n">
        <v>2.89</v>
      </c>
      <c r="M1365" t="n">
        <v>3.3</v>
      </c>
      <c r="N1365" t="n">
        <v>3.5</v>
      </c>
      <c r="O1365" t="n">
        <v>4</v>
      </c>
      <c r="P1365" t="n">
        <v>11</v>
      </c>
      <c r="Q1365" t="n">
        <v>10.8</v>
      </c>
      <c r="R1365" t="n">
        <v>-0.2</v>
      </c>
      <c r="S1365" t="b">
        <v>1</v>
      </c>
      <c r="U1365" t="n">
        <v>12</v>
      </c>
      <c r="V1365" t="b">
        <v>0</v>
      </c>
      <c r="X1365" t="b">
        <v>0</v>
      </c>
      <c r="Y1365" t="n">
        <v>0.3</v>
      </c>
    </row>
    <row r="1366">
      <c r="A1366" t="inlineStr">
        <is>
          <t>O01365</t>
        </is>
      </c>
      <c r="B1366" t="inlineStr">
        <is>
          <t>C0121</t>
        </is>
      </c>
      <c r="C1366" t="inlineStr">
        <is>
          <t>S004</t>
        </is>
      </c>
      <c r="D1366" t="inlineStr">
        <is>
          <t>R014</t>
        </is>
      </c>
      <c r="E1366" s="3" t="n">
        <v>46269.44236111111</v>
      </c>
      <c r="F1366" s="3" t="n">
        <v>46269.44888888889</v>
      </c>
      <c r="G1366" s="3" t="n">
        <v>46269.44847222222</v>
      </c>
      <c r="H1366" t="inlineStr">
        <is>
          <t>Delivered</t>
        </is>
      </c>
      <c r="I1366" t="n">
        <v>2</v>
      </c>
      <c r="J1366" t="n">
        <v>5</v>
      </c>
      <c r="K1366" t="n">
        <v>223.7</v>
      </c>
      <c r="L1366" t="n">
        <v>3.3</v>
      </c>
      <c r="M1366" t="n">
        <v>1.3</v>
      </c>
      <c r="N1366" t="n">
        <v>3.3</v>
      </c>
      <c r="O1366" t="n">
        <v>4.2</v>
      </c>
      <c r="P1366" t="n">
        <v>9.4</v>
      </c>
      <c r="Q1366" t="n">
        <v>8.800000000000001</v>
      </c>
      <c r="R1366" t="n">
        <v>-0.6</v>
      </c>
      <c r="S1366" t="b">
        <v>1</v>
      </c>
      <c r="U1366" t="n">
        <v>10</v>
      </c>
      <c r="V1366" t="b">
        <v>0</v>
      </c>
      <c r="X1366" t="b">
        <v>0</v>
      </c>
      <c r="Y1366" t="n">
        <v>0.59</v>
      </c>
    </row>
    <row r="1367">
      <c r="A1367" t="inlineStr">
        <is>
          <t>O01366</t>
        </is>
      </c>
      <c r="B1367" t="inlineStr">
        <is>
          <t>C0195</t>
        </is>
      </c>
      <c r="C1367" t="inlineStr">
        <is>
          <t>S018</t>
        </is>
      </c>
      <c r="D1367" t="inlineStr">
        <is>
          <t>R002</t>
        </is>
      </c>
      <c r="E1367" s="3" t="n">
        <v>46277.43888888889</v>
      </c>
      <c r="F1367" s="3" t="n">
        <v>46277.44722222222</v>
      </c>
      <c r="G1367" s="3" t="n">
        <v>46277.44659722222</v>
      </c>
      <c r="H1367" t="inlineStr">
        <is>
          <t>Delivered</t>
        </is>
      </c>
      <c r="I1367" t="n">
        <v>6</v>
      </c>
      <c r="J1367" t="n">
        <v>8</v>
      </c>
      <c r="K1367" t="n">
        <v>1334.52</v>
      </c>
      <c r="L1367" t="n">
        <v>1.38</v>
      </c>
      <c r="M1367" t="n">
        <v>3.9</v>
      </c>
      <c r="N1367" t="n">
        <v>4.6</v>
      </c>
      <c r="O1367" t="n">
        <v>2.6</v>
      </c>
      <c r="P1367" t="n">
        <v>12</v>
      </c>
      <c r="Q1367" t="n">
        <v>11.1</v>
      </c>
      <c r="R1367" t="n">
        <v>-0.9</v>
      </c>
      <c r="S1367" t="b">
        <v>1</v>
      </c>
      <c r="U1367" t="n">
        <v>10</v>
      </c>
      <c r="V1367" t="b">
        <v>0</v>
      </c>
      <c r="W1367" t="inlineStr">
        <is>
          <t>Light</t>
        </is>
      </c>
      <c r="X1367" t="b">
        <v>0</v>
      </c>
      <c r="Y1367" t="n">
        <v>0.3</v>
      </c>
    </row>
    <row r="1368">
      <c r="A1368" t="inlineStr">
        <is>
          <t>O01367</t>
        </is>
      </c>
      <c r="B1368" t="inlineStr">
        <is>
          <t>C0193</t>
        </is>
      </c>
      <c r="C1368" t="inlineStr">
        <is>
          <t>S003</t>
        </is>
      </c>
      <c r="D1368" t="inlineStr">
        <is>
          <t>R077</t>
        </is>
      </c>
      <c r="E1368" s="3" t="n">
        <v>46279.82152777778</v>
      </c>
      <c r="F1368" s="3" t="n">
        <v>46279.82791666667</v>
      </c>
      <c r="G1368" s="3" t="n">
        <v>46279.82763888889</v>
      </c>
      <c r="H1368" t="inlineStr">
        <is>
          <t>Delivered</t>
        </is>
      </c>
      <c r="I1368" t="n">
        <v>3</v>
      </c>
      <c r="J1368" t="n">
        <v>11</v>
      </c>
      <c r="K1368" t="n">
        <v>1116.85</v>
      </c>
      <c r="L1368" t="n">
        <v>1.05</v>
      </c>
      <c r="M1368" t="n">
        <v>2.7</v>
      </c>
      <c r="N1368" t="n">
        <v>3.8</v>
      </c>
      <c r="O1368" t="n">
        <v>2.3</v>
      </c>
      <c r="P1368" t="n">
        <v>9.199999999999999</v>
      </c>
      <c r="Q1368" t="n">
        <v>8.800000000000001</v>
      </c>
      <c r="R1368" t="n">
        <v>-0.4</v>
      </c>
      <c r="S1368" t="b">
        <v>1</v>
      </c>
      <c r="U1368" t="n">
        <v>19</v>
      </c>
      <c r="V1368" t="b">
        <v>1</v>
      </c>
      <c r="X1368" t="b">
        <v>0</v>
      </c>
      <c r="Y1368" t="n">
        <v>0.82</v>
      </c>
    </row>
    <row r="1369">
      <c r="A1369" t="inlineStr">
        <is>
          <t>O01368</t>
        </is>
      </c>
      <c r="B1369" t="inlineStr">
        <is>
          <t>C0005</t>
        </is>
      </c>
      <c r="C1369" t="inlineStr">
        <is>
          <t>S014</t>
        </is>
      </c>
      <c r="D1369" t="inlineStr">
        <is>
          <t>R028</t>
        </is>
      </c>
      <c r="E1369" s="3" t="n">
        <v>46266.53125</v>
      </c>
      <c r="F1369" s="3" t="n">
        <v>46266.53986111111</v>
      </c>
      <c r="G1369" s="3" t="n">
        <v>46266.53951388889</v>
      </c>
      <c r="H1369" t="inlineStr">
        <is>
          <t>Delivered</t>
        </is>
      </c>
      <c r="I1369" t="n">
        <v>4</v>
      </c>
      <c r="J1369" t="n">
        <v>6</v>
      </c>
      <c r="K1369" t="n">
        <v>1096.78</v>
      </c>
      <c r="L1369" t="n">
        <v>2.49</v>
      </c>
      <c r="M1369" t="n">
        <v>3.4</v>
      </c>
      <c r="N1369" t="n">
        <v>3.8</v>
      </c>
      <c r="O1369" t="n">
        <v>4.7</v>
      </c>
      <c r="P1369" t="n">
        <v>12.4</v>
      </c>
      <c r="Q1369" t="n">
        <v>11.9</v>
      </c>
      <c r="R1369" t="n">
        <v>-0.5</v>
      </c>
      <c r="S1369" t="b">
        <v>1</v>
      </c>
      <c r="U1369" t="n">
        <v>12</v>
      </c>
      <c r="V1369" t="b">
        <v>0</v>
      </c>
      <c r="X1369" t="b">
        <v>0</v>
      </c>
      <c r="Y1369" t="n">
        <v>0.55</v>
      </c>
    </row>
    <row r="1370">
      <c r="A1370" t="inlineStr">
        <is>
          <t>O01369</t>
        </is>
      </c>
      <c r="B1370" t="inlineStr">
        <is>
          <t>C0102</t>
        </is>
      </c>
      <c r="C1370" t="inlineStr">
        <is>
          <t>S010</t>
        </is>
      </c>
      <c r="D1370" t="inlineStr">
        <is>
          <t>R024</t>
        </is>
      </c>
      <c r="E1370" s="3" t="n">
        <v>46274.98680555556</v>
      </c>
      <c r="F1370" s="3" t="n">
        <v>46274.99388888889</v>
      </c>
      <c r="G1370" s="3" t="n">
        <v>46274.99923611111</v>
      </c>
      <c r="H1370" t="inlineStr">
        <is>
          <t>Delivered</t>
        </is>
      </c>
      <c r="I1370" t="n">
        <v>2</v>
      </c>
      <c r="J1370" t="n">
        <v>3</v>
      </c>
      <c r="K1370" t="n">
        <v>855.49</v>
      </c>
      <c r="L1370" t="n">
        <v>0.79</v>
      </c>
      <c r="M1370" t="n">
        <v>7.9</v>
      </c>
      <c r="N1370" t="n">
        <v>7.5</v>
      </c>
      <c r="O1370" t="n">
        <v>2.6</v>
      </c>
      <c r="P1370" t="n">
        <v>10.2</v>
      </c>
      <c r="Q1370" t="n">
        <v>17.9</v>
      </c>
      <c r="R1370" t="n">
        <v>7.7</v>
      </c>
      <c r="S1370" t="b">
        <v>0</v>
      </c>
      <c r="U1370" t="n">
        <v>23</v>
      </c>
      <c r="V1370" t="b">
        <v>0</v>
      </c>
      <c r="X1370" t="b">
        <v>0</v>
      </c>
      <c r="Y1370" t="n">
        <v>0.33</v>
      </c>
    </row>
    <row r="1371">
      <c r="A1371" t="inlineStr">
        <is>
          <t>O01370</t>
        </is>
      </c>
      <c r="B1371" t="inlineStr">
        <is>
          <t>C0050</t>
        </is>
      </c>
      <c r="C1371" t="inlineStr">
        <is>
          <t>S016</t>
        </is>
      </c>
      <c r="D1371" t="inlineStr">
        <is>
          <t>R069</t>
        </is>
      </c>
      <c r="E1371" s="3" t="n">
        <v>46269.42361111111</v>
      </c>
      <c r="F1371" s="3" t="n">
        <v>46269.43076388889</v>
      </c>
      <c r="G1371" s="3" t="n">
        <v>46269.43055555555</v>
      </c>
      <c r="H1371" t="inlineStr">
        <is>
          <t>Delivered</t>
        </is>
      </c>
      <c r="I1371" t="n">
        <v>5</v>
      </c>
      <c r="J1371" t="n">
        <v>5</v>
      </c>
      <c r="K1371" t="n">
        <v>1175.2</v>
      </c>
      <c r="L1371" t="n">
        <v>0.9</v>
      </c>
      <c r="M1371" t="n">
        <v>4.2</v>
      </c>
      <c r="N1371" t="n">
        <v>3.7</v>
      </c>
      <c r="O1371" t="n">
        <v>2.1</v>
      </c>
      <c r="P1371" t="n">
        <v>10.3</v>
      </c>
      <c r="Q1371" t="n">
        <v>10</v>
      </c>
      <c r="R1371" t="n">
        <v>-0.3</v>
      </c>
      <c r="S1371" t="b">
        <v>1</v>
      </c>
      <c r="U1371" t="n">
        <v>10</v>
      </c>
      <c r="V1371" t="b">
        <v>0</v>
      </c>
      <c r="X1371" t="b">
        <v>0</v>
      </c>
      <c r="Y1371" t="n">
        <v>0.46</v>
      </c>
    </row>
    <row r="1372">
      <c r="A1372" t="inlineStr">
        <is>
          <t>O01371</t>
        </is>
      </c>
      <c r="B1372" t="inlineStr">
        <is>
          <t>C0155</t>
        </is>
      </c>
      <c r="C1372" t="inlineStr">
        <is>
          <t>S012</t>
        </is>
      </c>
      <c r="D1372" t="inlineStr">
        <is>
          <t>R043</t>
        </is>
      </c>
      <c r="E1372" s="3" t="n">
        <v>46271.69166666667</v>
      </c>
      <c r="F1372" s="3" t="n">
        <v>46271.69826388889</v>
      </c>
      <c r="G1372" s="3" t="n">
        <v>46271.69805555556</v>
      </c>
      <c r="H1372" t="inlineStr">
        <is>
          <t>Delivered</t>
        </is>
      </c>
      <c r="I1372" t="n">
        <v>6</v>
      </c>
      <c r="J1372" t="n">
        <v>7</v>
      </c>
      <c r="K1372" t="n">
        <v>516.34</v>
      </c>
      <c r="L1372" t="n">
        <v>0.72</v>
      </c>
      <c r="M1372" t="n">
        <v>4.3</v>
      </c>
      <c r="N1372" t="n">
        <v>2.3</v>
      </c>
      <c r="O1372" t="n">
        <v>2.6</v>
      </c>
      <c r="P1372" t="n">
        <v>9.5</v>
      </c>
      <c r="Q1372" t="n">
        <v>9.199999999999999</v>
      </c>
      <c r="R1372" t="n">
        <v>-0.3</v>
      </c>
      <c r="S1372" t="b">
        <v>1</v>
      </c>
      <c r="U1372" t="n">
        <v>16</v>
      </c>
      <c r="V1372" t="b">
        <v>0</v>
      </c>
      <c r="W1372" t="inlineStr">
        <is>
          <t>Light</t>
        </is>
      </c>
      <c r="X1372" t="b">
        <v>0</v>
      </c>
      <c r="Y1372" t="n">
        <v>0.59</v>
      </c>
    </row>
    <row r="1373">
      <c r="A1373" t="inlineStr">
        <is>
          <t>O01372</t>
        </is>
      </c>
      <c r="B1373" t="inlineStr">
        <is>
          <t>C0133</t>
        </is>
      </c>
      <c r="C1373" t="inlineStr">
        <is>
          <t>S013</t>
        </is>
      </c>
      <c r="D1373" t="inlineStr">
        <is>
          <t>R041</t>
        </is>
      </c>
      <c r="E1373" s="3" t="n">
        <v>46273.38541666666</v>
      </c>
      <c r="F1373" s="3" t="n">
        <v>46273.39229166666</v>
      </c>
      <c r="G1373" s="3" t="n">
        <v>46273.39208333333</v>
      </c>
      <c r="H1373" t="inlineStr">
        <is>
          <t>Delivered</t>
        </is>
      </c>
      <c r="I1373" t="n">
        <v>3</v>
      </c>
      <c r="J1373" t="n">
        <v>4</v>
      </c>
      <c r="K1373" t="n">
        <v>1387.78</v>
      </c>
      <c r="L1373" t="n">
        <v>3</v>
      </c>
      <c r="M1373" t="n">
        <v>2.9</v>
      </c>
      <c r="N1373" t="n">
        <v>2.9</v>
      </c>
      <c r="O1373" t="n">
        <v>3.8</v>
      </c>
      <c r="P1373" t="n">
        <v>9.9</v>
      </c>
      <c r="Q1373" t="n">
        <v>9.6</v>
      </c>
      <c r="R1373" t="n">
        <v>-0.3</v>
      </c>
      <c r="S1373" t="b">
        <v>1</v>
      </c>
      <c r="U1373" t="n">
        <v>9</v>
      </c>
      <c r="V1373" t="b">
        <v>0</v>
      </c>
      <c r="X1373" t="b">
        <v>0</v>
      </c>
      <c r="Y1373" t="n">
        <v>0.24</v>
      </c>
    </row>
    <row r="1374">
      <c r="A1374" t="inlineStr">
        <is>
          <t>O01373</t>
        </is>
      </c>
      <c r="B1374" t="inlineStr">
        <is>
          <t>C0066</t>
        </is>
      </c>
      <c r="C1374" t="inlineStr">
        <is>
          <t>S014</t>
        </is>
      </c>
      <c r="E1374" s="3" t="n">
        <v>46276.82083333333</v>
      </c>
      <c r="F1374" s="3" t="n">
        <v>46276.82583333334</v>
      </c>
      <c r="H1374" t="inlineStr">
        <is>
          <t>Cancelled</t>
        </is>
      </c>
      <c r="I1374" t="n">
        <v>3</v>
      </c>
      <c r="J1374" t="n">
        <v>8</v>
      </c>
      <c r="K1374" t="n">
        <v>278.73</v>
      </c>
      <c r="L1374" t="n">
        <v>1.11</v>
      </c>
      <c r="M1374" t="n">
        <v>6.7</v>
      </c>
      <c r="N1374" t="n">
        <v>11</v>
      </c>
      <c r="O1374" t="n">
        <v>4.6</v>
      </c>
      <c r="P1374" t="n">
        <v>7.2</v>
      </c>
      <c r="T1374" t="inlineStr">
        <is>
          <t>Item unavailable</t>
        </is>
      </c>
      <c r="U1374" t="n">
        <v>19</v>
      </c>
      <c r="V1374" t="b">
        <v>1</v>
      </c>
      <c r="X1374" t="b">
        <v>0</v>
      </c>
      <c r="Y1374" t="n">
        <v>0.66</v>
      </c>
    </row>
    <row r="1375">
      <c r="A1375" t="inlineStr">
        <is>
          <t>O01374</t>
        </is>
      </c>
      <c r="B1375" t="inlineStr">
        <is>
          <t>C0206</t>
        </is>
      </c>
      <c r="C1375" t="inlineStr">
        <is>
          <t>S002</t>
        </is>
      </c>
      <c r="D1375" t="inlineStr">
        <is>
          <t>R064</t>
        </is>
      </c>
      <c r="E1375" s="3" t="n">
        <v>46271.74305555555</v>
      </c>
      <c r="F1375" s="3" t="n">
        <v>46271.75118055556</v>
      </c>
      <c r="G1375" s="3" t="n">
        <v>46271.75097222222</v>
      </c>
      <c r="H1375" t="inlineStr">
        <is>
          <t>Delivered</t>
        </is>
      </c>
      <c r="I1375" t="n">
        <v>6</v>
      </c>
      <c r="J1375" t="n">
        <v>6</v>
      </c>
      <c r="K1375" t="n">
        <v>1656.88</v>
      </c>
      <c r="L1375" t="n">
        <v>0.59</v>
      </c>
      <c r="M1375" t="n">
        <v>3.1</v>
      </c>
      <c r="N1375" t="n">
        <v>5.2</v>
      </c>
      <c r="O1375" t="n">
        <v>3.1</v>
      </c>
      <c r="P1375" t="n">
        <v>11.7</v>
      </c>
      <c r="Q1375" t="n">
        <v>11.4</v>
      </c>
      <c r="R1375" t="n">
        <v>-0.3</v>
      </c>
      <c r="S1375" t="b">
        <v>1</v>
      </c>
      <c r="U1375" t="n">
        <v>17</v>
      </c>
      <c r="V1375" t="b">
        <v>0</v>
      </c>
      <c r="X1375" t="b">
        <v>0</v>
      </c>
      <c r="Y1375" t="n">
        <v>0.64</v>
      </c>
    </row>
    <row r="1376">
      <c r="A1376" t="inlineStr">
        <is>
          <t>O01375</t>
        </is>
      </c>
      <c r="B1376" t="inlineStr">
        <is>
          <t>C0051</t>
        </is>
      </c>
      <c r="C1376" t="inlineStr">
        <is>
          <t>S002</t>
        </is>
      </c>
      <c r="D1376" t="inlineStr">
        <is>
          <t>R061</t>
        </is>
      </c>
      <c r="E1376" s="3" t="n">
        <v>46268.80486111111</v>
      </c>
      <c r="F1376" s="3" t="n">
        <v>46268.81027777777</v>
      </c>
      <c r="G1376" s="3" t="n">
        <v>46268.81013888889</v>
      </c>
      <c r="H1376" t="inlineStr">
        <is>
          <t>Delivered</t>
        </is>
      </c>
      <c r="I1376" t="n">
        <v>6</v>
      </c>
      <c r="J1376" t="n">
        <v>8</v>
      </c>
      <c r="K1376" t="n">
        <v>563.23</v>
      </c>
      <c r="L1376" t="n">
        <v>2.51</v>
      </c>
      <c r="M1376" t="n">
        <v>1.5</v>
      </c>
      <c r="N1376" t="n">
        <v>2.8</v>
      </c>
      <c r="O1376" t="n">
        <v>3.3</v>
      </c>
      <c r="P1376" t="n">
        <v>7.8</v>
      </c>
      <c r="Q1376" t="n">
        <v>7.6</v>
      </c>
      <c r="R1376" t="n">
        <v>-0.2</v>
      </c>
      <c r="S1376" t="b">
        <v>1</v>
      </c>
      <c r="U1376" t="n">
        <v>19</v>
      </c>
      <c r="V1376" t="b">
        <v>1</v>
      </c>
      <c r="X1376" t="b">
        <v>1</v>
      </c>
      <c r="Y1376" t="n">
        <v>0.5</v>
      </c>
    </row>
    <row r="1377">
      <c r="A1377" t="inlineStr">
        <is>
          <t>O01376</t>
        </is>
      </c>
      <c r="B1377" t="inlineStr">
        <is>
          <t>C0155</t>
        </is>
      </c>
      <c r="C1377" t="inlineStr">
        <is>
          <t>S002</t>
        </is>
      </c>
      <c r="D1377" t="inlineStr">
        <is>
          <t>R006</t>
        </is>
      </c>
      <c r="E1377" s="3" t="n">
        <v>46267.79722222222</v>
      </c>
      <c r="F1377" s="3" t="n">
        <v>46267.80486111111</v>
      </c>
      <c r="G1377" s="3" t="n">
        <v>46267.80444444445</v>
      </c>
      <c r="H1377" t="inlineStr">
        <is>
          <t>Delivered</t>
        </is>
      </c>
      <c r="I1377" t="n">
        <v>4</v>
      </c>
      <c r="J1377" t="n">
        <v>7</v>
      </c>
      <c r="K1377" t="n">
        <v>1084.39</v>
      </c>
      <c r="L1377" t="n">
        <v>2.06</v>
      </c>
      <c r="M1377" t="n">
        <v>1.8</v>
      </c>
      <c r="N1377" t="n">
        <v>3.9</v>
      </c>
      <c r="O1377" t="n">
        <v>4.7</v>
      </c>
      <c r="P1377" t="n">
        <v>11</v>
      </c>
      <c r="Q1377" t="n">
        <v>10.4</v>
      </c>
      <c r="R1377" t="n">
        <v>-0.6</v>
      </c>
      <c r="S1377" t="b">
        <v>1</v>
      </c>
      <c r="U1377" t="n">
        <v>19</v>
      </c>
      <c r="V1377" t="b">
        <v>1</v>
      </c>
      <c r="X1377" t="b">
        <v>0</v>
      </c>
      <c r="Y1377" t="n">
        <v>0.96</v>
      </c>
    </row>
    <row r="1378">
      <c r="A1378" t="inlineStr">
        <is>
          <t>O01377</t>
        </is>
      </c>
      <c r="B1378" t="inlineStr">
        <is>
          <t>C0158</t>
        </is>
      </c>
      <c r="C1378" t="inlineStr">
        <is>
          <t>S007</t>
        </is>
      </c>
      <c r="D1378" t="inlineStr">
        <is>
          <t>R050</t>
        </is>
      </c>
      <c r="E1378" s="3" t="n">
        <v>46269.55347222222</v>
      </c>
      <c r="F1378" s="3" t="n">
        <v>46269.560625</v>
      </c>
      <c r="G1378" s="3" t="n">
        <v>46269.55916666667</v>
      </c>
      <c r="H1378" t="inlineStr">
        <is>
          <t>Delivered</t>
        </is>
      </c>
      <c r="I1378" t="n">
        <v>1</v>
      </c>
      <c r="J1378" t="n">
        <v>2</v>
      </c>
      <c r="K1378" t="n">
        <v>880.54</v>
      </c>
      <c r="L1378" t="n">
        <v>0.74</v>
      </c>
      <c r="M1378" t="n">
        <v>4.9</v>
      </c>
      <c r="N1378" t="n">
        <v>0.7</v>
      </c>
      <c r="O1378" t="n">
        <v>2.7</v>
      </c>
      <c r="P1378" t="n">
        <v>10.3</v>
      </c>
      <c r="Q1378" t="n">
        <v>8.199999999999999</v>
      </c>
      <c r="R1378" t="n">
        <v>-2.1</v>
      </c>
      <c r="S1378" t="b">
        <v>1</v>
      </c>
      <c r="U1378" t="n">
        <v>13</v>
      </c>
      <c r="V1378" t="b">
        <v>0</v>
      </c>
      <c r="X1378" t="b">
        <v>0</v>
      </c>
      <c r="Y1378" t="n">
        <v>0.41</v>
      </c>
    </row>
    <row r="1379">
      <c r="A1379" t="inlineStr">
        <is>
          <t>O01378</t>
        </is>
      </c>
      <c r="B1379" t="inlineStr">
        <is>
          <t>C0160</t>
        </is>
      </c>
      <c r="C1379" t="inlineStr">
        <is>
          <t>S016</t>
        </is>
      </c>
      <c r="D1379" t="inlineStr">
        <is>
          <t>R025</t>
        </is>
      </c>
      <c r="E1379" s="3" t="n">
        <v>46272.79652777778</v>
      </c>
      <c r="F1379" s="3" t="n">
        <v>46272.80368055555</v>
      </c>
      <c r="G1379" s="3" t="n">
        <v>46272.80298611111</v>
      </c>
      <c r="H1379" t="inlineStr">
        <is>
          <t>Delivered</t>
        </is>
      </c>
      <c r="I1379" t="n">
        <v>4</v>
      </c>
      <c r="J1379" t="n">
        <v>7</v>
      </c>
      <c r="K1379" t="n">
        <v>1199.38</v>
      </c>
      <c r="L1379" t="n">
        <v>2.17</v>
      </c>
      <c r="M1379" t="n">
        <v>3.9</v>
      </c>
      <c r="N1379" t="n">
        <v>1.7</v>
      </c>
      <c r="O1379" t="n">
        <v>3.7</v>
      </c>
      <c r="P1379" t="n">
        <v>10.3</v>
      </c>
      <c r="Q1379" t="n">
        <v>9.300000000000001</v>
      </c>
      <c r="R1379" t="n">
        <v>-1</v>
      </c>
      <c r="S1379" t="b">
        <v>1</v>
      </c>
      <c r="U1379" t="n">
        <v>19</v>
      </c>
      <c r="V1379" t="b">
        <v>1</v>
      </c>
      <c r="X1379" t="b">
        <v>0</v>
      </c>
      <c r="Y1379" t="n">
        <v>0.67</v>
      </c>
    </row>
    <row r="1380">
      <c r="A1380" t="inlineStr">
        <is>
          <t>O01379</t>
        </is>
      </c>
      <c r="B1380" t="inlineStr">
        <is>
          <t>C0005</t>
        </is>
      </c>
      <c r="C1380" t="inlineStr">
        <is>
          <t>S014</t>
        </is>
      </c>
      <c r="D1380" t="inlineStr">
        <is>
          <t>R042</t>
        </is>
      </c>
      <c r="E1380" s="3" t="n">
        <v>46272.67569444444</v>
      </c>
      <c r="F1380" s="3" t="n">
        <v>46272.68236111111</v>
      </c>
      <c r="G1380" s="3" t="n">
        <v>46272.68152777778</v>
      </c>
      <c r="H1380" t="inlineStr">
        <is>
          <t>Delivered</t>
        </is>
      </c>
      <c r="I1380" t="n">
        <v>5</v>
      </c>
      <c r="J1380" t="n">
        <v>6</v>
      </c>
      <c r="K1380" t="n">
        <v>698.72</v>
      </c>
      <c r="L1380" t="n">
        <v>0.57</v>
      </c>
      <c r="M1380" t="n">
        <v>4.7</v>
      </c>
      <c r="N1380" t="n">
        <v>0.7</v>
      </c>
      <c r="O1380" t="n">
        <v>2.9</v>
      </c>
      <c r="P1380" t="n">
        <v>9.6</v>
      </c>
      <c r="Q1380" t="n">
        <v>8.4</v>
      </c>
      <c r="R1380" t="n">
        <v>-1.2</v>
      </c>
      <c r="S1380" t="b">
        <v>1</v>
      </c>
      <c r="U1380" t="n">
        <v>16</v>
      </c>
      <c r="V1380" t="b">
        <v>0</v>
      </c>
      <c r="W1380" t="inlineStr">
        <is>
          <t>Light</t>
        </is>
      </c>
      <c r="X1380" t="b">
        <v>0</v>
      </c>
      <c r="Y1380" t="n">
        <v>0.39</v>
      </c>
    </row>
    <row r="1381">
      <c r="A1381" t="inlineStr">
        <is>
          <t>O01380</t>
        </is>
      </c>
      <c r="B1381" t="inlineStr">
        <is>
          <t>C0171</t>
        </is>
      </c>
      <c r="C1381" t="inlineStr">
        <is>
          <t>S019</t>
        </is>
      </c>
      <c r="D1381" t="inlineStr">
        <is>
          <t>R026</t>
        </is>
      </c>
      <c r="E1381" s="3" t="n">
        <v>46269.97708333333</v>
      </c>
      <c r="F1381" s="3" t="n">
        <v>46269.98354166667</v>
      </c>
      <c r="G1381" s="3" t="n">
        <v>46269.98340277778</v>
      </c>
      <c r="H1381" t="inlineStr">
        <is>
          <t>Delivered</t>
        </is>
      </c>
      <c r="I1381" t="n">
        <v>4</v>
      </c>
      <c r="J1381" t="n">
        <v>7</v>
      </c>
      <c r="K1381" t="n">
        <v>323.26</v>
      </c>
      <c r="L1381" t="n">
        <v>0.68</v>
      </c>
      <c r="M1381" t="n">
        <v>3.6</v>
      </c>
      <c r="N1381" t="n">
        <v>3</v>
      </c>
      <c r="O1381" t="n">
        <v>2.5</v>
      </c>
      <c r="P1381" t="n">
        <v>9.300000000000001</v>
      </c>
      <c r="Q1381" t="n">
        <v>9.1</v>
      </c>
      <c r="R1381" t="n">
        <v>-0.2</v>
      </c>
      <c r="S1381" t="b">
        <v>1</v>
      </c>
      <c r="U1381" t="n">
        <v>23</v>
      </c>
      <c r="V1381" t="b">
        <v>0</v>
      </c>
      <c r="X1381" t="b">
        <v>0</v>
      </c>
      <c r="Y1381" t="n">
        <v>0.71</v>
      </c>
    </row>
    <row r="1382">
      <c r="A1382" t="inlineStr">
        <is>
          <t>O01381</t>
        </is>
      </c>
      <c r="B1382" t="inlineStr">
        <is>
          <t>C0010</t>
        </is>
      </c>
      <c r="C1382" t="inlineStr">
        <is>
          <t>S002</t>
        </is>
      </c>
      <c r="D1382" t="inlineStr">
        <is>
          <t>R035</t>
        </is>
      </c>
      <c r="E1382" s="3" t="n">
        <v>46266.8875</v>
      </c>
      <c r="F1382" s="3" t="n">
        <v>46266.89416666667</v>
      </c>
      <c r="G1382" s="3" t="n">
        <v>46266.89354166666</v>
      </c>
      <c r="H1382" t="inlineStr">
        <is>
          <t>Delivered</t>
        </is>
      </c>
      <c r="I1382" t="n">
        <v>4</v>
      </c>
      <c r="J1382" t="n">
        <v>8</v>
      </c>
      <c r="K1382" t="n">
        <v>994.73</v>
      </c>
      <c r="L1382" t="n">
        <v>2.24</v>
      </c>
      <c r="M1382" t="n">
        <v>1.1</v>
      </c>
      <c r="N1382" t="n">
        <v>3.2</v>
      </c>
      <c r="O1382" t="n">
        <v>4.4</v>
      </c>
      <c r="P1382" t="n">
        <v>9.6</v>
      </c>
      <c r="Q1382" t="n">
        <v>8.699999999999999</v>
      </c>
      <c r="R1382" t="n">
        <v>-0.9</v>
      </c>
      <c r="S1382" t="b">
        <v>1</v>
      </c>
      <c r="U1382" t="n">
        <v>21</v>
      </c>
      <c r="V1382" t="b">
        <v>1</v>
      </c>
      <c r="W1382" t="inlineStr">
        <is>
          <t>Heavy</t>
        </is>
      </c>
      <c r="X1382" t="b">
        <v>0</v>
      </c>
      <c r="Y1382" t="n">
        <v>0.77</v>
      </c>
    </row>
    <row r="1383">
      <c r="A1383" t="inlineStr">
        <is>
          <t>O01382</t>
        </is>
      </c>
      <c r="B1383" t="inlineStr">
        <is>
          <t>C0062</t>
        </is>
      </c>
      <c r="C1383" t="inlineStr">
        <is>
          <t>S005</t>
        </is>
      </c>
      <c r="D1383" t="inlineStr">
        <is>
          <t>R032</t>
        </is>
      </c>
      <c r="E1383" s="3" t="n">
        <v>46271.99166666667</v>
      </c>
      <c r="F1383" s="3" t="n">
        <v>46271.99951388889</v>
      </c>
      <c r="G1383" s="3" t="n">
        <v>46271.998125</v>
      </c>
      <c r="H1383" t="inlineStr">
        <is>
          <t>Delivered</t>
        </is>
      </c>
      <c r="I1383" t="n">
        <v>3</v>
      </c>
      <c r="J1383" t="n">
        <v>5</v>
      </c>
      <c r="K1383" t="n">
        <v>1326.75</v>
      </c>
      <c r="L1383" t="n">
        <v>1.69</v>
      </c>
      <c r="M1383" t="n">
        <v>4.7</v>
      </c>
      <c r="N1383" t="n">
        <v>0</v>
      </c>
      <c r="O1383" t="n">
        <v>4.6</v>
      </c>
      <c r="P1383" t="n">
        <v>11.3</v>
      </c>
      <c r="Q1383" t="n">
        <v>9.300000000000001</v>
      </c>
      <c r="R1383" t="n">
        <v>-2</v>
      </c>
      <c r="S1383" t="b">
        <v>1</v>
      </c>
      <c r="U1383" t="n">
        <v>23</v>
      </c>
      <c r="V1383" t="b">
        <v>0</v>
      </c>
      <c r="X1383" t="b">
        <v>0</v>
      </c>
      <c r="Y1383" t="n">
        <v>0.5</v>
      </c>
    </row>
    <row r="1384">
      <c r="A1384" t="inlineStr">
        <is>
          <t>O01383</t>
        </is>
      </c>
      <c r="B1384" t="inlineStr">
        <is>
          <t>C0112</t>
        </is>
      </c>
      <c r="C1384" t="inlineStr">
        <is>
          <t>S019</t>
        </is>
      </c>
      <c r="D1384" t="inlineStr">
        <is>
          <t>R039</t>
        </is>
      </c>
      <c r="E1384" s="3" t="n">
        <v>46278.74861111111</v>
      </c>
      <c r="F1384" s="3" t="n">
        <v>46278.75541666667</v>
      </c>
      <c r="G1384" s="3" t="n">
        <v>46278.75520833334</v>
      </c>
      <c r="H1384" t="inlineStr">
        <is>
          <t>Delivered</t>
        </is>
      </c>
      <c r="I1384" t="n">
        <v>4</v>
      </c>
      <c r="J1384" t="n">
        <v>4</v>
      </c>
      <c r="K1384" t="n">
        <v>349.79</v>
      </c>
      <c r="L1384" t="n">
        <v>2.5</v>
      </c>
      <c r="M1384" t="n">
        <v>3.2</v>
      </c>
      <c r="N1384" t="n">
        <v>2.8</v>
      </c>
      <c r="O1384" t="n">
        <v>3.5</v>
      </c>
      <c r="P1384" t="n">
        <v>9.800000000000001</v>
      </c>
      <c r="Q1384" t="n">
        <v>9.5</v>
      </c>
      <c r="R1384" t="n">
        <v>-0.3</v>
      </c>
      <c r="S1384" t="b">
        <v>1</v>
      </c>
      <c r="U1384" t="n">
        <v>17</v>
      </c>
      <c r="V1384" t="b">
        <v>0</v>
      </c>
      <c r="X1384" t="b">
        <v>0</v>
      </c>
      <c r="Y1384" t="n">
        <v>0.49</v>
      </c>
    </row>
    <row r="1385">
      <c r="A1385" t="inlineStr">
        <is>
          <t>O01384</t>
        </is>
      </c>
      <c r="B1385" t="inlineStr">
        <is>
          <t>C0041</t>
        </is>
      </c>
      <c r="C1385" t="inlineStr">
        <is>
          <t>S001</t>
        </is>
      </c>
      <c r="D1385" t="inlineStr">
        <is>
          <t>R037</t>
        </is>
      </c>
      <c r="E1385" s="3" t="n">
        <v>46271.33541666667</v>
      </c>
      <c r="F1385" s="3" t="n">
        <v>46271.34319444445</v>
      </c>
      <c r="G1385" s="3" t="n">
        <v>46271.34284722222</v>
      </c>
      <c r="H1385" t="inlineStr">
        <is>
          <t>Delivered</t>
        </is>
      </c>
      <c r="I1385" t="n">
        <v>4</v>
      </c>
      <c r="J1385" t="n">
        <v>11</v>
      </c>
      <c r="K1385" t="n">
        <v>1465.27</v>
      </c>
      <c r="L1385" t="n">
        <v>2.43</v>
      </c>
      <c r="M1385" t="n">
        <v>2.5</v>
      </c>
      <c r="N1385" t="n">
        <v>4.4</v>
      </c>
      <c r="O1385" t="n">
        <v>3.8</v>
      </c>
      <c r="P1385" t="n">
        <v>11.2</v>
      </c>
      <c r="Q1385" t="n">
        <v>10.7</v>
      </c>
      <c r="R1385" t="n">
        <v>-0.5</v>
      </c>
      <c r="S1385" t="b">
        <v>1</v>
      </c>
      <c r="U1385" t="n">
        <v>8</v>
      </c>
      <c r="V1385" t="b">
        <v>0</v>
      </c>
      <c r="X1385" t="b">
        <v>0</v>
      </c>
      <c r="Y1385" t="n">
        <v>0.63</v>
      </c>
    </row>
    <row r="1386">
      <c r="A1386" t="inlineStr">
        <is>
          <t>O01385</t>
        </is>
      </c>
      <c r="B1386" t="inlineStr">
        <is>
          <t>C0035</t>
        </is>
      </c>
      <c r="C1386" t="inlineStr">
        <is>
          <t>S015</t>
        </is>
      </c>
      <c r="D1386" t="inlineStr">
        <is>
          <t>R076</t>
        </is>
      </c>
      <c r="E1386" s="3" t="n">
        <v>46274.60972222222</v>
      </c>
      <c r="F1386" s="3" t="n">
        <v>46274.61597222222</v>
      </c>
      <c r="G1386" s="3" t="n">
        <v>46274.61576388889</v>
      </c>
      <c r="H1386" t="inlineStr">
        <is>
          <t>Delivered</t>
        </is>
      </c>
      <c r="I1386" t="n">
        <v>1</v>
      </c>
      <c r="J1386" t="n">
        <v>7</v>
      </c>
      <c r="K1386" t="n">
        <v>1563.47</v>
      </c>
      <c r="L1386" t="n">
        <v>0.97</v>
      </c>
      <c r="M1386" t="n">
        <v>3.7</v>
      </c>
      <c r="N1386" t="n">
        <v>2</v>
      </c>
      <c r="O1386" t="n">
        <v>3</v>
      </c>
      <c r="P1386" t="n">
        <v>9</v>
      </c>
      <c r="Q1386" t="n">
        <v>8.699999999999999</v>
      </c>
      <c r="R1386" t="n">
        <v>-0.3</v>
      </c>
      <c r="S1386" t="b">
        <v>1</v>
      </c>
      <c r="U1386" t="n">
        <v>14</v>
      </c>
      <c r="V1386" t="b">
        <v>0</v>
      </c>
      <c r="W1386" t="inlineStr">
        <is>
          <t>Light</t>
        </is>
      </c>
      <c r="X1386" t="b">
        <v>0</v>
      </c>
      <c r="Y1386" t="n">
        <v>0.3</v>
      </c>
    </row>
    <row r="1387">
      <c r="A1387" t="inlineStr">
        <is>
          <t>O01386</t>
        </is>
      </c>
      <c r="B1387" t="inlineStr">
        <is>
          <t>C0184</t>
        </is>
      </c>
      <c r="C1387" t="inlineStr">
        <is>
          <t>S002</t>
        </is>
      </c>
      <c r="D1387" t="inlineStr">
        <is>
          <t>R031</t>
        </is>
      </c>
      <c r="E1387" s="3" t="n">
        <v>46269.81597222222</v>
      </c>
      <c r="F1387" s="3" t="n">
        <v>46269.82368055556</v>
      </c>
      <c r="G1387" s="3" t="n">
        <v>46269.82701388889</v>
      </c>
      <c r="H1387" t="inlineStr">
        <is>
          <t>Delivered</t>
        </is>
      </c>
      <c r="I1387" t="n">
        <v>3</v>
      </c>
      <c r="J1387" t="n">
        <v>10</v>
      </c>
      <c r="K1387" t="n">
        <v>994.11</v>
      </c>
      <c r="L1387" t="n">
        <v>0.5</v>
      </c>
      <c r="M1387" t="n">
        <v>2.3</v>
      </c>
      <c r="N1387" t="n">
        <v>11.4</v>
      </c>
      <c r="O1387" t="n">
        <v>2.3</v>
      </c>
      <c r="P1387" t="n">
        <v>11.1</v>
      </c>
      <c r="Q1387" t="n">
        <v>15.9</v>
      </c>
      <c r="R1387" t="n">
        <v>4.8</v>
      </c>
      <c r="S1387" t="b">
        <v>0</v>
      </c>
      <c r="U1387" t="n">
        <v>19</v>
      </c>
      <c r="V1387" t="b">
        <v>1</v>
      </c>
      <c r="X1387" t="b">
        <v>0</v>
      </c>
      <c r="Y1387" t="n">
        <v>0.37</v>
      </c>
    </row>
    <row r="1388">
      <c r="A1388" t="inlineStr">
        <is>
          <t>O01387</t>
        </is>
      </c>
      <c r="B1388" t="inlineStr">
        <is>
          <t>C0225</t>
        </is>
      </c>
      <c r="C1388" t="inlineStr">
        <is>
          <t>S014</t>
        </is>
      </c>
      <c r="D1388" t="inlineStr">
        <is>
          <t>R012</t>
        </is>
      </c>
      <c r="E1388" s="3" t="n">
        <v>46271.93819444445</v>
      </c>
      <c r="F1388" s="3" t="n">
        <v>46271.94576388889</v>
      </c>
      <c r="G1388" s="3" t="n">
        <v>46271.95131944444</v>
      </c>
      <c r="H1388" t="inlineStr">
        <is>
          <t>Delivered</t>
        </is>
      </c>
      <c r="I1388" t="n">
        <v>2</v>
      </c>
      <c r="J1388" t="n">
        <v>3</v>
      </c>
      <c r="K1388" t="n">
        <v>1357.15</v>
      </c>
      <c r="L1388" t="n">
        <v>3.3</v>
      </c>
      <c r="M1388" t="n">
        <v>4.7</v>
      </c>
      <c r="N1388" t="n">
        <v>5.6</v>
      </c>
      <c r="O1388" t="n">
        <v>8.699999999999999</v>
      </c>
      <c r="P1388" t="n">
        <v>10.9</v>
      </c>
      <c r="Q1388" t="n">
        <v>18.9</v>
      </c>
      <c r="R1388" t="n">
        <v>8</v>
      </c>
      <c r="S1388" t="b">
        <v>0</v>
      </c>
      <c r="U1388" t="n">
        <v>22</v>
      </c>
      <c r="V1388" t="b">
        <v>0</v>
      </c>
      <c r="X1388" t="b">
        <v>0</v>
      </c>
      <c r="Y1388" t="n">
        <v>0.54</v>
      </c>
    </row>
    <row r="1389">
      <c r="A1389" t="inlineStr">
        <is>
          <t>O01388</t>
        </is>
      </c>
      <c r="B1389" t="inlineStr">
        <is>
          <t>C0018</t>
        </is>
      </c>
      <c r="C1389" t="inlineStr">
        <is>
          <t>S014</t>
        </is>
      </c>
      <c r="D1389" t="inlineStr">
        <is>
          <t>R042</t>
        </is>
      </c>
      <c r="E1389" s="3" t="n">
        <v>46273.52847222222</v>
      </c>
      <c r="F1389" s="3" t="n">
        <v>46273.53423611111</v>
      </c>
      <c r="G1389" s="3" t="n">
        <v>46273.53409722223</v>
      </c>
      <c r="H1389" t="inlineStr">
        <is>
          <t>Delivered</t>
        </is>
      </c>
      <c r="I1389" t="n">
        <v>1</v>
      </c>
      <c r="J1389" t="n">
        <v>4</v>
      </c>
      <c r="K1389" t="n">
        <v>928.5</v>
      </c>
      <c r="L1389" t="n">
        <v>3.3</v>
      </c>
      <c r="M1389" t="n">
        <v>3.2</v>
      </c>
      <c r="N1389" t="n">
        <v>0.8</v>
      </c>
      <c r="O1389" t="n">
        <v>4.1</v>
      </c>
      <c r="P1389" t="n">
        <v>8.300000000000001</v>
      </c>
      <c r="Q1389" t="n">
        <v>8.1</v>
      </c>
      <c r="R1389" t="n">
        <v>-0.2</v>
      </c>
      <c r="S1389" t="b">
        <v>1</v>
      </c>
      <c r="U1389" t="n">
        <v>12</v>
      </c>
      <c r="V1389" t="b">
        <v>0</v>
      </c>
      <c r="X1389" t="b">
        <v>0</v>
      </c>
      <c r="Y1389" t="n">
        <v>0.42</v>
      </c>
    </row>
    <row r="1390">
      <c r="A1390" t="inlineStr">
        <is>
          <t>O01389</t>
        </is>
      </c>
      <c r="B1390" t="inlineStr">
        <is>
          <t>C0007</t>
        </is>
      </c>
      <c r="C1390" t="inlineStr">
        <is>
          <t>S001</t>
        </is>
      </c>
      <c r="D1390" t="inlineStr">
        <is>
          <t>R043</t>
        </is>
      </c>
      <c r="E1390" s="3" t="n">
        <v>46270.73055555556</v>
      </c>
      <c r="F1390" s="3" t="n">
        <v>46270.73847222222</v>
      </c>
      <c r="G1390" s="3" t="n">
        <v>46270.73736111111</v>
      </c>
      <c r="H1390" t="inlineStr">
        <is>
          <t>Delivered</t>
        </is>
      </c>
      <c r="I1390" t="n">
        <v>4</v>
      </c>
      <c r="J1390" t="n">
        <v>4</v>
      </c>
      <c r="K1390" t="n">
        <v>431.34</v>
      </c>
      <c r="L1390" t="n">
        <v>0.5</v>
      </c>
      <c r="M1390" t="n">
        <v>5.8</v>
      </c>
      <c r="N1390" t="n">
        <v>1.2</v>
      </c>
      <c r="O1390" t="n">
        <v>2.9</v>
      </c>
      <c r="P1390" t="n">
        <v>11.4</v>
      </c>
      <c r="Q1390" t="n">
        <v>9.800000000000001</v>
      </c>
      <c r="R1390" t="n">
        <v>-1.6</v>
      </c>
      <c r="S1390" t="b">
        <v>1</v>
      </c>
      <c r="U1390" t="n">
        <v>17</v>
      </c>
      <c r="V1390" t="b">
        <v>0</v>
      </c>
      <c r="X1390" t="b">
        <v>0</v>
      </c>
      <c r="Y1390" t="n">
        <v>0.6</v>
      </c>
    </row>
    <row r="1391">
      <c r="A1391" t="inlineStr">
        <is>
          <t>O01390</t>
        </is>
      </c>
      <c r="B1391" t="inlineStr">
        <is>
          <t>C0057</t>
        </is>
      </c>
      <c r="C1391" t="inlineStr">
        <is>
          <t>S002</t>
        </is>
      </c>
      <c r="D1391" t="inlineStr">
        <is>
          <t>R013</t>
        </is>
      </c>
      <c r="E1391" s="3" t="n">
        <v>46273.60416666666</v>
      </c>
      <c r="F1391" s="3" t="n">
        <v>46273.61152777778</v>
      </c>
      <c r="G1391" s="3" t="n">
        <v>46273.6175</v>
      </c>
      <c r="H1391" t="inlineStr">
        <is>
          <t>Delivered</t>
        </is>
      </c>
      <c r="I1391" t="n">
        <v>3</v>
      </c>
      <c r="J1391" t="n">
        <v>8</v>
      </c>
      <c r="K1391" t="n">
        <v>1082.52</v>
      </c>
      <c r="L1391" t="n">
        <v>3.75</v>
      </c>
      <c r="M1391" t="n">
        <v>4.1</v>
      </c>
      <c r="N1391" t="n">
        <v>6.6</v>
      </c>
      <c r="O1391" t="n">
        <v>8.5</v>
      </c>
      <c r="P1391" t="n">
        <v>10.6</v>
      </c>
      <c r="Q1391" t="n">
        <v>19.2</v>
      </c>
      <c r="R1391" t="n">
        <v>8.6</v>
      </c>
      <c r="S1391" t="b">
        <v>0</v>
      </c>
      <c r="U1391" t="n">
        <v>14</v>
      </c>
      <c r="V1391" t="b">
        <v>0</v>
      </c>
      <c r="X1391" t="b">
        <v>0</v>
      </c>
      <c r="Y1391" t="n">
        <v>0.58</v>
      </c>
    </row>
    <row r="1392">
      <c r="A1392" t="inlineStr">
        <is>
          <t>O01391</t>
        </is>
      </c>
      <c r="B1392" t="inlineStr">
        <is>
          <t>C0238</t>
        </is>
      </c>
      <c r="C1392" t="inlineStr">
        <is>
          <t>S011</t>
        </is>
      </c>
      <c r="D1392" t="inlineStr">
        <is>
          <t>R052</t>
        </is>
      </c>
      <c r="E1392" s="3" t="n">
        <v>46274.54097222222</v>
      </c>
      <c r="F1392" s="3" t="n">
        <v>46274.54756944445</v>
      </c>
      <c r="G1392" s="3" t="n">
        <v>46274.54680555555</v>
      </c>
      <c r="H1392" t="inlineStr">
        <is>
          <t>Delivered</t>
        </is>
      </c>
      <c r="I1392" t="n">
        <v>5</v>
      </c>
      <c r="J1392" t="n">
        <v>5</v>
      </c>
      <c r="K1392" t="n">
        <v>464.29</v>
      </c>
      <c r="L1392" t="n">
        <v>0.5</v>
      </c>
      <c r="M1392" t="n">
        <v>4.8</v>
      </c>
      <c r="N1392" t="n">
        <v>2.2</v>
      </c>
      <c r="O1392" t="n">
        <v>1.4</v>
      </c>
      <c r="P1392" t="n">
        <v>9.5</v>
      </c>
      <c r="Q1392" t="n">
        <v>8.4</v>
      </c>
      <c r="R1392" t="n">
        <v>-1.1</v>
      </c>
      <c r="S1392" t="b">
        <v>1</v>
      </c>
      <c r="U1392" t="n">
        <v>12</v>
      </c>
      <c r="V1392" t="b">
        <v>0</v>
      </c>
      <c r="X1392" t="b">
        <v>0</v>
      </c>
      <c r="Y1392" t="n">
        <v>0.22</v>
      </c>
    </row>
    <row r="1393">
      <c r="A1393" t="inlineStr">
        <is>
          <t>O01392</t>
        </is>
      </c>
      <c r="B1393" t="inlineStr">
        <is>
          <t>C0130</t>
        </is>
      </c>
      <c r="C1393" t="inlineStr">
        <is>
          <t>S017</t>
        </is>
      </c>
      <c r="D1393" t="inlineStr">
        <is>
          <t>R012</t>
        </is>
      </c>
      <c r="E1393" s="3" t="n">
        <v>46273.76041666666</v>
      </c>
      <c r="F1393" s="3" t="n">
        <v>46273.768125</v>
      </c>
      <c r="G1393" s="3" t="n">
        <v>46273.76736111111</v>
      </c>
      <c r="H1393" t="inlineStr">
        <is>
          <t>Delivered</t>
        </is>
      </c>
      <c r="I1393" t="n">
        <v>3</v>
      </c>
      <c r="J1393" t="n">
        <v>5</v>
      </c>
      <c r="K1393" t="n">
        <v>733.9299999999999</v>
      </c>
      <c r="L1393" t="n">
        <v>4</v>
      </c>
      <c r="M1393" t="n">
        <v>1.8</v>
      </c>
      <c r="N1393" t="n">
        <v>3.4</v>
      </c>
      <c r="O1393" t="n">
        <v>4.8</v>
      </c>
      <c r="P1393" t="n">
        <v>11.1</v>
      </c>
      <c r="Q1393" t="n">
        <v>10</v>
      </c>
      <c r="R1393" t="n">
        <v>-1.1</v>
      </c>
      <c r="S1393" t="b">
        <v>1</v>
      </c>
      <c r="U1393" t="n">
        <v>18</v>
      </c>
      <c r="V1393" t="b">
        <v>0</v>
      </c>
      <c r="X1393" t="b">
        <v>0</v>
      </c>
      <c r="Y1393" t="n">
        <v>0.23</v>
      </c>
    </row>
    <row r="1394">
      <c r="A1394" t="inlineStr">
        <is>
          <t>O01393</t>
        </is>
      </c>
      <c r="B1394" t="inlineStr">
        <is>
          <t>C0188</t>
        </is>
      </c>
      <c r="C1394" t="inlineStr">
        <is>
          <t>S005</t>
        </is>
      </c>
      <c r="D1394" t="inlineStr">
        <is>
          <t>R073</t>
        </is>
      </c>
      <c r="E1394" s="3" t="n">
        <v>46271.53333333333</v>
      </c>
      <c r="F1394" s="3" t="n">
        <v>46271.54090277778</v>
      </c>
      <c r="G1394" s="3" t="n">
        <v>46271.54298611111</v>
      </c>
      <c r="H1394" t="inlineStr">
        <is>
          <t>Delivered</t>
        </is>
      </c>
      <c r="I1394" t="n">
        <v>6</v>
      </c>
      <c r="J1394" t="n">
        <v>12</v>
      </c>
      <c r="K1394" t="n">
        <v>1043.2</v>
      </c>
      <c r="L1394" t="n">
        <v>1.94</v>
      </c>
      <c r="M1394" t="n">
        <v>5.1</v>
      </c>
      <c r="N1394" t="n">
        <v>4.4</v>
      </c>
      <c r="O1394" t="n">
        <v>4.4</v>
      </c>
      <c r="P1394" t="n">
        <v>10.9</v>
      </c>
      <c r="Q1394" t="n">
        <v>13.9</v>
      </c>
      <c r="R1394" t="n">
        <v>3</v>
      </c>
      <c r="S1394" t="b">
        <v>0</v>
      </c>
      <c r="U1394" t="n">
        <v>12</v>
      </c>
      <c r="V1394" t="b">
        <v>0</v>
      </c>
      <c r="X1394" t="b">
        <v>0</v>
      </c>
      <c r="Y1394" t="n">
        <v>0.26</v>
      </c>
    </row>
    <row r="1395">
      <c r="A1395" t="inlineStr">
        <is>
          <t>O01394</t>
        </is>
      </c>
      <c r="B1395" t="inlineStr">
        <is>
          <t>C0202</t>
        </is>
      </c>
      <c r="C1395" t="inlineStr">
        <is>
          <t>S019</t>
        </is>
      </c>
      <c r="D1395" t="inlineStr">
        <is>
          <t>R002</t>
        </is>
      </c>
      <c r="E1395" s="3" t="n">
        <v>46271.91180555556</v>
      </c>
      <c r="F1395" s="3" t="n">
        <v>46271.91791666667</v>
      </c>
      <c r="G1395" s="3" t="n">
        <v>46271.91770833333</v>
      </c>
      <c r="H1395" t="inlineStr">
        <is>
          <t>Delivered</t>
        </is>
      </c>
      <c r="I1395" t="n">
        <v>3</v>
      </c>
      <c r="J1395" t="n">
        <v>4</v>
      </c>
      <c r="K1395" t="n">
        <v>1467.57</v>
      </c>
      <c r="L1395" t="n">
        <v>2.28</v>
      </c>
      <c r="M1395" t="n">
        <v>2.2</v>
      </c>
      <c r="N1395" t="n">
        <v>3.7</v>
      </c>
      <c r="O1395" t="n">
        <v>2.6</v>
      </c>
      <c r="P1395" t="n">
        <v>8.800000000000001</v>
      </c>
      <c r="Q1395" t="n">
        <v>8.5</v>
      </c>
      <c r="R1395" t="n">
        <v>-0.3</v>
      </c>
      <c r="S1395" t="b">
        <v>1</v>
      </c>
      <c r="U1395" t="n">
        <v>21</v>
      </c>
      <c r="V1395" t="b">
        <v>1</v>
      </c>
      <c r="X1395" t="b">
        <v>0</v>
      </c>
      <c r="Y1395" t="n">
        <v>0.47</v>
      </c>
    </row>
    <row r="1396">
      <c r="A1396" t="inlineStr">
        <is>
          <t>O01395</t>
        </is>
      </c>
      <c r="B1396" t="inlineStr">
        <is>
          <t>C0115</t>
        </is>
      </c>
      <c r="C1396" t="inlineStr">
        <is>
          <t>S004</t>
        </is>
      </c>
      <c r="D1396" t="inlineStr">
        <is>
          <t>R070</t>
        </is>
      </c>
      <c r="E1396" s="3" t="n">
        <v>46275.8875</v>
      </c>
      <c r="F1396" s="3" t="n">
        <v>46275.89506944444</v>
      </c>
      <c r="G1396" s="3" t="n">
        <v>46275.89493055556</v>
      </c>
      <c r="H1396" t="inlineStr">
        <is>
          <t>Delivered</t>
        </is>
      </c>
      <c r="I1396" t="n">
        <v>6</v>
      </c>
      <c r="J1396" t="n">
        <v>7</v>
      </c>
      <c r="K1396" t="n">
        <v>516.6799999999999</v>
      </c>
      <c r="L1396" t="n">
        <v>1.54</v>
      </c>
      <c r="M1396" t="n">
        <v>2.5</v>
      </c>
      <c r="N1396" t="n">
        <v>4.6</v>
      </c>
      <c r="O1396" t="n">
        <v>3.6</v>
      </c>
      <c r="P1396" t="n">
        <v>10.9</v>
      </c>
      <c r="Q1396" t="n">
        <v>10.7</v>
      </c>
      <c r="R1396" t="n">
        <v>-0.2</v>
      </c>
      <c r="S1396" t="b">
        <v>1</v>
      </c>
      <c r="U1396" t="n">
        <v>21</v>
      </c>
      <c r="V1396" t="b">
        <v>1</v>
      </c>
      <c r="X1396" t="b">
        <v>0</v>
      </c>
      <c r="Y1396" t="n">
        <v>0.89</v>
      </c>
    </row>
    <row r="1397">
      <c r="A1397" t="inlineStr">
        <is>
          <t>O01396</t>
        </is>
      </c>
      <c r="B1397" t="inlineStr">
        <is>
          <t>C0082</t>
        </is>
      </c>
      <c r="C1397" t="inlineStr">
        <is>
          <t>S016</t>
        </is>
      </c>
      <c r="D1397" t="inlineStr">
        <is>
          <t>R006</t>
        </is>
      </c>
      <c r="E1397" s="3" t="n">
        <v>46267.57569444444</v>
      </c>
      <c r="F1397" s="3" t="n">
        <v>46267.58194444444</v>
      </c>
      <c r="G1397" s="3" t="n">
        <v>46267.58131944444</v>
      </c>
      <c r="H1397" t="inlineStr">
        <is>
          <t>Delivered</t>
        </is>
      </c>
      <c r="I1397" t="n">
        <v>3</v>
      </c>
      <c r="J1397" t="n">
        <v>10</v>
      </c>
      <c r="K1397" t="n">
        <v>574.26</v>
      </c>
      <c r="L1397" t="n">
        <v>0.55</v>
      </c>
      <c r="M1397" t="n">
        <v>3.4</v>
      </c>
      <c r="N1397" t="n">
        <v>3.4</v>
      </c>
      <c r="O1397" t="n">
        <v>1.3</v>
      </c>
      <c r="P1397" t="n">
        <v>9</v>
      </c>
      <c r="Q1397" t="n">
        <v>8.1</v>
      </c>
      <c r="R1397" t="n">
        <v>-0.9</v>
      </c>
      <c r="S1397" t="b">
        <v>1</v>
      </c>
      <c r="U1397" t="n">
        <v>13</v>
      </c>
      <c r="V1397" t="b">
        <v>0</v>
      </c>
      <c r="X1397" t="b">
        <v>0</v>
      </c>
      <c r="Y1397" t="n">
        <v>0.49</v>
      </c>
    </row>
    <row r="1398">
      <c r="A1398" t="inlineStr">
        <is>
          <t>O01397</t>
        </is>
      </c>
      <c r="B1398" t="inlineStr">
        <is>
          <t>C0035</t>
        </is>
      </c>
      <c r="C1398" t="inlineStr">
        <is>
          <t>S020</t>
        </is>
      </c>
      <c r="D1398" t="inlineStr">
        <is>
          <t>R043</t>
        </is>
      </c>
      <c r="E1398" s="3" t="n">
        <v>46275.63958333333</v>
      </c>
      <c r="F1398" s="3" t="n">
        <v>46275.64597222222</v>
      </c>
      <c r="G1398" s="3" t="n">
        <v>46275.64534722222</v>
      </c>
      <c r="H1398" t="inlineStr">
        <is>
          <t>Delivered</t>
        </is>
      </c>
      <c r="I1398" t="n">
        <v>5</v>
      </c>
      <c r="J1398" t="n">
        <v>12</v>
      </c>
      <c r="K1398" t="n">
        <v>1879.69</v>
      </c>
      <c r="L1398" t="n">
        <v>0.89</v>
      </c>
      <c r="M1398" t="n">
        <v>4.6</v>
      </c>
      <c r="N1398" t="n">
        <v>0.6</v>
      </c>
      <c r="O1398" t="n">
        <v>3.1</v>
      </c>
      <c r="P1398" t="n">
        <v>9.199999999999999</v>
      </c>
      <c r="Q1398" t="n">
        <v>8.300000000000001</v>
      </c>
      <c r="R1398" t="n">
        <v>-0.9</v>
      </c>
      <c r="S1398" t="b">
        <v>1</v>
      </c>
      <c r="U1398" t="n">
        <v>15</v>
      </c>
      <c r="V1398" t="b">
        <v>0</v>
      </c>
      <c r="W1398" t="inlineStr">
        <is>
          <t>Heavy</t>
        </is>
      </c>
      <c r="X1398" t="b">
        <v>0</v>
      </c>
      <c r="Y1398" t="n">
        <v>0.47</v>
      </c>
    </row>
    <row r="1399">
      <c r="A1399" t="inlineStr">
        <is>
          <t>O01398</t>
        </is>
      </c>
      <c r="B1399" t="inlineStr">
        <is>
          <t>C0053</t>
        </is>
      </c>
      <c r="C1399" t="inlineStr">
        <is>
          <t>S007</t>
        </is>
      </c>
      <c r="D1399" t="inlineStr">
        <is>
          <t>R053</t>
        </is>
      </c>
      <c r="E1399" s="3" t="n">
        <v>46278.75972222222</v>
      </c>
      <c r="F1399" s="3" t="n">
        <v>46278.76888888889</v>
      </c>
      <c r="G1399" s="3" t="n">
        <v>46278.768125</v>
      </c>
      <c r="H1399" t="inlineStr">
        <is>
          <t>Delivered</t>
        </is>
      </c>
      <c r="I1399" t="n">
        <v>3</v>
      </c>
      <c r="J1399" t="n">
        <v>8</v>
      </c>
      <c r="K1399" t="n">
        <v>808.72</v>
      </c>
      <c r="L1399" t="n">
        <v>3.8</v>
      </c>
      <c r="M1399" t="n">
        <v>3.6</v>
      </c>
      <c r="N1399" t="n">
        <v>1.7</v>
      </c>
      <c r="O1399" t="n">
        <v>6.8</v>
      </c>
      <c r="P1399" t="n">
        <v>13.2</v>
      </c>
      <c r="Q1399" t="n">
        <v>12.1</v>
      </c>
      <c r="R1399" t="n">
        <v>-1.1</v>
      </c>
      <c r="S1399" t="b">
        <v>1</v>
      </c>
      <c r="U1399" t="n">
        <v>18</v>
      </c>
      <c r="V1399" t="b">
        <v>0</v>
      </c>
      <c r="X1399" t="b">
        <v>0</v>
      </c>
      <c r="Y1399" t="n">
        <v>0.6</v>
      </c>
    </row>
    <row r="1400">
      <c r="A1400" t="inlineStr">
        <is>
          <t>O01399</t>
        </is>
      </c>
      <c r="B1400" t="inlineStr">
        <is>
          <t>C0022</t>
        </is>
      </c>
      <c r="C1400" t="inlineStr">
        <is>
          <t>S009</t>
        </is>
      </c>
      <c r="D1400" t="inlineStr">
        <is>
          <t>R052</t>
        </is>
      </c>
      <c r="E1400" s="3" t="n">
        <v>46277.65625</v>
      </c>
      <c r="F1400" s="3" t="n">
        <v>46277.664375</v>
      </c>
      <c r="G1400" s="3" t="n">
        <v>46277.66395833333</v>
      </c>
      <c r="H1400" t="inlineStr">
        <is>
          <t>Delivered</t>
        </is>
      </c>
      <c r="I1400" t="n">
        <v>1</v>
      </c>
      <c r="J1400" t="n">
        <v>4</v>
      </c>
      <c r="K1400" t="n">
        <v>710.37</v>
      </c>
      <c r="L1400" t="n">
        <v>2.8</v>
      </c>
      <c r="M1400" t="n">
        <v>2</v>
      </c>
      <c r="N1400" t="n">
        <v>3.2</v>
      </c>
      <c r="O1400" t="n">
        <v>5.9</v>
      </c>
      <c r="P1400" t="n">
        <v>11.7</v>
      </c>
      <c r="Q1400" t="n">
        <v>11.1</v>
      </c>
      <c r="R1400" t="n">
        <v>-0.6</v>
      </c>
      <c r="S1400" t="b">
        <v>1</v>
      </c>
      <c r="U1400" t="n">
        <v>15</v>
      </c>
      <c r="V1400" t="b">
        <v>0</v>
      </c>
      <c r="W1400" t="inlineStr">
        <is>
          <t>Light</t>
        </is>
      </c>
      <c r="X1400" t="b">
        <v>0</v>
      </c>
      <c r="Y1400" t="n">
        <v>0.66</v>
      </c>
    </row>
    <row r="1401">
      <c r="A1401" t="inlineStr">
        <is>
          <t>O01400</t>
        </is>
      </c>
      <c r="B1401" t="inlineStr">
        <is>
          <t>C0160</t>
        </is>
      </c>
      <c r="C1401" t="inlineStr">
        <is>
          <t>S011</t>
        </is>
      </c>
      <c r="D1401" t="inlineStr">
        <is>
          <t>R021</t>
        </is>
      </c>
      <c r="E1401" s="3" t="n">
        <v>46266.40555555555</v>
      </c>
      <c r="F1401" s="3" t="n">
        <v>46266.41159722222</v>
      </c>
      <c r="G1401" s="3" t="n">
        <v>46266.41118055556</v>
      </c>
      <c r="H1401" t="inlineStr">
        <is>
          <t>Delivered</t>
        </is>
      </c>
      <c r="I1401" t="n">
        <v>6</v>
      </c>
      <c r="J1401" t="n">
        <v>8</v>
      </c>
      <c r="K1401" t="n">
        <v>919.99</v>
      </c>
      <c r="L1401" t="n">
        <v>2.61</v>
      </c>
      <c r="M1401" t="n">
        <v>2.9</v>
      </c>
      <c r="N1401" t="n">
        <v>2.7</v>
      </c>
      <c r="O1401" t="n">
        <v>2.5</v>
      </c>
      <c r="P1401" t="n">
        <v>8.699999999999999</v>
      </c>
      <c r="Q1401" t="n">
        <v>8.1</v>
      </c>
      <c r="R1401" t="n">
        <v>-0.6</v>
      </c>
      <c r="S1401" t="b">
        <v>1</v>
      </c>
      <c r="U1401" t="n">
        <v>9</v>
      </c>
      <c r="V1401" t="b">
        <v>0</v>
      </c>
      <c r="X1401" t="b">
        <v>0</v>
      </c>
      <c r="Y1401" t="n">
        <v>0.11</v>
      </c>
    </row>
    <row r="1402">
      <c r="A1402" t="inlineStr">
        <is>
          <t>O01401</t>
        </is>
      </c>
      <c r="B1402" t="inlineStr">
        <is>
          <t>C0086</t>
        </is>
      </c>
      <c r="C1402" t="inlineStr">
        <is>
          <t>S008</t>
        </is>
      </c>
      <c r="D1402" t="inlineStr">
        <is>
          <t>R001</t>
        </is>
      </c>
      <c r="E1402" s="3" t="n">
        <v>46269.79097222222</v>
      </c>
      <c r="F1402" s="3" t="n">
        <v>46269.79798611111</v>
      </c>
      <c r="G1402" s="3" t="n">
        <v>46269.79722222222</v>
      </c>
      <c r="H1402" t="inlineStr">
        <is>
          <t>Delivered</t>
        </is>
      </c>
      <c r="I1402" t="n">
        <v>4</v>
      </c>
      <c r="J1402" t="n">
        <v>6</v>
      </c>
      <c r="K1402" t="n">
        <v>205.01</v>
      </c>
      <c r="L1402" t="n">
        <v>2.7</v>
      </c>
      <c r="M1402" t="n">
        <v>2.1</v>
      </c>
      <c r="N1402" t="n">
        <v>2.3</v>
      </c>
      <c r="O1402" t="n">
        <v>4.6</v>
      </c>
      <c r="P1402" t="n">
        <v>10.1</v>
      </c>
      <c r="Q1402" t="n">
        <v>9</v>
      </c>
      <c r="R1402" t="n">
        <v>-1.1</v>
      </c>
      <c r="S1402" t="b">
        <v>1</v>
      </c>
      <c r="U1402" t="n">
        <v>18</v>
      </c>
      <c r="V1402" t="b">
        <v>0</v>
      </c>
      <c r="X1402" t="b">
        <v>0</v>
      </c>
      <c r="Y1402" t="n">
        <v>0.58</v>
      </c>
    </row>
    <row r="1403">
      <c r="A1403" t="inlineStr">
        <is>
          <t>O01402</t>
        </is>
      </c>
      <c r="B1403" t="inlineStr">
        <is>
          <t>C0044</t>
        </is>
      </c>
      <c r="C1403" t="inlineStr">
        <is>
          <t>S017</t>
        </is>
      </c>
      <c r="D1403" t="inlineStr">
        <is>
          <t>R054</t>
        </is>
      </c>
      <c r="E1403" s="3" t="n">
        <v>46273.97916666666</v>
      </c>
      <c r="F1403" s="3" t="n">
        <v>46273.98493055555</v>
      </c>
      <c r="G1403" s="3" t="n">
        <v>46273.98861111111</v>
      </c>
      <c r="H1403" t="inlineStr">
        <is>
          <t>Delivered</t>
        </is>
      </c>
      <c r="I1403" t="n">
        <v>1</v>
      </c>
      <c r="J1403" t="n">
        <v>6</v>
      </c>
      <c r="K1403" t="n">
        <v>1257.21</v>
      </c>
      <c r="L1403" t="n">
        <v>0.9</v>
      </c>
      <c r="M1403" t="n">
        <v>2.8</v>
      </c>
      <c r="N1403" t="n">
        <v>5.1</v>
      </c>
      <c r="O1403" t="n">
        <v>5.7</v>
      </c>
      <c r="P1403" t="n">
        <v>8.300000000000001</v>
      </c>
      <c r="Q1403" t="n">
        <v>13.6</v>
      </c>
      <c r="R1403" t="n">
        <v>5.3</v>
      </c>
      <c r="S1403" t="b">
        <v>0</v>
      </c>
      <c r="U1403" t="n">
        <v>23</v>
      </c>
      <c r="V1403" t="b">
        <v>0</v>
      </c>
      <c r="W1403" t="inlineStr">
        <is>
          <t>Heavy</t>
        </is>
      </c>
      <c r="X1403" t="b">
        <v>0</v>
      </c>
      <c r="Y1403" t="n">
        <v>0.62</v>
      </c>
    </row>
    <row r="1404">
      <c r="A1404" t="inlineStr">
        <is>
          <t>O01403</t>
        </is>
      </c>
      <c r="B1404" t="inlineStr">
        <is>
          <t>C0062</t>
        </is>
      </c>
      <c r="C1404" t="inlineStr">
        <is>
          <t>S005</t>
        </is>
      </c>
      <c r="D1404" t="inlineStr">
        <is>
          <t>R023</t>
        </is>
      </c>
      <c r="E1404" s="3" t="n">
        <v>46267.52222222222</v>
      </c>
      <c r="F1404" s="3" t="n">
        <v>46267.53166666667</v>
      </c>
      <c r="G1404" s="3" t="n">
        <v>46267.53125</v>
      </c>
      <c r="H1404" t="inlineStr">
        <is>
          <t>Delivered</t>
        </is>
      </c>
      <c r="I1404" t="n">
        <v>6</v>
      </c>
      <c r="J1404" t="n">
        <v>8</v>
      </c>
      <c r="K1404" t="n">
        <v>840.48</v>
      </c>
      <c r="L1404" t="n">
        <v>4.9</v>
      </c>
      <c r="M1404" t="n">
        <v>1.9</v>
      </c>
      <c r="N1404" t="n">
        <v>5.2</v>
      </c>
      <c r="O1404" t="n">
        <v>5.9</v>
      </c>
      <c r="P1404" t="n">
        <v>13.6</v>
      </c>
      <c r="Q1404" t="n">
        <v>13</v>
      </c>
      <c r="R1404" t="n">
        <v>-0.6</v>
      </c>
      <c r="S1404" t="b">
        <v>1</v>
      </c>
      <c r="U1404" t="n">
        <v>12</v>
      </c>
      <c r="V1404" t="b">
        <v>0</v>
      </c>
      <c r="X1404" t="b">
        <v>0</v>
      </c>
      <c r="Y1404" t="n">
        <v>0.43</v>
      </c>
    </row>
    <row r="1405">
      <c r="A1405" t="inlineStr">
        <is>
          <t>O01404</t>
        </is>
      </c>
      <c r="B1405" t="inlineStr">
        <is>
          <t>C0146</t>
        </is>
      </c>
      <c r="C1405" t="inlineStr">
        <is>
          <t>S012</t>
        </is>
      </c>
      <c r="D1405" t="inlineStr">
        <is>
          <t>R005</t>
        </is>
      </c>
      <c r="E1405" s="3" t="n">
        <v>46266.77916666667</v>
      </c>
      <c r="F1405" s="3" t="n">
        <v>46266.78611111111</v>
      </c>
      <c r="G1405" s="3" t="n">
        <v>46266.78958333333</v>
      </c>
      <c r="H1405" t="inlineStr">
        <is>
          <t>Delivered</t>
        </is>
      </c>
      <c r="I1405" t="n">
        <v>2</v>
      </c>
      <c r="J1405" t="n">
        <v>5</v>
      </c>
      <c r="K1405" t="n">
        <v>813.9</v>
      </c>
      <c r="L1405" t="n">
        <v>2.66</v>
      </c>
      <c r="M1405" t="n">
        <v>5</v>
      </c>
      <c r="N1405" t="n">
        <v>3.5</v>
      </c>
      <c r="O1405" t="n">
        <v>6.5</v>
      </c>
      <c r="P1405" t="n">
        <v>10</v>
      </c>
      <c r="Q1405" t="n">
        <v>15</v>
      </c>
      <c r="R1405" t="n">
        <v>5</v>
      </c>
      <c r="S1405" t="b">
        <v>0</v>
      </c>
      <c r="U1405" t="n">
        <v>18</v>
      </c>
      <c r="V1405" t="b">
        <v>0</v>
      </c>
      <c r="X1405" t="b">
        <v>0</v>
      </c>
      <c r="Y1405" t="n">
        <v>0.58</v>
      </c>
    </row>
    <row r="1406">
      <c r="A1406" t="inlineStr">
        <is>
          <t>O01405</t>
        </is>
      </c>
      <c r="B1406" t="inlineStr">
        <is>
          <t>C0017</t>
        </is>
      </c>
      <c r="C1406" t="inlineStr">
        <is>
          <t>S007</t>
        </is>
      </c>
      <c r="D1406" t="inlineStr">
        <is>
          <t>R061</t>
        </is>
      </c>
      <c r="E1406" s="3" t="n">
        <v>46270.9375</v>
      </c>
      <c r="F1406" s="3" t="n">
        <v>46270.94409722222</v>
      </c>
      <c r="G1406" s="3" t="n">
        <v>46270.94305555556</v>
      </c>
      <c r="H1406" t="inlineStr">
        <is>
          <t>Delivered</t>
        </is>
      </c>
      <c r="I1406" t="n">
        <v>5</v>
      </c>
      <c r="J1406" t="n">
        <v>8</v>
      </c>
      <c r="K1406" t="n">
        <v>682.48</v>
      </c>
      <c r="L1406" t="n">
        <v>0.5</v>
      </c>
      <c r="M1406" t="n">
        <v>5.7</v>
      </c>
      <c r="N1406" t="n">
        <v>0.3</v>
      </c>
      <c r="O1406" t="n">
        <v>2</v>
      </c>
      <c r="P1406" t="n">
        <v>9.5</v>
      </c>
      <c r="Q1406" t="n">
        <v>8</v>
      </c>
      <c r="R1406" t="n">
        <v>-1.5</v>
      </c>
      <c r="S1406" t="b">
        <v>1</v>
      </c>
      <c r="U1406" t="n">
        <v>22</v>
      </c>
      <c r="V1406" t="b">
        <v>0</v>
      </c>
      <c r="X1406" t="b">
        <v>0</v>
      </c>
      <c r="Y1406" t="n">
        <v>0.24</v>
      </c>
    </row>
    <row r="1407">
      <c r="A1407" t="inlineStr">
        <is>
          <t>O01406</t>
        </is>
      </c>
      <c r="B1407" t="inlineStr">
        <is>
          <t>C0171</t>
        </is>
      </c>
      <c r="C1407" t="inlineStr">
        <is>
          <t>S009</t>
        </is>
      </c>
      <c r="D1407" t="inlineStr">
        <is>
          <t>R061</t>
        </is>
      </c>
      <c r="E1407" s="3" t="n">
        <v>46274.67083333333</v>
      </c>
      <c r="F1407" s="3" t="n">
        <v>46274.67798611111</v>
      </c>
      <c r="G1407" s="3" t="n">
        <v>46274.67680555556</v>
      </c>
      <c r="H1407" t="inlineStr">
        <is>
          <t>Delivered</t>
        </is>
      </c>
      <c r="I1407" t="n">
        <v>2</v>
      </c>
      <c r="J1407" t="n">
        <v>5</v>
      </c>
      <c r="K1407" t="n">
        <v>1286.91</v>
      </c>
      <c r="L1407" t="n">
        <v>1.24</v>
      </c>
      <c r="M1407" t="n">
        <v>2.8</v>
      </c>
      <c r="N1407" t="n">
        <v>2.4</v>
      </c>
      <c r="O1407" t="n">
        <v>3.4</v>
      </c>
      <c r="P1407" t="n">
        <v>10.3</v>
      </c>
      <c r="Q1407" t="n">
        <v>8.6</v>
      </c>
      <c r="R1407" t="n">
        <v>-1.7</v>
      </c>
      <c r="S1407" t="b">
        <v>1</v>
      </c>
      <c r="U1407" t="n">
        <v>16</v>
      </c>
      <c r="V1407" t="b">
        <v>0</v>
      </c>
      <c r="X1407" t="b">
        <v>0</v>
      </c>
      <c r="Y1407" t="n">
        <v>0.13</v>
      </c>
    </row>
    <row r="1408">
      <c r="A1408" t="inlineStr">
        <is>
          <t>O01407</t>
        </is>
      </c>
      <c r="B1408" t="inlineStr">
        <is>
          <t>C0007</t>
        </is>
      </c>
      <c r="C1408" t="inlineStr">
        <is>
          <t>S011</t>
        </is>
      </c>
      <c r="D1408" t="inlineStr">
        <is>
          <t>R072</t>
        </is>
      </c>
      <c r="E1408" s="3" t="n">
        <v>46271.61666666667</v>
      </c>
      <c r="F1408" s="3" t="n">
        <v>46271.62222222222</v>
      </c>
      <c r="G1408" s="3" t="n">
        <v>46271.62194444444</v>
      </c>
      <c r="H1408" t="inlineStr">
        <is>
          <t>Delivered</t>
        </is>
      </c>
      <c r="I1408" t="n">
        <v>1</v>
      </c>
      <c r="J1408" t="n">
        <v>7</v>
      </c>
      <c r="K1408" t="n">
        <v>818.46</v>
      </c>
      <c r="L1408" t="n">
        <v>0.5</v>
      </c>
      <c r="M1408" t="n">
        <v>3.1</v>
      </c>
      <c r="N1408" t="n">
        <v>3.3</v>
      </c>
      <c r="O1408" t="n">
        <v>1.2</v>
      </c>
      <c r="P1408" t="n">
        <v>8</v>
      </c>
      <c r="Q1408" t="n">
        <v>7.6</v>
      </c>
      <c r="R1408" t="n">
        <v>-0.4</v>
      </c>
      <c r="S1408" t="b">
        <v>1</v>
      </c>
      <c r="U1408" t="n">
        <v>14</v>
      </c>
      <c r="V1408" t="b">
        <v>0</v>
      </c>
      <c r="X1408" t="b">
        <v>0</v>
      </c>
      <c r="Y1408" t="n">
        <v>0.49</v>
      </c>
    </row>
    <row r="1409">
      <c r="A1409" t="inlineStr">
        <is>
          <t>O01408</t>
        </is>
      </c>
      <c r="B1409" t="inlineStr">
        <is>
          <t>C0164</t>
        </is>
      </c>
      <c r="C1409" t="inlineStr">
        <is>
          <t>S012</t>
        </is>
      </c>
      <c r="D1409" t="inlineStr">
        <is>
          <t>R052</t>
        </is>
      </c>
      <c r="E1409" s="3" t="n">
        <v>46268.68125</v>
      </c>
      <c r="F1409" s="3" t="n">
        <v>46268.68791666667</v>
      </c>
      <c r="G1409" s="3" t="n">
        <v>46268.68770833333</v>
      </c>
      <c r="H1409" t="inlineStr">
        <is>
          <t>Delivered</t>
        </is>
      </c>
      <c r="I1409" t="n">
        <v>3</v>
      </c>
      <c r="J1409" t="n">
        <v>11</v>
      </c>
      <c r="K1409" t="n">
        <v>911.04</v>
      </c>
      <c r="L1409" t="n">
        <v>3.36</v>
      </c>
      <c r="M1409" t="n">
        <v>2.8</v>
      </c>
      <c r="N1409" t="n">
        <v>1.5</v>
      </c>
      <c r="O1409" t="n">
        <v>5</v>
      </c>
      <c r="P1409" t="n">
        <v>9.6</v>
      </c>
      <c r="Q1409" t="n">
        <v>9.300000000000001</v>
      </c>
      <c r="R1409" t="n">
        <v>-0.3</v>
      </c>
      <c r="S1409" t="b">
        <v>1</v>
      </c>
      <c r="U1409" t="n">
        <v>16</v>
      </c>
      <c r="V1409" t="b">
        <v>0</v>
      </c>
      <c r="W1409" t="inlineStr">
        <is>
          <t>Heavy</t>
        </is>
      </c>
      <c r="X1409" t="b">
        <v>0</v>
      </c>
      <c r="Y1409" t="n">
        <v>0.5</v>
      </c>
    </row>
    <row r="1410">
      <c r="A1410" t="inlineStr">
        <is>
          <t>O01409</t>
        </is>
      </c>
      <c r="B1410" t="inlineStr">
        <is>
          <t>C0197</t>
        </is>
      </c>
      <c r="C1410" t="inlineStr">
        <is>
          <t>S001</t>
        </is>
      </c>
      <c r="D1410" t="inlineStr">
        <is>
          <t>R060</t>
        </is>
      </c>
      <c r="E1410" s="3" t="n">
        <v>46267.51111111111</v>
      </c>
      <c r="F1410" s="3" t="n">
        <v>46267.51909722222</v>
      </c>
      <c r="G1410" s="3" t="n">
        <v>46267.51847222223</v>
      </c>
      <c r="H1410" t="inlineStr">
        <is>
          <t>Delivered</t>
        </is>
      </c>
      <c r="I1410" t="n">
        <v>6</v>
      </c>
      <c r="J1410" t="n">
        <v>7</v>
      </c>
      <c r="K1410" t="n">
        <v>1557.3</v>
      </c>
      <c r="L1410" t="n">
        <v>4.3</v>
      </c>
      <c r="M1410" t="n">
        <v>2.8</v>
      </c>
      <c r="N1410" t="n">
        <v>2.2</v>
      </c>
      <c r="O1410" t="n">
        <v>5.6</v>
      </c>
      <c r="P1410" t="n">
        <v>11.5</v>
      </c>
      <c r="Q1410" t="n">
        <v>10.6</v>
      </c>
      <c r="R1410" t="n">
        <v>-0.9</v>
      </c>
      <c r="S1410" t="b">
        <v>1</v>
      </c>
      <c r="U1410" t="n">
        <v>12</v>
      </c>
      <c r="V1410" t="b">
        <v>0</v>
      </c>
      <c r="X1410" t="b">
        <v>0</v>
      </c>
      <c r="Y1410" t="n">
        <v>0.31</v>
      </c>
    </row>
    <row r="1411">
      <c r="A1411" t="inlineStr">
        <is>
          <t>O01410</t>
        </is>
      </c>
      <c r="B1411" t="inlineStr">
        <is>
          <t>C0218</t>
        </is>
      </c>
      <c r="C1411" t="inlineStr">
        <is>
          <t>S008</t>
        </is>
      </c>
      <c r="D1411" t="inlineStr">
        <is>
          <t>R040</t>
        </is>
      </c>
      <c r="E1411" s="3" t="n">
        <v>46277.38611111111</v>
      </c>
      <c r="F1411" s="3" t="n">
        <v>46277.39305555556</v>
      </c>
      <c r="G1411" s="3" t="n">
        <v>46277.39291666666</v>
      </c>
      <c r="H1411" t="inlineStr">
        <is>
          <t>Delivered</t>
        </is>
      </c>
      <c r="I1411" t="n">
        <v>6</v>
      </c>
      <c r="J1411" t="n">
        <v>8</v>
      </c>
      <c r="K1411" t="n">
        <v>893.58</v>
      </c>
      <c r="L1411" t="n">
        <v>1.5</v>
      </c>
      <c r="M1411" t="n">
        <v>1.7</v>
      </c>
      <c r="N1411" t="n">
        <v>5.1</v>
      </c>
      <c r="O1411" t="n">
        <v>3</v>
      </c>
      <c r="P1411" t="n">
        <v>10</v>
      </c>
      <c r="Q1411" t="n">
        <v>9.800000000000001</v>
      </c>
      <c r="R1411" t="n">
        <v>-0.2</v>
      </c>
      <c r="S1411" t="b">
        <v>1</v>
      </c>
      <c r="U1411" t="n">
        <v>9</v>
      </c>
      <c r="V1411" t="b">
        <v>0</v>
      </c>
      <c r="X1411" t="b">
        <v>0</v>
      </c>
      <c r="Y1411" t="n">
        <v>0.45</v>
      </c>
    </row>
    <row r="1412">
      <c r="A1412" t="inlineStr">
        <is>
          <t>O01411</t>
        </is>
      </c>
      <c r="B1412" t="inlineStr">
        <is>
          <t>C0130</t>
        </is>
      </c>
      <c r="C1412" t="inlineStr">
        <is>
          <t>S012</t>
        </is>
      </c>
      <c r="D1412" t="inlineStr">
        <is>
          <t>R032</t>
        </is>
      </c>
      <c r="E1412" s="3" t="n">
        <v>46276.87569444445</v>
      </c>
      <c r="F1412" s="3" t="n">
        <v>46276.88166666667</v>
      </c>
      <c r="G1412" s="3" t="n">
        <v>46276.89125</v>
      </c>
      <c r="H1412" t="inlineStr">
        <is>
          <t>Delivered</t>
        </is>
      </c>
      <c r="I1412" t="n">
        <v>4</v>
      </c>
      <c r="J1412" t="n">
        <v>9</v>
      </c>
      <c r="K1412" t="n">
        <v>746.05</v>
      </c>
      <c r="L1412" t="n">
        <v>3.3</v>
      </c>
      <c r="M1412" t="n">
        <v>5.3</v>
      </c>
      <c r="N1412" t="n">
        <v>5</v>
      </c>
      <c r="O1412" t="n">
        <v>12.1</v>
      </c>
      <c r="P1412" t="n">
        <v>8.6</v>
      </c>
      <c r="Q1412" t="n">
        <v>22.4</v>
      </c>
      <c r="R1412" t="n">
        <v>13.8</v>
      </c>
      <c r="S1412" t="b">
        <v>0</v>
      </c>
      <c r="U1412" t="n">
        <v>21</v>
      </c>
      <c r="V1412" t="b">
        <v>1</v>
      </c>
      <c r="W1412" t="inlineStr">
        <is>
          <t>Heavy</t>
        </is>
      </c>
      <c r="X1412" t="b">
        <v>0</v>
      </c>
      <c r="Y1412" t="n">
        <v>0.83</v>
      </c>
    </row>
    <row r="1413">
      <c r="A1413" t="inlineStr">
        <is>
          <t>O01412</t>
        </is>
      </c>
      <c r="B1413" t="inlineStr">
        <is>
          <t>C0195</t>
        </is>
      </c>
      <c r="C1413" t="inlineStr">
        <is>
          <t>S008</t>
        </is>
      </c>
      <c r="D1413" t="inlineStr">
        <is>
          <t>R007</t>
        </is>
      </c>
      <c r="E1413" s="3" t="n">
        <v>46270.86805555555</v>
      </c>
      <c r="F1413" s="3" t="n">
        <v>46270.87458333333</v>
      </c>
      <c r="G1413" s="3" t="n">
        <v>46270.87375</v>
      </c>
      <c r="H1413" t="inlineStr">
        <is>
          <t>Delivered</t>
        </is>
      </c>
      <c r="I1413" t="n">
        <v>1</v>
      </c>
      <c r="J1413" t="n">
        <v>3</v>
      </c>
      <c r="K1413" t="n">
        <v>674.7</v>
      </c>
      <c r="L1413" t="n">
        <v>1.26</v>
      </c>
      <c r="M1413" t="n">
        <v>2.4</v>
      </c>
      <c r="N1413" t="n">
        <v>2.3</v>
      </c>
      <c r="O1413" t="n">
        <v>3.5</v>
      </c>
      <c r="P1413" t="n">
        <v>9.4</v>
      </c>
      <c r="Q1413" t="n">
        <v>8.199999999999999</v>
      </c>
      <c r="R1413" t="n">
        <v>-1.2</v>
      </c>
      <c r="S1413" t="b">
        <v>1</v>
      </c>
      <c r="U1413" t="n">
        <v>20</v>
      </c>
      <c r="V1413" t="b">
        <v>1</v>
      </c>
      <c r="W1413" t="inlineStr">
        <is>
          <t>Light</t>
        </is>
      </c>
      <c r="X1413" t="b">
        <v>0</v>
      </c>
      <c r="Y1413" t="n">
        <v>0.67</v>
      </c>
    </row>
    <row r="1414">
      <c r="A1414" t="inlineStr">
        <is>
          <t>O01413</t>
        </is>
      </c>
      <c r="B1414" t="inlineStr">
        <is>
          <t>C0103</t>
        </is>
      </c>
      <c r="C1414" t="inlineStr">
        <is>
          <t>S007</t>
        </is>
      </c>
      <c r="D1414" t="inlineStr">
        <is>
          <t>R069</t>
        </is>
      </c>
      <c r="E1414" s="3" t="n">
        <v>46276.37569444445</v>
      </c>
      <c r="F1414" s="3" t="n">
        <v>46276.38319444445</v>
      </c>
      <c r="G1414" s="3" t="n">
        <v>46276.385625</v>
      </c>
      <c r="H1414" t="inlineStr">
        <is>
          <t>Delivered</t>
        </is>
      </c>
      <c r="I1414" t="n">
        <v>1</v>
      </c>
      <c r="J1414" t="n">
        <v>8</v>
      </c>
      <c r="K1414" t="n">
        <v>1419.26</v>
      </c>
      <c r="L1414" t="n">
        <v>1.4</v>
      </c>
      <c r="M1414" t="n">
        <v>5.1</v>
      </c>
      <c r="N1414" t="n">
        <v>5.2</v>
      </c>
      <c r="O1414" t="n">
        <v>3.9</v>
      </c>
      <c r="P1414" t="n">
        <v>10.8</v>
      </c>
      <c r="Q1414" t="n">
        <v>14.3</v>
      </c>
      <c r="R1414" t="n">
        <v>3.5</v>
      </c>
      <c r="S1414" t="b">
        <v>0</v>
      </c>
      <c r="U1414" t="n">
        <v>9</v>
      </c>
      <c r="V1414" t="b">
        <v>0</v>
      </c>
      <c r="X1414" t="b">
        <v>0</v>
      </c>
      <c r="Y1414" t="n">
        <v>0.21</v>
      </c>
    </row>
    <row r="1415">
      <c r="A1415" t="inlineStr">
        <is>
          <t>O01414</t>
        </is>
      </c>
      <c r="B1415" t="inlineStr">
        <is>
          <t>C0131</t>
        </is>
      </c>
      <c r="C1415" t="inlineStr">
        <is>
          <t>S004</t>
        </is>
      </c>
      <c r="D1415" t="inlineStr">
        <is>
          <t>R008</t>
        </is>
      </c>
      <c r="E1415" s="3" t="n">
        <v>46267.46944444445</v>
      </c>
      <c r="F1415" s="3" t="n">
        <v>46267.47611111111</v>
      </c>
      <c r="G1415" s="3" t="n">
        <v>46267.47597222222</v>
      </c>
      <c r="H1415" t="inlineStr">
        <is>
          <t>Delivered</t>
        </is>
      </c>
      <c r="I1415" t="n">
        <v>2</v>
      </c>
      <c r="J1415" t="n">
        <v>4</v>
      </c>
      <c r="K1415" t="n">
        <v>656.5</v>
      </c>
      <c r="L1415" t="n">
        <v>0.9</v>
      </c>
      <c r="M1415" t="n">
        <v>2.4</v>
      </c>
      <c r="N1415" t="n">
        <v>4.3</v>
      </c>
      <c r="O1415" t="n">
        <v>2.7</v>
      </c>
      <c r="P1415" t="n">
        <v>9.6</v>
      </c>
      <c r="Q1415" t="n">
        <v>9.4</v>
      </c>
      <c r="R1415" t="n">
        <v>-0.2</v>
      </c>
      <c r="S1415" t="b">
        <v>1</v>
      </c>
      <c r="U1415" t="n">
        <v>11</v>
      </c>
      <c r="V1415" t="b">
        <v>0</v>
      </c>
      <c r="X1415" t="b">
        <v>0</v>
      </c>
      <c r="Y1415" t="n">
        <v>0.4</v>
      </c>
    </row>
    <row r="1416">
      <c r="A1416" t="inlineStr">
        <is>
          <t>O01415</t>
        </is>
      </c>
      <c r="B1416" t="inlineStr">
        <is>
          <t>C0017</t>
        </is>
      </c>
      <c r="C1416" t="inlineStr">
        <is>
          <t>S017</t>
        </is>
      </c>
      <c r="D1416" t="inlineStr">
        <is>
          <t>R050</t>
        </is>
      </c>
      <c r="E1416" s="3" t="n">
        <v>46267.57708333333</v>
      </c>
      <c r="F1416" s="3" t="n">
        <v>46267.58486111111</v>
      </c>
      <c r="G1416" s="3" t="n">
        <v>46267.58444444444</v>
      </c>
      <c r="H1416" t="inlineStr">
        <is>
          <t>Delivered</t>
        </is>
      </c>
      <c r="I1416" t="n">
        <v>2</v>
      </c>
      <c r="J1416" t="n">
        <v>13</v>
      </c>
      <c r="K1416" t="n">
        <v>637.59</v>
      </c>
      <c r="L1416" t="n">
        <v>2.35</v>
      </c>
      <c r="M1416" t="n">
        <v>2.3</v>
      </c>
      <c r="N1416" t="n">
        <v>3.3</v>
      </c>
      <c r="O1416" t="n">
        <v>5</v>
      </c>
      <c r="P1416" t="n">
        <v>11.2</v>
      </c>
      <c r="Q1416" t="n">
        <v>10.6</v>
      </c>
      <c r="R1416" t="n">
        <v>-0.6</v>
      </c>
      <c r="S1416" t="b">
        <v>1</v>
      </c>
      <c r="U1416" t="n">
        <v>13</v>
      </c>
      <c r="V1416" t="b">
        <v>0</v>
      </c>
      <c r="X1416" t="b">
        <v>1</v>
      </c>
      <c r="Y1416" t="n">
        <v>0.37</v>
      </c>
    </row>
    <row r="1417">
      <c r="A1417" t="inlineStr">
        <is>
          <t>O01416</t>
        </is>
      </c>
      <c r="B1417" t="inlineStr">
        <is>
          <t>C0177</t>
        </is>
      </c>
      <c r="C1417" t="inlineStr">
        <is>
          <t>S017</t>
        </is>
      </c>
      <c r="D1417" t="inlineStr">
        <is>
          <t>R018</t>
        </is>
      </c>
      <c r="E1417" s="3" t="n">
        <v>46272.61944444444</v>
      </c>
      <c r="F1417" s="3" t="n">
        <v>46272.62555555555</v>
      </c>
      <c r="G1417" s="3" t="n">
        <v>46272.62513888889</v>
      </c>
      <c r="H1417" t="inlineStr">
        <is>
          <t>Delivered</t>
        </is>
      </c>
      <c r="I1417" t="n">
        <v>4</v>
      </c>
      <c r="J1417" t="n">
        <v>6</v>
      </c>
      <c r="K1417" t="n">
        <v>1170.76</v>
      </c>
      <c r="L1417" t="n">
        <v>2.32</v>
      </c>
      <c r="M1417" t="n">
        <v>1.9</v>
      </c>
      <c r="N1417" t="n">
        <v>3</v>
      </c>
      <c r="O1417" t="n">
        <v>3.3</v>
      </c>
      <c r="P1417" t="n">
        <v>8.800000000000001</v>
      </c>
      <c r="Q1417" t="n">
        <v>8.199999999999999</v>
      </c>
      <c r="R1417" t="n">
        <v>-0.6</v>
      </c>
      <c r="S1417" t="b">
        <v>1</v>
      </c>
      <c r="U1417" t="n">
        <v>14</v>
      </c>
      <c r="V1417" t="b">
        <v>0</v>
      </c>
      <c r="X1417" t="b">
        <v>0</v>
      </c>
      <c r="Y1417" t="n">
        <v>0.4</v>
      </c>
    </row>
    <row r="1418">
      <c r="A1418" t="inlineStr">
        <is>
          <t>O01417</t>
        </is>
      </c>
      <c r="B1418" t="inlineStr">
        <is>
          <t>C0116</t>
        </is>
      </c>
      <c r="C1418" t="inlineStr">
        <is>
          <t>S014</t>
        </is>
      </c>
      <c r="D1418" t="inlineStr">
        <is>
          <t>R052</t>
        </is>
      </c>
      <c r="E1418" s="3" t="n">
        <v>46268.92569444444</v>
      </c>
      <c r="F1418" s="3" t="n">
        <v>46268.93256944444</v>
      </c>
      <c r="G1418" s="3" t="n">
        <v>46268.93180555556</v>
      </c>
      <c r="H1418" t="inlineStr">
        <is>
          <t>Delivered</t>
        </is>
      </c>
      <c r="I1418" t="n">
        <v>3</v>
      </c>
      <c r="J1418" t="n">
        <v>11</v>
      </c>
      <c r="K1418" t="n">
        <v>822.9</v>
      </c>
      <c r="L1418" t="n">
        <v>2.22</v>
      </c>
      <c r="M1418" t="n">
        <v>3.3</v>
      </c>
      <c r="N1418" t="n">
        <v>2.5</v>
      </c>
      <c r="O1418" t="n">
        <v>3</v>
      </c>
      <c r="P1418" t="n">
        <v>9.9</v>
      </c>
      <c r="Q1418" t="n">
        <v>8.800000000000001</v>
      </c>
      <c r="R1418" t="n">
        <v>-1.1</v>
      </c>
      <c r="S1418" t="b">
        <v>1</v>
      </c>
      <c r="U1418" t="n">
        <v>22</v>
      </c>
      <c r="V1418" t="b">
        <v>0</v>
      </c>
      <c r="W1418" t="inlineStr">
        <is>
          <t>Heavy</t>
        </is>
      </c>
      <c r="X1418" t="b">
        <v>0</v>
      </c>
      <c r="Y1418" t="n">
        <v>0.28</v>
      </c>
    </row>
    <row r="1419">
      <c r="A1419" t="inlineStr">
        <is>
          <t>O01418</t>
        </is>
      </c>
      <c r="B1419" t="inlineStr">
        <is>
          <t>C0095</t>
        </is>
      </c>
      <c r="C1419" t="inlineStr">
        <is>
          <t>S012</t>
        </is>
      </c>
      <c r="D1419" t="inlineStr">
        <is>
          <t>R070</t>
        </is>
      </c>
      <c r="E1419" s="3" t="n">
        <v>46275.71319444444</v>
      </c>
      <c r="F1419" s="3" t="n">
        <v>46275.72</v>
      </c>
      <c r="G1419" s="3" t="n">
        <v>46275.72194444444</v>
      </c>
      <c r="H1419" t="inlineStr">
        <is>
          <t>Delivered</t>
        </is>
      </c>
      <c r="I1419" t="n">
        <v>4</v>
      </c>
      <c r="J1419" t="n">
        <v>8</v>
      </c>
      <c r="K1419" t="n">
        <v>1474.63</v>
      </c>
      <c r="L1419" t="n">
        <v>0.59</v>
      </c>
      <c r="M1419" t="n">
        <v>6.2</v>
      </c>
      <c r="N1419" t="n">
        <v>4.3</v>
      </c>
      <c r="O1419" t="n">
        <v>2</v>
      </c>
      <c r="P1419" t="n">
        <v>9.800000000000001</v>
      </c>
      <c r="Q1419" t="n">
        <v>12.6</v>
      </c>
      <c r="R1419" t="n">
        <v>2.8</v>
      </c>
      <c r="S1419" t="b">
        <v>0</v>
      </c>
      <c r="U1419" t="n">
        <v>17</v>
      </c>
      <c r="V1419" t="b">
        <v>0</v>
      </c>
      <c r="X1419" t="b">
        <v>0</v>
      </c>
      <c r="Y1419" t="n">
        <v>0.29</v>
      </c>
    </row>
    <row r="1420">
      <c r="A1420" t="inlineStr">
        <is>
          <t>O01419</t>
        </is>
      </c>
      <c r="B1420" t="inlineStr">
        <is>
          <t>C0037</t>
        </is>
      </c>
      <c r="C1420" t="inlineStr">
        <is>
          <t>S003</t>
        </is>
      </c>
      <c r="D1420" t="inlineStr">
        <is>
          <t>R075</t>
        </is>
      </c>
      <c r="E1420" s="3" t="n">
        <v>46272.62708333333</v>
      </c>
      <c r="F1420" s="3" t="n">
        <v>46272.63534722223</v>
      </c>
      <c r="G1420" s="3" t="n">
        <v>46272.63513888889</v>
      </c>
      <c r="H1420" t="inlineStr">
        <is>
          <t>Delivered</t>
        </is>
      </c>
      <c r="I1420" t="n">
        <v>5</v>
      </c>
      <c r="J1420" t="n">
        <v>6</v>
      </c>
      <c r="K1420" t="n">
        <v>503.77</v>
      </c>
      <c r="L1420" t="n">
        <v>1.63</v>
      </c>
      <c r="M1420" t="n">
        <v>2.4</v>
      </c>
      <c r="N1420" t="n">
        <v>4.5</v>
      </c>
      <c r="O1420" t="n">
        <v>4.7</v>
      </c>
      <c r="P1420" t="n">
        <v>11.9</v>
      </c>
      <c r="Q1420" t="n">
        <v>11.6</v>
      </c>
      <c r="R1420" t="n">
        <v>-0.3</v>
      </c>
      <c r="S1420" t="b">
        <v>1</v>
      </c>
      <c r="U1420" t="n">
        <v>15</v>
      </c>
      <c r="V1420" t="b">
        <v>0</v>
      </c>
      <c r="W1420" t="inlineStr">
        <is>
          <t>Heavy</t>
        </is>
      </c>
      <c r="X1420" t="b">
        <v>0</v>
      </c>
      <c r="Y1420" t="n">
        <v>0.6899999999999999</v>
      </c>
    </row>
    <row r="1421">
      <c r="A1421" t="inlineStr">
        <is>
          <t>O01420</t>
        </is>
      </c>
      <c r="B1421" t="inlineStr">
        <is>
          <t>C0228</t>
        </is>
      </c>
      <c r="C1421" t="inlineStr">
        <is>
          <t>S008</t>
        </is>
      </c>
      <c r="D1421" t="inlineStr">
        <is>
          <t>R079</t>
        </is>
      </c>
      <c r="E1421" s="3" t="n">
        <v>46275.47638888889</v>
      </c>
      <c r="F1421" s="3" t="n">
        <v>46275.483125</v>
      </c>
      <c r="G1421" s="3" t="n">
        <v>46275.48243055555</v>
      </c>
      <c r="H1421" t="inlineStr">
        <is>
          <t>Delivered</t>
        </is>
      </c>
      <c r="I1421" t="n">
        <v>2</v>
      </c>
      <c r="J1421" t="n">
        <v>7</v>
      </c>
      <c r="K1421" t="n">
        <v>1168.51</v>
      </c>
      <c r="L1421" t="n">
        <v>4.5</v>
      </c>
      <c r="M1421" t="n">
        <v>1.7</v>
      </c>
      <c r="N1421" t="n">
        <v>1.2</v>
      </c>
      <c r="O1421" t="n">
        <v>5.8</v>
      </c>
      <c r="P1421" t="n">
        <v>9.699999999999999</v>
      </c>
      <c r="Q1421" t="n">
        <v>8.699999999999999</v>
      </c>
      <c r="R1421" t="n">
        <v>-1</v>
      </c>
      <c r="S1421" t="b">
        <v>1</v>
      </c>
      <c r="U1421" t="n">
        <v>11</v>
      </c>
      <c r="V1421" t="b">
        <v>0</v>
      </c>
      <c r="X1421" t="b">
        <v>0</v>
      </c>
      <c r="Y1421" t="n">
        <v>0.67</v>
      </c>
    </row>
    <row r="1422">
      <c r="A1422" t="inlineStr">
        <is>
          <t>O01421</t>
        </is>
      </c>
      <c r="B1422" t="inlineStr">
        <is>
          <t>C0066</t>
        </is>
      </c>
      <c r="C1422" t="inlineStr">
        <is>
          <t>S004</t>
        </is>
      </c>
      <c r="D1422" t="inlineStr">
        <is>
          <t>R069</t>
        </is>
      </c>
      <c r="E1422" s="3" t="n">
        <v>46269.48819444444</v>
      </c>
      <c r="F1422" s="3" t="n">
        <v>46269.49611111111</v>
      </c>
      <c r="G1422" s="3" t="n">
        <v>46269.49590277778</v>
      </c>
      <c r="H1422" t="inlineStr">
        <is>
          <t>Delivered</t>
        </is>
      </c>
      <c r="I1422" t="n">
        <v>3</v>
      </c>
      <c r="J1422" t="n">
        <v>9</v>
      </c>
      <c r="K1422" t="n">
        <v>552.25</v>
      </c>
      <c r="L1422" t="n">
        <v>3.3</v>
      </c>
      <c r="M1422" t="n">
        <v>1.5</v>
      </c>
      <c r="N1422" t="n">
        <v>3.9</v>
      </c>
      <c r="O1422" t="n">
        <v>5.7</v>
      </c>
      <c r="P1422" t="n">
        <v>11.4</v>
      </c>
      <c r="Q1422" t="n">
        <v>11.1</v>
      </c>
      <c r="R1422" t="n">
        <v>-0.3</v>
      </c>
      <c r="S1422" t="b">
        <v>1</v>
      </c>
      <c r="U1422" t="n">
        <v>11</v>
      </c>
      <c r="V1422" t="b">
        <v>0</v>
      </c>
      <c r="W1422" t="inlineStr">
        <is>
          <t>Light</t>
        </is>
      </c>
      <c r="X1422" t="b">
        <v>0</v>
      </c>
      <c r="Y1422" t="n">
        <v>0.8100000000000001</v>
      </c>
    </row>
    <row r="1423">
      <c r="A1423" t="inlineStr">
        <is>
          <t>O01422</t>
        </is>
      </c>
      <c r="B1423" t="inlineStr">
        <is>
          <t>C0189</t>
        </is>
      </c>
      <c r="C1423" t="inlineStr">
        <is>
          <t>S001</t>
        </is>
      </c>
      <c r="D1423" t="inlineStr">
        <is>
          <t>R006</t>
        </is>
      </c>
      <c r="E1423" s="3" t="n">
        <v>46272.59236111111</v>
      </c>
      <c r="F1423" s="3" t="n">
        <v>46272.59791666667</v>
      </c>
      <c r="G1423" s="3" t="n">
        <v>46272.59715277778</v>
      </c>
      <c r="H1423" t="inlineStr">
        <is>
          <t>Delivered</t>
        </is>
      </c>
      <c r="I1423" t="n">
        <v>4</v>
      </c>
      <c r="J1423" t="n">
        <v>14</v>
      </c>
      <c r="K1423" t="n">
        <v>1093.74</v>
      </c>
      <c r="L1423" t="n">
        <v>0.73</v>
      </c>
      <c r="M1423" t="n">
        <v>1.8</v>
      </c>
      <c r="N1423" t="n">
        <v>2.5</v>
      </c>
      <c r="O1423" t="n">
        <v>2.6</v>
      </c>
      <c r="P1423" t="n">
        <v>8</v>
      </c>
      <c r="Q1423" t="n">
        <v>6.9</v>
      </c>
      <c r="R1423" t="n">
        <v>-1.1</v>
      </c>
      <c r="S1423" t="b">
        <v>1</v>
      </c>
      <c r="U1423" t="n">
        <v>14</v>
      </c>
      <c r="V1423" t="b">
        <v>0</v>
      </c>
      <c r="W1423" t="inlineStr">
        <is>
          <t>Heavy</t>
        </is>
      </c>
      <c r="X1423" t="b">
        <v>0</v>
      </c>
      <c r="Y1423" t="n">
        <v>0.66</v>
      </c>
    </row>
    <row r="1424">
      <c r="A1424" t="inlineStr">
        <is>
          <t>O01423</t>
        </is>
      </c>
      <c r="B1424" t="inlineStr">
        <is>
          <t>C0006</t>
        </is>
      </c>
      <c r="C1424" t="inlineStr">
        <is>
          <t>S015</t>
        </is>
      </c>
      <c r="D1424" t="inlineStr">
        <is>
          <t>R006</t>
        </is>
      </c>
      <c r="E1424" s="3" t="n">
        <v>46268.42430555556</v>
      </c>
      <c r="F1424" s="3" t="n">
        <v>46268.43152777778</v>
      </c>
      <c r="G1424" s="3" t="n">
        <v>46268.43076388889</v>
      </c>
      <c r="H1424" t="inlineStr">
        <is>
          <t>Delivered</t>
        </is>
      </c>
      <c r="I1424" t="n">
        <v>5</v>
      </c>
      <c r="J1424" t="n">
        <v>9</v>
      </c>
      <c r="K1424" t="n">
        <v>264.47</v>
      </c>
      <c r="L1424" t="n">
        <v>2.96</v>
      </c>
      <c r="M1424" t="n">
        <v>2.8</v>
      </c>
      <c r="N1424" t="n">
        <v>2.6</v>
      </c>
      <c r="O1424" t="n">
        <v>3.9</v>
      </c>
      <c r="P1424" t="n">
        <v>10.4</v>
      </c>
      <c r="Q1424" t="n">
        <v>9.300000000000001</v>
      </c>
      <c r="R1424" t="n">
        <v>-1.1</v>
      </c>
      <c r="S1424" t="b">
        <v>1</v>
      </c>
      <c r="U1424" t="n">
        <v>10</v>
      </c>
      <c r="V1424" t="b">
        <v>0</v>
      </c>
      <c r="X1424" t="b">
        <v>0</v>
      </c>
      <c r="Y1424" t="n">
        <v>0.65</v>
      </c>
    </row>
    <row r="1425">
      <c r="A1425" t="inlineStr">
        <is>
          <t>O01424</t>
        </is>
      </c>
      <c r="B1425" t="inlineStr">
        <is>
          <t>C0053</t>
        </is>
      </c>
      <c r="C1425" t="inlineStr">
        <is>
          <t>S007</t>
        </is>
      </c>
      <c r="D1425" t="inlineStr">
        <is>
          <t>R019</t>
        </is>
      </c>
      <c r="E1425" s="3" t="n">
        <v>46271.52291666667</v>
      </c>
      <c r="F1425" s="3" t="n">
        <v>46271.53013888889</v>
      </c>
      <c r="G1425" s="3" t="n">
        <v>46271.52951388889</v>
      </c>
      <c r="H1425" t="inlineStr">
        <is>
          <t>Delivered</t>
        </is>
      </c>
      <c r="I1425" t="n">
        <v>2</v>
      </c>
      <c r="J1425" t="n">
        <v>7</v>
      </c>
      <c r="K1425" t="n">
        <v>537.72</v>
      </c>
      <c r="L1425" t="n">
        <v>0.78</v>
      </c>
      <c r="M1425" t="n">
        <v>2.8</v>
      </c>
      <c r="N1425" t="n">
        <v>3.1</v>
      </c>
      <c r="O1425" t="n">
        <v>3.6</v>
      </c>
      <c r="P1425" t="n">
        <v>10.4</v>
      </c>
      <c r="Q1425" t="n">
        <v>9.5</v>
      </c>
      <c r="R1425" t="n">
        <v>-0.9</v>
      </c>
      <c r="S1425" t="b">
        <v>1</v>
      </c>
      <c r="U1425" t="n">
        <v>12</v>
      </c>
      <c r="V1425" t="b">
        <v>0</v>
      </c>
      <c r="W1425" t="inlineStr">
        <is>
          <t>Heavy</t>
        </is>
      </c>
      <c r="X1425" t="b">
        <v>0</v>
      </c>
      <c r="Y1425" t="n">
        <v>0.52</v>
      </c>
    </row>
    <row r="1426">
      <c r="A1426" t="inlineStr">
        <is>
          <t>O01425</t>
        </is>
      </c>
      <c r="B1426" t="inlineStr">
        <is>
          <t>C0114</t>
        </is>
      </c>
      <c r="C1426" t="inlineStr">
        <is>
          <t>S016</t>
        </is>
      </c>
      <c r="D1426" t="inlineStr">
        <is>
          <t>R068</t>
        </is>
      </c>
      <c r="E1426" s="3" t="n">
        <v>46277.71458333333</v>
      </c>
      <c r="F1426" s="3" t="n">
        <v>46277.72270833333</v>
      </c>
      <c r="G1426" s="3" t="n">
        <v>46277.72215277778</v>
      </c>
      <c r="H1426" t="inlineStr">
        <is>
          <t>Delivered</t>
        </is>
      </c>
      <c r="I1426" t="n">
        <v>5</v>
      </c>
      <c r="J1426" t="n">
        <v>8</v>
      </c>
      <c r="K1426" t="n">
        <v>1166.43</v>
      </c>
      <c r="L1426" t="n">
        <v>1.3</v>
      </c>
      <c r="M1426" t="n">
        <v>4</v>
      </c>
      <c r="N1426" t="n">
        <v>3.1</v>
      </c>
      <c r="O1426" t="n">
        <v>3.8</v>
      </c>
      <c r="P1426" t="n">
        <v>11.7</v>
      </c>
      <c r="Q1426" t="n">
        <v>10.9</v>
      </c>
      <c r="R1426" t="n">
        <v>-0.8</v>
      </c>
      <c r="S1426" t="b">
        <v>1</v>
      </c>
      <c r="U1426" t="n">
        <v>17</v>
      </c>
      <c r="V1426" t="b">
        <v>0</v>
      </c>
      <c r="W1426" t="inlineStr">
        <is>
          <t>Light</t>
        </is>
      </c>
      <c r="X1426" t="b">
        <v>0</v>
      </c>
      <c r="Y1426" t="n">
        <v>0.88</v>
      </c>
    </row>
    <row r="1427">
      <c r="A1427" t="inlineStr">
        <is>
          <t>O01426</t>
        </is>
      </c>
      <c r="B1427" t="inlineStr">
        <is>
          <t>C0103</t>
        </is>
      </c>
      <c r="C1427" t="inlineStr">
        <is>
          <t>S017</t>
        </is>
      </c>
      <c r="D1427" t="inlineStr">
        <is>
          <t>R079</t>
        </is>
      </c>
      <c r="E1427" s="3" t="n">
        <v>46271.51319444444</v>
      </c>
      <c r="F1427" s="3" t="n">
        <v>46271.52006944444</v>
      </c>
      <c r="G1427" s="3" t="n">
        <v>46271.51895833333</v>
      </c>
      <c r="H1427" t="inlineStr">
        <is>
          <t>Delivered</t>
        </is>
      </c>
      <c r="I1427" t="n">
        <v>5</v>
      </c>
      <c r="J1427" t="n">
        <v>8</v>
      </c>
      <c r="K1427" t="n">
        <v>927.45</v>
      </c>
      <c r="L1427" t="n">
        <v>0.91</v>
      </c>
      <c r="M1427" t="n">
        <v>2.2</v>
      </c>
      <c r="N1427" t="n">
        <v>3.1</v>
      </c>
      <c r="O1427" t="n">
        <v>3</v>
      </c>
      <c r="P1427" t="n">
        <v>9.9</v>
      </c>
      <c r="Q1427" t="n">
        <v>8.300000000000001</v>
      </c>
      <c r="R1427" t="n">
        <v>-1.6</v>
      </c>
      <c r="S1427" t="b">
        <v>1</v>
      </c>
      <c r="U1427" t="n">
        <v>12</v>
      </c>
      <c r="V1427" t="b">
        <v>0</v>
      </c>
      <c r="X1427" t="b">
        <v>0</v>
      </c>
      <c r="Y1427" t="n">
        <v>0.29</v>
      </c>
    </row>
    <row r="1428">
      <c r="A1428" t="inlineStr">
        <is>
          <t>O01427</t>
        </is>
      </c>
      <c r="B1428" t="inlineStr">
        <is>
          <t>C0129</t>
        </is>
      </c>
      <c r="C1428" t="inlineStr">
        <is>
          <t>S008</t>
        </is>
      </c>
      <c r="D1428" t="inlineStr">
        <is>
          <t>R035</t>
        </is>
      </c>
      <c r="E1428" s="3" t="n">
        <v>46276.80138888889</v>
      </c>
      <c r="F1428" s="3" t="n">
        <v>46276.8075</v>
      </c>
      <c r="G1428" s="3" t="n">
        <v>46276.81423611111</v>
      </c>
      <c r="H1428" t="inlineStr">
        <is>
          <t>Delivered</t>
        </is>
      </c>
      <c r="I1428" t="n">
        <v>1</v>
      </c>
      <c r="J1428" t="n">
        <v>6</v>
      </c>
      <c r="K1428" t="n">
        <v>674.67</v>
      </c>
      <c r="L1428" t="n">
        <v>2.8</v>
      </c>
      <c r="M1428" t="n">
        <v>2</v>
      </c>
      <c r="N1428" t="n">
        <v>10.2</v>
      </c>
      <c r="O1428" t="n">
        <v>6.4</v>
      </c>
      <c r="P1428" t="n">
        <v>8.800000000000001</v>
      </c>
      <c r="Q1428" t="n">
        <v>18.5</v>
      </c>
      <c r="R1428" t="n">
        <v>9.699999999999999</v>
      </c>
      <c r="S1428" t="b">
        <v>0</v>
      </c>
      <c r="U1428" t="n">
        <v>19</v>
      </c>
      <c r="V1428" t="b">
        <v>1</v>
      </c>
      <c r="X1428" t="b">
        <v>0</v>
      </c>
      <c r="Y1428" t="n">
        <v>0.52</v>
      </c>
    </row>
    <row r="1429">
      <c r="A1429" t="inlineStr">
        <is>
          <t>O01428</t>
        </is>
      </c>
      <c r="B1429" t="inlineStr">
        <is>
          <t>C0167</t>
        </is>
      </c>
      <c r="C1429" t="inlineStr">
        <is>
          <t>S008</t>
        </is>
      </c>
      <c r="D1429" t="inlineStr">
        <is>
          <t>R042</t>
        </is>
      </c>
      <c r="E1429" s="3" t="n">
        <v>46270.7</v>
      </c>
      <c r="F1429" s="3" t="n">
        <v>46270.70722222222</v>
      </c>
      <c r="G1429" s="3" t="n">
        <v>46270.70708333333</v>
      </c>
      <c r="H1429" t="inlineStr">
        <is>
          <t>Delivered</t>
        </is>
      </c>
      <c r="I1429" t="n">
        <v>4</v>
      </c>
      <c r="J1429" t="n">
        <v>5</v>
      </c>
      <c r="K1429" t="n">
        <v>1442.85</v>
      </c>
      <c r="L1429" t="n">
        <v>1.81</v>
      </c>
      <c r="M1429" t="n">
        <v>4.9</v>
      </c>
      <c r="N1429" t="n">
        <v>0</v>
      </c>
      <c r="O1429" t="n">
        <v>5.3</v>
      </c>
      <c r="P1429" t="n">
        <v>10.4</v>
      </c>
      <c r="Q1429" t="n">
        <v>10.2</v>
      </c>
      <c r="R1429" t="n">
        <v>-0.2</v>
      </c>
      <c r="S1429" t="b">
        <v>1</v>
      </c>
      <c r="U1429" t="n">
        <v>16</v>
      </c>
      <c r="V1429" t="b">
        <v>0</v>
      </c>
      <c r="W1429" t="inlineStr">
        <is>
          <t>Light</t>
        </is>
      </c>
      <c r="X1429" t="b">
        <v>0</v>
      </c>
      <c r="Y1429" t="n">
        <v>0.68</v>
      </c>
    </row>
    <row r="1430">
      <c r="A1430" t="inlineStr">
        <is>
          <t>O01429</t>
        </is>
      </c>
      <c r="B1430" t="inlineStr">
        <is>
          <t>C0125</t>
        </is>
      </c>
      <c r="C1430" t="inlineStr">
        <is>
          <t>S002</t>
        </is>
      </c>
      <c r="D1430" t="inlineStr">
        <is>
          <t>R049</t>
        </is>
      </c>
      <c r="E1430" s="3" t="n">
        <v>46268.48958333334</v>
      </c>
      <c r="F1430" s="3" t="n">
        <v>46268.49680555556</v>
      </c>
      <c r="G1430" s="3" t="n">
        <v>46268.50006944445</v>
      </c>
      <c r="H1430" t="inlineStr">
        <is>
          <t>Delivered</t>
        </is>
      </c>
      <c r="I1430" t="n">
        <v>2</v>
      </c>
      <c r="J1430" t="n">
        <v>7</v>
      </c>
      <c r="K1430" t="n">
        <v>980.75</v>
      </c>
      <c r="L1430" t="n">
        <v>2.17</v>
      </c>
      <c r="M1430" t="n">
        <v>2.7</v>
      </c>
      <c r="N1430" t="n">
        <v>5.7</v>
      </c>
      <c r="O1430" t="n">
        <v>6.7</v>
      </c>
      <c r="P1430" t="n">
        <v>10.4</v>
      </c>
      <c r="Q1430" t="n">
        <v>15.1</v>
      </c>
      <c r="R1430" t="n">
        <v>4.7</v>
      </c>
      <c r="S1430" t="b">
        <v>0</v>
      </c>
      <c r="U1430" t="n">
        <v>11</v>
      </c>
      <c r="V1430" t="b">
        <v>0</v>
      </c>
      <c r="X1430" t="b">
        <v>0</v>
      </c>
      <c r="Y1430" t="n">
        <v>0.54</v>
      </c>
    </row>
    <row r="1431">
      <c r="A1431" t="inlineStr">
        <is>
          <t>O01430</t>
        </is>
      </c>
      <c r="B1431" t="inlineStr">
        <is>
          <t>C0119</t>
        </is>
      </c>
      <c r="C1431" t="inlineStr">
        <is>
          <t>S020</t>
        </is>
      </c>
      <c r="D1431" t="inlineStr">
        <is>
          <t>R067</t>
        </is>
      </c>
      <c r="E1431" s="3" t="n">
        <v>46277.68611111111</v>
      </c>
      <c r="F1431" s="3" t="n">
        <v>46277.69513888889</v>
      </c>
      <c r="G1431" s="3" t="n">
        <v>46277.69465277778</v>
      </c>
      <c r="H1431" t="inlineStr">
        <is>
          <t>Delivered</t>
        </is>
      </c>
      <c r="I1431" t="n">
        <v>4</v>
      </c>
      <c r="J1431" t="n">
        <v>10</v>
      </c>
      <c r="K1431" t="n">
        <v>645.61</v>
      </c>
      <c r="L1431" t="n">
        <v>2.71</v>
      </c>
      <c r="M1431" t="n">
        <v>5.5</v>
      </c>
      <c r="N1431" t="n">
        <v>2.4</v>
      </c>
      <c r="O1431" t="n">
        <v>4.4</v>
      </c>
      <c r="P1431" t="n">
        <v>13</v>
      </c>
      <c r="Q1431" t="n">
        <v>12.3</v>
      </c>
      <c r="R1431" t="n">
        <v>-0.7</v>
      </c>
      <c r="S1431" t="b">
        <v>1</v>
      </c>
      <c r="U1431" t="n">
        <v>16</v>
      </c>
      <c r="V1431" t="b">
        <v>0</v>
      </c>
      <c r="X1431" t="b">
        <v>0</v>
      </c>
      <c r="Y1431" t="n">
        <v>0.48</v>
      </c>
    </row>
    <row r="1432">
      <c r="A1432" t="inlineStr">
        <is>
          <t>O01431</t>
        </is>
      </c>
      <c r="B1432" t="inlineStr">
        <is>
          <t>C0111</t>
        </is>
      </c>
      <c r="C1432" t="inlineStr">
        <is>
          <t>S015</t>
        </is>
      </c>
      <c r="D1432" t="inlineStr">
        <is>
          <t>R080</t>
        </is>
      </c>
      <c r="E1432" s="3" t="n">
        <v>46272.83194444444</v>
      </c>
      <c r="F1432" s="3" t="n">
        <v>46272.8375</v>
      </c>
      <c r="G1432" s="3" t="n">
        <v>46272.836875</v>
      </c>
      <c r="H1432" t="inlineStr">
        <is>
          <t>Delivered</t>
        </is>
      </c>
      <c r="I1432" t="n">
        <v>1</v>
      </c>
      <c r="J1432" t="n">
        <v>8</v>
      </c>
      <c r="K1432" t="n">
        <v>604.92</v>
      </c>
      <c r="L1432" t="n">
        <v>0.5</v>
      </c>
      <c r="M1432" t="n">
        <v>3.6</v>
      </c>
      <c r="N1432" t="n">
        <v>1.6</v>
      </c>
      <c r="O1432" t="n">
        <v>1.9</v>
      </c>
      <c r="P1432" t="n">
        <v>8</v>
      </c>
      <c r="Q1432" t="n">
        <v>7.1</v>
      </c>
      <c r="R1432" t="n">
        <v>-0.9</v>
      </c>
      <c r="S1432" t="b">
        <v>1</v>
      </c>
      <c r="U1432" t="n">
        <v>19</v>
      </c>
      <c r="V1432" t="b">
        <v>1</v>
      </c>
      <c r="X1432" t="b">
        <v>0</v>
      </c>
      <c r="Y1432" t="n">
        <v>0.51</v>
      </c>
    </row>
    <row r="1433">
      <c r="A1433" t="inlineStr">
        <is>
          <t>O01432</t>
        </is>
      </c>
      <c r="B1433" t="inlineStr">
        <is>
          <t>C0004</t>
        </is>
      </c>
      <c r="C1433" t="inlineStr">
        <is>
          <t>S004</t>
        </is>
      </c>
      <c r="D1433" t="inlineStr">
        <is>
          <t>R043</t>
        </is>
      </c>
      <c r="E1433" s="3" t="n">
        <v>46275.64722222222</v>
      </c>
      <c r="F1433" s="3" t="n">
        <v>46275.65326388889</v>
      </c>
      <c r="G1433" s="3" t="n">
        <v>46275.65270833333</v>
      </c>
      <c r="H1433" t="inlineStr">
        <is>
          <t>Delivered</t>
        </is>
      </c>
      <c r="I1433" t="n">
        <v>3</v>
      </c>
      <c r="J1433" t="n">
        <v>6</v>
      </c>
      <c r="K1433" t="n">
        <v>554.45</v>
      </c>
      <c r="L1433" t="n">
        <v>1.7</v>
      </c>
      <c r="M1433" t="n">
        <v>2.3</v>
      </c>
      <c r="N1433" t="n">
        <v>2</v>
      </c>
      <c r="O1433" t="n">
        <v>3.6</v>
      </c>
      <c r="P1433" t="n">
        <v>8.699999999999999</v>
      </c>
      <c r="Q1433" t="n">
        <v>7.9</v>
      </c>
      <c r="R1433" t="n">
        <v>-0.8</v>
      </c>
      <c r="S1433" t="b">
        <v>1</v>
      </c>
      <c r="U1433" t="n">
        <v>15</v>
      </c>
      <c r="V1433" t="b">
        <v>0</v>
      </c>
      <c r="X1433" t="b">
        <v>0</v>
      </c>
      <c r="Y1433" t="n">
        <v>0.33</v>
      </c>
    </row>
    <row r="1434">
      <c r="A1434" t="inlineStr">
        <is>
          <t>O01433</t>
        </is>
      </c>
      <c r="B1434" t="inlineStr">
        <is>
          <t>C0062</t>
        </is>
      </c>
      <c r="C1434" t="inlineStr">
        <is>
          <t>S005</t>
        </is>
      </c>
      <c r="D1434" t="inlineStr">
        <is>
          <t>R031</t>
        </is>
      </c>
      <c r="E1434" s="3" t="n">
        <v>46279.49583333333</v>
      </c>
      <c r="F1434" s="3" t="n">
        <v>46279.501875</v>
      </c>
      <c r="G1434" s="3" t="n">
        <v>46279.50951388889</v>
      </c>
      <c r="H1434" t="inlineStr">
        <is>
          <t>Delivered</t>
        </is>
      </c>
      <c r="I1434" t="n">
        <v>3</v>
      </c>
      <c r="J1434" t="n">
        <v>5</v>
      </c>
      <c r="K1434" t="n">
        <v>1106.68</v>
      </c>
      <c r="L1434" t="n">
        <v>1.64</v>
      </c>
      <c r="M1434" t="n">
        <v>4.8</v>
      </c>
      <c r="N1434" t="n">
        <v>8.9</v>
      </c>
      <c r="O1434" t="n">
        <v>5.9</v>
      </c>
      <c r="P1434" t="n">
        <v>8.699999999999999</v>
      </c>
      <c r="Q1434" t="n">
        <v>19.7</v>
      </c>
      <c r="R1434" t="n">
        <v>11</v>
      </c>
      <c r="S1434" t="b">
        <v>0</v>
      </c>
      <c r="U1434" t="n">
        <v>11</v>
      </c>
      <c r="V1434" t="b">
        <v>0</v>
      </c>
      <c r="X1434" t="b">
        <v>0</v>
      </c>
      <c r="Y1434" t="n">
        <v>0.74</v>
      </c>
    </row>
    <row r="1435">
      <c r="A1435" t="inlineStr">
        <is>
          <t>O01434</t>
        </is>
      </c>
      <c r="B1435" t="inlineStr">
        <is>
          <t>C0157</t>
        </is>
      </c>
      <c r="C1435" t="inlineStr">
        <is>
          <t>S002</t>
        </is>
      </c>
      <c r="D1435" t="inlineStr">
        <is>
          <t>R017</t>
        </is>
      </c>
      <c r="E1435" s="3" t="n">
        <v>46279.38819444444</v>
      </c>
      <c r="F1435" s="3" t="n">
        <v>46279.39680555555</v>
      </c>
      <c r="G1435" s="3" t="n">
        <v>46279.39673611111</v>
      </c>
      <c r="H1435" t="inlineStr">
        <is>
          <t>Delivered</t>
        </is>
      </c>
      <c r="I1435" t="n">
        <v>4</v>
      </c>
      <c r="J1435" t="n">
        <v>11</v>
      </c>
      <c r="K1435" t="n">
        <v>567.15</v>
      </c>
      <c r="L1435" t="n">
        <v>1.9</v>
      </c>
      <c r="M1435" t="n">
        <v>2.8</v>
      </c>
      <c r="N1435" t="n">
        <v>3.6</v>
      </c>
      <c r="O1435" t="n">
        <v>5.9</v>
      </c>
      <c r="P1435" t="n">
        <v>12.4</v>
      </c>
      <c r="Q1435" t="n">
        <v>12.3</v>
      </c>
      <c r="R1435" t="n">
        <v>-0.1</v>
      </c>
      <c r="S1435" t="b">
        <v>1</v>
      </c>
      <c r="U1435" t="n">
        <v>9</v>
      </c>
      <c r="V1435" t="b">
        <v>0</v>
      </c>
      <c r="X1435" t="b">
        <v>0</v>
      </c>
      <c r="Y1435" t="n">
        <v>0.54</v>
      </c>
    </row>
    <row r="1436">
      <c r="A1436" t="inlineStr">
        <is>
          <t>O01435</t>
        </is>
      </c>
      <c r="B1436" t="inlineStr">
        <is>
          <t>C0158</t>
        </is>
      </c>
      <c r="C1436" t="inlineStr">
        <is>
          <t>S012</t>
        </is>
      </c>
      <c r="D1436" t="inlineStr">
        <is>
          <t>R044</t>
        </is>
      </c>
      <c r="E1436" s="3" t="n">
        <v>46268.61805555555</v>
      </c>
      <c r="F1436" s="3" t="n">
        <v>46268.62402777778</v>
      </c>
      <c r="G1436" s="3" t="n">
        <v>46268.62381944444</v>
      </c>
      <c r="H1436" t="inlineStr">
        <is>
          <t>Delivered</t>
        </is>
      </c>
      <c r="I1436" t="n">
        <v>2</v>
      </c>
      <c r="J1436" t="n">
        <v>6</v>
      </c>
      <c r="K1436" t="n">
        <v>869.3200000000001</v>
      </c>
      <c r="L1436" t="n">
        <v>0.82</v>
      </c>
      <c r="M1436" t="n">
        <v>3.9</v>
      </c>
      <c r="N1436" t="n">
        <v>2.8</v>
      </c>
      <c r="O1436" t="n">
        <v>1.6</v>
      </c>
      <c r="P1436" t="n">
        <v>8.6</v>
      </c>
      <c r="Q1436" t="n">
        <v>8.300000000000001</v>
      </c>
      <c r="R1436" t="n">
        <v>-0.3</v>
      </c>
      <c r="S1436" t="b">
        <v>1</v>
      </c>
      <c r="U1436" t="n">
        <v>14</v>
      </c>
      <c r="V1436" t="b">
        <v>0</v>
      </c>
      <c r="X1436" t="b">
        <v>0</v>
      </c>
      <c r="Y1436" t="n">
        <v>0.24</v>
      </c>
    </row>
    <row r="1437">
      <c r="A1437" t="inlineStr">
        <is>
          <t>O01436</t>
        </is>
      </c>
      <c r="B1437" t="inlineStr">
        <is>
          <t>C0205</t>
        </is>
      </c>
      <c r="C1437" t="inlineStr">
        <is>
          <t>S006</t>
        </is>
      </c>
      <c r="D1437" t="inlineStr">
        <is>
          <t>R009</t>
        </is>
      </c>
      <c r="E1437" s="3" t="n">
        <v>46276.41111111111</v>
      </c>
      <c r="F1437" s="3" t="n">
        <v>46276.41881944444</v>
      </c>
      <c r="G1437" s="3" t="n">
        <v>46276.4225</v>
      </c>
      <c r="H1437" t="inlineStr">
        <is>
          <t>Delivered</t>
        </is>
      </c>
      <c r="I1437" t="n">
        <v>2</v>
      </c>
      <c r="J1437" t="n">
        <v>6</v>
      </c>
      <c r="K1437" t="n">
        <v>605.91</v>
      </c>
      <c r="L1437" t="n">
        <v>2.13</v>
      </c>
      <c r="M1437" t="n">
        <v>6.6</v>
      </c>
      <c r="N1437" t="n">
        <v>1.7</v>
      </c>
      <c r="O1437" t="n">
        <v>8</v>
      </c>
      <c r="P1437" t="n">
        <v>11.1</v>
      </c>
      <c r="Q1437" t="n">
        <v>16.4</v>
      </c>
      <c r="R1437" t="n">
        <v>5.3</v>
      </c>
      <c r="S1437" t="b">
        <v>0</v>
      </c>
      <c r="U1437" t="n">
        <v>9</v>
      </c>
      <c r="V1437" t="b">
        <v>0</v>
      </c>
      <c r="W1437" t="inlineStr">
        <is>
          <t>Heavy</t>
        </is>
      </c>
      <c r="X1437" t="b">
        <v>0</v>
      </c>
      <c r="Y1437" t="n">
        <v>0.53</v>
      </c>
    </row>
    <row r="1438">
      <c r="A1438" t="inlineStr">
        <is>
          <t>O01437</t>
        </is>
      </c>
      <c r="B1438" t="inlineStr">
        <is>
          <t>C0095</t>
        </is>
      </c>
      <c r="C1438" t="inlineStr">
        <is>
          <t>S017</t>
        </is>
      </c>
      <c r="D1438" t="inlineStr">
        <is>
          <t>R009</t>
        </is>
      </c>
      <c r="E1438" s="3" t="n">
        <v>46269.36319444444</v>
      </c>
      <c r="F1438" s="3" t="n">
        <v>46269.37111111111</v>
      </c>
      <c r="G1438" s="3" t="n">
        <v>46269.37034722222</v>
      </c>
      <c r="H1438" t="inlineStr">
        <is>
          <t>Delivered</t>
        </is>
      </c>
      <c r="I1438" t="n">
        <v>1</v>
      </c>
      <c r="J1438" t="n">
        <v>7</v>
      </c>
      <c r="K1438" t="n">
        <v>1388.9</v>
      </c>
      <c r="L1438" t="n">
        <v>4</v>
      </c>
      <c r="M1438" t="n">
        <v>1.6</v>
      </c>
      <c r="N1438" t="n">
        <v>0.6</v>
      </c>
      <c r="O1438" t="n">
        <v>8.1</v>
      </c>
      <c r="P1438" t="n">
        <v>11.4</v>
      </c>
      <c r="Q1438" t="n">
        <v>10.3</v>
      </c>
      <c r="R1438" t="n">
        <v>-1.1</v>
      </c>
      <c r="S1438" t="b">
        <v>1</v>
      </c>
      <c r="U1438" t="n">
        <v>8</v>
      </c>
      <c r="V1438" t="b">
        <v>0</v>
      </c>
      <c r="X1438" t="b">
        <v>0</v>
      </c>
      <c r="Y1438" t="n">
        <v>0.32</v>
      </c>
    </row>
    <row r="1439">
      <c r="A1439" t="inlineStr">
        <is>
          <t>O01438</t>
        </is>
      </c>
      <c r="B1439" t="inlineStr">
        <is>
          <t>C0132</t>
        </is>
      </c>
      <c r="C1439" t="inlineStr">
        <is>
          <t>S009</t>
        </is>
      </c>
      <c r="D1439" t="inlineStr">
        <is>
          <t>R047</t>
        </is>
      </c>
      <c r="E1439" s="3" t="n">
        <v>46268.34583333333</v>
      </c>
      <c r="F1439" s="3" t="n">
        <v>46268.351875</v>
      </c>
      <c r="G1439" s="3" t="n">
        <v>46268.35173611111</v>
      </c>
      <c r="H1439" t="inlineStr">
        <is>
          <t>Delivered</t>
        </is>
      </c>
      <c r="I1439" t="n">
        <v>6</v>
      </c>
      <c r="J1439" t="n">
        <v>8</v>
      </c>
      <c r="K1439" t="n">
        <v>908.87</v>
      </c>
      <c r="L1439" t="n">
        <v>2.65</v>
      </c>
      <c r="M1439" t="n">
        <v>1.5</v>
      </c>
      <c r="N1439" t="n">
        <v>3.6</v>
      </c>
      <c r="O1439" t="n">
        <v>3.4</v>
      </c>
      <c r="P1439" t="n">
        <v>8.699999999999999</v>
      </c>
      <c r="Q1439" t="n">
        <v>8.5</v>
      </c>
      <c r="R1439" t="n">
        <v>-0.2</v>
      </c>
      <c r="S1439" t="b">
        <v>1</v>
      </c>
      <c r="U1439" t="n">
        <v>8</v>
      </c>
      <c r="V1439" t="b">
        <v>0</v>
      </c>
      <c r="X1439" t="b">
        <v>0</v>
      </c>
      <c r="Y1439" t="n">
        <v>0.21</v>
      </c>
    </row>
    <row r="1440">
      <c r="A1440" t="inlineStr">
        <is>
          <t>O01439</t>
        </is>
      </c>
      <c r="B1440" t="inlineStr">
        <is>
          <t>C0062</t>
        </is>
      </c>
      <c r="C1440" t="inlineStr">
        <is>
          <t>S010</t>
        </is>
      </c>
      <c r="D1440" t="inlineStr">
        <is>
          <t>R004</t>
        </is>
      </c>
      <c r="E1440" s="3" t="n">
        <v>46274.88194444445</v>
      </c>
      <c r="F1440" s="3" t="n">
        <v>46274.888125</v>
      </c>
      <c r="G1440" s="3" t="n">
        <v>46274.88770833334</v>
      </c>
      <c r="H1440" t="inlineStr">
        <is>
          <t>Delivered</t>
        </is>
      </c>
      <c r="I1440" t="n">
        <v>1</v>
      </c>
      <c r="J1440" t="n">
        <v>6</v>
      </c>
      <c r="K1440" t="n">
        <v>1171.84</v>
      </c>
      <c r="L1440" t="n">
        <v>3.41</v>
      </c>
      <c r="M1440" t="n">
        <v>2.1</v>
      </c>
      <c r="N1440" t="n">
        <v>2.3</v>
      </c>
      <c r="O1440" t="n">
        <v>3.9</v>
      </c>
      <c r="P1440" t="n">
        <v>8.9</v>
      </c>
      <c r="Q1440" t="n">
        <v>8.300000000000001</v>
      </c>
      <c r="R1440" t="n">
        <v>-0.6</v>
      </c>
      <c r="S1440" t="b">
        <v>1</v>
      </c>
      <c r="U1440" t="n">
        <v>21</v>
      </c>
      <c r="V1440" t="b">
        <v>1</v>
      </c>
      <c r="W1440" t="inlineStr">
        <is>
          <t>Light</t>
        </is>
      </c>
      <c r="X1440" t="b">
        <v>0</v>
      </c>
      <c r="Y1440" t="n">
        <v>0.53</v>
      </c>
    </row>
    <row r="1441">
      <c r="A1441" t="inlineStr">
        <is>
          <t>O01440</t>
        </is>
      </c>
      <c r="B1441" t="inlineStr">
        <is>
          <t>C0106</t>
        </is>
      </c>
      <c r="C1441" t="inlineStr">
        <is>
          <t>S020</t>
        </is>
      </c>
      <c r="D1441" t="inlineStr">
        <is>
          <t>R035</t>
        </is>
      </c>
      <c r="E1441" s="3" t="n">
        <v>46272.55138888889</v>
      </c>
      <c r="F1441" s="3" t="n">
        <v>46272.55805555556</v>
      </c>
      <c r="G1441" s="3" t="n">
        <v>46272.55756944444</v>
      </c>
      <c r="H1441" t="inlineStr">
        <is>
          <t>Delivered</t>
        </is>
      </c>
      <c r="I1441" t="n">
        <v>1</v>
      </c>
      <c r="J1441" t="n">
        <v>7</v>
      </c>
      <c r="K1441" t="n">
        <v>1003.09</v>
      </c>
      <c r="L1441" t="n">
        <v>3.8</v>
      </c>
      <c r="M1441" t="n">
        <v>1.9</v>
      </c>
      <c r="N1441" t="n">
        <v>3.1</v>
      </c>
      <c r="O1441" t="n">
        <v>3.9</v>
      </c>
      <c r="P1441" t="n">
        <v>9.6</v>
      </c>
      <c r="Q1441" t="n">
        <v>8.9</v>
      </c>
      <c r="R1441" t="n">
        <v>-0.7</v>
      </c>
      <c r="S1441" t="b">
        <v>1</v>
      </c>
      <c r="U1441" t="n">
        <v>13</v>
      </c>
      <c r="V1441" t="b">
        <v>0</v>
      </c>
      <c r="W1441" t="inlineStr">
        <is>
          <t>Light</t>
        </is>
      </c>
      <c r="X1441" t="b">
        <v>0</v>
      </c>
      <c r="Y1441" t="n">
        <v>0.41</v>
      </c>
    </row>
    <row r="1442">
      <c r="A1442" t="inlineStr">
        <is>
          <t>O01441</t>
        </is>
      </c>
      <c r="B1442" t="inlineStr">
        <is>
          <t>C0053</t>
        </is>
      </c>
      <c r="C1442" t="inlineStr">
        <is>
          <t>S007</t>
        </is>
      </c>
      <c r="E1442" s="3" t="n">
        <v>46272.48611111111</v>
      </c>
      <c r="F1442" s="3" t="n">
        <v>46272.493125</v>
      </c>
      <c r="H1442" t="inlineStr">
        <is>
          <t>Cancelled</t>
        </is>
      </c>
      <c r="I1442" t="n">
        <v>1</v>
      </c>
      <c r="J1442" t="n">
        <v>4</v>
      </c>
      <c r="K1442" t="n">
        <v>448.42</v>
      </c>
      <c r="L1442" t="n">
        <v>2.44</v>
      </c>
      <c r="M1442" t="n">
        <v>5.2</v>
      </c>
      <c r="N1442" t="n">
        <v>1.3</v>
      </c>
      <c r="O1442" t="n">
        <v>6.8</v>
      </c>
      <c r="P1442" t="n">
        <v>10.1</v>
      </c>
      <c r="T1442" t="inlineStr">
        <is>
          <t>Customer cancelled</t>
        </is>
      </c>
      <c r="U1442" t="n">
        <v>11</v>
      </c>
      <c r="V1442" t="b">
        <v>0</v>
      </c>
      <c r="W1442" t="inlineStr">
        <is>
          <t>Light</t>
        </is>
      </c>
      <c r="X1442" t="b">
        <v>0</v>
      </c>
      <c r="Y1442" t="n">
        <v>0.35</v>
      </c>
    </row>
    <row r="1443">
      <c r="A1443" t="inlineStr">
        <is>
          <t>O01442</t>
        </is>
      </c>
      <c r="B1443" t="inlineStr">
        <is>
          <t>C0149</t>
        </is>
      </c>
      <c r="C1443" t="inlineStr">
        <is>
          <t>S003</t>
        </is>
      </c>
      <c r="D1443" t="inlineStr">
        <is>
          <t>R044</t>
        </is>
      </c>
      <c r="E1443" s="3" t="n">
        <v>46278.8625</v>
      </c>
      <c r="F1443" s="3" t="n">
        <v>46278.86930555556</v>
      </c>
      <c r="G1443" s="3" t="n">
        <v>46278.86895833333</v>
      </c>
      <c r="H1443" t="inlineStr">
        <is>
          <t>Delivered</t>
        </is>
      </c>
      <c r="I1443" t="n">
        <v>4</v>
      </c>
      <c r="J1443" t="n">
        <v>7</v>
      </c>
      <c r="K1443" t="n">
        <v>884.34</v>
      </c>
      <c r="L1443" t="n">
        <v>2.1</v>
      </c>
      <c r="M1443" t="n">
        <v>2.3</v>
      </c>
      <c r="N1443" t="n">
        <v>3.5</v>
      </c>
      <c r="O1443" t="n">
        <v>3.5</v>
      </c>
      <c r="P1443" t="n">
        <v>9.800000000000001</v>
      </c>
      <c r="Q1443" t="n">
        <v>9.300000000000001</v>
      </c>
      <c r="R1443" t="n">
        <v>-0.5</v>
      </c>
      <c r="S1443" t="b">
        <v>1</v>
      </c>
      <c r="U1443" t="n">
        <v>20</v>
      </c>
      <c r="V1443" t="b">
        <v>1</v>
      </c>
      <c r="X1443" t="b">
        <v>0</v>
      </c>
      <c r="Y1443" t="n">
        <v>0.61</v>
      </c>
    </row>
    <row r="1444">
      <c r="A1444" t="inlineStr">
        <is>
          <t>O01443</t>
        </is>
      </c>
      <c r="B1444" t="inlineStr">
        <is>
          <t>C0151</t>
        </is>
      </c>
      <c r="C1444" t="inlineStr">
        <is>
          <t>S011</t>
        </is>
      </c>
      <c r="D1444" t="inlineStr">
        <is>
          <t>R043</t>
        </is>
      </c>
      <c r="E1444" s="3" t="n">
        <v>46267.37916666667</v>
      </c>
      <c r="F1444" s="3" t="n">
        <v>46267.38590277778</v>
      </c>
      <c r="G1444" s="3" t="n">
        <v>46267.38722222222</v>
      </c>
      <c r="H1444" t="inlineStr">
        <is>
          <t>Delivered</t>
        </is>
      </c>
      <c r="I1444" t="n">
        <v>3</v>
      </c>
      <c r="J1444" t="n">
        <v>5</v>
      </c>
      <c r="K1444" t="n">
        <v>1021.49</v>
      </c>
      <c r="L1444" t="n">
        <v>2.38</v>
      </c>
      <c r="M1444" t="n">
        <v>4.9</v>
      </c>
      <c r="N1444" t="n">
        <v>1.3</v>
      </c>
      <c r="O1444" t="n">
        <v>5.4</v>
      </c>
      <c r="P1444" t="n">
        <v>9.699999999999999</v>
      </c>
      <c r="Q1444" t="n">
        <v>11.6</v>
      </c>
      <c r="R1444" t="n">
        <v>1.9</v>
      </c>
      <c r="S1444" t="b">
        <v>0</v>
      </c>
      <c r="U1444" t="n">
        <v>9</v>
      </c>
      <c r="V1444" t="b">
        <v>0</v>
      </c>
      <c r="X1444" t="b">
        <v>0</v>
      </c>
      <c r="Y1444" t="n">
        <v>0.21</v>
      </c>
    </row>
    <row r="1445">
      <c r="A1445" t="inlineStr">
        <is>
          <t>O01444</t>
        </is>
      </c>
      <c r="B1445" t="inlineStr">
        <is>
          <t>C0012</t>
        </is>
      </c>
      <c r="C1445" t="inlineStr">
        <is>
          <t>S011</t>
        </is>
      </c>
      <c r="D1445" t="inlineStr">
        <is>
          <t>R016</t>
        </is>
      </c>
      <c r="E1445" s="3" t="n">
        <v>46271.88263888889</v>
      </c>
      <c r="F1445" s="3" t="n">
        <v>46271.88930555555</v>
      </c>
      <c r="G1445" s="3" t="n">
        <v>46271.88895833334</v>
      </c>
      <c r="H1445" t="inlineStr">
        <is>
          <t>Delivered</t>
        </is>
      </c>
      <c r="I1445" t="n">
        <v>1</v>
      </c>
      <c r="J1445" t="n">
        <v>6</v>
      </c>
      <c r="K1445" t="n">
        <v>400.01</v>
      </c>
      <c r="L1445" t="n">
        <v>0.93</v>
      </c>
      <c r="M1445" t="n">
        <v>2.7</v>
      </c>
      <c r="N1445" t="n">
        <v>4</v>
      </c>
      <c r="O1445" t="n">
        <v>2.4</v>
      </c>
      <c r="P1445" t="n">
        <v>9.6</v>
      </c>
      <c r="Q1445" t="n">
        <v>9.1</v>
      </c>
      <c r="R1445" t="n">
        <v>-0.5</v>
      </c>
      <c r="S1445" t="b">
        <v>1</v>
      </c>
      <c r="U1445" t="n">
        <v>21</v>
      </c>
      <c r="V1445" t="b">
        <v>1</v>
      </c>
      <c r="X1445" t="b">
        <v>0</v>
      </c>
      <c r="Y1445" t="n">
        <v>0.78</v>
      </c>
    </row>
    <row r="1446">
      <c r="A1446" t="inlineStr">
        <is>
          <t>O01445</t>
        </is>
      </c>
      <c r="B1446" t="inlineStr">
        <is>
          <t>C0235</t>
        </is>
      </c>
      <c r="C1446" t="inlineStr">
        <is>
          <t>S017</t>
        </is>
      </c>
      <c r="D1446" t="inlineStr">
        <is>
          <t>R026</t>
        </is>
      </c>
      <c r="E1446" s="3" t="n">
        <v>46274.77986111111</v>
      </c>
      <c r="F1446" s="3" t="n">
        <v>46274.78569444444</v>
      </c>
      <c r="G1446" s="3" t="n">
        <v>46274.78493055556</v>
      </c>
      <c r="H1446" t="inlineStr">
        <is>
          <t>Delivered</t>
        </is>
      </c>
      <c r="I1446" t="n">
        <v>4</v>
      </c>
      <c r="J1446" t="n">
        <v>8</v>
      </c>
      <c r="K1446" t="n">
        <v>1449.46</v>
      </c>
      <c r="L1446" t="n">
        <v>1.12</v>
      </c>
      <c r="M1446" t="n">
        <v>2.1</v>
      </c>
      <c r="N1446" t="n">
        <v>2.5</v>
      </c>
      <c r="O1446" t="n">
        <v>2.7</v>
      </c>
      <c r="P1446" t="n">
        <v>8.4</v>
      </c>
      <c r="Q1446" t="n">
        <v>7.3</v>
      </c>
      <c r="R1446" t="n">
        <v>-1.1</v>
      </c>
      <c r="S1446" t="b">
        <v>1</v>
      </c>
      <c r="U1446" t="n">
        <v>18</v>
      </c>
      <c r="V1446" t="b">
        <v>0</v>
      </c>
      <c r="W1446" t="inlineStr">
        <is>
          <t>Light</t>
        </is>
      </c>
      <c r="X1446" t="b">
        <v>0</v>
      </c>
      <c r="Y1446" t="n">
        <v>0.4</v>
      </c>
    </row>
    <row r="1447">
      <c r="A1447" t="inlineStr">
        <is>
          <t>O01446</t>
        </is>
      </c>
      <c r="B1447" t="inlineStr">
        <is>
          <t>C0048</t>
        </is>
      </c>
      <c r="C1447" t="inlineStr">
        <is>
          <t>S012</t>
        </is>
      </c>
      <c r="D1447" t="inlineStr">
        <is>
          <t>R007</t>
        </is>
      </c>
      <c r="E1447" s="3" t="n">
        <v>46275.99861111111</v>
      </c>
      <c r="F1447" s="3" t="n">
        <v>46276.00444444444</v>
      </c>
      <c r="G1447" s="3" t="n">
        <v>46276.00368055556</v>
      </c>
      <c r="H1447" t="inlineStr">
        <is>
          <t>Delivered</t>
        </is>
      </c>
      <c r="I1447" t="n">
        <v>3</v>
      </c>
      <c r="J1447" t="n">
        <v>9</v>
      </c>
      <c r="K1447" t="n">
        <v>1665.36</v>
      </c>
      <c r="L1447" t="n">
        <v>1.78</v>
      </c>
      <c r="M1447" t="n">
        <v>3.2</v>
      </c>
      <c r="N1447" t="n">
        <v>1.4</v>
      </c>
      <c r="O1447" t="n">
        <v>2.7</v>
      </c>
      <c r="P1447" t="n">
        <v>8.4</v>
      </c>
      <c r="Q1447" t="n">
        <v>7.3</v>
      </c>
      <c r="R1447" t="n">
        <v>-1.1</v>
      </c>
      <c r="S1447" t="b">
        <v>1</v>
      </c>
      <c r="U1447" t="n">
        <v>23</v>
      </c>
      <c r="V1447" t="b">
        <v>0</v>
      </c>
      <c r="X1447" t="b">
        <v>0</v>
      </c>
      <c r="Y1447" t="n">
        <v>0.64</v>
      </c>
    </row>
    <row r="1448">
      <c r="A1448" t="inlineStr">
        <is>
          <t>O01447</t>
        </is>
      </c>
      <c r="B1448" t="inlineStr">
        <is>
          <t>C0009</t>
        </is>
      </c>
      <c r="C1448" t="inlineStr">
        <is>
          <t>S006</t>
        </is>
      </c>
      <c r="D1448" t="inlineStr">
        <is>
          <t>R071</t>
        </is>
      </c>
      <c r="E1448" s="3" t="n">
        <v>46267.73472222222</v>
      </c>
      <c r="F1448" s="3" t="n">
        <v>46267.74180555555</v>
      </c>
      <c r="G1448" s="3" t="n">
        <v>46267.74125</v>
      </c>
      <c r="H1448" t="inlineStr">
        <is>
          <t>Delivered</t>
        </is>
      </c>
      <c r="I1448" t="n">
        <v>1</v>
      </c>
      <c r="J1448" t="n">
        <v>7</v>
      </c>
      <c r="K1448" t="n">
        <v>938.27</v>
      </c>
      <c r="L1448" t="n">
        <v>1.08</v>
      </c>
      <c r="M1448" t="n">
        <v>4</v>
      </c>
      <c r="N1448" t="n">
        <v>3.5</v>
      </c>
      <c r="O1448" t="n">
        <v>1.9</v>
      </c>
      <c r="P1448" t="n">
        <v>10.2</v>
      </c>
      <c r="Q1448" t="n">
        <v>9.4</v>
      </c>
      <c r="R1448" t="n">
        <v>-0.8</v>
      </c>
      <c r="S1448" t="b">
        <v>1</v>
      </c>
      <c r="U1448" t="n">
        <v>17</v>
      </c>
      <c r="V1448" t="b">
        <v>0</v>
      </c>
      <c r="X1448" t="b">
        <v>0</v>
      </c>
      <c r="Y1448" t="n">
        <v>0.24</v>
      </c>
    </row>
    <row r="1449">
      <c r="A1449" t="inlineStr">
        <is>
          <t>O01448</t>
        </is>
      </c>
      <c r="B1449" t="inlineStr">
        <is>
          <t>C0146</t>
        </is>
      </c>
      <c r="C1449" t="inlineStr">
        <is>
          <t>S007</t>
        </is>
      </c>
      <c r="D1449" t="inlineStr">
        <is>
          <t>R080</t>
        </is>
      </c>
      <c r="E1449" s="3" t="n">
        <v>46266.62152777778</v>
      </c>
      <c r="F1449" s="3" t="n">
        <v>46266.62909722222</v>
      </c>
      <c r="G1449" s="3" t="n">
        <v>46266.62895833333</v>
      </c>
      <c r="H1449" t="inlineStr">
        <is>
          <t>Delivered</t>
        </is>
      </c>
      <c r="I1449" t="n">
        <v>2</v>
      </c>
      <c r="J1449" t="n">
        <v>7</v>
      </c>
      <c r="K1449" t="n">
        <v>1080.02</v>
      </c>
      <c r="L1449" t="n">
        <v>0.53</v>
      </c>
      <c r="M1449" t="n">
        <v>3.5</v>
      </c>
      <c r="N1449" t="n">
        <v>4.3</v>
      </c>
      <c r="O1449" t="n">
        <v>2.9</v>
      </c>
      <c r="P1449" t="n">
        <v>10.9</v>
      </c>
      <c r="Q1449" t="n">
        <v>10.7</v>
      </c>
      <c r="R1449" t="n">
        <v>-0.2</v>
      </c>
      <c r="S1449" t="b">
        <v>1</v>
      </c>
      <c r="U1449" t="n">
        <v>14</v>
      </c>
      <c r="V1449" t="b">
        <v>0</v>
      </c>
      <c r="X1449" t="b">
        <v>1</v>
      </c>
      <c r="Y1449" t="n">
        <v>0.59</v>
      </c>
    </row>
    <row r="1450">
      <c r="A1450" t="inlineStr">
        <is>
          <t>O01449</t>
        </is>
      </c>
      <c r="B1450" t="inlineStr">
        <is>
          <t>C0202</t>
        </is>
      </c>
      <c r="C1450" t="inlineStr">
        <is>
          <t>S009</t>
        </is>
      </c>
      <c r="D1450" t="inlineStr">
        <is>
          <t>R025</t>
        </is>
      </c>
      <c r="E1450" s="3" t="n">
        <v>46269.63819444444</v>
      </c>
      <c r="F1450" s="3" t="n">
        <v>46269.64645833334</v>
      </c>
      <c r="G1450" s="3" t="n">
        <v>46269.645</v>
      </c>
      <c r="H1450" t="inlineStr">
        <is>
          <t>Delivered</t>
        </is>
      </c>
      <c r="I1450" t="n">
        <v>5</v>
      </c>
      <c r="J1450" t="n">
        <v>10</v>
      </c>
      <c r="K1450" t="n">
        <v>1278.08</v>
      </c>
      <c r="L1450" t="n">
        <v>2.13</v>
      </c>
      <c r="M1450" t="n">
        <v>3</v>
      </c>
      <c r="N1450" t="n">
        <v>1.1</v>
      </c>
      <c r="O1450" t="n">
        <v>5.7</v>
      </c>
      <c r="P1450" t="n">
        <v>11.9</v>
      </c>
      <c r="Q1450" t="n">
        <v>9.800000000000001</v>
      </c>
      <c r="R1450" t="n">
        <v>-2.1</v>
      </c>
      <c r="S1450" t="b">
        <v>1</v>
      </c>
      <c r="U1450" t="n">
        <v>15</v>
      </c>
      <c r="V1450" t="b">
        <v>0</v>
      </c>
      <c r="X1450" t="b">
        <v>0</v>
      </c>
      <c r="Y1450" t="n">
        <v>0.67</v>
      </c>
    </row>
    <row r="1451">
      <c r="A1451" t="inlineStr">
        <is>
          <t>O01450</t>
        </is>
      </c>
      <c r="B1451" t="inlineStr">
        <is>
          <t>C0152</t>
        </is>
      </c>
      <c r="C1451" t="inlineStr">
        <is>
          <t>S020</t>
        </is>
      </c>
      <c r="D1451" t="inlineStr">
        <is>
          <t>R031</t>
        </is>
      </c>
      <c r="E1451" s="3" t="n">
        <v>46270.84444444445</v>
      </c>
      <c r="F1451" s="3" t="n">
        <v>46270.84958333334</v>
      </c>
      <c r="G1451" s="3" t="n">
        <v>46270.84902777777</v>
      </c>
      <c r="H1451" t="inlineStr">
        <is>
          <t>Delivered</t>
        </is>
      </c>
      <c r="I1451" t="n">
        <v>3</v>
      </c>
      <c r="J1451" t="n">
        <v>6</v>
      </c>
      <c r="K1451" t="n">
        <v>424.76</v>
      </c>
      <c r="L1451" t="n">
        <v>0.62</v>
      </c>
      <c r="M1451" t="n">
        <v>1.9</v>
      </c>
      <c r="N1451" t="n">
        <v>3.5</v>
      </c>
      <c r="O1451" t="n">
        <v>1.2</v>
      </c>
      <c r="P1451" t="n">
        <v>7.4</v>
      </c>
      <c r="Q1451" t="n">
        <v>6.6</v>
      </c>
      <c r="R1451" t="n">
        <v>-0.8</v>
      </c>
      <c r="S1451" t="b">
        <v>1</v>
      </c>
      <c r="U1451" t="n">
        <v>20</v>
      </c>
      <c r="V1451" t="b">
        <v>1</v>
      </c>
      <c r="X1451" t="b">
        <v>0</v>
      </c>
      <c r="Y1451" t="n">
        <v>0.79</v>
      </c>
    </row>
    <row r="1452">
      <c r="A1452" t="inlineStr">
        <is>
          <t>O01451</t>
        </is>
      </c>
      <c r="B1452" t="inlineStr">
        <is>
          <t>C0137</t>
        </is>
      </c>
      <c r="C1452" t="inlineStr">
        <is>
          <t>S010</t>
        </is>
      </c>
      <c r="D1452" t="inlineStr">
        <is>
          <t>R058</t>
        </is>
      </c>
      <c r="E1452" s="3" t="n">
        <v>46266.625</v>
      </c>
      <c r="F1452" s="3" t="n">
        <v>46266.631875</v>
      </c>
      <c r="G1452" s="3" t="n">
        <v>46266.63131944444</v>
      </c>
      <c r="H1452" t="inlineStr">
        <is>
          <t>Delivered</t>
        </is>
      </c>
      <c r="I1452" t="n">
        <v>5</v>
      </c>
      <c r="J1452" t="n">
        <v>5</v>
      </c>
      <c r="K1452" t="n">
        <v>1309.15</v>
      </c>
      <c r="L1452" t="n">
        <v>2.23</v>
      </c>
      <c r="M1452" t="n">
        <v>3.2</v>
      </c>
      <c r="N1452" t="n">
        <v>2.5</v>
      </c>
      <c r="O1452" t="n">
        <v>3.4</v>
      </c>
      <c r="P1452" t="n">
        <v>9.9</v>
      </c>
      <c r="Q1452" t="n">
        <v>9.1</v>
      </c>
      <c r="R1452" t="n">
        <v>-0.8</v>
      </c>
      <c r="S1452" t="b">
        <v>1</v>
      </c>
      <c r="U1452" t="n">
        <v>15</v>
      </c>
      <c r="V1452" t="b">
        <v>0</v>
      </c>
      <c r="X1452" t="b">
        <v>0</v>
      </c>
      <c r="Y1452" t="n">
        <v>0.2</v>
      </c>
    </row>
    <row r="1453">
      <c r="A1453" t="inlineStr">
        <is>
          <t>O01452</t>
        </is>
      </c>
      <c r="B1453" t="inlineStr">
        <is>
          <t>C0082</t>
        </is>
      </c>
      <c r="C1453" t="inlineStr">
        <is>
          <t>S001</t>
        </is>
      </c>
      <c r="D1453" t="inlineStr">
        <is>
          <t>R001</t>
        </is>
      </c>
      <c r="E1453" s="3" t="n">
        <v>46268.33402777778</v>
      </c>
      <c r="F1453" s="3" t="n">
        <v>46268.34236111111</v>
      </c>
      <c r="G1453" s="3" t="n">
        <v>46268.34173611111</v>
      </c>
      <c r="H1453" t="inlineStr">
        <is>
          <t>Delivered</t>
        </is>
      </c>
      <c r="I1453" t="n">
        <v>4</v>
      </c>
      <c r="J1453" t="n">
        <v>9</v>
      </c>
      <c r="K1453" t="n">
        <v>765.6900000000001</v>
      </c>
      <c r="L1453" t="n">
        <v>0.98</v>
      </c>
      <c r="M1453" t="n">
        <v>3.8</v>
      </c>
      <c r="N1453" t="n">
        <v>3.7</v>
      </c>
      <c r="O1453" t="n">
        <v>3.6</v>
      </c>
      <c r="P1453" t="n">
        <v>12</v>
      </c>
      <c r="Q1453" t="n">
        <v>11.1</v>
      </c>
      <c r="R1453" t="n">
        <v>-0.9</v>
      </c>
      <c r="S1453" t="b">
        <v>1</v>
      </c>
      <c r="U1453" t="n">
        <v>8</v>
      </c>
      <c r="V1453" t="b">
        <v>0</v>
      </c>
      <c r="X1453" t="b">
        <v>0</v>
      </c>
      <c r="Y1453" t="n">
        <v>0.44</v>
      </c>
    </row>
    <row r="1454">
      <c r="A1454" t="inlineStr">
        <is>
          <t>O01453</t>
        </is>
      </c>
      <c r="B1454" t="inlineStr">
        <is>
          <t>C0067</t>
        </is>
      </c>
      <c r="C1454" t="inlineStr">
        <is>
          <t>S002</t>
        </is>
      </c>
      <c r="D1454" t="inlineStr">
        <is>
          <t>R063</t>
        </is>
      </c>
      <c r="E1454" s="3" t="n">
        <v>46270.55694444444</v>
      </c>
      <c r="F1454" s="3" t="n">
        <v>46270.56458333333</v>
      </c>
      <c r="G1454" s="3" t="n">
        <v>46270.566875</v>
      </c>
      <c r="H1454" t="inlineStr">
        <is>
          <t>Delivered</t>
        </is>
      </c>
      <c r="I1454" t="n">
        <v>5</v>
      </c>
      <c r="J1454" t="n">
        <v>9</v>
      </c>
      <c r="K1454" t="n">
        <v>885.83</v>
      </c>
      <c r="L1454" t="n">
        <v>1.88</v>
      </c>
      <c r="M1454" t="n">
        <v>3.7</v>
      </c>
      <c r="N1454" t="n">
        <v>4.6</v>
      </c>
      <c r="O1454" t="n">
        <v>6.1</v>
      </c>
      <c r="P1454" t="n">
        <v>11</v>
      </c>
      <c r="Q1454" t="n">
        <v>14.3</v>
      </c>
      <c r="R1454" t="n">
        <v>3.3</v>
      </c>
      <c r="S1454" t="b">
        <v>0</v>
      </c>
      <c r="U1454" t="n">
        <v>13</v>
      </c>
      <c r="V1454" t="b">
        <v>0</v>
      </c>
      <c r="X1454" t="b">
        <v>0</v>
      </c>
      <c r="Y1454" t="n">
        <v>0.51</v>
      </c>
    </row>
    <row r="1455">
      <c r="A1455" t="inlineStr">
        <is>
          <t>O01454</t>
        </is>
      </c>
      <c r="B1455" t="inlineStr">
        <is>
          <t>C0196</t>
        </is>
      </c>
      <c r="C1455" t="inlineStr">
        <is>
          <t>S006</t>
        </is>
      </c>
      <c r="D1455" t="inlineStr">
        <is>
          <t>R038</t>
        </is>
      </c>
      <c r="E1455" s="3" t="n">
        <v>46267.53888888889</v>
      </c>
      <c r="F1455" s="3" t="n">
        <v>46267.54527777778</v>
      </c>
      <c r="G1455" s="3" t="n">
        <v>46267.54472222222</v>
      </c>
      <c r="H1455" t="inlineStr">
        <is>
          <t>Delivered</t>
        </is>
      </c>
      <c r="I1455" t="n">
        <v>3</v>
      </c>
      <c r="J1455" t="n">
        <v>3</v>
      </c>
      <c r="K1455" t="n">
        <v>595.46</v>
      </c>
      <c r="L1455" t="n">
        <v>0.5</v>
      </c>
      <c r="M1455" t="n">
        <v>3.2</v>
      </c>
      <c r="N1455" t="n">
        <v>3.9</v>
      </c>
      <c r="O1455" t="n">
        <v>1.3</v>
      </c>
      <c r="P1455" t="n">
        <v>9.199999999999999</v>
      </c>
      <c r="Q1455" t="n">
        <v>8.4</v>
      </c>
      <c r="R1455" t="n">
        <v>-0.8</v>
      </c>
      <c r="S1455" t="b">
        <v>1</v>
      </c>
      <c r="U1455" t="n">
        <v>12</v>
      </c>
      <c r="V1455" t="b">
        <v>0</v>
      </c>
      <c r="W1455" t="inlineStr">
        <is>
          <t>Light</t>
        </is>
      </c>
      <c r="X1455" t="b">
        <v>0</v>
      </c>
      <c r="Y1455" t="n">
        <v>0.32</v>
      </c>
    </row>
    <row r="1456">
      <c r="A1456" t="inlineStr">
        <is>
          <t>O01455</t>
        </is>
      </c>
      <c r="B1456" t="inlineStr">
        <is>
          <t>C0047</t>
        </is>
      </c>
      <c r="C1456" t="inlineStr">
        <is>
          <t>S008</t>
        </is>
      </c>
      <c r="D1456" t="inlineStr">
        <is>
          <t>R032</t>
        </is>
      </c>
      <c r="E1456" s="3" t="n">
        <v>46269.575</v>
      </c>
      <c r="F1456" s="3" t="n">
        <v>46269.58208333333</v>
      </c>
      <c r="G1456" s="3" t="n">
        <v>46269.581875</v>
      </c>
      <c r="H1456" t="inlineStr">
        <is>
          <t>Delivered</t>
        </is>
      </c>
      <c r="I1456" t="n">
        <v>4</v>
      </c>
      <c r="J1456" t="n">
        <v>11</v>
      </c>
      <c r="K1456" t="n">
        <v>1168.71</v>
      </c>
      <c r="L1456" t="n">
        <v>3.03</v>
      </c>
      <c r="M1456" t="n">
        <v>2.9</v>
      </c>
      <c r="N1456" t="n">
        <v>2.4</v>
      </c>
      <c r="O1456" t="n">
        <v>4.6</v>
      </c>
      <c r="P1456" t="n">
        <v>10.2</v>
      </c>
      <c r="Q1456" t="n">
        <v>9.9</v>
      </c>
      <c r="R1456" t="n">
        <v>-0.3</v>
      </c>
      <c r="S1456" t="b">
        <v>1</v>
      </c>
      <c r="U1456" t="n">
        <v>13</v>
      </c>
      <c r="V1456" t="b">
        <v>0</v>
      </c>
      <c r="W1456" t="inlineStr">
        <is>
          <t>Light</t>
        </is>
      </c>
      <c r="X1456" t="b">
        <v>0</v>
      </c>
      <c r="Y1456" t="n">
        <v>0.5600000000000001</v>
      </c>
    </row>
    <row r="1457">
      <c r="A1457" t="inlineStr">
        <is>
          <t>O01456</t>
        </is>
      </c>
      <c r="B1457" t="inlineStr">
        <is>
          <t>C0035</t>
        </is>
      </c>
      <c r="C1457" t="inlineStr">
        <is>
          <t>S015</t>
        </is>
      </c>
      <c r="E1457" s="3" t="n">
        <v>46267.5375</v>
      </c>
      <c r="F1457" s="3" t="n">
        <v>46267.54472222222</v>
      </c>
      <c r="H1457" t="inlineStr">
        <is>
          <t>Cancelled</t>
        </is>
      </c>
      <c r="I1457" t="n">
        <v>5</v>
      </c>
      <c r="J1457" t="n">
        <v>7</v>
      </c>
      <c r="K1457" t="n">
        <v>1180.48</v>
      </c>
      <c r="L1457" t="n">
        <v>0.55</v>
      </c>
      <c r="M1457" t="n">
        <v>5.5</v>
      </c>
      <c r="N1457" t="n">
        <v>7.1</v>
      </c>
      <c r="O1457" t="n">
        <v>2.1</v>
      </c>
      <c r="P1457" t="n">
        <v>10.4</v>
      </c>
      <c r="T1457" t="inlineStr">
        <is>
          <t>Rider unavailable</t>
        </is>
      </c>
      <c r="U1457" t="n">
        <v>12</v>
      </c>
      <c r="V1457" t="b">
        <v>0</v>
      </c>
      <c r="X1457" t="b">
        <v>0</v>
      </c>
      <c r="Y1457" t="n">
        <v>0.34</v>
      </c>
    </row>
    <row r="1458">
      <c r="A1458" t="inlineStr">
        <is>
          <t>O01457</t>
        </is>
      </c>
      <c r="B1458" t="inlineStr">
        <is>
          <t>C0141</t>
        </is>
      </c>
      <c r="C1458" t="inlineStr">
        <is>
          <t>S009</t>
        </is>
      </c>
      <c r="D1458" t="inlineStr">
        <is>
          <t>R044</t>
        </is>
      </c>
      <c r="E1458" s="3" t="n">
        <v>46274.96736111111</v>
      </c>
      <c r="F1458" s="3" t="n">
        <v>46274.97583333333</v>
      </c>
      <c r="G1458" s="3" t="n">
        <v>46274.97513888889</v>
      </c>
      <c r="H1458" t="inlineStr">
        <is>
          <t>Delivered</t>
        </is>
      </c>
      <c r="I1458" t="n">
        <v>2</v>
      </c>
      <c r="J1458" t="n">
        <v>5</v>
      </c>
      <c r="K1458" t="n">
        <v>1173.26</v>
      </c>
      <c r="L1458" t="n">
        <v>2.8</v>
      </c>
      <c r="M1458" t="n">
        <v>2.8</v>
      </c>
      <c r="N1458" t="n">
        <v>3.8</v>
      </c>
      <c r="O1458" t="n">
        <v>4.6</v>
      </c>
      <c r="P1458" t="n">
        <v>12.2</v>
      </c>
      <c r="Q1458" t="n">
        <v>11.2</v>
      </c>
      <c r="R1458" t="n">
        <v>-1</v>
      </c>
      <c r="S1458" t="b">
        <v>1</v>
      </c>
      <c r="U1458" t="n">
        <v>23</v>
      </c>
      <c r="V1458" t="b">
        <v>0</v>
      </c>
      <c r="X1458" t="b">
        <v>0</v>
      </c>
      <c r="Y1458" t="n">
        <v>0.36</v>
      </c>
    </row>
    <row r="1459">
      <c r="A1459" t="inlineStr">
        <is>
          <t>O01458</t>
        </is>
      </c>
      <c r="B1459" t="inlineStr">
        <is>
          <t>C0025</t>
        </is>
      </c>
      <c r="C1459" t="inlineStr">
        <is>
          <t>S004</t>
        </is>
      </c>
      <c r="D1459" t="inlineStr">
        <is>
          <t>R048</t>
        </is>
      </c>
      <c r="E1459" s="3" t="n">
        <v>46272.69027777778</v>
      </c>
      <c r="F1459" s="3" t="n">
        <v>46272.69854166666</v>
      </c>
      <c r="G1459" s="3" t="n">
        <v>46272.69791666666</v>
      </c>
      <c r="H1459" t="inlineStr">
        <is>
          <t>Delivered</t>
        </is>
      </c>
      <c r="I1459" t="n">
        <v>1</v>
      </c>
      <c r="J1459" t="n">
        <v>5</v>
      </c>
      <c r="K1459" t="n">
        <v>473.09</v>
      </c>
      <c r="L1459" t="n">
        <v>3.3</v>
      </c>
      <c r="M1459" t="n">
        <v>2</v>
      </c>
      <c r="N1459" t="n">
        <v>3.8</v>
      </c>
      <c r="O1459" t="n">
        <v>5.2</v>
      </c>
      <c r="P1459" t="n">
        <v>11.9</v>
      </c>
      <c r="Q1459" t="n">
        <v>11</v>
      </c>
      <c r="R1459" t="n">
        <v>-0.9</v>
      </c>
      <c r="S1459" t="b">
        <v>1</v>
      </c>
      <c r="U1459" t="n">
        <v>16</v>
      </c>
      <c r="V1459" t="b">
        <v>0</v>
      </c>
      <c r="X1459" t="b">
        <v>0</v>
      </c>
      <c r="Y1459" t="n">
        <v>0.54</v>
      </c>
    </row>
    <row r="1460">
      <c r="A1460" t="inlineStr">
        <is>
          <t>O01459</t>
        </is>
      </c>
      <c r="B1460" t="inlineStr">
        <is>
          <t>C0239</t>
        </is>
      </c>
      <c r="C1460" t="inlineStr">
        <is>
          <t>S019</t>
        </is>
      </c>
      <c r="D1460" t="inlineStr">
        <is>
          <t>R033</t>
        </is>
      </c>
      <c r="E1460" s="3" t="n">
        <v>46269.62638888889</v>
      </c>
      <c r="F1460" s="3" t="n">
        <v>46269.63326388889</v>
      </c>
      <c r="G1460" s="3" t="n">
        <v>46269.63298611111</v>
      </c>
      <c r="H1460" t="inlineStr">
        <is>
          <t>Delivered</t>
        </is>
      </c>
      <c r="I1460" t="n">
        <v>5</v>
      </c>
      <c r="J1460" t="n">
        <v>8</v>
      </c>
      <c r="K1460" t="n">
        <v>1429.2</v>
      </c>
      <c r="L1460" t="n">
        <v>1.07</v>
      </c>
      <c r="M1460" t="n">
        <v>4.4</v>
      </c>
      <c r="N1460" t="n">
        <v>2.7</v>
      </c>
      <c r="O1460" t="n">
        <v>2.4</v>
      </c>
      <c r="P1460" t="n">
        <v>9.9</v>
      </c>
      <c r="Q1460" t="n">
        <v>9.5</v>
      </c>
      <c r="R1460" t="n">
        <v>-0.4</v>
      </c>
      <c r="S1460" t="b">
        <v>1</v>
      </c>
      <c r="U1460" t="n">
        <v>15</v>
      </c>
      <c r="V1460" t="b">
        <v>0</v>
      </c>
      <c r="X1460" t="b">
        <v>0</v>
      </c>
      <c r="Y1460" t="n">
        <v>0.25</v>
      </c>
    </row>
    <row r="1461">
      <c r="A1461" t="inlineStr">
        <is>
          <t>O01460</t>
        </is>
      </c>
      <c r="B1461" t="inlineStr">
        <is>
          <t>C0238</t>
        </is>
      </c>
      <c r="C1461" t="inlineStr">
        <is>
          <t>S001</t>
        </is>
      </c>
      <c r="D1461" t="inlineStr">
        <is>
          <t>R064</t>
        </is>
      </c>
      <c r="E1461" s="3" t="n">
        <v>46274.93472222222</v>
      </c>
      <c r="F1461" s="3" t="n">
        <v>46274.94069444444</v>
      </c>
      <c r="G1461" s="3" t="n">
        <v>46274.94006944444</v>
      </c>
      <c r="H1461" t="inlineStr">
        <is>
          <t>Delivered</t>
        </is>
      </c>
      <c r="I1461" t="n">
        <v>6</v>
      </c>
      <c r="J1461" t="n">
        <v>9</v>
      </c>
      <c r="K1461" t="n">
        <v>1249</v>
      </c>
      <c r="L1461" t="n">
        <v>0.76</v>
      </c>
      <c r="M1461" t="n">
        <v>3.7</v>
      </c>
      <c r="N1461" t="n">
        <v>2.4</v>
      </c>
      <c r="O1461" t="n">
        <v>1.6</v>
      </c>
      <c r="P1461" t="n">
        <v>8.6</v>
      </c>
      <c r="Q1461" t="n">
        <v>7.7</v>
      </c>
      <c r="R1461" t="n">
        <v>-0.9</v>
      </c>
      <c r="S1461" t="b">
        <v>1</v>
      </c>
      <c r="U1461" t="n">
        <v>22</v>
      </c>
      <c r="V1461" t="b">
        <v>0</v>
      </c>
      <c r="X1461" t="b">
        <v>0</v>
      </c>
      <c r="Y1461" t="n">
        <v>0.31</v>
      </c>
    </row>
    <row r="1462">
      <c r="A1462" t="inlineStr">
        <is>
          <t>O01461</t>
        </is>
      </c>
      <c r="B1462" t="inlineStr">
        <is>
          <t>C0047</t>
        </is>
      </c>
      <c r="C1462" t="inlineStr">
        <is>
          <t>S003</t>
        </is>
      </c>
      <c r="D1462" t="inlineStr">
        <is>
          <t>R034</t>
        </is>
      </c>
      <c r="E1462" s="3" t="n">
        <v>46267.36388888889</v>
      </c>
      <c r="F1462" s="3" t="n">
        <v>46267.37069444444</v>
      </c>
      <c r="G1462" s="3" t="n">
        <v>46267.37013888889</v>
      </c>
      <c r="H1462" t="inlineStr">
        <is>
          <t>Delivered</t>
        </is>
      </c>
      <c r="I1462" t="n">
        <v>4</v>
      </c>
      <c r="J1462" t="n">
        <v>5</v>
      </c>
      <c r="K1462" t="n">
        <v>1205.09</v>
      </c>
      <c r="L1462" t="n">
        <v>2.1</v>
      </c>
      <c r="M1462" t="n">
        <v>3.2</v>
      </c>
      <c r="N1462" t="n">
        <v>2.5</v>
      </c>
      <c r="O1462" t="n">
        <v>3.3</v>
      </c>
      <c r="P1462" t="n">
        <v>9.800000000000001</v>
      </c>
      <c r="Q1462" t="n">
        <v>9</v>
      </c>
      <c r="R1462" t="n">
        <v>-0.8</v>
      </c>
      <c r="S1462" t="b">
        <v>1</v>
      </c>
      <c r="U1462" t="n">
        <v>8</v>
      </c>
      <c r="V1462" t="b">
        <v>0</v>
      </c>
      <c r="X1462" t="b">
        <v>0</v>
      </c>
      <c r="Y1462" t="n">
        <v>0.36</v>
      </c>
    </row>
    <row r="1463">
      <c r="A1463" t="inlineStr">
        <is>
          <t>O01462</t>
        </is>
      </c>
      <c r="B1463" t="inlineStr">
        <is>
          <t>C0040</t>
        </is>
      </c>
      <c r="C1463" t="inlineStr">
        <is>
          <t>S011</t>
        </is>
      </c>
      <c r="D1463" t="inlineStr">
        <is>
          <t>R016</t>
        </is>
      </c>
      <c r="E1463" s="3" t="n">
        <v>46275.98194444444</v>
      </c>
      <c r="F1463" s="3" t="n">
        <v>46275.98944444444</v>
      </c>
      <c r="G1463" s="3" t="n">
        <v>46275.99340277778</v>
      </c>
      <c r="H1463" t="inlineStr">
        <is>
          <t>Delivered</t>
        </is>
      </c>
      <c r="I1463" t="n">
        <v>6</v>
      </c>
      <c r="J1463" t="n">
        <v>10</v>
      </c>
      <c r="K1463" t="n">
        <v>1140.04</v>
      </c>
      <c r="L1463" t="n">
        <v>2.12</v>
      </c>
      <c r="M1463" t="n">
        <v>6.5</v>
      </c>
      <c r="N1463" t="n">
        <v>3.5</v>
      </c>
      <c r="O1463" t="n">
        <v>6.4</v>
      </c>
      <c r="P1463" t="n">
        <v>10.8</v>
      </c>
      <c r="Q1463" t="n">
        <v>16.5</v>
      </c>
      <c r="R1463" t="n">
        <v>5.7</v>
      </c>
      <c r="S1463" t="b">
        <v>0</v>
      </c>
      <c r="U1463" t="n">
        <v>23</v>
      </c>
      <c r="V1463" t="b">
        <v>0</v>
      </c>
      <c r="W1463" t="inlineStr">
        <is>
          <t>Light</t>
        </is>
      </c>
      <c r="X1463" t="b">
        <v>0</v>
      </c>
      <c r="Y1463" t="n">
        <v>0.39</v>
      </c>
    </row>
    <row r="1464">
      <c r="A1464" t="inlineStr">
        <is>
          <t>O01463</t>
        </is>
      </c>
      <c r="B1464" t="inlineStr">
        <is>
          <t>C0009</t>
        </is>
      </c>
      <c r="C1464" t="inlineStr">
        <is>
          <t>S016</t>
        </is>
      </c>
      <c r="D1464" t="inlineStr">
        <is>
          <t>R049</t>
        </is>
      </c>
      <c r="E1464" s="3" t="n">
        <v>46267.87569444445</v>
      </c>
      <c r="F1464" s="3" t="n">
        <v>46267.88298611111</v>
      </c>
      <c r="G1464" s="3" t="n">
        <v>46267.88993055555</v>
      </c>
      <c r="H1464" t="inlineStr">
        <is>
          <t>Delivered</t>
        </is>
      </c>
      <c r="I1464" t="n">
        <v>1</v>
      </c>
      <c r="J1464" t="n">
        <v>5</v>
      </c>
      <c r="K1464" t="n">
        <v>647.26</v>
      </c>
      <c r="L1464" t="n">
        <v>1.71</v>
      </c>
      <c r="M1464" t="n">
        <v>7</v>
      </c>
      <c r="N1464" t="n">
        <v>8.800000000000001</v>
      </c>
      <c r="O1464" t="n">
        <v>4.8</v>
      </c>
      <c r="P1464" t="n">
        <v>10.5</v>
      </c>
      <c r="Q1464" t="n">
        <v>20.5</v>
      </c>
      <c r="R1464" t="n">
        <v>10</v>
      </c>
      <c r="S1464" t="b">
        <v>0</v>
      </c>
      <c r="U1464" t="n">
        <v>21</v>
      </c>
      <c r="V1464" t="b">
        <v>1</v>
      </c>
      <c r="X1464" t="b">
        <v>0</v>
      </c>
      <c r="Y1464" t="n">
        <v>0.5</v>
      </c>
    </row>
    <row r="1465">
      <c r="A1465" t="inlineStr">
        <is>
          <t>O01464</t>
        </is>
      </c>
      <c r="B1465" t="inlineStr">
        <is>
          <t>C0195</t>
        </is>
      </c>
      <c r="C1465" t="inlineStr">
        <is>
          <t>S013</t>
        </is>
      </c>
      <c r="D1465" t="inlineStr">
        <is>
          <t>R015</t>
        </is>
      </c>
      <c r="E1465" s="3" t="n">
        <v>46269.67152777778</v>
      </c>
      <c r="F1465" s="3" t="n">
        <v>46269.67798611111</v>
      </c>
      <c r="G1465" s="3" t="n">
        <v>46269.67722222222</v>
      </c>
      <c r="H1465" t="inlineStr">
        <is>
          <t>Delivered</t>
        </is>
      </c>
      <c r="I1465" t="n">
        <v>3</v>
      </c>
      <c r="J1465" t="n">
        <v>11</v>
      </c>
      <c r="K1465" t="n">
        <v>528.48</v>
      </c>
      <c r="L1465" t="n">
        <v>3</v>
      </c>
      <c r="M1465" t="n">
        <v>3.3</v>
      </c>
      <c r="N1465" t="n">
        <v>0.7</v>
      </c>
      <c r="O1465" t="n">
        <v>4.2</v>
      </c>
      <c r="P1465" t="n">
        <v>9.300000000000001</v>
      </c>
      <c r="Q1465" t="n">
        <v>8.199999999999999</v>
      </c>
      <c r="R1465" t="n">
        <v>-1.1</v>
      </c>
      <c r="S1465" t="b">
        <v>1</v>
      </c>
      <c r="U1465" t="n">
        <v>16</v>
      </c>
      <c r="V1465" t="b">
        <v>0</v>
      </c>
      <c r="X1465" t="b">
        <v>0</v>
      </c>
      <c r="Y1465" t="n">
        <v>0.25</v>
      </c>
    </row>
    <row r="1466">
      <c r="A1466" t="inlineStr">
        <is>
          <t>O01465</t>
        </is>
      </c>
      <c r="B1466" t="inlineStr">
        <is>
          <t>C0192</t>
        </is>
      </c>
      <c r="C1466" t="inlineStr">
        <is>
          <t>S007</t>
        </is>
      </c>
      <c r="D1466" t="inlineStr">
        <is>
          <t>R065</t>
        </is>
      </c>
      <c r="E1466" s="3" t="n">
        <v>46268.43402777778</v>
      </c>
      <c r="F1466" s="3" t="n">
        <v>46268.44118055556</v>
      </c>
      <c r="G1466" s="3" t="n">
        <v>46268.44041666666</v>
      </c>
      <c r="H1466" t="inlineStr">
        <is>
          <t>Delivered</t>
        </is>
      </c>
      <c r="I1466" t="n">
        <v>1</v>
      </c>
      <c r="J1466" t="n">
        <v>7</v>
      </c>
      <c r="K1466" t="n">
        <v>1540.45</v>
      </c>
      <c r="L1466" t="n">
        <v>2.02</v>
      </c>
      <c r="M1466" t="n">
        <v>2.1</v>
      </c>
      <c r="N1466" t="n">
        <v>4.5</v>
      </c>
      <c r="O1466" t="n">
        <v>2.6</v>
      </c>
      <c r="P1466" t="n">
        <v>10.3</v>
      </c>
      <c r="Q1466" t="n">
        <v>9.199999999999999</v>
      </c>
      <c r="R1466" t="n">
        <v>-1.1</v>
      </c>
      <c r="S1466" t="b">
        <v>1</v>
      </c>
      <c r="U1466" t="n">
        <v>10</v>
      </c>
      <c r="V1466" t="b">
        <v>0</v>
      </c>
      <c r="X1466" t="b">
        <v>0</v>
      </c>
      <c r="Y1466" t="n">
        <v>0.32</v>
      </c>
    </row>
    <row r="1467">
      <c r="A1467" t="inlineStr">
        <is>
          <t>O01466</t>
        </is>
      </c>
      <c r="B1467" t="inlineStr">
        <is>
          <t>C0055</t>
        </is>
      </c>
      <c r="C1467" t="inlineStr">
        <is>
          <t>S007</t>
        </is>
      </c>
      <c r="D1467" t="inlineStr">
        <is>
          <t>R031</t>
        </is>
      </c>
      <c r="E1467" s="3" t="n">
        <v>46275.41319444445</v>
      </c>
      <c r="F1467" s="3" t="n">
        <v>46275.42</v>
      </c>
      <c r="G1467" s="3" t="n">
        <v>46275.41979166667</v>
      </c>
      <c r="H1467" t="inlineStr">
        <is>
          <t>Delivered</t>
        </is>
      </c>
      <c r="I1467" t="n">
        <v>1</v>
      </c>
      <c r="J1467" t="n">
        <v>8</v>
      </c>
      <c r="K1467" t="n">
        <v>1598.02</v>
      </c>
      <c r="L1467" t="n">
        <v>3.22</v>
      </c>
      <c r="M1467" t="n">
        <v>2</v>
      </c>
      <c r="N1467" t="n">
        <v>3.7</v>
      </c>
      <c r="O1467" t="n">
        <v>3.8</v>
      </c>
      <c r="P1467" t="n">
        <v>9.800000000000001</v>
      </c>
      <c r="Q1467" t="n">
        <v>9.5</v>
      </c>
      <c r="R1467" t="n">
        <v>-0.3</v>
      </c>
      <c r="S1467" t="b">
        <v>1</v>
      </c>
      <c r="U1467" t="n">
        <v>9</v>
      </c>
      <c r="V1467" t="b">
        <v>0</v>
      </c>
      <c r="X1467" t="b">
        <v>0</v>
      </c>
      <c r="Y1467" t="n">
        <v>0.62</v>
      </c>
    </row>
    <row r="1468">
      <c r="A1468" t="inlineStr">
        <is>
          <t>O01467</t>
        </is>
      </c>
      <c r="B1468" t="inlineStr">
        <is>
          <t>C0022</t>
        </is>
      </c>
      <c r="C1468" t="inlineStr">
        <is>
          <t>S009</t>
        </is>
      </c>
      <c r="D1468" t="inlineStr">
        <is>
          <t>R014</t>
        </is>
      </c>
      <c r="E1468" s="3" t="n">
        <v>46266.84583333333</v>
      </c>
      <c r="F1468" s="3" t="n">
        <v>46266.85201388889</v>
      </c>
      <c r="G1468" s="3" t="n">
        <v>46266.85125</v>
      </c>
      <c r="H1468" t="inlineStr">
        <is>
          <t>Delivered</t>
        </is>
      </c>
      <c r="I1468" t="n">
        <v>4</v>
      </c>
      <c r="J1468" t="n">
        <v>9</v>
      </c>
      <c r="K1468" t="n">
        <v>1390.7</v>
      </c>
      <c r="L1468" t="n">
        <v>1.24</v>
      </c>
      <c r="M1468" t="n">
        <v>1.6</v>
      </c>
      <c r="N1468" t="n">
        <v>4.4</v>
      </c>
      <c r="O1468" t="n">
        <v>1.8</v>
      </c>
      <c r="P1468" t="n">
        <v>8.9</v>
      </c>
      <c r="Q1468" t="n">
        <v>7.8</v>
      </c>
      <c r="R1468" t="n">
        <v>-1.1</v>
      </c>
      <c r="S1468" t="b">
        <v>1</v>
      </c>
      <c r="U1468" t="n">
        <v>20</v>
      </c>
      <c r="V1468" t="b">
        <v>1</v>
      </c>
      <c r="X1468" t="b">
        <v>1</v>
      </c>
      <c r="Y1468" t="n">
        <v>0.42</v>
      </c>
    </row>
    <row r="1469">
      <c r="A1469" t="inlineStr">
        <is>
          <t>O01468</t>
        </is>
      </c>
      <c r="B1469" t="inlineStr">
        <is>
          <t>C0047</t>
        </is>
      </c>
      <c r="C1469" t="inlineStr">
        <is>
          <t>S013</t>
        </is>
      </c>
      <c r="D1469" t="inlineStr">
        <is>
          <t>R050</t>
        </is>
      </c>
      <c r="E1469" s="3" t="n">
        <v>46268.80555555555</v>
      </c>
      <c r="F1469" s="3" t="n">
        <v>46268.81111111111</v>
      </c>
      <c r="G1469" s="3" t="n">
        <v>46268.81083333334</v>
      </c>
      <c r="H1469" t="inlineStr">
        <is>
          <t>Delivered</t>
        </is>
      </c>
      <c r="I1469" t="n">
        <v>2</v>
      </c>
      <c r="J1469" t="n">
        <v>3</v>
      </c>
      <c r="K1469" t="n">
        <v>764.0700000000001</v>
      </c>
      <c r="L1469" t="n">
        <v>1.6</v>
      </c>
      <c r="M1469" t="n">
        <v>2.5</v>
      </c>
      <c r="N1469" t="n">
        <v>2</v>
      </c>
      <c r="O1469" t="n">
        <v>3.1</v>
      </c>
      <c r="P1469" t="n">
        <v>8</v>
      </c>
      <c r="Q1469" t="n">
        <v>7.6</v>
      </c>
      <c r="R1469" t="n">
        <v>-0.4</v>
      </c>
      <c r="S1469" t="b">
        <v>1</v>
      </c>
      <c r="U1469" t="n">
        <v>19</v>
      </c>
      <c r="V1469" t="b">
        <v>1</v>
      </c>
      <c r="W1469" t="inlineStr">
        <is>
          <t>Light</t>
        </is>
      </c>
      <c r="X1469" t="b">
        <v>0</v>
      </c>
      <c r="Y1469" t="n">
        <v>0.74</v>
      </c>
    </row>
    <row r="1470">
      <c r="A1470" t="inlineStr">
        <is>
          <t>O01469</t>
        </is>
      </c>
      <c r="B1470" t="inlineStr">
        <is>
          <t>C0234</t>
        </is>
      </c>
      <c r="C1470" t="inlineStr">
        <is>
          <t>S008</t>
        </is>
      </c>
      <c r="D1470" t="inlineStr">
        <is>
          <t>R012</t>
        </is>
      </c>
      <c r="E1470" s="3" t="n">
        <v>46274.3375</v>
      </c>
      <c r="F1470" s="3" t="n">
        <v>46274.34409722222</v>
      </c>
      <c r="G1470" s="3" t="n">
        <v>46274.34361111111</v>
      </c>
      <c r="H1470" t="inlineStr">
        <is>
          <t>Delivered</t>
        </is>
      </c>
      <c r="I1470" t="n">
        <v>1</v>
      </c>
      <c r="J1470" t="n">
        <v>9</v>
      </c>
      <c r="K1470" t="n">
        <v>360.65</v>
      </c>
      <c r="L1470" t="n">
        <v>1.75</v>
      </c>
      <c r="M1470" t="n">
        <v>2.9</v>
      </c>
      <c r="N1470" t="n">
        <v>3.2</v>
      </c>
      <c r="O1470" t="n">
        <v>2.7</v>
      </c>
      <c r="P1470" t="n">
        <v>9.5</v>
      </c>
      <c r="Q1470" t="n">
        <v>8.800000000000001</v>
      </c>
      <c r="R1470" t="n">
        <v>-0.7</v>
      </c>
      <c r="S1470" t="b">
        <v>1</v>
      </c>
      <c r="U1470" t="n">
        <v>8</v>
      </c>
      <c r="V1470" t="b">
        <v>0</v>
      </c>
      <c r="X1470" t="b">
        <v>0</v>
      </c>
      <c r="Y1470" t="n">
        <v>0.37</v>
      </c>
    </row>
    <row r="1471">
      <c r="A1471" t="inlineStr">
        <is>
          <t>O01470</t>
        </is>
      </c>
      <c r="B1471" t="inlineStr">
        <is>
          <t>C0163</t>
        </is>
      </c>
      <c r="C1471" t="inlineStr">
        <is>
          <t>S008</t>
        </is>
      </c>
      <c r="D1471" t="inlineStr">
        <is>
          <t>R035</t>
        </is>
      </c>
      <c r="E1471" s="3" t="n">
        <v>46271.71736111111</v>
      </c>
      <c r="F1471" s="3" t="n">
        <v>46271.72458333334</v>
      </c>
      <c r="G1471" s="3" t="n">
        <v>46271.72743055555</v>
      </c>
      <c r="H1471" t="inlineStr">
        <is>
          <t>Delivered</t>
        </is>
      </c>
      <c r="I1471" t="n">
        <v>4</v>
      </c>
      <c r="J1471" t="n">
        <v>6</v>
      </c>
      <c r="K1471" t="n">
        <v>920.66</v>
      </c>
      <c r="L1471" t="n">
        <v>0.9399999999999999</v>
      </c>
      <c r="M1471" t="n">
        <v>3.5</v>
      </c>
      <c r="N1471" t="n">
        <v>8.199999999999999</v>
      </c>
      <c r="O1471" t="n">
        <v>2.8</v>
      </c>
      <c r="P1471" t="n">
        <v>10.4</v>
      </c>
      <c r="Q1471" t="n">
        <v>14.5</v>
      </c>
      <c r="R1471" t="n">
        <v>4.1</v>
      </c>
      <c r="S1471" t="b">
        <v>0</v>
      </c>
      <c r="U1471" t="n">
        <v>17</v>
      </c>
      <c r="V1471" t="b">
        <v>0</v>
      </c>
      <c r="X1471" t="b">
        <v>0</v>
      </c>
      <c r="Y1471" t="n">
        <v>0.35</v>
      </c>
    </row>
    <row r="1472">
      <c r="A1472" t="inlineStr">
        <is>
          <t>O01471</t>
        </is>
      </c>
      <c r="B1472" t="inlineStr">
        <is>
          <t>C0069</t>
        </is>
      </c>
      <c r="C1472" t="inlineStr">
        <is>
          <t>S009</t>
        </is>
      </c>
      <c r="D1472" t="inlineStr">
        <is>
          <t>R024</t>
        </is>
      </c>
      <c r="E1472" s="3" t="n">
        <v>46271.61805555555</v>
      </c>
      <c r="F1472" s="3" t="n">
        <v>46271.62618055556</v>
      </c>
      <c r="G1472" s="3" t="n">
        <v>46271.62555555555</v>
      </c>
      <c r="H1472" t="inlineStr">
        <is>
          <t>Delivered</t>
        </is>
      </c>
      <c r="I1472" t="n">
        <v>1</v>
      </c>
      <c r="J1472" t="n">
        <v>10</v>
      </c>
      <c r="K1472" t="n">
        <v>1397.31</v>
      </c>
      <c r="L1472" t="n">
        <v>1.78</v>
      </c>
      <c r="M1472" t="n">
        <v>2.6</v>
      </c>
      <c r="N1472" t="n">
        <v>5.6</v>
      </c>
      <c r="O1472" t="n">
        <v>2.6</v>
      </c>
      <c r="P1472" t="n">
        <v>11.7</v>
      </c>
      <c r="Q1472" t="n">
        <v>10.8</v>
      </c>
      <c r="R1472" t="n">
        <v>-0.9</v>
      </c>
      <c r="S1472" t="b">
        <v>1</v>
      </c>
      <c r="U1472" t="n">
        <v>14</v>
      </c>
      <c r="V1472" t="b">
        <v>0</v>
      </c>
      <c r="X1472" t="b">
        <v>0</v>
      </c>
      <c r="Y1472" t="n">
        <v>0.38</v>
      </c>
    </row>
    <row r="1473">
      <c r="A1473" t="inlineStr">
        <is>
          <t>O01472</t>
        </is>
      </c>
      <c r="B1473" t="inlineStr">
        <is>
          <t>C0056</t>
        </is>
      </c>
      <c r="C1473" t="inlineStr">
        <is>
          <t>S003</t>
        </is>
      </c>
      <c r="D1473" t="inlineStr">
        <is>
          <t>R052</t>
        </is>
      </c>
      <c r="E1473" s="3" t="n">
        <v>46275.49930555555</v>
      </c>
      <c r="F1473" s="3" t="n">
        <v>46275.50645833334</v>
      </c>
      <c r="G1473" s="3" t="n">
        <v>46275.50604166667</v>
      </c>
      <c r="H1473" t="inlineStr">
        <is>
          <t>Delivered</t>
        </is>
      </c>
      <c r="I1473" t="n">
        <v>3</v>
      </c>
      <c r="J1473" t="n">
        <v>7</v>
      </c>
      <c r="K1473" t="n">
        <v>317.65</v>
      </c>
      <c r="L1473" t="n">
        <v>0.67</v>
      </c>
      <c r="M1473" t="n">
        <v>3.5</v>
      </c>
      <c r="N1473" t="n">
        <v>4.4</v>
      </c>
      <c r="O1473" t="n">
        <v>1.8</v>
      </c>
      <c r="P1473" t="n">
        <v>10.3</v>
      </c>
      <c r="Q1473" t="n">
        <v>9.699999999999999</v>
      </c>
      <c r="R1473" t="n">
        <v>-0.6</v>
      </c>
      <c r="S1473" t="b">
        <v>1</v>
      </c>
      <c r="U1473" t="n">
        <v>11</v>
      </c>
      <c r="V1473" t="b">
        <v>0</v>
      </c>
      <c r="X1473" t="b">
        <v>0</v>
      </c>
      <c r="Y1473" t="n">
        <v>0.31</v>
      </c>
    </row>
    <row r="1474">
      <c r="A1474" t="inlineStr">
        <is>
          <t>O01473</t>
        </is>
      </c>
      <c r="B1474" t="inlineStr">
        <is>
          <t>C0160</t>
        </is>
      </c>
      <c r="C1474" t="inlineStr">
        <is>
          <t>S006</t>
        </is>
      </c>
      <c r="D1474" t="inlineStr">
        <is>
          <t>R052</t>
        </is>
      </c>
      <c r="E1474" s="3" t="n">
        <v>46278.76875</v>
      </c>
      <c r="F1474" s="3" t="n">
        <v>46278.77506944445</v>
      </c>
      <c r="G1474" s="3" t="n">
        <v>46278.77916666667</v>
      </c>
      <c r="H1474" t="inlineStr">
        <is>
          <t>Delivered</t>
        </is>
      </c>
      <c r="I1474" t="n">
        <v>1</v>
      </c>
      <c r="J1474" t="n">
        <v>10</v>
      </c>
      <c r="K1474" t="n">
        <v>491.56</v>
      </c>
      <c r="L1474" t="n">
        <v>1.58</v>
      </c>
      <c r="M1474" t="n">
        <v>7.2</v>
      </c>
      <c r="N1474" t="n">
        <v>2.8</v>
      </c>
      <c r="O1474" t="n">
        <v>5</v>
      </c>
      <c r="P1474" t="n">
        <v>9.1</v>
      </c>
      <c r="Q1474" t="n">
        <v>15</v>
      </c>
      <c r="R1474" t="n">
        <v>5.9</v>
      </c>
      <c r="S1474" t="b">
        <v>0</v>
      </c>
      <c r="U1474" t="n">
        <v>18</v>
      </c>
      <c r="V1474" t="b">
        <v>0</v>
      </c>
      <c r="X1474" t="b">
        <v>0</v>
      </c>
      <c r="Y1474" t="n">
        <v>0.62</v>
      </c>
    </row>
    <row r="1475">
      <c r="A1475" t="inlineStr">
        <is>
          <t>O01474</t>
        </is>
      </c>
      <c r="B1475" t="inlineStr">
        <is>
          <t>C0219</t>
        </is>
      </c>
      <c r="C1475" t="inlineStr">
        <is>
          <t>S004</t>
        </is>
      </c>
      <c r="E1475" s="3" t="n">
        <v>46278.75902777778</v>
      </c>
      <c r="F1475" s="3" t="n">
        <v>46278.76486111111</v>
      </c>
      <c r="H1475" t="inlineStr">
        <is>
          <t>Cancelled</t>
        </is>
      </c>
      <c r="I1475" t="n">
        <v>3</v>
      </c>
      <c r="J1475" t="n">
        <v>7</v>
      </c>
      <c r="K1475" t="n">
        <v>1028.56</v>
      </c>
      <c r="L1475" t="n">
        <v>1.75</v>
      </c>
      <c r="M1475" t="n">
        <v>1.9</v>
      </c>
      <c r="N1475" t="n">
        <v>1.8</v>
      </c>
      <c r="O1475" t="n">
        <v>5.2</v>
      </c>
      <c r="P1475" t="n">
        <v>8.4</v>
      </c>
      <c r="T1475" t="inlineStr">
        <is>
          <t>Customer cancelled</t>
        </is>
      </c>
      <c r="U1475" t="n">
        <v>18</v>
      </c>
      <c r="V1475" t="b">
        <v>0</v>
      </c>
      <c r="X1475" t="b">
        <v>1</v>
      </c>
      <c r="Y1475" t="n">
        <v>0.61</v>
      </c>
    </row>
    <row r="1476">
      <c r="A1476" t="inlineStr">
        <is>
          <t>O01475</t>
        </is>
      </c>
      <c r="B1476" t="inlineStr">
        <is>
          <t>C0052</t>
        </is>
      </c>
      <c r="C1476" t="inlineStr">
        <is>
          <t>S020</t>
        </is>
      </c>
      <c r="D1476" t="inlineStr">
        <is>
          <t>R059</t>
        </is>
      </c>
      <c r="E1476" s="3" t="n">
        <v>46279.89166666667</v>
      </c>
      <c r="F1476" s="3" t="n">
        <v>46279.89902777778</v>
      </c>
      <c r="G1476" s="3" t="n">
        <v>46279.89847222222</v>
      </c>
      <c r="H1476" t="inlineStr">
        <is>
          <t>Delivered</t>
        </is>
      </c>
      <c r="I1476" t="n">
        <v>2</v>
      </c>
      <c r="J1476" t="n">
        <v>7</v>
      </c>
      <c r="K1476" t="n">
        <v>247.14</v>
      </c>
      <c r="L1476" t="n">
        <v>1.58</v>
      </c>
      <c r="M1476" t="n">
        <v>3.5</v>
      </c>
      <c r="N1476" t="n">
        <v>2.3</v>
      </c>
      <c r="O1476" t="n">
        <v>4</v>
      </c>
      <c r="P1476" t="n">
        <v>10.6</v>
      </c>
      <c r="Q1476" t="n">
        <v>9.800000000000001</v>
      </c>
      <c r="R1476" t="n">
        <v>-0.8</v>
      </c>
      <c r="S1476" t="b">
        <v>1</v>
      </c>
      <c r="U1476" t="n">
        <v>21</v>
      </c>
      <c r="V1476" t="b">
        <v>1</v>
      </c>
      <c r="W1476" t="inlineStr">
        <is>
          <t>Light</t>
        </is>
      </c>
      <c r="X1476" t="b">
        <v>0</v>
      </c>
      <c r="Y1476" t="n">
        <v>0.74</v>
      </c>
    </row>
    <row r="1477">
      <c r="A1477" t="inlineStr">
        <is>
          <t>O01476</t>
        </is>
      </c>
      <c r="B1477" t="inlineStr">
        <is>
          <t>C0039</t>
        </is>
      </c>
      <c r="C1477" t="inlineStr">
        <is>
          <t>S011</t>
        </is>
      </c>
      <c r="D1477" t="inlineStr">
        <is>
          <t>R062</t>
        </is>
      </c>
      <c r="E1477" s="3" t="n">
        <v>46266.8625</v>
      </c>
      <c r="F1477" s="3" t="n">
        <v>46266.86930555556</v>
      </c>
      <c r="G1477" s="3" t="n">
        <v>46266.86916666666</v>
      </c>
      <c r="H1477" t="inlineStr">
        <is>
          <t>Delivered</t>
        </is>
      </c>
      <c r="I1477" t="n">
        <v>4</v>
      </c>
      <c r="J1477" t="n">
        <v>6</v>
      </c>
      <c r="K1477" t="n">
        <v>1202.96</v>
      </c>
      <c r="L1477" t="n">
        <v>1.47</v>
      </c>
      <c r="M1477" t="n">
        <v>3</v>
      </c>
      <c r="N1477" t="n">
        <v>3.9</v>
      </c>
      <c r="O1477" t="n">
        <v>2.7</v>
      </c>
      <c r="P1477" t="n">
        <v>9.800000000000001</v>
      </c>
      <c r="Q1477" t="n">
        <v>9.6</v>
      </c>
      <c r="R1477" t="n">
        <v>-0.2</v>
      </c>
      <c r="S1477" t="b">
        <v>1</v>
      </c>
      <c r="U1477" t="n">
        <v>20</v>
      </c>
      <c r="V1477" t="b">
        <v>1</v>
      </c>
      <c r="X1477" t="b">
        <v>0</v>
      </c>
      <c r="Y1477" t="n">
        <v>0.5600000000000001</v>
      </c>
    </row>
    <row r="1478">
      <c r="A1478" t="inlineStr">
        <is>
          <t>O01477</t>
        </is>
      </c>
      <c r="B1478" t="inlineStr">
        <is>
          <t>C0224</t>
        </is>
      </c>
      <c r="C1478" t="inlineStr">
        <is>
          <t>S019</t>
        </is>
      </c>
      <c r="D1478" t="inlineStr">
        <is>
          <t>R014</t>
        </is>
      </c>
      <c r="E1478" s="3" t="n">
        <v>46274.9625</v>
      </c>
      <c r="F1478" s="3" t="n">
        <v>46274.96972222222</v>
      </c>
      <c r="G1478" s="3" t="n">
        <v>46274.96916666667</v>
      </c>
      <c r="H1478" t="inlineStr">
        <is>
          <t>Delivered</t>
        </is>
      </c>
      <c r="I1478" t="n">
        <v>1</v>
      </c>
      <c r="J1478" t="n">
        <v>4</v>
      </c>
      <c r="K1478" t="n">
        <v>548.95</v>
      </c>
      <c r="L1478" t="n">
        <v>1.12</v>
      </c>
      <c r="M1478" t="n">
        <v>2.7</v>
      </c>
      <c r="N1478" t="n">
        <v>5</v>
      </c>
      <c r="O1478" t="n">
        <v>1.9</v>
      </c>
      <c r="P1478" t="n">
        <v>10.4</v>
      </c>
      <c r="Q1478" t="n">
        <v>9.6</v>
      </c>
      <c r="R1478" t="n">
        <v>-0.8</v>
      </c>
      <c r="S1478" t="b">
        <v>1</v>
      </c>
      <c r="U1478" t="n">
        <v>23</v>
      </c>
      <c r="V1478" t="b">
        <v>0</v>
      </c>
      <c r="X1478" t="b">
        <v>0</v>
      </c>
      <c r="Y1478" t="n">
        <v>0.47</v>
      </c>
    </row>
    <row r="1479">
      <c r="A1479" t="inlineStr">
        <is>
          <t>O01478</t>
        </is>
      </c>
      <c r="B1479" t="inlineStr">
        <is>
          <t>C0224</t>
        </is>
      </c>
      <c r="C1479" t="inlineStr">
        <is>
          <t>S009</t>
        </is>
      </c>
      <c r="E1479" s="3" t="n">
        <v>46277.9375</v>
      </c>
      <c r="F1479" s="3" t="n">
        <v>46277.94611111111</v>
      </c>
      <c r="H1479" t="inlineStr">
        <is>
          <t>Cancelled</t>
        </is>
      </c>
      <c r="I1479" t="n">
        <v>2</v>
      </c>
      <c r="J1479" t="n">
        <v>9</v>
      </c>
      <c r="K1479" t="n">
        <v>811.41</v>
      </c>
      <c r="L1479" t="n">
        <v>2.72</v>
      </c>
      <c r="M1479" t="n">
        <v>2.5</v>
      </c>
      <c r="N1479" t="n">
        <v>0.9</v>
      </c>
      <c r="O1479" t="n">
        <v>6.3</v>
      </c>
      <c r="P1479" t="n">
        <v>12.4</v>
      </c>
      <c r="T1479" t="inlineStr">
        <is>
          <t>Customer cancelled</t>
        </is>
      </c>
      <c r="U1479" t="n">
        <v>22</v>
      </c>
      <c r="V1479" t="b">
        <v>0</v>
      </c>
      <c r="X1479" t="b">
        <v>0</v>
      </c>
      <c r="Y1479" t="n">
        <v>0.1</v>
      </c>
    </row>
    <row r="1480">
      <c r="A1480" t="inlineStr">
        <is>
          <t>O01479</t>
        </is>
      </c>
      <c r="B1480" t="inlineStr">
        <is>
          <t>C0003</t>
        </is>
      </c>
      <c r="C1480" t="inlineStr">
        <is>
          <t>S007</t>
        </is>
      </c>
      <c r="D1480" t="inlineStr">
        <is>
          <t>R017</t>
        </is>
      </c>
      <c r="E1480" s="3" t="n">
        <v>46274.58541666667</v>
      </c>
      <c r="F1480" s="3" t="n">
        <v>46274.59194444444</v>
      </c>
      <c r="G1480" s="3" t="n">
        <v>46274.59180555555</v>
      </c>
      <c r="H1480" t="inlineStr">
        <is>
          <t>Delivered</t>
        </is>
      </c>
      <c r="I1480" t="n">
        <v>3</v>
      </c>
      <c r="J1480" t="n">
        <v>9</v>
      </c>
      <c r="K1480" t="n">
        <v>649.26</v>
      </c>
      <c r="L1480" t="n">
        <v>3.98</v>
      </c>
      <c r="M1480" t="n">
        <v>2.6</v>
      </c>
      <c r="N1480" t="n">
        <v>1.7</v>
      </c>
      <c r="O1480" t="n">
        <v>4.9</v>
      </c>
      <c r="P1480" t="n">
        <v>9.4</v>
      </c>
      <c r="Q1480" t="n">
        <v>9.199999999999999</v>
      </c>
      <c r="R1480" t="n">
        <v>-0.2</v>
      </c>
      <c r="S1480" t="b">
        <v>1</v>
      </c>
      <c r="U1480" t="n">
        <v>14</v>
      </c>
      <c r="V1480" t="b">
        <v>0</v>
      </c>
      <c r="W1480" t="inlineStr">
        <is>
          <t>Light</t>
        </is>
      </c>
      <c r="X1480" t="b">
        <v>0</v>
      </c>
      <c r="Y1480" t="n">
        <v>0.38</v>
      </c>
    </row>
    <row r="1481">
      <c r="A1481" t="inlineStr">
        <is>
          <t>O01480</t>
        </is>
      </c>
      <c r="B1481" t="inlineStr">
        <is>
          <t>C0062</t>
        </is>
      </c>
      <c r="C1481" t="inlineStr">
        <is>
          <t>S010</t>
        </is>
      </c>
      <c r="D1481" t="inlineStr">
        <is>
          <t>R047</t>
        </is>
      </c>
      <c r="E1481" s="3" t="n">
        <v>46275.65763888889</v>
      </c>
      <c r="F1481" s="3" t="n">
        <v>46275.66715277778</v>
      </c>
      <c r="G1481" s="3" t="n">
        <v>46275.66694444444</v>
      </c>
      <c r="H1481" t="inlineStr">
        <is>
          <t>Delivered</t>
        </is>
      </c>
      <c r="I1481" t="n">
        <v>4</v>
      </c>
      <c r="J1481" t="n">
        <v>5</v>
      </c>
      <c r="K1481" t="n">
        <v>796.98</v>
      </c>
      <c r="L1481" t="n">
        <v>2.34</v>
      </c>
      <c r="M1481" t="n">
        <v>5</v>
      </c>
      <c r="N1481" t="n">
        <v>3.7</v>
      </c>
      <c r="O1481" t="n">
        <v>4.7</v>
      </c>
      <c r="P1481" t="n">
        <v>13.7</v>
      </c>
      <c r="Q1481" t="n">
        <v>13.4</v>
      </c>
      <c r="R1481" t="n">
        <v>-0.3</v>
      </c>
      <c r="S1481" t="b">
        <v>1</v>
      </c>
      <c r="U1481" t="n">
        <v>15</v>
      </c>
      <c r="V1481" t="b">
        <v>0</v>
      </c>
      <c r="X1481" t="b">
        <v>0</v>
      </c>
      <c r="Y1481" t="n">
        <v>0.49</v>
      </c>
    </row>
    <row r="1482">
      <c r="A1482" t="inlineStr">
        <is>
          <t>O01481</t>
        </is>
      </c>
      <c r="B1482" t="inlineStr">
        <is>
          <t>C0200</t>
        </is>
      </c>
      <c r="C1482" t="inlineStr">
        <is>
          <t>S012</t>
        </is>
      </c>
      <c r="D1482" t="inlineStr">
        <is>
          <t>R024</t>
        </is>
      </c>
      <c r="E1482" s="3" t="n">
        <v>46268.93125</v>
      </c>
      <c r="F1482" s="3" t="n">
        <v>46268.93847222222</v>
      </c>
      <c r="G1482" s="3" t="n">
        <v>46268.93791666667</v>
      </c>
      <c r="H1482" t="inlineStr">
        <is>
          <t>Delivered</t>
        </is>
      </c>
      <c r="I1482" t="n">
        <v>1</v>
      </c>
      <c r="J1482" t="n">
        <v>12</v>
      </c>
      <c r="K1482" t="n">
        <v>1561.86</v>
      </c>
      <c r="L1482" t="n">
        <v>2.31</v>
      </c>
      <c r="M1482" t="n">
        <v>3.1</v>
      </c>
      <c r="N1482" t="n">
        <v>3.8</v>
      </c>
      <c r="O1482" t="n">
        <v>2.7</v>
      </c>
      <c r="P1482" t="n">
        <v>10.4</v>
      </c>
      <c r="Q1482" t="n">
        <v>9.6</v>
      </c>
      <c r="R1482" t="n">
        <v>-0.8</v>
      </c>
      <c r="S1482" t="b">
        <v>1</v>
      </c>
      <c r="U1482" t="n">
        <v>22</v>
      </c>
      <c r="V1482" t="b">
        <v>0</v>
      </c>
      <c r="X1482" t="b">
        <v>0</v>
      </c>
      <c r="Y1482" t="n">
        <v>0.23</v>
      </c>
    </row>
    <row r="1483">
      <c r="A1483" t="inlineStr">
        <is>
          <t>O01482</t>
        </is>
      </c>
      <c r="B1483" t="inlineStr">
        <is>
          <t>C0122</t>
        </is>
      </c>
      <c r="C1483" t="inlineStr">
        <is>
          <t>S015</t>
        </is>
      </c>
      <c r="D1483" t="inlineStr">
        <is>
          <t>R075</t>
        </is>
      </c>
      <c r="E1483" s="3" t="n">
        <v>46270.39305555556</v>
      </c>
      <c r="F1483" s="3" t="n">
        <v>46270.40138888889</v>
      </c>
      <c r="G1483" s="3" t="n">
        <v>46270.40097222223</v>
      </c>
      <c r="H1483" t="inlineStr">
        <is>
          <t>Delivered</t>
        </is>
      </c>
      <c r="I1483" t="n">
        <v>5</v>
      </c>
      <c r="J1483" t="n">
        <v>9</v>
      </c>
      <c r="K1483" t="n">
        <v>1460.76</v>
      </c>
      <c r="L1483" t="n">
        <v>3.3</v>
      </c>
      <c r="M1483" t="n">
        <v>2.8</v>
      </c>
      <c r="N1483" t="n">
        <v>3.3</v>
      </c>
      <c r="O1483" t="n">
        <v>5.3</v>
      </c>
      <c r="P1483" t="n">
        <v>12</v>
      </c>
      <c r="Q1483" t="n">
        <v>11.4</v>
      </c>
      <c r="R1483" t="n">
        <v>-0.6</v>
      </c>
      <c r="S1483" t="b">
        <v>1</v>
      </c>
      <c r="U1483" t="n">
        <v>9</v>
      </c>
      <c r="V1483" t="b">
        <v>0</v>
      </c>
      <c r="X1483" t="b">
        <v>0</v>
      </c>
      <c r="Y1483" t="n">
        <v>0.42</v>
      </c>
    </row>
    <row r="1484">
      <c r="A1484" t="inlineStr">
        <is>
          <t>O01483</t>
        </is>
      </c>
      <c r="B1484" t="inlineStr">
        <is>
          <t>C0109</t>
        </is>
      </c>
      <c r="C1484" t="inlineStr">
        <is>
          <t>S011</t>
        </is>
      </c>
      <c r="D1484" t="inlineStr">
        <is>
          <t>R063</t>
        </is>
      </c>
      <c r="E1484" s="3" t="n">
        <v>46272.36388888889</v>
      </c>
      <c r="F1484" s="3" t="n">
        <v>46272.37215277777</v>
      </c>
      <c r="G1484" s="3" t="n">
        <v>46272.37194444444</v>
      </c>
      <c r="H1484" t="inlineStr">
        <is>
          <t>Delivered</t>
        </is>
      </c>
      <c r="I1484" t="n">
        <v>2</v>
      </c>
      <c r="J1484" t="n">
        <v>4</v>
      </c>
      <c r="K1484" t="n">
        <v>454.56</v>
      </c>
      <c r="L1484" t="n">
        <v>3.3</v>
      </c>
      <c r="M1484" t="n">
        <v>4.2</v>
      </c>
      <c r="N1484" t="n">
        <v>2.1</v>
      </c>
      <c r="O1484" t="n">
        <v>5.3</v>
      </c>
      <c r="P1484" t="n">
        <v>11.9</v>
      </c>
      <c r="Q1484" t="n">
        <v>11.6</v>
      </c>
      <c r="R1484" t="n">
        <v>-0.3</v>
      </c>
      <c r="S1484" t="b">
        <v>1</v>
      </c>
      <c r="U1484" t="n">
        <v>8</v>
      </c>
      <c r="V1484" t="b">
        <v>0</v>
      </c>
      <c r="W1484" t="inlineStr">
        <is>
          <t>Light</t>
        </is>
      </c>
      <c r="X1484" t="b">
        <v>0</v>
      </c>
      <c r="Y1484" t="n">
        <v>0.44</v>
      </c>
    </row>
    <row r="1485">
      <c r="A1485" t="inlineStr">
        <is>
          <t>O01484</t>
        </is>
      </c>
      <c r="B1485" t="inlineStr">
        <is>
          <t>C0131</t>
        </is>
      </c>
      <c r="C1485" t="inlineStr">
        <is>
          <t>S004</t>
        </is>
      </c>
      <c r="D1485" t="inlineStr">
        <is>
          <t>R019</t>
        </is>
      </c>
      <c r="E1485" s="3" t="n">
        <v>46271.54930555556</v>
      </c>
      <c r="F1485" s="3" t="n">
        <v>46271.55666666666</v>
      </c>
      <c r="G1485" s="3" t="n">
        <v>46271.55618055556</v>
      </c>
      <c r="H1485" t="inlineStr">
        <is>
          <t>Delivered</t>
        </is>
      </c>
      <c r="I1485" t="n">
        <v>4</v>
      </c>
      <c r="J1485" t="n">
        <v>12</v>
      </c>
      <c r="K1485" t="n">
        <v>1404.49</v>
      </c>
      <c r="L1485" t="n">
        <v>3.26</v>
      </c>
      <c r="M1485" t="n">
        <v>2.5</v>
      </c>
      <c r="N1485" t="n">
        <v>2.4</v>
      </c>
      <c r="O1485" t="n">
        <v>5</v>
      </c>
      <c r="P1485" t="n">
        <v>10.6</v>
      </c>
      <c r="Q1485" t="n">
        <v>9.9</v>
      </c>
      <c r="R1485" t="n">
        <v>-0.7</v>
      </c>
      <c r="S1485" t="b">
        <v>1</v>
      </c>
      <c r="U1485" t="n">
        <v>13</v>
      </c>
      <c r="V1485" t="b">
        <v>0</v>
      </c>
      <c r="X1485" t="b">
        <v>0</v>
      </c>
      <c r="Y1485" t="n">
        <v>0.26</v>
      </c>
    </row>
    <row r="1486">
      <c r="A1486" t="inlineStr">
        <is>
          <t>O01485</t>
        </is>
      </c>
      <c r="B1486" t="inlineStr">
        <is>
          <t>C0244</t>
        </is>
      </c>
      <c r="C1486" t="inlineStr">
        <is>
          <t>S005</t>
        </is>
      </c>
      <c r="E1486" s="3" t="n">
        <v>46270.53472222222</v>
      </c>
      <c r="F1486" s="3" t="n">
        <v>46270.54125</v>
      </c>
      <c r="H1486" t="inlineStr">
        <is>
          <t>Cancelled</t>
        </is>
      </c>
      <c r="I1486" t="n">
        <v>2</v>
      </c>
      <c r="J1486" t="n">
        <v>12</v>
      </c>
      <c r="K1486" t="n">
        <v>1669.74</v>
      </c>
      <c r="L1486" t="n">
        <v>0.96</v>
      </c>
      <c r="M1486" t="n">
        <v>6.2</v>
      </c>
      <c r="N1486" t="n">
        <v>7.4</v>
      </c>
      <c r="O1486" t="n">
        <v>4.9</v>
      </c>
      <c r="P1486" t="n">
        <v>9.4</v>
      </c>
      <c r="T1486" t="inlineStr">
        <is>
          <t>Rider unavailable</t>
        </is>
      </c>
      <c r="U1486" t="n">
        <v>12</v>
      </c>
      <c r="V1486" t="b">
        <v>0</v>
      </c>
      <c r="W1486" t="inlineStr">
        <is>
          <t>Light</t>
        </is>
      </c>
      <c r="X1486" t="b">
        <v>0</v>
      </c>
      <c r="Y1486" t="n">
        <v>0.62</v>
      </c>
    </row>
    <row r="1487">
      <c r="A1487" t="inlineStr">
        <is>
          <t>O01486</t>
        </is>
      </c>
      <c r="B1487" t="inlineStr">
        <is>
          <t>C0153</t>
        </is>
      </c>
      <c r="C1487" t="inlineStr">
        <is>
          <t>S003</t>
        </is>
      </c>
      <c r="D1487" t="inlineStr">
        <is>
          <t>R077</t>
        </is>
      </c>
      <c r="E1487" s="3" t="n">
        <v>46279.66180555556</v>
      </c>
      <c r="F1487" s="3" t="n">
        <v>46279.66875</v>
      </c>
      <c r="G1487" s="3" t="n">
        <v>46279.66791666667</v>
      </c>
      <c r="H1487" t="inlineStr">
        <is>
          <t>Delivered</t>
        </is>
      </c>
      <c r="I1487" t="n">
        <v>2</v>
      </c>
      <c r="J1487" t="n">
        <v>4</v>
      </c>
      <c r="K1487" t="n">
        <v>618.5700000000001</v>
      </c>
      <c r="L1487" t="n">
        <v>1.94</v>
      </c>
      <c r="M1487" t="n">
        <v>2.3</v>
      </c>
      <c r="N1487" t="n">
        <v>4.2</v>
      </c>
      <c r="O1487" t="n">
        <v>2.3</v>
      </c>
      <c r="P1487" t="n">
        <v>10</v>
      </c>
      <c r="Q1487" t="n">
        <v>8.800000000000001</v>
      </c>
      <c r="R1487" t="n">
        <v>-1.2</v>
      </c>
      <c r="S1487" t="b">
        <v>1</v>
      </c>
      <c r="U1487" t="n">
        <v>15</v>
      </c>
      <c r="V1487" t="b">
        <v>0</v>
      </c>
      <c r="X1487" t="b">
        <v>0</v>
      </c>
      <c r="Y1487" t="n">
        <v>0.31</v>
      </c>
    </row>
    <row r="1488">
      <c r="A1488" t="inlineStr">
        <is>
          <t>O01487</t>
        </is>
      </c>
      <c r="B1488" t="inlineStr">
        <is>
          <t>C0211</t>
        </is>
      </c>
      <c r="C1488" t="inlineStr">
        <is>
          <t>S004</t>
        </is>
      </c>
      <c r="D1488" t="inlineStr">
        <is>
          <t>R001</t>
        </is>
      </c>
      <c r="E1488" s="3" t="n">
        <v>46276.84930555556</v>
      </c>
      <c r="F1488" s="3" t="n">
        <v>46276.85590277778</v>
      </c>
      <c r="G1488" s="3" t="n">
        <v>46276.85534722222</v>
      </c>
      <c r="H1488" t="inlineStr">
        <is>
          <t>Delivered</t>
        </is>
      </c>
      <c r="I1488" t="n">
        <v>4</v>
      </c>
      <c r="J1488" t="n">
        <v>6</v>
      </c>
      <c r="K1488" t="n">
        <v>278.2</v>
      </c>
      <c r="L1488" t="n">
        <v>2.68</v>
      </c>
      <c r="M1488" t="n">
        <v>1.4</v>
      </c>
      <c r="N1488" t="n">
        <v>3.5</v>
      </c>
      <c r="O1488" t="n">
        <v>3.8</v>
      </c>
      <c r="P1488" t="n">
        <v>9.5</v>
      </c>
      <c r="Q1488" t="n">
        <v>8.699999999999999</v>
      </c>
      <c r="R1488" t="n">
        <v>-0.8</v>
      </c>
      <c r="S1488" t="b">
        <v>1</v>
      </c>
      <c r="U1488" t="n">
        <v>20</v>
      </c>
      <c r="V1488" t="b">
        <v>1</v>
      </c>
      <c r="X1488" t="b">
        <v>0</v>
      </c>
      <c r="Y1488" t="n">
        <v>0.14</v>
      </c>
    </row>
    <row r="1489">
      <c r="A1489" t="inlineStr">
        <is>
          <t>O01488</t>
        </is>
      </c>
      <c r="B1489" t="inlineStr">
        <is>
          <t>C0208</t>
        </is>
      </c>
      <c r="C1489" t="inlineStr">
        <is>
          <t>S007</t>
        </is>
      </c>
      <c r="D1489" t="inlineStr">
        <is>
          <t>R028</t>
        </is>
      </c>
      <c r="E1489" s="3" t="n">
        <v>46267.53541666667</v>
      </c>
      <c r="F1489" s="3" t="n">
        <v>46267.54361111111</v>
      </c>
      <c r="G1489" s="3" t="n">
        <v>46267.54284722222</v>
      </c>
      <c r="H1489" t="inlineStr">
        <is>
          <t>Delivered</t>
        </is>
      </c>
      <c r="I1489" t="n">
        <v>5</v>
      </c>
      <c r="J1489" t="n">
        <v>5</v>
      </c>
      <c r="K1489" t="n">
        <v>435.29</v>
      </c>
      <c r="L1489" t="n">
        <v>1.92</v>
      </c>
      <c r="M1489" t="n">
        <v>2.9</v>
      </c>
      <c r="N1489" t="n">
        <v>3.2</v>
      </c>
      <c r="O1489" t="n">
        <v>4.6</v>
      </c>
      <c r="P1489" t="n">
        <v>11.8</v>
      </c>
      <c r="Q1489" t="n">
        <v>10.7</v>
      </c>
      <c r="R1489" t="n">
        <v>-1.1</v>
      </c>
      <c r="S1489" t="b">
        <v>1</v>
      </c>
      <c r="U1489" t="n">
        <v>12</v>
      </c>
      <c r="V1489" t="b">
        <v>0</v>
      </c>
      <c r="X1489" t="b">
        <v>0</v>
      </c>
      <c r="Y1489" t="n">
        <v>0.59</v>
      </c>
    </row>
    <row r="1490">
      <c r="A1490" t="inlineStr">
        <is>
          <t>O01489</t>
        </is>
      </c>
      <c r="B1490" t="inlineStr">
        <is>
          <t>C0125</t>
        </is>
      </c>
      <c r="C1490" t="inlineStr">
        <is>
          <t>S002</t>
        </is>
      </c>
      <c r="D1490" t="inlineStr">
        <is>
          <t>R070</t>
        </is>
      </c>
      <c r="E1490" s="3" t="n">
        <v>46276.79097222222</v>
      </c>
      <c r="F1490" s="3" t="n">
        <v>46276.79993055556</v>
      </c>
      <c r="G1490" s="3" t="n">
        <v>46276.80625</v>
      </c>
      <c r="H1490" t="inlineStr">
        <is>
          <t>Delivered</t>
        </is>
      </c>
      <c r="I1490" t="n">
        <v>1</v>
      </c>
      <c r="J1490" t="n">
        <v>6</v>
      </c>
      <c r="K1490" t="n">
        <v>1565.75</v>
      </c>
      <c r="L1490" t="n">
        <v>5</v>
      </c>
      <c r="M1490" t="n">
        <v>2.2</v>
      </c>
      <c r="N1490" t="n">
        <v>6.3</v>
      </c>
      <c r="O1490" t="n">
        <v>13.4</v>
      </c>
      <c r="P1490" t="n">
        <v>12.9</v>
      </c>
      <c r="Q1490" t="n">
        <v>22</v>
      </c>
      <c r="R1490" t="n">
        <v>9.1</v>
      </c>
      <c r="S1490" t="b">
        <v>0</v>
      </c>
      <c r="U1490" t="n">
        <v>18</v>
      </c>
      <c r="V1490" t="b">
        <v>0</v>
      </c>
      <c r="X1490" t="b">
        <v>0</v>
      </c>
      <c r="Y1490" t="n">
        <v>0.72</v>
      </c>
    </row>
    <row r="1491">
      <c r="A1491" t="inlineStr">
        <is>
          <t>O01490</t>
        </is>
      </c>
      <c r="B1491" t="inlineStr">
        <is>
          <t>C0087</t>
        </is>
      </c>
      <c r="C1491" t="inlineStr">
        <is>
          <t>S020</t>
        </is>
      </c>
      <c r="D1491" t="inlineStr">
        <is>
          <t>R018</t>
        </is>
      </c>
      <c r="E1491" s="3" t="n">
        <v>46267.64791666667</v>
      </c>
      <c r="F1491" s="3" t="n">
        <v>46267.655625</v>
      </c>
      <c r="G1491" s="3" t="n">
        <v>46267.65486111111</v>
      </c>
      <c r="H1491" t="inlineStr">
        <is>
          <t>Delivered</t>
        </is>
      </c>
      <c r="I1491" t="n">
        <v>5</v>
      </c>
      <c r="J1491" t="n">
        <v>5</v>
      </c>
      <c r="K1491" t="n">
        <v>1367.66</v>
      </c>
      <c r="L1491" t="n">
        <v>1.32</v>
      </c>
      <c r="M1491" t="n">
        <v>4.6</v>
      </c>
      <c r="N1491" t="n">
        <v>2.9</v>
      </c>
      <c r="O1491" t="n">
        <v>2.5</v>
      </c>
      <c r="P1491" t="n">
        <v>11.1</v>
      </c>
      <c r="Q1491" t="n">
        <v>10</v>
      </c>
      <c r="R1491" t="n">
        <v>-1.1</v>
      </c>
      <c r="S1491" t="b">
        <v>1</v>
      </c>
      <c r="U1491" t="n">
        <v>15</v>
      </c>
      <c r="V1491" t="b">
        <v>0</v>
      </c>
      <c r="W1491" t="inlineStr">
        <is>
          <t>Light</t>
        </is>
      </c>
      <c r="X1491" t="b">
        <v>0</v>
      </c>
      <c r="Y1491" t="n">
        <v>0.25</v>
      </c>
    </row>
    <row r="1492">
      <c r="A1492" t="inlineStr">
        <is>
          <t>O01491</t>
        </is>
      </c>
      <c r="B1492" t="inlineStr">
        <is>
          <t>C0182</t>
        </is>
      </c>
      <c r="C1492" t="inlineStr">
        <is>
          <t>S002</t>
        </is>
      </c>
      <c r="D1492" t="inlineStr">
        <is>
          <t>R018</t>
        </is>
      </c>
      <c r="E1492" s="3" t="n">
        <v>46269.575</v>
      </c>
      <c r="F1492" s="3" t="n">
        <v>46269.58090277778</v>
      </c>
      <c r="G1492" s="3" t="n">
        <v>46269.58027777778</v>
      </c>
      <c r="H1492" t="inlineStr">
        <is>
          <t>Delivered</t>
        </is>
      </c>
      <c r="I1492" t="n">
        <v>4</v>
      </c>
      <c r="J1492" t="n">
        <v>9</v>
      </c>
      <c r="K1492" t="n">
        <v>913.36</v>
      </c>
      <c r="L1492" t="n">
        <v>0.78</v>
      </c>
      <c r="M1492" t="n">
        <v>2.8</v>
      </c>
      <c r="N1492" t="n">
        <v>3.3</v>
      </c>
      <c r="O1492" t="n">
        <v>1.5</v>
      </c>
      <c r="P1492" t="n">
        <v>8.5</v>
      </c>
      <c r="Q1492" t="n">
        <v>7.6</v>
      </c>
      <c r="R1492" t="n">
        <v>-0.9</v>
      </c>
      <c r="S1492" t="b">
        <v>1</v>
      </c>
      <c r="U1492" t="n">
        <v>13</v>
      </c>
      <c r="V1492" t="b">
        <v>0</v>
      </c>
      <c r="X1492" t="b">
        <v>0</v>
      </c>
      <c r="Y1492" t="n">
        <v>0.21</v>
      </c>
    </row>
    <row r="1493">
      <c r="A1493" t="inlineStr">
        <is>
          <t>O01492</t>
        </is>
      </c>
      <c r="B1493" t="inlineStr">
        <is>
          <t>C0070</t>
        </is>
      </c>
      <c r="C1493" t="inlineStr">
        <is>
          <t>S005</t>
        </is>
      </c>
      <c r="D1493" t="inlineStr">
        <is>
          <t>R033</t>
        </is>
      </c>
      <c r="E1493" s="3" t="n">
        <v>46273.76388888889</v>
      </c>
      <c r="F1493" s="3" t="n">
        <v>46273.77118055556</v>
      </c>
      <c r="G1493" s="3" t="n">
        <v>46273.77444444445</v>
      </c>
      <c r="H1493" t="inlineStr">
        <is>
          <t>Delivered</t>
        </is>
      </c>
      <c r="I1493" t="n">
        <v>2</v>
      </c>
      <c r="J1493" t="n">
        <v>7</v>
      </c>
      <c r="K1493" t="n">
        <v>1428.65</v>
      </c>
      <c r="L1493" t="n">
        <v>1.97</v>
      </c>
      <c r="M1493" t="n">
        <v>4.8</v>
      </c>
      <c r="N1493" t="n">
        <v>4.3</v>
      </c>
      <c r="O1493" t="n">
        <v>6</v>
      </c>
      <c r="P1493" t="n">
        <v>10.5</v>
      </c>
      <c r="Q1493" t="n">
        <v>15.2</v>
      </c>
      <c r="R1493" t="n">
        <v>4.7</v>
      </c>
      <c r="S1493" t="b">
        <v>0</v>
      </c>
      <c r="U1493" t="n">
        <v>18</v>
      </c>
      <c r="V1493" t="b">
        <v>0</v>
      </c>
      <c r="X1493" t="b">
        <v>0</v>
      </c>
      <c r="Y1493" t="n">
        <v>0.88</v>
      </c>
    </row>
    <row r="1494">
      <c r="A1494" t="inlineStr">
        <is>
          <t>O01493</t>
        </is>
      </c>
      <c r="B1494" t="inlineStr">
        <is>
          <t>C0204</t>
        </is>
      </c>
      <c r="C1494" t="inlineStr">
        <is>
          <t>S001</t>
        </is>
      </c>
      <c r="D1494" t="inlineStr">
        <is>
          <t>R016</t>
        </is>
      </c>
      <c r="E1494" s="3" t="n">
        <v>46270.54375</v>
      </c>
      <c r="F1494" s="3" t="n">
        <v>46270.55159722222</v>
      </c>
      <c r="G1494" s="3" t="n">
        <v>46270.55083333333</v>
      </c>
      <c r="H1494" t="inlineStr">
        <is>
          <t>Delivered</t>
        </is>
      </c>
      <c r="I1494" t="n">
        <v>2</v>
      </c>
      <c r="J1494" t="n">
        <v>8</v>
      </c>
      <c r="K1494" t="n">
        <v>1471.27</v>
      </c>
      <c r="L1494" t="n">
        <v>0.87</v>
      </c>
      <c r="M1494" t="n">
        <v>3.7</v>
      </c>
      <c r="N1494" t="n">
        <v>3.8</v>
      </c>
      <c r="O1494" t="n">
        <v>2.7</v>
      </c>
      <c r="P1494" t="n">
        <v>11.3</v>
      </c>
      <c r="Q1494" t="n">
        <v>10.2</v>
      </c>
      <c r="R1494" t="n">
        <v>-1.1</v>
      </c>
      <c r="S1494" t="b">
        <v>1</v>
      </c>
      <c r="U1494" t="n">
        <v>13</v>
      </c>
      <c r="V1494" t="b">
        <v>0</v>
      </c>
      <c r="W1494" t="inlineStr">
        <is>
          <t>Light</t>
        </is>
      </c>
      <c r="X1494" t="b">
        <v>0</v>
      </c>
      <c r="Y1494" t="n">
        <v>0.16</v>
      </c>
    </row>
    <row r="1495">
      <c r="A1495" t="inlineStr">
        <is>
          <t>O01494</t>
        </is>
      </c>
      <c r="B1495" t="inlineStr">
        <is>
          <t>C0230</t>
        </is>
      </c>
      <c r="C1495" t="inlineStr">
        <is>
          <t>S018</t>
        </is>
      </c>
      <c r="D1495" t="inlineStr">
        <is>
          <t>R009</t>
        </is>
      </c>
      <c r="E1495" s="3" t="n">
        <v>46273.95763888889</v>
      </c>
      <c r="F1495" s="3" t="n">
        <v>46273.96409722222</v>
      </c>
      <c r="G1495" s="3" t="n">
        <v>46273.96354166666</v>
      </c>
      <c r="H1495" t="inlineStr">
        <is>
          <t>Delivered</t>
        </is>
      </c>
      <c r="I1495" t="n">
        <v>2</v>
      </c>
      <c r="J1495" t="n">
        <v>10</v>
      </c>
      <c r="K1495" t="n">
        <v>571.04</v>
      </c>
      <c r="L1495" t="n">
        <v>1.61</v>
      </c>
      <c r="M1495" t="n">
        <v>3.7</v>
      </c>
      <c r="N1495" t="n">
        <v>0.9</v>
      </c>
      <c r="O1495" t="n">
        <v>3.9</v>
      </c>
      <c r="P1495" t="n">
        <v>9.300000000000001</v>
      </c>
      <c r="Q1495" t="n">
        <v>8.5</v>
      </c>
      <c r="R1495" t="n">
        <v>-0.8</v>
      </c>
      <c r="S1495" t="b">
        <v>1</v>
      </c>
      <c r="U1495" t="n">
        <v>22</v>
      </c>
      <c r="V1495" t="b">
        <v>0</v>
      </c>
      <c r="W1495" t="inlineStr">
        <is>
          <t>Heavy</t>
        </is>
      </c>
      <c r="X1495" t="b">
        <v>0</v>
      </c>
      <c r="Y1495" t="n">
        <v>0.29</v>
      </c>
    </row>
    <row r="1496">
      <c r="A1496" t="inlineStr">
        <is>
          <t>O01495</t>
        </is>
      </c>
      <c r="B1496" t="inlineStr">
        <is>
          <t>C0222</t>
        </is>
      </c>
      <c r="C1496" t="inlineStr">
        <is>
          <t>S010</t>
        </is>
      </c>
      <c r="D1496" t="inlineStr">
        <is>
          <t>R057</t>
        </is>
      </c>
      <c r="E1496" s="3" t="n">
        <v>46266.95</v>
      </c>
      <c r="F1496" s="3" t="n">
        <v>46266.95722222222</v>
      </c>
      <c r="G1496" s="3" t="n">
        <v>46266.95756944444</v>
      </c>
      <c r="H1496" t="inlineStr">
        <is>
          <t>Delivered</t>
        </is>
      </c>
      <c r="I1496" t="n">
        <v>4</v>
      </c>
      <c r="J1496" t="n">
        <v>8</v>
      </c>
      <c r="K1496" t="n">
        <v>912.09</v>
      </c>
      <c r="L1496" t="n">
        <v>0.9399999999999999</v>
      </c>
      <c r="M1496" t="n">
        <v>7.4</v>
      </c>
      <c r="N1496" t="n">
        <v>0</v>
      </c>
      <c r="O1496" t="n">
        <v>3.5</v>
      </c>
      <c r="P1496" t="n">
        <v>10.4</v>
      </c>
      <c r="Q1496" t="n">
        <v>10.9</v>
      </c>
      <c r="R1496" t="n">
        <v>0.5</v>
      </c>
      <c r="S1496" t="b">
        <v>0</v>
      </c>
      <c r="U1496" t="n">
        <v>22</v>
      </c>
      <c r="V1496" t="b">
        <v>0</v>
      </c>
      <c r="X1496" t="b">
        <v>0</v>
      </c>
      <c r="Y1496" t="n">
        <v>0.4</v>
      </c>
    </row>
    <row r="1497">
      <c r="A1497" t="inlineStr">
        <is>
          <t>O01496</t>
        </is>
      </c>
      <c r="B1497" t="inlineStr">
        <is>
          <t>C0139</t>
        </is>
      </c>
      <c r="C1497" t="inlineStr">
        <is>
          <t>S003</t>
        </is>
      </c>
      <c r="D1497" t="inlineStr">
        <is>
          <t>R001</t>
        </is>
      </c>
      <c r="E1497" s="3" t="n">
        <v>46267.92569444444</v>
      </c>
      <c r="F1497" s="3" t="n">
        <v>46267.93208333333</v>
      </c>
      <c r="G1497" s="3" t="n">
        <v>46267.93180555556</v>
      </c>
      <c r="H1497" t="inlineStr">
        <is>
          <t>Delivered</t>
        </is>
      </c>
      <c r="I1497" t="n">
        <v>2</v>
      </c>
      <c r="J1497" t="n">
        <v>9</v>
      </c>
      <c r="K1497" t="n">
        <v>246.81</v>
      </c>
      <c r="L1497" t="n">
        <v>1.79</v>
      </c>
      <c r="M1497" t="n">
        <v>2.4</v>
      </c>
      <c r="N1497" t="n">
        <v>2.9</v>
      </c>
      <c r="O1497" t="n">
        <v>3.5</v>
      </c>
      <c r="P1497" t="n">
        <v>9.199999999999999</v>
      </c>
      <c r="Q1497" t="n">
        <v>8.800000000000001</v>
      </c>
      <c r="R1497" t="n">
        <v>-0.4</v>
      </c>
      <c r="S1497" t="b">
        <v>1</v>
      </c>
      <c r="U1497" t="n">
        <v>22</v>
      </c>
      <c r="V1497" t="b">
        <v>0</v>
      </c>
      <c r="W1497" t="inlineStr">
        <is>
          <t>Light</t>
        </is>
      </c>
      <c r="X1497" t="b">
        <v>0</v>
      </c>
      <c r="Y1497" t="n">
        <v>0.53</v>
      </c>
    </row>
    <row r="1498">
      <c r="A1498" t="inlineStr">
        <is>
          <t>O01497</t>
        </is>
      </c>
      <c r="B1498" t="inlineStr">
        <is>
          <t>C0151</t>
        </is>
      </c>
      <c r="C1498" t="inlineStr">
        <is>
          <t>S001</t>
        </is>
      </c>
      <c r="D1498" t="inlineStr">
        <is>
          <t>R037</t>
        </is>
      </c>
      <c r="E1498" s="3" t="n">
        <v>46268.86805555555</v>
      </c>
      <c r="F1498" s="3" t="n">
        <v>46268.87743055556</v>
      </c>
      <c r="G1498" s="3" t="n">
        <v>46268.876875</v>
      </c>
      <c r="H1498" t="inlineStr">
        <is>
          <t>Delivered</t>
        </is>
      </c>
      <c r="I1498" t="n">
        <v>3</v>
      </c>
      <c r="J1498" t="n">
        <v>8</v>
      </c>
      <c r="K1498" t="n">
        <v>1251.33</v>
      </c>
      <c r="L1498" t="n">
        <v>3.07</v>
      </c>
      <c r="M1498" t="n">
        <v>2.8</v>
      </c>
      <c r="N1498" t="n">
        <v>5.3</v>
      </c>
      <c r="O1498" t="n">
        <v>4.6</v>
      </c>
      <c r="P1498" t="n">
        <v>13.5</v>
      </c>
      <c r="Q1498" t="n">
        <v>12.7</v>
      </c>
      <c r="R1498" t="n">
        <v>-0.8</v>
      </c>
      <c r="S1498" t="b">
        <v>1</v>
      </c>
      <c r="U1498" t="n">
        <v>20</v>
      </c>
      <c r="V1498" t="b">
        <v>1</v>
      </c>
      <c r="X1498" t="b">
        <v>0</v>
      </c>
      <c r="Y1498" t="n">
        <v>0.84</v>
      </c>
    </row>
    <row r="1499">
      <c r="A1499" t="inlineStr">
        <is>
          <t>O01498</t>
        </is>
      </c>
      <c r="B1499" t="inlineStr">
        <is>
          <t>C0217</t>
        </is>
      </c>
      <c r="C1499" t="inlineStr">
        <is>
          <t>S007</t>
        </is>
      </c>
      <c r="D1499" t="inlineStr">
        <is>
          <t>R070</t>
        </is>
      </c>
      <c r="E1499" s="3" t="n">
        <v>46266.73958333334</v>
      </c>
      <c r="F1499" s="3" t="n">
        <v>46266.74777777777</v>
      </c>
      <c r="G1499" s="3" t="n">
        <v>46266.74722222222</v>
      </c>
      <c r="H1499" t="inlineStr">
        <is>
          <t>Delivered</t>
        </is>
      </c>
      <c r="I1499" t="n">
        <v>2</v>
      </c>
      <c r="J1499" t="n">
        <v>7</v>
      </c>
      <c r="K1499" t="n">
        <v>1540.95</v>
      </c>
      <c r="L1499" t="n">
        <v>4.09</v>
      </c>
      <c r="M1499" t="n">
        <v>2.3</v>
      </c>
      <c r="N1499" t="n">
        <v>2.7</v>
      </c>
      <c r="O1499" t="n">
        <v>6</v>
      </c>
      <c r="P1499" t="n">
        <v>11.8</v>
      </c>
      <c r="Q1499" t="n">
        <v>11</v>
      </c>
      <c r="R1499" t="n">
        <v>-0.8</v>
      </c>
      <c r="S1499" t="b">
        <v>1</v>
      </c>
      <c r="U1499" t="n">
        <v>17</v>
      </c>
      <c r="V1499" t="b">
        <v>0</v>
      </c>
      <c r="X1499" t="b">
        <v>0</v>
      </c>
      <c r="Y1499" t="n">
        <v>0.48</v>
      </c>
    </row>
    <row r="1500">
      <c r="A1500" t="inlineStr">
        <is>
          <t>O01499</t>
        </is>
      </c>
      <c r="B1500" t="inlineStr">
        <is>
          <t>C0170</t>
        </is>
      </c>
      <c r="C1500" t="inlineStr">
        <is>
          <t>S004</t>
        </is>
      </c>
      <c r="D1500" t="inlineStr">
        <is>
          <t>R023</t>
        </is>
      </c>
      <c r="E1500" s="3" t="n">
        <v>46276.90902777778</v>
      </c>
      <c r="F1500" s="3" t="n">
        <v>46276.91555555556</v>
      </c>
      <c r="G1500" s="3" t="n">
        <v>46276.924375</v>
      </c>
      <c r="H1500" t="inlineStr">
        <is>
          <t>Delivered</t>
        </is>
      </c>
      <c r="I1500" t="n">
        <v>5</v>
      </c>
      <c r="J1500" t="n">
        <v>6</v>
      </c>
      <c r="K1500" t="n">
        <v>433.62</v>
      </c>
      <c r="L1500" t="n">
        <v>3.3</v>
      </c>
      <c r="M1500" t="n">
        <v>3.6</v>
      </c>
      <c r="N1500" t="n">
        <v>10.9</v>
      </c>
      <c r="O1500" t="n">
        <v>7.5</v>
      </c>
      <c r="P1500" t="n">
        <v>9.4</v>
      </c>
      <c r="Q1500" t="n">
        <v>22.1</v>
      </c>
      <c r="R1500" t="n">
        <v>12.7</v>
      </c>
      <c r="S1500" t="b">
        <v>0</v>
      </c>
      <c r="U1500" t="n">
        <v>21</v>
      </c>
      <c r="V1500" t="b">
        <v>1</v>
      </c>
      <c r="X1500" t="b">
        <v>0</v>
      </c>
      <c r="Y1500" t="n">
        <v>0.46</v>
      </c>
    </row>
    <row r="1501">
      <c r="A1501" t="inlineStr">
        <is>
          <t>O01500</t>
        </is>
      </c>
      <c r="B1501" t="inlineStr">
        <is>
          <t>C0032</t>
        </is>
      </c>
      <c r="C1501" t="inlineStr">
        <is>
          <t>S013</t>
        </is>
      </c>
      <c r="D1501" t="inlineStr">
        <is>
          <t>R040</t>
        </is>
      </c>
      <c r="E1501" s="3" t="n">
        <v>46267.76527777778</v>
      </c>
      <c r="F1501" s="3" t="n">
        <v>46267.77416666667</v>
      </c>
      <c r="G1501" s="3" t="n">
        <v>46267.77381944445</v>
      </c>
      <c r="H1501" t="inlineStr">
        <is>
          <t>Delivered</t>
        </is>
      </c>
      <c r="I1501" t="n">
        <v>1</v>
      </c>
      <c r="J1501" t="n">
        <v>4</v>
      </c>
      <c r="K1501" t="n">
        <v>731.55</v>
      </c>
      <c r="L1501" t="n">
        <v>3</v>
      </c>
      <c r="M1501" t="n">
        <v>2.9</v>
      </c>
      <c r="N1501" t="n">
        <v>4.4</v>
      </c>
      <c r="O1501" t="n">
        <v>5</v>
      </c>
      <c r="P1501" t="n">
        <v>12.8</v>
      </c>
      <c r="Q1501" t="n">
        <v>12.3</v>
      </c>
      <c r="R1501" t="n">
        <v>-0.5</v>
      </c>
      <c r="S1501" t="b">
        <v>1</v>
      </c>
      <c r="U1501" t="n">
        <v>18</v>
      </c>
      <c r="V1501" t="b">
        <v>0</v>
      </c>
      <c r="W1501" t="inlineStr">
        <is>
          <t>Light</t>
        </is>
      </c>
      <c r="X1501" t="b">
        <v>0</v>
      </c>
      <c r="Y1501" t="n">
        <v>0.71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tabSelected="0"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city</t>
        </is>
      </c>
      <c r="C1" s="1" t="inlineStr">
        <is>
          <t>store_age_days</t>
        </is>
      </c>
      <c r="D1" s="1" t="inlineStr">
        <is>
          <t>staffing_per_shift</t>
        </is>
      </c>
      <c r="E1" s="1" t="inlineStr">
        <is>
          <t>item_availability_pct</t>
        </is>
      </c>
      <c r="F1" s="1" t="inlineStr">
        <is>
          <t>avg_picking_time_min</t>
        </is>
      </c>
      <c r="G1" s="1" t="inlineStr">
        <is>
          <t>typical_orders_per_hour</t>
        </is>
      </c>
      <c r="H1" s="1" t="inlineStr">
        <is>
          <t>service_radius_km</t>
        </is>
      </c>
      <c r="I1" s="1" t="inlineStr">
        <is>
          <t>delivered_orders</t>
        </is>
      </c>
      <c r="J1" s="1" t="inlineStr">
        <is>
          <t>avg_actual_delivery_duration_min</t>
        </is>
      </c>
      <c r="K1" s="1" t="inlineStr">
        <is>
          <t>late_orders</t>
        </is>
      </c>
      <c r="L1" s="1" t="inlineStr">
        <is>
          <t>on_time_rate_pct</t>
        </is>
      </c>
    </row>
    <row r="2">
      <c r="A2" t="inlineStr">
        <is>
          <t>S001</t>
        </is>
      </c>
      <c r="B2" t="inlineStr">
        <is>
          <t>Bengaluru</t>
        </is>
      </c>
      <c r="C2" t="n">
        <v>362</v>
      </c>
      <c r="D2" t="n">
        <v>6</v>
      </c>
      <c r="E2" t="n">
        <v>0.927</v>
      </c>
      <c r="F2" t="n">
        <v>4.59</v>
      </c>
      <c r="G2" t="n">
        <v>16</v>
      </c>
      <c r="H2" t="n">
        <v>4.3</v>
      </c>
      <c r="I2" t="n">
        <v>64</v>
      </c>
      <c r="J2" t="n">
        <v>10.82</v>
      </c>
      <c r="K2" t="n">
        <v>11</v>
      </c>
      <c r="L2" t="n">
        <v>82.8</v>
      </c>
    </row>
    <row r="3">
      <c r="A3" t="inlineStr">
        <is>
          <t>S002</t>
        </is>
      </c>
      <c r="B3" t="inlineStr">
        <is>
          <t>Hyderabad</t>
        </is>
      </c>
      <c r="C3" t="n">
        <v>470</v>
      </c>
      <c r="D3" t="n">
        <v>9</v>
      </c>
      <c r="E3" t="n">
        <v>0.981</v>
      </c>
      <c r="F3" t="n">
        <v>2.39</v>
      </c>
      <c r="G3" t="n">
        <v>33</v>
      </c>
      <c r="H3" t="n">
        <v>5</v>
      </c>
      <c r="I3" t="n">
        <v>80</v>
      </c>
      <c r="J3" t="n">
        <v>11.1</v>
      </c>
      <c r="K3" t="n">
        <v>21</v>
      </c>
      <c r="L3" t="n">
        <v>73.8</v>
      </c>
    </row>
    <row r="4">
      <c r="A4" t="inlineStr">
        <is>
          <t>S003</t>
        </is>
      </c>
      <c r="B4" t="inlineStr">
        <is>
          <t>Mumbai</t>
        </is>
      </c>
      <c r="C4" t="n">
        <v>426</v>
      </c>
      <c r="D4" t="n">
        <v>11</v>
      </c>
      <c r="E4" t="n">
        <v>0.962</v>
      </c>
      <c r="F4" t="n">
        <v>3.84</v>
      </c>
      <c r="G4" t="n">
        <v>41</v>
      </c>
      <c r="H4" t="n">
        <v>2.1</v>
      </c>
      <c r="I4" t="n">
        <v>83</v>
      </c>
      <c r="J4" t="n">
        <v>10.69</v>
      </c>
      <c r="K4" t="n">
        <v>20</v>
      </c>
      <c r="L4" t="n">
        <v>75.90000000000001</v>
      </c>
    </row>
    <row r="5">
      <c r="A5" t="inlineStr">
        <is>
          <t>S004</t>
        </is>
      </c>
      <c r="B5" t="inlineStr">
        <is>
          <t>Pune</t>
        </is>
      </c>
      <c r="C5" t="n">
        <v>850</v>
      </c>
      <c r="D5" t="n">
        <v>9</v>
      </c>
      <c r="E5" t="n">
        <v>0.949</v>
      </c>
      <c r="F5" t="n">
        <v>2.19</v>
      </c>
      <c r="G5" t="n">
        <v>42</v>
      </c>
      <c r="H5" t="n">
        <v>3.3</v>
      </c>
      <c r="I5" t="n">
        <v>70</v>
      </c>
      <c r="J5" t="n">
        <v>10.36</v>
      </c>
      <c r="K5" t="n">
        <v>11</v>
      </c>
      <c r="L5" t="n">
        <v>84.3</v>
      </c>
    </row>
    <row r="6">
      <c r="A6" t="inlineStr">
        <is>
          <t>S005</t>
        </is>
      </c>
      <c r="B6" t="inlineStr">
        <is>
          <t>Delhi</t>
        </is>
      </c>
      <c r="C6" t="n">
        <v>138</v>
      </c>
      <c r="D6" t="n">
        <v>7</v>
      </c>
      <c r="E6" t="n">
        <v>0.9</v>
      </c>
      <c r="F6" t="n">
        <v>4.89</v>
      </c>
      <c r="G6" t="n">
        <v>14</v>
      </c>
      <c r="H6" t="n">
        <v>4.9</v>
      </c>
      <c r="I6" t="n">
        <v>76</v>
      </c>
      <c r="J6" t="n">
        <v>12.11</v>
      </c>
      <c r="K6" t="n">
        <v>23</v>
      </c>
      <c r="L6" t="n">
        <v>69.7</v>
      </c>
    </row>
    <row r="7">
      <c r="A7" t="inlineStr">
        <is>
          <t>S006</t>
        </is>
      </c>
      <c r="B7" t="inlineStr">
        <is>
          <t>Bengaluru</t>
        </is>
      </c>
      <c r="C7" t="n">
        <v>412</v>
      </c>
      <c r="D7" t="n">
        <v>11</v>
      </c>
      <c r="E7" t="n">
        <v>0.886</v>
      </c>
      <c r="F7" t="n">
        <v>5.22</v>
      </c>
      <c r="G7" t="n">
        <v>26</v>
      </c>
      <c r="H7" t="n">
        <v>4.9</v>
      </c>
      <c r="I7" t="n">
        <v>58</v>
      </c>
      <c r="J7" t="n">
        <v>11.68</v>
      </c>
      <c r="K7" t="n">
        <v>15</v>
      </c>
      <c r="L7" t="n">
        <v>74.09999999999999</v>
      </c>
    </row>
    <row r="8">
      <c r="A8" t="inlineStr">
        <is>
          <t>S007</t>
        </is>
      </c>
      <c r="B8" t="inlineStr">
        <is>
          <t>Hyderabad</t>
        </is>
      </c>
      <c r="C8" t="n">
        <v>661</v>
      </c>
      <c r="D8" t="n">
        <v>4</v>
      </c>
      <c r="E8" t="n">
        <v>0.9340000000000001</v>
      </c>
      <c r="F8" t="n">
        <v>4.05</v>
      </c>
      <c r="G8" t="n">
        <v>37</v>
      </c>
      <c r="H8" t="n">
        <v>4.4</v>
      </c>
      <c r="I8" t="n">
        <v>88</v>
      </c>
      <c r="J8" t="n">
        <v>11.49</v>
      </c>
      <c r="K8" t="n">
        <v>27</v>
      </c>
      <c r="L8" t="n">
        <v>69.3</v>
      </c>
    </row>
    <row r="9">
      <c r="A9" t="inlineStr">
        <is>
          <t>S008</t>
        </is>
      </c>
      <c r="B9" t="inlineStr">
        <is>
          <t>Mumbai</t>
        </is>
      </c>
      <c r="C9" t="n">
        <v>825</v>
      </c>
      <c r="D9" t="n">
        <v>8</v>
      </c>
      <c r="E9" t="n">
        <v>0.981</v>
      </c>
      <c r="F9" t="n">
        <v>3.46</v>
      </c>
      <c r="G9" t="n">
        <v>23</v>
      </c>
      <c r="H9" t="n">
        <v>4.9</v>
      </c>
      <c r="I9" t="n">
        <v>77</v>
      </c>
      <c r="J9" t="n">
        <v>12.2</v>
      </c>
      <c r="K9" t="n">
        <v>25</v>
      </c>
      <c r="L9" t="n">
        <v>67.5</v>
      </c>
    </row>
    <row r="10">
      <c r="A10" t="inlineStr">
        <is>
          <t>S009</t>
        </is>
      </c>
      <c r="B10" t="inlineStr">
        <is>
          <t>Pune</t>
        </is>
      </c>
      <c r="C10" t="n">
        <v>645</v>
      </c>
      <c r="D10" t="n">
        <v>5</v>
      </c>
      <c r="E10" t="n">
        <v>0.905</v>
      </c>
      <c r="F10" t="n">
        <v>2.66</v>
      </c>
      <c r="G10" t="n">
        <v>29</v>
      </c>
      <c r="H10" t="n">
        <v>2.8</v>
      </c>
      <c r="I10" t="n">
        <v>78</v>
      </c>
      <c r="J10" t="n">
        <v>10.08</v>
      </c>
      <c r="K10" t="n">
        <v>11</v>
      </c>
      <c r="L10" t="n">
        <v>85.90000000000001</v>
      </c>
    </row>
    <row r="11">
      <c r="A11" t="inlineStr">
        <is>
          <t>S010</t>
        </is>
      </c>
      <c r="B11" t="inlineStr">
        <is>
          <t>Delhi</t>
        </is>
      </c>
      <c r="C11" t="n">
        <v>744</v>
      </c>
      <c r="D11" t="n">
        <v>10</v>
      </c>
      <c r="E11" t="n">
        <v>0.903</v>
      </c>
      <c r="F11" t="n">
        <v>5.61</v>
      </c>
      <c r="G11" t="n">
        <v>22</v>
      </c>
      <c r="H11" t="n">
        <v>4</v>
      </c>
      <c r="I11" t="n">
        <v>70</v>
      </c>
      <c r="J11" t="n">
        <v>11.7</v>
      </c>
      <c r="K11" t="n">
        <v>19</v>
      </c>
      <c r="L11" t="n">
        <v>72.90000000000001</v>
      </c>
    </row>
    <row r="12">
      <c r="A12" t="inlineStr">
        <is>
          <t>S011</t>
        </is>
      </c>
      <c r="B12" t="inlineStr">
        <is>
          <t>Bengaluru</t>
        </is>
      </c>
      <c r="C12" t="n">
        <v>732</v>
      </c>
      <c r="D12" t="n">
        <v>5</v>
      </c>
      <c r="E12" t="n">
        <v>0.984</v>
      </c>
      <c r="F12" t="n">
        <v>5.67</v>
      </c>
      <c r="G12" t="n">
        <v>31</v>
      </c>
      <c r="H12" t="n">
        <v>3.3</v>
      </c>
      <c r="I12" t="n">
        <v>71</v>
      </c>
      <c r="J12" t="n">
        <v>11.92</v>
      </c>
      <c r="K12" t="n">
        <v>22</v>
      </c>
      <c r="L12" t="n">
        <v>69</v>
      </c>
    </row>
    <row r="13">
      <c r="A13" t="inlineStr">
        <is>
          <t>S012</t>
        </is>
      </c>
      <c r="B13" t="inlineStr">
        <is>
          <t>Hyderabad</t>
        </is>
      </c>
      <c r="C13" t="n">
        <v>300</v>
      </c>
      <c r="D13" t="n">
        <v>7</v>
      </c>
      <c r="E13" t="n">
        <v>0.891</v>
      </c>
      <c r="F13" t="n">
        <v>5.23</v>
      </c>
      <c r="G13" t="n">
        <v>15</v>
      </c>
      <c r="H13" t="n">
        <v>5.3</v>
      </c>
      <c r="I13" t="n">
        <v>53</v>
      </c>
      <c r="J13" t="n">
        <v>11.45</v>
      </c>
      <c r="K13" t="n">
        <v>13</v>
      </c>
      <c r="L13" t="n">
        <v>75.5</v>
      </c>
    </row>
    <row r="14">
      <c r="A14" t="inlineStr">
        <is>
          <t>S013</t>
        </is>
      </c>
      <c r="B14" t="inlineStr">
        <is>
          <t>Mumbai</t>
        </is>
      </c>
      <c r="C14" t="n">
        <v>705</v>
      </c>
      <c r="D14" t="n">
        <v>10</v>
      </c>
      <c r="E14" t="n">
        <v>0.909</v>
      </c>
      <c r="F14" t="n">
        <v>5.82</v>
      </c>
      <c r="G14" t="n">
        <v>49</v>
      </c>
      <c r="H14" t="n">
        <v>3</v>
      </c>
      <c r="I14" t="n">
        <v>71</v>
      </c>
      <c r="J14" t="n">
        <v>11.44</v>
      </c>
      <c r="K14" t="n">
        <v>17</v>
      </c>
      <c r="L14" t="n">
        <v>76.09999999999999</v>
      </c>
    </row>
    <row r="15">
      <c r="A15" t="inlineStr">
        <is>
          <t>S014</t>
        </is>
      </c>
      <c r="B15" t="inlineStr">
        <is>
          <t>Pune</t>
        </is>
      </c>
      <c r="C15" t="n">
        <v>241</v>
      </c>
      <c r="D15" t="n">
        <v>12</v>
      </c>
      <c r="E15" t="n">
        <v>0.908</v>
      </c>
      <c r="F15" t="n">
        <v>5.55</v>
      </c>
      <c r="G15" t="n">
        <v>37</v>
      </c>
      <c r="H15" t="n">
        <v>3.3</v>
      </c>
      <c r="I15" t="n">
        <v>79</v>
      </c>
      <c r="J15" t="n">
        <v>11.83</v>
      </c>
      <c r="K15" t="n">
        <v>18</v>
      </c>
      <c r="L15" t="n">
        <v>77.2</v>
      </c>
    </row>
    <row r="16">
      <c r="A16" t="inlineStr">
        <is>
          <t>S015</t>
        </is>
      </c>
      <c r="B16" t="inlineStr">
        <is>
          <t>Delhi</t>
        </is>
      </c>
      <c r="C16" t="n">
        <v>204</v>
      </c>
      <c r="D16" t="n">
        <v>11</v>
      </c>
      <c r="E16" t="n">
        <v>0.978</v>
      </c>
      <c r="F16" t="n">
        <v>4.66</v>
      </c>
      <c r="G16" t="n">
        <v>23</v>
      </c>
      <c r="H16" t="n">
        <v>4.6</v>
      </c>
      <c r="I16" t="n">
        <v>80</v>
      </c>
      <c r="J16" t="n">
        <v>11.08</v>
      </c>
      <c r="K16" t="n">
        <v>20</v>
      </c>
      <c r="L16" t="n">
        <v>75</v>
      </c>
    </row>
    <row r="17">
      <c r="A17" t="inlineStr">
        <is>
          <t>S016</t>
        </is>
      </c>
      <c r="B17" t="inlineStr">
        <is>
          <t>Bengaluru</t>
        </is>
      </c>
      <c r="C17" t="n">
        <v>792</v>
      </c>
      <c r="D17" t="n">
        <v>10</v>
      </c>
      <c r="E17" t="n">
        <v>0.912</v>
      </c>
      <c r="F17" t="n">
        <v>5.51</v>
      </c>
      <c r="G17" t="n">
        <v>25</v>
      </c>
      <c r="H17" t="n">
        <v>2.6</v>
      </c>
      <c r="I17" t="n">
        <v>67</v>
      </c>
      <c r="J17" t="n">
        <v>12</v>
      </c>
      <c r="K17" t="n">
        <v>21</v>
      </c>
      <c r="L17" t="n">
        <v>68.7</v>
      </c>
    </row>
    <row r="18">
      <c r="A18" t="inlineStr">
        <is>
          <t>S017</t>
        </is>
      </c>
      <c r="B18" t="inlineStr">
        <is>
          <t>Hyderabad</t>
        </is>
      </c>
      <c r="C18" t="n">
        <v>47</v>
      </c>
      <c r="D18" t="n">
        <v>10</v>
      </c>
      <c r="E18" t="n">
        <v>0.9429999999999999</v>
      </c>
      <c r="F18" t="n">
        <v>2.16</v>
      </c>
      <c r="G18" t="n">
        <v>36</v>
      </c>
      <c r="H18" t="n">
        <v>4</v>
      </c>
      <c r="I18" t="n">
        <v>73</v>
      </c>
      <c r="J18" t="n">
        <v>10.56</v>
      </c>
      <c r="K18" t="n">
        <v>15</v>
      </c>
      <c r="L18" t="n">
        <v>79.5</v>
      </c>
    </row>
    <row r="19">
      <c r="A19" t="inlineStr">
        <is>
          <t>S018</t>
        </is>
      </c>
      <c r="B19" t="inlineStr">
        <is>
          <t>Mumbai</t>
        </is>
      </c>
      <c r="C19" t="n">
        <v>214</v>
      </c>
      <c r="D19" t="n">
        <v>8</v>
      </c>
      <c r="E19" t="n">
        <v>0.959</v>
      </c>
      <c r="F19" t="n">
        <v>5.31</v>
      </c>
      <c r="G19" t="n">
        <v>20</v>
      </c>
      <c r="H19" t="n">
        <v>5.9</v>
      </c>
      <c r="I19" t="n">
        <v>66</v>
      </c>
      <c r="J19" t="n">
        <v>11.46</v>
      </c>
      <c r="K19" t="n">
        <v>18</v>
      </c>
      <c r="L19" t="n">
        <v>72.7</v>
      </c>
    </row>
    <row r="20">
      <c r="A20" t="inlineStr">
        <is>
          <t>S019</t>
        </is>
      </c>
      <c r="B20" t="inlineStr">
        <is>
          <t>Pune</t>
        </is>
      </c>
      <c r="C20" t="n">
        <v>851</v>
      </c>
      <c r="D20" t="n">
        <v>12</v>
      </c>
      <c r="E20" t="n">
        <v>0.952</v>
      </c>
      <c r="F20" t="n">
        <v>4.99</v>
      </c>
      <c r="G20" t="n">
        <v>22</v>
      </c>
      <c r="H20" t="n">
        <v>2.5</v>
      </c>
      <c r="I20" t="n">
        <v>78</v>
      </c>
      <c r="J20" t="n">
        <v>10.8</v>
      </c>
      <c r="K20" t="n">
        <v>19</v>
      </c>
      <c r="L20" t="n">
        <v>75.59999999999999</v>
      </c>
    </row>
    <row r="21">
      <c r="A21" t="inlineStr">
        <is>
          <t>S020</t>
        </is>
      </c>
      <c r="B21" t="inlineStr">
        <is>
          <t>Delhi</t>
        </is>
      </c>
      <c r="C21" t="n">
        <v>647</v>
      </c>
      <c r="D21" t="n">
        <v>12</v>
      </c>
      <c r="E21" t="n">
        <v>0.982</v>
      </c>
      <c r="F21" t="n">
        <v>5.74</v>
      </c>
      <c r="G21" t="n">
        <v>15</v>
      </c>
      <c r="H21" t="n">
        <v>3.8</v>
      </c>
      <c r="I21" t="n">
        <v>73</v>
      </c>
      <c r="J21" t="n">
        <v>11.68</v>
      </c>
      <c r="K21" t="n">
        <v>17</v>
      </c>
      <c r="L21" t="n">
        <v>76.7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1"/>
  <sheetViews>
    <sheetView tabSelected="0" workbookViewId="0">
      <selection activeCell="A1" sqref="A1"/>
    </sheetView>
  </sheetViews>
  <sheetFormatPr baseColWidth="8" defaultRowHeight="15"/>
  <sheetData>
    <row r="1">
      <c r="A1" s="1" t="inlineStr">
        <is>
          <t>rider_id</t>
        </is>
      </c>
      <c r="B1" s="1" t="inlineStr">
        <is>
          <t>home_store_id</t>
        </is>
      </c>
      <c r="C1" s="1" t="inlineStr">
        <is>
          <t>vehicle_type</t>
        </is>
      </c>
      <c r="D1" s="1" t="inlineStr">
        <is>
          <t>experience_months</t>
        </is>
      </c>
      <c r="E1" s="1" t="inlineStr">
        <is>
          <t>typical_trips_per_shift</t>
        </is>
      </c>
      <c r="F1" s="1" t="inlineStr">
        <is>
          <t>avg_distance_per_trip_km</t>
        </is>
      </c>
      <c r="G1" s="1" t="inlineStr">
        <is>
          <t>avg_idle_time_min_per_shift</t>
        </is>
      </c>
      <c r="H1" s="1" t="inlineStr">
        <is>
          <t>acceptance_rate_pct</t>
        </is>
      </c>
      <c r="I1" s="1" t="inlineStr">
        <is>
          <t>avg_store_wait_time_min</t>
        </is>
      </c>
    </row>
    <row r="2">
      <c r="A2" t="inlineStr">
        <is>
          <t>R001</t>
        </is>
      </c>
      <c r="B2" t="inlineStr">
        <is>
          <t>S015</t>
        </is>
      </c>
      <c r="C2" t="inlineStr">
        <is>
          <t>EV scooter</t>
        </is>
      </c>
      <c r="D2" t="n">
        <v>11</v>
      </c>
      <c r="E2" t="n">
        <v>12</v>
      </c>
      <c r="F2" t="n">
        <v>2.4</v>
      </c>
      <c r="G2" t="n">
        <v>44.9</v>
      </c>
      <c r="H2" t="n">
        <v>0.829</v>
      </c>
      <c r="I2" t="n">
        <v>4.5</v>
      </c>
    </row>
    <row r="3">
      <c r="A3" t="inlineStr">
        <is>
          <t>R002</t>
        </is>
      </c>
      <c r="B3" t="inlineStr">
        <is>
          <t>S016</t>
        </is>
      </c>
      <c r="C3" t="inlineStr">
        <is>
          <t>EV scooter</t>
        </is>
      </c>
      <c r="D3" t="n">
        <v>1</v>
      </c>
      <c r="E3" t="n">
        <v>9</v>
      </c>
      <c r="F3" t="n">
        <v>3.77</v>
      </c>
      <c r="G3" t="n">
        <v>39.1</v>
      </c>
      <c r="H3" t="n">
        <v>0.759</v>
      </c>
      <c r="I3" t="n">
        <v>7</v>
      </c>
    </row>
    <row r="4">
      <c r="A4" t="inlineStr">
        <is>
          <t>R003</t>
        </is>
      </c>
      <c r="B4" t="inlineStr">
        <is>
          <t>S016</t>
        </is>
      </c>
      <c r="C4" t="inlineStr">
        <is>
          <t>EV scooter</t>
        </is>
      </c>
      <c r="D4" t="n">
        <v>40</v>
      </c>
      <c r="E4" t="n">
        <v>5</v>
      </c>
      <c r="F4" t="n">
        <v>4.1</v>
      </c>
      <c r="G4" t="n">
        <v>44.1</v>
      </c>
      <c r="H4" t="n">
        <v>0.797</v>
      </c>
      <c r="I4" t="n">
        <v>4.2</v>
      </c>
    </row>
    <row r="5">
      <c r="A5" t="inlineStr">
        <is>
          <t>R004</t>
        </is>
      </c>
      <c r="B5" t="inlineStr">
        <is>
          <t>S015</t>
        </is>
      </c>
      <c r="C5" t="inlineStr">
        <is>
          <t>EV scooter</t>
        </is>
      </c>
      <c r="D5" t="n">
        <v>2</v>
      </c>
      <c r="E5" t="n">
        <v>10</v>
      </c>
      <c r="F5" t="n">
        <v>2.94</v>
      </c>
      <c r="G5" t="n">
        <v>26.6</v>
      </c>
      <c r="H5" t="n">
        <v>0.74</v>
      </c>
      <c r="I5" t="n">
        <v>3.2</v>
      </c>
    </row>
    <row r="6">
      <c r="A6" t="inlineStr">
        <is>
          <t>R005</t>
        </is>
      </c>
      <c r="B6" t="inlineStr">
        <is>
          <t>S017</t>
        </is>
      </c>
      <c r="C6" t="inlineStr">
        <is>
          <t>EV scooter</t>
        </is>
      </c>
      <c r="D6" t="n">
        <v>32</v>
      </c>
      <c r="E6" t="n">
        <v>13</v>
      </c>
      <c r="F6" t="n">
        <v>4.99</v>
      </c>
      <c r="G6" t="n">
        <v>29.7</v>
      </c>
      <c r="H6" t="n">
        <v>0.83</v>
      </c>
      <c r="I6" t="n">
        <v>2.9</v>
      </c>
    </row>
    <row r="7">
      <c r="A7" t="inlineStr">
        <is>
          <t>R006</t>
        </is>
      </c>
      <c r="B7" t="inlineStr">
        <is>
          <t>S016</t>
        </is>
      </c>
      <c r="C7" t="inlineStr">
        <is>
          <t>EV scooter</t>
        </is>
      </c>
      <c r="D7" t="n">
        <v>9</v>
      </c>
      <c r="E7" t="n">
        <v>12</v>
      </c>
      <c r="F7" t="n">
        <v>4.9</v>
      </c>
      <c r="G7" t="n">
        <v>55.8</v>
      </c>
      <c r="H7" t="n">
        <v>0.834</v>
      </c>
      <c r="I7" t="n">
        <v>4.8</v>
      </c>
    </row>
    <row r="8">
      <c r="A8" t="inlineStr">
        <is>
          <t>R007</t>
        </is>
      </c>
      <c r="B8" t="inlineStr">
        <is>
          <t>S007</t>
        </is>
      </c>
      <c r="C8" t="inlineStr">
        <is>
          <t>EV scooter</t>
        </is>
      </c>
      <c r="D8" t="n">
        <v>22</v>
      </c>
      <c r="E8" t="n">
        <v>11</v>
      </c>
      <c r="F8" t="n">
        <v>3.61</v>
      </c>
      <c r="G8" t="n">
        <v>20.4</v>
      </c>
      <c r="H8" t="n">
        <v>0.762</v>
      </c>
      <c r="I8" t="n">
        <v>1.7</v>
      </c>
    </row>
    <row r="9">
      <c r="A9" t="inlineStr">
        <is>
          <t>R008</t>
        </is>
      </c>
      <c r="B9" t="inlineStr">
        <is>
          <t>S001</t>
        </is>
      </c>
      <c r="C9" t="inlineStr">
        <is>
          <t>Bicycle</t>
        </is>
      </c>
      <c r="D9" t="n">
        <v>44</v>
      </c>
      <c r="E9" t="n">
        <v>17</v>
      </c>
      <c r="F9" t="n">
        <v>3.84</v>
      </c>
      <c r="G9" t="n">
        <v>6.6</v>
      </c>
      <c r="H9" t="n">
        <v>0.822</v>
      </c>
      <c r="I9" t="n">
        <v>6.1</v>
      </c>
    </row>
    <row r="10">
      <c r="A10" t="inlineStr">
        <is>
          <t>R009</t>
        </is>
      </c>
      <c r="B10" t="inlineStr">
        <is>
          <t>S008</t>
        </is>
      </c>
      <c r="C10" t="inlineStr">
        <is>
          <t>Petrol scooter</t>
        </is>
      </c>
      <c r="D10" t="n">
        <v>6</v>
      </c>
      <c r="E10" t="n">
        <v>15</v>
      </c>
      <c r="F10" t="n">
        <v>5.22</v>
      </c>
      <c r="G10" t="n">
        <v>26.7</v>
      </c>
      <c r="H10" t="n">
        <v>0.753</v>
      </c>
      <c r="I10" t="n">
        <v>1.3</v>
      </c>
    </row>
    <row r="11">
      <c r="A11" t="inlineStr">
        <is>
          <t>R010</t>
        </is>
      </c>
      <c r="B11" t="inlineStr">
        <is>
          <t>S005</t>
        </is>
      </c>
      <c r="C11" t="inlineStr">
        <is>
          <t>EV scooter</t>
        </is>
      </c>
      <c r="D11" t="n">
        <v>38</v>
      </c>
      <c r="E11" t="n">
        <v>14</v>
      </c>
      <c r="F11" t="n">
        <v>1.7</v>
      </c>
      <c r="G11" t="n">
        <v>32.8</v>
      </c>
      <c r="H11" t="n">
        <v>0.8120000000000001</v>
      </c>
      <c r="I11" t="n">
        <v>8.4</v>
      </c>
    </row>
    <row r="12">
      <c r="A12" t="inlineStr">
        <is>
          <t>R011</t>
        </is>
      </c>
      <c r="B12" t="inlineStr">
        <is>
          <t>S018</t>
        </is>
      </c>
      <c r="C12" t="inlineStr">
        <is>
          <t>EV scooter</t>
        </is>
      </c>
      <c r="D12" t="n">
        <v>44</v>
      </c>
      <c r="E12" t="n">
        <v>10</v>
      </c>
      <c r="F12" t="n">
        <v>3.39</v>
      </c>
      <c r="G12" t="n">
        <v>64.90000000000001</v>
      </c>
      <c r="H12" t="n">
        <v>0.959</v>
      </c>
      <c r="I12" t="n">
        <v>2.2</v>
      </c>
    </row>
    <row r="13">
      <c r="A13" t="inlineStr">
        <is>
          <t>R012</t>
        </is>
      </c>
      <c r="B13" t="inlineStr">
        <is>
          <t>S008</t>
        </is>
      </c>
      <c r="C13" t="inlineStr">
        <is>
          <t>Petrol scooter</t>
        </is>
      </c>
      <c r="D13" t="n">
        <v>37</v>
      </c>
      <c r="E13" t="n">
        <v>15</v>
      </c>
      <c r="F13" t="n">
        <v>3.83</v>
      </c>
      <c r="G13" t="n">
        <v>51.3</v>
      </c>
      <c r="H13" t="n">
        <v>0.857</v>
      </c>
      <c r="I13" t="n">
        <v>6.4</v>
      </c>
    </row>
    <row r="14">
      <c r="A14" t="inlineStr">
        <is>
          <t>R013</t>
        </is>
      </c>
      <c r="B14" t="inlineStr">
        <is>
          <t>S006</t>
        </is>
      </c>
      <c r="C14" t="inlineStr">
        <is>
          <t>Petrol scooter</t>
        </is>
      </c>
      <c r="D14" t="n">
        <v>29</v>
      </c>
      <c r="E14" t="n">
        <v>13</v>
      </c>
      <c r="F14" t="n">
        <v>3.93</v>
      </c>
      <c r="G14" t="n">
        <v>18.4</v>
      </c>
      <c r="H14" t="n">
        <v>0.833</v>
      </c>
      <c r="I14" t="n">
        <v>7.2</v>
      </c>
    </row>
    <row r="15">
      <c r="A15" t="inlineStr">
        <is>
          <t>R014</t>
        </is>
      </c>
      <c r="B15" t="inlineStr">
        <is>
          <t>S015</t>
        </is>
      </c>
      <c r="C15" t="inlineStr">
        <is>
          <t>EV scooter</t>
        </is>
      </c>
      <c r="D15" t="n">
        <v>33</v>
      </c>
      <c r="E15" t="n">
        <v>10</v>
      </c>
      <c r="F15" t="n">
        <v>2.76</v>
      </c>
      <c r="G15" t="n">
        <v>8.9</v>
      </c>
      <c r="H15" t="n">
        <v>0.847</v>
      </c>
      <c r="I15" t="n">
        <v>7.9</v>
      </c>
    </row>
    <row r="16">
      <c r="A16" t="inlineStr">
        <is>
          <t>R015</t>
        </is>
      </c>
      <c r="B16" t="inlineStr">
        <is>
          <t>S015</t>
        </is>
      </c>
      <c r="C16" t="inlineStr">
        <is>
          <t>Bicycle</t>
        </is>
      </c>
      <c r="D16" t="n">
        <v>14</v>
      </c>
      <c r="E16" t="n">
        <v>12</v>
      </c>
      <c r="F16" t="n">
        <v>2.49</v>
      </c>
      <c r="G16" t="n">
        <v>11.7</v>
      </c>
      <c r="H16" t="n">
        <v>0.762</v>
      </c>
      <c r="I16" t="n">
        <v>2.1</v>
      </c>
    </row>
    <row r="17">
      <c r="A17" t="inlineStr">
        <is>
          <t>R016</t>
        </is>
      </c>
      <c r="B17" t="inlineStr">
        <is>
          <t>S008</t>
        </is>
      </c>
      <c r="C17" t="inlineStr">
        <is>
          <t>EV scooter</t>
        </is>
      </c>
      <c r="D17" t="n">
        <v>27</v>
      </c>
      <c r="E17" t="n">
        <v>14</v>
      </c>
      <c r="F17" t="n">
        <v>2.16</v>
      </c>
      <c r="G17" t="n">
        <v>23.7</v>
      </c>
      <c r="H17" t="n">
        <v>0.726</v>
      </c>
      <c r="I17" t="n">
        <v>4.6</v>
      </c>
    </row>
    <row r="18">
      <c r="A18" t="inlineStr">
        <is>
          <t>R017</t>
        </is>
      </c>
      <c r="B18" t="inlineStr">
        <is>
          <t>S009</t>
        </is>
      </c>
      <c r="C18" t="inlineStr">
        <is>
          <t>EV scooter</t>
        </is>
      </c>
      <c r="D18" t="n">
        <v>1</v>
      </c>
      <c r="E18" t="n">
        <v>15</v>
      </c>
      <c r="F18" t="n">
        <v>4.7</v>
      </c>
      <c r="G18" t="n">
        <v>24.7</v>
      </c>
      <c r="H18" t="n">
        <v>0.873</v>
      </c>
      <c r="I18" t="n">
        <v>2.2</v>
      </c>
    </row>
    <row r="19">
      <c r="A19" t="inlineStr">
        <is>
          <t>R018</t>
        </is>
      </c>
      <c r="B19" t="inlineStr">
        <is>
          <t>S016</t>
        </is>
      </c>
      <c r="C19" t="inlineStr">
        <is>
          <t>Petrol scooter</t>
        </is>
      </c>
      <c r="D19" t="n">
        <v>35</v>
      </c>
      <c r="E19" t="n">
        <v>16</v>
      </c>
      <c r="F19" t="n">
        <v>4.21</v>
      </c>
      <c r="G19" t="n">
        <v>25</v>
      </c>
      <c r="H19" t="n">
        <v>0.876</v>
      </c>
      <c r="I19" t="n">
        <v>6.2</v>
      </c>
    </row>
    <row r="20">
      <c r="A20" t="inlineStr">
        <is>
          <t>R019</t>
        </is>
      </c>
      <c r="B20" t="inlineStr">
        <is>
          <t>S007</t>
        </is>
      </c>
      <c r="C20" t="inlineStr">
        <is>
          <t>EV scooter</t>
        </is>
      </c>
      <c r="D20" t="n">
        <v>46</v>
      </c>
      <c r="E20" t="n">
        <v>6</v>
      </c>
      <c r="F20" t="n">
        <v>2.72</v>
      </c>
      <c r="G20" t="n">
        <v>49.6</v>
      </c>
      <c r="H20" t="n">
        <v>0.747</v>
      </c>
      <c r="I20" t="n">
        <v>4.2</v>
      </c>
    </row>
    <row r="21">
      <c r="A21" t="inlineStr">
        <is>
          <t>R020</t>
        </is>
      </c>
      <c r="B21" t="inlineStr">
        <is>
          <t>S019</t>
        </is>
      </c>
      <c r="C21" t="inlineStr">
        <is>
          <t>EV scooter</t>
        </is>
      </c>
      <c r="D21" t="n">
        <v>11</v>
      </c>
      <c r="E21" t="n">
        <v>18</v>
      </c>
      <c r="F21" t="n">
        <v>1.2</v>
      </c>
      <c r="G21" t="n">
        <v>20.4</v>
      </c>
      <c r="H21" t="n">
        <v>0.977</v>
      </c>
      <c r="I21" t="n">
        <v>8</v>
      </c>
    </row>
    <row r="22">
      <c r="A22" t="inlineStr">
        <is>
          <t>R021</t>
        </is>
      </c>
      <c r="B22" t="inlineStr">
        <is>
          <t>S015</t>
        </is>
      </c>
      <c r="C22" t="inlineStr">
        <is>
          <t>Bicycle</t>
        </is>
      </c>
      <c r="D22" t="n">
        <v>8</v>
      </c>
      <c r="E22" t="n">
        <v>10</v>
      </c>
      <c r="F22" t="n">
        <v>4.91</v>
      </c>
      <c r="G22" t="n">
        <v>64.2</v>
      </c>
      <c r="H22" t="n">
        <v>0.946</v>
      </c>
      <c r="I22" t="n">
        <v>5.1</v>
      </c>
    </row>
    <row r="23">
      <c r="A23" t="inlineStr">
        <is>
          <t>R022</t>
        </is>
      </c>
      <c r="B23" t="inlineStr">
        <is>
          <t>S012</t>
        </is>
      </c>
      <c r="C23" t="inlineStr">
        <is>
          <t>EV scooter</t>
        </is>
      </c>
      <c r="D23" t="n">
        <v>2</v>
      </c>
      <c r="E23" t="n">
        <v>5</v>
      </c>
      <c r="F23" t="n">
        <v>4.03</v>
      </c>
      <c r="G23" t="n">
        <v>38.1</v>
      </c>
      <c r="H23" t="n">
        <v>0.785</v>
      </c>
      <c r="I23" t="n">
        <v>1.4</v>
      </c>
    </row>
    <row r="24">
      <c r="A24" t="inlineStr">
        <is>
          <t>R023</t>
        </is>
      </c>
      <c r="B24" t="inlineStr">
        <is>
          <t>S020</t>
        </is>
      </c>
      <c r="C24" t="inlineStr">
        <is>
          <t>EV scooter</t>
        </is>
      </c>
      <c r="D24" t="n">
        <v>10</v>
      </c>
      <c r="E24" t="n">
        <v>17</v>
      </c>
      <c r="F24" t="n">
        <v>3.68</v>
      </c>
      <c r="G24" t="n">
        <v>46.8</v>
      </c>
      <c r="H24" t="n">
        <v>0.753</v>
      </c>
      <c r="I24" t="n">
        <v>7.9</v>
      </c>
    </row>
    <row r="25">
      <c r="A25" t="inlineStr">
        <is>
          <t>R024</t>
        </is>
      </c>
      <c r="B25" t="inlineStr">
        <is>
          <t>S005</t>
        </is>
      </c>
      <c r="C25" t="inlineStr">
        <is>
          <t>Petrol scooter</t>
        </is>
      </c>
      <c r="D25" t="n">
        <v>48</v>
      </c>
      <c r="E25" t="n">
        <v>17</v>
      </c>
      <c r="F25" t="n">
        <v>5.3</v>
      </c>
      <c r="G25" t="n">
        <v>44.8</v>
      </c>
      <c r="H25" t="n">
        <v>0.774</v>
      </c>
      <c r="I25" t="n">
        <v>7.6</v>
      </c>
    </row>
    <row r="26">
      <c r="A26" t="inlineStr">
        <is>
          <t>R025</t>
        </is>
      </c>
      <c r="B26" t="inlineStr">
        <is>
          <t>S019</t>
        </is>
      </c>
      <c r="C26" t="inlineStr">
        <is>
          <t>EV scooter</t>
        </is>
      </c>
      <c r="D26" t="n">
        <v>46</v>
      </c>
      <c r="E26" t="n">
        <v>14</v>
      </c>
      <c r="F26" t="n">
        <v>2.14</v>
      </c>
      <c r="G26" t="n">
        <v>67.2</v>
      </c>
      <c r="H26" t="n">
        <v>0.921</v>
      </c>
      <c r="I26" t="n">
        <v>1.8</v>
      </c>
    </row>
    <row r="27">
      <c r="A27" t="inlineStr">
        <is>
          <t>R026</t>
        </is>
      </c>
      <c r="B27" t="inlineStr">
        <is>
          <t>S016</t>
        </is>
      </c>
      <c r="C27" t="inlineStr">
        <is>
          <t>Petrol scooter</t>
        </is>
      </c>
      <c r="D27" t="n">
        <v>24</v>
      </c>
      <c r="E27" t="n">
        <v>17</v>
      </c>
      <c r="F27" t="n">
        <v>5.17</v>
      </c>
      <c r="G27" t="n">
        <v>64.3</v>
      </c>
      <c r="H27" t="n">
        <v>0.896</v>
      </c>
      <c r="I27" t="n">
        <v>3.5</v>
      </c>
    </row>
    <row r="28">
      <c r="A28" t="inlineStr">
        <is>
          <t>R027</t>
        </is>
      </c>
      <c r="B28" t="inlineStr">
        <is>
          <t>S014</t>
        </is>
      </c>
      <c r="C28" t="inlineStr">
        <is>
          <t>EV scooter</t>
        </is>
      </c>
      <c r="D28" t="n">
        <v>30</v>
      </c>
      <c r="E28" t="n">
        <v>11</v>
      </c>
      <c r="F28" t="n">
        <v>2.21</v>
      </c>
      <c r="G28" t="n">
        <v>16.9</v>
      </c>
      <c r="H28" t="n">
        <v>0.861</v>
      </c>
      <c r="I28" t="n">
        <v>8.699999999999999</v>
      </c>
    </row>
    <row r="29">
      <c r="A29" t="inlineStr">
        <is>
          <t>R028</t>
        </is>
      </c>
      <c r="B29" t="inlineStr">
        <is>
          <t>S010</t>
        </is>
      </c>
      <c r="C29" t="inlineStr">
        <is>
          <t>Petrol scooter</t>
        </is>
      </c>
      <c r="D29" t="n">
        <v>2</v>
      </c>
      <c r="E29" t="n">
        <v>6</v>
      </c>
      <c r="F29" t="n">
        <v>3.6</v>
      </c>
      <c r="G29" t="n">
        <v>42</v>
      </c>
      <c r="H29" t="n">
        <v>0.858</v>
      </c>
      <c r="I29" t="n">
        <v>5.3</v>
      </c>
    </row>
    <row r="30">
      <c r="A30" t="inlineStr">
        <is>
          <t>R029</t>
        </is>
      </c>
      <c r="B30" t="inlineStr">
        <is>
          <t>S019</t>
        </is>
      </c>
      <c r="C30" t="inlineStr">
        <is>
          <t>EV scooter</t>
        </is>
      </c>
      <c r="D30" t="n">
        <v>33</v>
      </c>
      <c r="E30" t="n">
        <v>11</v>
      </c>
      <c r="F30" t="n">
        <v>2.38</v>
      </c>
      <c r="G30" t="n">
        <v>51</v>
      </c>
      <c r="H30" t="n">
        <v>0.845</v>
      </c>
      <c r="I30" t="n">
        <v>8.300000000000001</v>
      </c>
    </row>
    <row r="31">
      <c r="A31" t="inlineStr">
        <is>
          <t>R030</t>
        </is>
      </c>
      <c r="B31" t="inlineStr">
        <is>
          <t>S018</t>
        </is>
      </c>
      <c r="C31" t="inlineStr">
        <is>
          <t>EV scooter</t>
        </is>
      </c>
      <c r="D31" t="n">
        <v>41</v>
      </c>
      <c r="E31" t="n">
        <v>16</v>
      </c>
      <c r="F31" t="n">
        <v>5.49</v>
      </c>
      <c r="G31" t="n">
        <v>18.2</v>
      </c>
      <c r="H31" t="n">
        <v>0.908</v>
      </c>
      <c r="I31" t="n">
        <v>1.1</v>
      </c>
    </row>
    <row r="32">
      <c r="A32" t="inlineStr">
        <is>
          <t>R031</t>
        </is>
      </c>
      <c r="B32" t="inlineStr">
        <is>
          <t>S009</t>
        </is>
      </c>
      <c r="C32" t="inlineStr">
        <is>
          <t>EV scooter</t>
        </is>
      </c>
      <c r="D32" t="n">
        <v>3</v>
      </c>
      <c r="E32" t="n">
        <v>17</v>
      </c>
      <c r="F32" t="n">
        <v>1.63</v>
      </c>
      <c r="G32" t="n">
        <v>7.9</v>
      </c>
      <c r="H32" t="n">
        <v>0.841</v>
      </c>
      <c r="I32" t="n">
        <v>8.5</v>
      </c>
    </row>
    <row r="33">
      <c r="A33" t="inlineStr">
        <is>
          <t>R032</t>
        </is>
      </c>
      <c r="B33" t="inlineStr">
        <is>
          <t>S014</t>
        </is>
      </c>
      <c r="C33" t="inlineStr">
        <is>
          <t>Petrol scooter</t>
        </is>
      </c>
      <c r="D33" t="n">
        <v>43</v>
      </c>
      <c r="E33" t="n">
        <v>7</v>
      </c>
      <c r="F33" t="n">
        <v>2.62</v>
      </c>
      <c r="G33" t="n">
        <v>6.9</v>
      </c>
      <c r="H33" t="n">
        <v>0.896</v>
      </c>
      <c r="I33" t="n">
        <v>2.6</v>
      </c>
    </row>
    <row r="34">
      <c r="A34" t="inlineStr">
        <is>
          <t>R033</t>
        </is>
      </c>
      <c r="B34" t="inlineStr">
        <is>
          <t>S006</t>
        </is>
      </c>
      <c r="C34" t="inlineStr">
        <is>
          <t>EV scooter</t>
        </is>
      </c>
      <c r="D34" t="n">
        <v>4</v>
      </c>
      <c r="E34" t="n">
        <v>18</v>
      </c>
      <c r="F34" t="n">
        <v>4.69</v>
      </c>
      <c r="G34" t="n">
        <v>19.6</v>
      </c>
      <c r="H34" t="n">
        <v>0.904</v>
      </c>
      <c r="I34" t="n">
        <v>2.9</v>
      </c>
    </row>
    <row r="35">
      <c r="A35" t="inlineStr">
        <is>
          <t>R034</t>
        </is>
      </c>
      <c r="B35" t="inlineStr">
        <is>
          <t>S003</t>
        </is>
      </c>
      <c r="C35" t="inlineStr">
        <is>
          <t>EV scooter</t>
        </is>
      </c>
      <c r="D35" t="n">
        <v>32</v>
      </c>
      <c r="E35" t="n">
        <v>10</v>
      </c>
      <c r="F35" t="n">
        <v>3.32</v>
      </c>
      <c r="G35" t="n">
        <v>47.5</v>
      </c>
      <c r="H35" t="n">
        <v>0.97</v>
      </c>
      <c r="I35" t="n">
        <v>4.5</v>
      </c>
    </row>
    <row r="36">
      <c r="A36" t="inlineStr">
        <is>
          <t>R035</t>
        </is>
      </c>
      <c r="B36" t="inlineStr">
        <is>
          <t>S018</t>
        </is>
      </c>
      <c r="C36" t="inlineStr">
        <is>
          <t>Petrol scooter</t>
        </is>
      </c>
      <c r="D36" t="n">
        <v>19</v>
      </c>
      <c r="E36" t="n">
        <v>6</v>
      </c>
      <c r="F36" t="n">
        <v>1.49</v>
      </c>
      <c r="G36" t="n">
        <v>22.7</v>
      </c>
      <c r="H36" t="n">
        <v>0.801</v>
      </c>
      <c r="I36" t="n">
        <v>7.8</v>
      </c>
    </row>
    <row r="37">
      <c r="A37" t="inlineStr">
        <is>
          <t>R036</t>
        </is>
      </c>
      <c r="B37" t="inlineStr">
        <is>
          <t>S005</t>
        </is>
      </c>
      <c r="C37" t="inlineStr">
        <is>
          <t>Petrol scooter</t>
        </is>
      </c>
      <c r="D37" t="n">
        <v>29</v>
      </c>
      <c r="E37" t="n">
        <v>14</v>
      </c>
      <c r="F37" t="n">
        <v>1.39</v>
      </c>
      <c r="G37" t="n">
        <v>20.8</v>
      </c>
      <c r="H37" t="n">
        <v>0.797</v>
      </c>
      <c r="I37" t="n">
        <v>1.7</v>
      </c>
    </row>
    <row r="38">
      <c r="A38" t="inlineStr">
        <is>
          <t>R037</t>
        </is>
      </c>
      <c r="B38" t="inlineStr">
        <is>
          <t>S020</t>
        </is>
      </c>
      <c r="C38" t="inlineStr">
        <is>
          <t>Bicycle</t>
        </is>
      </c>
      <c r="D38" t="n">
        <v>2</v>
      </c>
      <c r="E38" t="n">
        <v>7</v>
      </c>
      <c r="F38" t="n">
        <v>4.94</v>
      </c>
      <c r="G38" t="n">
        <v>44.9</v>
      </c>
      <c r="H38" t="n">
        <v>0.846</v>
      </c>
      <c r="I38" t="n">
        <v>7.5</v>
      </c>
    </row>
    <row r="39">
      <c r="A39" t="inlineStr">
        <is>
          <t>R038</t>
        </is>
      </c>
      <c r="B39" t="inlineStr">
        <is>
          <t>S009</t>
        </is>
      </c>
      <c r="C39" t="inlineStr">
        <is>
          <t>EV scooter</t>
        </is>
      </c>
      <c r="D39" t="n">
        <v>21</v>
      </c>
      <c r="E39" t="n">
        <v>12</v>
      </c>
      <c r="F39" t="n">
        <v>4.44</v>
      </c>
      <c r="G39" t="n">
        <v>7.8</v>
      </c>
      <c r="H39" t="n">
        <v>0.918</v>
      </c>
      <c r="I39" t="n">
        <v>7.8</v>
      </c>
    </row>
    <row r="40">
      <c r="A40" t="inlineStr">
        <is>
          <t>R039</t>
        </is>
      </c>
      <c r="B40" t="inlineStr">
        <is>
          <t>S018</t>
        </is>
      </c>
      <c r="C40" t="inlineStr">
        <is>
          <t>Petrol scooter</t>
        </is>
      </c>
      <c r="D40" t="n">
        <v>29</v>
      </c>
      <c r="E40" t="n">
        <v>5</v>
      </c>
      <c r="F40" t="n">
        <v>1.43</v>
      </c>
      <c r="G40" t="n">
        <v>22</v>
      </c>
      <c r="H40" t="n">
        <v>0.837</v>
      </c>
      <c r="I40" t="n">
        <v>6.1</v>
      </c>
    </row>
    <row r="41">
      <c r="A41" t="inlineStr">
        <is>
          <t>R040</t>
        </is>
      </c>
      <c r="B41" t="inlineStr">
        <is>
          <t>S014</t>
        </is>
      </c>
      <c r="C41" t="inlineStr">
        <is>
          <t>EV scooter</t>
        </is>
      </c>
      <c r="D41" t="n">
        <v>26</v>
      </c>
      <c r="E41" t="n">
        <v>10</v>
      </c>
      <c r="F41" t="n">
        <v>5.18</v>
      </c>
      <c r="G41" t="n">
        <v>28.1</v>
      </c>
      <c r="H41" t="n">
        <v>0.921</v>
      </c>
      <c r="I41" t="n">
        <v>8.5</v>
      </c>
    </row>
    <row r="42">
      <c r="A42" t="inlineStr">
        <is>
          <t>R041</t>
        </is>
      </c>
      <c r="B42" t="inlineStr">
        <is>
          <t>S008</t>
        </is>
      </c>
      <c r="C42" t="inlineStr">
        <is>
          <t>EV scooter</t>
        </is>
      </c>
      <c r="D42" t="n">
        <v>38</v>
      </c>
      <c r="E42" t="n">
        <v>8</v>
      </c>
      <c r="F42" t="n">
        <v>4.42</v>
      </c>
      <c r="G42" t="n">
        <v>17.6</v>
      </c>
      <c r="H42" t="n">
        <v>0.914</v>
      </c>
      <c r="I42" t="n">
        <v>8.300000000000001</v>
      </c>
    </row>
    <row r="43">
      <c r="A43" t="inlineStr">
        <is>
          <t>R042</t>
        </is>
      </c>
      <c r="B43" t="inlineStr">
        <is>
          <t>S015</t>
        </is>
      </c>
      <c r="C43" t="inlineStr">
        <is>
          <t>EV scooter</t>
        </is>
      </c>
      <c r="D43" t="n">
        <v>11</v>
      </c>
      <c r="E43" t="n">
        <v>13</v>
      </c>
      <c r="F43" t="n">
        <v>4.33</v>
      </c>
      <c r="G43" t="n">
        <v>10.3</v>
      </c>
      <c r="H43" t="n">
        <v>0.8080000000000001</v>
      </c>
      <c r="I43" t="n">
        <v>1.5</v>
      </c>
    </row>
    <row r="44">
      <c r="A44" t="inlineStr">
        <is>
          <t>R043</t>
        </is>
      </c>
      <c r="B44" t="inlineStr">
        <is>
          <t>S019</t>
        </is>
      </c>
      <c r="C44" t="inlineStr">
        <is>
          <t>EV scooter</t>
        </is>
      </c>
      <c r="D44" t="n">
        <v>37</v>
      </c>
      <c r="E44" t="n">
        <v>14</v>
      </c>
      <c r="F44" t="n">
        <v>2.8</v>
      </c>
      <c r="G44" t="n">
        <v>44.8</v>
      </c>
      <c r="H44" t="n">
        <v>0.911</v>
      </c>
      <c r="I44" t="n">
        <v>1.7</v>
      </c>
    </row>
    <row r="45">
      <c r="A45" t="inlineStr">
        <is>
          <t>R044</t>
        </is>
      </c>
      <c r="B45" t="inlineStr">
        <is>
          <t>S006</t>
        </is>
      </c>
      <c r="C45" t="inlineStr">
        <is>
          <t>Petrol scooter</t>
        </is>
      </c>
      <c r="D45" t="n">
        <v>32</v>
      </c>
      <c r="E45" t="n">
        <v>12</v>
      </c>
      <c r="F45" t="n">
        <v>1.69</v>
      </c>
      <c r="G45" t="n">
        <v>45</v>
      </c>
      <c r="H45" t="n">
        <v>0.8</v>
      </c>
      <c r="I45" t="n">
        <v>5.5</v>
      </c>
    </row>
    <row r="46">
      <c r="A46" t="inlineStr">
        <is>
          <t>R045</t>
        </is>
      </c>
      <c r="B46" t="inlineStr">
        <is>
          <t>S001</t>
        </is>
      </c>
      <c r="C46" t="inlineStr">
        <is>
          <t>EV scooter</t>
        </is>
      </c>
      <c r="D46" t="n">
        <v>24</v>
      </c>
      <c r="E46" t="n">
        <v>17</v>
      </c>
      <c r="F46" t="n">
        <v>3.07</v>
      </c>
      <c r="G46" t="n">
        <v>66.40000000000001</v>
      </c>
      <c r="H46" t="n">
        <v>0.918</v>
      </c>
      <c r="I46" t="n">
        <v>2.3</v>
      </c>
    </row>
    <row r="47">
      <c r="A47" t="inlineStr">
        <is>
          <t>R046</t>
        </is>
      </c>
      <c r="B47" t="inlineStr">
        <is>
          <t>S016</t>
        </is>
      </c>
      <c r="C47" t="inlineStr">
        <is>
          <t>EV scooter</t>
        </is>
      </c>
      <c r="D47" t="n">
        <v>45</v>
      </c>
      <c r="E47" t="n">
        <v>10</v>
      </c>
      <c r="F47" t="n">
        <v>4.55</v>
      </c>
      <c r="G47" t="n">
        <v>27.8</v>
      </c>
      <c r="H47" t="n">
        <v>0.923</v>
      </c>
      <c r="I47" t="n">
        <v>6.4</v>
      </c>
    </row>
    <row r="48">
      <c r="A48" t="inlineStr">
        <is>
          <t>R047</t>
        </is>
      </c>
      <c r="B48" t="inlineStr">
        <is>
          <t>S019</t>
        </is>
      </c>
      <c r="C48" t="inlineStr">
        <is>
          <t>Bicycle</t>
        </is>
      </c>
      <c r="D48" t="n">
        <v>2</v>
      </c>
      <c r="E48" t="n">
        <v>6</v>
      </c>
      <c r="F48" t="n">
        <v>2.88</v>
      </c>
      <c r="G48" t="n">
        <v>64.8</v>
      </c>
      <c r="H48" t="n">
        <v>0.953</v>
      </c>
      <c r="I48" t="n">
        <v>4.3</v>
      </c>
    </row>
    <row r="49">
      <c r="A49" t="inlineStr">
        <is>
          <t>R048</t>
        </is>
      </c>
      <c r="B49" t="inlineStr">
        <is>
          <t>S019</t>
        </is>
      </c>
      <c r="C49" t="inlineStr">
        <is>
          <t>Petrol scooter</t>
        </is>
      </c>
      <c r="D49" t="n">
        <v>42</v>
      </c>
      <c r="E49" t="n">
        <v>9</v>
      </c>
      <c r="F49" t="n">
        <v>1.82</v>
      </c>
      <c r="G49" t="n">
        <v>5</v>
      </c>
      <c r="H49" t="n">
        <v>0.843</v>
      </c>
      <c r="I49" t="n">
        <v>5</v>
      </c>
    </row>
    <row r="50">
      <c r="A50" t="inlineStr">
        <is>
          <t>R049</t>
        </is>
      </c>
      <c r="B50" t="inlineStr">
        <is>
          <t>S012</t>
        </is>
      </c>
      <c r="C50" t="inlineStr">
        <is>
          <t>EV scooter</t>
        </is>
      </c>
      <c r="D50" t="n">
        <v>45</v>
      </c>
      <c r="E50" t="n">
        <v>9</v>
      </c>
      <c r="F50" t="n">
        <v>3.48</v>
      </c>
      <c r="G50" t="n">
        <v>40.3</v>
      </c>
      <c r="H50" t="n">
        <v>0.763</v>
      </c>
      <c r="I50" t="n">
        <v>5.7</v>
      </c>
    </row>
    <row r="51">
      <c r="A51" t="inlineStr">
        <is>
          <t>R050</t>
        </is>
      </c>
      <c r="B51" t="inlineStr">
        <is>
          <t>S011</t>
        </is>
      </c>
      <c r="C51" t="inlineStr">
        <is>
          <t>Petrol scooter</t>
        </is>
      </c>
      <c r="D51" t="n">
        <v>10</v>
      </c>
      <c r="E51" t="n">
        <v>12</v>
      </c>
      <c r="F51" t="n">
        <v>2.2</v>
      </c>
      <c r="G51" t="n">
        <v>31.6</v>
      </c>
      <c r="H51" t="n">
        <v>0.786</v>
      </c>
      <c r="I51" t="n">
        <v>3.1</v>
      </c>
    </row>
    <row r="52">
      <c r="A52" t="inlineStr">
        <is>
          <t>R051</t>
        </is>
      </c>
      <c r="B52" t="inlineStr">
        <is>
          <t>S001</t>
        </is>
      </c>
      <c r="C52" t="inlineStr">
        <is>
          <t>Petrol scooter</t>
        </is>
      </c>
      <c r="D52" t="n">
        <v>29</v>
      </c>
      <c r="E52" t="n">
        <v>13</v>
      </c>
      <c r="F52" t="n">
        <v>2.44</v>
      </c>
      <c r="G52" t="n">
        <v>24.8</v>
      </c>
      <c r="H52" t="n">
        <v>0.966</v>
      </c>
      <c r="I52" t="n">
        <v>3</v>
      </c>
    </row>
    <row r="53">
      <c r="A53" t="inlineStr">
        <is>
          <t>R052</t>
        </is>
      </c>
      <c r="B53" t="inlineStr">
        <is>
          <t>S007</t>
        </is>
      </c>
      <c r="C53" t="inlineStr">
        <is>
          <t>EV scooter</t>
        </is>
      </c>
      <c r="D53" t="n">
        <v>39</v>
      </c>
      <c r="E53" t="n">
        <v>14</v>
      </c>
      <c r="F53" t="n">
        <v>3.61</v>
      </c>
      <c r="G53" t="n">
        <v>14.2</v>
      </c>
      <c r="H53" t="n">
        <v>0.784</v>
      </c>
      <c r="I53" t="n">
        <v>4</v>
      </c>
    </row>
    <row r="54">
      <c r="A54" t="inlineStr">
        <is>
          <t>R053</t>
        </is>
      </c>
      <c r="B54" t="inlineStr">
        <is>
          <t>S019</t>
        </is>
      </c>
      <c r="C54" t="inlineStr">
        <is>
          <t>EV scooter</t>
        </is>
      </c>
      <c r="D54" t="n">
        <v>36</v>
      </c>
      <c r="E54" t="n">
        <v>6</v>
      </c>
      <c r="F54" t="n">
        <v>2.37</v>
      </c>
      <c r="G54" t="n">
        <v>9.1</v>
      </c>
      <c r="H54" t="n">
        <v>0.982</v>
      </c>
      <c r="I54" t="n">
        <v>2.6</v>
      </c>
    </row>
    <row r="55">
      <c r="A55" t="inlineStr">
        <is>
          <t>R054</t>
        </is>
      </c>
      <c r="B55" t="inlineStr">
        <is>
          <t>S010</t>
        </is>
      </c>
      <c r="C55" t="inlineStr">
        <is>
          <t>EV scooter</t>
        </is>
      </c>
      <c r="D55" t="n">
        <v>36</v>
      </c>
      <c r="E55" t="n">
        <v>17</v>
      </c>
      <c r="F55" t="n">
        <v>2.02</v>
      </c>
      <c r="G55" t="n">
        <v>60.6</v>
      </c>
      <c r="H55" t="n">
        <v>0.83</v>
      </c>
      <c r="I55" t="n">
        <v>4.8</v>
      </c>
    </row>
    <row r="56">
      <c r="A56" t="inlineStr">
        <is>
          <t>R055</t>
        </is>
      </c>
      <c r="B56" t="inlineStr">
        <is>
          <t>S012</t>
        </is>
      </c>
      <c r="C56" t="inlineStr">
        <is>
          <t>EV scooter</t>
        </is>
      </c>
      <c r="D56" t="n">
        <v>9</v>
      </c>
      <c r="E56" t="n">
        <v>6</v>
      </c>
      <c r="F56" t="n">
        <v>2.39</v>
      </c>
      <c r="G56" t="n">
        <v>44.2</v>
      </c>
      <c r="H56" t="n">
        <v>0.845</v>
      </c>
      <c r="I56" t="n">
        <v>3.7</v>
      </c>
    </row>
    <row r="57">
      <c r="A57" t="inlineStr">
        <is>
          <t>R056</t>
        </is>
      </c>
      <c r="B57" t="inlineStr">
        <is>
          <t>S006</t>
        </is>
      </c>
      <c r="C57" t="inlineStr">
        <is>
          <t>EV scooter</t>
        </is>
      </c>
      <c r="D57" t="n">
        <v>36</v>
      </c>
      <c r="E57" t="n">
        <v>15</v>
      </c>
      <c r="F57" t="n">
        <v>1.93</v>
      </c>
      <c r="G57" t="n">
        <v>66.5</v>
      </c>
      <c r="H57" t="n">
        <v>0.825</v>
      </c>
      <c r="I57" t="n">
        <v>3.5</v>
      </c>
    </row>
    <row r="58">
      <c r="A58" t="inlineStr">
        <is>
          <t>R057</t>
        </is>
      </c>
      <c r="B58" t="inlineStr">
        <is>
          <t>S017</t>
        </is>
      </c>
      <c r="C58" t="inlineStr">
        <is>
          <t>Petrol scooter</t>
        </is>
      </c>
      <c r="D58" t="n">
        <v>11</v>
      </c>
      <c r="E58" t="n">
        <v>17</v>
      </c>
      <c r="F58" t="n">
        <v>1.7</v>
      </c>
      <c r="G58" t="n">
        <v>60.1</v>
      </c>
      <c r="H58" t="n">
        <v>0.967</v>
      </c>
      <c r="I58" t="n">
        <v>1.3</v>
      </c>
    </row>
    <row r="59">
      <c r="A59" t="inlineStr">
        <is>
          <t>R058</t>
        </is>
      </c>
      <c r="B59" t="inlineStr">
        <is>
          <t>S011</t>
        </is>
      </c>
      <c r="C59" t="inlineStr">
        <is>
          <t>EV scooter</t>
        </is>
      </c>
      <c r="D59" t="n">
        <v>14</v>
      </c>
      <c r="E59" t="n">
        <v>15</v>
      </c>
      <c r="F59" t="n">
        <v>3.23</v>
      </c>
      <c r="G59" t="n">
        <v>46.6</v>
      </c>
      <c r="H59" t="n">
        <v>0.962</v>
      </c>
      <c r="I59" t="n">
        <v>4.5</v>
      </c>
    </row>
    <row r="60">
      <c r="A60" t="inlineStr">
        <is>
          <t>R059</t>
        </is>
      </c>
      <c r="B60" t="inlineStr">
        <is>
          <t>S004</t>
        </is>
      </c>
      <c r="C60" t="inlineStr">
        <is>
          <t>Petrol scooter</t>
        </is>
      </c>
      <c r="D60" t="n">
        <v>15</v>
      </c>
      <c r="E60" t="n">
        <v>15</v>
      </c>
      <c r="F60" t="n">
        <v>2.11</v>
      </c>
      <c r="G60" t="n">
        <v>53</v>
      </c>
      <c r="H60" t="n">
        <v>0.946</v>
      </c>
      <c r="I60" t="n">
        <v>3.2</v>
      </c>
    </row>
    <row r="61">
      <c r="A61" t="inlineStr">
        <is>
          <t>R060</t>
        </is>
      </c>
      <c r="B61" t="inlineStr">
        <is>
          <t>S017</t>
        </is>
      </c>
      <c r="C61" t="inlineStr">
        <is>
          <t>Petrol scooter</t>
        </is>
      </c>
      <c r="D61" t="n">
        <v>30</v>
      </c>
      <c r="E61" t="n">
        <v>14</v>
      </c>
      <c r="F61" t="n">
        <v>2.67</v>
      </c>
      <c r="G61" t="n">
        <v>29.9</v>
      </c>
      <c r="H61" t="n">
        <v>0.897</v>
      </c>
      <c r="I61" t="n">
        <v>2.6</v>
      </c>
    </row>
    <row r="62">
      <c r="A62" t="inlineStr">
        <is>
          <t>R061</t>
        </is>
      </c>
      <c r="B62" t="inlineStr">
        <is>
          <t>S010</t>
        </is>
      </c>
      <c r="C62" t="inlineStr">
        <is>
          <t>EV scooter</t>
        </is>
      </c>
      <c r="D62" t="n">
        <v>4</v>
      </c>
      <c r="E62" t="n">
        <v>5</v>
      </c>
      <c r="F62" t="n">
        <v>3.88</v>
      </c>
      <c r="G62" t="n">
        <v>46.8</v>
      </c>
      <c r="H62" t="n">
        <v>0.829</v>
      </c>
      <c r="I62" t="n">
        <v>3</v>
      </c>
    </row>
    <row r="63">
      <c r="A63" t="inlineStr">
        <is>
          <t>R062</t>
        </is>
      </c>
      <c r="B63" t="inlineStr">
        <is>
          <t>S001</t>
        </is>
      </c>
      <c r="C63" t="inlineStr">
        <is>
          <t>Petrol scooter</t>
        </is>
      </c>
      <c r="D63" t="n">
        <v>48</v>
      </c>
      <c r="E63" t="n">
        <v>12</v>
      </c>
      <c r="F63" t="n">
        <v>1.43</v>
      </c>
      <c r="G63" t="n">
        <v>17.5</v>
      </c>
      <c r="H63" t="n">
        <v>0.78</v>
      </c>
      <c r="I63" t="n">
        <v>5.2</v>
      </c>
    </row>
    <row r="64">
      <c r="A64" t="inlineStr">
        <is>
          <t>R063</t>
        </is>
      </c>
      <c r="B64" t="inlineStr">
        <is>
          <t>S005</t>
        </is>
      </c>
      <c r="C64" t="inlineStr">
        <is>
          <t>EV scooter</t>
        </is>
      </c>
      <c r="D64" t="n">
        <v>18</v>
      </c>
      <c r="E64" t="n">
        <v>10</v>
      </c>
      <c r="F64" t="n">
        <v>1.2</v>
      </c>
      <c r="G64" t="n">
        <v>39</v>
      </c>
      <c r="H64" t="n">
        <v>0.885</v>
      </c>
      <c r="I64" t="n">
        <v>3.2</v>
      </c>
    </row>
    <row r="65">
      <c r="A65" t="inlineStr">
        <is>
          <t>R064</t>
        </is>
      </c>
      <c r="B65" t="inlineStr">
        <is>
          <t>S005</t>
        </is>
      </c>
      <c r="C65" t="inlineStr">
        <is>
          <t>EV scooter</t>
        </is>
      </c>
      <c r="D65" t="n">
        <v>45</v>
      </c>
      <c r="E65" t="n">
        <v>16</v>
      </c>
      <c r="F65" t="n">
        <v>5.06</v>
      </c>
      <c r="G65" t="n">
        <v>61.2</v>
      </c>
      <c r="H65" t="n">
        <v>0.763</v>
      </c>
      <c r="I65" t="n">
        <v>4.4</v>
      </c>
    </row>
    <row r="66">
      <c r="A66" t="inlineStr">
        <is>
          <t>R065</t>
        </is>
      </c>
      <c r="B66" t="inlineStr">
        <is>
          <t>S010</t>
        </is>
      </c>
      <c r="C66" t="inlineStr">
        <is>
          <t>EV scooter</t>
        </is>
      </c>
      <c r="D66" t="n">
        <v>41</v>
      </c>
      <c r="E66" t="n">
        <v>10</v>
      </c>
      <c r="F66" t="n">
        <v>4.17</v>
      </c>
      <c r="G66" t="n">
        <v>19.7</v>
      </c>
      <c r="H66" t="n">
        <v>0.742</v>
      </c>
      <c r="I66" t="n">
        <v>8.9</v>
      </c>
    </row>
    <row r="67">
      <c r="A67" t="inlineStr">
        <is>
          <t>R066</t>
        </is>
      </c>
      <c r="B67" t="inlineStr">
        <is>
          <t>S020</t>
        </is>
      </c>
      <c r="C67" t="inlineStr">
        <is>
          <t>Petrol scooter</t>
        </is>
      </c>
      <c r="D67" t="n">
        <v>4</v>
      </c>
      <c r="E67" t="n">
        <v>17</v>
      </c>
      <c r="F67" t="n">
        <v>4.33</v>
      </c>
      <c r="G67" t="n">
        <v>15.9</v>
      </c>
      <c r="H67" t="n">
        <v>0.8120000000000001</v>
      </c>
      <c r="I67" t="n">
        <v>8.9</v>
      </c>
    </row>
    <row r="68">
      <c r="A68" t="inlineStr">
        <is>
          <t>R067</t>
        </is>
      </c>
      <c r="B68" t="inlineStr">
        <is>
          <t>S009</t>
        </is>
      </c>
      <c r="C68" t="inlineStr">
        <is>
          <t>Petrol scooter</t>
        </is>
      </c>
      <c r="D68" t="n">
        <v>44</v>
      </c>
      <c r="E68" t="n">
        <v>12</v>
      </c>
      <c r="F68" t="n">
        <v>1.24</v>
      </c>
      <c r="G68" t="n">
        <v>5.9</v>
      </c>
      <c r="H68" t="n">
        <v>0.945</v>
      </c>
      <c r="I68" t="n">
        <v>4.1</v>
      </c>
    </row>
    <row r="69">
      <c r="A69" t="inlineStr">
        <is>
          <t>R068</t>
        </is>
      </c>
      <c r="B69" t="inlineStr">
        <is>
          <t>S009</t>
        </is>
      </c>
      <c r="C69" t="inlineStr">
        <is>
          <t>Bicycle</t>
        </is>
      </c>
      <c r="D69" t="n">
        <v>26</v>
      </c>
      <c r="E69" t="n">
        <v>10</v>
      </c>
      <c r="F69" t="n">
        <v>4.18</v>
      </c>
      <c r="G69" t="n">
        <v>44.4</v>
      </c>
      <c r="H69" t="n">
        <v>0.855</v>
      </c>
      <c r="I69" t="n">
        <v>4.8</v>
      </c>
    </row>
    <row r="70">
      <c r="A70" t="inlineStr">
        <is>
          <t>R069</t>
        </is>
      </c>
      <c r="B70" t="inlineStr">
        <is>
          <t>S016</t>
        </is>
      </c>
      <c r="C70" t="inlineStr">
        <is>
          <t>EV scooter</t>
        </is>
      </c>
      <c r="D70" t="n">
        <v>12</v>
      </c>
      <c r="E70" t="n">
        <v>11</v>
      </c>
      <c r="F70" t="n">
        <v>1.47</v>
      </c>
      <c r="G70" t="n">
        <v>36.6</v>
      </c>
      <c r="H70" t="n">
        <v>0.778</v>
      </c>
      <c r="I70" t="n">
        <v>5.6</v>
      </c>
    </row>
    <row r="71">
      <c r="A71" t="inlineStr">
        <is>
          <t>R070</t>
        </is>
      </c>
      <c r="B71" t="inlineStr">
        <is>
          <t>S014</t>
        </is>
      </c>
      <c r="C71" t="inlineStr">
        <is>
          <t>Petrol scooter</t>
        </is>
      </c>
      <c r="D71" t="n">
        <v>40</v>
      </c>
      <c r="E71" t="n">
        <v>16</v>
      </c>
      <c r="F71" t="n">
        <v>3.87</v>
      </c>
      <c r="G71" t="n">
        <v>20</v>
      </c>
      <c r="H71" t="n">
        <v>0.902</v>
      </c>
      <c r="I71" t="n">
        <v>5.1</v>
      </c>
    </row>
    <row r="72">
      <c r="A72" t="inlineStr">
        <is>
          <t>R071</t>
        </is>
      </c>
      <c r="B72" t="inlineStr">
        <is>
          <t>S016</t>
        </is>
      </c>
      <c r="C72" t="inlineStr">
        <is>
          <t>Petrol scooter</t>
        </is>
      </c>
      <c r="D72" t="n">
        <v>20</v>
      </c>
      <c r="E72" t="n">
        <v>10</v>
      </c>
      <c r="F72" t="n">
        <v>1.29</v>
      </c>
      <c r="G72" t="n">
        <v>5.5</v>
      </c>
      <c r="H72" t="n">
        <v>0.887</v>
      </c>
      <c r="I72" t="n">
        <v>7.2</v>
      </c>
    </row>
    <row r="73">
      <c r="A73" t="inlineStr">
        <is>
          <t>R072</t>
        </is>
      </c>
      <c r="B73" t="inlineStr">
        <is>
          <t>S013</t>
        </is>
      </c>
      <c r="C73" t="inlineStr">
        <is>
          <t>Petrol scooter</t>
        </is>
      </c>
      <c r="D73" t="n">
        <v>13</v>
      </c>
      <c r="E73" t="n">
        <v>15</v>
      </c>
      <c r="F73" t="n">
        <v>5.07</v>
      </c>
      <c r="G73" t="n">
        <v>56</v>
      </c>
      <c r="H73" t="n">
        <v>0.899</v>
      </c>
      <c r="I73" t="n">
        <v>6.9</v>
      </c>
    </row>
    <row r="74">
      <c r="A74" t="inlineStr">
        <is>
          <t>R073</t>
        </is>
      </c>
      <c r="B74" t="inlineStr">
        <is>
          <t>S012</t>
        </is>
      </c>
      <c r="C74" t="inlineStr">
        <is>
          <t>EV scooter</t>
        </is>
      </c>
      <c r="D74" t="n">
        <v>27</v>
      </c>
      <c r="E74" t="n">
        <v>13</v>
      </c>
      <c r="F74" t="n">
        <v>4.19</v>
      </c>
      <c r="G74" t="n">
        <v>31</v>
      </c>
      <c r="H74" t="n">
        <v>0.79</v>
      </c>
      <c r="I74" t="n">
        <v>4.2</v>
      </c>
    </row>
    <row r="75">
      <c r="A75" t="inlineStr">
        <is>
          <t>R074</t>
        </is>
      </c>
      <c r="B75" t="inlineStr">
        <is>
          <t>S001</t>
        </is>
      </c>
      <c r="C75" t="inlineStr">
        <is>
          <t>Petrol scooter</t>
        </is>
      </c>
      <c r="D75" t="n">
        <v>44</v>
      </c>
      <c r="E75" t="n">
        <v>9</v>
      </c>
      <c r="F75" t="n">
        <v>3.33</v>
      </c>
      <c r="G75" t="n">
        <v>19</v>
      </c>
      <c r="H75" t="n">
        <v>0.778</v>
      </c>
      <c r="I75" t="n">
        <v>4.7</v>
      </c>
    </row>
    <row r="76">
      <c r="A76" t="inlineStr">
        <is>
          <t>R075</t>
        </is>
      </c>
      <c r="B76" t="inlineStr">
        <is>
          <t>S019</t>
        </is>
      </c>
      <c r="C76" t="inlineStr">
        <is>
          <t>Petrol scooter</t>
        </is>
      </c>
      <c r="D76" t="n">
        <v>37</v>
      </c>
      <c r="E76" t="n">
        <v>9</v>
      </c>
      <c r="F76" t="n">
        <v>5.21</v>
      </c>
      <c r="G76" t="n">
        <v>48.8</v>
      </c>
      <c r="H76" t="n">
        <v>0.947</v>
      </c>
      <c r="I76" t="n">
        <v>5.3</v>
      </c>
    </row>
    <row r="77">
      <c r="A77" t="inlineStr">
        <is>
          <t>R076</t>
        </is>
      </c>
      <c r="B77" t="inlineStr">
        <is>
          <t>S007</t>
        </is>
      </c>
      <c r="C77" t="inlineStr">
        <is>
          <t>Petrol scooter</t>
        </is>
      </c>
      <c r="D77" t="n">
        <v>15</v>
      </c>
      <c r="E77" t="n">
        <v>6</v>
      </c>
      <c r="F77" t="n">
        <v>2.33</v>
      </c>
      <c r="G77" t="n">
        <v>27.3</v>
      </c>
      <c r="H77" t="n">
        <v>0.9320000000000001</v>
      </c>
      <c r="I77" t="n">
        <v>4.7</v>
      </c>
    </row>
    <row r="78">
      <c r="A78" t="inlineStr">
        <is>
          <t>R077</t>
        </is>
      </c>
      <c r="B78" t="inlineStr">
        <is>
          <t>S015</t>
        </is>
      </c>
      <c r="C78" t="inlineStr">
        <is>
          <t>EV scooter</t>
        </is>
      </c>
      <c r="D78" t="n">
        <v>33</v>
      </c>
      <c r="E78" t="n">
        <v>16</v>
      </c>
      <c r="F78" t="n">
        <v>1.01</v>
      </c>
      <c r="G78" t="n">
        <v>6.2</v>
      </c>
      <c r="H78" t="n">
        <v>0.837</v>
      </c>
      <c r="I78" t="n">
        <v>5.5</v>
      </c>
    </row>
    <row r="79">
      <c r="A79" t="inlineStr">
        <is>
          <t>R078</t>
        </is>
      </c>
      <c r="B79" t="inlineStr">
        <is>
          <t>S009</t>
        </is>
      </c>
      <c r="C79" t="inlineStr">
        <is>
          <t>EV scooter</t>
        </is>
      </c>
      <c r="D79" t="n">
        <v>38</v>
      </c>
      <c r="E79" t="n">
        <v>13</v>
      </c>
      <c r="F79" t="n">
        <v>4.59</v>
      </c>
      <c r="G79" t="n">
        <v>68.8</v>
      </c>
      <c r="H79" t="n">
        <v>0.828</v>
      </c>
      <c r="I79" t="n">
        <v>7.7</v>
      </c>
    </row>
    <row r="80">
      <c r="A80" t="inlineStr">
        <is>
          <t>R079</t>
        </is>
      </c>
      <c r="B80" t="inlineStr">
        <is>
          <t>S007</t>
        </is>
      </c>
      <c r="C80" t="inlineStr">
        <is>
          <t>Petrol scooter</t>
        </is>
      </c>
      <c r="D80" t="n">
        <v>1</v>
      </c>
      <c r="E80" t="n">
        <v>17</v>
      </c>
      <c r="F80" t="n">
        <v>4.29</v>
      </c>
      <c r="G80" t="n">
        <v>60.4</v>
      </c>
      <c r="H80" t="n">
        <v>0.868</v>
      </c>
      <c r="I80" t="n">
        <v>2.4</v>
      </c>
    </row>
    <row r="81">
      <c r="A81" t="inlineStr">
        <is>
          <t>R080</t>
        </is>
      </c>
      <c r="B81" t="inlineStr">
        <is>
          <t>S009</t>
        </is>
      </c>
      <c r="C81" t="inlineStr">
        <is>
          <t>Bicycle</t>
        </is>
      </c>
      <c r="D81" t="n">
        <v>40</v>
      </c>
      <c r="E81" t="n">
        <v>9</v>
      </c>
      <c r="F81" t="n">
        <v>2.85</v>
      </c>
      <c r="G81" t="n">
        <v>49.2</v>
      </c>
      <c r="H81" t="n">
        <v>0.77</v>
      </c>
      <c r="I81" t="n">
        <v>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81"/>
  <sheetViews>
    <sheetView tabSelected="0"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day_of_week</t>
        </is>
      </c>
      <c r="E1" s="1" t="inlineStr">
        <is>
          <t>orders_placed_in_hour</t>
        </is>
      </c>
      <c r="F1" s="1" t="inlineStr">
        <is>
          <t>is_peak_window</t>
        </is>
      </c>
      <c r="G1" s="1" t="inlineStr">
        <is>
          <t>rain_condition</t>
        </is>
      </c>
      <c r="H1" s="1" t="inlineStr">
        <is>
          <t>event_day</t>
        </is>
      </c>
    </row>
    <row r="2">
      <c r="A2" t="inlineStr">
        <is>
          <t>S001</t>
        </is>
      </c>
      <c r="B2" s="3" t="n">
        <v>46266</v>
      </c>
      <c r="C2" t="n">
        <v>8</v>
      </c>
      <c r="D2" t="inlineStr">
        <is>
          <t>Tuesday</t>
        </is>
      </c>
      <c r="E2" t="n">
        <v>10</v>
      </c>
      <c r="F2" t="b">
        <v>0</v>
      </c>
      <c r="H2" t="b">
        <v>0</v>
      </c>
    </row>
    <row r="3">
      <c r="A3" t="inlineStr">
        <is>
          <t>S001</t>
        </is>
      </c>
      <c r="B3" s="3" t="n">
        <v>46266</v>
      </c>
      <c r="C3" t="n">
        <v>9</v>
      </c>
      <c r="D3" t="inlineStr">
        <is>
          <t>Tuesday</t>
        </is>
      </c>
      <c r="E3" t="n">
        <v>6</v>
      </c>
      <c r="F3" t="b">
        <v>0</v>
      </c>
      <c r="H3" t="b">
        <v>0</v>
      </c>
    </row>
    <row r="4">
      <c r="A4" t="inlineStr">
        <is>
          <t>S001</t>
        </is>
      </c>
      <c r="B4" s="3" t="n">
        <v>46266</v>
      </c>
      <c r="C4" t="n">
        <v>10</v>
      </c>
      <c r="D4" t="inlineStr">
        <is>
          <t>Tuesday</t>
        </is>
      </c>
      <c r="E4" t="n">
        <v>16</v>
      </c>
      <c r="F4" t="b">
        <v>0</v>
      </c>
      <c r="G4" t="inlineStr">
        <is>
          <t>Heavy</t>
        </is>
      </c>
      <c r="H4" t="b">
        <v>0</v>
      </c>
    </row>
    <row r="5">
      <c r="A5" t="inlineStr">
        <is>
          <t>S001</t>
        </is>
      </c>
      <c r="B5" s="3" t="n">
        <v>46266</v>
      </c>
      <c r="C5" t="n">
        <v>11</v>
      </c>
      <c r="D5" t="inlineStr">
        <is>
          <t>Tuesday</t>
        </is>
      </c>
      <c r="E5" t="n">
        <v>24</v>
      </c>
      <c r="F5" t="b">
        <v>0</v>
      </c>
      <c r="H5" t="b">
        <v>0</v>
      </c>
    </row>
    <row r="6">
      <c r="A6" t="inlineStr">
        <is>
          <t>S001</t>
        </is>
      </c>
      <c r="B6" s="3" t="n">
        <v>46266</v>
      </c>
      <c r="C6" t="n">
        <v>12</v>
      </c>
      <c r="D6" t="inlineStr">
        <is>
          <t>Tuesday</t>
        </is>
      </c>
      <c r="E6" t="n">
        <v>12</v>
      </c>
      <c r="F6" t="b">
        <v>0</v>
      </c>
      <c r="G6" t="inlineStr">
        <is>
          <t>Light</t>
        </is>
      </c>
      <c r="H6" t="b">
        <v>0</v>
      </c>
    </row>
    <row r="7">
      <c r="A7" t="inlineStr">
        <is>
          <t>S001</t>
        </is>
      </c>
      <c r="B7" s="3" t="n">
        <v>46266</v>
      </c>
      <c r="C7" t="n">
        <v>13</v>
      </c>
      <c r="D7" t="inlineStr">
        <is>
          <t>Tuesday</t>
        </is>
      </c>
      <c r="E7" t="n">
        <v>19</v>
      </c>
      <c r="F7" t="b">
        <v>0</v>
      </c>
      <c r="G7" t="inlineStr">
        <is>
          <t>Heavy</t>
        </is>
      </c>
      <c r="H7" t="b">
        <v>0</v>
      </c>
    </row>
    <row r="8">
      <c r="A8" t="inlineStr">
        <is>
          <t>S001</t>
        </is>
      </c>
      <c r="B8" s="3" t="n">
        <v>46266</v>
      </c>
      <c r="C8" t="n">
        <v>14</v>
      </c>
      <c r="D8" t="inlineStr">
        <is>
          <t>Tuesday</t>
        </is>
      </c>
      <c r="E8" t="n">
        <v>12</v>
      </c>
      <c r="F8" t="b">
        <v>0</v>
      </c>
      <c r="G8" t="inlineStr">
        <is>
          <t>Light</t>
        </is>
      </c>
      <c r="H8" t="b">
        <v>0</v>
      </c>
    </row>
    <row r="9">
      <c r="A9" t="inlineStr">
        <is>
          <t>S001</t>
        </is>
      </c>
      <c r="B9" s="3" t="n">
        <v>46266</v>
      </c>
      <c r="C9" t="n">
        <v>15</v>
      </c>
      <c r="D9" t="inlineStr">
        <is>
          <t>Tuesday</t>
        </is>
      </c>
      <c r="E9" t="n">
        <v>15</v>
      </c>
      <c r="F9" t="b">
        <v>0</v>
      </c>
      <c r="G9" t="inlineStr">
        <is>
          <t>Light</t>
        </is>
      </c>
      <c r="H9" t="b">
        <v>0</v>
      </c>
    </row>
    <row r="10">
      <c r="A10" t="inlineStr">
        <is>
          <t>S001</t>
        </is>
      </c>
      <c r="B10" s="3" t="n">
        <v>46266</v>
      </c>
      <c r="C10" t="n">
        <v>16</v>
      </c>
      <c r="D10" t="inlineStr">
        <is>
          <t>Tuesday</t>
        </is>
      </c>
      <c r="E10" t="n">
        <v>21</v>
      </c>
      <c r="F10" t="b">
        <v>0</v>
      </c>
      <c r="G10" t="inlineStr">
        <is>
          <t>Light</t>
        </is>
      </c>
      <c r="H10" t="b">
        <v>0</v>
      </c>
    </row>
    <row r="11">
      <c r="A11" t="inlineStr">
        <is>
          <t>S001</t>
        </is>
      </c>
      <c r="B11" s="3" t="n">
        <v>46266</v>
      </c>
      <c r="C11" t="n">
        <v>17</v>
      </c>
      <c r="D11" t="inlineStr">
        <is>
          <t>Tuesday</t>
        </is>
      </c>
      <c r="E11" t="n">
        <v>8</v>
      </c>
      <c r="F11" t="b">
        <v>0</v>
      </c>
      <c r="H11" t="b">
        <v>0</v>
      </c>
    </row>
    <row r="12">
      <c r="A12" t="inlineStr">
        <is>
          <t>S001</t>
        </is>
      </c>
      <c r="B12" s="3" t="n">
        <v>46266</v>
      </c>
      <c r="C12" t="n">
        <v>18</v>
      </c>
      <c r="D12" t="inlineStr">
        <is>
          <t>Tuesday</t>
        </is>
      </c>
      <c r="E12" t="n">
        <v>18</v>
      </c>
      <c r="F12" t="b">
        <v>0</v>
      </c>
      <c r="G12" t="inlineStr">
        <is>
          <t>Heavy</t>
        </is>
      </c>
      <c r="H12" t="b">
        <v>0</v>
      </c>
    </row>
    <row r="13">
      <c r="A13" t="inlineStr">
        <is>
          <t>S001</t>
        </is>
      </c>
      <c r="B13" s="3" t="n">
        <v>46266</v>
      </c>
      <c r="C13" t="n">
        <v>19</v>
      </c>
      <c r="D13" t="inlineStr">
        <is>
          <t>Tuesday</t>
        </is>
      </c>
      <c r="E13" t="n">
        <v>32</v>
      </c>
      <c r="F13" t="b">
        <v>1</v>
      </c>
      <c r="H13" t="b">
        <v>0</v>
      </c>
    </row>
    <row r="14">
      <c r="A14" t="inlineStr">
        <is>
          <t>S001</t>
        </is>
      </c>
      <c r="B14" s="3" t="n">
        <v>46266</v>
      </c>
      <c r="C14" t="n">
        <v>20</v>
      </c>
      <c r="D14" t="inlineStr">
        <is>
          <t>Tuesday</t>
        </is>
      </c>
      <c r="E14" t="n">
        <v>24</v>
      </c>
      <c r="F14" t="b">
        <v>1</v>
      </c>
      <c r="H14" t="b">
        <v>0</v>
      </c>
    </row>
    <row r="15">
      <c r="A15" t="inlineStr">
        <is>
          <t>S001</t>
        </is>
      </c>
      <c r="B15" s="3" t="n">
        <v>46266</v>
      </c>
      <c r="C15" t="n">
        <v>21</v>
      </c>
      <c r="D15" t="inlineStr">
        <is>
          <t>Tuesday</t>
        </is>
      </c>
      <c r="E15" t="n">
        <v>15</v>
      </c>
      <c r="F15" t="b">
        <v>1</v>
      </c>
      <c r="G15" t="inlineStr">
        <is>
          <t>Heavy</t>
        </is>
      </c>
      <c r="H15" t="b">
        <v>0</v>
      </c>
    </row>
    <row r="16">
      <c r="A16" t="inlineStr">
        <is>
          <t>S001</t>
        </is>
      </c>
      <c r="B16" s="3" t="n">
        <v>46266</v>
      </c>
      <c r="C16" t="n">
        <v>22</v>
      </c>
      <c r="D16" t="inlineStr">
        <is>
          <t>Tuesday</t>
        </is>
      </c>
      <c r="E16" t="n">
        <v>26</v>
      </c>
      <c r="F16" t="b">
        <v>0</v>
      </c>
      <c r="H16" t="b">
        <v>0</v>
      </c>
    </row>
    <row r="17">
      <c r="A17" t="inlineStr">
        <is>
          <t>S001</t>
        </is>
      </c>
      <c r="B17" s="3" t="n">
        <v>46266</v>
      </c>
      <c r="C17" t="n">
        <v>23</v>
      </c>
      <c r="D17" t="inlineStr">
        <is>
          <t>Tuesday</t>
        </is>
      </c>
      <c r="E17" t="n">
        <v>17</v>
      </c>
      <c r="F17" t="b">
        <v>0</v>
      </c>
      <c r="H17" t="b">
        <v>0</v>
      </c>
    </row>
    <row r="18">
      <c r="A18" t="inlineStr">
        <is>
          <t>S002</t>
        </is>
      </c>
      <c r="B18" s="3" t="n">
        <v>46266</v>
      </c>
      <c r="C18" t="n">
        <v>8</v>
      </c>
      <c r="D18" t="inlineStr">
        <is>
          <t>Tuesday</t>
        </is>
      </c>
      <c r="E18" t="n">
        <v>25</v>
      </c>
      <c r="F18" t="b">
        <v>0</v>
      </c>
      <c r="G18" t="inlineStr">
        <is>
          <t>Heavy</t>
        </is>
      </c>
      <c r="H18" t="b">
        <v>0</v>
      </c>
    </row>
    <row r="19">
      <c r="A19" t="inlineStr">
        <is>
          <t>S002</t>
        </is>
      </c>
      <c r="B19" s="3" t="n">
        <v>46266</v>
      </c>
      <c r="C19" t="n">
        <v>9</v>
      </c>
      <c r="D19" t="inlineStr">
        <is>
          <t>Tuesday</t>
        </is>
      </c>
      <c r="E19" t="n">
        <v>28</v>
      </c>
      <c r="F19" t="b">
        <v>0</v>
      </c>
      <c r="G19" t="inlineStr">
        <is>
          <t>Light</t>
        </is>
      </c>
      <c r="H19" t="b">
        <v>0</v>
      </c>
    </row>
    <row r="20">
      <c r="A20" t="inlineStr">
        <is>
          <t>S002</t>
        </is>
      </c>
      <c r="B20" s="3" t="n">
        <v>46266</v>
      </c>
      <c r="C20" t="n">
        <v>10</v>
      </c>
      <c r="D20" t="inlineStr">
        <is>
          <t>Tuesday</t>
        </is>
      </c>
      <c r="E20" t="n">
        <v>24</v>
      </c>
      <c r="F20" t="b">
        <v>0</v>
      </c>
      <c r="H20" t="b">
        <v>0</v>
      </c>
    </row>
    <row r="21">
      <c r="A21" t="inlineStr">
        <is>
          <t>S002</t>
        </is>
      </c>
      <c r="B21" s="3" t="n">
        <v>46266</v>
      </c>
      <c r="C21" t="n">
        <v>11</v>
      </c>
      <c r="D21" t="inlineStr">
        <is>
          <t>Tuesday</t>
        </is>
      </c>
      <c r="E21" t="n">
        <v>36</v>
      </c>
      <c r="F21" t="b">
        <v>0</v>
      </c>
      <c r="H21" t="b">
        <v>0</v>
      </c>
    </row>
    <row r="22">
      <c r="A22" t="inlineStr">
        <is>
          <t>S002</t>
        </is>
      </c>
      <c r="B22" s="3" t="n">
        <v>46266</v>
      </c>
      <c r="C22" t="n">
        <v>12</v>
      </c>
      <c r="D22" t="inlineStr">
        <is>
          <t>Tuesday</t>
        </is>
      </c>
      <c r="E22" t="n">
        <v>26</v>
      </c>
      <c r="F22" t="b">
        <v>0</v>
      </c>
      <c r="H22" t="b">
        <v>0</v>
      </c>
    </row>
    <row r="23">
      <c r="A23" t="inlineStr">
        <is>
          <t>S002</t>
        </is>
      </c>
      <c r="B23" s="3" t="n">
        <v>46266</v>
      </c>
      <c r="C23" t="n">
        <v>13</v>
      </c>
      <c r="D23" t="inlineStr">
        <is>
          <t>Tuesday</t>
        </is>
      </c>
      <c r="E23" t="n">
        <v>39</v>
      </c>
      <c r="F23" t="b">
        <v>0</v>
      </c>
      <c r="H23" t="b">
        <v>0</v>
      </c>
    </row>
    <row r="24">
      <c r="A24" t="inlineStr">
        <is>
          <t>S002</t>
        </is>
      </c>
      <c r="B24" s="3" t="n">
        <v>46266</v>
      </c>
      <c r="C24" t="n">
        <v>14</v>
      </c>
      <c r="D24" t="inlineStr">
        <is>
          <t>Tuesday</t>
        </is>
      </c>
      <c r="E24" t="n">
        <v>22</v>
      </c>
      <c r="F24" t="b">
        <v>0</v>
      </c>
      <c r="H24" t="b">
        <v>0</v>
      </c>
    </row>
    <row r="25">
      <c r="A25" t="inlineStr">
        <is>
          <t>S002</t>
        </is>
      </c>
      <c r="B25" s="3" t="n">
        <v>46266</v>
      </c>
      <c r="C25" t="n">
        <v>15</v>
      </c>
      <c r="D25" t="inlineStr">
        <is>
          <t>Tuesday</t>
        </is>
      </c>
      <c r="E25" t="n">
        <v>27</v>
      </c>
      <c r="F25" t="b">
        <v>0</v>
      </c>
      <c r="H25" t="b">
        <v>0</v>
      </c>
    </row>
    <row r="26">
      <c r="A26" t="inlineStr">
        <is>
          <t>S002</t>
        </is>
      </c>
      <c r="B26" s="3" t="n">
        <v>46266</v>
      </c>
      <c r="C26" t="n">
        <v>16</v>
      </c>
      <c r="D26" t="inlineStr">
        <is>
          <t>Tuesday</t>
        </is>
      </c>
      <c r="E26" t="n">
        <v>35</v>
      </c>
      <c r="F26" t="b">
        <v>0</v>
      </c>
      <c r="H26" t="b">
        <v>0</v>
      </c>
    </row>
    <row r="27">
      <c r="A27" t="inlineStr">
        <is>
          <t>S002</t>
        </is>
      </c>
      <c r="B27" s="3" t="n">
        <v>46266</v>
      </c>
      <c r="C27" t="n">
        <v>17</v>
      </c>
      <c r="D27" t="inlineStr">
        <is>
          <t>Tuesday</t>
        </is>
      </c>
      <c r="E27" t="n">
        <v>29</v>
      </c>
      <c r="F27" t="b">
        <v>0</v>
      </c>
      <c r="H27" t="b">
        <v>0</v>
      </c>
    </row>
    <row r="28">
      <c r="A28" t="inlineStr">
        <is>
          <t>S002</t>
        </is>
      </c>
      <c r="B28" s="3" t="n">
        <v>46266</v>
      </c>
      <c r="C28" t="n">
        <v>18</v>
      </c>
      <c r="D28" t="inlineStr">
        <is>
          <t>Tuesday</t>
        </is>
      </c>
      <c r="E28" t="n">
        <v>33</v>
      </c>
      <c r="F28" t="b">
        <v>0</v>
      </c>
      <c r="G28" t="inlineStr">
        <is>
          <t>Light</t>
        </is>
      </c>
      <c r="H28" t="b">
        <v>1</v>
      </c>
    </row>
    <row r="29">
      <c r="A29" t="inlineStr">
        <is>
          <t>S002</t>
        </is>
      </c>
      <c r="B29" s="3" t="n">
        <v>46266</v>
      </c>
      <c r="C29" t="n">
        <v>19</v>
      </c>
      <c r="D29" t="inlineStr">
        <is>
          <t>Tuesday</t>
        </is>
      </c>
      <c r="E29" t="n">
        <v>41</v>
      </c>
      <c r="F29" t="b">
        <v>1</v>
      </c>
      <c r="H29" t="b">
        <v>0</v>
      </c>
    </row>
    <row r="30">
      <c r="A30" t="inlineStr">
        <is>
          <t>S002</t>
        </is>
      </c>
      <c r="B30" s="3" t="n">
        <v>46266</v>
      </c>
      <c r="C30" t="n">
        <v>20</v>
      </c>
      <c r="D30" t="inlineStr">
        <is>
          <t>Tuesday</t>
        </is>
      </c>
      <c r="E30" t="n">
        <v>55</v>
      </c>
      <c r="F30" t="b">
        <v>1</v>
      </c>
      <c r="H30" t="b">
        <v>0</v>
      </c>
    </row>
    <row r="31">
      <c r="A31" t="inlineStr">
        <is>
          <t>S002</t>
        </is>
      </c>
      <c r="B31" s="3" t="n">
        <v>46266</v>
      </c>
      <c r="C31" t="n">
        <v>21</v>
      </c>
      <c r="D31" t="inlineStr">
        <is>
          <t>Tuesday</t>
        </is>
      </c>
      <c r="E31" t="n">
        <v>39</v>
      </c>
      <c r="F31" t="b">
        <v>1</v>
      </c>
      <c r="G31" t="inlineStr">
        <is>
          <t>Heavy</t>
        </is>
      </c>
      <c r="H31" t="b">
        <v>0</v>
      </c>
    </row>
    <row r="32">
      <c r="A32" t="inlineStr">
        <is>
          <t>S002</t>
        </is>
      </c>
      <c r="B32" s="3" t="n">
        <v>46266</v>
      </c>
      <c r="C32" t="n">
        <v>22</v>
      </c>
      <c r="D32" t="inlineStr">
        <is>
          <t>Tuesday</t>
        </is>
      </c>
      <c r="E32" t="n">
        <v>32</v>
      </c>
      <c r="F32" t="b">
        <v>0</v>
      </c>
      <c r="H32" t="b">
        <v>0</v>
      </c>
    </row>
    <row r="33">
      <c r="A33" t="inlineStr">
        <is>
          <t>S002</t>
        </is>
      </c>
      <c r="B33" s="3" t="n">
        <v>46266</v>
      </c>
      <c r="C33" t="n">
        <v>23</v>
      </c>
      <c r="D33" t="inlineStr">
        <is>
          <t>Tuesday</t>
        </is>
      </c>
      <c r="E33" t="n">
        <v>42</v>
      </c>
      <c r="F33" t="b">
        <v>0</v>
      </c>
      <c r="H33" t="b">
        <v>0</v>
      </c>
    </row>
    <row r="34">
      <c r="A34" t="inlineStr">
        <is>
          <t>S003</t>
        </is>
      </c>
      <c r="B34" s="3" t="n">
        <v>46266</v>
      </c>
      <c r="C34" t="n">
        <v>8</v>
      </c>
      <c r="D34" t="inlineStr">
        <is>
          <t>Tuesday</t>
        </is>
      </c>
      <c r="E34" t="n">
        <v>30</v>
      </c>
      <c r="F34" t="b">
        <v>0</v>
      </c>
      <c r="H34" t="b">
        <v>0</v>
      </c>
    </row>
    <row r="35">
      <c r="A35" t="inlineStr">
        <is>
          <t>S003</t>
        </is>
      </c>
      <c r="B35" s="3" t="n">
        <v>46266</v>
      </c>
      <c r="C35" t="n">
        <v>9</v>
      </c>
      <c r="D35" t="inlineStr">
        <is>
          <t>Tuesday</t>
        </is>
      </c>
      <c r="E35" t="n">
        <v>30</v>
      </c>
      <c r="F35" t="b">
        <v>0</v>
      </c>
      <c r="H35" t="b">
        <v>0</v>
      </c>
    </row>
    <row r="36">
      <c r="A36" t="inlineStr">
        <is>
          <t>S003</t>
        </is>
      </c>
      <c r="B36" s="3" t="n">
        <v>46266</v>
      </c>
      <c r="C36" t="n">
        <v>10</v>
      </c>
      <c r="D36" t="inlineStr">
        <is>
          <t>Tuesday</t>
        </is>
      </c>
      <c r="E36" t="n">
        <v>27</v>
      </c>
      <c r="F36" t="b">
        <v>0</v>
      </c>
      <c r="H36" t="b">
        <v>0</v>
      </c>
    </row>
    <row r="37">
      <c r="A37" t="inlineStr">
        <is>
          <t>S003</t>
        </is>
      </c>
      <c r="B37" s="3" t="n">
        <v>46266</v>
      </c>
      <c r="C37" t="n">
        <v>11</v>
      </c>
      <c r="D37" t="inlineStr">
        <is>
          <t>Tuesday</t>
        </is>
      </c>
      <c r="E37" t="n">
        <v>38</v>
      </c>
      <c r="F37" t="b">
        <v>0</v>
      </c>
      <c r="H37" t="b">
        <v>0</v>
      </c>
    </row>
    <row r="38">
      <c r="A38" t="inlineStr">
        <is>
          <t>S003</t>
        </is>
      </c>
      <c r="B38" s="3" t="n">
        <v>46266</v>
      </c>
      <c r="C38" t="n">
        <v>12</v>
      </c>
      <c r="D38" t="inlineStr">
        <is>
          <t>Tuesday</t>
        </is>
      </c>
      <c r="E38" t="n">
        <v>46</v>
      </c>
      <c r="F38" t="b">
        <v>0</v>
      </c>
      <c r="H38" t="b">
        <v>0</v>
      </c>
    </row>
    <row r="39">
      <c r="A39" t="inlineStr">
        <is>
          <t>S003</t>
        </is>
      </c>
      <c r="B39" s="3" t="n">
        <v>46266</v>
      </c>
      <c r="C39" t="n">
        <v>13</v>
      </c>
      <c r="D39" t="inlineStr">
        <is>
          <t>Tuesday</t>
        </is>
      </c>
      <c r="E39" t="n">
        <v>40</v>
      </c>
      <c r="F39" t="b">
        <v>0</v>
      </c>
      <c r="H39" t="b">
        <v>0</v>
      </c>
    </row>
    <row r="40">
      <c r="A40" t="inlineStr">
        <is>
          <t>S003</t>
        </is>
      </c>
      <c r="B40" s="3" t="n">
        <v>46266</v>
      </c>
      <c r="C40" t="n">
        <v>14</v>
      </c>
      <c r="D40" t="inlineStr">
        <is>
          <t>Tuesday</t>
        </is>
      </c>
      <c r="E40" t="n">
        <v>34</v>
      </c>
      <c r="F40" t="b">
        <v>0</v>
      </c>
      <c r="G40" t="inlineStr">
        <is>
          <t>Light</t>
        </is>
      </c>
      <c r="H40" t="b">
        <v>0</v>
      </c>
    </row>
    <row r="41">
      <c r="A41" t="inlineStr">
        <is>
          <t>S003</t>
        </is>
      </c>
      <c r="B41" s="3" t="n">
        <v>46266</v>
      </c>
      <c r="C41" t="n">
        <v>15</v>
      </c>
      <c r="D41" t="inlineStr">
        <is>
          <t>Tuesday</t>
        </is>
      </c>
      <c r="E41" t="n">
        <v>37</v>
      </c>
      <c r="F41" t="b">
        <v>0</v>
      </c>
      <c r="H41" t="b">
        <v>0</v>
      </c>
    </row>
    <row r="42">
      <c r="A42" t="inlineStr">
        <is>
          <t>S003</t>
        </is>
      </c>
      <c r="B42" s="3" t="n">
        <v>46266</v>
      </c>
      <c r="C42" t="n">
        <v>16</v>
      </c>
      <c r="D42" t="inlineStr">
        <is>
          <t>Tuesday</t>
        </is>
      </c>
      <c r="E42" t="n">
        <v>33</v>
      </c>
      <c r="F42" t="b">
        <v>0</v>
      </c>
      <c r="G42" t="inlineStr">
        <is>
          <t>Light</t>
        </is>
      </c>
      <c r="H42" t="b">
        <v>0</v>
      </c>
    </row>
    <row r="43">
      <c r="A43" t="inlineStr">
        <is>
          <t>S003</t>
        </is>
      </c>
      <c r="B43" s="3" t="n">
        <v>46266</v>
      </c>
      <c r="C43" t="n">
        <v>17</v>
      </c>
      <c r="D43" t="inlineStr">
        <is>
          <t>Tuesday</t>
        </is>
      </c>
      <c r="E43" t="n">
        <v>32</v>
      </c>
      <c r="F43" t="b">
        <v>0</v>
      </c>
      <c r="H43" t="b">
        <v>0</v>
      </c>
    </row>
    <row r="44">
      <c r="A44" t="inlineStr">
        <is>
          <t>S003</t>
        </is>
      </c>
      <c r="B44" s="3" t="n">
        <v>46266</v>
      </c>
      <c r="C44" t="n">
        <v>18</v>
      </c>
      <c r="D44" t="inlineStr">
        <is>
          <t>Tuesday</t>
        </is>
      </c>
      <c r="E44" t="n">
        <v>34</v>
      </c>
      <c r="F44" t="b">
        <v>0</v>
      </c>
      <c r="G44" t="inlineStr">
        <is>
          <t>Light</t>
        </is>
      </c>
      <c r="H44" t="b">
        <v>0</v>
      </c>
    </row>
    <row r="45">
      <c r="A45" t="inlineStr">
        <is>
          <t>S003</t>
        </is>
      </c>
      <c r="B45" s="3" t="n">
        <v>46266</v>
      </c>
      <c r="C45" t="n">
        <v>19</v>
      </c>
      <c r="D45" t="inlineStr">
        <is>
          <t>Tuesday</t>
        </is>
      </c>
      <c r="E45" t="n">
        <v>56</v>
      </c>
      <c r="F45" t="b">
        <v>1</v>
      </c>
      <c r="G45" t="inlineStr">
        <is>
          <t>Light</t>
        </is>
      </c>
      <c r="H45" t="b">
        <v>0</v>
      </c>
    </row>
    <row r="46">
      <c r="A46" t="inlineStr">
        <is>
          <t>S003</t>
        </is>
      </c>
      <c r="B46" s="3" t="n">
        <v>46266</v>
      </c>
      <c r="C46" t="n">
        <v>20</v>
      </c>
      <c r="D46" t="inlineStr">
        <is>
          <t>Tuesday</t>
        </is>
      </c>
      <c r="E46" t="n">
        <v>70</v>
      </c>
      <c r="F46" t="b">
        <v>1</v>
      </c>
      <c r="H46" t="b">
        <v>0</v>
      </c>
    </row>
    <row r="47">
      <c r="A47" t="inlineStr">
        <is>
          <t>S003</t>
        </is>
      </c>
      <c r="B47" s="3" t="n">
        <v>46266</v>
      </c>
      <c r="C47" t="n">
        <v>21</v>
      </c>
      <c r="D47" t="inlineStr">
        <is>
          <t>Tuesday</t>
        </is>
      </c>
      <c r="E47" t="n">
        <v>76</v>
      </c>
      <c r="F47" t="b">
        <v>1</v>
      </c>
      <c r="H47" t="b">
        <v>0</v>
      </c>
    </row>
    <row r="48">
      <c r="A48" t="inlineStr">
        <is>
          <t>S003</t>
        </is>
      </c>
      <c r="B48" s="3" t="n">
        <v>46266</v>
      </c>
      <c r="C48" t="n">
        <v>22</v>
      </c>
      <c r="D48" t="inlineStr">
        <is>
          <t>Tuesday</t>
        </is>
      </c>
      <c r="E48" t="n">
        <v>41</v>
      </c>
      <c r="F48" t="b">
        <v>0</v>
      </c>
      <c r="H48" t="b">
        <v>0</v>
      </c>
    </row>
    <row r="49">
      <c r="A49" t="inlineStr">
        <is>
          <t>S003</t>
        </is>
      </c>
      <c r="B49" s="3" t="n">
        <v>46266</v>
      </c>
      <c r="C49" t="n">
        <v>23</v>
      </c>
      <c r="D49" t="inlineStr">
        <is>
          <t>Tuesday</t>
        </is>
      </c>
      <c r="E49" t="n">
        <v>49</v>
      </c>
      <c r="F49" t="b">
        <v>0</v>
      </c>
      <c r="G49" t="inlineStr">
        <is>
          <t>Light</t>
        </is>
      </c>
      <c r="H49" t="b">
        <v>0</v>
      </c>
    </row>
    <row r="50">
      <c r="A50" t="inlineStr">
        <is>
          <t>S004</t>
        </is>
      </c>
      <c r="B50" s="3" t="n">
        <v>46266</v>
      </c>
      <c r="C50" t="n">
        <v>8</v>
      </c>
      <c r="D50" t="inlineStr">
        <is>
          <t>Tuesday</t>
        </is>
      </c>
      <c r="E50" t="n">
        <v>29</v>
      </c>
      <c r="F50" t="b">
        <v>0</v>
      </c>
      <c r="H50" t="b">
        <v>0</v>
      </c>
    </row>
    <row r="51">
      <c r="A51" t="inlineStr">
        <is>
          <t>S004</t>
        </is>
      </c>
      <c r="B51" s="3" t="n">
        <v>46266</v>
      </c>
      <c r="C51" t="n">
        <v>9</v>
      </c>
      <c r="D51" t="inlineStr">
        <is>
          <t>Tuesday</t>
        </is>
      </c>
      <c r="E51" t="n">
        <v>34</v>
      </c>
      <c r="F51" t="b">
        <v>0</v>
      </c>
      <c r="H51" t="b">
        <v>0</v>
      </c>
    </row>
    <row r="52">
      <c r="A52" t="inlineStr">
        <is>
          <t>S004</t>
        </is>
      </c>
      <c r="B52" s="3" t="n">
        <v>46266</v>
      </c>
      <c r="C52" t="n">
        <v>10</v>
      </c>
      <c r="D52" t="inlineStr">
        <is>
          <t>Tuesday</t>
        </is>
      </c>
      <c r="E52" t="n">
        <v>34</v>
      </c>
      <c r="F52" t="b">
        <v>0</v>
      </c>
      <c r="H52" t="b">
        <v>0</v>
      </c>
    </row>
    <row r="53">
      <c r="A53" t="inlineStr">
        <is>
          <t>S004</t>
        </is>
      </c>
      <c r="B53" s="3" t="n">
        <v>46266</v>
      </c>
      <c r="C53" t="n">
        <v>11</v>
      </c>
      <c r="D53" t="inlineStr">
        <is>
          <t>Tuesday</t>
        </is>
      </c>
      <c r="E53" t="n">
        <v>44</v>
      </c>
      <c r="F53" t="b">
        <v>0</v>
      </c>
      <c r="H53" t="b">
        <v>0</v>
      </c>
    </row>
    <row r="54">
      <c r="A54" t="inlineStr">
        <is>
          <t>S004</t>
        </is>
      </c>
      <c r="B54" s="3" t="n">
        <v>46266</v>
      </c>
      <c r="C54" t="n">
        <v>12</v>
      </c>
      <c r="D54" t="inlineStr">
        <is>
          <t>Tuesday</t>
        </is>
      </c>
      <c r="E54" t="n">
        <v>47</v>
      </c>
      <c r="F54" t="b">
        <v>0</v>
      </c>
      <c r="H54" t="b">
        <v>0</v>
      </c>
    </row>
    <row r="55">
      <c r="A55" t="inlineStr">
        <is>
          <t>S004</t>
        </is>
      </c>
      <c r="B55" s="3" t="n">
        <v>46266</v>
      </c>
      <c r="C55" t="n">
        <v>13</v>
      </c>
      <c r="D55" t="inlineStr">
        <is>
          <t>Tuesday</t>
        </is>
      </c>
      <c r="E55" t="n">
        <v>43</v>
      </c>
      <c r="F55" t="b">
        <v>0</v>
      </c>
      <c r="H55" t="b">
        <v>0</v>
      </c>
    </row>
    <row r="56">
      <c r="A56" t="inlineStr">
        <is>
          <t>S004</t>
        </is>
      </c>
      <c r="B56" s="3" t="n">
        <v>46266</v>
      </c>
      <c r="C56" t="n">
        <v>14</v>
      </c>
      <c r="D56" t="inlineStr">
        <is>
          <t>Tuesday</t>
        </is>
      </c>
      <c r="E56" t="n">
        <v>27</v>
      </c>
      <c r="F56" t="b">
        <v>0</v>
      </c>
      <c r="H56" t="b">
        <v>0</v>
      </c>
    </row>
    <row r="57">
      <c r="A57" t="inlineStr">
        <is>
          <t>S004</t>
        </is>
      </c>
      <c r="B57" s="3" t="n">
        <v>46266</v>
      </c>
      <c r="C57" t="n">
        <v>15</v>
      </c>
      <c r="D57" t="inlineStr">
        <is>
          <t>Tuesday</t>
        </is>
      </c>
      <c r="E57" t="n">
        <v>22</v>
      </c>
      <c r="F57" t="b">
        <v>0</v>
      </c>
      <c r="H57" t="b">
        <v>0</v>
      </c>
    </row>
    <row r="58">
      <c r="A58" t="inlineStr">
        <is>
          <t>S004</t>
        </is>
      </c>
      <c r="B58" s="3" t="n">
        <v>46266</v>
      </c>
      <c r="C58" t="n">
        <v>16</v>
      </c>
      <c r="D58" t="inlineStr">
        <is>
          <t>Tuesday</t>
        </is>
      </c>
      <c r="E58" t="n">
        <v>40</v>
      </c>
      <c r="F58" t="b">
        <v>0</v>
      </c>
      <c r="H58" t="b">
        <v>0</v>
      </c>
    </row>
    <row r="59">
      <c r="A59" t="inlineStr">
        <is>
          <t>S004</t>
        </is>
      </c>
      <c r="B59" s="3" t="n">
        <v>46266</v>
      </c>
      <c r="C59" t="n">
        <v>17</v>
      </c>
      <c r="D59" t="inlineStr">
        <is>
          <t>Tuesday</t>
        </is>
      </c>
      <c r="E59" t="n">
        <v>62</v>
      </c>
      <c r="F59" t="b">
        <v>0</v>
      </c>
      <c r="G59" t="inlineStr">
        <is>
          <t>Heavy</t>
        </is>
      </c>
      <c r="H59" t="b">
        <v>0</v>
      </c>
    </row>
    <row r="60">
      <c r="A60" t="inlineStr">
        <is>
          <t>S004</t>
        </is>
      </c>
      <c r="B60" s="3" t="n">
        <v>46266</v>
      </c>
      <c r="C60" t="n">
        <v>18</v>
      </c>
      <c r="D60" t="inlineStr">
        <is>
          <t>Tuesday</t>
        </is>
      </c>
      <c r="E60" t="n">
        <v>36</v>
      </c>
      <c r="F60" t="b">
        <v>0</v>
      </c>
      <c r="G60" t="inlineStr">
        <is>
          <t>Light</t>
        </is>
      </c>
      <c r="H60" t="b">
        <v>0</v>
      </c>
    </row>
    <row r="61">
      <c r="A61" t="inlineStr">
        <is>
          <t>S004</t>
        </is>
      </c>
      <c r="B61" s="3" t="n">
        <v>46266</v>
      </c>
      <c r="C61" t="n">
        <v>19</v>
      </c>
      <c r="D61" t="inlineStr">
        <is>
          <t>Tuesday</t>
        </is>
      </c>
      <c r="E61" t="n">
        <v>58</v>
      </c>
      <c r="F61" t="b">
        <v>1</v>
      </c>
      <c r="G61" t="inlineStr">
        <is>
          <t>Heavy</t>
        </is>
      </c>
      <c r="H61" t="b">
        <v>0</v>
      </c>
    </row>
    <row r="62">
      <c r="A62" t="inlineStr">
        <is>
          <t>S004</t>
        </is>
      </c>
      <c r="B62" s="3" t="n">
        <v>46266</v>
      </c>
      <c r="C62" t="n">
        <v>20</v>
      </c>
      <c r="D62" t="inlineStr">
        <is>
          <t>Tuesday</t>
        </is>
      </c>
      <c r="E62" t="n">
        <v>56</v>
      </c>
      <c r="F62" t="b">
        <v>1</v>
      </c>
      <c r="H62" t="b">
        <v>0</v>
      </c>
    </row>
    <row r="63">
      <c r="A63" t="inlineStr">
        <is>
          <t>S004</t>
        </is>
      </c>
      <c r="B63" s="3" t="n">
        <v>46266</v>
      </c>
      <c r="C63" t="n">
        <v>21</v>
      </c>
      <c r="D63" t="inlineStr">
        <is>
          <t>Tuesday</t>
        </is>
      </c>
      <c r="E63" t="n">
        <v>70</v>
      </c>
      <c r="F63" t="b">
        <v>1</v>
      </c>
      <c r="G63" t="inlineStr">
        <is>
          <t>Light</t>
        </is>
      </c>
      <c r="H63" t="b">
        <v>0</v>
      </c>
    </row>
    <row r="64">
      <c r="A64" t="inlineStr">
        <is>
          <t>S004</t>
        </is>
      </c>
      <c r="B64" s="3" t="n">
        <v>46266</v>
      </c>
      <c r="C64" t="n">
        <v>22</v>
      </c>
      <c r="D64" t="inlineStr">
        <is>
          <t>Tuesday</t>
        </is>
      </c>
      <c r="E64" t="n">
        <v>39</v>
      </c>
      <c r="F64" t="b">
        <v>0</v>
      </c>
      <c r="H64" t="b">
        <v>0</v>
      </c>
    </row>
    <row r="65">
      <c r="A65" t="inlineStr">
        <is>
          <t>S004</t>
        </is>
      </c>
      <c r="B65" s="3" t="n">
        <v>46266</v>
      </c>
      <c r="C65" t="n">
        <v>23</v>
      </c>
      <c r="D65" t="inlineStr">
        <is>
          <t>Tuesday</t>
        </is>
      </c>
      <c r="E65" t="n">
        <v>40</v>
      </c>
      <c r="F65" t="b">
        <v>0</v>
      </c>
      <c r="G65" t="inlineStr">
        <is>
          <t>Light</t>
        </is>
      </c>
      <c r="H65" t="b">
        <v>0</v>
      </c>
    </row>
    <row r="66">
      <c r="A66" t="inlineStr">
        <is>
          <t>S005</t>
        </is>
      </c>
      <c r="B66" s="3" t="n">
        <v>46266</v>
      </c>
      <c r="C66" t="n">
        <v>8</v>
      </c>
      <c r="D66" t="inlineStr">
        <is>
          <t>Tuesday</t>
        </is>
      </c>
      <c r="E66" t="n">
        <v>14</v>
      </c>
      <c r="F66" t="b">
        <v>0</v>
      </c>
      <c r="H66" t="b">
        <v>0</v>
      </c>
    </row>
    <row r="67">
      <c r="A67" t="inlineStr">
        <is>
          <t>S005</t>
        </is>
      </c>
      <c r="B67" s="3" t="n">
        <v>46266</v>
      </c>
      <c r="C67" t="n">
        <v>9</v>
      </c>
      <c r="D67" t="inlineStr">
        <is>
          <t>Tuesday</t>
        </is>
      </c>
      <c r="E67" t="n">
        <v>8</v>
      </c>
      <c r="F67" t="b">
        <v>0</v>
      </c>
      <c r="H67" t="b">
        <v>0</v>
      </c>
    </row>
    <row r="68">
      <c r="A68" t="inlineStr">
        <is>
          <t>S005</t>
        </is>
      </c>
      <c r="B68" s="3" t="n">
        <v>46266</v>
      </c>
      <c r="C68" t="n">
        <v>10</v>
      </c>
      <c r="D68" t="inlineStr">
        <is>
          <t>Tuesday</t>
        </is>
      </c>
      <c r="E68" t="n">
        <v>9</v>
      </c>
      <c r="F68" t="b">
        <v>0</v>
      </c>
      <c r="H68" t="b">
        <v>0</v>
      </c>
    </row>
    <row r="69">
      <c r="A69" t="inlineStr">
        <is>
          <t>S005</t>
        </is>
      </c>
      <c r="B69" s="3" t="n">
        <v>46266</v>
      </c>
      <c r="C69" t="n">
        <v>11</v>
      </c>
      <c r="D69" t="inlineStr">
        <is>
          <t>Tuesday</t>
        </is>
      </c>
      <c r="E69" t="n">
        <v>18</v>
      </c>
      <c r="F69" t="b">
        <v>0</v>
      </c>
      <c r="G69" t="inlineStr">
        <is>
          <t>Light</t>
        </is>
      </c>
      <c r="H69" t="b">
        <v>0</v>
      </c>
    </row>
    <row r="70">
      <c r="A70" t="inlineStr">
        <is>
          <t>S005</t>
        </is>
      </c>
      <c r="B70" s="3" t="n">
        <v>46266</v>
      </c>
      <c r="C70" t="n">
        <v>12</v>
      </c>
      <c r="D70" t="inlineStr">
        <is>
          <t>Tuesday</t>
        </is>
      </c>
      <c r="E70" t="n">
        <v>12</v>
      </c>
      <c r="F70" t="b">
        <v>0</v>
      </c>
      <c r="H70" t="b">
        <v>0</v>
      </c>
    </row>
    <row r="71">
      <c r="A71" t="inlineStr">
        <is>
          <t>S005</t>
        </is>
      </c>
      <c r="B71" s="3" t="n">
        <v>46266</v>
      </c>
      <c r="C71" t="n">
        <v>13</v>
      </c>
      <c r="D71" t="inlineStr">
        <is>
          <t>Tuesday</t>
        </is>
      </c>
      <c r="E71" t="n">
        <v>22</v>
      </c>
      <c r="F71" t="b">
        <v>0</v>
      </c>
      <c r="G71" t="inlineStr">
        <is>
          <t>Light</t>
        </is>
      </c>
      <c r="H71" t="b">
        <v>1</v>
      </c>
    </row>
    <row r="72">
      <c r="A72" t="inlineStr">
        <is>
          <t>S005</t>
        </is>
      </c>
      <c r="B72" s="3" t="n">
        <v>46266</v>
      </c>
      <c r="C72" t="n">
        <v>14</v>
      </c>
      <c r="D72" t="inlineStr">
        <is>
          <t>Tuesday</t>
        </is>
      </c>
      <c r="E72" t="n">
        <v>11</v>
      </c>
      <c r="F72" t="b">
        <v>0</v>
      </c>
      <c r="H72" t="b">
        <v>0</v>
      </c>
    </row>
    <row r="73">
      <c r="A73" t="inlineStr">
        <is>
          <t>S005</t>
        </is>
      </c>
      <c r="B73" s="3" t="n">
        <v>46266</v>
      </c>
      <c r="C73" t="n">
        <v>15</v>
      </c>
      <c r="D73" t="inlineStr">
        <is>
          <t>Tuesday</t>
        </is>
      </c>
      <c r="E73" t="n">
        <v>13</v>
      </c>
      <c r="F73" t="b">
        <v>0</v>
      </c>
      <c r="G73" t="inlineStr">
        <is>
          <t>Light</t>
        </is>
      </c>
      <c r="H73" t="b">
        <v>0</v>
      </c>
    </row>
    <row r="74">
      <c r="A74" t="inlineStr">
        <is>
          <t>S005</t>
        </is>
      </c>
      <c r="B74" s="3" t="n">
        <v>46266</v>
      </c>
      <c r="C74" t="n">
        <v>16</v>
      </c>
      <c r="D74" t="inlineStr">
        <is>
          <t>Tuesday</t>
        </is>
      </c>
      <c r="E74" t="n">
        <v>12</v>
      </c>
      <c r="F74" t="b">
        <v>0</v>
      </c>
      <c r="H74" t="b">
        <v>0</v>
      </c>
    </row>
    <row r="75">
      <c r="A75" t="inlineStr">
        <is>
          <t>S005</t>
        </is>
      </c>
      <c r="B75" s="3" t="n">
        <v>46266</v>
      </c>
      <c r="C75" t="n">
        <v>17</v>
      </c>
      <c r="D75" t="inlineStr">
        <is>
          <t>Tuesday</t>
        </is>
      </c>
      <c r="E75" t="n">
        <v>19</v>
      </c>
      <c r="F75" t="b">
        <v>0</v>
      </c>
      <c r="G75" t="inlineStr">
        <is>
          <t>Light</t>
        </is>
      </c>
      <c r="H75" t="b">
        <v>0</v>
      </c>
    </row>
    <row r="76">
      <c r="A76" t="inlineStr">
        <is>
          <t>S005</t>
        </is>
      </c>
      <c r="B76" s="3" t="n">
        <v>46266</v>
      </c>
      <c r="C76" t="n">
        <v>18</v>
      </c>
      <c r="D76" t="inlineStr">
        <is>
          <t>Tuesday</t>
        </is>
      </c>
      <c r="E76" t="n">
        <v>8</v>
      </c>
      <c r="F76" t="b">
        <v>0</v>
      </c>
      <c r="H76" t="b">
        <v>0</v>
      </c>
    </row>
    <row r="77">
      <c r="A77" t="inlineStr">
        <is>
          <t>S005</t>
        </is>
      </c>
      <c r="B77" s="3" t="n">
        <v>46266</v>
      </c>
      <c r="C77" t="n">
        <v>19</v>
      </c>
      <c r="D77" t="inlineStr">
        <is>
          <t>Tuesday</t>
        </is>
      </c>
      <c r="E77" t="n">
        <v>26</v>
      </c>
      <c r="F77" t="b">
        <v>1</v>
      </c>
      <c r="H77" t="b">
        <v>0</v>
      </c>
    </row>
    <row r="78">
      <c r="A78" t="inlineStr">
        <is>
          <t>S005</t>
        </is>
      </c>
      <c r="B78" s="3" t="n">
        <v>46266</v>
      </c>
      <c r="C78" t="n">
        <v>20</v>
      </c>
      <c r="D78" t="inlineStr">
        <is>
          <t>Tuesday</t>
        </is>
      </c>
      <c r="E78" t="n">
        <v>20</v>
      </c>
      <c r="F78" t="b">
        <v>1</v>
      </c>
      <c r="G78" t="inlineStr">
        <is>
          <t>Heavy</t>
        </is>
      </c>
      <c r="H78" t="b">
        <v>0</v>
      </c>
    </row>
    <row r="79">
      <c r="A79" t="inlineStr">
        <is>
          <t>S005</t>
        </is>
      </c>
      <c r="B79" s="3" t="n">
        <v>46266</v>
      </c>
      <c r="C79" t="n">
        <v>21</v>
      </c>
      <c r="D79" t="inlineStr">
        <is>
          <t>Tuesday</t>
        </is>
      </c>
      <c r="E79" t="n">
        <v>22</v>
      </c>
      <c r="F79" t="b">
        <v>1</v>
      </c>
      <c r="G79" t="inlineStr">
        <is>
          <t>Heavy</t>
        </is>
      </c>
      <c r="H79" t="b">
        <v>0</v>
      </c>
    </row>
    <row r="80">
      <c r="A80" t="inlineStr">
        <is>
          <t>S005</t>
        </is>
      </c>
      <c r="B80" s="3" t="n">
        <v>46266</v>
      </c>
      <c r="C80" t="n">
        <v>22</v>
      </c>
      <c r="D80" t="inlineStr">
        <is>
          <t>Tuesday</t>
        </is>
      </c>
      <c r="E80" t="n">
        <v>12</v>
      </c>
      <c r="F80" t="b">
        <v>0</v>
      </c>
      <c r="H80" t="b">
        <v>0</v>
      </c>
    </row>
    <row r="81">
      <c r="A81" t="inlineStr">
        <is>
          <t>S005</t>
        </is>
      </c>
      <c r="B81" s="3" t="n">
        <v>46266</v>
      </c>
      <c r="C81" t="n">
        <v>23</v>
      </c>
      <c r="D81" t="inlineStr">
        <is>
          <t>Tuesday</t>
        </is>
      </c>
      <c r="E81" t="n">
        <v>11</v>
      </c>
      <c r="F81" t="b">
        <v>0</v>
      </c>
      <c r="H81" t="b">
        <v>0</v>
      </c>
    </row>
    <row r="82">
      <c r="A82" t="inlineStr">
        <is>
          <t>S006</t>
        </is>
      </c>
      <c r="B82" s="3" t="n">
        <v>46266</v>
      </c>
      <c r="C82" t="n">
        <v>8</v>
      </c>
      <c r="D82" t="inlineStr">
        <is>
          <t>Tuesday</t>
        </is>
      </c>
      <c r="E82" t="n">
        <v>14</v>
      </c>
      <c r="F82" t="b">
        <v>0</v>
      </c>
      <c r="H82" t="b">
        <v>0</v>
      </c>
    </row>
    <row r="83">
      <c r="A83" t="inlineStr">
        <is>
          <t>S006</t>
        </is>
      </c>
      <c r="B83" s="3" t="n">
        <v>46266</v>
      </c>
      <c r="C83" t="n">
        <v>9</v>
      </c>
      <c r="D83" t="inlineStr">
        <is>
          <t>Tuesday</t>
        </is>
      </c>
      <c r="E83" t="n">
        <v>12</v>
      </c>
      <c r="F83" t="b">
        <v>0</v>
      </c>
      <c r="H83" t="b">
        <v>0</v>
      </c>
    </row>
    <row r="84">
      <c r="A84" t="inlineStr">
        <is>
          <t>S006</t>
        </is>
      </c>
      <c r="B84" s="3" t="n">
        <v>46266</v>
      </c>
      <c r="C84" t="n">
        <v>10</v>
      </c>
      <c r="D84" t="inlineStr">
        <is>
          <t>Tuesday</t>
        </is>
      </c>
      <c r="E84" t="n">
        <v>17</v>
      </c>
      <c r="F84" t="b">
        <v>0</v>
      </c>
      <c r="G84" t="inlineStr">
        <is>
          <t>Heavy</t>
        </is>
      </c>
      <c r="H84" t="b">
        <v>0</v>
      </c>
    </row>
    <row r="85">
      <c r="A85" t="inlineStr">
        <is>
          <t>S006</t>
        </is>
      </c>
      <c r="B85" s="3" t="n">
        <v>46266</v>
      </c>
      <c r="C85" t="n">
        <v>11</v>
      </c>
      <c r="D85" t="inlineStr">
        <is>
          <t>Tuesday</t>
        </is>
      </c>
      <c r="E85" t="n">
        <v>27</v>
      </c>
      <c r="F85" t="b">
        <v>0</v>
      </c>
      <c r="G85" t="inlineStr">
        <is>
          <t>Heavy</t>
        </is>
      </c>
      <c r="H85" t="b">
        <v>0</v>
      </c>
    </row>
    <row r="86">
      <c r="A86" t="inlineStr">
        <is>
          <t>S006</t>
        </is>
      </c>
      <c r="B86" s="3" t="n">
        <v>46266</v>
      </c>
      <c r="C86" t="n">
        <v>12</v>
      </c>
      <c r="D86" t="inlineStr">
        <is>
          <t>Tuesday</t>
        </is>
      </c>
      <c r="E86" t="n">
        <v>24</v>
      </c>
      <c r="F86" t="b">
        <v>0</v>
      </c>
      <c r="H86" t="b">
        <v>0</v>
      </c>
    </row>
    <row r="87">
      <c r="A87" t="inlineStr">
        <is>
          <t>S006</t>
        </is>
      </c>
      <c r="B87" s="3" t="n">
        <v>46266</v>
      </c>
      <c r="C87" t="n">
        <v>13</v>
      </c>
      <c r="D87" t="inlineStr">
        <is>
          <t>Tuesday</t>
        </is>
      </c>
      <c r="E87" t="n">
        <v>27</v>
      </c>
      <c r="F87" t="b">
        <v>0</v>
      </c>
      <c r="G87" t="inlineStr">
        <is>
          <t>Light</t>
        </is>
      </c>
      <c r="H87" t="b">
        <v>0</v>
      </c>
    </row>
    <row r="88">
      <c r="A88" t="inlineStr">
        <is>
          <t>S006</t>
        </is>
      </c>
      <c r="B88" s="3" t="n">
        <v>46266</v>
      </c>
      <c r="C88" t="n">
        <v>14</v>
      </c>
      <c r="D88" t="inlineStr">
        <is>
          <t>Tuesday</t>
        </is>
      </c>
      <c r="E88" t="n">
        <v>21</v>
      </c>
      <c r="F88" t="b">
        <v>0</v>
      </c>
      <c r="H88" t="b">
        <v>0</v>
      </c>
    </row>
    <row r="89">
      <c r="A89" t="inlineStr">
        <is>
          <t>S006</t>
        </is>
      </c>
      <c r="B89" s="3" t="n">
        <v>46266</v>
      </c>
      <c r="C89" t="n">
        <v>15</v>
      </c>
      <c r="D89" t="inlineStr">
        <is>
          <t>Tuesday</t>
        </is>
      </c>
      <c r="E89" t="n">
        <v>21</v>
      </c>
      <c r="F89" t="b">
        <v>0</v>
      </c>
      <c r="H89" t="b">
        <v>0</v>
      </c>
    </row>
    <row r="90">
      <c r="A90" t="inlineStr">
        <is>
          <t>S006</t>
        </is>
      </c>
      <c r="B90" s="3" t="n">
        <v>46266</v>
      </c>
      <c r="C90" t="n">
        <v>16</v>
      </c>
      <c r="D90" t="inlineStr">
        <is>
          <t>Tuesday</t>
        </is>
      </c>
      <c r="E90" t="n">
        <v>27</v>
      </c>
      <c r="F90" t="b">
        <v>0</v>
      </c>
      <c r="H90" t="b">
        <v>0</v>
      </c>
    </row>
    <row r="91">
      <c r="A91" t="inlineStr">
        <is>
          <t>S006</t>
        </is>
      </c>
      <c r="B91" s="3" t="n">
        <v>46266</v>
      </c>
      <c r="C91" t="n">
        <v>17</v>
      </c>
      <c r="D91" t="inlineStr">
        <is>
          <t>Tuesday</t>
        </is>
      </c>
      <c r="E91" t="n">
        <v>21</v>
      </c>
      <c r="F91" t="b">
        <v>0</v>
      </c>
      <c r="G91" t="inlineStr">
        <is>
          <t>Light</t>
        </is>
      </c>
      <c r="H91" t="b">
        <v>0</v>
      </c>
    </row>
    <row r="92">
      <c r="A92" t="inlineStr">
        <is>
          <t>S006</t>
        </is>
      </c>
      <c r="B92" s="3" t="n">
        <v>46266</v>
      </c>
      <c r="C92" t="n">
        <v>18</v>
      </c>
      <c r="D92" t="inlineStr">
        <is>
          <t>Tuesday</t>
        </is>
      </c>
      <c r="E92" t="n">
        <v>27</v>
      </c>
      <c r="F92" t="b">
        <v>0</v>
      </c>
      <c r="G92" t="inlineStr">
        <is>
          <t>Heavy</t>
        </is>
      </c>
      <c r="H92" t="b">
        <v>0</v>
      </c>
    </row>
    <row r="93">
      <c r="A93" t="inlineStr">
        <is>
          <t>S006</t>
        </is>
      </c>
      <c r="B93" s="3" t="n">
        <v>46266</v>
      </c>
      <c r="C93" t="n">
        <v>19</v>
      </c>
      <c r="D93" t="inlineStr">
        <is>
          <t>Tuesday</t>
        </is>
      </c>
      <c r="E93" t="n">
        <v>43</v>
      </c>
      <c r="F93" t="b">
        <v>1</v>
      </c>
      <c r="H93" t="b">
        <v>0</v>
      </c>
    </row>
    <row r="94">
      <c r="A94" t="inlineStr">
        <is>
          <t>S006</t>
        </is>
      </c>
      <c r="B94" s="3" t="n">
        <v>46266</v>
      </c>
      <c r="C94" t="n">
        <v>20</v>
      </c>
      <c r="D94" t="inlineStr">
        <is>
          <t>Tuesday</t>
        </is>
      </c>
      <c r="E94" t="n">
        <v>34</v>
      </c>
      <c r="F94" t="b">
        <v>1</v>
      </c>
      <c r="G94" t="inlineStr">
        <is>
          <t>Heavy</t>
        </is>
      </c>
      <c r="H94" t="b">
        <v>0</v>
      </c>
    </row>
    <row r="95">
      <c r="A95" t="inlineStr">
        <is>
          <t>S006</t>
        </is>
      </c>
      <c r="B95" s="3" t="n">
        <v>46266</v>
      </c>
      <c r="C95" t="n">
        <v>21</v>
      </c>
      <c r="D95" t="inlineStr">
        <is>
          <t>Tuesday</t>
        </is>
      </c>
      <c r="E95" t="n">
        <v>39</v>
      </c>
      <c r="F95" t="b">
        <v>1</v>
      </c>
      <c r="H95" t="b">
        <v>0</v>
      </c>
    </row>
    <row r="96">
      <c r="A96" t="inlineStr">
        <is>
          <t>S006</t>
        </is>
      </c>
      <c r="B96" s="3" t="n">
        <v>46266</v>
      </c>
      <c r="C96" t="n">
        <v>22</v>
      </c>
      <c r="D96" t="inlineStr">
        <is>
          <t>Tuesday</t>
        </is>
      </c>
      <c r="E96" t="n">
        <v>22</v>
      </c>
      <c r="F96" t="b">
        <v>0</v>
      </c>
      <c r="G96" t="inlineStr">
        <is>
          <t>Light</t>
        </is>
      </c>
      <c r="H96" t="b">
        <v>0</v>
      </c>
    </row>
    <row r="97">
      <c r="A97" t="inlineStr">
        <is>
          <t>S006</t>
        </is>
      </c>
      <c r="B97" s="3" t="n">
        <v>46266</v>
      </c>
      <c r="C97" t="n">
        <v>23</v>
      </c>
      <c r="D97" t="inlineStr">
        <is>
          <t>Tuesday</t>
        </is>
      </c>
      <c r="E97" t="n">
        <v>20</v>
      </c>
      <c r="F97" t="b">
        <v>0</v>
      </c>
      <c r="G97" t="inlineStr">
        <is>
          <t>Light</t>
        </is>
      </c>
      <c r="H97" t="b">
        <v>0</v>
      </c>
    </row>
    <row r="98">
      <c r="A98" t="inlineStr">
        <is>
          <t>S007</t>
        </is>
      </c>
      <c r="B98" s="3" t="n">
        <v>46266</v>
      </c>
      <c r="C98" t="n">
        <v>8</v>
      </c>
      <c r="D98" t="inlineStr">
        <is>
          <t>Tuesday</t>
        </is>
      </c>
      <c r="E98" t="n">
        <v>29</v>
      </c>
      <c r="F98" t="b">
        <v>0</v>
      </c>
      <c r="H98" t="b">
        <v>0</v>
      </c>
    </row>
    <row r="99">
      <c r="A99" t="inlineStr">
        <is>
          <t>S007</t>
        </is>
      </c>
      <c r="B99" s="3" t="n">
        <v>46266</v>
      </c>
      <c r="C99" t="n">
        <v>9</v>
      </c>
      <c r="D99" t="inlineStr">
        <is>
          <t>Tuesday</t>
        </is>
      </c>
      <c r="E99" t="n">
        <v>36</v>
      </c>
      <c r="F99" t="b">
        <v>0</v>
      </c>
      <c r="G99" t="inlineStr">
        <is>
          <t>Light</t>
        </is>
      </c>
      <c r="H99" t="b">
        <v>0</v>
      </c>
    </row>
    <row r="100">
      <c r="A100" t="inlineStr">
        <is>
          <t>S007</t>
        </is>
      </c>
      <c r="B100" s="3" t="n">
        <v>46266</v>
      </c>
      <c r="C100" t="n">
        <v>10</v>
      </c>
      <c r="D100" t="inlineStr">
        <is>
          <t>Tuesday</t>
        </is>
      </c>
      <c r="E100" t="n">
        <v>35</v>
      </c>
      <c r="F100" t="b">
        <v>0</v>
      </c>
      <c r="H100" t="b">
        <v>0</v>
      </c>
    </row>
    <row r="101">
      <c r="A101" t="inlineStr">
        <is>
          <t>S007</t>
        </is>
      </c>
      <c r="B101" s="3" t="n">
        <v>46266</v>
      </c>
      <c r="C101" t="n">
        <v>11</v>
      </c>
      <c r="D101" t="inlineStr">
        <is>
          <t>Tuesday</t>
        </is>
      </c>
      <c r="E101" t="n">
        <v>24</v>
      </c>
      <c r="F101" t="b">
        <v>0</v>
      </c>
      <c r="H101" t="b">
        <v>0</v>
      </c>
    </row>
    <row r="102">
      <c r="A102" t="inlineStr">
        <is>
          <t>S007</t>
        </is>
      </c>
      <c r="B102" s="3" t="n">
        <v>46266</v>
      </c>
      <c r="C102" t="n">
        <v>12</v>
      </c>
      <c r="D102" t="inlineStr">
        <is>
          <t>Tuesday</t>
        </is>
      </c>
      <c r="E102" t="n">
        <v>29</v>
      </c>
      <c r="F102" t="b">
        <v>0</v>
      </c>
      <c r="H102" t="b">
        <v>0</v>
      </c>
    </row>
    <row r="103">
      <c r="A103" t="inlineStr">
        <is>
          <t>S007</t>
        </is>
      </c>
      <c r="B103" s="3" t="n">
        <v>46266</v>
      </c>
      <c r="C103" t="n">
        <v>13</v>
      </c>
      <c r="D103" t="inlineStr">
        <is>
          <t>Tuesday</t>
        </is>
      </c>
      <c r="E103" t="n">
        <v>42</v>
      </c>
      <c r="F103" t="b">
        <v>0</v>
      </c>
      <c r="H103" t="b">
        <v>0</v>
      </c>
    </row>
    <row r="104">
      <c r="A104" t="inlineStr">
        <is>
          <t>S007</t>
        </is>
      </c>
      <c r="B104" s="3" t="n">
        <v>46266</v>
      </c>
      <c r="C104" t="n">
        <v>14</v>
      </c>
      <c r="D104" t="inlineStr">
        <is>
          <t>Tuesday</t>
        </is>
      </c>
      <c r="E104" t="n">
        <v>27</v>
      </c>
      <c r="F104" t="b">
        <v>0</v>
      </c>
      <c r="H104" t="b">
        <v>1</v>
      </c>
    </row>
    <row r="105">
      <c r="A105" t="inlineStr">
        <is>
          <t>S007</t>
        </is>
      </c>
      <c r="B105" s="3" t="n">
        <v>46266</v>
      </c>
      <c r="C105" t="n">
        <v>15</v>
      </c>
      <c r="D105" t="inlineStr">
        <is>
          <t>Tuesday</t>
        </is>
      </c>
      <c r="E105" t="n">
        <v>14</v>
      </c>
      <c r="F105" t="b">
        <v>0</v>
      </c>
      <c r="H105" t="b">
        <v>0</v>
      </c>
    </row>
    <row r="106">
      <c r="A106" t="inlineStr">
        <is>
          <t>S007</t>
        </is>
      </c>
      <c r="B106" s="3" t="n">
        <v>46266</v>
      </c>
      <c r="C106" t="n">
        <v>16</v>
      </c>
      <c r="D106" t="inlineStr">
        <is>
          <t>Tuesday</t>
        </is>
      </c>
      <c r="E106" t="n">
        <v>37</v>
      </c>
      <c r="F106" t="b">
        <v>0</v>
      </c>
      <c r="H106" t="b">
        <v>0</v>
      </c>
    </row>
    <row r="107">
      <c r="A107" t="inlineStr">
        <is>
          <t>S007</t>
        </is>
      </c>
      <c r="B107" s="3" t="n">
        <v>46266</v>
      </c>
      <c r="C107" t="n">
        <v>17</v>
      </c>
      <c r="D107" t="inlineStr">
        <is>
          <t>Tuesday</t>
        </is>
      </c>
      <c r="E107" t="n">
        <v>44</v>
      </c>
      <c r="F107" t="b">
        <v>0</v>
      </c>
      <c r="H107" t="b">
        <v>0</v>
      </c>
    </row>
    <row r="108">
      <c r="A108" t="inlineStr">
        <is>
          <t>S007</t>
        </is>
      </c>
      <c r="B108" s="3" t="n">
        <v>46266</v>
      </c>
      <c r="C108" t="n">
        <v>18</v>
      </c>
      <c r="D108" t="inlineStr">
        <is>
          <t>Tuesday</t>
        </is>
      </c>
      <c r="E108" t="n">
        <v>39</v>
      </c>
      <c r="F108" t="b">
        <v>0</v>
      </c>
      <c r="H108" t="b">
        <v>0</v>
      </c>
    </row>
    <row r="109">
      <c r="A109" t="inlineStr">
        <is>
          <t>S007</t>
        </is>
      </c>
      <c r="B109" s="3" t="n">
        <v>46266</v>
      </c>
      <c r="C109" t="n">
        <v>19</v>
      </c>
      <c r="D109" t="inlineStr">
        <is>
          <t>Tuesday</t>
        </is>
      </c>
      <c r="E109" t="n">
        <v>47</v>
      </c>
      <c r="F109" t="b">
        <v>1</v>
      </c>
      <c r="H109" t="b">
        <v>0</v>
      </c>
    </row>
    <row r="110">
      <c r="A110" t="inlineStr">
        <is>
          <t>S007</t>
        </is>
      </c>
      <c r="B110" s="3" t="n">
        <v>46266</v>
      </c>
      <c r="C110" t="n">
        <v>20</v>
      </c>
      <c r="D110" t="inlineStr">
        <is>
          <t>Tuesday</t>
        </is>
      </c>
      <c r="E110" t="n">
        <v>49</v>
      </c>
      <c r="F110" t="b">
        <v>1</v>
      </c>
      <c r="H110" t="b">
        <v>0</v>
      </c>
    </row>
    <row r="111">
      <c r="A111" t="inlineStr">
        <is>
          <t>S007</t>
        </is>
      </c>
      <c r="B111" s="3" t="n">
        <v>46266</v>
      </c>
      <c r="C111" t="n">
        <v>21</v>
      </c>
      <c r="D111" t="inlineStr">
        <is>
          <t>Tuesday</t>
        </is>
      </c>
      <c r="E111" t="n">
        <v>54</v>
      </c>
      <c r="F111" t="b">
        <v>1</v>
      </c>
      <c r="H111" t="b">
        <v>0</v>
      </c>
    </row>
    <row r="112">
      <c r="A112" t="inlineStr">
        <is>
          <t>S007</t>
        </is>
      </c>
      <c r="B112" s="3" t="n">
        <v>46266</v>
      </c>
      <c r="C112" t="n">
        <v>22</v>
      </c>
      <c r="D112" t="inlineStr">
        <is>
          <t>Tuesday</t>
        </is>
      </c>
      <c r="E112" t="n">
        <v>48</v>
      </c>
      <c r="F112" t="b">
        <v>0</v>
      </c>
      <c r="H112" t="b">
        <v>0</v>
      </c>
    </row>
    <row r="113">
      <c r="A113" t="inlineStr">
        <is>
          <t>S007</t>
        </is>
      </c>
      <c r="B113" s="3" t="n">
        <v>46266</v>
      </c>
      <c r="C113" t="n">
        <v>23</v>
      </c>
      <c r="D113" t="inlineStr">
        <is>
          <t>Tuesday</t>
        </is>
      </c>
      <c r="E113" t="n">
        <v>36</v>
      </c>
      <c r="F113" t="b">
        <v>0</v>
      </c>
      <c r="H113" t="b">
        <v>0</v>
      </c>
    </row>
    <row r="114">
      <c r="A114" t="inlineStr">
        <is>
          <t>S008</t>
        </is>
      </c>
      <c r="B114" s="3" t="n">
        <v>46266</v>
      </c>
      <c r="C114" t="n">
        <v>8</v>
      </c>
      <c r="D114" t="inlineStr">
        <is>
          <t>Tuesday</t>
        </is>
      </c>
      <c r="E114" t="n">
        <v>13</v>
      </c>
      <c r="F114" t="b">
        <v>0</v>
      </c>
      <c r="G114" t="inlineStr">
        <is>
          <t>Heavy</t>
        </is>
      </c>
      <c r="H114" t="b">
        <v>0</v>
      </c>
    </row>
    <row r="115">
      <c r="A115" t="inlineStr">
        <is>
          <t>S008</t>
        </is>
      </c>
      <c r="B115" s="3" t="n">
        <v>46266</v>
      </c>
      <c r="C115" t="n">
        <v>9</v>
      </c>
      <c r="D115" t="inlineStr">
        <is>
          <t>Tuesday</t>
        </is>
      </c>
      <c r="E115" t="n">
        <v>7</v>
      </c>
      <c r="F115" t="b">
        <v>0</v>
      </c>
      <c r="H115" t="b">
        <v>0</v>
      </c>
    </row>
    <row r="116">
      <c r="A116" t="inlineStr">
        <is>
          <t>S008</t>
        </is>
      </c>
      <c r="B116" s="3" t="n">
        <v>46266</v>
      </c>
      <c r="C116" t="n">
        <v>10</v>
      </c>
      <c r="D116" t="inlineStr">
        <is>
          <t>Tuesday</t>
        </is>
      </c>
      <c r="E116" t="n">
        <v>10</v>
      </c>
      <c r="F116" t="b">
        <v>0</v>
      </c>
      <c r="H116" t="b">
        <v>0</v>
      </c>
    </row>
    <row r="117">
      <c r="A117" t="inlineStr">
        <is>
          <t>S008</t>
        </is>
      </c>
      <c r="B117" s="3" t="n">
        <v>46266</v>
      </c>
      <c r="C117" t="n">
        <v>11</v>
      </c>
      <c r="D117" t="inlineStr">
        <is>
          <t>Tuesday</t>
        </is>
      </c>
      <c r="E117" t="n">
        <v>21</v>
      </c>
      <c r="F117" t="b">
        <v>0</v>
      </c>
      <c r="H117" t="b">
        <v>0</v>
      </c>
    </row>
    <row r="118">
      <c r="A118" t="inlineStr">
        <is>
          <t>S008</t>
        </is>
      </c>
      <c r="B118" s="3" t="n">
        <v>46266</v>
      </c>
      <c r="C118" t="n">
        <v>12</v>
      </c>
      <c r="D118" t="inlineStr">
        <is>
          <t>Tuesday</t>
        </is>
      </c>
      <c r="E118" t="n">
        <v>31</v>
      </c>
      <c r="F118" t="b">
        <v>0</v>
      </c>
      <c r="G118" t="inlineStr">
        <is>
          <t>Light</t>
        </is>
      </c>
      <c r="H118" t="b">
        <v>0</v>
      </c>
    </row>
    <row r="119">
      <c r="A119" t="inlineStr">
        <is>
          <t>S008</t>
        </is>
      </c>
      <c r="B119" s="3" t="n">
        <v>46266</v>
      </c>
      <c r="C119" t="n">
        <v>13</v>
      </c>
      <c r="D119" t="inlineStr">
        <is>
          <t>Tuesday</t>
        </is>
      </c>
      <c r="E119" t="n">
        <v>21</v>
      </c>
      <c r="F119" t="b">
        <v>0</v>
      </c>
      <c r="G119" t="inlineStr">
        <is>
          <t>Light</t>
        </is>
      </c>
      <c r="H119" t="b">
        <v>0</v>
      </c>
    </row>
    <row r="120">
      <c r="A120" t="inlineStr">
        <is>
          <t>S008</t>
        </is>
      </c>
      <c r="B120" s="3" t="n">
        <v>46266</v>
      </c>
      <c r="C120" t="n">
        <v>14</v>
      </c>
      <c r="D120" t="inlineStr">
        <is>
          <t>Tuesday</t>
        </is>
      </c>
      <c r="E120" t="n">
        <v>15</v>
      </c>
      <c r="F120" t="b">
        <v>0</v>
      </c>
      <c r="H120" t="b">
        <v>0</v>
      </c>
    </row>
    <row r="121">
      <c r="A121" t="inlineStr">
        <is>
          <t>S008</t>
        </is>
      </c>
      <c r="B121" s="3" t="n">
        <v>46266</v>
      </c>
      <c r="C121" t="n">
        <v>15</v>
      </c>
      <c r="D121" t="inlineStr">
        <is>
          <t>Tuesday</t>
        </is>
      </c>
      <c r="E121" t="n">
        <v>21</v>
      </c>
      <c r="F121" t="b">
        <v>0</v>
      </c>
      <c r="G121" t="inlineStr">
        <is>
          <t>Light</t>
        </is>
      </c>
      <c r="H121" t="b">
        <v>0</v>
      </c>
    </row>
    <row r="122">
      <c r="A122" t="inlineStr">
        <is>
          <t>S008</t>
        </is>
      </c>
      <c r="B122" s="3" t="n">
        <v>46266</v>
      </c>
      <c r="C122" t="n">
        <v>16</v>
      </c>
      <c r="D122" t="inlineStr">
        <is>
          <t>Tuesday</t>
        </is>
      </c>
      <c r="E122" t="n">
        <v>25</v>
      </c>
      <c r="F122" t="b">
        <v>0</v>
      </c>
      <c r="H122" t="b">
        <v>0</v>
      </c>
    </row>
    <row r="123">
      <c r="A123" t="inlineStr">
        <is>
          <t>S008</t>
        </is>
      </c>
      <c r="B123" s="3" t="n">
        <v>46266</v>
      </c>
      <c r="C123" t="n">
        <v>17</v>
      </c>
      <c r="D123" t="inlineStr">
        <is>
          <t>Tuesday</t>
        </is>
      </c>
      <c r="E123" t="n">
        <v>25</v>
      </c>
      <c r="F123" t="b">
        <v>0</v>
      </c>
      <c r="H123" t="b">
        <v>0</v>
      </c>
    </row>
    <row r="124">
      <c r="A124" t="inlineStr">
        <is>
          <t>S008</t>
        </is>
      </c>
      <c r="B124" s="3" t="n">
        <v>46266</v>
      </c>
      <c r="C124" t="n">
        <v>18</v>
      </c>
      <c r="D124" t="inlineStr">
        <is>
          <t>Tuesday</t>
        </is>
      </c>
      <c r="E124" t="n">
        <v>27</v>
      </c>
      <c r="F124" t="b">
        <v>0</v>
      </c>
      <c r="H124" t="b">
        <v>0</v>
      </c>
    </row>
    <row r="125">
      <c r="A125" t="inlineStr">
        <is>
          <t>S008</t>
        </is>
      </c>
      <c r="B125" s="3" t="n">
        <v>46266</v>
      </c>
      <c r="C125" t="n">
        <v>19</v>
      </c>
      <c r="D125" t="inlineStr">
        <is>
          <t>Tuesday</t>
        </is>
      </c>
      <c r="E125" t="n">
        <v>30</v>
      </c>
      <c r="F125" t="b">
        <v>1</v>
      </c>
      <c r="G125" t="inlineStr">
        <is>
          <t>Light</t>
        </is>
      </c>
      <c r="H125" t="b">
        <v>0</v>
      </c>
    </row>
    <row r="126">
      <c r="A126" t="inlineStr">
        <is>
          <t>S008</t>
        </is>
      </c>
      <c r="B126" s="3" t="n">
        <v>46266</v>
      </c>
      <c r="C126" t="n">
        <v>20</v>
      </c>
      <c r="D126" t="inlineStr">
        <is>
          <t>Tuesday</t>
        </is>
      </c>
      <c r="E126" t="n">
        <v>32</v>
      </c>
      <c r="F126" t="b">
        <v>1</v>
      </c>
      <c r="H126" t="b">
        <v>0</v>
      </c>
    </row>
    <row r="127">
      <c r="A127" t="inlineStr">
        <is>
          <t>S008</t>
        </is>
      </c>
      <c r="B127" s="3" t="n">
        <v>46266</v>
      </c>
      <c r="C127" t="n">
        <v>21</v>
      </c>
      <c r="D127" t="inlineStr">
        <is>
          <t>Tuesday</t>
        </is>
      </c>
      <c r="E127" t="n">
        <v>35</v>
      </c>
      <c r="F127" t="b">
        <v>1</v>
      </c>
      <c r="H127" t="b">
        <v>0</v>
      </c>
    </row>
    <row r="128">
      <c r="A128" t="inlineStr">
        <is>
          <t>S008</t>
        </is>
      </c>
      <c r="B128" s="3" t="n">
        <v>46266</v>
      </c>
      <c r="C128" t="n">
        <v>22</v>
      </c>
      <c r="D128" t="inlineStr">
        <is>
          <t>Tuesday</t>
        </is>
      </c>
      <c r="E128" t="n">
        <v>10</v>
      </c>
      <c r="F128" t="b">
        <v>0</v>
      </c>
      <c r="H128" t="b">
        <v>0</v>
      </c>
    </row>
    <row r="129">
      <c r="A129" t="inlineStr">
        <is>
          <t>S008</t>
        </is>
      </c>
      <c r="B129" s="3" t="n">
        <v>46266</v>
      </c>
      <c r="C129" t="n">
        <v>23</v>
      </c>
      <c r="D129" t="inlineStr">
        <is>
          <t>Tuesday</t>
        </is>
      </c>
      <c r="E129" t="n">
        <v>22</v>
      </c>
      <c r="F129" t="b">
        <v>0</v>
      </c>
      <c r="H129" t="b">
        <v>0</v>
      </c>
    </row>
    <row r="130">
      <c r="A130" t="inlineStr">
        <is>
          <t>S009</t>
        </is>
      </c>
      <c r="B130" s="3" t="n">
        <v>46266</v>
      </c>
      <c r="C130" t="n">
        <v>8</v>
      </c>
      <c r="D130" t="inlineStr">
        <is>
          <t>Tuesday</t>
        </is>
      </c>
      <c r="E130" t="n">
        <v>21</v>
      </c>
      <c r="F130" t="b">
        <v>0</v>
      </c>
      <c r="H130" t="b">
        <v>1</v>
      </c>
    </row>
    <row r="131">
      <c r="A131" t="inlineStr">
        <is>
          <t>S009</t>
        </is>
      </c>
      <c r="B131" s="3" t="n">
        <v>46266</v>
      </c>
      <c r="C131" t="n">
        <v>9</v>
      </c>
      <c r="D131" t="inlineStr">
        <is>
          <t>Tuesday</t>
        </is>
      </c>
      <c r="E131" t="n">
        <v>20</v>
      </c>
      <c r="F131" t="b">
        <v>0</v>
      </c>
      <c r="H131" t="b">
        <v>0</v>
      </c>
    </row>
    <row r="132">
      <c r="A132" t="inlineStr">
        <is>
          <t>S009</t>
        </is>
      </c>
      <c r="B132" s="3" t="n">
        <v>46266</v>
      </c>
      <c r="C132" t="n">
        <v>10</v>
      </c>
      <c r="D132" t="inlineStr">
        <is>
          <t>Tuesday</t>
        </is>
      </c>
      <c r="E132" t="n">
        <v>19</v>
      </c>
      <c r="F132" t="b">
        <v>0</v>
      </c>
      <c r="H132" t="b">
        <v>0</v>
      </c>
    </row>
    <row r="133">
      <c r="A133" t="inlineStr">
        <is>
          <t>S009</t>
        </is>
      </c>
      <c r="B133" s="3" t="n">
        <v>46266</v>
      </c>
      <c r="C133" t="n">
        <v>11</v>
      </c>
      <c r="D133" t="inlineStr">
        <is>
          <t>Tuesday</t>
        </is>
      </c>
      <c r="E133" t="n">
        <v>33</v>
      </c>
      <c r="F133" t="b">
        <v>0</v>
      </c>
      <c r="G133" t="inlineStr">
        <is>
          <t>Light</t>
        </is>
      </c>
      <c r="H133" t="b">
        <v>0</v>
      </c>
    </row>
    <row r="134">
      <c r="A134" t="inlineStr">
        <is>
          <t>S009</t>
        </is>
      </c>
      <c r="B134" s="3" t="n">
        <v>46266</v>
      </c>
      <c r="C134" t="n">
        <v>12</v>
      </c>
      <c r="D134" t="inlineStr">
        <is>
          <t>Tuesday</t>
        </is>
      </c>
      <c r="E134" t="n">
        <v>30</v>
      </c>
      <c r="F134" t="b">
        <v>0</v>
      </c>
      <c r="H134" t="b">
        <v>0</v>
      </c>
    </row>
    <row r="135">
      <c r="A135" t="inlineStr">
        <is>
          <t>S009</t>
        </is>
      </c>
      <c r="B135" s="3" t="n">
        <v>46266</v>
      </c>
      <c r="C135" t="n">
        <v>13</v>
      </c>
      <c r="D135" t="inlineStr">
        <is>
          <t>Tuesday</t>
        </is>
      </c>
      <c r="E135" t="n">
        <v>39</v>
      </c>
      <c r="F135" t="b">
        <v>0</v>
      </c>
      <c r="H135" t="b">
        <v>0</v>
      </c>
    </row>
    <row r="136">
      <c r="A136" t="inlineStr">
        <is>
          <t>S009</t>
        </is>
      </c>
      <c r="B136" s="3" t="n">
        <v>46266</v>
      </c>
      <c r="C136" t="n">
        <v>14</v>
      </c>
      <c r="D136" t="inlineStr">
        <is>
          <t>Tuesday</t>
        </is>
      </c>
      <c r="E136" t="n">
        <v>21</v>
      </c>
      <c r="F136" t="b">
        <v>0</v>
      </c>
      <c r="H136" t="b">
        <v>0</v>
      </c>
    </row>
    <row r="137">
      <c r="A137" t="inlineStr">
        <is>
          <t>S009</t>
        </is>
      </c>
      <c r="B137" s="3" t="n">
        <v>46266</v>
      </c>
      <c r="C137" t="n">
        <v>15</v>
      </c>
      <c r="D137" t="inlineStr">
        <is>
          <t>Tuesday</t>
        </is>
      </c>
      <c r="E137" t="n">
        <v>13</v>
      </c>
      <c r="F137" t="b">
        <v>0</v>
      </c>
      <c r="H137" t="b">
        <v>0</v>
      </c>
    </row>
    <row r="138">
      <c r="A138" t="inlineStr">
        <is>
          <t>S009</t>
        </is>
      </c>
      <c r="B138" s="3" t="n">
        <v>46266</v>
      </c>
      <c r="C138" t="n">
        <v>16</v>
      </c>
      <c r="D138" t="inlineStr">
        <is>
          <t>Tuesday</t>
        </is>
      </c>
      <c r="E138" t="n">
        <v>29</v>
      </c>
      <c r="F138" t="b">
        <v>0</v>
      </c>
      <c r="G138" t="inlineStr">
        <is>
          <t>Light</t>
        </is>
      </c>
      <c r="H138" t="b">
        <v>0</v>
      </c>
    </row>
    <row r="139">
      <c r="A139" t="inlineStr">
        <is>
          <t>S009</t>
        </is>
      </c>
      <c r="B139" s="3" t="n">
        <v>46266</v>
      </c>
      <c r="C139" t="n">
        <v>17</v>
      </c>
      <c r="D139" t="inlineStr">
        <is>
          <t>Tuesday</t>
        </is>
      </c>
      <c r="E139" t="n">
        <v>27</v>
      </c>
      <c r="F139" t="b">
        <v>0</v>
      </c>
      <c r="G139" t="inlineStr">
        <is>
          <t>Light</t>
        </is>
      </c>
      <c r="H139" t="b">
        <v>0</v>
      </c>
    </row>
    <row r="140">
      <c r="A140" t="inlineStr">
        <is>
          <t>S009</t>
        </is>
      </c>
      <c r="B140" s="3" t="n">
        <v>46266</v>
      </c>
      <c r="C140" t="n">
        <v>18</v>
      </c>
      <c r="D140" t="inlineStr">
        <is>
          <t>Tuesday</t>
        </is>
      </c>
      <c r="E140" t="n">
        <v>28</v>
      </c>
      <c r="F140" t="b">
        <v>0</v>
      </c>
      <c r="H140" t="b">
        <v>0</v>
      </c>
    </row>
    <row r="141">
      <c r="A141" t="inlineStr">
        <is>
          <t>S009</t>
        </is>
      </c>
      <c r="B141" s="3" t="n">
        <v>46266</v>
      </c>
      <c r="C141" t="n">
        <v>19</v>
      </c>
      <c r="D141" t="inlineStr">
        <is>
          <t>Tuesday</t>
        </is>
      </c>
      <c r="E141" t="n">
        <v>49</v>
      </c>
      <c r="F141" t="b">
        <v>1</v>
      </c>
      <c r="H141" t="b">
        <v>0</v>
      </c>
    </row>
    <row r="142">
      <c r="A142" t="inlineStr">
        <is>
          <t>S009</t>
        </is>
      </c>
      <c r="B142" s="3" t="n">
        <v>46266</v>
      </c>
      <c r="C142" t="n">
        <v>20</v>
      </c>
      <c r="D142" t="inlineStr">
        <is>
          <t>Tuesday</t>
        </is>
      </c>
      <c r="E142" t="n">
        <v>50</v>
      </c>
      <c r="F142" t="b">
        <v>1</v>
      </c>
      <c r="H142" t="b">
        <v>1</v>
      </c>
    </row>
    <row r="143">
      <c r="A143" t="inlineStr">
        <is>
          <t>S009</t>
        </is>
      </c>
      <c r="B143" s="3" t="n">
        <v>46266</v>
      </c>
      <c r="C143" t="n">
        <v>21</v>
      </c>
      <c r="D143" t="inlineStr">
        <is>
          <t>Tuesday</t>
        </is>
      </c>
      <c r="E143" t="n">
        <v>36</v>
      </c>
      <c r="F143" t="b">
        <v>1</v>
      </c>
      <c r="H143" t="b">
        <v>0</v>
      </c>
    </row>
    <row r="144">
      <c r="A144" t="inlineStr">
        <is>
          <t>S009</t>
        </is>
      </c>
      <c r="B144" s="3" t="n">
        <v>46266</v>
      </c>
      <c r="C144" t="n">
        <v>22</v>
      </c>
      <c r="D144" t="inlineStr">
        <is>
          <t>Tuesday</t>
        </is>
      </c>
      <c r="E144" t="n">
        <v>32</v>
      </c>
      <c r="F144" t="b">
        <v>0</v>
      </c>
      <c r="H144" t="b">
        <v>0</v>
      </c>
    </row>
    <row r="145">
      <c r="A145" t="inlineStr">
        <is>
          <t>S009</t>
        </is>
      </c>
      <c r="B145" s="3" t="n">
        <v>46266</v>
      </c>
      <c r="C145" t="n">
        <v>23</v>
      </c>
      <c r="D145" t="inlineStr">
        <is>
          <t>Tuesday</t>
        </is>
      </c>
      <c r="E145" t="n">
        <v>30</v>
      </c>
      <c r="F145" t="b">
        <v>0</v>
      </c>
      <c r="H145" t="b">
        <v>0</v>
      </c>
    </row>
    <row r="146">
      <c r="A146" t="inlineStr">
        <is>
          <t>S010</t>
        </is>
      </c>
      <c r="B146" s="3" t="n">
        <v>46266</v>
      </c>
      <c r="C146" t="n">
        <v>8</v>
      </c>
      <c r="D146" t="inlineStr">
        <is>
          <t>Tuesday</t>
        </is>
      </c>
      <c r="E146" t="n">
        <v>22</v>
      </c>
      <c r="F146" t="b">
        <v>0</v>
      </c>
      <c r="H146" t="b">
        <v>0</v>
      </c>
    </row>
    <row r="147">
      <c r="A147" t="inlineStr">
        <is>
          <t>S010</t>
        </is>
      </c>
      <c r="B147" s="3" t="n">
        <v>46266</v>
      </c>
      <c r="C147" t="n">
        <v>9</v>
      </c>
      <c r="D147" t="inlineStr">
        <is>
          <t>Tuesday</t>
        </is>
      </c>
      <c r="E147" t="n">
        <v>21</v>
      </c>
      <c r="F147" t="b">
        <v>0</v>
      </c>
      <c r="H147" t="b">
        <v>0</v>
      </c>
    </row>
    <row r="148">
      <c r="A148" t="inlineStr">
        <is>
          <t>S010</t>
        </is>
      </c>
      <c r="B148" s="3" t="n">
        <v>46266</v>
      </c>
      <c r="C148" t="n">
        <v>10</v>
      </c>
      <c r="D148" t="inlineStr">
        <is>
          <t>Tuesday</t>
        </is>
      </c>
      <c r="E148" t="n">
        <v>21</v>
      </c>
      <c r="F148" t="b">
        <v>0</v>
      </c>
      <c r="G148" t="inlineStr">
        <is>
          <t>Light</t>
        </is>
      </c>
      <c r="H148" t="b">
        <v>0</v>
      </c>
    </row>
    <row r="149">
      <c r="A149" t="inlineStr">
        <is>
          <t>S010</t>
        </is>
      </c>
      <c r="B149" s="3" t="n">
        <v>46266</v>
      </c>
      <c r="C149" t="n">
        <v>11</v>
      </c>
      <c r="D149" t="inlineStr">
        <is>
          <t>Tuesday</t>
        </is>
      </c>
      <c r="E149" t="n">
        <v>26</v>
      </c>
      <c r="F149" t="b">
        <v>0</v>
      </c>
      <c r="H149" t="b">
        <v>0</v>
      </c>
    </row>
    <row r="150">
      <c r="A150" t="inlineStr">
        <is>
          <t>S010</t>
        </is>
      </c>
      <c r="B150" s="3" t="n">
        <v>46266</v>
      </c>
      <c r="C150" t="n">
        <v>12</v>
      </c>
      <c r="D150" t="inlineStr">
        <is>
          <t>Tuesday</t>
        </is>
      </c>
      <c r="E150" t="n">
        <v>18</v>
      </c>
      <c r="F150" t="b">
        <v>0</v>
      </c>
      <c r="G150" t="inlineStr">
        <is>
          <t>Heavy</t>
        </is>
      </c>
      <c r="H150" t="b">
        <v>0</v>
      </c>
    </row>
    <row r="151">
      <c r="A151" t="inlineStr">
        <is>
          <t>S010</t>
        </is>
      </c>
      <c r="B151" s="3" t="n">
        <v>46266</v>
      </c>
      <c r="C151" t="n">
        <v>13</v>
      </c>
      <c r="D151" t="inlineStr">
        <is>
          <t>Tuesday</t>
        </is>
      </c>
      <c r="E151" t="n">
        <v>25</v>
      </c>
      <c r="F151" t="b">
        <v>0</v>
      </c>
      <c r="H151" t="b">
        <v>0</v>
      </c>
    </row>
    <row r="152">
      <c r="A152" t="inlineStr">
        <is>
          <t>S010</t>
        </is>
      </c>
      <c r="B152" s="3" t="n">
        <v>46266</v>
      </c>
      <c r="C152" t="n">
        <v>14</v>
      </c>
      <c r="D152" t="inlineStr">
        <is>
          <t>Tuesday</t>
        </is>
      </c>
      <c r="E152" t="n">
        <v>16</v>
      </c>
      <c r="F152" t="b">
        <v>0</v>
      </c>
      <c r="H152" t="b">
        <v>0</v>
      </c>
    </row>
    <row r="153">
      <c r="A153" t="inlineStr">
        <is>
          <t>S010</t>
        </is>
      </c>
      <c r="B153" s="3" t="n">
        <v>46266</v>
      </c>
      <c r="C153" t="n">
        <v>15</v>
      </c>
      <c r="D153" t="inlineStr">
        <is>
          <t>Tuesday</t>
        </is>
      </c>
      <c r="E153" t="n">
        <v>21</v>
      </c>
      <c r="F153" t="b">
        <v>0</v>
      </c>
      <c r="H153" t="b">
        <v>0</v>
      </c>
    </row>
    <row r="154">
      <c r="A154" t="inlineStr">
        <is>
          <t>S010</t>
        </is>
      </c>
      <c r="B154" s="3" t="n">
        <v>46266</v>
      </c>
      <c r="C154" t="n">
        <v>16</v>
      </c>
      <c r="D154" t="inlineStr">
        <is>
          <t>Tuesday</t>
        </is>
      </c>
      <c r="E154" t="n">
        <v>27</v>
      </c>
      <c r="F154" t="b">
        <v>0</v>
      </c>
      <c r="G154" t="inlineStr">
        <is>
          <t>Light</t>
        </is>
      </c>
      <c r="H154" t="b">
        <v>0</v>
      </c>
    </row>
    <row r="155">
      <c r="A155" t="inlineStr">
        <is>
          <t>S010</t>
        </is>
      </c>
      <c r="B155" s="3" t="n">
        <v>46266</v>
      </c>
      <c r="C155" t="n">
        <v>17</v>
      </c>
      <c r="D155" t="inlineStr">
        <is>
          <t>Tuesday</t>
        </is>
      </c>
      <c r="E155" t="n">
        <v>23</v>
      </c>
      <c r="F155" t="b">
        <v>0</v>
      </c>
      <c r="G155" t="inlineStr">
        <is>
          <t>Light</t>
        </is>
      </c>
      <c r="H155" t="b">
        <v>0</v>
      </c>
    </row>
    <row r="156">
      <c r="A156" t="inlineStr">
        <is>
          <t>S010</t>
        </is>
      </c>
      <c r="B156" s="3" t="n">
        <v>46266</v>
      </c>
      <c r="C156" t="n">
        <v>18</v>
      </c>
      <c r="D156" t="inlineStr">
        <is>
          <t>Tuesday</t>
        </is>
      </c>
      <c r="E156" t="n">
        <v>14</v>
      </c>
      <c r="F156" t="b">
        <v>0</v>
      </c>
      <c r="H156" t="b">
        <v>0</v>
      </c>
    </row>
    <row r="157">
      <c r="A157" t="inlineStr">
        <is>
          <t>S010</t>
        </is>
      </c>
      <c r="B157" s="3" t="n">
        <v>46266</v>
      </c>
      <c r="C157" t="n">
        <v>19</v>
      </c>
      <c r="D157" t="inlineStr">
        <is>
          <t>Tuesday</t>
        </is>
      </c>
      <c r="E157" t="n">
        <v>35</v>
      </c>
      <c r="F157" t="b">
        <v>1</v>
      </c>
      <c r="H157" t="b">
        <v>0</v>
      </c>
    </row>
    <row r="158">
      <c r="A158" t="inlineStr">
        <is>
          <t>S010</t>
        </is>
      </c>
      <c r="B158" s="3" t="n">
        <v>46266</v>
      </c>
      <c r="C158" t="n">
        <v>20</v>
      </c>
      <c r="D158" t="inlineStr">
        <is>
          <t>Tuesday</t>
        </is>
      </c>
      <c r="E158" t="n">
        <v>44</v>
      </c>
      <c r="F158" t="b">
        <v>1</v>
      </c>
      <c r="H158" t="b">
        <v>0</v>
      </c>
    </row>
    <row r="159">
      <c r="A159" t="inlineStr">
        <is>
          <t>S010</t>
        </is>
      </c>
      <c r="B159" s="3" t="n">
        <v>46266</v>
      </c>
      <c r="C159" t="n">
        <v>21</v>
      </c>
      <c r="D159" t="inlineStr">
        <is>
          <t>Tuesday</t>
        </is>
      </c>
      <c r="E159" t="n">
        <v>37</v>
      </c>
      <c r="F159" t="b">
        <v>1</v>
      </c>
      <c r="H159" t="b">
        <v>0</v>
      </c>
    </row>
    <row r="160">
      <c r="A160" t="inlineStr">
        <is>
          <t>S010</t>
        </is>
      </c>
      <c r="B160" s="3" t="n">
        <v>46266</v>
      </c>
      <c r="C160" t="n">
        <v>22</v>
      </c>
      <c r="D160" t="inlineStr">
        <is>
          <t>Tuesday</t>
        </is>
      </c>
      <c r="E160" t="n">
        <v>18</v>
      </c>
      <c r="F160" t="b">
        <v>0</v>
      </c>
      <c r="H160" t="b">
        <v>0</v>
      </c>
    </row>
    <row r="161">
      <c r="A161" t="inlineStr">
        <is>
          <t>S010</t>
        </is>
      </c>
      <c r="B161" s="3" t="n">
        <v>46266</v>
      </c>
      <c r="C161" t="n">
        <v>23</v>
      </c>
      <c r="D161" t="inlineStr">
        <is>
          <t>Tuesday</t>
        </is>
      </c>
      <c r="E161" t="n">
        <v>18</v>
      </c>
      <c r="F161" t="b">
        <v>0</v>
      </c>
      <c r="H161" t="b">
        <v>0</v>
      </c>
    </row>
    <row r="162">
      <c r="A162" t="inlineStr">
        <is>
          <t>S011</t>
        </is>
      </c>
      <c r="B162" s="3" t="n">
        <v>46266</v>
      </c>
      <c r="C162" t="n">
        <v>8</v>
      </c>
      <c r="D162" t="inlineStr">
        <is>
          <t>Tuesday</t>
        </is>
      </c>
      <c r="E162" t="n">
        <v>21</v>
      </c>
      <c r="F162" t="b">
        <v>0</v>
      </c>
      <c r="H162" t="b">
        <v>0</v>
      </c>
    </row>
    <row r="163">
      <c r="A163" t="inlineStr">
        <is>
          <t>S011</t>
        </is>
      </c>
      <c r="B163" s="3" t="n">
        <v>46266</v>
      </c>
      <c r="C163" t="n">
        <v>9</v>
      </c>
      <c r="D163" t="inlineStr">
        <is>
          <t>Tuesday</t>
        </is>
      </c>
      <c r="E163" t="n">
        <v>20</v>
      </c>
      <c r="F163" t="b">
        <v>0</v>
      </c>
      <c r="H163" t="b">
        <v>0</v>
      </c>
    </row>
    <row r="164">
      <c r="A164" t="inlineStr">
        <is>
          <t>S011</t>
        </is>
      </c>
      <c r="B164" s="3" t="n">
        <v>46266</v>
      </c>
      <c r="C164" t="n">
        <v>10</v>
      </c>
      <c r="D164" t="inlineStr">
        <is>
          <t>Tuesday</t>
        </is>
      </c>
      <c r="E164" t="n">
        <v>22</v>
      </c>
      <c r="F164" t="b">
        <v>0</v>
      </c>
      <c r="G164" t="inlineStr">
        <is>
          <t>Light</t>
        </is>
      </c>
      <c r="H164" t="b">
        <v>0</v>
      </c>
    </row>
    <row r="165">
      <c r="A165" t="inlineStr">
        <is>
          <t>S011</t>
        </is>
      </c>
      <c r="B165" s="3" t="n">
        <v>46266</v>
      </c>
      <c r="C165" t="n">
        <v>11</v>
      </c>
      <c r="D165" t="inlineStr">
        <is>
          <t>Tuesday</t>
        </is>
      </c>
      <c r="E165" t="n">
        <v>34</v>
      </c>
      <c r="F165" t="b">
        <v>0</v>
      </c>
      <c r="H165" t="b">
        <v>0</v>
      </c>
    </row>
    <row r="166">
      <c r="A166" t="inlineStr">
        <is>
          <t>S011</t>
        </is>
      </c>
      <c r="B166" s="3" t="n">
        <v>46266</v>
      </c>
      <c r="C166" t="n">
        <v>12</v>
      </c>
      <c r="D166" t="inlineStr">
        <is>
          <t>Tuesday</t>
        </is>
      </c>
      <c r="E166" t="n">
        <v>26</v>
      </c>
      <c r="F166" t="b">
        <v>0</v>
      </c>
      <c r="H166" t="b">
        <v>0</v>
      </c>
    </row>
    <row r="167">
      <c r="A167" t="inlineStr">
        <is>
          <t>S011</t>
        </is>
      </c>
      <c r="B167" s="3" t="n">
        <v>46266</v>
      </c>
      <c r="C167" t="n">
        <v>13</v>
      </c>
      <c r="D167" t="inlineStr">
        <is>
          <t>Tuesday</t>
        </is>
      </c>
      <c r="E167" t="n">
        <v>27</v>
      </c>
      <c r="F167" t="b">
        <v>0</v>
      </c>
      <c r="H167" t="b">
        <v>0</v>
      </c>
    </row>
    <row r="168">
      <c r="A168" t="inlineStr">
        <is>
          <t>S011</t>
        </is>
      </c>
      <c r="B168" s="3" t="n">
        <v>46266</v>
      </c>
      <c r="C168" t="n">
        <v>14</v>
      </c>
      <c r="D168" t="inlineStr">
        <is>
          <t>Tuesday</t>
        </is>
      </c>
      <c r="E168" t="n">
        <v>20</v>
      </c>
      <c r="F168" t="b">
        <v>0</v>
      </c>
      <c r="H168" t="b">
        <v>0</v>
      </c>
    </row>
    <row r="169">
      <c r="A169" t="inlineStr">
        <is>
          <t>S011</t>
        </is>
      </c>
      <c r="B169" s="3" t="n">
        <v>46266</v>
      </c>
      <c r="C169" t="n">
        <v>15</v>
      </c>
      <c r="D169" t="inlineStr">
        <is>
          <t>Tuesday</t>
        </is>
      </c>
      <c r="E169" t="n">
        <v>18</v>
      </c>
      <c r="F169" t="b">
        <v>0</v>
      </c>
      <c r="H169" t="b">
        <v>0</v>
      </c>
    </row>
    <row r="170">
      <c r="A170" t="inlineStr">
        <is>
          <t>S011</t>
        </is>
      </c>
      <c r="B170" s="3" t="n">
        <v>46266</v>
      </c>
      <c r="C170" t="n">
        <v>16</v>
      </c>
      <c r="D170" t="inlineStr">
        <is>
          <t>Tuesday</t>
        </is>
      </c>
      <c r="E170" t="n">
        <v>27</v>
      </c>
      <c r="F170" t="b">
        <v>0</v>
      </c>
      <c r="H170" t="b">
        <v>0</v>
      </c>
    </row>
    <row r="171">
      <c r="A171" t="inlineStr">
        <is>
          <t>S011</t>
        </is>
      </c>
      <c r="B171" s="3" t="n">
        <v>46266</v>
      </c>
      <c r="C171" t="n">
        <v>17</v>
      </c>
      <c r="D171" t="inlineStr">
        <is>
          <t>Tuesday</t>
        </is>
      </c>
      <c r="E171" t="n">
        <v>35</v>
      </c>
      <c r="F171" t="b">
        <v>0</v>
      </c>
      <c r="H171" t="b">
        <v>0</v>
      </c>
    </row>
    <row r="172">
      <c r="A172" t="inlineStr">
        <is>
          <t>S011</t>
        </is>
      </c>
      <c r="B172" s="3" t="n">
        <v>46266</v>
      </c>
      <c r="C172" t="n">
        <v>18</v>
      </c>
      <c r="D172" t="inlineStr">
        <is>
          <t>Tuesday</t>
        </is>
      </c>
      <c r="E172" t="n">
        <v>16</v>
      </c>
      <c r="F172" t="b">
        <v>0</v>
      </c>
      <c r="G172" t="inlineStr">
        <is>
          <t>Light</t>
        </is>
      </c>
      <c r="H172" t="b">
        <v>0</v>
      </c>
    </row>
    <row r="173">
      <c r="A173" t="inlineStr">
        <is>
          <t>S011</t>
        </is>
      </c>
      <c r="B173" s="3" t="n">
        <v>46266</v>
      </c>
      <c r="C173" t="n">
        <v>19</v>
      </c>
      <c r="D173" t="inlineStr">
        <is>
          <t>Tuesday</t>
        </is>
      </c>
      <c r="E173" t="n">
        <v>52</v>
      </c>
      <c r="F173" t="b">
        <v>1</v>
      </c>
      <c r="H173" t="b">
        <v>0</v>
      </c>
    </row>
    <row r="174">
      <c r="A174" t="inlineStr">
        <is>
          <t>S011</t>
        </is>
      </c>
      <c r="B174" s="3" t="n">
        <v>46266</v>
      </c>
      <c r="C174" t="n">
        <v>20</v>
      </c>
      <c r="D174" t="inlineStr">
        <is>
          <t>Tuesday</t>
        </is>
      </c>
      <c r="E174" t="n">
        <v>58</v>
      </c>
      <c r="F174" t="b">
        <v>1</v>
      </c>
      <c r="H174" t="b">
        <v>0</v>
      </c>
    </row>
    <row r="175">
      <c r="A175" t="inlineStr">
        <is>
          <t>S011</t>
        </is>
      </c>
      <c r="B175" s="3" t="n">
        <v>46266</v>
      </c>
      <c r="C175" t="n">
        <v>21</v>
      </c>
      <c r="D175" t="inlineStr">
        <is>
          <t>Tuesday</t>
        </is>
      </c>
      <c r="E175" t="n">
        <v>43</v>
      </c>
      <c r="F175" t="b">
        <v>1</v>
      </c>
      <c r="G175" t="inlineStr">
        <is>
          <t>Light</t>
        </is>
      </c>
      <c r="H175" t="b">
        <v>0</v>
      </c>
    </row>
    <row r="176">
      <c r="A176" t="inlineStr">
        <is>
          <t>S011</t>
        </is>
      </c>
      <c r="B176" s="3" t="n">
        <v>46266</v>
      </c>
      <c r="C176" t="n">
        <v>22</v>
      </c>
      <c r="D176" t="inlineStr">
        <is>
          <t>Tuesday</t>
        </is>
      </c>
      <c r="E176" t="n">
        <v>32</v>
      </c>
      <c r="F176" t="b">
        <v>0</v>
      </c>
      <c r="G176" t="inlineStr">
        <is>
          <t>Heavy</t>
        </is>
      </c>
      <c r="H176" t="b">
        <v>0</v>
      </c>
    </row>
    <row r="177">
      <c r="A177" t="inlineStr">
        <is>
          <t>S011</t>
        </is>
      </c>
      <c r="B177" s="3" t="n">
        <v>46266</v>
      </c>
      <c r="C177" t="n">
        <v>23</v>
      </c>
      <c r="D177" t="inlineStr">
        <is>
          <t>Tuesday</t>
        </is>
      </c>
      <c r="E177" t="n">
        <v>32</v>
      </c>
      <c r="F177" t="b">
        <v>0</v>
      </c>
      <c r="H177" t="b">
        <v>0</v>
      </c>
    </row>
    <row r="178">
      <c r="A178" t="inlineStr">
        <is>
          <t>S012</t>
        </is>
      </c>
      <c r="B178" s="3" t="n">
        <v>46266</v>
      </c>
      <c r="C178" t="n">
        <v>8</v>
      </c>
      <c r="D178" t="inlineStr">
        <is>
          <t>Tuesday</t>
        </is>
      </c>
      <c r="E178" t="n">
        <v>15</v>
      </c>
      <c r="F178" t="b">
        <v>0</v>
      </c>
      <c r="H178" t="b">
        <v>0</v>
      </c>
    </row>
    <row r="179">
      <c r="A179" t="inlineStr">
        <is>
          <t>S012</t>
        </is>
      </c>
      <c r="B179" s="3" t="n">
        <v>46266</v>
      </c>
      <c r="C179" t="n">
        <v>9</v>
      </c>
      <c r="D179" t="inlineStr">
        <is>
          <t>Tuesday</t>
        </is>
      </c>
      <c r="E179" t="n">
        <v>19</v>
      </c>
      <c r="F179" t="b">
        <v>0</v>
      </c>
      <c r="G179" t="inlineStr">
        <is>
          <t>Light</t>
        </is>
      </c>
      <c r="H179" t="b">
        <v>0</v>
      </c>
    </row>
    <row r="180">
      <c r="A180" t="inlineStr">
        <is>
          <t>S012</t>
        </is>
      </c>
      <c r="B180" s="3" t="n">
        <v>46266</v>
      </c>
      <c r="C180" t="n">
        <v>10</v>
      </c>
      <c r="D180" t="inlineStr">
        <is>
          <t>Tuesday</t>
        </is>
      </c>
      <c r="E180" t="n">
        <v>10</v>
      </c>
      <c r="F180" t="b">
        <v>0</v>
      </c>
      <c r="H180" t="b">
        <v>0</v>
      </c>
    </row>
    <row r="181">
      <c r="A181" t="inlineStr">
        <is>
          <t>S012</t>
        </is>
      </c>
      <c r="B181" s="3" t="n">
        <v>46266</v>
      </c>
      <c r="C181" t="n">
        <v>11</v>
      </c>
      <c r="D181" t="inlineStr">
        <is>
          <t>Tuesday</t>
        </is>
      </c>
      <c r="E181" t="n">
        <v>16</v>
      </c>
      <c r="F181" t="b">
        <v>0</v>
      </c>
      <c r="H181" t="b">
        <v>0</v>
      </c>
    </row>
    <row r="182">
      <c r="A182" t="inlineStr">
        <is>
          <t>S012</t>
        </is>
      </c>
      <c r="B182" s="3" t="n">
        <v>46266</v>
      </c>
      <c r="C182" t="n">
        <v>12</v>
      </c>
      <c r="D182" t="inlineStr">
        <is>
          <t>Tuesday</t>
        </is>
      </c>
      <c r="E182" t="n">
        <v>10</v>
      </c>
      <c r="F182" t="b">
        <v>0</v>
      </c>
      <c r="H182" t="b">
        <v>0</v>
      </c>
    </row>
    <row r="183">
      <c r="A183" t="inlineStr">
        <is>
          <t>S012</t>
        </is>
      </c>
      <c r="B183" s="3" t="n">
        <v>46266</v>
      </c>
      <c r="C183" t="n">
        <v>13</v>
      </c>
      <c r="D183" t="inlineStr">
        <is>
          <t>Tuesday</t>
        </is>
      </c>
      <c r="E183" t="n">
        <v>14</v>
      </c>
      <c r="F183" t="b">
        <v>0</v>
      </c>
      <c r="H183" t="b">
        <v>0</v>
      </c>
    </row>
    <row r="184">
      <c r="A184" t="inlineStr">
        <is>
          <t>S012</t>
        </is>
      </c>
      <c r="B184" s="3" t="n">
        <v>46266</v>
      </c>
      <c r="C184" t="n">
        <v>14</v>
      </c>
      <c r="D184" t="inlineStr">
        <is>
          <t>Tuesday</t>
        </is>
      </c>
      <c r="E184" t="n">
        <v>7</v>
      </c>
      <c r="F184" t="b">
        <v>0</v>
      </c>
      <c r="H184" t="b">
        <v>0</v>
      </c>
    </row>
    <row r="185">
      <c r="A185" t="inlineStr">
        <is>
          <t>S012</t>
        </is>
      </c>
      <c r="B185" s="3" t="n">
        <v>46266</v>
      </c>
      <c r="C185" t="n">
        <v>15</v>
      </c>
      <c r="D185" t="inlineStr">
        <is>
          <t>Tuesday</t>
        </is>
      </c>
      <c r="E185" t="n">
        <v>16</v>
      </c>
      <c r="F185" t="b">
        <v>0</v>
      </c>
      <c r="H185" t="b">
        <v>0</v>
      </c>
    </row>
    <row r="186">
      <c r="A186" t="inlineStr">
        <is>
          <t>S012</t>
        </is>
      </c>
      <c r="B186" s="3" t="n">
        <v>46266</v>
      </c>
      <c r="C186" t="n">
        <v>16</v>
      </c>
      <c r="D186" t="inlineStr">
        <is>
          <t>Tuesday</t>
        </is>
      </c>
      <c r="E186" t="n">
        <v>8</v>
      </c>
      <c r="F186" t="b">
        <v>0</v>
      </c>
      <c r="H186" t="b">
        <v>0</v>
      </c>
    </row>
    <row r="187">
      <c r="A187" t="inlineStr">
        <is>
          <t>S012</t>
        </is>
      </c>
      <c r="B187" s="3" t="n">
        <v>46266</v>
      </c>
      <c r="C187" t="n">
        <v>17</v>
      </c>
      <c r="D187" t="inlineStr">
        <is>
          <t>Tuesday</t>
        </is>
      </c>
      <c r="E187" t="n">
        <v>16</v>
      </c>
      <c r="F187" t="b">
        <v>0</v>
      </c>
      <c r="G187" t="inlineStr">
        <is>
          <t>Light</t>
        </is>
      </c>
      <c r="H187" t="b">
        <v>0</v>
      </c>
    </row>
    <row r="188">
      <c r="A188" t="inlineStr">
        <is>
          <t>S012</t>
        </is>
      </c>
      <c r="B188" s="3" t="n">
        <v>46266</v>
      </c>
      <c r="C188" t="n">
        <v>18</v>
      </c>
      <c r="D188" t="inlineStr">
        <is>
          <t>Tuesday</t>
        </is>
      </c>
      <c r="E188" t="n">
        <v>16</v>
      </c>
      <c r="F188" t="b">
        <v>0</v>
      </c>
      <c r="H188" t="b">
        <v>0</v>
      </c>
    </row>
    <row r="189">
      <c r="A189" t="inlineStr">
        <is>
          <t>S012</t>
        </is>
      </c>
      <c r="B189" s="3" t="n">
        <v>46266</v>
      </c>
      <c r="C189" t="n">
        <v>19</v>
      </c>
      <c r="D189" t="inlineStr">
        <is>
          <t>Tuesday</t>
        </is>
      </c>
      <c r="E189" t="n">
        <v>20</v>
      </c>
      <c r="F189" t="b">
        <v>1</v>
      </c>
      <c r="H189" t="b">
        <v>1</v>
      </c>
    </row>
    <row r="190">
      <c r="A190" t="inlineStr">
        <is>
          <t>S012</t>
        </is>
      </c>
      <c r="B190" s="3" t="n">
        <v>46266</v>
      </c>
      <c r="C190" t="n">
        <v>20</v>
      </c>
      <c r="D190" t="inlineStr">
        <is>
          <t>Tuesday</t>
        </is>
      </c>
      <c r="E190" t="n">
        <v>24</v>
      </c>
      <c r="F190" t="b">
        <v>1</v>
      </c>
      <c r="H190" t="b">
        <v>0</v>
      </c>
    </row>
    <row r="191">
      <c r="A191" t="inlineStr">
        <is>
          <t>S012</t>
        </is>
      </c>
      <c r="B191" s="3" t="n">
        <v>46266</v>
      </c>
      <c r="C191" t="n">
        <v>21</v>
      </c>
      <c r="D191" t="inlineStr">
        <is>
          <t>Tuesday</t>
        </is>
      </c>
      <c r="E191" t="n">
        <v>23</v>
      </c>
      <c r="F191" t="b">
        <v>1</v>
      </c>
      <c r="G191" t="inlineStr">
        <is>
          <t>Light</t>
        </is>
      </c>
      <c r="H191" t="b">
        <v>0</v>
      </c>
    </row>
    <row r="192">
      <c r="A192" t="inlineStr">
        <is>
          <t>S012</t>
        </is>
      </c>
      <c r="B192" s="3" t="n">
        <v>46266</v>
      </c>
      <c r="C192" t="n">
        <v>22</v>
      </c>
      <c r="D192" t="inlineStr">
        <is>
          <t>Tuesday</t>
        </is>
      </c>
      <c r="E192" t="n">
        <v>13</v>
      </c>
      <c r="F192" t="b">
        <v>0</v>
      </c>
      <c r="H192" t="b">
        <v>0</v>
      </c>
    </row>
    <row r="193">
      <c r="A193" t="inlineStr">
        <is>
          <t>S012</t>
        </is>
      </c>
      <c r="B193" s="3" t="n">
        <v>46266</v>
      </c>
      <c r="C193" t="n">
        <v>23</v>
      </c>
      <c r="D193" t="inlineStr">
        <is>
          <t>Tuesday</t>
        </is>
      </c>
      <c r="E193" t="n">
        <v>14</v>
      </c>
      <c r="F193" t="b">
        <v>0</v>
      </c>
      <c r="H193" t="b">
        <v>0</v>
      </c>
    </row>
    <row r="194">
      <c r="A194" t="inlineStr">
        <is>
          <t>S013</t>
        </is>
      </c>
      <c r="B194" s="3" t="n">
        <v>46266</v>
      </c>
      <c r="C194" t="n">
        <v>8</v>
      </c>
      <c r="D194" t="inlineStr">
        <is>
          <t>Tuesday</t>
        </is>
      </c>
      <c r="E194" t="n">
        <v>40</v>
      </c>
      <c r="F194" t="b">
        <v>0</v>
      </c>
      <c r="H194" t="b">
        <v>0</v>
      </c>
    </row>
    <row r="195">
      <c r="A195" t="inlineStr">
        <is>
          <t>S013</t>
        </is>
      </c>
      <c r="B195" s="3" t="n">
        <v>46266</v>
      </c>
      <c r="C195" t="n">
        <v>9</v>
      </c>
      <c r="D195" t="inlineStr">
        <is>
          <t>Tuesday</t>
        </is>
      </c>
      <c r="E195" t="n">
        <v>39</v>
      </c>
      <c r="F195" t="b">
        <v>0</v>
      </c>
      <c r="H195" t="b">
        <v>0</v>
      </c>
    </row>
    <row r="196">
      <c r="A196" t="inlineStr">
        <is>
          <t>S013</t>
        </is>
      </c>
      <c r="B196" s="3" t="n">
        <v>46266</v>
      </c>
      <c r="C196" t="n">
        <v>10</v>
      </c>
      <c r="D196" t="inlineStr">
        <is>
          <t>Tuesday</t>
        </is>
      </c>
      <c r="E196" t="n">
        <v>29</v>
      </c>
      <c r="F196" t="b">
        <v>0</v>
      </c>
      <c r="H196" t="b">
        <v>0</v>
      </c>
    </row>
    <row r="197">
      <c r="A197" t="inlineStr">
        <is>
          <t>S013</t>
        </is>
      </c>
      <c r="B197" s="3" t="n">
        <v>46266</v>
      </c>
      <c r="C197" t="n">
        <v>11</v>
      </c>
      <c r="D197" t="inlineStr">
        <is>
          <t>Tuesday</t>
        </is>
      </c>
      <c r="E197" t="n">
        <v>54</v>
      </c>
      <c r="F197" t="b">
        <v>0</v>
      </c>
      <c r="H197" t="b">
        <v>0</v>
      </c>
    </row>
    <row r="198">
      <c r="A198" t="inlineStr">
        <is>
          <t>S013</t>
        </is>
      </c>
      <c r="B198" s="3" t="n">
        <v>46266</v>
      </c>
      <c r="C198" t="n">
        <v>12</v>
      </c>
      <c r="D198" t="inlineStr">
        <is>
          <t>Tuesday</t>
        </is>
      </c>
      <c r="E198" t="n">
        <v>41</v>
      </c>
      <c r="F198" t="b">
        <v>0</v>
      </c>
      <c r="H198" t="b">
        <v>0</v>
      </c>
    </row>
    <row r="199">
      <c r="A199" t="inlineStr">
        <is>
          <t>S013</t>
        </is>
      </c>
      <c r="B199" s="3" t="n">
        <v>46266</v>
      </c>
      <c r="C199" t="n">
        <v>13</v>
      </c>
      <c r="D199" t="inlineStr">
        <is>
          <t>Tuesday</t>
        </is>
      </c>
      <c r="E199" t="n">
        <v>55</v>
      </c>
      <c r="F199" t="b">
        <v>0</v>
      </c>
      <c r="H199" t="b">
        <v>0</v>
      </c>
    </row>
    <row r="200">
      <c r="A200" t="inlineStr">
        <is>
          <t>S013</t>
        </is>
      </c>
      <c r="B200" s="3" t="n">
        <v>46266</v>
      </c>
      <c r="C200" t="n">
        <v>14</v>
      </c>
      <c r="D200" t="inlineStr">
        <is>
          <t>Tuesday</t>
        </is>
      </c>
      <c r="E200" t="n">
        <v>33</v>
      </c>
      <c r="F200" t="b">
        <v>0</v>
      </c>
      <c r="G200" t="inlineStr">
        <is>
          <t>Light</t>
        </is>
      </c>
      <c r="H200" t="b">
        <v>0</v>
      </c>
    </row>
    <row r="201">
      <c r="A201" t="inlineStr">
        <is>
          <t>S013</t>
        </is>
      </c>
      <c r="B201" s="3" t="n">
        <v>46266</v>
      </c>
      <c r="C201" t="n">
        <v>15</v>
      </c>
      <c r="D201" t="inlineStr">
        <is>
          <t>Tuesday</t>
        </is>
      </c>
      <c r="E201" t="n">
        <v>32</v>
      </c>
      <c r="F201" t="b">
        <v>0</v>
      </c>
      <c r="G201" t="inlineStr">
        <is>
          <t>Light</t>
        </is>
      </c>
      <c r="H201" t="b">
        <v>0</v>
      </c>
    </row>
    <row r="202">
      <c r="A202" t="inlineStr">
        <is>
          <t>S013</t>
        </is>
      </c>
      <c r="B202" s="3" t="n">
        <v>46266</v>
      </c>
      <c r="C202" t="n">
        <v>16</v>
      </c>
      <c r="D202" t="inlineStr">
        <is>
          <t>Tuesday</t>
        </is>
      </c>
      <c r="E202" t="n">
        <v>50</v>
      </c>
      <c r="F202" t="b">
        <v>0</v>
      </c>
      <c r="H202" t="b">
        <v>0</v>
      </c>
    </row>
    <row r="203">
      <c r="A203" t="inlineStr">
        <is>
          <t>S013</t>
        </is>
      </c>
      <c r="B203" s="3" t="n">
        <v>46266</v>
      </c>
      <c r="C203" t="n">
        <v>17</v>
      </c>
      <c r="D203" t="inlineStr">
        <is>
          <t>Tuesday</t>
        </is>
      </c>
      <c r="E203" t="n">
        <v>41</v>
      </c>
      <c r="F203" t="b">
        <v>0</v>
      </c>
      <c r="H203" t="b">
        <v>0</v>
      </c>
    </row>
    <row r="204">
      <c r="A204" t="inlineStr">
        <is>
          <t>S013</t>
        </is>
      </c>
      <c r="B204" s="3" t="n">
        <v>46266</v>
      </c>
      <c r="C204" t="n">
        <v>18</v>
      </c>
      <c r="D204" t="inlineStr">
        <is>
          <t>Tuesday</t>
        </is>
      </c>
      <c r="E204" t="n">
        <v>61</v>
      </c>
      <c r="F204" t="b">
        <v>0</v>
      </c>
      <c r="G204" t="inlineStr">
        <is>
          <t>Light</t>
        </is>
      </c>
      <c r="H204" t="b">
        <v>0</v>
      </c>
    </row>
    <row r="205">
      <c r="A205" t="inlineStr">
        <is>
          <t>S013</t>
        </is>
      </c>
      <c r="B205" s="3" t="n">
        <v>46266</v>
      </c>
      <c r="C205" t="n">
        <v>19</v>
      </c>
      <c r="D205" t="inlineStr">
        <is>
          <t>Tuesday</t>
        </is>
      </c>
      <c r="E205" t="n">
        <v>47</v>
      </c>
      <c r="F205" t="b">
        <v>1</v>
      </c>
      <c r="H205" t="b">
        <v>0</v>
      </c>
    </row>
    <row r="206">
      <c r="A206" t="inlineStr">
        <is>
          <t>S013</t>
        </is>
      </c>
      <c r="B206" s="3" t="n">
        <v>46266</v>
      </c>
      <c r="C206" t="n">
        <v>20</v>
      </c>
      <c r="D206" t="inlineStr">
        <is>
          <t>Tuesday</t>
        </is>
      </c>
      <c r="E206" t="n">
        <v>87</v>
      </c>
      <c r="F206" t="b">
        <v>1</v>
      </c>
      <c r="H206" t="b">
        <v>0</v>
      </c>
    </row>
    <row r="207">
      <c r="A207" t="inlineStr">
        <is>
          <t>S013</t>
        </is>
      </c>
      <c r="B207" s="3" t="n">
        <v>46266</v>
      </c>
      <c r="C207" t="n">
        <v>21</v>
      </c>
      <c r="D207" t="inlineStr">
        <is>
          <t>Tuesday</t>
        </is>
      </c>
      <c r="E207" t="n">
        <v>68</v>
      </c>
      <c r="F207" t="b">
        <v>1</v>
      </c>
      <c r="G207" t="inlineStr">
        <is>
          <t>Light</t>
        </is>
      </c>
      <c r="H207" t="b">
        <v>1</v>
      </c>
    </row>
    <row r="208">
      <c r="A208" t="inlineStr">
        <is>
          <t>S013</t>
        </is>
      </c>
      <c r="B208" s="3" t="n">
        <v>46266</v>
      </c>
      <c r="C208" t="n">
        <v>22</v>
      </c>
      <c r="D208" t="inlineStr">
        <is>
          <t>Tuesday</t>
        </is>
      </c>
      <c r="E208" t="n">
        <v>57</v>
      </c>
      <c r="F208" t="b">
        <v>0</v>
      </c>
      <c r="H208" t="b">
        <v>0</v>
      </c>
    </row>
    <row r="209">
      <c r="A209" t="inlineStr">
        <is>
          <t>S013</t>
        </is>
      </c>
      <c r="B209" s="3" t="n">
        <v>46266</v>
      </c>
      <c r="C209" t="n">
        <v>23</v>
      </c>
      <c r="D209" t="inlineStr">
        <is>
          <t>Tuesday</t>
        </is>
      </c>
      <c r="E209" t="n">
        <v>45</v>
      </c>
      <c r="F209" t="b">
        <v>0</v>
      </c>
      <c r="H209" t="b">
        <v>0</v>
      </c>
    </row>
    <row r="210">
      <c r="A210" t="inlineStr">
        <is>
          <t>S014</t>
        </is>
      </c>
      <c r="B210" s="3" t="n">
        <v>46266</v>
      </c>
      <c r="C210" t="n">
        <v>8</v>
      </c>
      <c r="D210" t="inlineStr">
        <is>
          <t>Tuesday</t>
        </is>
      </c>
      <c r="E210" t="n">
        <v>17</v>
      </c>
      <c r="F210" t="b">
        <v>0</v>
      </c>
      <c r="G210" t="inlineStr">
        <is>
          <t>Light</t>
        </is>
      </c>
      <c r="H210" t="b">
        <v>0</v>
      </c>
    </row>
    <row r="211">
      <c r="A211" t="inlineStr">
        <is>
          <t>S014</t>
        </is>
      </c>
      <c r="B211" s="3" t="n">
        <v>46266</v>
      </c>
      <c r="C211" t="n">
        <v>9</v>
      </c>
      <c r="D211" t="inlineStr">
        <is>
          <t>Tuesday</t>
        </is>
      </c>
      <c r="E211" t="n">
        <v>24</v>
      </c>
      <c r="F211" t="b">
        <v>0</v>
      </c>
      <c r="H211" t="b">
        <v>0</v>
      </c>
    </row>
    <row r="212">
      <c r="A212" t="inlineStr">
        <is>
          <t>S014</t>
        </is>
      </c>
      <c r="B212" s="3" t="n">
        <v>46266</v>
      </c>
      <c r="C212" t="n">
        <v>10</v>
      </c>
      <c r="D212" t="inlineStr">
        <is>
          <t>Tuesday</t>
        </is>
      </c>
      <c r="E212" t="n">
        <v>18</v>
      </c>
      <c r="F212" t="b">
        <v>0</v>
      </c>
      <c r="G212" t="inlineStr">
        <is>
          <t>Light</t>
        </is>
      </c>
      <c r="H212" t="b">
        <v>0</v>
      </c>
    </row>
    <row r="213">
      <c r="A213" t="inlineStr">
        <is>
          <t>S014</t>
        </is>
      </c>
      <c r="B213" s="3" t="n">
        <v>46266</v>
      </c>
      <c r="C213" t="n">
        <v>11</v>
      </c>
      <c r="D213" t="inlineStr">
        <is>
          <t>Tuesday</t>
        </is>
      </c>
      <c r="E213" t="n">
        <v>46</v>
      </c>
      <c r="F213" t="b">
        <v>0</v>
      </c>
      <c r="H213" t="b">
        <v>0</v>
      </c>
    </row>
    <row r="214">
      <c r="A214" t="inlineStr">
        <is>
          <t>S014</t>
        </is>
      </c>
      <c r="B214" s="3" t="n">
        <v>46266</v>
      </c>
      <c r="C214" t="n">
        <v>12</v>
      </c>
      <c r="D214" t="inlineStr">
        <is>
          <t>Tuesday</t>
        </is>
      </c>
      <c r="E214" t="n">
        <v>41</v>
      </c>
      <c r="F214" t="b">
        <v>0</v>
      </c>
      <c r="H214" t="b">
        <v>0</v>
      </c>
    </row>
    <row r="215">
      <c r="A215" t="inlineStr">
        <is>
          <t>S014</t>
        </is>
      </c>
      <c r="B215" s="3" t="n">
        <v>46266</v>
      </c>
      <c r="C215" t="n">
        <v>13</v>
      </c>
      <c r="D215" t="inlineStr">
        <is>
          <t>Tuesday</t>
        </is>
      </c>
      <c r="E215" t="n">
        <v>36</v>
      </c>
      <c r="F215" t="b">
        <v>0</v>
      </c>
      <c r="H215" t="b">
        <v>0</v>
      </c>
    </row>
    <row r="216">
      <c r="A216" t="inlineStr">
        <is>
          <t>S014</t>
        </is>
      </c>
      <c r="B216" s="3" t="n">
        <v>46266</v>
      </c>
      <c r="C216" t="n">
        <v>14</v>
      </c>
      <c r="D216" t="inlineStr">
        <is>
          <t>Tuesday</t>
        </is>
      </c>
      <c r="E216" t="n">
        <v>36</v>
      </c>
      <c r="F216" t="b">
        <v>0</v>
      </c>
      <c r="H216" t="b">
        <v>1</v>
      </c>
    </row>
    <row r="217">
      <c r="A217" t="inlineStr">
        <is>
          <t>S014</t>
        </is>
      </c>
      <c r="B217" s="3" t="n">
        <v>46266</v>
      </c>
      <c r="C217" t="n">
        <v>15</v>
      </c>
      <c r="D217" t="inlineStr">
        <is>
          <t>Tuesday</t>
        </is>
      </c>
      <c r="E217" t="n">
        <v>20</v>
      </c>
      <c r="F217" t="b">
        <v>0</v>
      </c>
      <c r="H217" t="b">
        <v>0</v>
      </c>
    </row>
    <row r="218">
      <c r="A218" t="inlineStr">
        <is>
          <t>S014</t>
        </is>
      </c>
      <c r="B218" s="3" t="n">
        <v>46266</v>
      </c>
      <c r="C218" t="n">
        <v>16</v>
      </c>
      <c r="D218" t="inlineStr">
        <is>
          <t>Tuesday</t>
        </is>
      </c>
      <c r="E218" t="n">
        <v>48</v>
      </c>
      <c r="F218" t="b">
        <v>0</v>
      </c>
      <c r="G218" t="inlineStr">
        <is>
          <t>Light</t>
        </is>
      </c>
      <c r="H218" t="b">
        <v>0</v>
      </c>
    </row>
    <row r="219">
      <c r="A219" t="inlineStr">
        <is>
          <t>S014</t>
        </is>
      </c>
      <c r="B219" s="3" t="n">
        <v>46266</v>
      </c>
      <c r="C219" t="n">
        <v>17</v>
      </c>
      <c r="D219" t="inlineStr">
        <is>
          <t>Tuesday</t>
        </is>
      </c>
      <c r="E219" t="n">
        <v>40</v>
      </c>
      <c r="F219" t="b">
        <v>0</v>
      </c>
      <c r="H219" t="b">
        <v>0</v>
      </c>
    </row>
    <row r="220">
      <c r="A220" t="inlineStr">
        <is>
          <t>S014</t>
        </is>
      </c>
      <c r="B220" s="3" t="n">
        <v>46266</v>
      </c>
      <c r="C220" t="n">
        <v>18</v>
      </c>
      <c r="D220" t="inlineStr">
        <is>
          <t>Tuesday</t>
        </is>
      </c>
      <c r="E220" t="n">
        <v>36</v>
      </c>
      <c r="F220" t="b">
        <v>0</v>
      </c>
      <c r="H220" t="b">
        <v>0</v>
      </c>
    </row>
    <row r="221">
      <c r="A221" t="inlineStr">
        <is>
          <t>S014</t>
        </is>
      </c>
      <c r="B221" s="3" t="n">
        <v>46266</v>
      </c>
      <c r="C221" t="n">
        <v>19</v>
      </c>
      <c r="D221" t="inlineStr">
        <is>
          <t>Tuesday</t>
        </is>
      </c>
      <c r="E221" t="n">
        <v>58</v>
      </c>
      <c r="F221" t="b">
        <v>1</v>
      </c>
      <c r="H221" t="b">
        <v>1</v>
      </c>
    </row>
    <row r="222">
      <c r="A222" t="inlineStr">
        <is>
          <t>S014</t>
        </is>
      </c>
      <c r="B222" s="3" t="n">
        <v>46266</v>
      </c>
      <c r="C222" t="n">
        <v>20</v>
      </c>
      <c r="D222" t="inlineStr">
        <is>
          <t>Tuesday</t>
        </is>
      </c>
      <c r="E222" t="n">
        <v>42</v>
      </c>
      <c r="F222" t="b">
        <v>1</v>
      </c>
      <c r="H222" t="b">
        <v>0</v>
      </c>
    </row>
    <row r="223">
      <c r="A223" t="inlineStr">
        <is>
          <t>S014</t>
        </is>
      </c>
      <c r="B223" s="3" t="n">
        <v>46266</v>
      </c>
      <c r="C223" t="n">
        <v>21</v>
      </c>
      <c r="D223" t="inlineStr">
        <is>
          <t>Tuesday</t>
        </is>
      </c>
      <c r="E223" t="n">
        <v>56</v>
      </c>
      <c r="F223" t="b">
        <v>1</v>
      </c>
      <c r="H223" t="b">
        <v>0</v>
      </c>
    </row>
    <row r="224">
      <c r="A224" t="inlineStr">
        <is>
          <t>S014</t>
        </is>
      </c>
      <c r="B224" s="3" t="n">
        <v>46266</v>
      </c>
      <c r="C224" t="n">
        <v>22</v>
      </c>
      <c r="D224" t="inlineStr">
        <is>
          <t>Tuesday</t>
        </is>
      </c>
      <c r="E224" t="n">
        <v>36</v>
      </c>
      <c r="F224" t="b">
        <v>0</v>
      </c>
      <c r="H224" t="b">
        <v>0</v>
      </c>
    </row>
    <row r="225">
      <c r="A225" t="inlineStr">
        <is>
          <t>S014</t>
        </is>
      </c>
      <c r="B225" s="3" t="n">
        <v>46266</v>
      </c>
      <c r="C225" t="n">
        <v>23</v>
      </c>
      <c r="D225" t="inlineStr">
        <is>
          <t>Tuesday</t>
        </is>
      </c>
      <c r="E225" t="n">
        <v>46</v>
      </c>
      <c r="F225" t="b">
        <v>0</v>
      </c>
      <c r="G225" t="inlineStr">
        <is>
          <t>Light</t>
        </is>
      </c>
      <c r="H225" t="b">
        <v>0</v>
      </c>
    </row>
    <row r="226">
      <c r="A226" t="inlineStr">
        <is>
          <t>S015</t>
        </is>
      </c>
      <c r="B226" s="3" t="n">
        <v>46266</v>
      </c>
      <c r="C226" t="n">
        <v>8</v>
      </c>
      <c r="D226" t="inlineStr">
        <is>
          <t>Tuesday</t>
        </is>
      </c>
      <c r="E226" t="n">
        <v>16</v>
      </c>
      <c r="F226" t="b">
        <v>0</v>
      </c>
      <c r="H226" t="b">
        <v>0</v>
      </c>
    </row>
    <row r="227">
      <c r="A227" t="inlineStr">
        <is>
          <t>S015</t>
        </is>
      </c>
      <c r="B227" s="3" t="n">
        <v>46266</v>
      </c>
      <c r="C227" t="n">
        <v>9</v>
      </c>
      <c r="D227" t="inlineStr">
        <is>
          <t>Tuesday</t>
        </is>
      </c>
      <c r="E227" t="n">
        <v>11</v>
      </c>
      <c r="F227" t="b">
        <v>0</v>
      </c>
      <c r="H227" t="b">
        <v>0</v>
      </c>
    </row>
    <row r="228">
      <c r="A228" t="inlineStr">
        <is>
          <t>S015</t>
        </is>
      </c>
      <c r="B228" s="3" t="n">
        <v>46266</v>
      </c>
      <c r="C228" t="n">
        <v>10</v>
      </c>
      <c r="D228" t="inlineStr">
        <is>
          <t>Tuesday</t>
        </is>
      </c>
      <c r="E228" t="n">
        <v>13</v>
      </c>
      <c r="F228" t="b">
        <v>0</v>
      </c>
      <c r="H228" t="b">
        <v>0</v>
      </c>
    </row>
    <row r="229">
      <c r="A229" t="inlineStr">
        <is>
          <t>S015</t>
        </is>
      </c>
      <c r="B229" s="3" t="n">
        <v>46266</v>
      </c>
      <c r="C229" t="n">
        <v>11</v>
      </c>
      <c r="D229" t="inlineStr">
        <is>
          <t>Tuesday</t>
        </is>
      </c>
      <c r="E229" t="n">
        <v>17</v>
      </c>
      <c r="F229" t="b">
        <v>0</v>
      </c>
      <c r="H229" t="b">
        <v>0</v>
      </c>
    </row>
    <row r="230">
      <c r="A230" t="inlineStr">
        <is>
          <t>S015</t>
        </is>
      </c>
      <c r="B230" s="3" t="n">
        <v>46266</v>
      </c>
      <c r="C230" t="n">
        <v>12</v>
      </c>
      <c r="D230" t="inlineStr">
        <is>
          <t>Tuesday</t>
        </is>
      </c>
      <c r="E230" t="n">
        <v>24</v>
      </c>
      <c r="F230" t="b">
        <v>0</v>
      </c>
      <c r="H230" t="b">
        <v>0</v>
      </c>
    </row>
    <row r="231">
      <c r="A231" t="inlineStr">
        <is>
          <t>S015</t>
        </is>
      </c>
      <c r="B231" s="3" t="n">
        <v>46266</v>
      </c>
      <c r="C231" t="n">
        <v>13</v>
      </c>
      <c r="D231" t="inlineStr">
        <is>
          <t>Tuesday</t>
        </is>
      </c>
      <c r="E231" t="n">
        <v>15</v>
      </c>
      <c r="F231" t="b">
        <v>0</v>
      </c>
      <c r="G231" t="inlineStr">
        <is>
          <t>Light</t>
        </is>
      </c>
      <c r="H231" t="b">
        <v>0</v>
      </c>
    </row>
    <row r="232">
      <c r="A232" t="inlineStr">
        <is>
          <t>S015</t>
        </is>
      </c>
      <c r="B232" s="3" t="n">
        <v>46266</v>
      </c>
      <c r="C232" t="n">
        <v>14</v>
      </c>
      <c r="D232" t="inlineStr">
        <is>
          <t>Tuesday</t>
        </is>
      </c>
      <c r="E232" t="n">
        <v>18</v>
      </c>
      <c r="F232" t="b">
        <v>0</v>
      </c>
      <c r="H232" t="b">
        <v>0</v>
      </c>
    </row>
    <row r="233">
      <c r="A233" t="inlineStr">
        <is>
          <t>S015</t>
        </is>
      </c>
      <c r="B233" s="3" t="n">
        <v>46266</v>
      </c>
      <c r="C233" t="n">
        <v>15</v>
      </c>
      <c r="D233" t="inlineStr">
        <is>
          <t>Tuesday</t>
        </is>
      </c>
      <c r="E233" t="n">
        <v>17</v>
      </c>
      <c r="F233" t="b">
        <v>0</v>
      </c>
      <c r="H233" t="b">
        <v>0</v>
      </c>
    </row>
    <row r="234">
      <c r="A234" t="inlineStr">
        <is>
          <t>S015</t>
        </is>
      </c>
      <c r="B234" s="3" t="n">
        <v>46266</v>
      </c>
      <c r="C234" t="n">
        <v>16</v>
      </c>
      <c r="D234" t="inlineStr">
        <is>
          <t>Tuesday</t>
        </is>
      </c>
      <c r="E234" t="n">
        <v>23</v>
      </c>
      <c r="F234" t="b">
        <v>0</v>
      </c>
      <c r="H234" t="b">
        <v>0</v>
      </c>
    </row>
    <row r="235">
      <c r="A235" t="inlineStr">
        <is>
          <t>S015</t>
        </is>
      </c>
      <c r="B235" s="3" t="n">
        <v>46266</v>
      </c>
      <c r="C235" t="n">
        <v>17</v>
      </c>
      <c r="D235" t="inlineStr">
        <is>
          <t>Tuesday</t>
        </is>
      </c>
      <c r="E235" t="n">
        <v>20</v>
      </c>
      <c r="F235" t="b">
        <v>0</v>
      </c>
      <c r="G235" t="inlineStr">
        <is>
          <t>Light</t>
        </is>
      </c>
      <c r="H235" t="b">
        <v>0</v>
      </c>
    </row>
    <row r="236">
      <c r="A236" t="inlineStr">
        <is>
          <t>S015</t>
        </is>
      </c>
      <c r="B236" s="3" t="n">
        <v>46266</v>
      </c>
      <c r="C236" t="n">
        <v>18</v>
      </c>
      <c r="D236" t="inlineStr">
        <is>
          <t>Tuesday</t>
        </is>
      </c>
      <c r="E236" t="n">
        <v>29</v>
      </c>
      <c r="F236" t="b">
        <v>0</v>
      </c>
      <c r="H236" t="b">
        <v>1</v>
      </c>
    </row>
    <row r="237">
      <c r="A237" t="inlineStr">
        <is>
          <t>S015</t>
        </is>
      </c>
      <c r="B237" s="3" t="n">
        <v>46266</v>
      </c>
      <c r="C237" t="n">
        <v>19</v>
      </c>
      <c r="D237" t="inlineStr">
        <is>
          <t>Tuesday</t>
        </is>
      </c>
      <c r="E237" t="n">
        <v>32</v>
      </c>
      <c r="F237" t="b">
        <v>1</v>
      </c>
      <c r="H237" t="b">
        <v>0</v>
      </c>
    </row>
    <row r="238">
      <c r="A238" t="inlineStr">
        <is>
          <t>S015</t>
        </is>
      </c>
      <c r="B238" s="3" t="n">
        <v>46266</v>
      </c>
      <c r="C238" t="n">
        <v>20</v>
      </c>
      <c r="D238" t="inlineStr">
        <is>
          <t>Tuesday</t>
        </is>
      </c>
      <c r="E238" t="n">
        <v>31</v>
      </c>
      <c r="F238" t="b">
        <v>1</v>
      </c>
      <c r="H238" t="b">
        <v>0</v>
      </c>
    </row>
    <row r="239">
      <c r="A239" t="inlineStr">
        <is>
          <t>S015</t>
        </is>
      </c>
      <c r="B239" s="3" t="n">
        <v>46266</v>
      </c>
      <c r="C239" t="n">
        <v>21</v>
      </c>
      <c r="D239" t="inlineStr">
        <is>
          <t>Tuesday</t>
        </is>
      </c>
      <c r="E239" t="n">
        <v>39</v>
      </c>
      <c r="F239" t="b">
        <v>1</v>
      </c>
      <c r="H239" t="b">
        <v>0</v>
      </c>
    </row>
    <row r="240">
      <c r="A240" t="inlineStr">
        <is>
          <t>S015</t>
        </is>
      </c>
      <c r="B240" s="3" t="n">
        <v>46266</v>
      </c>
      <c r="C240" t="n">
        <v>22</v>
      </c>
      <c r="D240" t="inlineStr">
        <is>
          <t>Tuesday</t>
        </is>
      </c>
      <c r="E240" t="n">
        <v>28</v>
      </c>
      <c r="F240" t="b">
        <v>0</v>
      </c>
      <c r="G240" t="inlineStr">
        <is>
          <t>Light</t>
        </is>
      </c>
      <c r="H240" t="b">
        <v>0</v>
      </c>
    </row>
    <row r="241">
      <c r="A241" t="inlineStr">
        <is>
          <t>S015</t>
        </is>
      </c>
      <c r="B241" s="3" t="n">
        <v>46266</v>
      </c>
      <c r="C241" t="n">
        <v>23</v>
      </c>
      <c r="D241" t="inlineStr">
        <is>
          <t>Tuesday</t>
        </is>
      </c>
      <c r="E241" t="n">
        <v>26</v>
      </c>
      <c r="F241" t="b">
        <v>0</v>
      </c>
      <c r="H241" t="b">
        <v>0</v>
      </c>
    </row>
    <row r="242">
      <c r="A242" t="inlineStr">
        <is>
          <t>S016</t>
        </is>
      </c>
      <c r="B242" s="3" t="n">
        <v>46266</v>
      </c>
      <c r="C242" t="n">
        <v>8</v>
      </c>
      <c r="D242" t="inlineStr">
        <is>
          <t>Tuesday</t>
        </is>
      </c>
      <c r="E242" t="n">
        <v>17</v>
      </c>
      <c r="F242" t="b">
        <v>0</v>
      </c>
      <c r="H242" t="b">
        <v>0</v>
      </c>
    </row>
    <row r="243">
      <c r="A243" t="inlineStr">
        <is>
          <t>S016</t>
        </is>
      </c>
      <c r="B243" s="3" t="n">
        <v>46266</v>
      </c>
      <c r="C243" t="n">
        <v>9</v>
      </c>
      <c r="D243" t="inlineStr">
        <is>
          <t>Tuesday</t>
        </is>
      </c>
      <c r="E243" t="n">
        <v>19</v>
      </c>
      <c r="F243" t="b">
        <v>0</v>
      </c>
      <c r="H243" t="b">
        <v>0</v>
      </c>
    </row>
    <row r="244">
      <c r="A244" t="inlineStr">
        <is>
          <t>S016</t>
        </is>
      </c>
      <c r="B244" s="3" t="n">
        <v>46266</v>
      </c>
      <c r="C244" t="n">
        <v>10</v>
      </c>
      <c r="D244" t="inlineStr">
        <is>
          <t>Tuesday</t>
        </is>
      </c>
      <c r="E244" t="n">
        <v>19</v>
      </c>
      <c r="F244" t="b">
        <v>0</v>
      </c>
      <c r="H244" t="b">
        <v>0</v>
      </c>
    </row>
    <row r="245">
      <c r="A245" t="inlineStr">
        <is>
          <t>S016</t>
        </is>
      </c>
      <c r="B245" s="3" t="n">
        <v>46266</v>
      </c>
      <c r="C245" t="n">
        <v>11</v>
      </c>
      <c r="D245" t="inlineStr">
        <is>
          <t>Tuesday</t>
        </is>
      </c>
      <c r="E245" t="n">
        <v>25</v>
      </c>
      <c r="F245" t="b">
        <v>0</v>
      </c>
      <c r="H245" t="b">
        <v>0</v>
      </c>
    </row>
    <row r="246">
      <c r="A246" t="inlineStr">
        <is>
          <t>S016</t>
        </is>
      </c>
      <c r="B246" s="3" t="n">
        <v>46266</v>
      </c>
      <c r="C246" t="n">
        <v>12</v>
      </c>
      <c r="D246" t="inlineStr">
        <is>
          <t>Tuesday</t>
        </is>
      </c>
      <c r="E246" t="n">
        <v>19</v>
      </c>
      <c r="F246" t="b">
        <v>0</v>
      </c>
      <c r="H246" t="b">
        <v>0</v>
      </c>
    </row>
    <row r="247">
      <c r="A247" t="inlineStr">
        <is>
          <t>S016</t>
        </is>
      </c>
      <c r="B247" s="3" t="n">
        <v>46266</v>
      </c>
      <c r="C247" t="n">
        <v>13</v>
      </c>
      <c r="D247" t="inlineStr">
        <is>
          <t>Tuesday</t>
        </is>
      </c>
      <c r="E247" t="n">
        <v>27</v>
      </c>
      <c r="F247" t="b">
        <v>0</v>
      </c>
      <c r="H247" t="b">
        <v>0</v>
      </c>
    </row>
    <row r="248">
      <c r="A248" t="inlineStr">
        <is>
          <t>S016</t>
        </is>
      </c>
      <c r="B248" s="3" t="n">
        <v>46266</v>
      </c>
      <c r="C248" t="n">
        <v>14</v>
      </c>
      <c r="D248" t="inlineStr">
        <is>
          <t>Tuesday</t>
        </is>
      </c>
      <c r="E248" t="n">
        <v>16</v>
      </c>
      <c r="F248" t="b">
        <v>0</v>
      </c>
      <c r="H248" t="b">
        <v>0</v>
      </c>
    </row>
    <row r="249">
      <c r="A249" t="inlineStr">
        <is>
          <t>S016</t>
        </is>
      </c>
      <c r="B249" s="3" t="n">
        <v>46266</v>
      </c>
      <c r="C249" t="n">
        <v>15</v>
      </c>
      <c r="D249" t="inlineStr">
        <is>
          <t>Tuesday</t>
        </is>
      </c>
      <c r="E249" t="n">
        <v>12</v>
      </c>
      <c r="F249" t="b">
        <v>0</v>
      </c>
      <c r="G249" t="inlineStr">
        <is>
          <t>Light</t>
        </is>
      </c>
      <c r="H249" t="b">
        <v>0</v>
      </c>
    </row>
    <row r="250">
      <c r="A250" t="inlineStr">
        <is>
          <t>S016</t>
        </is>
      </c>
      <c r="B250" s="3" t="n">
        <v>46266</v>
      </c>
      <c r="C250" t="n">
        <v>16</v>
      </c>
      <c r="D250" t="inlineStr">
        <is>
          <t>Tuesday</t>
        </is>
      </c>
      <c r="E250" t="n">
        <v>18</v>
      </c>
      <c r="F250" t="b">
        <v>0</v>
      </c>
      <c r="H250" t="b">
        <v>0</v>
      </c>
    </row>
    <row r="251">
      <c r="A251" t="inlineStr">
        <is>
          <t>S016</t>
        </is>
      </c>
      <c r="B251" s="3" t="n">
        <v>46266</v>
      </c>
      <c r="C251" t="n">
        <v>17</v>
      </c>
      <c r="D251" t="inlineStr">
        <is>
          <t>Tuesday</t>
        </is>
      </c>
      <c r="E251" t="n">
        <v>18</v>
      </c>
      <c r="F251" t="b">
        <v>0</v>
      </c>
      <c r="H251" t="b">
        <v>0</v>
      </c>
    </row>
    <row r="252">
      <c r="A252" t="inlineStr">
        <is>
          <t>S016</t>
        </is>
      </c>
      <c r="B252" s="3" t="n">
        <v>46266</v>
      </c>
      <c r="C252" t="n">
        <v>18</v>
      </c>
      <c r="D252" t="inlineStr">
        <is>
          <t>Tuesday</t>
        </is>
      </c>
      <c r="E252" t="n">
        <v>24</v>
      </c>
      <c r="F252" t="b">
        <v>0</v>
      </c>
      <c r="H252" t="b">
        <v>0</v>
      </c>
    </row>
    <row r="253">
      <c r="A253" t="inlineStr">
        <is>
          <t>S016</t>
        </is>
      </c>
      <c r="B253" s="3" t="n">
        <v>46266</v>
      </c>
      <c r="C253" t="n">
        <v>19</v>
      </c>
      <c r="D253" t="inlineStr">
        <is>
          <t>Tuesday</t>
        </is>
      </c>
      <c r="E253" t="n">
        <v>50</v>
      </c>
      <c r="F253" t="b">
        <v>1</v>
      </c>
      <c r="H253" t="b">
        <v>0</v>
      </c>
    </row>
    <row r="254">
      <c r="A254" t="inlineStr">
        <is>
          <t>S016</t>
        </is>
      </c>
      <c r="B254" s="3" t="n">
        <v>46266</v>
      </c>
      <c r="C254" t="n">
        <v>20</v>
      </c>
      <c r="D254" t="inlineStr">
        <is>
          <t>Tuesday</t>
        </is>
      </c>
      <c r="E254" t="n">
        <v>37</v>
      </c>
      <c r="F254" t="b">
        <v>1</v>
      </c>
      <c r="H254" t="b">
        <v>0</v>
      </c>
    </row>
    <row r="255">
      <c r="A255" t="inlineStr">
        <is>
          <t>S016</t>
        </is>
      </c>
      <c r="B255" s="3" t="n">
        <v>46266</v>
      </c>
      <c r="C255" t="n">
        <v>21</v>
      </c>
      <c r="D255" t="inlineStr">
        <is>
          <t>Tuesday</t>
        </is>
      </c>
      <c r="E255" t="n">
        <v>42</v>
      </c>
      <c r="F255" t="b">
        <v>1</v>
      </c>
      <c r="G255" t="inlineStr">
        <is>
          <t>Light</t>
        </is>
      </c>
      <c r="H255" t="b">
        <v>0</v>
      </c>
    </row>
    <row r="256">
      <c r="A256" t="inlineStr">
        <is>
          <t>S016</t>
        </is>
      </c>
      <c r="B256" s="3" t="n">
        <v>46266</v>
      </c>
      <c r="C256" t="n">
        <v>22</v>
      </c>
      <c r="D256" t="inlineStr">
        <is>
          <t>Tuesday</t>
        </is>
      </c>
      <c r="E256" t="n">
        <v>22</v>
      </c>
      <c r="F256" t="b">
        <v>0</v>
      </c>
      <c r="G256" t="inlineStr">
        <is>
          <t>Light</t>
        </is>
      </c>
      <c r="H256" t="b">
        <v>0</v>
      </c>
    </row>
    <row r="257">
      <c r="A257" t="inlineStr">
        <is>
          <t>S016</t>
        </is>
      </c>
      <c r="B257" s="3" t="n">
        <v>46266</v>
      </c>
      <c r="C257" t="n">
        <v>23</v>
      </c>
      <c r="D257" t="inlineStr">
        <is>
          <t>Tuesday</t>
        </is>
      </c>
      <c r="E257" t="n">
        <v>30</v>
      </c>
      <c r="F257" t="b">
        <v>0</v>
      </c>
      <c r="H257" t="b">
        <v>1</v>
      </c>
    </row>
    <row r="258">
      <c r="A258" t="inlineStr">
        <is>
          <t>S017</t>
        </is>
      </c>
      <c r="B258" s="3" t="n">
        <v>46266</v>
      </c>
      <c r="C258" t="n">
        <v>8</v>
      </c>
      <c r="D258" t="inlineStr">
        <is>
          <t>Tuesday</t>
        </is>
      </c>
      <c r="E258" t="n">
        <v>39</v>
      </c>
      <c r="F258" t="b">
        <v>0</v>
      </c>
      <c r="H258" t="b">
        <v>0</v>
      </c>
    </row>
    <row r="259">
      <c r="A259" t="inlineStr">
        <is>
          <t>S017</t>
        </is>
      </c>
      <c r="B259" s="3" t="n">
        <v>46266</v>
      </c>
      <c r="C259" t="n">
        <v>9</v>
      </c>
      <c r="D259" t="inlineStr">
        <is>
          <t>Tuesday</t>
        </is>
      </c>
      <c r="E259" t="n">
        <v>14</v>
      </c>
      <c r="F259" t="b">
        <v>0</v>
      </c>
      <c r="H259" t="b">
        <v>0</v>
      </c>
    </row>
    <row r="260">
      <c r="A260" t="inlineStr">
        <is>
          <t>S017</t>
        </is>
      </c>
      <c r="B260" s="3" t="n">
        <v>46266</v>
      </c>
      <c r="C260" t="n">
        <v>10</v>
      </c>
      <c r="D260" t="inlineStr">
        <is>
          <t>Tuesday</t>
        </is>
      </c>
      <c r="E260" t="n">
        <v>18</v>
      </c>
      <c r="F260" t="b">
        <v>0</v>
      </c>
      <c r="H260" t="b">
        <v>0</v>
      </c>
    </row>
    <row r="261">
      <c r="A261" t="inlineStr">
        <is>
          <t>S017</t>
        </is>
      </c>
      <c r="B261" s="3" t="n">
        <v>46266</v>
      </c>
      <c r="C261" t="n">
        <v>11</v>
      </c>
      <c r="D261" t="inlineStr">
        <is>
          <t>Tuesday</t>
        </is>
      </c>
      <c r="E261" t="n">
        <v>22</v>
      </c>
      <c r="F261" t="b">
        <v>0</v>
      </c>
      <c r="G261" t="inlineStr">
        <is>
          <t>Light</t>
        </is>
      </c>
      <c r="H261" t="b">
        <v>0</v>
      </c>
    </row>
    <row r="262">
      <c r="A262" t="inlineStr">
        <is>
          <t>S017</t>
        </is>
      </c>
      <c r="B262" s="3" t="n">
        <v>46266</v>
      </c>
      <c r="C262" t="n">
        <v>12</v>
      </c>
      <c r="D262" t="inlineStr">
        <is>
          <t>Tuesday</t>
        </is>
      </c>
      <c r="E262" t="n">
        <v>42</v>
      </c>
      <c r="F262" t="b">
        <v>0</v>
      </c>
      <c r="G262" t="inlineStr">
        <is>
          <t>Light</t>
        </is>
      </c>
      <c r="H262" t="b">
        <v>0</v>
      </c>
    </row>
    <row r="263">
      <c r="A263" t="inlineStr">
        <is>
          <t>S017</t>
        </is>
      </c>
      <c r="B263" s="3" t="n">
        <v>46266</v>
      </c>
      <c r="C263" t="n">
        <v>13</v>
      </c>
      <c r="D263" t="inlineStr">
        <is>
          <t>Tuesday</t>
        </is>
      </c>
      <c r="E263" t="n">
        <v>23</v>
      </c>
      <c r="F263" t="b">
        <v>0</v>
      </c>
      <c r="H263" t="b">
        <v>0</v>
      </c>
    </row>
    <row r="264">
      <c r="A264" t="inlineStr">
        <is>
          <t>S017</t>
        </is>
      </c>
      <c r="B264" s="3" t="n">
        <v>46266</v>
      </c>
      <c r="C264" t="n">
        <v>14</v>
      </c>
      <c r="D264" t="inlineStr">
        <is>
          <t>Tuesday</t>
        </is>
      </c>
      <c r="E264" t="n">
        <v>38</v>
      </c>
      <c r="F264" t="b">
        <v>0</v>
      </c>
      <c r="H264" t="b">
        <v>0</v>
      </c>
    </row>
    <row r="265">
      <c r="A265" t="inlineStr">
        <is>
          <t>S017</t>
        </is>
      </c>
      <c r="B265" s="3" t="n">
        <v>46266</v>
      </c>
      <c r="C265" t="n">
        <v>15</v>
      </c>
      <c r="D265" t="inlineStr">
        <is>
          <t>Tuesday</t>
        </is>
      </c>
      <c r="E265" t="n">
        <v>28</v>
      </c>
      <c r="F265" t="b">
        <v>0</v>
      </c>
      <c r="H265" t="b">
        <v>0</v>
      </c>
    </row>
    <row r="266">
      <c r="A266" t="inlineStr">
        <is>
          <t>S017</t>
        </is>
      </c>
      <c r="B266" s="3" t="n">
        <v>46266</v>
      </c>
      <c r="C266" t="n">
        <v>16</v>
      </c>
      <c r="D266" t="inlineStr">
        <is>
          <t>Tuesday</t>
        </is>
      </c>
      <c r="E266" t="n">
        <v>42</v>
      </c>
      <c r="F266" t="b">
        <v>0</v>
      </c>
      <c r="G266" t="inlineStr">
        <is>
          <t>Light</t>
        </is>
      </c>
      <c r="H266" t="b">
        <v>0</v>
      </c>
    </row>
    <row r="267">
      <c r="A267" t="inlineStr">
        <is>
          <t>S017</t>
        </is>
      </c>
      <c r="B267" s="3" t="n">
        <v>46266</v>
      </c>
      <c r="C267" t="n">
        <v>17</v>
      </c>
      <c r="D267" t="inlineStr">
        <is>
          <t>Tuesday</t>
        </is>
      </c>
      <c r="E267" t="n">
        <v>35</v>
      </c>
      <c r="F267" t="b">
        <v>0</v>
      </c>
      <c r="H267" t="b">
        <v>0</v>
      </c>
    </row>
    <row r="268">
      <c r="A268" t="inlineStr">
        <is>
          <t>S017</t>
        </is>
      </c>
      <c r="B268" s="3" t="n">
        <v>46266</v>
      </c>
      <c r="C268" t="n">
        <v>18</v>
      </c>
      <c r="D268" t="inlineStr">
        <is>
          <t>Tuesday</t>
        </is>
      </c>
      <c r="E268" t="n">
        <v>31</v>
      </c>
      <c r="F268" t="b">
        <v>0</v>
      </c>
      <c r="G268" t="inlineStr">
        <is>
          <t>Light</t>
        </is>
      </c>
      <c r="H268" t="b">
        <v>0</v>
      </c>
    </row>
    <row r="269">
      <c r="A269" t="inlineStr">
        <is>
          <t>S017</t>
        </is>
      </c>
      <c r="B269" s="3" t="n">
        <v>46266</v>
      </c>
      <c r="C269" t="n">
        <v>19</v>
      </c>
      <c r="D269" t="inlineStr">
        <is>
          <t>Tuesday</t>
        </is>
      </c>
      <c r="E269" t="n">
        <v>74</v>
      </c>
      <c r="F269" t="b">
        <v>1</v>
      </c>
      <c r="H269" t="b">
        <v>0</v>
      </c>
    </row>
    <row r="270">
      <c r="A270" t="inlineStr">
        <is>
          <t>S017</t>
        </is>
      </c>
      <c r="B270" s="3" t="n">
        <v>46266</v>
      </c>
      <c r="C270" t="n">
        <v>20</v>
      </c>
      <c r="D270" t="inlineStr">
        <is>
          <t>Tuesday</t>
        </is>
      </c>
      <c r="E270" t="n">
        <v>45</v>
      </c>
      <c r="F270" t="b">
        <v>1</v>
      </c>
      <c r="G270" t="inlineStr">
        <is>
          <t>Light</t>
        </is>
      </c>
      <c r="H270" t="b">
        <v>0</v>
      </c>
    </row>
    <row r="271">
      <c r="A271" t="inlineStr">
        <is>
          <t>S017</t>
        </is>
      </c>
      <c r="B271" s="3" t="n">
        <v>46266</v>
      </c>
      <c r="C271" t="n">
        <v>21</v>
      </c>
      <c r="D271" t="inlineStr">
        <is>
          <t>Tuesday</t>
        </is>
      </c>
      <c r="E271" t="n">
        <v>60</v>
      </c>
      <c r="F271" t="b">
        <v>1</v>
      </c>
      <c r="H271" t="b">
        <v>0</v>
      </c>
    </row>
    <row r="272">
      <c r="A272" t="inlineStr">
        <is>
          <t>S017</t>
        </is>
      </c>
      <c r="B272" s="3" t="n">
        <v>46266</v>
      </c>
      <c r="C272" t="n">
        <v>22</v>
      </c>
      <c r="D272" t="inlineStr">
        <is>
          <t>Tuesday</t>
        </is>
      </c>
      <c r="E272" t="n">
        <v>41</v>
      </c>
      <c r="F272" t="b">
        <v>0</v>
      </c>
      <c r="G272" t="inlineStr">
        <is>
          <t>Light</t>
        </is>
      </c>
      <c r="H272" t="b">
        <v>0</v>
      </c>
    </row>
    <row r="273">
      <c r="A273" t="inlineStr">
        <is>
          <t>S017</t>
        </is>
      </c>
      <c r="B273" s="3" t="n">
        <v>46266</v>
      </c>
      <c r="C273" t="n">
        <v>23</v>
      </c>
      <c r="D273" t="inlineStr">
        <is>
          <t>Tuesday</t>
        </is>
      </c>
      <c r="E273" t="n">
        <v>34</v>
      </c>
      <c r="F273" t="b">
        <v>0</v>
      </c>
      <c r="H273" t="b">
        <v>0</v>
      </c>
    </row>
    <row r="274">
      <c r="A274" t="inlineStr">
        <is>
          <t>S018</t>
        </is>
      </c>
      <c r="B274" s="3" t="n">
        <v>46266</v>
      </c>
      <c r="C274" t="n">
        <v>8</v>
      </c>
      <c r="D274" t="inlineStr">
        <is>
          <t>Tuesday</t>
        </is>
      </c>
      <c r="E274" t="n">
        <v>23</v>
      </c>
      <c r="F274" t="b">
        <v>0</v>
      </c>
      <c r="H274" t="b">
        <v>0</v>
      </c>
    </row>
    <row r="275">
      <c r="A275" t="inlineStr">
        <is>
          <t>S018</t>
        </is>
      </c>
      <c r="B275" s="3" t="n">
        <v>46266</v>
      </c>
      <c r="C275" t="n">
        <v>9</v>
      </c>
      <c r="D275" t="inlineStr">
        <is>
          <t>Tuesday</t>
        </is>
      </c>
      <c r="E275" t="n">
        <v>17</v>
      </c>
      <c r="F275" t="b">
        <v>0</v>
      </c>
      <c r="H275" t="b">
        <v>0</v>
      </c>
    </row>
    <row r="276">
      <c r="A276" t="inlineStr">
        <is>
          <t>S018</t>
        </is>
      </c>
      <c r="B276" s="3" t="n">
        <v>46266</v>
      </c>
      <c r="C276" t="n">
        <v>10</v>
      </c>
      <c r="D276" t="inlineStr">
        <is>
          <t>Tuesday</t>
        </is>
      </c>
      <c r="E276" t="n">
        <v>14</v>
      </c>
      <c r="F276" t="b">
        <v>0</v>
      </c>
      <c r="H276" t="b">
        <v>0</v>
      </c>
    </row>
    <row r="277">
      <c r="A277" t="inlineStr">
        <is>
          <t>S018</t>
        </is>
      </c>
      <c r="B277" s="3" t="n">
        <v>46266</v>
      </c>
      <c r="C277" t="n">
        <v>11</v>
      </c>
      <c r="D277" t="inlineStr">
        <is>
          <t>Tuesday</t>
        </is>
      </c>
      <c r="E277" t="n">
        <v>14</v>
      </c>
      <c r="F277" t="b">
        <v>0</v>
      </c>
      <c r="H277" t="b">
        <v>0</v>
      </c>
    </row>
    <row r="278">
      <c r="A278" t="inlineStr">
        <is>
          <t>S018</t>
        </is>
      </c>
      <c r="B278" s="3" t="n">
        <v>46266</v>
      </c>
      <c r="C278" t="n">
        <v>12</v>
      </c>
      <c r="D278" t="inlineStr">
        <is>
          <t>Tuesday</t>
        </is>
      </c>
      <c r="E278" t="n">
        <v>18</v>
      </c>
      <c r="F278" t="b">
        <v>0</v>
      </c>
      <c r="H278" t="b">
        <v>0</v>
      </c>
    </row>
    <row r="279">
      <c r="A279" t="inlineStr">
        <is>
          <t>S018</t>
        </is>
      </c>
      <c r="B279" s="3" t="n">
        <v>46266</v>
      </c>
      <c r="C279" t="n">
        <v>13</v>
      </c>
      <c r="D279" t="inlineStr">
        <is>
          <t>Tuesday</t>
        </is>
      </c>
      <c r="E279" t="n">
        <v>18</v>
      </c>
      <c r="F279" t="b">
        <v>0</v>
      </c>
      <c r="H279" t="b">
        <v>0</v>
      </c>
    </row>
    <row r="280">
      <c r="A280" t="inlineStr">
        <is>
          <t>S018</t>
        </is>
      </c>
      <c r="B280" s="3" t="n">
        <v>46266</v>
      </c>
      <c r="C280" t="n">
        <v>14</v>
      </c>
      <c r="D280" t="inlineStr">
        <is>
          <t>Tuesday</t>
        </is>
      </c>
      <c r="E280" t="n">
        <v>15</v>
      </c>
      <c r="F280" t="b">
        <v>0</v>
      </c>
      <c r="G280" t="inlineStr">
        <is>
          <t>Light</t>
        </is>
      </c>
      <c r="H280" t="b">
        <v>0</v>
      </c>
    </row>
    <row r="281">
      <c r="A281" t="inlineStr">
        <is>
          <t>S018</t>
        </is>
      </c>
      <c r="B281" s="3" t="n">
        <v>46266</v>
      </c>
      <c r="C281" t="n">
        <v>15</v>
      </c>
      <c r="D281" t="inlineStr">
        <is>
          <t>Tuesday</t>
        </is>
      </c>
      <c r="E281" t="n">
        <v>10</v>
      </c>
      <c r="F281" t="b">
        <v>0</v>
      </c>
      <c r="G281" t="inlineStr">
        <is>
          <t>Light</t>
        </is>
      </c>
      <c r="H281" t="b">
        <v>0</v>
      </c>
    </row>
    <row r="282">
      <c r="A282" t="inlineStr">
        <is>
          <t>S018</t>
        </is>
      </c>
      <c r="B282" s="3" t="n">
        <v>46266</v>
      </c>
      <c r="C282" t="n">
        <v>16</v>
      </c>
      <c r="D282" t="inlineStr">
        <is>
          <t>Tuesday</t>
        </is>
      </c>
      <c r="E282" t="n">
        <v>23</v>
      </c>
      <c r="F282" t="b">
        <v>0</v>
      </c>
      <c r="H282" t="b">
        <v>0</v>
      </c>
    </row>
    <row r="283">
      <c r="A283" t="inlineStr">
        <is>
          <t>S018</t>
        </is>
      </c>
      <c r="B283" s="3" t="n">
        <v>46266</v>
      </c>
      <c r="C283" t="n">
        <v>17</v>
      </c>
      <c r="D283" t="inlineStr">
        <is>
          <t>Tuesday</t>
        </is>
      </c>
      <c r="E283" t="n">
        <v>30</v>
      </c>
      <c r="F283" t="b">
        <v>0</v>
      </c>
      <c r="H283" t="b">
        <v>0</v>
      </c>
    </row>
    <row r="284">
      <c r="A284" t="inlineStr">
        <is>
          <t>S018</t>
        </is>
      </c>
      <c r="B284" s="3" t="n">
        <v>46266</v>
      </c>
      <c r="C284" t="n">
        <v>18</v>
      </c>
      <c r="D284" t="inlineStr">
        <is>
          <t>Tuesday</t>
        </is>
      </c>
      <c r="E284" t="n">
        <v>24</v>
      </c>
      <c r="F284" t="b">
        <v>0</v>
      </c>
      <c r="G284" t="inlineStr">
        <is>
          <t>Light</t>
        </is>
      </c>
      <c r="H284" t="b">
        <v>0</v>
      </c>
    </row>
    <row r="285">
      <c r="A285" t="inlineStr">
        <is>
          <t>S018</t>
        </is>
      </c>
      <c r="B285" s="3" t="n">
        <v>46266</v>
      </c>
      <c r="C285" t="n">
        <v>19</v>
      </c>
      <c r="D285" t="inlineStr">
        <is>
          <t>Tuesday</t>
        </is>
      </c>
      <c r="E285" t="n">
        <v>21</v>
      </c>
      <c r="F285" t="b">
        <v>1</v>
      </c>
      <c r="G285" t="inlineStr">
        <is>
          <t>Light</t>
        </is>
      </c>
      <c r="H285" t="b">
        <v>0</v>
      </c>
    </row>
    <row r="286">
      <c r="A286" t="inlineStr">
        <is>
          <t>S018</t>
        </is>
      </c>
      <c r="B286" s="3" t="n">
        <v>46266</v>
      </c>
      <c r="C286" t="n">
        <v>20</v>
      </c>
      <c r="D286" t="inlineStr">
        <is>
          <t>Tuesday</t>
        </is>
      </c>
      <c r="E286" t="n">
        <v>22</v>
      </c>
      <c r="F286" t="b">
        <v>1</v>
      </c>
      <c r="H286" t="b">
        <v>0</v>
      </c>
    </row>
    <row r="287">
      <c r="A287" t="inlineStr">
        <is>
          <t>S018</t>
        </is>
      </c>
      <c r="B287" s="3" t="n">
        <v>46266</v>
      </c>
      <c r="C287" t="n">
        <v>21</v>
      </c>
      <c r="D287" t="inlineStr">
        <is>
          <t>Tuesday</t>
        </is>
      </c>
      <c r="E287" t="n">
        <v>26</v>
      </c>
      <c r="F287" t="b">
        <v>1</v>
      </c>
      <c r="H287" t="b">
        <v>0</v>
      </c>
    </row>
    <row r="288">
      <c r="A288" t="inlineStr">
        <is>
          <t>S018</t>
        </is>
      </c>
      <c r="B288" s="3" t="n">
        <v>46266</v>
      </c>
      <c r="C288" t="n">
        <v>22</v>
      </c>
      <c r="D288" t="inlineStr">
        <is>
          <t>Tuesday</t>
        </is>
      </c>
      <c r="E288" t="n">
        <v>32</v>
      </c>
      <c r="F288" t="b">
        <v>0</v>
      </c>
      <c r="H288" t="b">
        <v>0</v>
      </c>
    </row>
    <row r="289">
      <c r="A289" t="inlineStr">
        <is>
          <t>S018</t>
        </is>
      </c>
      <c r="B289" s="3" t="n">
        <v>46266</v>
      </c>
      <c r="C289" t="n">
        <v>23</v>
      </c>
      <c r="D289" t="inlineStr">
        <is>
          <t>Tuesday</t>
        </is>
      </c>
      <c r="E289" t="n">
        <v>18</v>
      </c>
      <c r="F289" t="b">
        <v>0</v>
      </c>
      <c r="H289" t="b">
        <v>0</v>
      </c>
    </row>
    <row r="290">
      <c r="A290" t="inlineStr">
        <is>
          <t>S019</t>
        </is>
      </c>
      <c r="B290" s="3" t="n">
        <v>46266</v>
      </c>
      <c r="C290" t="n">
        <v>8</v>
      </c>
      <c r="D290" t="inlineStr">
        <is>
          <t>Tuesday</t>
        </is>
      </c>
      <c r="E290" t="n">
        <v>17</v>
      </c>
      <c r="F290" t="b">
        <v>0</v>
      </c>
      <c r="H290" t="b">
        <v>0</v>
      </c>
    </row>
    <row r="291">
      <c r="A291" t="inlineStr">
        <is>
          <t>S019</t>
        </is>
      </c>
      <c r="B291" s="3" t="n">
        <v>46266</v>
      </c>
      <c r="C291" t="n">
        <v>9</v>
      </c>
      <c r="D291" t="inlineStr">
        <is>
          <t>Tuesday</t>
        </is>
      </c>
      <c r="E291" t="n">
        <v>6</v>
      </c>
      <c r="F291" t="b">
        <v>0</v>
      </c>
      <c r="H291" t="b">
        <v>0</v>
      </c>
    </row>
    <row r="292">
      <c r="A292" t="inlineStr">
        <is>
          <t>S019</t>
        </is>
      </c>
      <c r="B292" s="3" t="n">
        <v>46266</v>
      </c>
      <c r="C292" t="n">
        <v>10</v>
      </c>
      <c r="D292" t="inlineStr">
        <is>
          <t>Tuesday</t>
        </is>
      </c>
      <c r="E292" t="n">
        <v>18</v>
      </c>
      <c r="F292" t="b">
        <v>0</v>
      </c>
      <c r="G292" t="inlineStr">
        <is>
          <t>Light</t>
        </is>
      </c>
      <c r="H292" t="b">
        <v>0</v>
      </c>
    </row>
    <row r="293">
      <c r="A293" t="inlineStr">
        <is>
          <t>S019</t>
        </is>
      </c>
      <c r="B293" s="3" t="n">
        <v>46266</v>
      </c>
      <c r="C293" t="n">
        <v>11</v>
      </c>
      <c r="D293" t="inlineStr">
        <is>
          <t>Tuesday</t>
        </is>
      </c>
      <c r="E293" t="n">
        <v>16</v>
      </c>
      <c r="F293" t="b">
        <v>0</v>
      </c>
      <c r="H293" t="b">
        <v>0</v>
      </c>
    </row>
    <row r="294">
      <c r="A294" t="inlineStr">
        <is>
          <t>S019</t>
        </is>
      </c>
      <c r="B294" s="3" t="n">
        <v>46266</v>
      </c>
      <c r="C294" t="n">
        <v>12</v>
      </c>
      <c r="D294" t="inlineStr">
        <is>
          <t>Tuesday</t>
        </is>
      </c>
      <c r="E294" t="n">
        <v>23</v>
      </c>
      <c r="F294" t="b">
        <v>0</v>
      </c>
      <c r="H294" t="b">
        <v>0</v>
      </c>
    </row>
    <row r="295">
      <c r="A295" t="inlineStr">
        <is>
          <t>S019</t>
        </is>
      </c>
      <c r="B295" s="3" t="n">
        <v>46266</v>
      </c>
      <c r="C295" t="n">
        <v>13</v>
      </c>
      <c r="D295" t="inlineStr">
        <is>
          <t>Tuesday</t>
        </is>
      </c>
      <c r="E295" t="n">
        <v>19</v>
      </c>
      <c r="F295" t="b">
        <v>0</v>
      </c>
      <c r="H295" t="b">
        <v>0</v>
      </c>
    </row>
    <row r="296">
      <c r="A296" t="inlineStr">
        <is>
          <t>S019</t>
        </is>
      </c>
      <c r="B296" s="3" t="n">
        <v>46266</v>
      </c>
      <c r="C296" t="n">
        <v>14</v>
      </c>
      <c r="D296" t="inlineStr">
        <is>
          <t>Tuesday</t>
        </is>
      </c>
      <c r="E296" t="n">
        <v>14</v>
      </c>
      <c r="F296" t="b">
        <v>0</v>
      </c>
      <c r="G296" t="inlineStr">
        <is>
          <t>Light</t>
        </is>
      </c>
      <c r="H296" t="b">
        <v>0</v>
      </c>
    </row>
    <row r="297">
      <c r="A297" t="inlineStr">
        <is>
          <t>S019</t>
        </is>
      </c>
      <c r="B297" s="3" t="n">
        <v>46266</v>
      </c>
      <c r="C297" t="n">
        <v>15</v>
      </c>
      <c r="D297" t="inlineStr">
        <is>
          <t>Tuesday</t>
        </is>
      </c>
      <c r="E297" t="n">
        <v>19</v>
      </c>
      <c r="F297" t="b">
        <v>0</v>
      </c>
      <c r="H297" t="b">
        <v>0</v>
      </c>
    </row>
    <row r="298">
      <c r="A298" t="inlineStr">
        <is>
          <t>S019</t>
        </is>
      </c>
      <c r="B298" s="3" t="n">
        <v>46266</v>
      </c>
      <c r="C298" t="n">
        <v>16</v>
      </c>
      <c r="D298" t="inlineStr">
        <is>
          <t>Tuesday</t>
        </is>
      </c>
      <c r="E298" t="n">
        <v>22</v>
      </c>
      <c r="F298" t="b">
        <v>0</v>
      </c>
      <c r="H298" t="b">
        <v>0</v>
      </c>
    </row>
    <row r="299">
      <c r="A299" t="inlineStr">
        <is>
          <t>S019</t>
        </is>
      </c>
      <c r="B299" s="3" t="n">
        <v>46266</v>
      </c>
      <c r="C299" t="n">
        <v>17</v>
      </c>
      <c r="D299" t="inlineStr">
        <is>
          <t>Tuesday</t>
        </is>
      </c>
      <c r="E299" t="n">
        <v>30</v>
      </c>
      <c r="F299" t="b">
        <v>0</v>
      </c>
      <c r="H299" t="b">
        <v>0</v>
      </c>
    </row>
    <row r="300">
      <c r="A300" t="inlineStr">
        <is>
          <t>S019</t>
        </is>
      </c>
      <c r="B300" s="3" t="n">
        <v>46266</v>
      </c>
      <c r="C300" t="n">
        <v>18</v>
      </c>
      <c r="D300" t="inlineStr">
        <is>
          <t>Tuesday</t>
        </is>
      </c>
      <c r="E300" t="n">
        <v>24</v>
      </c>
      <c r="F300" t="b">
        <v>0</v>
      </c>
      <c r="H300" t="b">
        <v>0</v>
      </c>
    </row>
    <row r="301">
      <c r="A301" t="inlineStr">
        <is>
          <t>S019</t>
        </is>
      </c>
      <c r="B301" s="3" t="n">
        <v>46266</v>
      </c>
      <c r="C301" t="n">
        <v>19</v>
      </c>
      <c r="D301" t="inlineStr">
        <is>
          <t>Tuesday</t>
        </is>
      </c>
      <c r="E301" t="n">
        <v>36</v>
      </c>
      <c r="F301" t="b">
        <v>1</v>
      </c>
      <c r="H301" t="b">
        <v>0</v>
      </c>
    </row>
    <row r="302">
      <c r="A302" t="inlineStr">
        <is>
          <t>S019</t>
        </is>
      </c>
      <c r="B302" s="3" t="n">
        <v>46266</v>
      </c>
      <c r="C302" t="n">
        <v>20</v>
      </c>
      <c r="D302" t="inlineStr">
        <is>
          <t>Tuesday</t>
        </is>
      </c>
      <c r="E302" t="n">
        <v>26</v>
      </c>
      <c r="F302" t="b">
        <v>1</v>
      </c>
      <c r="H302" t="b">
        <v>0</v>
      </c>
    </row>
    <row r="303">
      <c r="A303" t="inlineStr">
        <is>
          <t>S019</t>
        </is>
      </c>
      <c r="B303" s="3" t="n">
        <v>46266</v>
      </c>
      <c r="C303" t="n">
        <v>21</v>
      </c>
      <c r="D303" t="inlineStr">
        <is>
          <t>Tuesday</t>
        </is>
      </c>
      <c r="E303" t="n">
        <v>32</v>
      </c>
      <c r="F303" t="b">
        <v>1</v>
      </c>
      <c r="G303" t="inlineStr">
        <is>
          <t>Light</t>
        </is>
      </c>
      <c r="H303" t="b">
        <v>0</v>
      </c>
    </row>
    <row r="304">
      <c r="A304" t="inlineStr">
        <is>
          <t>S019</t>
        </is>
      </c>
      <c r="B304" s="3" t="n">
        <v>46266</v>
      </c>
      <c r="C304" t="n">
        <v>22</v>
      </c>
      <c r="D304" t="inlineStr">
        <is>
          <t>Tuesday</t>
        </is>
      </c>
      <c r="E304" t="n">
        <v>23</v>
      </c>
      <c r="F304" t="b">
        <v>0</v>
      </c>
      <c r="H304" t="b">
        <v>0</v>
      </c>
    </row>
    <row r="305">
      <c r="A305" t="inlineStr">
        <is>
          <t>S019</t>
        </is>
      </c>
      <c r="B305" s="3" t="n">
        <v>46266</v>
      </c>
      <c r="C305" t="n">
        <v>23</v>
      </c>
      <c r="D305" t="inlineStr">
        <is>
          <t>Tuesday</t>
        </is>
      </c>
      <c r="E305" t="n">
        <v>14</v>
      </c>
      <c r="F305" t="b">
        <v>0</v>
      </c>
      <c r="H305" t="b">
        <v>1</v>
      </c>
    </row>
    <row r="306">
      <c r="A306" t="inlineStr">
        <is>
          <t>S020</t>
        </is>
      </c>
      <c r="B306" s="3" t="n">
        <v>46266</v>
      </c>
      <c r="C306" t="n">
        <v>8</v>
      </c>
      <c r="D306" t="inlineStr">
        <is>
          <t>Tuesday</t>
        </is>
      </c>
      <c r="E306" t="n">
        <v>9</v>
      </c>
      <c r="F306" t="b">
        <v>0</v>
      </c>
      <c r="H306" t="b">
        <v>0</v>
      </c>
    </row>
    <row r="307">
      <c r="A307" t="inlineStr">
        <is>
          <t>S020</t>
        </is>
      </c>
      <c r="B307" s="3" t="n">
        <v>46266</v>
      </c>
      <c r="C307" t="n">
        <v>9</v>
      </c>
      <c r="D307" t="inlineStr">
        <is>
          <t>Tuesday</t>
        </is>
      </c>
      <c r="E307" t="n">
        <v>10</v>
      </c>
      <c r="F307" t="b">
        <v>0</v>
      </c>
      <c r="H307" t="b">
        <v>0</v>
      </c>
    </row>
    <row r="308">
      <c r="A308" t="inlineStr">
        <is>
          <t>S020</t>
        </is>
      </c>
      <c r="B308" s="3" t="n">
        <v>46266</v>
      </c>
      <c r="C308" t="n">
        <v>10</v>
      </c>
      <c r="D308" t="inlineStr">
        <is>
          <t>Tuesday</t>
        </is>
      </c>
      <c r="E308" t="n">
        <v>12</v>
      </c>
      <c r="F308" t="b">
        <v>0</v>
      </c>
      <c r="H308" t="b">
        <v>0</v>
      </c>
    </row>
    <row r="309">
      <c r="A309" t="inlineStr">
        <is>
          <t>S020</t>
        </is>
      </c>
      <c r="B309" s="3" t="n">
        <v>46266</v>
      </c>
      <c r="C309" t="n">
        <v>11</v>
      </c>
      <c r="D309" t="inlineStr">
        <is>
          <t>Tuesday</t>
        </is>
      </c>
      <c r="E309" t="n">
        <v>15</v>
      </c>
      <c r="F309" t="b">
        <v>0</v>
      </c>
      <c r="H309" t="b">
        <v>0</v>
      </c>
    </row>
    <row r="310">
      <c r="A310" t="inlineStr">
        <is>
          <t>S020</t>
        </is>
      </c>
      <c r="B310" s="3" t="n">
        <v>46266</v>
      </c>
      <c r="C310" t="n">
        <v>12</v>
      </c>
      <c r="D310" t="inlineStr">
        <is>
          <t>Tuesday</t>
        </is>
      </c>
      <c r="E310" t="n">
        <v>15</v>
      </c>
      <c r="F310" t="b">
        <v>0</v>
      </c>
      <c r="H310" t="b">
        <v>0</v>
      </c>
    </row>
    <row r="311">
      <c r="A311" t="inlineStr">
        <is>
          <t>S020</t>
        </is>
      </c>
      <c r="B311" s="3" t="n">
        <v>46266</v>
      </c>
      <c r="C311" t="n">
        <v>13</v>
      </c>
      <c r="D311" t="inlineStr">
        <is>
          <t>Tuesday</t>
        </is>
      </c>
      <c r="E311" t="n">
        <v>12</v>
      </c>
      <c r="F311" t="b">
        <v>0</v>
      </c>
      <c r="H311" t="b">
        <v>0</v>
      </c>
    </row>
    <row r="312">
      <c r="A312" t="inlineStr">
        <is>
          <t>S020</t>
        </is>
      </c>
      <c r="B312" s="3" t="n">
        <v>46266</v>
      </c>
      <c r="C312" t="n">
        <v>14</v>
      </c>
      <c r="D312" t="inlineStr">
        <is>
          <t>Tuesday</t>
        </is>
      </c>
      <c r="E312" t="n">
        <v>6</v>
      </c>
      <c r="F312" t="b">
        <v>0</v>
      </c>
      <c r="H312" t="b">
        <v>0</v>
      </c>
    </row>
    <row r="313">
      <c r="A313" t="inlineStr">
        <is>
          <t>S020</t>
        </is>
      </c>
      <c r="B313" s="3" t="n">
        <v>46266</v>
      </c>
      <c r="C313" t="n">
        <v>15</v>
      </c>
      <c r="D313" t="inlineStr">
        <is>
          <t>Tuesday</t>
        </is>
      </c>
      <c r="E313" t="n">
        <v>7</v>
      </c>
      <c r="F313" t="b">
        <v>0</v>
      </c>
      <c r="H313" t="b">
        <v>0</v>
      </c>
    </row>
    <row r="314">
      <c r="A314" t="inlineStr">
        <is>
          <t>S020</t>
        </is>
      </c>
      <c r="B314" s="3" t="n">
        <v>46266</v>
      </c>
      <c r="C314" t="n">
        <v>16</v>
      </c>
      <c r="D314" t="inlineStr">
        <is>
          <t>Tuesday</t>
        </is>
      </c>
      <c r="E314" t="n">
        <v>16</v>
      </c>
      <c r="F314" t="b">
        <v>0</v>
      </c>
      <c r="H314" t="b">
        <v>0</v>
      </c>
    </row>
    <row r="315">
      <c r="A315" t="inlineStr">
        <is>
          <t>S020</t>
        </is>
      </c>
      <c r="B315" s="3" t="n">
        <v>46266</v>
      </c>
      <c r="C315" t="n">
        <v>17</v>
      </c>
      <c r="D315" t="inlineStr">
        <is>
          <t>Tuesday</t>
        </is>
      </c>
      <c r="E315" t="n">
        <v>15</v>
      </c>
      <c r="F315" t="b">
        <v>0</v>
      </c>
      <c r="H315" t="b">
        <v>0</v>
      </c>
    </row>
    <row r="316">
      <c r="A316" t="inlineStr">
        <is>
          <t>S020</t>
        </is>
      </c>
      <c r="B316" s="3" t="n">
        <v>46266</v>
      </c>
      <c r="C316" t="n">
        <v>18</v>
      </c>
      <c r="D316" t="inlineStr">
        <is>
          <t>Tuesday</t>
        </is>
      </c>
      <c r="E316" t="n">
        <v>12</v>
      </c>
      <c r="F316" t="b">
        <v>0</v>
      </c>
      <c r="G316" t="inlineStr">
        <is>
          <t>Light</t>
        </is>
      </c>
      <c r="H316" t="b">
        <v>0</v>
      </c>
    </row>
    <row r="317">
      <c r="A317" t="inlineStr">
        <is>
          <t>S020</t>
        </is>
      </c>
      <c r="B317" s="3" t="n">
        <v>46266</v>
      </c>
      <c r="C317" t="n">
        <v>19</v>
      </c>
      <c r="D317" t="inlineStr">
        <is>
          <t>Tuesday</t>
        </is>
      </c>
      <c r="E317" t="n">
        <v>23</v>
      </c>
      <c r="F317" t="b">
        <v>1</v>
      </c>
      <c r="H317" t="b">
        <v>0</v>
      </c>
    </row>
    <row r="318">
      <c r="A318" t="inlineStr">
        <is>
          <t>S020</t>
        </is>
      </c>
      <c r="B318" s="3" t="n">
        <v>46266</v>
      </c>
      <c r="C318" t="n">
        <v>20</v>
      </c>
      <c r="D318" t="inlineStr">
        <is>
          <t>Tuesday</t>
        </is>
      </c>
      <c r="E318" t="n">
        <v>21</v>
      </c>
      <c r="F318" t="b">
        <v>1</v>
      </c>
      <c r="H318" t="b">
        <v>0</v>
      </c>
    </row>
    <row r="319">
      <c r="A319" t="inlineStr">
        <is>
          <t>S020</t>
        </is>
      </c>
      <c r="B319" s="3" t="n">
        <v>46266</v>
      </c>
      <c r="C319" t="n">
        <v>21</v>
      </c>
      <c r="D319" t="inlineStr">
        <is>
          <t>Tuesday</t>
        </is>
      </c>
      <c r="E319" t="n">
        <v>18</v>
      </c>
      <c r="F319" t="b">
        <v>1</v>
      </c>
      <c r="H319" t="b">
        <v>0</v>
      </c>
    </row>
    <row r="320">
      <c r="A320" t="inlineStr">
        <is>
          <t>S020</t>
        </is>
      </c>
      <c r="B320" s="3" t="n">
        <v>46266</v>
      </c>
      <c r="C320" t="n">
        <v>22</v>
      </c>
      <c r="D320" t="inlineStr">
        <is>
          <t>Tuesday</t>
        </is>
      </c>
      <c r="E320" t="n">
        <v>14</v>
      </c>
      <c r="F320" t="b">
        <v>0</v>
      </c>
      <c r="G320" t="inlineStr">
        <is>
          <t>Light</t>
        </is>
      </c>
      <c r="H320" t="b">
        <v>1</v>
      </c>
    </row>
    <row r="321">
      <c r="A321" t="inlineStr">
        <is>
          <t>S020</t>
        </is>
      </c>
      <c r="B321" s="3" t="n">
        <v>46266</v>
      </c>
      <c r="C321" t="n">
        <v>23</v>
      </c>
      <c r="D321" t="inlineStr">
        <is>
          <t>Tuesday</t>
        </is>
      </c>
      <c r="E321" t="n">
        <v>12</v>
      </c>
      <c r="F321" t="b">
        <v>0</v>
      </c>
      <c r="H321" t="b">
        <v>0</v>
      </c>
    </row>
    <row r="322">
      <c r="A322" t="inlineStr">
        <is>
          <t>S001</t>
        </is>
      </c>
      <c r="B322" s="3" t="n">
        <v>46267</v>
      </c>
      <c r="C322" t="n">
        <v>8</v>
      </c>
      <c r="D322" t="inlineStr">
        <is>
          <t>Wednesday</t>
        </is>
      </c>
      <c r="E322" t="n">
        <v>6</v>
      </c>
      <c r="F322" t="b">
        <v>0</v>
      </c>
      <c r="H322" t="b">
        <v>0</v>
      </c>
    </row>
    <row r="323">
      <c r="A323" t="inlineStr">
        <is>
          <t>S001</t>
        </is>
      </c>
      <c r="B323" s="3" t="n">
        <v>46267</v>
      </c>
      <c r="C323" t="n">
        <v>9</v>
      </c>
      <c r="D323" t="inlineStr">
        <is>
          <t>Wednesday</t>
        </is>
      </c>
      <c r="E323" t="n">
        <v>8</v>
      </c>
      <c r="F323" t="b">
        <v>0</v>
      </c>
      <c r="H323" t="b">
        <v>0</v>
      </c>
    </row>
    <row r="324">
      <c r="A324" t="inlineStr">
        <is>
          <t>S001</t>
        </is>
      </c>
      <c r="B324" s="3" t="n">
        <v>46267</v>
      </c>
      <c r="C324" t="n">
        <v>10</v>
      </c>
      <c r="D324" t="inlineStr">
        <is>
          <t>Wednesday</t>
        </is>
      </c>
      <c r="E324" t="n">
        <v>16</v>
      </c>
      <c r="F324" t="b">
        <v>0</v>
      </c>
      <c r="H324" t="b">
        <v>0</v>
      </c>
    </row>
    <row r="325">
      <c r="A325" t="inlineStr">
        <is>
          <t>S001</t>
        </is>
      </c>
      <c r="B325" s="3" t="n">
        <v>46267</v>
      </c>
      <c r="C325" t="n">
        <v>11</v>
      </c>
      <c r="D325" t="inlineStr">
        <is>
          <t>Wednesday</t>
        </is>
      </c>
      <c r="E325" t="n">
        <v>18</v>
      </c>
      <c r="F325" t="b">
        <v>0</v>
      </c>
      <c r="H325" t="b">
        <v>0</v>
      </c>
    </row>
    <row r="326">
      <c r="A326" t="inlineStr">
        <is>
          <t>S001</t>
        </is>
      </c>
      <c r="B326" s="3" t="n">
        <v>46267</v>
      </c>
      <c r="C326" t="n">
        <v>12</v>
      </c>
      <c r="D326" t="inlineStr">
        <is>
          <t>Wednesday</t>
        </is>
      </c>
      <c r="E326" t="n">
        <v>20</v>
      </c>
      <c r="F326" t="b">
        <v>0</v>
      </c>
      <c r="H326" t="b">
        <v>0</v>
      </c>
    </row>
    <row r="327">
      <c r="A327" t="inlineStr">
        <is>
          <t>S001</t>
        </is>
      </c>
      <c r="B327" s="3" t="n">
        <v>46267</v>
      </c>
      <c r="C327" t="n">
        <v>13</v>
      </c>
      <c r="D327" t="inlineStr">
        <is>
          <t>Wednesday</t>
        </is>
      </c>
      <c r="E327" t="n">
        <v>11</v>
      </c>
      <c r="F327" t="b">
        <v>0</v>
      </c>
      <c r="H327" t="b">
        <v>0</v>
      </c>
    </row>
    <row r="328">
      <c r="A328" t="inlineStr">
        <is>
          <t>S001</t>
        </is>
      </c>
      <c r="B328" s="3" t="n">
        <v>46267</v>
      </c>
      <c r="C328" t="n">
        <v>14</v>
      </c>
      <c r="D328" t="inlineStr">
        <is>
          <t>Wednesday</t>
        </is>
      </c>
      <c r="E328" t="n">
        <v>15</v>
      </c>
      <c r="F328" t="b">
        <v>0</v>
      </c>
      <c r="H328" t="b">
        <v>0</v>
      </c>
    </row>
    <row r="329">
      <c r="A329" t="inlineStr">
        <is>
          <t>S001</t>
        </is>
      </c>
      <c r="B329" s="3" t="n">
        <v>46267</v>
      </c>
      <c r="C329" t="n">
        <v>15</v>
      </c>
      <c r="D329" t="inlineStr">
        <is>
          <t>Wednesday</t>
        </is>
      </c>
      <c r="E329" t="n">
        <v>10</v>
      </c>
      <c r="F329" t="b">
        <v>0</v>
      </c>
      <c r="H329" t="b">
        <v>0</v>
      </c>
    </row>
    <row r="330">
      <c r="A330" t="inlineStr">
        <is>
          <t>S001</t>
        </is>
      </c>
      <c r="B330" s="3" t="n">
        <v>46267</v>
      </c>
      <c r="C330" t="n">
        <v>16</v>
      </c>
      <c r="D330" t="inlineStr">
        <is>
          <t>Wednesday</t>
        </is>
      </c>
      <c r="E330" t="n">
        <v>12</v>
      </c>
      <c r="F330" t="b">
        <v>0</v>
      </c>
      <c r="H330" t="b">
        <v>0</v>
      </c>
    </row>
    <row r="331">
      <c r="A331" t="inlineStr">
        <is>
          <t>S001</t>
        </is>
      </c>
      <c r="B331" s="3" t="n">
        <v>46267</v>
      </c>
      <c r="C331" t="n">
        <v>17</v>
      </c>
      <c r="D331" t="inlineStr">
        <is>
          <t>Wednesday</t>
        </is>
      </c>
      <c r="E331" t="n">
        <v>16</v>
      </c>
      <c r="F331" t="b">
        <v>0</v>
      </c>
      <c r="H331" t="b">
        <v>0</v>
      </c>
    </row>
    <row r="332">
      <c r="A332" t="inlineStr">
        <is>
          <t>S001</t>
        </is>
      </c>
      <c r="B332" s="3" t="n">
        <v>46267</v>
      </c>
      <c r="C332" t="n">
        <v>18</v>
      </c>
      <c r="D332" t="inlineStr">
        <is>
          <t>Wednesday</t>
        </is>
      </c>
      <c r="E332" t="n">
        <v>13</v>
      </c>
      <c r="F332" t="b">
        <v>0</v>
      </c>
      <c r="G332" t="inlineStr">
        <is>
          <t>Light</t>
        </is>
      </c>
      <c r="H332" t="b">
        <v>0</v>
      </c>
    </row>
    <row r="333">
      <c r="A333" t="inlineStr">
        <is>
          <t>S001</t>
        </is>
      </c>
      <c r="B333" s="3" t="n">
        <v>46267</v>
      </c>
      <c r="C333" t="n">
        <v>19</v>
      </c>
      <c r="D333" t="inlineStr">
        <is>
          <t>Wednesday</t>
        </is>
      </c>
      <c r="E333" t="n">
        <v>27</v>
      </c>
      <c r="F333" t="b">
        <v>1</v>
      </c>
      <c r="H333" t="b">
        <v>0</v>
      </c>
    </row>
    <row r="334">
      <c r="A334" t="inlineStr">
        <is>
          <t>S001</t>
        </is>
      </c>
      <c r="B334" s="3" t="n">
        <v>46267</v>
      </c>
      <c r="C334" t="n">
        <v>20</v>
      </c>
      <c r="D334" t="inlineStr">
        <is>
          <t>Wednesday</t>
        </is>
      </c>
      <c r="E334" t="n">
        <v>28</v>
      </c>
      <c r="F334" t="b">
        <v>1</v>
      </c>
      <c r="H334" t="b">
        <v>0</v>
      </c>
    </row>
    <row r="335">
      <c r="A335" t="inlineStr">
        <is>
          <t>S001</t>
        </is>
      </c>
      <c r="B335" s="3" t="n">
        <v>46267</v>
      </c>
      <c r="C335" t="n">
        <v>21</v>
      </c>
      <c r="D335" t="inlineStr">
        <is>
          <t>Wednesday</t>
        </is>
      </c>
      <c r="E335" t="n">
        <v>26</v>
      </c>
      <c r="F335" t="b">
        <v>1</v>
      </c>
      <c r="H335" t="b">
        <v>0</v>
      </c>
    </row>
    <row r="336">
      <c r="A336" t="inlineStr">
        <is>
          <t>S001</t>
        </is>
      </c>
      <c r="B336" s="3" t="n">
        <v>46267</v>
      </c>
      <c r="C336" t="n">
        <v>22</v>
      </c>
      <c r="D336" t="inlineStr">
        <is>
          <t>Wednesday</t>
        </is>
      </c>
      <c r="E336" t="n">
        <v>15</v>
      </c>
      <c r="F336" t="b">
        <v>0</v>
      </c>
      <c r="H336" t="b">
        <v>0</v>
      </c>
    </row>
    <row r="337">
      <c r="A337" t="inlineStr">
        <is>
          <t>S001</t>
        </is>
      </c>
      <c r="B337" s="3" t="n">
        <v>46267</v>
      </c>
      <c r="C337" t="n">
        <v>23</v>
      </c>
      <c r="D337" t="inlineStr">
        <is>
          <t>Wednesday</t>
        </is>
      </c>
      <c r="E337" t="n">
        <v>16</v>
      </c>
      <c r="F337" t="b">
        <v>0</v>
      </c>
      <c r="H337" t="b">
        <v>0</v>
      </c>
    </row>
    <row r="338">
      <c r="A338" t="inlineStr">
        <is>
          <t>S002</t>
        </is>
      </c>
      <c r="B338" s="3" t="n">
        <v>46267</v>
      </c>
      <c r="C338" t="n">
        <v>8</v>
      </c>
      <c r="D338" t="inlineStr">
        <is>
          <t>Wednesday</t>
        </is>
      </c>
      <c r="E338" t="n">
        <v>24</v>
      </c>
      <c r="F338" t="b">
        <v>0</v>
      </c>
      <c r="H338" t="b">
        <v>0</v>
      </c>
    </row>
    <row r="339">
      <c r="A339" t="inlineStr">
        <is>
          <t>S002</t>
        </is>
      </c>
      <c r="B339" s="3" t="n">
        <v>46267</v>
      </c>
      <c r="C339" t="n">
        <v>9</v>
      </c>
      <c r="D339" t="inlineStr">
        <is>
          <t>Wednesday</t>
        </is>
      </c>
      <c r="E339" t="n">
        <v>17</v>
      </c>
      <c r="F339" t="b">
        <v>0</v>
      </c>
      <c r="H339" t="b">
        <v>0</v>
      </c>
    </row>
    <row r="340">
      <c r="A340" t="inlineStr">
        <is>
          <t>S002</t>
        </is>
      </c>
      <c r="B340" s="3" t="n">
        <v>46267</v>
      </c>
      <c r="C340" t="n">
        <v>10</v>
      </c>
      <c r="D340" t="inlineStr">
        <is>
          <t>Wednesday</t>
        </is>
      </c>
      <c r="E340" t="n">
        <v>23</v>
      </c>
      <c r="F340" t="b">
        <v>0</v>
      </c>
      <c r="H340" t="b">
        <v>0</v>
      </c>
    </row>
    <row r="341">
      <c r="A341" t="inlineStr">
        <is>
          <t>S002</t>
        </is>
      </c>
      <c r="B341" s="3" t="n">
        <v>46267</v>
      </c>
      <c r="C341" t="n">
        <v>11</v>
      </c>
      <c r="D341" t="inlineStr">
        <is>
          <t>Wednesday</t>
        </is>
      </c>
      <c r="E341" t="n">
        <v>27</v>
      </c>
      <c r="F341" t="b">
        <v>0</v>
      </c>
      <c r="H341" t="b">
        <v>0</v>
      </c>
    </row>
    <row r="342">
      <c r="A342" t="inlineStr">
        <is>
          <t>S002</t>
        </is>
      </c>
      <c r="B342" s="3" t="n">
        <v>46267</v>
      </c>
      <c r="C342" t="n">
        <v>12</v>
      </c>
      <c r="D342" t="inlineStr">
        <is>
          <t>Wednesday</t>
        </is>
      </c>
      <c r="E342" t="n">
        <v>40</v>
      </c>
      <c r="F342" t="b">
        <v>0</v>
      </c>
      <c r="G342" t="inlineStr">
        <is>
          <t>Light</t>
        </is>
      </c>
      <c r="H342" t="b">
        <v>1</v>
      </c>
    </row>
    <row r="343">
      <c r="A343" t="inlineStr">
        <is>
          <t>S002</t>
        </is>
      </c>
      <c r="B343" s="3" t="n">
        <v>46267</v>
      </c>
      <c r="C343" t="n">
        <v>13</v>
      </c>
      <c r="D343" t="inlineStr">
        <is>
          <t>Wednesday</t>
        </is>
      </c>
      <c r="E343" t="n">
        <v>33</v>
      </c>
      <c r="F343" t="b">
        <v>0</v>
      </c>
      <c r="H343" t="b">
        <v>0</v>
      </c>
    </row>
    <row r="344">
      <c r="A344" t="inlineStr">
        <is>
          <t>S002</t>
        </is>
      </c>
      <c r="B344" s="3" t="n">
        <v>46267</v>
      </c>
      <c r="C344" t="n">
        <v>14</v>
      </c>
      <c r="D344" t="inlineStr">
        <is>
          <t>Wednesday</t>
        </is>
      </c>
      <c r="E344" t="n">
        <v>30</v>
      </c>
      <c r="F344" t="b">
        <v>0</v>
      </c>
      <c r="H344" t="b">
        <v>0</v>
      </c>
    </row>
    <row r="345">
      <c r="A345" t="inlineStr">
        <is>
          <t>S002</t>
        </is>
      </c>
      <c r="B345" s="3" t="n">
        <v>46267</v>
      </c>
      <c r="C345" t="n">
        <v>15</v>
      </c>
      <c r="D345" t="inlineStr">
        <is>
          <t>Wednesday</t>
        </is>
      </c>
      <c r="E345" t="n">
        <v>26</v>
      </c>
      <c r="F345" t="b">
        <v>0</v>
      </c>
      <c r="G345" t="inlineStr">
        <is>
          <t>Light</t>
        </is>
      </c>
      <c r="H345" t="b">
        <v>0</v>
      </c>
    </row>
    <row r="346">
      <c r="A346" t="inlineStr">
        <is>
          <t>S002</t>
        </is>
      </c>
      <c r="B346" s="3" t="n">
        <v>46267</v>
      </c>
      <c r="C346" t="n">
        <v>16</v>
      </c>
      <c r="D346" t="inlineStr">
        <is>
          <t>Wednesday</t>
        </is>
      </c>
      <c r="E346" t="n">
        <v>34</v>
      </c>
      <c r="F346" t="b">
        <v>0</v>
      </c>
      <c r="H346" t="b">
        <v>1</v>
      </c>
    </row>
    <row r="347">
      <c r="A347" t="inlineStr">
        <is>
          <t>S002</t>
        </is>
      </c>
      <c r="B347" s="3" t="n">
        <v>46267</v>
      </c>
      <c r="C347" t="n">
        <v>17</v>
      </c>
      <c r="D347" t="inlineStr">
        <is>
          <t>Wednesday</t>
        </is>
      </c>
      <c r="E347" t="n">
        <v>31</v>
      </c>
      <c r="F347" t="b">
        <v>0</v>
      </c>
      <c r="H347" t="b">
        <v>0</v>
      </c>
    </row>
    <row r="348">
      <c r="A348" t="inlineStr">
        <is>
          <t>S002</t>
        </is>
      </c>
      <c r="B348" s="3" t="n">
        <v>46267</v>
      </c>
      <c r="C348" t="n">
        <v>18</v>
      </c>
      <c r="D348" t="inlineStr">
        <is>
          <t>Wednesday</t>
        </is>
      </c>
      <c r="E348" t="n">
        <v>20</v>
      </c>
      <c r="F348" t="b">
        <v>0</v>
      </c>
      <c r="H348" t="b">
        <v>0</v>
      </c>
    </row>
    <row r="349">
      <c r="A349" t="inlineStr">
        <is>
          <t>S002</t>
        </is>
      </c>
      <c r="B349" s="3" t="n">
        <v>46267</v>
      </c>
      <c r="C349" t="n">
        <v>19</v>
      </c>
      <c r="D349" t="inlineStr">
        <is>
          <t>Wednesday</t>
        </is>
      </c>
      <c r="E349" t="n">
        <v>43</v>
      </c>
      <c r="F349" t="b">
        <v>1</v>
      </c>
      <c r="H349" t="b">
        <v>0</v>
      </c>
    </row>
    <row r="350">
      <c r="A350" t="inlineStr">
        <is>
          <t>S002</t>
        </is>
      </c>
      <c r="B350" s="3" t="n">
        <v>46267</v>
      </c>
      <c r="C350" t="n">
        <v>20</v>
      </c>
      <c r="D350" t="inlineStr">
        <is>
          <t>Wednesday</t>
        </is>
      </c>
      <c r="E350" t="n">
        <v>57</v>
      </c>
      <c r="F350" t="b">
        <v>1</v>
      </c>
      <c r="G350" t="inlineStr">
        <is>
          <t>Light</t>
        </is>
      </c>
      <c r="H350" t="b">
        <v>0</v>
      </c>
    </row>
    <row r="351">
      <c r="A351" t="inlineStr">
        <is>
          <t>S002</t>
        </is>
      </c>
      <c r="B351" s="3" t="n">
        <v>46267</v>
      </c>
      <c r="C351" t="n">
        <v>21</v>
      </c>
      <c r="D351" t="inlineStr">
        <is>
          <t>Wednesday</t>
        </is>
      </c>
      <c r="E351" t="n">
        <v>49</v>
      </c>
      <c r="F351" t="b">
        <v>1</v>
      </c>
      <c r="H351" t="b">
        <v>0</v>
      </c>
    </row>
    <row r="352">
      <c r="A352" t="inlineStr">
        <is>
          <t>S002</t>
        </is>
      </c>
      <c r="B352" s="3" t="n">
        <v>46267</v>
      </c>
      <c r="C352" t="n">
        <v>22</v>
      </c>
      <c r="D352" t="inlineStr">
        <is>
          <t>Wednesday</t>
        </is>
      </c>
      <c r="E352" t="n">
        <v>31</v>
      </c>
      <c r="F352" t="b">
        <v>0</v>
      </c>
      <c r="H352" t="b">
        <v>0</v>
      </c>
    </row>
    <row r="353">
      <c r="A353" t="inlineStr">
        <is>
          <t>S002</t>
        </is>
      </c>
      <c r="B353" s="3" t="n">
        <v>46267</v>
      </c>
      <c r="C353" t="n">
        <v>23</v>
      </c>
      <c r="D353" t="inlineStr">
        <is>
          <t>Wednesday</t>
        </is>
      </c>
      <c r="E353" t="n">
        <v>25</v>
      </c>
      <c r="F353" t="b">
        <v>0</v>
      </c>
      <c r="H353" t="b">
        <v>0</v>
      </c>
    </row>
    <row r="354">
      <c r="A354" t="inlineStr">
        <is>
          <t>S003</t>
        </is>
      </c>
      <c r="B354" s="3" t="n">
        <v>46267</v>
      </c>
      <c r="C354" t="n">
        <v>8</v>
      </c>
      <c r="D354" t="inlineStr">
        <is>
          <t>Wednesday</t>
        </is>
      </c>
      <c r="E354" t="n">
        <v>26</v>
      </c>
      <c r="F354" t="b">
        <v>0</v>
      </c>
      <c r="H354" t="b">
        <v>0</v>
      </c>
    </row>
    <row r="355">
      <c r="A355" t="inlineStr">
        <is>
          <t>S003</t>
        </is>
      </c>
      <c r="B355" s="3" t="n">
        <v>46267</v>
      </c>
      <c r="C355" t="n">
        <v>9</v>
      </c>
      <c r="D355" t="inlineStr">
        <is>
          <t>Wednesday</t>
        </is>
      </c>
      <c r="E355" t="n">
        <v>38</v>
      </c>
      <c r="F355" t="b">
        <v>0</v>
      </c>
      <c r="G355" t="inlineStr">
        <is>
          <t>Light</t>
        </is>
      </c>
      <c r="H355" t="b">
        <v>0</v>
      </c>
    </row>
    <row r="356">
      <c r="A356" t="inlineStr">
        <is>
          <t>S003</t>
        </is>
      </c>
      <c r="B356" s="3" t="n">
        <v>46267</v>
      </c>
      <c r="C356" t="n">
        <v>10</v>
      </c>
      <c r="D356" t="inlineStr">
        <is>
          <t>Wednesday</t>
        </is>
      </c>
      <c r="E356" t="n">
        <v>33</v>
      </c>
      <c r="F356" t="b">
        <v>0</v>
      </c>
      <c r="G356" t="inlineStr">
        <is>
          <t>Light</t>
        </is>
      </c>
      <c r="H356" t="b">
        <v>0</v>
      </c>
    </row>
    <row r="357">
      <c r="A357" t="inlineStr">
        <is>
          <t>S003</t>
        </is>
      </c>
      <c r="B357" s="3" t="n">
        <v>46267</v>
      </c>
      <c r="C357" t="n">
        <v>11</v>
      </c>
      <c r="D357" t="inlineStr">
        <is>
          <t>Wednesday</t>
        </is>
      </c>
      <c r="E357" t="n">
        <v>33</v>
      </c>
      <c r="F357" t="b">
        <v>0</v>
      </c>
      <c r="G357" t="inlineStr">
        <is>
          <t>Light</t>
        </is>
      </c>
      <c r="H357" t="b">
        <v>0</v>
      </c>
    </row>
    <row r="358">
      <c r="A358" t="inlineStr">
        <is>
          <t>S003</t>
        </is>
      </c>
      <c r="B358" s="3" t="n">
        <v>46267</v>
      </c>
      <c r="C358" t="n">
        <v>12</v>
      </c>
      <c r="D358" t="inlineStr">
        <is>
          <t>Wednesday</t>
        </is>
      </c>
      <c r="E358" t="n">
        <v>34</v>
      </c>
      <c r="F358" t="b">
        <v>0</v>
      </c>
      <c r="G358" t="inlineStr">
        <is>
          <t>Heavy</t>
        </is>
      </c>
      <c r="H358" t="b">
        <v>0</v>
      </c>
    </row>
    <row r="359">
      <c r="A359" t="inlineStr">
        <is>
          <t>S003</t>
        </is>
      </c>
      <c r="B359" s="3" t="n">
        <v>46267</v>
      </c>
      <c r="C359" t="n">
        <v>13</v>
      </c>
      <c r="D359" t="inlineStr">
        <is>
          <t>Wednesday</t>
        </is>
      </c>
      <c r="E359" t="n">
        <v>41</v>
      </c>
      <c r="F359" t="b">
        <v>0</v>
      </c>
      <c r="G359" t="inlineStr">
        <is>
          <t>Light</t>
        </is>
      </c>
      <c r="H359" t="b">
        <v>0</v>
      </c>
    </row>
    <row r="360">
      <c r="A360" t="inlineStr">
        <is>
          <t>S003</t>
        </is>
      </c>
      <c r="B360" s="3" t="n">
        <v>46267</v>
      </c>
      <c r="C360" t="n">
        <v>14</v>
      </c>
      <c r="D360" t="inlineStr">
        <is>
          <t>Wednesday</t>
        </is>
      </c>
      <c r="E360" t="n">
        <v>29</v>
      </c>
      <c r="F360" t="b">
        <v>0</v>
      </c>
      <c r="H360" t="b">
        <v>1</v>
      </c>
    </row>
    <row r="361">
      <c r="A361" t="inlineStr">
        <is>
          <t>S003</t>
        </is>
      </c>
      <c r="B361" s="3" t="n">
        <v>46267</v>
      </c>
      <c r="C361" t="n">
        <v>15</v>
      </c>
      <c r="D361" t="inlineStr">
        <is>
          <t>Wednesday</t>
        </is>
      </c>
      <c r="E361" t="n">
        <v>24</v>
      </c>
      <c r="F361" t="b">
        <v>0</v>
      </c>
      <c r="H361" t="b">
        <v>0</v>
      </c>
    </row>
    <row r="362">
      <c r="A362" t="inlineStr">
        <is>
          <t>S003</t>
        </is>
      </c>
      <c r="B362" s="3" t="n">
        <v>46267</v>
      </c>
      <c r="C362" t="n">
        <v>16</v>
      </c>
      <c r="D362" t="inlineStr">
        <is>
          <t>Wednesday</t>
        </is>
      </c>
      <c r="E362" t="n">
        <v>41</v>
      </c>
      <c r="F362" t="b">
        <v>0</v>
      </c>
      <c r="H362" t="b">
        <v>1</v>
      </c>
    </row>
    <row r="363">
      <c r="A363" t="inlineStr">
        <is>
          <t>S003</t>
        </is>
      </c>
      <c r="B363" s="3" t="n">
        <v>46267</v>
      </c>
      <c r="C363" t="n">
        <v>17</v>
      </c>
      <c r="D363" t="inlineStr">
        <is>
          <t>Wednesday</t>
        </is>
      </c>
      <c r="E363" t="n">
        <v>49</v>
      </c>
      <c r="F363" t="b">
        <v>0</v>
      </c>
      <c r="H363" t="b">
        <v>1</v>
      </c>
    </row>
    <row r="364">
      <c r="A364" t="inlineStr">
        <is>
          <t>S003</t>
        </is>
      </c>
      <c r="B364" s="3" t="n">
        <v>46267</v>
      </c>
      <c r="C364" t="n">
        <v>18</v>
      </c>
      <c r="D364" t="inlineStr">
        <is>
          <t>Wednesday</t>
        </is>
      </c>
      <c r="E364" t="n">
        <v>50</v>
      </c>
      <c r="F364" t="b">
        <v>0</v>
      </c>
      <c r="G364" t="inlineStr">
        <is>
          <t>Light</t>
        </is>
      </c>
      <c r="H364" t="b">
        <v>0</v>
      </c>
    </row>
    <row r="365">
      <c r="A365" t="inlineStr">
        <is>
          <t>S003</t>
        </is>
      </c>
      <c r="B365" s="3" t="n">
        <v>46267</v>
      </c>
      <c r="C365" t="n">
        <v>19</v>
      </c>
      <c r="D365" t="inlineStr">
        <is>
          <t>Wednesday</t>
        </is>
      </c>
      <c r="E365" t="n">
        <v>52</v>
      </c>
      <c r="F365" t="b">
        <v>1</v>
      </c>
      <c r="G365" t="inlineStr">
        <is>
          <t>Light</t>
        </is>
      </c>
      <c r="H365" t="b">
        <v>0</v>
      </c>
    </row>
    <row r="366">
      <c r="A366" t="inlineStr">
        <is>
          <t>S003</t>
        </is>
      </c>
      <c r="B366" s="3" t="n">
        <v>46267</v>
      </c>
      <c r="C366" t="n">
        <v>20</v>
      </c>
      <c r="D366" t="inlineStr">
        <is>
          <t>Wednesday</t>
        </is>
      </c>
      <c r="E366" t="n">
        <v>75</v>
      </c>
      <c r="F366" t="b">
        <v>1</v>
      </c>
      <c r="H366" t="b">
        <v>0</v>
      </c>
    </row>
    <row r="367">
      <c r="A367" t="inlineStr">
        <is>
          <t>S003</t>
        </is>
      </c>
      <c r="B367" s="3" t="n">
        <v>46267</v>
      </c>
      <c r="C367" t="n">
        <v>21</v>
      </c>
      <c r="D367" t="inlineStr">
        <is>
          <t>Wednesday</t>
        </is>
      </c>
      <c r="E367" t="n">
        <v>53</v>
      </c>
      <c r="F367" t="b">
        <v>1</v>
      </c>
      <c r="H367" t="b">
        <v>0</v>
      </c>
    </row>
    <row r="368">
      <c r="A368" t="inlineStr">
        <is>
          <t>S003</t>
        </is>
      </c>
      <c r="B368" s="3" t="n">
        <v>46267</v>
      </c>
      <c r="C368" t="n">
        <v>22</v>
      </c>
      <c r="D368" t="inlineStr">
        <is>
          <t>Wednesday</t>
        </is>
      </c>
      <c r="E368" t="n">
        <v>40</v>
      </c>
      <c r="F368" t="b">
        <v>0</v>
      </c>
      <c r="G368" t="inlineStr">
        <is>
          <t>Light</t>
        </is>
      </c>
      <c r="H368" t="b">
        <v>0</v>
      </c>
    </row>
    <row r="369">
      <c r="A369" t="inlineStr">
        <is>
          <t>S003</t>
        </is>
      </c>
      <c r="B369" s="3" t="n">
        <v>46267</v>
      </c>
      <c r="C369" t="n">
        <v>23</v>
      </c>
      <c r="D369" t="inlineStr">
        <is>
          <t>Wednesday</t>
        </is>
      </c>
      <c r="E369" t="n">
        <v>43</v>
      </c>
      <c r="F369" t="b">
        <v>0</v>
      </c>
      <c r="H369" t="b">
        <v>0</v>
      </c>
    </row>
    <row r="370">
      <c r="A370" t="inlineStr">
        <is>
          <t>S004</t>
        </is>
      </c>
      <c r="B370" s="3" t="n">
        <v>46267</v>
      </c>
      <c r="C370" t="n">
        <v>8</v>
      </c>
      <c r="D370" t="inlineStr">
        <is>
          <t>Wednesday</t>
        </is>
      </c>
      <c r="E370" t="n">
        <v>23</v>
      </c>
      <c r="F370" t="b">
        <v>0</v>
      </c>
      <c r="H370" t="b">
        <v>0</v>
      </c>
    </row>
    <row r="371">
      <c r="A371" t="inlineStr">
        <is>
          <t>S004</t>
        </is>
      </c>
      <c r="B371" s="3" t="n">
        <v>46267</v>
      </c>
      <c r="C371" t="n">
        <v>9</v>
      </c>
      <c r="D371" t="inlineStr">
        <is>
          <t>Wednesday</t>
        </is>
      </c>
      <c r="E371" t="n">
        <v>29</v>
      </c>
      <c r="F371" t="b">
        <v>0</v>
      </c>
      <c r="H371" t="b">
        <v>0</v>
      </c>
    </row>
    <row r="372">
      <c r="A372" t="inlineStr">
        <is>
          <t>S004</t>
        </is>
      </c>
      <c r="B372" s="3" t="n">
        <v>46267</v>
      </c>
      <c r="C372" t="n">
        <v>10</v>
      </c>
      <c r="D372" t="inlineStr">
        <is>
          <t>Wednesday</t>
        </is>
      </c>
      <c r="E372" t="n">
        <v>27</v>
      </c>
      <c r="F372" t="b">
        <v>0</v>
      </c>
      <c r="H372" t="b">
        <v>0</v>
      </c>
    </row>
    <row r="373">
      <c r="A373" t="inlineStr">
        <is>
          <t>S004</t>
        </is>
      </c>
      <c r="B373" s="3" t="n">
        <v>46267</v>
      </c>
      <c r="C373" t="n">
        <v>11</v>
      </c>
      <c r="D373" t="inlineStr">
        <is>
          <t>Wednesday</t>
        </is>
      </c>
      <c r="E373" t="n">
        <v>42</v>
      </c>
      <c r="F373" t="b">
        <v>0</v>
      </c>
      <c r="H373" t="b">
        <v>0</v>
      </c>
    </row>
    <row r="374">
      <c r="A374" t="inlineStr">
        <is>
          <t>S004</t>
        </is>
      </c>
      <c r="B374" s="3" t="n">
        <v>46267</v>
      </c>
      <c r="C374" t="n">
        <v>12</v>
      </c>
      <c r="D374" t="inlineStr">
        <is>
          <t>Wednesday</t>
        </is>
      </c>
      <c r="E374" t="n">
        <v>40</v>
      </c>
      <c r="F374" t="b">
        <v>0</v>
      </c>
      <c r="G374" t="inlineStr">
        <is>
          <t>Light</t>
        </is>
      </c>
      <c r="H374" t="b">
        <v>0</v>
      </c>
    </row>
    <row r="375">
      <c r="A375" t="inlineStr">
        <is>
          <t>S004</t>
        </is>
      </c>
      <c r="B375" s="3" t="n">
        <v>46267</v>
      </c>
      <c r="C375" t="n">
        <v>13</v>
      </c>
      <c r="D375" t="inlineStr">
        <is>
          <t>Wednesday</t>
        </is>
      </c>
      <c r="E375" t="n">
        <v>39</v>
      </c>
      <c r="F375" t="b">
        <v>0</v>
      </c>
      <c r="H375" t="b">
        <v>0</v>
      </c>
    </row>
    <row r="376">
      <c r="A376" t="inlineStr">
        <is>
          <t>S004</t>
        </is>
      </c>
      <c r="B376" s="3" t="n">
        <v>46267</v>
      </c>
      <c r="C376" t="n">
        <v>14</v>
      </c>
      <c r="D376" t="inlineStr">
        <is>
          <t>Wednesday</t>
        </is>
      </c>
      <c r="E376" t="n">
        <v>20</v>
      </c>
      <c r="F376" t="b">
        <v>0</v>
      </c>
      <c r="H376" t="b">
        <v>0</v>
      </c>
    </row>
    <row r="377">
      <c r="A377" t="inlineStr">
        <is>
          <t>S004</t>
        </is>
      </c>
      <c r="B377" s="3" t="n">
        <v>46267</v>
      </c>
      <c r="C377" t="n">
        <v>15</v>
      </c>
      <c r="D377" t="inlineStr">
        <is>
          <t>Wednesday</t>
        </is>
      </c>
      <c r="E377" t="n">
        <v>33</v>
      </c>
      <c r="F377" t="b">
        <v>0</v>
      </c>
      <c r="H377" t="b">
        <v>0</v>
      </c>
    </row>
    <row r="378">
      <c r="A378" t="inlineStr">
        <is>
          <t>S004</t>
        </is>
      </c>
      <c r="B378" s="3" t="n">
        <v>46267</v>
      </c>
      <c r="C378" t="n">
        <v>16</v>
      </c>
      <c r="D378" t="inlineStr">
        <is>
          <t>Wednesday</t>
        </is>
      </c>
      <c r="E378" t="n">
        <v>36</v>
      </c>
      <c r="F378" t="b">
        <v>0</v>
      </c>
      <c r="H378" t="b">
        <v>0</v>
      </c>
    </row>
    <row r="379">
      <c r="A379" t="inlineStr">
        <is>
          <t>S004</t>
        </is>
      </c>
      <c r="B379" s="3" t="n">
        <v>46267</v>
      </c>
      <c r="C379" t="n">
        <v>17</v>
      </c>
      <c r="D379" t="inlineStr">
        <is>
          <t>Wednesday</t>
        </is>
      </c>
      <c r="E379" t="n">
        <v>42</v>
      </c>
      <c r="F379" t="b">
        <v>0</v>
      </c>
      <c r="H379" t="b">
        <v>0</v>
      </c>
    </row>
    <row r="380">
      <c r="A380" t="inlineStr">
        <is>
          <t>S004</t>
        </is>
      </c>
      <c r="B380" s="3" t="n">
        <v>46267</v>
      </c>
      <c r="C380" t="n">
        <v>18</v>
      </c>
      <c r="D380" t="inlineStr">
        <is>
          <t>Wednesday</t>
        </is>
      </c>
      <c r="E380" t="n">
        <v>46</v>
      </c>
      <c r="F380" t="b">
        <v>0</v>
      </c>
      <c r="H380" t="b">
        <v>0</v>
      </c>
    </row>
    <row r="381">
      <c r="A381" t="inlineStr">
        <is>
          <t>S004</t>
        </is>
      </c>
      <c r="B381" s="3" t="n">
        <v>46267</v>
      </c>
      <c r="C381" t="n">
        <v>19</v>
      </c>
      <c r="D381" t="inlineStr">
        <is>
          <t>Wednesday</t>
        </is>
      </c>
      <c r="E381" t="n">
        <v>75</v>
      </c>
      <c r="F381" t="b">
        <v>1</v>
      </c>
      <c r="H381" t="b">
        <v>0</v>
      </c>
    </row>
    <row r="382">
      <c r="A382" t="inlineStr">
        <is>
          <t>S004</t>
        </is>
      </c>
      <c r="B382" s="3" t="n">
        <v>46267</v>
      </c>
      <c r="C382" t="n">
        <v>20</v>
      </c>
      <c r="D382" t="inlineStr">
        <is>
          <t>Wednesday</t>
        </is>
      </c>
      <c r="E382" t="n">
        <v>71</v>
      </c>
      <c r="F382" t="b">
        <v>1</v>
      </c>
      <c r="G382" t="inlineStr">
        <is>
          <t>Light</t>
        </is>
      </c>
      <c r="H382" t="b">
        <v>0</v>
      </c>
    </row>
    <row r="383">
      <c r="A383" t="inlineStr">
        <is>
          <t>S004</t>
        </is>
      </c>
      <c r="B383" s="3" t="n">
        <v>46267</v>
      </c>
      <c r="C383" t="n">
        <v>21</v>
      </c>
      <c r="D383" t="inlineStr">
        <is>
          <t>Wednesday</t>
        </is>
      </c>
      <c r="E383" t="n">
        <v>75</v>
      </c>
      <c r="F383" t="b">
        <v>1</v>
      </c>
      <c r="H383" t="b">
        <v>0</v>
      </c>
    </row>
    <row r="384">
      <c r="A384" t="inlineStr">
        <is>
          <t>S004</t>
        </is>
      </c>
      <c r="B384" s="3" t="n">
        <v>46267</v>
      </c>
      <c r="C384" t="n">
        <v>22</v>
      </c>
      <c r="D384" t="inlineStr">
        <is>
          <t>Wednesday</t>
        </is>
      </c>
      <c r="E384" t="n">
        <v>43</v>
      </c>
      <c r="F384" t="b">
        <v>0</v>
      </c>
      <c r="G384" t="inlineStr">
        <is>
          <t>Heavy</t>
        </is>
      </c>
      <c r="H384" t="b">
        <v>0</v>
      </c>
    </row>
    <row r="385">
      <c r="A385" t="inlineStr">
        <is>
          <t>S004</t>
        </is>
      </c>
      <c r="B385" s="3" t="n">
        <v>46267</v>
      </c>
      <c r="C385" t="n">
        <v>23</v>
      </c>
      <c r="D385" t="inlineStr">
        <is>
          <t>Wednesday</t>
        </is>
      </c>
      <c r="E385" t="n">
        <v>42</v>
      </c>
      <c r="F385" t="b">
        <v>0</v>
      </c>
      <c r="H385" t="b">
        <v>0</v>
      </c>
    </row>
    <row r="386">
      <c r="A386" t="inlineStr">
        <is>
          <t>S005</t>
        </is>
      </c>
      <c r="B386" s="3" t="n">
        <v>46267</v>
      </c>
      <c r="C386" t="n">
        <v>8</v>
      </c>
      <c r="D386" t="inlineStr">
        <is>
          <t>Wednesday</t>
        </is>
      </c>
      <c r="E386" t="n">
        <v>10</v>
      </c>
      <c r="F386" t="b">
        <v>0</v>
      </c>
      <c r="H386" t="b">
        <v>0</v>
      </c>
    </row>
    <row r="387">
      <c r="A387" t="inlineStr">
        <is>
          <t>S005</t>
        </is>
      </c>
      <c r="B387" s="3" t="n">
        <v>46267</v>
      </c>
      <c r="C387" t="n">
        <v>9</v>
      </c>
      <c r="D387" t="inlineStr">
        <is>
          <t>Wednesday</t>
        </is>
      </c>
      <c r="E387" t="n">
        <v>12</v>
      </c>
      <c r="F387" t="b">
        <v>0</v>
      </c>
      <c r="H387" t="b">
        <v>0</v>
      </c>
    </row>
    <row r="388">
      <c r="A388" t="inlineStr">
        <is>
          <t>S005</t>
        </is>
      </c>
      <c r="B388" s="3" t="n">
        <v>46267</v>
      </c>
      <c r="C388" t="n">
        <v>10</v>
      </c>
      <c r="D388" t="inlineStr">
        <is>
          <t>Wednesday</t>
        </is>
      </c>
      <c r="E388" t="n">
        <v>15</v>
      </c>
      <c r="F388" t="b">
        <v>0</v>
      </c>
      <c r="G388" t="inlineStr">
        <is>
          <t>Light</t>
        </is>
      </c>
      <c r="H388" t="b">
        <v>0</v>
      </c>
    </row>
    <row r="389">
      <c r="A389" t="inlineStr">
        <is>
          <t>S005</t>
        </is>
      </c>
      <c r="B389" s="3" t="n">
        <v>46267</v>
      </c>
      <c r="C389" t="n">
        <v>11</v>
      </c>
      <c r="D389" t="inlineStr">
        <is>
          <t>Wednesday</t>
        </is>
      </c>
      <c r="E389" t="n">
        <v>12</v>
      </c>
      <c r="F389" t="b">
        <v>0</v>
      </c>
      <c r="H389" t="b">
        <v>0</v>
      </c>
    </row>
    <row r="390">
      <c r="A390" t="inlineStr">
        <is>
          <t>S005</t>
        </is>
      </c>
      <c r="B390" s="3" t="n">
        <v>46267</v>
      </c>
      <c r="C390" t="n">
        <v>12</v>
      </c>
      <c r="D390" t="inlineStr">
        <is>
          <t>Wednesday</t>
        </is>
      </c>
      <c r="E390" t="n">
        <v>9</v>
      </c>
      <c r="F390" t="b">
        <v>0</v>
      </c>
      <c r="H390" t="b">
        <v>0</v>
      </c>
    </row>
    <row r="391">
      <c r="A391" t="inlineStr">
        <is>
          <t>S005</t>
        </is>
      </c>
      <c r="B391" s="3" t="n">
        <v>46267</v>
      </c>
      <c r="C391" t="n">
        <v>13</v>
      </c>
      <c r="D391" t="inlineStr">
        <is>
          <t>Wednesday</t>
        </is>
      </c>
      <c r="E391" t="n">
        <v>13</v>
      </c>
      <c r="F391" t="b">
        <v>0</v>
      </c>
      <c r="H391" t="b">
        <v>0</v>
      </c>
    </row>
    <row r="392">
      <c r="A392" t="inlineStr">
        <is>
          <t>S005</t>
        </is>
      </c>
      <c r="B392" s="3" t="n">
        <v>46267</v>
      </c>
      <c r="C392" t="n">
        <v>14</v>
      </c>
      <c r="D392" t="inlineStr">
        <is>
          <t>Wednesday</t>
        </is>
      </c>
      <c r="E392" t="n">
        <v>4</v>
      </c>
      <c r="F392" t="b">
        <v>0</v>
      </c>
      <c r="H392" t="b">
        <v>0</v>
      </c>
    </row>
    <row r="393">
      <c r="A393" t="inlineStr">
        <is>
          <t>S005</t>
        </is>
      </c>
      <c r="B393" s="3" t="n">
        <v>46267</v>
      </c>
      <c r="C393" t="n">
        <v>15</v>
      </c>
      <c r="D393" t="inlineStr">
        <is>
          <t>Wednesday</t>
        </is>
      </c>
      <c r="E393" t="n">
        <v>9</v>
      </c>
      <c r="F393" t="b">
        <v>0</v>
      </c>
      <c r="H393" t="b">
        <v>0</v>
      </c>
    </row>
    <row r="394">
      <c r="A394" t="inlineStr">
        <is>
          <t>S005</t>
        </is>
      </c>
      <c r="B394" s="3" t="n">
        <v>46267</v>
      </c>
      <c r="C394" t="n">
        <v>16</v>
      </c>
      <c r="D394" t="inlineStr">
        <is>
          <t>Wednesday</t>
        </is>
      </c>
      <c r="E394" t="n">
        <v>10</v>
      </c>
      <c r="F394" t="b">
        <v>0</v>
      </c>
      <c r="H394" t="b">
        <v>0</v>
      </c>
    </row>
    <row r="395">
      <c r="A395" t="inlineStr">
        <is>
          <t>S005</t>
        </is>
      </c>
      <c r="B395" s="3" t="n">
        <v>46267</v>
      </c>
      <c r="C395" t="n">
        <v>17</v>
      </c>
      <c r="D395" t="inlineStr">
        <is>
          <t>Wednesday</t>
        </is>
      </c>
      <c r="E395" t="n">
        <v>16</v>
      </c>
      <c r="F395" t="b">
        <v>0</v>
      </c>
      <c r="H395" t="b">
        <v>1</v>
      </c>
    </row>
    <row r="396">
      <c r="A396" t="inlineStr">
        <is>
          <t>S005</t>
        </is>
      </c>
      <c r="B396" s="3" t="n">
        <v>46267</v>
      </c>
      <c r="C396" t="n">
        <v>18</v>
      </c>
      <c r="D396" t="inlineStr">
        <is>
          <t>Wednesday</t>
        </is>
      </c>
      <c r="E396" t="n">
        <v>13</v>
      </c>
      <c r="F396" t="b">
        <v>0</v>
      </c>
      <c r="H396" t="b">
        <v>0</v>
      </c>
    </row>
    <row r="397">
      <c r="A397" t="inlineStr">
        <is>
          <t>S005</t>
        </is>
      </c>
      <c r="B397" s="3" t="n">
        <v>46267</v>
      </c>
      <c r="C397" t="n">
        <v>19</v>
      </c>
      <c r="D397" t="inlineStr">
        <is>
          <t>Wednesday</t>
        </is>
      </c>
      <c r="E397" t="n">
        <v>24</v>
      </c>
      <c r="F397" t="b">
        <v>1</v>
      </c>
      <c r="H397" t="b">
        <v>0</v>
      </c>
    </row>
    <row r="398">
      <c r="A398" t="inlineStr">
        <is>
          <t>S005</t>
        </is>
      </c>
      <c r="B398" s="3" t="n">
        <v>46267</v>
      </c>
      <c r="C398" t="n">
        <v>20</v>
      </c>
      <c r="D398" t="inlineStr">
        <is>
          <t>Wednesday</t>
        </is>
      </c>
      <c r="E398" t="n">
        <v>22</v>
      </c>
      <c r="F398" t="b">
        <v>1</v>
      </c>
      <c r="H398" t="b">
        <v>0</v>
      </c>
    </row>
    <row r="399">
      <c r="A399" t="inlineStr">
        <is>
          <t>S005</t>
        </is>
      </c>
      <c r="B399" s="3" t="n">
        <v>46267</v>
      </c>
      <c r="C399" t="n">
        <v>21</v>
      </c>
      <c r="D399" t="inlineStr">
        <is>
          <t>Wednesday</t>
        </is>
      </c>
      <c r="E399" t="n">
        <v>24</v>
      </c>
      <c r="F399" t="b">
        <v>1</v>
      </c>
      <c r="G399" t="inlineStr">
        <is>
          <t>Light</t>
        </is>
      </c>
      <c r="H399" t="b">
        <v>0</v>
      </c>
    </row>
    <row r="400">
      <c r="A400" t="inlineStr">
        <is>
          <t>S005</t>
        </is>
      </c>
      <c r="B400" s="3" t="n">
        <v>46267</v>
      </c>
      <c r="C400" t="n">
        <v>22</v>
      </c>
      <c r="D400" t="inlineStr">
        <is>
          <t>Wednesday</t>
        </is>
      </c>
      <c r="E400" t="n">
        <v>19</v>
      </c>
      <c r="F400" t="b">
        <v>0</v>
      </c>
      <c r="G400" t="inlineStr">
        <is>
          <t>Heavy</t>
        </is>
      </c>
      <c r="H400" t="b">
        <v>0</v>
      </c>
    </row>
    <row r="401">
      <c r="A401" t="inlineStr">
        <is>
          <t>S005</t>
        </is>
      </c>
      <c r="B401" s="3" t="n">
        <v>46267</v>
      </c>
      <c r="C401" t="n">
        <v>23</v>
      </c>
      <c r="D401" t="inlineStr">
        <is>
          <t>Wednesday</t>
        </is>
      </c>
      <c r="E401" t="n">
        <v>18</v>
      </c>
      <c r="F401" t="b">
        <v>0</v>
      </c>
      <c r="H401" t="b">
        <v>0</v>
      </c>
    </row>
    <row r="402">
      <c r="A402" t="inlineStr">
        <is>
          <t>S006</t>
        </is>
      </c>
      <c r="B402" s="3" t="n">
        <v>46267</v>
      </c>
      <c r="C402" t="n">
        <v>8</v>
      </c>
      <c r="D402" t="inlineStr">
        <is>
          <t>Wednesday</t>
        </is>
      </c>
      <c r="E402" t="n">
        <v>13</v>
      </c>
      <c r="F402" t="b">
        <v>0</v>
      </c>
      <c r="H402" t="b">
        <v>0</v>
      </c>
    </row>
    <row r="403">
      <c r="A403" t="inlineStr">
        <is>
          <t>S006</t>
        </is>
      </c>
      <c r="B403" s="3" t="n">
        <v>46267</v>
      </c>
      <c r="C403" t="n">
        <v>9</v>
      </c>
      <c r="D403" t="inlineStr">
        <is>
          <t>Wednesday</t>
        </is>
      </c>
      <c r="E403" t="n">
        <v>21</v>
      </c>
      <c r="F403" t="b">
        <v>0</v>
      </c>
      <c r="H403" t="b">
        <v>0</v>
      </c>
    </row>
    <row r="404">
      <c r="A404" t="inlineStr">
        <is>
          <t>S006</t>
        </is>
      </c>
      <c r="B404" s="3" t="n">
        <v>46267</v>
      </c>
      <c r="C404" t="n">
        <v>10</v>
      </c>
      <c r="D404" t="inlineStr">
        <is>
          <t>Wednesday</t>
        </is>
      </c>
      <c r="E404" t="n">
        <v>15</v>
      </c>
      <c r="F404" t="b">
        <v>0</v>
      </c>
      <c r="H404" t="b">
        <v>0</v>
      </c>
    </row>
    <row r="405">
      <c r="A405" t="inlineStr">
        <is>
          <t>S006</t>
        </is>
      </c>
      <c r="B405" s="3" t="n">
        <v>46267</v>
      </c>
      <c r="C405" t="n">
        <v>11</v>
      </c>
      <c r="D405" t="inlineStr">
        <is>
          <t>Wednesday</t>
        </is>
      </c>
      <c r="E405" t="n">
        <v>33</v>
      </c>
      <c r="F405" t="b">
        <v>0</v>
      </c>
      <c r="H405" t="b">
        <v>0</v>
      </c>
    </row>
    <row r="406">
      <c r="A406" t="inlineStr">
        <is>
          <t>S006</t>
        </is>
      </c>
      <c r="B406" s="3" t="n">
        <v>46267</v>
      </c>
      <c r="C406" t="n">
        <v>12</v>
      </c>
      <c r="D406" t="inlineStr">
        <is>
          <t>Wednesday</t>
        </is>
      </c>
      <c r="E406" t="n">
        <v>25</v>
      </c>
      <c r="F406" t="b">
        <v>0</v>
      </c>
      <c r="G406" t="inlineStr">
        <is>
          <t>Light</t>
        </is>
      </c>
      <c r="H406" t="b">
        <v>0</v>
      </c>
    </row>
    <row r="407">
      <c r="A407" t="inlineStr">
        <is>
          <t>S006</t>
        </is>
      </c>
      <c r="B407" s="3" t="n">
        <v>46267</v>
      </c>
      <c r="C407" t="n">
        <v>13</v>
      </c>
      <c r="D407" t="inlineStr">
        <is>
          <t>Wednesday</t>
        </is>
      </c>
      <c r="E407" t="n">
        <v>21</v>
      </c>
      <c r="F407" t="b">
        <v>0</v>
      </c>
      <c r="H407" t="b">
        <v>0</v>
      </c>
    </row>
    <row r="408">
      <c r="A408" t="inlineStr">
        <is>
          <t>S006</t>
        </is>
      </c>
      <c r="B408" s="3" t="n">
        <v>46267</v>
      </c>
      <c r="C408" t="n">
        <v>14</v>
      </c>
      <c r="D408" t="inlineStr">
        <is>
          <t>Wednesday</t>
        </is>
      </c>
      <c r="E408" t="n">
        <v>17</v>
      </c>
      <c r="F408" t="b">
        <v>0</v>
      </c>
      <c r="H408" t="b">
        <v>1</v>
      </c>
    </row>
    <row r="409">
      <c r="A409" t="inlineStr">
        <is>
          <t>S006</t>
        </is>
      </c>
      <c r="B409" s="3" t="n">
        <v>46267</v>
      </c>
      <c r="C409" t="n">
        <v>15</v>
      </c>
      <c r="D409" t="inlineStr">
        <is>
          <t>Wednesday</t>
        </is>
      </c>
      <c r="E409" t="n">
        <v>20</v>
      </c>
      <c r="F409" t="b">
        <v>0</v>
      </c>
      <c r="H409" t="b">
        <v>0</v>
      </c>
    </row>
    <row r="410">
      <c r="A410" t="inlineStr">
        <is>
          <t>S006</t>
        </is>
      </c>
      <c r="B410" s="3" t="n">
        <v>46267</v>
      </c>
      <c r="C410" t="n">
        <v>16</v>
      </c>
      <c r="D410" t="inlineStr">
        <is>
          <t>Wednesday</t>
        </is>
      </c>
      <c r="E410" t="n">
        <v>19</v>
      </c>
      <c r="F410" t="b">
        <v>0</v>
      </c>
      <c r="H410" t="b">
        <v>0</v>
      </c>
    </row>
    <row r="411">
      <c r="A411" t="inlineStr">
        <is>
          <t>S006</t>
        </is>
      </c>
      <c r="B411" s="3" t="n">
        <v>46267</v>
      </c>
      <c r="C411" t="n">
        <v>17</v>
      </c>
      <c r="D411" t="inlineStr">
        <is>
          <t>Wednesday</t>
        </is>
      </c>
      <c r="E411" t="n">
        <v>32</v>
      </c>
      <c r="F411" t="b">
        <v>0</v>
      </c>
      <c r="H411" t="b">
        <v>0</v>
      </c>
    </row>
    <row r="412">
      <c r="A412" t="inlineStr">
        <is>
          <t>S006</t>
        </is>
      </c>
      <c r="B412" s="3" t="n">
        <v>46267</v>
      </c>
      <c r="C412" t="n">
        <v>18</v>
      </c>
      <c r="D412" t="inlineStr">
        <is>
          <t>Wednesday</t>
        </is>
      </c>
      <c r="E412" t="n">
        <v>29</v>
      </c>
      <c r="F412" t="b">
        <v>0</v>
      </c>
      <c r="H412" t="b">
        <v>0</v>
      </c>
    </row>
    <row r="413">
      <c r="A413" t="inlineStr">
        <is>
          <t>S006</t>
        </is>
      </c>
      <c r="B413" s="3" t="n">
        <v>46267</v>
      </c>
      <c r="C413" t="n">
        <v>19</v>
      </c>
      <c r="D413" t="inlineStr">
        <is>
          <t>Wednesday</t>
        </is>
      </c>
      <c r="E413" t="n">
        <v>35</v>
      </c>
      <c r="F413" t="b">
        <v>1</v>
      </c>
      <c r="H413" t="b">
        <v>0</v>
      </c>
    </row>
    <row r="414">
      <c r="A414" t="inlineStr">
        <is>
          <t>S006</t>
        </is>
      </c>
      <c r="B414" s="3" t="n">
        <v>46267</v>
      </c>
      <c r="C414" t="n">
        <v>20</v>
      </c>
      <c r="D414" t="inlineStr">
        <is>
          <t>Wednesday</t>
        </is>
      </c>
      <c r="E414" t="n">
        <v>49</v>
      </c>
      <c r="F414" t="b">
        <v>1</v>
      </c>
      <c r="H414" t="b">
        <v>0</v>
      </c>
    </row>
    <row r="415">
      <c r="A415" t="inlineStr">
        <is>
          <t>S006</t>
        </is>
      </c>
      <c r="B415" s="3" t="n">
        <v>46267</v>
      </c>
      <c r="C415" t="n">
        <v>21</v>
      </c>
      <c r="D415" t="inlineStr">
        <is>
          <t>Wednesday</t>
        </is>
      </c>
      <c r="E415" t="n">
        <v>48</v>
      </c>
      <c r="F415" t="b">
        <v>1</v>
      </c>
      <c r="H415" t="b">
        <v>0</v>
      </c>
    </row>
    <row r="416">
      <c r="A416" t="inlineStr">
        <is>
          <t>S006</t>
        </is>
      </c>
      <c r="B416" s="3" t="n">
        <v>46267</v>
      </c>
      <c r="C416" t="n">
        <v>22</v>
      </c>
      <c r="D416" t="inlineStr">
        <is>
          <t>Wednesday</t>
        </is>
      </c>
      <c r="E416" t="n">
        <v>29</v>
      </c>
      <c r="F416" t="b">
        <v>0</v>
      </c>
      <c r="H416" t="b">
        <v>0</v>
      </c>
    </row>
    <row r="417">
      <c r="A417" t="inlineStr">
        <is>
          <t>S006</t>
        </is>
      </c>
      <c r="B417" s="3" t="n">
        <v>46267</v>
      </c>
      <c r="C417" t="n">
        <v>23</v>
      </c>
      <c r="D417" t="inlineStr">
        <is>
          <t>Wednesday</t>
        </is>
      </c>
      <c r="E417" t="n">
        <v>35</v>
      </c>
      <c r="F417" t="b">
        <v>0</v>
      </c>
      <c r="H417" t="b">
        <v>0</v>
      </c>
    </row>
    <row r="418">
      <c r="A418" t="inlineStr">
        <is>
          <t>S007</t>
        </is>
      </c>
      <c r="B418" s="3" t="n">
        <v>46267</v>
      </c>
      <c r="C418" t="n">
        <v>8</v>
      </c>
      <c r="D418" t="inlineStr">
        <is>
          <t>Wednesday</t>
        </is>
      </c>
      <c r="E418" t="n">
        <v>28</v>
      </c>
      <c r="F418" t="b">
        <v>0</v>
      </c>
      <c r="H418" t="b">
        <v>0</v>
      </c>
    </row>
    <row r="419">
      <c r="A419" t="inlineStr">
        <is>
          <t>S007</t>
        </is>
      </c>
      <c r="B419" s="3" t="n">
        <v>46267</v>
      </c>
      <c r="C419" t="n">
        <v>9</v>
      </c>
      <c r="D419" t="inlineStr">
        <is>
          <t>Wednesday</t>
        </is>
      </c>
      <c r="E419" t="n">
        <v>36</v>
      </c>
      <c r="F419" t="b">
        <v>0</v>
      </c>
      <c r="H419" t="b">
        <v>0</v>
      </c>
    </row>
    <row r="420">
      <c r="A420" t="inlineStr">
        <is>
          <t>S007</t>
        </is>
      </c>
      <c r="B420" s="3" t="n">
        <v>46267</v>
      </c>
      <c r="C420" t="n">
        <v>10</v>
      </c>
      <c r="D420" t="inlineStr">
        <is>
          <t>Wednesday</t>
        </is>
      </c>
      <c r="E420" t="n">
        <v>28</v>
      </c>
      <c r="F420" t="b">
        <v>0</v>
      </c>
      <c r="H420" t="b">
        <v>0</v>
      </c>
    </row>
    <row r="421">
      <c r="A421" t="inlineStr">
        <is>
          <t>S007</t>
        </is>
      </c>
      <c r="B421" s="3" t="n">
        <v>46267</v>
      </c>
      <c r="C421" t="n">
        <v>11</v>
      </c>
      <c r="D421" t="inlineStr">
        <is>
          <t>Wednesday</t>
        </is>
      </c>
      <c r="E421" t="n">
        <v>40</v>
      </c>
      <c r="F421" t="b">
        <v>0</v>
      </c>
      <c r="H421" t="b">
        <v>0</v>
      </c>
    </row>
    <row r="422">
      <c r="A422" t="inlineStr">
        <is>
          <t>S007</t>
        </is>
      </c>
      <c r="B422" s="3" t="n">
        <v>46267</v>
      </c>
      <c r="C422" t="n">
        <v>12</v>
      </c>
      <c r="D422" t="inlineStr">
        <is>
          <t>Wednesday</t>
        </is>
      </c>
      <c r="E422" t="n">
        <v>36</v>
      </c>
      <c r="F422" t="b">
        <v>0</v>
      </c>
      <c r="H422" t="b">
        <v>0</v>
      </c>
    </row>
    <row r="423">
      <c r="A423" t="inlineStr">
        <is>
          <t>S007</t>
        </is>
      </c>
      <c r="B423" s="3" t="n">
        <v>46267</v>
      </c>
      <c r="C423" t="n">
        <v>13</v>
      </c>
      <c r="D423" t="inlineStr">
        <is>
          <t>Wednesday</t>
        </is>
      </c>
      <c r="E423" t="n">
        <v>32</v>
      </c>
      <c r="F423" t="b">
        <v>0</v>
      </c>
      <c r="H423" t="b">
        <v>0</v>
      </c>
    </row>
    <row r="424">
      <c r="A424" t="inlineStr">
        <is>
          <t>S007</t>
        </is>
      </c>
      <c r="B424" s="3" t="n">
        <v>46267</v>
      </c>
      <c r="C424" t="n">
        <v>14</v>
      </c>
      <c r="D424" t="inlineStr">
        <is>
          <t>Wednesday</t>
        </is>
      </c>
      <c r="E424" t="n">
        <v>26</v>
      </c>
      <c r="F424" t="b">
        <v>0</v>
      </c>
      <c r="G424" t="inlineStr">
        <is>
          <t>Heavy</t>
        </is>
      </c>
      <c r="H424" t="b">
        <v>0</v>
      </c>
    </row>
    <row r="425">
      <c r="A425" t="inlineStr">
        <is>
          <t>S007</t>
        </is>
      </c>
      <c r="B425" s="3" t="n">
        <v>46267</v>
      </c>
      <c r="C425" t="n">
        <v>15</v>
      </c>
      <c r="D425" t="inlineStr">
        <is>
          <t>Wednesday</t>
        </is>
      </c>
      <c r="E425" t="n">
        <v>27</v>
      </c>
      <c r="F425" t="b">
        <v>0</v>
      </c>
      <c r="G425" t="inlineStr">
        <is>
          <t>Light</t>
        </is>
      </c>
      <c r="H425" t="b">
        <v>0</v>
      </c>
    </row>
    <row r="426">
      <c r="A426" t="inlineStr">
        <is>
          <t>S007</t>
        </is>
      </c>
      <c r="B426" s="3" t="n">
        <v>46267</v>
      </c>
      <c r="C426" t="n">
        <v>16</v>
      </c>
      <c r="D426" t="inlineStr">
        <is>
          <t>Wednesday</t>
        </is>
      </c>
      <c r="E426" t="n">
        <v>34</v>
      </c>
      <c r="F426" t="b">
        <v>0</v>
      </c>
      <c r="H426" t="b">
        <v>0</v>
      </c>
    </row>
    <row r="427">
      <c r="A427" t="inlineStr">
        <is>
          <t>S007</t>
        </is>
      </c>
      <c r="B427" s="3" t="n">
        <v>46267</v>
      </c>
      <c r="C427" t="n">
        <v>17</v>
      </c>
      <c r="D427" t="inlineStr">
        <is>
          <t>Wednesday</t>
        </is>
      </c>
      <c r="E427" t="n">
        <v>27</v>
      </c>
      <c r="F427" t="b">
        <v>0</v>
      </c>
      <c r="H427" t="b">
        <v>0</v>
      </c>
    </row>
    <row r="428">
      <c r="A428" t="inlineStr">
        <is>
          <t>S007</t>
        </is>
      </c>
      <c r="B428" s="3" t="n">
        <v>46267</v>
      </c>
      <c r="C428" t="n">
        <v>18</v>
      </c>
      <c r="D428" t="inlineStr">
        <is>
          <t>Wednesday</t>
        </is>
      </c>
      <c r="E428" t="n">
        <v>49</v>
      </c>
      <c r="F428" t="b">
        <v>0</v>
      </c>
      <c r="H428" t="b">
        <v>0</v>
      </c>
    </row>
    <row r="429">
      <c r="A429" t="inlineStr">
        <is>
          <t>S007</t>
        </is>
      </c>
      <c r="B429" s="3" t="n">
        <v>46267</v>
      </c>
      <c r="C429" t="n">
        <v>19</v>
      </c>
      <c r="D429" t="inlineStr">
        <is>
          <t>Wednesday</t>
        </is>
      </c>
      <c r="E429" t="n">
        <v>63</v>
      </c>
      <c r="F429" t="b">
        <v>1</v>
      </c>
      <c r="H429" t="b">
        <v>0</v>
      </c>
    </row>
    <row r="430">
      <c r="A430" t="inlineStr">
        <is>
          <t>S007</t>
        </is>
      </c>
      <c r="B430" s="3" t="n">
        <v>46267</v>
      </c>
      <c r="C430" t="n">
        <v>20</v>
      </c>
      <c r="D430" t="inlineStr">
        <is>
          <t>Wednesday</t>
        </is>
      </c>
      <c r="E430" t="n">
        <v>52</v>
      </c>
      <c r="F430" t="b">
        <v>1</v>
      </c>
      <c r="H430" t="b">
        <v>0</v>
      </c>
    </row>
    <row r="431">
      <c r="A431" t="inlineStr">
        <is>
          <t>S007</t>
        </is>
      </c>
      <c r="B431" s="3" t="n">
        <v>46267</v>
      </c>
      <c r="C431" t="n">
        <v>21</v>
      </c>
      <c r="D431" t="inlineStr">
        <is>
          <t>Wednesday</t>
        </is>
      </c>
      <c r="E431" t="n">
        <v>59</v>
      </c>
      <c r="F431" t="b">
        <v>1</v>
      </c>
      <c r="G431" t="inlineStr">
        <is>
          <t>Light</t>
        </is>
      </c>
      <c r="H431" t="b">
        <v>0</v>
      </c>
    </row>
    <row r="432">
      <c r="A432" t="inlineStr">
        <is>
          <t>S007</t>
        </is>
      </c>
      <c r="B432" s="3" t="n">
        <v>46267</v>
      </c>
      <c r="C432" t="n">
        <v>22</v>
      </c>
      <c r="D432" t="inlineStr">
        <is>
          <t>Wednesday</t>
        </is>
      </c>
      <c r="E432" t="n">
        <v>46</v>
      </c>
      <c r="F432" t="b">
        <v>0</v>
      </c>
      <c r="H432" t="b">
        <v>0</v>
      </c>
    </row>
    <row r="433">
      <c r="A433" t="inlineStr">
        <is>
          <t>S007</t>
        </is>
      </c>
      <c r="B433" s="3" t="n">
        <v>46267</v>
      </c>
      <c r="C433" t="n">
        <v>23</v>
      </c>
      <c r="D433" t="inlineStr">
        <is>
          <t>Wednesday</t>
        </is>
      </c>
      <c r="E433" t="n">
        <v>45</v>
      </c>
      <c r="F433" t="b">
        <v>0</v>
      </c>
      <c r="H433" t="b">
        <v>0</v>
      </c>
    </row>
    <row r="434">
      <c r="A434" t="inlineStr">
        <is>
          <t>S008</t>
        </is>
      </c>
      <c r="B434" s="3" t="n">
        <v>46267</v>
      </c>
      <c r="C434" t="n">
        <v>8</v>
      </c>
      <c r="D434" t="inlineStr">
        <is>
          <t>Wednesday</t>
        </is>
      </c>
      <c r="E434" t="n">
        <v>12</v>
      </c>
      <c r="F434" t="b">
        <v>0</v>
      </c>
      <c r="H434" t="b">
        <v>0</v>
      </c>
    </row>
    <row r="435">
      <c r="A435" t="inlineStr">
        <is>
          <t>S008</t>
        </is>
      </c>
      <c r="B435" s="3" t="n">
        <v>46267</v>
      </c>
      <c r="C435" t="n">
        <v>9</v>
      </c>
      <c r="D435" t="inlineStr">
        <is>
          <t>Wednesday</t>
        </is>
      </c>
      <c r="E435" t="n">
        <v>18</v>
      </c>
      <c r="F435" t="b">
        <v>0</v>
      </c>
      <c r="H435" t="b">
        <v>0</v>
      </c>
    </row>
    <row r="436">
      <c r="A436" t="inlineStr">
        <is>
          <t>S008</t>
        </is>
      </c>
      <c r="B436" s="3" t="n">
        <v>46267</v>
      </c>
      <c r="C436" t="n">
        <v>10</v>
      </c>
      <c r="D436" t="inlineStr">
        <is>
          <t>Wednesday</t>
        </is>
      </c>
      <c r="E436" t="n">
        <v>16</v>
      </c>
      <c r="F436" t="b">
        <v>0</v>
      </c>
      <c r="G436" t="inlineStr">
        <is>
          <t>Light</t>
        </is>
      </c>
      <c r="H436" t="b">
        <v>0</v>
      </c>
    </row>
    <row r="437">
      <c r="A437" t="inlineStr">
        <is>
          <t>S008</t>
        </is>
      </c>
      <c r="B437" s="3" t="n">
        <v>46267</v>
      </c>
      <c r="C437" t="n">
        <v>11</v>
      </c>
      <c r="D437" t="inlineStr">
        <is>
          <t>Wednesday</t>
        </is>
      </c>
      <c r="E437" t="n">
        <v>29</v>
      </c>
      <c r="F437" t="b">
        <v>0</v>
      </c>
      <c r="H437" t="b">
        <v>0</v>
      </c>
    </row>
    <row r="438">
      <c r="A438" t="inlineStr">
        <is>
          <t>S008</t>
        </is>
      </c>
      <c r="B438" s="3" t="n">
        <v>46267</v>
      </c>
      <c r="C438" t="n">
        <v>12</v>
      </c>
      <c r="D438" t="inlineStr">
        <is>
          <t>Wednesday</t>
        </is>
      </c>
      <c r="E438" t="n">
        <v>31</v>
      </c>
      <c r="F438" t="b">
        <v>0</v>
      </c>
      <c r="H438" t="b">
        <v>0</v>
      </c>
    </row>
    <row r="439">
      <c r="A439" t="inlineStr">
        <is>
          <t>S008</t>
        </is>
      </c>
      <c r="B439" s="3" t="n">
        <v>46267</v>
      </c>
      <c r="C439" t="n">
        <v>13</v>
      </c>
      <c r="D439" t="inlineStr">
        <is>
          <t>Wednesday</t>
        </is>
      </c>
      <c r="E439" t="n">
        <v>19</v>
      </c>
      <c r="F439" t="b">
        <v>0</v>
      </c>
      <c r="H439" t="b">
        <v>0</v>
      </c>
    </row>
    <row r="440">
      <c r="A440" t="inlineStr">
        <is>
          <t>S008</t>
        </is>
      </c>
      <c r="B440" s="3" t="n">
        <v>46267</v>
      </c>
      <c r="C440" t="n">
        <v>14</v>
      </c>
      <c r="D440" t="inlineStr">
        <is>
          <t>Wednesday</t>
        </is>
      </c>
      <c r="E440" t="n">
        <v>22</v>
      </c>
      <c r="F440" t="b">
        <v>0</v>
      </c>
      <c r="H440" t="b">
        <v>0</v>
      </c>
    </row>
    <row r="441">
      <c r="A441" t="inlineStr">
        <is>
          <t>S008</t>
        </is>
      </c>
      <c r="B441" s="3" t="n">
        <v>46267</v>
      </c>
      <c r="C441" t="n">
        <v>15</v>
      </c>
      <c r="D441" t="inlineStr">
        <is>
          <t>Wednesday</t>
        </is>
      </c>
      <c r="E441" t="n">
        <v>17</v>
      </c>
      <c r="F441" t="b">
        <v>0</v>
      </c>
      <c r="H441" t="b">
        <v>0</v>
      </c>
    </row>
    <row r="442">
      <c r="A442" t="inlineStr">
        <is>
          <t>S008</t>
        </is>
      </c>
      <c r="B442" s="3" t="n">
        <v>46267</v>
      </c>
      <c r="C442" t="n">
        <v>16</v>
      </c>
      <c r="D442" t="inlineStr">
        <is>
          <t>Wednesday</t>
        </is>
      </c>
      <c r="E442" t="n">
        <v>18</v>
      </c>
      <c r="F442" t="b">
        <v>0</v>
      </c>
      <c r="H442" t="b">
        <v>0</v>
      </c>
    </row>
    <row r="443">
      <c r="A443" t="inlineStr">
        <is>
          <t>S008</t>
        </is>
      </c>
      <c r="B443" s="3" t="n">
        <v>46267</v>
      </c>
      <c r="C443" t="n">
        <v>17</v>
      </c>
      <c r="D443" t="inlineStr">
        <is>
          <t>Wednesday</t>
        </is>
      </c>
      <c r="E443" t="n">
        <v>20</v>
      </c>
      <c r="F443" t="b">
        <v>0</v>
      </c>
      <c r="H443" t="b">
        <v>0</v>
      </c>
    </row>
    <row r="444">
      <c r="A444" t="inlineStr">
        <is>
          <t>S008</t>
        </is>
      </c>
      <c r="B444" s="3" t="n">
        <v>46267</v>
      </c>
      <c r="C444" t="n">
        <v>18</v>
      </c>
      <c r="D444" t="inlineStr">
        <is>
          <t>Wednesday</t>
        </is>
      </c>
      <c r="E444" t="n">
        <v>28</v>
      </c>
      <c r="F444" t="b">
        <v>0</v>
      </c>
      <c r="H444" t="b">
        <v>0</v>
      </c>
    </row>
    <row r="445">
      <c r="A445" t="inlineStr">
        <is>
          <t>S008</t>
        </is>
      </c>
      <c r="B445" s="3" t="n">
        <v>46267</v>
      </c>
      <c r="C445" t="n">
        <v>19</v>
      </c>
      <c r="D445" t="inlineStr">
        <is>
          <t>Wednesday</t>
        </is>
      </c>
      <c r="E445" t="n">
        <v>38</v>
      </c>
      <c r="F445" t="b">
        <v>1</v>
      </c>
      <c r="G445" t="inlineStr">
        <is>
          <t>Light</t>
        </is>
      </c>
      <c r="H445" t="b">
        <v>0</v>
      </c>
    </row>
    <row r="446">
      <c r="A446" t="inlineStr">
        <is>
          <t>S008</t>
        </is>
      </c>
      <c r="B446" s="3" t="n">
        <v>46267</v>
      </c>
      <c r="C446" t="n">
        <v>20</v>
      </c>
      <c r="D446" t="inlineStr">
        <is>
          <t>Wednesday</t>
        </is>
      </c>
      <c r="E446" t="n">
        <v>37</v>
      </c>
      <c r="F446" t="b">
        <v>1</v>
      </c>
      <c r="G446" t="inlineStr">
        <is>
          <t>Light</t>
        </is>
      </c>
      <c r="H446" t="b">
        <v>0</v>
      </c>
    </row>
    <row r="447">
      <c r="A447" t="inlineStr">
        <is>
          <t>S008</t>
        </is>
      </c>
      <c r="B447" s="3" t="n">
        <v>46267</v>
      </c>
      <c r="C447" t="n">
        <v>21</v>
      </c>
      <c r="D447" t="inlineStr">
        <is>
          <t>Wednesday</t>
        </is>
      </c>
      <c r="E447" t="n">
        <v>25</v>
      </c>
      <c r="F447" t="b">
        <v>1</v>
      </c>
      <c r="G447" t="inlineStr">
        <is>
          <t>Light</t>
        </is>
      </c>
      <c r="H447" t="b">
        <v>0</v>
      </c>
    </row>
    <row r="448">
      <c r="A448" t="inlineStr">
        <is>
          <t>S008</t>
        </is>
      </c>
      <c r="B448" s="3" t="n">
        <v>46267</v>
      </c>
      <c r="C448" t="n">
        <v>22</v>
      </c>
      <c r="D448" t="inlineStr">
        <is>
          <t>Wednesday</t>
        </is>
      </c>
      <c r="E448" t="n">
        <v>20</v>
      </c>
      <c r="F448" t="b">
        <v>0</v>
      </c>
      <c r="H448" t="b">
        <v>0</v>
      </c>
    </row>
    <row r="449">
      <c r="A449" t="inlineStr">
        <is>
          <t>S008</t>
        </is>
      </c>
      <c r="B449" s="3" t="n">
        <v>46267</v>
      </c>
      <c r="C449" t="n">
        <v>23</v>
      </c>
      <c r="D449" t="inlineStr">
        <is>
          <t>Wednesday</t>
        </is>
      </c>
      <c r="E449" t="n">
        <v>23</v>
      </c>
      <c r="F449" t="b">
        <v>0</v>
      </c>
      <c r="G449" t="inlineStr">
        <is>
          <t>Light</t>
        </is>
      </c>
      <c r="H449" t="b">
        <v>0</v>
      </c>
    </row>
    <row r="450">
      <c r="A450" t="inlineStr">
        <is>
          <t>S009</t>
        </is>
      </c>
      <c r="B450" s="3" t="n">
        <v>46267</v>
      </c>
      <c r="C450" t="n">
        <v>8</v>
      </c>
      <c r="D450" t="inlineStr">
        <is>
          <t>Wednesday</t>
        </is>
      </c>
      <c r="E450" t="n">
        <v>24</v>
      </c>
      <c r="F450" t="b">
        <v>0</v>
      </c>
      <c r="G450" t="inlineStr">
        <is>
          <t>Heavy</t>
        </is>
      </c>
      <c r="H450" t="b">
        <v>0</v>
      </c>
    </row>
    <row r="451">
      <c r="A451" t="inlineStr">
        <is>
          <t>S009</t>
        </is>
      </c>
      <c r="B451" s="3" t="n">
        <v>46267</v>
      </c>
      <c r="C451" t="n">
        <v>9</v>
      </c>
      <c r="D451" t="inlineStr">
        <is>
          <t>Wednesday</t>
        </is>
      </c>
      <c r="E451" t="n">
        <v>23</v>
      </c>
      <c r="F451" t="b">
        <v>0</v>
      </c>
      <c r="G451" t="inlineStr">
        <is>
          <t>Light</t>
        </is>
      </c>
      <c r="H451" t="b">
        <v>0</v>
      </c>
    </row>
    <row r="452">
      <c r="A452" t="inlineStr">
        <is>
          <t>S009</t>
        </is>
      </c>
      <c r="B452" s="3" t="n">
        <v>46267</v>
      </c>
      <c r="C452" t="n">
        <v>10</v>
      </c>
      <c r="D452" t="inlineStr">
        <is>
          <t>Wednesday</t>
        </is>
      </c>
      <c r="E452" t="n">
        <v>18</v>
      </c>
      <c r="F452" t="b">
        <v>0</v>
      </c>
      <c r="H452" t="b">
        <v>0</v>
      </c>
    </row>
    <row r="453">
      <c r="A453" t="inlineStr">
        <is>
          <t>S009</t>
        </is>
      </c>
      <c r="B453" s="3" t="n">
        <v>46267</v>
      </c>
      <c r="C453" t="n">
        <v>11</v>
      </c>
      <c r="D453" t="inlineStr">
        <is>
          <t>Wednesday</t>
        </is>
      </c>
      <c r="E453" t="n">
        <v>35</v>
      </c>
      <c r="F453" t="b">
        <v>0</v>
      </c>
      <c r="G453" t="inlineStr">
        <is>
          <t>Heavy</t>
        </is>
      </c>
      <c r="H453" t="b">
        <v>1</v>
      </c>
    </row>
    <row r="454">
      <c r="A454" t="inlineStr">
        <is>
          <t>S009</t>
        </is>
      </c>
      <c r="B454" s="3" t="n">
        <v>46267</v>
      </c>
      <c r="C454" t="n">
        <v>12</v>
      </c>
      <c r="D454" t="inlineStr">
        <is>
          <t>Wednesday</t>
        </is>
      </c>
      <c r="E454" t="n">
        <v>35</v>
      </c>
      <c r="F454" t="b">
        <v>0</v>
      </c>
      <c r="H454" t="b">
        <v>0</v>
      </c>
    </row>
    <row r="455">
      <c r="A455" t="inlineStr">
        <is>
          <t>S009</t>
        </is>
      </c>
      <c r="B455" s="3" t="n">
        <v>46267</v>
      </c>
      <c r="C455" t="n">
        <v>13</v>
      </c>
      <c r="D455" t="inlineStr">
        <is>
          <t>Wednesday</t>
        </is>
      </c>
      <c r="E455" t="n">
        <v>26</v>
      </c>
      <c r="F455" t="b">
        <v>0</v>
      </c>
      <c r="H455" t="b">
        <v>0</v>
      </c>
    </row>
    <row r="456">
      <c r="A456" t="inlineStr">
        <is>
          <t>S009</t>
        </is>
      </c>
      <c r="B456" s="3" t="n">
        <v>46267</v>
      </c>
      <c r="C456" t="n">
        <v>14</v>
      </c>
      <c r="D456" t="inlineStr">
        <is>
          <t>Wednesday</t>
        </is>
      </c>
      <c r="E456" t="n">
        <v>18</v>
      </c>
      <c r="F456" t="b">
        <v>0</v>
      </c>
      <c r="G456" t="inlineStr">
        <is>
          <t>Light</t>
        </is>
      </c>
      <c r="H456" t="b">
        <v>0</v>
      </c>
    </row>
    <row r="457">
      <c r="A457" t="inlineStr">
        <is>
          <t>S009</t>
        </is>
      </c>
      <c r="B457" s="3" t="n">
        <v>46267</v>
      </c>
      <c r="C457" t="n">
        <v>15</v>
      </c>
      <c r="D457" t="inlineStr">
        <is>
          <t>Wednesday</t>
        </is>
      </c>
      <c r="E457" t="n">
        <v>19</v>
      </c>
      <c r="F457" t="b">
        <v>0</v>
      </c>
      <c r="H457" t="b">
        <v>0</v>
      </c>
    </row>
    <row r="458">
      <c r="A458" t="inlineStr">
        <is>
          <t>S009</t>
        </is>
      </c>
      <c r="B458" s="3" t="n">
        <v>46267</v>
      </c>
      <c r="C458" t="n">
        <v>16</v>
      </c>
      <c r="D458" t="inlineStr">
        <is>
          <t>Wednesday</t>
        </is>
      </c>
      <c r="E458" t="n">
        <v>22</v>
      </c>
      <c r="F458" t="b">
        <v>0</v>
      </c>
      <c r="G458" t="inlineStr">
        <is>
          <t>Light</t>
        </is>
      </c>
      <c r="H458" t="b">
        <v>0</v>
      </c>
    </row>
    <row r="459">
      <c r="A459" t="inlineStr">
        <is>
          <t>S009</t>
        </is>
      </c>
      <c r="B459" s="3" t="n">
        <v>46267</v>
      </c>
      <c r="C459" t="n">
        <v>17</v>
      </c>
      <c r="D459" t="inlineStr">
        <is>
          <t>Wednesday</t>
        </is>
      </c>
      <c r="E459" t="n">
        <v>34</v>
      </c>
      <c r="F459" t="b">
        <v>0</v>
      </c>
      <c r="G459" t="inlineStr">
        <is>
          <t>Heavy</t>
        </is>
      </c>
      <c r="H459" t="b">
        <v>0</v>
      </c>
    </row>
    <row r="460">
      <c r="A460" t="inlineStr">
        <is>
          <t>S009</t>
        </is>
      </c>
      <c r="B460" s="3" t="n">
        <v>46267</v>
      </c>
      <c r="C460" t="n">
        <v>18</v>
      </c>
      <c r="D460" t="inlineStr">
        <is>
          <t>Wednesday</t>
        </is>
      </c>
      <c r="E460" t="n">
        <v>32</v>
      </c>
      <c r="F460" t="b">
        <v>0</v>
      </c>
      <c r="H460" t="b">
        <v>0</v>
      </c>
    </row>
    <row r="461">
      <c r="A461" t="inlineStr">
        <is>
          <t>S009</t>
        </is>
      </c>
      <c r="B461" s="3" t="n">
        <v>46267</v>
      </c>
      <c r="C461" t="n">
        <v>19</v>
      </c>
      <c r="D461" t="inlineStr">
        <is>
          <t>Wednesday</t>
        </is>
      </c>
      <c r="E461" t="n">
        <v>49</v>
      </c>
      <c r="F461" t="b">
        <v>1</v>
      </c>
      <c r="H461" t="b">
        <v>0</v>
      </c>
    </row>
    <row r="462">
      <c r="A462" t="inlineStr">
        <is>
          <t>S009</t>
        </is>
      </c>
      <c r="B462" s="3" t="n">
        <v>46267</v>
      </c>
      <c r="C462" t="n">
        <v>20</v>
      </c>
      <c r="D462" t="inlineStr">
        <is>
          <t>Wednesday</t>
        </is>
      </c>
      <c r="E462" t="n">
        <v>46</v>
      </c>
      <c r="F462" t="b">
        <v>1</v>
      </c>
      <c r="H462" t="b">
        <v>0</v>
      </c>
    </row>
    <row r="463">
      <c r="A463" t="inlineStr">
        <is>
          <t>S009</t>
        </is>
      </c>
      <c r="B463" s="3" t="n">
        <v>46267</v>
      </c>
      <c r="C463" t="n">
        <v>21</v>
      </c>
      <c r="D463" t="inlineStr">
        <is>
          <t>Wednesday</t>
        </is>
      </c>
      <c r="E463" t="n">
        <v>43</v>
      </c>
      <c r="F463" t="b">
        <v>1</v>
      </c>
      <c r="H463" t="b">
        <v>0</v>
      </c>
    </row>
    <row r="464">
      <c r="A464" t="inlineStr">
        <is>
          <t>S009</t>
        </is>
      </c>
      <c r="B464" s="3" t="n">
        <v>46267</v>
      </c>
      <c r="C464" t="n">
        <v>22</v>
      </c>
      <c r="D464" t="inlineStr">
        <is>
          <t>Wednesday</t>
        </is>
      </c>
      <c r="E464" t="n">
        <v>28</v>
      </c>
      <c r="F464" t="b">
        <v>0</v>
      </c>
      <c r="H464" t="b">
        <v>0</v>
      </c>
    </row>
    <row r="465">
      <c r="A465" t="inlineStr">
        <is>
          <t>S009</t>
        </is>
      </c>
      <c r="B465" s="3" t="n">
        <v>46267</v>
      </c>
      <c r="C465" t="n">
        <v>23</v>
      </c>
      <c r="D465" t="inlineStr">
        <is>
          <t>Wednesday</t>
        </is>
      </c>
      <c r="E465" t="n">
        <v>31</v>
      </c>
      <c r="F465" t="b">
        <v>0</v>
      </c>
      <c r="H465" t="b">
        <v>0</v>
      </c>
    </row>
    <row r="466">
      <c r="A466" t="inlineStr">
        <is>
          <t>S010</t>
        </is>
      </c>
      <c r="B466" s="3" t="n">
        <v>46267</v>
      </c>
      <c r="C466" t="n">
        <v>8</v>
      </c>
      <c r="D466" t="inlineStr">
        <is>
          <t>Wednesday</t>
        </is>
      </c>
      <c r="E466" t="n">
        <v>11</v>
      </c>
      <c r="F466" t="b">
        <v>0</v>
      </c>
      <c r="H466" t="b">
        <v>0</v>
      </c>
    </row>
    <row r="467">
      <c r="A467" t="inlineStr">
        <is>
          <t>S010</t>
        </is>
      </c>
      <c r="B467" s="3" t="n">
        <v>46267</v>
      </c>
      <c r="C467" t="n">
        <v>9</v>
      </c>
      <c r="D467" t="inlineStr">
        <is>
          <t>Wednesday</t>
        </is>
      </c>
      <c r="E467" t="n">
        <v>15</v>
      </c>
      <c r="F467" t="b">
        <v>0</v>
      </c>
      <c r="H467" t="b">
        <v>0</v>
      </c>
    </row>
    <row r="468">
      <c r="A468" t="inlineStr">
        <is>
          <t>S010</t>
        </is>
      </c>
      <c r="B468" s="3" t="n">
        <v>46267</v>
      </c>
      <c r="C468" t="n">
        <v>10</v>
      </c>
      <c r="D468" t="inlineStr">
        <is>
          <t>Wednesday</t>
        </is>
      </c>
      <c r="E468" t="n">
        <v>13</v>
      </c>
      <c r="F468" t="b">
        <v>0</v>
      </c>
      <c r="G468" t="inlineStr">
        <is>
          <t>Heavy</t>
        </is>
      </c>
      <c r="H468" t="b">
        <v>0</v>
      </c>
    </row>
    <row r="469">
      <c r="A469" t="inlineStr">
        <is>
          <t>S010</t>
        </is>
      </c>
      <c r="B469" s="3" t="n">
        <v>46267</v>
      </c>
      <c r="C469" t="n">
        <v>11</v>
      </c>
      <c r="D469" t="inlineStr">
        <is>
          <t>Wednesday</t>
        </is>
      </c>
      <c r="E469" t="n">
        <v>22</v>
      </c>
      <c r="F469" t="b">
        <v>0</v>
      </c>
      <c r="H469" t="b">
        <v>0</v>
      </c>
    </row>
    <row r="470">
      <c r="A470" t="inlineStr">
        <is>
          <t>S010</t>
        </is>
      </c>
      <c r="B470" s="3" t="n">
        <v>46267</v>
      </c>
      <c r="C470" t="n">
        <v>12</v>
      </c>
      <c r="D470" t="inlineStr">
        <is>
          <t>Wednesday</t>
        </is>
      </c>
      <c r="E470" t="n">
        <v>17</v>
      </c>
      <c r="F470" t="b">
        <v>0</v>
      </c>
      <c r="H470" t="b">
        <v>0</v>
      </c>
    </row>
    <row r="471">
      <c r="A471" t="inlineStr">
        <is>
          <t>S010</t>
        </is>
      </c>
      <c r="B471" s="3" t="n">
        <v>46267</v>
      </c>
      <c r="C471" t="n">
        <v>13</v>
      </c>
      <c r="D471" t="inlineStr">
        <is>
          <t>Wednesday</t>
        </is>
      </c>
      <c r="E471" t="n">
        <v>22</v>
      </c>
      <c r="F471" t="b">
        <v>0</v>
      </c>
      <c r="H471" t="b">
        <v>0</v>
      </c>
    </row>
    <row r="472">
      <c r="A472" t="inlineStr">
        <is>
          <t>S010</t>
        </is>
      </c>
      <c r="B472" s="3" t="n">
        <v>46267</v>
      </c>
      <c r="C472" t="n">
        <v>14</v>
      </c>
      <c r="D472" t="inlineStr">
        <is>
          <t>Wednesday</t>
        </is>
      </c>
      <c r="E472" t="n">
        <v>21</v>
      </c>
      <c r="F472" t="b">
        <v>0</v>
      </c>
      <c r="H472" t="b">
        <v>0</v>
      </c>
    </row>
    <row r="473">
      <c r="A473" t="inlineStr">
        <is>
          <t>S010</t>
        </is>
      </c>
      <c r="B473" s="3" t="n">
        <v>46267</v>
      </c>
      <c r="C473" t="n">
        <v>15</v>
      </c>
      <c r="D473" t="inlineStr">
        <is>
          <t>Wednesday</t>
        </is>
      </c>
      <c r="E473" t="n">
        <v>11</v>
      </c>
      <c r="F473" t="b">
        <v>0</v>
      </c>
      <c r="H473" t="b">
        <v>0</v>
      </c>
    </row>
    <row r="474">
      <c r="A474" t="inlineStr">
        <is>
          <t>S010</t>
        </is>
      </c>
      <c r="B474" s="3" t="n">
        <v>46267</v>
      </c>
      <c r="C474" t="n">
        <v>16</v>
      </c>
      <c r="D474" t="inlineStr">
        <is>
          <t>Wednesday</t>
        </is>
      </c>
      <c r="E474" t="n">
        <v>26</v>
      </c>
      <c r="F474" t="b">
        <v>0</v>
      </c>
      <c r="H474" t="b">
        <v>0</v>
      </c>
    </row>
    <row r="475">
      <c r="A475" t="inlineStr">
        <is>
          <t>S010</t>
        </is>
      </c>
      <c r="B475" s="3" t="n">
        <v>46267</v>
      </c>
      <c r="C475" t="n">
        <v>17</v>
      </c>
      <c r="D475" t="inlineStr">
        <is>
          <t>Wednesday</t>
        </is>
      </c>
      <c r="E475" t="n">
        <v>20</v>
      </c>
      <c r="F475" t="b">
        <v>0</v>
      </c>
      <c r="H475" t="b">
        <v>1</v>
      </c>
    </row>
    <row r="476">
      <c r="A476" t="inlineStr">
        <is>
          <t>S010</t>
        </is>
      </c>
      <c r="B476" s="3" t="n">
        <v>46267</v>
      </c>
      <c r="C476" t="n">
        <v>18</v>
      </c>
      <c r="D476" t="inlineStr">
        <is>
          <t>Wednesday</t>
        </is>
      </c>
      <c r="E476" t="n">
        <v>27</v>
      </c>
      <c r="F476" t="b">
        <v>0</v>
      </c>
      <c r="H476" t="b">
        <v>0</v>
      </c>
    </row>
    <row r="477">
      <c r="A477" t="inlineStr">
        <is>
          <t>S010</t>
        </is>
      </c>
      <c r="B477" s="3" t="n">
        <v>46267</v>
      </c>
      <c r="C477" t="n">
        <v>19</v>
      </c>
      <c r="D477" t="inlineStr">
        <is>
          <t>Wednesday</t>
        </is>
      </c>
      <c r="E477" t="n">
        <v>35</v>
      </c>
      <c r="F477" t="b">
        <v>1</v>
      </c>
      <c r="H477" t="b">
        <v>0</v>
      </c>
    </row>
    <row r="478">
      <c r="A478" t="inlineStr">
        <is>
          <t>S010</t>
        </is>
      </c>
      <c r="B478" s="3" t="n">
        <v>46267</v>
      </c>
      <c r="C478" t="n">
        <v>20</v>
      </c>
      <c r="D478" t="inlineStr">
        <is>
          <t>Wednesday</t>
        </is>
      </c>
      <c r="E478" t="n">
        <v>33</v>
      </c>
      <c r="F478" t="b">
        <v>1</v>
      </c>
      <c r="G478" t="inlineStr">
        <is>
          <t>Light</t>
        </is>
      </c>
      <c r="H478" t="b">
        <v>0</v>
      </c>
    </row>
    <row r="479">
      <c r="A479" t="inlineStr">
        <is>
          <t>S010</t>
        </is>
      </c>
      <c r="B479" s="3" t="n">
        <v>46267</v>
      </c>
      <c r="C479" t="n">
        <v>21</v>
      </c>
      <c r="D479" t="inlineStr">
        <is>
          <t>Wednesday</t>
        </is>
      </c>
      <c r="E479" t="n">
        <v>30</v>
      </c>
      <c r="F479" t="b">
        <v>1</v>
      </c>
      <c r="H479" t="b">
        <v>0</v>
      </c>
    </row>
    <row r="480">
      <c r="A480" t="inlineStr">
        <is>
          <t>S010</t>
        </is>
      </c>
      <c r="B480" s="3" t="n">
        <v>46267</v>
      </c>
      <c r="C480" t="n">
        <v>22</v>
      </c>
      <c r="D480" t="inlineStr">
        <is>
          <t>Wednesday</t>
        </is>
      </c>
      <c r="E480" t="n">
        <v>22</v>
      </c>
      <c r="F480" t="b">
        <v>0</v>
      </c>
      <c r="H480" t="b">
        <v>0</v>
      </c>
    </row>
    <row r="481">
      <c r="A481" t="inlineStr">
        <is>
          <t>S010</t>
        </is>
      </c>
      <c r="B481" s="3" t="n">
        <v>46267</v>
      </c>
      <c r="C481" t="n">
        <v>23</v>
      </c>
      <c r="D481" t="inlineStr">
        <is>
          <t>Wednesday</t>
        </is>
      </c>
      <c r="E481" t="n">
        <v>23</v>
      </c>
      <c r="F481" t="b">
        <v>0</v>
      </c>
      <c r="H481" t="b">
        <v>0</v>
      </c>
    </row>
    <row r="482">
      <c r="A482" t="inlineStr">
        <is>
          <t>S011</t>
        </is>
      </c>
      <c r="B482" s="3" t="n">
        <v>46267</v>
      </c>
      <c r="C482" t="n">
        <v>8</v>
      </c>
      <c r="D482" t="inlineStr">
        <is>
          <t>Wednesday</t>
        </is>
      </c>
      <c r="E482" t="n">
        <v>27</v>
      </c>
      <c r="F482" t="b">
        <v>0</v>
      </c>
      <c r="G482" t="inlineStr">
        <is>
          <t>Heavy</t>
        </is>
      </c>
      <c r="H482" t="b">
        <v>0</v>
      </c>
    </row>
    <row r="483">
      <c r="A483" t="inlineStr">
        <is>
          <t>S011</t>
        </is>
      </c>
      <c r="B483" s="3" t="n">
        <v>46267</v>
      </c>
      <c r="C483" t="n">
        <v>9</v>
      </c>
      <c r="D483" t="inlineStr">
        <is>
          <t>Wednesday</t>
        </is>
      </c>
      <c r="E483" t="n">
        <v>12</v>
      </c>
      <c r="F483" t="b">
        <v>0</v>
      </c>
      <c r="H483" t="b">
        <v>0</v>
      </c>
    </row>
    <row r="484">
      <c r="A484" t="inlineStr">
        <is>
          <t>S011</t>
        </is>
      </c>
      <c r="B484" s="3" t="n">
        <v>46267</v>
      </c>
      <c r="C484" t="n">
        <v>10</v>
      </c>
      <c r="D484" t="inlineStr">
        <is>
          <t>Wednesday</t>
        </is>
      </c>
      <c r="E484" t="n">
        <v>28</v>
      </c>
      <c r="F484" t="b">
        <v>0</v>
      </c>
      <c r="G484" t="inlineStr">
        <is>
          <t>Light</t>
        </is>
      </c>
      <c r="H484" t="b">
        <v>0</v>
      </c>
    </row>
    <row r="485">
      <c r="A485" t="inlineStr">
        <is>
          <t>S011</t>
        </is>
      </c>
      <c r="B485" s="3" t="n">
        <v>46267</v>
      </c>
      <c r="C485" t="n">
        <v>11</v>
      </c>
      <c r="D485" t="inlineStr">
        <is>
          <t>Wednesday</t>
        </is>
      </c>
      <c r="E485" t="n">
        <v>20</v>
      </c>
      <c r="F485" t="b">
        <v>0</v>
      </c>
      <c r="H485" t="b">
        <v>0</v>
      </c>
    </row>
    <row r="486">
      <c r="A486" t="inlineStr">
        <is>
          <t>S011</t>
        </is>
      </c>
      <c r="B486" s="3" t="n">
        <v>46267</v>
      </c>
      <c r="C486" t="n">
        <v>12</v>
      </c>
      <c r="D486" t="inlineStr">
        <is>
          <t>Wednesday</t>
        </is>
      </c>
      <c r="E486" t="n">
        <v>28</v>
      </c>
      <c r="F486" t="b">
        <v>0</v>
      </c>
      <c r="G486" t="inlineStr">
        <is>
          <t>Light</t>
        </is>
      </c>
      <c r="H486" t="b">
        <v>0</v>
      </c>
    </row>
    <row r="487">
      <c r="A487" t="inlineStr">
        <is>
          <t>S011</t>
        </is>
      </c>
      <c r="B487" s="3" t="n">
        <v>46267</v>
      </c>
      <c r="C487" t="n">
        <v>13</v>
      </c>
      <c r="D487" t="inlineStr">
        <is>
          <t>Wednesday</t>
        </is>
      </c>
      <c r="E487" t="n">
        <v>36</v>
      </c>
      <c r="F487" t="b">
        <v>0</v>
      </c>
      <c r="G487" t="inlineStr">
        <is>
          <t>Light</t>
        </is>
      </c>
      <c r="H487" t="b">
        <v>0</v>
      </c>
    </row>
    <row r="488">
      <c r="A488" t="inlineStr">
        <is>
          <t>S011</t>
        </is>
      </c>
      <c r="B488" s="3" t="n">
        <v>46267</v>
      </c>
      <c r="C488" t="n">
        <v>14</v>
      </c>
      <c r="D488" t="inlineStr">
        <is>
          <t>Wednesday</t>
        </is>
      </c>
      <c r="E488" t="n">
        <v>21</v>
      </c>
      <c r="F488" t="b">
        <v>0</v>
      </c>
      <c r="G488" t="inlineStr">
        <is>
          <t>Light</t>
        </is>
      </c>
      <c r="H488" t="b">
        <v>0</v>
      </c>
    </row>
    <row r="489">
      <c r="A489" t="inlineStr">
        <is>
          <t>S011</t>
        </is>
      </c>
      <c r="B489" s="3" t="n">
        <v>46267</v>
      </c>
      <c r="C489" t="n">
        <v>15</v>
      </c>
      <c r="D489" t="inlineStr">
        <is>
          <t>Wednesday</t>
        </is>
      </c>
      <c r="E489" t="n">
        <v>23</v>
      </c>
      <c r="F489" t="b">
        <v>0</v>
      </c>
      <c r="H489" t="b">
        <v>0</v>
      </c>
    </row>
    <row r="490">
      <c r="A490" t="inlineStr">
        <is>
          <t>S011</t>
        </is>
      </c>
      <c r="B490" s="3" t="n">
        <v>46267</v>
      </c>
      <c r="C490" t="n">
        <v>16</v>
      </c>
      <c r="D490" t="inlineStr">
        <is>
          <t>Wednesday</t>
        </is>
      </c>
      <c r="E490" t="n">
        <v>25</v>
      </c>
      <c r="F490" t="b">
        <v>0</v>
      </c>
      <c r="G490" t="inlineStr">
        <is>
          <t>Light</t>
        </is>
      </c>
      <c r="H490" t="b">
        <v>0</v>
      </c>
    </row>
    <row r="491">
      <c r="A491" t="inlineStr">
        <is>
          <t>S011</t>
        </is>
      </c>
      <c r="B491" s="3" t="n">
        <v>46267</v>
      </c>
      <c r="C491" t="n">
        <v>17</v>
      </c>
      <c r="D491" t="inlineStr">
        <is>
          <t>Wednesday</t>
        </is>
      </c>
      <c r="E491" t="n">
        <v>33</v>
      </c>
      <c r="F491" t="b">
        <v>0</v>
      </c>
      <c r="G491" t="inlineStr">
        <is>
          <t>Light</t>
        </is>
      </c>
      <c r="H491" t="b">
        <v>0</v>
      </c>
    </row>
    <row r="492">
      <c r="A492" t="inlineStr">
        <is>
          <t>S011</t>
        </is>
      </c>
      <c r="B492" s="3" t="n">
        <v>46267</v>
      </c>
      <c r="C492" t="n">
        <v>18</v>
      </c>
      <c r="D492" t="inlineStr">
        <is>
          <t>Wednesday</t>
        </is>
      </c>
      <c r="E492" t="n">
        <v>30</v>
      </c>
      <c r="F492" t="b">
        <v>0</v>
      </c>
      <c r="H492" t="b">
        <v>0</v>
      </c>
    </row>
    <row r="493">
      <c r="A493" t="inlineStr">
        <is>
          <t>S011</t>
        </is>
      </c>
      <c r="B493" s="3" t="n">
        <v>46267</v>
      </c>
      <c r="C493" t="n">
        <v>19</v>
      </c>
      <c r="D493" t="inlineStr">
        <is>
          <t>Wednesday</t>
        </is>
      </c>
      <c r="E493" t="n">
        <v>42</v>
      </c>
      <c r="F493" t="b">
        <v>1</v>
      </c>
      <c r="G493" t="inlineStr">
        <is>
          <t>Light</t>
        </is>
      </c>
      <c r="H493" t="b">
        <v>0</v>
      </c>
    </row>
    <row r="494">
      <c r="A494" t="inlineStr">
        <is>
          <t>S011</t>
        </is>
      </c>
      <c r="B494" s="3" t="n">
        <v>46267</v>
      </c>
      <c r="C494" t="n">
        <v>20</v>
      </c>
      <c r="D494" t="inlineStr">
        <is>
          <t>Wednesday</t>
        </is>
      </c>
      <c r="E494" t="n">
        <v>41</v>
      </c>
      <c r="F494" t="b">
        <v>1</v>
      </c>
      <c r="H494" t="b">
        <v>0</v>
      </c>
    </row>
    <row r="495">
      <c r="A495" t="inlineStr">
        <is>
          <t>S011</t>
        </is>
      </c>
      <c r="B495" s="3" t="n">
        <v>46267</v>
      </c>
      <c r="C495" t="n">
        <v>21</v>
      </c>
      <c r="D495" t="inlineStr">
        <is>
          <t>Wednesday</t>
        </is>
      </c>
      <c r="E495" t="n">
        <v>50</v>
      </c>
      <c r="F495" t="b">
        <v>1</v>
      </c>
      <c r="H495" t="b">
        <v>0</v>
      </c>
    </row>
    <row r="496">
      <c r="A496" t="inlineStr">
        <is>
          <t>S011</t>
        </is>
      </c>
      <c r="B496" s="3" t="n">
        <v>46267</v>
      </c>
      <c r="C496" t="n">
        <v>22</v>
      </c>
      <c r="D496" t="inlineStr">
        <is>
          <t>Wednesday</t>
        </is>
      </c>
      <c r="E496" t="n">
        <v>24</v>
      </c>
      <c r="F496" t="b">
        <v>0</v>
      </c>
      <c r="H496" t="b">
        <v>0</v>
      </c>
    </row>
    <row r="497">
      <c r="A497" t="inlineStr">
        <is>
          <t>S011</t>
        </is>
      </c>
      <c r="B497" s="3" t="n">
        <v>46267</v>
      </c>
      <c r="C497" t="n">
        <v>23</v>
      </c>
      <c r="D497" t="inlineStr">
        <is>
          <t>Wednesday</t>
        </is>
      </c>
      <c r="E497" t="n">
        <v>29</v>
      </c>
      <c r="F497" t="b">
        <v>0</v>
      </c>
      <c r="H497" t="b">
        <v>0</v>
      </c>
    </row>
    <row r="498">
      <c r="A498" t="inlineStr">
        <is>
          <t>S012</t>
        </is>
      </c>
      <c r="B498" s="3" t="n">
        <v>46267</v>
      </c>
      <c r="C498" t="n">
        <v>8</v>
      </c>
      <c r="D498" t="inlineStr">
        <is>
          <t>Wednesday</t>
        </is>
      </c>
      <c r="E498" t="n">
        <v>9</v>
      </c>
      <c r="F498" t="b">
        <v>0</v>
      </c>
      <c r="H498" t="b">
        <v>0</v>
      </c>
    </row>
    <row r="499">
      <c r="A499" t="inlineStr">
        <is>
          <t>S012</t>
        </is>
      </c>
      <c r="B499" s="3" t="n">
        <v>46267</v>
      </c>
      <c r="C499" t="n">
        <v>9</v>
      </c>
      <c r="D499" t="inlineStr">
        <is>
          <t>Wednesday</t>
        </is>
      </c>
      <c r="E499" t="n">
        <v>8</v>
      </c>
      <c r="F499" t="b">
        <v>0</v>
      </c>
      <c r="G499" t="inlineStr">
        <is>
          <t>Light</t>
        </is>
      </c>
      <c r="H499" t="b">
        <v>0</v>
      </c>
    </row>
    <row r="500">
      <c r="A500" t="inlineStr">
        <is>
          <t>S012</t>
        </is>
      </c>
      <c r="B500" s="3" t="n">
        <v>46267</v>
      </c>
      <c r="C500" t="n">
        <v>10</v>
      </c>
      <c r="D500" t="inlineStr">
        <is>
          <t>Wednesday</t>
        </is>
      </c>
      <c r="E500" t="n">
        <v>14</v>
      </c>
      <c r="F500" t="b">
        <v>0</v>
      </c>
      <c r="H500" t="b">
        <v>0</v>
      </c>
    </row>
    <row r="501">
      <c r="A501" t="inlineStr">
        <is>
          <t>S012</t>
        </is>
      </c>
      <c r="B501" s="3" t="n">
        <v>46267</v>
      </c>
      <c r="C501" t="n">
        <v>11</v>
      </c>
      <c r="D501" t="inlineStr">
        <is>
          <t>Wednesday</t>
        </is>
      </c>
      <c r="E501" t="n">
        <v>16</v>
      </c>
      <c r="F501" t="b">
        <v>0</v>
      </c>
      <c r="H501" t="b">
        <v>0</v>
      </c>
    </row>
    <row r="502">
      <c r="A502" t="inlineStr">
        <is>
          <t>S012</t>
        </is>
      </c>
      <c r="B502" s="3" t="n">
        <v>46267</v>
      </c>
      <c r="C502" t="n">
        <v>12</v>
      </c>
      <c r="D502" t="inlineStr">
        <is>
          <t>Wednesday</t>
        </is>
      </c>
      <c r="E502" t="n">
        <v>14</v>
      </c>
      <c r="F502" t="b">
        <v>0</v>
      </c>
      <c r="H502" t="b">
        <v>0</v>
      </c>
    </row>
    <row r="503">
      <c r="A503" t="inlineStr">
        <is>
          <t>S012</t>
        </is>
      </c>
      <c r="B503" s="3" t="n">
        <v>46267</v>
      </c>
      <c r="C503" t="n">
        <v>13</v>
      </c>
      <c r="D503" t="inlineStr">
        <is>
          <t>Wednesday</t>
        </is>
      </c>
      <c r="E503" t="n">
        <v>12</v>
      </c>
      <c r="F503" t="b">
        <v>0</v>
      </c>
      <c r="H503" t="b">
        <v>0</v>
      </c>
    </row>
    <row r="504">
      <c r="A504" t="inlineStr">
        <is>
          <t>S012</t>
        </is>
      </c>
      <c r="B504" s="3" t="n">
        <v>46267</v>
      </c>
      <c r="C504" t="n">
        <v>14</v>
      </c>
      <c r="D504" t="inlineStr">
        <is>
          <t>Wednesday</t>
        </is>
      </c>
      <c r="E504" t="n">
        <v>8</v>
      </c>
      <c r="F504" t="b">
        <v>0</v>
      </c>
      <c r="H504" t="b">
        <v>0</v>
      </c>
    </row>
    <row r="505">
      <c r="A505" t="inlineStr">
        <is>
          <t>S012</t>
        </is>
      </c>
      <c r="B505" s="3" t="n">
        <v>46267</v>
      </c>
      <c r="C505" t="n">
        <v>15</v>
      </c>
      <c r="D505" t="inlineStr">
        <is>
          <t>Wednesday</t>
        </is>
      </c>
      <c r="E505" t="n">
        <v>7</v>
      </c>
      <c r="F505" t="b">
        <v>0</v>
      </c>
      <c r="H505" t="b">
        <v>0</v>
      </c>
    </row>
    <row r="506">
      <c r="A506" t="inlineStr">
        <is>
          <t>S012</t>
        </is>
      </c>
      <c r="B506" s="3" t="n">
        <v>46267</v>
      </c>
      <c r="C506" t="n">
        <v>16</v>
      </c>
      <c r="D506" t="inlineStr">
        <is>
          <t>Wednesday</t>
        </is>
      </c>
      <c r="E506" t="n">
        <v>15</v>
      </c>
      <c r="F506" t="b">
        <v>0</v>
      </c>
      <c r="H506" t="b">
        <v>0</v>
      </c>
    </row>
    <row r="507">
      <c r="A507" t="inlineStr">
        <is>
          <t>S012</t>
        </is>
      </c>
      <c r="B507" s="3" t="n">
        <v>46267</v>
      </c>
      <c r="C507" t="n">
        <v>17</v>
      </c>
      <c r="D507" t="inlineStr">
        <is>
          <t>Wednesday</t>
        </is>
      </c>
      <c r="E507" t="n">
        <v>19</v>
      </c>
      <c r="F507" t="b">
        <v>0</v>
      </c>
      <c r="H507" t="b">
        <v>0</v>
      </c>
    </row>
    <row r="508">
      <c r="A508" t="inlineStr">
        <is>
          <t>S012</t>
        </is>
      </c>
      <c r="B508" s="3" t="n">
        <v>46267</v>
      </c>
      <c r="C508" t="n">
        <v>18</v>
      </c>
      <c r="D508" t="inlineStr">
        <is>
          <t>Wednesday</t>
        </is>
      </c>
      <c r="E508" t="n">
        <v>16</v>
      </c>
      <c r="F508" t="b">
        <v>0</v>
      </c>
      <c r="H508" t="b">
        <v>1</v>
      </c>
    </row>
    <row r="509">
      <c r="A509" t="inlineStr">
        <is>
          <t>S012</t>
        </is>
      </c>
      <c r="B509" s="3" t="n">
        <v>46267</v>
      </c>
      <c r="C509" t="n">
        <v>19</v>
      </c>
      <c r="D509" t="inlineStr">
        <is>
          <t>Wednesday</t>
        </is>
      </c>
      <c r="E509" t="n">
        <v>14</v>
      </c>
      <c r="F509" t="b">
        <v>1</v>
      </c>
      <c r="H509" t="b">
        <v>0</v>
      </c>
    </row>
    <row r="510">
      <c r="A510" t="inlineStr">
        <is>
          <t>S012</t>
        </is>
      </c>
      <c r="B510" s="3" t="n">
        <v>46267</v>
      </c>
      <c r="C510" t="n">
        <v>20</v>
      </c>
      <c r="D510" t="inlineStr">
        <is>
          <t>Wednesday</t>
        </is>
      </c>
      <c r="E510" t="n">
        <v>28</v>
      </c>
      <c r="F510" t="b">
        <v>1</v>
      </c>
      <c r="H510" t="b">
        <v>0</v>
      </c>
    </row>
    <row r="511">
      <c r="A511" t="inlineStr">
        <is>
          <t>S012</t>
        </is>
      </c>
      <c r="B511" s="3" t="n">
        <v>46267</v>
      </c>
      <c r="C511" t="n">
        <v>21</v>
      </c>
      <c r="D511" t="inlineStr">
        <is>
          <t>Wednesday</t>
        </is>
      </c>
      <c r="E511" t="n">
        <v>25</v>
      </c>
      <c r="F511" t="b">
        <v>1</v>
      </c>
      <c r="G511" t="inlineStr">
        <is>
          <t>Heavy</t>
        </is>
      </c>
      <c r="H511" t="b">
        <v>0</v>
      </c>
    </row>
    <row r="512">
      <c r="A512" t="inlineStr">
        <is>
          <t>S012</t>
        </is>
      </c>
      <c r="B512" s="3" t="n">
        <v>46267</v>
      </c>
      <c r="C512" t="n">
        <v>22</v>
      </c>
      <c r="D512" t="inlineStr">
        <is>
          <t>Wednesday</t>
        </is>
      </c>
      <c r="E512" t="n">
        <v>10</v>
      </c>
      <c r="F512" t="b">
        <v>0</v>
      </c>
      <c r="G512" t="inlineStr">
        <is>
          <t>Heavy</t>
        </is>
      </c>
      <c r="H512" t="b">
        <v>0</v>
      </c>
    </row>
    <row r="513">
      <c r="A513" t="inlineStr">
        <is>
          <t>S012</t>
        </is>
      </c>
      <c r="B513" s="3" t="n">
        <v>46267</v>
      </c>
      <c r="C513" t="n">
        <v>23</v>
      </c>
      <c r="D513" t="inlineStr">
        <is>
          <t>Wednesday</t>
        </is>
      </c>
      <c r="E513" t="n">
        <v>18</v>
      </c>
      <c r="F513" t="b">
        <v>0</v>
      </c>
      <c r="H513" t="b">
        <v>0</v>
      </c>
    </row>
    <row r="514">
      <c r="A514" t="inlineStr">
        <is>
          <t>S013</t>
        </is>
      </c>
      <c r="B514" s="3" t="n">
        <v>46267</v>
      </c>
      <c r="C514" t="n">
        <v>8</v>
      </c>
      <c r="D514" t="inlineStr">
        <is>
          <t>Wednesday</t>
        </is>
      </c>
      <c r="E514" t="n">
        <v>42</v>
      </c>
      <c r="F514" t="b">
        <v>0</v>
      </c>
      <c r="H514" t="b">
        <v>0</v>
      </c>
    </row>
    <row r="515">
      <c r="A515" t="inlineStr">
        <is>
          <t>S013</t>
        </is>
      </c>
      <c r="B515" s="3" t="n">
        <v>46267</v>
      </c>
      <c r="C515" t="n">
        <v>9</v>
      </c>
      <c r="D515" t="inlineStr">
        <is>
          <t>Wednesday</t>
        </is>
      </c>
      <c r="E515" t="n">
        <v>33</v>
      </c>
      <c r="F515" t="b">
        <v>0</v>
      </c>
      <c r="G515" t="inlineStr">
        <is>
          <t>Heavy</t>
        </is>
      </c>
      <c r="H515" t="b">
        <v>0</v>
      </c>
    </row>
    <row r="516">
      <c r="A516" t="inlineStr">
        <is>
          <t>S013</t>
        </is>
      </c>
      <c r="B516" s="3" t="n">
        <v>46267</v>
      </c>
      <c r="C516" t="n">
        <v>10</v>
      </c>
      <c r="D516" t="inlineStr">
        <is>
          <t>Wednesday</t>
        </is>
      </c>
      <c r="E516" t="n">
        <v>45</v>
      </c>
      <c r="F516" t="b">
        <v>0</v>
      </c>
      <c r="G516" t="inlineStr">
        <is>
          <t>Heavy</t>
        </is>
      </c>
      <c r="H516" t="b">
        <v>0</v>
      </c>
    </row>
    <row r="517">
      <c r="A517" t="inlineStr">
        <is>
          <t>S013</t>
        </is>
      </c>
      <c r="B517" s="3" t="n">
        <v>46267</v>
      </c>
      <c r="C517" t="n">
        <v>11</v>
      </c>
      <c r="D517" t="inlineStr">
        <is>
          <t>Wednesday</t>
        </is>
      </c>
      <c r="E517" t="n">
        <v>46</v>
      </c>
      <c r="F517" t="b">
        <v>0</v>
      </c>
      <c r="H517" t="b">
        <v>0</v>
      </c>
    </row>
    <row r="518">
      <c r="A518" t="inlineStr">
        <is>
          <t>S013</t>
        </is>
      </c>
      <c r="B518" s="3" t="n">
        <v>46267</v>
      </c>
      <c r="C518" t="n">
        <v>12</v>
      </c>
      <c r="D518" t="inlineStr">
        <is>
          <t>Wednesday</t>
        </is>
      </c>
      <c r="E518" t="n">
        <v>50</v>
      </c>
      <c r="F518" t="b">
        <v>0</v>
      </c>
      <c r="H518" t="b">
        <v>0</v>
      </c>
    </row>
    <row r="519">
      <c r="A519" t="inlineStr">
        <is>
          <t>S013</t>
        </is>
      </c>
      <c r="B519" s="3" t="n">
        <v>46267</v>
      </c>
      <c r="C519" t="n">
        <v>13</v>
      </c>
      <c r="D519" t="inlineStr">
        <is>
          <t>Wednesday</t>
        </is>
      </c>
      <c r="E519" t="n">
        <v>49</v>
      </c>
      <c r="F519" t="b">
        <v>0</v>
      </c>
      <c r="H519" t="b">
        <v>0</v>
      </c>
    </row>
    <row r="520">
      <c r="A520" t="inlineStr">
        <is>
          <t>S013</t>
        </is>
      </c>
      <c r="B520" s="3" t="n">
        <v>46267</v>
      </c>
      <c r="C520" t="n">
        <v>14</v>
      </c>
      <c r="D520" t="inlineStr">
        <is>
          <t>Wednesday</t>
        </is>
      </c>
      <c r="E520" t="n">
        <v>39</v>
      </c>
      <c r="F520" t="b">
        <v>0</v>
      </c>
      <c r="H520" t="b">
        <v>0</v>
      </c>
    </row>
    <row r="521">
      <c r="A521" t="inlineStr">
        <is>
          <t>S013</t>
        </is>
      </c>
      <c r="B521" s="3" t="n">
        <v>46267</v>
      </c>
      <c r="C521" t="n">
        <v>15</v>
      </c>
      <c r="D521" t="inlineStr">
        <is>
          <t>Wednesday</t>
        </is>
      </c>
      <c r="E521" t="n">
        <v>37</v>
      </c>
      <c r="F521" t="b">
        <v>0</v>
      </c>
      <c r="H521" t="b">
        <v>0</v>
      </c>
    </row>
    <row r="522">
      <c r="A522" t="inlineStr">
        <is>
          <t>S013</t>
        </is>
      </c>
      <c r="B522" s="3" t="n">
        <v>46267</v>
      </c>
      <c r="C522" t="n">
        <v>16</v>
      </c>
      <c r="D522" t="inlineStr">
        <is>
          <t>Wednesday</t>
        </is>
      </c>
      <c r="E522" t="n">
        <v>45</v>
      </c>
      <c r="F522" t="b">
        <v>0</v>
      </c>
      <c r="G522" t="inlineStr">
        <is>
          <t>Heavy</t>
        </is>
      </c>
      <c r="H522" t="b">
        <v>0</v>
      </c>
    </row>
    <row r="523">
      <c r="A523" t="inlineStr">
        <is>
          <t>S013</t>
        </is>
      </c>
      <c r="B523" s="3" t="n">
        <v>46267</v>
      </c>
      <c r="C523" t="n">
        <v>17</v>
      </c>
      <c r="D523" t="inlineStr">
        <is>
          <t>Wednesday</t>
        </is>
      </c>
      <c r="E523" t="n">
        <v>54</v>
      </c>
      <c r="F523" t="b">
        <v>0</v>
      </c>
      <c r="H523" t="b">
        <v>0</v>
      </c>
    </row>
    <row r="524">
      <c r="A524" t="inlineStr">
        <is>
          <t>S013</t>
        </is>
      </c>
      <c r="B524" s="3" t="n">
        <v>46267</v>
      </c>
      <c r="C524" t="n">
        <v>18</v>
      </c>
      <c r="D524" t="inlineStr">
        <is>
          <t>Wednesday</t>
        </is>
      </c>
      <c r="E524" t="n">
        <v>42</v>
      </c>
      <c r="F524" t="b">
        <v>0</v>
      </c>
      <c r="G524" t="inlineStr">
        <is>
          <t>Light</t>
        </is>
      </c>
      <c r="H524" t="b">
        <v>0</v>
      </c>
    </row>
    <row r="525">
      <c r="A525" t="inlineStr">
        <is>
          <t>S013</t>
        </is>
      </c>
      <c r="B525" s="3" t="n">
        <v>46267</v>
      </c>
      <c r="C525" t="n">
        <v>19</v>
      </c>
      <c r="D525" t="inlineStr">
        <is>
          <t>Wednesday</t>
        </is>
      </c>
      <c r="E525" t="n">
        <v>78</v>
      </c>
      <c r="F525" t="b">
        <v>1</v>
      </c>
      <c r="H525" t="b">
        <v>0</v>
      </c>
    </row>
    <row r="526">
      <c r="A526" t="inlineStr">
        <is>
          <t>S013</t>
        </is>
      </c>
      <c r="B526" s="3" t="n">
        <v>46267</v>
      </c>
      <c r="C526" t="n">
        <v>20</v>
      </c>
      <c r="D526" t="inlineStr">
        <is>
          <t>Wednesday</t>
        </is>
      </c>
      <c r="E526" t="n">
        <v>64</v>
      </c>
      <c r="F526" t="b">
        <v>1</v>
      </c>
      <c r="H526" t="b">
        <v>0</v>
      </c>
    </row>
    <row r="527">
      <c r="A527" t="inlineStr">
        <is>
          <t>S013</t>
        </is>
      </c>
      <c r="B527" s="3" t="n">
        <v>46267</v>
      </c>
      <c r="C527" t="n">
        <v>21</v>
      </c>
      <c r="D527" t="inlineStr">
        <is>
          <t>Wednesday</t>
        </is>
      </c>
      <c r="E527" t="n">
        <v>69</v>
      </c>
      <c r="F527" t="b">
        <v>1</v>
      </c>
      <c r="H527" t="b">
        <v>0</v>
      </c>
    </row>
    <row r="528">
      <c r="A528" t="inlineStr">
        <is>
          <t>S013</t>
        </is>
      </c>
      <c r="B528" s="3" t="n">
        <v>46267</v>
      </c>
      <c r="C528" t="n">
        <v>22</v>
      </c>
      <c r="D528" t="inlineStr">
        <is>
          <t>Wednesday</t>
        </is>
      </c>
      <c r="E528" t="n">
        <v>41</v>
      </c>
      <c r="F528" t="b">
        <v>0</v>
      </c>
      <c r="H528" t="b">
        <v>0</v>
      </c>
    </row>
    <row r="529">
      <c r="A529" t="inlineStr">
        <is>
          <t>S013</t>
        </is>
      </c>
      <c r="B529" s="3" t="n">
        <v>46267</v>
      </c>
      <c r="C529" t="n">
        <v>23</v>
      </c>
      <c r="D529" t="inlineStr">
        <is>
          <t>Wednesday</t>
        </is>
      </c>
      <c r="E529" t="n">
        <v>52</v>
      </c>
      <c r="F529" t="b">
        <v>0</v>
      </c>
      <c r="H529" t="b">
        <v>0</v>
      </c>
    </row>
    <row r="530">
      <c r="A530" t="inlineStr">
        <is>
          <t>S014</t>
        </is>
      </c>
      <c r="B530" s="3" t="n">
        <v>46267</v>
      </c>
      <c r="C530" t="n">
        <v>8</v>
      </c>
      <c r="D530" t="inlineStr">
        <is>
          <t>Wednesday</t>
        </is>
      </c>
      <c r="E530" t="n">
        <v>31</v>
      </c>
      <c r="F530" t="b">
        <v>0</v>
      </c>
      <c r="H530" t="b">
        <v>0</v>
      </c>
    </row>
    <row r="531">
      <c r="A531" t="inlineStr">
        <is>
          <t>S014</t>
        </is>
      </c>
      <c r="B531" s="3" t="n">
        <v>46267</v>
      </c>
      <c r="C531" t="n">
        <v>9</v>
      </c>
      <c r="D531" t="inlineStr">
        <is>
          <t>Wednesday</t>
        </is>
      </c>
      <c r="E531" t="n">
        <v>31</v>
      </c>
      <c r="F531" t="b">
        <v>0</v>
      </c>
      <c r="H531" t="b">
        <v>0</v>
      </c>
    </row>
    <row r="532">
      <c r="A532" t="inlineStr">
        <is>
          <t>S014</t>
        </is>
      </c>
      <c r="B532" s="3" t="n">
        <v>46267</v>
      </c>
      <c r="C532" t="n">
        <v>10</v>
      </c>
      <c r="D532" t="inlineStr">
        <is>
          <t>Wednesday</t>
        </is>
      </c>
      <c r="E532" t="n">
        <v>28</v>
      </c>
      <c r="F532" t="b">
        <v>0</v>
      </c>
      <c r="G532" t="inlineStr">
        <is>
          <t>Heavy</t>
        </is>
      </c>
      <c r="H532" t="b">
        <v>0</v>
      </c>
    </row>
    <row r="533">
      <c r="A533" t="inlineStr">
        <is>
          <t>S014</t>
        </is>
      </c>
      <c r="B533" s="3" t="n">
        <v>46267</v>
      </c>
      <c r="C533" t="n">
        <v>11</v>
      </c>
      <c r="D533" t="inlineStr">
        <is>
          <t>Wednesday</t>
        </is>
      </c>
      <c r="E533" t="n">
        <v>44</v>
      </c>
      <c r="F533" t="b">
        <v>0</v>
      </c>
      <c r="H533" t="b">
        <v>0</v>
      </c>
    </row>
    <row r="534">
      <c r="A534" t="inlineStr">
        <is>
          <t>S014</t>
        </is>
      </c>
      <c r="B534" s="3" t="n">
        <v>46267</v>
      </c>
      <c r="C534" t="n">
        <v>12</v>
      </c>
      <c r="D534" t="inlineStr">
        <is>
          <t>Wednesday</t>
        </is>
      </c>
      <c r="E534" t="n">
        <v>30</v>
      </c>
      <c r="F534" t="b">
        <v>0</v>
      </c>
      <c r="G534" t="inlineStr">
        <is>
          <t>Light</t>
        </is>
      </c>
      <c r="H534" t="b">
        <v>0</v>
      </c>
    </row>
    <row r="535">
      <c r="A535" t="inlineStr">
        <is>
          <t>S014</t>
        </is>
      </c>
      <c r="B535" s="3" t="n">
        <v>46267</v>
      </c>
      <c r="C535" t="n">
        <v>13</v>
      </c>
      <c r="D535" t="inlineStr">
        <is>
          <t>Wednesday</t>
        </is>
      </c>
      <c r="E535" t="n">
        <v>29</v>
      </c>
      <c r="F535" t="b">
        <v>0</v>
      </c>
      <c r="G535" t="inlineStr">
        <is>
          <t>Light</t>
        </is>
      </c>
      <c r="H535" t="b">
        <v>0</v>
      </c>
    </row>
    <row r="536">
      <c r="A536" t="inlineStr">
        <is>
          <t>S014</t>
        </is>
      </c>
      <c r="B536" s="3" t="n">
        <v>46267</v>
      </c>
      <c r="C536" t="n">
        <v>14</v>
      </c>
      <c r="D536" t="inlineStr">
        <is>
          <t>Wednesday</t>
        </is>
      </c>
      <c r="E536" t="n">
        <v>23</v>
      </c>
      <c r="F536" t="b">
        <v>0</v>
      </c>
      <c r="H536" t="b">
        <v>0</v>
      </c>
    </row>
    <row r="537">
      <c r="A537" t="inlineStr">
        <is>
          <t>S014</t>
        </is>
      </c>
      <c r="B537" s="3" t="n">
        <v>46267</v>
      </c>
      <c r="C537" t="n">
        <v>15</v>
      </c>
      <c r="D537" t="inlineStr">
        <is>
          <t>Wednesday</t>
        </is>
      </c>
      <c r="E537" t="n">
        <v>22</v>
      </c>
      <c r="F537" t="b">
        <v>0</v>
      </c>
      <c r="G537" t="inlineStr">
        <is>
          <t>Heavy</t>
        </is>
      </c>
      <c r="H537" t="b">
        <v>0</v>
      </c>
    </row>
    <row r="538">
      <c r="A538" t="inlineStr">
        <is>
          <t>S014</t>
        </is>
      </c>
      <c r="B538" s="3" t="n">
        <v>46267</v>
      </c>
      <c r="C538" t="n">
        <v>16</v>
      </c>
      <c r="D538" t="inlineStr">
        <is>
          <t>Wednesday</t>
        </is>
      </c>
      <c r="E538" t="n">
        <v>42</v>
      </c>
      <c r="F538" t="b">
        <v>0</v>
      </c>
      <c r="H538" t="b">
        <v>0</v>
      </c>
    </row>
    <row r="539">
      <c r="A539" t="inlineStr">
        <is>
          <t>S014</t>
        </is>
      </c>
      <c r="B539" s="3" t="n">
        <v>46267</v>
      </c>
      <c r="C539" t="n">
        <v>17</v>
      </c>
      <c r="D539" t="inlineStr">
        <is>
          <t>Wednesday</t>
        </is>
      </c>
      <c r="E539" t="n">
        <v>43</v>
      </c>
      <c r="F539" t="b">
        <v>0</v>
      </c>
      <c r="H539" t="b">
        <v>0</v>
      </c>
    </row>
    <row r="540">
      <c r="A540" t="inlineStr">
        <is>
          <t>S014</t>
        </is>
      </c>
      <c r="B540" s="3" t="n">
        <v>46267</v>
      </c>
      <c r="C540" t="n">
        <v>18</v>
      </c>
      <c r="D540" t="inlineStr">
        <is>
          <t>Wednesday</t>
        </is>
      </c>
      <c r="E540" t="n">
        <v>40</v>
      </c>
      <c r="F540" t="b">
        <v>0</v>
      </c>
      <c r="H540" t="b">
        <v>0</v>
      </c>
    </row>
    <row r="541">
      <c r="A541" t="inlineStr">
        <is>
          <t>S014</t>
        </is>
      </c>
      <c r="B541" s="3" t="n">
        <v>46267</v>
      </c>
      <c r="C541" t="n">
        <v>19</v>
      </c>
      <c r="D541" t="inlineStr">
        <is>
          <t>Wednesday</t>
        </is>
      </c>
      <c r="E541" t="n">
        <v>63</v>
      </c>
      <c r="F541" t="b">
        <v>1</v>
      </c>
      <c r="H541" t="b">
        <v>0</v>
      </c>
    </row>
    <row r="542">
      <c r="A542" t="inlineStr">
        <is>
          <t>S014</t>
        </is>
      </c>
      <c r="B542" s="3" t="n">
        <v>46267</v>
      </c>
      <c r="C542" t="n">
        <v>20</v>
      </c>
      <c r="D542" t="inlineStr">
        <is>
          <t>Wednesday</t>
        </is>
      </c>
      <c r="E542" t="n">
        <v>66</v>
      </c>
      <c r="F542" t="b">
        <v>1</v>
      </c>
      <c r="H542" t="b">
        <v>0</v>
      </c>
    </row>
    <row r="543">
      <c r="A543" t="inlineStr">
        <is>
          <t>S014</t>
        </is>
      </c>
      <c r="B543" s="3" t="n">
        <v>46267</v>
      </c>
      <c r="C543" t="n">
        <v>21</v>
      </c>
      <c r="D543" t="inlineStr">
        <is>
          <t>Wednesday</t>
        </is>
      </c>
      <c r="E543" t="n">
        <v>55</v>
      </c>
      <c r="F543" t="b">
        <v>1</v>
      </c>
      <c r="H543" t="b">
        <v>0</v>
      </c>
    </row>
    <row r="544">
      <c r="A544" t="inlineStr">
        <is>
          <t>S014</t>
        </is>
      </c>
      <c r="B544" s="3" t="n">
        <v>46267</v>
      </c>
      <c r="C544" t="n">
        <v>22</v>
      </c>
      <c r="D544" t="inlineStr">
        <is>
          <t>Wednesday</t>
        </is>
      </c>
      <c r="E544" t="n">
        <v>44</v>
      </c>
      <c r="F544" t="b">
        <v>0</v>
      </c>
      <c r="H544" t="b">
        <v>0</v>
      </c>
    </row>
    <row r="545">
      <c r="A545" t="inlineStr">
        <is>
          <t>S014</t>
        </is>
      </c>
      <c r="B545" s="3" t="n">
        <v>46267</v>
      </c>
      <c r="C545" t="n">
        <v>23</v>
      </c>
      <c r="D545" t="inlineStr">
        <is>
          <t>Wednesday</t>
        </is>
      </c>
      <c r="E545" t="n">
        <v>42</v>
      </c>
      <c r="F545" t="b">
        <v>0</v>
      </c>
      <c r="G545" t="inlineStr">
        <is>
          <t>Light</t>
        </is>
      </c>
      <c r="H545" t="b">
        <v>0</v>
      </c>
    </row>
    <row r="546">
      <c r="A546" t="inlineStr">
        <is>
          <t>S015</t>
        </is>
      </c>
      <c r="B546" s="3" t="n">
        <v>46267</v>
      </c>
      <c r="C546" t="n">
        <v>8</v>
      </c>
      <c r="D546" t="inlineStr">
        <is>
          <t>Wednesday</t>
        </is>
      </c>
      <c r="E546" t="n">
        <v>20</v>
      </c>
      <c r="F546" t="b">
        <v>0</v>
      </c>
      <c r="H546" t="b">
        <v>0</v>
      </c>
    </row>
    <row r="547">
      <c r="A547" t="inlineStr">
        <is>
          <t>S015</t>
        </is>
      </c>
      <c r="B547" s="3" t="n">
        <v>46267</v>
      </c>
      <c r="C547" t="n">
        <v>9</v>
      </c>
      <c r="D547" t="inlineStr">
        <is>
          <t>Wednesday</t>
        </is>
      </c>
      <c r="E547" t="n">
        <v>21</v>
      </c>
      <c r="F547" t="b">
        <v>0</v>
      </c>
      <c r="H547" t="b">
        <v>0</v>
      </c>
    </row>
    <row r="548">
      <c r="A548" t="inlineStr">
        <is>
          <t>S015</t>
        </is>
      </c>
      <c r="B548" s="3" t="n">
        <v>46267</v>
      </c>
      <c r="C548" t="n">
        <v>10</v>
      </c>
      <c r="D548" t="inlineStr">
        <is>
          <t>Wednesday</t>
        </is>
      </c>
      <c r="E548" t="n">
        <v>18</v>
      </c>
      <c r="F548" t="b">
        <v>0</v>
      </c>
      <c r="H548" t="b">
        <v>0</v>
      </c>
    </row>
    <row r="549">
      <c r="A549" t="inlineStr">
        <is>
          <t>S015</t>
        </is>
      </c>
      <c r="B549" s="3" t="n">
        <v>46267</v>
      </c>
      <c r="C549" t="n">
        <v>11</v>
      </c>
      <c r="D549" t="inlineStr">
        <is>
          <t>Wednesday</t>
        </is>
      </c>
      <c r="E549" t="n">
        <v>35</v>
      </c>
      <c r="F549" t="b">
        <v>0</v>
      </c>
      <c r="H549" t="b">
        <v>0</v>
      </c>
    </row>
    <row r="550">
      <c r="A550" t="inlineStr">
        <is>
          <t>S015</t>
        </is>
      </c>
      <c r="B550" s="3" t="n">
        <v>46267</v>
      </c>
      <c r="C550" t="n">
        <v>12</v>
      </c>
      <c r="D550" t="inlineStr">
        <is>
          <t>Wednesday</t>
        </is>
      </c>
      <c r="E550" t="n">
        <v>21</v>
      </c>
      <c r="F550" t="b">
        <v>0</v>
      </c>
      <c r="H550" t="b">
        <v>0</v>
      </c>
    </row>
    <row r="551">
      <c r="A551" t="inlineStr">
        <is>
          <t>S015</t>
        </is>
      </c>
      <c r="B551" s="3" t="n">
        <v>46267</v>
      </c>
      <c r="C551" t="n">
        <v>13</v>
      </c>
      <c r="D551" t="inlineStr">
        <is>
          <t>Wednesday</t>
        </is>
      </c>
      <c r="E551" t="n">
        <v>25</v>
      </c>
      <c r="F551" t="b">
        <v>0</v>
      </c>
      <c r="H551" t="b">
        <v>0</v>
      </c>
    </row>
    <row r="552">
      <c r="A552" t="inlineStr">
        <is>
          <t>S015</t>
        </is>
      </c>
      <c r="B552" s="3" t="n">
        <v>46267</v>
      </c>
      <c r="C552" t="n">
        <v>14</v>
      </c>
      <c r="D552" t="inlineStr">
        <is>
          <t>Wednesday</t>
        </is>
      </c>
      <c r="E552" t="n">
        <v>17</v>
      </c>
      <c r="F552" t="b">
        <v>0</v>
      </c>
      <c r="H552" t="b">
        <v>0</v>
      </c>
    </row>
    <row r="553">
      <c r="A553" t="inlineStr">
        <is>
          <t>S015</t>
        </is>
      </c>
      <c r="B553" s="3" t="n">
        <v>46267</v>
      </c>
      <c r="C553" t="n">
        <v>15</v>
      </c>
      <c r="D553" t="inlineStr">
        <is>
          <t>Wednesday</t>
        </is>
      </c>
      <c r="E553" t="n">
        <v>18</v>
      </c>
      <c r="F553" t="b">
        <v>0</v>
      </c>
      <c r="H553" t="b">
        <v>0</v>
      </c>
    </row>
    <row r="554">
      <c r="A554" t="inlineStr">
        <is>
          <t>S015</t>
        </is>
      </c>
      <c r="B554" s="3" t="n">
        <v>46267</v>
      </c>
      <c r="C554" t="n">
        <v>16</v>
      </c>
      <c r="D554" t="inlineStr">
        <is>
          <t>Wednesday</t>
        </is>
      </c>
      <c r="E554" t="n">
        <v>28</v>
      </c>
      <c r="F554" t="b">
        <v>0</v>
      </c>
      <c r="H554" t="b">
        <v>0</v>
      </c>
    </row>
    <row r="555">
      <c r="A555" t="inlineStr">
        <is>
          <t>S015</t>
        </is>
      </c>
      <c r="B555" s="3" t="n">
        <v>46267</v>
      </c>
      <c r="C555" t="n">
        <v>17</v>
      </c>
      <c r="D555" t="inlineStr">
        <is>
          <t>Wednesday</t>
        </is>
      </c>
      <c r="E555" t="n">
        <v>27</v>
      </c>
      <c r="F555" t="b">
        <v>0</v>
      </c>
      <c r="H555" t="b">
        <v>0</v>
      </c>
    </row>
    <row r="556">
      <c r="A556" t="inlineStr">
        <is>
          <t>S015</t>
        </is>
      </c>
      <c r="B556" s="3" t="n">
        <v>46267</v>
      </c>
      <c r="C556" t="n">
        <v>18</v>
      </c>
      <c r="D556" t="inlineStr">
        <is>
          <t>Wednesday</t>
        </is>
      </c>
      <c r="E556" t="n">
        <v>19</v>
      </c>
      <c r="F556" t="b">
        <v>0</v>
      </c>
      <c r="H556" t="b">
        <v>0</v>
      </c>
    </row>
    <row r="557">
      <c r="A557" t="inlineStr">
        <is>
          <t>S015</t>
        </is>
      </c>
      <c r="B557" s="3" t="n">
        <v>46267</v>
      </c>
      <c r="C557" t="n">
        <v>19</v>
      </c>
      <c r="D557" t="inlineStr">
        <is>
          <t>Wednesday</t>
        </is>
      </c>
      <c r="E557" t="n">
        <v>37</v>
      </c>
      <c r="F557" t="b">
        <v>1</v>
      </c>
      <c r="H557" t="b">
        <v>0</v>
      </c>
    </row>
    <row r="558">
      <c r="A558" t="inlineStr">
        <is>
          <t>S015</t>
        </is>
      </c>
      <c r="B558" s="3" t="n">
        <v>46267</v>
      </c>
      <c r="C558" t="n">
        <v>20</v>
      </c>
      <c r="D558" t="inlineStr">
        <is>
          <t>Wednesday</t>
        </is>
      </c>
      <c r="E558" t="n">
        <v>27</v>
      </c>
      <c r="F558" t="b">
        <v>1</v>
      </c>
      <c r="H558" t="b">
        <v>0</v>
      </c>
    </row>
    <row r="559">
      <c r="A559" t="inlineStr">
        <is>
          <t>S015</t>
        </is>
      </c>
      <c r="B559" s="3" t="n">
        <v>46267</v>
      </c>
      <c r="C559" t="n">
        <v>21</v>
      </c>
      <c r="D559" t="inlineStr">
        <is>
          <t>Wednesday</t>
        </is>
      </c>
      <c r="E559" t="n">
        <v>31</v>
      </c>
      <c r="F559" t="b">
        <v>1</v>
      </c>
      <c r="H559" t="b">
        <v>0</v>
      </c>
    </row>
    <row r="560">
      <c r="A560" t="inlineStr">
        <is>
          <t>S015</t>
        </is>
      </c>
      <c r="B560" s="3" t="n">
        <v>46267</v>
      </c>
      <c r="C560" t="n">
        <v>22</v>
      </c>
      <c r="D560" t="inlineStr">
        <is>
          <t>Wednesday</t>
        </is>
      </c>
      <c r="E560" t="n">
        <v>27</v>
      </c>
      <c r="F560" t="b">
        <v>0</v>
      </c>
      <c r="G560" t="inlineStr">
        <is>
          <t>Light</t>
        </is>
      </c>
      <c r="H560" t="b">
        <v>0</v>
      </c>
    </row>
    <row r="561">
      <c r="A561" t="inlineStr">
        <is>
          <t>S015</t>
        </is>
      </c>
      <c r="B561" s="3" t="n">
        <v>46267</v>
      </c>
      <c r="C561" t="n">
        <v>23</v>
      </c>
      <c r="D561" t="inlineStr">
        <is>
          <t>Wednesday</t>
        </is>
      </c>
      <c r="E561" t="n">
        <v>24</v>
      </c>
      <c r="F561" t="b">
        <v>0</v>
      </c>
      <c r="G561" t="inlineStr">
        <is>
          <t>Light</t>
        </is>
      </c>
      <c r="H561" t="b">
        <v>0</v>
      </c>
    </row>
    <row r="562">
      <c r="A562" t="inlineStr">
        <is>
          <t>S016</t>
        </is>
      </c>
      <c r="B562" s="3" t="n">
        <v>46267</v>
      </c>
      <c r="C562" t="n">
        <v>8</v>
      </c>
      <c r="D562" t="inlineStr">
        <is>
          <t>Wednesday</t>
        </is>
      </c>
      <c r="E562" t="n">
        <v>23</v>
      </c>
      <c r="F562" t="b">
        <v>0</v>
      </c>
      <c r="H562" t="b">
        <v>0</v>
      </c>
    </row>
    <row r="563">
      <c r="A563" t="inlineStr">
        <is>
          <t>S016</t>
        </is>
      </c>
      <c r="B563" s="3" t="n">
        <v>46267</v>
      </c>
      <c r="C563" t="n">
        <v>9</v>
      </c>
      <c r="D563" t="inlineStr">
        <is>
          <t>Wednesday</t>
        </is>
      </c>
      <c r="E563" t="n">
        <v>21</v>
      </c>
      <c r="F563" t="b">
        <v>0</v>
      </c>
      <c r="H563" t="b">
        <v>0</v>
      </c>
    </row>
    <row r="564">
      <c r="A564" t="inlineStr">
        <is>
          <t>S016</t>
        </is>
      </c>
      <c r="B564" s="3" t="n">
        <v>46267</v>
      </c>
      <c r="C564" t="n">
        <v>10</v>
      </c>
      <c r="D564" t="inlineStr">
        <is>
          <t>Wednesday</t>
        </is>
      </c>
      <c r="E564" t="n">
        <v>18</v>
      </c>
      <c r="F564" t="b">
        <v>0</v>
      </c>
      <c r="H564" t="b">
        <v>0</v>
      </c>
    </row>
    <row r="565">
      <c r="A565" t="inlineStr">
        <is>
          <t>S016</t>
        </is>
      </c>
      <c r="B565" s="3" t="n">
        <v>46267</v>
      </c>
      <c r="C565" t="n">
        <v>11</v>
      </c>
      <c r="D565" t="inlineStr">
        <is>
          <t>Wednesday</t>
        </is>
      </c>
      <c r="E565" t="n">
        <v>16</v>
      </c>
      <c r="F565" t="b">
        <v>0</v>
      </c>
      <c r="H565" t="b">
        <v>0</v>
      </c>
    </row>
    <row r="566">
      <c r="A566" t="inlineStr">
        <is>
          <t>S016</t>
        </is>
      </c>
      <c r="B566" s="3" t="n">
        <v>46267</v>
      </c>
      <c r="C566" t="n">
        <v>12</v>
      </c>
      <c r="D566" t="inlineStr">
        <is>
          <t>Wednesday</t>
        </is>
      </c>
      <c r="E566" t="n">
        <v>29</v>
      </c>
      <c r="F566" t="b">
        <v>0</v>
      </c>
      <c r="H566" t="b">
        <v>0</v>
      </c>
    </row>
    <row r="567">
      <c r="A567" t="inlineStr">
        <is>
          <t>S016</t>
        </is>
      </c>
      <c r="B567" s="3" t="n">
        <v>46267</v>
      </c>
      <c r="C567" t="n">
        <v>13</v>
      </c>
      <c r="D567" t="inlineStr">
        <is>
          <t>Wednesday</t>
        </is>
      </c>
      <c r="E567" t="n">
        <v>13</v>
      </c>
      <c r="F567" t="b">
        <v>0</v>
      </c>
      <c r="H567" t="b">
        <v>0</v>
      </c>
    </row>
    <row r="568">
      <c r="A568" t="inlineStr">
        <is>
          <t>S016</t>
        </is>
      </c>
      <c r="B568" s="3" t="n">
        <v>46267</v>
      </c>
      <c r="C568" t="n">
        <v>14</v>
      </c>
      <c r="D568" t="inlineStr">
        <is>
          <t>Wednesday</t>
        </is>
      </c>
      <c r="E568" t="n">
        <v>13</v>
      </c>
      <c r="F568" t="b">
        <v>0</v>
      </c>
      <c r="H568" t="b">
        <v>1</v>
      </c>
    </row>
    <row r="569">
      <c r="A569" t="inlineStr">
        <is>
          <t>S016</t>
        </is>
      </c>
      <c r="B569" s="3" t="n">
        <v>46267</v>
      </c>
      <c r="C569" t="n">
        <v>15</v>
      </c>
      <c r="D569" t="inlineStr">
        <is>
          <t>Wednesday</t>
        </is>
      </c>
      <c r="E569" t="n">
        <v>18</v>
      </c>
      <c r="F569" t="b">
        <v>0</v>
      </c>
      <c r="H569" t="b">
        <v>0</v>
      </c>
    </row>
    <row r="570">
      <c r="A570" t="inlineStr">
        <is>
          <t>S016</t>
        </is>
      </c>
      <c r="B570" s="3" t="n">
        <v>46267</v>
      </c>
      <c r="C570" t="n">
        <v>16</v>
      </c>
      <c r="D570" t="inlineStr">
        <is>
          <t>Wednesday</t>
        </is>
      </c>
      <c r="E570" t="n">
        <v>18</v>
      </c>
      <c r="F570" t="b">
        <v>0</v>
      </c>
      <c r="G570" t="inlineStr">
        <is>
          <t>Heavy</t>
        </is>
      </c>
      <c r="H570" t="b">
        <v>0</v>
      </c>
    </row>
    <row r="571">
      <c r="A571" t="inlineStr">
        <is>
          <t>S016</t>
        </is>
      </c>
      <c r="B571" s="3" t="n">
        <v>46267</v>
      </c>
      <c r="C571" t="n">
        <v>17</v>
      </c>
      <c r="D571" t="inlineStr">
        <is>
          <t>Wednesday</t>
        </is>
      </c>
      <c r="E571" t="n">
        <v>35</v>
      </c>
      <c r="F571" t="b">
        <v>0</v>
      </c>
      <c r="H571" t="b">
        <v>0</v>
      </c>
    </row>
    <row r="572">
      <c r="A572" t="inlineStr">
        <is>
          <t>S016</t>
        </is>
      </c>
      <c r="B572" s="3" t="n">
        <v>46267</v>
      </c>
      <c r="C572" t="n">
        <v>18</v>
      </c>
      <c r="D572" t="inlineStr">
        <is>
          <t>Wednesday</t>
        </is>
      </c>
      <c r="E572" t="n">
        <v>30</v>
      </c>
      <c r="F572" t="b">
        <v>0</v>
      </c>
      <c r="H572" t="b">
        <v>0</v>
      </c>
    </row>
    <row r="573">
      <c r="A573" t="inlineStr">
        <is>
          <t>S016</t>
        </is>
      </c>
      <c r="B573" s="3" t="n">
        <v>46267</v>
      </c>
      <c r="C573" t="n">
        <v>19</v>
      </c>
      <c r="D573" t="inlineStr">
        <is>
          <t>Wednesday</t>
        </is>
      </c>
      <c r="E573" t="n">
        <v>32</v>
      </c>
      <c r="F573" t="b">
        <v>1</v>
      </c>
      <c r="G573" t="inlineStr">
        <is>
          <t>Light</t>
        </is>
      </c>
      <c r="H573" t="b">
        <v>0</v>
      </c>
    </row>
    <row r="574">
      <c r="A574" t="inlineStr">
        <is>
          <t>S016</t>
        </is>
      </c>
      <c r="B574" s="3" t="n">
        <v>46267</v>
      </c>
      <c r="C574" t="n">
        <v>20</v>
      </c>
      <c r="D574" t="inlineStr">
        <is>
          <t>Wednesday</t>
        </is>
      </c>
      <c r="E574" t="n">
        <v>37</v>
      </c>
      <c r="F574" t="b">
        <v>1</v>
      </c>
      <c r="G574" t="inlineStr">
        <is>
          <t>Light</t>
        </is>
      </c>
      <c r="H574" t="b">
        <v>0</v>
      </c>
    </row>
    <row r="575">
      <c r="A575" t="inlineStr">
        <is>
          <t>S016</t>
        </is>
      </c>
      <c r="B575" s="3" t="n">
        <v>46267</v>
      </c>
      <c r="C575" t="n">
        <v>21</v>
      </c>
      <c r="D575" t="inlineStr">
        <is>
          <t>Wednesday</t>
        </is>
      </c>
      <c r="E575" t="n">
        <v>35</v>
      </c>
      <c r="F575" t="b">
        <v>1</v>
      </c>
      <c r="H575" t="b">
        <v>0</v>
      </c>
    </row>
    <row r="576">
      <c r="A576" t="inlineStr">
        <is>
          <t>S016</t>
        </is>
      </c>
      <c r="B576" s="3" t="n">
        <v>46267</v>
      </c>
      <c r="C576" t="n">
        <v>22</v>
      </c>
      <c r="D576" t="inlineStr">
        <is>
          <t>Wednesday</t>
        </is>
      </c>
      <c r="E576" t="n">
        <v>24</v>
      </c>
      <c r="F576" t="b">
        <v>0</v>
      </c>
      <c r="H576" t="b">
        <v>0</v>
      </c>
    </row>
    <row r="577">
      <c r="A577" t="inlineStr">
        <is>
          <t>S016</t>
        </is>
      </c>
      <c r="B577" s="3" t="n">
        <v>46267</v>
      </c>
      <c r="C577" t="n">
        <v>23</v>
      </c>
      <c r="D577" t="inlineStr">
        <is>
          <t>Wednesday</t>
        </is>
      </c>
      <c r="E577" t="n">
        <v>33</v>
      </c>
      <c r="F577" t="b">
        <v>0</v>
      </c>
      <c r="G577" t="inlineStr">
        <is>
          <t>Heavy</t>
        </is>
      </c>
      <c r="H577" t="b">
        <v>0</v>
      </c>
    </row>
    <row r="578">
      <c r="A578" t="inlineStr">
        <is>
          <t>S017</t>
        </is>
      </c>
      <c r="B578" s="3" t="n">
        <v>46267</v>
      </c>
      <c r="C578" t="n">
        <v>8</v>
      </c>
      <c r="D578" t="inlineStr">
        <is>
          <t>Wednesday</t>
        </is>
      </c>
      <c r="E578" t="n">
        <v>25</v>
      </c>
      <c r="F578" t="b">
        <v>0</v>
      </c>
      <c r="H578" t="b">
        <v>0</v>
      </c>
    </row>
    <row r="579">
      <c r="A579" t="inlineStr">
        <is>
          <t>S017</t>
        </is>
      </c>
      <c r="B579" s="3" t="n">
        <v>46267</v>
      </c>
      <c r="C579" t="n">
        <v>9</v>
      </c>
      <c r="D579" t="inlineStr">
        <is>
          <t>Wednesday</t>
        </is>
      </c>
      <c r="E579" t="n">
        <v>21</v>
      </c>
      <c r="F579" t="b">
        <v>0</v>
      </c>
      <c r="H579" t="b">
        <v>0</v>
      </c>
    </row>
    <row r="580">
      <c r="A580" t="inlineStr">
        <is>
          <t>S017</t>
        </is>
      </c>
      <c r="B580" s="3" t="n">
        <v>46267</v>
      </c>
      <c r="C580" t="n">
        <v>10</v>
      </c>
      <c r="D580" t="inlineStr">
        <is>
          <t>Wednesday</t>
        </is>
      </c>
      <c r="E580" t="n">
        <v>26</v>
      </c>
      <c r="F580" t="b">
        <v>0</v>
      </c>
      <c r="G580" t="inlineStr">
        <is>
          <t>Light</t>
        </is>
      </c>
      <c r="H580" t="b">
        <v>0</v>
      </c>
    </row>
    <row r="581">
      <c r="A581" t="inlineStr">
        <is>
          <t>S017</t>
        </is>
      </c>
      <c r="B581" s="3" t="n">
        <v>46267</v>
      </c>
      <c r="C581" t="n">
        <v>11</v>
      </c>
      <c r="D581" t="inlineStr">
        <is>
          <t>Wednesday</t>
        </is>
      </c>
      <c r="E581" t="n">
        <v>31</v>
      </c>
      <c r="F581" t="b">
        <v>0</v>
      </c>
      <c r="H581" t="b">
        <v>0</v>
      </c>
    </row>
    <row r="582">
      <c r="A582" t="inlineStr">
        <is>
          <t>S017</t>
        </is>
      </c>
      <c r="B582" s="3" t="n">
        <v>46267</v>
      </c>
      <c r="C582" t="n">
        <v>12</v>
      </c>
      <c r="D582" t="inlineStr">
        <is>
          <t>Wednesday</t>
        </is>
      </c>
      <c r="E582" t="n">
        <v>31</v>
      </c>
      <c r="F582" t="b">
        <v>0</v>
      </c>
      <c r="G582" t="inlineStr">
        <is>
          <t>Light</t>
        </is>
      </c>
      <c r="H582" t="b">
        <v>0</v>
      </c>
    </row>
    <row r="583">
      <c r="A583" t="inlineStr">
        <is>
          <t>S017</t>
        </is>
      </c>
      <c r="B583" s="3" t="n">
        <v>46267</v>
      </c>
      <c r="C583" t="n">
        <v>13</v>
      </c>
      <c r="D583" t="inlineStr">
        <is>
          <t>Wednesday</t>
        </is>
      </c>
      <c r="E583" t="n">
        <v>37</v>
      </c>
      <c r="F583" t="b">
        <v>0</v>
      </c>
      <c r="H583" t="b">
        <v>1</v>
      </c>
    </row>
    <row r="584">
      <c r="A584" t="inlineStr">
        <is>
          <t>S017</t>
        </is>
      </c>
      <c r="B584" s="3" t="n">
        <v>46267</v>
      </c>
      <c r="C584" t="n">
        <v>14</v>
      </c>
      <c r="D584" t="inlineStr">
        <is>
          <t>Wednesday</t>
        </is>
      </c>
      <c r="E584" t="n">
        <v>23</v>
      </c>
      <c r="F584" t="b">
        <v>0</v>
      </c>
      <c r="H584" t="b">
        <v>0</v>
      </c>
    </row>
    <row r="585">
      <c r="A585" t="inlineStr">
        <is>
          <t>S017</t>
        </is>
      </c>
      <c r="B585" s="3" t="n">
        <v>46267</v>
      </c>
      <c r="C585" t="n">
        <v>15</v>
      </c>
      <c r="D585" t="inlineStr">
        <is>
          <t>Wednesday</t>
        </is>
      </c>
      <c r="E585" t="n">
        <v>30</v>
      </c>
      <c r="F585" t="b">
        <v>0</v>
      </c>
      <c r="G585" t="inlineStr">
        <is>
          <t>Heavy</t>
        </is>
      </c>
      <c r="H585" t="b">
        <v>0</v>
      </c>
    </row>
    <row r="586">
      <c r="A586" t="inlineStr">
        <is>
          <t>S017</t>
        </is>
      </c>
      <c r="B586" s="3" t="n">
        <v>46267</v>
      </c>
      <c r="C586" t="n">
        <v>16</v>
      </c>
      <c r="D586" t="inlineStr">
        <is>
          <t>Wednesday</t>
        </is>
      </c>
      <c r="E586" t="n">
        <v>31</v>
      </c>
      <c r="F586" t="b">
        <v>0</v>
      </c>
      <c r="H586" t="b">
        <v>0</v>
      </c>
    </row>
    <row r="587">
      <c r="A587" t="inlineStr">
        <is>
          <t>S017</t>
        </is>
      </c>
      <c r="B587" s="3" t="n">
        <v>46267</v>
      </c>
      <c r="C587" t="n">
        <v>17</v>
      </c>
      <c r="D587" t="inlineStr">
        <is>
          <t>Wednesday</t>
        </is>
      </c>
      <c r="E587" t="n">
        <v>39</v>
      </c>
      <c r="F587" t="b">
        <v>0</v>
      </c>
      <c r="H587" t="b">
        <v>1</v>
      </c>
    </row>
    <row r="588">
      <c r="A588" t="inlineStr">
        <is>
          <t>S017</t>
        </is>
      </c>
      <c r="B588" s="3" t="n">
        <v>46267</v>
      </c>
      <c r="C588" t="n">
        <v>18</v>
      </c>
      <c r="D588" t="inlineStr">
        <is>
          <t>Wednesday</t>
        </is>
      </c>
      <c r="E588" t="n">
        <v>35</v>
      </c>
      <c r="F588" t="b">
        <v>0</v>
      </c>
      <c r="H588" t="b">
        <v>0</v>
      </c>
    </row>
    <row r="589">
      <c r="A589" t="inlineStr">
        <is>
          <t>S017</t>
        </is>
      </c>
      <c r="B589" s="3" t="n">
        <v>46267</v>
      </c>
      <c r="C589" t="n">
        <v>19</v>
      </c>
      <c r="D589" t="inlineStr">
        <is>
          <t>Wednesday</t>
        </is>
      </c>
      <c r="E589" t="n">
        <v>55</v>
      </c>
      <c r="F589" t="b">
        <v>1</v>
      </c>
      <c r="H589" t="b">
        <v>0</v>
      </c>
    </row>
    <row r="590">
      <c r="A590" t="inlineStr">
        <is>
          <t>S017</t>
        </is>
      </c>
      <c r="B590" s="3" t="n">
        <v>46267</v>
      </c>
      <c r="C590" t="n">
        <v>20</v>
      </c>
      <c r="D590" t="inlineStr">
        <is>
          <t>Wednesday</t>
        </is>
      </c>
      <c r="E590" t="n">
        <v>45</v>
      </c>
      <c r="F590" t="b">
        <v>1</v>
      </c>
      <c r="H590" t="b">
        <v>0</v>
      </c>
    </row>
    <row r="591">
      <c r="A591" t="inlineStr">
        <is>
          <t>S017</t>
        </is>
      </c>
      <c r="B591" s="3" t="n">
        <v>46267</v>
      </c>
      <c r="C591" t="n">
        <v>21</v>
      </c>
      <c r="D591" t="inlineStr">
        <is>
          <t>Wednesday</t>
        </is>
      </c>
      <c r="E591" t="n">
        <v>48</v>
      </c>
      <c r="F591" t="b">
        <v>1</v>
      </c>
      <c r="H591" t="b">
        <v>0</v>
      </c>
    </row>
    <row r="592">
      <c r="A592" t="inlineStr">
        <is>
          <t>S017</t>
        </is>
      </c>
      <c r="B592" s="3" t="n">
        <v>46267</v>
      </c>
      <c r="C592" t="n">
        <v>22</v>
      </c>
      <c r="D592" t="inlineStr">
        <is>
          <t>Wednesday</t>
        </is>
      </c>
      <c r="E592" t="n">
        <v>33</v>
      </c>
      <c r="F592" t="b">
        <v>0</v>
      </c>
      <c r="H592" t="b">
        <v>0</v>
      </c>
    </row>
    <row r="593">
      <c r="A593" t="inlineStr">
        <is>
          <t>S017</t>
        </is>
      </c>
      <c r="B593" s="3" t="n">
        <v>46267</v>
      </c>
      <c r="C593" t="n">
        <v>23</v>
      </c>
      <c r="D593" t="inlineStr">
        <is>
          <t>Wednesday</t>
        </is>
      </c>
      <c r="E593" t="n">
        <v>44</v>
      </c>
      <c r="F593" t="b">
        <v>0</v>
      </c>
      <c r="H593" t="b">
        <v>0</v>
      </c>
    </row>
    <row r="594">
      <c r="A594" t="inlineStr">
        <is>
          <t>S018</t>
        </is>
      </c>
      <c r="B594" s="3" t="n">
        <v>46267</v>
      </c>
      <c r="C594" t="n">
        <v>8</v>
      </c>
      <c r="D594" t="inlineStr">
        <is>
          <t>Wednesday</t>
        </is>
      </c>
      <c r="E594" t="n">
        <v>16</v>
      </c>
      <c r="F594" t="b">
        <v>0</v>
      </c>
      <c r="H594" t="b">
        <v>0</v>
      </c>
    </row>
    <row r="595">
      <c r="A595" t="inlineStr">
        <is>
          <t>S018</t>
        </is>
      </c>
      <c r="B595" s="3" t="n">
        <v>46267</v>
      </c>
      <c r="C595" t="n">
        <v>9</v>
      </c>
      <c r="D595" t="inlineStr">
        <is>
          <t>Wednesday</t>
        </is>
      </c>
      <c r="E595" t="n">
        <v>7</v>
      </c>
      <c r="F595" t="b">
        <v>0</v>
      </c>
      <c r="G595" t="inlineStr">
        <is>
          <t>Light</t>
        </is>
      </c>
      <c r="H595" t="b">
        <v>0</v>
      </c>
    </row>
    <row r="596">
      <c r="A596" t="inlineStr">
        <is>
          <t>S018</t>
        </is>
      </c>
      <c r="B596" s="3" t="n">
        <v>46267</v>
      </c>
      <c r="C596" t="n">
        <v>10</v>
      </c>
      <c r="D596" t="inlineStr">
        <is>
          <t>Wednesday</t>
        </is>
      </c>
      <c r="E596" t="n">
        <v>13</v>
      </c>
      <c r="F596" t="b">
        <v>0</v>
      </c>
      <c r="G596" t="inlineStr">
        <is>
          <t>Light</t>
        </is>
      </c>
      <c r="H596" t="b">
        <v>0</v>
      </c>
    </row>
    <row r="597">
      <c r="A597" t="inlineStr">
        <is>
          <t>S018</t>
        </is>
      </c>
      <c r="B597" s="3" t="n">
        <v>46267</v>
      </c>
      <c r="C597" t="n">
        <v>11</v>
      </c>
      <c r="D597" t="inlineStr">
        <is>
          <t>Wednesday</t>
        </is>
      </c>
      <c r="E597" t="n">
        <v>16</v>
      </c>
      <c r="F597" t="b">
        <v>0</v>
      </c>
      <c r="H597" t="b">
        <v>0</v>
      </c>
    </row>
    <row r="598">
      <c r="A598" t="inlineStr">
        <is>
          <t>S018</t>
        </is>
      </c>
      <c r="B598" s="3" t="n">
        <v>46267</v>
      </c>
      <c r="C598" t="n">
        <v>12</v>
      </c>
      <c r="D598" t="inlineStr">
        <is>
          <t>Wednesday</t>
        </is>
      </c>
      <c r="E598" t="n">
        <v>26</v>
      </c>
      <c r="F598" t="b">
        <v>0</v>
      </c>
      <c r="H598" t="b">
        <v>0</v>
      </c>
    </row>
    <row r="599">
      <c r="A599" t="inlineStr">
        <is>
          <t>S018</t>
        </is>
      </c>
      <c r="B599" s="3" t="n">
        <v>46267</v>
      </c>
      <c r="C599" t="n">
        <v>13</v>
      </c>
      <c r="D599" t="inlineStr">
        <is>
          <t>Wednesday</t>
        </is>
      </c>
      <c r="E599" t="n">
        <v>11</v>
      </c>
      <c r="F599" t="b">
        <v>0</v>
      </c>
      <c r="H599" t="b">
        <v>0</v>
      </c>
    </row>
    <row r="600">
      <c r="A600" t="inlineStr">
        <is>
          <t>S018</t>
        </is>
      </c>
      <c r="B600" s="3" t="n">
        <v>46267</v>
      </c>
      <c r="C600" t="n">
        <v>14</v>
      </c>
      <c r="D600" t="inlineStr">
        <is>
          <t>Wednesday</t>
        </is>
      </c>
      <c r="E600" t="n">
        <v>15</v>
      </c>
      <c r="F600" t="b">
        <v>0</v>
      </c>
      <c r="H600" t="b">
        <v>0</v>
      </c>
    </row>
    <row r="601">
      <c r="A601" t="inlineStr">
        <is>
          <t>S018</t>
        </is>
      </c>
      <c r="B601" s="3" t="n">
        <v>46267</v>
      </c>
      <c r="C601" t="n">
        <v>15</v>
      </c>
      <c r="D601" t="inlineStr">
        <is>
          <t>Wednesday</t>
        </is>
      </c>
      <c r="E601" t="n">
        <v>14</v>
      </c>
      <c r="F601" t="b">
        <v>0</v>
      </c>
      <c r="H601" t="b">
        <v>0</v>
      </c>
    </row>
    <row r="602">
      <c r="A602" t="inlineStr">
        <is>
          <t>S018</t>
        </is>
      </c>
      <c r="B602" s="3" t="n">
        <v>46267</v>
      </c>
      <c r="C602" t="n">
        <v>16</v>
      </c>
      <c r="D602" t="inlineStr">
        <is>
          <t>Wednesday</t>
        </is>
      </c>
      <c r="E602" t="n">
        <v>11</v>
      </c>
      <c r="F602" t="b">
        <v>0</v>
      </c>
      <c r="H602" t="b">
        <v>1</v>
      </c>
    </row>
    <row r="603">
      <c r="A603" t="inlineStr">
        <is>
          <t>S018</t>
        </is>
      </c>
      <c r="B603" s="3" t="n">
        <v>46267</v>
      </c>
      <c r="C603" t="n">
        <v>17</v>
      </c>
      <c r="D603" t="inlineStr">
        <is>
          <t>Wednesday</t>
        </is>
      </c>
      <c r="E603" t="n">
        <v>25</v>
      </c>
      <c r="F603" t="b">
        <v>0</v>
      </c>
      <c r="G603" t="inlineStr">
        <is>
          <t>Light</t>
        </is>
      </c>
      <c r="H603" t="b">
        <v>0</v>
      </c>
    </row>
    <row r="604">
      <c r="A604" t="inlineStr">
        <is>
          <t>S018</t>
        </is>
      </c>
      <c r="B604" s="3" t="n">
        <v>46267</v>
      </c>
      <c r="C604" t="n">
        <v>18</v>
      </c>
      <c r="D604" t="inlineStr">
        <is>
          <t>Wednesday</t>
        </is>
      </c>
      <c r="E604" t="n">
        <v>20</v>
      </c>
      <c r="F604" t="b">
        <v>0</v>
      </c>
      <c r="H604" t="b">
        <v>0</v>
      </c>
    </row>
    <row r="605">
      <c r="A605" t="inlineStr">
        <is>
          <t>S018</t>
        </is>
      </c>
      <c r="B605" s="3" t="n">
        <v>46267</v>
      </c>
      <c r="C605" t="n">
        <v>19</v>
      </c>
      <c r="D605" t="inlineStr">
        <is>
          <t>Wednesday</t>
        </is>
      </c>
      <c r="E605" t="n">
        <v>19</v>
      </c>
      <c r="F605" t="b">
        <v>1</v>
      </c>
      <c r="H605" t="b">
        <v>0</v>
      </c>
    </row>
    <row r="606">
      <c r="A606" t="inlineStr">
        <is>
          <t>S018</t>
        </is>
      </c>
      <c r="B606" s="3" t="n">
        <v>46267</v>
      </c>
      <c r="C606" t="n">
        <v>20</v>
      </c>
      <c r="D606" t="inlineStr">
        <is>
          <t>Wednesday</t>
        </is>
      </c>
      <c r="E606" t="n">
        <v>26</v>
      </c>
      <c r="F606" t="b">
        <v>1</v>
      </c>
      <c r="H606" t="b">
        <v>0</v>
      </c>
    </row>
    <row r="607">
      <c r="A607" t="inlineStr">
        <is>
          <t>S018</t>
        </is>
      </c>
      <c r="B607" s="3" t="n">
        <v>46267</v>
      </c>
      <c r="C607" t="n">
        <v>21</v>
      </c>
      <c r="D607" t="inlineStr">
        <is>
          <t>Wednesday</t>
        </is>
      </c>
      <c r="E607" t="n">
        <v>29</v>
      </c>
      <c r="F607" t="b">
        <v>1</v>
      </c>
      <c r="H607" t="b">
        <v>0</v>
      </c>
    </row>
    <row r="608">
      <c r="A608" t="inlineStr">
        <is>
          <t>S018</t>
        </is>
      </c>
      <c r="B608" s="3" t="n">
        <v>46267</v>
      </c>
      <c r="C608" t="n">
        <v>22</v>
      </c>
      <c r="D608" t="inlineStr">
        <is>
          <t>Wednesday</t>
        </is>
      </c>
      <c r="E608" t="n">
        <v>21</v>
      </c>
      <c r="F608" t="b">
        <v>0</v>
      </c>
      <c r="H608" t="b">
        <v>0</v>
      </c>
    </row>
    <row r="609">
      <c r="A609" t="inlineStr">
        <is>
          <t>S018</t>
        </is>
      </c>
      <c r="B609" s="3" t="n">
        <v>46267</v>
      </c>
      <c r="C609" t="n">
        <v>23</v>
      </c>
      <c r="D609" t="inlineStr">
        <is>
          <t>Wednesday</t>
        </is>
      </c>
      <c r="E609" t="n">
        <v>20</v>
      </c>
      <c r="F609" t="b">
        <v>0</v>
      </c>
      <c r="H609" t="b">
        <v>0</v>
      </c>
    </row>
    <row r="610">
      <c r="A610" t="inlineStr">
        <is>
          <t>S019</t>
        </is>
      </c>
      <c r="B610" s="3" t="n">
        <v>46267</v>
      </c>
      <c r="C610" t="n">
        <v>8</v>
      </c>
      <c r="D610" t="inlineStr">
        <is>
          <t>Wednesday</t>
        </is>
      </c>
      <c r="E610" t="n">
        <v>17</v>
      </c>
      <c r="F610" t="b">
        <v>0</v>
      </c>
      <c r="G610" t="inlineStr">
        <is>
          <t>Light</t>
        </is>
      </c>
      <c r="H610" t="b">
        <v>0</v>
      </c>
    </row>
    <row r="611">
      <c r="A611" t="inlineStr">
        <is>
          <t>S019</t>
        </is>
      </c>
      <c r="B611" s="3" t="n">
        <v>46267</v>
      </c>
      <c r="C611" t="n">
        <v>9</v>
      </c>
      <c r="D611" t="inlineStr">
        <is>
          <t>Wednesday</t>
        </is>
      </c>
      <c r="E611" t="n">
        <v>25</v>
      </c>
      <c r="F611" t="b">
        <v>0</v>
      </c>
      <c r="H611" t="b">
        <v>0</v>
      </c>
    </row>
    <row r="612">
      <c r="A612" t="inlineStr">
        <is>
          <t>S019</t>
        </is>
      </c>
      <c r="B612" s="3" t="n">
        <v>46267</v>
      </c>
      <c r="C612" t="n">
        <v>10</v>
      </c>
      <c r="D612" t="inlineStr">
        <is>
          <t>Wednesday</t>
        </is>
      </c>
      <c r="E612" t="n">
        <v>9</v>
      </c>
      <c r="F612" t="b">
        <v>0</v>
      </c>
      <c r="G612" t="inlineStr">
        <is>
          <t>Light</t>
        </is>
      </c>
      <c r="H612" t="b">
        <v>0</v>
      </c>
    </row>
    <row r="613">
      <c r="A613" t="inlineStr">
        <is>
          <t>S019</t>
        </is>
      </c>
      <c r="B613" s="3" t="n">
        <v>46267</v>
      </c>
      <c r="C613" t="n">
        <v>11</v>
      </c>
      <c r="D613" t="inlineStr">
        <is>
          <t>Wednesday</t>
        </is>
      </c>
      <c r="E613" t="n">
        <v>22</v>
      </c>
      <c r="F613" t="b">
        <v>0</v>
      </c>
      <c r="H613" t="b">
        <v>0</v>
      </c>
    </row>
    <row r="614">
      <c r="A614" t="inlineStr">
        <is>
          <t>S019</t>
        </is>
      </c>
      <c r="B614" s="3" t="n">
        <v>46267</v>
      </c>
      <c r="C614" t="n">
        <v>12</v>
      </c>
      <c r="D614" t="inlineStr">
        <is>
          <t>Wednesday</t>
        </is>
      </c>
      <c r="E614" t="n">
        <v>16</v>
      </c>
      <c r="F614" t="b">
        <v>0</v>
      </c>
      <c r="H614" t="b">
        <v>0</v>
      </c>
    </row>
    <row r="615">
      <c r="A615" t="inlineStr">
        <is>
          <t>S019</t>
        </is>
      </c>
      <c r="B615" s="3" t="n">
        <v>46267</v>
      </c>
      <c r="C615" t="n">
        <v>13</v>
      </c>
      <c r="D615" t="inlineStr">
        <is>
          <t>Wednesday</t>
        </is>
      </c>
      <c r="E615" t="n">
        <v>25</v>
      </c>
      <c r="F615" t="b">
        <v>0</v>
      </c>
      <c r="H615" t="b">
        <v>0</v>
      </c>
    </row>
    <row r="616">
      <c r="A616" t="inlineStr">
        <is>
          <t>S019</t>
        </is>
      </c>
      <c r="B616" s="3" t="n">
        <v>46267</v>
      </c>
      <c r="C616" t="n">
        <v>14</v>
      </c>
      <c r="D616" t="inlineStr">
        <is>
          <t>Wednesday</t>
        </is>
      </c>
      <c r="E616" t="n">
        <v>19</v>
      </c>
      <c r="F616" t="b">
        <v>0</v>
      </c>
      <c r="H616" t="b">
        <v>0</v>
      </c>
    </row>
    <row r="617">
      <c r="A617" t="inlineStr">
        <is>
          <t>S019</t>
        </is>
      </c>
      <c r="B617" s="3" t="n">
        <v>46267</v>
      </c>
      <c r="C617" t="n">
        <v>15</v>
      </c>
      <c r="D617" t="inlineStr">
        <is>
          <t>Wednesday</t>
        </is>
      </c>
      <c r="E617" t="n">
        <v>20</v>
      </c>
      <c r="F617" t="b">
        <v>0</v>
      </c>
      <c r="H617" t="b">
        <v>0</v>
      </c>
    </row>
    <row r="618">
      <c r="A618" t="inlineStr">
        <is>
          <t>S019</t>
        </is>
      </c>
      <c r="B618" s="3" t="n">
        <v>46267</v>
      </c>
      <c r="C618" t="n">
        <v>16</v>
      </c>
      <c r="D618" t="inlineStr">
        <is>
          <t>Wednesday</t>
        </is>
      </c>
      <c r="E618" t="n">
        <v>19</v>
      </c>
      <c r="F618" t="b">
        <v>0</v>
      </c>
      <c r="H618" t="b">
        <v>0</v>
      </c>
    </row>
    <row r="619">
      <c r="A619" t="inlineStr">
        <is>
          <t>S019</t>
        </is>
      </c>
      <c r="B619" s="3" t="n">
        <v>46267</v>
      </c>
      <c r="C619" t="n">
        <v>17</v>
      </c>
      <c r="D619" t="inlineStr">
        <is>
          <t>Wednesday</t>
        </is>
      </c>
      <c r="E619" t="n">
        <v>22</v>
      </c>
      <c r="F619" t="b">
        <v>0</v>
      </c>
      <c r="G619" t="inlineStr">
        <is>
          <t>Light</t>
        </is>
      </c>
      <c r="H619" t="b">
        <v>0</v>
      </c>
    </row>
    <row r="620">
      <c r="A620" t="inlineStr">
        <is>
          <t>S019</t>
        </is>
      </c>
      <c r="B620" s="3" t="n">
        <v>46267</v>
      </c>
      <c r="C620" t="n">
        <v>18</v>
      </c>
      <c r="D620" t="inlineStr">
        <is>
          <t>Wednesday</t>
        </is>
      </c>
      <c r="E620" t="n">
        <v>26</v>
      </c>
      <c r="F620" t="b">
        <v>0</v>
      </c>
      <c r="H620" t="b">
        <v>0</v>
      </c>
    </row>
    <row r="621">
      <c r="A621" t="inlineStr">
        <is>
          <t>S019</t>
        </is>
      </c>
      <c r="B621" s="3" t="n">
        <v>46267</v>
      </c>
      <c r="C621" t="n">
        <v>19</v>
      </c>
      <c r="D621" t="inlineStr">
        <is>
          <t>Wednesday</t>
        </is>
      </c>
      <c r="E621" t="n">
        <v>39</v>
      </c>
      <c r="F621" t="b">
        <v>1</v>
      </c>
      <c r="G621" t="inlineStr">
        <is>
          <t>Light</t>
        </is>
      </c>
      <c r="H621" t="b">
        <v>0</v>
      </c>
    </row>
    <row r="622">
      <c r="A622" t="inlineStr">
        <is>
          <t>S019</t>
        </is>
      </c>
      <c r="B622" s="3" t="n">
        <v>46267</v>
      </c>
      <c r="C622" t="n">
        <v>20</v>
      </c>
      <c r="D622" t="inlineStr">
        <is>
          <t>Wednesday</t>
        </is>
      </c>
      <c r="E622" t="n">
        <v>39</v>
      </c>
      <c r="F622" t="b">
        <v>1</v>
      </c>
      <c r="H622" t="b">
        <v>0</v>
      </c>
    </row>
    <row r="623">
      <c r="A623" t="inlineStr">
        <is>
          <t>S019</t>
        </is>
      </c>
      <c r="B623" s="3" t="n">
        <v>46267</v>
      </c>
      <c r="C623" t="n">
        <v>21</v>
      </c>
      <c r="D623" t="inlineStr">
        <is>
          <t>Wednesday</t>
        </is>
      </c>
      <c r="E623" t="n">
        <v>39</v>
      </c>
      <c r="F623" t="b">
        <v>1</v>
      </c>
      <c r="G623" t="inlineStr">
        <is>
          <t>Light</t>
        </is>
      </c>
      <c r="H623" t="b">
        <v>0</v>
      </c>
    </row>
    <row r="624">
      <c r="A624" t="inlineStr">
        <is>
          <t>S019</t>
        </is>
      </c>
      <c r="B624" s="3" t="n">
        <v>46267</v>
      </c>
      <c r="C624" t="n">
        <v>22</v>
      </c>
      <c r="D624" t="inlineStr">
        <is>
          <t>Wednesday</t>
        </is>
      </c>
      <c r="E624" t="n">
        <v>17</v>
      </c>
      <c r="F624" t="b">
        <v>0</v>
      </c>
      <c r="H624" t="b">
        <v>0</v>
      </c>
    </row>
    <row r="625">
      <c r="A625" t="inlineStr">
        <is>
          <t>S019</t>
        </is>
      </c>
      <c r="B625" s="3" t="n">
        <v>46267</v>
      </c>
      <c r="C625" t="n">
        <v>23</v>
      </c>
      <c r="D625" t="inlineStr">
        <is>
          <t>Wednesday</t>
        </is>
      </c>
      <c r="E625" t="n">
        <v>30</v>
      </c>
      <c r="F625" t="b">
        <v>0</v>
      </c>
      <c r="H625" t="b">
        <v>0</v>
      </c>
    </row>
    <row r="626">
      <c r="A626" t="inlineStr">
        <is>
          <t>S020</t>
        </is>
      </c>
      <c r="B626" s="3" t="n">
        <v>46267</v>
      </c>
      <c r="C626" t="n">
        <v>8</v>
      </c>
      <c r="D626" t="inlineStr">
        <is>
          <t>Wednesday</t>
        </is>
      </c>
      <c r="E626" t="n">
        <v>12</v>
      </c>
      <c r="F626" t="b">
        <v>0</v>
      </c>
      <c r="H626" t="b">
        <v>0</v>
      </c>
    </row>
    <row r="627">
      <c r="A627" t="inlineStr">
        <is>
          <t>S020</t>
        </is>
      </c>
      <c r="B627" s="3" t="n">
        <v>46267</v>
      </c>
      <c r="C627" t="n">
        <v>9</v>
      </c>
      <c r="D627" t="inlineStr">
        <is>
          <t>Wednesday</t>
        </is>
      </c>
      <c r="E627" t="n">
        <v>9</v>
      </c>
      <c r="F627" t="b">
        <v>0</v>
      </c>
      <c r="G627" t="inlineStr">
        <is>
          <t>Light</t>
        </is>
      </c>
      <c r="H627" t="b">
        <v>1</v>
      </c>
    </row>
    <row r="628">
      <c r="A628" t="inlineStr">
        <is>
          <t>S020</t>
        </is>
      </c>
      <c r="B628" s="3" t="n">
        <v>46267</v>
      </c>
      <c r="C628" t="n">
        <v>10</v>
      </c>
      <c r="D628" t="inlineStr">
        <is>
          <t>Wednesday</t>
        </is>
      </c>
      <c r="E628" t="n">
        <v>6</v>
      </c>
      <c r="F628" t="b">
        <v>0</v>
      </c>
      <c r="H628" t="b">
        <v>0</v>
      </c>
    </row>
    <row r="629">
      <c r="A629" t="inlineStr">
        <is>
          <t>S020</t>
        </is>
      </c>
      <c r="B629" s="3" t="n">
        <v>46267</v>
      </c>
      <c r="C629" t="n">
        <v>11</v>
      </c>
      <c r="D629" t="inlineStr">
        <is>
          <t>Wednesday</t>
        </is>
      </c>
      <c r="E629" t="n">
        <v>12</v>
      </c>
      <c r="F629" t="b">
        <v>0</v>
      </c>
      <c r="H629" t="b">
        <v>0</v>
      </c>
    </row>
    <row r="630">
      <c r="A630" t="inlineStr">
        <is>
          <t>S020</t>
        </is>
      </c>
      <c r="B630" s="3" t="n">
        <v>46267</v>
      </c>
      <c r="C630" t="n">
        <v>12</v>
      </c>
      <c r="D630" t="inlineStr">
        <is>
          <t>Wednesday</t>
        </is>
      </c>
      <c r="E630" t="n">
        <v>15</v>
      </c>
      <c r="F630" t="b">
        <v>0</v>
      </c>
      <c r="H630" t="b">
        <v>0</v>
      </c>
    </row>
    <row r="631">
      <c r="A631" t="inlineStr">
        <is>
          <t>S020</t>
        </is>
      </c>
      <c r="B631" s="3" t="n">
        <v>46267</v>
      </c>
      <c r="C631" t="n">
        <v>13</v>
      </c>
      <c r="D631" t="inlineStr">
        <is>
          <t>Wednesday</t>
        </is>
      </c>
      <c r="E631" t="n">
        <v>17</v>
      </c>
      <c r="F631" t="b">
        <v>0</v>
      </c>
      <c r="H631" t="b">
        <v>0</v>
      </c>
    </row>
    <row r="632">
      <c r="A632" t="inlineStr">
        <is>
          <t>S020</t>
        </is>
      </c>
      <c r="B632" s="3" t="n">
        <v>46267</v>
      </c>
      <c r="C632" t="n">
        <v>14</v>
      </c>
      <c r="D632" t="inlineStr">
        <is>
          <t>Wednesday</t>
        </is>
      </c>
      <c r="E632" t="n">
        <v>12</v>
      </c>
      <c r="F632" t="b">
        <v>0</v>
      </c>
      <c r="H632" t="b">
        <v>0</v>
      </c>
    </row>
    <row r="633">
      <c r="A633" t="inlineStr">
        <is>
          <t>S020</t>
        </is>
      </c>
      <c r="B633" s="3" t="n">
        <v>46267</v>
      </c>
      <c r="C633" t="n">
        <v>15</v>
      </c>
      <c r="D633" t="inlineStr">
        <is>
          <t>Wednesday</t>
        </is>
      </c>
      <c r="E633" t="n">
        <v>14</v>
      </c>
      <c r="F633" t="b">
        <v>0</v>
      </c>
      <c r="G633" t="inlineStr">
        <is>
          <t>Light</t>
        </is>
      </c>
      <c r="H633" t="b">
        <v>0</v>
      </c>
    </row>
    <row r="634">
      <c r="A634" t="inlineStr">
        <is>
          <t>S020</t>
        </is>
      </c>
      <c r="B634" s="3" t="n">
        <v>46267</v>
      </c>
      <c r="C634" t="n">
        <v>16</v>
      </c>
      <c r="D634" t="inlineStr">
        <is>
          <t>Wednesday</t>
        </is>
      </c>
      <c r="E634" t="n">
        <v>13</v>
      </c>
      <c r="F634" t="b">
        <v>0</v>
      </c>
      <c r="G634" t="inlineStr">
        <is>
          <t>Light</t>
        </is>
      </c>
      <c r="H634" t="b">
        <v>0</v>
      </c>
    </row>
    <row r="635">
      <c r="A635" t="inlineStr">
        <is>
          <t>S020</t>
        </is>
      </c>
      <c r="B635" s="3" t="n">
        <v>46267</v>
      </c>
      <c r="C635" t="n">
        <v>17</v>
      </c>
      <c r="D635" t="inlineStr">
        <is>
          <t>Wednesday</t>
        </is>
      </c>
      <c r="E635" t="n">
        <v>19</v>
      </c>
      <c r="F635" t="b">
        <v>0</v>
      </c>
      <c r="G635" t="inlineStr">
        <is>
          <t>Heavy</t>
        </is>
      </c>
      <c r="H635" t="b">
        <v>0</v>
      </c>
    </row>
    <row r="636">
      <c r="A636" t="inlineStr">
        <is>
          <t>S020</t>
        </is>
      </c>
      <c r="B636" s="3" t="n">
        <v>46267</v>
      </c>
      <c r="C636" t="n">
        <v>18</v>
      </c>
      <c r="D636" t="inlineStr">
        <is>
          <t>Wednesday</t>
        </is>
      </c>
      <c r="E636" t="n">
        <v>20</v>
      </c>
      <c r="F636" t="b">
        <v>0</v>
      </c>
      <c r="H636" t="b">
        <v>0</v>
      </c>
    </row>
    <row r="637">
      <c r="A637" t="inlineStr">
        <is>
          <t>S020</t>
        </is>
      </c>
      <c r="B637" s="3" t="n">
        <v>46267</v>
      </c>
      <c r="C637" t="n">
        <v>19</v>
      </c>
      <c r="D637" t="inlineStr">
        <is>
          <t>Wednesday</t>
        </is>
      </c>
      <c r="E637" t="n">
        <v>26</v>
      </c>
      <c r="F637" t="b">
        <v>1</v>
      </c>
      <c r="H637" t="b">
        <v>0</v>
      </c>
    </row>
    <row r="638">
      <c r="A638" t="inlineStr">
        <is>
          <t>S020</t>
        </is>
      </c>
      <c r="B638" s="3" t="n">
        <v>46267</v>
      </c>
      <c r="C638" t="n">
        <v>20</v>
      </c>
      <c r="D638" t="inlineStr">
        <is>
          <t>Wednesday</t>
        </is>
      </c>
      <c r="E638" t="n">
        <v>23</v>
      </c>
      <c r="F638" t="b">
        <v>1</v>
      </c>
      <c r="H638" t="b">
        <v>0</v>
      </c>
    </row>
    <row r="639">
      <c r="A639" t="inlineStr">
        <is>
          <t>S020</t>
        </is>
      </c>
      <c r="B639" s="3" t="n">
        <v>46267</v>
      </c>
      <c r="C639" t="n">
        <v>21</v>
      </c>
      <c r="D639" t="inlineStr">
        <is>
          <t>Wednesday</t>
        </is>
      </c>
      <c r="E639" t="n">
        <v>25</v>
      </c>
      <c r="F639" t="b">
        <v>1</v>
      </c>
      <c r="H639" t="b">
        <v>0</v>
      </c>
    </row>
    <row r="640">
      <c r="A640" t="inlineStr">
        <is>
          <t>S020</t>
        </is>
      </c>
      <c r="B640" s="3" t="n">
        <v>46267</v>
      </c>
      <c r="C640" t="n">
        <v>22</v>
      </c>
      <c r="D640" t="inlineStr">
        <is>
          <t>Wednesday</t>
        </is>
      </c>
      <c r="E640" t="n">
        <v>17</v>
      </c>
      <c r="F640" t="b">
        <v>0</v>
      </c>
      <c r="H640" t="b">
        <v>0</v>
      </c>
    </row>
    <row r="641">
      <c r="A641" t="inlineStr">
        <is>
          <t>S020</t>
        </is>
      </c>
      <c r="B641" s="3" t="n">
        <v>46267</v>
      </c>
      <c r="C641" t="n">
        <v>23</v>
      </c>
      <c r="D641" t="inlineStr">
        <is>
          <t>Wednesday</t>
        </is>
      </c>
      <c r="E641" t="n">
        <v>8</v>
      </c>
      <c r="F641" t="b">
        <v>0</v>
      </c>
      <c r="H641" t="b">
        <v>0</v>
      </c>
    </row>
    <row r="642">
      <c r="A642" t="inlineStr">
        <is>
          <t>S001</t>
        </is>
      </c>
      <c r="B642" s="3" t="n">
        <v>46268</v>
      </c>
      <c r="C642" t="n">
        <v>8</v>
      </c>
      <c r="D642" t="inlineStr">
        <is>
          <t>Thursday</t>
        </is>
      </c>
      <c r="E642" t="n">
        <v>13</v>
      </c>
      <c r="F642" t="b">
        <v>0</v>
      </c>
      <c r="H642" t="b">
        <v>0</v>
      </c>
    </row>
    <row r="643">
      <c r="A643" t="inlineStr">
        <is>
          <t>S001</t>
        </is>
      </c>
      <c r="B643" s="3" t="n">
        <v>46268</v>
      </c>
      <c r="C643" t="n">
        <v>9</v>
      </c>
      <c r="D643" t="inlineStr">
        <is>
          <t>Thursday</t>
        </is>
      </c>
      <c r="E643" t="n">
        <v>12</v>
      </c>
      <c r="F643" t="b">
        <v>0</v>
      </c>
      <c r="H643" t="b">
        <v>1</v>
      </c>
    </row>
    <row r="644">
      <c r="A644" t="inlineStr">
        <is>
          <t>S001</t>
        </is>
      </c>
      <c r="B644" s="3" t="n">
        <v>46268</v>
      </c>
      <c r="C644" t="n">
        <v>10</v>
      </c>
      <c r="D644" t="inlineStr">
        <is>
          <t>Thursday</t>
        </is>
      </c>
      <c r="E644" t="n">
        <v>12</v>
      </c>
      <c r="F644" t="b">
        <v>0</v>
      </c>
      <c r="G644" t="inlineStr">
        <is>
          <t>Heavy</t>
        </is>
      </c>
      <c r="H644" t="b">
        <v>0</v>
      </c>
    </row>
    <row r="645">
      <c r="A645" t="inlineStr">
        <is>
          <t>S001</t>
        </is>
      </c>
      <c r="B645" s="3" t="n">
        <v>46268</v>
      </c>
      <c r="C645" t="n">
        <v>11</v>
      </c>
      <c r="D645" t="inlineStr">
        <is>
          <t>Thursday</t>
        </is>
      </c>
      <c r="E645" t="n">
        <v>19</v>
      </c>
      <c r="F645" t="b">
        <v>0</v>
      </c>
      <c r="H645" t="b">
        <v>0</v>
      </c>
    </row>
    <row r="646">
      <c r="A646" t="inlineStr">
        <is>
          <t>S001</t>
        </is>
      </c>
      <c r="B646" s="3" t="n">
        <v>46268</v>
      </c>
      <c r="C646" t="n">
        <v>12</v>
      </c>
      <c r="D646" t="inlineStr">
        <is>
          <t>Thursday</t>
        </is>
      </c>
      <c r="E646" t="n">
        <v>9</v>
      </c>
      <c r="F646" t="b">
        <v>0</v>
      </c>
      <c r="H646" t="b">
        <v>0</v>
      </c>
    </row>
    <row r="647">
      <c r="A647" t="inlineStr">
        <is>
          <t>S001</t>
        </is>
      </c>
      <c r="B647" s="3" t="n">
        <v>46268</v>
      </c>
      <c r="C647" t="n">
        <v>13</v>
      </c>
      <c r="D647" t="inlineStr">
        <is>
          <t>Thursday</t>
        </is>
      </c>
      <c r="E647" t="n">
        <v>17</v>
      </c>
      <c r="F647" t="b">
        <v>0</v>
      </c>
      <c r="H647" t="b">
        <v>0</v>
      </c>
    </row>
    <row r="648">
      <c r="A648" t="inlineStr">
        <is>
          <t>S001</t>
        </is>
      </c>
      <c r="B648" s="3" t="n">
        <v>46268</v>
      </c>
      <c r="C648" t="n">
        <v>14</v>
      </c>
      <c r="D648" t="inlineStr">
        <is>
          <t>Thursday</t>
        </is>
      </c>
      <c r="E648" t="n">
        <v>10</v>
      </c>
      <c r="F648" t="b">
        <v>0</v>
      </c>
      <c r="H648" t="b">
        <v>0</v>
      </c>
    </row>
    <row r="649">
      <c r="A649" t="inlineStr">
        <is>
          <t>S001</t>
        </is>
      </c>
      <c r="B649" s="3" t="n">
        <v>46268</v>
      </c>
      <c r="C649" t="n">
        <v>15</v>
      </c>
      <c r="D649" t="inlineStr">
        <is>
          <t>Thursday</t>
        </is>
      </c>
      <c r="E649" t="n">
        <v>9</v>
      </c>
      <c r="F649" t="b">
        <v>0</v>
      </c>
      <c r="G649" t="inlineStr">
        <is>
          <t>Light</t>
        </is>
      </c>
      <c r="H649" t="b">
        <v>0</v>
      </c>
    </row>
    <row r="650">
      <c r="A650" t="inlineStr">
        <is>
          <t>S001</t>
        </is>
      </c>
      <c r="B650" s="3" t="n">
        <v>46268</v>
      </c>
      <c r="C650" t="n">
        <v>16</v>
      </c>
      <c r="D650" t="inlineStr">
        <is>
          <t>Thursday</t>
        </is>
      </c>
      <c r="E650" t="n">
        <v>22</v>
      </c>
      <c r="F650" t="b">
        <v>0</v>
      </c>
      <c r="H650" t="b">
        <v>0</v>
      </c>
    </row>
    <row r="651">
      <c r="A651" t="inlineStr">
        <is>
          <t>S001</t>
        </is>
      </c>
      <c r="B651" s="3" t="n">
        <v>46268</v>
      </c>
      <c r="C651" t="n">
        <v>17</v>
      </c>
      <c r="D651" t="inlineStr">
        <is>
          <t>Thursday</t>
        </is>
      </c>
      <c r="E651" t="n">
        <v>17</v>
      </c>
      <c r="F651" t="b">
        <v>0</v>
      </c>
      <c r="H651" t="b">
        <v>0</v>
      </c>
    </row>
    <row r="652">
      <c r="A652" t="inlineStr">
        <is>
          <t>S001</t>
        </is>
      </c>
      <c r="B652" s="3" t="n">
        <v>46268</v>
      </c>
      <c r="C652" t="n">
        <v>18</v>
      </c>
      <c r="D652" t="inlineStr">
        <is>
          <t>Thursday</t>
        </is>
      </c>
      <c r="E652" t="n">
        <v>15</v>
      </c>
      <c r="F652" t="b">
        <v>0</v>
      </c>
      <c r="H652" t="b">
        <v>0</v>
      </c>
    </row>
    <row r="653">
      <c r="A653" t="inlineStr">
        <is>
          <t>S001</t>
        </is>
      </c>
      <c r="B653" s="3" t="n">
        <v>46268</v>
      </c>
      <c r="C653" t="n">
        <v>19</v>
      </c>
      <c r="D653" t="inlineStr">
        <is>
          <t>Thursday</t>
        </is>
      </c>
      <c r="E653" t="n">
        <v>28</v>
      </c>
      <c r="F653" t="b">
        <v>1</v>
      </c>
      <c r="H653" t="b">
        <v>0</v>
      </c>
    </row>
    <row r="654">
      <c r="A654" t="inlineStr">
        <is>
          <t>S001</t>
        </is>
      </c>
      <c r="B654" s="3" t="n">
        <v>46268</v>
      </c>
      <c r="C654" t="n">
        <v>20</v>
      </c>
      <c r="D654" t="inlineStr">
        <is>
          <t>Thursday</t>
        </is>
      </c>
      <c r="E654" t="n">
        <v>23</v>
      </c>
      <c r="F654" t="b">
        <v>1</v>
      </c>
      <c r="H654" t="b">
        <v>0</v>
      </c>
    </row>
    <row r="655">
      <c r="A655" t="inlineStr">
        <is>
          <t>S001</t>
        </is>
      </c>
      <c r="B655" s="3" t="n">
        <v>46268</v>
      </c>
      <c r="C655" t="n">
        <v>21</v>
      </c>
      <c r="D655" t="inlineStr">
        <is>
          <t>Thursday</t>
        </is>
      </c>
      <c r="E655" t="n">
        <v>21</v>
      </c>
      <c r="F655" t="b">
        <v>1</v>
      </c>
      <c r="H655" t="b">
        <v>0</v>
      </c>
    </row>
    <row r="656">
      <c r="A656" t="inlineStr">
        <is>
          <t>S001</t>
        </is>
      </c>
      <c r="B656" s="3" t="n">
        <v>46268</v>
      </c>
      <c r="C656" t="n">
        <v>22</v>
      </c>
      <c r="D656" t="inlineStr">
        <is>
          <t>Thursday</t>
        </is>
      </c>
      <c r="E656" t="n">
        <v>7</v>
      </c>
      <c r="F656" t="b">
        <v>0</v>
      </c>
      <c r="H656" t="b">
        <v>0</v>
      </c>
    </row>
    <row r="657">
      <c r="A657" t="inlineStr">
        <is>
          <t>S001</t>
        </is>
      </c>
      <c r="B657" s="3" t="n">
        <v>46268</v>
      </c>
      <c r="C657" t="n">
        <v>23</v>
      </c>
      <c r="D657" t="inlineStr">
        <is>
          <t>Thursday</t>
        </is>
      </c>
      <c r="E657" t="n">
        <v>11</v>
      </c>
      <c r="F657" t="b">
        <v>0</v>
      </c>
      <c r="H657" t="b">
        <v>0</v>
      </c>
    </row>
    <row r="658">
      <c r="A658" t="inlineStr">
        <is>
          <t>S002</t>
        </is>
      </c>
      <c r="B658" s="3" t="n">
        <v>46268</v>
      </c>
      <c r="C658" t="n">
        <v>8</v>
      </c>
      <c r="D658" t="inlineStr">
        <is>
          <t>Thursday</t>
        </is>
      </c>
      <c r="E658" t="n">
        <v>22</v>
      </c>
      <c r="F658" t="b">
        <v>0</v>
      </c>
      <c r="H658" t="b">
        <v>1</v>
      </c>
    </row>
    <row r="659">
      <c r="A659" t="inlineStr">
        <is>
          <t>S002</t>
        </is>
      </c>
      <c r="B659" s="3" t="n">
        <v>46268</v>
      </c>
      <c r="C659" t="n">
        <v>9</v>
      </c>
      <c r="D659" t="inlineStr">
        <is>
          <t>Thursday</t>
        </is>
      </c>
      <c r="E659" t="n">
        <v>20</v>
      </c>
      <c r="F659" t="b">
        <v>0</v>
      </c>
      <c r="H659" t="b">
        <v>0</v>
      </c>
    </row>
    <row r="660">
      <c r="A660" t="inlineStr">
        <is>
          <t>S002</t>
        </is>
      </c>
      <c r="B660" s="3" t="n">
        <v>46268</v>
      </c>
      <c r="C660" t="n">
        <v>10</v>
      </c>
      <c r="D660" t="inlineStr">
        <is>
          <t>Thursday</t>
        </is>
      </c>
      <c r="E660" t="n">
        <v>20</v>
      </c>
      <c r="F660" t="b">
        <v>0</v>
      </c>
      <c r="H660" t="b">
        <v>0</v>
      </c>
    </row>
    <row r="661">
      <c r="A661" t="inlineStr">
        <is>
          <t>S002</t>
        </is>
      </c>
      <c r="B661" s="3" t="n">
        <v>46268</v>
      </c>
      <c r="C661" t="n">
        <v>11</v>
      </c>
      <c r="D661" t="inlineStr">
        <is>
          <t>Thursday</t>
        </is>
      </c>
      <c r="E661" t="n">
        <v>38</v>
      </c>
      <c r="F661" t="b">
        <v>0</v>
      </c>
      <c r="H661" t="b">
        <v>0</v>
      </c>
    </row>
    <row r="662">
      <c r="A662" t="inlineStr">
        <is>
          <t>S002</t>
        </is>
      </c>
      <c r="B662" s="3" t="n">
        <v>46268</v>
      </c>
      <c r="C662" t="n">
        <v>12</v>
      </c>
      <c r="D662" t="inlineStr">
        <is>
          <t>Thursday</t>
        </is>
      </c>
      <c r="E662" t="n">
        <v>35</v>
      </c>
      <c r="F662" t="b">
        <v>0</v>
      </c>
      <c r="G662" t="inlineStr">
        <is>
          <t>Light</t>
        </is>
      </c>
      <c r="H662" t="b">
        <v>0</v>
      </c>
    </row>
    <row r="663">
      <c r="A663" t="inlineStr">
        <is>
          <t>S002</t>
        </is>
      </c>
      <c r="B663" s="3" t="n">
        <v>46268</v>
      </c>
      <c r="C663" t="n">
        <v>13</v>
      </c>
      <c r="D663" t="inlineStr">
        <is>
          <t>Thursday</t>
        </is>
      </c>
      <c r="E663" t="n">
        <v>38</v>
      </c>
      <c r="F663" t="b">
        <v>0</v>
      </c>
      <c r="H663" t="b">
        <v>0</v>
      </c>
    </row>
    <row r="664">
      <c r="A664" t="inlineStr">
        <is>
          <t>S002</t>
        </is>
      </c>
      <c r="B664" s="3" t="n">
        <v>46268</v>
      </c>
      <c r="C664" t="n">
        <v>14</v>
      </c>
      <c r="D664" t="inlineStr">
        <is>
          <t>Thursday</t>
        </is>
      </c>
      <c r="E664" t="n">
        <v>30</v>
      </c>
      <c r="F664" t="b">
        <v>0</v>
      </c>
      <c r="H664" t="b">
        <v>0</v>
      </c>
    </row>
    <row r="665">
      <c r="A665" t="inlineStr">
        <is>
          <t>S002</t>
        </is>
      </c>
      <c r="B665" s="3" t="n">
        <v>46268</v>
      </c>
      <c r="C665" t="n">
        <v>15</v>
      </c>
      <c r="D665" t="inlineStr">
        <is>
          <t>Thursday</t>
        </is>
      </c>
      <c r="E665" t="n">
        <v>25</v>
      </c>
      <c r="F665" t="b">
        <v>0</v>
      </c>
      <c r="H665" t="b">
        <v>0</v>
      </c>
    </row>
    <row r="666">
      <c r="A666" t="inlineStr">
        <is>
          <t>S002</t>
        </is>
      </c>
      <c r="B666" s="3" t="n">
        <v>46268</v>
      </c>
      <c r="C666" t="n">
        <v>16</v>
      </c>
      <c r="D666" t="inlineStr">
        <is>
          <t>Thursday</t>
        </is>
      </c>
      <c r="E666" t="n">
        <v>27</v>
      </c>
      <c r="F666" t="b">
        <v>0</v>
      </c>
      <c r="H666" t="b">
        <v>0</v>
      </c>
    </row>
    <row r="667">
      <c r="A667" t="inlineStr">
        <is>
          <t>S002</t>
        </is>
      </c>
      <c r="B667" s="3" t="n">
        <v>46268</v>
      </c>
      <c r="C667" t="n">
        <v>17</v>
      </c>
      <c r="D667" t="inlineStr">
        <is>
          <t>Thursday</t>
        </is>
      </c>
      <c r="E667" t="n">
        <v>34</v>
      </c>
      <c r="F667" t="b">
        <v>0</v>
      </c>
      <c r="G667" t="inlineStr">
        <is>
          <t>Light</t>
        </is>
      </c>
      <c r="H667" t="b">
        <v>0</v>
      </c>
    </row>
    <row r="668">
      <c r="A668" t="inlineStr">
        <is>
          <t>S002</t>
        </is>
      </c>
      <c r="B668" s="3" t="n">
        <v>46268</v>
      </c>
      <c r="C668" t="n">
        <v>18</v>
      </c>
      <c r="D668" t="inlineStr">
        <is>
          <t>Thursday</t>
        </is>
      </c>
      <c r="E668" t="n">
        <v>22</v>
      </c>
      <c r="F668" t="b">
        <v>0</v>
      </c>
      <c r="H668" t="b">
        <v>0</v>
      </c>
    </row>
    <row r="669">
      <c r="A669" t="inlineStr">
        <is>
          <t>S002</t>
        </is>
      </c>
      <c r="B669" s="3" t="n">
        <v>46268</v>
      </c>
      <c r="C669" t="n">
        <v>19</v>
      </c>
      <c r="D669" t="inlineStr">
        <is>
          <t>Thursday</t>
        </is>
      </c>
      <c r="E669" t="n">
        <v>42</v>
      </c>
      <c r="F669" t="b">
        <v>1</v>
      </c>
      <c r="H669" t="b">
        <v>1</v>
      </c>
    </row>
    <row r="670">
      <c r="A670" t="inlineStr">
        <is>
          <t>S002</t>
        </is>
      </c>
      <c r="B670" s="3" t="n">
        <v>46268</v>
      </c>
      <c r="C670" t="n">
        <v>20</v>
      </c>
      <c r="D670" t="inlineStr">
        <is>
          <t>Thursday</t>
        </is>
      </c>
      <c r="E670" t="n">
        <v>47</v>
      </c>
      <c r="F670" t="b">
        <v>1</v>
      </c>
      <c r="H670" t="b">
        <v>0</v>
      </c>
    </row>
    <row r="671">
      <c r="A671" t="inlineStr">
        <is>
          <t>S002</t>
        </is>
      </c>
      <c r="B671" s="3" t="n">
        <v>46268</v>
      </c>
      <c r="C671" t="n">
        <v>21</v>
      </c>
      <c r="D671" t="inlineStr">
        <is>
          <t>Thursday</t>
        </is>
      </c>
      <c r="E671" t="n">
        <v>47</v>
      </c>
      <c r="F671" t="b">
        <v>1</v>
      </c>
      <c r="G671" t="inlineStr">
        <is>
          <t>Light</t>
        </is>
      </c>
      <c r="H671" t="b">
        <v>0</v>
      </c>
    </row>
    <row r="672">
      <c r="A672" t="inlineStr">
        <is>
          <t>S002</t>
        </is>
      </c>
      <c r="B672" s="3" t="n">
        <v>46268</v>
      </c>
      <c r="C672" t="n">
        <v>22</v>
      </c>
      <c r="D672" t="inlineStr">
        <is>
          <t>Thursday</t>
        </is>
      </c>
      <c r="E672" t="n">
        <v>28</v>
      </c>
      <c r="F672" t="b">
        <v>0</v>
      </c>
      <c r="H672" t="b">
        <v>1</v>
      </c>
    </row>
    <row r="673">
      <c r="A673" t="inlineStr">
        <is>
          <t>S002</t>
        </is>
      </c>
      <c r="B673" s="3" t="n">
        <v>46268</v>
      </c>
      <c r="C673" t="n">
        <v>23</v>
      </c>
      <c r="D673" t="inlineStr">
        <is>
          <t>Thursday</t>
        </is>
      </c>
      <c r="E673" t="n">
        <v>30</v>
      </c>
      <c r="F673" t="b">
        <v>0</v>
      </c>
      <c r="H673" t="b">
        <v>0</v>
      </c>
    </row>
    <row r="674">
      <c r="A674" t="inlineStr">
        <is>
          <t>S003</t>
        </is>
      </c>
      <c r="B674" s="3" t="n">
        <v>46268</v>
      </c>
      <c r="C674" t="n">
        <v>8</v>
      </c>
      <c r="D674" t="inlineStr">
        <is>
          <t>Thursday</t>
        </is>
      </c>
      <c r="E674" t="n">
        <v>32</v>
      </c>
      <c r="F674" t="b">
        <v>0</v>
      </c>
      <c r="H674" t="b">
        <v>1</v>
      </c>
    </row>
    <row r="675">
      <c r="A675" t="inlineStr">
        <is>
          <t>S003</t>
        </is>
      </c>
      <c r="B675" s="3" t="n">
        <v>46268</v>
      </c>
      <c r="C675" t="n">
        <v>9</v>
      </c>
      <c r="D675" t="inlineStr">
        <is>
          <t>Thursday</t>
        </is>
      </c>
      <c r="E675" t="n">
        <v>31</v>
      </c>
      <c r="F675" t="b">
        <v>0</v>
      </c>
      <c r="H675" t="b">
        <v>0</v>
      </c>
    </row>
    <row r="676">
      <c r="A676" t="inlineStr">
        <is>
          <t>S003</t>
        </is>
      </c>
      <c r="B676" s="3" t="n">
        <v>46268</v>
      </c>
      <c r="C676" t="n">
        <v>10</v>
      </c>
      <c r="D676" t="inlineStr">
        <is>
          <t>Thursday</t>
        </is>
      </c>
      <c r="E676" t="n">
        <v>22</v>
      </c>
      <c r="F676" t="b">
        <v>0</v>
      </c>
      <c r="H676" t="b">
        <v>0</v>
      </c>
    </row>
    <row r="677">
      <c r="A677" t="inlineStr">
        <is>
          <t>S003</t>
        </is>
      </c>
      <c r="B677" s="3" t="n">
        <v>46268</v>
      </c>
      <c r="C677" t="n">
        <v>11</v>
      </c>
      <c r="D677" t="inlineStr">
        <is>
          <t>Thursday</t>
        </is>
      </c>
      <c r="E677" t="n">
        <v>40</v>
      </c>
      <c r="F677" t="b">
        <v>0</v>
      </c>
      <c r="H677" t="b">
        <v>0</v>
      </c>
    </row>
    <row r="678">
      <c r="A678" t="inlineStr">
        <is>
          <t>S003</t>
        </is>
      </c>
      <c r="B678" s="3" t="n">
        <v>46268</v>
      </c>
      <c r="C678" t="n">
        <v>12</v>
      </c>
      <c r="D678" t="inlineStr">
        <is>
          <t>Thursday</t>
        </is>
      </c>
      <c r="E678" t="n">
        <v>36</v>
      </c>
      <c r="F678" t="b">
        <v>0</v>
      </c>
      <c r="G678" t="inlineStr">
        <is>
          <t>Light</t>
        </is>
      </c>
      <c r="H678" t="b">
        <v>0</v>
      </c>
    </row>
    <row r="679">
      <c r="A679" t="inlineStr">
        <is>
          <t>S003</t>
        </is>
      </c>
      <c r="B679" s="3" t="n">
        <v>46268</v>
      </c>
      <c r="C679" t="n">
        <v>13</v>
      </c>
      <c r="D679" t="inlineStr">
        <is>
          <t>Thursday</t>
        </is>
      </c>
      <c r="E679" t="n">
        <v>33</v>
      </c>
      <c r="F679" t="b">
        <v>0</v>
      </c>
      <c r="G679" t="inlineStr">
        <is>
          <t>Light</t>
        </is>
      </c>
      <c r="H679" t="b">
        <v>0</v>
      </c>
    </row>
    <row r="680">
      <c r="A680" t="inlineStr">
        <is>
          <t>S003</t>
        </is>
      </c>
      <c r="B680" s="3" t="n">
        <v>46268</v>
      </c>
      <c r="C680" t="n">
        <v>14</v>
      </c>
      <c r="D680" t="inlineStr">
        <is>
          <t>Thursday</t>
        </is>
      </c>
      <c r="E680" t="n">
        <v>32</v>
      </c>
      <c r="F680" t="b">
        <v>0</v>
      </c>
      <c r="H680" t="b">
        <v>0</v>
      </c>
    </row>
    <row r="681">
      <c r="A681" t="inlineStr">
        <is>
          <t>S003</t>
        </is>
      </c>
      <c r="B681" s="3" t="n">
        <v>46268</v>
      </c>
      <c r="C681" t="n">
        <v>15</v>
      </c>
      <c r="D681" t="inlineStr">
        <is>
          <t>Thursday</t>
        </is>
      </c>
      <c r="E681" t="n">
        <v>32</v>
      </c>
      <c r="F681" t="b">
        <v>0</v>
      </c>
      <c r="H681" t="b">
        <v>0</v>
      </c>
    </row>
    <row r="682">
      <c r="A682" t="inlineStr">
        <is>
          <t>S003</t>
        </is>
      </c>
      <c r="B682" s="3" t="n">
        <v>46268</v>
      </c>
      <c r="C682" t="n">
        <v>16</v>
      </c>
      <c r="D682" t="inlineStr">
        <is>
          <t>Thursday</t>
        </is>
      </c>
      <c r="E682" t="n">
        <v>50</v>
      </c>
      <c r="F682" t="b">
        <v>0</v>
      </c>
      <c r="G682" t="inlineStr">
        <is>
          <t>Light</t>
        </is>
      </c>
      <c r="H682" t="b">
        <v>0</v>
      </c>
    </row>
    <row r="683">
      <c r="A683" t="inlineStr">
        <is>
          <t>S003</t>
        </is>
      </c>
      <c r="B683" s="3" t="n">
        <v>46268</v>
      </c>
      <c r="C683" t="n">
        <v>17</v>
      </c>
      <c r="D683" t="inlineStr">
        <is>
          <t>Thursday</t>
        </is>
      </c>
      <c r="E683" t="n">
        <v>35</v>
      </c>
      <c r="F683" t="b">
        <v>0</v>
      </c>
      <c r="H683" t="b">
        <v>0</v>
      </c>
    </row>
    <row r="684">
      <c r="A684" t="inlineStr">
        <is>
          <t>S003</t>
        </is>
      </c>
      <c r="B684" s="3" t="n">
        <v>46268</v>
      </c>
      <c r="C684" t="n">
        <v>18</v>
      </c>
      <c r="D684" t="inlineStr">
        <is>
          <t>Thursday</t>
        </is>
      </c>
      <c r="E684" t="n">
        <v>38</v>
      </c>
      <c r="F684" t="b">
        <v>0</v>
      </c>
      <c r="H684" t="b">
        <v>0</v>
      </c>
    </row>
    <row r="685">
      <c r="A685" t="inlineStr">
        <is>
          <t>S003</t>
        </is>
      </c>
      <c r="B685" s="3" t="n">
        <v>46268</v>
      </c>
      <c r="C685" t="n">
        <v>19</v>
      </c>
      <c r="D685" t="inlineStr">
        <is>
          <t>Thursday</t>
        </is>
      </c>
      <c r="E685" t="n">
        <v>74</v>
      </c>
      <c r="F685" t="b">
        <v>1</v>
      </c>
      <c r="G685" t="inlineStr">
        <is>
          <t>Heavy</t>
        </is>
      </c>
      <c r="H685" t="b">
        <v>0</v>
      </c>
    </row>
    <row r="686">
      <c r="A686" t="inlineStr">
        <is>
          <t>S003</t>
        </is>
      </c>
      <c r="B686" s="3" t="n">
        <v>46268</v>
      </c>
      <c r="C686" t="n">
        <v>20</v>
      </c>
      <c r="D686" t="inlineStr">
        <is>
          <t>Thursday</t>
        </is>
      </c>
      <c r="E686" t="n">
        <v>57</v>
      </c>
      <c r="F686" t="b">
        <v>1</v>
      </c>
      <c r="H686" t="b">
        <v>0</v>
      </c>
    </row>
    <row r="687">
      <c r="A687" t="inlineStr">
        <is>
          <t>S003</t>
        </is>
      </c>
      <c r="B687" s="3" t="n">
        <v>46268</v>
      </c>
      <c r="C687" t="n">
        <v>21</v>
      </c>
      <c r="D687" t="inlineStr">
        <is>
          <t>Thursday</t>
        </is>
      </c>
      <c r="E687" t="n">
        <v>56</v>
      </c>
      <c r="F687" t="b">
        <v>1</v>
      </c>
      <c r="H687" t="b">
        <v>0</v>
      </c>
    </row>
    <row r="688">
      <c r="A688" t="inlineStr">
        <is>
          <t>S003</t>
        </is>
      </c>
      <c r="B688" s="3" t="n">
        <v>46268</v>
      </c>
      <c r="C688" t="n">
        <v>22</v>
      </c>
      <c r="D688" t="inlineStr">
        <is>
          <t>Thursday</t>
        </is>
      </c>
      <c r="E688" t="n">
        <v>46</v>
      </c>
      <c r="F688" t="b">
        <v>0</v>
      </c>
      <c r="H688" t="b">
        <v>0</v>
      </c>
    </row>
    <row r="689">
      <c r="A689" t="inlineStr">
        <is>
          <t>S003</t>
        </is>
      </c>
      <c r="B689" s="3" t="n">
        <v>46268</v>
      </c>
      <c r="C689" t="n">
        <v>23</v>
      </c>
      <c r="D689" t="inlineStr">
        <is>
          <t>Thursday</t>
        </is>
      </c>
      <c r="E689" t="n">
        <v>53</v>
      </c>
      <c r="F689" t="b">
        <v>0</v>
      </c>
      <c r="H689" t="b">
        <v>0</v>
      </c>
    </row>
    <row r="690">
      <c r="A690" t="inlineStr">
        <is>
          <t>S004</t>
        </is>
      </c>
      <c r="B690" s="3" t="n">
        <v>46268</v>
      </c>
      <c r="C690" t="n">
        <v>8</v>
      </c>
      <c r="D690" t="inlineStr">
        <is>
          <t>Thursday</t>
        </is>
      </c>
      <c r="E690" t="n">
        <v>29</v>
      </c>
      <c r="F690" t="b">
        <v>0</v>
      </c>
      <c r="H690" t="b">
        <v>0</v>
      </c>
    </row>
    <row r="691">
      <c r="A691" t="inlineStr">
        <is>
          <t>S004</t>
        </is>
      </c>
      <c r="B691" s="3" t="n">
        <v>46268</v>
      </c>
      <c r="C691" t="n">
        <v>9</v>
      </c>
      <c r="D691" t="inlineStr">
        <is>
          <t>Thursday</t>
        </is>
      </c>
      <c r="E691" t="n">
        <v>23</v>
      </c>
      <c r="F691" t="b">
        <v>0</v>
      </c>
      <c r="H691" t="b">
        <v>0</v>
      </c>
    </row>
    <row r="692">
      <c r="A692" t="inlineStr">
        <is>
          <t>S004</t>
        </is>
      </c>
      <c r="B692" s="3" t="n">
        <v>46268</v>
      </c>
      <c r="C692" t="n">
        <v>10</v>
      </c>
      <c r="D692" t="inlineStr">
        <is>
          <t>Thursday</t>
        </is>
      </c>
      <c r="E692" t="n">
        <v>31</v>
      </c>
      <c r="F692" t="b">
        <v>0</v>
      </c>
      <c r="H692" t="b">
        <v>0</v>
      </c>
    </row>
    <row r="693">
      <c r="A693" t="inlineStr">
        <is>
          <t>S004</t>
        </is>
      </c>
      <c r="B693" s="3" t="n">
        <v>46268</v>
      </c>
      <c r="C693" t="n">
        <v>11</v>
      </c>
      <c r="D693" t="inlineStr">
        <is>
          <t>Thursday</t>
        </is>
      </c>
      <c r="E693" t="n">
        <v>55</v>
      </c>
      <c r="F693" t="b">
        <v>0</v>
      </c>
      <c r="H693" t="b">
        <v>0</v>
      </c>
    </row>
    <row r="694">
      <c r="A694" t="inlineStr">
        <is>
          <t>S004</t>
        </is>
      </c>
      <c r="B694" s="3" t="n">
        <v>46268</v>
      </c>
      <c r="C694" t="n">
        <v>12</v>
      </c>
      <c r="D694" t="inlineStr">
        <is>
          <t>Thursday</t>
        </is>
      </c>
      <c r="E694" t="n">
        <v>41</v>
      </c>
      <c r="F694" t="b">
        <v>0</v>
      </c>
      <c r="G694" t="inlineStr">
        <is>
          <t>Light</t>
        </is>
      </c>
      <c r="H694" t="b">
        <v>0</v>
      </c>
    </row>
    <row r="695">
      <c r="A695" t="inlineStr">
        <is>
          <t>S004</t>
        </is>
      </c>
      <c r="B695" s="3" t="n">
        <v>46268</v>
      </c>
      <c r="C695" t="n">
        <v>13</v>
      </c>
      <c r="D695" t="inlineStr">
        <is>
          <t>Thursday</t>
        </is>
      </c>
      <c r="E695" t="n">
        <v>34</v>
      </c>
      <c r="F695" t="b">
        <v>0</v>
      </c>
      <c r="H695" t="b">
        <v>0</v>
      </c>
    </row>
    <row r="696">
      <c r="A696" t="inlineStr">
        <is>
          <t>S004</t>
        </is>
      </c>
      <c r="B696" s="3" t="n">
        <v>46268</v>
      </c>
      <c r="C696" t="n">
        <v>14</v>
      </c>
      <c r="D696" t="inlineStr">
        <is>
          <t>Thursday</t>
        </is>
      </c>
      <c r="E696" t="n">
        <v>34</v>
      </c>
      <c r="F696" t="b">
        <v>0</v>
      </c>
      <c r="H696" t="b">
        <v>0</v>
      </c>
    </row>
    <row r="697">
      <c r="A697" t="inlineStr">
        <is>
          <t>S004</t>
        </is>
      </c>
      <c r="B697" s="3" t="n">
        <v>46268</v>
      </c>
      <c r="C697" t="n">
        <v>15</v>
      </c>
      <c r="D697" t="inlineStr">
        <is>
          <t>Thursday</t>
        </is>
      </c>
      <c r="E697" t="n">
        <v>42</v>
      </c>
      <c r="F697" t="b">
        <v>0</v>
      </c>
      <c r="H697" t="b">
        <v>0</v>
      </c>
    </row>
    <row r="698">
      <c r="A698" t="inlineStr">
        <is>
          <t>S004</t>
        </is>
      </c>
      <c r="B698" s="3" t="n">
        <v>46268</v>
      </c>
      <c r="C698" t="n">
        <v>16</v>
      </c>
      <c r="D698" t="inlineStr">
        <is>
          <t>Thursday</t>
        </is>
      </c>
      <c r="E698" t="n">
        <v>43</v>
      </c>
      <c r="F698" t="b">
        <v>0</v>
      </c>
      <c r="H698" t="b">
        <v>0</v>
      </c>
    </row>
    <row r="699">
      <c r="A699" t="inlineStr">
        <is>
          <t>S004</t>
        </is>
      </c>
      <c r="B699" s="3" t="n">
        <v>46268</v>
      </c>
      <c r="C699" t="n">
        <v>17</v>
      </c>
      <c r="D699" t="inlineStr">
        <is>
          <t>Thursday</t>
        </is>
      </c>
      <c r="E699" t="n">
        <v>38</v>
      </c>
      <c r="F699" t="b">
        <v>0</v>
      </c>
      <c r="H699" t="b">
        <v>0</v>
      </c>
    </row>
    <row r="700">
      <c r="A700" t="inlineStr">
        <is>
          <t>S004</t>
        </is>
      </c>
      <c r="B700" s="3" t="n">
        <v>46268</v>
      </c>
      <c r="C700" t="n">
        <v>18</v>
      </c>
      <c r="D700" t="inlineStr">
        <is>
          <t>Thursday</t>
        </is>
      </c>
      <c r="E700" t="n">
        <v>36</v>
      </c>
      <c r="F700" t="b">
        <v>0</v>
      </c>
      <c r="H700" t="b">
        <v>0</v>
      </c>
    </row>
    <row r="701">
      <c r="A701" t="inlineStr">
        <is>
          <t>S004</t>
        </is>
      </c>
      <c r="B701" s="3" t="n">
        <v>46268</v>
      </c>
      <c r="C701" t="n">
        <v>19</v>
      </c>
      <c r="D701" t="inlineStr">
        <is>
          <t>Thursday</t>
        </is>
      </c>
      <c r="E701" t="n">
        <v>60</v>
      </c>
      <c r="F701" t="b">
        <v>1</v>
      </c>
      <c r="G701" t="inlineStr">
        <is>
          <t>Light</t>
        </is>
      </c>
      <c r="H701" t="b">
        <v>0</v>
      </c>
    </row>
    <row r="702">
      <c r="A702" t="inlineStr">
        <is>
          <t>S004</t>
        </is>
      </c>
      <c r="B702" s="3" t="n">
        <v>46268</v>
      </c>
      <c r="C702" t="n">
        <v>20</v>
      </c>
      <c r="D702" t="inlineStr">
        <is>
          <t>Thursday</t>
        </is>
      </c>
      <c r="E702" t="n">
        <v>45</v>
      </c>
      <c r="F702" t="b">
        <v>1</v>
      </c>
      <c r="G702" t="inlineStr">
        <is>
          <t>Heavy</t>
        </is>
      </c>
      <c r="H702" t="b">
        <v>0</v>
      </c>
    </row>
    <row r="703">
      <c r="A703" t="inlineStr">
        <is>
          <t>S004</t>
        </is>
      </c>
      <c r="B703" s="3" t="n">
        <v>46268</v>
      </c>
      <c r="C703" t="n">
        <v>21</v>
      </c>
      <c r="D703" t="inlineStr">
        <is>
          <t>Thursday</t>
        </is>
      </c>
      <c r="E703" t="n">
        <v>72</v>
      </c>
      <c r="F703" t="b">
        <v>1</v>
      </c>
      <c r="H703" t="b">
        <v>0</v>
      </c>
    </row>
    <row r="704">
      <c r="A704" t="inlineStr">
        <is>
          <t>S004</t>
        </is>
      </c>
      <c r="B704" s="3" t="n">
        <v>46268</v>
      </c>
      <c r="C704" t="n">
        <v>22</v>
      </c>
      <c r="D704" t="inlineStr">
        <is>
          <t>Thursday</t>
        </is>
      </c>
      <c r="E704" t="n">
        <v>33</v>
      </c>
      <c r="F704" t="b">
        <v>0</v>
      </c>
      <c r="H704" t="b">
        <v>0</v>
      </c>
    </row>
    <row r="705">
      <c r="A705" t="inlineStr">
        <is>
          <t>S004</t>
        </is>
      </c>
      <c r="B705" s="3" t="n">
        <v>46268</v>
      </c>
      <c r="C705" t="n">
        <v>23</v>
      </c>
      <c r="D705" t="inlineStr">
        <is>
          <t>Thursday</t>
        </is>
      </c>
      <c r="E705" t="n">
        <v>37</v>
      </c>
      <c r="F705" t="b">
        <v>0</v>
      </c>
      <c r="H705" t="b">
        <v>0</v>
      </c>
    </row>
    <row r="706">
      <c r="A706" t="inlineStr">
        <is>
          <t>S005</t>
        </is>
      </c>
      <c r="B706" s="3" t="n">
        <v>46268</v>
      </c>
      <c r="C706" t="n">
        <v>8</v>
      </c>
      <c r="D706" t="inlineStr">
        <is>
          <t>Thursday</t>
        </is>
      </c>
      <c r="E706" t="n">
        <v>8</v>
      </c>
      <c r="F706" t="b">
        <v>0</v>
      </c>
      <c r="G706" t="inlineStr">
        <is>
          <t>Light</t>
        </is>
      </c>
      <c r="H706" t="b">
        <v>0</v>
      </c>
    </row>
    <row r="707">
      <c r="A707" t="inlineStr">
        <is>
          <t>S005</t>
        </is>
      </c>
      <c r="B707" s="3" t="n">
        <v>46268</v>
      </c>
      <c r="C707" t="n">
        <v>9</v>
      </c>
      <c r="D707" t="inlineStr">
        <is>
          <t>Thursday</t>
        </is>
      </c>
      <c r="E707" t="n">
        <v>7</v>
      </c>
      <c r="F707" t="b">
        <v>0</v>
      </c>
      <c r="G707" t="inlineStr">
        <is>
          <t>Light</t>
        </is>
      </c>
      <c r="H707" t="b">
        <v>0</v>
      </c>
    </row>
    <row r="708">
      <c r="A708" t="inlineStr">
        <is>
          <t>S005</t>
        </is>
      </c>
      <c r="B708" s="3" t="n">
        <v>46268</v>
      </c>
      <c r="C708" t="n">
        <v>10</v>
      </c>
      <c r="D708" t="inlineStr">
        <is>
          <t>Thursday</t>
        </is>
      </c>
      <c r="E708" t="n">
        <v>17</v>
      </c>
      <c r="F708" t="b">
        <v>0</v>
      </c>
      <c r="H708" t="b">
        <v>0</v>
      </c>
    </row>
    <row r="709">
      <c r="A709" t="inlineStr">
        <is>
          <t>S005</t>
        </is>
      </c>
      <c r="B709" s="3" t="n">
        <v>46268</v>
      </c>
      <c r="C709" t="n">
        <v>11</v>
      </c>
      <c r="D709" t="inlineStr">
        <is>
          <t>Thursday</t>
        </is>
      </c>
      <c r="E709" t="n">
        <v>13</v>
      </c>
      <c r="F709" t="b">
        <v>0</v>
      </c>
      <c r="H709" t="b">
        <v>0</v>
      </c>
    </row>
    <row r="710">
      <c r="A710" t="inlineStr">
        <is>
          <t>S005</t>
        </is>
      </c>
      <c r="B710" s="3" t="n">
        <v>46268</v>
      </c>
      <c r="C710" t="n">
        <v>12</v>
      </c>
      <c r="D710" t="inlineStr">
        <is>
          <t>Thursday</t>
        </is>
      </c>
      <c r="E710" t="n">
        <v>12</v>
      </c>
      <c r="F710" t="b">
        <v>0</v>
      </c>
      <c r="H710" t="b">
        <v>0</v>
      </c>
    </row>
    <row r="711">
      <c r="A711" t="inlineStr">
        <is>
          <t>S005</t>
        </is>
      </c>
      <c r="B711" s="3" t="n">
        <v>46268</v>
      </c>
      <c r="C711" t="n">
        <v>13</v>
      </c>
      <c r="D711" t="inlineStr">
        <is>
          <t>Thursday</t>
        </is>
      </c>
      <c r="E711" t="n">
        <v>10</v>
      </c>
      <c r="F711" t="b">
        <v>0</v>
      </c>
      <c r="G711" t="inlineStr">
        <is>
          <t>Light</t>
        </is>
      </c>
      <c r="H711" t="b">
        <v>0</v>
      </c>
    </row>
    <row r="712">
      <c r="A712" t="inlineStr">
        <is>
          <t>S005</t>
        </is>
      </c>
      <c r="B712" s="3" t="n">
        <v>46268</v>
      </c>
      <c r="C712" t="n">
        <v>14</v>
      </c>
      <c r="D712" t="inlineStr">
        <is>
          <t>Thursday</t>
        </is>
      </c>
      <c r="E712" t="n">
        <v>6</v>
      </c>
      <c r="F712" t="b">
        <v>0</v>
      </c>
      <c r="H712" t="b">
        <v>0</v>
      </c>
    </row>
    <row r="713">
      <c r="A713" t="inlineStr">
        <is>
          <t>S005</t>
        </is>
      </c>
      <c r="B713" s="3" t="n">
        <v>46268</v>
      </c>
      <c r="C713" t="n">
        <v>15</v>
      </c>
      <c r="D713" t="inlineStr">
        <is>
          <t>Thursday</t>
        </is>
      </c>
      <c r="E713" t="n">
        <v>9</v>
      </c>
      <c r="F713" t="b">
        <v>0</v>
      </c>
      <c r="H713" t="b">
        <v>0</v>
      </c>
    </row>
    <row r="714">
      <c r="A714" t="inlineStr">
        <is>
          <t>S005</t>
        </is>
      </c>
      <c r="B714" s="3" t="n">
        <v>46268</v>
      </c>
      <c r="C714" t="n">
        <v>16</v>
      </c>
      <c r="D714" t="inlineStr">
        <is>
          <t>Thursday</t>
        </is>
      </c>
      <c r="E714" t="n">
        <v>15</v>
      </c>
      <c r="F714" t="b">
        <v>0</v>
      </c>
      <c r="H714" t="b">
        <v>1</v>
      </c>
    </row>
    <row r="715">
      <c r="A715" t="inlineStr">
        <is>
          <t>S005</t>
        </is>
      </c>
      <c r="B715" s="3" t="n">
        <v>46268</v>
      </c>
      <c r="C715" t="n">
        <v>17</v>
      </c>
      <c r="D715" t="inlineStr">
        <is>
          <t>Thursday</t>
        </is>
      </c>
      <c r="E715" t="n">
        <v>12</v>
      </c>
      <c r="F715" t="b">
        <v>0</v>
      </c>
      <c r="G715" t="inlineStr">
        <is>
          <t>Light</t>
        </is>
      </c>
      <c r="H715" t="b">
        <v>0</v>
      </c>
    </row>
    <row r="716">
      <c r="A716" t="inlineStr">
        <is>
          <t>S005</t>
        </is>
      </c>
      <c r="B716" s="3" t="n">
        <v>46268</v>
      </c>
      <c r="C716" t="n">
        <v>18</v>
      </c>
      <c r="D716" t="inlineStr">
        <is>
          <t>Thursday</t>
        </is>
      </c>
      <c r="E716" t="n">
        <v>9</v>
      </c>
      <c r="F716" t="b">
        <v>0</v>
      </c>
      <c r="H716" t="b">
        <v>0</v>
      </c>
    </row>
    <row r="717">
      <c r="A717" t="inlineStr">
        <is>
          <t>S005</t>
        </is>
      </c>
      <c r="B717" s="3" t="n">
        <v>46268</v>
      </c>
      <c r="C717" t="n">
        <v>19</v>
      </c>
      <c r="D717" t="inlineStr">
        <is>
          <t>Thursday</t>
        </is>
      </c>
      <c r="E717" t="n">
        <v>24</v>
      </c>
      <c r="F717" t="b">
        <v>1</v>
      </c>
      <c r="H717" t="b">
        <v>0</v>
      </c>
    </row>
    <row r="718">
      <c r="A718" t="inlineStr">
        <is>
          <t>S005</t>
        </is>
      </c>
      <c r="B718" s="3" t="n">
        <v>46268</v>
      </c>
      <c r="C718" t="n">
        <v>20</v>
      </c>
      <c r="D718" t="inlineStr">
        <is>
          <t>Thursday</t>
        </is>
      </c>
      <c r="E718" t="n">
        <v>23</v>
      </c>
      <c r="F718" t="b">
        <v>1</v>
      </c>
      <c r="H718" t="b">
        <v>0</v>
      </c>
    </row>
    <row r="719">
      <c r="A719" t="inlineStr">
        <is>
          <t>S005</t>
        </is>
      </c>
      <c r="B719" s="3" t="n">
        <v>46268</v>
      </c>
      <c r="C719" t="n">
        <v>21</v>
      </c>
      <c r="D719" t="inlineStr">
        <is>
          <t>Thursday</t>
        </is>
      </c>
      <c r="E719" t="n">
        <v>19</v>
      </c>
      <c r="F719" t="b">
        <v>1</v>
      </c>
      <c r="H719" t="b">
        <v>0</v>
      </c>
    </row>
    <row r="720">
      <c r="A720" t="inlineStr">
        <is>
          <t>S005</t>
        </is>
      </c>
      <c r="B720" s="3" t="n">
        <v>46268</v>
      </c>
      <c r="C720" t="n">
        <v>22</v>
      </c>
      <c r="D720" t="inlineStr">
        <is>
          <t>Thursday</t>
        </is>
      </c>
      <c r="E720" t="n">
        <v>16</v>
      </c>
      <c r="F720" t="b">
        <v>0</v>
      </c>
      <c r="H720" t="b">
        <v>0</v>
      </c>
    </row>
    <row r="721">
      <c r="A721" t="inlineStr">
        <is>
          <t>S005</t>
        </is>
      </c>
      <c r="B721" s="3" t="n">
        <v>46268</v>
      </c>
      <c r="C721" t="n">
        <v>23</v>
      </c>
      <c r="D721" t="inlineStr">
        <is>
          <t>Thursday</t>
        </is>
      </c>
      <c r="E721" t="n">
        <v>16</v>
      </c>
      <c r="F721" t="b">
        <v>0</v>
      </c>
      <c r="H721" t="b">
        <v>0</v>
      </c>
    </row>
    <row r="722">
      <c r="A722" t="inlineStr">
        <is>
          <t>S006</t>
        </is>
      </c>
      <c r="B722" s="3" t="n">
        <v>46268</v>
      </c>
      <c r="C722" t="n">
        <v>8</v>
      </c>
      <c r="D722" t="inlineStr">
        <is>
          <t>Thursday</t>
        </is>
      </c>
      <c r="E722" t="n">
        <v>16</v>
      </c>
      <c r="F722" t="b">
        <v>0</v>
      </c>
      <c r="H722" t="b">
        <v>0</v>
      </c>
    </row>
    <row r="723">
      <c r="A723" t="inlineStr">
        <is>
          <t>S006</t>
        </is>
      </c>
      <c r="B723" s="3" t="n">
        <v>46268</v>
      </c>
      <c r="C723" t="n">
        <v>9</v>
      </c>
      <c r="D723" t="inlineStr">
        <is>
          <t>Thursday</t>
        </is>
      </c>
      <c r="E723" t="n">
        <v>13</v>
      </c>
      <c r="F723" t="b">
        <v>0</v>
      </c>
      <c r="G723" t="inlineStr">
        <is>
          <t>Light</t>
        </is>
      </c>
      <c r="H723" t="b">
        <v>0</v>
      </c>
    </row>
    <row r="724">
      <c r="A724" t="inlineStr">
        <is>
          <t>S006</t>
        </is>
      </c>
      <c r="B724" s="3" t="n">
        <v>46268</v>
      </c>
      <c r="C724" t="n">
        <v>10</v>
      </c>
      <c r="D724" t="inlineStr">
        <is>
          <t>Thursday</t>
        </is>
      </c>
      <c r="E724" t="n">
        <v>25</v>
      </c>
      <c r="F724" t="b">
        <v>0</v>
      </c>
      <c r="H724" t="b">
        <v>0</v>
      </c>
    </row>
    <row r="725">
      <c r="A725" t="inlineStr">
        <is>
          <t>S006</t>
        </is>
      </c>
      <c r="B725" s="3" t="n">
        <v>46268</v>
      </c>
      <c r="C725" t="n">
        <v>11</v>
      </c>
      <c r="D725" t="inlineStr">
        <is>
          <t>Thursday</t>
        </is>
      </c>
      <c r="E725" t="n">
        <v>22</v>
      </c>
      <c r="F725" t="b">
        <v>0</v>
      </c>
      <c r="G725" t="inlineStr">
        <is>
          <t>Light</t>
        </is>
      </c>
      <c r="H725" t="b">
        <v>0</v>
      </c>
    </row>
    <row r="726">
      <c r="A726" t="inlineStr">
        <is>
          <t>S006</t>
        </is>
      </c>
      <c r="B726" s="3" t="n">
        <v>46268</v>
      </c>
      <c r="C726" t="n">
        <v>12</v>
      </c>
      <c r="D726" t="inlineStr">
        <is>
          <t>Thursday</t>
        </is>
      </c>
      <c r="E726" t="n">
        <v>24</v>
      </c>
      <c r="F726" t="b">
        <v>0</v>
      </c>
      <c r="G726" t="inlineStr">
        <is>
          <t>Light</t>
        </is>
      </c>
      <c r="H726" t="b">
        <v>0</v>
      </c>
    </row>
    <row r="727">
      <c r="A727" t="inlineStr">
        <is>
          <t>S006</t>
        </is>
      </c>
      <c r="B727" s="3" t="n">
        <v>46268</v>
      </c>
      <c r="C727" t="n">
        <v>13</v>
      </c>
      <c r="D727" t="inlineStr">
        <is>
          <t>Thursday</t>
        </is>
      </c>
      <c r="E727" t="n">
        <v>19</v>
      </c>
      <c r="F727" t="b">
        <v>0</v>
      </c>
      <c r="H727" t="b">
        <v>0</v>
      </c>
    </row>
    <row r="728">
      <c r="A728" t="inlineStr">
        <is>
          <t>S006</t>
        </is>
      </c>
      <c r="B728" s="3" t="n">
        <v>46268</v>
      </c>
      <c r="C728" t="n">
        <v>14</v>
      </c>
      <c r="D728" t="inlineStr">
        <is>
          <t>Thursday</t>
        </is>
      </c>
      <c r="E728" t="n">
        <v>14</v>
      </c>
      <c r="F728" t="b">
        <v>0</v>
      </c>
      <c r="H728" t="b">
        <v>0</v>
      </c>
    </row>
    <row r="729">
      <c r="A729" t="inlineStr">
        <is>
          <t>S006</t>
        </is>
      </c>
      <c r="B729" s="3" t="n">
        <v>46268</v>
      </c>
      <c r="C729" t="n">
        <v>15</v>
      </c>
      <c r="D729" t="inlineStr">
        <is>
          <t>Thursday</t>
        </is>
      </c>
      <c r="E729" t="n">
        <v>19</v>
      </c>
      <c r="F729" t="b">
        <v>0</v>
      </c>
      <c r="H729" t="b">
        <v>0</v>
      </c>
    </row>
    <row r="730">
      <c r="A730" t="inlineStr">
        <is>
          <t>S006</t>
        </is>
      </c>
      <c r="B730" s="3" t="n">
        <v>46268</v>
      </c>
      <c r="C730" t="n">
        <v>16</v>
      </c>
      <c r="D730" t="inlineStr">
        <is>
          <t>Thursday</t>
        </is>
      </c>
      <c r="E730" t="n">
        <v>34</v>
      </c>
      <c r="F730" t="b">
        <v>0</v>
      </c>
      <c r="H730" t="b">
        <v>0</v>
      </c>
    </row>
    <row r="731">
      <c r="A731" t="inlineStr">
        <is>
          <t>S006</t>
        </is>
      </c>
      <c r="B731" s="3" t="n">
        <v>46268</v>
      </c>
      <c r="C731" t="n">
        <v>17</v>
      </c>
      <c r="D731" t="inlineStr">
        <is>
          <t>Thursday</t>
        </is>
      </c>
      <c r="E731" t="n">
        <v>37</v>
      </c>
      <c r="F731" t="b">
        <v>0</v>
      </c>
      <c r="H731" t="b">
        <v>0</v>
      </c>
    </row>
    <row r="732">
      <c r="A732" t="inlineStr">
        <is>
          <t>S006</t>
        </is>
      </c>
      <c r="B732" s="3" t="n">
        <v>46268</v>
      </c>
      <c r="C732" t="n">
        <v>18</v>
      </c>
      <c r="D732" t="inlineStr">
        <is>
          <t>Thursday</t>
        </is>
      </c>
      <c r="E732" t="n">
        <v>26</v>
      </c>
      <c r="F732" t="b">
        <v>0</v>
      </c>
      <c r="H732" t="b">
        <v>0</v>
      </c>
    </row>
    <row r="733">
      <c r="A733" t="inlineStr">
        <is>
          <t>S006</t>
        </is>
      </c>
      <c r="B733" s="3" t="n">
        <v>46268</v>
      </c>
      <c r="C733" t="n">
        <v>19</v>
      </c>
      <c r="D733" t="inlineStr">
        <is>
          <t>Thursday</t>
        </is>
      </c>
      <c r="E733" t="n">
        <v>42</v>
      </c>
      <c r="F733" t="b">
        <v>1</v>
      </c>
      <c r="H733" t="b">
        <v>0</v>
      </c>
    </row>
    <row r="734">
      <c r="A734" t="inlineStr">
        <is>
          <t>S006</t>
        </is>
      </c>
      <c r="B734" s="3" t="n">
        <v>46268</v>
      </c>
      <c r="C734" t="n">
        <v>20</v>
      </c>
      <c r="D734" t="inlineStr">
        <is>
          <t>Thursday</t>
        </is>
      </c>
      <c r="E734" t="n">
        <v>31</v>
      </c>
      <c r="F734" t="b">
        <v>1</v>
      </c>
      <c r="H734" t="b">
        <v>0</v>
      </c>
    </row>
    <row r="735">
      <c r="A735" t="inlineStr">
        <is>
          <t>S006</t>
        </is>
      </c>
      <c r="B735" s="3" t="n">
        <v>46268</v>
      </c>
      <c r="C735" t="n">
        <v>21</v>
      </c>
      <c r="D735" t="inlineStr">
        <is>
          <t>Thursday</t>
        </is>
      </c>
      <c r="E735" t="n">
        <v>39</v>
      </c>
      <c r="F735" t="b">
        <v>1</v>
      </c>
      <c r="H735" t="b">
        <v>0</v>
      </c>
    </row>
    <row r="736">
      <c r="A736" t="inlineStr">
        <is>
          <t>S006</t>
        </is>
      </c>
      <c r="B736" s="3" t="n">
        <v>46268</v>
      </c>
      <c r="C736" t="n">
        <v>22</v>
      </c>
      <c r="D736" t="inlineStr">
        <is>
          <t>Thursday</t>
        </is>
      </c>
      <c r="E736" t="n">
        <v>28</v>
      </c>
      <c r="F736" t="b">
        <v>0</v>
      </c>
      <c r="H736" t="b">
        <v>0</v>
      </c>
    </row>
    <row r="737">
      <c r="A737" t="inlineStr">
        <is>
          <t>S006</t>
        </is>
      </c>
      <c r="B737" s="3" t="n">
        <v>46268</v>
      </c>
      <c r="C737" t="n">
        <v>23</v>
      </c>
      <c r="D737" t="inlineStr">
        <is>
          <t>Thursday</t>
        </is>
      </c>
      <c r="E737" t="n">
        <v>20</v>
      </c>
      <c r="F737" t="b">
        <v>0</v>
      </c>
      <c r="H737" t="b">
        <v>0</v>
      </c>
    </row>
    <row r="738">
      <c r="A738" t="inlineStr">
        <is>
          <t>S007</t>
        </is>
      </c>
      <c r="B738" s="3" t="n">
        <v>46268</v>
      </c>
      <c r="C738" t="n">
        <v>8</v>
      </c>
      <c r="D738" t="inlineStr">
        <is>
          <t>Thursday</t>
        </is>
      </c>
      <c r="E738" t="n">
        <v>32</v>
      </c>
      <c r="F738" t="b">
        <v>0</v>
      </c>
      <c r="H738" t="b">
        <v>0</v>
      </c>
    </row>
    <row r="739">
      <c r="A739" t="inlineStr">
        <is>
          <t>S007</t>
        </is>
      </c>
      <c r="B739" s="3" t="n">
        <v>46268</v>
      </c>
      <c r="C739" t="n">
        <v>9</v>
      </c>
      <c r="D739" t="inlineStr">
        <is>
          <t>Thursday</t>
        </is>
      </c>
      <c r="E739" t="n">
        <v>19</v>
      </c>
      <c r="F739" t="b">
        <v>0</v>
      </c>
      <c r="H739" t="b">
        <v>0</v>
      </c>
    </row>
    <row r="740">
      <c r="A740" t="inlineStr">
        <is>
          <t>S007</t>
        </is>
      </c>
      <c r="B740" s="3" t="n">
        <v>46268</v>
      </c>
      <c r="C740" t="n">
        <v>10</v>
      </c>
      <c r="D740" t="inlineStr">
        <is>
          <t>Thursday</t>
        </is>
      </c>
      <c r="E740" t="n">
        <v>27</v>
      </c>
      <c r="F740" t="b">
        <v>0</v>
      </c>
      <c r="H740" t="b">
        <v>0</v>
      </c>
    </row>
    <row r="741">
      <c r="A741" t="inlineStr">
        <is>
          <t>S007</t>
        </is>
      </c>
      <c r="B741" s="3" t="n">
        <v>46268</v>
      </c>
      <c r="C741" t="n">
        <v>11</v>
      </c>
      <c r="D741" t="inlineStr">
        <is>
          <t>Thursday</t>
        </is>
      </c>
      <c r="E741" t="n">
        <v>45</v>
      </c>
      <c r="F741" t="b">
        <v>0</v>
      </c>
      <c r="G741" t="inlineStr">
        <is>
          <t>Light</t>
        </is>
      </c>
      <c r="H741" t="b">
        <v>0</v>
      </c>
    </row>
    <row r="742">
      <c r="A742" t="inlineStr">
        <is>
          <t>S007</t>
        </is>
      </c>
      <c r="B742" s="3" t="n">
        <v>46268</v>
      </c>
      <c r="C742" t="n">
        <v>12</v>
      </c>
      <c r="D742" t="inlineStr">
        <is>
          <t>Thursday</t>
        </is>
      </c>
      <c r="E742" t="n">
        <v>49</v>
      </c>
      <c r="F742" t="b">
        <v>0</v>
      </c>
      <c r="H742" t="b">
        <v>0</v>
      </c>
    </row>
    <row r="743">
      <c r="A743" t="inlineStr">
        <is>
          <t>S007</t>
        </is>
      </c>
      <c r="B743" s="3" t="n">
        <v>46268</v>
      </c>
      <c r="C743" t="n">
        <v>13</v>
      </c>
      <c r="D743" t="inlineStr">
        <is>
          <t>Thursday</t>
        </is>
      </c>
      <c r="E743" t="n">
        <v>41</v>
      </c>
      <c r="F743" t="b">
        <v>0</v>
      </c>
      <c r="H743" t="b">
        <v>0</v>
      </c>
    </row>
    <row r="744">
      <c r="A744" t="inlineStr">
        <is>
          <t>S007</t>
        </is>
      </c>
      <c r="B744" s="3" t="n">
        <v>46268</v>
      </c>
      <c r="C744" t="n">
        <v>14</v>
      </c>
      <c r="D744" t="inlineStr">
        <is>
          <t>Thursday</t>
        </is>
      </c>
      <c r="E744" t="n">
        <v>32</v>
      </c>
      <c r="F744" t="b">
        <v>0</v>
      </c>
      <c r="G744" t="inlineStr">
        <is>
          <t>Light</t>
        </is>
      </c>
      <c r="H744" t="b">
        <v>0</v>
      </c>
    </row>
    <row r="745">
      <c r="A745" t="inlineStr">
        <is>
          <t>S007</t>
        </is>
      </c>
      <c r="B745" s="3" t="n">
        <v>46268</v>
      </c>
      <c r="C745" t="n">
        <v>15</v>
      </c>
      <c r="D745" t="inlineStr">
        <is>
          <t>Thursday</t>
        </is>
      </c>
      <c r="E745" t="n">
        <v>22</v>
      </c>
      <c r="F745" t="b">
        <v>0</v>
      </c>
      <c r="H745" t="b">
        <v>0</v>
      </c>
    </row>
    <row r="746">
      <c r="A746" t="inlineStr">
        <is>
          <t>S007</t>
        </is>
      </c>
      <c r="B746" s="3" t="n">
        <v>46268</v>
      </c>
      <c r="C746" t="n">
        <v>16</v>
      </c>
      <c r="D746" t="inlineStr">
        <is>
          <t>Thursday</t>
        </is>
      </c>
      <c r="E746" t="n">
        <v>33</v>
      </c>
      <c r="F746" t="b">
        <v>0</v>
      </c>
      <c r="G746" t="inlineStr">
        <is>
          <t>Light</t>
        </is>
      </c>
      <c r="H746" t="b">
        <v>1</v>
      </c>
    </row>
    <row r="747">
      <c r="A747" t="inlineStr">
        <is>
          <t>S007</t>
        </is>
      </c>
      <c r="B747" s="3" t="n">
        <v>46268</v>
      </c>
      <c r="C747" t="n">
        <v>17</v>
      </c>
      <c r="D747" t="inlineStr">
        <is>
          <t>Thursday</t>
        </is>
      </c>
      <c r="E747" t="n">
        <v>41</v>
      </c>
      <c r="F747" t="b">
        <v>0</v>
      </c>
      <c r="H747" t="b">
        <v>0</v>
      </c>
    </row>
    <row r="748">
      <c r="A748" t="inlineStr">
        <is>
          <t>S007</t>
        </is>
      </c>
      <c r="B748" s="3" t="n">
        <v>46268</v>
      </c>
      <c r="C748" t="n">
        <v>18</v>
      </c>
      <c r="D748" t="inlineStr">
        <is>
          <t>Thursday</t>
        </is>
      </c>
      <c r="E748" t="n">
        <v>45</v>
      </c>
      <c r="F748" t="b">
        <v>0</v>
      </c>
      <c r="G748" t="inlineStr">
        <is>
          <t>Light</t>
        </is>
      </c>
      <c r="H748" t="b">
        <v>0</v>
      </c>
    </row>
    <row r="749">
      <c r="A749" t="inlineStr">
        <is>
          <t>S007</t>
        </is>
      </c>
      <c r="B749" s="3" t="n">
        <v>46268</v>
      </c>
      <c r="C749" t="n">
        <v>19</v>
      </c>
      <c r="D749" t="inlineStr">
        <is>
          <t>Thursday</t>
        </is>
      </c>
      <c r="E749" t="n">
        <v>58</v>
      </c>
      <c r="F749" t="b">
        <v>1</v>
      </c>
      <c r="H749" t="b">
        <v>0</v>
      </c>
    </row>
    <row r="750">
      <c r="A750" t="inlineStr">
        <is>
          <t>S007</t>
        </is>
      </c>
      <c r="B750" s="3" t="n">
        <v>46268</v>
      </c>
      <c r="C750" t="n">
        <v>20</v>
      </c>
      <c r="D750" t="inlineStr">
        <is>
          <t>Thursday</t>
        </is>
      </c>
      <c r="E750" t="n">
        <v>52</v>
      </c>
      <c r="F750" t="b">
        <v>1</v>
      </c>
      <c r="H750" t="b">
        <v>0</v>
      </c>
    </row>
    <row r="751">
      <c r="A751" t="inlineStr">
        <is>
          <t>S007</t>
        </is>
      </c>
      <c r="B751" s="3" t="n">
        <v>46268</v>
      </c>
      <c r="C751" t="n">
        <v>21</v>
      </c>
      <c r="D751" t="inlineStr">
        <is>
          <t>Thursday</t>
        </is>
      </c>
      <c r="E751" t="n">
        <v>59</v>
      </c>
      <c r="F751" t="b">
        <v>1</v>
      </c>
      <c r="H751" t="b">
        <v>0</v>
      </c>
    </row>
    <row r="752">
      <c r="A752" t="inlineStr">
        <is>
          <t>S007</t>
        </is>
      </c>
      <c r="B752" s="3" t="n">
        <v>46268</v>
      </c>
      <c r="C752" t="n">
        <v>22</v>
      </c>
      <c r="D752" t="inlineStr">
        <is>
          <t>Thursday</t>
        </is>
      </c>
      <c r="E752" t="n">
        <v>42</v>
      </c>
      <c r="F752" t="b">
        <v>0</v>
      </c>
      <c r="H752" t="b">
        <v>0</v>
      </c>
    </row>
    <row r="753">
      <c r="A753" t="inlineStr">
        <is>
          <t>S007</t>
        </is>
      </c>
      <c r="B753" s="3" t="n">
        <v>46268</v>
      </c>
      <c r="C753" t="n">
        <v>23</v>
      </c>
      <c r="D753" t="inlineStr">
        <is>
          <t>Thursday</t>
        </is>
      </c>
      <c r="E753" t="n">
        <v>45</v>
      </c>
      <c r="F753" t="b">
        <v>0</v>
      </c>
      <c r="H753" t="b">
        <v>0</v>
      </c>
    </row>
    <row r="754">
      <c r="A754" t="inlineStr">
        <is>
          <t>S008</t>
        </is>
      </c>
      <c r="B754" s="3" t="n">
        <v>46268</v>
      </c>
      <c r="C754" t="n">
        <v>8</v>
      </c>
      <c r="D754" t="inlineStr">
        <is>
          <t>Thursday</t>
        </is>
      </c>
      <c r="E754" t="n">
        <v>13</v>
      </c>
      <c r="F754" t="b">
        <v>0</v>
      </c>
      <c r="H754" t="b">
        <v>0</v>
      </c>
    </row>
    <row r="755">
      <c r="A755" t="inlineStr">
        <is>
          <t>S008</t>
        </is>
      </c>
      <c r="B755" s="3" t="n">
        <v>46268</v>
      </c>
      <c r="C755" t="n">
        <v>9</v>
      </c>
      <c r="D755" t="inlineStr">
        <is>
          <t>Thursday</t>
        </is>
      </c>
      <c r="E755" t="n">
        <v>15</v>
      </c>
      <c r="F755" t="b">
        <v>0</v>
      </c>
      <c r="H755" t="b">
        <v>0</v>
      </c>
    </row>
    <row r="756">
      <c r="A756" t="inlineStr">
        <is>
          <t>S008</t>
        </is>
      </c>
      <c r="B756" s="3" t="n">
        <v>46268</v>
      </c>
      <c r="C756" t="n">
        <v>10</v>
      </c>
      <c r="D756" t="inlineStr">
        <is>
          <t>Thursday</t>
        </is>
      </c>
      <c r="E756" t="n">
        <v>19</v>
      </c>
      <c r="F756" t="b">
        <v>0</v>
      </c>
      <c r="H756" t="b">
        <v>0</v>
      </c>
    </row>
    <row r="757">
      <c r="A757" t="inlineStr">
        <is>
          <t>S008</t>
        </is>
      </c>
      <c r="B757" s="3" t="n">
        <v>46268</v>
      </c>
      <c r="C757" t="n">
        <v>11</v>
      </c>
      <c r="D757" t="inlineStr">
        <is>
          <t>Thursday</t>
        </is>
      </c>
      <c r="E757" t="n">
        <v>22</v>
      </c>
      <c r="F757" t="b">
        <v>0</v>
      </c>
      <c r="G757" t="inlineStr">
        <is>
          <t>Light</t>
        </is>
      </c>
      <c r="H757" t="b">
        <v>0</v>
      </c>
    </row>
    <row r="758">
      <c r="A758" t="inlineStr">
        <is>
          <t>S008</t>
        </is>
      </c>
      <c r="B758" s="3" t="n">
        <v>46268</v>
      </c>
      <c r="C758" t="n">
        <v>12</v>
      </c>
      <c r="D758" t="inlineStr">
        <is>
          <t>Thursday</t>
        </is>
      </c>
      <c r="E758" t="n">
        <v>29</v>
      </c>
      <c r="F758" t="b">
        <v>0</v>
      </c>
      <c r="G758" t="inlineStr">
        <is>
          <t>Light</t>
        </is>
      </c>
      <c r="H758" t="b">
        <v>0</v>
      </c>
    </row>
    <row r="759">
      <c r="A759" t="inlineStr">
        <is>
          <t>S008</t>
        </is>
      </c>
      <c r="B759" s="3" t="n">
        <v>46268</v>
      </c>
      <c r="C759" t="n">
        <v>13</v>
      </c>
      <c r="D759" t="inlineStr">
        <is>
          <t>Thursday</t>
        </is>
      </c>
      <c r="E759" t="n">
        <v>24</v>
      </c>
      <c r="F759" t="b">
        <v>0</v>
      </c>
      <c r="H759" t="b">
        <v>0</v>
      </c>
    </row>
    <row r="760">
      <c r="A760" t="inlineStr">
        <is>
          <t>S008</t>
        </is>
      </c>
      <c r="B760" s="3" t="n">
        <v>46268</v>
      </c>
      <c r="C760" t="n">
        <v>14</v>
      </c>
      <c r="D760" t="inlineStr">
        <is>
          <t>Thursday</t>
        </is>
      </c>
      <c r="E760" t="n">
        <v>14</v>
      </c>
      <c r="F760" t="b">
        <v>0</v>
      </c>
      <c r="H760" t="b">
        <v>0</v>
      </c>
    </row>
    <row r="761">
      <c r="A761" t="inlineStr">
        <is>
          <t>S008</t>
        </is>
      </c>
      <c r="B761" s="3" t="n">
        <v>46268</v>
      </c>
      <c r="C761" t="n">
        <v>15</v>
      </c>
      <c r="D761" t="inlineStr">
        <is>
          <t>Thursday</t>
        </is>
      </c>
      <c r="E761" t="n">
        <v>18</v>
      </c>
      <c r="F761" t="b">
        <v>0</v>
      </c>
      <c r="H761" t="b">
        <v>0</v>
      </c>
    </row>
    <row r="762">
      <c r="A762" t="inlineStr">
        <is>
          <t>S008</t>
        </is>
      </c>
      <c r="B762" s="3" t="n">
        <v>46268</v>
      </c>
      <c r="C762" t="n">
        <v>16</v>
      </c>
      <c r="D762" t="inlineStr">
        <is>
          <t>Thursday</t>
        </is>
      </c>
      <c r="E762" t="n">
        <v>19</v>
      </c>
      <c r="F762" t="b">
        <v>0</v>
      </c>
      <c r="H762" t="b">
        <v>0</v>
      </c>
    </row>
    <row r="763">
      <c r="A763" t="inlineStr">
        <is>
          <t>S008</t>
        </is>
      </c>
      <c r="B763" s="3" t="n">
        <v>46268</v>
      </c>
      <c r="C763" t="n">
        <v>17</v>
      </c>
      <c r="D763" t="inlineStr">
        <is>
          <t>Thursday</t>
        </is>
      </c>
      <c r="E763" t="n">
        <v>26</v>
      </c>
      <c r="F763" t="b">
        <v>0</v>
      </c>
      <c r="G763" t="inlineStr">
        <is>
          <t>Light</t>
        </is>
      </c>
      <c r="H763" t="b">
        <v>0</v>
      </c>
    </row>
    <row r="764">
      <c r="A764" t="inlineStr">
        <is>
          <t>S008</t>
        </is>
      </c>
      <c r="B764" s="3" t="n">
        <v>46268</v>
      </c>
      <c r="C764" t="n">
        <v>18</v>
      </c>
      <c r="D764" t="inlineStr">
        <is>
          <t>Thursday</t>
        </is>
      </c>
      <c r="E764" t="n">
        <v>16</v>
      </c>
      <c r="F764" t="b">
        <v>0</v>
      </c>
      <c r="H764" t="b">
        <v>0</v>
      </c>
    </row>
    <row r="765">
      <c r="A765" t="inlineStr">
        <is>
          <t>S008</t>
        </is>
      </c>
      <c r="B765" s="3" t="n">
        <v>46268</v>
      </c>
      <c r="C765" t="n">
        <v>19</v>
      </c>
      <c r="D765" t="inlineStr">
        <is>
          <t>Thursday</t>
        </is>
      </c>
      <c r="E765" t="n">
        <v>34</v>
      </c>
      <c r="F765" t="b">
        <v>1</v>
      </c>
      <c r="G765" t="inlineStr">
        <is>
          <t>Light</t>
        </is>
      </c>
      <c r="H765" t="b">
        <v>0</v>
      </c>
    </row>
    <row r="766">
      <c r="A766" t="inlineStr">
        <is>
          <t>S008</t>
        </is>
      </c>
      <c r="B766" s="3" t="n">
        <v>46268</v>
      </c>
      <c r="C766" t="n">
        <v>20</v>
      </c>
      <c r="D766" t="inlineStr">
        <is>
          <t>Thursday</t>
        </is>
      </c>
      <c r="E766" t="n">
        <v>34</v>
      </c>
      <c r="F766" t="b">
        <v>1</v>
      </c>
      <c r="G766" t="inlineStr">
        <is>
          <t>Light</t>
        </is>
      </c>
      <c r="H766" t="b">
        <v>0</v>
      </c>
    </row>
    <row r="767">
      <c r="A767" t="inlineStr">
        <is>
          <t>S008</t>
        </is>
      </c>
      <c r="B767" s="3" t="n">
        <v>46268</v>
      </c>
      <c r="C767" t="n">
        <v>21</v>
      </c>
      <c r="D767" t="inlineStr">
        <is>
          <t>Thursday</t>
        </is>
      </c>
      <c r="E767" t="n">
        <v>37</v>
      </c>
      <c r="F767" t="b">
        <v>1</v>
      </c>
      <c r="G767" t="inlineStr">
        <is>
          <t>Light</t>
        </is>
      </c>
      <c r="H767" t="b">
        <v>0</v>
      </c>
    </row>
    <row r="768">
      <c r="A768" t="inlineStr">
        <is>
          <t>S008</t>
        </is>
      </c>
      <c r="B768" s="3" t="n">
        <v>46268</v>
      </c>
      <c r="C768" t="n">
        <v>22</v>
      </c>
      <c r="D768" t="inlineStr">
        <is>
          <t>Thursday</t>
        </is>
      </c>
      <c r="E768" t="n">
        <v>18</v>
      </c>
      <c r="F768" t="b">
        <v>0</v>
      </c>
      <c r="H768" t="b">
        <v>1</v>
      </c>
    </row>
    <row r="769">
      <c r="A769" t="inlineStr">
        <is>
          <t>S008</t>
        </is>
      </c>
      <c r="B769" s="3" t="n">
        <v>46268</v>
      </c>
      <c r="C769" t="n">
        <v>23</v>
      </c>
      <c r="D769" t="inlineStr">
        <is>
          <t>Thursday</t>
        </is>
      </c>
      <c r="E769" t="n">
        <v>18</v>
      </c>
      <c r="F769" t="b">
        <v>0</v>
      </c>
      <c r="G769" t="inlineStr">
        <is>
          <t>Light</t>
        </is>
      </c>
      <c r="H769" t="b">
        <v>0</v>
      </c>
    </row>
    <row r="770">
      <c r="A770" t="inlineStr">
        <is>
          <t>S009</t>
        </is>
      </c>
      <c r="B770" s="3" t="n">
        <v>46268</v>
      </c>
      <c r="C770" t="n">
        <v>8</v>
      </c>
      <c r="D770" t="inlineStr">
        <is>
          <t>Thursday</t>
        </is>
      </c>
      <c r="E770" t="n">
        <v>21</v>
      </c>
      <c r="F770" t="b">
        <v>0</v>
      </c>
      <c r="H770" t="b">
        <v>0</v>
      </c>
    </row>
    <row r="771">
      <c r="A771" t="inlineStr">
        <is>
          <t>S009</t>
        </is>
      </c>
      <c r="B771" s="3" t="n">
        <v>46268</v>
      </c>
      <c r="C771" t="n">
        <v>9</v>
      </c>
      <c r="D771" t="inlineStr">
        <is>
          <t>Thursday</t>
        </is>
      </c>
      <c r="E771" t="n">
        <v>13</v>
      </c>
      <c r="F771" t="b">
        <v>0</v>
      </c>
      <c r="G771" t="inlineStr">
        <is>
          <t>Light</t>
        </is>
      </c>
      <c r="H771" t="b">
        <v>0</v>
      </c>
    </row>
    <row r="772">
      <c r="A772" t="inlineStr">
        <is>
          <t>S009</t>
        </is>
      </c>
      <c r="B772" s="3" t="n">
        <v>46268</v>
      </c>
      <c r="C772" t="n">
        <v>10</v>
      </c>
      <c r="D772" t="inlineStr">
        <is>
          <t>Thursday</t>
        </is>
      </c>
      <c r="E772" t="n">
        <v>22</v>
      </c>
      <c r="F772" t="b">
        <v>0</v>
      </c>
      <c r="H772" t="b">
        <v>0</v>
      </c>
    </row>
    <row r="773">
      <c r="A773" t="inlineStr">
        <is>
          <t>S009</t>
        </is>
      </c>
      <c r="B773" s="3" t="n">
        <v>46268</v>
      </c>
      <c r="C773" t="n">
        <v>11</v>
      </c>
      <c r="D773" t="inlineStr">
        <is>
          <t>Thursday</t>
        </is>
      </c>
      <c r="E773" t="n">
        <v>31</v>
      </c>
      <c r="F773" t="b">
        <v>0</v>
      </c>
      <c r="H773" t="b">
        <v>0</v>
      </c>
    </row>
    <row r="774">
      <c r="A774" t="inlineStr">
        <is>
          <t>S009</t>
        </is>
      </c>
      <c r="B774" s="3" t="n">
        <v>46268</v>
      </c>
      <c r="C774" t="n">
        <v>12</v>
      </c>
      <c r="D774" t="inlineStr">
        <is>
          <t>Thursday</t>
        </is>
      </c>
      <c r="E774" t="n">
        <v>28</v>
      </c>
      <c r="F774" t="b">
        <v>0</v>
      </c>
      <c r="H774" t="b">
        <v>0</v>
      </c>
    </row>
    <row r="775">
      <c r="A775" t="inlineStr">
        <is>
          <t>S009</t>
        </is>
      </c>
      <c r="B775" s="3" t="n">
        <v>46268</v>
      </c>
      <c r="C775" t="n">
        <v>13</v>
      </c>
      <c r="D775" t="inlineStr">
        <is>
          <t>Thursday</t>
        </is>
      </c>
      <c r="E775" t="n">
        <v>24</v>
      </c>
      <c r="F775" t="b">
        <v>0</v>
      </c>
      <c r="G775" t="inlineStr">
        <is>
          <t>Heavy</t>
        </is>
      </c>
      <c r="H775" t="b">
        <v>0</v>
      </c>
    </row>
    <row r="776">
      <c r="A776" t="inlineStr">
        <is>
          <t>S009</t>
        </is>
      </c>
      <c r="B776" s="3" t="n">
        <v>46268</v>
      </c>
      <c r="C776" t="n">
        <v>14</v>
      </c>
      <c r="D776" t="inlineStr">
        <is>
          <t>Thursday</t>
        </is>
      </c>
      <c r="E776" t="n">
        <v>19</v>
      </c>
      <c r="F776" t="b">
        <v>0</v>
      </c>
      <c r="H776" t="b">
        <v>0</v>
      </c>
    </row>
    <row r="777">
      <c r="A777" t="inlineStr">
        <is>
          <t>S009</t>
        </is>
      </c>
      <c r="B777" s="3" t="n">
        <v>46268</v>
      </c>
      <c r="C777" t="n">
        <v>15</v>
      </c>
      <c r="D777" t="inlineStr">
        <is>
          <t>Thursday</t>
        </is>
      </c>
      <c r="E777" t="n">
        <v>23</v>
      </c>
      <c r="F777" t="b">
        <v>0</v>
      </c>
      <c r="H777" t="b">
        <v>0</v>
      </c>
    </row>
    <row r="778">
      <c r="A778" t="inlineStr">
        <is>
          <t>S009</t>
        </is>
      </c>
      <c r="B778" s="3" t="n">
        <v>46268</v>
      </c>
      <c r="C778" t="n">
        <v>16</v>
      </c>
      <c r="D778" t="inlineStr">
        <is>
          <t>Thursday</t>
        </is>
      </c>
      <c r="E778" t="n">
        <v>28</v>
      </c>
      <c r="F778" t="b">
        <v>0</v>
      </c>
      <c r="H778" t="b">
        <v>0</v>
      </c>
    </row>
    <row r="779">
      <c r="A779" t="inlineStr">
        <is>
          <t>S009</t>
        </is>
      </c>
      <c r="B779" s="3" t="n">
        <v>46268</v>
      </c>
      <c r="C779" t="n">
        <v>17</v>
      </c>
      <c r="D779" t="inlineStr">
        <is>
          <t>Thursday</t>
        </is>
      </c>
      <c r="E779" t="n">
        <v>25</v>
      </c>
      <c r="F779" t="b">
        <v>0</v>
      </c>
      <c r="H779" t="b">
        <v>0</v>
      </c>
    </row>
    <row r="780">
      <c r="A780" t="inlineStr">
        <is>
          <t>S009</t>
        </is>
      </c>
      <c r="B780" s="3" t="n">
        <v>46268</v>
      </c>
      <c r="C780" t="n">
        <v>18</v>
      </c>
      <c r="D780" t="inlineStr">
        <is>
          <t>Thursday</t>
        </is>
      </c>
      <c r="E780" t="n">
        <v>33</v>
      </c>
      <c r="F780" t="b">
        <v>0</v>
      </c>
      <c r="G780" t="inlineStr">
        <is>
          <t>Light</t>
        </is>
      </c>
      <c r="H780" t="b">
        <v>0</v>
      </c>
    </row>
    <row r="781">
      <c r="A781" t="inlineStr">
        <is>
          <t>S009</t>
        </is>
      </c>
      <c r="B781" s="3" t="n">
        <v>46268</v>
      </c>
      <c r="C781" t="n">
        <v>19</v>
      </c>
      <c r="D781" t="inlineStr">
        <is>
          <t>Thursday</t>
        </is>
      </c>
      <c r="E781" t="n">
        <v>37</v>
      </c>
      <c r="F781" t="b">
        <v>1</v>
      </c>
      <c r="G781" t="inlineStr">
        <is>
          <t>Heavy</t>
        </is>
      </c>
      <c r="H781" t="b">
        <v>0</v>
      </c>
    </row>
    <row r="782">
      <c r="A782" t="inlineStr">
        <is>
          <t>S009</t>
        </is>
      </c>
      <c r="B782" s="3" t="n">
        <v>46268</v>
      </c>
      <c r="C782" t="n">
        <v>20</v>
      </c>
      <c r="D782" t="inlineStr">
        <is>
          <t>Thursday</t>
        </is>
      </c>
      <c r="E782" t="n">
        <v>31</v>
      </c>
      <c r="F782" t="b">
        <v>1</v>
      </c>
      <c r="H782" t="b">
        <v>0</v>
      </c>
    </row>
    <row r="783">
      <c r="A783" t="inlineStr">
        <is>
          <t>S009</t>
        </is>
      </c>
      <c r="B783" s="3" t="n">
        <v>46268</v>
      </c>
      <c r="C783" t="n">
        <v>21</v>
      </c>
      <c r="D783" t="inlineStr">
        <is>
          <t>Thursday</t>
        </is>
      </c>
      <c r="E783" t="n">
        <v>37</v>
      </c>
      <c r="F783" t="b">
        <v>1</v>
      </c>
      <c r="H783" t="b">
        <v>0</v>
      </c>
    </row>
    <row r="784">
      <c r="A784" t="inlineStr">
        <is>
          <t>S009</t>
        </is>
      </c>
      <c r="B784" s="3" t="n">
        <v>46268</v>
      </c>
      <c r="C784" t="n">
        <v>22</v>
      </c>
      <c r="D784" t="inlineStr">
        <is>
          <t>Thursday</t>
        </is>
      </c>
      <c r="E784" t="n">
        <v>27</v>
      </c>
      <c r="F784" t="b">
        <v>0</v>
      </c>
      <c r="H784" t="b">
        <v>0</v>
      </c>
    </row>
    <row r="785">
      <c r="A785" t="inlineStr">
        <is>
          <t>S009</t>
        </is>
      </c>
      <c r="B785" s="3" t="n">
        <v>46268</v>
      </c>
      <c r="C785" t="n">
        <v>23</v>
      </c>
      <c r="D785" t="inlineStr">
        <is>
          <t>Thursday</t>
        </is>
      </c>
      <c r="E785" t="n">
        <v>28</v>
      </c>
      <c r="F785" t="b">
        <v>0</v>
      </c>
      <c r="H785" t="b">
        <v>0</v>
      </c>
    </row>
    <row r="786">
      <c r="A786" t="inlineStr">
        <is>
          <t>S010</t>
        </is>
      </c>
      <c r="B786" s="3" t="n">
        <v>46268</v>
      </c>
      <c r="C786" t="n">
        <v>8</v>
      </c>
      <c r="D786" t="inlineStr">
        <is>
          <t>Thursday</t>
        </is>
      </c>
      <c r="E786" t="n">
        <v>14</v>
      </c>
      <c r="F786" t="b">
        <v>0</v>
      </c>
      <c r="G786" t="inlineStr">
        <is>
          <t>Light</t>
        </is>
      </c>
      <c r="H786" t="b">
        <v>0</v>
      </c>
    </row>
    <row r="787">
      <c r="A787" t="inlineStr">
        <is>
          <t>S010</t>
        </is>
      </c>
      <c r="B787" s="3" t="n">
        <v>46268</v>
      </c>
      <c r="C787" t="n">
        <v>9</v>
      </c>
      <c r="D787" t="inlineStr">
        <is>
          <t>Thursday</t>
        </is>
      </c>
      <c r="E787" t="n">
        <v>18</v>
      </c>
      <c r="F787" t="b">
        <v>0</v>
      </c>
      <c r="G787" t="inlineStr">
        <is>
          <t>Light</t>
        </is>
      </c>
      <c r="H787" t="b">
        <v>0</v>
      </c>
    </row>
    <row r="788">
      <c r="A788" t="inlineStr">
        <is>
          <t>S010</t>
        </is>
      </c>
      <c r="B788" s="3" t="n">
        <v>46268</v>
      </c>
      <c r="C788" t="n">
        <v>10</v>
      </c>
      <c r="D788" t="inlineStr">
        <is>
          <t>Thursday</t>
        </is>
      </c>
      <c r="E788" t="n">
        <v>23</v>
      </c>
      <c r="F788" t="b">
        <v>0</v>
      </c>
      <c r="H788" t="b">
        <v>0</v>
      </c>
    </row>
    <row r="789">
      <c r="A789" t="inlineStr">
        <is>
          <t>S010</t>
        </is>
      </c>
      <c r="B789" s="3" t="n">
        <v>46268</v>
      </c>
      <c r="C789" t="n">
        <v>11</v>
      </c>
      <c r="D789" t="inlineStr">
        <is>
          <t>Thursday</t>
        </is>
      </c>
      <c r="E789" t="n">
        <v>22</v>
      </c>
      <c r="F789" t="b">
        <v>0</v>
      </c>
      <c r="H789" t="b">
        <v>0</v>
      </c>
    </row>
    <row r="790">
      <c r="A790" t="inlineStr">
        <is>
          <t>S010</t>
        </is>
      </c>
      <c r="B790" s="3" t="n">
        <v>46268</v>
      </c>
      <c r="C790" t="n">
        <v>12</v>
      </c>
      <c r="D790" t="inlineStr">
        <is>
          <t>Thursday</t>
        </is>
      </c>
      <c r="E790" t="n">
        <v>19</v>
      </c>
      <c r="F790" t="b">
        <v>0</v>
      </c>
      <c r="H790" t="b">
        <v>0</v>
      </c>
    </row>
    <row r="791">
      <c r="A791" t="inlineStr">
        <is>
          <t>S010</t>
        </is>
      </c>
      <c r="B791" s="3" t="n">
        <v>46268</v>
      </c>
      <c r="C791" t="n">
        <v>13</v>
      </c>
      <c r="D791" t="inlineStr">
        <is>
          <t>Thursday</t>
        </is>
      </c>
      <c r="E791" t="n">
        <v>26</v>
      </c>
      <c r="F791" t="b">
        <v>0</v>
      </c>
      <c r="H791" t="b">
        <v>0</v>
      </c>
    </row>
    <row r="792">
      <c r="A792" t="inlineStr">
        <is>
          <t>S010</t>
        </is>
      </c>
      <c r="B792" s="3" t="n">
        <v>46268</v>
      </c>
      <c r="C792" t="n">
        <v>14</v>
      </c>
      <c r="D792" t="inlineStr">
        <is>
          <t>Thursday</t>
        </is>
      </c>
      <c r="E792" t="n">
        <v>19</v>
      </c>
      <c r="F792" t="b">
        <v>0</v>
      </c>
      <c r="H792" t="b">
        <v>0</v>
      </c>
    </row>
    <row r="793">
      <c r="A793" t="inlineStr">
        <is>
          <t>S010</t>
        </is>
      </c>
      <c r="B793" s="3" t="n">
        <v>46268</v>
      </c>
      <c r="C793" t="n">
        <v>15</v>
      </c>
      <c r="D793" t="inlineStr">
        <is>
          <t>Thursday</t>
        </is>
      </c>
      <c r="E793" t="n">
        <v>19</v>
      </c>
      <c r="F793" t="b">
        <v>0</v>
      </c>
      <c r="H793" t="b">
        <v>0</v>
      </c>
    </row>
    <row r="794">
      <c r="A794" t="inlineStr">
        <is>
          <t>S010</t>
        </is>
      </c>
      <c r="B794" s="3" t="n">
        <v>46268</v>
      </c>
      <c r="C794" t="n">
        <v>16</v>
      </c>
      <c r="D794" t="inlineStr">
        <is>
          <t>Thursday</t>
        </is>
      </c>
      <c r="E794" t="n">
        <v>24</v>
      </c>
      <c r="F794" t="b">
        <v>0</v>
      </c>
      <c r="H794" t="b">
        <v>0</v>
      </c>
    </row>
    <row r="795">
      <c r="A795" t="inlineStr">
        <is>
          <t>S010</t>
        </is>
      </c>
      <c r="B795" s="3" t="n">
        <v>46268</v>
      </c>
      <c r="C795" t="n">
        <v>17</v>
      </c>
      <c r="D795" t="inlineStr">
        <is>
          <t>Thursday</t>
        </is>
      </c>
      <c r="E795" t="n">
        <v>20</v>
      </c>
      <c r="F795" t="b">
        <v>0</v>
      </c>
      <c r="G795" t="inlineStr">
        <is>
          <t>Light</t>
        </is>
      </c>
      <c r="H795" t="b">
        <v>0</v>
      </c>
    </row>
    <row r="796">
      <c r="A796" t="inlineStr">
        <is>
          <t>S010</t>
        </is>
      </c>
      <c r="B796" s="3" t="n">
        <v>46268</v>
      </c>
      <c r="C796" t="n">
        <v>18</v>
      </c>
      <c r="D796" t="inlineStr">
        <is>
          <t>Thursday</t>
        </is>
      </c>
      <c r="E796" t="n">
        <v>25</v>
      </c>
      <c r="F796" t="b">
        <v>0</v>
      </c>
      <c r="H796" t="b">
        <v>0</v>
      </c>
    </row>
    <row r="797">
      <c r="A797" t="inlineStr">
        <is>
          <t>S010</t>
        </is>
      </c>
      <c r="B797" s="3" t="n">
        <v>46268</v>
      </c>
      <c r="C797" t="n">
        <v>19</v>
      </c>
      <c r="D797" t="inlineStr">
        <is>
          <t>Thursday</t>
        </is>
      </c>
      <c r="E797" t="n">
        <v>28</v>
      </c>
      <c r="F797" t="b">
        <v>1</v>
      </c>
      <c r="G797" t="inlineStr">
        <is>
          <t>Light</t>
        </is>
      </c>
      <c r="H797" t="b">
        <v>0</v>
      </c>
    </row>
    <row r="798">
      <c r="A798" t="inlineStr">
        <is>
          <t>S010</t>
        </is>
      </c>
      <c r="B798" s="3" t="n">
        <v>46268</v>
      </c>
      <c r="C798" t="n">
        <v>20</v>
      </c>
      <c r="D798" t="inlineStr">
        <is>
          <t>Thursday</t>
        </is>
      </c>
      <c r="E798" t="n">
        <v>28</v>
      </c>
      <c r="F798" t="b">
        <v>1</v>
      </c>
      <c r="H798" t="b">
        <v>1</v>
      </c>
    </row>
    <row r="799">
      <c r="A799" t="inlineStr">
        <is>
          <t>S010</t>
        </is>
      </c>
      <c r="B799" s="3" t="n">
        <v>46268</v>
      </c>
      <c r="C799" t="n">
        <v>21</v>
      </c>
      <c r="D799" t="inlineStr">
        <is>
          <t>Thursday</t>
        </is>
      </c>
      <c r="E799" t="n">
        <v>36</v>
      </c>
      <c r="F799" t="b">
        <v>1</v>
      </c>
      <c r="G799" t="inlineStr">
        <is>
          <t>Light</t>
        </is>
      </c>
      <c r="H799" t="b">
        <v>0</v>
      </c>
    </row>
    <row r="800">
      <c r="A800" t="inlineStr">
        <is>
          <t>S010</t>
        </is>
      </c>
      <c r="B800" s="3" t="n">
        <v>46268</v>
      </c>
      <c r="C800" t="n">
        <v>22</v>
      </c>
      <c r="D800" t="inlineStr">
        <is>
          <t>Thursday</t>
        </is>
      </c>
      <c r="E800" t="n">
        <v>25</v>
      </c>
      <c r="F800" t="b">
        <v>0</v>
      </c>
      <c r="H800" t="b">
        <v>0</v>
      </c>
    </row>
    <row r="801">
      <c r="A801" t="inlineStr">
        <is>
          <t>S010</t>
        </is>
      </c>
      <c r="B801" s="3" t="n">
        <v>46268</v>
      </c>
      <c r="C801" t="n">
        <v>23</v>
      </c>
      <c r="D801" t="inlineStr">
        <is>
          <t>Thursday</t>
        </is>
      </c>
      <c r="E801" t="n">
        <v>22</v>
      </c>
      <c r="F801" t="b">
        <v>0</v>
      </c>
      <c r="G801" t="inlineStr">
        <is>
          <t>Light</t>
        </is>
      </c>
      <c r="H801" t="b">
        <v>0</v>
      </c>
    </row>
    <row r="802">
      <c r="A802" t="inlineStr">
        <is>
          <t>S011</t>
        </is>
      </c>
      <c r="B802" s="3" t="n">
        <v>46268</v>
      </c>
      <c r="C802" t="n">
        <v>8</v>
      </c>
      <c r="D802" t="inlineStr">
        <is>
          <t>Thursday</t>
        </is>
      </c>
      <c r="E802" t="n">
        <v>14</v>
      </c>
      <c r="F802" t="b">
        <v>0</v>
      </c>
      <c r="G802" t="inlineStr">
        <is>
          <t>Light</t>
        </is>
      </c>
      <c r="H802" t="b">
        <v>0</v>
      </c>
    </row>
    <row r="803">
      <c r="A803" t="inlineStr">
        <is>
          <t>S011</t>
        </is>
      </c>
      <c r="B803" s="3" t="n">
        <v>46268</v>
      </c>
      <c r="C803" t="n">
        <v>9</v>
      </c>
      <c r="D803" t="inlineStr">
        <is>
          <t>Thursday</t>
        </is>
      </c>
      <c r="E803" t="n">
        <v>16</v>
      </c>
      <c r="F803" t="b">
        <v>0</v>
      </c>
      <c r="H803" t="b">
        <v>0</v>
      </c>
    </row>
    <row r="804">
      <c r="A804" t="inlineStr">
        <is>
          <t>S011</t>
        </is>
      </c>
      <c r="B804" s="3" t="n">
        <v>46268</v>
      </c>
      <c r="C804" t="n">
        <v>10</v>
      </c>
      <c r="D804" t="inlineStr">
        <is>
          <t>Thursday</t>
        </is>
      </c>
      <c r="E804" t="n">
        <v>24</v>
      </c>
      <c r="F804" t="b">
        <v>0</v>
      </c>
      <c r="H804" t="b">
        <v>0</v>
      </c>
    </row>
    <row r="805">
      <c r="A805" t="inlineStr">
        <is>
          <t>S011</t>
        </is>
      </c>
      <c r="B805" s="3" t="n">
        <v>46268</v>
      </c>
      <c r="C805" t="n">
        <v>11</v>
      </c>
      <c r="D805" t="inlineStr">
        <is>
          <t>Thursday</t>
        </is>
      </c>
      <c r="E805" t="n">
        <v>32</v>
      </c>
      <c r="F805" t="b">
        <v>0</v>
      </c>
      <c r="H805" t="b">
        <v>0</v>
      </c>
    </row>
    <row r="806">
      <c r="A806" t="inlineStr">
        <is>
          <t>S011</t>
        </is>
      </c>
      <c r="B806" s="3" t="n">
        <v>46268</v>
      </c>
      <c r="C806" t="n">
        <v>12</v>
      </c>
      <c r="D806" t="inlineStr">
        <is>
          <t>Thursday</t>
        </is>
      </c>
      <c r="E806" t="n">
        <v>34</v>
      </c>
      <c r="F806" t="b">
        <v>0</v>
      </c>
      <c r="G806" t="inlineStr">
        <is>
          <t>Light</t>
        </is>
      </c>
      <c r="H806" t="b">
        <v>0</v>
      </c>
    </row>
    <row r="807">
      <c r="A807" t="inlineStr">
        <is>
          <t>S011</t>
        </is>
      </c>
      <c r="B807" s="3" t="n">
        <v>46268</v>
      </c>
      <c r="C807" t="n">
        <v>13</v>
      </c>
      <c r="D807" t="inlineStr">
        <is>
          <t>Thursday</t>
        </is>
      </c>
      <c r="E807" t="n">
        <v>29</v>
      </c>
      <c r="F807" t="b">
        <v>0</v>
      </c>
      <c r="H807" t="b">
        <v>0</v>
      </c>
    </row>
    <row r="808">
      <c r="A808" t="inlineStr">
        <is>
          <t>S011</t>
        </is>
      </c>
      <c r="B808" s="3" t="n">
        <v>46268</v>
      </c>
      <c r="C808" t="n">
        <v>14</v>
      </c>
      <c r="D808" t="inlineStr">
        <is>
          <t>Thursday</t>
        </is>
      </c>
      <c r="E808" t="n">
        <v>21</v>
      </c>
      <c r="F808" t="b">
        <v>0</v>
      </c>
      <c r="G808" t="inlineStr">
        <is>
          <t>Heavy</t>
        </is>
      </c>
      <c r="H808" t="b">
        <v>0</v>
      </c>
    </row>
    <row r="809">
      <c r="A809" t="inlineStr">
        <is>
          <t>S011</t>
        </is>
      </c>
      <c r="B809" s="3" t="n">
        <v>46268</v>
      </c>
      <c r="C809" t="n">
        <v>15</v>
      </c>
      <c r="D809" t="inlineStr">
        <is>
          <t>Thursday</t>
        </is>
      </c>
      <c r="E809" t="n">
        <v>26</v>
      </c>
      <c r="F809" t="b">
        <v>0</v>
      </c>
      <c r="H809" t="b">
        <v>0</v>
      </c>
    </row>
    <row r="810">
      <c r="A810" t="inlineStr">
        <is>
          <t>S011</t>
        </is>
      </c>
      <c r="B810" s="3" t="n">
        <v>46268</v>
      </c>
      <c r="C810" t="n">
        <v>16</v>
      </c>
      <c r="D810" t="inlineStr">
        <is>
          <t>Thursday</t>
        </is>
      </c>
      <c r="E810" t="n">
        <v>31</v>
      </c>
      <c r="F810" t="b">
        <v>0</v>
      </c>
      <c r="G810" t="inlineStr">
        <is>
          <t>Light</t>
        </is>
      </c>
      <c r="H810" t="b">
        <v>0</v>
      </c>
    </row>
    <row r="811">
      <c r="A811" t="inlineStr">
        <is>
          <t>S011</t>
        </is>
      </c>
      <c r="B811" s="3" t="n">
        <v>46268</v>
      </c>
      <c r="C811" t="n">
        <v>17</v>
      </c>
      <c r="D811" t="inlineStr">
        <is>
          <t>Thursday</t>
        </is>
      </c>
      <c r="E811" t="n">
        <v>29</v>
      </c>
      <c r="F811" t="b">
        <v>0</v>
      </c>
      <c r="G811" t="inlineStr">
        <is>
          <t>Light</t>
        </is>
      </c>
      <c r="H811" t="b">
        <v>0</v>
      </c>
    </row>
    <row r="812">
      <c r="A812" t="inlineStr">
        <is>
          <t>S011</t>
        </is>
      </c>
      <c r="B812" s="3" t="n">
        <v>46268</v>
      </c>
      <c r="C812" t="n">
        <v>18</v>
      </c>
      <c r="D812" t="inlineStr">
        <is>
          <t>Thursday</t>
        </is>
      </c>
      <c r="E812" t="n">
        <v>24</v>
      </c>
      <c r="F812" t="b">
        <v>0</v>
      </c>
      <c r="H812" t="b">
        <v>0</v>
      </c>
    </row>
    <row r="813">
      <c r="A813" t="inlineStr">
        <is>
          <t>S011</t>
        </is>
      </c>
      <c r="B813" s="3" t="n">
        <v>46268</v>
      </c>
      <c r="C813" t="n">
        <v>19</v>
      </c>
      <c r="D813" t="inlineStr">
        <is>
          <t>Thursday</t>
        </is>
      </c>
      <c r="E813" t="n">
        <v>40</v>
      </c>
      <c r="F813" t="b">
        <v>1</v>
      </c>
      <c r="H813" t="b">
        <v>0</v>
      </c>
    </row>
    <row r="814">
      <c r="A814" t="inlineStr">
        <is>
          <t>S011</t>
        </is>
      </c>
      <c r="B814" s="3" t="n">
        <v>46268</v>
      </c>
      <c r="C814" t="n">
        <v>20</v>
      </c>
      <c r="D814" t="inlineStr">
        <is>
          <t>Thursday</t>
        </is>
      </c>
      <c r="E814" t="n">
        <v>34</v>
      </c>
      <c r="F814" t="b">
        <v>1</v>
      </c>
      <c r="H814" t="b">
        <v>1</v>
      </c>
    </row>
    <row r="815">
      <c r="A815" t="inlineStr">
        <is>
          <t>S011</t>
        </is>
      </c>
      <c r="B815" s="3" t="n">
        <v>46268</v>
      </c>
      <c r="C815" t="n">
        <v>21</v>
      </c>
      <c r="D815" t="inlineStr">
        <is>
          <t>Thursday</t>
        </is>
      </c>
      <c r="E815" t="n">
        <v>46</v>
      </c>
      <c r="F815" t="b">
        <v>1</v>
      </c>
      <c r="H815" t="b">
        <v>0</v>
      </c>
    </row>
    <row r="816">
      <c r="A816" t="inlineStr">
        <is>
          <t>S011</t>
        </is>
      </c>
      <c r="B816" s="3" t="n">
        <v>46268</v>
      </c>
      <c r="C816" t="n">
        <v>22</v>
      </c>
      <c r="D816" t="inlineStr">
        <is>
          <t>Thursday</t>
        </is>
      </c>
      <c r="E816" t="n">
        <v>33</v>
      </c>
      <c r="F816" t="b">
        <v>0</v>
      </c>
      <c r="G816" t="inlineStr">
        <is>
          <t>Light</t>
        </is>
      </c>
      <c r="H816" t="b">
        <v>0</v>
      </c>
    </row>
    <row r="817">
      <c r="A817" t="inlineStr">
        <is>
          <t>S011</t>
        </is>
      </c>
      <c r="B817" s="3" t="n">
        <v>46268</v>
      </c>
      <c r="C817" t="n">
        <v>23</v>
      </c>
      <c r="D817" t="inlineStr">
        <is>
          <t>Thursday</t>
        </is>
      </c>
      <c r="E817" t="n">
        <v>22</v>
      </c>
      <c r="F817" t="b">
        <v>0</v>
      </c>
      <c r="H817" t="b">
        <v>0</v>
      </c>
    </row>
    <row r="818">
      <c r="A818" t="inlineStr">
        <is>
          <t>S012</t>
        </is>
      </c>
      <c r="B818" s="3" t="n">
        <v>46268</v>
      </c>
      <c r="C818" t="n">
        <v>8</v>
      </c>
      <c r="D818" t="inlineStr">
        <is>
          <t>Thursday</t>
        </is>
      </c>
      <c r="E818" t="n">
        <v>15</v>
      </c>
      <c r="F818" t="b">
        <v>0</v>
      </c>
      <c r="H818" t="b">
        <v>0</v>
      </c>
    </row>
    <row r="819">
      <c r="A819" t="inlineStr">
        <is>
          <t>S012</t>
        </is>
      </c>
      <c r="B819" s="3" t="n">
        <v>46268</v>
      </c>
      <c r="C819" t="n">
        <v>9</v>
      </c>
      <c r="D819" t="inlineStr">
        <is>
          <t>Thursday</t>
        </is>
      </c>
      <c r="E819" t="n">
        <v>11</v>
      </c>
      <c r="F819" t="b">
        <v>0</v>
      </c>
      <c r="G819" t="inlineStr">
        <is>
          <t>Light</t>
        </is>
      </c>
      <c r="H819" t="b">
        <v>0</v>
      </c>
    </row>
    <row r="820">
      <c r="A820" t="inlineStr">
        <is>
          <t>S012</t>
        </is>
      </c>
      <c r="B820" s="3" t="n">
        <v>46268</v>
      </c>
      <c r="C820" t="n">
        <v>10</v>
      </c>
      <c r="D820" t="inlineStr">
        <is>
          <t>Thursday</t>
        </is>
      </c>
      <c r="E820" t="n">
        <v>14</v>
      </c>
      <c r="F820" t="b">
        <v>0</v>
      </c>
      <c r="H820" t="b">
        <v>0</v>
      </c>
    </row>
    <row r="821">
      <c r="A821" t="inlineStr">
        <is>
          <t>S012</t>
        </is>
      </c>
      <c r="B821" s="3" t="n">
        <v>46268</v>
      </c>
      <c r="C821" t="n">
        <v>11</v>
      </c>
      <c r="D821" t="inlineStr">
        <is>
          <t>Thursday</t>
        </is>
      </c>
      <c r="E821" t="n">
        <v>20</v>
      </c>
      <c r="F821" t="b">
        <v>0</v>
      </c>
      <c r="G821" t="inlineStr">
        <is>
          <t>Light</t>
        </is>
      </c>
      <c r="H821" t="b">
        <v>0</v>
      </c>
    </row>
    <row r="822">
      <c r="A822" t="inlineStr">
        <is>
          <t>S012</t>
        </is>
      </c>
      <c r="B822" s="3" t="n">
        <v>46268</v>
      </c>
      <c r="C822" t="n">
        <v>12</v>
      </c>
      <c r="D822" t="inlineStr">
        <is>
          <t>Thursday</t>
        </is>
      </c>
      <c r="E822" t="n">
        <v>13</v>
      </c>
      <c r="F822" t="b">
        <v>0</v>
      </c>
      <c r="G822" t="inlineStr">
        <is>
          <t>Heavy</t>
        </is>
      </c>
      <c r="H822" t="b">
        <v>0</v>
      </c>
    </row>
    <row r="823">
      <c r="A823" t="inlineStr">
        <is>
          <t>S012</t>
        </is>
      </c>
      <c r="B823" s="3" t="n">
        <v>46268</v>
      </c>
      <c r="C823" t="n">
        <v>13</v>
      </c>
      <c r="D823" t="inlineStr">
        <is>
          <t>Thursday</t>
        </is>
      </c>
      <c r="E823" t="n">
        <v>13</v>
      </c>
      <c r="F823" t="b">
        <v>0</v>
      </c>
      <c r="G823" t="inlineStr">
        <is>
          <t>Heavy</t>
        </is>
      </c>
      <c r="H823" t="b">
        <v>1</v>
      </c>
    </row>
    <row r="824">
      <c r="A824" t="inlineStr">
        <is>
          <t>S012</t>
        </is>
      </c>
      <c r="B824" s="3" t="n">
        <v>46268</v>
      </c>
      <c r="C824" t="n">
        <v>14</v>
      </c>
      <c r="D824" t="inlineStr">
        <is>
          <t>Thursday</t>
        </is>
      </c>
      <c r="E824" t="n">
        <v>12</v>
      </c>
      <c r="F824" t="b">
        <v>0</v>
      </c>
      <c r="H824" t="b">
        <v>0</v>
      </c>
    </row>
    <row r="825">
      <c r="A825" t="inlineStr">
        <is>
          <t>S012</t>
        </is>
      </c>
      <c r="B825" s="3" t="n">
        <v>46268</v>
      </c>
      <c r="C825" t="n">
        <v>15</v>
      </c>
      <c r="D825" t="inlineStr">
        <is>
          <t>Thursday</t>
        </is>
      </c>
      <c r="E825" t="n">
        <v>11</v>
      </c>
      <c r="F825" t="b">
        <v>0</v>
      </c>
      <c r="H825" t="b">
        <v>0</v>
      </c>
    </row>
    <row r="826">
      <c r="A826" t="inlineStr">
        <is>
          <t>S012</t>
        </is>
      </c>
      <c r="B826" s="3" t="n">
        <v>46268</v>
      </c>
      <c r="C826" t="n">
        <v>16</v>
      </c>
      <c r="D826" t="inlineStr">
        <is>
          <t>Thursday</t>
        </is>
      </c>
      <c r="E826" t="n">
        <v>13</v>
      </c>
      <c r="F826" t="b">
        <v>0</v>
      </c>
      <c r="G826" t="inlineStr">
        <is>
          <t>Heavy</t>
        </is>
      </c>
      <c r="H826" t="b">
        <v>0</v>
      </c>
    </row>
    <row r="827">
      <c r="A827" t="inlineStr">
        <is>
          <t>S012</t>
        </is>
      </c>
      <c r="B827" s="3" t="n">
        <v>46268</v>
      </c>
      <c r="C827" t="n">
        <v>17</v>
      </c>
      <c r="D827" t="inlineStr">
        <is>
          <t>Thursday</t>
        </is>
      </c>
      <c r="E827" t="n">
        <v>13</v>
      </c>
      <c r="F827" t="b">
        <v>0</v>
      </c>
      <c r="H827" t="b">
        <v>0</v>
      </c>
    </row>
    <row r="828">
      <c r="A828" t="inlineStr">
        <is>
          <t>S012</t>
        </is>
      </c>
      <c r="B828" s="3" t="n">
        <v>46268</v>
      </c>
      <c r="C828" t="n">
        <v>18</v>
      </c>
      <c r="D828" t="inlineStr">
        <is>
          <t>Thursday</t>
        </is>
      </c>
      <c r="E828" t="n">
        <v>13</v>
      </c>
      <c r="F828" t="b">
        <v>0</v>
      </c>
      <c r="H828" t="b">
        <v>0</v>
      </c>
    </row>
    <row r="829">
      <c r="A829" t="inlineStr">
        <is>
          <t>S012</t>
        </is>
      </c>
      <c r="B829" s="3" t="n">
        <v>46268</v>
      </c>
      <c r="C829" t="n">
        <v>19</v>
      </c>
      <c r="D829" t="inlineStr">
        <is>
          <t>Thursday</t>
        </is>
      </c>
      <c r="E829" t="n">
        <v>24</v>
      </c>
      <c r="F829" t="b">
        <v>1</v>
      </c>
      <c r="G829" t="inlineStr">
        <is>
          <t>Light</t>
        </is>
      </c>
      <c r="H829" t="b">
        <v>0</v>
      </c>
    </row>
    <row r="830">
      <c r="A830" t="inlineStr">
        <is>
          <t>S012</t>
        </is>
      </c>
      <c r="B830" s="3" t="n">
        <v>46268</v>
      </c>
      <c r="C830" t="n">
        <v>20</v>
      </c>
      <c r="D830" t="inlineStr">
        <is>
          <t>Thursday</t>
        </is>
      </c>
      <c r="E830" t="n">
        <v>24</v>
      </c>
      <c r="F830" t="b">
        <v>1</v>
      </c>
      <c r="H830" t="b">
        <v>0</v>
      </c>
    </row>
    <row r="831">
      <c r="A831" t="inlineStr">
        <is>
          <t>S012</t>
        </is>
      </c>
      <c r="B831" s="3" t="n">
        <v>46268</v>
      </c>
      <c r="C831" t="n">
        <v>21</v>
      </c>
      <c r="D831" t="inlineStr">
        <is>
          <t>Thursday</t>
        </is>
      </c>
      <c r="E831" t="n">
        <v>18</v>
      </c>
      <c r="F831" t="b">
        <v>1</v>
      </c>
      <c r="H831" t="b">
        <v>0</v>
      </c>
    </row>
    <row r="832">
      <c r="A832" t="inlineStr">
        <is>
          <t>S012</t>
        </is>
      </c>
      <c r="B832" s="3" t="n">
        <v>46268</v>
      </c>
      <c r="C832" t="n">
        <v>22</v>
      </c>
      <c r="D832" t="inlineStr">
        <is>
          <t>Thursday</t>
        </is>
      </c>
      <c r="E832" t="n">
        <v>14</v>
      </c>
      <c r="F832" t="b">
        <v>0</v>
      </c>
      <c r="H832" t="b">
        <v>0</v>
      </c>
    </row>
    <row r="833">
      <c r="A833" t="inlineStr">
        <is>
          <t>S012</t>
        </is>
      </c>
      <c r="B833" s="3" t="n">
        <v>46268</v>
      </c>
      <c r="C833" t="n">
        <v>23</v>
      </c>
      <c r="D833" t="inlineStr">
        <is>
          <t>Thursday</t>
        </is>
      </c>
      <c r="E833" t="n">
        <v>18</v>
      </c>
      <c r="F833" t="b">
        <v>0</v>
      </c>
      <c r="H833" t="b">
        <v>0</v>
      </c>
    </row>
    <row r="834">
      <c r="A834" t="inlineStr">
        <is>
          <t>S013</t>
        </is>
      </c>
      <c r="B834" s="3" t="n">
        <v>46268</v>
      </c>
      <c r="C834" t="n">
        <v>8</v>
      </c>
      <c r="D834" t="inlineStr">
        <is>
          <t>Thursday</t>
        </is>
      </c>
      <c r="E834" t="n">
        <v>38</v>
      </c>
      <c r="F834" t="b">
        <v>0</v>
      </c>
      <c r="H834" t="b">
        <v>1</v>
      </c>
    </row>
    <row r="835">
      <c r="A835" t="inlineStr">
        <is>
          <t>S013</t>
        </is>
      </c>
      <c r="B835" s="3" t="n">
        <v>46268</v>
      </c>
      <c r="C835" t="n">
        <v>9</v>
      </c>
      <c r="D835" t="inlineStr">
        <is>
          <t>Thursday</t>
        </is>
      </c>
      <c r="E835" t="n">
        <v>44</v>
      </c>
      <c r="F835" t="b">
        <v>0</v>
      </c>
      <c r="G835" t="inlineStr">
        <is>
          <t>Light</t>
        </is>
      </c>
      <c r="H835" t="b">
        <v>0</v>
      </c>
    </row>
    <row r="836">
      <c r="A836" t="inlineStr">
        <is>
          <t>S013</t>
        </is>
      </c>
      <c r="B836" s="3" t="n">
        <v>46268</v>
      </c>
      <c r="C836" t="n">
        <v>10</v>
      </c>
      <c r="D836" t="inlineStr">
        <is>
          <t>Thursday</t>
        </is>
      </c>
      <c r="E836" t="n">
        <v>42</v>
      </c>
      <c r="F836" t="b">
        <v>0</v>
      </c>
      <c r="H836" t="b">
        <v>0</v>
      </c>
    </row>
    <row r="837">
      <c r="A837" t="inlineStr">
        <is>
          <t>S013</t>
        </is>
      </c>
      <c r="B837" s="3" t="n">
        <v>46268</v>
      </c>
      <c r="C837" t="n">
        <v>11</v>
      </c>
      <c r="D837" t="inlineStr">
        <is>
          <t>Thursday</t>
        </is>
      </c>
      <c r="E837" t="n">
        <v>50</v>
      </c>
      <c r="F837" t="b">
        <v>0</v>
      </c>
      <c r="H837" t="b">
        <v>0</v>
      </c>
    </row>
    <row r="838">
      <c r="A838" t="inlineStr">
        <is>
          <t>S013</t>
        </is>
      </c>
      <c r="B838" s="3" t="n">
        <v>46268</v>
      </c>
      <c r="C838" t="n">
        <v>12</v>
      </c>
      <c r="D838" t="inlineStr">
        <is>
          <t>Thursday</t>
        </is>
      </c>
      <c r="E838" t="n">
        <v>58</v>
      </c>
      <c r="F838" t="b">
        <v>0</v>
      </c>
      <c r="H838" t="b">
        <v>0</v>
      </c>
    </row>
    <row r="839">
      <c r="A839" t="inlineStr">
        <is>
          <t>S013</t>
        </is>
      </c>
      <c r="B839" s="3" t="n">
        <v>46268</v>
      </c>
      <c r="C839" t="n">
        <v>13</v>
      </c>
      <c r="D839" t="inlineStr">
        <is>
          <t>Thursday</t>
        </is>
      </c>
      <c r="E839" t="n">
        <v>49</v>
      </c>
      <c r="F839" t="b">
        <v>0</v>
      </c>
      <c r="G839" t="inlineStr">
        <is>
          <t>Light</t>
        </is>
      </c>
      <c r="H839" t="b">
        <v>0</v>
      </c>
    </row>
    <row r="840">
      <c r="A840" t="inlineStr">
        <is>
          <t>S013</t>
        </is>
      </c>
      <c r="B840" s="3" t="n">
        <v>46268</v>
      </c>
      <c r="C840" t="n">
        <v>14</v>
      </c>
      <c r="D840" t="inlineStr">
        <is>
          <t>Thursday</t>
        </is>
      </c>
      <c r="E840" t="n">
        <v>33</v>
      </c>
      <c r="F840" t="b">
        <v>0</v>
      </c>
      <c r="H840" t="b">
        <v>0</v>
      </c>
    </row>
    <row r="841">
      <c r="A841" t="inlineStr">
        <is>
          <t>S013</t>
        </is>
      </c>
      <c r="B841" s="3" t="n">
        <v>46268</v>
      </c>
      <c r="C841" t="n">
        <v>15</v>
      </c>
      <c r="D841" t="inlineStr">
        <is>
          <t>Thursday</t>
        </is>
      </c>
      <c r="E841" t="n">
        <v>32</v>
      </c>
      <c r="F841" t="b">
        <v>0</v>
      </c>
      <c r="H841" t="b">
        <v>0</v>
      </c>
    </row>
    <row r="842">
      <c r="A842" t="inlineStr">
        <is>
          <t>S013</t>
        </is>
      </c>
      <c r="B842" s="3" t="n">
        <v>46268</v>
      </c>
      <c r="C842" t="n">
        <v>16</v>
      </c>
      <c r="D842" t="inlineStr">
        <is>
          <t>Thursday</t>
        </is>
      </c>
      <c r="E842" t="n">
        <v>58</v>
      </c>
      <c r="F842" t="b">
        <v>0</v>
      </c>
      <c r="G842" t="inlineStr">
        <is>
          <t>Light</t>
        </is>
      </c>
      <c r="H842" t="b">
        <v>0</v>
      </c>
    </row>
    <row r="843">
      <c r="A843" t="inlineStr">
        <is>
          <t>S013</t>
        </is>
      </c>
      <c r="B843" s="3" t="n">
        <v>46268</v>
      </c>
      <c r="C843" t="n">
        <v>17</v>
      </c>
      <c r="D843" t="inlineStr">
        <is>
          <t>Thursday</t>
        </is>
      </c>
      <c r="E843" t="n">
        <v>45</v>
      </c>
      <c r="F843" t="b">
        <v>0</v>
      </c>
      <c r="H843" t="b">
        <v>0</v>
      </c>
    </row>
    <row r="844">
      <c r="A844" t="inlineStr">
        <is>
          <t>S013</t>
        </is>
      </c>
      <c r="B844" s="3" t="n">
        <v>46268</v>
      </c>
      <c r="C844" t="n">
        <v>18</v>
      </c>
      <c r="D844" t="inlineStr">
        <is>
          <t>Thursday</t>
        </is>
      </c>
      <c r="E844" t="n">
        <v>60</v>
      </c>
      <c r="F844" t="b">
        <v>0</v>
      </c>
      <c r="H844" t="b">
        <v>0</v>
      </c>
    </row>
    <row r="845">
      <c r="A845" t="inlineStr">
        <is>
          <t>S013</t>
        </is>
      </c>
      <c r="B845" s="3" t="n">
        <v>46268</v>
      </c>
      <c r="C845" t="n">
        <v>19</v>
      </c>
      <c r="D845" t="inlineStr">
        <is>
          <t>Thursday</t>
        </is>
      </c>
      <c r="E845" t="n">
        <v>83</v>
      </c>
      <c r="F845" t="b">
        <v>1</v>
      </c>
      <c r="G845" t="inlineStr">
        <is>
          <t>Light</t>
        </is>
      </c>
      <c r="H845" t="b">
        <v>0</v>
      </c>
    </row>
    <row r="846">
      <c r="A846" t="inlineStr">
        <is>
          <t>S013</t>
        </is>
      </c>
      <c r="B846" s="3" t="n">
        <v>46268</v>
      </c>
      <c r="C846" t="n">
        <v>20</v>
      </c>
      <c r="D846" t="inlineStr">
        <is>
          <t>Thursday</t>
        </is>
      </c>
      <c r="E846" t="n">
        <v>64</v>
      </c>
      <c r="F846" t="b">
        <v>1</v>
      </c>
      <c r="H846" t="b">
        <v>0</v>
      </c>
    </row>
    <row r="847">
      <c r="A847" t="inlineStr">
        <is>
          <t>S013</t>
        </is>
      </c>
      <c r="B847" s="3" t="n">
        <v>46268</v>
      </c>
      <c r="C847" t="n">
        <v>21</v>
      </c>
      <c r="D847" t="inlineStr">
        <is>
          <t>Thursday</t>
        </is>
      </c>
      <c r="E847" t="n">
        <v>65</v>
      </c>
      <c r="F847" t="b">
        <v>1</v>
      </c>
      <c r="G847" t="inlineStr">
        <is>
          <t>Light</t>
        </is>
      </c>
      <c r="H847" t="b">
        <v>0</v>
      </c>
    </row>
    <row r="848">
      <c r="A848" t="inlineStr">
        <is>
          <t>S013</t>
        </is>
      </c>
      <c r="B848" s="3" t="n">
        <v>46268</v>
      </c>
      <c r="C848" t="n">
        <v>22</v>
      </c>
      <c r="D848" t="inlineStr">
        <is>
          <t>Thursday</t>
        </is>
      </c>
      <c r="E848" t="n">
        <v>53</v>
      </c>
      <c r="F848" t="b">
        <v>0</v>
      </c>
      <c r="G848" t="inlineStr">
        <is>
          <t>Light</t>
        </is>
      </c>
      <c r="H848" t="b">
        <v>0</v>
      </c>
    </row>
    <row r="849">
      <c r="A849" t="inlineStr">
        <is>
          <t>S013</t>
        </is>
      </c>
      <c r="B849" s="3" t="n">
        <v>46268</v>
      </c>
      <c r="C849" t="n">
        <v>23</v>
      </c>
      <c r="D849" t="inlineStr">
        <is>
          <t>Thursday</t>
        </is>
      </c>
      <c r="E849" t="n">
        <v>46</v>
      </c>
      <c r="F849" t="b">
        <v>0</v>
      </c>
      <c r="H849" t="b">
        <v>0</v>
      </c>
    </row>
    <row r="850">
      <c r="A850" t="inlineStr">
        <is>
          <t>S014</t>
        </is>
      </c>
      <c r="B850" s="3" t="n">
        <v>46268</v>
      </c>
      <c r="C850" t="n">
        <v>8</v>
      </c>
      <c r="D850" t="inlineStr">
        <is>
          <t>Thursday</t>
        </is>
      </c>
      <c r="E850" t="n">
        <v>22</v>
      </c>
      <c r="F850" t="b">
        <v>0</v>
      </c>
      <c r="H850" t="b">
        <v>0</v>
      </c>
    </row>
    <row r="851">
      <c r="A851" t="inlineStr">
        <is>
          <t>S014</t>
        </is>
      </c>
      <c r="B851" s="3" t="n">
        <v>46268</v>
      </c>
      <c r="C851" t="n">
        <v>9</v>
      </c>
      <c r="D851" t="inlineStr">
        <is>
          <t>Thursday</t>
        </is>
      </c>
      <c r="E851" t="n">
        <v>25</v>
      </c>
      <c r="F851" t="b">
        <v>0</v>
      </c>
      <c r="H851" t="b">
        <v>0</v>
      </c>
    </row>
    <row r="852">
      <c r="A852" t="inlineStr">
        <is>
          <t>S014</t>
        </is>
      </c>
      <c r="B852" s="3" t="n">
        <v>46268</v>
      </c>
      <c r="C852" t="n">
        <v>10</v>
      </c>
      <c r="D852" t="inlineStr">
        <is>
          <t>Thursday</t>
        </is>
      </c>
      <c r="E852" t="n">
        <v>34</v>
      </c>
      <c r="F852" t="b">
        <v>0</v>
      </c>
      <c r="G852" t="inlineStr">
        <is>
          <t>Light</t>
        </is>
      </c>
      <c r="H852" t="b">
        <v>0</v>
      </c>
    </row>
    <row r="853">
      <c r="A853" t="inlineStr">
        <is>
          <t>S014</t>
        </is>
      </c>
      <c r="B853" s="3" t="n">
        <v>46268</v>
      </c>
      <c r="C853" t="n">
        <v>11</v>
      </c>
      <c r="D853" t="inlineStr">
        <is>
          <t>Thursday</t>
        </is>
      </c>
      <c r="E853" t="n">
        <v>40</v>
      </c>
      <c r="F853" t="b">
        <v>0</v>
      </c>
      <c r="G853" t="inlineStr">
        <is>
          <t>Light</t>
        </is>
      </c>
      <c r="H853" t="b">
        <v>0</v>
      </c>
    </row>
    <row r="854">
      <c r="A854" t="inlineStr">
        <is>
          <t>S014</t>
        </is>
      </c>
      <c r="B854" s="3" t="n">
        <v>46268</v>
      </c>
      <c r="C854" t="n">
        <v>12</v>
      </c>
      <c r="D854" t="inlineStr">
        <is>
          <t>Thursday</t>
        </is>
      </c>
      <c r="E854" t="n">
        <v>35</v>
      </c>
      <c r="F854" t="b">
        <v>0</v>
      </c>
      <c r="H854" t="b">
        <v>0</v>
      </c>
    </row>
    <row r="855">
      <c r="A855" t="inlineStr">
        <is>
          <t>S014</t>
        </is>
      </c>
      <c r="B855" s="3" t="n">
        <v>46268</v>
      </c>
      <c r="C855" t="n">
        <v>13</v>
      </c>
      <c r="D855" t="inlineStr">
        <is>
          <t>Thursday</t>
        </is>
      </c>
      <c r="E855" t="n">
        <v>39</v>
      </c>
      <c r="F855" t="b">
        <v>0</v>
      </c>
      <c r="G855" t="inlineStr">
        <is>
          <t>Light</t>
        </is>
      </c>
      <c r="H855" t="b">
        <v>0</v>
      </c>
    </row>
    <row r="856">
      <c r="A856" t="inlineStr">
        <is>
          <t>S014</t>
        </is>
      </c>
      <c r="B856" s="3" t="n">
        <v>46268</v>
      </c>
      <c r="C856" t="n">
        <v>14</v>
      </c>
      <c r="D856" t="inlineStr">
        <is>
          <t>Thursday</t>
        </is>
      </c>
      <c r="E856" t="n">
        <v>26</v>
      </c>
      <c r="F856" t="b">
        <v>0</v>
      </c>
      <c r="H856" t="b">
        <v>0</v>
      </c>
    </row>
    <row r="857">
      <c r="A857" t="inlineStr">
        <is>
          <t>S014</t>
        </is>
      </c>
      <c r="B857" s="3" t="n">
        <v>46268</v>
      </c>
      <c r="C857" t="n">
        <v>15</v>
      </c>
      <c r="D857" t="inlineStr">
        <is>
          <t>Thursday</t>
        </is>
      </c>
      <c r="E857" t="n">
        <v>30</v>
      </c>
      <c r="F857" t="b">
        <v>0</v>
      </c>
      <c r="G857" t="inlineStr">
        <is>
          <t>Light</t>
        </is>
      </c>
      <c r="H857" t="b">
        <v>0</v>
      </c>
    </row>
    <row r="858">
      <c r="A858" t="inlineStr">
        <is>
          <t>S014</t>
        </is>
      </c>
      <c r="B858" s="3" t="n">
        <v>46268</v>
      </c>
      <c r="C858" t="n">
        <v>16</v>
      </c>
      <c r="D858" t="inlineStr">
        <is>
          <t>Thursday</t>
        </is>
      </c>
      <c r="E858" t="n">
        <v>48</v>
      </c>
      <c r="F858" t="b">
        <v>0</v>
      </c>
      <c r="G858" t="inlineStr">
        <is>
          <t>Light</t>
        </is>
      </c>
      <c r="H858" t="b">
        <v>0</v>
      </c>
    </row>
    <row r="859">
      <c r="A859" t="inlineStr">
        <is>
          <t>S014</t>
        </is>
      </c>
      <c r="B859" s="3" t="n">
        <v>46268</v>
      </c>
      <c r="C859" t="n">
        <v>17</v>
      </c>
      <c r="D859" t="inlineStr">
        <is>
          <t>Thursday</t>
        </is>
      </c>
      <c r="E859" t="n">
        <v>42</v>
      </c>
      <c r="F859" t="b">
        <v>0</v>
      </c>
      <c r="H859" t="b">
        <v>0</v>
      </c>
    </row>
    <row r="860">
      <c r="A860" t="inlineStr">
        <is>
          <t>S014</t>
        </is>
      </c>
      <c r="B860" s="3" t="n">
        <v>46268</v>
      </c>
      <c r="C860" t="n">
        <v>18</v>
      </c>
      <c r="D860" t="inlineStr">
        <is>
          <t>Thursday</t>
        </is>
      </c>
      <c r="E860" t="n">
        <v>35</v>
      </c>
      <c r="F860" t="b">
        <v>0</v>
      </c>
      <c r="G860" t="inlineStr">
        <is>
          <t>Light</t>
        </is>
      </c>
      <c r="H860" t="b">
        <v>0</v>
      </c>
    </row>
    <row r="861">
      <c r="A861" t="inlineStr">
        <is>
          <t>S014</t>
        </is>
      </c>
      <c r="B861" s="3" t="n">
        <v>46268</v>
      </c>
      <c r="C861" t="n">
        <v>19</v>
      </c>
      <c r="D861" t="inlineStr">
        <is>
          <t>Thursday</t>
        </is>
      </c>
      <c r="E861" t="n">
        <v>54</v>
      </c>
      <c r="F861" t="b">
        <v>1</v>
      </c>
      <c r="G861" t="inlineStr">
        <is>
          <t>Light</t>
        </is>
      </c>
      <c r="H861" t="b">
        <v>0</v>
      </c>
    </row>
    <row r="862">
      <c r="A862" t="inlineStr">
        <is>
          <t>S014</t>
        </is>
      </c>
      <c r="B862" s="3" t="n">
        <v>46268</v>
      </c>
      <c r="C862" t="n">
        <v>20</v>
      </c>
      <c r="D862" t="inlineStr">
        <is>
          <t>Thursday</t>
        </is>
      </c>
      <c r="E862" t="n">
        <v>60</v>
      </c>
      <c r="F862" t="b">
        <v>1</v>
      </c>
      <c r="G862" t="inlineStr">
        <is>
          <t>Light</t>
        </is>
      </c>
      <c r="H862" t="b">
        <v>0</v>
      </c>
    </row>
    <row r="863">
      <c r="A863" t="inlineStr">
        <is>
          <t>S014</t>
        </is>
      </c>
      <c r="B863" s="3" t="n">
        <v>46268</v>
      </c>
      <c r="C863" t="n">
        <v>21</v>
      </c>
      <c r="D863" t="inlineStr">
        <is>
          <t>Thursday</t>
        </is>
      </c>
      <c r="E863" t="n">
        <v>52</v>
      </c>
      <c r="F863" t="b">
        <v>1</v>
      </c>
      <c r="H863" t="b">
        <v>0</v>
      </c>
    </row>
    <row r="864">
      <c r="A864" t="inlineStr">
        <is>
          <t>S014</t>
        </is>
      </c>
      <c r="B864" s="3" t="n">
        <v>46268</v>
      </c>
      <c r="C864" t="n">
        <v>22</v>
      </c>
      <c r="D864" t="inlineStr">
        <is>
          <t>Thursday</t>
        </is>
      </c>
      <c r="E864" t="n">
        <v>42</v>
      </c>
      <c r="F864" t="b">
        <v>0</v>
      </c>
      <c r="G864" t="inlineStr">
        <is>
          <t>Heavy</t>
        </is>
      </c>
      <c r="H864" t="b">
        <v>0</v>
      </c>
    </row>
    <row r="865">
      <c r="A865" t="inlineStr">
        <is>
          <t>S014</t>
        </is>
      </c>
      <c r="B865" s="3" t="n">
        <v>46268</v>
      </c>
      <c r="C865" t="n">
        <v>23</v>
      </c>
      <c r="D865" t="inlineStr">
        <is>
          <t>Thursday</t>
        </is>
      </c>
      <c r="E865" t="n">
        <v>42</v>
      </c>
      <c r="F865" t="b">
        <v>0</v>
      </c>
      <c r="H865" t="b">
        <v>0</v>
      </c>
    </row>
    <row r="866">
      <c r="A866" t="inlineStr">
        <is>
          <t>S015</t>
        </is>
      </c>
      <c r="B866" s="3" t="n">
        <v>46268</v>
      </c>
      <c r="C866" t="n">
        <v>8</v>
      </c>
      <c r="D866" t="inlineStr">
        <is>
          <t>Thursday</t>
        </is>
      </c>
      <c r="E866" t="n">
        <v>16</v>
      </c>
      <c r="F866" t="b">
        <v>0</v>
      </c>
      <c r="H866" t="b">
        <v>0</v>
      </c>
    </row>
    <row r="867">
      <c r="A867" t="inlineStr">
        <is>
          <t>S015</t>
        </is>
      </c>
      <c r="B867" s="3" t="n">
        <v>46268</v>
      </c>
      <c r="C867" t="n">
        <v>9</v>
      </c>
      <c r="D867" t="inlineStr">
        <is>
          <t>Thursday</t>
        </is>
      </c>
      <c r="E867" t="n">
        <v>15</v>
      </c>
      <c r="F867" t="b">
        <v>0</v>
      </c>
      <c r="H867" t="b">
        <v>0</v>
      </c>
    </row>
    <row r="868">
      <c r="A868" t="inlineStr">
        <is>
          <t>S015</t>
        </is>
      </c>
      <c r="B868" s="3" t="n">
        <v>46268</v>
      </c>
      <c r="C868" t="n">
        <v>10</v>
      </c>
      <c r="D868" t="inlineStr">
        <is>
          <t>Thursday</t>
        </is>
      </c>
      <c r="E868" t="n">
        <v>11</v>
      </c>
      <c r="F868" t="b">
        <v>0</v>
      </c>
      <c r="H868" t="b">
        <v>0</v>
      </c>
    </row>
    <row r="869">
      <c r="A869" t="inlineStr">
        <is>
          <t>S015</t>
        </is>
      </c>
      <c r="B869" s="3" t="n">
        <v>46268</v>
      </c>
      <c r="C869" t="n">
        <v>11</v>
      </c>
      <c r="D869" t="inlineStr">
        <is>
          <t>Thursday</t>
        </is>
      </c>
      <c r="E869" t="n">
        <v>17</v>
      </c>
      <c r="F869" t="b">
        <v>0</v>
      </c>
      <c r="H869" t="b">
        <v>0</v>
      </c>
    </row>
    <row r="870">
      <c r="A870" t="inlineStr">
        <is>
          <t>S015</t>
        </is>
      </c>
      <c r="B870" s="3" t="n">
        <v>46268</v>
      </c>
      <c r="C870" t="n">
        <v>12</v>
      </c>
      <c r="D870" t="inlineStr">
        <is>
          <t>Thursday</t>
        </is>
      </c>
      <c r="E870" t="n">
        <v>19</v>
      </c>
      <c r="F870" t="b">
        <v>0</v>
      </c>
      <c r="H870" t="b">
        <v>0</v>
      </c>
    </row>
    <row r="871">
      <c r="A871" t="inlineStr">
        <is>
          <t>S015</t>
        </is>
      </c>
      <c r="B871" s="3" t="n">
        <v>46268</v>
      </c>
      <c r="C871" t="n">
        <v>13</v>
      </c>
      <c r="D871" t="inlineStr">
        <is>
          <t>Thursday</t>
        </is>
      </c>
      <c r="E871" t="n">
        <v>31</v>
      </c>
      <c r="F871" t="b">
        <v>0</v>
      </c>
      <c r="H871" t="b">
        <v>0</v>
      </c>
    </row>
    <row r="872">
      <c r="A872" t="inlineStr">
        <is>
          <t>S015</t>
        </is>
      </c>
      <c r="B872" s="3" t="n">
        <v>46268</v>
      </c>
      <c r="C872" t="n">
        <v>14</v>
      </c>
      <c r="D872" t="inlineStr">
        <is>
          <t>Thursday</t>
        </is>
      </c>
      <c r="E872" t="n">
        <v>17</v>
      </c>
      <c r="F872" t="b">
        <v>0</v>
      </c>
      <c r="G872" t="inlineStr">
        <is>
          <t>Light</t>
        </is>
      </c>
      <c r="H872" t="b">
        <v>0</v>
      </c>
    </row>
    <row r="873">
      <c r="A873" t="inlineStr">
        <is>
          <t>S015</t>
        </is>
      </c>
      <c r="B873" s="3" t="n">
        <v>46268</v>
      </c>
      <c r="C873" t="n">
        <v>15</v>
      </c>
      <c r="D873" t="inlineStr">
        <is>
          <t>Thursday</t>
        </is>
      </c>
      <c r="E873" t="n">
        <v>19</v>
      </c>
      <c r="F873" t="b">
        <v>0</v>
      </c>
      <c r="H873" t="b">
        <v>0</v>
      </c>
    </row>
    <row r="874">
      <c r="A874" t="inlineStr">
        <is>
          <t>S015</t>
        </is>
      </c>
      <c r="B874" s="3" t="n">
        <v>46268</v>
      </c>
      <c r="C874" t="n">
        <v>16</v>
      </c>
      <c r="D874" t="inlineStr">
        <is>
          <t>Thursday</t>
        </is>
      </c>
      <c r="E874" t="n">
        <v>24</v>
      </c>
      <c r="F874" t="b">
        <v>0</v>
      </c>
      <c r="G874" t="inlineStr">
        <is>
          <t>Light</t>
        </is>
      </c>
      <c r="H874" t="b">
        <v>0</v>
      </c>
    </row>
    <row r="875">
      <c r="A875" t="inlineStr">
        <is>
          <t>S015</t>
        </is>
      </c>
      <c r="B875" s="3" t="n">
        <v>46268</v>
      </c>
      <c r="C875" t="n">
        <v>17</v>
      </c>
      <c r="D875" t="inlineStr">
        <is>
          <t>Thursday</t>
        </is>
      </c>
      <c r="E875" t="n">
        <v>24</v>
      </c>
      <c r="F875" t="b">
        <v>0</v>
      </c>
      <c r="H875" t="b">
        <v>0</v>
      </c>
    </row>
    <row r="876">
      <c r="A876" t="inlineStr">
        <is>
          <t>S015</t>
        </is>
      </c>
      <c r="B876" s="3" t="n">
        <v>46268</v>
      </c>
      <c r="C876" t="n">
        <v>18</v>
      </c>
      <c r="D876" t="inlineStr">
        <is>
          <t>Thursday</t>
        </is>
      </c>
      <c r="E876" t="n">
        <v>23</v>
      </c>
      <c r="F876" t="b">
        <v>0</v>
      </c>
      <c r="H876" t="b">
        <v>0</v>
      </c>
    </row>
    <row r="877">
      <c r="A877" t="inlineStr">
        <is>
          <t>S015</t>
        </is>
      </c>
      <c r="B877" s="3" t="n">
        <v>46268</v>
      </c>
      <c r="C877" t="n">
        <v>19</v>
      </c>
      <c r="D877" t="inlineStr">
        <is>
          <t>Thursday</t>
        </is>
      </c>
      <c r="E877" t="n">
        <v>34</v>
      </c>
      <c r="F877" t="b">
        <v>1</v>
      </c>
      <c r="H877" t="b">
        <v>0</v>
      </c>
    </row>
    <row r="878">
      <c r="A878" t="inlineStr">
        <is>
          <t>S015</t>
        </is>
      </c>
      <c r="B878" s="3" t="n">
        <v>46268</v>
      </c>
      <c r="C878" t="n">
        <v>20</v>
      </c>
      <c r="D878" t="inlineStr">
        <is>
          <t>Thursday</t>
        </is>
      </c>
      <c r="E878" t="n">
        <v>32</v>
      </c>
      <c r="F878" t="b">
        <v>1</v>
      </c>
      <c r="G878" t="inlineStr">
        <is>
          <t>Heavy</t>
        </is>
      </c>
      <c r="H878" t="b">
        <v>0</v>
      </c>
    </row>
    <row r="879">
      <c r="A879" t="inlineStr">
        <is>
          <t>S015</t>
        </is>
      </c>
      <c r="B879" s="3" t="n">
        <v>46268</v>
      </c>
      <c r="C879" t="n">
        <v>21</v>
      </c>
      <c r="D879" t="inlineStr">
        <is>
          <t>Thursday</t>
        </is>
      </c>
      <c r="E879" t="n">
        <v>44</v>
      </c>
      <c r="F879" t="b">
        <v>1</v>
      </c>
      <c r="H879" t="b">
        <v>0</v>
      </c>
    </row>
    <row r="880">
      <c r="A880" t="inlineStr">
        <is>
          <t>S015</t>
        </is>
      </c>
      <c r="B880" s="3" t="n">
        <v>46268</v>
      </c>
      <c r="C880" t="n">
        <v>22</v>
      </c>
      <c r="D880" t="inlineStr">
        <is>
          <t>Thursday</t>
        </is>
      </c>
      <c r="E880" t="n">
        <v>25</v>
      </c>
      <c r="F880" t="b">
        <v>0</v>
      </c>
      <c r="H880" t="b">
        <v>0</v>
      </c>
    </row>
    <row r="881">
      <c r="A881" t="inlineStr">
        <is>
          <t>S015</t>
        </is>
      </c>
      <c r="B881" s="3" t="n">
        <v>46268</v>
      </c>
      <c r="C881" t="n">
        <v>23</v>
      </c>
      <c r="D881" t="inlineStr">
        <is>
          <t>Thursday</t>
        </is>
      </c>
      <c r="E881" t="n">
        <v>20</v>
      </c>
      <c r="F881" t="b">
        <v>0</v>
      </c>
      <c r="H881" t="b">
        <v>0</v>
      </c>
    </row>
    <row r="882">
      <c r="A882" t="inlineStr">
        <is>
          <t>S016</t>
        </is>
      </c>
      <c r="B882" s="3" t="n">
        <v>46268</v>
      </c>
      <c r="C882" t="n">
        <v>8</v>
      </c>
      <c r="D882" t="inlineStr">
        <is>
          <t>Thursday</t>
        </is>
      </c>
      <c r="E882" t="n">
        <v>20</v>
      </c>
      <c r="F882" t="b">
        <v>0</v>
      </c>
      <c r="H882" t="b">
        <v>0</v>
      </c>
    </row>
    <row r="883">
      <c r="A883" t="inlineStr">
        <is>
          <t>S016</t>
        </is>
      </c>
      <c r="B883" s="3" t="n">
        <v>46268</v>
      </c>
      <c r="C883" t="n">
        <v>9</v>
      </c>
      <c r="D883" t="inlineStr">
        <is>
          <t>Thursday</t>
        </is>
      </c>
      <c r="E883" t="n">
        <v>18</v>
      </c>
      <c r="F883" t="b">
        <v>0</v>
      </c>
      <c r="H883" t="b">
        <v>0</v>
      </c>
    </row>
    <row r="884">
      <c r="A884" t="inlineStr">
        <is>
          <t>S016</t>
        </is>
      </c>
      <c r="B884" s="3" t="n">
        <v>46268</v>
      </c>
      <c r="C884" t="n">
        <v>10</v>
      </c>
      <c r="D884" t="inlineStr">
        <is>
          <t>Thursday</t>
        </is>
      </c>
      <c r="E884" t="n">
        <v>11</v>
      </c>
      <c r="F884" t="b">
        <v>0</v>
      </c>
      <c r="H884" t="b">
        <v>0</v>
      </c>
    </row>
    <row r="885">
      <c r="A885" t="inlineStr">
        <is>
          <t>S016</t>
        </is>
      </c>
      <c r="B885" s="3" t="n">
        <v>46268</v>
      </c>
      <c r="C885" t="n">
        <v>11</v>
      </c>
      <c r="D885" t="inlineStr">
        <is>
          <t>Thursday</t>
        </is>
      </c>
      <c r="E885" t="n">
        <v>30</v>
      </c>
      <c r="F885" t="b">
        <v>0</v>
      </c>
      <c r="G885" t="inlineStr">
        <is>
          <t>Heavy</t>
        </is>
      </c>
      <c r="H885" t="b">
        <v>0</v>
      </c>
    </row>
    <row r="886">
      <c r="A886" t="inlineStr">
        <is>
          <t>S016</t>
        </is>
      </c>
      <c r="B886" s="3" t="n">
        <v>46268</v>
      </c>
      <c r="C886" t="n">
        <v>12</v>
      </c>
      <c r="D886" t="inlineStr">
        <is>
          <t>Thursday</t>
        </is>
      </c>
      <c r="E886" t="n">
        <v>27</v>
      </c>
      <c r="F886" t="b">
        <v>0</v>
      </c>
      <c r="H886" t="b">
        <v>0</v>
      </c>
    </row>
    <row r="887">
      <c r="A887" t="inlineStr">
        <is>
          <t>S016</t>
        </is>
      </c>
      <c r="B887" s="3" t="n">
        <v>46268</v>
      </c>
      <c r="C887" t="n">
        <v>13</v>
      </c>
      <c r="D887" t="inlineStr">
        <is>
          <t>Thursday</t>
        </is>
      </c>
      <c r="E887" t="n">
        <v>22</v>
      </c>
      <c r="F887" t="b">
        <v>0</v>
      </c>
      <c r="H887" t="b">
        <v>0</v>
      </c>
    </row>
    <row r="888">
      <c r="A888" t="inlineStr">
        <is>
          <t>S016</t>
        </is>
      </c>
      <c r="B888" s="3" t="n">
        <v>46268</v>
      </c>
      <c r="C888" t="n">
        <v>14</v>
      </c>
      <c r="D888" t="inlineStr">
        <is>
          <t>Thursday</t>
        </is>
      </c>
      <c r="E888" t="n">
        <v>32</v>
      </c>
      <c r="F888" t="b">
        <v>0</v>
      </c>
      <c r="H888" t="b">
        <v>0</v>
      </c>
    </row>
    <row r="889">
      <c r="A889" t="inlineStr">
        <is>
          <t>S016</t>
        </is>
      </c>
      <c r="B889" s="3" t="n">
        <v>46268</v>
      </c>
      <c r="C889" t="n">
        <v>15</v>
      </c>
      <c r="D889" t="inlineStr">
        <is>
          <t>Thursday</t>
        </is>
      </c>
      <c r="E889" t="n">
        <v>21</v>
      </c>
      <c r="F889" t="b">
        <v>0</v>
      </c>
      <c r="H889" t="b">
        <v>0</v>
      </c>
    </row>
    <row r="890">
      <c r="A890" t="inlineStr">
        <is>
          <t>S016</t>
        </is>
      </c>
      <c r="B890" s="3" t="n">
        <v>46268</v>
      </c>
      <c r="C890" t="n">
        <v>16</v>
      </c>
      <c r="D890" t="inlineStr">
        <is>
          <t>Thursday</t>
        </is>
      </c>
      <c r="E890" t="n">
        <v>30</v>
      </c>
      <c r="F890" t="b">
        <v>0</v>
      </c>
      <c r="H890" t="b">
        <v>0</v>
      </c>
    </row>
    <row r="891">
      <c r="A891" t="inlineStr">
        <is>
          <t>S016</t>
        </is>
      </c>
      <c r="B891" s="3" t="n">
        <v>46268</v>
      </c>
      <c r="C891" t="n">
        <v>17</v>
      </c>
      <c r="D891" t="inlineStr">
        <is>
          <t>Thursday</t>
        </is>
      </c>
      <c r="E891" t="n">
        <v>19</v>
      </c>
      <c r="F891" t="b">
        <v>0</v>
      </c>
      <c r="G891" t="inlineStr">
        <is>
          <t>Heavy</t>
        </is>
      </c>
      <c r="H891" t="b">
        <v>0</v>
      </c>
    </row>
    <row r="892">
      <c r="A892" t="inlineStr">
        <is>
          <t>S016</t>
        </is>
      </c>
      <c r="B892" s="3" t="n">
        <v>46268</v>
      </c>
      <c r="C892" t="n">
        <v>18</v>
      </c>
      <c r="D892" t="inlineStr">
        <is>
          <t>Thursday</t>
        </is>
      </c>
      <c r="E892" t="n">
        <v>21</v>
      </c>
      <c r="F892" t="b">
        <v>0</v>
      </c>
      <c r="H892" t="b">
        <v>0</v>
      </c>
    </row>
    <row r="893">
      <c r="A893" t="inlineStr">
        <is>
          <t>S016</t>
        </is>
      </c>
      <c r="B893" s="3" t="n">
        <v>46268</v>
      </c>
      <c r="C893" t="n">
        <v>19</v>
      </c>
      <c r="D893" t="inlineStr">
        <is>
          <t>Thursday</t>
        </is>
      </c>
      <c r="E893" t="n">
        <v>42</v>
      </c>
      <c r="F893" t="b">
        <v>1</v>
      </c>
      <c r="G893" t="inlineStr">
        <is>
          <t>Heavy</t>
        </is>
      </c>
      <c r="H893" t="b">
        <v>1</v>
      </c>
    </row>
    <row r="894">
      <c r="A894" t="inlineStr">
        <is>
          <t>S016</t>
        </is>
      </c>
      <c r="B894" s="3" t="n">
        <v>46268</v>
      </c>
      <c r="C894" t="n">
        <v>20</v>
      </c>
      <c r="D894" t="inlineStr">
        <is>
          <t>Thursday</t>
        </is>
      </c>
      <c r="E894" t="n">
        <v>31</v>
      </c>
      <c r="F894" t="b">
        <v>1</v>
      </c>
      <c r="H894" t="b">
        <v>0</v>
      </c>
    </row>
    <row r="895">
      <c r="A895" t="inlineStr">
        <is>
          <t>S016</t>
        </is>
      </c>
      <c r="B895" s="3" t="n">
        <v>46268</v>
      </c>
      <c r="C895" t="n">
        <v>21</v>
      </c>
      <c r="D895" t="inlineStr">
        <is>
          <t>Thursday</t>
        </is>
      </c>
      <c r="E895" t="n">
        <v>40</v>
      </c>
      <c r="F895" t="b">
        <v>1</v>
      </c>
      <c r="G895" t="inlineStr">
        <is>
          <t>Light</t>
        </is>
      </c>
      <c r="H895" t="b">
        <v>0</v>
      </c>
    </row>
    <row r="896">
      <c r="A896" t="inlineStr">
        <is>
          <t>S016</t>
        </is>
      </c>
      <c r="B896" s="3" t="n">
        <v>46268</v>
      </c>
      <c r="C896" t="n">
        <v>22</v>
      </c>
      <c r="D896" t="inlineStr">
        <is>
          <t>Thursday</t>
        </is>
      </c>
      <c r="E896" t="n">
        <v>11</v>
      </c>
      <c r="F896" t="b">
        <v>0</v>
      </c>
      <c r="H896" t="b">
        <v>0</v>
      </c>
    </row>
    <row r="897">
      <c r="A897" t="inlineStr">
        <is>
          <t>S016</t>
        </is>
      </c>
      <c r="B897" s="3" t="n">
        <v>46268</v>
      </c>
      <c r="C897" t="n">
        <v>23</v>
      </c>
      <c r="D897" t="inlineStr">
        <is>
          <t>Thursday</t>
        </is>
      </c>
      <c r="E897" t="n">
        <v>18</v>
      </c>
      <c r="F897" t="b">
        <v>0</v>
      </c>
      <c r="H897" t="b">
        <v>0</v>
      </c>
    </row>
    <row r="898">
      <c r="A898" t="inlineStr">
        <is>
          <t>S017</t>
        </is>
      </c>
      <c r="B898" s="3" t="n">
        <v>46268</v>
      </c>
      <c r="C898" t="n">
        <v>8</v>
      </c>
      <c r="D898" t="inlineStr">
        <is>
          <t>Thursday</t>
        </is>
      </c>
      <c r="E898" t="n">
        <v>32</v>
      </c>
      <c r="F898" t="b">
        <v>0</v>
      </c>
      <c r="H898" t="b">
        <v>0</v>
      </c>
    </row>
    <row r="899">
      <c r="A899" t="inlineStr">
        <is>
          <t>S017</t>
        </is>
      </c>
      <c r="B899" s="3" t="n">
        <v>46268</v>
      </c>
      <c r="C899" t="n">
        <v>9</v>
      </c>
      <c r="D899" t="inlineStr">
        <is>
          <t>Thursday</t>
        </is>
      </c>
      <c r="E899" t="n">
        <v>23</v>
      </c>
      <c r="F899" t="b">
        <v>0</v>
      </c>
      <c r="H899" t="b">
        <v>0</v>
      </c>
    </row>
    <row r="900">
      <c r="A900" t="inlineStr">
        <is>
          <t>S017</t>
        </is>
      </c>
      <c r="B900" s="3" t="n">
        <v>46268</v>
      </c>
      <c r="C900" t="n">
        <v>10</v>
      </c>
      <c r="D900" t="inlineStr">
        <is>
          <t>Thursday</t>
        </is>
      </c>
      <c r="E900" t="n">
        <v>27</v>
      </c>
      <c r="F900" t="b">
        <v>0</v>
      </c>
      <c r="H900" t="b">
        <v>0</v>
      </c>
    </row>
    <row r="901">
      <c r="A901" t="inlineStr">
        <is>
          <t>S017</t>
        </is>
      </c>
      <c r="B901" s="3" t="n">
        <v>46268</v>
      </c>
      <c r="C901" t="n">
        <v>11</v>
      </c>
      <c r="D901" t="inlineStr">
        <is>
          <t>Thursday</t>
        </is>
      </c>
      <c r="E901" t="n">
        <v>35</v>
      </c>
      <c r="F901" t="b">
        <v>0</v>
      </c>
      <c r="H901" t="b">
        <v>1</v>
      </c>
    </row>
    <row r="902">
      <c r="A902" t="inlineStr">
        <is>
          <t>S017</t>
        </is>
      </c>
      <c r="B902" s="3" t="n">
        <v>46268</v>
      </c>
      <c r="C902" t="n">
        <v>12</v>
      </c>
      <c r="D902" t="inlineStr">
        <is>
          <t>Thursday</t>
        </is>
      </c>
      <c r="E902" t="n">
        <v>38</v>
      </c>
      <c r="F902" t="b">
        <v>0</v>
      </c>
      <c r="G902" t="inlineStr">
        <is>
          <t>Light</t>
        </is>
      </c>
      <c r="H902" t="b">
        <v>0</v>
      </c>
    </row>
    <row r="903">
      <c r="A903" t="inlineStr">
        <is>
          <t>S017</t>
        </is>
      </c>
      <c r="B903" s="3" t="n">
        <v>46268</v>
      </c>
      <c r="C903" t="n">
        <v>13</v>
      </c>
      <c r="D903" t="inlineStr">
        <is>
          <t>Thursday</t>
        </is>
      </c>
      <c r="E903" t="n">
        <v>40</v>
      </c>
      <c r="F903" t="b">
        <v>0</v>
      </c>
      <c r="H903" t="b">
        <v>0</v>
      </c>
    </row>
    <row r="904">
      <c r="A904" t="inlineStr">
        <is>
          <t>S017</t>
        </is>
      </c>
      <c r="B904" s="3" t="n">
        <v>46268</v>
      </c>
      <c r="C904" t="n">
        <v>14</v>
      </c>
      <c r="D904" t="inlineStr">
        <is>
          <t>Thursday</t>
        </is>
      </c>
      <c r="E904" t="n">
        <v>28</v>
      </c>
      <c r="F904" t="b">
        <v>0</v>
      </c>
      <c r="G904" t="inlineStr">
        <is>
          <t>Heavy</t>
        </is>
      </c>
      <c r="H904" t="b">
        <v>0</v>
      </c>
    </row>
    <row r="905">
      <c r="A905" t="inlineStr">
        <is>
          <t>S017</t>
        </is>
      </c>
      <c r="B905" s="3" t="n">
        <v>46268</v>
      </c>
      <c r="C905" t="n">
        <v>15</v>
      </c>
      <c r="D905" t="inlineStr">
        <is>
          <t>Thursday</t>
        </is>
      </c>
      <c r="E905" t="n">
        <v>26</v>
      </c>
      <c r="F905" t="b">
        <v>0</v>
      </c>
      <c r="G905" t="inlineStr">
        <is>
          <t>Light</t>
        </is>
      </c>
      <c r="H905" t="b">
        <v>0</v>
      </c>
    </row>
    <row r="906">
      <c r="A906" t="inlineStr">
        <is>
          <t>S017</t>
        </is>
      </c>
      <c r="B906" s="3" t="n">
        <v>46268</v>
      </c>
      <c r="C906" t="n">
        <v>16</v>
      </c>
      <c r="D906" t="inlineStr">
        <is>
          <t>Thursday</t>
        </is>
      </c>
      <c r="E906" t="n">
        <v>35</v>
      </c>
      <c r="F906" t="b">
        <v>0</v>
      </c>
      <c r="H906" t="b">
        <v>0</v>
      </c>
    </row>
    <row r="907">
      <c r="A907" t="inlineStr">
        <is>
          <t>S017</t>
        </is>
      </c>
      <c r="B907" s="3" t="n">
        <v>46268</v>
      </c>
      <c r="C907" t="n">
        <v>17</v>
      </c>
      <c r="D907" t="inlineStr">
        <is>
          <t>Thursday</t>
        </is>
      </c>
      <c r="E907" t="n">
        <v>41</v>
      </c>
      <c r="F907" t="b">
        <v>0</v>
      </c>
      <c r="H907" t="b">
        <v>0</v>
      </c>
    </row>
    <row r="908">
      <c r="A908" t="inlineStr">
        <is>
          <t>S017</t>
        </is>
      </c>
      <c r="B908" s="3" t="n">
        <v>46268</v>
      </c>
      <c r="C908" t="n">
        <v>18</v>
      </c>
      <c r="D908" t="inlineStr">
        <is>
          <t>Thursday</t>
        </is>
      </c>
      <c r="E908" t="n">
        <v>36</v>
      </c>
      <c r="F908" t="b">
        <v>0</v>
      </c>
      <c r="H908" t="b">
        <v>0</v>
      </c>
    </row>
    <row r="909">
      <c r="A909" t="inlineStr">
        <is>
          <t>S017</t>
        </is>
      </c>
      <c r="B909" s="3" t="n">
        <v>46268</v>
      </c>
      <c r="C909" t="n">
        <v>19</v>
      </c>
      <c r="D909" t="inlineStr">
        <is>
          <t>Thursday</t>
        </is>
      </c>
      <c r="E909" t="n">
        <v>48</v>
      </c>
      <c r="F909" t="b">
        <v>1</v>
      </c>
      <c r="H909" t="b">
        <v>0</v>
      </c>
    </row>
    <row r="910">
      <c r="A910" t="inlineStr">
        <is>
          <t>S017</t>
        </is>
      </c>
      <c r="B910" s="3" t="n">
        <v>46268</v>
      </c>
      <c r="C910" t="n">
        <v>20</v>
      </c>
      <c r="D910" t="inlineStr">
        <is>
          <t>Thursday</t>
        </is>
      </c>
      <c r="E910" t="n">
        <v>60</v>
      </c>
      <c r="F910" t="b">
        <v>1</v>
      </c>
      <c r="H910" t="b">
        <v>0</v>
      </c>
    </row>
    <row r="911">
      <c r="A911" t="inlineStr">
        <is>
          <t>S017</t>
        </is>
      </c>
      <c r="B911" s="3" t="n">
        <v>46268</v>
      </c>
      <c r="C911" t="n">
        <v>21</v>
      </c>
      <c r="D911" t="inlineStr">
        <is>
          <t>Thursday</t>
        </is>
      </c>
      <c r="E911" t="n">
        <v>50</v>
      </c>
      <c r="F911" t="b">
        <v>1</v>
      </c>
      <c r="H911" t="b">
        <v>0</v>
      </c>
    </row>
    <row r="912">
      <c r="A912" t="inlineStr">
        <is>
          <t>S017</t>
        </is>
      </c>
      <c r="B912" s="3" t="n">
        <v>46268</v>
      </c>
      <c r="C912" t="n">
        <v>22</v>
      </c>
      <c r="D912" t="inlineStr">
        <is>
          <t>Thursday</t>
        </is>
      </c>
      <c r="E912" t="n">
        <v>29</v>
      </c>
      <c r="F912" t="b">
        <v>0</v>
      </c>
      <c r="G912" t="inlineStr">
        <is>
          <t>Light</t>
        </is>
      </c>
      <c r="H912" t="b">
        <v>0</v>
      </c>
    </row>
    <row r="913">
      <c r="A913" t="inlineStr">
        <is>
          <t>S017</t>
        </is>
      </c>
      <c r="B913" s="3" t="n">
        <v>46268</v>
      </c>
      <c r="C913" t="n">
        <v>23</v>
      </c>
      <c r="D913" t="inlineStr">
        <is>
          <t>Thursday</t>
        </is>
      </c>
      <c r="E913" t="n">
        <v>42</v>
      </c>
      <c r="F913" t="b">
        <v>0</v>
      </c>
      <c r="H913" t="b">
        <v>0</v>
      </c>
    </row>
    <row r="914">
      <c r="A914" t="inlineStr">
        <is>
          <t>S018</t>
        </is>
      </c>
      <c r="B914" s="3" t="n">
        <v>46268</v>
      </c>
      <c r="C914" t="n">
        <v>8</v>
      </c>
      <c r="D914" t="inlineStr">
        <is>
          <t>Thursday</t>
        </is>
      </c>
      <c r="E914" t="n">
        <v>18</v>
      </c>
      <c r="F914" t="b">
        <v>0</v>
      </c>
      <c r="H914" t="b">
        <v>0</v>
      </c>
    </row>
    <row r="915">
      <c r="A915" t="inlineStr">
        <is>
          <t>S018</t>
        </is>
      </c>
      <c r="B915" s="3" t="n">
        <v>46268</v>
      </c>
      <c r="C915" t="n">
        <v>9</v>
      </c>
      <c r="D915" t="inlineStr">
        <is>
          <t>Thursday</t>
        </is>
      </c>
      <c r="E915" t="n">
        <v>14</v>
      </c>
      <c r="F915" t="b">
        <v>0</v>
      </c>
      <c r="H915" t="b">
        <v>0</v>
      </c>
    </row>
    <row r="916">
      <c r="A916" t="inlineStr">
        <is>
          <t>S018</t>
        </is>
      </c>
      <c r="B916" s="3" t="n">
        <v>46268</v>
      </c>
      <c r="C916" t="n">
        <v>10</v>
      </c>
      <c r="D916" t="inlineStr">
        <is>
          <t>Thursday</t>
        </is>
      </c>
      <c r="E916" t="n">
        <v>12</v>
      </c>
      <c r="F916" t="b">
        <v>0</v>
      </c>
      <c r="H916" t="b">
        <v>1</v>
      </c>
    </row>
    <row r="917">
      <c r="A917" t="inlineStr">
        <is>
          <t>S018</t>
        </is>
      </c>
      <c r="B917" s="3" t="n">
        <v>46268</v>
      </c>
      <c r="C917" t="n">
        <v>11</v>
      </c>
      <c r="D917" t="inlineStr">
        <is>
          <t>Thursday</t>
        </is>
      </c>
      <c r="E917" t="n">
        <v>22</v>
      </c>
      <c r="F917" t="b">
        <v>0</v>
      </c>
      <c r="H917" t="b">
        <v>0</v>
      </c>
    </row>
    <row r="918">
      <c r="A918" t="inlineStr">
        <is>
          <t>S018</t>
        </is>
      </c>
      <c r="B918" s="3" t="n">
        <v>46268</v>
      </c>
      <c r="C918" t="n">
        <v>12</v>
      </c>
      <c r="D918" t="inlineStr">
        <is>
          <t>Thursday</t>
        </is>
      </c>
      <c r="E918" t="n">
        <v>19</v>
      </c>
      <c r="F918" t="b">
        <v>0</v>
      </c>
      <c r="H918" t="b">
        <v>0</v>
      </c>
    </row>
    <row r="919">
      <c r="A919" t="inlineStr">
        <is>
          <t>S018</t>
        </is>
      </c>
      <c r="B919" s="3" t="n">
        <v>46268</v>
      </c>
      <c r="C919" t="n">
        <v>13</v>
      </c>
      <c r="D919" t="inlineStr">
        <is>
          <t>Thursday</t>
        </is>
      </c>
      <c r="E919" t="n">
        <v>15</v>
      </c>
      <c r="F919" t="b">
        <v>0</v>
      </c>
      <c r="G919" t="inlineStr">
        <is>
          <t>Light</t>
        </is>
      </c>
      <c r="H919" t="b">
        <v>0</v>
      </c>
    </row>
    <row r="920">
      <c r="A920" t="inlineStr">
        <is>
          <t>S018</t>
        </is>
      </c>
      <c r="B920" s="3" t="n">
        <v>46268</v>
      </c>
      <c r="C920" t="n">
        <v>14</v>
      </c>
      <c r="D920" t="inlineStr">
        <is>
          <t>Thursday</t>
        </is>
      </c>
      <c r="E920" t="n">
        <v>16</v>
      </c>
      <c r="F920" t="b">
        <v>0</v>
      </c>
      <c r="H920" t="b">
        <v>0</v>
      </c>
    </row>
    <row r="921">
      <c r="A921" t="inlineStr">
        <is>
          <t>S018</t>
        </is>
      </c>
      <c r="B921" s="3" t="n">
        <v>46268</v>
      </c>
      <c r="C921" t="n">
        <v>15</v>
      </c>
      <c r="D921" t="inlineStr">
        <is>
          <t>Thursday</t>
        </is>
      </c>
      <c r="E921" t="n">
        <v>14</v>
      </c>
      <c r="F921" t="b">
        <v>0</v>
      </c>
      <c r="G921" t="inlineStr">
        <is>
          <t>Light</t>
        </is>
      </c>
      <c r="H921" t="b">
        <v>0</v>
      </c>
    </row>
    <row r="922">
      <c r="A922" t="inlineStr">
        <is>
          <t>S018</t>
        </is>
      </c>
      <c r="B922" s="3" t="n">
        <v>46268</v>
      </c>
      <c r="C922" t="n">
        <v>16</v>
      </c>
      <c r="D922" t="inlineStr">
        <is>
          <t>Thursday</t>
        </is>
      </c>
      <c r="E922" t="n">
        <v>17</v>
      </c>
      <c r="F922" t="b">
        <v>0</v>
      </c>
      <c r="H922" t="b">
        <v>0</v>
      </c>
    </row>
    <row r="923">
      <c r="A923" t="inlineStr">
        <is>
          <t>S018</t>
        </is>
      </c>
      <c r="B923" s="3" t="n">
        <v>46268</v>
      </c>
      <c r="C923" t="n">
        <v>17</v>
      </c>
      <c r="D923" t="inlineStr">
        <is>
          <t>Thursday</t>
        </is>
      </c>
      <c r="E923" t="n">
        <v>22</v>
      </c>
      <c r="F923" t="b">
        <v>0</v>
      </c>
      <c r="H923" t="b">
        <v>0</v>
      </c>
    </row>
    <row r="924">
      <c r="A924" t="inlineStr">
        <is>
          <t>S018</t>
        </is>
      </c>
      <c r="B924" s="3" t="n">
        <v>46268</v>
      </c>
      <c r="C924" t="n">
        <v>18</v>
      </c>
      <c r="D924" t="inlineStr">
        <is>
          <t>Thursday</t>
        </is>
      </c>
      <c r="E924" t="n">
        <v>17</v>
      </c>
      <c r="F924" t="b">
        <v>0</v>
      </c>
      <c r="H924" t="b">
        <v>0</v>
      </c>
    </row>
    <row r="925">
      <c r="A925" t="inlineStr">
        <is>
          <t>S018</t>
        </is>
      </c>
      <c r="B925" s="3" t="n">
        <v>46268</v>
      </c>
      <c r="C925" t="n">
        <v>19</v>
      </c>
      <c r="D925" t="inlineStr">
        <is>
          <t>Thursday</t>
        </is>
      </c>
      <c r="E925" t="n">
        <v>38</v>
      </c>
      <c r="F925" t="b">
        <v>1</v>
      </c>
      <c r="H925" t="b">
        <v>0</v>
      </c>
    </row>
    <row r="926">
      <c r="A926" t="inlineStr">
        <is>
          <t>S018</t>
        </is>
      </c>
      <c r="B926" s="3" t="n">
        <v>46268</v>
      </c>
      <c r="C926" t="n">
        <v>20</v>
      </c>
      <c r="D926" t="inlineStr">
        <is>
          <t>Thursday</t>
        </is>
      </c>
      <c r="E926" t="n">
        <v>18</v>
      </c>
      <c r="F926" t="b">
        <v>1</v>
      </c>
      <c r="H926" t="b">
        <v>0</v>
      </c>
    </row>
    <row r="927">
      <c r="A927" t="inlineStr">
        <is>
          <t>S018</t>
        </is>
      </c>
      <c r="B927" s="3" t="n">
        <v>46268</v>
      </c>
      <c r="C927" t="n">
        <v>21</v>
      </c>
      <c r="D927" t="inlineStr">
        <is>
          <t>Thursday</t>
        </is>
      </c>
      <c r="E927" t="n">
        <v>30</v>
      </c>
      <c r="F927" t="b">
        <v>1</v>
      </c>
      <c r="G927" t="inlineStr">
        <is>
          <t>Light</t>
        </is>
      </c>
      <c r="H927" t="b">
        <v>0</v>
      </c>
    </row>
    <row r="928">
      <c r="A928" t="inlineStr">
        <is>
          <t>S018</t>
        </is>
      </c>
      <c r="B928" s="3" t="n">
        <v>46268</v>
      </c>
      <c r="C928" t="n">
        <v>22</v>
      </c>
      <c r="D928" t="inlineStr">
        <is>
          <t>Thursday</t>
        </is>
      </c>
      <c r="E928" t="n">
        <v>8</v>
      </c>
      <c r="F928" t="b">
        <v>0</v>
      </c>
      <c r="H928" t="b">
        <v>0</v>
      </c>
    </row>
    <row r="929">
      <c r="A929" t="inlineStr">
        <is>
          <t>S018</t>
        </is>
      </c>
      <c r="B929" s="3" t="n">
        <v>46268</v>
      </c>
      <c r="C929" t="n">
        <v>23</v>
      </c>
      <c r="D929" t="inlineStr">
        <is>
          <t>Thursday</t>
        </is>
      </c>
      <c r="E929" t="n">
        <v>21</v>
      </c>
      <c r="F929" t="b">
        <v>0</v>
      </c>
      <c r="H929" t="b">
        <v>0</v>
      </c>
    </row>
    <row r="930">
      <c r="A930" t="inlineStr">
        <is>
          <t>S019</t>
        </is>
      </c>
      <c r="B930" s="3" t="n">
        <v>46268</v>
      </c>
      <c r="C930" t="n">
        <v>8</v>
      </c>
      <c r="D930" t="inlineStr">
        <is>
          <t>Thursday</t>
        </is>
      </c>
      <c r="E930" t="n">
        <v>17</v>
      </c>
      <c r="F930" t="b">
        <v>0</v>
      </c>
      <c r="G930" t="inlineStr">
        <is>
          <t>Light</t>
        </is>
      </c>
      <c r="H930" t="b">
        <v>0</v>
      </c>
    </row>
    <row r="931">
      <c r="A931" t="inlineStr">
        <is>
          <t>S019</t>
        </is>
      </c>
      <c r="B931" s="3" t="n">
        <v>46268</v>
      </c>
      <c r="C931" t="n">
        <v>9</v>
      </c>
      <c r="D931" t="inlineStr">
        <is>
          <t>Thursday</t>
        </is>
      </c>
      <c r="E931" t="n">
        <v>21</v>
      </c>
      <c r="F931" t="b">
        <v>0</v>
      </c>
      <c r="H931" t="b">
        <v>0</v>
      </c>
    </row>
    <row r="932">
      <c r="A932" t="inlineStr">
        <is>
          <t>S019</t>
        </is>
      </c>
      <c r="B932" s="3" t="n">
        <v>46268</v>
      </c>
      <c r="C932" t="n">
        <v>10</v>
      </c>
      <c r="D932" t="inlineStr">
        <is>
          <t>Thursday</t>
        </is>
      </c>
      <c r="E932" t="n">
        <v>20</v>
      </c>
      <c r="F932" t="b">
        <v>0</v>
      </c>
      <c r="H932" t="b">
        <v>0</v>
      </c>
    </row>
    <row r="933">
      <c r="A933" t="inlineStr">
        <is>
          <t>S019</t>
        </is>
      </c>
      <c r="B933" s="3" t="n">
        <v>46268</v>
      </c>
      <c r="C933" t="n">
        <v>11</v>
      </c>
      <c r="D933" t="inlineStr">
        <is>
          <t>Thursday</t>
        </is>
      </c>
      <c r="E933" t="n">
        <v>22</v>
      </c>
      <c r="F933" t="b">
        <v>0</v>
      </c>
      <c r="H933" t="b">
        <v>0</v>
      </c>
    </row>
    <row r="934">
      <c r="A934" t="inlineStr">
        <is>
          <t>S019</t>
        </is>
      </c>
      <c r="B934" s="3" t="n">
        <v>46268</v>
      </c>
      <c r="C934" t="n">
        <v>12</v>
      </c>
      <c r="D934" t="inlineStr">
        <is>
          <t>Thursday</t>
        </is>
      </c>
      <c r="E934" t="n">
        <v>23</v>
      </c>
      <c r="F934" t="b">
        <v>0</v>
      </c>
      <c r="G934" t="inlineStr">
        <is>
          <t>Light</t>
        </is>
      </c>
      <c r="H934" t="b">
        <v>0</v>
      </c>
    </row>
    <row r="935">
      <c r="A935" t="inlineStr">
        <is>
          <t>S019</t>
        </is>
      </c>
      <c r="B935" s="3" t="n">
        <v>46268</v>
      </c>
      <c r="C935" t="n">
        <v>13</v>
      </c>
      <c r="D935" t="inlineStr">
        <is>
          <t>Thursday</t>
        </is>
      </c>
      <c r="E935" t="n">
        <v>25</v>
      </c>
      <c r="F935" t="b">
        <v>0</v>
      </c>
      <c r="H935" t="b">
        <v>0</v>
      </c>
    </row>
    <row r="936">
      <c r="A936" t="inlineStr">
        <is>
          <t>S019</t>
        </is>
      </c>
      <c r="B936" s="3" t="n">
        <v>46268</v>
      </c>
      <c r="C936" t="n">
        <v>14</v>
      </c>
      <c r="D936" t="inlineStr">
        <is>
          <t>Thursday</t>
        </is>
      </c>
      <c r="E936" t="n">
        <v>9</v>
      </c>
      <c r="F936" t="b">
        <v>0</v>
      </c>
      <c r="G936" t="inlineStr">
        <is>
          <t>Light</t>
        </is>
      </c>
      <c r="H936" t="b">
        <v>0</v>
      </c>
    </row>
    <row r="937">
      <c r="A937" t="inlineStr">
        <is>
          <t>S019</t>
        </is>
      </c>
      <c r="B937" s="3" t="n">
        <v>46268</v>
      </c>
      <c r="C937" t="n">
        <v>15</v>
      </c>
      <c r="D937" t="inlineStr">
        <is>
          <t>Thursday</t>
        </is>
      </c>
      <c r="E937" t="n">
        <v>27</v>
      </c>
      <c r="F937" t="b">
        <v>0</v>
      </c>
      <c r="H937" t="b">
        <v>0</v>
      </c>
    </row>
    <row r="938">
      <c r="A938" t="inlineStr">
        <is>
          <t>S019</t>
        </is>
      </c>
      <c r="B938" s="3" t="n">
        <v>46268</v>
      </c>
      <c r="C938" t="n">
        <v>16</v>
      </c>
      <c r="D938" t="inlineStr">
        <is>
          <t>Thursday</t>
        </is>
      </c>
      <c r="E938" t="n">
        <v>26</v>
      </c>
      <c r="F938" t="b">
        <v>0</v>
      </c>
      <c r="H938" t="b">
        <v>0</v>
      </c>
    </row>
    <row r="939">
      <c r="A939" t="inlineStr">
        <is>
          <t>S019</t>
        </is>
      </c>
      <c r="B939" s="3" t="n">
        <v>46268</v>
      </c>
      <c r="C939" t="n">
        <v>17</v>
      </c>
      <c r="D939" t="inlineStr">
        <is>
          <t>Thursday</t>
        </is>
      </c>
      <c r="E939" t="n">
        <v>26</v>
      </c>
      <c r="F939" t="b">
        <v>0</v>
      </c>
      <c r="H939" t="b">
        <v>0</v>
      </c>
    </row>
    <row r="940">
      <c r="A940" t="inlineStr">
        <is>
          <t>S019</t>
        </is>
      </c>
      <c r="B940" s="3" t="n">
        <v>46268</v>
      </c>
      <c r="C940" t="n">
        <v>18</v>
      </c>
      <c r="D940" t="inlineStr">
        <is>
          <t>Thursday</t>
        </is>
      </c>
      <c r="E940" t="n">
        <v>28</v>
      </c>
      <c r="F940" t="b">
        <v>0</v>
      </c>
      <c r="H940" t="b">
        <v>0</v>
      </c>
    </row>
    <row r="941">
      <c r="A941" t="inlineStr">
        <is>
          <t>S019</t>
        </is>
      </c>
      <c r="B941" s="3" t="n">
        <v>46268</v>
      </c>
      <c r="C941" t="n">
        <v>19</v>
      </c>
      <c r="D941" t="inlineStr">
        <is>
          <t>Thursday</t>
        </is>
      </c>
      <c r="E941" t="n">
        <v>27</v>
      </c>
      <c r="F941" t="b">
        <v>1</v>
      </c>
      <c r="G941" t="inlineStr">
        <is>
          <t>Light</t>
        </is>
      </c>
      <c r="H941" t="b">
        <v>0</v>
      </c>
    </row>
    <row r="942">
      <c r="A942" t="inlineStr">
        <is>
          <t>S019</t>
        </is>
      </c>
      <c r="B942" s="3" t="n">
        <v>46268</v>
      </c>
      <c r="C942" t="n">
        <v>20</v>
      </c>
      <c r="D942" t="inlineStr">
        <is>
          <t>Thursday</t>
        </is>
      </c>
      <c r="E942" t="n">
        <v>33</v>
      </c>
      <c r="F942" t="b">
        <v>1</v>
      </c>
      <c r="H942" t="b">
        <v>0</v>
      </c>
    </row>
    <row r="943">
      <c r="A943" t="inlineStr">
        <is>
          <t>S019</t>
        </is>
      </c>
      <c r="B943" s="3" t="n">
        <v>46268</v>
      </c>
      <c r="C943" t="n">
        <v>21</v>
      </c>
      <c r="D943" t="inlineStr">
        <is>
          <t>Thursday</t>
        </is>
      </c>
      <c r="E943" t="n">
        <v>31</v>
      </c>
      <c r="F943" t="b">
        <v>1</v>
      </c>
      <c r="H943" t="b">
        <v>1</v>
      </c>
    </row>
    <row r="944">
      <c r="A944" t="inlineStr">
        <is>
          <t>S019</t>
        </is>
      </c>
      <c r="B944" s="3" t="n">
        <v>46268</v>
      </c>
      <c r="C944" t="n">
        <v>22</v>
      </c>
      <c r="D944" t="inlineStr">
        <is>
          <t>Thursday</t>
        </is>
      </c>
      <c r="E944" t="n">
        <v>15</v>
      </c>
      <c r="F944" t="b">
        <v>0</v>
      </c>
      <c r="H944" t="b">
        <v>0</v>
      </c>
    </row>
    <row r="945">
      <c r="A945" t="inlineStr">
        <is>
          <t>S019</t>
        </is>
      </c>
      <c r="B945" s="3" t="n">
        <v>46268</v>
      </c>
      <c r="C945" t="n">
        <v>23</v>
      </c>
      <c r="D945" t="inlineStr">
        <is>
          <t>Thursday</t>
        </is>
      </c>
      <c r="E945" t="n">
        <v>24</v>
      </c>
      <c r="F945" t="b">
        <v>0</v>
      </c>
      <c r="H945" t="b">
        <v>0</v>
      </c>
    </row>
    <row r="946">
      <c r="A946" t="inlineStr">
        <is>
          <t>S020</t>
        </is>
      </c>
      <c r="B946" s="3" t="n">
        <v>46268</v>
      </c>
      <c r="C946" t="n">
        <v>8</v>
      </c>
      <c r="D946" t="inlineStr">
        <is>
          <t>Thursday</t>
        </is>
      </c>
      <c r="E946" t="n">
        <v>12</v>
      </c>
      <c r="F946" t="b">
        <v>0</v>
      </c>
      <c r="H946" t="b">
        <v>0</v>
      </c>
    </row>
    <row r="947">
      <c r="A947" t="inlineStr">
        <is>
          <t>S020</t>
        </is>
      </c>
      <c r="B947" s="3" t="n">
        <v>46268</v>
      </c>
      <c r="C947" t="n">
        <v>9</v>
      </c>
      <c r="D947" t="inlineStr">
        <is>
          <t>Thursday</t>
        </is>
      </c>
      <c r="E947" t="n">
        <v>10</v>
      </c>
      <c r="F947" t="b">
        <v>0</v>
      </c>
      <c r="H947" t="b">
        <v>1</v>
      </c>
    </row>
    <row r="948">
      <c r="A948" t="inlineStr">
        <is>
          <t>S020</t>
        </is>
      </c>
      <c r="B948" s="3" t="n">
        <v>46268</v>
      </c>
      <c r="C948" t="n">
        <v>10</v>
      </c>
      <c r="D948" t="inlineStr">
        <is>
          <t>Thursday</t>
        </is>
      </c>
      <c r="E948" t="n">
        <v>7</v>
      </c>
      <c r="F948" t="b">
        <v>0</v>
      </c>
      <c r="H948" t="b">
        <v>0</v>
      </c>
    </row>
    <row r="949">
      <c r="A949" t="inlineStr">
        <is>
          <t>S020</t>
        </is>
      </c>
      <c r="B949" s="3" t="n">
        <v>46268</v>
      </c>
      <c r="C949" t="n">
        <v>11</v>
      </c>
      <c r="D949" t="inlineStr">
        <is>
          <t>Thursday</t>
        </is>
      </c>
      <c r="E949" t="n">
        <v>20</v>
      </c>
      <c r="F949" t="b">
        <v>0</v>
      </c>
      <c r="G949" t="inlineStr">
        <is>
          <t>Light</t>
        </is>
      </c>
      <c r="H949" t="b">
        <v>0</v>
      </c>
    </row>
    <row r="950">
      <c r="A950" t="inlineStr">
        <is>
          <t>S020</t>
        </is>
      </c>
      <c r="B950" s="3" t="n">
        <v>46268</v>
      </c>
      <c r="C950" t="n">
        <v>12</v>
      </c>
      <c r="D950" t="inlineStr">
        <is>
          <t>Thursday</t>
        </is>
      </c>
      <c r="E950" t="n">
        <v>11</v>
      </c>
      <c r="F950" t="b">
        <v>0</v>
      </c>
      <c r="H950" t="b">
        <v>0</v>
      </c>
    </row>
    <row r="951">
      <c r="A951" t="inlineStr">
        <is>
          <t>S020</t>
        </is>
      </c>
      <c r="B951" s="3" t="n">
        <v>46268</v>
      </c>
      <c r="C951" t="n">
        <v>13</v>
      </c>
      <c r="D951" t="inlineStr">
        <is>
          <t>Thursday</t>
        </is>
      </c>
      <c r="E951" t="n">
        <v>17</v>
      </c>
      <c r="F951" t="b">
        <v>0</v>
      </c>
      <c r="H951" t="b">
        <v>0</v>
      </c>
    </row>
    <row r="952">
      <c r="A952" t="inlineStr">
        <is>
          <t>S020</t>
        </is>
      </c>
      <c r="B952" s="3" t="n">
        <v>46268</v>
      </c>
      <c r="C952" t="n">
        <v>14</v>
      </c>
      <c r="D952" t="inlineStr">
        <is>
          <t>Thursday</t>
        </is>
      </c>
      <c r="E952" t="n">
        <v>10</v>
      </c>
      <c r="F952" t="b">
        <v>0</v>
      </c>
      <c r="H952" t="b">
        <v>0</v>
      </c>
    </row>
    <row r="953">
      <c r="A953" t="inlineStr">
        <is>
          <t>S020</t>
        </is>
      </c>
      <c r="B953" s="3" t="n">
        <v>46268</v>
      </c>
      <c r="C953" t="n">
        <v>15</v>
      </c>
      <c r="D953" t="inlineStr">
        <is>
          <t>Thursday</t>
        </is>
      </c>
      <c r="E953" t="n">
        <v>11</v>
      </c>
      <c r="F953" t="b">
        <v>0</v>
      </c>
      <c r="H953" t="b">
        <v>0</v>
      </c>
    </row>
    <row r="954">
      <c r="A954" t="inlineStr">
        <is>
          <t>S020</t>
        </is>
      </c>
      <c r="B954" s="3" t="n">
        <v>46268</v>
      </c>
      <c r="C954" t="n">
        <v>16</v>
      </c>
      <c r="D954" t="inlineStr">
        <is>
          <t>Thursday</t>
        </is>
      </c>
      <c r="E954" t="n">
        <v>10</v>
      </c>
      <c r="F954" t="b">
        <v>0</v>
      </c>
      <c r="H954" t="b">
        <v>0</v>
      </c>
    </row>
    <row r="955">
      <c r="A955" t="inlineStr">
        <is>
          <t>S020</t>
        </is>
      </c>
      <c r="B955" s="3" t="n">
        <v>46268</v>
      </c>
      <c r="C955" t="n">
        <v>17</v>
      </c>
      <c r="D955" t="inlineStr">
        <is>
          <t>Thursday</t>
        </is>
      </c>
      <c r="E955" t="n">
        <v>23</v>
      </c>
      <c r="F955" t="b">
        <v>0</v>
      </c>
      <c r="G955" t="inlineStr">
        <is>
          <t>Heavy</t>
        </is>
      </c>
      <c r="H955" t="b">
        <v>0</v>
      </c>
    </row>
    <row r="956">
      <c r="A956" t="inlineStr">
        <is>
          <t>S020</t>
        </is>
      </c>
      <c r="B956" s="3" t="n">
        <v>46268</v>
      </c>
      <c r="C956" t="n">
        <v>18</v>
      </c>
      <c r="D956" t="inlineStr">
        <is>
          <t>Thursday</t>
        </is>
      </c>
      <c r="E956" t="n">
        <v>13</v>
      </c>
      <c r="F956" t="b">
        <v>0</v>
      </c>
      <c r="H956" t="b">
        <v>0</v>
      </c>
    </row>
    <row r="957">
      <c r="A957" t="inlineStr">
        <is>
          <t>S020</t>
        </is>
      </c>
      <c r="B957" s="3" t="n">
        <v>46268</v>
      </c>
      <c r="C957" t="n">
        <v>19</v>
      </c>
      <c r="D957" t="inlineStr">
        <is>
          <t>Thursday</t>
        </is>
      </c>
      <c r="E957" t="n">
        <v>28</v>
      </c>
      <c r="F957" t="b">
        <v>1</v>
      </c>
      <c r="G957" t="inlineStr">
        <is>
          <t>Light</t>
        </is>
      </c>
      <c r="H957" t="b">
        <v>0</v>
      </c>
    </row>
    <row r="958">
      <c r="A958" t="inlineStr">
        <is>
          <t>S020</t>
        </is>
      </c>
      <c r="B958" s="3" t="n">
        <v>46268</v>
      </c>
      <c r="C958" t="n">
        <v>20</v>
      </c>
      <c r="D958" t="inlineStr">
        <is>
          <t>Thursday</t>
        </is>
      </c>
      <c r="E958" t="n">
        <v>14</v>
      </c>
      <c r="F958" t="b">
        <v>1</v>
      </c>
      <c r="H958" t="b">
        <v>0</v>
      </c>
    </row>
    <row r="959">
      <c r="A959" t="inlineStr">
        <is>
          <t>S020</t>
        </is>
      </c>
      <c r="B959" s="3" t="n">
        <v>46268</v>
      </c>
      <c r="C959" t="n">
        <v>21</v>
      </c>
      <c r="D959" t="inlineStr">
        <is>
          <t>Thursday</t>
        </is>
      </c>
      <c r="E959" t="n">
        <v>27</v>
      </c>
      <c r="F959" t="b">
        <v>1</v>
      </c>
      <c r="H959" t="b">
        <v>0</v>
      </c>
    </row>
    <row r="960">
      <c r="A960" t="inlineStr">
        <is>
          <t>S020</t>
        </is>
      </c>
      <c r="B960" s="3" t="n">
        <v>46268</v>
      </c>
      <c r="C960" t="n">
        <v>22</v>
      </c>
      <c r="D960" t="inlineStr">
        <is>
          <t>Thursday</t>
        </is>
      </c>
      <c r="E960" t="n">
        <v>17</v>
      </c>
      <c r="F960" t="b">
        <v>0</v>
      </c>
      <c r="H960" t="b">
        <v>0</v>
      </c>
    </row>
    <row r="961">
      <c r="A961" t="inlineStr">
        <is>
          <t>S020</t>
        </is>
      </c>
      <c r="B961" s="3" t="n">
        <v>46268</v>
      </c>
      <c r="C961" t="n">
        <v>23</v>
      </c>
      <c r="D961" t="inlineStr">
        <is>
          <t>Thursday</t>
        </is>
      </c>
      <c r="E961" t="n">
        <v>18</v>
      </c>
      <c r="F961" t="b">
        <v>0</v>
      </c>
      <c r="G961" t="inlineStr">
        <is>
          <t>Light</t>
        </is>
      </c>
      <c r="H961" t="b">
        <v>0</v>
      </c>
    </row>
    <row r="962">
      <c r="A962" t="inlineStr">
        <is>
          <t>S001</t>
        </is>
      </c>
      <c r="B962" s="3" t="n">
        <v>46269</v>
      </c>
      <c r="C962" t="n">
        <v>8</v>
      </c>
      <c r="D962" t="inlineStr">
        <is>
          <t>Friday</t>
        </is>
      </c>
      <c r="E962" t="n">
        <v>8</v>
      </c>
      <c r="F962" t="b">
        <v>0</v>
      </c>
      <c r="H962" t="b">
        <v>0</v>
      </c>
    </row>
    <row r="963">
      <c r="A963" t="inlineStr">
        <is>
          <t>S001</t>
        </is>
      </c>
      <c r="B963" s="3" t="n">
        <v>46269</v>
      </c>
      <c r="C963" t="n">
        <v>9</v>
      </c>
      <c r="D963" t="inlineStr">
        <is>
          <t>Friday</t>
        </is>
      </c>
      <c r="E963" t="n">
        <v>12</v>
      </c>
      <c r="F963" t="b">
        <v>0</v>
      </c>
      <c r="H963" t="b">
        <v>0</v>
      </c>
    </row>
    <row r="964">
      <c r="A964" t="inlineStr">
        <is>
          <t>S001</t>
        </is>
      </c>
      <c r="B964" s="3" t="n">
        <v>46269</v>
      </c>
      <c r="C964" t="n">
        <v>10</v>
      </c>
      <c r="D964" t="inlineStr">
        <is>
          <t>Friday</t>
        </is>
      </c>
      <c r="E964" t="n">
        <v>11</v>
      </c>
      <c r="F964" t="b">
        <v>0</v>
      </c>
      <c r="G964" t="inlineStr">
        <is>
          <t>Light</t>
        </is>
      </c>
      <c r="H964" t="b">
        <v>0</v>
      </c>
    </row>
    <row r="965">
      <c r="A965" t="inlineStr">
        <is>
          <t>S001</t>
        </is>
      </c>
      <c r="B965" s="3" t="n">
        <v>46269</v>
      </c>
      <c r="C965" t="n">
        <v>11</v>
      </c>
      <c r="D965" t="inlineStr">
        <is>
          <t>Friday</t>
        </is>
      </c>
      <c r="E965" t="n">
        <v>14</v>
      </c>
      <c r="F965" t="b">
        <v>0</v>
      </c>
      <c r="H965" t="b">
        <v>0</v>
      </c>
    </row>
    <row r="966">
      <c r="A966" t="inlineStr">
        <is>
          <t>S001</t>
        </is>
      </c>
      <c r="B966" s="3" t="n">
        <v>46269</v>
      </c>
      <c r="C966" t="n">
        <v>12</v>
      </c>
      <c r="D966" t="inlineStr">
        <is>
          <t>Friday</t>
        </is>
      </c>
      <c r="E966" t="n">
        <v>18</v>
      </c>
      <c r="F966" t="b">
        <v>0</v>
      </c>
      <c r="G966" t="inlineStr">
        <is>
          <t>Light</t>
        </is>
      </c>
      <c r="H966" t="b">
        <v>0</v>
      </c>
    </row>
    <row r="967">
      <c r="A967" t="inlineStr">
        <is>
          <t>S001</t>
        </is>
      </c>
      <c r="B967" s="3" t="n">
        <v>46269</v>
      </c>
      <c r="C967" t="n">
        <v>13</v>
      </c>
      <c r="D967" t="inlineStr">
        <is>
          <t>Friday</t>
        </is>
      </c>
      <c r="E967" t="n">
        <v>13</v>
      </c>
      <c r="F967" t="b">
        <v>0</v>
      </c>
      <c r="H967" t="b">
        <v>0</v>
      </c>
    </row>
    <row r="968">
      <c r="A968" t="inlineStr">
        <is>
          <t>S001</t>
        </is>
      </c>
      <c r="B968" s="3" t="n">
        <v>46269</v>
      </c>
      <c r="C968" t="n">
        <v>14</v>
      </c>
      <c r="D968" t="inlineStr">
        <is>
          <t>Friday</t>
        </is>
      </c>
      <c r="E968" t="n">
        <v>10</v>
      </c>
      <c r="F968" t="b">
        <v>0</v>
      </c>
      <c r="H968" t="b">
        <v>0</v>
      </c>
    </row>
    <row r="969">
      <c r="A969" t="inlineStr">
        <is>
          <t>S001</t>
        </is>
      </c>
      <c r="B969" s="3" t="n">
        <v>46269</v>
      </c>
      <c r="C969" t="n">
        <v>15</v>
      </c>
      <c r="D969" t="inlineStr">
        <is>
          <t>Friday</t>
        </is>
      </c>
      <c r="E969" t="n">
        <v>8</v>
      </c>
      <c r="F969" t="b">
        <v>0</v>
      </c>
      <c r="H969" t="b">
        <v>0</v>
      </c>
    </row>
    <row r="970">
      <c r="A970" t="inlineStr">
        <is>
          <t>S001</t>
        </is>
      </c>
      <c r="B970" s="3" t="n">
        <v>46269</v>
      </c>
      <c r="C970" t="n">
        <v>16</v>
      </c>
      <c r="D970" t="inlineStr">
        <is>
          <t>Friday</t>
        </is>
      </c>
      <c r="E970" t="n">
        <v>14</v>
      </c>
      <c r="F970" t="b">
        <v>0</v>
      </c>
      <c r="H970" t="b">
        <v>0</v>
      </c>
    </row>
    <row r="971">
      <c r="A971" t="inlineStr">
        <is>
          <t>S001</t>
        </is>
      </c>
      <c r="B971" s="3" t="n">
        <v>46269</v>
      </c>
      <c r="C971" t="n">
        <v>17</v>
      </c>
      <c r="D971" t="inlineStr">
        <is>
          <t>Friday</t>
        </is>
      </c>
      <c r="E971" t="n">
        <v>12</v>
      </c>
      <c r="F971" t="b">
        <v>0</v>
      </c>
      <c r="G971" t="inlineStr">
        <is>
          <t>Heavy</t>
        </is>
      </c>
      <c r="H971" t="b">
        <v>0</v>
      </c>
    </row>
    <row r="972">
      <c r="A972" t="inlineStr">
        <is>
          <t>S001</t>
        </is>
      </c>
      <c r="B972" s="3" t="n">
        <v>46269</v>
      </c>
      <c r="C972" t="n">
        <v>18</v>
      </c>
      <c r="D972" t="inlineStr">
        <is>
          <t>Friday</t>
        </is>
      </c>
      <c r="E972" t="n">
        <v>15</v>
      </c>
      <c r="F972" t="b">
        <v>0</v>
      </c>
      <c r="H972" t="b">
        <v>1</v>
      </c>
    </row>
    <row r="973">
      <c r="A973" t="inlineStr">
        <is>
          <t>S001</t>
        </is>
      </c>
      <c r="B973" s="3" t="n">
        <v>46269</v>
      </c>
      <c r="C973" t="n">
        <v>19</v>
      </c>
      <c r="D973" t="inlineStr">
        <is>
          <t>Friday</t>
        </is>
      </c>
      <c r="E973" t="n">
        <v>17</v>
      </c>
      <c r="F973" t="b">
        <v>1</v>
      </c>
      <c r="H973" t="b">
        <v>0</v>
      </c>
    </row>
    <row r="974">
      <c r="A974" t="inlineStr">
        <is>
          <t>S001</t>
        </is>
      </c>
      <c r="B974" s="3" t="n">
        <v>46269</v>
      </c>
      <c r="C974" t="n">
        <v>20</v>
      </c>
      <c r="D974" t="inlineStr">
        <is>
          <t>Friday</t>
        </is>
      </c>
      <c r="E974" t="n">
        <v>27</v>
      </c>
      <c r="F974" t="b">
        <v>1</v>
      </c>
      <c r="H974" t="b">
        <v>0</v>
      </c>
    </row>
    <row r="975">
      <c r="A975" t="inlineStr">
        <is>
          <t>S001</t>
        </is>
      </c>
      <c r="B975" s="3" t="n">
        <v>46269</v>
      </c>
      <c r="C975" t="n">
        <v>21</v>
      </c>
      <c r="D975" t="inlineStr">
        <is>
          <t>Friday</t>
        </is>
      </c>
      <c r="E975" t="n">
        <v>29</v>
      </c>
      <c r="F975" t="b">
        <v>1</v>
      </c>
      <c r="H975" t="b">
        <v>0</v>
      </c>
    </row>
    <row r="976">
      <c r="A976" t="inlineStr">
        <is>
          <t>S001</t>
        </is>
      </c>
      <c r="B976" s="3" t="n">
        <v>46269</v>
      </c>
      <c r="C976" t="n">
        <v>22</v>
      </c>
      <c r="D976" t="inlineStr">
        <is>
          <t>Friday</t>
        </is>
      </c>
      <c r="E976" t="n">
        <v>14</v>
      </c>
      <c r="F976" t="b">
        <v>0</v>
      </c>
      <c r="H976" t="b">
        <v>0</v>
      </c>
    </row>
    <row r="977">
      <c r="A977" t="inlineStr">
        <is>
          <t>S001</t>
        </is>
      </c>
      <c r="B977" s="3" t="n">
        <v>46269</v>
      </c>
      <c r="C977" t="n">
        <v>23</v>
      </c>
      <c r="D977" t="inlineStr">
        <is>
          <t>Friday</t>
        </is>
      </c>
      <c r="E977" t="n">
        <v>20</v>
      </c>
      <c r="F977" t="b">
        <v>0</v>
      </c>
      <c r="H977" t="b">
        <v>0</v>
      </c>
    </row>
    <row r="978">
      <c r="A978" t="inlineStr">
        <is>
          <t>S002</t>
        </is>
      </c>
      <c r="B978" s="3" t="n">
        <v>46269</v>
      </c>
      <c r="C978" t="n">
        <v>8</v>
      </c>
      <c r="D978" t="inlineStr">
        <is>
          <t>Friday</t>
        </is>
      </c>
      <c r="E978" t="n">
        <v>34</v>
      </c>
      <c r="F978" t="b">
        <v>0</v>
      </c>
      <c r="G978" t="inlineStr">
        <is>
          <t>Light</t>
        </is>
      </c>
      <c r="H978" t="b">
        <v>0</v>
      </c>
    </row>
    <row r="979">
      <c r="A979" t="inlineStr">
        <is>
          <t>S002</t>
        </is>
      </c>
      <c r="B979" s="3" t="n">
        <v>46269</v>
      </c>
      <c r="C979" t="n">
        <v>9</v>
      </c>
      <c r="D979" t="inlineStr">
        <is>
          <t>Friday</t>
        </is>
      </c>
      <c r="E979" t="n">
        <v>15</v>
      </c>
      <c r="F979" t="b">
        <v>0</v>
      </c>
      <c r="G979" t="inlineStr">
        <is>
          <t>Light</t>
        </is>
      </c>
      <c r="H979" t="b">
        <v>0</v>
      </c>
    </row>
    <row r="980">
      <c r="A980" t="inlineStr">
        <is>
          <t>S002</t>
        </is>
      </c>
      <c r="B980" s="3" t="n">
        <v>46269</v>
      </c>
      <c r="C980" t="n">
        <v>10</v>
      </c>
      <c r="D980" t="inlineStr">
        <is>
          <t>Friday</t>
        </is>
      </c>
      <c r="E980" t="n">
        <v>15</v>
      </c>
      <c r="F980" t="b">
        <v>0</v>
      </c>
      <c r="H980" t="b">
        <v>0</v>
      </c>
    </row>
    <row r="981">
      <c r="A981" t="inlineStr">
        <is>
          <t>S002</t>
        </is>
      </c>
      <c r="B981" s="3" t="n">
        <v>46269</v>
      </c>
      <c r="C981" t="n">
        <v>11</v>
      </c>
      <c r="D981" t="inlineStr">
        <is>
          <t>Friday</t>
        </is>
      </c>
      <c r="E981" t="n">
        <v>37</v>
      </c>
      <c r="F981" t="b">
        <v>0</v>
      </c>
      <c r="H981" t="b">
        <v>0</v>
      </c>
    </row>
    <row r="982">
      <c r="A982" t="inlineStr">
        <is>
          <t>S002</t>
        </is>
      </c>
      <c r="B982" s="3" t="n">
        <v>46269</v>
      </c>
      <c r="C982" t="n">
        <v>12</v>
      </c>
      <c r="D982" t="inlineStr">
        <is>
          <t>Friday</t>
        </is>
      </c>
      <c r="E982" t="n">
        <v>25</v>
      </c>
      <c r="F982" t="b">
        <v>0</v>
      </c>
      <c r="H982" t="b">
        <v>0</v>
      </c>
    </row>
    <row r="983">
      <c r="A983" t="inlineStr">
        <is>
          <t>S002</t>
        </is>
      </c>
      <c r="B983" s="3" t="n">
        <v>46269</v>
      </c>
      <c r="C983" t="n">
        <v>13</v>
      </c>
      <c r="D983" t="inlineStr">
        <is>
          <t>Friday</t>
        </is>
      </c>
      <c r="E983" t="n">
        <v>34</v>
      </c>
      <c r="F983" t="b">
        <v>0</v>
      </c>
      <c r="H983" t="b">
        <v>0</v>
      </c>
    </row>
    <row r="984">
      <c r="A984" t="inlineStr">
        <is>
          <t>S002</t>
        </is>
      </c>
      <c r="B984" s="3" t="n">
        <v>46269</v>
      </c>
      <c r="C984" t="n">
        <v>14</v>
      </c>
      <c r="D984" t="inlineStr">
        <is>
          <t>Friday</t>
        </is>
      </c>
      <c r="E984" t="n">
        <v>26</v>
      </c>
      <c r="F984" t="b">
        <v>0</v>
      </c>
      <c r="H984" t="b">
        <v>0</v>
      </c>
    </row>
    <row r="985">
      <c r="A985" t="inlineStr">
        <is>
          <t>S002</t>
        </is>
      </c>
      <c r="B985" s="3" t="n">
        <v>46269</v>
      </c>
      <c r="C985" t="n">
        <v>15</v>
      </c>
      <c r="D985" t="inlineStr">
        <is>
          <t>Friday</t>
        </is>
      </c>
      <c r="E985" t="n">
        <v>23</v>
      </c>
      <c r="F985" t="b">
        <v>0</v>
      </c>
      <c r="H985" t="b">
        <v>1</v>
      </c>
    </row>
    <row r="986">
      <c r="A986" t="inlineStr">
        <is>
          <t>S002</t>
        </is>
      </c>
      <c r="B986" s="3" t="n">
        <v>46269</v>
      </c>
      <c r="C986" t="n">
        <v>16</v>
      </c>
      <c r="D986" t="inlineStr">
        <is>
          <t>Friday</t>
        </is>
      </c>
      <c r="E986" t="n">
        <v>38</v>
      </c>
      <c r="F986" t="b">
        <v>0</v>
      </c>
      <c r="H986" t="b">
        <v>0</v>
      </c>
    </row>
    <row r="987">
      <c r="A987" t="inlineStr">
        <is>
          <t>S002</t>
        </is>
      </c>
      <c r="B987" s="3" t="n">
        <v>46269</v>
      </c>
      <c r="C987" t="n">
        <v>17</v>
      </c>
      <c r="D987" t="inlineStr">
        <is>
          <t>Friday</t>
        </is>
      </c>
      <c r="E987" t="n">
        <v>32</v>
      </c>
      <c r="F987" t="b">
        <v>0</v>
      </c>
      <c r="H987" t="b">
        <v>0</v>
      </c>
    </row>
    <row r="988">
      <c r="A988" t="inlineStr">
        <is>
          <t>S002</t>
        </is>
      </c>
      <c r="B988" s="3" t="n">
        <v>46269</v>
      </c>
      <c r="C988" t="n">
        <v>18</v>
      </c>
      <c r="D988" t="inlineStr">
        <is>
          <t>Friday</t>
        </is>
      </c>
      <c r="E988" t="n">
        <v>28</v>
      </c>
      <c r="F988" t="b">
        <v>0</v>
      </c>
      <c r="H988" t="b">
        <v>0</v>
      </c>
    </row>
    <row r="989">
      <c r="A989" t="inlineStr">
        <is>
          <t>S002</t>
        </is>
      </c>
      <c r="B989" s="3" t="n">
        <v>46269</v>
      </c>
      <c r="C989" t="n">
        <v>19</v>
      </c>
      <c r="D989" t="inlineStr">
        <is>
          <t>Friday</t>
        </is>
      </c>
      <c r="E989" t="n">
        <v>52</v>
      </c>
      <c r="F989" t="b">
        <v>1</v>
      </c>
      <c r="H989" t="b">
        <v>0</v>
      </c>
    </row>
    <row r="990">
      <c r="A990" t="inlineStr">
        <is>
          <t>S002</t>
        </is>
      </c>
      <c r="B990" s="3" t="n">
        <v>46269</v>
      </c>
      <c r="C990" t="n">
        <v>20</v>
      </c>
      <c r="D990" t="inlineStr">
        <is>
          <t>Friday</t>
        </is>
      </c>
      <c r="E990" t="n">
        <v>40</v>
      </c>
      <c r="F990" t="b">
        <v>1</v>
      </c>
      <c r="G990" t="inlineStr">
        <is>
          <t>Light</t>
        </is>
      </c>
      <c r="H990" t="b">
        <v>0</v>
      </c>
    </row>
    <row r="991">
      <c r="A991" t="inlineStr">
        <is>
          <t>S002</t>
        </is>
      </c>
      <c r="B991" s="3" t="n">
        <v>46269</v>
      </c>
      <c r="C991" t="n">
        <v>21</v>
      </c>
      <c r="D991" t="inlineStr">
        <is>
          <t>Friday</t>
        </is>
      </c>
      <c r="E991" t="n">
        <v>52</v>
      </c>
      <c r="F991" t="b">
        <v>1</v>
      </c>
      <c r="H991" t="b">
        <v>0</v>
      </c>
    </row>
    <row r="992">
      <c r="A992" t="inlineStr">
        <is>
          <t>S002</t>
        </is>
      </c>
      <c r="B992" s="3" t="n">
        <v>46269</v>
      </c>
      <c r="C992" t="n">
        <v>22</v>
      </c>
      <c r="D992" t="inlineStr">
        <is>
          <t>Friday</t>
        </is>
      </c>
      <c r="E992" t="n">
        <v>37</v>
      </c>
      <c r="F992" t="b">
        <v>0</v>
      </c>
      <c r="G992" t="inlineStr">
        <is>
          <t>Light</t>
        </is>
      </c>
      <c r="H992" t="b">
        <v>0</v>
      </c>
    </row>
    <row r="993">
      <c r="A993" t="inlineStr">
        <is>
          <t>S002</t>
        </is>
      </c>
      <c r="B993" s="3" t="n">
        <v>46269</v>
      </c>
      <c r="C993" t="n">
        <v>23</v>
      </c>
      <c r="D993" t="inlineStr">
        <is>
          <t>Friday</t>
        </is>
      </c>
      <c r="E993" t="n">
        <v>37</v>
      </c>
      <c r="F993" t="b">
        <v>0</v>
      </c>
      <c r="H993" t="b">
        <v>0</v>
      </c>
    </row>
    <row r="994">
      <c r="A994" t="inlineStr">
        <is>
          <t>S003</t>
        </is>
      </c>
      <c r="B994" s="3" t="n">
        <v>46269</v>
      </c>
      <c r="C994" t="n">
        <v>8</v>
      </c>
      <c r="D994" t="inlineStr">
        <is>
          <t>Friday</t>
        </is>
      </c>
      <c r="E994" t="n">
        <v>38</v>
      </c>
      <c r="F994" t="b">
        <v>0</v>
      </c>
      <c r="H994" t="b">
        <v>0</v>
      </c>
    </row>
    <row r="995">
      <c r="A995" t="inlineStr">
        <is>
          <t>S003</t>
        </is>
      </c>
      <c r="B995" s="3" t="n">
        <v>46269</v>
      </c>
      <c r="C995" t="n">
        <v>9</v>
      </c>
      <c r="D995" t="inlineStr">
        <is>
          <t>Friday</t>
        </is>
      </c>
      <c r="E995" t="n">
        <v>30</v>
      </c>
      <c r="F995" t="b">
        <v>0</v>
      </c>
      <c r="H995" t="b">
        <v>0</v>
      </c>
    </row>
    <row r="996">
      <c r="A996" t="inlineStr">
        <is>
          <t>S003</t>
        </is>
      </c>
      <c r="B996" s="3" t="n">
        <v>46269</v>
      </c>
      <c r="C996" t="n">
        <v>10</v>
      </c>
      <c r="D996" t="inlineStr">
        <is>
          <t>Friday</t>
        </is>
      </c>
      <c r="E996" t="n">
        <v>41</v>
      </c>
      <c r="F996" t="b">
        <v>0</v>
      </c>
      <c r="H996" t="b">
        <v>0</v>
      </c>
    </row>
    <row r="997">
      <c r="A997" t="inlineStr">
        <is>
          <t>S003</t>
        </is>
      </c>
      <c r="B997" s="3" t="n">
        <v>46269</v>
      </c>
      <c r="C997" t="n">
        <v>11</v>
      </c>
      <c r="D997" t="inlineStr">
        <is>
          <t>Friday</t>
        </is>
      </c>
      <c r="E997" t="n">
        <v>47</v>
      </c>
      <c r="F997" t="b">
        <v>0</v>
      </c>
      <c r="G997" t="inlineStr">
        <is>
          <t>Light</t>
        </is>
      </c>
      <c r="H997" t="b">
        <v>0</v>
      </c>
    </row>
    <row r="998">
      <c r="A998" t="inlineStr">
        <is>
          <t>S003</t>
        </is>
      </c>
      <c r="B998" s="3" t="n">
        <v>46269</v>
      </c>
      <c r="C998" t="n">
        <v>12</v>
      </c>
      <c r="D998" t="inlineStr">
        <is>
          <t>Friday</t>
        </is>
      </c>
      <c r="E998" t="n">
        <v>51</v>
      </c>
      <c r="F998" t="b">
        <v>0</v>
      </c>
      <c r="G998" t="inlineStr">
        <is>
          <t>Light</t>
        </is>
      </c>
      <c r="H998" t="b">
        <v>0</v>
      </c>
    </row>
    <row r="999">
      <c r="A999" t="inlineStr">
        <is>
          <t>S003</t>
        </is>
      </c>
      <c r="B999" s="3" t="n">
        <v>46269</v>
      </c>
      <c r="C999" t="n">
        <v>13</v>
      </c>
      <c r="D999" t="inlineStr">
        <is>
          <t>Friday</t>
        </is>
      </c>
      <c r="E999" t="n">
        <v>40</v>
      </c>
      <c r="F999" t="b">
        <v>0</v>
      </c>
      <c r="H999" t="b">
        <v>0</v>
      </c>
    </row>
    <row r="1000">
      <c r="A1000" t="inlineStr">
        <is>
          <t>S003</t>
        </is>
      </c>
      <c r="B1000" s="3" t="n">
        <v>46269</v>
      </c>
      <c r="C1000" t="n">
        <v>14</v>
      </c>
      <c r="D1000" t="inlineStr">
        <is>
          <t>Friday</t>
        </is>
      </c>
      <c r="E1000" t="n">
        <v>34</v>
      </c>
      <c r="F1000" t="b">
        <v>0</v>
      </c>
      <c r="G1000" t="inlineStr">
        <is>
          <t>Light</t>
        </is>
      </c>
      <c r="H1000" t="b">
        <v>0</v>
      </c>
    </row>
    <row r="1001">
      <c r="A1001" t="inlineStr">
        <is>
          <t>S003</t>
        </is>
      </c>
      <c r="B1001" s="3" t="n">
        <v>46269</v>
      </c>
      <c r="C1001" t="n">
        <v>15</v>
      </c>
      <c r="D1001" t="inlineStr">
        <is>
          <t>Friday</t>
        </is>
      </c>
      <c r="E1001" t="n">
        <v>27</v>
      </c>
      <c r="F1001" t="b">
        <v>0</v>
      </c>
      <c r="H1001" t="b">
        <v>0</v>
      </c>
    </row>
    <row r="1002">
      <c r="A1002" t="inlineStr">
        <is>
          <t>S003</t>
        </is>
      </c>
      <c r="B1002" s="3" t="n">
        <v>46269</v>
      </c>
      <c r="C1002" t="n">
        <v>16</v>
      </c>
      <c r="D1002" t="inlineStr">
        <is>
          <t>Friday</t>
        </is>
      </c>
      <c r="E1002" t="n">
        <v>32</v>
      </c>
      <c r="F1002" t="b">
        <v>0</v>
      </c>
      <c r="G1002" t="inlineStr">
        <is>
          <t>Light</t>
        </is>
      </c>
      <c r="H1002" t="b">
        <v>0</v>
      </c>
    </row>
    <row r="1003">
      <c r="A1003" t="inlineStr">
        <is>
          <t>S003</t>
        </is>
      </c>
      <c r="B1003" s="3" t="n">
        <v>46269</v>
      </c>
      <c r="C1003" t="n">
        <v>17</v>
      </c>
      <c r="D1003" t="inlineStr">
        <is>
          <t>Friday</t>
        </is>
      </c>
      <c r="E1003" t="n">
        <v>40</v>
      </c>
      <c r="F1003" t="b">
        <v>0</v>
      </c>
      <c r="H1003" t="b">
        <v>0</v>
      </c>
    </row>
    <row r="1004">
      <c r="A1004" t="inlineStr">
        <is>
          <t>S003</t>
        </is>
      </c>
      <c r="B1004" s="3" t="n">
        <v>46269</v>
      </c>
      <c r="C1004" t="n">
        <v>18</v>
      </c>
      <c r="D1004" t="inlineStr">
        <is>
          <t>Friday</t>
        </is>
      </c>
      <c r="E1004" t="n">
        <v>37</v>
      </c>
      <c r="F1004" t="b">
        <v>0</v>
      </c>
      <c r="H1004" t="b">
        <v>0</v>
      </c>
    </row>
    <row r="1005">
      <c r="A1005" t="inlineStr">
        <is>
          <t>S003</t>
        </is>
      </c>
      <c r="B1005" s="3" t="n">
        <v>46269</v>
      </c>
      <c r="C1005" t="n">
        <v>19</v>
      </c>
      <c r="D1005" t="inlineStr">
        <is>
          <t>Friday</t>
        </is>
      </c>
      <c r="E1005" t="n">
        <v>54</v>
      </c>
      <c r="F1005" t="b">
        <v>1</v>
      </c>
      <c r="G1005" t="inlineStr">
        <is>
          <t>Light</t>
        </is>
      </c>
      <c r="H1005" t="b">
        <v>0</v>
      </c>
    </row>
    <row r="1006">
      <c r="A1006" t="inlineStr">
        <is>
          <t>S003</t>
        </is>
      </c>
      <c r="B1006" s="3" t="n">
        <v>46269</v>
      </c>
      <c r="C1006" t="n">
        <v>20</v>
      </c>
      <c r="D1006" t="inlineStr">
        <is>
          <t>Friday</t>
        </is>
      </c>
      <c r="E1006" t="n">
        <v>79</v>
      </c>
      <c r="F1006" t="b">
        <v>1</v>
      </c>
      <c r="H1006" t="b">
        <v>0</v>
      </c>
    </row>
    <row r="1007">
      <c r="A1007" t="inlineStr">
        <is>
          <t>S003</t>
        </is>
      </c>
      <c r="B1007" s="3" t="n">
        <v>46269</v>
      </c>
      <c r="C1007" t="n">
        <v>21</v>
      </c>
      <c r="D1007" t="inlineStr">
        <is>
          <t>Friday</t>
        </is>
      </c>
      <c r="E1007" t="n">
        <v>69</v>
      </c>
      <c r="F1007" t="b">
        <v>1</v>
      </c>
      <c r="H1007" t="b">
        <v>0</v>
      </c>
    </row>
    <row r="1008">
      <c r="A1008" t="inlineStr">
        <is>
          <t>S003</t>
        </is>
      </c>
      <c r="B1008" s="3" t="n">
        <v>46269</v>
      </c>
      <c r="C1008" t="n">
        <v>22</v>
      </c>
      <c r="D1008" t="inlineStr">
        <is>
          <t>Friday</t>
        </is>
      </c>
      <c r="E1008" t="n">
        <v>36</v>
      </c>
      <c r="F1008" t="b">
        <v>0</v>
      </c>
      <c r="H1008" t="b">
        <v>1</v>
      </c>
    </row>
    <row r="1009">
      <c r="A1009" t="inlineStr">
        <is>
          <t>S003</t>
        </is>
      </c>
      <c r="B1009" s="3" t="n">
        <v>46269</v>
      </c>
      <c r="C1009" t="n">
        <v>23</v>
      </c>
      <c r="D1009" t="inlineStr">
        <is>
          <t>Friday</t>
        </is>
      </c>
      <c r="E1009" t="n">
        <v>50</v>
      </c>
      <c r="F1009" t="b">
        <v>0</v>
      </c>
      <c r="H1009" t="b">
        <v>0</v>
      </c>
    </row>
    <row r="1010">
      <c r="A1010" t="inlineStr">
        <is>
          <t>S004</t>
        </is>
      </c>
      <c r="B1010" s="3" t="n">
        <v>46269</v>
      </c>
      <c r="C1010" t="n">
        <v>8</v>
      </c>
      <c r="D1010" t="inlineStr">
        <is>
          <t>Friday</t>
        </is>
      </c>
      <c r="E1010" t="n">
        <v>32</v>
      </c>
      <c r="F1010" t="b">
        <v>0</v>
      </c>
      <c r="H1010" t="b">
        <v>0</v>
      </c>
    </row>
    <row r="1011">
      <c r="A1011" t="inlineStr">
        <is>
          <t>S004</t>
        </is>
      </c>
      <c r="B1011" s="3" t="n">
        <v>46269</v>
      </c>
      <c r="C1011" t="n">
        <v>9</v>
      </c>
      <c r="D1011" t="inlineStr">
        <is>
          <t>Friday</t>
        </is>
      </c>
      <c r="E1011" t="n">
        <v>36</v>
      </c>
      <c r="F1011" t="b">
        <v>0</v>
      </c>
      <c r="H1011" t="b">
        <v>0</v>
      </c>
    </row>
    <row r="1012">
      <c r="A1012" t="inlineStr">
        <is>
          <t>S004</t>
        </is>
      </c>
      <c r="B1012" s="3" t="n">
        <v>46269</v>
      </c>
      <c r="C1012" t="n">
        <v>10</v>
      </c>
      <c r="D1012" t="inlineStr">
        <is>
          <t>Friday</t>
        </is>
      </c>
      <c r="E1012" t="n">
        <v>29</v>
      </c>
      <c r="F1012" t="b">
        <v>0</v>
      </c>
      <c r="H1012" t="b">
        <v>0</v>
      </c>
    </row>
    <row r="1013">
      <c r="A1013" t="inlineStr">
        <is>
          <t>S004</t>
        </is>
      </c>
      <c r="B1013" s="3" t="n">
        <v>46269</v>
      </c>
      <c r="C1013" t="n">
        <v>11</v>
      </c>
      <c r="D1013" t="inlineStr">
        <is>
          <t>Friday</t>
        </is>
      </c>
      <c r="E1013" t="n">
        <v>39</v>
      </c>
      <c r="F1013" t="b">
        <v>0</v>
      </c>
      <c r="G1013" t="inlineStr">
        <is>
          <t>Light</t>
        </is>
      </c>
      <c r="H1013" t="b">
        <v>0</v>
      </c>
    </row>
    <row r="1014">
      <c r="A1014" t="inlineStr">
        <is>
          <t>S004</t>
        </is>
      </c>
      <c r="B1014" s="3" t="n">
        <v>46269</v>
      </c>
      <c r="C1014" t="n">
        <v>12</v>
      </c>
      <c r="D1014" t="inlineStr">
        <is>
          <t>Friday</t>
        </is>
      </c>
      <c r="E1014" t="n">
        <v>49</v>
      </c>
      <c r="F1014" t="b">
        <v>0</v>
      </c>
      <c r="G1014" t="inlineStr">
        <is>
          <t>Heavy</t>
        </is>
      </c>
      <c r="H1014" t="b">
        <v>0</v>
      </c>
    </row>
    <row r="1015">
      <c r="A1015" t="inlineStr">
        <is>
          <t>S004</t>
        </is>
      </c>
      <c r="B1015" s="3" t="n">
        <v>46269</v>
      </c>
      <c r="C1015" t="n">
        <v>13</v>
      </c>
      <c r="D1015" t="inlineStr">
        <is>
          <t>Friday</t>
        </is>
      </c>
      <c r="E1015" t="n">
        <v>44</v>
      </c>
      <c r="F1015" t="b">
        <v>0</v>
      </c>
      <c r="G1015" t="inlineStr">
        <is>
          <t>Light</t>
        </is>
      </c>
      <c r="H1015" t="b">
        <v>0</v>
      </c>
    </row>
    <row r="1016">
      <c r="A1016" t="inlineStr">
        <is>
          <t>S004</t>
        </is>
      </c>
      <c r="B1016" s="3" t="n">
        <v>46269</v>
      </c>
      <c r="C1016" t="n">
        <v>14</v>
      </c>
      <c r="D1016" t="inlineStr">
        <is>
          <t>Friday</t>
        </is>
      </c>
      <c r="E1016" t="n">
        <v>28</v>
      </c>
      <c r="F1016" t="b">
        <v>0</v>
      </c>
      <c r="H1016" t="b">
        <v>0</v>
      </c>
    </row>
    <row r="1017">
      <c r="A1017" t="inlineStr">
        <is>
          <t>S004</t>
        </is>
      </c>
      <c r="B1017" s="3" t="n">
        <v>46269</v>
      </c>
      <c r="C1017" t="n">
        <v>15</v>
      </c>
      <c r="D1017" t="inlineStr">
        <is>
          <t>Friday</t>
        </is>
      </c>
      <c r="E1017" t="n">
        <v>35</v>
      </c>
      <c r="F1017" t="b">
        <v>0</v>
      </c>
      <c r="H1017" t="b">
        <v>0</v>
      </c>
    </row>
    <row r="1018">
      <c r="A1018" t="inlineStr">
        <is>
          <t>S004</t>
        </is>
      </c>
      <c r="B1018" s="3" t="n">
        <v>46269</v>
      </c>
      <c r="C1018" t="n">
        <v>16</v>
      </c>
      <c r="D1018" t="inlineStr">
        <is>
          <t>Friday</t>
        </is>
      </c>
      <c r="E1018" t="n">
        <v>51</v>
      </c>
      <c r="F1018" t="b">
        <v>0</v>
      </c>
      <c r="H1018" t="b">
        <v>0</v>
      </c>
    </row>
    <row r="1019">
      <c r="A1019" t="inlineStr">
        <is>
          <t>S004</t>
        </is>
      </c>
      <c r="B1019" s="3" t="n">
        <v>46269</v>
      </c>
      <c r="C1019" t="n">
        <v>17</v>
      </c>
      <c r="D1019" t="inlineStr">
        <is>
          <t>Friday</t>
        </is>
      </c>
      <c r="E1019" t="n">
        <v>42</v>
      </c>
      <c r="F1019" t="b">
        <v>0</v>
      </c>
      <c r="H1019" t="b">
        <v>0</v>
      </c>
    </row>
    <row r="1020">
      <c r="A1020" t="inlineStr">
        <is>
          <t>S004</t>
        </is>
      </c>
      <c r="B1020" s="3" t="n">
        <v>46269</v>
      </c>
      <c r="C1020" t="n">
        <v>18</v>
      </c>
      <c r="D1020" t="inlineStr">
        <is>
          <t>Friday</t>
        </is>
      </c>
      <c r="E1020" t="n">
        <v>41</v>
      </c>
      <c r="F1020" t="b">
        <v>0</v>
      </c>
      <c r="H1020" t="b">
        <v>0</v>
      </c>
    </row>
    <row r="1021">
      <c r="A1021" t="inlineStr">
        <is>
          <t>S004</t>
        </is>
      </c>
      <c r="B1021" s="3" t="n">
        <v>46269</v>
      </c>
      <c r="C1021" t="n">
        <v>19</v>
      </c>
      <c r="D1021" t="inlineStr">
        <is>
          <t>Friday</t>
        </is>
      </c>
      <c r="E1021" t="n">
        <v>58</v>
      </c>
      <c r="F1021" t="b">
        <v>1</v>
      </c>
      <c r="H1021" t="b">
        <v>0</v>
      </c>
    </row>
    <row r="1022">
      <c r="A1022" t="inlineStr">
        <is>
          <t>S004</t>
        </is>
      </c>
      <c r="B1022" s="3" t="n">
        <v>46269</v>
      </c>
      <c r="C1022" t="n">
        <v>20</v>
      </c>
      <c r="D1022" t="inlineStr">
        <is>
          <t>Friday</t>
        </is>
      </c>
      <c r="E1022" t="n">
        <v>69</v>
      </c>
      <c r="F1022" t="b">
        <v>1</v>
      </c>
      <c r="H1022" t="b">
        <v>0</v>
      </c>
    </row>
    <row r="1023">
      <c r="A1023" t="inlineStr">
        <is>
          <t>S004</t>
        </is>
      </c>
      <c r="B1023" s="3" t="n">
        <v>46269</v>
      </c>
      <c r="C1023" t="n">
        <v>21</v>
      </c>
      <c r="D1023" t="inlineStr">
        <is>
          <t>Friday</t>
        </is>
      </c>
      <c r="E1023" t="n">
        <v>54</v>
      </c>
      <c r="F1023" t="b">
        <v>1</v>
      </c>
      <c r="H1023" t="b">
        <v>1</v>
      </c>
    </row>
    <row r="1024">
      <c r="A1024" t="inlineStr">
        <is>
          <t>S004</t>
        </is>
      </c>
      <c r="B1024" s="3" t="n">
        <v>46269</v>
      </c>
      <c r="C1024" t="n">
        <v>22</v>
      </c>
      <c r="D1024" t="inlineStr">
        <is>
          <t>Friday</t>
        </is>
      </c>
      <c r="E1024" t="n">
        <v>48</v>
      </c>
      <c r="F1024" t="b">
        <v>0</v>
      </c>
      <c r="H1024" t="b">
        <v>0</v>
      </c>
    </row>
    <row r="1025">
      <c r="A1025" t="inlineStr">
        <is>
          <t>S004</t>
        </is>
      </c>
      <c r="B1025" s="3" t="n">
        <v>46269</v>
      </c>
      <c r="C1025" t="n">
        <v>23</v>
      </c>
      <c r="D1025" t="inlineStr">
        <is>
          <t>Friday</t>
        </is>
      </c>
      <c r="E1025" t="n">
        <v>45</v>
      </c>
      <c r="F1025" t="b">
        <v>0</v>
      </c>
      <c r="H1025" t="b">
        <v>0</v>
      </c>
    </row>
    <row r="1026">
      <c r="A1026" t="inlineStr">
        <is>
          <t>S005</t>
        </is>
      </c>
      <c r="B1026" s="3" t="n">
        <v>46269</v>
      </c>
      <c r="C1026" t="n">
        <v>8</v>
      </c>
      <c r="D1026" t="inlineStr">
        <is>
          <t>Friday</t>
        </is>
      </c>
      <c r="E1026" t="n">
        <v>10</v>
      </c>
      <c r="F1026" t="b">
        <v>0</v>
      </c>
      <c r="G1026" t="inlineStr">
        <is>
          <t>Heavy</t>
        </is>
      </c>
      <c r="H1026" t="b">
        <v>1</v>
      </c>
    </row>
    <row r="1027">
      <c r="A1027" t="inlineStr">
        <is>
          <t>S005</t>
        </is>
      </c>
      <c r="B1027" s="3" t="n">
        <v>46269</v>
      </c>
      <c r="C1027" t="n">
        <v>9</v>
      </c>
      <c r="D1027" t="inlineStr">
        <is>
          <t>Friday</t>
        </is>
      </c>
      <c r="E1027" t="n">
        <v>12</v>
      </c>
      <c r="F1027" t="b">
        <v>0</v>
      </c>
      <c r="H1027" t="b">
        <v>0</v>
      </c>
    </row>
    <row r="1028">
      <c r="A1028" t="inlineStr">
        <is>
          <t>S005</t>
        </is>
      </c>
      <c r="B1028" s="3" t="n">
        <v>46269</v>
      </c>
      <c r="C1028" t="n">
        <v>10</v>
      </c>
      <c r="D1028" t="inlineStr">
        <is>
          <t>Friday</t>
        </is>
      </c>
      <c r="E1028" t="n">
        <v>13</v>
      </c>
      <c r="F1028" t="b">
        <v>0</v>
      </c>
      <c r="H1028" t="b">
        <v>0</v>
      </c>
    </row>
    <row r="1029">
      <c r="A1029" t="inlineStr">
        <is>
          <t>S005</t>
        </is>
      </c>
      <c r="B1029" s="3" t="n">
        <v>46269</v>
      </c>
      <c r="C1029" t="n">
        <v>11</v>
      </c>
      <c r="D1029" t="inlineStr">
        <is>
          <t>Friday</t>
        </is>
      </c>
      <c r="E1029" t="n">
        <v>22</v>
      </c>
      <c r="F1029" t="b">
        <v>0</v>
      </c>
      <c r="H1029" t="b">
        <v>0</v>
      </c>
    </row>
    <row r="1030">
      <c r="A1030" t="inlineStr">
        <is>
          <t>S005</t>
        </is>
      </c>
      <c r="B1030" s="3" t="n">
        <v>46269</v>
      </c>
      <c r="C1030" t="n">
        <v>12</v>
      </c>
      <c r="D1030" t="inlineStr">
        <is>
          <t>Friday</t>
        </is>
      </c>
      <c r="E1030" t="n">
        <v>18</v>
      </c>
      <c r="F1030" t="b">
        <v>0</v>
      </c>
      <c r="H1030" t="b">
        <v>1</v>
      </c>
    </row>
    <row r="1031">
      <c r="A1031" t="inlineStr">
        <is>
          <t>S005</t>
        </is>
      </c>
      <c r="B1031" s="3" t="n">
        <v>46269</v>
      </c>
      <c r="C1031" t="n">
        <v>13</v>
      </c>
      <c r="D1031" t="inlineStr">
        <is>
          <t>Friday</t>
        </is>
      </c>
      <c r="E1031" t="n">
        <v>19</v>
      </c>
      <c r="F1031" t="b">
        <v>0</v>
      </c>
      <c r="G1031" t="inlineStr">
        <is>
          <t>Heavy</t>
        </is>
      </c>
      <c r="H1031" t="b">
        <v>0</v>
      </c>
    </row>
    <row r="1032">
      <c r="A1032" t="inlineStr">
        <is>
          <t>S005</t>
        </is>
      </c>
      <c r="B1032" s="3" t="n">
        <v>46269</v>
      </c>
      <c r="C1032" t="n">
        <v>14</v>
      </c>
      <c r="D1032" t="inlineStr">
        <is>
          <t>Friday</t>
        </is>
      </c>
      <c r="E1032" t="n">
        <v>12</v>
      </c>
      <c r="F1032" t="b">
        <v>0</v>
      </c>
      <c r="H1032" t="b">
        <v>0</v>
      </c>
    </row>
    <row r="1033">
      <c r="A1033" t="inlineStr">
        <is>
          <t>S005</t>
        </is>
      </c>
      <c r="B1033" s="3" t="n">
        <v>46269</v>
      </c>
      <c r="C1033" t="n">
        <v>15</v>
      </c>
      <c r="D1033" t="inlineStr">
        <is>
          <t>Friday</t>
        </is>
      </c>
      <c r="E1033" t="n">
        <v>11</v>
      </c>
      <c r="F1033" t="b">
        <v>0</v>
      </c>
      <c r="H1033" t="b">
        <v>0</v>
      </c>
    </row>
    <row r="1034">
      <c r="A1034" t="inlineStr">
        <is>
          <t>S005</t>
        </is>
      </c>
      <c r="B1034" s="3" t="n">
        <v>46269</v>
      </c>
      <c r="C1034" t="n">
        <v>16</v>
      </c>
      <c r="D1034" t="inlineStr">
        <is>
          <t>Friday</t>
        </is>
      </c>
      <c r="E1034" t="n">
        <v>17</v>
      </c>
      <c r="F1034" t="b">
        <v>0</v>
      </c>
      <c r="G1034" t="inlineStr">
        <is>
          <t>Light</t>
        </is>
      </c>
      <c r="H1034" t="b">
        <v>0</v>
      </c>
    </row>
    <row r="1035">
      <c r="A1035" t="inlineStr">
        <is>
          <t>S005</t>
        </is>
      </c>
      <c r="B1035" s="3" t="n">
        <v>46269</v>
      </c>
      <c r="C1035" t="n">
        <v>17</v>
      </c>
      <c r="D1035" t="inlineStr">
        <is>
          <t>Friday</t>
        </is>
      </c>
      <c r="E1035" t="n">
        <v>18</v>
      </c>
      <c r="F1035" t="b">
        <v>0</v>
      </c>
      <c r="G1035" t="inlineStr">
        <is>
          <t>Light</t>
        </is>
      </c>
      <c r="H1035" t="b">
        <v>0</v>
      </c>
    </row>
    <row r="1036">
      <c r="A1036" t="inlineStr">
        <is>
          <t>S005</t>
        </is>
      </c>
      <c r="B1036" s="3" t="n">
        <v>46269</v>
      </c>
      <c r="C1036" t="n">
        <v>18</v>
      </c>
      <c r="D1036" t="inlineStr">
        <is>
          <t>Friday</t>
        </is>
      </c>
      <c r="E1036" t="n">
        <v>11</v>
      </c>
      <c r="F1036" t="b">
        <v>0</v>
      </c>
      <c r="H1036" t="b">
        <v>0</v>
      </c>
    </row>
    <row r="1037">
      <c r="A1037" t="inlineStr">
        <is>
          <t>S005</t>
        </is>
      </c>
      <c r="B1037" s="3" t="n">
        <v>46269</v>
      </c>
      <c r="C1037" t="n">
        <v>19</v>
      </c>
      <c r="D1037" t="inlineStr">
        <is>
          <t>Friday</t>
        </is>
      </c>
      <c r="E1037" t="n">
        <v>21</v>
      </c>
      <c r="F1037" t="b">
        <v>1</v>
      </c>
      <c r="H1037" t="b">
        <v>0</v>
      </c>
    </row>
    <row r="1038">
      <c r="A1038" t="inlineStr">
        <is>
          <t>S005</t>
        </is>
      </c>
      <c r="B1038" s="3" t="n">
        <v>46269</v>
      </c>
      <c r="C1038" t="n">
        <v>20</v>
      </c>
      <c r="D1038" t="inlineStr">
        <is>
          <t>Friday</t>
        </is>
      </c>
      <c r="E1038" t="n">
        <v>23</v>
      </c>
      <c r="F1038" t="b">
        <v>1</v>
      </c>
      <c r="H1038" t="b">
        <v>0</v>
      </c>
    </row>
    <row r="1039">
      <c r="A1039" t="inlineStr">
        <is>
          <t>S005</t>
        </is>
      </c>
      <c r="B1039" s="3" t="n">
        <v>46269</v>
      </c>
      <c r="C1039" t="n">
        <v>21</v>
      </c>
      <c r="D1039" t="inlineStr">
        <is>
          <t>Friday</t>
        </is>
      </c>
      <c r="E1039" t="n">
        <v>26</v>
      </c>
      <c r="F1039" t="b">
        <v>1</v>
      </c>
      <c r="H1039" t="b">
        <v>0</v>
      </c>
    </row>
    <row r="1040">
      <c r="A1040" t="inlineStr">
        <is>
          <t>S005</t>
        </is>
      </c>
      <c r="B1040" s="3" t="n">
        <v>46269</v>
      </c>
      <c r="C1040" t="n">
        <v>22</v>
      </c>
      <c r="D1040" t="inlineStr">
        <is>
          <t>Friday</t>
        </is>
      </c>
      <c r="E1040" t="n">
        <v>16</v>
      </c>
      <c r="F1040" t="b">
        <v>0</v>
      </c>
      <c r="H1040" t="b">
        <v>0</v>
      </c>
    </row>
    <row r="1041">
      <c r="A1041" t="inlineStr">
        <is>
          <t>S005</t>
        </is>
      </c>
      <c r="B1041" s="3" t="n">
        <v>46269</v>
      </c>
      <c r="C1041" t="n">
        <v>23</v>
      </c>
      <c r="D1041" t="inlineStr">
        <is>
          <t>Friday</t>
        </is>
      </c>
      <c r="E1041" t="n">
        <v>9</v>
      </c>
      <c r="F1041" t="b">
        <v>0</v>
      </c>
      <c r="G1041" t="inlineStr">
        <is>
          <t>Light</t>
        </is>
      </c>
      <c r="H1041" t="b">
        <v>0</v>
      </c>
    </row>
    <row r="1042">
      <c r="A1042" t="inlineStr">
        <is>
          <t>S006</t>
        </is>
      </c>
      <c r="B1042" s="3" t="n">
        <v>46269</v>
      </c>
      <c r="C1042" t="n">
        <v>8</v>
      </c>
      <c r="D1042" t="inlineStr">
        <is>
          <t>Friday</t>
        </is>
      </c>
      <c r="E1042" t="n">
        <v>22</v>
      </c>
      <c r="F1042" t="b">
        <v>0</v>
      </c>
      <c r="H1042" t="b">
        <v>0</v>
      </c>
    </row>
    <row r="1043">
      <c r="A1043" t="inlineStr">
        <is>
          <t>S006</t>
        </is>
      </c>
      <c r="B1043" s="3" t="n">
        <v>46269</v>
      </c>
      <c r="C1043" t="n">
        <v>9</v>
      </c>
      <c r="D1043" t="inlineStr">
        <is>
          <t>Friday</t>
        </is>
      </c>
      <c r="E1043" t="n">
        <v>18</v>
      </c>
      <c r="F1043" t="b">
        <v>0</v>
      </c>
      <c r="G1043" t="inlineStr">
        <is>
          <t>Light</t>
        </is>
      </c>
      <c r="H1043" t="b">
        <v>0</v>
      </c>
    </row>
    <row r="1044">
      <c r="A1044" t="inlineStr">
        <is>
          <t>S006</t>
        </is>
      </c>
      <c r="B1044" s="3" t="n">
        <v>46269</v>
      </c>
      <c r="C1044" t="n">
        <v>10</v>
      </c>
      <c r="D1044" t="inlineStr">
        <is>
          <t>Friday</t>
        </is>
      </c>
      <c r="E1044" t="n">
        <v>13</v>
      </c>
      <c r="F1044" t="b">
        <v>0</v>
      </c>
      <c r="H1044" t="b">
        <v>0</v>
      </c>
    </row>
    <row r="1045">
      <c r="A1045" t="inlineStr">
        <is>
          <t>S006</t>
        </is>
      </c>
      <c r="B1045" s="3" t="n">
        <v>46269</v>
      </c>
      <c r="C1045" t="n">
        <v>11</v>
      </c>
      <c r="D1045" t="inlineStr">
        <is>
          <t>Friday</t>
        </is>
      </c>
      <c r="E1045" t="n">
        <v>31</v>
      </c>
      <c r="F1045" t="b">
        <v>0</v>
      </c>
      <c r="H1045" t="b">
        <v>0</v>
      </c>
    </row>
    <row r="1046">
      <c r="A1046" t="inlineStr">
        <is>
          <t>S006</t>
        </is>
      </c>
      <c r="B1046" s="3" t="n">
        <v>46269</v>
      </c>
      <c r="C1046" t="n">
        <v>12</v>
      </c>
      <c r="D1046" t="inlineStr">
        <is>
          <t>Friday</t>
        </is>
      </c>
      <c r="E1046" t="n">
        <v>26</v>
      </c>
      <c r="F1046" t="b">
        <v>0</v>
      </c>
      <c r="H1046" t="b">
        <v>0</v>
      </c>
    </row>
    <row r="1047">
      <c r="A1047" t="inlineStr">
        <is>
          <t>S006</t>
        </is>
      </c>
      <c r="B1047" s="3" t="n">
        <v>46269</v>
      </c>
      <c r="C1047" t="n">
        <v>13</v>
      </c>
      <c r="D1047" t="inlineStr">
        <is>
          <t>Friday</t>
        </is>
      </c>
      <c r="E1047" t="n">
        <v>24</v>
      </c>
      <c r="F1047" t="b">
        <v>0</v>
      </c>
      <c r="H1047" t="b">
        <v>0</v>
      </c>
    </row>
    <row r="1048">
      <c r="A1048" t="inlineStr">
        <is>
          <t>S006</t>
        </is>
      </c>
      <c r="B1048" s="3" t="n">
        <v>46269</v>
      </c>
      <c r="C1048" t="n">
        <v>14</v>
      </c>
      <c r="D1048" t="inlineStr">
        <is>
          <t>Friday</t>
        </is>
      </c>
      <c r="E1048" t="n">
        <v>6</v>
      </c>
      <c r="F1048" t="b">
        <v>0</v>
      </c>
      <c r="G1048" t="inlineStr">
        <is>
          <t>Heavy</t>
        </is>
      </c>
      <c r="H1048" t="b">
        <v>0</v>
      </c>
    </row>
    <row r="1049">
      <c r="A1049" t="inlineStr">
        <is>
          <t>S006</t>
        </is>
      </c>
      <c r="B1049" s="3" t="n">
        <v>46269</v>
      </c>
      <c r="C1049" t="n">
        <v>15</v>
      </c>
      <c r="D1049" t="inlineStr">
        <is>
          <t>Friday</t>
        </is>
      </c>
      <c r="E1049" t="n">
        <v>23</v>
      </c>
      <c r="F1049" t="b">
        <v>0</v>
      </c>
      <c r="H1049" t="b">
        <v>0</v>
      </c>
    </row>
    <row r="1050">
      <c r="A1050" t="inlineStr">
        <is>
          <t>S006</t>
        </is>
      </c>
      <c r="B1050" s="3" t="n">
        <v>46269</v>
      </c>
      <c r="C1050" t="n">
        <v>16</v>
      </c>
      <c r="D1050" t="inlineStr">
        <is>
          <t>Friday</t>
        </is>
      </c>
      <c r="E1050" t="n">
        <v>27</v>
      </c>
      <c r="F1050" t="b">
        <v>0</v>
      </c>
      <c r="G1050" t="inlineStr">
        <is>
          <t>Light</t>
        </is>
      </c>
      <c r="H1050" t="b">
        <v>0</v>
      </c>
    </row>
    <row r="1051">
      <c r="A1051" t="inlineStr">
        <is>
          <t>S006</t>
        </is>
      </c>
      <c r="B1051" s="3" t="n">
        <v>46269</v>
      </c>
      <c r="C1051" t="n">
        <v>17</v>
      </c>
      <c r="D1051" t="inlineStr">
        <is>
          <t>Friday</t>
        </is>
      </c>
      <c r="E1051" t="n">
        <v>25</v>
      </c>
      <c r="F1051" t="b">
        <v>0</v>
      </c>
      <c r="H1051" t="b">
        <v>0</v>
      </c>
    </row>
    <row r="1052">
      <c r="A1052" t="inlineStr">
        <is>
          <t>S006</t>
        </is>
      </c>
      <c r="B1052" s="3" t="n">
        <v>46269</v>
      </c>
      <c r="C1052" t="n">
        <v>18</v>
      </c>
      <c r="D1052" t="inlineStr">
        <is>
          <t>Friday</t>
        </is>
      </c>
      <c r="E1052" t="n">
        <v>35</v>
      </c>
      <c r="F1052" t="b">
        <v>0</v>
      </c>
      <c r="H1052" t="b">
        <v>0</v>
      </c>
    </row>
    <row r="1053">
      <c r="A1053" t="inlineStr">
        <is>
          <t>S006</t>
        </is>
      </c>
      <c r="B1053" s="3" t="n">
        <v>46269</v>
      </c>
      <c r="C1053" t="n">
        <v>19</v>
      </c>
      <c r="D1053" t="inlineStr">
        <is>
          <t>Friday</t>
        </is>
      </c>
      <c r="E1053" t="n">
        <v>48</v>
      </c>
      <c r="F1053" t="b">
        <v>1</v>
      </c>
      <c r="H1053" t="b">
        <v>0</v>
      </c>
    </row>
    <row r="1054">
      <c r="A1054" t="inlineStr">
        <is>
          <t>S006</t>
        </is>
      </c>
      <c r="B1054" s="3" t="n">
        <v>46269</v>
      </c>
      <c r="C1054" t="n">
        <v>20</v>
      </c>
      <c r="D1054" t="inlineStr">
        <is>
          <t>Friday</t>
        </is>
      </c>
      <c r="E1054" t="n">
        <v>35</v>
      </c>
      <c r="F1054" t="b">
        <v>1</v>
      </c>
      <c r="H1054" t="b">
        <v>0</v>
      </c>
    </row>
    <row r="1055">
      <c r="A1055" t="inlineStr">
        <is>
          <t>S006</t>
        </is>
      </c>
      <c r="B1055" s="3" t="n">
        <v>46269</v>
      </c>
      <c r="C1055" t="n">
        <v>21</v>
      </c>
      <c r="D1055" t="inlineStr">
        <is>
          <t>Friday</t>
        </is>
      </c>
      <c r="E1055" t="n">
        <v>43</v>
      </c>
      <c r="F1055" t="b">
        <v>1</v>
      </c>
      <c r="H1055" t="b">
        <v>0</v>
      </c>
    </row>
    <row r="1056">
      <c r="A1056" t="inlineStr">
        <is>
          <t>S006</t>
        </is>
      </c>
      <c r="B1056" s="3" t="n">
        <v>46269</v>
      </c>
      <c r="C1056" t="n">
        <v>22</v>
      </c>
      <c r="D1056" t="inlineStr">
        <is>
          <t>Friday</t>
        </is>
      </c>
      <c r="E1056" t="n">
        <v>23</v>
      </c>
      <c r="F1056" t="b">
        <v>0</v>
      </c>
      <c r="H1056" t="b">
        <v>0</v>
      </c>
    </row>
    <row r="1057">
      <c r="A1057" t="inlineStr">
        <is>
          <t>S006</t>
        </is>
      </c>
      <c r="B1057" s="3" t="n">
        <v>46269</v>
      </c>
      <c r="C1057" t="n">
        <v>23</v>
      </c>
      <c r="D1057" t="inlineStr">
        <is>
          <t>Friday</t>
        </is>
      </c>
      <c r="E1057" t="n">
        <v>26</v>
      </c>
      <c r="F1057" t="b">
        <v>0</v>
      </c>
      <c r="H1057" t="b">
        <v>0</v>
      </c>
    </row>
    <row r="1058">
      <c r="A1058" t="inlineStr">
        <is>
          <t>S007</t>
        </is>
      </c>
      <c r="B1058" s="3" t="n">
        <v>46269</v>
      </c>
      <c r="C1058" t="n">
        <v>8</v>
      </c>
      <c r="D1058" t="inlineStr">
        <is>
          <t>Friday</t>
        </is>
      </c>
      <c r="E1058" t="n">
        <v>30</v>
      </c>
      <c r="F1058" t="b">
        <v>0</v>
      </c>
      <c r="H1058" t="b">
        <v>0</v>
      </c>
    </row>
    <row r="1059">
      <c r="A1059" t="inlineStr">
        <is>
          <t>S007</t>
        </is>
      </c>
      <c r="B1059" s="3" t="n">
        <v>46269</v>
      </c>
      <c r="C1059" t="n">
        <v>9</v>
      </c>
      <c r="D1059" t="inlineStr">
        <is>
          <t>Friday</t>
        </is>
      </c>
      <c r="E1059" t="n">
        <v>27</v>
      </c>
      <c r="F1059" t="b">
        <v>0</v>
      </c>
      <c r="G1059" t="inlineStr">
        <is>
          <t>Light</t>
        </is>
      </c>
      <c r="H1059" t="b">
        <v>0</v>
      </c>
    </row>
    <row r="1060">
      <c r="A1060" t="inlineStr">
        <is>
          <t>S007</t>
        </is>
      </c>
      <c r="B1060" s="3" t="n">
        <v>46269</v>
      </c>
      <c r="C1060" t="n">
        <v>10</v>
      </c>
      <c r="D1060" t="inlineStr">
        <is>
          <t>Friday</t>
        </is>
      </c>
      <c r="E1060" t="n">
        <v>25</v>
      </c>
      <c r="F1060" t="b">
        <v>0</v>
      </c>
      <c r="G1060" t="inlineStr">
        <is>
          <t>Light</t>
        </is>
      </c>
      <c r="H1060" t="b">
        <v>0</v>
      </c>
    </row>
    <row r="1061">
      <c r="A1061" t="inlineStr">
        <is>
          <t>S007</t>
        </is>
      </c>
      <c r="B1061" s="3" t="n">
        <v>46269</v>
      </c>
      <c r="C1061" t="n">
        <v>11</v>
      </c>
      <c r="D1061" t="inlineStr">
        <is>
          <t>Friday</t>
        </is>
      </c>
      <c r="E1061" t="n">
        <v>40</v>
      </c>
      <c r="F1061" t="b">
        <v>0</v>
      </c>
      <c r="G1061" t="inlineStr">
        <is>
          <t>Light</t>
        </is>
      </c>
      <c r="H1061" t="b">
        <v>0</v>
      </c>
    </row>
    <row r="1062">
      <c r="A1062" t="inlineStr">
        <is>
          <t>S007</t>
        </is>
      </c>
      <c r="B1062" s="3" t="n">
        <v>46269</v>
      </c>
      <c r="C1062" t="n">
        <v>12</v>
      </c>
      <c r="D1062" t="inlineStr">
        <is>
          <t>Friday</t>
        </is>
      </c>
      <c r="E1062" t="n">
        <v>37</v>
      </c>
      <c r="F1062" t="b">
        <v>0</v>
      </c>
      <c r="H1062" t="b">
        <v>0</v>
      </c>
    </row>
    <row r="1063">
      <c r="A1063" t="inlineStr">
        <is>
          <t>S007</t>
        </is>
      </c>
      <c r="B1063" s="3" t="n">
        <v>46269</v>
      </c>
      <c r="C1063" t="n">
        <v>13</v>
      </c>
      <c r="D1063" t="inlineStr">
        <is>
          <t>Friday</t>
        </is>
      </c>
      <c r="E1063" t="n">
        <v>42</v>
      </c>
      <c r="F1063" t="b">
        <v>0</v>
      </c>
      <c r="H1063" t="b">
        <v>0</v>
      </c>
    </row>
    <row r="1064">
      <c r="A1064" t="inlineStr">
        <is>
          <t>S007</t>
        </is>
      </c>
      <c r="B1064" s="3" t="n">
        <v>46269</v>
      </c>
      <c r="C1064" t="n">
        <v>14</v>
      </c>
      <c r="D1064" t="inlineStr">
        <is>
          <t>Friday</t>
        </is>
      </c>
      <c r="E1064" t="n">
        <v>30</v>
      </c>
      <c r="F1064" t="b">
        <v>0</v>
      </c>
      <c r="H1064" t="b">
        <v>0</v>
      </c>
    </row>
    <row r="1065">
      <c r="A1065" t="inlineStr">
        <is>
          <t>S007</t>
        </is>
      </c>
      <c r="B1065" s="3" t="n">
        <v>46269</v>
      </c>
      <c r="C1065" t="n">
        <v>15</v>
      </c>
      <c r="D1065" t="inlineStr">
        <is>
          <t>Friday</t>
        </is>
      </c>
      <c r="E1065" t="n">
        <v>19</v>
      </c>
      <c r="F1065" t="b">
        <v>0</v>
      </c>
      <c r="H1065" t="b">
        <v>0</v>
      </c>
    </row>
    <row r="1066">
      <c r="A1066" t="inlineStr">
        <is>
          <t>S007</t>
        </is>
      </c>
      <c r="B1066" s="3" t="n">
        <v>46269</v>
      </c>
      <c r="C1066" t="n">
        <v>16</v>
      </c>
      <c r="D1066" t="inlineStr">
        <is>
          <t>Friday</t>
        </is>
      </c>
      <c r="E1066" t="n">
        <v>36</v>
      </c>
      <c r="F1066" t="b">
        <v>0</v>
      </c>
      <c r="G1066" t="inlineStr">
        <is>
          <t>Light</t>
        </is>
      </c>
      <c r="H1066" t="b">
        <v>0</v>
      </c>
    </row>
    <row r="1067">
      <c r="A1067" t="inlineStr">
        <is>
          <t>S007</t>
        </is>
      </c>
      <c r="B1067" s="3" t="n">
        <v>46269</v>
      </c>
      <c r="C1067" t="n">
        <v>17</v>
      </c>
      <c r="D1067" t="inlineStr">
        <is>
          <t>Friday</t>
        </is>
      </c>
      <c r="E1067" t="n">
        <v>39</v>
      </c>
      <c r="F1067" t="b">
        <v>0</v>
      </c>
      <c r="H1067" t="b">
        <v>0</v>
      </c>
    </row>
    <row r="1068">
      <c r="A1068" t="inlineStr">
        <is>
          <t>S007</t>
        </is>
      </c>
      <c r="B1068" s="3" t="n">
        <v>46269</v>
      </c>
      <c r="C1068" t="n">
        <v>18</v>
      </c>
      <c r="D1068" t="inlineStr">
        <is>
          <t>Friday</t>
        </is>
      </c>
      <c r="E1068" t="n">
        <v>35</v>
      </c>
      <c r="F1068" t="b">
        <v>0</v>
      </c>
      <c r="G1068" t="inlineStr">
        <is>
          <t>Heavy</t>
        </is>
      </c>
      <c r="H1068" t="b">
        <v>0</v>
      </c>
    </row>
    <row r="1069">
      <c r="A1069" t="inlineStr">
        <is>
          <t>S007</t>
        </is>
      </c>
      <c r="B1069" s="3" t="n">
        <v>46269</v>
      </c>
      <c r="C1069" t="n">
        <v>19</v>
      </c>
      <c r="D1069" t="inlineStr">
        <is>
          <t>Friday</t>
        </is>
      </c>
      <c r="E1069" t="n">
        <v>52</v>
      </c>
      <c r="F1069" t="b">
        <v>1</v>
      </c>
      <c r="G1069" t="inlineStr">
        <is>
          <t>Light</t>
        </is>
      </c>
      <c r="H1069" t="b">
        <v>0</v>
      </c>
    </row>
    <row r="1070">
      <c r="A1070" t="inlineStr">
        <is>
          <t>S007</t>
        </is>
      </c>
      <c r="B1070" s="3" t="n">
        <v>46269</v>
      </c>
      <c r="C1070" t="n">
        <v>20</v>
      </c>
      <c r="D1070" t="inlineStr">
        <is>
          <t>Friday</t>
        </is>
      </c>
      <c r="E1070" t="n">
        <v>44</v>
      </c>
      <c r="F1070" t="b">
        <v>1</v>
      </c>
      <c r="H1070" t="b">
        <v>0</v>
      </c>
    </row>
    <row r="1071">
      <c r="A1071" t="inlineStr">
        <is>
          <t>S007</t>
        </is>
      </c>
      <c r="B1071" s="3" t="n">
        <v>46269</v>
      </c>
      <c r="C1071" t="n">
        <v>21</v>
      </c>
      <c r="D1071" t="inlineStr">
        <is>
          <t>Friday</t>
        </is>
      </c>
      <c r="E1071" t="n">
        <v>58</v>
      </c>
      <c r="F1071" t="b">
        <v>1</v>
      </c>
      <c r="G1071" t="inlineStr">
        <is>
          <t>Light</t>
        </is>
      </c>
      <c r="H1071" t="b">
        <v>0</v>
      </c>
    </row>
    <row r="1072">
      <c r="A1072" t="inlineStr">
        <is>
          <t>S007</t>
        </is>
      </c>
      <c r="B1072" s="3" t="n">
        <v>46269</v>
      </c>
      <c r="C1072" t="n">
        <v>22</v>
      </c>
      <c r="D1072" t="inlineStr">
        <is>
          <t>Friday</t>
        </is>
      </c>
      <c r="E1072" t="n">
        <v>45</v>
      </c>
      <c r="F1072" t="b">
        <v>0</v>
      </c>
      <c r="H1072" t="b">
        <v>0</v>
      </c>
    </row>
    <row r="1073">
      <c r="A1073" t="inlineStr">
        <is>
          <t>S007</t>
        </is>
      </c>
      <c r="B1073" s="3" t="n">
        <v>46269</v>
      </c>
      <c r="C1073" t="n">
        <v>23</v>
      </c>
      <c r="D1073" t="inlineStr">
        <is>
          <t>Friday</t>
        </is>
      </c>
      <c r="E1073" t="n">
        <v>38</v>
      </c>
      <c r="F1073" t="b">
        <v>0</v>
      </c>
      <c r="H1073" t="b">
        <v>0</v>
      </c>
    </row>
    <row r="1074">
      <c r="A1074" t="inlineStr">
        <is>
          <t>S008</t>
        </is>
      </c>
      <c r="B1074" s="3" t="n">
        <v>46269</v>
      </c>
      <c r="C1074" t="n">
        <v>8</v>
      </c>
      <c r="D1074" t="inlineStr">
        <is>
          <t>Friday</t>
        </is>
      </c>
      <c r="E1074" t="n">
        <v>24</v>
      </c>
      <c r="F1074" t="b">
        <v>0</v>
      </c>
      <c r="H1074" t="b">
        <v>0</v>
      </c>
    </row>
    <row r="1075">
      <c r="A1075" t="inlineStr">
        <is>
          <t>S008</t>
        </is>
      </c>
      <c r="B1075" s="3" t="n">
        <v>46269</v>
      </c>
      <c r="C1075" t="n">
        <v>9</v>
      </c>
      <c r="D1075" t="inlineStr">
        <is>
          <t>Friday</t>
        </is>
      </c>
      <c r="E1075" t="n">
        <v>17</v>
      </c>
      <c r="F1075" t="b">
        <v>0</v>
      </c>
      <c r="H1075" t="b">
        <v>0</v>
      </c>
    </row>
    <row r="1076">
      <c r="A1076" t="inlineStr">
        <is>
          <t>S008</t>
        </is>
      </c>
      <c r="B1076" s="3" t="n">
        <v>46269</v>
      </c>
      <c r="C1076" t="n">
        <v>10</v>
      </c>
      <c r="D1076" t="inlineStr">
        <is>
          <t>Friday</t>
        </is>
      </c>
      <c r="E1076" t="n">
        <v>14</v>
      </c>
      <c r="F1076" t="b">
        <v>0</v>
      </c>
      <c r="H1076" t="b">
        <v>0</v>
      </c>
    </row>
    <row r="1077">
      <c r="A1077" t="inlineStr">
        <is>
          <t>S008</t>
        </is>
      </c>
      <c r="B1077" s="3" t="n">
        <v>46269</v>
      </c>
      <c r="C1077" t="n">
        <v>11</v>
      </c>
      <c r="D1077" t="inlineStr">
        <is>
          <t>Friday</t>
        </is>
      </c>
      <c r="E1077" t="n">
        <v>17</v>
      </c>
      <c r="F1077" t="b">
        <v>0</v>
      </c>
      <c r="H1077" t="b">
        <v>1</v>
      </c>
    </row>
    <row r="1078">
      <c r="A1078" t="inlineStr">
        <is>
          <t>S008</t>
        </is>
      </c>
      <c r="B1078" s="3" t="n">
        <v>46269</v>
      </c>
      <c r="C1078" t="n">
        <v>12</v>
      </c>
      <c r="D1078" t="inlineStr">
        <is>
          <t>Friday</t>
        </is>
      </c>
      <c r="E1078" t="n">
        <v>16</v>
      </c>
      <c r="F1078" t="b">
        <v>0</v>
      </c>
      <c r="H1078" t="b">
        <v>0</v>
      </c>
    </row>
    <row r="1079">
      <c r="A1079" t="inlineStr">
        <is>
          <t>S008</t>
        </is>
      </c>
      <c r="B1079" s="3" t="n">
        <v>46269</v>
      </c>
      <c r="C1079" t="n">
        <v>13</v>
      </c>
      <c r="D1079" t="inlineStr">
        <is>
          <t>Friday</t>
        </is>
      </c>
      <c r="E1079" t="n">
        <v>18</v>
      </c>
      <c r="F1079" t="b">
        <v>0</v>
      </c>
      <c r="G1079" t="inlineStr">
        <is>
          <t>Light</t>
        </is>
      </c>
      <c r="H1079" t="b">
        <v>0</v>
      </c>
    </row>
    <row r="1080">
      <c r="A1080" t="inlineStr">
        <is>
          <t>S008</t>
        </is>
      </c>
      <c r="B1080" s="3" t="n">
        <v>46269</v>
      </c>
      <c r="C1080" t="n">
        <v>14</v>
      </c>
      <c r="D1080" t="inlineStr">
        <is>
          <t>Friday</t>
        </is>
      </c>
      <c r="E1080" t="n">
        <v>11</v>
      </c>
      <c r="F1080" t="b">
        <v>0</v>
      </c>
      <c r="G1080" t="inlineStr">
        <is>
          <t>Light</t>
        </is>
      </c>
      <c r="H1080" t="b">
        <v>0</v>
      </c>
    </row>
    <row r="1081">
      <c r="A1081" t="inlineStr">
        <is>
          <t>S008</t>
        </is>
      </c>
      <c r="B1081" s="3" t="n">
        <v>46269</v>
      </c>
      <c r="C1081" t="n">
        <v>15</v>
      </c>
      <c r="D1081" t="inlineStr">
        <is>
          <t>Friday</t>
        </is>
      </c>
      <c r="E1081" t="n">
        <v>22</v>
      </c>
      <c r="F1081" t="b">
        <v>0</v>
      </c>
      <c r="G1081" t="inlineStr">
        <is>
          <t>Light</t>
        </is>
      </c>
      <c r="H1081" t="b">
        <v>0</v>
      </c>
    </row>
    <row r="1082">
      <c r="A1082" t="inlineStr">
        <is>
          <t>S008</t>
        </is>
      </c>
      <c r="B1082" s="3" t="n">
        <v>46269</v>
      </c>
      <c r="C1082" t="n">
        <v>16</v>
      </c>
      <c r="D1082" t="inlineStr">
        <is>
          <t>Friday</t>
        </is>
      </c>
      <c r="E1082" t="n">
        <v>21</v>
      </c>
      <c r="F1082" t="b">
        <v>0</v>
      </c>
      <c r="H1082" t="b">
        <v>0</v>
      </c>
    </row>
    <row r="1083">
      <c r="A1083" t="inlineStr">
        <is>
          <t>S008</t>
        </is>
      </c>
      <c r="B1083" s="3" t="n">
        <v>46269</v>
      </c>
      <c r="C1083" t="n">
        <v>17</v>
      </c>
      <c r="D1083" t="inlineStr">
        <is>
          <t>Friday</t>
        </is>
      </c>
      <c r="E1083" t="n">
        <v>21</v>
      </c>
      <c r="F1083" t="b">
        <v>0</v>
      </c>
      <c r="H1083" t="b">
        <v>0</v>
      </c>
    </row>
    <row r="1084">
      <c r="A1084" t="inlineStr">
        <is>
          <t>S008</t>
        </is>
      </c>
      <c r="B1084" s="3" t="n">
        <v>46269</v>
      </c>
      <c r="C1084" t="n">
        <v>18</v>
      </c>
      <c r="D1084" t="inlineStr">
        <is>
          <t>Friday</t>
        </is>
      </c>
      <c r="E1084" t="n">
        <v>28</v>
      </c>
      <c r="F1084" t="b">
        <v>0</v>
      </c>
      <c r="H1084" t="b">
        <v>0</v>
      </c>
    </row>
    <row r="1085">
      <c r="A1085" t="inlineStr">
        <is>
          <t>S008</t>
        </is>
      </c>
      <c r="B1085" s="3" t="n">
        <v>46269</v>
      </c>
      <c r="C1085" t="n">
        <v>19</v>
      </c>
      <c r="D1085" t="inlineStr">
        <is>
          <t>Friday</t>
        </is>
      </c>
      <c r="E1085" t="n">
        <v>36</v>
      </c>
      <c r="F1085" t="b">
        <v>1</v>
      </c>
      <c r="H1085" t="b">
        <v>0</v>
      </c>
    </row>
    <row r="1086">
      <c r="A1086" t="inlineStr">
        <is>
          <t>S008</t>
        </is>
      </c>
      <c r="B1086" s="3" t="n">
        <v>46269</v>
      </c>
      <c r="C1086" t="n">
        <v>20</v>
      </c>
      <c r="D1086" t="inlineStr">
        <is>
          <t>Friday</t>
        </is>
      </c>
      <c r="E1086" t="n">
        <v>35</v>
      </c>
      <c r="F1086" t="b">
        <v>1</v>
      </c>
      <c r="H1086" t="b">
        <v>0</v>
      </c>
    </row>
    <row r="1087">
      <c r="A1087" t="inlineStr">
        <is>
          <t>S008</t>
        </is>
      </c>
      <c r="B1087" s="3" t="n">
        <v>46269</v>
      </c>
      <c r="C1087" t="n">
        <v>21</v>
      </c>
      <c r="D1087" t="inlineStr">
        <is>
          <t>Friday</t>
        </is>
      </c>
      <c r="E1087" t="n">
        <v>36</v>
      </c>
      <c r="F1087" t="b">
        <v>1</v>
      </c>
      <c r="H1087" t="b">
        <v>0</v>
      </c>
    </row>
    <row r="1088">
      <c r="A1088" t="inlineStr">
        <is>
          <t>S008</t>
        </is>
      </c>
      <c r="B1088" s="3" t="n">
        <v>46269</v>
      </c>
      <c r="C1088" t="n">
        <v>22</v>
      </c>
      <c r="D1088" t="inlineStr">
        <is>
          <t>Friday</t>
        </is>
      </c>
      <c r="E1088" t="n">
        <v>17</v>
      </c>
      <c r="F1088" t="b">
        <v>0</v>
      </c>
      <c r="H1088" t="b">
        <v>0</v>
      </c>
    </row>
    <row r="1089">
      <c r="A1089" t="inlineStr">
        <is>
          <t>S008</t>
        </is>
      </c>
      <c r="B1089" s="3" t="n">
        <v>46269</v>
      </c>
      <c r="C1089" t="n">
        <v>23</v>
      </c>
      <c r="D1089" t="inlineStr">
        <is>
          <t>Friday</t>
        </is>
      </c>
      <c r="E1089" t="n">
        <v>24</v>
      </c>
      <c r="F1089" t="b">
        <v>0</v>
      </c>
      <c r="H1089" t="b">
        <v>0</v>
      </c>
    </row>
    <row r="1090">
      <c r="A1090" t="inlineStr">
        <is>
          <t>S009</t>
        </is>
      </c>
      <c r="B1090" s="3" t="n">
        <v>46269</v>
      </c>
      <c r="C1090" t="n">
        <v>8</v>
      </c>
      <c r="D1090" t="inlineStr">
        <is>
          <t>Friday</t>
        </is>
      </c>
      <c r="E1090" t="n">
        <v>20</v>
      </c>
      <c r="F1090" t="b">
        <v>0</v>
      </c>
      <c r="G1090" t="inlineStr">
        <is>
          <t>Heavy</t>
        </is>
      </c>
      <c r="H1090" t="b">
        <v>0</v>
      </c>
    </row>
    <row r="1091">
      <c r="A1091" t="inlineStr">
        <is>
          <t>S009</t>
        </is>
      </c>
      <c r="B1091" s="3" t="n">
        <v>46269</v>
      </c>
      <c r="C1091" t="n">
        <v>9</v>
      </c>
      <c r="D1091" t="inlineStr">
        <is>
          <t>Friday</t>
        </is>
      </c>
      <c r="E1091" t="n">
        <v>20</v>
      </c>
      <c r="F1091" t="b">
        <v>0</v>
      </c>
      <c r="G1091" t="inlineStr">
        <is>
          <t>Heavy</t>
        </is>
      </c>
      <c r="H1091" t="b">
        <v>0</v>
      </c>
    </row>
    <row r="1092">
      <c r="A1092" t="inlineStr">
        <is>
          <t>S009</t>
        </is>
      </c>
      <c r="B1092" s="3" t="n">
        <v>46269</v>
      </c>
      <c r="C1092" t="n">
        <v>10</v>
      </c>
      <c r="D1092" t="inlineStr">
        <is>
          <t>Friday</t>
        </is>
      </c>
      <c r="E1092" t="n">
        <v>22</v>
      </c>
      <c r="F1092" t="b">
        <v>0</v>
      </c>
      <c r="H1092" t="b">
        <v>0</v>
      </c>
    </row>
    <row r="1093">
      <c r="A1093" t="inlineStr">
        <is>
          <t>S009</t>
        </is>
      </c>
      <c r="B1093" s="3" t="n">
        <v>46269</v>
      </c>
      <c r="C1093" t="n">
        <v>11</v>
      </c>
      <c r="D1093" t="inlineStr">
        <is>
          <t>Friday</t>
        </is>
      </c>
      <c r="E1093" t="n">
        <v>23</v>
      </c>
      <c r="F1093" t="b">
        <v>0</v>
      </c>
      <c r="H1093" t="b">
        <v>0</v>
      </c>
    </row>
    <row r="1094">
      <c r="A1094" t="inlineStr">
        <is>
          <t>S009</t>
        </is>
      </c>
      <c r="B1094" s="3" t="n">
        <v>46269</v>
      </c>
      <c r="C1094" t="n">
        <v>12</v>
      </c>
      <c r="D1094" t="inlineStr">
        <is>
          <t>Friday</t>
        </is>
      </c>
      <c r="E1094" t="n">
        <v>28</v>
      </c>
      <c r="F1094" t="b">
        <v>0</v>
      </c>
      <c r="H1094" t="b">
        <v>0</v>
      </c>
    </row>
    <row r="1095">
      <c r="A1095" t="inlineStr">
        <is>
          <t>S009</t>
        </is>
      </c>
      <c r="B1095" s="3" t="n">
        <v>46269</v>
      </c>
      <c r="C1095" t="n">
        <v>13</v>
      </c>
      <c r="D1095" t="inlineStr">
        <is>
          <t>Friday</t>
        </is>
      </c>
      <c r="E1095" t="n">
        <v>25</v>
      </c>
      <c r="F1095" t="b">
        <v>0</v>
      </c>
      <c r="G1095" t="inlineStr">
        <is>
          <t>Light</t>
        </is>
      </c>
      <c r="H1095" t="b">
        <v>0</v>
      </c>
    </row>
    <row r="1096">
      <c r="A1096" t="inlineStr">
        <is>
          <t>S009</t>
        </is>
      </c>
      <c r="B1096" s="3" t="n">
        <v>46269</v>
      </c>
      <c r="C1096" t="n">
        <v>14</v>
      </c>
      <c r="D1096" t="inlineStr">
        <is>
          <t>Friday</t>
        </is>
      </c>
      <c r="E1096" t="n">
        <v>17</v>
      </c>
      <c r="F1096" t="b">
        <v>0</v>
      </c>
      <c r="H1096" t="b">
        <v>0</v>
      </c>
    </row>
    <row r="1097">
      <c r="A1097" t="inlineStr">
        <is>
          <t>S009</t>
        </is>
      </c>
      <c r="B1097" s="3" t="n">
        <v>46269</v>
      </c>
      <c r="C1097" t="n">
        <v>15</v>
      </c>
      <c r="D1097" t="inlineStr">
        <is>
          <t>Friday</t>
        </is>
      </c>
      <c r="E1097" t="n">
        <v>17</v>
      </c>
      <c r="F1097" t="b">
        <v>0</v>
      </c>
      <c r="H1097" t="b">
        <v>0</v>
      </c>
    </row>
    <row r="1098">
      <c r="A1098" t="inlineStr">
        <is>
          <t>S009</t>
        </is>
      </c>
      <c r="B1098" s="3" t="n">
        <v>46269</v>
      </c>
      <c r="C1098" t="n">
        <v>16</v>
      </c>
      <c r="D1098" t="inlineStr">
        <is>
          <t>Friday</t>
        </is>
      </c>
      <c r="E1098" t="n">
        <v>33</v>
      </c>
      <c r="F1098" t="b">
        <v>0</v>
      </c>
      <c r="H1098" t="b">
        <v>0</v>
      </c>
    </row>
    <row r="1099">
      <c r="A1099" t="inlineStr">
        <is>
          <t>S009</t>
        </is>
      </c>
      <c r="B1099" s="3" t="n">
        <v>46269</v>
      </c>
      <c r="C1099" t="n">
        <v>17</v>
      </c>
      <c r="D1099" t="inlineStr">
        <is>
          <t>Friday</t>
        </is>
      </c>
      <c r="E1099" t="n">
        <v>37</v>
      </c>
      <c r="F1099" t="b">
        <v>0</v>
      </c>
      <c r="H1099" t="b">
        <v>0</v>
      </c>
    </row>
    <row r="1100">
      <c r="A1100" t="inlineStr">
        <is>
          <t>S009</t>
        </is>
      </c>
      <c r="B1100" s="3" t="n">
        <v>46269</v>
      </c>
      <c r="C1100" t="n">
        <v>18</v>
      </c>
      <c r="D1100" t="inlineStr">
        <is>
          <t>Friday</t>
        </is>
      </c>
      <c r="E1100" t="n">
        <v>28</v>
      </c>
      <c r="F1100" t="b">
        <v>0</v>
      </c>
      <c r="G1100" t="inlineStr">
        <is>
          <t>Heavy</t>
        </is>
      </c>
      <c r="H1100" t="b">
        <v>0</v>
      </c>
    </row>
    <row r="1101">
      <c r="A1101" t="inlineStr">
        <is>
          <t>S009</t>
        </is>
      </c>
      <c r="B1101" s="3" t="n">
        <v>46269</v>
      </c>
      <c r="C1101" t="n">
        <v>19</v>
      </c>
      <c r="D1101" t="inlineStr">
        <is>
          <t>Friday</t>
        </is>
      </c>
      <c r="E1101" t="n">
        <v>49</v>
      </c>
      <c r="F1101" t="b">
        <v>1</v>
      </c>
      <c r="H1101" t="b">
        <v>0</v>
      </c>
    </row>
    <row r="1102">
      <c r="A1102" t="inlineStr">
        <is>
          <t>S009</t>
        </is>
      </c>
      <c r="B1102" s="3" t="n">
        <v>46269</v>
      </c>
      <c r="C1102" t="n">
        <v>20</v>
      </c>
      <c r="D1102" t="inlineStr">
        <is>
          <t>Friday</t>
        </is>
      </c>
      <c r="E1102" t="n">
        <v>50</v>
      </c>
      <c r="F1102" t="b">
        <v>1</v>
      </c>
      <c r="H1102" t="b">
        <v>0</v>
      </c>
    </row>
    <row r="1103">
      <c r="A1103" t="inlineStr">
        <is>
          <t>S009</t>
        </is>
      </c>
      <c r="B1103" s="3" t="n">
        <v>46269</v>
      </c>
      <c r="C1103" t="n">
        <v>21</v>
      </c>
      <c r="D1103" t="inlineStr">
        <is>
          <t>Friday</t>
        </is>
      </c>
      <c r="E1103" t="n">
        <v>39</v>
      </c>
      <c r="F1103" t="b">
        <v>1</v>
      </c>
      <c r="G1103" t="inlineStr">
        <is>
          <t>Light</t>
        </is>
      </c>
      <c r="H1103" t="b">
        <v>0</v>
      </c>
    </row>
    <row r="1104">
      <c r="A1104" t="inlineStr">
        <is>
          <t>S009</t>
        </is>
      </c>
      <c r="B1104" s="3" t="n">
        <v>46269</v>
      </c>
      <c r="C1104" t="n">
        <v>22</v>
      </c>
      <c r="D1104" t="inlineStr">
        <is>
          <t>Friday</t>
        </is>
      </c>
      <c r="E1104" t="n">
        <v>26</v>
      </c>
      <c r="F1104" t="b">
        <v>0</v>
      </c>
      <c r="H1104" t="b">
        <v>0</v>
      </c>
    </row>
    <row r="1105">
      <c r="A1105" t="inlineStr">
        <is>
          <t>S009</t>
        </is>
      </c>
      <c r="B1105" s="3" t="n">
        <v>46269</v>
      </c>
      <c r="C1105" t="n">
        <v>23</v>
      </c>
      <c r="D1105" t="inlineStr">
        <is>
          <t>Friday</t>
        </is>
      </c>
      <c r="E1105" t="n">
        <v>38</v>
      </c>
      <c r="F1105" t="b">
        <v>0</v>
      </c>
      <c r="H1105" t="b">
        <v>0</v>
      </c>
    </row>
    <row r="1106">
      <c r="A1106" t="inlineStr">
        <is>
          <t>S010</t>
        </is>
      </c>
      <c r="B1106" s="3" t="n">
        <v>46269</v>
      </c>
      <c r="C1106" t="n">
        <v>8</v>
      </c>
      <c r="D1106" t="inlineStr">
        <is>
          <t>Friday</t>
        </is>
      </c>
      <c r="E1106" t="n">
        <v>17</v>
      </c>
      <c r="F1106" t="b">
        <v>0</v>
      </c>
      <c r="H1106" t="b">
        <v>0</v>
      </c>
    </row>
    <row r="1107">
      <c r="A1107" t="inlineStr">
        <is>
          <t>S010</t>
        </is>
      </c>
      <c r="B1107" s="3" t="n">
        <v>46269</v>
      </c>
      <c r="C1107" t="n">
        <v>9</v>
      </c>
      <c r="D1107" t="inlineStr">
        <is>
          <t>Friday</t>
        </is>
      </c>
      <c r="E1107" t="n">
        <v>14</v>
      </c>
      <c r="F1107" t="b">
        <v>0</v>
      </c>
      <c r="H1107" t="b">
        <v>0</v>
      </c>
    </row>
    <row r="1108">
      <c r="A1108" t="inlineStr">
        <is>
          <t>S010</t>
        </is>
      </c>
      <c r="B1108" s="3" t="n">
        <v>46269</v>
      </c>
      <c r="C1108" t="n">
        <v>10</v>
      </c>
      <c r="D1108" t="inlineStr">
        <is>
          <t>Friday</t>
        </is>
      </c>
      <c r="E1108" t="n">
        <v>9</v>
      </c>
      <c r="F1108" t="b">
        <v>0</v>
      </c>
      <c r="H1108" t="b">
        <v>0</v>
      </c>
    </row>
    <row r="1109">
      <c r="A1109" t="inlineStr">
        <is>
          <t>S010</t>
        </is>
      </c>
      <c r="B1109" s="3" t="n">
        <v>46269</v>
      </c>
      <c r="C1109" t="n">
        <v>11</v>
      </c>
      <c r="D1109" t="inlineStr">
        <is>
          <t>Friday</t>
        </is>
      </c>
      <c r="E1109" t="n">
        <v>27</v>
      </c>
      <c r="F1109" t="b">
        <v>0</v>
      </c>
      <c r="H1109" t="b">
        <v>0</v>
      </c>
    </row>
    <row r="1110">
      <c r="A1110" t="inlineStr">
        <is>
          <t>S010</t>
        </is>
      </c>
      <c r="B1110" s="3" t="n">
        <v>46269</v>
      </c>
      <c r="C1110" t="n">
        <v>12</v>
      </c>
      <c r="D1110" t="inlineStr">
        <is>
          <t>Friday</t>
        </is>
      </c>
      <c r="E1110" t="n">
        <v>12</v>
      </c>
      <c r="F1110" t="b">
        <v>0</v>
      </c>
      <c r="H1110" t="b">
        <v>0</v>
      </c>
    </row>
    <row r="1111">
      <c r="A1111" t="inlineStr">
        <is>
          <t>S010</t>
        </is>
      </c>
      <c r="B1111" s="3" t="n">
        <v>46269</v>
      </c>
      <c r="C1111" t="n">
        <v>13</v>
      </c>
      <c r="D1111" t="inlineStr">
        <is>
          <t>Friday</t>
        </is>
      </c>
      <c r="E1111" t="n">
        <v>22</v>
      </c>
      <c r="F1111" t="b">
        <v>0</v>
      </c>
      <c r="H1111" t="b">
        <v>0</v>
      </c>
    </row>
    <row r="1112">
      <c r="A1112" t="inlineStr">
        <is>
          <t>S010</t>
        </is>
      </c>
      <c r="B1112" s="3" t="n">
        <v>46269</v>
      </c>
      <c r="C1112" t="n">
        <v>14</v>
      </c>
      <c r="D1112" t="inlineStr">
        <is>
          <t>Friday</t>
        </is>
      </c>
      <c r="E1112" t="n">
        <v>16</v>
      </c>
      <c r="F1112" t="b">
        <v>0</v>
      </c>
      <c r="G1112" t="inlineStr">
        <is>
          <t>Light</t>
        </is>
      </c>
      <c r="H1112" t="b">
        <v>0</v>
      </c>
    </row>
    <row r="1113">
      <c r="A1113" t="inlineStr">
        <is>
          <t>S010</t>
        </is>
      </c>
      <c r="B1113" s="3" t="n">
        <v>46269</v>
      </c>
      <c r="C1113" t="n">
        <v>15</v>
      </c>
      <c r="D1113" t="inlineStr">
        <is>
          <t>Friday</t>
        </is>
      </c>
      <c r="E1113" t="n">
        <v>11</v>
      </c>
      <c r="F1113" t="b">
        <v>0</v>
      </c>
      <c r="G1113" t="inlineStr">
        <is>
          <t>Light</t>
        </is>
      </c>
      <c r="H1113" t="b">
        <v>0</v>
      </c>
    </row>
    <row r="1114">
      <c r="A1114" t="inlineStr">
        <is>
          <t>S010</t>
        </is>
      </c>
      <c r="B1114" s="3" t="n">
        <v>46269</v>
      </c>
      <c r="C1114" t="n">
        <v>16</v>
      </c>
      <c r="D1114" t="inlineStr">
        <is>
          <t>Friday</t>
        </is>
      </c>
      <c r="E1114" t="n">
        <v>16</v>
      </c>
      <c r="F1114" t="b">
        <v>0</v>
      </c>
      <c r="H1114" t="b">
        <v>0</v>
      </c>
    </row>
    <row r="1115">
      <c r="A1115" t="inlineStr">
        <is>
          <t>S010</t>
        </is>
      </c>
      <c r="B1115" s="3" t="n">
        <v>46269</v>
      </c>
      <c r="C1115" t="n">
        <v>17</v>
      </c>
      <c r="D1115" t="inlineStr">
        <is>
          <t>Friday</t>
        </is>
      </c>
      <c r="E1115" t="n">
        <v>15</v>
      </c>
      <c r="F1115" t="b">
        <v>0</v>
      </c>
      <c r="H1115" t="b">
        <v>0</v>
      </c>
    </row>
    <row r="1116">
      <c r="A1116" t="inlineStr">
        <is>
          <t>S010</t>
        </is>
      </c>
      <c r="B1116" s="3" t="n">
        <v>46269</v>
      </c>
      <c r="C1116" t="n">
        <v>18</v>
      </c>
      <c r="D1116" t="inlineStr">
        <is>
          <t>Friday</t>
        </is>
      </c>
      <c r="E1116" t="n">
        <v>17</v>
      </c>
      <c r="F1116" t="b">
        <v>0</v>
      </c>
      <c r="H1116" t="b">
        <v>0</v>
      </c>
    </row>
    <row r="1117">
      <c r="A1117" t="inlineStr">
        <is>
          <t>S010</t>
        </is>
      </c>
      <c r="B1117" s="3" t="n">
        <v>46269</v>
      </c>
      <c r="C1117" t="n">
        <v>19</v>
      </c>
      <c r="D1117" t="inlineStr">
        <is>
          <t>Friday</t>
        </is>
      </c>
      <c r="E1117" t="n">
        <v>25</v>
      </c>
      <c r="F1117" t="b">
        <v>1</v>
      </c>
      <c r="G1117" t="inlineStr">
        <is>
          <t>Light</t>
        </is>
      </c>
      <c r="H1117" t="b">
        <v>0</v>
      </c>
    </row>
    <row r="1118">
      <c r="A1118" t="inlineStr">
        <is>
          <t>S010</t>
        </is>
      </c>
      <c r="B1118" s="3" t="n">
        <v>46269</v>
      </c>
      <c r="C1118" t="n">
        <v>20</v>
      </c>
      <c r="D1118" t="inlineStr">
        <is>
          <t>Friday</t>
        </is>
      </c>
      <c r="E1118" t="n">
        <v>30</v>
      </c>
      <c r="F1118" t="b">
        <v>1</v>
      </c>
      <c r="H1118" t="b">
        <v>0</v>
      </c>
    </row>
    <row r="1119">
      <c r="A1119" t="inlineStr">
        <is>
          <t>S010</t>
        </is>
      </c>
      <c r="B1119" s="3" t="n">
        <v>46269</v>
      </c>
      <c r="C1119" t="n">
        <v>21</v>
      </c>
      <c r="D1119" t="inlineStr">
        <is>
          <t>Friday</t>
        </is>
      </c>
      <c r="E1119" t="n">
        <v>37</v>
      </c>
      <c r="F1119" t="b">
        <v>1</v>
      </c>
      <c r="H1119" t="b">
        <v>0</v>
      </c>
    </row>
    <row r="1120">
      <c r="A1120" t="inlineStr">
        <is>
          <t>S010</t>
        </is>
      </c>
      <c r="B1120" s="3" t="n">
        <v>46269</v>
      </c>
      <c r="C1120" t="n">
        <v>22</v>
      </c>
      <c r="D1120" t="inlineStr">
        <is>
          <t>Friday</t>
        </is>
      </c>
      <c r="E1120" t="n">
        <v>22</v>
      </c>
      <c r="F1120" t="b">
        <v>0</v>
      </c>
      <c r="H1120" t="b">
        <v>1</v>
      </c>
    </row>
    <row r="1121">
      <c r="A1121" t="inlineStr">
        <is>
          <t>S010</t>
        </is>
      </c>
      <c r="B1121" s="3" t="n">
        <v>46269</v>
      </c>
      <c r="C1121" t="n">
        <v>23</v>
      </c>
      <c r="D1121" t="inlineStr">
        <is>
          <t>Friday</t>
        </is>
      </c>
      <c r="E1121" t="n">
        <v>16</v>
      </c>
      <c r="F1121" t="b">
        <v>0</v>
      </c>
      <c r="G1121" t="inlineStr">
        <is>
          <t>Light</t>
        </is>
      </c>
      <c r="H1121" t="b">
        <v>0</v>
      </c>
    </row>
    <row r="1122">
      <c r="A1122" t="inlineStr">
        <is>
          <t>S011</t>
        </is>
      </c>
      <c r="B1122" s="3" t="n">
        <v>46269</v>
      </c>
      <c r="C1122" t="n">
        <v>8</v>
      </c>
      <c r="D1122" t="inlineStr">
        <is>
          <t>Friday</t>
        </is>
      </c>
      <c r="E1122" t="n">
        <v>20</v>
      </c>
      <c r="F1122" t="b">
        <v>0</v>
      </c>
      <c r="G1122" t="inlineStr">
        <is>
          <t>Light</t>
        </is>
      </c>
      <c r="H1122" t="b">
        <v>0</v>
      </c>
    </row>
    <row r="1123">
      <c r="A1123" t="inlineStr">
        <is>
          <t>S011</t>
        </is>
      </c>
      <c r="B1123" s="3" t="n">
        <v>46269</v>
      </c>
      <c r="C1123" t="n">
        <v>9</v>
      </c>
      <c r="D1123" t="inlineStr">
        <is>
          <t>Friday</t>
        </is>
      </c>
      <c r="E1123" t="n">
        <v>20</v>
      </c>
      <c r="F1123" t="b">
        <v>0</v>
      </c>
      <c r="H1123" t="b">
        <v>0</v>
      </c>
    </row>
    <row r="1124">
      <c r="A1124" t="inlineStr">
        <is>
          <t>S011</t>
        </is>
      </c>
      <c r="B1124" s="3" t="n">
        <v>46269</v>
      </c>
      <c r="C1124" t="n">
        <v>10</v>
      </c>
      <c r="D1124" t="inlineStr">
        <is>
          <t>Friday</t>
        </is>
      </c>
      <c r="E1124" t="n">
        <v>25</v>
      </c>
      <c r="F1124" t="b">
        <v>0</v>
      </c>
      <c r="G1124" t="inlineStr">
        <is>
          <t>Light</t>
        </is>
      </c>
      <c r="H1124" t="b">
        <v>0</v>
      </c>
    </row>
    <row r="1125">
      <c r="A1125" t="inlineStr">
        <is>
          <t>S011</t>
        </is>
      </c>
      <c r="B1125" s="3" t="n">
        <v>46269</v>
      </c>
      <c r="C1125" t="n">
        <v>11</v>
      </c>
      <c r="D1125" t="inlineStr">
        <is>
          <t>Friday</t>
        </is>
      </c>
      <c r="E1125" t="n">
        <v>31</v>
      </c>
      <c r="F1125" t="b">
        <v>0</v>
      </c>
      <c r="G1125" t="inlineStr">
        <is>
          <t>Light</t>
        </is>
      </c>
      <c r="H1125" t="b">
        <v>0</v>
      </c>
    </row>
    <row r="1126">
      <c r="A1126" t="inlineStr">
        <is>
          <t>S011</t>
        </is>
      </c>
      <c r="B1126" s="3" t="n">
        <v>46269</v>
      </c>
      <c r="C1126" t="n">
        <v>12</v>
      </c>
      <c r="D1126" t="inlineStr">
        <is>
          <t>Friday</t>
        </is>
      </c>
      <c r="E1126" t="n">
        <v>28</v>
      </c>
      <c r="F1126" t="b">
        <v>0</v>
      </c>
      <c r="G1126" t="inlineStr">
        <is>
          <t>Light</t>
        </is>
      </c>
      <c r="H1126" t="b">
        <v>0</v>
      </c>
    </row>
    <row r="1127">
      <c r="A1127" t="inlineStr">
        <is>
          <t>S011</t>
        </is>
      </c>
      <c r="B1127" s="3" t="n">
        <v>46269</v>
      </c>
      <c r="C1127" t="n">
        <v>13</v>
      </c>
      <c r="D1127" t="inlineStr">
        <is>
          <t>Friday</t>
        </is>
      </c>
      <c r="E1127" t="n">
        <v>24</v>
      </c>
      <c r="F1127" t="b">
        <v>0</v>
      </c>
      <c r="H1127" t="b">
        <v>0</v>
      </c>
    </row>
    <row r="1128">
      <c r="A1128" t="inlineStr">
        <is>
          <t>S011</t>
        </is>
      </c>
      <c r="B1128" s="3" t="n">
        <v>46269</v>
      </c>
      <c r="C1128" t="n">
        <v>14</v>
      </c>
      <c r="D1128" t="inlineStr">
        <is>
          <t>Friday</t>
        </is>
      </c>
      <c r="E1128" t="n">
        <v>24</v>
      </c>
      <c r="F1128" t="b">
        <v>0</v>
      </c>
      <c r="G1128" t="inlineStr">
        <is>
          <t>Light</t>
        </is>
      </c>
      <c r="H1128" t="b">
        <v>0</v>
      </c>
    </row>
    <row r="1129">
      <c r="A1129" t="inlineStr">
        <is>
          <t>S011</t>
        </is>
      </c>
      <c r="B1129" s="3" t="n">
        <v>46269</v>
      </c>
      <c r="C1129" t="n">
        <v>15</v>
      </c>
      <c r="D1129" t="inlineStr">
        <is>
          <t>Friday</t>
        </is>
      </c>
      <c r="E1129" t="n">
        <v>26</v>
      </c>
      <c r="F1129" t="b">
        <v>0</v>
      </c>
      <c r="H1129" t="b">
        <v>0</v>
      </c>
    </row>
    <row r="1130">
      <c r="A1130" t="inlineStr">
        <is>
          <t>S011</t>
        </is>
      </c>
      <c r="B1130" s="3" t="n">
        <v>46269</v>
      </c>
      <c r="C1130" t="n">
        <v>16</v>
      </c>
      <c r="D1130" t="inlineStr">
        <is>
          <t>Friday</t>
        </is>
      </c>
      <c r="E1130" t="n">
        <v>22</v>
      </c>
      <c r="F1130" t="b">
        <v>0</v>
      </c>
      <c r="H1130" t="b">
        <v>0</v>
      </c>
    </row>
    <row r="1131">
      <c r="A1131" t="inlineStr">
        <is>
          <t>S011</t>
        </is>
      </c>
      <c r="B1131" s="3" t="n">
        <v>46269</v>
      </c>
      <c r="C1131" t="n">
        <v>17</v>
      </c>
      <c r="D1131" t="inlineStr">
        <is>
          <t>Friday</t>
        </is>
      </c>
      <c r="E1131" t="n">
        <v>18</v>
      </c>
      <c r="F1131" t="b">
        <v>0</v>
      </c>
      <c r="H1131" t="b">
        <v>0</v>
      </c>
    </row>
    <row r="1132">
      <c r="A1132" t="inlineStr">
        <is>
          <t>S011</t>
        </is>
      </c>
      <c r="B1132" s="3" t="n">
        <v>46269</v>
      </c>
      <c r="C1132" t="n">
        <v>18</v>
      </c>
      <c r="D1132" t="inlineStr">
        <is>
          <t>Friday</t>
        </is>
      </c>
      <c r="E1132" t="n">
        <v>30</v>
      </c>
      <c r="F1132" t="b">
        <v>0</v>
      </c>
      <c r="G1132" t="inlineStr">
        <is>
          <t>Light</t>
        </is>
      </c>
      <c r="H1132" t="b">
        <v>0</v>
      </c>
    </row>
    <row r="1133">
      <c r="A1133" t="inlineStr">
        <is>
          <t>S011</t>
        </is>
      </c>
      <c r="B1133" s="3" t="n">
        <v>46269</v>
      </c>
      <c r="C1133" t="n">
        <v>19</v>
      </c>
      <c r="D1133" t="inlineStr">
        <is>
          <t>Friday</t>
        </is>
      </c>
      <c r="E1133" t="n">
        <v>47</v>
      </c>
      <c r="F1133" t="b">
        <v>1</v>
      </c>
      <c r="H1133" t="b">
        <v>1</v>
      </c>
    </row>
    <row r="1134">
      <c r="A1134" t="inlineStr">
        <is>
          <t>S011</t>
        </is>
      </c>
      <c r="B1134" s="3" t="n">
        <v>46269</v>
      </c>
      <c r="C1134" t="n">
        <v>20</v>
      </c>
      <c r="D1134" t="inlineStr">
        <is>
          <t>Friday</t>
        </is>
      </c>
      <c r="E1134" t="n">
        <v>34</v>
      </c>
      <c r="F1134" t="b">
        <v>1</v>
      </c>
      <c r="H1134" t="b">
        <v>0</v>
      </c>
    </row>
    <row r="1135">
      <c r="A1135" t="inlineStr">
        <is>
          <t>S011</t>
        </is>
      </c>
      <c r="B1135" s="3" t="n">
        <v>46269</v>
      </c>
      <c r="C1135" t="n">
        <v>21</v>
      </c>
      <c r="D1135" t="inlineStr">
        <is>
          <t>Friday</t>
        </is>
      </c>
      <c r="E1135" t="n">
        <v>36</v>
      </c>
      <c r="F1135" t="b">
        <v>1</v>
      </c>
      <c r="G1135" t="inlineStr">
        <is>
          <t>Heavy</t>
        </is>
      </c>
      <c r="H1135" t="b">
        <v>0</v>
      </c>
    </row>
    <row r="1136">
      <c r="A1136" t="inlineStr">
        <is>
          <t>S011</t>
        </is>
      </c>
      <c r="B1136" s="3" t="n">
        <v>46269</v>
      </c>
      <c r="C1136" t="n">
        <v>22</v>
      </c>
      <c r="D1136" t="inlineStr">
        <is>
          <t>Friday</t>
        </is>
      </c>
      <c r="E1136" t="n">
        <v>39</v>
      </c>
      <c r="F1136" t="b">
        <v>0</v>
      </c>
      <c r="H1136" t="b">
        <v>0</v>
      </c>
    </row>
    <row r="1137">
      <c r="A1137" t="inlineStr">
        <is>
          <t>S011</t>
        </is>
      </c>
      <c r="B1137" s="3" t="n">
        <v>46269</v>
      </c>
      <c r="C1137" t="n">
        <v>23</v>
      </c>
      <c r="D1137" t="inlineStr">
        <is>
          <t>Friday</t>
        </is>
      </c>
      <c r="E1137" t="n">
        <v>37</v>
      </c>
      <c r="F1137" t="b">
        <v>0</v>
      </c>
      <c r="G1137" t="inlineStr">
        <is>
          <t>Light</t>
        </is>
      </c>
      <c r="H1137" t="b">
        <v>0</v>
      </c>
    </row>
    <row r="1138">
      <c r="A1138" t="inlineStr">
        <is>
          <t>S012</t>
        </is>
      </c>
      <c r="B1138" s="3" t="n">
        <v>46269</v>
      </c>
      <c r="C1138" t="n">
        <v>8</v>
      </c>
      <c r="D1138" t="inlineStr">
        <is>
          <t>Friday</t>
        </is>
      </c>
      <c r="E1138" t="n">
        <v>7</v>
      </c>
      <c r="F1138" t="b">
        <v>0</v>
      </c>
      <c r="G1138" t="inlineStr">
        <is>
          <t>Light</t>
        </is>
      </c>
      <c r="H1138" t="b">
        <v>0</v>
      </c>
    </row>
    <row r="1139">
      <c r="A1139" t="inlineStr">
        <is>
          <t>S012</t>
        </is>
      </c>
      <c r="B1139" s="3" t="n">
        <v>46269</v>
      </c>
      <c r="C1139" t="n">
        <v>9</v>
      </c>
      <c r="D1139" t="inlineStr">
        <is>
          <t>Friday</t>
        </is>
      </c>
      <c r="E1139" t="n">
        <v>8</v>
      </c>
      <c r="F1139" t="b">
        <v>0</v>
      </c>
      <c r="H1139" t="b">
        <v>0</v>
      </c>
    </row>
    <row r="1140">
      <c r="A1140" t="inlineStr">
        <is>
          <t>S012</t>
        </is>
      </c>
      <c r="B1140" s="3" t="n">
        <v>46269</v>
      </c>
      <c r="C1140" t="n">
        <v>10</v>
      </c>
      <c r="D1140" t="inlineStr">
        <is>
          <t>Friday</t>
        </is>
      </c>
      <c r="E1140" t="n">
        <v>13</v>
      </c>
      <c r="F1140" t="b">
        <v>0</v>
      </c>
      <c r="G1140" t="inlineStr">
        <is>
          <t>Light</t>
        </is>
      </c>
      <c r="H1140" t="b">
        <v>0</v>
      </c>
    </row>
    <row r="1141">
      <c r="A1141" t="inlineStr">
        <is>
          <t>S012</t>
        </is>
      </c>
      <c r="B1141" s="3" t="n">
        <v>46269</v>
      </c>
      <c r="C1141" t="n">
        <v>11</v>
      </c>
      <c r="D1141" t="inlineStr">
        <is>
          <t>Friday</t>
        </is>
      </c>
      <c r="E1141" t="n">
        <v>12</v>
      </c>
      <c r="F1141" t="b">
        <v>0</v>
      </c>
      <c r="H1141" t="b">
        <v>0</v>
      </c>
    </row>
    <row r="1142">
      <c r="A1142" t="inlineStr">
        <is>
          <t>S012</t>
        </is>
      </c>
      <c r="B1142" s="3" t="n">
        <v>46269</v>
      </c>
      <c r="C1142" t="n">
        <v>12</v>
      </c>
      <c r="D1142" t="inlineStr">
        <is>
          <t>Friday</t>
        </is>
      </c>
      <c r="E1142" t="n">
        <v>18</v>
      </c>
      <c r="F1142" t="b">
        <v>0</v>
      </c>
      <c r="H1142" t="b">
        <v>0</v>
      </c>
    </row>
    <row r="1143">
      <c r="A1143" t="inlineStr">
        <is>
          <t>S012</t>
        </is>
      </c>
      <c r="B1143" s="3" t="n">
        <v>46269</v>
      </c>
      <c r="C1143" t="n">
        <v>13</v>
      </c>
      <c r="D1143" t="inlineStr">
        <is>
          <t>Friday</t>
        </is>
      </c>
      <c r="E1143" t="n">
        <v>10</v>
      </c>
      <c r="F1143" t="b">
        <v>0</v>
      </c>
      <c r="H1143" t="b">
        <v>0</v>
      </c>
    </row>
    <row r="1144">
      <c r="A1144" t="inlineStr">
        <is>
          <t>S012</t>
        </is>
      </c>
      <c r="B1144" s="3" t="n">
        <v>46269</v>
      </c>
      <c r="C1144" t="n">
        <v>14</v>
      </c>
      <c r="D1144" t="inlineStr">
        <is>
          <t>Friday</t>
        </is>
      </c>
      <c r="E1144" t="n">
        <v>15</v>
      </c>
      <c r="F1144" t="b">
        <v>0</v>
      </c>
      <c r="H1144" t="b">
        <v>0</v>
      </c>
    </row>
    <row r="1145">
      <c r="A1145" t="inlineStr">
        <is>
          <t>S012</t>
        </is>
      </c>
      <c r="B1145" s="3" t="n">
        <v>46269</v>
      </c>
      <c r="C1145" t="n">
        <v>15</v>
      </c>
      <c r="D1145" t="inlineStr">
        <is>
          <t>Friday</t>
        </is>
      </c>
      <c r="E1145" t="n">
        <v>10</v>
      </c>
      <c r="F1145" t="b">
        <v>0</v>
      </c>
      <c r="G1145" t="inlineStr">
        <is>
          <t>Light</t>
        </is>
      </c>
      <c r="H1145" t="b">
        <v>0</v>
      </c>
    </row>
    <row r="1146">
      <c r="A1146" t="inlineStr">
        <is>
          <t>S012</t>
        </is>
      </c>
      <c r="B1146" s="3" t="n">
        <v>46269</v>
      </c>
      <c r="C1146" t="n">
        <v>16</v>
      </c>
      <c r="D1146" t="inlineStr">
        <is>
          <t>Friday</t>
        </is>
      </c>
      <c r="E1146" t="n">
        <v>17</v>
      </c>
      <c r="F1146" t="b">
        <v>0</v>
      </c>
      <c r="H1146" t="b">
        <v>0</v>
      </c>
    </row>
    <row r="1147">
      <c r="A1147" t="inlineStr">
        <is>
          <t>S012</t>
        </is>
      </c>
      <c r="B1147" s="3" t="n">
        <v>46269</v>
      </c>
      <c r="C1147" t="n">
        <v>17</v>
      </c>
      <c r="D1147" t="inlineStr">
        <is>
          <t>Friday</t>
        </is>
      </c>
      <c r="E1147" t="n">
        <v>11</v>
      </c>
      <c r="F1147" t="b">
        <v>0</v>
      </c>
      <c r="H1147" t="b">
        <v>0</v>
      </c>
    </row>
    <row r="1148">
      <c r="A1148" t="inlineStr">
        <is>
          <t>S012</t>
        </is>
      </c>
      <c r="B1148" s="3" t="n">
        <v>46269</v>
      </c>
      <c r="C1148" t="n">
        <v>18</v>
      </c>
      <c r="D1148" t="inlineStr">
        <is>
          <t>Friday</t>
        </is>
      </c>
      <c r="E1148" t="n">
        <v>15</v>
      </c>
      <c r="F1148" t="b">
        <v>0</v>
      </c>
      <c r="H1148" t="b">
        <v>1</v>
      </c>
    </row>
    <row r="1149">
      <c r="A1149" t="inlineStr">
        <is>
          <t>S012</t>
        </is>
      </c>
      <c r="B1149" s="3" t="n">
        <v>46269</v>
      </c>
      <c r="C1149" t="n">
        <v>19</v>
      </c>
      <c r="D1149" t="inlineStr">
        <is>
          <t>Friday</t>
        </is>
      </c>
      <c r="E1149" t="n">
        <v>23</v>
      </c>
      <c r="F1149" t="b">
        <v>1</v>
      </c>
      <c r="H1149" t="b">
        <v>0</v>
      </c>
    </row>
    <row r="1150">
      <c r="A1150" t="inlineStr">
        <is>
          <t>S012</t>
        </is>
      </c>
      <c r="B1150" s="3" t="n">
        <v>46269</v>
      </c>
      <c r="C1150" t="n">
        <v>20</v>
      </c>
      <c r="D1150" t="inlineStr">
        <is>
          <t>Friday</t>
        </is>
      </c>
      <c r="E1150" t="n">
        <v>26</v>
      </c>
      <c r="F1150" t="b">
        <v>1</v>
      </c>
      <c r="H1150" t="b">
        <v>0</v>
      </c>
    </row>
    <row r="1151">
      <c r="A1151" t="inlineStr">
        <is>
          <t>S012</t>
        </is>
      </c>
      <c r="B1151" s="3" t="n">
        <v>46269</v>
      </c>
      <c r="C1151" t="n">
        <v>21</v>
      </c>
      <c r="D1151" t="inlineStr">
        <is>
          <t>Friday</t>
        </is>
      </c>
      <c r="E1151" t="n">
        <v>27</v>
      </c>
      <c r="F1151" t="b">
        <v>1</v>
      </c>
      <c r="H1151" t="b">
        <v>0</v>
      </c>
    </row>
    <row r="1152">
      <c r="A1152" t="inlineStr">
        <is>
          <t>S012</t>
        </is>
      </c>
      <c r="B1152" s="3" t="n">
        <v>46269</v>
      </c>
      <c r="C1152" t="n">
        <v>22</v>
      </c>
      <c r="D1152" t="inlineStr">
        <is>
          <t>Friday</t>
        </is>
      </c>
      <c r="E1152" t="n">
        <v>12</v>
      </c>
      <c r="F1152" t="b">
        <v>0</v>
      </c>
      <c r="H1152" t="b">
        <v>0</v>
      </c>
    </row>
    <row r="1153">
      <c r="A1153" t="inlineStr">
        <is>
          <t>S012</t>
        </is>
      </c>
      <c r="B1153" s="3" t="n">
        <v>46269</v>
      </c>
      <c r="C1153" t="n">
        <v>23</v>
      </c>
      <c r="D1153" t="inlineStr">
        <is>
          <t>Friday</t>
        </is>
      </c>
      <c r="E1153" t="n">
        <v>19</v>
      </c>
      <c r="F1153" t="b">
        <v>0</v>
      </c>
      <c r="H1153" t="b">
        <v>0</v>
      </c>
    </row>
    <row r="1154">
      <c r="A1154" t="inlineStr">
        <is>
          <t>S013</t>
        </is>
      </c>
      <c r="B1154" s="3" t="n">
        <v>46269</v>
      </c>
      <c r="C1154" t="n">
        <v>8</v>
      </c>
      <c r="D1154" t="inlineStr">
        <is>
          <t>Friday</t>
        </is>
      </c>
      <c r="E1154" t="n">
        <v>28</v>
      </c>
      <c r="F1154" t="b">
        <v>0</v>
      </c>
      <c r="H1154" t="b">
        <v>0</v>
      </c>
    </row>
    <row r="1155">
      <c r="A1155" t="inlineStr">
        <is>
          <t>S013</t>
        </is>
      </c>
      <c r="B1155" s="3" t="n">
        <v>46269</v>
      </c>
      <c r="C1155" t="n">
        <v>9</v>
      </c>
      <c r="D1155" t="inlineStr">
        <is>
          <t>Friday</t>
        </is>
      </c>
      <c r="E1155" t="n">
        <v>34</v>
      </c>
      <c r="F1155" t="b">
        <v>0</v>
      </c>
      <c r="H1155" t="b">
        <v>0</v>
      </c>
    </row>
    <row r="1156">
      <c r="A1156" t="inlineStr">
        <is>
          <t>S013</t>
        </is>
      </c>
      <c r="B1156" s="3" t="n">
        <v>46269</v>
      </c>
      <c r="C1156" t="n">
        <v>10</v>
      </c>
      <c r="D1156" t="inlineStr">
        <is>
          <t>Friday</t>
        </is>
      </c>
      <c r="E1156" t="n">
        <v>34</v>
      </c>
      <c r="F1156" t="b">
        <v>0</v>
      </c>
      <c r="H1156" t="b">
        <v>0</v>
      </c>
    </row>
    <row r="1157">
      <c r="A1157" t="inlineStr">
        <is>
          <t>S013</t>
        </is>
      </c>
      <c r="B1157" s="3" t="n">
        <v>46269</v>
      </c>
      <c r="C1157" t="n">
        <v>11</v>
      </c>
      <c r="D1157" t="inlineStr">
        <is>
          <t>Friday</t>
        </is>
      </c>
      <c r="E1157" t="n">
        <v>63</v>
      </c>
      <c r="F1157" t="b">
        <v>0</v>
      </c>
      <c r="H1157" t="b">
        <v>0</v>
      </c>
    </row>
    <row r="1158">
      <c r="A1158" t="inlineStr">
        <is>
          <t>S013</t>
        </is>
      </c>
      <c r="B1158" s="3" t="n">
        <v>46269</v>
      </c>
      <c r="C1158" t="n">
        <v>12</v>
      </c>
      <c r="D1158" t="inlineStr">
        <is>
          <t>Friday</t>
        </is>
      </c>
      <c r="E1158" t="n">
        <v>55</v>
      </c>
      <c r="F1158" t="b">
        <v>0</v>
      </c>
      <c r="G1158" t="inlineStr">
        <is>
          <t>Light</t>
        </is>
      </c>
      <c r="H1158" t="b">
        <v>0</v>
      </c>
    </row>
    <row r="1159">
      <c r="A1159" t="inlineStr">
        <is>
          <t>S013</t>
        </is>
      </c>
      <c r="B1159" s="3" t="n">
        <v>46269</v>
      </c>
      <c r="C1159" t="n">
        <v>13</v>
      </c>
      <c r="D1159" t="inlineStr">
        <is>
          <t>Friday</t>
        </is>
      </c>
      <c r="E1159" t="n">
        <v>42</v>
      </c>
      <c r="F1159" t="b">
        <v>0</v>
      </c>
      <c r="H1159" t="b">
        <v>0</v>
      </c>
    </row>
    <row r="1160">
      <c r="A1160" t="inlineStr">
        <is>
          <t>S013</t>
        </is>
      </c>
      <c r="B1160" s="3" t="n">
        <v>46269</v>
      </c>
      <c r="C1160" t="n">
        <v>14</v>
      </c>
      <c r="D1160" t="inlineStr">
        <is>
          <t>Friday</t>
        </is>
      </c>
      <c r="E1160" t="n">
        <v>37</v>
      </c>
      <c r="F1160" t="b">
        <v>0</v>
      </c>
      <c r="H1160" t="b">
        <v>0</v>
      </c>
    </row>
    <row r="1161">
      <c r="A1161" t="inlineStr">
        <is>
          <t>S013</t>
        </is>
      </c>
      <c r="B1161" s="3" t="n">
        <v>46269</v>
      </c>
      <c r="C1161" t="n">
        <v>15</v>
      </c>
      <c r="D1161" t="inlineStr">
        <is>
          <t>Friday</t>
        </is>
      </c>
      <c r="E1161" t="n">
        <v>33</v>
      </c>
      <c r="F1161" t="b">
        <v>0</v>
      </c>
      <c r="H1161" t="b">
        <v>0</v>
      </c>
    </row>
    <row r="1162">
      <c r="A1162" t="inlineStr">
        <is>
          <t>S013</t>
        </is>
      </c>
      <c r="B1162" s="3" t="n">
        <v>46269</v>
      </c>
      <c r="C1162" t="n">
        <v>16</v>
      </c>
      <c r="D1162" t="inlineStr">
        <is>
          <t>Friday</t>
        </is>
      </c>
      <c r="E1162" t="n">
        <v>61</v>
      </c>
      <c r="F1162" t="b">
        <v>0</v>
      </c>
      <c r="H1162" t="b">
        <v>0</v>
      </c>
    </row>
    <row r="1163">
      <c r="A1163" t="inlineStr">
        <is>
          <t>S013</t>
        </is>
      </c>
      <c r="B1163" s="3" t="n">
        <v>46269</v>
      </c>
      <c r="C1163" t="n">
        <v>17</v>
      </c>
      <c r="D1163" t="inlineStr">
        <is>
          <t>Friday</t>
        </is>
      </c>
      <c r="E1163" t="n">
        <v>50</v>
      </c>
      <c r="F1163" t="b">
        <v>0</v>
      </c>
      <c r="H1163" t="b">
        <v>0</v>
      </c>
    </row>
    <row r="1164">
      <c r="A1164" t="inlineStr">
        <is>
          <t>S013</t>
        </is>
      </c>
      <c r="B1164" s="3" t="n">
        <v>46269</v>
      </c>
      <c r="C1164" t="n">
        <v>18</v>
      </c>
      <c r="D1164" t="inlineStr">
        <is>
          <t>Friday</t>
        </is>
      </c>
      <c r="E1164" t="n">
        <v>36</v>
      </c>
      <c r="F1164" t="b">
        <v>0</v>
      </c>
      <c r="G1164" t="inlineStr">
        <is>
          <t>Heavy</t>
        </is>
      </c>
      <c r="H1164" t="b">
        <v>0</v>
      </c>
    </row>
    <row r="1165">
      <c r="A1165" t="inlineStr">
        <is>
          <t>S013</t>
        </is>
      </c>
      <c r="B1165" s="3" t="n">
        <v>46269</v>
      </c>
      <c r="C1165" t="n">
        <v>19</v>
      </c>
      <c r="D1165" t="inlineStr">
        <is>
          <t>Friday</t>
        </is>
      </c>
      <c r="E1165" t="n">
        <v>91</v>
      </c>
      <c r="F1165" t="b">
        <v>1</v>
      </c>
      <c r="G1165" t="inlineStr">
        <is>
          <t>Light</t>
        </is>
      </c>
      <c r="H1165" t="b">
        <v>0</v>
      </c>
    </row>
    <row r="1166">
      <c r="A1166" t="inlineStr">
        <is>
          <t>S013</t>
        </is>
      </c>
      <c r="B1166" s="3" t="n">
        <v>46269</v>
      </c>
      <c r="C1166" t="n">
        <v>20</v>
      </c>
      <c r="D1166" t="inlineStr">
        <is>
          <t>Friday</t>
        </is>
      </c>
      <c r="E1166" t="n">
        <v>54</v>
      </c>
      <c r="F1166" t="b">
        <v>1</v>
      </c>
      <c r="H1166" t="b">
        <v>0</v>
      </c>
    </row>
    <row r="1167">
      <c r="A1167" t="inlineStr">
        <is>
          <t>S013</t>
        </is>
      </c>
      <c r="B1167" s="3" t="n">
        <v>46269</v>
      </c>
      <c r="C1167" t="n">
        <v>21</v>
      </c>
      <c r="D1167" t="inlineStr">
        <is>
          <t>Friday</t>
        </is>
      </c>
      <c r="E1167" t="n">
        <v>88</v>
      </c>
      <c r="F1167" t="b">
        <v>1</v>
      </c>
      <c r="H1167" t="b">
        <v>0</v>
      </c>
    </row>
    <row r="1168">
      <c r="A1168" t="inlineStr">
        <is>
          <t>S013</t>
        </is>
      </c>
      <c r="B1168" s="3" t="n">
        <v>46269</v>
      </c>
      <c r="C1168" t="n">
        <v>22</v>
      </c>
      <c r="D1168" t="inlineStr">
        <is>
          <t>Friday</t>
        </is>
      </c>
      <c r="E1168" t="n">
        <v>49</v>
      </c>
      <c r="F1168" t="b">
        <v>0</v>
      </c>
      <c r="H1168" t="b">
        <v>1</v>
      </c>
    </row>
    <row r="1169">
      <c r="A1169" t="inlineStr">
        <is>
          <t>S013</t>
        </is>
      </c>
      <c r="B1169" s="3" t="n">
        <v>46269</v>
      </c>
      <c r="C1169" t="n">
        <v>23</v>
      </c>
      <c r="D1169" t="inlineStr">
        <is>
          <t>Friday</t>
        </is>
      </c>
      <c r="E1169" t="n">
        <v>56</v>
      </c>
      <c r="F1169" t="b">
        <v>0</v>
      </c>
      <c r="H1169" t="b">
        <v>0</v>
      </c>
    </row>
    <row r="1170">
      <c r="A1170" t="inlineStr">
        <is>
          <t>S014</t>
        </is>
      </c>
      <c r="B1170" s="3" t="n">
        <v>46269</v>
      </c>
      <c r="C1170" t="n">
        <v>8</v>
      </c>
      <c r="D1170" t="inlineStr">
        <is>
          <t>Friday</t>
        </is>
      </c>
      <c r="E1170" t="n">
        <v>25</v>
      </c>
      <c r="F1170" t="b">
        <v>0</v>
      </c>
      <c r="G1170" t="inlineStr">
        <is>
          <t>Heavy</t>
        </is>
      </c>
      <c r="H1170" t="b">
        <v>0</v>
      </c>
    </row>
    <row r="1171">
      <c r="A1171" t="inlineStr">
        <is>
          <t>S014</t>
        </is>
      </c>
      <c r="B1171" s="3" t="n">
        <v>46269</v>
      </c>
      <c r="C1171" t="n">
        <v>9</v>
      </c>
      <c r="D1171" t="inlineStr">
        <is>
          <t>Friday</t>
        </is>
      </c>
      <c r="E1171" t="n">
        <v>28</v>
      </c>
      <c r="F1171" t="b">
        <v>0</v>
      </c>
      <c r="H1171" t="b">
        <v>0</v>
      </c>
    </row>
    <row r="1172">
      <c r="A1172" t="inlineStr">
        <is>
          <t>S014</t>
        </is>
      </c>
      <c r="B1172" s="3" t="n">
        <v>46269</v>
      </c>
      <c r="C1172" t="n">
        <v>10</v>
      </c>
      <c r="D1172" t="inlineStr">
        <is>
          <t>Friday</t>
        </is>
      </c>
      <c r="E1172" t="n">
        <v>21</v>
      </c>
      <c r="F1172" t="b">
        <v>0</v>
      </c>
      <c r="H1172" t="b">
        <v>0</v>
      </c>
    </row>
    <row r="1173">
      <c r="A1173" t="inlineStr">
        <is>
          <t>S014</t>
        </is>
      </c>
      <c r="B1173" s="3" t="n">
        <v>46269</v>
      </c>
      <c r="C1173" t="n">
        <v>11</v>
      </c>
      <c r="D1173" t="inlineStr">
        <is>
          <t>Friday</t>
        </is>
      </c>
      <c r="E1173" t="n">
        <v>31</v>
      </c>
      <c r="F1173" t="b">
        <v>0</v>
      </c>
      <c r="H1173" t="b">
        <v>0</v>
      </c>
    </row>
    <row r="1174">
      <c r="A1174" t="inlineStr">
        <is>
          <t>S014</t>
        </is>
      </c>
      <c r="B1174" s="3" t="n">
        <v>46269</v>
      </c>
      <c r="C1174" t="n">
        <v>12</v>
      </c>
      <c r="D1174" t="inlineStr">
        <is>
          <t>Friday</t>
        </is>
      </c>
      <c r="E1174" t="n">
        <v>32</v>
      </c>
      <c r="F1174" t="b">
        <v>0</v>
      </c>
      <c r="H1174" t="b">
        <v>0</v>
      </c>
    </row>
    <row r="1175">
      <c r="A1175" t="inlineStr">
        <is>
          <t>S014</t>
        </is>
      </c>
      <c r="B1175" s="3" t="n">
        <v>46269</v>
      </c>
      <c r="C1175" t="n">
        <v>13</v>
      </c>
      <c r="D1175" t="inlineStr">
        <is>
          <t>Friday</t>
        </is>
      </c>
      <c r="E1175" t="n">
        <v>31</v>
      </c>
      <c r="F1175" t="b">
        <v>0</v>
      </c>
      <c r="H1175" t="b">
        <v>0</v>
      </c>
    </row>
    <row r="1176">
      <c r="A1176" t="inlineStr">
        <is>
          <t>S014</t>
        </is>
      </c>
      <c r="B1176" s="3" t="n">
        <v>46269</v>
      </c>
      <c r="C1176" t="n">
        <v>14</v>
      </c>
      <c r="D1176" t="inlineStr">
        <is>
          <t>Friday</t>
        </is>
      </c>
      <c r="E1176" t="n">
        <v>30</v>
      </c>
      <c r="F1176" t="b">
        <v>0</v>
      </c>
      <c r="H1176" t="b">
        <v>0</v>
      </c>
    </row>
    <row r="1177">
      <c r="A1177" t="inlineStr">
        <is>
          <t>S014</t>
        </is>
      </c>
      <c r="B1177" s="3" t="n">
        <v>46269</v>
      </c>
      <c r="C1177" t="n">
        <v>15</v>
      </c>
      <c r="D1177" t="inlineStr">
        <is>
          <t>Friday</t>
        </is>
      </c>
      <c r="E1177" t="n">
        <v>26</v>
      </c>
      <c r="F1177" t="b">
        <v>0</v>
      </c>
      <c r="H1177" t="b">
        <v>0</v>
      </c>
    </row>
    <row r="1178">
      <c r="A1178" t="inlineStr">
        <is>
          <t>S014</t>
        </is>
      </c>
      <c r="B1178" s="3" t="n">
        <v>46269</v>
      </c>
      <c r="C1178" t="n">
        <v>16</v>
      </c>
      <c r="D1178" t="inlineStr">
        <is>
          <t>Friday</t>
        </is>
      </c>
      <c r="E1178" t="n">
        <v>49</v>
      </c>
      <c r="F1178" t="b">
        <v>0</v>
      </c>
      <c r="H1178" t="b">
        <v>0</v>
      </c>
    </row>
    <row r="1179">
      <c r="A1179" t="inlineStr">
        <is>
          <t>S014</t>
        </is>
      </c>
      <c r="B1179" s="3" t="n">
        <v>46269</v>
      </c>
      <c r="C1179" t="n">
        <v>17</v>
      </c>
      <c r="D1179" t="inlineStr">
        <is>
          <t>Friday</t>
        </is>
      </c>
      <c r="E1179" t="n">
        <v>32</v>
      </c>
      <c r="F1179" t="b">
        <v>0</v>
      </c>
      <c r="G1179" t="inlineStr">
        <is>
          <t>Light</t>
        </is>
      </c>
      <c r="H1179" t="b">
        <v>0</v>
      </c>
    </row>
    <row r="1180">
      <c r="A1180" t="inlineStr">
        <is>
          <t>S014</t>
        </is>
      </c>
      <c r="B1180" s="3" t="n">
        <v>46269</v>
      </c>
      <c r="C1180" t="n">
        <v>18</v>
      </c>
      <c r="D1180" t="inlineStr">
        <is>
          <t>Friday</t>
        </is>
      </c>
      <c r="E1180" t="n">
        <v>34</v>
      </c>
      <c r="F1180" t="b">
        <v>0</v>
      </c>
      <c r="G1180" t="inlineStr">
        <is>
          <t>Light</t>
        </is>
      </c>
      <c r="H1180" t="b">
        <v>0</v>
      </c>
    </row>
    <row r="1181">
      <c r="A1181" t="inlineStr">
        <is>
          <t>S014</t>
        </is>
      </c>
      <c r="B1181" s="3" t="n">
        <v>46269</v>
      </c>
      <c r="C1181" t="n">
        <v>19</v>
      </c>
      <c r="D1181" t="inlineStr">
        <is>
          <t>Friday</t>
        </is>
      </c>
      <c r="E1181" t="n">
        <v>61</v>
      </c>
      <c r="F1181" t="b">
        <v>1</v>
      </c>
      <c r="H1181" t="b">
        <v>1</v>
      </c>
    </row>
    <row r="1182">
      <c r="A1182" t="inlineStr">
        <is>
          <t>S014</t>
        </is>
      </c>
      <c r="B1182" s="3" t="n">
        <v>46269</v>
      </c>
      <c r="C1182" t="n">
        <v>20</v>
      </c>
      <c r="D1182" t="inlineStr">
        <is>
          <t>Friday</t>
        </is>
      </c>
      <c r="E1182" t="n">
        <v>53</v>
      </c>
      <c r="F1182" t="b">
        <v>1</v>
      </c>
      <c r="G1182" t="inlineStr">
        <is>
          <t>Light</t>
        </is>
      </c>
      <c r="H1182" t="b">
        <v>0</v>
      </c>
    </row>
    <row r="1183">
      <c r="A1183" t="inlineStr">
        <is>
          <t>S014</t>
        </is>
      </c>
      <c r="B1183" s="3" t="n">
        <v>46269</v>
      </c>
      <c r="C1183" t="n">
        <v>21</v>
      </c>
      <c r="D1183" t="inlineStr">
        <is>
          <t>Friday</t>
        </is>
      </c>
      <c r="E1183" t="n">
        <v>56</v>
      </c>
      <c r="F1183" t="b">
        <v>1</v>
      </c>
      <c r="H1183" t="b">
        <v>0</v>
      </c>
    </row>
    <row r="1184">
      <c r="A1184" t="inlineStr">
        <is>
          <t>S014</t>
        </is>
      </c>
      <c r="B1184" s="3" t="n">
        <v>46269</v>
      </c>
      <c r="C1184" t="n">
        <v>22</v>
      </c>
      <c r="D1184" t="inlineStr">
        <is>
          <t>Friday</t>
        </is>
      </c>
      <c r="E1184" t="n">
        <v>35</v>
      </c>
      <c r="F1184" t="b">
        <v>0</v>
      </c>
      <c r="G1184" t="inlineStr">
        <is>
          <t>Heavy</t>
        </is>
      </c>
      <c r="H1184" t="b">
        <v>0</v>
      </c>
    </row>
    <row r="1185">
      <c r="A1185" t="inlineStr">
        <is>
          <t>S014</t>
        </is>
      </c>
      <c r="B1185" s="3" t="n">
        <v>46269</v>
      </c>
      <c r="C1185" t="n">
        <v>23</v>
      </c>
      <c r="D1185" t="inlineStr">
        <is>
          <t>Friday</t>
        </is>
      </c>
      <c r="E1185" t="n">
        <v>32</v>
      </c>
      <c r="F1185" t="b">
        <v>0</v>
      </c>
      <c r="G1185" t="inlineStr">
        <is>
          <t>Light</t>
        </is>
      </c>
      <c r="H1185" t="b">
        <v>0</v>
      </c>
    </row>
    <row r="1186">
      <c r="A1186" t="inlineStr">
        <is>
          <t>S015</t>
        </is>
      </c>
      <c r="B1186" s="3" t="n">
        <v>46269</v>
      </c>
      <c r="C1186" t="n">
        <v>8</v>
      </c>
      <c r="D1186" t="inlineStr">
        <is>
          <t>Friday</t>
        </is>
      </c>
      <c r="E1186" t="n">
        <v>14</v>
      </c>
      <c r="F1186" t="b">
        <v>0</v>
      </c>
      <c r="H1186" t="b">
        <v>0</v>
      </c>
    </row>
    <row r="1187">
      <c r="A1187" t="inlineStr">
        <is>
          <t>S015</t>
        </is>
      </c>
      <c r="B1187" s="3" t="n">
        <v>46269</v>
      </c>
      <c r="C1187" t="n">
        <v>9</v>
      </c>
      <c r="D1187" t="inlineStr">
        <is>
          <t>Friday</t>
        </is>
      </c>
      <c r="E1187" t="n">
        <v>17</v>
      </c>
      <c r="F1187" t="b">
        <v>0</v>
      </c>
      <c r="H1187" t="b">
        <v>0</v>
      </c>
    </row>
    <row r="1188">
      <c r="A1188" t="inlineStr">
        <is>
          <t>S015</t>
        </is>
      </c>
      <c r="B1188" s="3" t="n">
        <v>46269</v>
      </c>
      <c r="C1188" t="n">
        <v>10</v>
      </c>
      <c r="D1188" t="inlineStr">
        <is>
          <t>Friday</t>
        </is>
      </c>
      <c r="E1188" t="n">
        <v>18</v>
      </c>
      <c r="F1188" t="b">
        <v>0</v>
      </c>
      <c r="H1188" t="b">
        <v>0</v>
      </c>
    </row>
    <row r="1189">
      <c r="A1189" t="inlineStr">
        <is>
          <t>S015</t>
        </is>
      </c>
      <c r="B1189" s="3" t="n">
        <v>46269</v>
      </c>
      <c r="C1189" t="n">
        <v>11</v>
      </c>
      <c r="D1189" t="inlineStr">
        <is>
          <t>Friday</t>
        </is>
      </c>
      <c r="E1189" t="n">
        <v>15</v>
      </c>
      <c r="F1189" t="b">
        <v>0</v>
      </c>
      <c r="G1189" t="inlineStr">
        <is>
          <t>Light</t>
        </is>
      </c>
      <c r="H1189" t="b">
        <v>0</v>
      </c>
    </row>
    <row r="1190">
      <c r="A1190" t="inlineStr">
        <is>
          <t>S015</t>
        </is>
      </c>
      <c r="B1190" s="3" t="n">
        <v>46269</v>
      </c>
      <c r="C1190" t="n">
        <v>12</v>
      </c>
      <c r="D1190" t="inlineStr">
        <is>
          <t>Friday</t>
        </is>
      </c>
      <c r="E1190" t="n">
        <v>19</v>
      </c>
      <c r="F1190" t="b">
        <v>0</v>
      </c>
      <c r="G1190" t="inlineStr">
        <is>
          <t>Light</t>
        </is>
      </c>
      <c r="H1190" t="b">
        <v>0</v>
      </c>
    </row>
    <row r="1191">
      <c r="A1191" t="inlineStr">
        <is>
          <t>S015</t>
        </is>
      </c>
      <c r="B1191" s="3" t="n">
        <v>46269</v>
      </c>
      <c r="C1191" t="n">
        <v>13</v>
      </c>
      <c r="D1191" t="inlineStr">
        <is>
          <t>Friday</t>
        </is>
      </c>
      <c r="E1191" t="n">
        <v>26</v>
      </c>
      <c r="F1191" t="b">
        <v>0</v>
      </c>
      <c r="H1191" t="b">
        <v>0</v>
      </c>
    </row>
    <row r="1192">
      <c r="A1192" t="inlineStr">
        <is>
          <t>S015</t>
        </is>
      </c>
      <c r="B1192" s="3" t="n">
        <v>46269</v>
      </c>
      <c r="C1192" t="n">
        <v>14</v>
      </c>
      <c r="D1192" t="inlineStr">
        <is>
          <t>Friday</t>
        </is>
      </c>
      <c r="E1192" t="n">
        <v>17</v>
      </c>
      <c r="F1192" t="b">
        <v>0</v>
      </c>
      <c r="G1192" t="inlineStr">
        <is>
          <t>Heavy</t>
        </is>
      </c>
      <c r="H1192" t="b">
        <v>0</v>
      </c>
    </row>
    <row r="1193">
      <c r="A1193" t="inlineStr">
        <is>
          <t>S015</t>
        </is>
      </c>
      <c r="B1193" s="3" t="n">
        <v>46269</v>
      </c>
      <c r="C1193" t="n">
        <v>15</v>
      </c>
      <c r="D1193" t="inlineStr">
        <is>
          <t>Friday</t>
        </is>
      </c>
      <c r="E1193" t="n">
        <v>24</v>
      </c>
      <c r="F1193" t="b">
        <v>0</v>
      </c>
      <c r="H1193" t="b">
        <v>1</v>
      </c>
    </row>
    <row r="1194">
      <c r="A1194" t="inlineStr">
        <is>
          <t>S015</t>
        </is>
      </c>
      <c r="B1194" s="3" t="n">
        <v>46269</v>
      </c>
      <c r="C1194" t="n">
        <v>16</v>
      </c>
      <c r="D1194" t="inlineStr">
        <is>
          <t>Friday</t>
        </is>
      </c>
      <c r="E1194" t="n">
        <v>22</v>
      </c>
      <c r="F1194" t="b">
        <v>0</v>
      </c>
      <c r="H1194" t="b">
        <v>0</v>
      </c>
    </row>
    <row r="1195">
      <c r="A1195" t="inlineStr">
        <is>
          <t>S015</t>
        </is>
      </c>
      <c r="B1195" s="3" t="n">
        <v>46269</v>
      </c>
      <c r="C1195" t="n">
        <v>17</v>
      </c>
      <c r="D1195" t="inlineStr">
        <is>
          <t>Friday</t>
        </is>
      </c>
      <c r="E1195" t="n">
        <v>15</v>
      </c>
      <c r="F1195" t="b">
        <v>0</v>
      </c>
      <c r="H1195" t="b">
        <v>0</v>
      </c>
    </row>
    <row r="1196">
      <c r="A1196" t="inlineStr">
        <is>
          <t>S015</t>
        </is>
      </c>
      <c r="B1196" s="3" t="n">
        <v>46269</v>
      </c>
      <c r="C1196" t="n">
        <v>18</v>
      </c>
      <c r="D1196" t="inlineStr">
        <is>
          <t>Friday</t>
        </is>
      </c>
      <c r="E1196" t="n">
        <v>21</v>
      </c>
      <c r="F1196" t="b">
        <v>0</v>
      </c>
      <c r="H1196" t="b">
        <v>0</v>
      </c>
    </row>
    <row r="1197">
      <c r="A1197" t="inlineStr">
        <is>
          <t>S015</t>
        </is>
      </c>
      <c r="B1197" s="3" t="n">
        <v>46269</v>
      </c>
      <c r="C1197" t="n">
        <v>19</v>
      </c>
      <c r="D1197" t="inlineStr">
        <is>
          <t>Friday</t>
        </is>
      </c>
      <c r="E1197" t="n">
        <v>33</v>
      </c>
      <c r="F1197" t="b">
        <v>1</v>
      </c>
      <c r="H1197" t="b">
        <v>0</v>
      </c>
    </row>
    <row r="1198">
      <c r="A1198" t="inlineStr">
        <is>
          <t>S015</t>
        </is>
      </c>
      <c r="B1198" s="3" t="n">
        <v>46269</v>
      </c>
      <c r="C1198" t="n">
        <v>20</v>
      </c>
      <c r="D1198" t="inlineStr">
        <is>
          <t>Friday</t>
        </is>
      </c>
      <c r="E1198" t="n">
        <v>34</v>
      </c>
      <c r="F1198" t="b">
        <v>1</v>
      </c>
      <c r="H1198" t="b">
        <v>0</v>
      </c>
    </row>
    <row r="1199">
      <c r="A1199" t="inlineStr">
        <is>
          <t>S015</t>
        </is>
      </c>
      <c r="B1199" s="3" t="n">
        <v>46269</v>
      </c>
      <c r="C1199" t="n">
        <v>21</v>
      </c>
      <c r="D1199" t="inlineStr">
        <is>
          <t>Friday</t>
        </is>
      </c>
      <c r="E1199" t="n">
        <v>33</v>
      </c>
      <c r="F1199" t="b">
        <v>1</v>
      </c>
      <c r="H1199" t="b">
        <v>0</v>
      </c>
    </row>
    <row r="1200">
      <c r="A1200" t="inlineStr">
        <is>
          <t>S015</t>
        </is>
      </c>
      <c r="B1200" s="3" t="n">
        <v>46269</v>
      </c>
      <c r="C1200" t="n">
        <v>22</v>
      </c>
      <c r="D1200" t="inlineStr">
        <is>
          <t>Friday</t>
        </is>
      </c>
      <c r="E1200" t="n">
        <v>19</v>
      </c>
      <c r="F1200" t="b">
        <v>0</v>
      </c>
      <c r="G1200" t="inlineStr">
        <is>
          <t>Light</t>
        </is>
      </c>
      <c r="H1200" t="b">
        <v>0</v>
      </c>
    </row>
    <row r="1201">
      <c r="A1201" t="inlineStr">
        <is>
          <t>S015</t>
        </is>
      </c>
      <c r="B1201" s="3" t="n">
        <v>46269</v>
      </c>
      <c r="C1201" t="n">
        <v>23</v>
      </c>
      <c r="D1201" t="inlineStr">
        <is>
          <t>Friday</t>
        </is>
      </c>
      <c r="E1201" t="n">
        <v>25</v>
      </c>
      <c r="F1201" t="b">
        <v>0</v>
      </c>
      <c r="H1201" t="b">
        <v>0</v>
      </c>
    </row>
    <row r="1202">
      <c r="A1202" t="inlineStr">
        <is>
          <t>S016</t>
        </is>
      </c>
      <c r="B1202" s="3" t="n">
        <v>46269</v>
      </c>
      <c r="C1202" t="n">
        <v>8</v>
      </c>
      <c r="D1202" t="inlineStr">
        <is>
          <t>Friday</t>
        </is>
      </c>
      <c r="E1202" t="n">
        <v>13</v>
      </c>
      <c r="F1202" t="b">
        <v>0</v>
      </c>
      <c r="H1202" t="b">
        <v>0</v>
      </c>
    </row>
    <row r="1203">
      <c r="A1203" t="inlineStr">
        <is>
          <t>S016</t>
        </is>
      </c>
      <c r="B1203" s="3" t="n">
        <v>46269</v>
      </c>
      <c r="C1203" t="n">
        <v>9</v>
      </c>
      <c r="D1203" t="inlineStr">
        <is>
          <t>Friday</t>
        </is>
      </c>
      <c r="E1203" t="n">
        <v>18</v>
      </c>
      <c r="F1203" t="b">
        <v>0</v>
      </c>
      <c r="G1203" t="inlineStr">
        <is>
          <t>Light</t>
        </is>
      </c>
      <c r="H1203" t="b">
        <v>0</v>
      </c>
    </row>
    <row r="1204">
      <c r="A1204" t="inlineStr">
        <is>
          <t>S016</t>
        </is>
      </c>
      <c r="B1204" s="3" t="n">
        <v>46269</v>
      </c>
      <c r="C1204" t="n">
        <v>10</v>
      </c>
      <c r="D1204" t="inlineStr">
        <is>
          <t>Friday</t>
        </is>
      </c>
      <c r="E1204" t="n">
        <v>13</v>
      </c>
      <c r="F1204" t="b">
        <v>0</v>
      </c>
      <c r="H1204" t="b">
        <v>0</v>
      </c>
    </row>
    <row r="1205">
      <c r="A1205" t="inlineStr">
        <is>
          <t>S016</t>
        </is>
      </c>
      <c r="B1205" s="3" t="n">
        <v>46269</v>
      </c>
      <c r="C1205" t="n">
        <v>11</v>
      </c>
      <c r="D1205" t="inlineStr">
        <is>
          <t>Friday</t>
        </is>
      </c>
      <c r="E1205" t="n">
        <v>19</v>
      </c>
      <c r="F1205" t="b">
        <v>0</v>
      </c>
      <c r="H1205" t="b">
        <v>0</v>
      </c>
    </row>
    <row r="1206">
      <c r="A1206" t="inlineStr">
        <is>
          <t>S016</t>
        </is>
      </c>
      <c r="B1206" s="3" t="n">
        <v>46269</v>
      </c>
      <c r="C1206" t="n">
        <v>12</v>
      </c>
      <c r="D1206" t="inlineStr">
        <is>
          <t>Friday</t>
        </is>
      </c>
      <c r="E1206" t="n">
        <v>19</v>
      </c>
      <c r="F1206" t="b">
        <v>0</v>
      </c>
      <c r="G1206" t="inlineStr">
        <is>
          <t>Light</t>
        </is>
      </c>
      <c r="H1206" t="b">
        <v>0</v>
      </c>
    </row>
    <row r="1207">
      <c r="A1207" t="inlineStr">
        <is>
          <t>S016</t>
        </is>
      </c>
      <c r="B1207" s="3" t="n">
        <v>46269</v>
      </c>
      <c r="C1207" t="n">
        <v>13</v>
      </c>
      <c r="D1207" t="inlineStr">
        <is>
          <t>Friday</t>
        </is>
      </c>
      <c r="E1207" t="n">
        <v>21</v>
      </c>
      <c r="F1207" t="b">
        <v>0</v>
      </c>
      <c r="G1207" t="inlineStr">
        <is>
          <t>Light</t>
        </is>
      </c>
      <c r="H1207" t="b">
        <v>0</v>
      </c>
    </row>
    <row r="1208">
      <c r="A1208" t="inlineStr">
        <is>
          <t>S016</t>
        </is>
      </c>
      <c r="B1208" s="3" t="n">
        <v>46269</v>
      </c>
      <c r="C1208" t="n">
        <v>14</v>
      </c>
      <c r="D1208" t="inlineStr">
        <is>
          <t>Friday</t>
        </is>
      </c>
      <c r="E1208" t="n">
        <v>23</v>
      </c>
      <c r="F1208" t="b">
        <v>0</v>
      </c>
      <c r="G1208" t="inlineStr">
        <is>
          <t>Light</t>
        </is>
      </c>
      <c r="H1208" t="b">
        <v>0</v>
      </c>
    </row>
    <row r="1209">
      <c r="A1209" t="inlineStr">
        <is>
          <t>S016</t>
        </is>
      </c>
      <c r="B1209" s="3" t="n">
        <v>46269</v>
      </c>
      <c r="C1209" t="n">
        <v>15</v>
      </c>
      <c r="D1209" t="inlineStr">
        <is>
          <t>Friday</t>
        </is>
      </c>
      <c r="E1209" t="n">
        <v>23</v>
      </c>
      <c r="F1209" t="b">
        <v>0</v>
      </c>
      <c r="G1209" t="inlineStr">
        <is>
          <t>Light</t>
        </is>
      </c>
      <c r="H1209" t="b">
        <v>0</v>
      </c>
    </row>
    <row r="1210">
      <c r="A1210" t="inlineStr">
        <is>
          <t>S016</t>
        </is>
      </c>
      <c r="B1210" s="3" t="n">
        <v>46269</v>
      </c>
      <c r="C1210" t="n">
        <v>16</v>
      </c>
      <c r="D1210" t="inlineStr">
        <is>
          <t>Friday</t>
        </is>
      </c>
      <c r="E1210" t="n">
        <v>30</v>
      </c>
      <c r="F1210" t="b">
        <v>0</v>
      </c>
      <c r="H1210" t="b">
        <v>0</v>
      </c>
    </row>
    <row r="1211">
      <c r="A1211" t="inlineStr">
        <is>
          <t>S016</t>
        </is>
      </c>
      <c r="B1211" s="3" t="n">
        <v>46269</v>
      </c>
      <c r="C1211" t="n">
        <v>17</v>
      </c>
      <c r="D1211" t="inlineStr">
        <is>
          <t>Friday</t>
        </is>
      </c>
      <c r="E1211" t="n">
        <v>25</v>
      </c>
      <c r="F1211" t="b">
        <v>0</v>
      </c>
      <c r="H1211" t="b">
        <v>0</v>
      </c>
    </row>
    <row r="1212">
      <c r="A1212" t="inlineStr">
        <is>
          <t>S016</t>
        </is>
      </c>
      <c r="B1212" s="3" t="n">
        <v>46269</v>
      </c>
      <c r="C1212" t="n">
        <v>18</v>
      </c>
      <c r="D1212" t="inlineStr">
        <is>
          <t>Friday</t>
        </is>
      </c>
      <c r="E1212" t="n">
        <v>24</v>
      </c>
      <c r="F1212" t="b">
        <v>0</v>
      </c>
      <c r="G1212" t="inlineStr">
        <is>
          <t>Heavy</t>
        </is>
      </c>
      <c r="H1212" t="b">
        <v>0</v>
      </c>
    </row>
    <row r="1213">
      <c r="A1213" t="inlineStr">
        <is>
          <t>S016</t>
        </is>
      </c>
      <c r="B1213" s="3" t="n">
        <v>46269</v>
      </c>
      <c r="C1213" t="n">
        <v>19</v>
      </c>
      <c r="D1213" t="inlineStr">
        <is>
          <t>Friday</t>
        </is>
      </c>
      <c r="E1213" t="n">
        <v>29</v>
      </c>
      <c r="F1213" t="b">
        <v>1</v>
      </c>
      <c r="H1213" t="b">
        <v>0</v>
      </c>
    </row>
    <row r="1214">
      <c r="A1214" t="inlineStr">
        <is>
          <t>S016</t>
        </is>
      </c>
      <c r="B1214" s="3" t="n">
        <v>46269</v>
      </c>
      <c r="C1214" t="n">
        <v>20</v>
      </c>
      <c r="D1214" t="inlineStr">
        <is>
          <t>Friday</t>
        </is>
      </c>
      <c r="E1214" t="n">
        <v>53</v>
      </c>
      <c r="F1214" t="b">
        <v>1</v>
      </c>
      <c r="G1214" t="inlineStr">
        <is>
          <t>Light</t>
        </is>
      </c>
      <c r="H1214" t="b">
        <v>0</v>
      </c>
    </row>
    <row r="1215">
      <c r="A1215" t="inlineStr">
        <is>
          <t>S016</t>
        </is>
      </c>
      <c r="B1215" s="3" t="n">
        <v>46269</v>
      </c>
      <c r="C1215" t="n">
        <v>21</v>
      </c>
      <c r="D1215" t="inlineStr">
        <is>
          <t>Friday</t>
        </is>
      </c>
      <c r="E1215" t="n">
        <v>31</v>
      </c>
      <c r="F1215" t="b">
        <v>1</v>
      </c>
      <c r="H1215" t="b">
        <v>0</v>
      </c>
    </row>
    <row r="1216">
      <c r="A1216" t="inlineStr">
        <is>
          <t>S016</t>
        </is>
      </c>
      <c r="B1216" s="3" t="n">
        <v>46269</v>
      </c>
      <c r="C1216" t="n">
        <v>22</v>
      </c>
      <c r="D1216" t="inlineStr">
        <is>
          <t>Friday</t>
        </is>
      </c>
      <c r="E1216" t="n">
        <v>29</v>
      </c>
      <c r="F1216" t="b">
        <v>0</v>
      </c>
      <c r="G1216" t="inlineStr">
        <is>
          <t>Light</t>
        </is>
      </c>
      <c r="H1216" t="b">
        <v>1</v>
      </c>
    </row>
    <row r="1217">
      <c r="A1217" t="inlineStr">
        <is>
          <t>S016</t>
        </is>
      </c>
      <c r="B1217" s="3" t="n">
        <v>46269</v>
      </c>
      <c r="C1217" t="n">
        <v>23</v>
      </c>
      <c r="D1217" t="inlineStr">
        <is>
          <t>Friday</t>
        </is>
      </c>
      <c r="E1217" t="n">
        <v>26</v>
      </c>
      <c r="F1217" t="b">
        <v>0</v>
      </c>
      <c r="H1217" t="b">
        <v>0</v>
      </c>
    </row>
    <row r="1218">
      <c r="A1218" t="inlineStr">
        <is>
          <t>S017</t>
        </is>
      </c>
      <c r="B1218" s="3" t="n">
        <v>46269</v>
      </c>
      <c r="C1218" t="n">
        <v>8</v>
      </c>
      <c r="D1218" t="inlineStr">
        <is>
          <t>Friday</t>
        </is>
      </c>
      <c r="E1218" t="n">
        <v>30</v>
      </c>
      <c r="F1218" t="b">
        <v>0</v>
      </c>
      <c r="H1218" t="b">
        <v>0</v>
      </c>
    </row>
    <row r="1219">
      <c r="A1219" t="inlineStr">
        <is>
          <t>S017</t>
        </is>
      </c>
      <c r="B1219" s="3" t="n">
        <v>46269</v>
      </c>
      <c r="C1219" t="n">
        <v>9</v>
      </c>
      <c r="D1219" t="inlineStr">
        <is>
          <t>Friday</t>
        </is>
      </c>
      <c r="E1219" t="n">
        <v>32</v>
      </c>
      <c r="F1219" t="b">
        <v>0</v>
      </c>
      <c r="H1219" t="b">
        <v>0</v>
      </c>
    </row>
    <row r="1220">
      <c r="A1220" t="inlineStr">
        <is>
          <t>S017</t>
        </is>
      </c>
      <c r="B1220" s="3" t="n">
        <v>46269</v>
      </c>
      <c r="C1220" t="n">
        <v>10</v>
      </c>
      <c r="D1220" t="inlineStr">
        <is>
          <t>Friday</t>
        </is>
      </c>
      <c r="E1220" t="n">
        <v>29</v>
      </c>
      <c r="F1220" t="b">
        <v>0</v>
      </c>
      <c r="H1220" t="b">
        <v>0</v>
      </c>
    </row>
    <row r="1221">
      <c r="A1221" t="inlineStr">
        <is>
          <t>S017</t>
        </is>
      </c>
      <c r="B1221" s="3" t="n">
        <v>46269</v>
      </c>
      <c r="C1221" t="n">
        <v>11</v>
      </c>
      <c r="D1221" t="inlineStr">
        <is>
          <t>Friday</t>
        </is>
      </c>
      <c r="E1221" t="n">
        <v>41</v>
      </c>
      <c r="F1221" t="b">
        <v>0</v>
      </c>
      <c r="G1221" t="inlineStr">
        <is>
          <t>Light</t>
        </is>
      </c>
      <c r="H1221" t="b">
        <v>0</v>
      </c>
    </row>
    <row r="1222">
      <c r="A1222" t="inlineStr">
        <is>
          <t>S017</t>
        </is>
      </c>
      <c r="B1222" s="3" t="n">
        <v>46269</v>
      </c>
      <c r="C1222" t="n">
        <v>12</v>
      </c>
      <c r="D1222" t="inlineStr">
        <is>
          <t>Friday</t>
        </is>
      </c>
      <c r="E1222" t="n">
        <v>41</v>
      </c>
      <c r="F1222" t="b">
        <v>0</v>
      </c>
      <c r="G1222" t="inlineStr">
        <is>
          <t>Heavy</t>
        </is>
      </c>
      <c r="H1222" t="b">
        <v>0</v>
      </c>
    </row>
    <row r="1223">
      <c r="A1223" t="inlineStr">
        <is>
          <t>S017</t>
        </is>
      </c>
      <c r="B1223" s="3" t="n">
        <v>46269</v>
      </c>
      <c r="C1223" t="n">
        <v>13</v>
      </c>
      <c r="D1223" t="inlineStr">
        <is>
          <t>Friday</t>
        </is>
      </c>
      <c r="E1223" t="n">
        <v>37</v>
      </c>
      <c r="F1223" t="b">
        <v>0</v>
      </c>
      <c r="H1223" t="b">
        <v>1</v>
      </c>
    </row>
    <row r="1224">
      <c r="A1224" t="inlineStr">
        <is>
          <t>S017</t>
        </is>
      </c>
      <c r="B1224" s="3" t="n">
        <v>46269</v>
      </c>
      <c r="C1224" t="n">
        <v>14</v>
      </c>
      <c r="D1224" t="inlineStr">
        <is>
          <t>Friday</t>
        </is>
      </c>
      <c r="E1224" t="n">
        <v>37</v>
      </c>
      <c r="F1224" t="b">
        <v>0</v>
      </c>
      <c r="H1224" t="b">
        <v>0</v>
      </c>
    </row>
    <row r="1225">
      <c r="A1225" t="inlineStr">
        <is>
          <t>S017</t>
        </is>
      </c>
      <c r="B1225" s="3" t="n">
        <v>46269</v>
      </c>
      <c r="C1225" t="n">
        <v>15</v>
      </c>
      <c r="D1225" t="inlineStr">
        <is>
          <t>Friday</t>
        </is>
      </c>
      <c r="E1225" t="n">
        <v>20</v>
      </c>
      <c r="F1225" t="b">
        <v>0</v>
      </c>
      <c r="H1225" t="b">
        <v>0</v>
      </c>
    </row>
    <row r="1226">
      <c r="A1226" t="inlineStr">
        <is>
          <t>S017</t>
        </is>
      </c>
      <c r="B1226" s="3" t="n">
        <v>46269</v>
      </c>
      <c r="C1226" t="n">
        <v>16</v>
      </c>
      <c r="D1226" t="inlineStr">
        <is>
          <t>Friday</t>
        </is>
      </c>
      <c r="E1226" t="n">
        <v>43</v>
      </c>
      <c r="F1226" t="b">
        <v>0</v>
      </c>
      <c r="H1226" t="b">
        <v>0</v>
      </c>
    </row>
    <row r="1227">
      <c r="A1227" t="inlineStr">
        <is>
          <t>S017</t>
        </is>
      </c>
      <c r="B1227" s="3" t="n">
        <v>46269</v>
      </c>
      <c r="C1227" t="n">
        <v>17</v>
      </c>
      <c r="D1227" t="inlineStr">
        <is>
          <t>Friday</t>
        </is>
      </c>
      <c r="E1227" t="n">
        <v>20</v>
      </c>
      <c r="F1227" t="b">
        <v>0</v>
      </c>
      <c r="H1227" t="b">
        <v>1</v>
      </c>
    </row>
    <row r="1228">
      <c r="A1228" t="inlineStr">
        <is>
          <t>S017</t>
        </is>
      </c>
      <c r="B1228" s="3" t="n">
        <v>46269</v>
      </c>
      <c r="C1228" t="n">
        <v>18</v>
      </c>
      <c r="D1228" t="inlineStr">
        <is>
          <t>Friday</t>
        </is>
      </c>
      <c r="E1228" t="n">
        <v>32</v>
      </c>
      <c r="F1228" t="b">
        <v>0</v>
      </c>
      <c r="G1228" t="inlineStr">
        <is>
          <t>Heavy</t>
        </is>
      </c>
      <c r="H1228" t="b">
        <v>0</v>
      </c>
    </row>
    <row r="1229">
      <c r="A1229" t="inlineStr">
        <is>
          <t>S017</t>
        </is>
      </c>
      <c r="B1229" s="3" t="n">
        <v>46269</v>
      </c>
      <c r="C1229" t="n">
        <v>19</v>
      </c>
      <c r="D1229" t="inlineStr">
        <is>
          <t>Friday</t>
        </is>
      </c>
      <c r="E1229" t="n">
        <v>50</v>
      </c>
      <c r="F1229" t="b">
        <v>1</v>
      </c>
      <c r="G1229" t="inlineStr">
        <is>
          <t>Heavy</t>
        </is>
      </c>
      <c r="H1229" t="b">
        <v>0</v>
      </c>
    </row>
    <row r="1230">
      <c r="A1230" t="inlineStr">
        <is>
          <t>S017</t>
        </is>
      </c>
      <c r="B1230" s="3" t="n">
        <v>46269</v>
      </c>
      <c r="C1230" t="n">
        <v>20</v>
      </c>
      <c r="D1230" t="inlineStr">
        <is>
          <t>Friday</t>
        </is>
      </c>
      <c r="E1230" t="n">
        <v>58</v>
      </c>
      <c r="F1230" t="b">
        <v>1</v>
      </c>
      <c r="H1230" t="b">
        <v>0</v>
      </c>
    </row>
    <row r="1231">
      <c r="A1231" t="inlineStr">
        <is>
          <t>S017</t>
        </is>
      </c>
      <c r="B1231" s="3" t="n">
        <v>46269</v>
      </c>
      <c r="C1231" t="n">
        <v>21</v>
      </c>
      <c r="D1231" t="inlineStr">
        <is>
          <t>Friday</t>
        </is>
      </c>
      <c r="E1231" t="n">
        <v>58</v>
      </c>
      <c r="F1231" t="b">
        <v>1</v>
      </c>
      <c r="H1231" t="b">
        <v>0</v>
      </c>
    </row>
    <row r="1232">
      <c r="A1232" t="inlineStr">
        <is>
          <t>S017</t>
        </is>
      </c>
      <c r="B1232" s="3" t="n">
        <v>46269</v>
      </c>
      <c r="C1232" t="n">
        <v>22</v>
      </c>
      <c r="D1232" t="inlineStr">
        <is>
          <t>Friday</t>
        </is>
      </c>
      <c r="E1232" t="n">
        <v>39</v>
      </c>
      <c r="F1232" t="b">
        <v>0</v>
      </c>
      <c r="H1232" t="b">
        <v>0</v>
      </c>
    </row>
    <row r="1233">
      <c r="A1233" t="inlineStr">
        <is>
          <t>S017</t>
        </is>
      </c>
      <c r="B1233" s="3" t="n">
        <v>46269</v>
      </c>
      <c r="C1233" t="n">
        <v>23</v>
      </c>
      <c r="D1233" t="inlineStr">
        <is>
          <t>Friday</t>
        </is>
      </c>
      <c r="E1233" t="n">
        <v>42</v>
      </c>
      <c r="F1233" t="b">
        <v>0</v>
      </c>
      <c r="H1233" t="b">
        <v>0</v>
      </c>
    </row>
    <row r="1234">
      <c r="A1234" t="inlineStr">
        <is>
          <t>S018</t>
        </is>
      </c>
      <c r="B1234" s="3" t="n">
        <v>46269</v>
      </c>
      <c r="C1234" t="n">
        <v>8</v>
      </c>
      <c r="D1234" t="inlineStr">
        <is>
          <t>Friday</t>
        </is>
      </c>
      <c r="E1234" t="n">
        <v>14</v>
      </c>
      <c r="F1234" t="b">
        <v>0</v>
      </c>
      <c r="H1234" t="b">
        <v>0</v>
      </c>
    </row>
    <row r="1235">
      <c r="A1235" t="inlineStr">
        <is>
          <t>S018</t>
        </is>
      </c>
      <c r="B1235" s="3" t="n">
        <v>46269</v>
      </c>
      <c r="C1235" t="n">
        <v>9</v>
      </c>
      <c r="D1235" t="inlineStr">
        <is>
          <t>Friday</t>
        </is>
      </c>
      <c r="E1235" t="n">
        <v>20</v>
      </c>
      <c r="F1235" t="b">
        <v>0</v>
      </c>
      <c r="H1235" t="b">
        <v>0</v>
      </c>
    </row>
    <row r="1236">
      <c r="A1236" t="inlineStr">
        <is>
          <t>S018</t>
        </is>
      </c>
      <c r="B1236" s="3" t="n">
        <v>46269</v>
      </c>
      <c r="C1236" t="n">
        <v>10</v>
      </c>
      <c r="D1236" t="inlineStr">
        <is>
          <t>Friday</t>
        </is>
      </c>
      <c r="E1236" t="n">
        <v>10</v>
      </c>
      <c r="F1236" t="b">
        <v>0</v>
      </c>
      <c r="H1236" t="b">
        <v>0</v>
      </c>
    </row>
    <row r="1237">
      <c r="A1237" t="inlineStr">
        <is>
          <t>S018</t>
        </is>
      </c>
      <c r="B1237" s="3" t="n">
        <v>46269</v>
      </c>
      <c r="C1237" t="n">
        <v>11</v>
      </c>
      <c r="D1237" t="inlineStr">
        <is>
          <t>Friday</t>
        </is>
      </c>
      <c r="E1237" t="n">
        <v>15</v>
      </c>
      <c r="F1237" t="b">
        <v>0</v>
      </c>
      <c r="H1237" t="b">
        <v>0</v>
      </c>
    </row>
    <row r="1238">
      <c r="A1238" t="inlineStr">
        <is>
          <t>S018</t>
        </is>
      </c>
      <c r="B1238" s="3" t="n">
        <v>46269</v>
      </c>
      <c r="C1238" t="n">
        <v>12</v>
      </c>
      <c r="D1238" t="inlineStr">
        <is>
          <t>Friday</t>
        </is>
      </c>
      <c r="E1238" t="n">
        <v>18</v>
      </c>
      <c r="F1238" t="b">
        <v>0</v>
      </c>
      <c r="H1238" t="b">
        <v>0</v>
      </c>
    </row>
    <row r="1239">
      <c r="A1239" t="inlineStr">
        <is>
          <t>S018</t>
        </is>
      </c>
      <c r="B1239" s="3" t="n">
        <v>46269</v>
      </c>
      <c r="C1239" t="n">
        <v>13</v>
      </c>
      <c r="D1239" t="inlineStr">
        <is>
          <t>Friday</t>
        </is>
      </c>
      <c r="E1239" t="n">
        <v>25</v>
      </c>
      <c r="F1239" t="b">
        <v>0</v>
      </c>
      <c r="H1239" t="b">
        <v>0</v>
      </c>
    </row>
    <row r="1240">
      <c r="A1240" t="inlineStr">
        <is>
          <t>S018</t>
        </is>
      </c>
      <c r="B1240" s="3" t="n">
        <v>46269</v>
      </c>
      <c r="C1240" t="n">
        <v>14</v>
      </c>
      <c r="D1240" t="inlineStr">
        <is>
          <t>Friday</t>
        </is>
      </c>
      <c r="E1240" t="n">
        <v>12</v>
      </c>
      <c r="F1240" t="b">
        <v>0</v>
      </c>
      <c r="H1240" t="b">
        <v>0</v>
      </c>
    </row>
    <row r="1241">
      <c r="A1241" t="inlineStr">
        <is>
          <t>S018</t>
        </is>
      </c>
      <c r="B1241" s="3" t="n">
        <v>46269</v>
      </c>
      <c r="C1241" t="n">
        <v>15</v>
      </c>
      <c r="D1241" t="inlineStr">
        <is>
          <t>Friday</t>
        </is>
      </c>
      <c r="E1241" t="n">
        <v>20</v>
      </c>
      <c r="F1241" t="b">
        <v>0</v>
      </c>
      <c r="H1241" t="b">
        <v>0</v>
      </c>
    </row>
    <row r="1242">
      <c r="A1242" t="inlineStr">
        <is>
          <t>S018</t>
        </is>
      </c>
      <c r="B1242" s="3" t="n">
        <v>46269</v>
      </c>
      <c r="C1242" t="n">
        <v>16</v>
      </c>
      <c r="D1242" t="inlineStr">
        <is>
          <t>Friday</t>
        </is>
      </c>
      <c r="E1242" t="n">
        <v>19</v>
      </c>
      <c r="F1242" t="b">
        <v>0</v>
      </c>
      <c r="G1242" t="inlineStr">
        <is>
          <t>Light</t>
        </is>
      </c>
      <c r="H1242" t="b">
        <v>0</v>
      </c>
    </row>
    <row r="1243">
      <c r="A1243" t="inlineStr">
        <is>
          <t>S018</t>
        </is>
      </c>
      <c r="B1243" s="3" t="n">
        <v>46269</v>
      </c>
      <c r="C1243" t="n">
        <v>17</v>
      </c>
      <c r="D1243" t="inlineStr">
        <is>
          <t>Friday</t>
        </is>
      </c>
      <c r="E1243" t="n">
        <v>24</v>
      </c>
      <c r="F1243" t="b">
        <v>0</v>
      </c>
      <c r="H1243" t="b">
        <v>0</v>
      </c>
    </row>
    <row r="1244">
      <c r="A1244" t="inlineStr">
        <is>
          <t>S018</t>
        </is>
      </c>
      <c r="B1244" s="3" t="n">
        <v>46269</v>
      </c>
      <c r="C1244" t="n">
        <v>18</v>
      </c>
      <c r="D1244" t="inlineStr">
        <is>
          <t>Friday</t>
        </is>
      </c>
      <c r="E1244" t="n">
        <v>20</v>
      </c>
      <c r="F1244" t="b">
        <v>0</v>
      </c>
      <c r="G1244" t="inlineStr">
        <is>
          <t>Heavy</t>
        </is>
      </c>
      <c r="H1244" t="b">
        <v>1</v>
      </c>
    </row>
    <row r="1245">
      <c r="A1245" t="inlineStr">
        <is>
          <t>S018</t>
        </is>
      </c>
      <c r="B1245" s="3" t="n">
        <v>46269</v>
      </c>
      <c r="C1245" t="n">
        <v>19</v>
      </c>
      <c r="D1245" t="inlineStr">
        <is>
          <t>Friday</t>
        </is>
      </c>
      <c r="E1245" t="n">
        <v>37</v>
      </c>
      <c r="F1245" t="b">
        <v>1</v>
      </c>
      <c r="H1245" t="b">
        <v>0</v>
      </c>
    </row>
    <row r="1246">
      <c r="A1246" t="inlineStr">
        <is>
          <t>S018</t>
        </is>
      </c>
      <c r="B1246" s="3" t="n">
        <v>46269</v>
      </c>
      <c r="C1246" t="n">
        <v>20</v>
      </c>
      <c r="D1246" t="inlineStr">
        <is>
          <t>Friday</t>
        </is>
      </c>
      <c r="E1246" t="n">
        <v>34</v>
      </c>
      <c r="F1246" t="b">
        <v>1</v>
      </c>
      <c r="G1246" t="inlineStr">
        <is>
          <t>Light</t>
        </is>
      </c>
      <c r="H1246" t="b">
        <v>0</v>
      </c>
    </row>
    <row r="1247">
      <c r="A1247" t="inlineStr">
        <is>
          <t>S018</t>
        </is>
      </c>
      <c r="B1247" s="3" t="n">
        <v>46269</v>
      </c>
      <c r="C1247" t="n">
        <v>21</v>
      </c>
      <c r="D1247" t="inlineStr">
        <is>
          <t>Friday</t>
        </is>
      </c>
      <c r="E1247" t="n">
        <v>40</v>
      </c>
      <c r="F1247" t="b">
        <v>1</v>
      </c>
      <c r="G1247" t="inlineStr">
        <is>
          <t>Light</t>
        </is>
      </c>
      <c r="H1247" t="b">
        <v>0</v>
      </c>
    </row>
    <row r="1248">
      <c r="A1248" t="inlineStr">
        <is>
          <t>S018</t>
        </is>
      </c>
      <c r="B1248" s="3" t="n">
        <v>46269</v>
      </c>
      <c r="C1248" t="n">
        <v>22</v>
      </c>
      <c r="D1248" t="inlineStr">
        <is>
          <t>Friday</t>
        </is>
      </c>
      <c r="E1248" t="n">
        <v>20</v>
      </c>
      <c r="F1248" t="b">
        <v>0</v>
      </c>
      <c r="H1248" t="b">
        <v>0</v>
      </c>
    </row>
    <row r="1249">
      <c r="A1249" t="inlineStr">
        <is>
          <t>S018</t>
        </is>
      </c>
      <c r="B1249" s="3" t="n">
        <v>46269</v>
      </c>
      <c r="C1249" t="n">
        <v>23</v>
      </c>
      <c r="D1249" t="inlineStr">
        <is>
          <t>Friday</t>
        </is>
      </c>
      <c r="E1249" t="n">
        <v>20</v>
      </c>
      <c r="F1249" t="b">
        <v>0</v>
      </c>
      <c r="H1249" t="b">
        <v>0</v>
      </c>
    </row>
    <row r="1250">
      <c r="A1250" t="inlineStr">
        <is>
          <t>S019</t>
        </is>
      </c>
      <c r="B1250" s="3" t="n">
        <v>46269</v>
      </c>
      <c r="C1250" t="n">
        <v>8</v>
      </c>
      <c r="D1250" t="inlineStr">
        <is>
          <t>Friday</t>
        </is>
      </c>
      <c r="E1250" t="n">
        <v>13</v>
      </c>
      <c r="F1250" t="b">
        <v>0</v>
      </c>
      <c r="H1250" t="b">
        <v>0</v>
      </c>
    </row>
    <row r="1251">
      <c r="A1251" t="inlineStr">
        <is>
          <t>S019</t>
        </is>
      </c>
      <c r="B1251" s="3" t="n">
        <v>46269</v>
      </c>
      <c r="C1251" t="n">
        <v>9</v>
      </c>
      <c r="D1251" t="inlineStr">
        <is>
          <t>Friday</t>
        </is>
      </c>
      <c r="E1251" t="n">
        <v>13</v>
      </c>
      <c r="F1251" t="b">
        <v>0</v>
      </c>
      <c r="G1251" t="inlineStr">
        <is>
          <t>Light</t>
        </is>
      </c>
      <c r="H1251" t="b">
        <v>0</v>
      </c>
    </row>
    <row r="1252">
      <c r="A1252" t="inlineStr">
        <is>
          <t>S019</t>
        </is>
      </c>
      <c r="B1252" s="3" t="n">
        <v>46269</v>
      </c>
      <c r="C1252" t="n">
        <v>10</v>
      </c>
      <c r="D1252" t="inlineStr">
        <is>
          <t>Friday</t>
        </is>
      </c>
      <c r="E1252" t="n">
        <v>21</v>
      </c>
      <c r="F1252" t="b">
        <v>0</v>
      </c>
      <c r="H1252" t="b">
        <v>0</v>
      </c>
    </row>
    <row r="1253">
      <c r="A1253" t="inlineStr">
        <is>
          <t>S019</t>
        </is>
      </c>
      <c r="B1253" s="3" t="n">
        <v>46269</v>
      </c>
      <c r="C1253" t="n">
        <v>11</v>
      </c>
      <c r="D1253" t="inlineStr">
        <is>
          <t>Friday</t>
        </is>
      </c>
      <c r="E1253" t="n">
        <v>30</v>
      </c>
      <c r="F1253" t="b">
        <v>0</v>
      </c>
      <c r="H1253" t="b">
        <v>0</v>
      </c>
    </row>
    <row r="1254">
      <c r="A1254" t="inlineStr">
        <is>
          <t>S019</t>
        </is>
      </c>
      <c r="B1254" s="3" t="n">
        <v>46269</v>
      </c>
      <c r="C1254" t="n">
        <v>12</v>
      </c>
      <c r="D1254" t="inlineStr">
        <is>
          <t>Friday</t>
        </is>
      </c>
      <c r="E1254" t="n">
        <v>24</v>
      </c>
      <c r="F1254" t="b">
        <v>0</v>
      </c>
      <c r="H1254" t="b">
        <v>0</v>
      </c>
    </row>
    <row r="1255">
      <c r="A1255" t="inlineStr">
        <is>
          <t>S019</t>
        </is>
      </c>
      <c r="B1255" s="3" t="n">
        <v>46269</v>
      </c>
      <c r="C1255" t="n">
        <v>13</v>
      </c>
      <c r="D1255" t="inlineStr">
        <is>
          <t>Friday</t>
        </is>
      </c>
      <c r="E1255" t="n">
        <v>18</v>
      </c>
      <c r="F1255" t="b">
        <v>0</v>
      </c>
      <c r="H1255" t="b">
        <v>0</v>
      </c>
    </row>
    <row r="1256">
      <c r="A1256" t="inlineStr">
        <is>
          <t>S019</t>
        </is>
      </c>
      <c r="B1256" s="3" t="n">
        <v>46269</v>
      </c>
      <c r="C1256" t="n">
        <v>14</v>
      </c>
      <c r="D1256" t="inlineStr">
        <is>
          <t>Friday</t>
        </is>
      </c>
      <c r="E1256" t="n">
        <v>11</v>
      </c>
      <c r="F1256" t="b">
        <v>0</v>
      </c>
      <c r="H1256" t="b">
        <v>0</v>
      </c>
    </row>
    <row r="1257">
      <c r="A1257" t="inlineStr">
        <is>
          <t>S019</t>
        </is>
      </c>
      <c r="B1257" s="3" t="n">
        <v>46269</v>
      </c>
      <c r="C1257" t="n">
        <v>15</v>
      </c>
      <c r="D1257" t="inlineStr">
        <is>
          <t>Friday</t>
        </is>
      </c>
      <c r="E1257" t="n">
        <v>22</v>
      </c>
      <c r="F1257" t="b">
        <v>0</v>
      </c>
      <c r="H1257" t="b">
        <v>0</v>
      </c>
    </row>
    <row r="1258">
      <c r="A1258" t="inlineStr">
        <is>
          <t>S019</t>
        </is>
      </c>
      <c r="B1258" s="3" t="n">
        <v>46269</v>
      </c>
      <c r="C1258" t="n">
        <v>16</v>
      </c>
      <c r="D1258" t="inlineStr">
        <is>
          <t>Friday</t>
        </is>
      </c>
      <c r="E1258" t="n">
        <v>22</v>
      </c>
      <c r="F1258" t="b">
        <v>0</v>
      </c>
      <c r="H1258" t="b">
        <v>0</v>
      </c>
    </row>
    <row r="1259">
      <c r="A1259" t="inlineStr">
        <is>
          <t>S019</t>
        </is>
      </c>
      <c r="B1259" s="3" t="n">
        <v>46269</v>
      </c>
      <c r="C1259" t="n">
        <v>17</v>
      </c>
      <c r="D1259" t="inlineStr">
        <is>
          <t>Friday</t>
        </is>
      </c>
      <c r="E1259" t="n">
        <v>26</v>
      </c>
      <c r="F1259" t="b">
        <v>0</v>
      </c>
      <c r="H1259" t="b">
        <v>0</v>
      </c>
    </row>
    <row r="1260">
      <c r="A1260" t="inlineStr">
        <is>
          <t>S019</t>
        </is>
      </c>
      <c r="B1260" s="3" t="n">
        <v>46269</v>
      </c>
      <c r="C1260" t="n">
        <v>18</v>
      </c>
      <c r="D1260" t="inlineStr">
        <is>
          <t>Friday</t>
        </is>
      </c>
      <c r="E1260" t="n">
        <v>17</v>
      </c>
      <c r="F1260" t="b">
        <v>0</v>
      </c>
      <c r="G1260" t="inlineStr">
        <is>
          <t>Light</t>
        </is>
      </c>
      <c r="H1260" t="b">
        <v>0</v>
      </c>
    </row>
    <row r="1261">
      <c r="A1261" t="inlineStr">
        <is>
          <t>S019</t>
        </is>
      </c>
      <c r="B1261" s="3" t="n">
        <v>46269</v>
      </c>
      <c r="C1261" t="n">
        <v>19</v>
      </c>
      <c r="D1261" t="inlineStr">
        <is>
          <t>Friday</t>
        </is>
      </c>
      <c r="E1261" t="n">
        <v>41</v>
      </c>
      <c r="F1261" t="b">
        <v>1</v>
      </c>
      <c r="H1261" t="b">
        <v>0</v>
      </c>
    </row>
    <row r="1262">
      <c r="A1262" t="inlineStr">
        <is>
          <t>S019</t>
        </is>
      </c>
      <c r="B1262" s="3" t="n">
        <v>46269</v>
      </c>
      <c r="C1262" t="n">
        <v>20</v>
      </c>
      <c r="D1262" t="inlineStr">
        <is>
          <t>Friday</t>
        </is>
      </c>
      <c r="E1262" t="n">
        <v>23</v>
      </c>
      <c r="F1262" t="b">
        <v>1</v>
      </c>
      <c r="H1262" t="b">
        <v>0</v>
      </c>
    </row>
    <row r="1263">
      <c r="A1263" t="inlineStr">
        <is>
          <t>S019</t>
        </is>
      </c>
      <c r="B1263" s="3" t="n">
        <v>46269</v>
      </c>
      <c r="C1263" t="n">
        <v>21</v>
      </c>
      <c r="D1263" t="inlineStr">
        <is>
          <t>Friday</t>
        </is>
      </c>
      <c r="E1263" t="n">
        <v>40</v>
      </c>
      <c r="F1263" t="b">
        <v>1</v>
      </c>
      <c r="H1263" t="b">
        <v>0</v>
      </c>
    </row>
    <row r="1264">
      <c r="A1264" t="inlineStr">
        <is>
          <t>S019</t>
        </is>
      </c>
      <c r="B1264" s="3" t="n">
        <v>46269</v>
      </c>
      <c r="C1264" t="n">
        <v>22</v>
      </c>
      <c r="D1264" t="inlineStr">
        <is>
          <t>Friday</t>
        </is>
      </c>
      <c r="E1264" t="n">
        <v>14</v>
      </c>
      <c r="F1264" t="b">
        <v>0</v>
      </c>
      <c r="H1264" t="b">
        <v>0</v>
      </c>
    </row>
    <row r="1265">
      <c r="A1265" t="inlineStr">
        <is>
          <t>S019</t>
        </is>
      </c>
      <c r="B1265" s="3" t="n">
        <v>46269</v>
      </c>
      <c r="C1265" t="n">
        <v>23</v>
      </c>
      <c r="D1265" t="inlineStr">
        <is>
          <t>Friday</t>
        </is>
      </c>
      <c r="E1265" t="n">
        <v>20</v>
      </c>
      <c r="F1265" t="b">
        <v>0</v>
      </c>
      <c r="H1265" t="b">
        <v>0</v>
      </c>
    </row>
    <row r="1266">
      <c r="A1266" t="inlineStr">
        <is>
          <t>S020</t>
        </is>
      </c>
      <c r="B1266" s="3" t="n">
        <v>46269</v>
      </c>
      <c r="C1266" t="n">
        <v>8</v>
      </c>
      <c r="D1266" t="inlineStr">
        <is>
          <t>Friday</t>
        </is>
      </c>
      <c r="E1266" t="n">
        <v>11</v>
      </c>
      <c r="F1266" t="b">
        <v>0</v>
      </c>
      <c r="H1266" t="b">
        <v>0</v>
      </c>
    </row>
    <row r="1267">
      <c r="A1267" t="inlineStr">
        <is>
          <t>S020</t>
        </is>
      </c>
      <c r="B1267" s="3" t="n">
        <v>46269</v>
      </c>
      <c r="C1267" t="n">
        <v>9</v>
      </c>
      <c r="D1267" t="inlineStr">
        <is>
          <t>Friday</t>
        </is>
      </c>
      <c r="E1267" t="n">
        <v>13</v>
      </c>
      <c r="F1267" t="b">
        <v>0</v>
      </c>
      <c r="H1267" t="b">
        <v>0</v>
      </c>
    </row>
    <row r="1268">
      <c r="A1268" t="inlineStr">
        <is>
          <t>S020</t>
        </is>
      </c>
      <c r="B1268" s="3" t="n">
        <v>46269</v>
      </c>
      <c r="C1268" t="n">
        <v>10</v>
      </c>
      <c r="D1268" t="inlineStr">
        <is>
          <t>Friday</t>
        </is>
      </c>
      <c r="E1268" t="n">
        <v>12</v>
      </c>
      <c r="F1268" t="b">
        <v>0</v>
      </c>
      <c r="H1268" t="b">
        <v>0</v>
      </c>
    </row>
    <row r="1269">
      <c r="A1269" t="inlineStr">
        <is>
          <t>S020</t>
        </is>
      </c>
      <c r="B1269" s="3" t="n">
        <v>46269</v>
      </c>
      <c r="C1269" t="n">
        <v>11</v>
      </c>
      <c r="D1269" t="inlineStr">
        <is>
          <t>Friday</t>
        </is>
      </c>
      <c r="E1269" t="n">
        <v>23</v>
      </c>
      <c r="F1269" t="b">
        <v>0</v>
      </c>
      <c r="H1269" t="b">
        <v>0</v>
      </c>
    </row>
    <row r="1270">
      <c r="A1270" t="inlineStr">
        <is>
          <t>S020</t>
        </is>
      </c>
      <c r="B1270" s="3" t="n">
        <v>46269</v>
      </c>
      <c r="C1270" t="n">
        <v>12</v>
      </c>
      <c r="D1270" t="inlineStr">
        <is>
          <t>Friday</t>
        </is>
      </c>
      <c r="E1270" t="n">
        <v>14</v>
      </c>
      <c r="F1270" t="b">
        <v>0</v>
      </c>
      <c r="H1270" t="b">
        <v>0</v>
      </c>
    </row>
    <row r="1271">
      <c r="A1271" t="inlineStr">
        <is>
          <t>S020</t>
        </is>
      </c>
      <c r="B1271" s="3" t="n">
        <v>46269</v>
      </c>
      <c r="C1271" t="n">
        <v>13</v>
      </c>
      <c r="D1271" t="inlineStr">
        <is>
          <t>Friday</t>
        </is>
      </c>
      <c r="E1271" t="n">
        <v>10</v>
      </c>
      <c r="F1271" t="b">
        <v>0</v>
      </c>
      <c r="G1271" t="inlineStr">
        <is>
          <t>Light</t>
        </is>
      </c>
      <c r="H1271" t="b">
        <v>0</v>
      </c>
    </row>
    <row r="1272">
      <c r="A1272" t="inlineStr">
        <is>
          <t>S020</t>
        </is>
      </c>
      <c r="B1272" s="3" t="n">
        <v>46269</v>
      </c>
      <c r="C1272" t="n">
        <v>14</v>
      </c>
      <c r="D1272" t="inlineStr">
        <is>
          <t>Friday</t>
        </is>
      </c>
      <c r="E1272" t="n">
        <v>11</v>
      </c>
      <c r="F1272" t="b">
        <v>0</v>
      </c>
      <c r="H1272" t="b">
        <v>0</v>
      </c>
    </row>
    <row r="1273">
      <c r="A1273" t="inlineStr">
        <is>
          <t>S020</t>
        </is>
      </c>
      <c r="B1273" s="3" t="n">
        <v>46269</v>
      </c>
      <c r="C1273" t="n">
        <v>15</v>
      </c>
      <c r="D1273" t="inlineStr">
        <is>
          <t>Friday</t>
        </is>
      </c>
      <c r="E1273" t="n">
        <v>8</v>
      </c>
      <c r="F1273" t="b">
        <v>0</v>
      </c>
      <c r="H1273" t="b">
        <v>0</v>
      </c>
    </row>
    <row r="1274">
      <c r="A1274" t="inlineStr">
        <is>
          <t>S020</t>
        </is>
      </c>
      <c r="B1274" s="3" t="n">
        <v>46269</v>
      </c>
      <c r="C1274" t="n">
        <v>16</v>
      </c>
      <c r="D1274" t="inlineStr">
        <is>
          <t>Friday</t>
        </is>
      </c>
      <c r="E1274" t="n">
        <v>21</v>
      </c>
      <c r="F1274" t="b">
        <v>0</v>
      </c>
      <c r="H1274" t="b">
        <v>0</v>
      </c>
    </row>
    <row r="1275">
      <c r="A1275" t="inlineStr">
        <is>
          <t>S020</t>
        </is>
      </c>
      <c r="B1275" s="3" t="n">
        <v>46269</v>
      </c>
      <c r="C1275" t="n">
        <v>17</v>
      </c>
      <c r="D1275" t="inlineStr">
        <is>
          <t>Friday</t>
        </is>
      </c>
      <c r="E1275" t="n">
        <v>9</v>
      </c>
      <c r="F1275" t="b">
        <v>0</v>
      </c>
      <c r="G1275" t="inlineStr">
        <is>
          <t>Heavy</t>
        </is>
      </c>
      <c r="H1275" t="b">
        <v>0</v>
      </c>
    </row>
    <row r="1276">
      <c r="A1276" t="inlineStr">
        <is>
          <t>S020</t>
        </is>
      </c>
      <c r="B1276" s="3" t="n">
        <v>46269</v>
      </c>
      <c r="C1276" t="n">
        <v>18</v>
      </c>
      <c r="D1276" t="inlineStr">
        <is>
          <t>Friday</t>
        </is>
      </c>
      <c r="E1276" t="n">
        <v>12</v>
      </c>
      <c r="F1276" t="b">
        <v>0</v>
      </c>
      <c r="H1276" t="b">
        <v>0</v>
      </c>
    </row>
    <row r="1277">
      <c r="A1277" t="inlineStr">
        <is>
          <t>S020</t>
        </is>
      </c>
      <c r="B1277" s="3" t="n">
        <v>46269</v>
      </c>
      <c r="C1277" t="n">
        <v>19</v>
      </c>
      <c r="D1277" t="inlineStr">
        <is>
          <t>Friday</t>
        </is>
      </c>
      <c r="E1277" t="n">
        <v>16</v>
      </c>
      <c r="F1277" t="b">
        <v>1</v>
      </c>
      <c r="H1277" t="b">
        <v>0</v>
      </c>
    </row>
    <row r="1278">
      <c r="A1278" t="inlineStr">
        <is>
          <t>S020</t>
        </is>
      </c>
      <c r="B1278" s="3" t="n">
        <v>46269</v>
      </c>
      <c r="C1278" t="n">
        <v>20</v>
      </c>
      <c r="D1278" t="inlineStr">
        <is>
          <t>Friday</t>
        </is>
      </c>
      <c r="E1278" t="n">
        <v>25</v>
      </c>
      <c r="F1278" t="b">
        <v>1</v>
      </c>
      <c r="G1278" t="inlineStr">
        <is>
          <t>Light</t>
        </is>
      </c>
      <c r="H1278" t="b">
        <v>0</v>
      </c>
    </row>
    <row r="1279">
      <c r="A1279" t="inlineStr">
        <is>
          <t>S020</t>
        </is>
      </c>
      <c r="B1279" s="3" t="n">
        <v>46269</v>
      </c>
      <c r="C1279" t="n">
        <v>21</v>
      </c>
      <c r="D1279" t="inlineStr">
        <is>
          <t>Friday</t>
        </is>
      </c>
      <c r="E1279" t="n">
        <v>27</v>
      </c>
      <c r="F1279" t="b">
        <v>1</v>
      </c>
      <c r="H1279" t="b">
        <v>0</v>
      </c>
    </row>
    <row r="1280">
      <c r="A1280" t="inlineStr">
        <is>
          <t>S020</t>
        </is>
      </c>
      <c r="B1280" s="3" t="n">
        <v>46269</v>
      </c>
      <c r="C1280" t="n">
        <v>22</v>
      </c>
      <c r="D1280" t="inlineStr">
        <is>
          <t>Friday</t>
        </is>
      </c>
      <c r="E1280" t="n">
        <v>15</v>
      </c>
      <c r="F1280" t="b">
        <v>0</v>
      </c>
      <c r="H1280" t="b">
        <v>1</v>
      </c>
    </row>
    <row r="1281">
      <c r="A1281" t="inlineStr">
        <is>
          <t>S020</t>
        </is>
      </c>
      <c r="B1281" s="3" t="n">
        <v>46269</v>
      </c>
      <c r="C1281" t="n">
        <v>23</v>
      </c>
      <c r="D1281" t="inlineStr">
        <is>
          <t>Friday</t>
        </is>
      </c>
      <c r="E1281" t="n">
        <v>21</v>
      </c>
      <c r="F1281" t="b">
        <v>0</v>
      </c>
      <c r="H1281" t="b">
        <v>0</v>
      </c>
    </row>
    <row r="1282">
      <c r="A1282" t="inlineStr">
        <is>
          <t>S001</t>
        </is>
      </c>
      <c r="B1282" s="3" t="n">
        <v>46270</v>
      </c>
      <c r="C1282" t="n">
        <v>8</v>
      </c>
      <c r="D1282" t="inlineStr">
        <is>
          <t>Saturday</t>
        </is>
      </c>
      <c r="E1282" t="n">
        <v>15</v>
      </c>
      <c r="F1282" t="b">
        <v>0</v>
      </c>
      <c r="H1282" t="b">
        <v>0</v>
      </c>
    </row>
    <row r="1283">
      <c r="A1283" t="inlineStr">
        <is>
          <t>S001</t>
        </is>
      </c>
      <c r="B1283" s="3" t="n">
        <v>46270</v>
      </c>
      <c r="C1283" t="n">
        <v>9</v>
      </c>
      <c r="D1283" t="inlineStr">
        <is>
          <t>Saturday</t>
        </is>
      </c>
      <c r="E1283" t="n">
        <v>9</v>
      </c>
      <c r="F1283" t="b">
        <v>0</v>
      </c>
      <c r="H1283" t="b">
        <v>0</v>
      </c>
    </row>
    <row r="1284">
      <c r="A1284" t="inlineStr">
        <is>
          <t>S001</t>
        </is>
      </c>
      <c r="B1284" s="3" t="n">
        <v>46270</v>
      </c>
      <c r="C1284" t="n">
        <v>10</v>
      </c>
      <c r="D1284" t="inlineStr">
        <is>
          <t>Saturday</t>
        </is>
      </c>
      <c r="E1284" t="n">
        <v>10</v>
      </c>
      <c r="F1284" t="b">
        <v>0</v>
      </c>
      <c r="G1284" t="inlineStr">
        <is>
          <t>Light</t>
        </is>
      </c>
      <c r="H1284" t="b">
        <v>0</v>
      </c>
    </row>
    <row r="1285">
      <c r="A1285" t="inlineStr">
        <is>
          <t>S001</t>
        </is>
      </c>
      <c r="B1285" s="3" t="n">
        <v>46270</v>
      </c>
      <c r="C1285" t="n">
        <v>11</v>
      </c>
      <c r="D1285" t="inlineStr">
        <is>
          <t>Saturday</t>
        </is>
      </c>
      <c r="E1285" t="n">
        <v>15</v>
      </c>
      <c r="F1285" t="b">
        <v>0</v>
      </c>
      <c r="H1285" t="b">
        <v>0</v>
      </c>
    </row>
    <row r="1286">
      <c r="A1286" t="inlineStr">
        <is>
          <t>S001</t>
        </is>
      </c>
      <c r="B1286" s="3" t="n">
        <v>46270</v>
      </c>
      <c r="C1286" t="n">
        <v>12</v>
      </c>
      <c r="D1286" t="inlineStr">
        <is>
          <t>Saturday</t>
        </is>
      </c>
      <c r="E1286" t="n">
        <v>14</v>
      </c>
      <c r="F1286" t="b">
        <v>0</v>
      </c>
      <c r="H1286" t="b">
        <v>0</v>
      </c>
    </row>
    <row r="1287">
      <c r="A1287" t="inlineStr">
        <is>
          <t>S001</t>
        </is>
      </c>
      <c r="B1287" s="3" t="n">
        <v>46270</v>
      </c>
      <c r="C1287" t="n">
        <v>13</v>
      </c>
      <c r="D1287" t="inlineStr">
        <is>
          <t>Saturday</t>
        </is>
      </c>
      <c r="E1287" t="n">
        <v>14</v>
      </c>
      <c r="F1287" t="b">
        <v>0</v>
      </c>
      <c r="G1287" t="inlineStr">
        <is>
          <t>Light</t>
        </is>
      </c>
      <c r="H1287" t="b">
        <v>0</v>
      </c>
    </row>
    <row r="1288">
      <c r="A1288" t="inlineStr">
        <is>
          <t>S001</t>
        </is>
      </c>
      <c r="B1288" s="3" t="n">
        <v>46270</v>
      </c>
      <c r="C1288" t="n">
        <v>14</v>
      </c>
      <c r="D1288" t="inlineStr">
        <is>
          <t>Saturday</t>
        </is>
      </c>
      <c r="E1288" t="n">
        <v>21</v>
      </c>
      <c r="F1288" t="b">
        <v>0</v>
      </c>
      <c r="H1288" t="b">
        <v>0</v>
      </c>
    </row>
    <row r="1289">
      <c r="A1289" t="inlineStr">
        <is>
          <t>S001</t>
        </is>
      </c>
      <c r="B1289" s="3" t="n">
        <v>46270</v>
      </c>
      <c r="C1289" t="n">
        <v>15</v>
      </c>
      <c r="D1289" t="inlineStr">
        <is>
          <t>Saturday</t>
        </is>
      </c>
      <c r="E1289" t="n">
        <v>9</v>
      </c>
      <c r="F1289" t="b">
        <v>0</v>
      </c>
      <c r="H1289" t="b">
        <v>0</v>
      </c>
    </row>
    <row r="1290">
      <c r="A1290" t="inlineStr">
        <is>
          <t>S001</t>
        </is>
      </c>
      <c r="B1290" s="3" t="n">
        <v>46270</v>
      </c>
      <c r="C1290" t="n">
        <v>16</v>
      </c>
      <c r="D1290" t="inlineStr">
        <is>
          <t>Saturday</t>
        </is>
      </c>
      <c r="E1290" t="n">
        <v>26</v>
      </c>
      <c r="F1290" t="b">
        <v>0</v>
      </c>
      <c r="H1290" t="b">
        <v>0</v>
      </c>
    </row>
    <row r="1291">
      <c r="A1291" t="inlineStr">
        <is>
          <t>S001</t>
        </is>
      </c>
      <c r="B1291" s="3" t="n">
        <v>46270</v>
      </c>
      <c r="C1291" t="n">
        <v>17</v>
      </c>
      <c r="D1291" t="inlineStr">
        <is>
          <t>Saturday</t>
        </is>
      </c>
      <c r="E1291" t="n">
        <v>18</v>
      </c>
      <c r="F1291" t="b">
        <v>0</v>
      </c>
      <c r="H1291" t="b">
        <v>0</v>
      </c>
    </row>
    <row r="1292">
      <c r="A1292" t="inlineStr">
        <is>
          <t>S001</t>
        </is>
      </c>
      <c r="B1292" s="3" t="n">
        <v>46270</v>
      </c>
      <c r="C1292" t="n">
        <v>18</v>
      </c>
      <c r="D1292" t="inlineStr">
        <is>
          <t>Saturday</t>
        </is>
      </c>
      <c r="E1292" t="n">
        <v>16</v>
      </c>
      <c r="F1292" t="b">
        <v>0</v>
      </c>
      <c r="G1292" t="inlineStr">
        <is>
          <t>Light</t>
        </is>
      </c>
      <c r="H1292" t="b">
        <v>0</v>
      </c>
    </row>
    <row r="1293">
      <c r="A1293" t="inlineStr">
        <is>
          <t>S001</t>
        </is>
      </c>
      <c r="B1293" s="3" t="n">
        <v>46270</v>
      </c>
      <c r="C1293" t="n">
        <v>19</v>
      </c>
      <c r="D1293" t="inlineStr">
        <is>
          <t>Saturday</t>
        </is>
      </c>
      <c r="E1293" t="n">
        <v>24</v>
      </c>
      <c r="F1293" t="b">
        <v>1</v>
      </c>
      <c r="H1293" t="b">
        <v>0</v>
      </c>
    </row>
    <row r="1294">
      <c r="A1294" t="inlineStr">
        <is>
          <t>S001</t>
        </is>
      </c>
      <c r="B1294" s="3" t="n">
        <v>46270</v>
      </c>
      <c r="C1294" t="n">
        <v>20</v>
      </c>
      <c r="D1294" t="inlineStr">
        <is>
          <t>Saturday</t>
        </is>
      </c>
      <c r="E1294" t="n">
        <v>20</v>
      </c>
      <c r="F1294" t="b">
        <v>1</v>
      </c>
      <c r="G1294" t="inlineStr">
        <is>
          <t>Light</t>
        </is>
      </c>
      <c r="H1294" t="b">
        <v>0</v>
      </c>
    </row>
    <row r="1295">
      <c r="A1295" t="inlineStr">
        <is>
          <t>S001</t>
        </is>
      </c>
      <c r="B1295" s="3" t="n">
        <v>46270</v>
      </c>
      <c r="C1295" t="n">
        <v>21</v>
      </c>
      <c r="D1295" t="inlineStr">
        <is>
          <t>Saturday</t>
        </is>
      </c>
      <c r="E1295" t="n">
        <v>36</v>
      </c>
      <c r="F1295" t="b">
        <v>1</v>
      </c>
      <c r="H1295" t="b">
        <v>0</v>
      </c>
    </row>
    <row r="1296">
      <c r="A1296" t="inlineStr">
        <is>
          <t>S001</t>
        </is>
      </c>
      <c r="B1296" s="3" t="n">
        <v>46270</v>
      </c>
      <c r="C1296" t="n">
        <v>22</v>
      </c>
      <c r="D1296" t="inlineStr">
        <is>
          <t>Saturday</t>
        </is>
      </c>
      <c r="E1296" t="n">
        <v>14</v>
      </c>
      <c r="F1296" t="b">
        <v>0</v>
      </c>
      <c r="H1296" t="b">
        <v>0</v>
      </c>
    </row>
    <row r="1297">
      <c r="A1297" t="inlineStr">
        <is>
          <t>S001</t>
        </is>
      </c>
      <c r="B1297" s="3" t="n">
        <v>46270</v>
      </c>
      <c r="C1297" t="n">
        <v>23</v>
      </c>
      <c r="D1297" t="inlineStr">
        <is>
          <t>Saturday</t>
        </is>
      </c>
      <c r="E1297" t="n">
        <v>20</v>
      </c>
      <c r="F1297" t="b">
        <v>0</v>
      </c>
      <c r="H1297" t="b">
        <v>0</v>
      </c>
    </row>
    <row r="1298">
      <c r="A1298" t="inlineStr">
        <is>
          <t>S002</t>
        </is>
      </c>
      <c r="B1298" s="3" t="n">
        <v>46270</v>
      </c>
      <c r="C1298" t="n">
        <v>8</v>
      </c>
      <c r="D1298" t="inlineStr">
        <is>
          <t>Saturday</t>
        </is>
      </c>
      <c r="E1298" t="n">
        <v>27</v>
      </c>
      <c r="F1298" t="b">
        <v>0</v>
      </c>
      <c r="H1298" t="b">
        <v>0</v>
      </c>
    </row>
    <row r="1299">
      <c r="A1299" t="inlineStr">
        <is>
          <t>S002</t>
        </is>
      </c>
      <c r="B1299" s="3" t="n">
        <v>46270</v>
      </c>
      <c r="C1299" t="n">
        <v>9</v>
      </c>
      <c r="D1299" t="inlineStr">
        <is>
          <t>Saturday</t>
        </is>
      </c>
      <c r="E1299" t="n">
        <v>25</v>
      </c>
      <c r="F1299" t="b">
        <v>0</v>
      </c>
      <c r="G1299" t="inlineStr">
        <is>
          <t>Heavy</t>
        </is>
      </c>
      <c r="H1299" t="b">
        <v>0</v>
      </c>
    </row>
    <row r="1300">
      <c r="A1300" t="inlineStr">
        <is>
          <t>S002</t>
        </is>
      </c>
      <c r="B1300" s="3" t="n">
        <v>46270</v>
      </c>
      <c r="C1300" t="n">
        <v>10</v>
      </c>
      <c r="D1300" t="inlineStr">
        <is>
          <t>Saturday</t>
        </is>
      </c>
      <c r="E1300" t="n">
        <v>29</v>
      </c>
      <c r="F1300" t="b">
        <v>0</v>
      </c>
      <c r="H1300" t="b">
        <v>0</v>
      </c>
    </row>
    <row r="1301">
      <c r="A1301" t="inlineStr">
        <is>
          <t>S002</t>
        </is>
      </c>
      <c r="B1301" s="3" t="n">
        <v>46270</v>
      </c>
      <c r="C1301" t="n">
        <v>11</v>
      </c>
      <c r="D1301" t="inlineStr">
        <is>
          <t>Saturday</t>
        </is>
      </c>
      <c r="E1301" t="n">
        <v>31</v>
      </c>
      <c r="F1301" t="b">
        <v>0</v>
      </c>
      <c r="G1301" t="inlineStr">
        <is>
          <t>Light</t>
        </is>
      </c>
      <c r="H1301" t="b">
        <v>0</v>
      </c>
    </row>
    <row r="1302">
      <c r="A1302" t="inlineStr">
        <is>
          <t>S002</t>
        </is>
      </c>
      <c r="B1302" s="3" t="n">
        <v>46270</v>
      </c>
      <c r="C1302" t="n">
        <v>12</v>
      </c>
      <c r="D1302" t="inlineStr">
        <is>
          <t>Saturday</t>
        </is>
      </c>
      <c r="E1302" t="n">
        <v>34</v>
      </c>
      <c r="F1302" t="b">
        <v>0</v>
      </c>
      <c r="G1302" t="inlineStr">
        <is>
          <t>Light</t>
        </is>
      </c>
      <c r="H1302" t="b">
        <v>0</v>
      </c>
    </row>
    <row r="1303">
      <c r="A1303" t="inlineStr">
        <is>
          <t>S002</t>
        </is>
      </c>
      <c r="B1303" s="3" t="n">
        <v>46270</v>
      </c>
      <c r="C1303" t="n">
        <v>13</v>
      </c>
      <c r="D1303" t="inlineStr">
        <is>
          <t>Saturday</t>
        </is>
      </c>
      <c r="E1303" t="n">
        <v>30</v>
      </c>
      <c r="F1303" t="b">
        <v>0</v>
      </c>
      <c r="H1303" t="b">
        <v>0</v>
      </c>
    </row>
    <row r="1304">
      <c r="A1304" t="inlineStr">
        <is>
          <t>S002</t>
        </is>
      </c>
      <c r="B1304" s="3" t="n">
        <v>46270</v>
      </c>
      <c r="C1304" t="n">
        <v>14</v>
      </c>
      <c r="D1304" t="inlineStr">
        <is>
          <t>Saturday</t>
        </is>
      </c>
      <c r="E1304" t="n">
        <v>30</v>
      </c>
      <c r="F1304" t="b">
        <v>0</v>
      </c>
      <c r="G1304" t="inlineStr">
        <is>
          <t>Light</t>
        </is>
      </c>
      <c r="H1304" t="b">
        <v>0</v>
      </c>
    </row>
    <row r="1305">
      <c r="A1305" t="inlineStr">
        <is>
          <t>S002</t>
        </is>
      </c>
      <c r="B1305" s="3" t="n">
        <v>46270</v>
      </c>
      <c r="C1305" t="n">
        <v>15</v>
      </c>
      <c r="D1305" t="inlineStr">
        <is>
          <t>Saturday</t>
        </is>
      </c>
      <c r="E1305" t="n">
        <v>19</v>
      </c>
      <c r="F1305" t="b">
        <v>0</v>
      </c>
      <c r="H1305" t="b">
        <v>0</v>
      </c>
    </row>
    <row r="1306">
      <c r="A1306" t="inlineStr">
        <is>
          <t>S002</t>
        </is>
      </c>
      <c r="B1306" s="3" t="n">
        <v>46270</v>
      </c>
      <c r="C1306" t="n">
        <v>16</v>
      </c>
      <c r="D1306" t="inlineStr">
        <is>
          <t>Saturday</t>
        </is>
      </c>
      <c r="E1306" t="n">
        <v>35</v>
      </c>
      <c r="F1306" t="b">
        <v>0</v>
      </c>
      <c r="H1306" t="b">
        <v>0</v>
      </c>
    </row>
    <row r="1307">
      <c r="A1307" t="inlineStr">
        <is>
          <t>S002</t>
        </is>
      </c>
      <c r="B1307" s="3" t="n">
        <v>46270</v>
      </c>
      <c r="C1307" t="n">
        <v>17</v>
      </c>
      <c r="D1307" t="inlineStr">
        <is>
          <t>Saturday</t>
        </is>
      </c>
      <c r="E1307" t="n">
        <v>30</v>
      </c>
      <c r="F1307" t="b">
        <v>0</v>
      </c>
      <c r="G1307" t="inlineStr">
        <is>
          <t>Heavy</t>
        </is>
      </c>
      <c r="H1307" t="b">
        <v>0</v>
      </c>
    </row>
    <row r="1308">
      <c r="A1308" t="inlineStr">
        <is>
          <t>S002</t>
        </is>
      </c>
      <c r="B1308" s="3" t="n">
        <v>46270</v>
      </c>
      <c r="C1308" t="n">
        <v>18</v>
      </c>
      <c r="D1308" t="inlineStr">
        <is>
          <t>Saturday</t>
        </is>
      </c>
      <c r="E1308" t="n">
        <v>35</v>
      </c>
      <c r="F1308" t="b">
        <v>0</v>
      </c>
      <c r="H1308" t="b">
        <v>0</v>
      </c>
    </row>
    <row r="1309">
      <c r="A1309" t="inlineStr">
        <is>
          <t>S002</t>
        </is>
      </c>
      <c r="B1309" s="3" t="n">
        <v>46270</v>
      </c>
      <c r="C1309" t="n">
        <v>19</v>
      </c>
      <c r="D1309" t="inlineStr">
        <is>
          <t>Saturday</t>
        </is>
      </c>
      <c r="E1309" t="n">
        <v>67</v>
      </c>
      <c r="F1309" t="b">
        <v>1</v>
      </c>
      <c r="H1309" t="b">
        <v>0</v>
      </c>
    </row>
    <row r="1310">
      <c r="A1310" t="inlineStr">
        <is>
          <t>S002</t>
        </is>
      </c>
      <c r="B1310" s="3" t="n">
        <v>46270</v>
      </c>
      <c r="C1310" t="n">
        <v>20</v>
      </c>
      <c r="D1310" t="inlineStr">
        <is>
          <t>Saturday</t>
        </is>
      </c>
      <c r="E1310" t="n">
        <v>49</v>
      </c>
      <c r="F1310" t="b">
        <v>1</v>
      </c>
      <c r="G1310" t="inlineStr">
        <is>
          <t>Light</t>
        </is>
      </c>
      <c r="H1310" t="b">
        <v>1</v>
      </c>
    </row>
    <row r="1311">
      <c r="A1311" t="inlineStr">
        <is>
          <t>S002</t>
        </is>
      </c>
      <c r="B1311" s="3" t="n">
        <v>46270</v>
      </c>
      <c r="C1311" t="n">
        <v>21</v>
      </c>
      <c r="D1311" t="inlineStr">
        <is>
          <t>Saturday</t>
        </is>
      </c>
      <c r="E1311" t="n">
        <v>53</v>
      </c>
      <c r="F1311" t="b">
        <v>1</v>
      </c>
      <c r="G1311" t="inlineStr">
        <is>
          <t>Heavy</t>
        </is>
      </c>
      <c r="H1311" t="b">
        <v>0</v>
      </c>
    </row>
    <row r="1312">
      <c r="A1312" t="inlineStr">
        <is>
          <t>S002</t>
        </is>
      </c>
      <c r="B1312" s="3" t="n">
        <v>46270</v>
      </c>
      <c r="C1312" t="n">
        <v>22</v>
      </c>
      <c r="D1312" t="inlineStr">
        <is>
          <t>Saturday</t>
        </is>
      </c>
      <c r="E1312" t="n">
        <v>44</v>
      </c>
      <c r="F1312" t="b">
        <v>0</v>
      </c>
      <c r="H1312" t="b">
        <v>0</v>
      </c>
    </row>
    <row r="1313">
      <c r="A1313" t="inlineStr">
        <is>
          <t>S002</t>
        </is>
      </c>
      <c r="B1313" s="3" t="n">
        <v>46270</v>
      </c>
      <c r="C1313" t="n">
        <v>23</v>
      </c>
      <c r="D1313" t="inlineStr">
        <is>
          <t>Saturday</t>
        </is>
      </c>
      <c r="E1313" t="n">
        <v>46</v>
      </c>
      <c r="F1313" t="b">
        <v>0</v>
      </c>
      <c r="H1313" t="b">
        <v>1</v>
      </c>
    </row>
    <row r="1314">
      <c r="A1314" t="inlineStr">
        <is>
          <t>S003</t>
        </is>
      </c>
      <c r="B1314" s="3" t="n">
        <v>46270</v>
      </c>
      <c r="C1314" t="n">
        <v>8</v>
      </c>
      <c r="D1314" t="inlineStr">
        <is>
          <t>Saturday</t>
        </is>
      </c>
      <c r="E1314" t="n">
        <v>34</v>
      </c>
      <c r="F1314" t="b">
        <v>0</v>
      </c>
      <c r="H1314" t="b">
        <v>0</v>
      </c>
    </row>
    <row r="1315">
      <c r="A1315" t="inlineStr">
        <is>
          <t>S003</t>
        </is>
      </c>
      <c r="B1315" s="3" t="n">
        <v>46270</v>
      </c>
      <c r="C1315" t="n">
        <v>9</v>
      </c>
      <c r="D1315" t="inlineStr">
        <is>
          <t>Saturday</t>
        </is>
      </c>
      <c r="E1315" t="n">
        <v>26</v>
      </c>
      <c r="F1315" t="b">
        <v>0</v>
      </c>
      <c r="H1315" t="b">
        <v>0</v>
      </c>
    </row>
    <row r="1316">
      <c r="A1316" t="inlineStr">
        <is>
          <t>S003</t>
        </is>
      </c>
      <c r="B1316" s="3" t="n">
        <v>46270</v>
      </c>
      <c r="C1316" t="n">
        <v>10</v>
      </c>
      <c r="D1316" t="inlineStr">
        <is>
          <t>Saturday</t>
        </is>
      </c>
      <c r="E1316" t="n">
        <v>30</v>
      </c>
      <c r="F1316" t="b">
        <v>0</v>
      </c>
      <c r="H1316" t="b">
        <v>0</v>
      </c>
    </row>
    <row r="1317">
      <c r="A1317" t="inlineStr">
        <is>
          <t>S003</t>
        </is>
      </c>
      <c r="B1317" s="3" t="n">
        <v>46270</v>
      </c>
      <c r="C1317" t="n">
        <v>11</v>
      </c>
      <c r="D1317" t="inlineStr">
        <is>
          <t>Saturday</t>
        </is>
      </c>
      <c r="E1317" t="n">
        <v>44</v>
      </c>
      <c r="F1317" t="b">
        <v>0</v>
      </c>
      <c r="H1317" t="b">
        <v>0</v>
      </c>
    </row>
    <row r="1318">
      <c r="A1318" t="inlineStr">
        <is>
          <t>S003</t>
        </is>
      </c>
      <c r="B1318" s="3" t="n">
        <v>46270</v>
      </c>
      <c r="C1318" t="n">
        <v>12</v>
      </c>
      <c r="D1318" t="inlineStr">
        <is>
          <t>Saturday</t>
        </is>
      </c>
      <c r="E1318" t="n">
        <v>37</v>
      </c>
      <c r="F1318" t="b">
        <v>0</v>
      </c>
      <c r="H1318" t="b">
        <v>0</v>
      </c>
    </row>
    <row r="1319">
      <c r="A1319" t="inlineStr">
        <is>
          <t>S003</t>
        </is>
      </c>
      <c r="B1319" s="3" t="n">
        <v>46270</v>
      </c>
      <c r="C1319" t="n">
        <v>13</v>
      </c>
      <c r="D1319" t="inlineStr">
        <is>
          <t>Saturday</t>
        </is>
      </c>
      <c r="E1319" t="n">
        <v>36</v>
      </c>
      <c r="F1319" t="b">
        <v>0</v>
      </c>
      <c r="H1319" t="b">
        <v>0</v>
      </c>
    </row>
    <row r="1320">
      <c r="A1320" t="inlineStr">
        <is>
          <t>S003</t>
        </is>
      </c>
      <c r="B1320" s="3" t="n">
        <v>46270</v>
      </c>
      <c r="C1320" t="n">
        <v>14</v>
      </c>
      <c r="D1320" t="inlineStr">
        <is>
          <t>Saturday</t>
        </is>
      </c>
      <c r="E1320" t="n">
        <v>39</v>
      </c>
      <c r="F1320" t="b">
        <v>0</v>
      </c>
      <c r="G1320" t="inlineStr">
        <is>
          <t>Heavy</t>
        </is>
      </c>
      <c r="H1320" t="b">
        <v>0</v>
      </c>
    </row>
    <row r="1321">
      <c r="A1321" t="inlineStr">
        <is>
          <t>S003</t>
        </is>
      </c>
      <c r="B1321" s="3" t="n">
        <v>46270</v>
      </c>
      <c r="C1321" t="n">
        <v>15</v>
      </c>
      <c r="D1321" t="inlineStr">
        <is>
          <t>Saturday</t>
        </is>
      </c>
      <c r="E1321" t="n">
        <v>39</v>
      </c>
      <c r="F1321" t="b">
        <v>0</v>
      </c>
      <c r="H1321" t="b">
        <v>0</v>
      </c>
    </row>
    <row r="1322">
      <c r="A1322" t="inlineStr">
        <is>
          <t>S003</t>
        </is>
      </c>
      <c r="B1322" s="3" t="n">
        <v>46270</v>
      </c>
      <c r="C1322" t="n">
        <v>16</v>
      </c>
      <c r="D1322" t="inlineStr">
        <is>
          <t>Saturday</t>
        </is>
      </c>
      <c r="E1322" t="n">
        <v>38</v>
      </c>
      <c r="F1322" t="b">
        <v>0</v>
      </c>
      <c r="G1322" t="inlineStr">
        <is>
          <t>Light</t>
        </is>
      </c>
      <c r="H1322" t="b">
        <v>0</v>
      </c>
    </row>
    <row r="1323">
      <c r="A1323" t="inlineStr">
        <is>
          <t>S003</t>
        </is>
      </c>
      <c r="B1323" s="3" t="n">
        <v>46270</v>
      </c>
      <c r="C1323" t="n">
        <v>17</v>
      </c>
      <c r="D1323" t="inlineStr">
        <is>
          <t>Saturday</t>
        </is>
      </c>
      <c r="E1323" t="n">
        <v>58</v>
      </c>
      <c r="F1323" t="b">
        <v>0</v>
      </c>
      <c r="H1323" t="b">
        <v>1</v>
      </c>
    </row>
    <row r="1324">
      <c r="A1324" t="inlineStr">
        <is>
          <t>S003</t>
        </is>
      </c>
      <c r="B1324" s="3" t="n">
        <v>46270</v>
      </c>
      <c r="C1324" t="n">
        <v>18</v>
      </c>
      <c r="D1324" t="inlineStr">
        <is>
          <t>Saturday</t>
        </is>
      </c>
      <c r="E1324" t="n">
        <v>46</v>
      </c>
      <c r="F1324" t="b">
        <v>0</v>
      </c>
      <c r="H1324" t="b">
        <v>0</v>
      </c>
    </row>
    <row r="1325">
      <c r="A1325" t="inlineStr">
        <is>
          <t>S003</t>
        </is>
      </c>
      <c r="B1325" s="3" t="n">
        <v>46270</v>
      </c>
      <c r="C1325" t="n">
        <v>19</v>
      </c>
      <c r="D1325" t="inlineStr">
        <is>
          <t>Saturday</t>
        </is>
      </c>
      <c r="E1325" t="n">
        <v>62</v>
      </c>
      <c r="F1325" t="b">
        <v>1</v>
      </c>
      <c r="H1325" t="b">
        <v>0</v>
      </c>
    </row>
    <row r="1326">
      <c r="A1326" t="inlineStr">
        <is>
          <t>S003</t>
        </is>
      </c>
      <c r="B1326" s="3" t="n">
        <v>46270</v>
      </c>
      <c r="C1326" t="n">
        <v>20</v>
      </c>
      <c r="D1326" t="inlineStr">
        <is>
          <t>Saturday</t>
        </is>
      </c>
      <c r="E1326" t="n">
        <v>73</v>
      </c>
      <c r="F1326" t="b">
        <v>1</v>
      </c>
      <c r="H1326" t="b">
        <v>0</v>
      </c>
    </row>
    <row r="1327">
      <c r="A1327" t="inlineStr">
        <is>
          <t>S003</t>
        </is>
      </c>
      <c r="B1327" s="3" t="n">
        <v>46270</v>
      </c>
      <c r="C1327" t="n">
        <v>21</v>
      </c>
      <c r="D1327" t="inlineStr">
        <is>
          <t>Saturday</t>
        </is>
      </c>
      <c r="E1327" t="n">
        <v>71</v>
      </c>
      <c r="F1327" t="b">
        <v>1</v>
      </c>
      <c r="H1327" t="b">
        <v>0</v>
      </c>
    </row>
    <row r="1328">
      <c r="A1328" t="inlineStr">
        <is>
          <t>S003</t>
        </is>
      </c>
      <c r="B1328" s="3" t="n">
        <v>46270</v>
      </c>
      <c r="C1328" t="n">
        <v>22</v>
      </c>
      <c r="D1328" t="inlineStr">
        <is>
          <t>Saturday</t>
        </is>
      </c>
      <c r="E1328" t="n">
        <v>44</v>
      </c>
      <c r="F1328" t="b">
        <v>0</v>
      </c>
      <c r="G1328" t="inlineStr">
        <is>
          <t>Light</t>
        </is>
      </c>
      <c r="H1328" t="b">
        <v>0</v>
      </c>
    </row>
    <row r="1329">
      <c r="A1329" t="inlineStr">
        <is>
          <t>S003</t>
        </is>
      </c>
      <c r="B1329" s="3" t="n">
        <v>46270</v>
      </c>
      <c r="C1329" t="n">
        <v>23</v>
      </c>
      <c r="D1329" t="inlineStr">
        <is>
          <t>Saturday</t>
        </is>
      </c>
      <c r="E1329" t="n">
        <v>36</v>
      </c>
      <c r="F1329" t="b">
        <v>0</v>
      </c>
      <c r="G1329" t="inlineStr">
        <is>
          <t>Heavy</t>
        </is>
      </c>
      <c r="H1329" t="b">
        <v>0</v>
      </c>
    </row>
    <row r="1330">
      <c r="A1330" t="inlineStr">
        <is>
          <t>S004</t>
        </is>
      </c>
      <c r="B1330" s="3" t="n">
        <v>46270</v>
      </c>
      <c r="C1330" t="n">
        <v>8</v>
      </c>
      <c r="D1330" t="inlineStr">
        <is>
          <t>Saturday</t>
        </is>
      </c>
      <c r="E1330" t="n">
        <v>38</v>
      </c>
      <c r="F1330" t="b">
        <v>0</v>
      </c>
      <c r="G1330" t="inlineStr">
        <is>
          <t>Light</t>
        </is>
      </c>
      <c r="H1330" t="b">
        <v>0</v>
      </c>
    </row>
    <row r="1331">
      <c r="A1331" t="inlineStr">
        <is>
          <t>S004</t>
        </is>
      </c>
      <c r="B1331" s="3" t="n">
        <v>46270</v>
      </c>
      <c r="C1331" t="n">
        <v>9</v>
      </c>
      <c r="D1331" t="inlineStr">
        <is>
          <t>Saturday</t>
        </is>
      </c>
      <c r="E1331" t="n">
        <v>30</v>
      </c>
      <c r="F1331" t="b">
        <v>0</v>
      </c>
      <c r="G1331" t="inlineStr">
        <is>
          <t>Light</t>
        </is>
      </c>
      <c r="H1331" t="b">
        <v>0</v>
      </c>
    </row>
    <row r="1332">
      <c r="A1332" t="inlineStr">
        <is>
          <t>S004</t>
        </is>
      </c>
      <c r="B1332" s="3" t="n">
        <v>46270</v>
      </c>
      <c r="C1332" t="n">
        <v>10</v>
      </c>
      <c r="D1332" t="inlineStr">
        <is>
          <t>Saturday</t>
        </is>
      </c>
      <c r="E1332" t="n">
        <v>29</v>
      </c>
      <c r="F1332" t="b">
        <v>0</v>
      </c>
      <c r="H1332" t="b">
        <v>0</v>
      </c>
    </row>
    <row r="1333">
      <c r="A1333" t="inlineStr">
        <is>
          <t>S004</t>
        </is>
      </c>
      <c r="B1333" s="3" t="n">
        <v>46270</v>
      </c>
      <c r="C1333" t="n">
        <v>11</v>
      </c>
      <c r="D1333" t="inlineStr">
        <is>
          <t>Saturday</t>
        </is>
      </c>
      <c r="E1333" t="n">
        <v>49</v>
      </c>
      <c r="F1333" t="b">
        <v>0</v>
      </c>
      <c r="H1333" t="b">
        <v>0</v>
      </c>
    </row>
    <row r="1334">
      <c r="A1334" t="inlineStr">
        <is>
          <t>S004</t>
        </is>
      </c>
      <c r="B1334" s="3" t="n">
        <v>46270</v>
      </c>
      <c r="C1334" t="n">
        <v>12</v>
      </c>
      <c r="D1334" t="inlineStr">
        <is>
          <t>Saturday</t>
        </is>
      </c>
      <c r="E1334" t="n">
        <v>40</v>
      </c>
      <c r="F1334" t="b">
        <v>0</v>
      </c>
      <c r="G1334" t="inlineStr">
        <is>
          <t>Light</t>
        </is>
      </c>
      <c r="H1334" t="b">
        <v>0</v>
      </c>
    </row>
    <row r="1335">
      <c r="A1335" t="inlineStr">
        <is>
          <t>S004</t>
        </is>
      </c>
      <c r="B1335" s="3" t="n">
        <v>46270</v>
      </c>
      <c r="C1335" t="n">
        <v>13</v>
      </c>
      <c r="D1335" t="inlineStr">
        <is>
          <t>Saturday</t>
        </is>
      </c>
      <c r="E1335" t="n">
        <v>40</v>
      </c>
      <c r="F1335" t="b">
        <v>0</v>
      </c>
      <c r="H1335" t="b">
        <v>0</v>
      </c>
    </row>
    <row r="1336">
      <c r="A1336" t="inlineStr">
        <is>
          <t>S004</t>
        </is>
      </c>
      <c r="B1336" s="3" t="n">
        <v>46270</v>
      </c>
      <c r="C1336" t="n">
        <v>14</v>
      </c>
      <c r="D1336" t="inlineStr">
        <is>
          <t>Saturday</t>
        </is>
      </c>
      <c r="E1336" t="n">
        <v>26</v>
      </c>
      <c r="F1336" t="b">
        <v>0</v>
      </c>
      <c r="H1336" t="b">
        <v>0</v>
      </c>
    </row>
    <row r="1337">
      <c r="A1337" t="inlineStr">
        <is>
          <t>S004</t>
        </is>
      </c>
      <c r="B1337" s="3" t="n">
        <v>46270</v>
      </c>
      <c r="C1337" t="n">
        <v>15</v>
      </c>
      <c r="D1337" t="inlineStr">
        <is>
          <t>Saturday</t>
        </is>
      </c>
      <c r="E1337" t="n">
        <v>33</v>
      </c>
      <c r="F1337" t="b">
        <v>0</v>
      </c>
      <c r="H1337" t="b">
        <v>0</v>
      </c>
    </row>
    <row r="1338">
      <c r="A1338" t="inlineStr">
        <is>
          <t>S004</t>
        </is>
      </c>
      <c r="B1338" s="3" t="n">
        <v>46270</v>
      </c>
      <c r="C1338" t="n">
        <v>16</v>
      </c>
      <c r="D1338" t="inlineStr">
        <is>
          <t>Saturday</t>
        </is>
      </c>
      <c r="E1338" t="n">
        <v>44</v>
      </c>
      <c r="F1338" t="b">
        <v>0</v>
      </c>
      <c r="H1338" t="b">
        <v>0</v>
      </c>
    </row>
    <row r="1339">
      <c r="A1339" t="inlineStr">
        <is>
          <t>S004</t>
        </is>
      </c>
      <c r="B1339" s="3" t="n">
        <v>46270</v>
      </c>
      <c r="C1339" t="n">
        <v>17</v>
      </c>
      <c r="D1339" t="inlineStr">
        <is>
          <t>Saturday</t>
        </is>
      </c>
      <c r="E1339" t="n">
        <v>51</v>
      </c>
      <c r="F1339" t="b">
        <v>0</v>
      </c>
      <c r="G1339" t="inlineStr">
        <is>
          <t>Heavy</t>
        </is>
      </c>
      <c r="H1339" t="b">
        <v>0</v>
      </c>
    </row>
    <row r="1340">
      <c r="A1340" t="inlineStr">
        <is>
          <t>S004</t>
        </is>
      </c>
      <c r="B1340" s="3" t="n">
        <v>46270</v>
      </c>
      <c r="C1340" t="n">
        <v>18</v>
      </c>
      <c r="D1340" t="inlineStr">
        <is>
          <t>Saturday</t>
        </is>
      </c>
      <c r="E1340" t="n">
        <v>50</v>
      </c>
      <c r="F1340" t="b">
        <v>0</v>
      </c>
      <c r="H1340" t="b">
        <v>0</v>
      </c>
    </row>
    <row r="1341">
      <c r="A1341" t="inlineStr">
        <is>
          <t>S004</t>
        </is>
      </c>
      <c r="B1341" s="3" t="n">
        <v>46270</v>
      </c>
      <c r="C1341" t="n">
        <v>19</v>
      </c>
      <c r="D1341" t="inlineStr">
        <is>
          <t>Saturday</t>
        </is>
      </c>
      <c r="E1341" t="n">
        <v>69</v>
      </c>
      <c r="F1341" t="b">
        <v>1</v>
      </c>
      <c r="G1341" t="inlineStr">
        <is>
          <t>Light</t>
        </is>
      </c>
      <c r="H1341" t="b">
        <v>0</v>
      </c>
    </row>
    <row r="1342">
      <c r="A1342" t="inlineStr">
        <is>
          <t>S004</t>
        </is>
      </c>
      <c r="B1342" s="3" t="n">
        <v>46270</v>
      </c>
      <c r="C1342" t="n">
        <v>20</v>
      </c>
      <c r="D1342" t="inlineStr">
        <is>
          <t>Saturday</t>
        </is>
      </c>
      <c r="E1342" t="n">
        <v>78</v>
      </c>
      <c r="F1342" t="b">
        <v>1</v>
      </c>
      <c r="G1342" t="inlineStr">
        <is>
          <t>Heavy</t>
        </is>
      </c>
      <c r="H1342" t="b">
        <v>0</v>
      </c>
    </row>
    <row r="1343">
      <c r="A1343" t="inlineStr">
        <is>
          <t>S004</t>
        </is>
      </c>
      <c r="B1343" s="3" t="n">
        <v>46270</v>
      </c>
      <c r="C1343" t="n">
        <v>21</v>
      </c>
      <c r="D1343" t="inlineStr">
        <is>
          <t>Saturday</t>
        </is>
      </c>
      <c r="E1343" t="n">
        <v>62</v>
      </c>
      <c r="F1343" t="b">
        <v>1</v>
      </c>
      <c r="G1343" t="inlineStr">
        <is>
          <t>Light</t>
        </is>
      </c>
      <c r="H1343" t="b">
        <v>0</v>
      </c>
    </row>
    <row r="1344">
      <c r="A1344" t="inlineStr">
        <is>
          <t>S004</t>
        </is>
      </c>
      <c r="B1344" s="3" t="n">
        <v>46270</v>
      </c>
      <c r="C1344" t="n">
        <v>22</v>
      </c>
      <c r="D1344" t="inlineStr">
        <is>
          <t>Saturday</t>
        </is>
      </c>
      <c r="E1344" t="n">
        <v>49</v>
      </c>
      <c r="F1344" t="b">
        <v>0</v>
      </c>
      <c r="H1344" t="b">
        <v>0</v>
      </c>
    </row>
    <row r="1345">
      <c r="A1345" t="inlineStr">
        <is>
          <t>S004</t>
        </is>
      </c>
      <c r="B1345" s="3" t="n">
        <v>46270</v>
      </c>
      <c r="C1345" t="n">
        <v>23</v>
      </c>
      <c r="D1345" t="inlineStr">
        <is>
          <t>Saturday</t>
        </is>
      </c>
      <c r="E1345" t="n">
        <v>37</v>
      </c>
      <c r="F1345" t="b">
        <v>0</v>
      </c>
      <c r="G1345" t="inlineStr">
        <is>
          <t>Light</t>
        </is>
      </c>
      <c r="H1345" t="b">
        <v>0</v>
      </c>
    </row>
    <row r="1346">
      <c r="A1346" t="inlineStr">
        <is>
          <t>S005</t>
        </is>
      </c>
      <c r="B1346" s="3" t="n">
        <v>46270</v>
      </c>
      <c r="C1346" t="n">
        <v>8</v>
      </c>
      <c r="D1346" t="inlineStr">
        <is>
          <t>Saturday</t>
        </is>
      </c>
      <c r="E1346" t="n">
        <v>11</v>
      </c>
      <c r="F1346" t="b">
        <v>0</v>
      </c>
      <c r="G1346" t="inlineStr">
        <is>
          <t>Heavy</t>
        </is>
      </c>
      <c r="H1346" t="b">
        <v>0</v>
      </c>
    </row>
    <row r="1347">
      <c r="A1347" t="inlineStr">
        <is>
          <t>S005</t>
        </is>
      </c>
      <c r="B1347" s="3" t="n">
        <v>46270</v>
      </c>
      <c r="C1347" t="n">
        <v>9</v>
      </c>
      <c r="D1347" t="inlineStr">
        <is>
          <t>Saturday</t>
        </is>
      </c>
      <c r="E1347" t="n">
        <v>11</v>
      </c>
      <c r="F1347" t="b">
        <v>0</v>
      </c>
      <c r="H1347" t="b">
        <v>0</v>
      </c>
    </row>
    <row r="1348">
      <c r="A1348" t="inlineStr">
        <is>
          <t>S005</t>
        </is>
      </c>
      <c r="B1348" s="3" t="n">
        <v>46270</v>
      </c>
      <c r="C1348" t="n">
        <v>10</v>
      </c>
      <c r="D1348" t="inlineStr">
        <is>
          <t>Saturday</t>
        </is>
      </c>
      <c r="E1348" t="n">
        <v>14</v>
      </c>
      <c r="F1348" t="b">
        <v>0</v>
      </c>
      <c r="H1348" t="b">
        <v>0</v>
      </c>
    </row>
    <row r="1349">
      <c r="A1349" t="inlineStr">
        <is>
          <t>S005</t>
        </is>
      </c>
      <c r="B1349" s="3" t="n">
        <v>46270</v>
      </c>
      <c r="C1349" t="n">
        <v>11</v>
      </c>
      <c r="D1349" t="inlineStr">
        <is>
          <t>Saturday</t>
        </is>
      </c>
      <c r="E1349" t="n">
        <v>14</v>
      </c>
      <c r="F1349" t="b">
        <v>0</v>
      </c>
      <c r="H1349" t="b">
        <v>0</v>
      </c>
    </row>
    <row r="1350">
      <c r="A1350" t="inlineStr">
        <is>
          <t>S005</t>
        </is>
      </c>
      <c r="B1350" s="3" t="n">
        <v>46270</v>
      </c>
      <c r="C1350" t="n">
        <v>12</v>
      </c>
      <c r="D1350" t="inlineStr">
        <is>
          <t>Saturday</t>
        </is>
      </c>
      <c r="E1350" t="n">
        <v>17</v>
      </c>
      <c r="F1350" t="b">
        <v>0</v>
      </c>
      <c r="G1350" t="inlineStr">
        <is>
          <t>Light</t>
        </is>
      </c>
      <c r="H1350" t="b">
        <v>0</v>
      </c>
    </row>
    <row r="1351">
      <c r="A1351" t="inlineStr">
        <is>
          <t>S005</t>
        </is>
      </c>
      <c r="B1351" s="3" t="n">
        <v>46270</v>
      </c>
      <c r="C1351" t="n">
        <v>13</v>
      </c>
      <c r="D1351" t="inlineStr">
        <is>
          <t>Saturday</t>
        </is>
      </c>
      <c r="E1351" t="n">
        <v>19</v>
      </c>
      <c r="F1351" t="b">
        <v>0</v>
      </c>
      <c r="H1351" t="b">
        <v>0</v>
      </c>
    </row>
    <row r="1352">
      <c r="A1352" t="inlineStr">
        <is>
          <t>S005</t>
        </is>
      </c>
      <c r="B1352" s="3" t="n">
        <v>46270</v>
      </c>
      <c r="C1352" t="n">
        <v>14</v>
      </c>
      <c r="D1352" t="inlineStr">
        <is>
          <t>Saturday</t>
        </is>
      </c>
      <c r="E1352" t="n">
        <v>11</v>
      </c>
      <c r="F1352" t="b">
        <v>0</v>
      </c>
      <c r="G1352" t="inlineStr">
        <is>
          <t>Heavy</t>
        </is>
      </c>
      <c r="H1352" t="b">
        <v>1</v>
      </c>
    </row>
    <row r="1353">
      <c r="A1353" t="inlineStr">
        <is>
          <t>S005</t>
        </is>
      </c>
      <c r="B1353" s="3" t="n">
        <v>46270</v>
      </c>
      <c r="C1353" t="n">
        <v>15</v>
      </c>
      <c r="D1353" t="inlineStr">
        <is>
          <t>Saturday</t>
        </is>
      </c>
      <c r="E1353" t="n">
        <v>11</v>
      </c>
      <c r="F1353" t="b">
        <v>0</v>
      </c>
      <c r="G1353" t="inlineStr">
        <is>
          <t>Heavy</t>
        </is>
      </c>
      <c r="H1353" t="b">
        <v>0</v>
      </c>
    </row>
    <row r="1354">
      <c r="A1354" t="inlineStr">
        <is>
          <t>S005</t>
        </is>
      </c>
      <c r="B1354" s="3" t="n">
        <v>46270</v>
      </c>
      <c r="C1354" t="n">
        <v>16</v>
      </c>
      <c r="D1354" t="inlineStr">
        <is>
          <t>Saturday</t>
        </is>
      </c>
      <c r="E1354" t="n">
        <v>16</v>
      </c>
      <c r="F1354" t="b">
        <v>0</v>
      </c>
      <c r="H1354" t="b">
        <v>0</v>
      </c>
    </row>
    <row r="1355">
      <c r="A1355" t="inlineStr">
        <is>
          <t>S005</t>
        </is>
      </c>
      <c r="B1355" s="3" t="n">
        <v>46270</v>
      </c>
      <c r="C1355" t="n">
        <v>17</v>
      </c>
      <c r="D1355" t="inlineStr">
        <is>
          <t>Saturday</t>
        </is>
      </c>
      <c r="E1355" t="n">
        <v>21</v>
      </c>
      <c r="F1355" t="b">
        <v>0</v>
      </c>
      <c r="H1355" t="b">
        <v>0</v>
      </c>
    </row>
    <row r="1356">
      <c r="A1356" t="inlineStr">
        <is>
          <t>S005</t>
        </is>
      </c>
      <c r="B1356" s="3" t="n">
        <v>46270</v>
      </c>
      <c r="C1356" t="n">
        <v>18</v>
      </c>
      <c r="D1356" t="inlineStr">
        <is>
          <t>Saturday</t>
        </is>
      </c>
      <c r="E1356" t="n">
        <v>16</v>
      </c>
      <c r="F1356" t="b">
        <v>0</v>
      </c>
      <c r="H1356" t="b">
        <v>0</v>
      </c>
    </row>
    <row r="1357">
      <c r="A1357" t="inlineStr">
        <is>
          <t>S005</t>
        </is>
      </c>
      <c r="B1357" s="3" t="n">
        <v>46270</v>
      </c>
      <c r="C1357" t="n">
        <v>19</v>
      </c>
      <c r="D1357" t="inlineStr">
        <is>
          <t>Saturday</t>
        </is>
      </c>
      <c r="E1357" t="n">
        <v>18</v>
      </c>
      <c r="F1357" t="b">
        <v>1</v>
      </c>
      <c r="H1357" t="b">
        <v>0</v>
      </c>
    </row>
    <row r="1358">
      <c r="A1358" t="inlineStr">
        <is>
          <t>S005</t>
        </is>
      </c>
      <c r="B1358" s="3" t="n">
        <v>46270</v>
      </c>
      <c r="C1358" t="n">
        <v>20</v>
      </c>
      <c r="D1358" t="inlineStr">
        <is>
          <t>Saturday</t>
        </is>
      </c>
      <c r="E1358" t="n">
        <v>22</v>
      </c>
      <c r="F1358" t="b">
        <v>1</v>
      </c>
      <c r="H1358" t="b">
        <v>0</v>
      </c>
    </row>
    <row r="1359">
      <c r="A1359" t="inlineStr">
        <is>
          <t>S005</t>
        </is>
      </c>
      <c r="B1359" s="3" t="n">
        <v>46270</v>
      </c>
      <c r="C1359" t="n">
        <v>21</v>
      </c>
      <c r="D1359" t="inlineStr">
        <is>
          <t>Saturday</t>
        </is>
      </c>
      <c r="E1359" t="n">
        <v>19</v>
      </c>
      <c r="F1359" t="b">
        <v>1</v>
      </c>
      <c r="G1359" t="inlineStr">
        <is>
          <t>Light</t>
        </is>
      </c>
      <c r="H1359" t="b">
        <v>0</v>
      </c>
    </row>
    <row r="1360">
      <c r="A1360" t="inlineStr">
        <is>
          <t>S005</t>
        </is>
      </c>
      <c r="B1360" s="3" t="n">
        <v>46270</v>
      </c>
      <c r="C1360" t="n">
        <v>22</v>
      </c>
      <c r="D1360" t="inlineStr">
        <is>
          <t>Saturday</t>
        </is>
      </c>
      <c r="E1360" t="n">
        <v>20</v>
      </c>
      <c r="F1360" t="b">
        <v>0</v>
      </c>
      <c r="G1360" t="inlineStr">
        <is>
          <t>Light</t>
        </is>
      </c>
      <c r="H1360" t="b">
        <v>0</v>
      </c>
    </row>
    <row r="1361">
      <c r="A1361" t="inlineStr">
        <is>
          <t>S005</t>
        </is>
      </c>
      <c r="B1361" s="3" t="n">
        <v>46270</v>
      </c>
      <c r="C1361" t="n">
        <v>23</v>
      </c>
      <c r="D1361" t="inlineStr">
        <is>
          <t>Saturday</t>
        </is>
      </c>
      <c r="E1361" t="n">
        <v>20</v>
      </c>
      <c r="F1361" t="b">
        <v>0</v>
      </c>
      <c r="H1361" t="b">
        <v>0</v>
      </c>
    </row>
    <row r="1362">
      <c r="A1362" t="inlineStr">
        <is>
          <t>S006</t>
        </is>
      </c>
      <c r="B1362" s="3" t="n">
        <v>46270</v>
      </c>
      <c r="C1362" t="n">
        <v>8</v>
      </c>
      <c r="D1362" t="inlineStr">
        <is>
          <t>Saturday</t>
        </is>
      </c>
      <c r="E1362" t="n">
        <v>15</v>
      </c>
      <c r="F1362" t="b">
        <v>0</v>
      </c>
      <c r="G1362" t="inlineStr">
        <is>
          <t>Light</t>
        </is>
      </c>
      <c r="H1362" t="b">
        <v>0</v>
      </c>
    </row>
    <row r="1363">
      <c r="A1363" t="inlineStr">
        <is>
          <t>S006</t>
        </is>
      </c>
      <c r="B1363" s="3" t="n">
        <v>46270</v>
      </c>
      <c r="C1363" t="n">
        <v>9</v>
      </c>
      <c r="D1363" t="inlineStr">
        <is>
          <t>Saturday</t>
        </is>
      </c>
      <c r="E1363" t="n">
        <v>27</v>
      </c>
      <c r="F1363" t="b">
        <v>0</v>
      </c>
      <c r="H1363" t="b">
        <v>0</v>
      </c>
    </row>
    <row r="1364">
      <c r="A1364" t="inlineStr">
        <is>
          <t>S006</t>
        </is>
      </c>
      <c r="B1364" s="3" t="n">
        <v>46270</v>
      </c>
      <c r="C1364" t="n">
        <v>10</v>
      </c>
      <c r="D1364" t="inlineStr">
        <is>
          <t>Saturday</t>
        </is>
      </c>
      <c r="E1364" t="n">
        <v>22</v>
      </c>
      <c r="F1364" t="b">
        <v>0</v>
      </c>
      <c r="H1364" t="b">
        <v>0</v>
      </c>
    </row>
    <row r="1365">
      <c r="A1365" t="inlineStr">
        <is>
          <t>S006</t>
        </is>
      </c>
      <c r="B1365" s="3" t="n">
        <v>46270</v>
      </c>
      <c r="C1365" t="n">
        <v>11</v>
      </c>
      <c r="D1365" t="inlineStr">
        <is>
          <t>Saturday</t>
        </is>
      </c>
      <c r="E1365" t="n">
        <v>20</v>
      </c>
      <c r="F1365" t="b">
        <v>0</v>
      </c>
      <c r="G1365" t="inlineStr">
        <is>
          <t>Light</t>
        </is>
      </c>
      <c r="H1365" t="b">
        <v>0</v>
      </c>
    </row>
    <row r="1366">
      <c r="A1366" t="inlineStr">
        <is>
          <t>S006</t>
        </is>
      </c>
      <c r="B1366" s="3" t="n">
        <v>46270</v>
      </c>
      <c r="C1366" t="n">
        <v>12</v>
      </c>
      <c r="D1366" t="inlineStr">
        <is>
          <t>Saturday</t>
        </is>
      </c>
      <c r="E1366" t="n">
        <v>25</v>
      </c>
      <c r="F1366" t="b">
        <v>0</v>
      </c>
      <c r="H1366" t="b">
        <v>0</v>
      </c>
    </row>
    <row r="1367">
      <c r="A1367" t="inlineStr">
        <is>
          <t>S006</t>
        </is>
      </c>
      <c r="B1367" s="3" t="n">
        <v>46270</v>
      </c>
      <c r="C1367" t="n">
        <v>13</v>
      </c>
      <c r="D1367" t="inlineStr">
        <is>
          <t>Saturday</t>
        </is>
      </c>
      <c r="E1367" t="n">
        <v>24</v>
      </c>
      <c r="F1367" t="b">
        <v>0</v>
      </c>
      <c r="H1367" t="b">
        <v>0</v>
      </c>
    </row>
    <row r="1368">
      <c r="A1368" t="inlineStr">
        <is>
          <t>S006</t>
        </is>
      </c>
      <c r="B1368" s="3" t="n">
        <v>46270</v>
      </c>
      <c r="C1368" t="n">
        <v>14</v>
      </c>
      <c r="D1368" t="inlineStr">
        <is>
          <t>Saturday</t>
        </is>
      </c>
      <c r="E1368" t="n">
        <v>23</v>
      </c>
      <c r="F1368" t="b">
        <v>0</v>
      </c>
      <c r="H1368" t="b">
        <v>0</v>
      </c>
    </row>
    <row r="1369">
      <c r="A1369" t="inlineStr">
        <is>
          <t>S006</t>
        </is>
      </c>
      <c r="B1369" s="3" t="n">
        <v>46270</v>
      </c>
      <c r="C1369" t="n">
        <v>15</v>
      </c>
      <c r="D1369" t="inlineStr">
        <is>
          <t>Saturday</t>
        </is>
      </c>
      <c r="E1369" t="n">
        <v>23</v>
      </c>
      <c r="F1369" t="b">
        <v>0</v>
      </c>
      <c r="H1369" t="b">
        <v>0</v>
      </c>
    </row>
    <row r="1370">
      <c r="A1370" t="inlineStr">
        <is>
          <t>S006</t>
        </is>
      </c>
      <c r="B1370" s="3" t="n">
        <v>46270</v>
      </c>
      <c r="C1370" t="n">
        <v>16</v>
      </c>
      <c r="D1370" t="inlineStr">
        <is>
          <t>Saturday</t>
        </is>
      </c>
      <c r="E1370" t="n">
        <v>21</v>
      </c>
      <c r="F1370" t="b">
        <v>0</v>
      </c>
      <c r="H1370" t="b">
        <v>0</v>
      </c>
    </row>
    <row r="1371">
      <c r="A1371" t="inlineStr">
        <is>
          <t>S006</t>
        </is>
      </c>
      <c r="B1371" s="3" t="n">
        <v>46270</v>
      </c>
      <c r="C1371" t="n">
        <v>17</v>
      </c>
      <c r="D1371" t="inlineStr">
        <is>
          <t>Saturday</t>
        </is>
      </c>
      <c r="E1371" t="n">
        <v>22</v>
      </c>
      <c r="F1371" t="b">
        <v>0</v>
      </c>
      <c r="H1371" t="b">
        <v>0</v>
      </c>
    </row>
    <row r="1372">
      <c r="A1372" t="inlineStr">
        <is>
          <t>S006</t>
        </is>
      </c>
      <c r="B1372" s="3" t="n">
        <v>46270</v>
      </c>
      <c r="C1372" t="n">
        <v>18</v>
      </c>
      <c r="D1372" t="inlineStr">
        <is>
          <t>Saturday</t>
        </is>
      </c>
      <c r="E1372" t="n">
        <v>29</v>
      </c>
      <c r="F1372" t="b">
        <v>0</v>
      </c>
      <c r="H1372" t="b">
        <v>0</v>
      </c>
    </row>
    <row r="1373">
      <c r="A1373" t="inlineStr">
        <is>
          <t>S006</t>
        </is>
      </c>
      <c r="B1373" s="3" t="n">
        <v>46270</v>
      </c>
      <c r="C1373" t="n">
        <v>19</v>
      </c>
      <c r="D1373" t="inlineStr">
        <is>
          <t>Saturday</t>
        </is>
      </c>
      <c r="E1373" t="n">
        <v>44</v>
      </c>
      <c r="F1373" t="b">
        <v>1</v>
      </c>
      <c r="H1373" t="b">
        <v>0</v>
      </c>
    </row>
    <row r="1374">
      <c r="A1374" t="inlineStr">
        <is>
          <t>S006</t>
        </is>
      </c>
      <c r="B1374" s="3" t="n">
        <v>46270</v>
      </c>
      <c r="C1374" t="n">
        <v>20</v>
      </c>
      <c r="D1374" t="inlineStr">
        <is>
          <t>Saturday</t>
        </is>
      </c>
      <c r="E1374" t="n">
        <v>41</v>
      </c>
      <c r="F1374" t="b">
        <v>1</v>
      </c>
      <c r="H1374" t="b">
        <v>0</v>
      </c>
    </row>
    <row r="1375">
      <c r="A1375" t="inlineStr">
        <is>
          <t>S006</t>
        </is>
      </c>
      <c r="B1375" s="3" t="n">
        <v>46270</v>
      </c>
      <c r="C1375" t="n">
        <v>21</v>
      </c>
      <c r="D1375" t="inlineStr">
        <is>
          <t>Saturday</t>
        </is>
      </c>
      <c r="E1375" t="n">
        <v>39</v>
      </c>
      <c r="F1375" t="b">
        <v>1</v>
      </c>
      <c r="G1375" t="inlineStr">
        <is>
          <t>Heavy</t>
        </is>
      </c>
      <c r="H1375" t="b">
        <v>0</v>
      </c>
    </row>
    <row r="1376">
      <c r="A1376" t="inlineStr">
        <is>
          <t>S006</t>
        </is>
      </c>
      <c r="B1376" s="3" t="n">
        <v>46270</v>
      </c>
      <c r="C1376" t="n">
        <v>22</v>
      </c>
      <c r="D1376" t="inlineStr">
        <is>
          <t>Saturday</t>
        </is>
      </c>
      <c r="E1376" t="n">
        <v>27</v>
      </c>
      <c r="F1376" t="b">
        <v>0</v>
      </c>
      <c r="H1376" t="b">
        <v>0</v>
      </c>
    </row>
    <row r="1377">
      <c r="A1377" t="inlineStr">
        <is>
          <t>S006</t>
        </is>
      </c>
      <c r="B1377" s="3" t="n">
        <v>46270</v>
      </c>
      <c r="C1377" t="n">
        <v>23</v>
      </c>
      <c r="D1377" t="inlineStr">
        <is>
          <t>Saturday</t>
        </is>
      </c>
      <c r="E1377" t="n">
        <v>31</v>
      </c>
      <c r="F1377" t="b">
        <v>0</v>
      </c>
      <c r="H1377" t="b">
        <v>0</v>
      </c>
    </row>
    <row r="1378">
      <c r="A1378" t="inlineStr">
        <is>
          <t>S007</t>
        </is>
      </c>
      <c r="B1378" s="3" t="n">
        <v>46270</v>
      </c>
      <c r="C1378" t="n">
        <v>8</v>
      </c>
      <c r="D1378" t="inlineStr">
        <is>
          <t>Saturday</t>
        </is>
      </c>
      <c r="E1378" t="n">
        <v>18</v>
      </c>
      <c r="F1378" t="b">
        <v>0</v>
      </c>
      <c r="H1378" t="b">
        <v>0</v>
      </c>
    </row>
    <row r="1379">
      <c r="A1379" t="inlineStr">
        <is>
          <t>S007</t>
        </is>
      </c>
      <c r="B1379" s="3" t="n">
        <v>46270</v>
      </c>
      <c r="C1379" t="n">
        <v>9</v>
      </c>
      <c r="D1379" t="inlineStr">
        <is>
          <t>Saturday</t>
        </is>
      </c>
      <c r="E1379" t="n">
        <v>18</v>
      </c>
      <c r="F1379" t="b">
        <v>0</v>
      </c>
      <c r="H1379" t="b">
        <v>0</v>
      </c>
    </row>
    <row r="1380">
      <c r="A1380" t="inlineStr">
        <is>
          <t>S007</t>
        </is>
      </c>
      <c r="B1380" s="3" t="n">
        <v>46270</v>
      </c>
      <c r="C1380" t="n">
        <v>10</v>
      </c>
      <c r="D1380" t="inlineStr">
        <is>
          <t>Saturday</t>
        </is>
      </c>
      <c r="E1380" t="n">
        <v>30</v>
      </c>
      <c r="F1380" t="b">
        <v>0</v>
      </c>
      <c r="H1380" t="b">
        <v>0</v>
      </c>
    </row>
    <row r="1381">
      <c r="A1381" t="inlineStr">
        <is>
          <t>S007</t>
        </is>
      </c>
      <c r="B1381" s="3" t="n">
        <v>46270</v>
      </c>
      <c r="C1381" t="n">
        <v>11</v>
      </c>
      <c r="D1381" t="inlineStr">
        <is>
          <t>Saturday</t>
        </is>
      </c>
      <c r="E1381" t="n">
        <v>44</v>
      </c>
      <c r="F1381" t="b">
        <v>0</v>
      </c>
      <c r="H1381" t="b">
        <v>0</v>
      </c>
    </row>
    <row r="1382">
      <c r="A1382" t="inlineStr">
        <is>
          <t>S007</t>
        </is>
      </c>
      <c r="B1382" s="3" t="n">
        <v>46270</v>
      </c>
      <c r="C1382" t="n">
        <v>12</v>
      </c>
      <c r="D1382" t="inlineStr">
        <is>
          <t>Saturday</t>
        </is>
      </c>
      <c r="E1382" t="n">
        <v>40</v>
      </c>
      <c r="F1382" t="b">
        <v>0</v>
      </c>
      <c r="G1382" t="inlineStr">
        <is>
          <t>Light</t>
        </is>
      </c>
      <c r="H1382" t="b">
        <v>0</v>
      </c>
    </row>
    <row r="1383">
      <c r="A1383" t="inlineStr">
        <is>
          <t>S007</t>
        </is>
      </c>
      <c r="B1383" s="3" t="n">
        <v>46270</v>
      </c>
      <c r="C1383" t="n">
        <v>13</v>
      </c>
      <c r="D1383" t="inlineStr">
        <is>
          <t>Saturday</t>
        </is>
      </c>
      <c r="E1383" t="n">
        <v>38</v>
      </c>
      <c r="F1383" t="b">
        <v>0</v>
      </c>
      <c r="H1383" t="b">
        <v>0</v>
      </c>
    </row>
    <row r="1384">
      <c r="A1384" t="inlineStr">
        <is>
          <t>S007</t>
        </is>
      </c>
      <c r="B1384" s="3" t="n">
        <v>46270</v>
      </c>
      <c r="C1384" t="n">
        <v>14</v>
      </c>
      <c r="D1384" t="inlineStr">
        <is>
          <t>Saturday</t>
        </is>
      </c>
      <c r="E1384" t="n">
        <v>28</v>
      </c>
      <c r="F1384" t="b">
        <v>0</v>
      </c>
      <c r="G1384" t="inlineStr">
        <is>
          <t>Heavy</t>
        </is>
      </c>
      <c r="H1384" t="b">
        <v>0</v>
      </c>
    </row>
    <row r="1385">
      <c r="A1385" t="inlineStr">
        <is>
          <t>S007</t>
        </is>
      </c>
      <c r="B1385" s="3" t="n">
        <v>46270</v>
      </c>
      <c r="C1385" t="n">
        <v>15</v>
      </c>
      <c r="D1385" t="inlineStr">
        <is>
          <t>Saturday</t>
        </is>
      </c>
      <c r="E1385" t="n">
        <v>27</v>
      </c>
      <c r="F1385" t="b">
        <v>0</v>
      </c>
      <c r="H1385" t="b">
        <v>0</v>
      </c>
    </row>
    <row r="1386">
      <c r="A1386" t="inlineStr">
        <is>
          <t>S007</t>
        </is>
      </c>
      <c r="B1386" s="3" t="n">
        <v>46270</v>
      </c>
      <c r="C1386" t="n">
        <v>16</v>
      </c>
      <c r="D1386" t="inlineStr">
        <is>
          <t>Saturday</t>
        </is>
      </c>
      <c r="E1386" t="n">
        <v>44</v>
      </c>
      <c r="F1386" t="b">
        <v>0</v>
      </c>
      <c r="G1386" t="inlineStr">
        <is>
          <t>Light</t>
        </is>
      </c>
      <c r="H1386" t="b">
        <v>0</v>
      </c>
    </row>
    <row r="1387">
      <c r="A1387" t="inlineStr">
        <is>
          <t>S007</t>
        </is>
      </c>
      <c r="B1387" s="3" t="n">
        <v>46270</v>
      </c>
      <c r="C1387" t="n">
        <v>17</v>
      </c>
      <c r="D1387" t="inlineStr">
        <is>
          <t>Saturday</t>
        </is>
      </c>
      <c r="E1387" t="n">
        <v>35</v>
      </c>
      <c r="F1387" t="b">
        <v>0</v>
      </c>
      <c r="G1387" t="inlineStr">
        <is>
          <t>Light</t>
        </is>
      </c>
      <c r="H1387" t="b">
        <v>0</v>
      </c>
    </row>
    <row r="1388">
      <c r="A1388" t="inlineStr">
        <is>
          <t>S007</t>
        </is>
      </c>
      <c r="B1388" s="3" t="n">
        <v>46270</v>
      </c>
      <c r="C1388" t="n">
        <v>18</v>
      </c>
      <c r="D1388" t="inlineStr">
        <is>
          <t>Saturday</t>
        </is>
      </c>
      <c r="E1388" t="n">
        <v>40</v>
      </c>
      <c r="F1388" t="b">
        <v>0</v>
      </c>
      <c r="G1388" t="inlineStr">
        <is>
          <t>Light</t>
        </is>
      </c>
      <c r="H1388" t="b">
        <v>0</v>
      </c>
    </row>
    <row r="1389">
      <c r="A1389" t="inlineStr">
        <is>
          <t>S007</t>
        </is>
      </c>
      <c r="B1389" s="3" t="n">
        <v>46270</v>
      </c>
      <c r="C1389" t="n">
        <v>19</v>
      </c>
      <c r="D1389" t="inlineStr">
        <is>
          <t>Saturday</t>
        </is>
      </c>
      <c r="E1389" t="n">
        <v>57</v>
      </c>
      <c r="F1389" t="b">
        <v>1</v>
      </c>
      <c r="G1389" t="inlineStr">
        <is>
          <t>Heavy</t>
        </is>
      </c>
      <c r="H1389" t="b">
        <v>0</v>
      </c>
    </row>
    <row r="1390">
      <c r="A1390" t="inlineStr">
        <is>
          <t>S007</t>
        </is>
      </c>
      <c r="B1390" s="3" t="n">
        <v>46270</v>
      </c>
      <c r="C1390" t="n">
        <v>20</v>
      </c>
      <c r="D1390" t="inlineStr">
        <is>
          <t>Saturday</t>
        </is>
      </c>
      <c r="E1390" t="n">
        <v>45</v>
      </c>
      <c r="F1390" t="b">
        <v>1</v>
      </c>
      <c r="H1390" t="b">
        <v>0</v>
      </c>
    </row>
    <row r="1391">
      <c r="A1391" t="inlineStr">
        <is>
          <t>S007</t>
        </is>
      </c>
      <c r="B1391" s="3" t="n">
        <v>46270</v>
      </c>
      <c r="C1391" t="n">
        <v>21</v>
      </c>
      <c r="D1391" t="inlineStr">
        <is>
          <t>Saturday</t>
        </is>
      </c>
      <c r="E1391" t="n">
        <v>67</v>
      </c>
      <c r="F1391" t="b">
        <v>1</v>
      </c>
      <c r="H1391" t="b">
        <v>0</v>
      </c>
    </row>
    <row r="1392">
      <c r="A1392" t="inlineStr">
        <is>
          <t>S007</t>
        </is>
      </c>
      <c r="B1392" s="3" t="n">
        <v>46270</v>
      </c>
      <c r="C1392" t="n">
        <v>22</v>
      </c>
      <c r="D1392" t="inlineStr">
        <is>
          <t>Saturday</t>
        </is>
      </c>
      <c r="E1392" t="n">
        <v>30</v>
      </c>
      <c r="F1392" t="b">
        <v>0</v>
      </c>
      <c r="H1392" t="b">
        <v>0</v>
      </c>
    </row>
    <row r="1393">
      <c r="A1393" t="inlineStr">
        <is>
          <t>S007</t>
        </is>
      </c>
      <c r="B1393" s="3" t="n">
        <v>46270</v>
      </c>
      <c r="C1393" t="n">
        <v>23</v>
      </c>
      <c r="D1393" t="inlineStr">
        <is>
          <t>Saturday</t>
        </is>
      </c>
      <c r="E1393" t="n">
        <v>35</v>
      </c>
      <c r="F1393" t="b">
        <v>0</v>
      </c>
      <c r="G1393" t="inlineStr">
        <is>
          <t>Light</t>
        </is>
      </c>
      <c r="H1393" t="b">
        <v>0</v>
      </c>
    </row>
    <row r="1394">
      <c r="A1394" t="inlineStr">
        <is>
          <t>S008</t>
        </is>
      </c>
      <c r="B1394" s="3" t="n">
        <v>46270</v>
      </c>
      <c r="C1394" t="n">
        <v>8</v>
      </c>
      <c r="D1394" t="inlineStr">
        <is>
          <t>Saturday</t>
        </is>
      </c>
      <c r="E1394" t="n">
        <v>20</v>
      </c>
      <c r="F1394" t="b">
        <v>0</v>
      </c>
      <c r="G1394" t="inlineStr">
        <is>
          <t>Light</t>
        </is>
      </c>
      <c r="H1394" t="b">
        <v>0</v>
      </c>
    </row>
    <row r="1395">
      <c r="A1395" t="inlineStr">
        <is>
          <t>S008</t>
        </is>
      </c>
      <c r="B1395" s="3" t="n">
        <v>46270</v>
      </c>
      <c r="C1395" t="n">
        <v>9</v>
      </c>
      <c r="D1395" t="inlineStr">
        <is>
          <t>Saturday</t>
        </is>
      </c>
      <c r="E1395" t="n">
        <v>23</v>
      </c>
      <c r="F1395" t="b">
        <v>0</v>
      </c>
      <c r="G1395" t="inlineStr">
        <is>
          <t>Light</t>
        </is>
      </c>
      <c r="H1395" t="b">
        <v>0</v>
      </c>
    </row>
    <row r="1396">
      <c r="A1396" t="inlineStr">
        <is>
          <t>S008</t>
        </is>
      </c>
      <c r="B1396" s="3" t="n">
        <v>46270</v>
      </c>
      <c r="C1396" t="n">
        <v>10</v>
      </c>
      <c r="D1396" t="inlineStr">
        <is>
          <t>Saturday</t>
        </is>
      </c>
      <c r="E1396" t="n">
        <v>13</v>
      </c>
      <c r="F1396" t="b">
        <v>0</v>
      </c>
      <c r="H1396" t="b">
        <v>0</v>
      </c>
    </row>
    <row r="1397">
      <c r="A1397" t="inlineStr">
        <is>
          <t>S008</t>
        </is>
      </c>
      <c r="B1397" s="3" t="n">
        <v>46270</v>
      </c>
      <c r="C1397" t="n">
        <v>11</v>
      </c>
      <c r="D1397" t="inlineStr">
        <is>
          <t>Saturday</t>
        </is>
      </c>
      <c r="E1397" t="n">
        <v>31</v>
      </c>
      <c r="F1397" t="b">
        <v>0</v>
      </c>
      <c r="H1397" t="b">
        <v>0</v>
      </c>
    </row>
    <row r="1398">
      <c r="A1398" t="inlineStr">
        <is>
          <t>S008</t>
        </is>
      </c>
      <c r="B1398" s="3" t="n">
        <v>46270</v>
      </c>
      <c r="C1398" t="n">
        <v>12</v>
      </c>
      <c r="D1398" t="inlineStr">
        <is>
          <t>Saturday</t>
        </is>
      </c>
      <c r="E1398" t="n">
        <v>28</v>
      </c>
      <c r="F1398" t="b">
        <v>0</v>
      </c>
      <c r="H1398" t="b">
        <v>1</v>
      </c>
    </row>
    <row r="1399">
      <c r="A1399" t="inlineStr">
        <is>
          <t>S008</t>
        </is>
      </c>
      <c r="B1399" s="3" t="n">
        <v>46270</v>
      </c>
      <c r="C1399" t="n">
        <v>13</v>
      </c>
      <c r="D1399" t="inlineStr">
        <is>
          <t>Saturday</t>
        </is>
      </c>
      <c r="E1399" t="n">
        <v>24</v>
      </c>
      <c r="F1399" t="b">
        <v>0</v>
      </c>
      <c r="H1399" t="b">
        <v>0</v>
      </c>
    </row>
    <row r="1400">
      <c r="A1400" t="inlineStr">
        <is>
          <t>S008</t>
        </is>
      </c>
      <c r="B1400" s="3" t="n">
        <v>46270</v>
      </c>
      <c r="C1400" t="n">
        <v>14</v>
      </c>
      <c r="D1400" t="inlineStr">
        <is>
          <t>Saturday</t>
        </is>
      </c>
      <c r="E1400" t="n">
        <v>16</v>
      </c>
      <c r="F1400" t="b">
        <v>0</v>
      </c>
      <c r="H1400" t="b">
        <v>0</v>
      </c>
    </row>
    <row r="1401">
      <c r="A1401" t="inlineStr">
        <is>
          <t>S008</t>
        </is>
      </c>
      <c r="B1401" s="3" t="n">
        <v>46270</v>
      </c>
      <c r="C1401" t="n">
        <v>15</v>
      </c>
      <c r="D1401" t="inlineStr">
        <is>
          <t>Saturday</t>
        </is>
      </c>
      <c r="E1401" t="n">
        <v>17</v>
      </c>
      <c r="F1401" t="b">
        <v>0</v>
      </c>
      <c r="H1401" t="b">
        <v>0</v>
      </c>
    </row>
    <row r="1402">
      <c r="A1402" t="inlineStr">
        <is>
          <t>S008</t>
        </is>
      </c>
      <c r="B1402" s="3" t="n">
        <v>46270</v>
      </c>
      <c r="C1402" t="n">
        <v>16</v>
      </c>
      <c r="D1402" t="inlineStr">
        <is>
          <t>Saturday</t>
        </is>
      </c>
      <c r="E1402" t="n">
        <v>17</v>
      </c>
      <c r="F1402" t="b">
        <v>0</v>
      </c>
      <c r="G1402" t="inlineStr">
        <is>
          <t>Light</t>
        </is>
      </c>
      <c r="H1402" t="b">
        <v>0</v>
      </c>
    </row>
    <row r="1403">
      <c r="A1403" t="inlineStr">
        <is>
          <t>S008</t>
        </is>
      </c>
      <c r="B1403" s="3" t="n">
        <v>46270</v>
      </c>
      <c r="C1403" t="n">
        <v>17</v>
      </c>
      <c r="D1403" t="inlineStr">
        <is>
          <t>Saturday</t>
        </is>
      </c>
      <c r="E1403" t="n">
        <v>19</v>
      </c>
      <c r="F1403" t="b">
        <v>0</v>
      </c>
      <c r="H1403" t="b">
        <v>0</v>
      </c>
    </row>
    <row r="1404">
      <c r="A1404" t="inlineStr">
        <is>
          <t>S008</t>
        </is>
      </c>
      <c r="B1404" s="3" t="n">
        <v>46270</v>
      </c>
      <c r="C1404" t="n">
        <v>18</v>
      </c>
      <c r="D1404" t="inlineStr">
        <is>
          <t>Saturday</t>
        </is>
      </c>
      <c r="E1404" t="n">
        <v>21</v>
      </c>
      <c r="F1404" t="b">
        <v>0</v>
      </c>
      <c r="G1404" t="inlineStr">
        <is>
          <t>Light</t>
        </is>
      </c>
      <c r="H1404" t="b">
        <v>0</v>
      </c>
    </row>
    <row r="1405">
      <c r="A1405" t="inlineStr">
        <is>
          <t>S008</t>
        </is>
      </c>
      <c r="B1405" s="3" t="n">
        <v>46270</v>
      </c>
      <c r="C1405" t="n">
        <v>19</v>
      </c>
      <c r="D1405" t="inlineStr">
        <is>
          <t>Saturday</t>
        </is>
      </c>
      <c r="E1405" t="n">
        <v>30</v>
      </c>
      <c r="F1405" t="b">
        <v>1</v>
      </c>
      <c r="H1405" t="b">
        <v>0</v>
      </c>
    </row>
    <row r="1406">
      <c r="A1406" t="inlineStr">
        <is>
          <t>S008</t>
        </is>
      </c>
      <c r="B1406" s="3" t="n">
        <v>46270</v>
      </c>
      <c r="C1406" t="n">
        <v>20</v>
      </c>
      <c r="D1406" t="inlineStr">
        <is>
          <t>Saturday</t>
        </is>
      </c>
      <c r="E1406" t="n">
        <v>49</v>
      </c>
      <c r="F1406" t="b">
        <v>1</v>
      </c>
      <c r="G1406" t="inlineStr">
        <is>
          <t>Light</t>
        </is>
      </c>
      <c r="H1406" t="b">
        <v>0</v>
      </c>
    </row>
    <row r="1407">
      <c r="A1407" t="inlineStr">
        <is>
          <t>S008</t>
        </is>
      </c>
      <c r="B1407" s="3" t="n">
        <v>46270</v>
      </c>
      <c r="C1407" t="n">
        <v>21</v>
      </c>
      <c r="D1407" t="inlineStr">
        <is>
          <t>Saturday</t>
        </is>
      </c>
      <c r="E1407" t="n">
        <v>34</v>
      </c>
      <c r="F1407" t="b">
        <v>1</v>
      </c>
      <c r="H1407" t="b">
        <v>0</v>
      </c>
    </row>
    <row r="1408">
      <c r="A1408" t="inlineStr">
        <is>
          <t>S008</t>
        </is>
      </c>
      <c r="B1408" s="3" t="n">
        <v>46270</v>
      </c>
      <c r="C1408" t="n">
        <v>22</v>
      </c>
      <c r="D1408" t="inlineStr">
        <is>
          <t>Saturday</t>
        </is>
      </c>
      <c r="E1408" t="n">
        <v>29</v>
      </c>
      <c r="F1408" t="b">
        <v>0</v>
      </c>
      <c r="H1408" t="b">
        <v>1</v>
      </c>
    </row>
    <row r="1409">
      <c r="A1409" t="inlineStr">
        <is>
          <t>S008</t>
        </is>
      </c>
      <c r="B1409" s="3" t="n">
        <v>46270</v>
      </c>
      <c r="C1409" t="n">
        <v>23</v>
      </c>
      <c r="D1409" t="inlineStr">
        <is>
          <t>Saturday</t>
        </is>
      </c>
      <c r="E1409" t="n">
        <v>27</v>
      </c>
      <c r="F1409" t="b">
        <v>0</v>
      </c>
      <c r="H1409" t="b">
        <v>0</v>
      </c>
    </row>
    <row r="1410">
      <c r="A1410" t="inlineStr">
        <is>
          <t>S009</t>
        </is>
      </c>
      <c r="B1410" s="3" t="n">
        <v>46270</v>
      </c>
      <c r="C1410" t="n">
        <v>8</v>
      </c>
      <c r="D1410" t="inlineStr">
        <is>
          <t>Saturday</t>
        </is>
      </c>
      <c r="E1410" t="n">
        <v>23</v>
      </c>
      <c r="F1410" t="b">
        <v>0</v>
      </c>
      <c r="G1410" t="inlineStr">
        <is>
          <t>Light</t>
        </is>
      </c>
      <c r="H1410" t="b">
        <v>0</v>
      </c>
    </row>
    <row r="1411">
      <c r="A1411" t="inlineStr">
        <is>
          <t>S009</t>
        </is>
      </c>
      <c r="B1411" s="3" t="n">
        <v>46270</v>
      </c>
      <c r="C1411" t="n">
        <v>9</v>
      </c>
      <c r="D1411" t="inlineStr">
        <is>
          <t>Saturday</t>
        </is>
      </c>
      <c r="E1411" t="n">
        <v>26</v>
      </c>
      <c r="F1411" t="b">
        <v>0</v>
      </c>
      <c r="H1411" t="b">
        <v>0</v>
      </c>
    </row>
    <row r="1412">
      <c r="A1412" t="inlineStr">
        <is>
          <t>S009</t>
        </is>
      </c>
      <c r="B1412" s="3" t="n">
        <v>46270</v>
      </c>
      <c r="C1412" t="n">
        <v>10</v>
      </c>
      <c r="D1412" t="inlineStr">
        <is>
          <t>Saturday</t>
        </is>
      </c>
      <c r="E1412" t="n">
        <v>28</v>
      </c>
      <c r="F1412" t="b">
        <v>0</v>
      </c>
      <c r="H1412" t="b">
        <v>0</v>
      </c>
    </row>
    <row r="1413">
      <c r="A1413" t="inlineStr">
        <is>
          <t>S009</t>
        </is>
      </c>
      <c r="B1413" s="3" t="n">
        <v>46270</v>
      </c>
      <c r="C1413" t="n">
        <v>11</v>
      </c>
      <c r="D1413" t="inlineStr">
        <is>
          <t>Saturday</t>
        </is>
      </c>
      <c r="E1413" t="n">
        <v>20</v>
      </c>
      <c r="F1413" t="b">
        <v>0</v>
      </c>
      <c r="G1413" t="inlineStr">
        <is>
          <t>Light</t>
        </is>
      </c>
      <c r="H1413" t="b">
        <v>0</v>
      </c>
    </row>
    <row r="1414">
      <c r="A1414" t="inlineStr">
        <is>
          <t>S009</t>
        </is>
      </c>
      <c r="B1414" s="3" t="n">
        <v>46270</v>
      </c>
      <c r="C1414" t="n">
        <v>12</v>
      </c>
      <c r="D1414" t="inlineStr">
        <is>
          <t>Saturday</t>
        </is>
      </c>
      <c r="E1414" t="n">
        <v>30</v>
      </c>
      <c r="F1414" t="b">
        <v>0</v>
      </c>
      <c r="H1414" t="b">
        <v>0</v>
      </c>
    </row>
    <row r="1415">
      <c r="A1415" t="inlineStr">
        <is>
          <t>S009</t>
        </is>
      </c>
      <c r="B1415" s="3" t="n">
        <v>46270</v>
      </c>
      <c r="C1415" t="n">
        <v>13</v>
      </c>
      <c r="D1415" t="inlineStr">
        <is>
          <t>Saturday</t>
        </is>
      </c>
      <c r="E1415" t="n">
        <v>31</v>
      </c>
      <c r="F1415" t="b">
        <v>0</v>
      </c>
      <c r="H1415" t="b">
        <v>0</v>
      </c>
    </row>
    <row r="1416">
      <c r="A1416" t="inlineStr">
        <is>
          <t>S009</t>
        </is>
      </c>
      <c r="B1416" s="3" t="n">
        <v>46270</v>
      </c>
      <c r="C1416" t="n">
        <v>14</v>
      </c>
      <c r="D1416" t="inlineStr">
        <is>
          <t>Saturday</t>
        </is>
      </c>
      <c r="E1416" t="n">
        <v>22</v>
      </c>
      <c r="F1416" t="b">
        <v>0</v>
      </c>
      <c r="H1416" t="b">
        <v>0</v>
      </c>
    </row>
    <row r="1417">
      <c r="A1417" t="inlineStr">
        <is>
          <t>S009</t>
        </is>
      </c>
      <c r="B1417" s="3" t="n">
        <v>46270</v>
      </c>
      <c r="C1417" t="n">
        <v>15</v>
      </c>
      <c r="D1417" t="inlineStr">
        <is>
          <t>Saturday</t>
        </is>
      </c>
      <c r="E1417" t="n">
        <v>18</v>
      </c>
      <c r="F1417" t="b">
        <v>0</v>
      </c>
      <c r="H1417" t="b">
        <v>0</v>
      </c>
    </row>
    <row r="1418">
      <c r="A1418" t="inlineStr">
        <is>
          <t>S009</t>
        </is>
      </c>
      <c r="B1418" s="3" t="n">
        <v>46270</v>
      </c>
      <c r="C1418" t="n">
        <v>16</v>
      </c>
      <c r="D1418" t="inlineStr">
        <is>
          <t>Saturday</t>
        </is>
      </c>
      <c r="E1418" t="n">
        <v>40</v>
      </c>
      <c r="F1418" t="b">
        <v>0</v>
      </c>
      <c r="H1418" t="b">
        <v>0</v>
      </c>
    </row>
    <row r="1419">
      <c r="A1419" t="inlineStr">
        <is>
          <t>S009</t>
        </is>
      </c>
      <c r="B1419" s="3" t="n">
        <v>46270</v>
      </c>
      <c r="C1419" t="n">
        <v>17</v>
      </c>
      <c r="D1419" t="inlineStr">
        <is>
          <t>Saturday</t>
        </is>
      </c>
      <c r="E1419" t="n">
        <v>33</v>
      </c>
      <c r="F1419" t="b">
        <v>0</v>
      </c>
      <c r="H1419" t="b">
        <v>0</v>
      </c>
    </row>
    <row r="1420">
      <c r="A1420" t="inlineStr">
        <is>
          <t>S009</t>
        </is>
      </c>
      <c r="B1420" s="3" t="n">
        <v>46270</v>
      </c>
      <c r="C1420" t="n">
        <v>18</v>
      </c>
      <c r="D1420" t="inlineStr">
        <is>
          <t>Saturday</t>
        </is>
      </c>
      <c r="E1420" t="n">
        <v>30</v>
      </c>
      <c r="F1420" t="b">
        <v>0</v>
      </c>
      <c r="G1420" t="inlineStr">
        <is>
          <t>Light</t>
        </is>
      </c>
      <c r="H1420" t="b">
        <v>0</v>
      </c>
    </row>
    <row r="1421">
      <c r="A1421" t="inlineStr">
        <is>
          <t>S009</t>
        </is>
      </c>
      <c r="B1421" s="3" t="n">
        <v>46270</v>
      </c>
      <c r="C1421" t="n">
        <v>19</v>
      </c>
      <c r="D1421" t="inlineStr">
        <is>
          <t>Saturday</t>
        </is>
      </c>
      <c r="E1421" t="n">
        <v>49</v>
      </c>
      <c r="F1421" t="b">
        <v>1</v>
      </c>
      <c r="G1421" t="inlineStr">
        <is>
          <t>Light</t>
        </is>
      </c>
      <c r="H1421" t="b">
        <v>0</v>
      </c>
    </row>
    <row r="1422">
      <c r="A1422" t="inlineStr">
        <is>
          <t>S009</t>
        </is>
      </c>
      <c r="B1422" s="3" t="n">
        <v>46270</v>
      </c>
      <c r="C1422" t="n">
        <v>20</v>
      </c>
      <c r="D1422" t="inlineStr">
        <is>
          <t>Saturday</t>
        </is>
      </c>
      <c r="E1422" t="n">
        <v>51</v>
      </c>
      <c r="F1422" t="b">
        <v>1</v>
      </c>
      <c r="G1422" t="inlineStr">
        <is>
          <t>Heavy</t>
        </is>
      </c>
      <c r="H1422" t="b">
        <v>0</v>
      </c>
    </row>
    <row r="1423">
      <c r="A1423" t="inlineStr">
        <is>
          <t>S009</t>
        </is>
      </c>
      <c r="B1423" s="3" t="n">
        <v>46270</v>
      </c>
      <c r="C1423" t="n">
        <v>21</v>
      </c>
      <c r="D1423" t="inlineStr">
        <is>
          <t>Saturday</t>
        </is>
      </c>
      <c r="E1423" t="n">
        <v>54</v>
      </c>
      <c r="F1423" t="b">
        <v>1</v>
      </c>
      <c r="G1423" t="inlineStr">
        <is>
          <t>Heavy</t>
        </is>
      </c>
      <c r="H1423" t="b">
        <v>0</v>
      </c>
    </row>
    <row r="1424">
      <c r="A1424" t="inlineStr">
        <is>
          <t>S009</t>
        </is>
      </c>
      <c r="B1424" s="3" t="n">
        <v>46270</v>
      </c>
      <c r="C1424" t="n">
        <v>22</v>
      </c>
      <c r="D1424" t="inlineStr">
        <is>
          <t>Saturday</t>
        </is>
      </c>
      <c r="E1424" t="n">
        <v>36</v>
      </c>
      <c r="F1424" t="b">
        <v>0</v>
      </c>
      <c r="H1424" t="b">
        <v>0</v>
      </c>
    </row>
    <row r="1425">
      <c r="A1425" t="inlineStr">
        <is>
          <t>S009</t>
        </is>
      </c>
      <c r="B1425" s="3" t="n">
        <v>46270</v>
      </c>
      <c r="C1425" t="n">
        <v>23</v>
      </c>
      <c r="D1425" t="inlineStr">
        <is>
          <t>Saturday</t>
        </is>
      </c>
      <c r="E1425" t="n">
        <v>24</v>
      </c>
      <c r="F1425" t="b">
        <v>0</v>
      </c>
      <c r="G1425" t="inlineStr">
        <is>
          <t>Heavy</t>
        </is>
      </c>
      <c r="H1425" t="b">
        <v>0</v>
      </c>
    </row>
    <row r="1426">
      <c r="A1426" t="inlineStr">
        <is>
          <t>S010</t>
        </is>
      </c>
      <c r="B1426" s="3" t="n">
        <v>46270</v>
      </c>
      <c r="C1426" t="n">
        <v>8</v>
      </c>
      <c r="D1426" t="inlineStr">
        <is>
          <t>Saturday</t>
        </is>
      </c>
      <c r="E1426" t="n">
        <v>19</v>
      </c>
      <c r="F1426" t="b">
        <v>0</v>
      </c>
      <c r="H1426" t="b">
        <v>0</v>
      </c>
    </row>
    <row r="1427">
      <c r="A1427" t="inlineStr">
        <is>
          <t>S010</t>
        </is>
      </c>
      <c r="B1427" s="3" t="n">
        <v>46270</v>
      </c>
      <c r="C1427" t="n">
        <v>9</v>
      </c>
      <c r="D1427" t="inlineStr">
        <is>
          <t>Saturday</t>
        </is>
      </c>
      <c r="E1427" t="n">
        <v>15</v>
      </c>
      <c r="F1427" t="b">
        <v>0</v>
      </c>
      <c r="H1427" t="b">
        <v>0</v>
      </c>
    </row>
    <row r="1428">
      <c r="A1428" t="inlineStr">
        <is>
          <t>S010</t>
        </is>
      </c>
      <c r="B1428" s="3" t="n">
        <v>46270</v>
      </c>
      <c r="C1428" t="n">
        <v>10</v>
      </c>
      <c r="D1428" t="inlineStr">
        <is>
          <t>Saturday</t>
        </is>
      </c>
      <c r="E1428" t="n">
        <v>21</v>
      </c>
      <c r="F1428" t="b">
        <v>0</v>
      </c>
      <c r="H1428" t="b">
        <v>0</v>
      </c>
    </row>
    <row r="1429">
      <c r="A1429" t="inlineStr">
        <is>
          <t>S010</t>
        </is>
      </c>
      <c r="B1429" s="3" t="n">
        <v>46270</v>
      </c>
      <c r="C1429" t="n">
        <v>11</v>
      </c>
      <c r="D1429" t="inlineStr">
        <is>
          <t>Saturday</t>
        </is>
      </c>
      <c r="E1429" t="n">
        <v>25</v>
      </c>
      <c r="F1429" t="b">
        <v>0</v>
      </c>
      <c r="H1429" t="b">
        <v>0</v>
      </c>
    </row>
    <row r="1430">
      <c r="A1430" t="inlineStr">
        <is>
          <t>S010</t>
        </is>
      </c>
      <c r="B1430" s="3" t="n">
        <v>46270</v>
      </c>
      <c r="C1430" t="n">
        <v>12</v>
      </c>
      <c r="D1430" t="inlineStr">
        <is>
          <t>Saturday</t>
        </is>
      </c>
      <c r="E1430" t="n">
        <v>24</v>
      </c>
      <c r="F1430" t="b">
        <v>0</v>
      </c>
      <c r="H1430" t="b">
        <v>0</v>
      </c>
    </row>
    <row r="1431">
      <c r="A1431" t="inlineStr">
        <is>
          <t>S010</t>
        </is>
      </c>
      <c r="B1431" s="3" t="n">
        <v>46270</v>
      </c>
      <c r="C1431" t="n">
        <v>13</v>
      </c>
      <c r="D1431" t="inlineStr">
        <is>
          <t>Saturday</t>
        </is>
      </c>
      <c r="E1431" t="n">
        <v>24</v>
      </c>
      <c r="F1431" t="b">
        <v>0</v>
      </c>
      <c r="H1431" t="b">
        <v>0</v>
      </c>
    </row>
    <row r="1432">
      <c r="A1432" t="inlineStr">
        <is>
          <t>S010</t>
        </is>
      </c>
      <c r="B1432" s="3" t="n">
        <v>46270</v>
      </c>
      <c r="C1432" t="n">
        <v>14</v>
      </c>
      <c r="D1432" t="inlineStr">
        <is>
          <t>Saturday</t>
        </is>
      </c>
      <c r="E1432" t="n">
        <v>13</v>
      </c>
      <c r="F1432" t="b">
        <v>0</v>
      </c>
      <c r="H1432" t="b">
        <v>0</v>
      </c>
    </row>
    <row r="1433">
      <c r="A1433" t="inlineStr">
        <is>
          <t>S010</t>
        </is>
      </c>
      <c r="B1433" s="3" t="n">
        <v>46270</v>
      </c>
      <c r="C1433" t="n">
        <v>15</v>
      </c>
      <c r="D1433" t="inlineStr">
        <is>
          <t>Saturday</t>
        </is>
      </c>
      <c r="E1433" t="n">
        <v>14</v>
      </c>
      <c r="F1433" t="b">
        <v>0</v>
      </c>
      <c r="G1433" t="inlineStr">
        <is>
          <t>Light</t>
        </is>
      </c>
      <c r="H1433" t="b">
        <v>1</v>
      </c>
    </row>
    <row r="1434">
      <c r="A1434" t="inlineStr">
        <is>
          <t>S010</t>
        </is>
      </c>
      <c r="B1434" s="3" t="n">
        <v>46270</v>
      </c>
      <c r="C1434" t="n">
        <v>16</v>
      </c>
      <c r="D1434" t="inlineStr">
        <is>
          <t>Saturday</t>
        </is>
      </c>
      <c r="E1434" t="n">
        <v>22</v>
      </c>
      <c r="F1434" t="b">
        <v>0</v>
      </c>
      <c r="H1434" t="b">
        <v>0</v>
      </c>
    </row>
    <row r="1435">
      <c r="A1435" t="inlineStr">
        <is>
          <t>S010</t>
        </is>
      </c>
      <c r="B1435" s="3" t="n">
        <v>46270</v>
      </c>
      <c r="C1435" t="n">
        <v>17</v>
      </c>
      <c r="D1435" t="inlineStr">
        <is>
          <t>Saturday</t>
        </is>
      </c>
      <c r="E1435" t="n">
        <v>21</v>
      </c>
      <c r="F1435" t="b">
        <v>0</v>
      </c>
      <c r="H1435" t="b">
        <v>0</v>
      </c>
    </row>
    <row r="1436">
      <c r="A1436" t="inlineStr">
        <is>
          <t>S010</t>
        </is>
      </c>
      <c r="B1436" s="3" t="n">
        <v>46270</v>
      </c>
      <c r="C1436" t="n">
        <v>18</v>
      </c>
      <c r="D1436" t="inlineStr">
        <is>
          <t>Saturday</t>
        </is>
      </c>
      <c r="E1436" t="n">
        <v>15</v>
      </c>
      <c r="F1436" t="b">
        <v>0</v>
      </c>
      <c r="G1436" t="inlineStr">
        <is>
          <t>Light</t>
        </is>
      </c>
      <c r="H1436" t="b">
        <v>0</v>
      </c>
    </row>
    <row r="1437">
      <c r="A1437" t="inlineStr">
        <is>
          <t>S010</t>
        </is>
      </c>
      <c r="B1437" s="3" t="n">
        <v>46270</v>
      </c>
      <c r="C1437" t="n">
        <v>19</v>
      </c>
      <c r="D1437" t="inlineStr">
        <is>
          <t>Saturday</t>
        </is>
      </c>
      <c r="E1437" t="n">
        <v>28</v>
      </c>
      <c r="F1437" t="b">
        <v>1</v>
      </c>
      <c r="G1437" t="inlineStr">
        <is>
          <t>Light</t>
        </is>
      </c>
      <c r="H1437" t="b">
        <v>0</v>
      </c>
    </row>
    <row r="1438">
      <c r="A1438" t="inlineStr">
        <is>
          <t>S010</t>
        </is>
      </c>
      <c r="B1438" s="3" t="n">
        <v>46270</v>
      </c>
      <c r="C1438" t="n">
        <v>20</v>
      </c>
      <c r="D1438" t="inlineStr">
        <is>
          <t>Saturday</t>
        </is>
      </c>
      <c r="E1438" t="n">
        <v>29</v>
      </c>
      <c r="F1438" t="b">
        <v>1</v>
      </c>
      <c r="H1438" t="b">
        <v>0</v>
      </c>
    </row>
    <row r="1439">
      <c r="A1439" t="inlineStr">
        <is>
          <t>S010</t>
        </is>
      </c>
      <c r="B1439" s="3" t="n">
        <v>46270</v>
      </c>
      <c r="C1439" t="n">
        <v>21</v>
      </c>
      <c r="D1439" t="inlineStr">
        <is>
          <t>Saturday</t>
        </is>
      </c>
      <c r="E1439" t="n">
        <v>40</v>
      </c>
      <c r="F1439" t="b">
        <v>1</v>
      </c>
      <c r="H1439" t="b">
        <v>0</v>
      </c>
    </row>
    <row r="1440">
      <c r="A1440" t="inlineStr">
        <is>
          <t>S010</t>
        </is>
      </c>
      <c r="B1440" s="3" t="n">
        <v>46270</v>
      </c>
      <c r="C1440" t="n">
        <v>22</v>
      </c>
      <c r="D1440" t="inlineStr">
        <is>
          <t>Saturday</t>
        </is>
      </c>
      <c r="E1440" t="n">
        <v>21</v>
      </c>
      <c r="F1440" t="b">
        <v>0</v>
      </c>
      <c r="G1440" t="inlineStr">
        <is>
          <t>Light</t>
        </is>
      </c>
      <c r="H1440" t="b">
        <v>0</v>
      </c>
    </row>
    <row r="1441">
      <c r="A1441" t="inlineStr">
        <is>
          <t>S010</t>
        </is>
      </c>
      <c r="B1441" s="3" t="n">
        <v>46270</v>
      </c>
      <c r="C1441" t="n">
        <v>23</v>
      </c>
      <c r="D1441" t="inlineStr">
        <is>
          <t>Saturday</t>
        </is>
      </c>
      <c r="E1441" t="n">
        <v>29</v>
      </c>
      <c r="F1441" t="b">
        <v>0</v>
      </c>
      <c r="H1441" t="b">
        <v>0</v>
      </c>
    </row>
    <row r="1442">
      <c r="A1442" t="inlineStr">
        <is>
          <t>S011</t>
        </is>
      </c>
      <c r="B1442" s="3" t="n">
        <v>46270</v>
      </c>
      <c r="C1442" t="n">
        <v>8</v>
      </c>
      <c r="D1442" t="inlineStr">
        <is>
          <t>Saturday</t>
        </is>
      </c>
      <c r="E1442" t="n">
        <v>30</v>
      </c>
      <c r="F1442" t="b">
        <v>0</v>
      </c>
      <c r="H1442" t="b">
        <v>0</v>
      </c>
    </row>
    <row r="1443">
      <c r="A1443" t="inlineStr">
        <is>
          <t>S011</t>
        </is>
      </c>
      <c r="B1443" s="3" t="n">
        <v>46270</v>
      </c>
      <c r="C1443" t="n">
        <v>9</v>
      </c>
      <c r="D1443" t="inlineStr">
        <is>
          <t>Saturday</t>
        </is>
      </c>
      <c r="E1443" t="n">
        <v>24</v>
      </c>
      <c r="F1443" t="b">
        <v>0</v>
      </c>
      <c r="H1443" t="b">
        <v>0</v>
      </c>
    </row>
    <row r="1444">
      <c r="A1444" t="inlineStr">
        <is>
          <t>S011</t>
        </is>
      </c>
      <c r="B1444" s="3" t="n">
        <v>46270</v>
      </c>
      <c r="C1444" t="n">
        <v>10</v>
      </c>
      <c r="D1444" t="inlineStr">
        <is>
          <t>Saturday</t>
        </is>
      </c>
      <c r="E1444" t="n">
        <v>19</v>
      </c>
      <c r="F1444" t="b">
        <v>0</v>
      </c>
      <c r="H1444" t="b">
        <v>0</v>
      </c>
    </row>
    <row r="1445">
      <c r="A1445" t="inlineStr">
        <is>
          <t>S011</t>
        </is>
      </c>
      <c r="B1445" s="3" t="n">
        <v>46270</v>
      </c>
      <c r="C1445" t="n">
        <v>11</v>
      </c>
      <c r="D1445" t="inlineStr">
        <is>
          <t>Saturday</t>
        </is>
      </c>
      <c r="E1445" t="n">
        <v>33</v>
      </c>
      <c r="F1445" t="b">
        <v>0</v>
      </c>
      <c r="H1445" t="b">
        <v>0</v>
      </c>
    </row>
    <row r="1446">
      <c r="A1446" t="inlineStr">
        <is>
          <t>S011</t>
        </is>
      </c>
      <c r="B1446" s="3" t="n">
        <v>46270</v>
      </c>
      <c r="C1446" t="n">
        <v>12</v>
      </c>
      <c r="D1446" t="inlineStr">
        <is>
          <t>Saturday</t>
        </is>
      </c>
      <c r="E1446" t="n">
        <v>33</v>
      </c>
      <c r="F1446" t="b">
        <v>0</v>
      </c>
      <c r="H1446" t="b">
        <v>0</v>
      </c>
    </row>
    <row r="1447">
      <c r="A1447" t="inlineStr">
        <is>
          <t>S011</t>
        </is>
      </c>
      <c r="B1447" s="3" t="n">
        <v>46270</v>
      </c>
      <c r="C1447" t="n">
        <v>13</v>
      </c>
      <c r="D1447" t="inlineStr">
        <is>
          <t>Saturday</t>
        </is>
      </c>
      <c r="E1447" t="n">
        <v>47</v>
      </c>
      <c r="F1447" t="b">
        <v>0</v>
      </c>
      <c r="G1447" t="inlineStr">
        <is>
          <t>Light</t>
        </is>
      </c>
      <c r="H1447" t="b">
        <v>0</v>
      </c>
    </row>
    <row r="1448">
      <c r="A1448" t="inlineStr">
        <is>
          <t>S011</t>
        </is>
      </c>
      <c r="B1448" s="3" t="n">
        <v>46270</v>
      </c>
      <c r="C1448" t="n">
        <v>14</v>
      </c>
      <c r="D1448" t="inlineStr">
        <is>
          <t>Saturday</t>
        </is>
      </c>
      <c r="E1448" t="n">
        <v>24</v>
      </c>
      <c r="F1448" t="b">
        <v>0</v>
      </c>
      <c r="H1448" t="b">
        <v>0</v>
      </c>
    </row>
    <row r="1449">
      <c r="A1449" t="inlineStr">
        <is>
          <t>S011</t>
        </is>
      </c>
      <c r="B1449" s="3" t="n">
        <v>46270</v>
      </c>
      <c r="C1449" t="n">
        <v>15</v>
      </c>
      <c r="D1449" t="inlineStr">
        <is>
          <t>Saturday</t>
        </is>
      </c>
      <c r="E1449" t="n">
        <v>32</v>
      </c>
      <c r="F1449" t="b">
        <v>0</v>
      </c>
      <c r="H1449" t="b">
        <v>0</v>
      </c>
    </row>
    <row r="1450">
      <c r="A1450" t="inlineStr">
        <is>
          <t>S011</t>
        </is>
      </c>
      <c r="B1450" s="3" t="n">
        <v>46270</v>
      </c>
      <c r="C1450" t="n">
        <v>16</v>
      </c>
      <c r="D1450" t="inlineStr">
        <is>
          <t>Saturday</t>
        </is>
      </c>
      <c r="E1450" t="n">
        <v>31</v>
      </c>
      <c r="F1450" t="b">
        <v>0</v>
      </c>
      <c r="H1450" t="b">
        <v>0</v>
      </c>
    </row>
    <row r="1451">
      <c r="A1451" t="inlineStr">
        <is>
          <t>S011</t>
        </is>
      </c>
      <c r="B1451" s="3" t="n">
        <v>46270</v>
      </c>
      <c r="C1451" t="n">
        <v>17</v>
      </c>
      <c r="D1451" t="inlineStr">
        <is>
          <t>Saturday</t>
        </is>
      </c>
      <c r="E1451" t="n">
        <v>29</v>
      </c>
      <c r="F1451" t="b">
        <v>0</v>
      </c>
      <c r="H1451" t="b">
        <v>0</v>
      </c>
    </row>
    <row r="1452">
      <c r="A1452" t="inlineStr">
        <is>
          <t>S011</t>
        </is>
      </c>
      <c r="B1452" s="3" t="n">
        <v>46270</v>
      </c>
      <c r="C1452" t="n">
        <v>18</v>
      </c>
      <c r="D1452" t="inlineStr">
        <is>
          <t>Saturday</t>
        </is>
      </c>
      <c r="E1452" t="n">
        <v>38</v>
      </c>
      <c r="F1452" t="b">
        <v>0</v>
      </c>
      <c r="H1452" t="b">
        <v>0</v>
      </c>
    </row>
    <row r="1453">
      <c r="A1453" t="inlineStr">
        <is>
          <t>S011</t>
        </is>
      </c>
      <c r="B1453" s="3" t="n">
        <v>46270</v>
      </c>
      <c r="C1453" t="n">
        <v>19</v>
      </c>
      <c r="D1453" t="inlineStr">
        <is>
          <t>Saturday</t>
        </is>
      </c>
      <c r="E1453" t="n">
        <v>54</v>
      </c>
      <c r="F1453" t="b">
        <v>1</v>
      </c>
      <c r="H1453" t="b">
        <v>0</v>
      </c>
    </row>
    <row r="1454">
      <c r="A1454" t="inlineStr">
        <is>
          <t>S011</t>
        </is>
      </c>
      <c r="B1454" s="3" t="n">
        <v>46270</v>
      </c>
      <c r="C1454" t="n">
        <v>20</v>
      </c>
      <c r="D1454" t="inlineStr">
        <is>
          <t>Saturday</t>
        </is>
      </c>
      <c r="E1454" t="n">
        <v>60</v>
      </c>
      <c r="F1454" t="b">
        <v>1</v>
      </c>
      <c r="H1454" t="b">
        <v>0</v>
      </c>
    </row>
    <row r="1455">
      <c r="A1455" t="inlineStr">
        <is>
          <t>S011</t>
        </is>
      </c>
      <c r="B1455" s="3" t="n">
        <v>46270</v>
      </c>
      <c r="C1455" t="n">
        <v>21</v>
      </c>
      <c r="D1455" t="inlineStr">
        <is>
          <t>Saturday</t>
        </is>
      </c>
      <c r="E1455" t="n">
        <v>49</v>
      </c>
      <c r="F1455" t="b">
        <v>1</v>
      </c>
      <c r="H1455" t="b">
        <v>0</v>
      </c>
    </row>
    <row r="1456">
      <c r="A1456" t="inlineStr">
        <is>
          <t>S011</t>
        </is>
      </c>
      <c r="B1456" s="3" t="n">
        <v>46270</v>
      </c>
      <c r="C1456" t="n">
        <v>22</v>
      </c>
      <c r="D1456" t="inlineStr">
        <is>
          <t>Saturday</t>
        </is>
      </c>
      <c r="E1456" t="n">
        <v>40</v>
      </c>
      <c r="F1456" t="b">
        <v>0</v>
      </c>
      <c r="H1456" t="b">
        <v>0</v>
      </c>
    </row>
    <row r="1457">
      <c r="A1457" t="inlineStr">
        <is>
          <t>S011</t>
        </is>
      </c>
      <c r="B1457" s="3" t="n">
        <v>46270</v>
      </c>
      <c r="C1457" t="n">
        <v>23</v>
      </c>
      <c r="D1457" t="inlineStr">
        <is>
          <t>Saturday</t>
        </is>
      </c>
      <c r="E1457" t="n">
        <v>50</v>
      </c>
      <c r="F1457" t="b">
        <v>0</v>
      </c>
      <c r="H1457" t="b">
        <v>0</v>
      </c>
    </row>
    <row r="1458">
      <c r="A1458" t="inlineStr">
        <is>
          <t>S012</t>
        </is>
      </c>
      <c r="B1458" s="3" t="n">
        <v>46270</v>
      </c>
      <c r="C1458" t="n">
        <v>8</v>
      </c>
      <c r="D1458" t="inlineStr">
        <is>
          <t>Saturday</t>
        </is>
      </c>
      <c r="E1458" t="n">
        <v>14</v>
      </c>
      <c r="F1458" t="b">
        <v>0</v>
      </c>
      <c r="H1458" t="b">
        <v>0</v>
      </c>
    </row>
    <row r="1459">
      <c r="A1459" t="inlineStr">
        <is>
          <t>S012</t>
        </is>
      </c>
      <c r="B1459" s="3" t="n">
        <v>46270</v>
      </c>
      <c r="C1459" t="n">
        <v>9</v>
      </c>
      <c r="D1459" t="inlineStr">
        <is>
          <t>Saturday</t>
        </is>
      </c>
      <c r="E1459" t="n">
        <v>4</v>
      </c>
      <c r="F1459" t="b">
        <v>0</v>
      </c>
      <c r="H1459" t="b">
        <v>0</v>
      </c>
    </row>
    <row r="1460">
      <c r="A1460" t="inlineStr">
        <is>
          <t>S012</t>
        </is>
      </c>
      <c r="B1460" s="3" t="n">
        <v>46270</v>
      </c>
      <c r="C1460" t="n">
        <v>10</v>
      </c>
      <c r="D1460" t="inlineStr">
        <is>
          <t>Saturday</t>
        </is>
      </c>
      <c r="E1460" t="n">
        <v>13</v>
      </c>
      <c r="F1460" t="b">
        <v>0</v>
      </c>
      <c r="H1460" t="b">
        <v>0</v>
      </c>
    </row>
    <row r="1461">
      <c r="A1461" t="inlineStr">
        <is>
          <t>S012</t>
        </is>
      </c>
      <c r="B1461" s="3" t="n">
        <v>46270</v>
      </c>
      <c r="C1461" t="n">
        <v>11</v>
      </c>
      <c r="D1461" t="inlineStr">
        <is>
          <t>Saturday</t>
        </is>
      </c>
      <c r="E1461" t="n">
        <v>20</v>
      </c>
      <c r="F1461" t="b">
        <v>0</v>
      </c>
      <c r="G1461" t="inlineStr">
        <is>
          <t>Light</t>
        </is>
      </c>
      <c r="H1461" t="b">
        <v>0</v>
      </c>
    </row>
    <row r="1462">
      <c r="A1462" t="inlineStr">
        <is>
          <t>S012</t>
        </is>
      </c>
      <c r="B1462" s="3" t="n">
        <v>46270</v>
      </c>
      <c r="C1462" t="n">
        <v>12</v>
      </c>
      <c r="D1462" t="inlineStr">
        <is>
          <t>Saturday</t>
        </is>
      </c>
      <c r="E1462" t="n">
        <v>20</v>
      </c>
      <c r="F1462" t="b">
        <v>0</v>
      </c>
      <c r="H1462" t="b">
        <v>0</v>
      </c>
    </row>
    <row r="1463">
      <c r="A1463" t="inlineStr">
        <is>
          <t>S012</t>
        </is>
      </c>
      <c r="B1463" s="3" t="n">
        <v>46270</v>
      </c>
      <c r="C1463" t="n">
        <v>13</v>
      </c>
      <c r="D1463" t="inlineStr">
        <is>
          <t>Saturday</t>
        </is>
      </c>
      <c r="E1463" t="n">
        <v>17</v>
      </c>
      <c r="F1463" t="b">
        <v>0</v>
      </c>
      <c r="H1463" t="b">
        <v>0</v>
      </c>
    </row>
    <row r="1464">
      <c r="A1464" t="inlineStr">
        <is>
          <t>S012</t>
        </is>
      </c>
      <c r="B1464" s="3" t="n">
        <v>46270</v>
      </c>
      <c r="C1464" t="n">
        <v>14</v>
      </c>
      <c r="D1464" t="inlineStr">
        <is>
          <t>Saturday</t>
        </is>
      </c>
      <c r="E1464" t="n">
        <v>15</v>
      </c>
      <c r="F1464" t="b">
        <v>0</v>
      </c>
      <c r="G1464" t="inlineStr">
        <is>
          <t>Light</t>
        </is>
      </c>
      <c r="H1464" t="b">
        <v>0</v>
      </c>
    </row>
    <row r="1465">
      <c r="A1465" t="inlineStr">
        <is>
          <t>S012</t>
        </is>
      </c>
      <c r="B1465" s="3" t="n">
        <v>46270</v>
      </c>
      <c r="C1465" t="n">
        <v>15</v>
      </c>
      <c r="D1465" t="inlineStr">
        <is>
          <t>Saturday</t>
        </is>
      </c>
      <c r="E1465" t="n">
        <v>10</v>
      </c>
      <c r="F1465" t="b">
        <v>0</v>
      </c>
      <c r="H1465" t="b">
        <v>0</v>
      </c>
    </row>
    <row r="1466">
      <c r="A1466" t="inlineStr">
        <is>
          <t>S012</t>
        </is>
      </c>
      <c r="B1466" s="3" t="n">
        <v>46270</v>
      </c>
      <c r="C1466" t="n">
        <v>16</v>
      </c>
      <c r="D1466" t="inlineStr">
        <is>
          <t>Saturday</t>
        </is>
      </c>
      <c r="E1466" t="n">
        <v>12</v>
      </c>
      <c r="F1466" t="b">
        <v>0</v>
      </c>
      <c r="H1466" t="b">
        <v>0</v>
      </c>
    </row>
    <row r="1467">
      <c r="A1467" t="inlineStr">
        <is>
          <t>S012</t>
        </is>
      </c>
      <c r="B1467" s="3" t="n">
        <v>46270</v>
      </c>
      <c r="C1467" t="n">
        <v>17</v>
      </c>
      <c r="D1467" t="inlineStr">
        <is>
          <t>Saturday</t>
        </is>
      </c>
      <c r="E1467" t="n">
        <v>9</v>
      </c>
      <c r="F1467" t="b">
        <v>0</v>
      </c>
      <c r="H1467" t="b">
        <v>0</v>
      </c>
    </row>
    <row r="1468">
      <c r="A1468" t="inlineStr">
        <is>
          <t>S012</t>
        </is>
      </c>
      <c r="B1468" s="3" t="n">
        <v>46270</v>
      </c>
      <c r="C1468" t="n">
        <v>18</v>
      </c>
      <c r="D1468" t="inlineStr">
        <is>
          <t>Saturday</t>
        </is>
      </c>
      <c r="E1468" t="n">
        <v>16</v>
      </c>
      <c r="F1468" t="b">
        <v>0</v>
      </c>
      <c r="G1468" t="inlineStr">
        <is>
          <t>Heavy</t>
        </is>
      </c>
      <c r="H1468" t="b">
        <v>0</v>
      </c>
    </row>
    <row r="1469">
      <c r="A1469" t="inlineStr">
        <is>
          <t>S012</t>
        </is>
      </c>
      <c r="B1469" s="3" t="n">
        <v>46270</v>
      </c>
      <c r="C1469" t="n">
        <v>19</v>
      </c>
      <c r="D1469" t="inlineStr">
        <is>
          <t>Saturday</t>
        </is>
      </c>
      <c r="E1469" t="n">
        <v>18</v>
      </c>
      <c r="F1469" t="b">
        <v>1</v>
      </c>
      <c r="H1469" t="b">
        <v>0</v>
      </c>
    </row>
    <row r="1470">
      <c r="A1470" t="inlineStr">
        <is>
          <t>S012</t>
        </is>
      </c>
      <c r="B1470" s="3" t="n">
        <v>46270</v>
      </c>
      <c r="C1470" t="n">
        <v>20</v>
      </c>
      <c r="D1470" t="inlineStr">
        <is>
          <t>Saturday</t>
        </is>
      </c>
      <c r="E1470" t="n">
        <v>32</v>
      </c>
      <c r="F1470" t="b">
        <v>1</v>
      </c>
      <c r="H1470" t="b">
        <v>0</v>
      </c>
    </row>
    <row r="1471">
      <c r="A1471" t="inlineStr">
        <is>
          <t>S012</t>
        </is>
      </c>
      <c r="B1471" s="3" t="n">
        <v>46270</v>
      </c>
      <c r="C1471" t="n">
        <v>21</v>
      </c>
      <c r="D1471" t="inlineStr">
        <is>
          <t>Saturday</t>
        </is>
      </c>
      <c r="E1471" t="n">
        <v>23</v>
      </c>
      <c r="F1471" t="b">
        <v>1</v>
      </c>
      <c r="G1471" t="inlineStr">
        <is>
          <t>Heavy</t>
        </is>
      </c>
      <c r="H1471" t="b">
        <v>0</v>
      </c>
    </row>
    <row r="1472">
      <c r="A1472" t="inlineStr">
        <is>
          <t>S012</t>
        </is>
      </c>
      <c r="B1472" s="3" t="n">
        <v>46270</v>
      </c>
      <c r="C1472" t="n">
        <v>22</v>
      </c>
      <c r="D1472" t="inlineStr">
        <is>
          <t>Saturday</t>
        </is>
      </c>
      <c r="E1472" t="n">
        <v>13</v>
      </c>
      <c r="F1472" t="b">
        <v>0</v>
      </c>
      <c r="H1472" t="b">
        <v>0</v>
      </c>
    </row>
    <row r="1473">
      <c r="A1473" t="inlineStr">
        <is>
          <t>S012</t>
        </is>
      </c>
      <c r="B1473" s="3" t="n">
        <v>46270</v>
      </c>
      <c r="C1473" t="n">
        <v>23</v>
      </c>
      <c r="D1473" t="inlineStr">
        <is>
          <t>Saturday</t>
        </is>
      </c>
      <c r="E1473" t="n">
        <v>16</v>
      </c>
      <c r="F1473" t="b">
        <v>0</v>
      </c>
      <c r="H1473" t="b">
        <v>0</v>
      </c>
    </row>
    <row r="1474">
      <c r="A1474" t="inlineStr">
        <is>
          <t>S013</t>
        </is>
      </c>
      <c r="B1474" s="3" t="n">
        <v>46270</v>
      </c>
      <c r="C1474" t="n">
        <v>8</v>
      </c>
      <c r="D1474" t="inlineStr">
        <is>
          <t>Saturday</t>
        </is>
      </c>
      <c r="E1474" t="n">
        <v>39</v>
      </c>
      <c r="F1474" t="b">
        <v>0</v>
      </c>
      <c r="H1474" t="b">
        <v>0</v>
      </c>
    </row>
    <row r="1475">
      <c r="A1475" t="inlineStr">
        <is>
          <t>S013</t>
        </is>
      </c>
      <c r="B1475" s="3" t="n">
        <v>46270</v>
      </c>
      <c r="C1475" t="n">
        <v>9</v>
      </c>
      <c r="D1475" t="inlineStr">
        <is>
          <t>Saturday</t>
        </is>
      </c>
      <c r="E1475" t="n">
        <v>25</v>
      </c>
      <c r="F1475" t="b">
        <v>0</v>
      </c>
      <c r="H1475" t="b">
        <v>0</v>
      </c>
    </row>
    <row r="1476">
      <c r="A1476" t="inlineStr">
        <is>
          <t>S013</t>
        </is>
      </c>
      <c r="B1476" s="3" t="n">
        <v>46270</v>
      </c>
      <c r="C1476" t="n">
        <v>10</v>
      </c>
      <c r="D1476" t="inlineStr">
        <is>
          <t>Saturday</t>
        </is>
      </c>
      <c r="E1476" t="n">
        <v>40</v>
      </c>
      <c r="F1476" t="b">
        <v>0</v>
      </c>
      <c r="H1476" t="b">
        <v>0</v>
      </c>
    </row>
    <row r="1477">
      <c r="A1477" t="inlineStr">
        <is>
          <t>S013</t>
        </is>
      </c>
      <c r="B1477" s="3" t="n">
        <v>46270</v>
      </c>
      <c r="C1477" t="n">
        <v>11</v>
      </c>
      <c r="D1477" t="inlineStr">
        <is>
          <t>Saturday</t>
        </is>
      </c>
      <c r="E1477" t="n">
        <v>50</v>
      </c>
      <c r="F1477" t="b">
        <v>0</v>
      </c>
      <c r="H1477" t="b">
        <v>0</v>
      </c>
    </row>
    <row r="1478">
      <c r="A1478" t="inlineStr">
        <is>
          <t>S013</t>
        </is>
      </c>
      <c r="B1478" s="3" t="n">
        <v>46270</v>
      </c>
      <c r="C1478" t="n">
        <v>12</v>
      </c>
      <c r="D1478" t="inlineStr">
        <is>
          <t>Saturday</t>
        </is>
      </c>
      <c r="E1478" t="n">
        <v>43</v>
      </c>
      <c r="F1478" t="b">
        <v>0</v>
      </c>
      <c r="G1478" t="inlineStr">
        <is>
          <t>Light</t>
        </is>
      </c>
      <c r="H1478" t="b">
        <v>0</v>
      </c>
    </row>
    <row r="1479">
      <c r="A1479" t="inlineStr">
        <is>
          <t>S013</t>
        </is>
      </c>
      <c r="B1479" s="3" t="n">
        <v>46270</v>
      </c>
      <c r="C1479" t="n">
        <v>13</v>
      </c>
      <c r="D1479" t="inlineStr">
        <is>
          <t>Saturday</t>
        </is>
      </c>
      <c r="E1479" t="n">
        <v>55</v>
      </c>
      <c r="F1479" t="b">
        <v>0</v>
      </c>
      <c r="G1479" t="inlineStr">
        <is>
          <t>Light</t>
        </is>
      </c>
      <c r="H1479" t="b">
        <v>0</v>
      </c>
    </row>
    <row r="1480">
      <c r="A1480" t="inlineStr">
        <is>
          <t>S013</t>
        </is>
      </c>
      <c r="B1480" s="3" t="n">
        <v>46270</v>
      </c>
      <c r="C1480" t="n">
        <v>14</v>
      </c>
      <c r="D1480" t="inlineStr">
        <is>
          <t>Saturday</t>
        </is>
      </c>
      <c r="E1480" t="n">
        <v>36</v>
      </c>
      <c r="F1480" t="b">
        <v>0</v>
      </c>
      <c r="H1480" t="b">
        <v>0</v>
      </c>
    </row>
    <row r="1481">
      <c r="A1481" t="inlineStr">
        <is>
          <t>S013</t>
        </is>
      </c>
      <c r="B1481" s="3" t="n">
        <v>46270</v>
      </c>
      <c r="C1481" t="n">
        <v>15</v>
      </c>
      <c r="D1481" t="inlineStr">
        <is>
          <t>Saturday</t>
        </is>
      </c>
      <c r="E1481" t="n">
        <v>35</v>
      </c>
      <c r="F1481" t="b">
        <v>0</v>
      </c>
      <c r="G1481" t="inlineStr">
        <is>
          <t>Light</t>
        </is>
      </c>
      <c r="H1481" t="b">
        <v>0</v>
      </c>
    </row>
    <row r="1482">
      <c r="A1482" t="inlineStr">
        <is>
          <t>S013</t>
        </is>
      </c>
      <c r="B1482" s="3" t="n">
        <v>46270</v>
      </c>
      <c r="C1482" t="n">
        <v>16</v>
      </c>
      <c r="D1482" t="inlineStr">
        <is>
          <t>Saturday</t>
        </is>
      </c>
      <c r="E1482" t="n">
        <v>58</v>
      </c>
      <c r="F1482" t="b">
        <v>0</v>
      </c>
      <c r="G1482" t="inlineStr">
        <is>
          <t>Heavy</t>
        </is>
      </c>
      <c r="H1482" t="b">
        <v>0</v>
      </c>
    </row>
    <row r="1483">
      <c r="A1483" t="inlineStr">
        <is>
          <t>S013</t>
        </is>
      </c>
      <c r="B1483" s="3" t="n">
        <v>46270</v>
      </c>
      <c r="C1483" t="n">
        <v>17</v>
      </c>
      <c r="D1483" t="inlineStr">
        <is>
          <t>Saturday</t>
        </is>
      </c>
      <c r="E1483" t="n">
        <v>50</v>
      </c>
      <c r="F1483" t="b">
        <v>0</v>
      </c>
      <c r="H1483" t="b">
        <v>0</v>
      </c>
    </row>
    <row r="1484">
      <c r="A1484" t="inlineStr">
        <is>
          <t>S013</t>
        </is>
      </c>
      <c r="B1484" s="3" t="n">
        <v>46270</v>
      </c>
      <c r="C1484" t="n">
        <v>18</v>
      </c>
      <c r="D1484" t="inlineStr">
        <is>
          <t>Saturday</t>
        </is>
      </c>
      <c r="E1484" t="n">
        <v>48</v>
      </c>
      <c r="F1484" t="b">
        <v>0</v>
      </c>
      <c r="H1484" t="b">
        <v>0</v>
      </c>
    </row>
    <row r="1485">
      <c r="A1485" t="inlineStr">
        <is>
          <t>S013</t>
        </is>
      </c>
      <c r="B1485" s="3" t="n">
        <v>46270</v>
      </c>
      <c r="C1485" t="n">
        <v>19</v>
      </c>
      <c r="D1485" t="inlineStr">
        <is>
          <t>Saturday</t>
        </is>
      </c>
      <c r="E1485" t="n">
        <v>86</v>
      </c>
      <c r="F1485" t="b">
        <v>1</v>
      </c>
      <c r="G1485" t="inlineStr">
        <is>
          <t>Light</t>
        </is>
      </c>
      <c r="H1485" t="b">
        <v>1</v>
      </c>
    </row>
    <row r="1486">
      <c r="A1486" t="inlineStr">
        <is>
          <t>S013</t>
        </is>
      </c>
      <c r="B1486" s="3" t="n">
        <v>46270</v>
      </c>
      <c r="C1486" t="n">
        <v>20</v>
      </c>
      <c r="D1486" t="inlineStr">
        <is>
          <t>Saturday</t>
        </is>
      </c>
      <c r="E1486" t="n">
        <v>69</v>
      </c>
      <c r="F1486" t="b">
        <v>1</v>
      </c>
      <c r="H1486" t="b">
        <v>0</v>
      </c>
    </row>
    <row r="1487">
      <c r="A1487" t="inlineStr">
        <is>
          <t>S013</t>
        </is>
      </c>
      <c r="B1487" s="3" t="n">
        <v>46270</v>
      </c>
      <c r="C1487" t="n">
        <v>21</v>
      </c>
      <c r="D1487" t="inlineStr">
        <is>
          <t>Saturday</t>
        </is>
      </c>
      <c r="E1487" t="n">
        <v>87</v>
      </c>
      <c r="F1487" t="b">
        <v>1</v>
      </c>
      <c r="G1487" t="inlineStr">
        <is>
          <t>Heavy</t>
        </is>
      </c>
      <c r="H1487" t="b">
        <v>0</v>
      </c>
    </row>
    <row r="1488">
      <c r="A1488" t="inlineStr">
        <is>
          <t>S013</t>
        </is>
      </c>
      <c r="B1488" s="3" t="n">
        <v>46270</v>
      </c>
      <c r="C1488" t="n">
        <v>22</v>
      </c>
      <c r="D1488" t="inlineStr">
        <is>
          <t>Saturday</t>
        </is>
      </c>
      <c r="E1488" t="n">
        <v>50</v>
      </c>
      <c r="F1488" t="b">
        <v>0</v>
      </c>
      <c r="H1488" t="b">
        <v>0</v>
      </c>
    </row>
    <row r="1489">
      <c r="A1489" t="inlineStr">
        <is>
          <t>S013</t>
        </is>
      </c>
      <c r="B1489" s="3" t="n">
        <v>46270</v>
      </c>
      <c r="C1489" t="n">
        <v>23</v>
      </c>
      <c r="D1489" t="inlineStr">
        <is>
          <t>Saturday</t>
        </is>
      </c>
      <c r="E1489" t="n">
        <v>50</v>
      </c>
      <c r="F1489" t="b">
        <v>0</v>
      </c>
      <c r="H1489" t="b">
        <v>0</v>
      </c>
    </row>
    <row r="1490">
      <c r="A1490" t="inlineStr">
        <is>
          <t>S014</t>
        </is>
      </c>
      <c r="B1490" s="3" t="n">
        <v>46270</v>
      </c>
      <c r="C1490" t="n">
        <v>8</v>
      </c>
      <c r="D1490" t="inlineStr">
        <is>
          <t>Saturday</t>
        </is>
      </c>
      <c r="E1490" t="n">
        <v>27</v>
      </c>
      <c r="F1490" t="b">
        <v>0</v>
      </c>
      <c r="H1490" t="b">
        <v>0</v>
      </c>
    </row>
    <row r="1491">
      <c r="A1491" t="inlineStr">
        <is>
          <t>S014</t>
        </is>
      </c>
      <c r="B1491" s="3" t="n">
        <v>46270</v>
      </c>
      <c r="C1491" t="n">
        <v>9</v>
      </c>
      <c r="D1491" t="inlineStr">
        <is>
          <t>Saturday</t>
        </is>
      </c>
      <c r="E1491" t="n">
        <v>39</v>
      </c>
      <c r="F1491" t="b">
        <v>0</v>
      </c>
      <c r="G1491" t="inlineStr">
        <is>
          <t>Light</t>
        </is>
      </c>
      <c r="H1491" t="b">
        <v>0</v>
      </c>
    </row>
    <row r="1492">
      <c r="A1492" t="inlineStr">
        <is>
          <t>S014</t>
        </is>
      </c>
      <c r="B1492" s="3" t="n">
        <v>46270</v>
      </c>
      <c r="C1492" t="n">
        <v>10</v>
      </c>
      <c r="D1492" t="inlineStr">
        <is>
          <t>Saturday</t>
        </is>
      </c>
      <c r="E1492" t="n">
        <v>27</v>
      </c>
      <c r="F1492" t="b">
        <v>0</v>
      </c>
      <c r="H1492" t="b">
        <v>0</v>
      </c>
    </row>
    <row r="1493">
      <c r="A1493" t="inlineStr">
        <is>
          <t>S014</t>
        </is>
      </c>
      <c r="B1493" s="3" t="n">
        <v>46270</v>
      </c>
      <c r="C1493" t="n">
        <v>11</v>
      </c>
      <c r="D1493" t="inlineStr">
        <is>
          <t>Saturday</t>
        </is>
      </c>
      <c r="E1493" t="n">
        <v>33</v>
      </c>
      <c r="F1493" t="b">
        <v>0</v>
      </c>
      <c r="H1493" t="b">
        <v>0</v>
      </c>
    </row>
    <row r="1494">
      <c r="A1494" t="inlineStr">
        <is>
          <t>S014</t>
        </is>
      </c>
      <c r="B1494" s="3" t="n">
        <v>46270</v>
      </c>
      <c r="C1494" t="n">
        <v>12</v>
      </c>
      <c r="D1494" t="inlineStr">
        <is>
          <t>Saturday</t>
        </is>
      </c>
      <c r="E1494" t="n">
        <v>28</v>
      </c>
      <c r="F1494" t="b">
        <v>0</v>
      </c>
      <c r="H1494" t="b">
        <v>0</v>
      </c>
    </row>
    <row r="1495">
      <c r="A1495" t="inlineStr">
        <is>
          <t>S014</t>
        </is>
      </c>
      <c r="B1495" s="3" t="n">
        <v>46270</v>
      </c>
      <c r="C1495" t="n">
        <v>13</v>
      </c>
      <c r="D1495" t="inlineStr">
        <is>
          <t>Saturday</t>
        </is>
      </c>
      <c r="E1495" t="n">
        <v>48</v>
      </c>
      <c r="F1495" t="b">
        <v>0</v>
      </c>
      <c r="H1495" t="b">
        <v>0</v>
      </c>
    </row>
    <row r="1496">
      <c r="A1496" t="inlineStr">
        <is>
          <t>S014</t>
        </is>
      </c>
      <c r="B1496" s="3" t="n">
        <v>46270</v>
      </c>
      <c r="C1496" t="n">
        <v>14</v>
      </c>
      <c r="D1496" t="inlineStr">
        <is>
          <t>Saturday</t>
        </is>
      </c>
      <c r="E1496" t="n">
        <v>21</v>
      </c>
      <c r="F1496" t="b">
        <v>0</v>
      </c>
      <c r="G1496" t="inlineStr">
        <is>
          <t>Light</t>
        </is>
      </c>
      <c r="H1496" t="b">
        <v>0</v>
      </c>
    </row>
    <row r="1497">
      <c r="A1497" t="inlineStr">
        <is>
          <t>S014</t>
        </is>
      </c>
      <c r="B1497" s="3" t="n">
        <v>46270</v>
      </c>
      <c r="C1497" t="n">
        <v>15</v>
      </c>
      <c r="D1497" t="inlineStr">
        <is>
          <t>Saturday</t>
        </is>
      </c>
      <c r="E1497" t="n">
        <v>32</v>
      </c>
      <c r="F1497" t="b">
        <v>0</v>
      </c>
      <c r="H1497" t="b">
        <v>0</v>
      </c>
    </row>
    <row r="1498">
      <c r="A1498" t="inlineStr">
        <is>
          <t>S014</t>
        </is>
      </c>
      <c r="B1498" s="3" t="n">
        <v>46270</v>
      </c>
      <c r="C1498" t="n">
        <v>16</v>
      </c>
      <c r="D1498" t="inlineStr">
        <is>
          <t>Saturday</t>
        </is>
      </c>
      <c r="E1498" t="n">
        <v>44</v>
      </c>
      <c r="F1498" t="b">
        <v>0</v>
      </c>
      <c r="G1498" t="inlineStr">
        <is>
          <t>Heavy</t>
        </is>
      </c>
      <c r="H1498" t="b">
        <v>0</v>
      </c>
    </row>
    <row r="1499">
      <c r="A1499" t="inlineStr">
        <is>
          <t>S014</t>
        </is>
      </c>
      <c r="B1499" s="3" t="n">
        <v>46270</v>
      </c>
      <c r="C1499" t="n">
        <v>17</v>
      </c>
      <c r="D1499" t="inlineStr">
        <is>
          <t>Saturday</t>
        </is>
      </c>
      <c r="E1499" t="n">
        <v>36</v>
      </c>
      <c r="F1499" t="b">
        <v>0</v>
      </c>
      <c r="G1499" t="inlineStr">
        <is>
          <t>Light</t>
        </is>
      </c>
      <c r="H1499" t="b">
        <v>1</v>
      </c>
    </row>
    <row r="1500">
      <c r="A1500" t="inlineStr">
        <is>
          <t>S014</t>
        </is>
      </c>
      <c r="B1500" s="3" t="n">
        <v>46270</v>
      </c>
      <c r="C1500" t="n">
        <v>18</v>
      </c>
      <c r="D1500" t="inlineStr">
        <is>
          <t>Saturday</t>
        </is>
      </c>
      <c r="E1500" t="n">
        <v>38</v>
      </c>
      <c r="F1500" t="b">
        <v>0</v>
      </c>
      <c r="H1500" t="b">
        <v>0</v>
      </c>
    </row>
    <row r="1501">
      <c r="A1501" t="inlineStr">
        <is>
          <t>S014</t>
        </is>
      </c>
      <c r="B1501" s="3" t="n">
        <v>46270</v>
      </c>
      <c r="C1501" t="n">
        <v>19</v>
      </c>
      <c r="D1501" t="inlineStr">
        <is>
          <t>Saturday</t>
        </is>
      </c>
      <c r="E1501" t="n">
        <v>61</v>
      </c>
      <c r="F1501" t="b">
        <v>1</v>
      </c>
      <c r="H1501" t="b">
        <v>0</v>
      </c>
    </row>
    <row r="1502">
      <c r="A1502" t="inlineStr">
        <is>
          <t>S014</t>
        </is>
      </c>
      <c r="B1502" s="3" t="n">
        <v>46270</v>
      </c>
      <c r="C1502" t="n">
        <v>20</v>
      </c>
      <c r="D1502" t="inlineStr">
        <is>
          <t>Saturday</t>
        </is>
      </c>
      <c r="E1502" t="n">
        <v>68</v>
      </c>
      <c r="F1502" t="b">
        <v>1</v>
      </c>
      <c r="H1502" t="b">
        <v>0</v>
      </c>
    </row>
    <row r="1503">
      <c r="A1503" t="inlineStr">
        <is>
          <t>S014</t>
        </is>
      </c>
      <c r="B1503" s="3" t="n">
        <v>46270</v>
      </c>
      <c r="C1503" t="n">
        <v>21</v>
      </c>
      <c r="D1503" t="inlineStr">
        <is>
          <t>Saturday</t>
        </is>
      </c>
      <c r="E1503" t="n">
        <v>53</v>
      </c>
      <c r="F1503" t="b">
        <v>1</v>
      </c>
      <c r="H1503" t="b">
        <v>0</v>
      </c>
    </row>
    <row r="1504">
      <c r="A1504" t="inlineStr">
        <is>
          <t>S014</t>
        </is>
      </c>
      <c r="B1504" s="3" t="n">
        <v>46270</v>
      </c>
      <c r="C1504" t="n">
        <v>22</v>
      </c>
      <c r="D1504" t="inlineStr">
        <is>
          <t>Saturday</t>
        </is>
      </c>
      <c r="E1504" t="n">
        <v>38</v>
      </c>
      <c r="F1504" t="b">
        <v>0</v>
      </c>
      <c r="G1504" t="inlineStr">
        <is>
          <t>Light</t>
        </is>
      </c>
      <c r="H1504" t="b">
        <v>0</v>
      </c>
    </row>
    <row r="1505">
      <c r="A1505" t="inlineStr">
        <is>
          <t>S014</t>
        </is>
      </c>
      <c r="B1505" s="3" t="n">
        <v>46270</v>
      </c>
      <c r="C1505" t="n">
        <v>23</v>
      </c>
      <c r="D1505" t="inlineStr">
        <is>
          <t>Saturday</t>
        </is>
      </c>
      <c r="E1505" t="n">
        <v>28</v>
      </c>
      <c r="F1505" t="b">
        <v>0</v>
      </c>
      <c r="H1505" t="b">
        <v>0</v>
      </c>
    </row>
    <row r="1506">
      <c r="A1506" t="inlineStr">
        <is>
          <t>S015</t>
        </is>
      </c>
      <c r="B1506" s="3" t="n">
        <v>46270</v>
      </c>
      <c r="C1506" t="n">
        <v>8</v>
      </c>
      <c r="D1506" t="inlineStr">
        <is>
          <t>Saturday</t>
        </is>
      </c>
      <c r="E1506" t="n">
        <v>16</v>
      </c>
      <c r="F1506" t="b">
        <v>0</v>
      </c>
      <c r="H1506" t="b">
        <v>0</v>
      </c>
    </row>
    <row r="1507">
      <c r="A1507" t="inlineStr">
        <is>
          <t>S015</t>
        </is>
      </c>
      <c r="B1507" s="3" t="n">
        <v>46270</v>
      </c>
      <c r="C1507" t="n">
        <v>9</v>
      </c>
      <c r="D1507" t="inlineStr">
        <is>
          <t>Saturday</t>
        </is>
      </c>
      <c r="E1507" t="n">
        <v>13</v>
      </c>
      <c r="F1507" t="b">
        <v>0</v>
      </c>
      <c r="H1507" t="b">
        <v>0</v>
      </c>
    </row>
    <row r="1508">
      <c r="A1508" t="inlineStr">
        <is>
          <t>S015</t>
        </is>
      </c>
      <c r="B1508" s="3" t="n">
        <v>46270</v>
      </c>
      <c r="C1508" t="n">
        <v>10</v>
      </c>
      <c r="D1508" t="inlineStr">
        <is>
          <t>Saturday</t>
        </is>
      </c>
      <c r="E1508" t="n">
        <v>16</v>
      </c>
      <c r="F1508" t="b">
        <v>0</v>
      </c>
      <c r="H1508" t="b">
        <v>0</v>
      </c>
    </row>
    <row r="1509">
      <c r="A1509" t="inlineStr">
        <is>
          <t>S015</t>
        </is>
      </c>
      <c r="B1509" s="3" t="n">
        <v>46270</v>
      </c>
      <c r="C1509" t="n">
        <v>11</v>
      </c>
      <c r="D1509" t="inlineStr">
        <is>
          <t>Saturday</t>
        </is>
      </c>
      <c r="E1509" t="n">
        <v>30</v>
      </c>
      <c r="F1509" t="b">
        <v>0</v>
      </c>
      <c r="H1509" t="b">
        <v>0</v>
      </c>
    </row>
    <row r="1510">
      <c r="A1510" t="inlineStr">
        <is>
          <t>S015</t>
        </is>
      </c>
      <c r="B1510" s="3" t="n">
        <v>46270</v>
      </c>
      <c r="C1510" t="n">
        <v>12</v>
      </c>
      <c r="D1510" t="inlineStr">
        <is>
          <t>Saturday</t>
        </is>
      </c>
      <c r="E1510" t="n">
        <v>30</v>
      </c>
      <c r="F1510" t="b">
        <v>0</v>
      </c>
      <c r="H1510" t="b">
        <v>0</v>
      </c>
    </row>
    <row r="1511">
      <c r="A1511" t="inlineStr">
        <is>
          <t>S015</t>
        </is>
      </c>
      <c r="B1511" s="3" t="n">
        <v>46270</v>
      </c>
      <c r="C1511" t="n">
        <v>13</v>
      </c>
      <c r="D1511" t="inlineStr">
        <is>
          <t>Saturday</t>
        </is>
      </c>
      <c r="E1511" t="n">
        <v>22</v>
      </c>
      <c r="F1511" t="b">
        <v>0</v>
      </c>
      <c r="H1511" t="b">
        <v>0</v>
      </c>
    </row>
    <row r="1512">
      <c r="A1512" t="inlineStr">
        <is>
          <t>S015</t>
        </is>
      </c>
      <c r="B1512" s="3" t="n">
        <v>46270</v>
      </c>
      <c r="C1512" t="n">
        <v>14</v>
      </c>
      <c r="D1512" t="inlineStr">
        <is>
          <t>Saturday</t>
        </is>
      </c>
      <c r="E1512" t="n">
        <v>28</v>
      </c>
      <c r="F1512" t="b">
        <v>0</v>
      </c>
      <c r="H1512" t="b">
        <v>1</v>
      </c>
    </row>
    <row r="1513">
      <c r="A1513" t="inlineStr">
        <is>
          <t>S015</t>
        </is>
      </c>
      <c r="B1513" s="3" t="n">
        <v>46270</v>
      </c>
      <c r="C1513" t="n">
        <v>15</v>
      </c>
      <c r="D1513" t="inlineStr">
        <is>
          <t>Saturday</t>
        </is>
      </c>
      <c r="E1513" t="n">
        <v>21</v>
      </c>
      <c r="F1513" t="b">
        <v>0</v>
      </c>
      <c r="H1513" t="b">
        <v>0</v>
      </c>
    </row>
    <row r="1514">
      <c r="A1514" t="inlineStr">
        <is>
          <t>S015</t>
        </is>
      </c>
      <c r="B1514" s="3" t="n">
        <v>46270</v>
      </c>
      <c r="C1514" t="n">
        <v>16</v>
      </c>
      <c r="D1514" t="inlineStr">
        <is>
          <t>Saturday</t>
        </is>
      </c>
      <c r="E1514" t="n">
        <v>24</v>
      </c>
      <c r="F1514" t="b">
        <v>0</v>
      </c>
      <c r="G1514" t="inlineStr">
        <is>
          <t>Light</t>
        </is>
      </c>
      <c r="H1514" t="b">
        <v>0</v>
      </c>
    </row>
    <row r="1515">
      <c r="A1515" t="inlineStr">
        <is>
          <t>S015</t>
        </is>
      </c>
      <c r="B1515" s="3" t="n">
        <v>46270</v>
      </c>
      <c r="C1515" t="n">
        <v>17</v>
      </c>
      <c r="D1515" t="inlineStr">
        <is>
          <t>Saturday</t>
        </is>
      </c>
      <c r="E1515" t="n">
        <v>18</v>
      </c>
      <c r="F1515" t="b">
        <v>0</v>
      </c>
      <c r="G1515" t="inlineStr">
        <is>
          <t>Light</t>
        </is>
      </c>
      <c r="H1515" t="b">
        <v>0</v>
      </c>
    </row>
    <row r="1516">
      <c r="A1516" t="inlineStr">
        <is>
          <t>S015</t>
        </is>
      </c>
      <c r="B1516" s="3" t="n">
        <v>46270</v>
      </c>
      <c r="C1516" t="n">
        <v>18</v>
      </c>
      <c r="D1516" t="inlineStr">
        <is>
          <t>Saturday</t>
        </is>
      </c>
      <c r="E1516" t="n">
        <v>26</v>
      </c>
      <c r="F1516" t="b">
        <v>0</v>
      </c>
      <c r="H1516" t="b">
        <v>0</v>
      </c>
    </row>
    <row r="1517">
      <c r="A1517" t="inlineStr">
        <is>
          <t>S015</t>
        </is>
      </c>
      <c r="B1517" s="3" t="n">
        <v>46270</v>
      </c>
      <c r="C1517" t="n">
        <v>19</v>
      </c>
      <c r="D1517" t="inlineStr">
        <is>
          <t>Saturday</t>
        </is>
      </c>
      <c r="E1517" t="n">
        <v>31</v>
      </c>
      <c r="F1517" t="b">
        <v>1</v>
      </c>
      <c r="G1517" t="inlineStr">
        <is>
          <t>Light</t>
        </is>
      </c>
      <c r="H1517" t="b">
        <v>0</v>
      </c>
    </row>
    <row r="1518">
      <c r="A1518" t="inlineStr">
        <is>
          <t>S015</t>
        </is>
      </c>
      <c r="B1518" s="3" t="n">
        <v>46270</v>
      </c>
      <c r="C1518" t="n">
        <v>20</v>
      </c>
      <c r="D1518" t="inlineStr">
        <is>
          <t>Saturday</t>
        </is>
      </c>
      <c r="E1518" t="n">
        <v>27</v>
      </c>
      <c r="F1518" t="b">
        <v>1</v>
      </c>
      <c r="H1518" t="b">
        <v>0</v>
      </c>
    </row>
    <row r="1519">
      <c r="A1519" t="inlineStr">
        <is>
          <t>S015</t>
        </is>
      </c>
      <c r="B1519" s="3" t="n">
        <v>46270</v>
      </c>
      <c r="C1519" t="n">
        <v>21</v>
      </c>
      <c r="D1519" t="inlineStr">
        <is>
          <t>Saturday</t>
        </is>
      </c>
      <c r="E1519" t="n">
        <v>47</v>
      </c>
      <c r="F1519" t="b">
        <v>1</v>
      </c>
      <c r="G1519" t="inlineStr">
        <is>
          <t>Light</t>
        </is>
      </c>
      <c r="H1519" t="b">
        <v>0</v>
      </c>
    </row>
    <row r="1520">
      <c r="A1520" t="inlineStr">
        <is>
          <t>S015</t>
        </is>
      </c>
      <c r="B1520" s="3" t="n">
        <v>46270</v>
      </c>
      <c r="C1520" t="n">
        <v>22</v>
      </c>
      <c r="D1520" t="inlineStr">
        <is>
          <t>Saturday</t>
        </is>
      </c>
      <c r="E1520" t="n">
        <v>28</v>
      </c>
      <c r="F1520" t="b">
        <v>0</v>
      </c>
      <c r="H1520" t="b">
        <v>0</v>
      </c>
    </row>
    <row r="1521">
      <c r="A1521" t="inlineStr">
        <is>
          <t>S015</t>
        </is>
      </c>
      <c r="B1521" s="3" t="n">
        <v>46270</v>
      </c>
      <c r="C1521" t="n">
        <v>23</v>
      </c>
      <c r="D1521" t="inlineStr">
        <is>
          <t>Saturday</t>
        </is>
      </c>
      <c r="E1521" t="n">
        <v>26</v>
      </c>
      <c r="F1521" t="b">
        <v>0</v>
      </c>
      <c r="H1521" t="b">
        <v>0</v>
      </c>
    </row>
    <row r="1522">
      <c r="A1522" t="inlineStr">
        <is>
          <t>S016</t>
        </is>
      </c>
      <c r="B1522" s="3" t="n">
        <v>46270</v>
      </c>
      <c r="C1522" t="n">
        <v>8</v>
      </c>
      <c r="D1522" t="inlineStr">
        <is>
          <t>Saturday</t>
        </is>
      </c>
      <c r="E1522" t="n">
        <v>25</v>
      </c>
      <c r="F1522" t="b">
        <v>0</v>
      </c>
      <c r="H1522" t="b">
        <v>0</v>
      </c>
    </row>
    <row r="1523">
      <c r="A1523" t="inlineStr">
        <is>
          <t>S016</t>
        </is>
      </c>
      <c r="B1523" s="3" t="n">
        <v>46270</v>
      </c>
      <c r="C1523" t="n">
        <v>9</v>
      </c>
      <c r="D1523" t="inlineStr">
        <is>
          <t>Saturday</t>
        </is>
      </c>
      <c r="E1523" t="n">
        <v>17</v>
      </c>
      <c r="F1523" t="b">
        <v>0</v>
      </c>
      <c r="G1523" t="inlineStr">
        <is>
          <t>Light</t>
        </is>
      </c>
      <c r="H1523" t="b">
        <v>0</v>
      </c>
    </row>
    <row r="1524">
      <c r="A1524" t="inlineStr">
        <is>
          <t>S016</t>
        </is>
      </c>
      <c r="B1524" s="3" t="n">
        <v>46270</v>
      </c>
      <c r="C1524" t="n">
        <v>10</v>
      </c>
      <c r="D1524" t="inlineStr">
        <is>
          <t>Saturday</t>
        </is>
      </c>
      <c r="E1524" t="n">
        <v>13</v>
      </c>
      <c r="F1524" t="b">
        <v>0</v>
      </c>
      <c r="H1524" t="b">
        <v>0</v>
      </c>
    </row>
    <row r="1525">
      <c r="A1525" t="inlineStr">
        <is>
          <t>S016</t>
        </is>
      </c>
      <c r="B1525" s="3" t="n">
        <v>46270</v>
      </c>
      <c r="C1525" t="n">
        <v>11</v>
      </c>
      <c r="D1525" t="inlineStr">
        <is>
          <t>Saturday</t>
        </is>
      </c>
      <c r="E1525" t="n">
        <v>26</v>
      </c>
      <c r="F1525" t="b">
        <v>0</v>
      </c>
      <c r="H1525" t="b">
        <v>0</v>
      </c>
    </row>
    <row r="1526">
      <c r="A1526" t="inlineStr">
        <is>
          <t>S016</t>
        </is>
      </c>
      <c r="B1526" s="3" t="n">
        <v>46270</v>
      </c>
      <c r="C1526" t="n">
        <v>12</v>
      </c>
      <c r="D1526" t="inlineStr">
        <is>
          <t>Saturday</t>
        </is>
      </c>
      <c r="E1526" t="n">
        <v>37</v>
      </c>
      <c r="F1526" t="b">
        <v>0</v>
      </c>
      <c r="G1526" t="inlineStr">
        <is>
          <t>Light</t>
        </is>
      </c>
      <c r="H1526" t="b">
        <v>0</v>
      </c>
    </row>
    <row r="1527">
      <c r="A1527" t="inlineStr">
        <is>
          <t>S016</t>
        </is>
      </c>
      <c r="B1527" s="3" t="n">
        <v>46270</v>
      </c>
      <c r="C1527" t="n">
        <v>13</v>
      </c>
      <c r="D1527" t="inlineStr">
        <is>
          <t>Saturday</t>
        </is>
      </c>
      <c r="E1527" t="n">
        <v>31</v>
      </c>
      <c r="F1527" t="b">
        <v>0</v>
      </c>
      <c r="G1527" t="inlineStr">
        <is>
          <t>Light</t>
        </is>
      </c>
      <c r="H1527" t="b">
        <v>0</v>
      </c>
    </row>
    <row r="1528">
      <c r="A1528" t="inlineStr">
        <is>
          <t>S016</t>
        </is>
      </c>
      <c r="B1528" s="3" t="n">
        <v>46270</v>
      </c>
      <c r="C1528" t="n">
        <v>14</v>
      </c>
      <c r="D1528" t="inlineStr">
        <is>
          <t>Saturday</t>
        </is>
      </c>
      <c r="E1528" t="n">
        <v>16</v>
      </c>
      <c r="F1528" t="b">
        <v>0</v>
      </c>
      <c r="G1528" t="inlineStr">
        <is>
          <t>Light</t>
        </is>
      </c>
      <c r="H1528" t="b">
        <v>0</v>
      </c>
    </row>
    <row r="1529">
      <c r="A1529" t="inlineStr">
        <is>
          <t>S016</t>
        </is>
      </c>
      <c r="B1529" s="3" t="n">
        <v>46270</v>
      </c>
      <c r="C1529" t="n">
        <v>15</v>
      </c>
      <c r="D1529" t="inlineStr">
        <is>
          <t>Saturday</t>
        </is>
      </c>
      <c r="E1529" t="n">
        <v>28</v>
      </c>
      <c r="F1529" t="b">
        <v>0</v>
      </c>
      <c r="G1529" t="inlineStr">
        <is>
          <t>Light</t>
        </is>
      </c>
      <c r="H1529" t="b">
        <v>0</v>
      </c>
    </row>
    <row r="1530">
      <c r="A1530" t="inlineStr">
        <is>
          <t>S016</t>
        </is>
      </c>
      <c r="B1530" s="3" t="n">
        <v>46270</v>
      </c>
      <c r="C1530" t="n">
        <v>16</v>
      </c>
      <c r="D1530" t="inlineStr">
        <is>
          <t>Saturday</t>
        </is>
      </c>
      <c r="E1530" t="n">
        <v>27</v>
      </c>
      <c r="F1530" t="b">
        <v>0</v>
      </c>
      <c r="G1530" t="inlineStr">
        <is>
          <t>Light</t>
        </is>
      </c>
      <c r="H1530" t="b">
        <v>0</v>
      </c>
    </row>
    <row r="1531">
      <c r="A1531" t="inlineStr">
        <is>
          <t>S016</t>
        </is>
      </c>
      <c r="B1531" s="3" t="n">
        <v>46270</v>
      </c>
      <c r="C1531" t="n">
        <v>17</v>
      </c>
      <c r="D1531" t="inlineStr">
        <is>
          <t>Saturday</t>
        </is>
      </c>
      <c r="E1531" t="n">
        <v>37</v>
      </c>
      <c r="F1531" t="b">
        <v>0</v>
      </c>
      <c r="H1531" t="b">
        <v>0</v>
      </c>
    </row>
    <row r="1532">
      <c r="A1532" t="inlineStr">
        <is>
          <t>S016</t>
        </is>
      </c>
      <c r="B1532" s="3" t="n">
        <v>46270</v>
      </c>
      <c r="C1532" t="n">
        <v>18</v>
      </c>
      <c r="D1532" t="inlineStr">
        <is>
          <t>Saturday</t>
        </is>
      </c>
      <c r="E1532" t="n">
        <v>38</v>
      </c>
      <c r="F1532" t="b">
        <v>0</v>
      </c>
      <c r="H1532" t="b">
        <v>0</v>
      </c>
    </row>
    <row r="1533">
      <c r="A1533" t="inlineStr">
        <is>
          <t>S016</t>
        </is>
      </c>
      <c r="B1533" s="3" t="n">
        <v>46270</v>
      </c>
      <c r="C1533" t="n">
        <v>19</v>
      </c>
      <c r="D1533" t="inlineStr">
        <is>
          <t>Saturday</t>
        </is>
      </c>
      <c r="E1533" t="n">
        <v>45</v>
      </c>
      <c r="F1533" t="b">
        <v>1</v>
      </c>
      <c r="H1533" t="b">
        <v>0</v>
      </c>
    </row>
    <row r="1534">
      <c r="A1534" t="inlineStr">
        <is>
          <t>S016</t>
        </is>
      </c>
      <c r="B1534" s="3" t="n">
        <v>46270</v>
      </c>
      <c r="C1534" t="n">
        <v>20</v>
      </c>
      <c r="D1534" t="inlineStr">
        <is>
          <t>Saturday</t>
        </is>
      </c>
      <c r="E1534" t="n">
        <v>44</v>
      </c>
      <c r="F1534" t="b">
        <v>1</v>
      </c>
      <c r="G1534" t="inlineStr">
        <is>
          <t>Light</t>
        </is>
      </c>
      <c r="H1534" t="b">
        <v>0</v>
      </c>
    </row>
    <row r="1535">
      <c r="A1535" t="inlineStr">
        <is>
          <t>S016</t>
        </is>
      </c>
      <c r="B1535" s="3" t="n">
        <v>46270</v>
      </c>
      <c r="C1535" t="n">
        <v>21</v>
      </c>
      <c r="D1535" t="inlineStr">
        <is>
          <t>Saturday</t>
        </is>
      </c>
      <c r="E1535" t="n">
        <v>40</v>
      </c>
      <c r="F1535" t="b">
        <v>1</v>
      </c>
      <c r="H1535" t="b">
        <v>0</v>
      </c>
    </row>
    <row r="1536">
      <c r="A1536" t="inlineStr">
        <is>
          <t>S016</t>
        </is>
      </c>
      <c r="B1536" s="3" t="n">
        <v>46270</v>
      </c>
      <c r="C1536" t="n">
        <v>22</v>
      </c>
      <c r="D1536" t="inlineStr">
        <is>
          <t>Saturday</t>
        </is>
      </c>
      <c r="E1536" t="n">
        <v>27</v>
      </c>
      <c r="F1536" t="b">
        <v>0</v>
      </c>
      <c r="H1536" t="b">
        <v>0</v>
      </c>
    </row>
    <row r="1537">
      <c r="A1537" t="inlineStr">
        <is>
          <t>S016</t>
        </is>
      </c>
      <c r="B1537" s="3" t="n">
        <v>46270</v>
      </c>
      <c r="C1537" t="n">
        <v>23</v>
      </c>
      <c r="D1537" t="inlineStr">
        <is>
          <t>Saturday</t>
        </is>
      </c>
      <c r="E1537" t="n">
        <v>29</v>
      </c>
      <c r="F1537" t="b">
        <v>0</v>
      </c>
      <c r="G1537" t="inlineStr">
        <is>
          <t>Light</t>
        </is>
      </c>
      <c r="H1537" t="b">
        <v>0</v>
      </c>
    </row>
    <row r="1538">
      <c r="A1538" t="inlineStr">
        <is>
          <t>S017</t>
        </is>
      </c>
      <c r="B1538" s="3" t="n">
        <v>46270</v>
      </c>
      <c r="C1538" t="n">
        <v>8</v>
      </c>
      <c r="D1538" t="inlineStr">
        <is>
          <t>Saturday</t>
        </is>
      </c>
      <c r="E1538" t="n">
        <v>33</v>
      </c>
      <c r="F1538" t="b">
        <v>0</v>
      </c>
      <c r="H1538" t="b">
        <v>0</v>
      </c>
    </row>
    <row r="1539">
      <c r="A1539" t="inlineStr">
        <is>
          <t>S017</t>
        </is>
      </c>
      <c r="B1539" s="3" t="n">
        <v>46270</v>
      </c>
      <c r="C1539" t="n">
        <v>9</v>
      </c>
      <c r="D1539" t="inlineStr">
        <is>
          <t>Saturday</t>
        </is>
      </c>
      <c r="E1539" t="n">
        <v>41</v>
      </c>
      <c r="F1539" t="b">
        <v>0</v>
      </c>
      <c r="H1539" t="b">
        <v>0</v>
      </c>
    </row>
    <row r="1540">
      <c r="A1540" t="inlineStr">
        <is>
          <t>S017</t>
        </is>
      </c>
      <c r="B1540" s="3" t="n">
        <v>46270</v>
      </c>
      <c r="C1540" t="n">
        <v>10</v>
      </c>
      <c r="D1540" t="inlineStr">
        <is>
          <t>Saturday</t>
        </is>
      </c>
      <c r="E1540" t="n">
        <v>37</v>
      </c>
      <c r="F1540" t="b">
        <v>0</v>
      </c>
      <c r="H1540" t="b">
        <v>0</v>
      </c>
    </row>
    <row r="1541">
      <c r="A1541" t="inlineStr">
        <is>
          <t>S017</t>
        </is>
      </c>
      <c r="B1541" s="3" t="n">
        <v>46270</v>
      </c>
      <c r="C1541" t="n">
        <v>11</v>
      </c>
      <c r="D1541" t="inlineStr">
        <is>
          <t>Saturday</t>
        </is>
      </c>
      <c r="E1541" t="n">
        <v>47</v>
      </c>
      <c r="F1541" t="b">
        <v>0</v>
      </c>
      <c r="H1541" t="b">
        <v>0</v>
      </c>
    </row>
    <row r="1542">
      <c r="A1542" t="inlineStr">
        <is>
          <t>S017</t>
        </is>
      </c>
      <c r="B1542" s="3" t="n">
        <v>46270</v>
      </c>
      <c r="C1542" t="n">
        <v>12</v>
      </c>
      <c r="D1542" t="inlineStr">
        <is>
          <t>Saturday</t>
        </is>
      </c>
      <c r="E1542" t="n">
        <v>28</v>
      </c>
      <c r="F1542" t="b">
        <v>0</v>
      </c>
      <c r="H1542" t="b">
        <v>0</v>
      </c>
    </row>
    <row r="1543">
      <c r="A1543" t="inlineStr">
        <is>
          <t>S017</t>
        </is>
      </c>
      <c r="B1543" s="3" t="n">
        <v>46270</v>
      </c>
      <c r="C1543" t="n">
        <v>13</v>
      </c>
      <c r="D1543" t="inlineStr">
        <is>
          <t>Saturday</t>
        </is>
      </c>
      <c r="E1543" t="n">
        <v>41</v>
      </c>
      <c r="F1543" t="b">
        <v>0</v>
      </c>
      <c r="H1543" t="b">
        <v>0</v>
      </c>
    </row>
    <row r="1544">
      <c r="A1544" t="inlineStr">
        <is>
          <t>S017</t>
        </is>
      </c>
      <c r="B1544" s="3" t="n">
        <v>46270</v>
      </c>
      <c r="C1544" t="n">
        <v>14</v>
      </c>
      <c r="D1544" t="inlineStr">
        <is>
          <t>Saturday</t>
        </is>
      </c>
      <c r="E1544" t="n">
        <v>31</v>
      </c>
      <c r="F1544" t="b">
        <v>0</v>
      </c>
      <c r="H1544" t="b">
        <v>0</v>
      </c>
    </row>
    <row r="1545">
      <c r="A1545" t="inlineStr">
        <is>
          <t>S017</t>
        </is>
      </c>
      <c r="B1545" s="3" t="n">
        <v>46270</v>
      </c>
      <c r="C1545" t="n">
        <v>15</v>
      </c>
      <c r="D1545" t="inlineStr">
        <is>
          <t>Saturday</t>
        </is>
      </c>
      <c r="E1545" t="n">
        <v>29</v>
      </c>
      <c r="F1545" t="b">
        <v>0</v>
      </c>
      <c r="H1545" t="b">
        <v>1</v>
      </c>
    </row>
    <row r="1546">
      <c r="A1546" t="inlineStr">
        <is>
          <t>S017</t>
        </is>
      </c>
      <c r="B1546" s="3" t="n">
        <v>46270</v>
      </c>
      <c r="C1546" t="n">
        <v>16</v>
      </c>
      <c r="D1546" t="inlineStr">
        <is>
          <t>Saturday</t>
        </is>
      </c>
      <c r="E1546" t="n">
        <v>40</v>
      </c>
      <c r="F1546" t="b">
        <v>0</v>
      </c>
      <c r="H1546" t="b">
        <v>0</v>
      </c>
    </row>
    <row r="1547">
      <c r="A1547" t="inlineStr">
        <is>
          <t>S017</t>
        </is>
      </c>
      <c r="B1547" s="3" t="n">
        <v>46270</v>
      </c>
      <c r="C1547" t="n">
        <v>17</v>
      </c>
      <c r="D1547" t="inlineStr">
        <is>
          <t>Saturday</t>
        </is>
      </c>
      <c r="E1547" t="n">
        <v>51</v>
      </c>
      <c r="F1547" t="b">
        <v>0</v>
      </c>
      <c r="H1547" t="b">
        <v>0</v>
      </c>
    </row>
    <row r="1548">
      <c r="A1548" t="inlineStr">
        <is>
          <t>S017</t>
        </is>
      </c>
      <c r="B1548" s="3" t="n">
        <v>46270</v>
      </c>
      <c r="C1548" t="n">
        <v>18</v>
      </c>
      <c r="D1548" t="inlineStr">
        <is>
          <t>Saturday</t>
        </is>
      </c>
      <c r="E1548" t="n">
        <v>39</v>
      </c>
      <c r="F1548" t="b">
        <v>0</v>
      </c>
      <c r="H1548" t="b">
        <v>0</v>
      </c>
    </row>
    <row r="1549">
      <c r="A1549" t="inlineStr">
        <is>
          <t>S017</t>
        </is>
      </c>
      <c r="B1549" s="3" t="n">
        <v>46270</v>
      </c>
      <c r="C1549" t="n">
        <v>19</v>
      </c>
      <c r="D1549" t="inlineStr">
        <is>
          <t>Saturday</t>
        </is>
      </c>
      <c r="E1549" t="n">
        <v>53</v>
      </c>
      <c r="F1549" t="b">
        <v>1</v>
      </c>
      <c r="H1549" t="b">
        <v>0</v>
      </c>
    </row>
    <row r="1550">
      <c r="A1550" t="inlineStr">
        <is>
          <t>S017</t>
        </is>
      </c>
      <c r="B1550" s="3" t="n">
        <v>46270</v>
      </c>
      <c r="C1550" t="n">
        <v>20</v>
      </c>
      <c r="D1550" t="inlineStr">
        <is>
          <t>Saturday</t>
        </is>
      </c>
      <c r="E1550" t="n">
        <v>58</v>
      </c>
      <c r="F1550" t="b">
        <v>1</v>
      </c>
      <c r="H1550" t="b">
        <v>0</v>
      </c>
    </row>
    <row r="1551">
      <c r="A1551" t="inlineStr">
        <is>
          <t>S017</t>
        </is>
      </c>
      <c r="B1551" s="3" t="n">
        <v>46270</v>
      </c>
      <c r="C1551" t="n">
        <v>21</v>
      </c>
      <c r="D1551" t="inlineStr">
        <is>
          <t>Saturday</t>
        </is>
      </c>
      <c r="E1551" t="n">
        <v>65</v>
      </c>
      <c r="F1551" t="b">
        <v>1</v>
      </c>
      <c r="H1551" t="b">
        <v>0</v>
      </c>
    </row>
    <row r="1552">
      <c r="A1552" t="inlineStr">
        <is>
          <t>S017</t>
        </is>
      </c>
      <c r="B1552" s="3" t="n">
        <v>46270</v>
      </c>
      <c r="C1552" t="n">
        <v>22</v>
      </c>
      <c r="D1552" t="inlineStr">
        <is>
          <t>Saturday</t>
        </is>
      </c>
      <c r="E1552" t="n">
        <v>42</v>
      </c>
      <c r="F1552" t="b">
        <v>0</v>
      </c>
      <c r="H1552" t="b">
        <v>0</v>
      </c>
    </row>
    <row r="1553">
      <c r="A1553" t="inlineStr">
        <is>
          <t>S017</t>
        </is>
      </c>
      <c r="B1553" s="3" t="n">
        <v>46270</v>
      </c>
      <c r="C1553" t="n">
        <v>23</v>
      </c>
      <c r="D1553" t="inlineStr">
        <is>
          <t>Saturday</t>
        </is>
      </c>
      <c r="E1553" t="n">
        <v>42</v>
      </c>
      <c r="F1553" t="b">
        <v>0</v>
      </c>
      <c r="H1553" t="b">
        <v>0</v>
      </c>
    </row>
    <row r="1554">
      <c r="A1554" t="inlineStr">
        <is>
          <t>S018</t>
        </is>
      </c>
      <c r="B1554" s="3" t="n">
        <v>46270</v>
      </c>
      <c r="C1554" t="n">
        <v>8</v>
      </c>
      <c r="D1554" t="inlineStr">
        <is>
          <t>Saturday</t>
        </is>
      </c>
      <c r="E1554" t="n">
        <v>10</v>
      </c>
      <c r="F1554" t="b">
        <v>0</v>
      </c>
      <c r="H1554" t="b">
        <v>0</v>
      </c>
    </row>
    <row r="1555">
      <c r="A1555" t="inlineStr">
        <is>
          <t>S018</t>
        </is>
      </c>
      <c r="B1555" s="3" t="n">
        <v>46270</v>
      </c>
      <c r="C1555" t="n">
        <v>9</v>
      </c>
      <c r="D1555" t="inlineStr">
        <is>
          <t>Saturday</t>
        </is>
      </c>
      <c r="E1555" t="n">
        <v>15</v>
      </c>
      <c r="F1555" t="b">
        <v>0</v>
      </c>
      <c r="H1555" t="b">
        <v>0</v>
      </c>
    </row>
    <row r="1556">
      <c r="A1556" t="inlineStr">
        <is>
          <t>S018</t>
        </is>
      </c>
      <c r="B1556" s="3" t="n">
        <v>46270</v>
      </c>
      <c r="C1556" t="n">
        <v>10</v>
      </c>
      <c r="D1556" t="inlineStr">
        <is>
          <t>Saturday</t>
        </is>
      </c>
      <c r="E1556" t="n">
        <v>13</v>
      </c>
      <c r="F1556" t="b">
        <v>0</v>
      </c>
      <c r="G1556" t="inlineStr">
        <is>
          <t>Light</t>
        </is>
      </c>
      <c r="H1556" t="b">
        <v>0</v>
      </c>
    </row>
    <row r="1557">
      <c r="A1557" t="inlineStr">
        <is>
          <t>S018</t>
        </is>
      </c>
      <c r="B1557" s="3" t="n">
        <v>46270</v>
      </c>
      <c r="C1557" t="n">
        <v>11</v>
      </c>
      <c r="D1557" t="inlineStr">
        <is>
          <t>Saturday</t>
        </is>
      </c>
      <c r="E1557" t="n">
        <v>27</v>
      </c>
      <c r="F1557" t="b">
        <v>0</v>
      </c>
      <c r="H1557" t="b">
        <v>0</v>
      </c>
    </row>
    <row r="1558">
      <c r="A1558" t="inlineStr">
        <is>
          <t>S018</t>
        </is>
      </c>
      <c r="B1558" s="3" t="n">
        <v>46270</v>
      </c>
      <c r="C1558" t="n">
        <v>12</v>
      </c>
      <c r="D1558" t="inlineStr">
        <is>
          <t>Saturday</t>
        </is>
      </c>
      <c r="E1558" t="n">
        <v>16</v>
      </c>
      <c r="F1558" t="b">
        <v>0</v>
      </c>
      <c r="H1558" t="b">
        <v>0</v>
      </c>
    </row>
    <row r="1559">
      <c r="A1559" t="inlineStr">
        <is>
          <t>S018</t>
        </is>
      </c>
      <c r="B1559" s="3" t="n">
        <v>46270</v>
      </c>
      <c r="C1559" t="n">
        <v>13</v>
      </c>
      <c r="D1559" t="inlineStr">
        <is>
          <t>Saturday</t>
        </is>
      </c>
      <c r="E1559" t="n">
        <v>27</v>
      </c>
      <c r="F1559" t="b">
        <v>0</v>
      </c>
      <c r="H1559" t="b">
        <v>0</v>
      </c>
    </row>
    <row r="1560">
      <c r="A1560" t="inlineStr">
        <is>
          <t>S018</t>
        </is>
      </c>
      <c r="B1560" s="3" t="n">
        <v>46270</v>
      </c>
      <c r="C1560" t="n">
        <v>14</v>
      </c>
      <c r="D1560" t="inlineStr">
        <is>
          <t>Saturday</t>
        </is>
      </c>
      <c r="E1560" t="n">
        <v>22</v>
      </c>
      <c r="F1560" t="b">
        <v>0</v>
      </c>
      <c r="H1560" t="b">
        <v>0</v>
      </c>
    </row>
    <row r="1561">
      <c r="A1561" t="inlineStr">
        <is>
          <t>S018</t>
        </is>
      </c>
      <c r="B1561" s="3" t="n">
        <v>46270</v>
      </c>
      <c r="C1561" t="n">
        <v>15</v>
      </c>
      <c r="D1561" t="inlineStr">
        <is>
          <t>Saturday</t>
        </is>
      </c>
      <c r="E1561" t="n">
        <v>15</v>
      </c>
      <c r="F1561" t="b">
        <v>0</v>
      </c>
      <c r="G1561" t="inlineStr">
        <is>
          <t>Light</t>
        </is>
      </c>
      <c r="H1561" t="b">
        <v>0</v>
      </c>
    </row>
    <row r="1562">
      <c r="A1562" t="inlineStr">
        <is>
          <t>S018</t>
        </is>
      </c>
      <c r="B1562" s="3" t="n">
        <v>46270</v>
      </c>
      <c r="C1562" t="n">
        <v>16</v>
      </c>
      <c r="D1562" t="inlineStr">
        <is>
          <t>Saturday</t>
        </is>
      </c>
      <c r="E1562" t="n">
        <v>19</v>
      </c>
      <c r="F1562" t="b">
        <v>0</v>
      </c>
      <c r="H1562" t="b">
        <v>0</v>
      </c>
    </row>
    <row r="1563">
      <c r="A1563" t="inlineStr">
        <is>
          <t>S018</t>
        </is>
      </c>
      <c r="B1563" s="3" t="n">
        <v>46270</v>
      </c>
      <c r="C1563" t="n">
        <v>17</v>
      </c>
      <c r="D1563" t="inlineStr">
        <is>
          <t>Saturday</t>
        </is>
      </c>
      <c r="E1563" t="n">
        <v>22</v>
      </c>
      <c r="F1563" t="b">
        <v>0</v>
      </c>
      <c r="G1563" t="inlineStr">
        <is>
          <t>Light</t>
        </is>
      </c>
      <c r="H1563" t="b">
        <v>0</v>
      </c>
    </row>
    <row r="1564">
      <c r="A1564" t="inlineStr">
        <is>
          <t>S018</t>
        </is>
      </c>
      <c r="B1564" s="3" t="n">
        <v>46270</v>
      </c>
      <c r="C1564" t="n">
        <v>18</v>
      </c>
      <c r="D1564" t="inlineStr">
        <is>
          <t>Saturday</t>
        </is>
      </c>
      <c r="E1564" t="n">
        <v>18</v>
      </c>
      <c r="F1564" t="b">
        <v>0</v>
      </c>
      <c r="H1564" t="b">
        <v>0</v>
      </c>
    </row>
    <row r="1565">
      <c r="A1565" t="inlineStr">
        <is>
          <t>S018</t>
        </is>
      </c>
      <c r="B1565" s="3" t="n">
        <v>46270</v>
      </c>
      <c r="C1565" t="n">
        <v>19</v>
      </c>
      <c r="D1565" t="inlineStr">
        <is>
          <t>Saturday</t>
        </is>
      </c>
      <c r="E1565" t="n">
        <v>30</v>
      </c>
      <c r="F1565" t="b">
        <v>1</v>
      </c>
      <c r="H1565" t="b">
        <v>0</v>
      </c>
    </row>
    <row r="1566">
      <c r="A1566" t="inlineStr">
        <is>
          <t>S018</t>
        </is>
      </c>
      <c r="B1566" s="3" t="n">
        <v>46270</v>
      </c>
      <c r="C1566" t="n">
        <v>20</v>
      </c>
      <c r="D1566" t="inlineStr">
        <is>
          <t>Saturday</t>
        </is>
      </c>
      <c r="E1566" t="n">
        <v>29</v>
      </c>
      <c r="F1566" t="b">
        <v>1</v>
      </c>
      <c r="H1566" t="b">
        <v>0</v>
      </c>
    </row>
    <row r="1567">
      <c r="A1567" t="inlineStr">
        <is>
          <t>S018</t>
        </is>
      </c>
      <c r="B1567" s="3" t="n">
        <v>46270</v>
      </c>
      <c r="C1567" t="n">
        <v>21</v>
      </c>
      <c r="D1567" t="inlineStr">
        <is>
          <t>Saturday</t>
        </is>
      </c>
      <c r="E1567" t="n">
        <v>33</v>
      </c>
      <c r="F1567" t="b">
        <v>1</v>
      </c>
      <c r="H1567" t="b">
        <v>0</v>
      </c>
    </row>
    <row r="1568">
      <c r="A1568" t="inlineStr">
        <is>
          <t>S018</t>
        </is>
      </c>
      <c r="B1568" s="3" t="n">
        <v>46270</v>
      </c>
      <c r="C1568" t="n">
        <v>22</v>
      </c>
      <c r="D1568" t="inlineStr">
        <is>
          <t>Saturday</t>
        </is>
      </c>
      <c r="E1568" t="n">
        <v>24</v>
      </c>
      <c r="F1568" t="b">
        <v>0</v>
      </c>
      <c r="H1568" t="b">
        <v>0</v>
      </c>
    </row>
    <row r="1569">
      <c r="A1569" t="inlineStr">
        <is>
          <t>S018</t>
        </is>
      </c>
      <c r="B1569" s="3" t="n">
        <v>46270</v>
      </c>
      <c r="C1569" t="n">
        <v>23</v>
      </c>
      <c r="D1569" t="inlineStr">
        <is>
          <t>Saturday</t>
        </is>
      </c>
      <c r="E1569" t="n">
        <v>29</v>
      </c>
      <c r="F1569" t="b">
        <v>0</v>
      </c>
      <c r="H1569" t="b">
        <v>0</v>
      </c>
    </row>
    <row r="1570">
      <c r="A1570" t="inlineStr">
        <is>
          <t>S019</t>
        </is>
      </c>
      <c r="B1570" s="3" t="n">
        <v>46270</v>
      </c>
      <c r="C1570" t="n">
        <v>8</v>
      </c>
      <c r="D1570" t="inlineStr">
        <is>
          <t>Saturday</t>
        </is>
      </c>
      <c r="E1570" t="n">
        <v>16</v>
      </c>
      <c r="F1570" t="b">
        <v>0</v>
      </c>
      <c r="H1570" t="b">
        <v>0</v>
      </c>
    </row>
    <row r="1571">
      <c r="A1571" t="inlineStr">
        <is>
          <t>S019</t>
        </is>
      </c>
      <c r="B1571" s="3" t="n">
        <v>46270</v>
      </c>
      <c r="C1571" t="n">
        <v>9</v>
      </c>
      <c r="D1571" t="inlineStr">
        <is>
          <t>Saturday</t>
        </is>
      </c>
      <c r="E1571" t="n">
        <v>16</v>
      </c>
      <c r="F1571" t="b">
        <v>0</v>
      </c>
      <c r="H1571" t="b">
        <v>0</v>
      </c>
    </row>
    <row r="1572">
      <c r="A1572" t="inlineStr">
        <is>
          <t>S019</t>
        </is>
      </c>
      <c r="B1572" s="3" t="n">
        <v>46270</v>
      </c>
      <c r="C1572" t="n">
        <v>10</v>
      </c>
      <c r="D1572" t="inlineStr">
        <is>
          <t>Saturday</t>
        </is>
      </c>
      <c r="E1572" t="n">
        <v>17</v>
      </c>
      <c r="F1572" t="b">
        <v>0</v>
      </c>
      <c r="H1572" t="b">
        <v>0</v>
      </c>
    </row>
    <row r="1573">
      <c r="A1573" t="inlineStr">
        <is>
          <t>S019</t>
        </is>
      </c>
      <c r="B1573" s="3" t="n">
        <v>46270</v>
      </c>
      <c r="C1573" t="n">
        <v>11</v>
      </c>
      <c r="D1573" t="inlineStr">
        <is>
          <t>Saturday</t>
        </is>
      </c>
      <c r="E1573" t="n">
        <v>22</v>
      </c>
      <c r="F1573" t="b">
        <v>0</v>
      </c>
      <c r="H1573" t="b">
        <v>0</v>
      </c>
    </row>
    <row r="1574">
      <c r="A1574" t="inlineStr">
        <is>
          <t>S019</t>
        </is>
      </c>
      <c r="B1574" s="3" t="n">
        <v>46270</v>
      </c>
      <c r="C1574" t="n">
        <v>12</v>
      </c>
      <c r="D1574" t="inlineStr">
        <is>
          <t>Saturday</t>
        </is>
      </c>
      <c r="E1574" t="n">
        <v>26</v>
      </c>
      <c r="F1574" t="b">
        <v>0</v>
      </c>
      <c r="G1574" t="inlineStr">
        <is>
          <t>Light</t>
        </is>
      </c>
      <c r="H1574" t="b">
        <v>0</v>
      </c>
    </row>
    <row r="1575">
      <c r="A1575" t="inlineStr">
        <is>
          <t>S019</t>
        </is>
      </c>
      <c r="B1575" s="3" t="n">
        <v>46270</v>
      </c>
      <c r="C1575" t="n">
        <v>13</v>
      </c>
      <c r="D1575" t="inlineStr">
        <is>
          <t>Saturday</t>
        </is>
      </c>
      <c r="E1575" t="n">
        <v>21</v>
      </c>
      <c r="F1575" t="b">
        <v>0</v>
      </c>
      <c r="H1575" t="b">
        <v>0</v>
      </c>
    </row>
    <row r="1576">
      <c r="A1576" t="inlineStr">
        <is>
          <t>S019</t>
        </is>
      </c>
      <c r="B1576" s="3" t="n">
        <v>46270</v>
      </c>
      <c r="C1576" t="n">
        <v>14</v>
      </c>
      <c r="D1576" t="inlineStr">
        <is>
          <t>Saturday</t>
        </is>
      </c>
      <c r="E1576" t="n">
        <v>12</v>
      </c>
      <c r="F1576" t="b">
        <v>0</v>
      </c>
      <c r="H1576" t="b">
        <v>0</v>
      </c>
    </row>
    <row r="1577">
      <c r="A1577" t="inlineStr">
        <is>
          <t>S019</t>
        </is>
      </c>
      <c r="B1577" s="3" t="n">
        <v>46270</v>
      </c>
      <c r="C1577" t="n">
        <v>15</v>
      </c>
      <c r="D1577" t="inlineStr">
        <is>
          <t>Saturday</t>
        </is>
      </c>
      <c r="E1577" t="n">
        <v>29</v>
      </c>
      <c r="F1577" t="b">
        <v>0</v>
      </c>
      <c r="G1577" t="inlineStr">
        <is>
          <t>Light</t>
        </is>
      </c>
      <c r="H1577" t="b">
        <v>0</v>
      </c>
    </row>
    <row r="1578">
      <c r="A1578" t="inlineStr">
        <is>
          <t>S019</t>
        </is>
      </c>
      <c r="B1578" s="3" t="n">
        <v>46270</v>
      </c>
      <c r="C1578" t="n">
        <v>16</v>
      </c>
      <c r="D1578" t="inlineStr">
        <is>
          <t>Saturday</t>
        </is>
      </c>
      <c r="E1578" t="n">
        <v>30</v>
      </c>
      <c r="F1578" t="b">
        <v>0</v>
      </c>
      <c r="H1578" t="b">
        <v>0</v>
      </c>
    </row>
    <row r="1579">
      <c r="A1579" t="inlineStr">
        <is>
          <t>S019</t>
        </is>
      </c>
      <c r="B1579" s="3" t="n">
        <v>46270</v>
      </c>
      <c r="C1579" t="n">
        <v>17</v>
      </c>
      <c r="D1579" t="inlineStr">
        <is>
          <t>Saturday</t>
        </is>
      </c>
      <c r="E1579" t="n">
        <v>24</v>
      </c>
      <c r="F1579" t="b">
        <v>0</v>
      </c>
      <c r="H1579" t="b">
        <v>0</v>
      </c>
    </row>
    <row r="1580">
      <c r="A1580" t="inlineStr">
        <is>
          <t>S019</t>
        </is>
      </c>
      <c r="B1580" s="3" t="n">
        <v>46270</v>
      </c>
      <c r="C1580" t="n">
        <v>18</v>
      </c>
      <c r="D1580" t="inlineStr">
        <is>
          <t>Saturday</t>
        </is>
      </c>
      <c r="E1580" t="n">
        <v>15</v>
      </c>
      <c r="F1580" t="b">
        <v>0</v>
      </c>
      <c r="H1580" t="b">
        <v>0</v>
      </c>
    </row>
    <row r="1581">
      <c r="A1581" t="inlineStr">
        <is>
          <t>S019</t>
        </is>
      </c>
      <c r="B1581" s="3" t="n">
        <v>46270</v>
      </c>
      <c r="C1581" t="n">
        <v>19</v>
      </c>
      <c r="D1581" t="inlineStr">
        <is>
          <t>Saturday</t>
        </is>
      </c>
      <c r="E1581" t="n">
        <v>38</v>
      </c>
      <c r="F1581" t="b">
        <v>1</v>
      </c>
      <c r="H1581" t="b">
        <v>0</v>
      </c>
    </row>
    <row r="1582">
      <c r="A1582" t="inlineStr">
        <is>
          <t>S019</t>
        </is>
      </c>
      <c r="B1582" s="3" t="n">
        <v>46270</v>
      </c>
      <c r="C1582" t="n">
        <v>20</v>
      </c>
      <c r="D1582" t="inlineStr">
        <is>
          <t>Saturday</t>
        </is>
      </c>
      <c r="E1582" t="n">
        <v>36</v>
      </c>
      <c r="F1582" t="b">
        <v>1</v>
      </c>
      <c r="H1582" t="b">
        <v>0</v>
      </c>
    </row>
    <row r="1583">
      <c r="A1583" t="inlineStr">
        <is>
          <t>S019</t>
        </is>
      </c>
      <c r="B1583" s="3" t="n">
        <v>46270</v>
      </c>
      <c r="C1583" t="n">
        <v>21</v>
      </c>
      <c r="D1583" t="inlineStr">
        <is>
          <t>Saturday</t>
        </is>
      </c>
      <c r="E1583" t="n">
        <v>34</v>
      </c>
      <c r="F1583" t="b">
        <v>1</v>
      </c>
      <c r="G1583" t="inlineStr">
        <is>
          <t>Heavy</t>
        </is>
      </c>
      <c r="H1583" t="b">
        <v>0</v>
      </c>
    </row>
    <row r="1584">
      <c r="A1584" t="inlineStr">
        <is>
          <t>S019</t>
        </is>
      </c>
      <c r="B1584" s="3" t="n">
        <v>46270</v>
      </c>
      <c r="C1584" t="n">
        <v>22</v>
      </c>
      <c r="D1584" t="inlineStr">
        <is>
          <t>Saturday</t>
        </is>
      </c>
      <c r="E1584" t="n">
        <v>23</v>
      </c>
      <c r="F1584" t="b">
        <v>0</v>
      </c>
      <c r="G1584" t="inlineStr">
        <is>
          <t>Light</t>
        </is>
      </c>
      <c r="H1584" t="b">
        <v>0</v>
      </c>
    </row>
    <row r="1585">
      <c r="A1585" t="inlineStr">
        <is>
          <t>S019</t>
        </is>
      </c>
      <c r="B1585" s="3" t="n">
        <v>46270</v>
      </c>
      <c r="C1585" t="n">
        <v>23</v>
      </c>
      <c r="D1585" t="inlineStr">
        <is>
          <t>Saturday</t>
        </is>
      </c>
      <c r="E1585" t="n">
        <v>27</v>
      </c>
      <c r="F1585" t="b">
        <v>0</v>
      </c>
      <c r="G1585" t="inlineStr">
        <is>
          <t>Light</t>
        </is>
      </c>
      <c r="H1585" t="b">
        <v>0</v>
      </c>
    </row>
    <row r="1586">
      <c r="A1586" t="inlineStr">
        <is>
          <t>S020</t>
        </is>
      </c>
      <c r="B1586" s="3" t="n">
        <v>46270</v>
      </c>
      <c r="C1586" t="n">
        <v>8</v>
      </c>
      <c r="D1586" t="inlineStr">
        <is>
          <t>Saturday</t>
        </is>
      </c>
      <c r="E1586" t="n">
        <v>11</v>
      </c>
      <c r="F1586" t="b">
        <v>0</v>
      </c>
      <c r="G1586" t="inlineStr">
        <is>
          <t>Light</t>
        </is>
      </c>
      <c r="H1586" t="b">
        <v>0</v>
      </c>
    </row>
    <row r="1587">
      <c r="A1587" t="inlineStr">
        <is>
          <t>S020</t>
        </is>
      </c>
      <c r="B1587" s="3" t="n">
        <v>46270</v>
      </c>
      <c r="C1587" t="n">
        <v>9</v>
      </c>
      <c r="D1587" t="inlineStr">
        <is>
          <t>Saturday</t>
        </is>
      </c>
      <c r="E1587" t="n">
        <v>9</v>
      </c>
      <c r="F1587" t="b">
        <v>0</v>
      </c>
      <c r="H1587" t="b">
        <v>0</v>
      </c>
    </row>
    <row r="1588">
      <c r="A1588" t="inlineStr">
        <is>
          <t>S020</t>
        </is>
      </c>
      <c r="B1588" s="3" t="n">
        <v>46270</v>
      </c>
      <c r="C1588" t="n">
        <v>10</v>
      </c>
      <c r="D1588" t="inlineStr">
        <is>
          <t>Saturday</t>
        </is>
      </c>
      <c r="E1588" t="n">
        <v>13</v>
      </c>
      <c r="F1588" t="b">
        <v>0</v>
      </c>
      <c r="H1588" t="b">
        <v>0</v>
      </c>
    </row>
    <row r="1589">
      <c r="A1589" t="inlineStr">
        <is>
          <t>S020</t>
        </is>
      </c>
      <c r="B1589" s="3" t="n">
        <v>46270</v>
      </c>
      <c r="C1589" t="n">
        <v>11</v>
      </c>
      <c r="D1589" t="inlineStr">
        <is>
          <t>Saturday</t>
        </is>
      </c>
      <c r="E1589" t="n">
        <v>18</v>
      </c>
      <c r="F1589" t="b">
        <v>0</v>
      </c>
      <c r="H1589" t="b">
        <v>0</v>
      </c>
    </row>
    <row r="1590">
      <c r="A1590" t="inlineStr">
        <is>
          <t>S020</t>
        </is>
      </c>
      <c r="B1590" s="3" t="n">
        <v>46270</v>
      </c>
      <c r="C1590" t="n">
        <v>12</v>
      </c>
      <c r="D1590" t="inlineStr">
        <is>
          <t>Saturday</t>
        </is>
      </c>
      <c r="E1590" t="n">
        <v>19</v>
      </c>
      <c r="F1590" t="b">
        <v>0</v>
      </c>
      <c r="H1590" t="b">
        <v>0</v>
      </c>
    </row>
    <row r="1591">
      <c r="A1591" t="inlineStr">
        <is>
          <t>S020</t>
        </is>
      </c>
      <c r="B1591" s="3" t="n">
        <v>46270</v>
      </c>
      <c r="C1591" t="n">
        <v>13</v>
      </c>
      <c r="D1591" t="inlineStr">
        <is>
          <t>Saturday</t>
        </is>
      </c>
      <c r="E1591" t="n">
        <v>18</v>
      </c>
      <c r="F1591" t="b">
        <v>0</v>
      </c>
      <c r="H1591" t="b">
        <v>0</v>
      </c>
    </row>
    <row r="1592">
      <c r="A1592" t="inlineStr">
        <is>
          <t>S020</t>
        </is>
      </c>
      <c r="B1592" s="3" t="n">
        <v>46270</v>
      </c>
      <c r="C1592" t="n">
        <v>14</v>
      </c>
      <c r="D1592" t="inlineStr">
        <is>
          <t>Saturday</t>
        </is>
      </c>
      <c r="E1592" t="n">
        <v>6</v>
      </c>
      <c r="F1592" t="b">
        <v>0</v>
      </c>
      <c r="G1592" t="inlineStr">
        <is>
          <t>Light</t>
        </is>
      </c>
      <c r="H1592" t="b">
        <v>0</v>
      </c>
    </row>
    <row r="1593">
      <c r="A1593" t="inlineStr">
        <is>
          <t>S020</t>
        </is>
      </c>
      <c r="B1593" s="3" t="n">
        <v>46270</v>
      </c>
      <c r="C1593" t="n">
        <v>15</v>
      </c>
      <c r="D1593" t="inlineStr">
        <is>
          <t>Saturday</t>
        </is>
      </c>
      <c r="E1593" t="n">
        <v>10</v>
      </c>
      <c r="F1593" t="b">
        <v>0</v>
      </c>
      <c r="G1593" t="inlineStr">
        <is>
          <t>Light</t>
        </is>
      </c>
      <c r="H1593" t="b">
        <v>0</v>
      </c>
    </row>
    <row r="1594">
      <c r="A1594" t="inlineStr">
        <is>
          <t>S020</t>
        </is>
      </c>
      <c r="B1594" s="3" t="n">
        <v>46270</v>
      </c>
      <c r="C1594" t="n">
        <v>16</v>
      </c>
      <c r="D1594" t="inlineStr">
        <is>
          <t>Saturday</t>
        </is>
      </c>
      <c r="E1594" t="n">
        <v>15</v>
      </c>
      <c r="F1594" t="b">
        <v>0</v>
      </c>
      <c r="H1594" t="b">
        <v>0</v>
      </c>
    </row>
    <row r="1595">
      <c r="A1595" t="inlineStr">
        <is>
          <t>S020</t>
        </is>
      </c>
      <c r="B1595" s="3" t="n">
        <v>46270</v>
      </c>
      <c r="C1595" t="n">
        <v>17</v>
      </c>
      <c r="D1595" t="inlineStr">
        <is>
          <t>Saturday</t>
        </is>
      </c>
      <c r="E1595" t="n">
        <v>12</v>
      </c>
      <c r="F1595" t="b">
        <v>0</v>
      </c>
      <c r="G1595" t="inlineStr">
        <is>
          <t>Light</t>
        </is>
      </c>
      <c r="H1595" t="b">
        <v>0</v>
      </c>
    </row>
    <row r="1596">
      <c r="A1596" t="inlineStr">
        <is>
          <t>S020</t>
        </is>
      </c>
      <c r="B1596" s="3" t="n">
        <v>46270</v>
      </c>
      <c r="C1596" t="n">
        <v>18</v>
      </c>
      <c r="D1596" t="inlineStr">
        <is>
          <t>Saturday</t>
        </is>
      </c>
      <c r="E1596" t="n">
        <v>9</v>
      </c>
      <c r="F1596" t="b">
        <v>0</v>
      </c>
      <c r="H1596" t="b">
        <v>0</v>
      </c>
    </row>
    <row r="1597">
      <c r="A1597" t="inlineStr">
        <is>
          <t>S020</t>
        </is>
      </c>
      <c r="B1597" s="3" t="n">
        <v>46270</v>
      </c>
      <c r="C1597" t="n">
        <v>19</v>
      </c>
      <c r="D1597" t="inlineStr">
        <is>
          <t>Saturday</t>
        </is>
      </c>
      <c r="E1597" t="n">
        <v>26</v>
      </c>
      <c r="F1597" t="b">
        <v>1</v>
      </c>
      <c r="G1597" t="inlineStr">
        <is>
          <t>Light</t>
        </is>
      </c>
      <c r="H1597" t="b">
        <v>0</v>
      </c>
    </row>
    <row r="1598">
      <c r="A1598" t="inlineStr">
        <is>
          <t>S020</t>
        </is>
      </c>
      <c r="B1598" s="3" t="n">
        <v>46270</v>
      </c>
      <c r="C1598" t="n">
        <v>20</v>
      </c>
      <c r="D1598" t="inlineStr">
        <is>
          <t>Saturday</t>
        </is>
      </c>
      <c r="E1598" t="n">
        <v>25</v>
      </c>
      <c r="F1598" t="b">
        <v>1</v>
      </c>
      <c r="H1598" t="b">
        <v>0</v>
      </c>
    </row>
    <row r="1599">
      <c r="A1599" t="inlineStr">
        <is>
          <t>S020</t>
        </is>
      </c>
      <c r="B1599" s="3" t="n">
        <v>46270</v>
      </c>
      <c r="C1599" t="n">
        <v>21</v>
      </c>
      <c r="D1599" t="inlineStr">
        <is>
          <t>Saturday</t>
        </is>
      </c>
      <c r="E1599" t="n">
        <v>30</v>
      </c>
      <c r="F1599" t="b">
        <v>1</v>
      </c>
      <c r="G1599" t="inlineStr">
        <is>
          <t>Light</t>
        </is>
      </c>
      <c r="H1599" t="b">
        <v>0</v>
      </c>
    </row>
    <row r="1600">
      <c r="A1600" t="inlineStr">
        <is>
          <t>S020</t>
        </is>
      </c>
      <c r="B1600" s="3" t="n">
        <v>46270</v>
      </c>
      <c r="C1600" t="n">
        <v>22</v>
      </c>
      <c r="D1600" t="inlineStr">
        <is>
          <t>Saturday</t>
        </is>
      </c>
      <c r="E1600" t="n">
        <v>23</v>
      </c>
      <c r="F1600" t="b">
        <v>0</v>
      </c>
      <c r="H1600" t="b">
        <v>0</v>
      </c>
    </row>
    <row r="1601">
      <c r="A1601" t="inlineStr">
        <is>
          <t>S020</t>
        </is>
      </c>
      <c r="B1601" s="3" t="n">
        <v>46270</v>
      </c>
      <c r="C1601" t="n">
        <v>23</v>
      </c>
      <c r="D1601" t="inlineStr">
        <is>
          <t>Saturday</t>
        </is>
      </c>
      <c r="E1601" t="n">
        <v>17</v>
      </c>
      <c r="F1601" t="b">
        <v>0</v>
      </c>
      <c r="H1601" t="b">
        <v>0</v>
      </c>
    </row>
    <row r="1602">
      <c r="A1602" t="inlineStr">
        <is>
          <t>S001</t>
        </is>
      </c>
      <c r="B1602" s="3" t="n">
        <v>46271</v>
      </c>
      <c r="C1602" t="n">
        <v>8</v>
      </c>
      <c r="D1602" t="inlineStr">
        <is>
          <t>Sunday</t>
        </is>
      </c>
      <c r="E1602" t="n">
        <v>11</v>
      </c>
      <c r="F1602" t="b">
        <v>0</v>
      </c>
      <c r="H1602" t="b">
        <v>0</v>
      </c>
    </row>
    <row r="1603">
      <c r="A1603" t="inlineStr">
        <is>
          <t>S001</t>
        </is>
      </c>
      <c r="B1603" s="3" t="n">
        <v>46271</v>
      </c>
      <c r="C1603" t="n">
        <v>9</v>
      </c>
      <c r="D1603" t="inlineStr">
        <is>
          <t>Sunday</t>
        </is>
      </c>
      <c r="E1603" t="n">
        <v>14</v>
      </c>
      <c r="F1603" t="b">
        <v>0</v>
      </c>
      <c r="G1603" t="inlineStr">
        <is>
          <t>Heavy</t>
        </is>
      </c>
      <c r="H1603" t="b">
        <v>0</v>
      </c>
    </row>
    <row r="1604">
      <c r="A1604" t="inlineStr">
        <is>
          <t>S001</t>
        </is>
      </c>
      <c r="B1604" s="3" t="n">
        <v>46271</v>
      </c>
      <c r="C1604" t="n">
        <v>10</v>
      </c>
      <c r="D1604" t="inlineStr">
        <is>
          <t>Sunday</t>
        </is>
      </c>
      <c r="E1604" t="n">
        <v>17</v>
      </c>
      <c r="F1604" t="b">
        <v>0</v>
      </c>
      <c r="H1604" t="b">
        <v>0</v>
      </c>
    </row>
    <row r="1605">
      <c r="A1605" t="inlineStr">
        <is>
          <t>S001</t>
        </is>
      </c>
      <c r="B1605" s="3" t="n">
        <v>46271</v>
      </c>
      <c r="C1605" t="n">
        <v>11</v>
      </c>
      <c r="D1605" t="inlineStr">
        <is>
          <t>Sunday</t>
        </is>
      </c>
      <c r="E1605" t="n">
        <v>19</v>
      </c>
      <c r="F1605" t="b">
        <v>0</v>
      </c>
      <c r="H1605" t="b">
        <v>0</v>
      </c>
    </row>
    <row r="1606">
      <c r="A1606" t="inlineStr">
        <is>
          <t>S001</t>
        </is>
      </c>
      <c r="B1606" s="3" t="n">
        <v>46271</v>
      </c>
      <c r="C1606" t="n">
        <v>12</v>
      </c>
      <c r="D1606" t="inlineStr">
        <is>
          <t>Sunday</t>
        </is>
      </c>
      <c r="E1606" t="n">
        <v>11</v>
      </c>
      <c r="F1606" t="b">
        <v>0</v>
      </c>
      <c r="H1606" t="b">
        <v>0</v>
      </c>
    </row>
    <row r="1607">
      <c r="A1607" t="inlineStr">
        <is>
          <t>S001</t>
        </is>
      </c>
      <c r="B1607" s="3" t="n">
        <v>46271</v>
      </c>
      <c r="C1607" t="n">
        <v>13</v>
      </c>
      <c r="D1607" t="inlineStr">
        <is>
          <t>Sunday</t>
        </is>
      </c>
      <c r="E1607" t="n">
        <v>16</v>
      </c>
      <c r="F1607" t="b">
        <v>0</v>
      </c>
      <c r="H1607" t="b">
        <v>0</v>
      </c>
    </row>
    <row r="1608">
      <c r="A1608" t="inlineStr">
        <is>
          <t>S001</t>
        </is>
      </c>
      <c r="B1608" s="3" t="n">
        <v>46271</v>
      </c>
      <c r="C1608" t="n">
        <v>14</v>
      </c>
      <c r="D1608" t="inlineStr">
        <is>
          <t>Sunday</t>
        </is>
      </c>
      <c r="E1608" t="n">
        <v>13</v>
      </c>
      <c r="F1608" t="b">
        <v>0</v>
      </c>
      <c r="G1608" t="inlineStr">
        <is>
          <t>Heavy</t>
        </is>
      </c>
      <c r="H1608" t="b">
        <v>0</v>
      </c>
    </row>
    <row r="1609">
      <c r="A1609" t="inlineStr">
        <is>
          <t>S001</t>
        </is>
      </c>
      <c r="B1609" s="3" t="n">
        <v>46271</v>
      </c>
      <c r="C1609" t="n">
        <v>15</v>
      </c>
      <c r="D1609" t="inlineStr">
        <is>
          <t>Sunday</t>
        </is>
      </c>
      <c r="E1609" t="n">
        <v>17</v>
      </c>
      <c r="F1609" t="b">
        <v>0</v>
      </c>
      <c r="G1609" t="inlineStr">
        <is>
          <t>Light</t>
        </is>
      </c>
      <c r="H1609" t="b">
        <v>0</v>
      </c>
    </row>
    <row r="1610">
      <c r="A1610" t="inlineStr">
        <is>
          <t>S001</t>
        </is>
      </c>
      <c r="B1610" s="3" t="n">
        <v>46271</v>
      </c>
      <c r="C1610" t="n">
        <v>16</v>
      </c>
      <c r="D1610" t="inlineStr">
        <is>
          <t>Sunday</t>
        </is>
      </c>
      <c r="E1610" t="n">
        <v>8</v>
      </c>
      <c r="F1610" t="b">
        <v>0</v>
      </c>
      <c r="H1610" t="b">
        <v>0</v>
      </c>
    </row>
    <row r="1611">
      <c r="A1611" t="inlineStr">
        <is>
          <t>S001</t>
        </is>
      </c>
      <c r="B1611" s="3" t="n">
        <v>46271</v>
      </c>
      <c r="C1611" t="n">
        <v>17</v>
      </c>
      <c r="D1611" t="inlineStr">
        <is>
          <t>Sunday</t>
        </is>
      </c>
      <c r="E1611" t="n">
        <v>19</v>
      </c>
      <c r="F1611" t="b">
        <v>0</v>
      </c>
      <c r="H1611" t="b">
        <v>0</v>
      </c>
    </row>
    <row r="1612">
      <c r="A1612" t="inlineStr">
        <is>
          <t>S001</t>
        </is>
      </c>
      <c r="B1612" s="3" t="n">
        <v>46271</v>
      </c>
      <c r="C1612" t="n">
        <v>18</v>
      </c>
      <c r="D1612" t="inlineStr">
        <is>
          <t>Sunday</t>
        </is>
      </c>
      <c r="E1612" t="n">
        <v>26</v>
      </c>
      <c r="F1612" t="b">
        <v>0</v>
      </c>
      <c r="H1612" t="b">
        <v>0</v>
      </c>
    </row>
    <row r="1613">
      <c r="A1613" t="inlineStr">
        <is>
          <t>S001</t>
        </is>
      </c>
      <c r="B1613" s="3" t="n">
        <v>46271</v>
      </c>
      <c r="C1613" t="n">
        <v>19</v>
      </c>
      <c r="D1613" t="inlineStr">
        <is>
          <t>Sunday</t>
        </is>
      </c>
      <c r="E1613" t="n">
        <v>32</v>
      </c>
      <c r="F1613" t="b">
        <v>1</v>
      </c>
      <c r="G1613" t="inlineStr">
        <is>
          <t>Light</t>
        </is>
      </c>
      <c r="H1613" t="b">
        <v>0</v>
      </c>
    </row>
    <row r="1614">
      <c r="A1614" t="inlineStr">
        <is>
          <t>S001</t>
        </is>
      </c>
      <c r="B1614" s="3" t="n">
        <v>46271</v>
      </c>
      <c r="C1614" t="n">
        <v>20</v>
      </c>
      <c r="D1614" t="inlineStr">
        <is>
          <t>Sunday</t>
        </is>
      </c>
      <c r="E1614" t="n">
        <v>35</v>
      </c>
      <c r="F1614" t="b">
        <v>1</v>
      </c>
      <c r="G1614" t="inlineStr">
        <is>
          <t>Light</t>
        </is>
      </c>
      <c r="H1614" t="b">
        <v>0</v>
      </c>
    </row>
    <row r="1615">
      <c r="A1615" t="inlineStr">
        <is>
          <t>S001</t>
        </is>
      </c>
      <c r="B1615" s="3" t="n">
        <v>46271</v>
      </c>
      <c r="C1615" t="n">
        <v>21</v>
      </c>
      <c r="D1615" t="inlineStr">
        <is>
          <t>Sunday</t>
        </is>
      </c>
      <c r="E1615" t="n">
        <v>27</v>
      </c>
      <c r="F1615" t="b">
        <v>1</v>
      </c>
      <c r="H1615" t="b">
        <v>0</v>
      </c>
    </row>
    <row r="1616">
      <c r="A1616" t="inlineStr">
        <is>
          <t>S001</t>
        </is>
      </c>
      <c r="B1616" s="3" t="n">
        <v>46271</v>
      </c>
      <c r="C1616" t="n">
        <v>22</v>
      </c>
      <c r="D1616" t="inlineStr">
        <is>
          <t>Sunday</t>
        </is>
      </c>
      <c r="E1616" t="n">
        <v>16</v>
      </c>
      <c r="F1616" t="b">
        <v>0</v>
      </c>
      <c r="H1616" t="b">
        <v>0</v>
      </c>
    </row>
    <row r="1617">
      <c r="A1617" t="inlineStr">
        <is>
          <t>S001</t>
        </is>
      </c>
      <c r="B1617" s="3" t="n">
        <v>46271</v>
      </c>
      <c r="C1617" t="n">
        <v>23</v>
      </c>
      <c r="D1617" t="inlineStr">
        <is>
          <t>Sunday</t>
        </is>
      </c>
      <c r="E1617" t="n">
        <v>16</v>
      </c>
      <c r="F1617" t="b">
        <v>0</v>
      </c>
      <c r="H1617" t="b">
        <v>0</v>
      </c>
    </row>
    <row r="1618">
      <c r="A1618" t="inlineStr">
        <is>
          <t>S002</t>
        </is>
      </c>
      <c r="B1618" s="3" t="n">
        <v>46271</v>
      </c>
      <c r="C1618" t="n">
        <v>8</v>
      </c>
      <c r="D1618" t="inlineStr">
        <is>
          <t>Sunday</t>
        </is>
      </c>
      <c r="E1618" t="n">
        <v>26</v>
      </c>
      <c r="F1618" t="b">
        <v>0</v>
      </c>
      <c r="H1618" t="b">
        <v>0</v>
      </c>
    </row>
    <row r="1619">
      <c r="A1619" t="inlineStr">
        <is>
          <t>S002</t>
        </is>
      </c>
      <c r="B1619" s="3" t="n">
        <v>46271</v>
      </c>
      <c r="C1619" t="n">
        <v>9</v>
      </c>
      <c r="D1619" t="inlineStr">
        <is>
          <t>Sunday</t>
        </is>
      </c>
      <c r="E1619" t="n">
        <v>33</v>
      </c>
      <c r="F1619" t="b">
        <v>0</v>
      </c>
      <c r="H1619" t="b">
        <v>0</v>
      </c>
    </row>
    <row r="1620">
      <c r="A1620" t="inlineStr">
        <is>
          <t>S002</t>
        </is>
      </c>
      <c r="B1620" s="3" t="n">
        <v>46271</v>
      </c>
      <c r="C1620" t="n">
        <v>10</v>
      </c>
      <c r="D1620" t="inlineStr">
        <is>
          <t>Sunday</t>
        </is>
      </c>
      <c r="E1620" t="n">
        <v>33</v>
      </c>
      <c r="F1620" t="b">
        <v>0</v>
      </c>
      <c r="H1620" t="b">
        <v>0</v>
      </c>
    </row>
    <row r="1621">
      <c r="A1621" t="inlineStr">
        <is>
          <t>S002</t>
        </is>
      </c>
      <c r="B1621" s="3" t="n">
        <v>46271</v>
      </c>
      <c r="C1621" t="n">
        <v>11</v>
      </c>
      <c r="D1621" t="inlineStr">
        <is>
          <t>Sunday</t>
        </is>
      </c>
      <c r="E1621" t="n">
        <v>33</v>
      </c>
      <c r="F1621" t="b">
        <v>0</v>
      </c>
      <c r="H1621" t="b">
        <v>0</v>
      </c>
    </row>
    <row r="1622">
      <c r="A1622" t="inlineStr">
        <is>
          <t>S002</t>
        </is>
      </c>
      <c r="B1622" s="3" t="n">
        <v>46271</v>
      </c>
      <c r="C1622" t="n">
        <v>12</v>
      </c>
      <c r="D1622" t="inlineStr">
        <is>
          <t>Sunday</t>
        </is>
      </c>
      <c r="E1622" t="n">
        <v>49</v>
      </c>
      <c r="F1622" t="b">
        <v>0</v>
      </c>
      <c r="H1622" t="b">
        <v>0</v>
      </c>
    </row>
    <row r="1623">
      <c r="A1623" t="inlineStr">
        <is>
          <t>S002</t>
        </is>
      </c>
      <c r="B1623" s="3" t="n">
        <v>46271</v>
      </c>
      <c r="C1623" t="n">
        <v>13</v>
      </c>
      <c r="D1623" t="inlineStr">
        <is>
          <t>Sunday</t>
        </is>
      </c>
      <c r="E1623" t="n">
        <v>35</v>
      </c>
      <c r="F1623" t="b">
        <v>0</v>
      </c>
      <c r="H1623" t="b">
        <v>0</v>
      </c>
    </row>
    <row r="1624">
      <c r="A1624" t="inlineStr">
        <is>
          <t>S002</t>
        </is>
      </c>
      <c r="B1624" s="3" t="n">
        <v>46271</v>
      </c>
      <c r="C1624" t="n">
        <v>14</v>
      </c>
      <c r="D1624" t="inlineStr">
        <is>
          <t>Sunday</t>
        </is>
      </c>
      <c r="E1624" t="n">
        <v>25</v>
      </c>
      <c r="F1624" t="b">
        <v>0</v>
      </c>
      <c r="H1624" t="b">
        <v>0</v>
      </c>
    </row>
    <row r="1625">
      <c r="A1625" t="inlineStr">
        <is>
          <t>S002</t>
        </is>
      </c>
      <c r="B1625" s="3" t="n">
        <v>46271</v>
      </c>
      <c r="C1625" t="n">
        <v>15</v>
      </c>
      <c r="D1625" t="inlineStr">
        <is>
          <t>Sunday</t>
        </is>
      </c>
      <c r="E1625" t="n">
        <v>23</v>
      </c>
      <c r="F1625" t="b">
        <v>0</v>
      </c>
      <c r="H1625" t="b">
        <v>0</v>
      </c>
    </row>
    <row r="1626">
      <c r="A1626" t="inlineStr">
        <is>
          <t>S002</t>
        </is>
      </c>
      <c r="B1626" s="3" t="n">
        <v>46271</v>
      </c>
      <c r="C1626" t="n">
        <v>16</v>
      </c>
      <c r="D1626" t="inlineStr">
        <is>
          <t>Sunday</t>
        </is>
      </c>
      <c r="E1626" t="n">
        <v>30</v>
      </c>
      <c r="F1626" t="b">
        <v>0</v>
      </c>
      <c r="H1626" t="b">
        <v>0</v>
      </c>
    </row>
    <row r="1627">
      <c r="A1627" t="inlineStr">
        <is>
          <t>S002</t>
        </is>
      </c>
      <c r="B1627" s="3" t="n">
        <v>46271</v>
      </c>
      <c r="C1627" t="n">
        <v>17</v>
      </c>
      <c r="D1627" t="inlineStr">
        <is>
          <t>Sunday</t>
        </is>
      </c>
      <c r="E1627" t="n">
        <v>38</v>
      </c>
      <c r="F1627" t="b">
        <v>0</v>
      </c>
      <c r="H1627" t="b">
        <v>0</v>
      </c>
    </row>
    <row r="1628">
      <c r="A1628" t="inlineStr">
        <is>
          <t>S002</t>
        </is>
      </c>
      <c r="B1628" s="3" t="n">
        <v>46271</v>
      </c>
      <c r="C1628" t="n">
        <v>18</v>
      </c>
      <c r="D1628" t="inlineStr">
        <is>
          <t>Sunday</t>
        </is>
      </c>
      <c r="E1628" t="n">
        <v>42</v>
      </c>
      <c r="F1628" t="b">
        <v>0</v>
      </c>
      <c r="H1628" t="b">
        <v>0</v>
      </c>
    </row>
    <row r="1629">
      <c r="A1629" t="inlineStr">
        <is>
          <t>S002</t>
        </is>
      </c>
      <c r="B1629" s="3" t="n">
        <v>46271</v>
      </c>
      <c r="C1629" t="n">
        <v>19</v>
      </c>
      <c r="D1629" t="inlineStr">
        <is>
          <t>Sunday</t>
        </is>
      </c>
      <c r="E1629" t="n">
        <v>52</v>
      </c>
      <c r="F1629" t="b">
        <v>1</v>
      </c>
      <c r="H1629" t="b">
        <v>0</v>
      </c>
    </row>
    <row r="1630">
      <c r="A1630" t="inlineStr">
        <is>
          <t>S002</t>
        </is>
      </c>
      <c r="B1630" s="3" t="n">
        <v>46271</v>
      </c>
      <c r="C1630" t="n">
        <v>20</v>
      </c>
      <c r="D1630" t="inlineStr">
        <is>
          <t>Sunday</t>
        </is>
      </c>
      <c r="E1630" t="n">
        <v>66</v>
      </c>
      <c r="F1630" t="b">
        <v>1</v>
      </c>
      <c r="H1630" t="b">
        <v>0</v>
      </c>
    </row>
    <row r="1631">
      <c r="A1631" t="inlineStr">
        <is>
          <t>S002</t>
        </is>
      </c>
      <c r="B1631" s="3" t="n">
        <v>46271</v>
      </c>
      <c r="C1631" t="n">
        <v>21</v>
      </c>
      <c r="D1631" t="inlineStr">
        <is>
          <t>Sunday</t>
        </is>
      </c>
      <c r="E1631" t="n">
        <v>49</v>
      </c>
      <c r="F1631" t="b">
        <v>1</v>
      </c>
      <c r="H1631" t="b">
        <v>0</v>
      </c>
    </row>
    <row r="1632">
      <c r="A1632" t="inlineStr">
        <is>
          <t>S002</t>
        </is>
      </c>
      <c r="B1632" s="3" t="n">
        <v>46271</v>
      </c>
      <c r="C1632" t="n">
        <v>22</v>
      </c>
      <c r="D1632" t="inlineStr">
        <is>
          <t>Sunday</t>
        </is>
      </c>
      <c r="E1632" t="n">
        <v>34</v>
      </c>
      <c r="F1632" t="b">
        <v>0</v>
      </c>
      <c r="G1632" t="inlineStr">
        <is>
          <t>Light</t>
        </is>
      </c>
      <c r="H1632" t="b">
        <v>0</v>
      </c>
    </row>
    <row r="1633">
      <c r="A1633" t="inlineStr">
        <is>
          <t>S002</t>
        </is>
      </c>
      <c r="B1633" s="3" t="n">
        <v>46271</v>
      </c>
      <c r="C1633" t="n">
        <v>23</v>
      </c>
      <c r="D1633" t="inlineStr">
        <is>
          <t>Sunday</t>
        </is>
      </c>
      <c r="E1633" t="n">
        <v>43</v>
      </c>
      <c r="F1633" t="b">
        <v>0</v>
      </c>
      <c r="H1633" t="b">
        <v>0</v>
      </c>
    </row>
    <row r="1634">
      <c r="A1634" t="inlineStr">
        <is>
          <t>S003</t>
        </is>
      </c>
      <c r="B1634" s="3" t="n">
        <v>46271</v>
      </c>
      <c r="C1634" t="n">
        <v>8</v>
      </c>
      <c r="D1634" t="inlineStr">
        <is>
          <t>Sunday</t>
        </is>
      </c>
      <c r="E1634" t="n">
        <v>21</v>
      </c>
      <c r="F1634" t="b">
        <v>0</v>
      </c>
      <c r="H1634" t="b">
        <v>0</v>
      </c>
    </row>
    <row r="1635">
      <c r="A1635" t="inlineStr">
        <is>
          <t>S003</t>
        </is>
      </c>
      <c r="B1635" s="3" t="n">
        <v>46271</v>
      </c>
      <c r="C1635" t="n">
        <v>9</v>
      </c>
      <c r="D1635" t="inlineStr">
        <is>
          <t>Sunday</t>
        </is>
      </c>
      <c r="E1635" t="n">
        <v>30</v>
      </c>
      <c r="F1635" t="b">
        <v>0</v>
      </c>
      <c r="G1635" t="inlineStr">
        <is>
          <t>Heavy</t>
        </is>
      </c>
      <c r="H1635" t="b">
        <v>0</v>
      </c>
    </row>
    <row r="1636">
      <c r="A1636" t="inlineStr">
        <is>
          <t>S003</t>
        </is>
      </c>
      <c r="B1636" s="3" t="n">
        <v>46271</v>
      </c>
      <c r="C1636" t="n">
        <v>10</v>
      </c>
      <c r="D1636" t="inlineStr">
        <is>
          <t>Sunday</t>
        </is>
      </c>
      <c r="E1636" t="n">
        <v>40</v>
      </c>
      <c r="F1636" t="b">
        <v>0</v>
      </c>
      <c r="H1636" t="b">
        <v>1</v>
      </c>
    </row>
    <row r="1637">
      <c r="A1637" t="inlineStr">
        <is>
          <t>S003</t>
        </is>
      </c>
      <c r="B1637" s="3" t="n">
        <v>46271</v>
      </c>
      <c r="C1637" t="n">
        <v>11</v>
      </c>
      <c r="D1637" t="inlineStr">
        <is>
          <t>Sunday</t>
        </is>
      </c>
      <c r="E1637" t="n">
        <v>50</v>
      </c>
      <c r="F1637" t="b">
        <v>0</v>
      </c>
      <c r="G1637" t="inlineStr">
        <is>
          <t>Light</t>
        </is>
      </c>
      <c r="H1637" t="b">
        <v>0</v>
      </c>
    </row>
    <row r="1638">
      <c r="A1638" t="inlineStr">
        <is>
          <t>S003</t>
        </is>
      </c>
      <c r="B1638" s="3" t="n">
        <v>46271</v>
      </c>
      <c r="C1638" t="n">
        <v>12</v>
      </c>
      <c r="D1638" t="inlineStr">
        <is>
          <t>Sunday</t>
        </is>
      </c>
      <c r="E1638" t="n">
        <v>51</v>
      </c>
      <c r="F1638" t="b">
        <v>0</v>
      </c>
      <c r="H1638" t="b">
        <v>0</v>
      </c>
    </row>
    <row r="1639">
      <c r="A1639" t="inlineStr">
        <is>
          <t>S003</t>
        </is>
      </c>
      <c r="B1639" s="3" t="n">
        <v>46271</v>
      </c>
      <c r="C1639" t="n">
        <v>13</v>
      </c>
      <c r="D1639" t="inlineStr">
        <is>
          <t>Sunday</t>
        </is>
      </c>
      <c r="E1639" t="n">
        <v>43</v>
      </c>
      <c r="F1639" t="b">
        <v>0</v>
      </c>
      <c r="H1639" t="b">
        <v>0</v>
      </c>
    </row>
    <row r="1640">
      <c r="A1640" t="inlineStr">
        <is>
          <t>S003</t>
        </is>
      </c>
      <c r="B1640" s="3" t="n">
        <v>46271</v>
      </c>
      <c r="C1640" t="n">
        <v>14</v>
      </c>
      <c r="D1640" t="inlineStr">
        <is>
          <t>Sunday</t>
        </is>
      </c>
      <c r="E1640" t="n">
        <v>24</v>
      </c>
      <c r="F1640" t="b">
        <v>0</v>
      </c>
      <c r="H1640" t="b">
        <v>0</v>
      </c>
    </row>
    <row r="1641">
      <c r="A1641" t="inlineStr">
        <is>
          <t>S003</t>
        </is>
      </c>
      <c r="B1641" s="3" t="n">
        <v>46271</v>
      </c>
      <c r="C1641" t="n">
        <v>15</v>
      </c>
      <c r="D1641" t="inlineStr">
        <is>
          <t>Sunday</t>
        </is>
      </c>
      <c r="E1641" t="n">
        <v>39</v>
      </c>
      <c r="F1641" t="b">
        <v>0</v>
      </c>
      <c r="H1641" t="b">
        <v>0</v>
      </c>
    </row>
    <row r="1642">
      <c r="A1642" t="inlineStr">
        <is>
          <t>S003</t>
        </is>
      </c>
      <c r="B1642" s="3" t="n">
        <v>46271</v>
      </c>
      <c r="C1642" t="n">
        <v>16</v>
      </c>
      <c r="D1642" t="inlineStr">
        <is>
          <t>Sunday</t>
        </is>
      </c>
      <c r="E1642" t="n">
        <v>39</v>
      </c>
      <c r="F1642" t="b">
        <v>0</v>
      </c>
      <c r="H1642" t="b">
        <v>0</v>
      </c>
    </row>
    <row r="1643">
      <c r="A1643" t="inlineStr">
        <is>
          <t>S003</t>
        </is>
      </c>
      <c r="B1643" s="3" t="n">
        <v>46271</v>
      </c>
      <c r="C1643" t="n">
        <v>17</v>
      </c>
      <c r="D1643" t="inlineStr">
        <is>
          <t>Sunday</t>
        </is>
      </c>
      <c r="E1643" t="n">
        <v>48</v>
      </c>
      <c r="F1643" t="b">
        <v>0</v>
      </c>
      <c r="G1643" t="inlineStr">
        <is>
          <t>Light</t>
        </is>
      </c>
      <c r="H1643" t="b">
        <v>0</v>
      </c>
    </row>
    <row r="1644">
      <c r="A1644" t="inlineStr">
        <is>
          <t>S003</t>
        </is>
      </c>
      <c r="B1644" s="3" t="n">
        <v>46271</v>
      </c>
      <c r="C1644" t="n">
        <v>18</v>
      </c>
      <c r="D1644" t="inlineStr">
        <is>
          <t>Sunday</t>
        </is>
      </c>
      <c r="E1644" t="n">
        <v>39</v>
      </c>
      <c r="F1644" t="b">
        <v>0</v>
      </c>
      <c r="G1644" t="inlineStr">
        <is>
          <t>Light</t>
        </is>
      </c>
      <c r="H1644" t="b">
        <v>0</v>
      </c>
    </row>
    <row r="1645">
      <c r="A1645" t="inlineStr">
        <is>
          <t>S003</t>
        </is>
      </c>
      <c r="B1645" s="3" t="n">
        <v>46271</v>
      </c>
      <c r="C1645" t="n">
        <v>19</v>
      </c>
      <c r="D1645" t="inlineStr">
        <is>
          <t>Sunday</t>
        </is>
      </c>
      <c r="E1645" t="n">
        <v>75</v>
      </c>
      <c r="F1645" t="b">
        <v>1</v>
      </c>
      <c r="G1645" t="inlineStr">
        <is>
          <t>Light</t>
        </is>
      </c>
      <c r="H1645" t="b">
        <v>0</v>
      </c>
    </row>
    <row r="1646">
      <c r="A1646" t="inlineStr">
        <is>
          <t>S003</t>
        </is>
      </c>
      <c r="B1646" s="3" t="n">
        <v>46271</v>
      </c>
      <c r="C1646" t="n">
        <v>20</v>
      </c>
      <c r="D1646" t="inlineStr">
        <is>
          <t>Sunday</t>
        </is>
      </c>
      <c r="E1646" t="n">
        <v>55</v>
      </c>
      <c r="F1646" t="b">
        <v>1</v>
      </c>
      <c r="H1646" t="b">
        <v>0</v>
      </c>
    </row>
    <row r="1647">
      <c r="A1647" t="inlineStr">
        <is>
          <t>S003</t>
        </is>
      </c>
      <c r="B1647" s="3" t="n">
        <v>46271</v>
      </c>
      <c r="C1647" t="n">
        <v>21</v>
      </c>
      <c r="D1647" t="inlineStr">
        <is>
          <t>Sunday</t>
        </is>
      </c>
      <c r="E1647" t="n">
        <v>58</v>
      </c>
      <c r="F1647" t="b">
        <v>1</v>
      </c>
      <c r="H1647" t="b">
        <v>0</v>
      </c>
    </row>
    <row r="1648">
      <c r="A1648" t="inlineStr">
        <is>
          <t>S003</t>
        </is>
      </c>
      <c r="B1648" s="3" t="n">
        <v>46271</v>
      </c>
      <c r="C1648" t="n">
        <v>22</v>
      </c>
      <c r="D1648" t="inlineStr">
        <is>
          <t>Sunday</t>
        </is>
      </c>
      <c r="E1648" t="n">
        <v>48</v>
      </c>
      <c r="F1648" t="b">
        <v>0</v>
      </c>
      <c r="G1648" t="inlineStr">
        <is>
          <t>Heavy</t>
        </is>
      </c>
      <c r="H1648" t="b">
        <v>0</v>
      </c>
    </row>
    <row r="1649">
      <c r="A1649" t="inlineStr">
        <is>
          <t>S003</t>
        </is>
      </c>
      <c r="B1649" s="3" t="n">
        <v>46271</v>
      </c>
      <c r="C1649" t="n">
        <v>23</v>
      </c>
      <c r="D1649" t="inlineStr">
        <is>
          <t>Sunday</t>
        </is>
      </c>
      <c r="E1649" t="n">
        <v>41</v>
      </c>
      <c r="F1649" t="b">
        <v>0</v>
      </c>
      <c r="H1649" t="b">
        <v>0</v>
      </c>
    </row>
    <row r="1650">
      <c r="A1650" t="inlineStr">
        <is>
          <t>S004</t>
        </is>
      </c>
      <c r="B1650" s="3" t="n">
        <v>46271</v>
      </c>
      <c r="C1650" t="n">
        <v>8</v>
      </c>
      <c r="D1650" t="inlineStr">
        <is>
          <t>Sunday</t>
        </is>
      </c>
      <c r="E1650" t="n">
        <v>34</v>
      </c>
      <c r="F1650" t="b">
        <v>0</v>
      </c>
      <c r="H1650" t="b">
        <v>0</v>
      </c>
    </row>
    <row r="1651">
      <c r="A1651" t="inlineStr">
        <is>
          <t>S004</t>
        </is>
      </c>
      <c r="B1651" s="3" t="n">
        <v>46271</v>
      </c>
      <c r="C1651" t="n">
        <v>9</v>
      </c>
      <c r="D1651" t="inlineStr">
        <is>
          <t>Sunday</t>
        </is>
      </c>
      <c r="E1651" t="n">
        <v>35</v>
      </c>
      <c r="F1651" t="b">
        <v>0</v>
      </c>
      <c r="H1651" t="b">
        <v>0</v>
      </c>
    </row>
    <row r="1652">
      <c r="A1652" t="inlineStr">
        <is>
          <t>S004</t>
        </is>
      </c>
      <c r="B1652" s="3" t="n">
        <v>46271</v>
      </c>
      <c r="C1652" t="n">
        <v>10</v>
      </c>
      <c r="D1652" t="inlineStr">
        <is>
          <t>Sunday</t>
        </is>
      </c>
      <c r="E1652" t="n">
        <v>44</v>
      </c>
      <c r="F1652" t="b">
        <v>0</v>
      </c>
      <c r="H1652" t="b">
        <v>0</v>
      </c>
    </row>
    <row r="1653">
      <c r="A1653" t="inlineStr">
        <is>
          <t>S004</t>
        </is>
      </c>
      <c r="B1653" s="3" t="n">
        <v>46271</v>
      </c>
      <c r="C1653" t="n">
        <v>11</v>
      </c>
      <c r="D1653" t="inlineStr">
        <is>
          <t>Sunday</t>
        </is>
      </c>
      <c r="E1653" t="n">
        <v>44</v>
      </c>
      <c r="F1653" t="b">
        <v>0</v>
      </c>
      <c r="G1653" t="inlineStr">
        <is>
          <t>Heavy</t>
        </is>
      </c>
      <c r="H1653" t="b">
        <v>0</v>
      </c>
    </row>
    <row r="1654">
      <c r="A1654" t="inlineStr">
        <is>
          <t>S004</t>
        </is>
      </c>
      <c r="B1654" s="3" t="n">
        <v>46271</v>
      </c>
      <c r="C1654" t="n">
        <v>12</v>
      </c>
      <c r="D1654" t="inlineStr">
        <is>
          <t>Sunday</t>
        </is>
      </c>
      <c r="E1654" t="n">
        <v>43</v>
      </c>
      <c r="F1654" t="b">
        <v>0</v>
      </c>
      <c r="H1654" t="b">
        <v>0</v>
      </c>
    </row>
    <row r="1655">
      <c r="A1655" t="inlineStr">
        <is>
          <t>S004</t>
        </is>
      </c>
      <c r="B1655" s="3" t="n">
        <v>46271</v>
      </c>
      <c r="C1655" t="n">
        <v>13</v>
      </c>
      <c r="D1655" t="inlineStr">
        <is>
          <t>Sunday</t>
        </is>
      </c>
      <c r="E1655" t="n">
        <v>34</v>
      </c>
      <c r="F1655" t="b">
        <v>0</v>
      </c>
      <c r="H1655" t="b">
        <v>0</v>
      </c>
    </row>
    <row r="1656">
      <c r="A1656" t="inlineStr">
        <is>
          <t>S004</t>
        </is>
      </c>
      <c r="B1656" s="3" t="n">
        <v>46271</v>
      </c>
      <c r="C1656" t="n">
        <v>14</v>
      </c>
      <c r="D1656" t="inlineStr">
        <is>
          <t>Sunday</t>
        </is>
      </c>
      <c r="E1656" t="n">
        <v>39</v>
      </c>
      <c r="F1656" t="b">
        <v>0</v>
      </c>
      <c r="H1656" t="b">
        <v>0</v>
      </c>
    </row>
    <row r="1657">
      <c r="A1657" t="inlineStr">
        <is>
          <t>S004</t>
        </is>
      </c>
      <c r="B1657" s="3" t="n">
        <v>46271</v>
      </c>
      <c r="C1657" t="n">
        <v>15</v>
      </c>
      <c r="D1657" t="inlineStr">
        <is>
          <t>Sunday</t>
        </is>
      </c>
      <c r="E1657" t="n">
        <v>36</v>
      </c>
      <c r="F1657" t="b">
        <v>0</v>
      </c>
      <c r="H1657" t="b">
        <v>0</v>
      </c>
    </row>
    <row r="1658">
      <c r="A1658" t="inlineStr">
        <is>
          <t>S004</t>
        </is>
      </c>
      <c r="B1658" s="3" t="n">
        <v>46271</v>
      </c>
      <c r="C1658" t="n">
        <v>16</v>
      </c>
      <c r="D1658" t="inlineStr">
        <is>
          <t>Sunday</t>
        </is>
      </c>
      <c r="E1658" t="n">
        <v>46</v>
      </c>
      <c r="F1658" t="b">
        <v>0</v>
      </c>
      <c r="H1658" t="b">
        <v>0</v>
      </c>
    </row>
    <row r="1659">
      <c r="A1659" t="inlineStr">
        <is>
          <t>S004</t>
        </is>
      </c>
      <c r="B1659" s="3" t="n">
        <v>46271</v>
      </c>
      <c r="C1659" t="n">
        <v>17</v>
      </c>
      <c r="D1659" t="inlineStr">
        <is>
          <t>Sunday</t>
        </is>
      </c>
      <c r="E1659" t="n">
        <v>57</v>
      </c>
      <c r="F1659" t="b">
        <v>0</v>
      </c>
      <c r="H1659" t="b">
        <v>0</v>
      </c>
    </row>
    <row r="1660">
      <c r="A1660" t="inlineStr">
        <is>
          <t>S004</t>
        </is>
      </c>
      <c r="B1660" s="3" t="n">
        <v>46271</v>
      </c>
      <c r="C1660" t="n">
        <v>18</v>
      </c>
      <c r="D1660" t="inlineStr">
        <is>
          <t>Sunday</t>
        </is>
      </c>
      <c r="E1660" t="n">
        <v>42</v>
      </c>
      <c r="F1660" t="b">
        <v>0</v>
      </c>
      <c r="G1660" t="inlineStr">
        <is>
          <t>Light</t>
        </is>
      </c>
      <c r="H1660" t="b">
        <v>0</v>
      </c>
    </row>
    <row r="1661">
      <c r="A1661" t="inlineStr">
        <is>
          <t>S004</t>
        </is>
      </c>
      <c r="B1661" s="3" t="n">
        <v>46271</v>
      </c>
      <c r="C1661" t="n">
        <v>19</v>
      </c>
      <c r="D1661" t="inlineStr">
        <is>
          <t>Sunday</t>
        </is>
      </c>
      <c r="E1661" t="n">
        <v>67</v>
      </c>
      <c r="F1661" t="b">
        <v>1</v>
      </c>
      <c r="H1661" t="b">
        <v>0</v>
      </c>
    </row>
    <row r="1662">
      <c r="A1662" t="inlineStr">
        <is>
          <t>S004</t>
        </is>
      </c>
      <c r="B1662" s="3" t="n">
        <v>46271</v>
      </c>
      <c r="C1662" t="n">
        <v>20</v>
      </c>
      <c r="D1662" t="inlineStr">
        <is>
          <t>Sunday</t>
        </is>
      </c>
      <c r="E1662" t="n">
        <v>78</v>
      </c>
      <c r="F1662" t="b">
        <v>1</v>
      </c>
      <c r="H1662" t="b">
        <v>0</v>
      </c>
    </row>
    <row r="1663">
      <c r="A1663" t="inlineStr">
        <is>
          <t>S004</t>
        </is>
      </c>
      <c r="B1663" s="3" t="n">
        <v>46271</v>
      </c>
      <c r="C1663" t="n">
        <v>21</v>
      </c>
      <c r="D1663" t="inlineStr">
        <is>
          <t>Sunday</t>
        </is>
      </c>
      <c r="E1663" t="n">
        <v>72</v>
      </c>
      <c r="F1663" t="b">
        <v>1</v>
      </c>
      <c r="H1663" t="b">
        <v>0</v>
      </c>
    </row>
    <row r="1664">
      <c r="A1664" t="inlineStr">
        <is>
          <t>S004</t>
        </is>
      </c>
      <c r="B1664" s="3" t="n">
        <v>46271</v>
      </c>
      <c r="C1664" t="n">
        <v>22</v>
      </c>
      <c r="D1664" t="inlineStr">
        <is>
          <t>Sunday</t>
        </is>
      </c>
      <c r="E1664" t="n">
        <v>50</v>
      </c>
      <c r="F1664" t="b">
        <v>0</v>
      </c>
      <c r="H1664" t="b">
        <v>0</v>
      </c>
    </row>
    <row r="1665">
      <c r="A1665" t="inlineStr">
        <is>
          <t>S004</t>
        </is>
      </c>
      <c r="B1665" s="3" t="n">
        <v>46271</v>
      </c>
      <c r="C1665" t="n">
        <v>23</v>
      </c>
      <c r="D1665" t="inlineStr">
        <is>
          <t>Sunday</t>
        </is>
      </c>
      <c r="E1665" t="n">
        <v>35</v>
      </c>
      <c r="F1665" t="b">
        <v>0</v>
      </c>
      <c r="H1665" t="b">
        <v>0</v>
      </c>
    </row>
    <row r="1666">
      <c r="A1666" t="inlineStr">
        <is>
          <t>S005</t>
        </is>
      </c>
      <c r="B1666" s="3" t="n">
        <v>46271</v>
      </c>
      <c r="C1666" t="n">
        <v>8</v>
      </c>
      <c r="D1666" t="inlineStr">
        <is>
          <t>Sunday</t>
        </is>
      </c>
      <c r="E1666" t="n">
        <v>11</v>
      </c>
      <c r="F1666" t="b">
        <v>0</v>
      </c>
      <c r="H1666" t="b">
        <v>0</v>
      </c>
    </row>
    <row r="1667">
      <c r="A1667" t="inlineStr">
        <is>
          <t>S005</t>
        </is>
      </c>
      <c r="B1667" s="3" t="n">
        <v>46271</v>
      </c>
      <c r="C1667" t="n">
        <v>9</v>
      </c>
      <c r="D1667" t="inlineStr">
        <is>
          <t>Sunday</t>
        </is>
      </c>
      <c r="E1667" t="n">
        <v>11</v>
      </c>
      <c r="F1667" t="b">
        <v>0</v>
      </c>
      <c r="H1667" t="b">
        <v>0</v>
      </c>
    </row>
    <row r="1668">
      <c r="A1668" t="inlineStr">
        <is>
          <t>S005</t>
        </is>
      </c>
      <c r="B1668" s="3" t="n">
        <v>46271</v>
      </c>
      <c r="C1668" t="n">
        <v>10</v>
      </c>
      <c r="D1668" t="inlineStr">
        <is>
          <t>Sunday</t>
        </is>
      </c>
      <c r="E1668" t="n">
        <v>13</v>
      </c>
      <c r="F1668" t="b">
        <v>0</v>
      </c>
      <c r="H1668" t="b">
        <v>0</v>
      </c>
    </row>
    <row r="1669">
      <c r="A1669" t="inlineStr">
        <is>
          <t>S005</t>
        </is>
      </c>
      <c r="B1669" s="3" t="n">
        <v>46271</v>
      </c>
      <c r="C1669" t="n">
        <v>11</v>
      </c>
      <c r="D1669" t="inlineStr">
        <is>
          <t>Sunday</t>
        </is>
      </c>
      <c r="E1669" t="n">
        <v>20</v>
      </c>
      <c r="F1669" t="b">
        <v>0</v>
      </c>
      <c r="H1669" t="b">
        <v>0</v>
      </c>
    </row>
    <row r="1670">
      <c r="A1670" t="inlineStr">
        <is>
          <t>S005</t>
        </is>
      </c>
      <c r="B1670" s="3" t="n">
        <v>46271</v>
      </c>
      <c r="C1670" t="n">
        <v>12</v>
      </c>
      <c r="D1670" t="inlineStr">
        <is>
          <t>Sunday</t>
        </is>
      </c>
      <c r="E1670" t="n">
        <v>25</v>
      </c>
      <c r="F1670" t="b">
        <v>0</v>
      </c>
      <c r="H1670" t="b">
        <v>0</v>
      </c>
    </row>
    <row r="1671">
      <c r="A1671" t="inlineStr">
        <is>
          <t>S005</t>
        </is>
      </c>
      <c r="B1671" s="3" t="n">
        <v>46271</v>
      </c>
      <c r="C1671" t="n">
        <v>13</v>
      </c>
      <c r="D1671" t="inlineStr">
        <is>
          <t>Sunday</t>
        </is>
      </c>
      <c r="E1671" t="n">
        <v>18</v>
      </c>
      <c r="F1671" t="b">
        <v>0</v>
      </c>
      <c r="H1671" t="b">
        <v>0</v>
      </c>
    </row>
    <row r="1672">
      <c r="A1672" t="inlineStr">
        <is>
          <t>S005</t>
        </is>
      </c>
      <c r="B1672" s="3" t="n">
        <v>46271</v>
      </c>
      <c r="C1672" t="n">
        <v>14</v>
      </c>
      <c r="D1672" t="inlineStr">
        <is>
          <t>Sunday</t>
        </is>
      </c>
      <c r="E1672" t="n">
        <v>14</v>
      </c>
      <c r="F1672" t="b">
        <v>0</v>
      </c>
      <c r="H1672" t="b">
        <v>0</v>
      </c>
    </row>
    <row r="1673">
      <c r="A1673" t="inlineStr">
        <is>
          <t>S005</t>
        </is>
      </c>
      <c r="B1673" s="3" t="n">
        <v>46271</v>
      </c>
      <c r="C1673" t="n">
        <v>15</v>
      </c>
      <c r="D1673" t="inlineStr">
        <is>
          <t>Sunday</t>
        </is>
      </c>
      <c r="E1673" t="n">
        <v>13</v>
      </c>
      <c r="F1673" t="b">
        <v>0</v>
      </c>
      <c r="G1673" t="inlineStr">
        <is>
          <t>Light</t>
        </is>
      </c>
      <c r="H1673" t="b">
        <v>0</v>
      </c>
    </row>
    <row r="1674">
      <c r="A1674" t="inlineStr">
        <is>
          <t>S005</t>
        </is>
      </c>
      <c r="B1674" s="3" t="n">
        <v>46271</v>
      </c>
      <c r="C1674" t="n">
        <v>16</v>
      </c>
      <c r="D1674" t="inlineStr">
        <is>
          <t>Sunday</t>
        </is>
      </c>
      <c r="E1674" t="n">
        <v>13</v>
      </c>
      <c r="F1674" t="b">
        <v>0</v>
      </c>
      <c r="H1674" t="b">
        <v>0</v>
      </c>
    </row>
    <row r="1675">
      <c r="A1675" t="inlineStr">
        <is>
          <t>S005</t>
        </is>
      </c>
      <c r="B1675" s="3" t="n">
        <v>46271</v>
      </c>
      <c r="C1675" t="n">
        <v>17</v>
      </c>
      <c r="D1675" t="inlineStr">
        <is>
          <t>Sunday</t>
        </is>
      </c>
      <c r="E1675" t="n">
        <v>20</v>
      </c>
      <c r="F1675" t="b">
        <v>0</v>
      </c>
      <c r="G1675" t="inlineStr">
        <is>
          <t>Light</t>
        </is>
      </c>
      <c r="H1675" t="b">
        <v>0</v>
      </c>
    </row>
    <row r="1676">
      <c r="A1676" t="inlineStr">
        <is>
          <t>S005</t>
        </is>
      </c>
      <c r="B1676" s="3" t="n">
        <v>46271</v>
      </c>
      <c r="C1676" t="n">
        <v>18</v>
      </c>
      <c r="D1676" t="inlineStr">
        <is>
          <t>Sunday</t>
        </is>
      </c>
      <c r="E1676" t="n">
        <v>12</v>
      </c>
      <c r="F1676" t="b">
        <v>0</v>
      </c>
      <c r="H1676" t="b">
        <v>0</v>
      </c>
    </row>
    <row r="1677">
      <c r="A1677" t="inlineStr">
        <is>
          <t>S005</t>
        </is>
      </c>
      <c r="B1677" s="3" t="n">
        <v>46271</v>
      </c>
      <c r="C1677" t="n">
        <v>19</v>
      </c>
      <c r="D1677" t="inlineStr">
        <is>
          <t>Sunday</t>
        </is>
      </c>
      <c r="E1677" t="n">
        <v>24</v>
      </c>
      <c r="F1677" t="b">
        <v>1</v>
      </c>
      <c r="H1677" t="b">
        <v>0</v>
      </c>
    </row>
    <row r="1678">
      <c r="A1678" t="inlineStr">
        <is>
          <t>S005</t>
        </is>
      </c>
      <c r="B1678" s="3" t="n">
        <v>46271</v>
      </c>
      <c r="C1678" t="n">
        <v>20</v>
      </c>
      <c r="D1678" t="inlineStr">
        <is>
          <t>Sunday</t>
        </is>
      </c>
      <c r="E1678" t="n">
        <v>22</v>
      </c>
      <c r="F1678" t="b">
        <v>1</v>
      </c>
      <c r="H1678" t="b">
        <v>0</v>
      </c>
    </row>
    <row r="1679">
      <c r="A1679" t="inlineStr">
        <is>
          <t>S005</t>
        </is>
      </c>
      <c r="B1679" s="3" t="n">
        <v>46271</v>
      </c>
      <c r="C1679" t="n">
        <v>21</v>
      </c>
      <c r="D1679" t="inlineStr">
        <is>
          <t>Sunday</t>
        </is>
      </c>
      <c r="E1679" t="n">
        <v>22</v>
      </c>
      <c r="F1679" t="b">
        <v>1</v>
      </c>
      <c r="H1679" t="b">
        <v>0</v>
      </c>
    </row>
    <row r="1680">
      <c r="A1680" t="inlineStr">
        <is>
          <t>S005</t>
        </is>
      </c>
      <c r="B1680" s="3" t="n">
        <v>46271</v>
      </c>
      <c r="C1680" t="n">
        <v>22</v>
      </c>
      <c r="D1680" t="inlineStr">
        <is>
          <t>Sunday</t>
        </is>
      </c>
      <c r="E1680" t="n">
        <v>16</v>
      </c>
      <c r="F1680" t="b">
        <v>0</v>
      </c>
      <c r="H1680" t="b">
        <v>0</v>
      </c>
    </row>
    <row r="1681">
      <c r="A1681" t="inlineStr">
        <is>
          <t>S005</t>
        </is>
      </c>
      <c r="B1681" s="3" t="n">
        <v>46271</v>
      </c>
      <c r="C1681" t="n">
        <v>23</v>
      </c>
      <c r="D1681" t="inlineStr">
        <is>
          <t>Sunday</t>
        </is>
      </c>
      <c r="E1681" t="n">
        <v>17</v>
      </c>
      <c r="F1681" t="b">
        <v>0</v>
      </c>
      <c r="H1681" t="b">
        <v>0</v>
      </c>
    </row>
    <row r="1682">
      <c r="A1682" t="inlineStr">
        <is>
          <t>S006</t>
        </is>
      </c>
      <c r="B1682" s="3" t="n">
        <v>46271</v>
      </c>
      <c r="C1682" t="n">
        <v>8</v>
      </c>
      <c r="D1682" t="inlineStr">
        <is>
          <t>Sunday</t>
        </is>
      </c>
      <c r="E1682" t="n">
        <v>27</v>
      </c>
      <c r="F1682" t="b">
        <v>0</v>
      </c>
      <c r="H1682" t="b">
        <v>0</v>
      </c>
    </row>
    <row r="1683">
      <c r="A1683" t="inlineStr">
        <is>
          <t>S006</t>
        </is>
      </c>
      <c r="B1683" s="3" t="n">
        <v>46271</v>
      </c>
      <c r="C1683" t="n">
        <v>9</v>
      </c>
      <c r="D1683" t="inlineStr">
        <is>
          <t>Sunday</t>
        </is>
      </c>
      <c r="E1683" t="n">
        <v>17</v>
      </c>
      <c r="F1683" t="b">
        <v>0</v>
      </c>
      <c r="G1683" t="inlineStr">
        <is>
          <t>Heavy</t>
        </is>
      </c>
      <c r="H1683" t="b">
        <v>0</v>
      </c>
    </row>
    <row r="1684">
      <c r="A1684" t="inlineStr">
        <is>
          <t>S006</t>
        </is>
      </c>
      <c r="B1684" s="3" t="n">
        <v>46271</v>
      </c>
      <c r="C1684" t="n">
        <v>10</v>
      </c>
      <c r="D1684" t="inlineStr">
        <is>
          <t>Sunday</t>
        </is>
      </c>
      <c r="E1684" t="n">
        <v>20</v>
      </c>
      <c r="F1684" t="b">
        <v>0</v>
      </c>
      <c r="G1684" t="inlineStr">
        <is>
          <t>Light</t>
        </is>
      </c>
      <c r="H1684" t="b">
        <v>0</v>
      </c>
    </row>
    <row r="1685">
      <c r="A1685" t="inlineStr">
        <is>
          <t>S006</t>
        </is>
      </c>
      <c r="B1685" s="3" t="n">
        <v>46271</v>
      </c>
      <c r="C1685" t="n">
        <v>11</v>
      </c>
      <c r="D1685" t="inlineStr">
        <is>
          <t>Sunday</t>
        </is>
      </c>
      <c r="E1685" t="n">
        <v>27</v>
      </c>
      <c r="F1685" t="b">
        <v>0</v>
      </c>
      <c r="H1685" t="b">
        <v>0</v>
      </c>
    </row>
    <row r="1686">
      <c r="A1686" t="inlineStr">
        <is>
          <t>S006</t>
        </is>
      </c>
      <c r="B1686" s="3" t="n">
        <v>46271</v>
      </c>
      <c r="C1686" t="n">
        <v>12</v>
      </c>
      <c r="D1686" t="inlineStr">
        <is>
          <t>Sunday</t>
        </is>
      </c>
      <c r="E1686" t="n">
        <v>23</v>
      </c>
      <c r="F1686" t="b">
        <v>0</v>
      </c>
      <c r="H1686" t="b">
        <v>0</v>
      </c>
    </row>
    <row r="1687">
      <c r="A1687" t="inlineStr">
        <is>
          <t>S006</t>
        </is>
      </c>
      <c r="B1687" s="3" t="n">
        <v>46271</v>
      </c>
      <c r="C1687" t="n">
        <v>13</v>
      </c>
      <c r="D1687" t="inlineStr">
        <is>
          <t>Sunday</t>
        </is>
      </c>
      <c r="E1687" t="n">
        <v>35</v>
      </c>
      <c r="F1687" t="b">
        <v>0</v>
      </c>
      <c r="H1687" t="b">
        <v>0</v>
      </c>
    </row>
    <row r="1688">
      <c r="A1688" t="inlineStr">
        <is>
          <t>S006</t>
        </is>
      </c>
      <c r="B1688" s="3" t="n">
        <v>46271</v>
      </c>
      <c r="C1688" t="n">
        <v>14</v>
      </c>
      <c r="D1688" t="inlineStr">
        <is>
          <t>Sunday</t>
        </is>
      </c>
      <c r="E1688" t="n">
        <v>25</v>
      </c>
      <c r="F1688" t="b">
        <v>0</v>
      </c>
      <c r="G1688" t="inlineStr">
        <is>
          <t>Heavy</t>
        </is>
      </c>
      <c r="H1688" t="b">
        <v>0</v>
      </c>
    </row>
    <row r="1689">
      <c r="A1689" t="inlineStr">
        <is>
          <t>S006</t>
        </is>
      </c>
      <c r="B1689" s="3" t="n">
        <v>46271</v>
      </c>
      <c r="C1689" t="n">
        <v>15</v>
      </c>
      <c r="D1689" t="inlineStr">
        <is>
          <t>Sunday</t>
        </is>
      </c>
      <c r="E1689" t="n">
        <v>18</v>
      </c>
      <c r="F1689" t="b">
        <v>0</v>
      </c>
      <c r="H1689" t="b">
        <v>0</v>
      </c>
    </row>
    <row r="1690">
      <c r="A1690" t="inlineStr">
        <is>
          <t>S006</t>
        </is>
      </c>
      <c r="B1690" s="3" t="n">
        <v>46271</v>
      </c>
      <c r="C1690" t="n">
        <v>16</v>
      </c>
      <c r="D1690" t="inlineStr">
        <is>
          <t>Sunday</t>
        </is>
      </c>
      <c r="E1690" t="n">
        <v>31</v>
      </c>
      <c r="F1690" t="b">
        <v>0</v>
      </c>
      <c r="H1690" t="b">
        <v>1</v>
      </c>
    </row>
    <row r="1691">
      <c r="A1691" t="inlineStr">
        <is>
          <t>S006</t>
        </is>
      </c>
      <c r="B1691" s="3" t="n">
        <v>46271</v>
      </c>
      <c r="C1691" t="n">
        <v>17</v>
      </c>
      <c r="D1691" t="inlineStr">
        <is>
          <t>Sunday</t>
        </is>
      </c>
      <c r="E1691" t="n">
        <v>29</v>
      </c>
      <c r="F1691" t="b">
        <v>0</v>
      </c>
      <c r="H1691" t="b">
        <v>0</v>
      </c>
    </row>
    <row r="1692">
      <c r="A1692" t="inlineStr">
        <is>
          <t>S006</t>
        </is>
      </c>
      <c r="B1692" s="3" t="n">
        <v>46271</v>
      </c>
      <c r="C1692" t="n">
        <v>18</v>
      </c>
      <c r="D1692" t="inlineStr">
        <is>
          <t>Sunday</t>
        </is>
      </c>
      <c r="E1692" t="n">
        <v>34</v>
      </c>
      <c r="F1692" t="b">
        <v>0</v>
      </c>
      <c r="G1692" t="inlineStr">
        <is>
          <t>Light</t>
        </is>
      </c>
      <c r="H1692" t="b">
        <v>0</v>
      </c>
    </row>
    <row r="1693">
      <c r="A1693" t="inlineStr">
        <is>
          <t>S006</t>
        </is>
      </c>
      <c r="B1693" s="3" t="n">
        <v>46271</v>
      </c>
      <c r="C1693" t="n">
        <v>19</v>
      </c>
      <c r="D1693" t="inlineStr">
        <is>
          <t>Sunday</t>
        </is>
      </c>
      <c r="E1693" t="n">
        <v>41</v>
      </c>
      <c r="F1693" t="b">
        <v>1</v>
      </c>
      <c r="H1693" t="b">
        <v>0</v>
      </c>
    </row>
    <row r="1694">
      <c r="A1694" t="inlineStr">
        <is>
          <t>S006</t>
        </is>
      </c>
      <c r="B1694" s="3" t="n">
        <v>46271</v>
      </c>
      <c r="C1694" t="n">
        <v>20</v>
      </c>
      <c r="D1694" t="inlineStr">
        <is>
          <t>Sunday</t>
        </is>
      </c>
      <c r="E1694" t="n">
        <v>41</v>
      </c>
      <c r="F1694" t="b">
        <v>1</v>
      </c>
      <c r="G1694" t="inlineStr">
        <is>
          <t>Heavy</t>
        </is>
      </c>
      <c r="H1694" t="b">
        <v>0</v>
      </c>
    </row>
    <row r="1695">
      <c r="A1695" t="inlineStr">
        <is>
          <t>S006</t>
        </is>
      </c>
      <c r="B1695" s="3" t="n">
        <v>46271</v>
      </c>
      <c r="C1695" t="n">
        <v>21</v>
      </c>
      <c r="D1695" t="inlineStr">
        <is>
          <t>Sunday</t>
        </is>
      </c>
      <c r="E1695" t="n">
        <v>51</v>
      </c>
      <c r="F1695" t="b">
        <v>1</v>
      </c>
      <c r="H1695" t="b">
        <v>0</v>
      </c>
    </row>
    <row r="1696">
      <c r="A1696" t="inlineStr">
        <is>
          <t>S006</t>
        </is>
      </c>
      <c r="B1696" s="3" t="n">
        <v>46271</v>
      </c>
      <c r="C1696" t="n">
        <v>22</v>
      </c>
      <c r="D1696" t="inlineStr">
        <is>
          <t>Sunday</t>
        </is>
      </c>
      <c r="E1696" t="n">
        <v>37</v>
      </c>
      <c r="F1696" t="b">
        <v>0</v>
      </c>
      <c r="G1696" t="inlineStr">
        <is>
          <t>Heavy</t>
        </is>
      </c>
      <c r="H1696" t="b">
        <v>0</v>
      </c>
    </row>
    <row r="1697">
      <c r="A1697" t="inlineStr">
        <is>
          <t>S006</t>
        </is>
      </c>
      <c r="B1697" s="3" t="n">
        <v>46271</v>
      </c>
      <c r="C1697" t="n">
        <v>23</v>
      </c>
      <c r="D1697" t="inlineStr">
        <is>
          <t>Sunday</t>
        </is>
      </c>
      <c r="E1697" t="n">
        <v>33</v>
      </c>
      <c r="F1697" t="b">
        <v>0</v>
      </c>
      <c r="H1697" t="b">
        <v>0</v>
      </c>
    </row>
    <row r="1698">
      <c r="A1698" t="inlineStr">
        <is>
          <t>S007</t>
        </is>
      </c>
      <c r="B1698" s="3" t="n">
        <v>46271</v>
      </c>
      <c r="C1698" t="n">
        <v>8</v>
      </c>
      <c r="D1698" t="inlineStr">
        <is>
          <t>Sunday</t>
        </is>
      </c>
      <c r="E1698" t="n">
        <v>25</v>
      </c>
      <c r="F1698" t="b">
        <v>0</v>
      </c>
      <c r="H1698" t="b">
        <v>0</v>
      </c>
    </row>
    <row r="1699">
      <c r="A1699" t="inlineStr">
        <is>
          <t>S007</t>
        </is>
      </c>
      <c r="B1699" s="3" t="n">
        <v>46271</v>
      </c>
      <c r="C1699" t="n">
        <v>9</v>
      </c>
      <c r="D1699" t="inlineStr">
        <is>
          <t>Sunday</t>
        </is>
      </c>
      <c r="E1699" t="n">
        <v>24</v>
      </c>
      <c r="F1699" t="b">
        <v>0</v>
      </c>
      <c r="H1699" t="b">
        <v>0</v>
      </c>
    </row>
    <row r="1700">
      <c r="A1700" t="inlineStr">
        <is>
          <t>S007</t>
        </is>
      </c>
      <c r="B1700" s="3" t="n">
        <v>46271</v>
      </c>
      <c r="C1700" t="n">
        <v>10</v>
      </c>
      <c r="D1700" t="inlineStr">
        <is>
          <t>Sunday</t>
        </is>
      </c>
      <c r="E1700" t="n">
        <v>26</v>
      </c>
      <c r="F1700" t="b">
        <v>0</v>
      </c>
      <c r="H1700" t="b">
        <v>0</v>
      </c>
    </row>
    <row r="1701">
      <c r="A1701" t="inlineStr">
        <is>
          <t>S007</t>
        </is>
      </c>
      <c r="B1701" s="3" t="n">
        <v>46271</v>
      </c>
      <c r="C1701" t="n">
        <v>11</v>
      </c>
      <c r="D1701" t="inlineStr">
        <is>
          <t>Sunday</t>
        </is>
      </c>
      <c r="E1701" t="n">
        <v>45</v>
      </c>
      <c r="F1701" t="b">
        <v>0</v>
      </c>
      <c r="H1701" t="b">
        <v>0</v>
      </c>
    </row>
    <row r="1702">
      <c r="A1702" t="inlineStr">
        <is>
          <t>S007</t>
        </is>
      </c>
      <c r="B1702" s="3" t="n">
        <v>46271</v>
      </c>
      <c r="C1702" t="n">
        <v>12</v>
      </c>
      <c r="D1702" t="inlineStr">
        <is>
          <t>Sunday</t>
        </is>
      </c>
      <c r="E1702" t="n">
        <v>55</v>
      </c>
      <c r="F1702" t="b">
        <v>0</v>
      </c>
      <c r="G1702" t="inlineStr">
        <is>
          <t>Heavy</t>
        </is>
      </c>
      <c r="H1702" t="b">
        <v>0</v>
      </c>
    </row>
    <row r="1703">
      <c r="A1703" t="inlineStr">
        <is>
          <t>S007</t>
        </is>
      </c>
      <c r="B1703" s="3" t="n">
        <v>46271</v>
      </c>
      <c r="C1703" t="n">
        <v>13</v>
      </c>
      <c r="D1703" t="inlineStr">
        <is>
          <t>Sunday</t>
        </is>
      </c>
      <c r="E1703" t="n">
        <v>40</v>
      </c>
      <c r="F1703" t="b">
        <v>0</v>
      </c>
      <c r="G1703" t="inlineStr">
        <is>
          <t>Light</t>
        </is>
      </c>
      <c r="H1703" t="b">
        <v>0</v>
      </c>
    </row>
    <row r="1704">
      <c r="A1704" t="inlineStr">
        <is>
          <t>S007</t>
        </is>
      </c>
      <c r="B1704" s="3" t="n">
        <v>46271</v>
      </c>
      <c r="C1704" t="n">
        <v>14</v>
      </c>
      <c r="D1704" t="inlineStr">
        <is>
          <t>Sunday</t>
        </is>
      </c>
      <c r="E1704" t="n">
        <v>31</v>
      </c>
      <c r="F1704" t="b">
        <v>0</v>
      </c>
      <c r="H1704" t="b">
        <v>0</v>
      </c>
    </row>
    <row r="1705">
      <c r="A1705" t="inlineStr">
        <is>
          <t>S007</t>
        </is>
      </c>
      <c r="B1705" s="3" t="n">
        <v>46271</v>
      </c>
      <c r="C1705" t="n">
        <v>15</v>
      </c>
      <c r="D1705" t="inlineStr">
        <is>
          <t>Sunday</t>
        </is>
      </c>
      <c r="E1705" t="n">
        <v>35</v>
      </c>
      <c r="F1705" t="b">
        <v>0</v>
      </c>
      <c r="H1705" t="b">
        <v>0</v>
      </c>
    </row>
    <row r="1706">
      <c r="A1706" t="inlineStr">
        <is>
          <t>S007</t>
        </is>
      </c>
      <c r="B1706" s="3" t="n">
        <v>46271</v>
      </c>
      <c r="C1706" t="n">
        <v>16</v>
      </c>
      <c r="D1706" t="inlineStr">
        <is>
          <t>Sunday</t>
        </is>
      </c>
      <c r="E1706" t="n">
        <v>44</v>
      </c>
      <c r="F1706" t="b">
        <v>0</v>
      </c>
      <c r="G1706" t="inlineStr">
        <is>
          <t>Light</t>
        </is>
      </c>
      <c r="H1706" t="b">
        <v>0</v>
      </c>
    </row>
    <row r="1707">
      <c r="A1707" t="inlineStr">
        <is>
          <t>S007</t>
        </is>
      </c>
      <c r="B1707" s="3" t="n">
        <v>46271</v>
      </c>
      <c r="C1707" t="n">
        <v>17</v>
      </c>
      <c r="D1707" t="inlineStr">
        <is>
          <t>Sunday</t>
        </is>
      </c>
      <c r="E1707" t="n">
        <v>37</v>
      </c>
      <c r="F1707" t="b">
        <v>0</v>
      </c>
      <c r="H1707" t="b">
        <v>0</v>
      </c>
    </row>
    <row r="1708">
      <c r="A1708" t="inlineStr">
        <is>
          <t>S007</t>
        </is>
      </c>
      <c r="B1708" s="3" t="n">
        <v>46271</v>
      </c>
      <c r="C1708" t="n">
        <v>18</v>
      </c>
      <c r="D1708" t="inlineStr">
        <is>
          <t>Sunday</t>
        </is>
      </c>
      <c r="E1708" t="n">
        <v>42</v>
      </c>
      <c r="F1708" t="b">
        <v>0</v>
      </c>
      <c r="H1708" t="b">
        <v>0</v>
      </c>
    </row>
    <row r="1709">
      <c r="A1709" t="inlineStr">
        <is>
          <t>S007</t>
        </is>
      </c>
      <c r="B1709" s="3" t="n">
        <v>46271</v>
      </c>
      <c r="C1709" t="n">
        <v>19</v>
      </c>
      <c r="D1709" t="inlineStr">
        <is>
          <t>Sunday</t>
        </is>
      </c>
      <c r="E1709" t="n">
        <v>52</v>
      </c>
      <c r="F1709" t="b">
        <v>1</v>
      </c>
      <c r="G1709" t="inlineStr">
        <is>
          <t>Light</t>
        </is>
      </c>
      <c r="H1709" t="b">
        <v>0</v>
      </c>
    </row>
    <row r="1710">
      <c r="A1710" t="inlineStr">
        <is>
          <t>S007</t>
        </is>
      </c>
      <c r="B1710" s="3" t="n">
        <v>46271</v>
      </c>
      <c r="C1710" t="n">
        <v>20</v>
      </c>
      <c r="D1710" t="inlineStr">
        <is>
          <t>Sunday</t>
        </is>
      </c>
      <c r="E1710" t="n">
        <v>65</v>
      </c>
      <c r="F1710" t="b">
        <v>1</v>
      </c>
      <c r="H1710" t="b">
        <v>0</v>
      </c>
    </row>
    <row r="1711">
      <c r="A1711" t="inlineStr">
        <is>
          <t>S007</t>
        </is>
      </c>
      <c r="B1711" s="3" t="n">
        <v>46271</v>
      </c>
      <c r="C1711" t="n">
        <v>21</v>
      </c>
      <c r="D1711" t="inlineStr">
        <is>
          <t>Sunday</t>
        </is>
      </c>
      <c r="E1711" t="n">
        <v>72</v>
      </c>
      <c r="F1711" t="b">
        <v>1</v>
      </c>
      <c r="H1711" t="b">
        <v>0</v>
      </c>
    </row>
    <row r="1712">
      <c r="A1712" t="inlineStr">
        <is>
          <t>S007</t>
        </is>
      </c>
      <c r="B1712" s="3" t="n">
        <v>46271</v>
      </c>
      <c r="C1712" t="n">
        <v>22</v>
      </c>
      <c r="D1712" t="inlineStr">
        <is>
          <t>Sunday</t>
        </is>
      </c>
      <c r="E1712" t="n">
        <v>31</v>
      </c>
      <c r="F1712" t="b">
        <v>0</v>
      </c>
      <c r="H1712" t="b">
        <v>0</v>
      </c>
    </row>
    <row r="1713">
      <c r="A1713" t="inlineStr">
        <is>
          <t>S007</t>
        </is>
      </c>
      <c r="B1713" s="3" t="n">
        <v>46271</v>
      </c>
      <c r="C1713" t="n">
        <v>23</v>
      </c>
      <c r="D1713" t="inlineStr">
        <is>
          <t>Sunday</t>
        </is>
      </c>
      <c r="E1713" t="n">
        <v>41</v>
      </c>
      <c r="F1713" t="b">
        <v>0</v>
      </c>
      <c r="H1713" t="b">
        <v>0</v>
      </c>
    </row>
    <row r="1714">
      <c r="A1714" t="inlineStr">
        <is>
          <t>S008</t>
        </is>
      </c>
      <c r="B1714" s="3" t="n">
        <v>46271</v>
      </c>
      <c r="C1714" t="n">
        <v>8</v>
      </c>
      <c r="D1714" t="inlineStr">
        <is>
          <t>Sunday</t>
        </is>
      </c>
      <c r="E1714" t="n">
        <v>24</v>
      </c>
      <c r="F1714" t="b">
        <v>0</v>
      </c>
      <c r="H1714" t="b">
        <v>0</v>
      </c>
    </row>
    <row r="1715">
      <c r="A1715" t="inlineStr">
        <is>
          <t>S008</t>
        </is>
      </c>
      <c r="B1715" s="3" t="n">
        <v>46271</v>
      </c>
      <c r="C1715" t="n">
        <v>9</v>
      </c>
      <c r="D1715" t="inlineStr">
        <is>
          <t>Sunday</t>
        </is>
      </c>
      <c r="E1715" t="n">
        <v>19</v>
      </c>
      <c r="F1715" t="b">
        <v>0</v>
      </c>
      <c r="H1715" t="b">
        <v>0</v>
      </c>
    </row>
    <row r="1716">
      <c r="A1716" t="inlineStr">
        <is>
          <t>S008</t>
        </is>
      </c>
      <c r="B1716" s="3" t="n">
        <v>46271</v>
      </c>
      <c r="C1716" t="n">
        <v>10</v>
      </c>
      <c r="D1716" t="inlineStr">
        <is>
          <t>Sunday</t>
        </is>
      </c>
      <c r="E1716" t="n">
        <v>26</v>
      </c>
      <c r="F1716" t="b">
        <v>0</v>
      </c>
      <c r="H1716" t="b">
        <v>0</v>
      </c>
    </row>
    <row r="1717">
      <c r="A1717" t="inlineStr">
        <is>
          <t>S008</t>
        </is>
      </c>
      <c r="B1717" s="3" t="n">
        <v>46271</v>
      </c>
      <c r="C1717" t="n">
        <v>11</v>
      </c>
      <c r="D1717" t="inlineStr">
        <is>
          <t>Sunday</t>
        </is>
      </c>
      <c r="E1717" t="n">
        <v>26</v>
      </c>
      <c r="F1717" t="b">
        <v>0</v>
      </c>
      <c r="H1717" t="b">
        <v>0</v>
      </c>
    </row>
    <row r="1718">
      <c r="A1718" t="inlineStr">
        <is>
          <t>S008</t>
        </is>
      </c>
      <c r="B1718" s="3" t="n">
        <v>46271</v>
      </c>
      <c r="C1718" t="n">
        <v>12</v>
      </c>
      <c r="D1718" t="inlineStr">
        <is>
          <t>Sunday</t>
        </is>
      </c>
      <c r="E1718" t="n">
        <v>27</v>
      </c>
      <c r="F1718" t="b">
        <v>0</v>
      </c>
      <c r="G1718" t="inlineStr">
        <is>
          <t>Light</t>
        </is>
      </c>
      <c r="H1718" t="b">
        <v>0</v>
      </c>
    </row>
    <row r="1719">
      <c r="A1719" t="inlineStr">
        <is>
          <t>S008</t>
        </is>
      </c>
      <c r="B1719" s="3" t="n">
        <v>46271</v>
      </c>
      <c r="C1719" t="n">
        <v>13</v>
      </c>
      <c r="D1719" t="inlineStr">
        <is>
          <t>Sunday</t>
        </is>
      </c>
      <c r="E1719" t="n">
        <v>24</v>
      </c>
      <c r="F1719" t="b">
        <v>0</v>
      </c>
      <c r="H1719" t="b">
        <v>1</v>
      </c>
    </row>
    <row r="1720">
      <c r="A1720" t="inlineStr">
        <is>
          <t>S008</t>
        </is>
      </c>
      <c r="B1720" s="3" t="n">
        <v>46271</v>
      </c>
      <c r="C1720" t="n">
        <v>14</v>
      </c>
      <c r="D1720" t="inlineStr">
        <is>
          <t>Sunday</t>
        </is>
      </c>
      <c r="E1720" t="n">
        <v>24</v>
      </c>
      <c r="F1720" t="b">
        <v>0</v>
      </c>
      <c r="H1720" t="b">
        <v>0</v>
      </c>
    </row>
    <row r="1721">
      <c r="A1721" t="inlineStr">
        <is>
          <t>S008</t>
        </is>
      </c>
      <c r="B1721" s="3" t="n">
        <v>46271</v>
      </c>
      <c r="C1721" t="n">
        <v>15</v>
      </c>
      <c r="D1721" t="inlineStr">
        <is>
          <t>Sunday</t>
        </is>
      </c>
      <c r="E1721" t="n">
        <v>28</v>
      </c>
      <c r="F1721" t="b">
        <v>0</v>
      </c>
      <c r="H1721" t="b">
        <v>0</v>
      </c>
    </row>
    <row r="1722">
      <c r="A1722" t="inlineStr">
        <is>
          <t>S008</t>
        </is>
      </c>
      <c r="B1722" s="3" t="n">
        <v>46271</v>
      </c>
      <c r="C1722" t="n">
        <v>16</v>
      </c>
      <c r="D1722" t="inlineStr">
        <is>
          <t>Sunday</t>
        </is>
      </c>
      <c r="E1722" t="n">
        <v>23</v>
      </c>
      <c r="F1722" t="b">
        <v>0</v>
      </c>
      <c r="H1722" t="b">
        <v>0</v>
      </c>
    </row>
    <row r="1723">
      <c r="A1723" t="inlineStr">
        <is>
          <t>S008</t>
        </is>
      </c>
      <c r="B1723" s="3" t="n">
        <v>46271</v>
      </c>
      <c r="C1723" t="n">
        <v>17</v>
      </c>
      <c r="D1723" t="inlineStr">
        <is>
          <t>Sunday</t>
        </is>
      </c>
      <c r="E1723" t="n">
        <v>29</v>
      </c>
      <c r="F1723" t="b">
        <v>0</v>
      </c>
      <c r="H1723" t="b">
        <v>0</v>
      </c>
    </row>
    <row r="1724">
      <c r="A1724" t="inlineStr">
        <is>
          <t>S008</t>
        </is>
      </c>
      <c r="B1724" s="3" t="n">
        <v>46271</v>
      </c>
      <c r="C1724" t="n">
        <v>18</v>
      </c>
      <c r="D1724" t="inlineStr">
        <is>
          <t>Sunday</t>
        </is>
      </c>
      <c r="E1724" t="n">
        <v>18</v>
      </c>
      <c r="F1724" t="b">
        <v>0</v>
      </c>
      <c r="H1724" t="b">
        <v>0</v>
      </c>
    </row>
    <row r="1725">
      <c r="A1725" t="inlineStr">
        <is>
          <t>S008</t>
        </is>
      </c>
      <c r="B1725" s="3" t="n">
        <v>46271</v>
      </c>
      <c r="C1725" t="n">
        <v>19</v>
      </c>
      <c r="D1725" t="inlineStr">
        <is>
          <t>Sunday</t>
        </is>
      </c>
      <c r="E1725" t="n">
        <v>31</v>
      </c>
      <c r="F1725" t="b">
        <v>1</v>
      </c>
      <c r="H1725" t="b">
        <v>0</v>
      </c>
    </row>
    <row r="1726">
      <c r="A1726" t="inlineStr">
        <is>
          <t>S008</t>
        </is>
      </c>
      <c r="B1726" s="3" t="n">
        <v>46271</v>
      </c>
      <c r="C1726" t="n">
        <v>20</v>
      </c>
      <c r="D1726" t="inlineStr">
        <is>
          <t>Sunday</t>
        </is>
      </c>
      <c r="E1726" t="n">
        <v>40</v>
      </c>
      <c r="F1726" t="b">
        <v>1</v>
      </c>
      <c r="H1726" t="b">
        <v>0</v>
      </c>
    </row>
    <row r="1727">
      <c r="A1727" t="inlineStr">
        <is>
          <t>S008</t>
        </is>
      </c>
      <c r="B1727" s="3" t="n">
        <v>46271</v>
      </c>
      <c r="C1727" t="n">
        <v>21</v>
      </c>
      <c r="D1727" t="inlineStr">
        <is>
          <t>Sunday</t>
        </is>
      </c>
      <c r="E1727" t="n">
        <v>40</v>
      </c>
      <c r="F1727" t="b">
        <v>1</v>
      </c>
      <c r="H1727" t="b">
        <v>0</v>
      </c>
    </row>
    <row r="1728">
      <c r="A1728" t="inlineStr">
        <is>
          <t>S008</t>
        </is>
      </c>
      <c r="B1728" s="3" t="n">
        <v>46271</v>
      </c>
      <c r="C1728" t="n">
        <v>22</v>
      </c>
      <c r="D1728" t="inlineStr">
        <is>
          <t>Sunday</t>
        </is>
      </c>
      <c r="E1728" t="n">
        <v>20</v>
      </c>
      <c r="F1728" t="b">
        <v>0</v>
      </c>
      <c r="G1728" t="inlineStr">
        <is>
          <t>Light</t>
        </is>
      </c>
      <c r="H1728" t="b">
        <v>0</v>
      </c>
    </row>
    <row r="1729">
      <c r="A1729" t="inlineStr">
        <is>
          <t>S008</t>
        </is>
      </c>
      <c r="B1729" s="3" t="n">
        <v>46271</v>
      </c>
      <c r="C1729" t="n">
        <v>23</v>
      </c>
      <c r="D1729" t="inlineStr">
        <is>
          <t>Sunday</t>
        </is>
      </c>
      <c r="E1729" t="n">
        <v>20</v>
      </c>
      <c r="F1729" t="b">
        <v>0</v>
      </c>
      <c r="G1729" t="inlineStr">
        <is>
          <t>Heavy</t>
        </is>
      </c>
      <c r="H1729" t="b">
        <v>0</v>
      </c>
    </row>
    <row r="1730">
      <c r="A1730" t="inlineStr">
        <is>
          <t>S009</t>
        </is>
      </c>
      <c r="B1730" s="3" t="n">
        <v>46271</v>
      </c>
      <c r="C1730" t="n">
        <v>8</v>
      </c>
      <c r="D1730" t="inlineStr">
        <is>
          <t>Sunday</t>
        </is>
      </c>
      <c r="E1730" t="n">
        <v>18</v>
      </c>
      <c r="F1730" t="b">
        <v>0</v>
      </c>
      <c r="H1730" t="b">
        <v>0</v>
      </c>
    </row>
    <row r="1731">
      <c r="A1731" t="inlineStr">
        <is>
          <t>S009</t>
        </is>
      </c>
      <c r="B1731" s="3" t="n">
        <v>46271</v>
      </c>
      <c r="C1731" t="n">
        <v>9</v>
      </c>
      <c r="D1731" t="inlineStr">
        <is>
          <t>Sunday</t>
        </is>
      </c>
      <c r="E1731" t="n">
        <v>22</v>
      </c>
      <c r="F1731" t="b">
        <v>0</v>
      </c>
      <c r="G1731" t="inlineStr">
        <is>
          <t>Light</t>
        </is>
      </c>
      <c r="H1731" t="b">
        <v>0</v>
      </c>
    </row>
    <row r="1732">
      <c r="A1732" t="inlineStr">
        <is>
          <t>S009</t>
        </is>
      </c>
      <c r="B1732" s="3" t="n">
        <v>46271</v>
      </c>
      <c r="C1732" t="n">
        <v>10</v>
      </c>
      <c r="D1732" t="inlineStr">
        <is>
          <t>Sunday</t>
        </is>
      </c>
      <c r="E1732" t="n">
        <v>16</v>
      </c>
      <c r="F1732" t="b">
        <v>0</v>
      </c>
      <c r="H1732" t="b">
        <v>0</v>
      </c>
    </row>
    <row r="1733">
      <c r="A1733" t="inlineStr">
        <is>
          <t>S009</t>
        </is>
      </c>
      <c r="B1733" s="3" t="n">
        <v>46271</v>
      </c>
      <c r="C1733" t="n">
        <v>11</v>
      </c>
      <c r="D1733" t="inlineStr">
        <is>
          <t>Sunday</t>
        </is>
      </c>
      <c r="E1733" t="n">
        <v>26</v>
      </c>
      <c r="F1733" t="b">
        <v>0</v>
      </c>
      <c r="H1733" t="b">
        <v>0</v>
      </c>
    </row>
    <row r="1734">
      <c r="A1734" t="inlineStr">
        <is>
          <t>S009</t>
        </is>
      </c>
      <c r="B1734" s="3" t="n">
        <v>46271</v>
      </c>
      <c r="C1734" t="n">
        <v>12</v>
      </c>
      <c r="D1734" t="inlineStr">
        <is>
          <t>Sunday</t>
        </is>
      </c>
      <c r="E1734" t="n">
        <v>36</v>
      </c>
      <c r="F1734" t="b">
        <v>0</v>
      </c>
      <c r="H1734" t="b">
        <v>0</v>
      </c>
    </row>
    <row r="1735">
      <c r="A1735" t="inlineStr">
        <is>
          <t>S009</t>
        </is>
      </c>
      <c r="B1735" s="3" t="n">
        <v>46271</v>
      </c>
      <c r="C1735" t="n">
        <v>13</v>
      </c>
      <c r="D1735" t="inlineStr">
        <is>
          <t>Sunday</t>
        </is>
      </c>
      <c r="E1735" t="n">
        <v>36</v>
      </c>
      <c r="F1735" t="b">
        <v>0</v>
      </c>
      <c r="G1735" t="inlineStr">
        <is>
          <t>Light</t>
        </is>
      </c>
      <c r="H1735" t="b">
        <v>0</v>
      </c>
    </row>
    <row r="1736">
      <c r="A1736" t="inlineStr">
        <is>
          <t>S009</t>
        </is>
      </c>
      <c r="B1736" s="3" t="n">
        <v>46271</v>
      </c>
      <c r="C1736" t="n">
        <v>14</v>
      </c>
      <c r="D1736" t="inlineStr">
        <is>
          <t>Sunday</t>
        </is>
      </c>
      <c r="E1736" t="n">
        <v>24</v>
      </c>
      <c r="F1736" t="b">
        <v>0</v>
      </c>
      <c r="H1736" t="b">
        <v>0</v>
      </c>
    </row>
    <row r="1737">
      <c r="A1737" t="inlineStr">
        <is>
          <t>S009</t>
        </is>
      </c>
      <c r="B1737" s="3" t="n">
        <v>46271</v>
      </c>
      <c r="C1737" t="n">
        <v>15</v>
      </c>
      <c r="D1737" t="inlineStr">
        <is>
          <t>Sunday</t>
        </is>
      </c>
      <c r="E1737" t="n">
        <v>21</v>
      </c>
      <c r="F1737" t="b">
        <v>0</v>
      </c>
      <c r="H1737" t="b">
        <v>0</v>
      </c>
    </row>
    <row r="1738">
      <c r="A1738" t="inlineStr">
        <is>
          <t>S009</t>
        </is>
      </c>
      <c r="B1738" s="3" t="n">
        <v>46271</v>
      </c>
      <c r="C1738" t="n">
        <v>16</v>
      </c>
      <c r="D1738" t="inlineStr">
        <is>
          <t>Sunday</t>
        </is>
      </c>
      <c r="E1738" t="n">
        <v>32</v>
      </c>
      <c r="F1738" t="b">
        <v>0</v>
      </c>
      <c r="H1738" t="b">
        <v>0</v>
      </c>
    </row>
    <row r="1739">
      <c r="A1739" t="inlineStr">
        <is>
          <t>S009</t>
        </is>
      </c>
      <c r="B1739" s="3" t="n">
        <v>46271</v>
      </c>
      <c r="C1739" t="n">
        <v>17</v>
      </c>
      <c r="D1739" t="inlineStr">
        <is>
          <t>Sunday</t>
        </is>
      </c>
      <c r="E1739" t="n">
        <v>30</v>
      </c>
      <c r="F1739" t="b">
        <v>0</v>
      </c>
      <c r="H1739" t="b">
        <v>0</v>
      </c>
    </row>
    <row r="1740">
      <c r="A1740" t="inlineStr">
        <is>
          <t>S009</t>
        </is>
      </c>
      <c r="B1740" s="3" t="n">
        <v>46271</v>
      </c>
      <c r="C1740" t="n">
        <v>18</v>
      </c>
      <c r="D1740" t="inlineStr">
        <is>
          <t>Sunday</t>
        </is>
      </c>
      <c r="E1740" t="n">
        <v>40</v>
      </c>
      <c r="F1740" t="b">
        <v>0</v>
      </c>
      <c r="H1740" t="b">
        <v>0</v>
      </c>
    </row>
    <row r="1741">
      <c r="A1741" t="inlineStr">
        <is>
          <t>S009</t>
        </is>
      </c>
      <c r="B1741" s="3" t="n">
        <v>46271</v>
      </c>
      <c r="C1741" t="n">
        <v>19</v>
      </c>
      <c r="D1741" t="inlineStr">
        <is>
          <t>Sunday</t>
        </is>
      </c>
      <c r="E1741" t="n">
        <v>69</v>
      </c>
      <c r="F1741" t="b">
        <v>1</v>
      </c>
      <c r="G1741" t="inlineStr">
        <is>
          <t>Light</t>
        </is>
      </c>
      <c r="H1741" t="b">
        <v>0</v>
      </c>
    </row>
    <row r="1742">
      <c r="A1742" t="inlineStr">
        <is>
          <t>S009</t>
        </is>
      </c>
      <c r="B1742" s="3" t="n">
        <v>46271</v>
      </c>
      <c r="C1742" t="n">
        <v>20</v>
      </c>
      <c r="D1742" t="inlineStr">
        <is>
          <t>Sunday</t>
        </is>
      </c>
      <c r="E1742" t="n">
        <v>40</v>
      </c>
      <c r="F1742" t="b">
        <v>1</v>
      </c>
      <c r="H1742" t="b">
        <v>0</v>
      </c>
    </row>
    <row r="1743">
      <c r="A1743" t="inlineStr">
        <is>
          <t>S009</t>
        </is>
      </c>
      <c r="B1743" s="3" t="n">
        <v>46271</v>
      </c>
      <c r="C1743" t="n">
        <v>21</v>
      </c>
      <c r="D1743" t="inlineStr">
        <is>
          <t>Sunday</t>
        </is>
      </c>
      <c r="E1743" t="n">
        <v>60</v>
      </c>
      <c r="F1743" t="b">
        <v>1</v>
      </c>
      <c r="G1743" t="inlineStr">
        <is>
          <t>Light</t>
        </is>
      </c>
      <c r="H1743" t="b">
        <v>0</v>
      </c>
    </row>
    <row r="1744">
      <c r="A1744" t="inlineStr">
        <is>
          <t>S009</t>
        </is>
      </c>
      <c r="B1744" s="3" t="n">
        <v>46271</v>
      </c>
      <c r="C1744" t="n">
        <v>22</v>
      </c>
      <c r="D1744" t="inlineStr">
        <is>
          <t>Sunday</t>
        </is>
      </c>
      <c r="E1744" t="n">
        <v>32</v>
      </c>
      <c r="F1744" t="b">
        <v>0</v>
      </c>
      <c r="H1744" t="b">
        <v>1</v>
      </c>
    </row>
    <row r="1745">
      <c r="A1745" t="inlineStr">
        <is>
          <t>S009</t>
        </is>
      </c>
      <c r="B1745" s="3" t="n">
        <v>46271</v>
      </c>
      <c r="C1745" t="n">
        <v>23</v>
      </c>
      <c r="D1745" t="inlineStr">
        <is>
          <t>Sunday</t>
        </is>
      </c>
      <c r="E1745" t="n">
        <v>28</v>
      </c>
      <c r="F1745" t="b">
        <v>0</v>
      </c>
      <c r="H1745" t="b">
        <v>0</v>
      </c>
    </row>
    <row r="1746">
      <c r="A1746" t="inlineStr">
        <is>
          <t>S010</t>
        </is>
      </c>
      <c r="B1746" s="3" t="n">
        <v>46271</v>
      </c>
      <c r="C1746" t="n">
        <v>8</v>
      </c>
      <c r="D1746" t="inlineStr">
        <is>
          <t>Sunday</t>
        </is>
      </c>
      <c r="E1746" t="n">
        <v>13</v>
      </c>
      <c r="F1746" t="b">
        <v>0</v>
      </c>
      <c r="H1746" t="b">
        <v>0</v>
      </c>
    </row>
    <row r="1747">
      <c r="A1747" t="inlineStr">
        <is>
          <t>S010</t>
        </is>
      </c>
      <c r="B1747" s="3" t="n">
        <v>46271</v>
      </c>
      <c r="C1747" t="n">
        <v>9</v>
      </c>
      <c r="D1747" t="inlineStr">
        <is>
          <t>Sunday</t>
        </is>
      </c>
      <c r="E1747" t="n">
        <v>18</v>
      </c>
      <c r="F1747" t="b">
        <v>0</v>
      </c>
      <c r="H1747" t="b">
        <v>0</v>
      </c>
    </row>
    <row r="1748">
      <c r="A1748" t="inlineStr">
        <is>
          <t>S010</t>
        </is>
      </c>
      <c r="B1748" s="3" t="n">
        <v>46271</v>
      </c>
      <c r="C1748" t="n">
        <v>10</v>
      </c>
      <c r="D1748" t="inlineStr">
        <is>
          <t>Sunday</t>
        </is>
      </c>
      <c r="E1748" t="n">
        <v>24</v>
      </c>
      <c r="F1748" t="b">
        <v>0</v>
      </c>
      <c r="H1748" t="b">
        <v>0</v>
      </c>
    </row>
    <row r="1749">
      <c r="A1749" t="inlineStr">
        <is>
          <t>S010</t>
        </is>
      </c>
      <c r="B1749" s="3" t="n">
        <v>46271</v>
      </c>
      <c r="C1749" t="n">
        <v>11</v>
      </c>
      <c r="D1749" t="inlineStr">
        <is>
          <t>Sunday</t>
        </is>
      </c>
      <c r="E1749" t="n">
        <v>21</v>
      </c>
      <c r="F1749" t="b">
        <v>0</v>
      </c>
      <c r="G1749" t="inlineStr">
        <is>
          <t>Light</t>
        </is>
      </c>
      <c r="H1749" t="b">
        <v>0</v>
      </c>
    </row>
    <row r="1750">
      <c r="A1750" t="inlineStr">
        <is>
          <t>S010</t>
        </is>
      </c>
      <c r="B1750" s="3" t="n">
        <v>46271</v>
      </c>
      <c r="C1750" t="n">
        <v>12</v>
      </c>
      <c r="D1750" t="inlineStr">
        <is>
          <t>Sunday</t>
        </is>
      </c>
      <c r="E1750" t="n">
        <v>31</v>
      </c>
      <c r="F1750" t="b">
        <v>0</v>
      </c>
      <c r="H1750" t="b">
        <v>0</v>
      </c>
    </row>
    <row r="1751">
      <c r="A1751" t="inlineStr">
        <is>
          <t>S010</t>
        </is>
      </c>
      <c r="B1751" s="3" t="n">
        <v>46271</v>
      </c>
      <c r="C1751" t="n">
        <v>13</v>
      </c>
      <c r="D1751" t="inlineStr">
        <is>
          <t>Sunday</t>
        </is>
      </c>
      <c r="E1751" t="n">
        <v>19</v>
      </c>
      <c r="F1751" t="b">
        <v>0</v>
      </c>
      <c r="H1751" t="b">
        <v>0</v>
      </c>
    </row>
    <row r="1752">
      <c r="A1752" t="inlineStr">
        <is>
          <t>S010</t>
        </is>
      </c>
      <c r="B1752" s="3" t="n">
        <v>46271</v>
      </c>
      <c r="C1752" t="n">
        <v>14</v>
      </c>
      <c r="D1752" t="inlineStr">
        <is>
          <t>Sunday</t>
        </is>
      </c>
      <c r="E1752" t="n">
        <v>11</v>
      </c>
      <c r="F1752" t="b">
        <v>0</v>
      </c>
      <c r="H1752" t="b">
        <v>0</v>
      </c>
    </row>
    <row r="1753">
      <c r="A1753" t="inlineStr">
        <is>
          <t>S010</t>
        </is>
      </c>
      <c r="B1753" s="3" t="n">
        <v>46271</v>
      </c>
      <c r="C1753" t="n">
        <v>15</v>
      </c>
      <c r="D1753" t="inlineStr">
        <is>
          <t>Sunday</t>
        </is>
      </c>
      <c r="E1753" t="n">
        <v>13</v>
      </c>
      <c r="F1753" t="b">
        <v>0</v>
      </c>
      <c r="G1753" t="inlineStr">
        <is>
          <t>Light</t>
        </is>
      </c>
      <c r="H1753" t="b">
        <v>1</v>
      </c>
    </row>
    <row r="1754">
      <c r="A1754" t="inlineStr">
        <is>
          <t>S010</t>
        </is>
      </c>
      <c r="B1754" s="3" t="n">
        <v>46271</v>
      </c>
      <c r="C1754" t="n">
        <v>16</v>
      </c>
      <c r="D1754" t="inlineStr">
        <is>
          <t>Sunday</t>
        </is>
      </c>
      <c r="E1754" t="n">
        <v>26</v>
      </c>
      <c r="F1754" t="b">
        <v>0</v>
      </c>
      <c r="G1754" t="inlineStr">
        <is>
          <t>Light</t>
        </is>
      </c>
      <c r="H1754" t="b">
        <v>0</v>
      </c>
    </row>
    <row r="1755">
      <c r="A1755" t="inlineStr">
        <is>
          <t>S010</t>
        </is>
      </c>
      <c r="B1755" s="3" t="n">
        <v>46271</v>
      </c>
      <c r="C1755" t="n">
        <v>17</v>
      </c>
      <c r="D1755" t="inlineStr">
        <is>
          <t>Sunday</t>
        </is>
      </c>
      <c r="E1755" t="n">
        <v>20</v>
      </c>
      <c r="F1755" t="b">
        <v>0</v>
      </c>
      <c r="H1755" t="b">
        <v>0</v>
      </c>
    </row>
    <row r="1756">
      <c r="A1756" t="inlineStr">
        <is>
          <t>S010</t>
        </is>
      </c>
      <c r="B1756" s="3" t="n">
        <v>46271</v>
      </c>
      <c r="C1756" t="n">
        <v>18</v>
      </c>
      <c r="D1756" t="inlineStr">
        <is>
          <t>Sunday</t>
        </is>
      </c>
      <c r="E1756" t="n">
        <v>26</v>
      </c>
      <c r="F1756" t="b">
        <v>0</v>
      </c>
      <c r="H1756" t="b">
        <v>0</v>
      </c>
    </row>
    <row r="1757">
      <c r="A1757" t="inlineStr">
        <is>
          <t>S010</t>
        </is>
      </c>
      <c r="B1757" s="3" t="n">
        <v>46271</v>
      </c>
      <c r="C1757" t="n">
        <v>19</v>
      </c>
      <c r="D1757" t="inlineStr">
        <is>
          <t>Sunday</t>
        </is>
      </c>
      <c r="E1757" t="n">
        <v>37</v>
      </c>
      <c r="F1757" t="b">
        <v>1</v>
      </c>
      <c r="H1757" t="b">
        <v>0</v>
      </c>
    </row>
    <row r="1758">
      <c r="A1758" t="inlineStr">
        <is>
          <t>S010</t>
        </is>
      </c>
      <c r="B1758" s="3" t="n">
        <v>46271</v>
      </c>
      <c r="C1758" t="n">
        <v>20</v>
      </c>
      <c r="D1758" t="inlineStr">
        <is>
          <t>Sunday</t>
        </is>
      </c>
      <c r="E1758" t="n">
        <v>35</v>
      </c>
      <c r="F1758" t="b">
        <v>1</v>
      </c>
      <c r="H1758" t="b">
        <v>0</v>
      </c>
    </row>
    <row r="1759">
      <c r="A1759" t="inlineStr">
        <is>
          <t>S010</t>
        </is>
      </c>
      <c r="B1759" s="3" t="n">
        <v>46271</v>
      </c>
      <c r="C1759" t="n">
        <v>21</v>
      </c>
      <c r="D1759" t="inlineStr">
        <is>
          <t>Sunday</t>
        </is>
      </c>
      <c r="E1759" t="n">
        <v>51</v>
      </c>
      <c r="F1759" t="b">
        <v>1</v>
      </c>
      <c r="H1759" t="b">
        <v>0</v>
      </c>
    </row>
    <row r="1760">
      <c r="A1760" t="inlineStr">
        <is>
          <t>S010</t>
        </is>
      </c>
      <c r="B1760" s="3" t="n">
        <v>46271</v>
      </c>
      <c r="C1760" t="n">
        <v>22</v>
      </c>
      <c r="D1760" t="inlineStr">
        <is>
          <t>Sunday</t>
        </is>
      </c>
      <c r="E1760" t="n">
        <v>25</v>
      </c>
      <c r="F1760" t="b">
        <v>0</v>
      </c>
      <c r="H1760" t="b">
        <v>0</v>
      </c>
    </row>
    <row r="1761">
      <c r="A1761" t="inlineStr">
        <is>
          <t>S010</t>
        </is>
      </c>
      <c r="B1761" s="3" t="n">
        <v>46271</v>
      </c>
      <c r="C1761" t="n">
        <v>23</v>
      </c>
      <c r="D1761" t="inlineStr">
        <is>
          <t>Sunday</t>
        </is>
      </c>
      <c r="E1761" t="n">
        <v>26</v>
      </c>
      <c r="F1761" t="b">
        <v>0</v>
      </c>
      <c r="G1761" t="inlineStr">
        <is>
          <t>Light</t>
        </is>
      </c>
      <c r="H1761" t="b">
        <v>0</v>
      </c>
    </row>
    <row r="1762">
      <c r="A1762" t="inlineStr">
        <is>
          <t>S011</t>
        </is>
      </c>
      <c r="B1762" s="3" t="n">
        <v>46271</v>
      </c>
      <c r="C1762" t="n">
        <v>8</v>
      </c>
      <c r="D1762" t="inlineStr">
        <is>
          <t>Sunday</t>
        </is>
      </c>
      <c r="E1762" t="n">
        <v>35</v>
      </c>
      <c r="F1762" t="b">
        <v>0</v>
      </c>
      <c r="H1762" t="b">
        <v>0</v>
      </c>
    </row>
    <row r="1763">
      <c r="A1763" t="inlineStr">
        <is>
          <t>S011</t>
        </is>
      </c>
      <c r="B1763" s="3" t="n">
        <v>46271</v>
      </c>
      <c r="C1763" t="n">
        <v>9</v>
      </c>
      <c r="D1763" t="inlineStr">
        <is>
          <t>Sunday</t>
        </is>
      </c>
      <c r="E1763" t="n">
        <v>25</v>
      </c>
      <c r="F1763" t="b">
        <v>0</v>
      </c>
      <c r="H1763" t="b">
        <v>0</v>
      </c>
    </row>
    <row r="1764">
      <c r="A1764" t="inlineStr">
        <is>
          <t>S011</t>
        </is>
      </c>
      <c r="B1764" s="3" t="n">
        <v>46271</v>
      </c>
      <c r="C1764" t="n">
        <v>10</v>
      </c>
      <c r="D1764" t="inlineStr">
        <is>
          <t>Sunday</t>
        </is>
      </c>
      <c r="E1764" t="n">
        <v>24</v>
      </c>
      <c r="F1764" t="b">
        <v>0</v>
      </c>
      <c r="H1764" t="b">
        <v>0</v>
      </c>
    </row>
    <row r="1765">
      <c r="A1765" t="inlineStr">
        <is>
          <t>S011</t>
        </is>
      </c>
      <c r="B1765" s="3" t="n">
        <v>46271</v>
      </c>
      <c r="C1765" t="n">
        <v>11</v>
      </c>
      <c r="D1765" t="inlineStr">
        <is>
          <t>Sunday</t>
        </is>
      </c>
      <c r="E1765" t="n">
        <v>38</v>
      </c>
      <c r="F1765" t="b">
        <v>0</v>
      </c>
      <c r="G1765" t="inlineStr">
        <is>
          <t>Heavy</t>
        </is>
      </c>
      <c r="H1765" t="b">
        <v>0</v>
      </c>
    </row>
    <row r="1766">
      <c r="A1766" t="inlineStr">
        <is>
          <t>S011</t>
        </is>
      </c>
      <c r="B1766" s="3" t="n">
        <v>46271</v>
      </c>
      <c r="C1766" t="n">
        <v>12</v>
      </c>
      <c r="D1766" t="inlineStr">
        <is>
          <t>Sunday</t>
        </is>
      </c>
      <c r="E1766" t="n">
        <v>43</v>
      </c>
      <c r="F1766" t="b">
        <v>0</v>
      </c>
      <c r="H1766" t="b">
        <v>0</v>
      </c>
    </row>
    <row r="1767">
      <c r="A1767" t="inlineStr">
        <is>
          <t>S011</t>
        </is>
      </c>
      <c r="B1767" s="3" t="n">
        <v>46271</v>
      </c>
      <c r="C1767" t="n">
        <v>13</v>
      </c>
      <c r="D1767" t="inlineStr">
        <is>
          <t>Sunday</t>
        </is>
      </c>
      <c r="E1767" t="n">
        <v>30</v>
      </c>
      <c r="F1767" t="b">
        <v>0</v>
      </c>
      <c r="H1767" t="b">
        <v>0</v>
      </c>
    </row>
    <row r="1768">
      <c r="A1768" t="inlineStr">
        <is>
          <t>S011</t>
        </is>
      </c>
      <c r="B1768" s="3" t="n">
        <v>46271</v>
      </c>
      <c r="C1768" t="n">
        <v>14</v>
      </c>
      <c r="D1768" t="inlineStr">
        <is>
          <t>Sunday</t>
        </is>
      </c>
      <c r="E1768" t="n">
        <v>20</v>
      </c>
      <c r="F1768" t="b">
        <v>0</v>
      </c>
      <c r="H1768" t="b">
        <v>0</v>
      </c>
    </row>
    <row r="1769">
      <c r="A1769" t="inlineStr">
        <is>
          <t>S011</t>
        </is>
      </c>
      <c r="B1769" s="3" t="n">
        <v>46271</v>
      </c>
      <c r="C1769" t="n">
        <v>15</v>
      </c>
      <c r="D1769" t="inlineStr">
        <is>
          <t>Sunday</t>
        </is>
      </c>
      <c r="E1769" t="n">
        <v>25</v>
      </c>
      <c r="F1769" t="b">
        <v>0</v>
      </c>
      <c r="H1769" t="b">
        <v>0</v>
      </c>
    </row>
    <row r="1770">
      <c r="A1770" t="inlineStr">
        <is>
          <t>S011</t>
        </is>
      </c>
      <c r="B1770" s="3" t="n">
        <v>46271</v>
      </c>
      <c r="C1770" t="n">
        <v>16</v>
      </c>
      <c r="D1770" t="inlineStr">
        <is>
          <t>Sunday</t>
        </is>
      </c>
      <c r="E1770" t="n">
        <v>27</v>
      </c>
      <c r="F1770" t="b">
        <v>0</v>
      </c>
      <c r="G1770" t="inlineStr">
        <is>
          <t>Light</t>
        </is>
      </c>
      <c r="H1770" t="b">
        <v>0</v>
      </c>
    </row>
    <row r="1771">
      <c r="A1771" t="inlineStr">
        <is>
          <t>S011</t>
        </is>
      </c>
      <c r="B1771" s="3" t="n">
        <v>46271</v>
      </c>
      <c r="C1771" t="n">
        <v>17</v>
      </c>
      <c r="D1771" t="inlineStr">
        <is>
          <t>Sunday</t>
        </is>
      </c>
      <c r="E1771" t="n">
        <v>34</v>
      </c>
      <c r="F1771" t="b">
        <v>0</v>
      </c>
      <c r="G1771" t="inlineStr">
        <is>
          <t>Light</t>
        </is>
      </c>
      <c r="H1771" t="b">
        <v>0</v>
      </c>
    </row>
    <row r="1772">
      <c r="A1772" t="inlineStr">
        <is>
          <t>S011</t>
        </is>
      </c>
      <c r="B1772" s="3" t="n">
        <v>46271</v>
      </c>
      <c r="C1772" t="n">
        <v>18</v>
      </c>
      <c r="D1772" t="inlineStr">
        <is>
          <t>Sunday</t>
        </is>
      </c>
      <c r="E1772" t="n">
        <v>36</v>
      </c>
      <c r="F1772" t="b">
        <v>0</v>
      </c>
      <c r="G1772" t="inlineStr">
        <is>
          <t>Light</t>
        </is>
      </c>
      <c r="H1772" t="b">
        <v>0</v>
      </c>
    </row>
    <row r="1773">
      <c r="A1773" t="inlineStr">
        <is>
          <t>S011</t>
        </is>
      </c>
      <c r="B1773" s="3" t="n">
        <v>46271</v>
      </c>
      <c r="C1773" t="n">
        <v>19</v>
      </c>
      <c r="D1773" t="inlineStr">
        <is>
          <t>Sunday</t>
        </is>
      </c>
      <c r="E1773" t="n">
        <v>50</v>
      </c>
      <c r="F1773" t="b">
        <v>1</v>
      </c>
      <c r="G1773" t="inlineStr">
        <is>
          <t>Heavy</t>
        </is>
      </c>
      <c r="H1773" t="b">
        <v>0</v>
      </c>
    </row>
    <row r="1774">
      <c r="A1774" t="inlineStr">
        <is>
          <t>S011</t>
        </is>
      </c>
      <c r="B1774" s="3" t="n">
        <v>46271</v>
      </c>
      <c r="C1774" t="n">
        <v>20</v>
      </c>
      <c r="D1774" t="inlineStr">
        <is>
          <t>Sunday</t>
        </is>
      </c>
      <c r="E1774" t="n">
        <v>65</v>
      </c>
      <c r="F1774" t="b">
        <v>1</v>
      </c>
      <c r="H1774" t="b">
        <v>0</v>
      </c>
    </row>
    <row r="1775">
      <c r="A1775" t="inlineStr">
        <is>
          <t>S011</t>
        </is>
      </c>
      <c r="B1775" s="3" t="n">
        <v>46271</v>
      </c>
      <c r="C1775" t="n">
        <v>21</v>
      </c>
      <c r="D1775" t="inlineStr">
        <is>
          <t>Sunday</t>
        </is>
      </c>
      <c r="E1775" t="n">
        <v>50</v>
      </c>
      <c r="F1775" t="b">
        <v>1</v>
      </c>
      <c r="H1775" t="b">
        <v>0</v>
      </c>
    </row>
    <row r="1776">
      <c r="A1776" t="inlineStr">
        <is>
          <t>S011</t>
        </is>
      </c>
      <c r="B1776" s="3" t="n">
        <v>46271</v>
      </c>
      <c r="C1776" t="n">
        <v>22</v>
      </c>
      <c r="D1776" t="inlineStr">
        <is>
          <t>Sunday</t>
        </is>
      </c>
      <c r="E1776" t="n">
        <v>37</v>
      </c>
      <c r="F1776" t="b">
        <v>0</v>
      </c>
      <c r="H1776" t="b">
        <v>0</v>
      </c>
    </row>
    <row r="1777">
      <c r="A1777" t="inlineStr">
        <is>
          <t>S011</t>
        </is>
      </c>
      <c r="B1777" s="3" t="n">
        <v>46271</v>
      </c>
      <c r="C1777" t="n">
        <v>23</v>
      </c>
      <c r="D1777" t="inlineStr">
        <is>
          <t>Sunday</t>
        </is>
      </c>
      <c r="E1777" t="n">
        <v>26</v>
      </c>
      <c r="F1777" t="b">
        <v>0</v>
      </c>
      <c r="G1777" t="inlineStr">
        <is>
          <t>Light</t>
        </is>
      </c>
      <c r="H1777" t="b">
        <v>0</v>
      </c>
    </row>
    <row r="1778">
      <c r="A1778" t="inlineStr">
        <is>
          <t>S012</t>
        </is>
      </c>
      <c r="B1778" s="3" t="n">
        <v>46271</v>
      </c>
      <c r="C1778" t="n">
        <v>8</v>
      </c>
      <c r="D1778" t="inlineStr">
        <is>
          <t>Sunday</t>
        </is>
      </c>
      <c r="E1778" t="n">
        <v>8</v>
      </c>
      <c r="F1778" t="b">
        <v>0</v>
      </c>
      <c r="H1778" t="b">
        <v>0</v>
      </c>
    </row>
    <row r="1779">
      <c r="A1779" t="inlineStr">
        <is>
          <t>S012</t>
        </is>
      </c>
      <c r="B1779" s="3" t="n">
        <v>46271</v>
      </c>
      <c r="C1779" t="n">
        <v>9</v>
      </c>
      <c r="D1779" t="inlineStr">
        <is>
          <t>Sunday</t>
        </is>
      </c>
      <c r="E1779" t="n">
        <v>13</v>
      </c>
      <c r="F1779" t="b">
        <v>0</v>
      </c>
      <c r="H1779" t="b">
        <v>0</v>
      </c>
    </row>
    <row r="1780">
      <c r="A1780" t="inlineStr">
        <is>
          <t>S012</t>
        </is>
      </c>
      <c r="B1780" s="3" t="n">
        <v>46271</v>
      </c>
      <c r="C1780" t="n">
        <v>10</v>
      </c>
      <c r="D1780" t="inlineStr">
        <is>
          <t>Sunday</t>
        </is>
      </c>
      <c r="E1780" t="n">
        <v>10</v>
      </c>
      <c r="F1780" t="b">
        <v>0</v>
      </c>
      <c r="G1780" t="inlineStr">
        <is>
          <t>Heavy</t>
        </is>
      </c>
      <c r="H1780" t="b">
        <v>0</v>
      </c>
    </row>
    <row r="1781">
      <c r="A1781" t="inlineStr">
        <is>
          <t>S012</t>
        </is>
      </c>
      <c r="B1781" s="3" t="n">
        <v>46271</v>
      </c>
      <c r="C1781" t="n">
        <v>11</v>
      </c>
      <c r="D1781" t="inlineStr">
        <is>
          <t>Sunday</t>
        </is>
      </c>
      <c r="E1781" t="n">
        <v>12</v>
      </c>
      <c r="F1781" t="b">
        <v>0</v>
      </c>
      <c r="H1781" t="b">
        <v>0</v>
      </c>
    </row>
    <row r="1782">
      <c r="A1782" t="inlineStr">
        <is>
          <t>S012</t>
        </is>
      </c>
      <c r="B1782" s="3" t="n">
        <v>46271</v>
      </c>
      <c r="C1782" t="n">
        <v>12</v>
      </c>
      <c r="D1782" t="inlineStr">
        <is>
          <t>Sunday</t>
        </is>
      </c>
      <c r="E1782" t="n">
        <v>16</v>
      </c>
      <c r="F1782" t="b">
        <v>0</v>
      </c>
      <c r="H1782" t="b">
        <v>0</v>
      </c>
    </row>
    <row r="1783">
      <c r="A1783" t="inlineStr">
        <is>
          <t>S012</t>
        </is>
      </c>
      <c r="B1783" s="3" t="n">
        <v>46271</v>
      </c>
      <c r="C1783" t="n">
        <v>13</v>
      </c>
      <c r="D1783" t="inlineStr">
        <is>
          <t>Sunday</t>
        </is>
      </c>
      <c r="E1783" t="n">
        <v>17</v>
      </c>
      <c r="F1783" t="b">
        <v>0</v>
      </c>
      <c r="H1783" t="b">
        <v>0</v>
      </c>
    </row>
    <row r="1784">
      <c r="A1784" t="inlineStr">
        <is>
          <t>S012</t>
        </is>
      </c>
      <c r="B1784" s="3" t="n">
        <v>46271</v>
      </c>
      <c r="C1784" t="n">
        <v>14</v>
      </c>
      <c r="D1784" t="inlineStr">
        <is>
          <t>Sunday</t>
        </is>
      </c>
      <c r="E1784" t="n">
        <v>8</v>
      </c>
      <c r="F1784" t="b">
        <v>0</v>
      </c>
      <c r="G1784" t="inlineStr">
        <is>
          <t>Light</t>
        </is>
      </c>
      <c r="H1784" t="b">
        <v>0</v>
      </c>
    </row>
    <row r="1785">
      <c r="A1785" t="inlineStr">
        <is>
          <t>S012</t>
        </is>
      </c>
      <c r="B1785" s="3" t="n">
        <v>46271</v>
      </c>
      <c r="C1785" t="n">
        <v>15</v>
      </c>
      <c r="D1785" t="inlineStr">
        <is>
          <t>Sunday</t>
        </is>
      </c>
      <c r="E1785" t="n">
        <v>9</v>
      </c>
      <c r="F1785" t="b">
        <v>0</v>
      </c>
      <c r="H1785" t="b">
        <v>0</v>
      </c>
    </row>
    <row r="1786">
      <c r="A1786" t="inlineStr">
        <is>
          <t>S012</t>
        </is>
      </c>
      <c r="B1786" s="3" t="n">
        <v>46271</v>
      </c>
      <c r="C1786" t="n">
        <v>16</v>
      </c>
      <c r="D1786" t="inlineStr">
        <is>
          <t>Sunday</t>
        </is>
      </c>
      <c r="E1786" t="n">
        <v>13</v>
      </c>
      <c r="F1786" t="b">
        <v>0</v>
      </c>
      <c r="G1786" t="inlineStr">
        <is>
          <t>Light</t>
        </is>
      </c>
      <c r="H1786" t="b">
        <v>0</v>
      </c>
    </row>
    <row r="1787">
      <c r="A1787" t="inlineStr">
        <is>
          <t>S012</t>
        </is>
      </c>
      <c r="B1787" s="3" t="n">
        <v>46271</v>
      </c>
      <c r="C1787" t="n">
        <v>17</v>
      </c>
      <c r="D1787" t="inlineStr">
        <is>
          <t>Sunday</t>
        </is>
      </c>
      <c r="E1787" t="n">
        <v>12</v>
      </c>
      <c r="F1787" t="b">
        <v>0</v>
      </c>
      <c r="H1787" t="b">
        <v>0</v>
      </c>
    </row>
    <row r="1788">
      <c r="A1788" t="inlineStr">
        <is>
          <t>S012</t>
        </is>
      </c>
      <c r="B1788" s="3" t="n">
        <v>46271</v>
      </c>
      <c r="C1788" t="n">
        <v>18</v>
      </c>
      <c r="D1788" t="inlineStr">
        <is>
          <t>Sunday</t>
        </is>
      </c>
      <c r="E1788" t="n">
        <v>21</v>
      </c>
      <c r="F1788" t="b">
        <v>0</v>
      </c>
      <c r="H1788" t="b">
        <v>0</v>
      </c>
    </row>
    <row r="1789">
      <c r="A1789" t="inlineStr">
        <is>
          <t>S012</t>
        </is>
      </c>
      <c r="B1789" s="3" t="n">
        <v>46271</v>
      </c>
      <c r="C1789" t="n">
        <v>19</v>
      </c>
      <c r="D1789" t="inlineStr">
        <is>
          <t>Sunday</t>
        </is>
      </c>
      <c r="E1789" t="n">
        <v>28</v>
      </c>
      <c r="F1789" t="b">
        <v>1</v>
      </c>
      <c r="H1789" t="b">
        <v>1</v>
      </c>
    </row>
    <row r="1790">
      <c r="A1790" t="inlineStr">
        <is>
          <t>S012</t>
        </is>
      </c>
      <c r="B1790" s="3" t="n">
        <v>46271</v>
      </c>
      <c r="C1790" t="n">
        <v>20</v>
      </c>
      <c r="D1790" t="inlineStr">
        <is>
          <t>Sunday</t>
        </is>
      </c>
      <c r="E1790" t="n">
        <v>27</v>
      </c>
      <c r="F1790" t="b">
        <v>1</v>
      </c>
      <c r="H1790" t="b">
        <v>0</v>
      </c>
    </row>
    <row r="1791">
      <c r="A1791" t="inlineStr">
        <is>
          <t>S012</t>
        </is>
      </c>
      <c r="B1791" s="3" t="n">
        <v>46271</v>
      </c>
      <c r="C1791" t="n">
        <v>21</v>
      </c>
      <c r="D1791" t="inlineStr">
        <is>
          <t>Sunday</t>
        </is>
      </c>
      <c r="E1791" t="n">
        <v>30</v>
      </c>
      <c r="F1791" t="b">
        <v>1</v>
      </c>
      <c r="H1791" t="b">
        <v>0</v>
      </c>
    </row>
    <row r="1792">
      <c r="A1792" t="inlineStr">
        <is>
          <t>S012</t>
        </is>
      </c>
      <c r="B1792" s="3" t="n">
        <v>46271</v>
      </c>
      <c r="C1792" t="n">
        <v>22</v>
      </c>
      <c r="D1792" t="inlineStr">
        <is>
          <t>Sunday</t>
        </is>
      </c>
      <c r="E1792" t="n">
        <v>19</v>
      </c>
      <c r="F1792" t="b">
        <v>0</v>
      </c>
      <c r="H1792" t="b">
        <v>0</v>
      </c>
    </row>
    <row r="1793">
      <c r="A1793" t="inlineStr">
        <is>
          <t>S012</t>
        </is>
      </c>
      <c r="B1793" s="3" t="n">
        <v>46271</v>
      </c>
      <c r="C1793" t="n">
        <v>23</v>
      </c>
      <c r="D1793" t="inlineStr">
        <is>
          <t>Sunday</t>
        </is>
      </c>
      <c r="E1793" t="n">
        <v>10</v>
      </c>
      <c r="F1793" t="b">
        <v>0</v>
      </c>
      <c r="H1793" t="b">
        <v>0</v>
      </c>
    </row>
    <row r="1794">
      <c r="A1794" t="inlineStr">
        <is>
          <t>S013</t>
        </is>
      </c>
      <c r="B1794" s="3" t="n">
        <v>46271</v>
      </c>
      <c r="C1794" t="n">
        <v>8</v>
      </c>
      <c r="D1794" t="inlineStr">
        <is>
          <t>Sunday</t>
        </is>
      </c>
      <c r="E1794" t="n">
        <v>34</v>
      </c>
      <c r="F1794" t="b">
        <v>0</v>
      </c>
      <c r="H1794" t="b">
        <v>0</v>
      </c>
    </row>
    <row r="1795">
      <c r="A1795" t="inlineStr">
        <is>
          <t>S013</t>
        </is>
      </c>
      <c r="B1795" s="3" t="n">
        <v>46271</v>
      </c>
      <c r="C1795" t="n">
        <v>9</v>
      </c>
      <c r="D1795" t="inlineStr">
        <is>
          <t>Sunday</t>
        </is>
      </c>
      <c r="E1795" t="n">
        <v>39</v>
      </c>
      <c r="F1795" t="b">
        <v>0</v>
      </c>
      <c r="H1795" t="b">
        <v>0</v>
      </c>
    </row>
    <row r="1796">
      <c r="A1796" t="inlineStr">
        <is>
          <t>S013</t>
        </is>
      </c>
      <c r="B1796" s="3" t="n">
        <v>46271</v>
      </c>
      <c r="C1796" t="n">
        <v>10</v>
      </c>
      <c r="D1796" t="inlineStr">
        <is>
          <t>Sunday</t>
        </is>
      </c>
      <c r="E1796" t="n">
        <v>37</v>
      </c>
      <c r="F1796" t="b">
        <v>0</v>
      </c>
      <c r="H1796" t="b">
        <v>0</v>
      </c>
    </row>
    <row r="1797">
      <c r="A1797" t="inlineStr">
        <is>
          <t>S013</t>
        </is>
      </c>
      <c r="B1797" s="3" t="n">
        <v>46271</v>
      </c>
      <c r="C1797" t="n">
        <v>11</v>
      </c>
      <c r="D1797" t="inlineStr">
        <is>
          <t>Sunday</t>
        </is>
      </c>
      <c r="E1797" t="n">
        <v>52</v>
      </c>
      <c r="F1797" t="b">
        <v>0</v>
      </c>
      <c r="H1797" t="b">
        <v>0</v>
      </c>
    </row>
    <row r="1798">
      <c r="A1798" t="inlineStr">
        <is>
          <t>S013</t>
        </is>
      </c>
      <c r="B1798" s="3" t="n">
        <v>46271</v>
      </c>
      <c r="C1798" t="n">
        <v>12</v>
      </c>
      <c r="D1798" t="inlineStr">
        <is>
          <t>Sunday</t>
        </is>
      </c>
      <c r="E1798" t="n">
        <v>50</v>
      </c>
      <c r="F1798" t="b">
        <v>0</v>
      </c>
      <c r="H1798" t="b">
        <v>0</v>
      </c>
    </row>
    <row r="1799">
      <c r="A1799" t="inlineStr">
        <is>
          <t>S013</t>
        </is>
      </c>
      <c r="B1799" s="3" t="n">
        <v>46271</v>
      </c>
      <c r="C1799" t="n">
        <v>13</v>
      </c>
      <c r="D1799" t="inlineStr">
        <is>
          <t>Sunday</t>
        </is>
      </c>
      <c r="E1799" t="n">
        <v>50</v>
      </c>
      <c r="F1799" t="b">
        <v>0</v>
      </c>
      <c r="H1799" t="b">
        <v>0</v>
      </c>
    </row>
    <row r="1800">
      <c r="A1800" t="inlineStr">
        <is>
          <t>S013</t>
        </is>
      </c>
      <c r="B1800" s="3" t="n">
        <v>46271</v>
      </c>
      <c r="C1800" t="n">
        <v>14</v>
      </c>
      <c r="D1800" t="inlineStr">
        <is>
          <t>Sunday</t>
        </is>
      </c>
      <c r="E1800" t="n">
        <v>36</v>
      </c>
      <c r="F1800" t="b">
        <v>0</v>
      </c>
      <c r="H1800" t="b">
        <v>0</v>
      </c>
    </row>
    <row r="1801">
      <c r="A1801" t="inlineStr">
        <is>
          <t>S013</t>
        </is>
      </c>
      <c r="B1801" s="3" t="n">
        <v>46271</v>
      </c>
      <c r="C1801" t="n">
        <v>15</v>
      </c>
      <c r="D1801" t="inlineStr">
        <is>
          <t>Sunday</t>
        </is>
      </c>
      <c r="E1801" t="n">
        <v>32</v>
      </c>
      <c r="F1801" t="b">
        <v>0</v>
      </c>
      <c r="H1801" t="b">
        <v>0</v>
      </c>
    </row>
    <row r="1802">
      <c r="A1802" t="inlineStr">
        <is>
          <t>S013</t>
        </is>
      </c>
      <c r="B1802" s="3" t="n">
        <v>46271</v>
      </c>
      <c r="C1802" t="n">
        <v>16</v>
      </c>
      <c r="D1802" t="inlineStr">
        <is>
          <t>Sunday</t>
        </is>
      </c>
      <c r="E1802" t="n">
        <v>64</v>
      </c>
      <c r="F1802" t="b">
        <v>0</v>
      </c>
      <c r="H1802" t="b">
        <v>0</v>
      </c>
    </row>
    <row r="1803">
      <c r="A1803" t="inlineStr">
        <is>
          <t>S013</t>
        </is>
      </c>
      <c r="B1803" s="3" t="n">
        <v>46271</v>
      </c>
      <c r="C1803" t="n">
        <v>17</v>
      </c>
      <c r="D1803" t="inlineStr">
        <is>
          <t>Sunday</t>
        </is>
      </c>
      <c r="E1803" t="n">
        <v>46</v>
      </c>
      <c r="F1803" t="b">
        <v>0</v>
      </c>
      <c r="H1803" t="b">
        <v>0</v>
      </c>
    </row>
    <row r="1804">
      <c r="A1804" t="inlineStr">
        <is>
          <t>S013</t>
        </is>
      </c>
      <c r="B1804" s="3" t="n">
        <v>46271</v>
      </c>
      <c r="C1804" t="n">
        <v>18</v>
      </c>
      <c r="D1804" t="inlineStr">
        <is>
          <t>Sunday</t>
        </is>
      </c>
      <c r="E1804" t="n">
        <v>55</v>
      </c>
      <c r="F1804" t="b">
        <v>0</v>
      </c>
      <c r="H1804" t="b">
        <v>0</v>
      </c>
    </row>
    <row r="1805">
      <c r="A1805" t="inlineStr">
        <is>
          <t>S013</t>
        </is>
      </c>
      <c r="B1805" s="3" t="n">
        <v>46271</v>
      </c>
      <c r="C1805" t="n">
        <v>19</v>
      </c>
      <c r="D1805" t="inlineStr">
        <is>
          <t>Sunday</t>
        </is>
      </c>
      <c r="E1805" t="n">
        <v>80</v>
      </c>
      <c r="F1805" t="b">
        <v>1</v>
      </c>
      <c r="H1805" t="b">
        <v>0</v>
      </c>
    </row>
    <row r="1806">
      <c r="A1806" t="inlineStr">
        <is>
          <t>S013</t>
        </is>
      </c>
      <c r="B1806" s="3" t="n">
        <v>46271</v>
      </c>
      <c r="C1806" t="n">
        <v>20</v>
      </c>
      <c r="D1806" t="inlineStr">
        <is>
          <t>Sunday</t>
        </is>
      </c>
      <c r="E1806" t="n">
        <v>94</v>
      </c>
      <c r="F1806" t="b">
        <v>1</v>
      </c>
      <c r="G1806" t="inlineStr">
        <is>
          <t>Light</t>
        </is>
      </c>
      <c r="H1806" t="b">
        <v>0</v>
      </c>
    </row>
    <row r="1807">
      <c r="A1807" t="inlineStr">
        <is>
          <t>S013</t>
        </is>
      </c>
      <c r="B1807" s="3" t="n">
        <v>46271</v>
      </c>
      <c r="C1807" t="n">
        <v>21</v>
      </c>
      <c r="D1807" t="inlineStr">
        <is>
          <t>Sunday</t>
        </is>
      </c>
      <c r="E1807" t="n">
        <v>95</v>
      </c>
      <c r="F1807" t="b">
        <v>1</v>
      </c>
      <c r="H1807" t="b">
        <v>0</v>
      </c>
    </row>
    <row r="1808">
      <c r="A1808" t="inlineStr">
        <is>
          <t>S013</t>
        </is>
      </c>
      <c r="B1808" s="3" t="n">
        <v>46271</v>
      </c>
      <c r="C1808" t="n">
        <v>22</v>
      </c>
      <c r="D1808" t="inlineStr">
        <is>
          <t>Sunday</t>
        </is>
      </c>
      <c r="E1808" t="n">
        <v>57</v>
      </c>
      <c r="F1808" t="b">
        <v>0</v>
      </c>
      <c r="H1808" t="b">
        <v>0</v>
      </c>
    </row>
    <row r="1809">
      <c r="A1809" t="inlineStr">
        <is>
          <t>S013</t>
        </is>
      </c>
      <c r="B1809" s="3" t="n">
        <v>46271</v>
      </c>
      <c r="C1809" t="n">
        <v>23</v>
      </c>
      <c r="D1809" t="inlineStr">
        <is>
          <t>Sunday</t>
        </is>
      </c>
      <c r="E1809" t="n">
        <v>70</v>
      </c>
      <c r="F1809" t="b">
        <v>0</v>
      </c>
      <c r="G1809" t="inlineStr">
        <is>
          <t>Heavy</t>
        </is>
      </c>
      <c r="H1809" t="b">
        <v>0</v>
      </c>
    </row>
    <row r="1810">
      <c r="A1810" t="inlineStr">
        <is>
          <t>S014</t>
        </is>
      </c>
      <c r="B1810" s="3" t="n">
        <v>46271</v>
      </c>
      <c r="C1810" t="n">
        <v>8</v>
      </c>
      <c r="D1810" t="inlineStr">
        <is>
          <t>Sunday</t>
        </is>
      </c>
      <c r="E1810" t="n">
        <v>24</v>
      </c>
      <c r="F1810" t="b">
        <v>0</v>
      </c>
      <c r="G1810" t="inlineStr">
        <is>
          <t>Heavy</t>
        </is>
      </c>
      <c r="H1810" t="b">
        <v>0</v>
      </c>
    </row>
    <row r="1811">
      <c r="A1811" t="inlineStr">
        <is>
          <t>S014</t>
        </is>
      </c>
      <c r="B1811" s="3" t="n">
        <v>46271</v>
      </c>
      <c r="C1811" t="n">
        <v>9</v>
      </c>
      <c r="D1811" t="inlineStr">
        <is>
          <t>Sunday</t>
        </is>
      </c>
      <c r="E1811" t="n">
        <v>46</v>
      </c>
      <c r="F1811" t="b">
        <v>0</v>
      </c>
      <c r="H1811" t="b">
        <v>0</v>
      </c>
    </row>
    <row r="1812">
      <c r="A1812" t="inlineStr">
        <is>
          <t>S014</t>
        </is>
      </c>
      <c r="B1812" s="3" t="n">
        <v>46271</v>
      </c>
      <c r="C1812" t="n">
        <v>10</v>
      </c>
      <c r="D1812" t="inlineStr">
        <is>
          <t>Sunday</t>
        </is>
      </c>
      <c r="E1812" t="n">
        <v>27</v>
      </c>
      <c r="F1812" t="b">
        <v>0</v>
      </c>
      <c r="H1812" t="b">
        <v>0</v>
      </c>
    </row>
    <row r="1813">
      <c r="A1813" t="inlineStr">
        <is>
          <t>S014</t>
        </is>
      </c>
      <c r="B1813" s="3" t="n">
        <v>46271</v>
      </c>
      <c r="C1813" t="n">
        <v>11</v>
      </c>
      <c r="D1813" t="inlineStr">
        <is>
          <t>Sunday</t>
        </is>
      </c>
      <c r="E1813" t="n">
        <v>41</v>
      </c>
      <c r="F1813" t="b">
        <v>0</v>
      </c>
      <c r="H1813" t="b">
        <v>0</v>
      </c>
    </row>
    <row r="1814">
      <c r="A1814" t="inlineStr">
        <is>
          <t>S014</t>
        </is>
      </c>
      <c r="B1814" s="3" t="n">
        <v>46271</v>
      </c>
      <c r="C1814" t="n">
        <v>12</v>
      </c>
      <c r="D1814" t="inlineStr">
        <is>
          <t>Sunday</t>
        </is>
      </c>
      <c r="E1814" t="n">
        <v>33</v>
      </c>
      <c r="F1814" t="b">
        <v>0</v>
      </c>
      <c r="H1814" t="b">
        <v>0</v>
      </c>
    </row>
    <row r="1815">
      <c r="A1815" t="inlineStr">
        <is>
          <t>S014</t>
        </is>
      </c>
      <c r="B1815" s="3" t="n">
        <v>46271</v>
      </c>
      <c r="C1815" t="n">
        <v>13</v>
      </c>
      <c r="D1815" t="inlineStr">
        <is>
          <t>Sunday</t>
        </is>
      </c>
      <c r="E1815" t="n">
        <v>36</v>
      </c>
      <c r="F1815" t="b">
        <v>0</v>
      </c>
      <c r="H1815" t="b">
        <v>0</v>
      </c>
    </row>
    <row r="1816">
      <c r="A1816" t="inlineStr">
        <is>
          <t>S014</t>
        </is>
      </c>
      <c r="B1816" s="3" t="n">
        <v>46271</v>
      </c>
      <c r="C1816" t="n">
        <v>14</v>
      </c>
      <c r="D1816" t="inlineStr">
        <is>
          <t>Sunday</t>
        </is>
      </c>
      <c r="E1816" t="n">
        <v>22</v>
      </c>
      <c r="F1816" t="b">
        <v>0</v>
      </c>
      <c r="H1816" t="b">
        <v>0</v>
      </c>
    </row>
    <row r="1817">
      <c r="A1817" t="inlineStr">
        <is>
          <t>S014</t>
        </is>
      </c>
      <c r="B1817" s="3" t="n">
        <v>46271</v>
      </c>
      <c r="C1817" t="n">
        <v>15</v>
      </c>
      <c r="D1817" t="inlineStr">
        <is>
          <t>Sunday</t>
        </is>
      </c>
      <c r="E1817" t="n">
        <v>32</v>
      </c>
      <c r="F1817" t="b">
        <v>0</v>
      </c>
      <c r="H1817" t="b">
        <v>0</v>
      </c>
    </row>
    <row r="1818">
      <c r="A1818" t="inlineStr">
        <is>
          <t>S014</t>
        </is>
      </c>
      <c r="B1818" s="3" t="n">
        <v>46271</v>
      </c>
      <c r="C1818" t="n">
        <v>16</v>
      </c>
      <c r="D1818" t="inlineStr">
        <is>
          <t>Sunday</t>
        </is>
      </c>
      <c r="E1818" t="n">
        <v>40</v>
      </c>
      <c r="F1818" t="b">
        <v>0</v>
      </c>
      <c r="H1818" t="b">
        <v>0</v>
      </c>
    </row>
    <row r="1819">
      <c r="A1819" t="inlineStr">
        <is>
          <t>S014</t>
        </is>
      </c>
      <c r="B1819" s="3" t="n">
        <v>46271</v>
      </c>
      <c r="C1819" t="n">
        <v>17</v>
      </c>
      <c r="D1819" t="inlineStr">
        <is>
          <t>Sunday</t>
        </is>
      </c>
      <c r="E1819" t="n">
        <v>30</v>
      </c>
      <c r="F1819" t="b">
        <v>0</v>
      </c>
      <c r="H1819" t="b">
        <v>0</v>
      </c>
    </row>
    <row r="1820">
      <c r="A1820" t="inlineStr">
        <is>
          <t>S014</t>
        </is>
      </c>
      <c r="B1820" s="3" t="n">
        <v>46271</v>
      </c>
      <c r="C1820" t="n">
        <v>18</v>
      </c>
      <c r="D1820" t="inlineStr">
        <is>
          <t>Sunday</t>
        </is>
      </c>
      <c r="E1820" t="n">
        <v>41</v>
      </c>
      <c r="F1820" t="b">
        <v>0</v>
      </c>
      <c r="H1820" t="b">
        <v>1</v>
      </c>
    </row>
    <row r="1821">
      <c r="A1821" t="inlineStr">
        <is>
          <t>S014</t>
        </is>
      </c>
      <c r="B1821" s="3" t="n">
        <v>46271</v>
      </c>
      <c r="C1821" t="n">
        <v>19</v>
      </c>
      <c r="D1821" t="inlineStr">
        <is>
          <t>Sunday</t>
        </is>
      </c>
      <c r="E1821" t="n">
        <v>65</v>
      </c>
      <c r="F1821" t="b">
        <v>1</v>
      </c>
      <c r="G1821" t="inlineStr">
        <is>
          <t>Heavy</t>
        </is>
      </c>
      <c r="H1821" t="b">
        <v>0</v>
      </c>
    </row>
    <row r="1822">
      <c r="A1822" t="inlineStr">
        <is>
          <t>S014</t>
        </is>
      </c>
      <c r="B1822" s="3" t="n">
        <v>46271</v>
      </c>
      <c r="C1822" t="n">
        <v>20</v>
      </c>
      <c r="D1822" t="inlineStr">
        <is>
          <t>Sunday</t>
        </is>
      </c>
      <c r="E1822" t="n">
        <v>48</v>
      </c>
      <c r="F1822" t="b">
        <v>1</v>
      </c>
      <c r="G1822" t="inlineStr">
        <is>
          <t>Light</t>
        </is>
      </c>
      <c r="H1822" t="b">
        <v>0</v>
      </c>
    </row>
    <row r="1823">
      <c r="A1823" t="inlineStr">
        <is>
          <t>S014</t>
        </is>
      </c>
      <c r="B1823" s="3" t="n">
        <v>46271</v>
      </c>
      <c r="C1823" t="n">
        <v>21</v>
      </c>
      <c r="D1823" t="inlineStr">
        <is>
          <t>Sunday</t>
        </is>
      </c>
      <c r="E1823" t="n">
        <v>50</v>
      </c>
      <c r="F1823" t="b">
        <v>1</v>
      </c>
      <c r="H1823" t="b">
        <v>0</v>
      </c>
    </row>
    <row r="1824">
      <c r="A1824" t="inlineStr">
        <is>
          <t>S014</t>
        </is>
      </c>
      <c r="B1824" s="3" t="n">
        <v>46271</v>
      </c>
      <c r="C1824" t="n">
        <v>22</v>
      </c>
      <c r="D1824" t="inlineStr">
        <is>
          <t>Sunday</t>
        </is>
      </c>
      <c r="E1824" t="n">
        <v>42</v>
      </c>
      <c r="F1824" t="b">
        <v>0</v>
      </c>
      <c r="H1824" t="b">
        <v>0</v>
      </c>
    </row>
    <row r="1825">
      <c r="A1825" t="inlineStr">
        <is>
          <t>S014</t>
        </is>
      </c>
      <c r="B1825" s="3" t="n">
        <v>46271</v>
      </c>
      <c r="C1825" t="n">
        <v>23</v>
      </c>
      <c r="D1825" t="inlineStr">
        <is>
          <t>Sunday</t>
        </is>
      </c>
      <c r="E1825" t="n">
        <v>39</v>
      </c>
      <c r="F1825" t="b">
        <v>0</v>
      </c>
      <c r="H1825" t="b">
        <v>0</v>
      </c>
    </row>
    <row r="1826">
      <c r="A1826" t="inlineStr">
        <is>
          <t>S015</t>
        </is>
      </c>
      <c r="B1826" s="3" t="n">
        <v>46271</v>
      </c>
      <c r="C1826" t="n">
        <v>8</v>
      </c>
      <c r="D1826" t="inlineStr">
        <is>
          <t>Sunday</t>
        </is>
      </c>
      <c r="E1826" t="n">
        <v>17</v>
      </c>
      <c r="F1826" t="b">
        <v>0</v>
      </c>
      <c r="G1826" t="inlineStr">
        <is>
          <t>Light</t>
        </is>
      </c>
      <c r="H1826" t="b">
        <v>0</v>
      </c>
    </row>
    <row r="1827">
      <c r="A1827" t="inlineStr">
        <is>
          <t>S015</t>
        </is>
      </c>
      <c r="B1827" s="3" t="n">
        <v>46271</v>
      </c>
      <c r="C1827" t="n">
        <v>9</v>
      </c>
      <c r="D1827" t="inlineStr">
        <is>
          <t>Sunday</t>
        </is>
      </c>
      <c r="E1827" t="n">
        <v>11</v>
      </c>
      <c r="F1827" t="b">
        <v>0</v>
      </c>
      <c r="H1827" t="b">
        <v>0</v>
      </c>
    </row>
    <row r="1828">
      <c r="A1828" t="inlineStr">
        <is>
          <t>S015</t>
        </is>
      </c>
      <c r="B1828" s="3" t="n">
        <v>46271</v>
      </c>
      <c r="C1828" t="n">
        <v>10</v>
      </c>
      <c r="D1828" t="inlineStr">
        <is>
          <t>Sunday</t>
        </is>
      </c>
      <c r="E1828" t="n">
        <v>21</v>
      </c>
      <c r="F1828" t="b">
        <v>0</v>
      </c>
      <c r="H1828" t="b">
        <v>0</v>
      </c>
    </row>
    <row r="1829">
      <c r="A1829" t="inlineStr">
        <is>
          <t>S015</t>
        </is>
      </c>
      <c r="B1829" s="3" t="n">
        <v>46271</v>
      </c>
      <c r="C1829" t="n">
        <v>11</v>
      </c>
      <c r="D1829" t="inlineStr">
        <is>
          <t>Sunday</t>
        </is>
      </c>
      <c r="E1829" t="n">
        <v>22</v>
      </c>
      <c r="F1829" t="b">
        <v>0</v>
      </c>
      <c r="G1829" t="inlineStr">
        <is>
          <t>Light</t>
        </is>
      </c>
      <c r="H1829" t="b">
        <v>0</v>
      </c>
    </row>
    <row r="1830">
      <c r="A1830" t="inlineStr">
        <is>
          <t>S015</t>
        </is>
      </c>
      <c r="B1830" s="3" t="n">
        <v>46271</v>
      </c>
      <c r="C1830" t="n">
        <v>12</v>
      </c>
      <c r="D1830" t="inlineStr">
        <is>
          <t>Sunday</t>
        </is>
      </c>
      <c r="E1830" t="n">
        <v>21</v>
      </c>
      <c r="F1830" t="b">
        <v>0</v>
      </c>
      <c r="H1830" t="b">
        <v>0</v>
      </c>
    </row>
    <row r="1831">
      <c r="A1831" t="inlineStr">
        <is>
          <t>S015</t>
        </is>
      </c>
      <c r="B1831" s="3" t="n">
        <v>46271</v>
      </c>
      <c r="C1831" t="n">
        <v>13</v>
      </c>
      <c r="D1831" t="inlineStr">
        <is>
          <t>Sunday</t>
        </is>
      </c>
      <c r="E1831" t="n">
        <v>25</v>
      </c>
      <c r="F1831" t="b">
        <v>0</v>
      </c>
      <c r="G1831" t="inlineStr">
        <is>
          <t>Heavy</t>
        </is>
      </c>
      <c r="H1831" t="b">
        <v>0</v>
      </c>
    </row>
    <row r="1832">
      <c r="A1832" t="inlineStr">
        <is>
          <t>S015</t>
        </is>
      </c>
      <c r="B1832" s="3" t="n">
        <v>46271</v>
      </c>
      <c r="C1832" t="n">
        <v>14</v>
      </c>
      <c r="D1832" t="inlineStr">
        <is>
          <t>Sunday</t>
        </is>
      </c>
      <c r="E1832" t="n">
        <v>24</v>
      </c>
      <c r="F1832" t="b">
        <v>0</v>
      </c>
      <c r="H1832" t="b">
        <v>0</v>
      </c>
    </row>
    <row r="1833">
      <c r="A1833" t="inlineStr">
        <is>
          <t>S015</t>
        </is>
      </c>
      <c r="B1833" s="3" t="n">
        <v>46271</v>
      </c>
      <c r="C1833" t="n">
        <v>15</v>
      </c>
      <c r="D1833" t="inlineStr">
        <is>
          <t>Sunday</t>
        </is>
      </c>
      <c r="E1833" t="n">
        <v>15</v>
      </c>
      <c r="F1833" t="b">
        <v>0</v>
      </c>
      <c r="H1833" t="b">
        <v>1</v>
      </c>
    </row>
    <row r="1834">
      <c r="A1834" t="inlineStr">
        <is>
          <t>S015</t>
        </is>
      </c>
      <c r="B1834" s="3" t="n">
        <v>46271</v>
      </c>
      <c r="C1834" t="n">
        <v>16</v>
      </c>
      <c r="D1834" t="inlineStr">
        <is>
          <t>Sunday</t>
        </is>
      </c>
      <c r="E1834" t="n">
        <v>21</v>
      </c>
      <c r="F1834" t="b">
        <v>0</v>
      </c>
      <c r="G1834" t="inlineStr">
        <is>
          <t>Light</t>
        </is>
      </c>
      <c r="H1834" t="b">
        <v>0</v>
      </c>
    </row>
    <row r="1835">
      <c r="A1835" t="inlineStr">
        <is>
          <t>S015</t>
        </is>
      </c>
      <c r="B1835" s="3" t="n">
        <v>46271</v>
      </c>
      <c r="C1835" t="n">
        <v>17</v>
      </c>
      <c r="D1835" t="inlineStr">
        <is>
          <t>Sunday</t>
        </is>
      </c>
      <c r="E1835" t="n">
        <v>21</v>
      </c>
      <c r="F1835" t="b">
        <v>0</v>
      </c>
      <c r="H1835" t="b">
        <v>0</v>
      </c>
    </row>
    <row r="1836">
      <c r="A1836" t="inlineStr">
        <is>
          <t>S015</t>
        </is>
      </c>
      <c r="B1836" s="3" t="n">
        <v>46271</v>
      </c>
      <c r="C1836" t="n">
        <v>18</v>
      </c>
      <c r="D1836" t="inlineStr">
        <is>
          <t>Sunday</t>
        </is>
      </c>
      <c r="E1836" t="n">
        <v>20</v>
      </c>
      <c r="F1836" t="b">
        <v>0</v>
      </c>
      <c r="G1836" t="inlineStr">
        <is>
          <t>Light</t>
        </is>
      </c>
      <c r="H1836" t="b">
        <v>0</v>
      </c>
    </row>
    <row r="1837">
      <c r="A1837" t="inlineStr">
        <is>
          <t>S015</t>
        </is>
      </c>
      <c r="B1837" s="3" t="n">
        <v>46271</v>
      </c>
      <c r="C1837" t="n">
        <v>19</v>
      </c>
      <c r="D1837" t="inlineStr">
        <is>
          <t>Sunday</t>
        </is>
      </c>
      <c r="E1837" t="n">
        <v>29</v>
      </c>
      <c r="F1837" t="b">
        <v>1</v>
      </c>
      <c r="H1837" t="b">
        <v>0</v>
      </c>
    </row>
    <row r="1838">
      <c r="A1838" t="inlineStr">
        <is>
          <t>S015</t>
        </is>
      </c>
      <c r="B1838" s="3" t="n">
        <v>46271</v>
      </c>
      <c r="C1838" t="n">
        <v>20</v>
      </c>
      <c r="D1838" t="inlineStr">
        <is>
          <t>Sunday</t>
        </is>
      </c>
      <c r="E1838" t="n">
        <v>38</v>
      </c>
      <c r="F1838" t="b">
        <v>1</v>
      </c>
      <c r="H1838" t="b">
        <v>0</v>
      </c>
    </row>
    <row r="1839">
      <c r="A1839" t="inlineStr">
        <is>
          <t>S015</t>
        </is>
      </c>
      <c r="B1839" s="3" t="n">
        <v>46271</v>
      </c>
      <c r="C1839" t="n">
        <v>21</v>
      </c>
      <c r="D1839" t="inlineStr">
        <is>
          <t>Sunday</t>
        </is>
      </c>
      <c r="E1839" t="n">
        <v>36</v>
      </c>
      <c r="F1839" t="b">
        <v>1</v>
      </c>
      <c r="H1839" t="b">
        <v>0</v>
      </c>
    </row>
    <row r="1840">
      <c r="A1840" t="inlineStr">
        <is>
          <t>S015</t>
        </is>
      </c>
      <c r="B1840" s="3" t="n">
        <v>46271</v>
      </c>
      <c r="C1840" t="n">
        <v>22</v>
      </c>
      <c r="D1840" t="inlineStr">
        <is>
          <t>Sunday</t>
        </is>
      </c>
      <c r="E1840" t="n">
        <v>20</v>
      </c>
      <c r="F1840" t="b">
        <v>0</v>
      </c>
      <c r="H1840" t="b">
        <v>0</v>
      </c>
    </row>
    <row r="1841">
      <c r="A1841" t="inlineStr">
        <is>
          <t>S015</t>
        </is>
      </c>
      <c r="B1841" s="3" t="n">
        <v>46271</v>
      </c>
      <c r="C1841" t="n">
        <v>23</v>
      </c>
      <c r="D1841" t="inlineStr">
        <is>
          <t>Sunday</t>
        </is>
      </c>
      <c r="E1841" t="n">
        <v>21</v>
      </c>
      <c r="F1841" t="b">
        <v>0</v>
      </c>
      <c r="H1841" t="b">
        <v>0</v>
      </c>
    </row>
    <row r="1842">
      <c r="A1842" t="inlineStr">
        <is>
          <t>S016</t>
        </is>
      </c>
      <c r="B1842" s="3" t="n">
        <v>46271</v>
      </c>
      <c r="C1842" t="n">
        <v>8</v>
      </c>
      <c r="D1842" t="inlineStr">
        <is>
          <t>Sunday</t>
        </is>
      </c>
      <c r="E1842" t="n">
        <v>12</v>
      </c>
      <c r="F1842" t="b">
        <v>0</v>
      </c>
      <c r="G1842" t="inlineStr">
        <is>
          <t>Light</t>
        </is>
      </c>
      <c r="H1842" t="b">
        <v>0</v>
      </c>
    </row>
    <row r="1843">
      <c r="A1843" t="inlineStr">
        <is>
          <t>S016</t>
        </is>
      </c>
      <c r="B1843" s="3" t="n">
        <v>46271</v>
      </c>
      <c r="C1843" t="n">
        <v>9</v>
      </c>
      <c r="D1843" t="inlineStr">
        <is>
          <t>Sunday</t>
        </is>
      </c>
      <c r="E1843" t="n">
        <v>18</v>
      </c>
      <c r="F1843" t="b">
        <v>0</v>
      </c>
      <c r="G1843" t="inlineStr">
        <is>
          <t>Heavy</t>
        </is>
      </c>
      <c r="H1843" t="b">
        <v>0</v>
      </c>
    </row>
    <row r="1844">
      <c r="A1844" t="inlineStr">
        <is>
          <t>S016</t>
        </is>
      </c>
      <c r="B1844" s="3" t="n">
        <v>46271</v>
      </c>
      <c r="C1844" t="n">
        <v>10</v>
      </c>
      <c r="D1844" t="inlineStr">
        <is>
          <t>Sunday</t>
        </is>
      </c>
      <c r="E1844" t="n">
        <v>15</v>
      </c>
      <c r="F1844" t="b">
        <v>0</v>
      </c>
      <c r="G1844" t="inlineStr">
        <is>
          <t>Heavy</t>
        </is>
      </c>
      <c r="H1844" t="b">
        <v>0</v>
      </c>
    </row>
    <row r="1845">
      <c r="A1845" t="inlineStr">
        <is>
          <t>S016</t>
        </is>
      </c>
      <c r="B1845" s="3" t="n">
        <v>46271</v>
      </c>
      <c r="C1845" t="n">
        <v>11</v>
      </c>
      <c r="D1845" t="inlineStr">
        <is>
          <t>Sunday</t>
        </is>
      </c>
      <c r="E1845" t="n">
        <v>35</v>
      </c>
      <c r="F1845" t="b">
        <v>0</v>
      </c>
      <c r="H1845" t="b">
        <v>0</v>
      </c>
    </row>
    <row r="1846">
      <c r="A1846" t="inlineStr">
        <is>
          <t>S016</t>
        </is>
      </c>
      <c r="B1846" s="3" t="n">
        <v>46271</v>
      </c>
      <c r="C1846" t="n">
        <v>12</v>
      </c>
      <c r="D1846" t="inlineStr">
        <is>
          <t>Sunday</t>
        </is>
      </c>
      <c r="E1846" t="n">
        <v>38</v>
      </c>
      <c r="F1846" t="b">
        <v>0</v>
      </c>
      <c r="G1846" t="inlineStr">
        <is>
          <t>Light</t>
        </is>
      </c>
      <c r="H1846" t="b">
        <v>0</v>
      </c>
    </row>
    <row r="1847">
      <c r="A1847" t="inlineStr">
        <is>
          <t>S016</t>
        </is>
      </c>
      <c r="B1847" s="3" t="n">
        <v>46271</v>
      </c>
      <c r="C1847" t="n">
        <v>13</v>
      </c>
      <c r="D1847" t="inlineStr">
        <is>
          <t>Sunday</t>
        </is>
      </c>
      <c r="E1847" t="n">
        <v>29</v>
      </c>
      <c r="F1847" t="b">
        <v>0</v>
      </c>
      <c r="G1847" t="inlineStr">
        <is>
          <t>Light</t>
        </is>
      </c>
      <c r="H1847" t="b">
        <v>0</v>
      </c>
    </row>
    <row r="1848">
      <c r="A1848" t="inlineStr">
        <is>
          <t>S016</t>
        </is>
      </c>
      <c r="B1848" s="3" t="n">
        <v>46271</v>
      </c>
      <c r="C1848" t="n">
        <v>14</v>
      </c>
      <c r="D1848" t="inlineStr">
        <is>
          <t>Sunday</t>
        </is>
      </c>
      <c r="E1848" t="n">
        <v>19</v>
      </c>
      <c r="F1848" t="b">
        <v>0</v>
      </c>
      <c r="H1848" t="b">
        <v>0</v>
      </c>
    </row>
    <row r="1849">
      <c r="A1849" t="inlineStr">
        <is>
          <t>S016</t>
        </is>
      </c>
      <c r="B1849" s="3" t="n">
        <v>46271</v>
      </c>
      <c r="C1849" t="n">
        <v>15</v>
      </c>
      <c r="D1849" t="inlineStr">
        <is>
          <t>Sunday</t>
        </is>
      </c>
      <c r="E1849" t="n">
        <v>24</v>
      </c>
      <c r="F1849" t="b">
        <v>0</v>
      </c>
      <c r="G1849" t="inlineStr">
        <is>
          <t>Heavy</t>
        </is>
      </c>
      <c r="H1849" t="b">
        <v>0</v>
      </c>
    </row>
    <row r="1850">
      <c r="A1850" t="inlineStr">
        <is>
          <t>S016</t>
        </is>
      </c>
      <c r="B1850" s="3" t="n">
        <v>46271</v>
      </c>
      <c r="C1850" t="n">
        <v>16</v>
      </c>
      <c r="D1850" t="inlineStr">
        <is>
          <t>Sunday</t>
        </is>
      </c>
      <c r="E1850" t="n">
        <v>27</v>
      </c>
      <c r="F1850" t="b">
        <v>0</v>
      </c>
      <c r="H1850" t="b">
        <v>0</v>
      </c>
    </row>
    <row r="1851">
      <c r="A1851" t="inlineStr">
        <is>
          <t>S016</t>
        </is>
      </c>
      <c r="B1851" s="3" t="n">
        <v>46271</v>
      </c>
      <c r="C1851" t="n">
        <v>17</v>
      </c>
      <c r="D1851" t="inlineStr">
        <is>
          <t>Sunday</t>
        </is>
      </c>
      <c r="E1851" t="n">
        <v>27</v>
      </c>
      <c r="F1851" t="b">
        <v>0</v>
      </c>
      <c r="H1851" t="b">
        <v>0</v>
      </c>
    </row>
    <row r="1852">
      <c r="A1852" t="inlineStr">
        <is>
          <t>S016</t>
        </is>
      </c>
      <c r="B1852" s="3" t="n">
        <v>46271</v>
      </c>
      <c r="C1852" t="n">
        <v>18</v>
      </c>
      <c r="D1852" t="inlineStr">
        <is>
          <t>Sunday</t>
        </is>
      </c>
      <c r="E1852" t="n">
        <v>38</v>
      </c>
      <c r="F1852" t="b">
        <v>0</v>
      </c>
      <c r="H1852" t="b">
        <v>0</v>
      </c>
    </row>
    <row r="1853">
      <c r="A1853" t="inlineStr">
        <is>
          <t>S016</t>
        </is>
      </c>
      <c r="B1853" s="3" t="n">
        <v>46271</v>
      </c>
      <c r="C1853" t="n">
        <v>19</v>
      </c>
      <c r="D1853" t="inlineStr">
        <is>
          <t>Sunday</t>
        </is>
      </c>
      <c r="E1853" t="n">
        <v>51</v>
      </c>
      <c r="F1853" t="b">
        <v>1</v>
      </c>
      <c r="H1853" t="b">
        <v>0</v>
      </c>
    </row>
    <row r="1854">
      <c r="A1854" t="inlineStr">
        <is>
          <t>S016</t>
        </is>
      </c>
      <c r="B1854" s="3" t="n">
        <v>46271</v>
      </c>
      <c r="C1854" t="n">
        <v>20</v>
      </c>
      <c r="D1854" t="inlineStr">
        <is>
          <t>Sunday</t>
        </is>
      </c>
      <c r="E1854" t="n">
        <v>36</v>
      </c>
      <c r="F1854" t="b">
        <v>1</v>
      </c>
      <c r="H1854" t="b">
        <v>0</v>
      </c>
    </row>
    <row r="1855">
      <c r="A1855" t="inlineStr">
        <is>
          <t>S016</t>
        </is>
      </c>
      <c r="B1855" s="3" t="n">
        <v>46271</v>
      </c>
      <c r="C1855" t="n">
        <v>21</v>
      </c>
      <c r="D1855" t="inlineStr">
        <is>
          <t>Sunday</t>
        </is>
      </c>
      <c r="E1855" t="n">
        <v>27</v>
      </c>
      <c r="F1855" t="b">
        <v>1</v>
      </c>
      <c r="H1855" t="b">
        <v>0</v>
      </c>
    </row>
    <row r="1856">
      <c r="A1856" t="inlineStr">
        <is>
          <t>S016</t>
        </is>
      </c>
      <c r="B1856" s="3" t="n">
        <v>46271</v>
      </c>
      <c r="C1856" t="n">
        <v>22</v>
      </c>
      <c r="D1856" t="inlineStr">
        <is>
          <t>Sunday</t>
        </is>
      </c>
      <c r="E1856" t="n">
        <v>26</v>
      </c>
      <c r="F1856" t="b">
        <v>0</v>
      </c>
      <c r="H1856" t="b">
        <v>0</v>
      </c>
    </row>
    <row r="1857">
      <c r="A1857" t="inlineStr">
        <is>
          <t>S016</t>
        </is>
      </c>
      <c r="B1857" s="3" t="n">
        <v>46271</v>
      </c>
      <c r="C1857" t="n">
        <v>23</v>
      </c>
      <c r="D1857" t="inlineStr">
        <is>
          <t>Sunday</t>
        </is>
      </c>
      <c r="E1857" t="n">
        <v>28</v>
      </c>
      <c r="F1857" t="b">
        <v>0</v>
      </c>
      <c r="H1857" t="b">
        <v>0</v>
      </c>
    </row>
    <row r="1858">
      <c r="A1858" t="inlineStr">
        <is>
          <t>S017</t>
        </is>
      </c>
      <c r="B1858" s="3" t="n">
        <v>46271</v>
      </c>
      <c r="C1858" t="n">
        <v>8</v>
      </c>
      <c r="D1858" t="inlineStr">
        <is>
          <t>Sunday</t>
        </is>
      </c>
      <c r="E1858" t="n">
        <v>24</v>
      </c>
      <c r="F1858" t="b">
        <v>0</v>
      </c>
      <c r="H1858" t="b">
        <v>0</v>
      </c>
    </row>
    <row r="1859">
      <c r="A1859" t="inlineStr">
        <is>
          <t>S017</t>
        </is>
      </c>
      <c r="B1859" s="3" t="n">
        <v>46271</v>
      </c>
      <c r="C1859" t="n">
        <v>9</v>
      </c>
      <c r="D1859" t="inlineStr">
        <is>
          <t>Sunday</t>
        </is>
      </c>
      <c r="E1859" t="n">
        <v>28</v>
      </c>
      <c r="F1859" t="b">
        <v>0</v>
      </c>
      <c r="H1859" t="b">
        <v>0</v>
      </c>
    </row>
    <row r="1860">
      <c r="A1860" t="inlineStr">
        <is>
          <t>S017</t>
        </is>
      </c>
      <c r="B1860" s="3" t="n">
        <v>46271</v>
      </c>
      <c r="C1860" t="n">
        <v>10</v>
      </c>
      <c r="D1860" t="inlineStr">
        <is>
          <t>Sunday</t>
        </is>
      </c>
      <c r="E1860" t="n">
        <v>31</v>
      </c>
      <c r="F1860" t="b">
        <v>0</v>
      </c>
      <c r="H1860" t="b">
        <v>0</v>
      </c>
    </row>
    <row r="1861">
      <c r="A1861" t="inlineStr">
        <is>
          <t>S017</t>
        </is>
      </c>
      <c r="B1861" s="3" t="n">
        <v>46271</v>
      </c>
      <c r="C1861" t="n">
        <v>11</v>
      </c>
      <c r="D1861" t="inlineStr">
        <is>
          <t>Sunday</t>
        </is>
      </c>
      <c r="E1861" t="n">
        <v>45</v>
      </c>
      <c r="F1861" t="b">
        <v>0</v>
      </c>
      <c r="H1861" t="b">
        <v>0</v>
      </c>
    </row>
    <row r="1862">
      <c r="A1862" t="inlineStr">
        <is>
          <t>S017</t>
        </is>
      </c>
      <c r="B1862" s="3" t="n">
        <v>46271</v>
      </c>
      <c r="C1862" t="n">
        <v>12</v>
      </c>
      <c r="D1862" t="inlineStr">
        <is>
          <t>Sunday</t>
        </is>
      </c>
      <c r="E1862" t="n">
        <v>30</v>
      </c>
      <c r="F1862" t="b">
        <v>0</v>
      </c>
      <c r="H1862" t="b">
        <v>0</v>
      </c>
    </row>
    <row r="1863">
      <c r="A1863" t="inlineStr">
        <is>
          <t>S017</t>
        </is>
      </c>
      <c r="B1863" s="3" t="n">
        <v>46271</v>
      </c>
      <c r="C1863" t="n">
        <v>13</v>
      </c>
      <c r="D1863" t="inlineStr">
        <is>
          <t>Sunday</t>
        </is>
      </c>
      <c r="E1863" t="n">
        <v>34</v>
      </c>
      <c r="F1863" t="b">
        <v>0</v>
      </c>
      <c r="H1863" t="b">
        <v>0</v>
      </c>
    </row>
    <row r="1864">
      <c r="A1864" t="inlineStr">
        <is>
          <t>S017</t>
        </is>
      </c>
      <c r="B1864" s="3" t="n">
        <v>46271</v>
      </c>
      <c r="C1864" t="n">
        <v>14</v>
      </c>
      <c r="D1864" t="inlineStr">
        <is>
          <t>Sunday</t>
        </is>
      </c>
      <c r="E1864" t="n">
        <v>29</v>
      </c>
      <c r="F1864" t="b">
        <v>0</v>
      </c>
      <c r="H1864" t="b">
        <v>0</v>
      </c>
    </row>
    <row r="1865">
      <c r="A1865" t="inlineStr">
        <is>
          <t>S017</t>
        </is>
      </c>
      <c r="B1865" s="3" t="n">
        <v>46271</v>
      </c>
      <c r="C1865" t="n">
        <v>15</v>
      </c>
      <c r="D1865" t="inlineStr">
        <is>
          <t>Sunday</t>
        </is>
      </c>
      <c r="E1865" t="n">
        <v>29</v>
      </c>
      <c r="F1865" t="b">
        <v>0</v>
      </c>
      <c r="H1865" t="b">
        <v>0</v>
      </c>
    </row>
    <row r="1866">
      <c r="A1866" t="inlineStr">
        <is>
          <t>S017</t>
        </is>
      </c>
      <c r="B1866" s="3" t="n">
        <v>46271</v>
      </c>
      <c r="C1866" t="n">
        <v>16</v>
      </c>
      <c r="D1866" t="inlineStr">
        <is>
          <t>Sunday</t>
        </is>
      </c>
      <c r="E1866" t="n">
        <v>35</v>
      </c>
      <c r="F1866" t="b">
        <v>0</v>
      </c>
      <c r="G1866" t="inlineStr">
        <is>
          <t>Heavy</t>
        </is>
      </c>
      <c r="H1866" t="b">
        <v>0</v>
      </c>
    </row>
    <row r="1867">
      <c r="A1867" t="inlineStr">
        <is>
          <t>S017</t>
        </is>
      </c>
      <c r="B1867" s="3" t="n">
        <v>46271</v>
      </c>
      <c r="C1867" t="n">
        <v>17</v>
      </c>
      <c r="D1867" t="inlineStr">
        <is>
          <t>Sunday</t>
        </is>
      </c>
      <c r="E1867" t="n">
        <v>47</v>
      </c>
      <c r="F1867" t="b">
        <v>0</v>
      </c>
      <c r="H1867" t="b">
        <v>0</v>
      </c>
    </row>
    <row r="1868">
      <c r="A1868" t="inlineStr">
        <is>
          <t>S017</t>
        </is>
      </c>
      <c r="B1868" s="3" t="n">
        <v>46271</v>
      </c>
      <c r="C1868" t="n">
        <v>18</v>
      </c>
      <c r="D1868" t="inlineStr">
        <is>
          <t>Sunday</t>
        </is>
      </c>
      <c r="E1868" t="n">
        <v>50</v>
      </c>
      <c r="F1868" t="b">
        <v>0</v>
      </c>
      <c r="H1868" t="b">
        <v>0</v>
      </c>
    </row>
    <row r="1869">
      <c r="A1869" t="inlineStr">
        <is>
          <t>S017</t>
        </is>
      </c>
      <c r="B1869" s="3" t="n">
        <v>46271</v>
      </c>
      <c r="C1869" t="n">
        <v>19</v>
      </c>
      <c r="D1869" t="inlineStr">
        <is>
          <t>Sunday</t>
        </is>
      </c>
      <c r="E1869" t="n">
        <v>58</v>
      </c>
      <c r="F1869" t="b">
        <v>1</v>
      </c>
      <c r="H1869" t="b">
        <v>1</v>
      </c>
    </row>
    <row r="1870">
      <c r="A1870" t="inlineStr">
        <is>
          <t>S017</t>
        </is>
      </c>
      <c r="B1870" s="3" t="n">
        <v>46271</v>
      </c>
      <c r="C1870" t="n">
        <v>20</v>
      </c>
      <c r="D1870" t="inlineStr">
        <is>
          <t>Sunday</t>
        </is>
      </c>
      <c r="E1870" t="n">
        <v>61</v>
      </c>
      <c r="F1870" t="b">
        <v>1</v>
      </c>
      <c r="G1870" t="inlineStr">
        <is>
          <t>Light</t>
        </is>
      </c>
      <c r="H1870" t="b">
        <v>0</v>
      </c>
    </row>
    <row r="1871">
      <c r="A1871" t="inlineStr">
        <is>
          <t>S017</t>
        </is>
      </c>
      <c r="B1871" s="3" t="n">
        <v>46271</v>
      </c>
      <c r="C1871" t="n">
        <v>21</v>
      </c>
      <c r="D1871" t="inlineStr">
        <is>
          <t>Sunday</t>
        </is>
      </c>
      <c r="E1871" t="n">
        <v>62</v>
      </c>
      <c r="F1871" t="b">
        <v>1</v>
      </c>
      <c r="G1871" t="inlineStr">
        <is>
          <t>Light</t>
        </is>
      </c>
      <c r="H1871" t="b">
        <v>0</v>
      </c>
    </row>
    <row r="1872">
      <c r="A1872" t="inlineStr">
        <is>
          <t>S017</t>
        </is>
      </c>
      <c r="B1872" s="3" t="n">
        <v>46271</v>
      </c>
      <c r="C1872" t="n">
        <v>22</v>
      </c>
      <c r="D1872" t="inlineStr">
        <is>
          <t>Sunday</t>
        </is>
      </c>
      <c r="E1872" t="n">
        <v>39</v>
      </c>
      <c r="F1872" t="b">
        <v>0</v>
      </c>
      <c r="H1872" t="b">
        <v>0</v>
      </c>
    </row>
    <row r="1873">
      <c r="A1873" t="inlineStr">
        <is>
          <t>S017</t>
        </is>
      </c>
      <c r="B1873" s="3" t="n">
        <v>46271</v>
      </c>
      <c r="C1873" t="n">
        <v>23</v>
      </c>
      <c r="D1873" t="inlineStr">
        <is>
          <t>Sunday</t>
        </is>
      </c>
      <c r="E1873" t="n">
        <v>37</v>
      </c>
      <c r="F1873" t="b">
        <v>0</v>
      </c>
      <c r="G1873" t="inlineStr">
        <is>
          <t>Heavy</t>
        </is>
      </c>
      <c r="H1873" t="b">
        <v>0</v>
      </c>
    </row>
    <row r="1874">
      <c r="A1874" t="inlineStr">
        <is>
          <t>S018</t>
        </is>
      </c>
      <c r="B1874" s="3" t="n">
        <v>46271</v>
      </c>
      <c r="C1874" t="n">
        <v>8</v>
      </c>
      <c r="D1874" t="inlineStr">
        <is>
          <t>Sunday</t>
        </is>
      </c>
      <c r="E1874" t="n">
        <v>12</v>
      </c>
      <c r="F1874" t="b">
        <v>0</v>
      </c>
      <c r="G1874" t="inlineStr">
        <is>
          <t>Light</t>
        </is>
      </c>
      <c r="H1874" t="b">
        <v>0</v>
      </c>
    </row>
    <row r="1875">
      <c r="A1875" t="inlineStr">
        <is>
          <t>S018</t>
        </is>
      </c>
      <c r="B1875" s="3" t="n">
        <v>46271</v>
      </c>
      <c r="C1875" t="n">
        <v>9</v>
      </c>
      <c r="D1875" t="inlineStr">
        <is>
          <t>Sunday</t>
        </is>
      </c>
      <c r="E1875" t="n">
        <v>15</v>
      </c>
      <c r="F1875" t="b">
        <v>0</v>
      </c>
      <c r="G1875" t="inlineStr">
        <is>
          <t>Heavy</t>
        </is>
      </c>
      <c r="H1875" t="b">
        <v>0</v>
      </c>
    </row>
    <row r="1876">
      <c r="A1876" t="inlineStr">
        <is>
          <t>S018</t>
        </is>
      </c>
      <c r="B1876" s="3" t="n">
        <v>46271</v>
      </c>
      <c r="C1876" t="n">
        <v>10</v>
      </c>
      <c r="D1876" t="inlineStr">
        <is>
          <t>Sunday</t>
        </is>
      </c>
      <c r="E1876" t="n">
        <v>22</v>
      </c>
      <c r="F1876" t="b">
        <v>0</v>
      </c>
      <c r="H1876" t="b">
        <v>0</v>
      </c>
    </row>
    <row r="1877">
      <c r="A1877" t="inlineStr">
        <is>
          <t>S018</t>
        </is>
      </c>
      <c r="B1877" s="3" t="n">
        <v>46271</v>
      </c>
      <c r="C1877" t="n">
        <v>11</v>
      </c>
      <c r="D1877" t="inlineStr">
        <is>
          <t>Sunday</t>
        </is>
      </c>
      <c r="E1877" t="n">
        <v>32</v>
      </c>
      <c r="F1877" t="b">
        <v>0</v>
      </c>
      <c r="H1877" t="b">
        <v>0</v>
      </c>
    </row>
    <row r="1878">
      <c r="A1878" t="inlineStr">
        <is>
          <t>S018</t>
        </is>
      </c>
      <c r="B1878" s="3" t="n">
        <v>46271</v>
      </c>
      <c r="C1878" t="n">
        <v>12</v>
      </c>
      <c r="D1878" t="inlineStr">
        <is>
          <t>Sunday</t>
        </is>
      </c>
      <c r="E1878" t="n">
        <v>22</v>
      </c>
      <c r="F1878" t="b">
        <v>0</v>
      </c>
      <c r="H1878" t="b">
        <v>0</v>
      </c>
    </row>
    <row r="1879">
      <c r="A1879" t="inlineStr">
        <is>
          <t>S018</t>
        </is>
      </c>
      <c r="B1879" s="3" t="n">
        <v>46271</v>
      </c>
      <c r="C1879" t="n">
        <v>13</v>
      </c>
      <c r="D1879" t="inlineStr">
        <is>
          <t>Sunday</t>
        </is>
      </c>
      <c r="E1879" t="n">
        <v>26</v>
      </c>
      <c r="F1879" t="b">
        <v>0</v>
      </c>
      <c r="H1879" t="b">
        <v>0</v>
      </c>
    </row>
    <row r="1880">
      <c r="A1880" t="inlineStr">
        <is>
          <t>S018</t>
        </is>
      </c>
      <c r="B1880" s="3" t="n">
        <v>46271</v>
      </c>
      <c r="C1880" t="n">
        <v>14</v>
      </c>
      <c r="D1880" t="inlineStr">
        <is>
          <t>Sunday</t>
        </is>
      </c>
      <c r="E1880" t="n">
        <v>23</v>
      </c>
      <c r="F1880" t="b">
        <v>0</v>
      </c>
      <c r="H1880" t="b">
        <v>0</v>
      </c>
    </row>
    <row r="1881">
      <c r="A1881" t="inlineStr">
        <is>
          <t>S018</t>
        </is>
      </c>
      <c r="B1881" s="3" t="n">
        <v>46271</v>
      </c>
      <c r="C1881" t="n">
        <v>15</v>
      </c>
      <c r="D1881" t="inlineStr">
        <is>
          <t>Sunday</t>
        </is>
      </c>
      <c r="E1881" t="n">
        <v>18</v>
      </c>
      <c r="F1881" t="b">
        <v>0</v>
      </c>
      <c r="G1881" t="inlineStr">
        <is>
          <t>Heavy</t>
        </is>
      </c>
      <c r="H1881" t="b">
        <v>0</v>
      </c>
    </row>
    <row r="1882">
      <c r="A1882" t="inlineStr">
        <is>
          <t>S018</t>
        </is>
      </c>
      <c r="B1882" s="3" t="n">
        <v>46271</v>
      </c>
      <c r="C1882" t="n">
        <v>16</v>
      </c>
      <c r="D1882" t="inlineStr">
        <is>
          <t>Sunday</t>
        </is>
      </c>
      <c r="E1882" t="n">
        <v>19</v>
      </c>
      <c r="F1882" t="b">
        <v>0</v>
      </c>
      <c r="G1882" t="inlineStr">
        <is>
          <t>Light</t>
        </is>
      </c>
      <c r="H1882" t="b">
        <v>0</v>
      </c>
    </row>
    <row r="1883">
      <c r="A1883" t="inlineStr">
        <is>
          <t>S018</t>
        </is>
      </c>
      <c r="B1883" s="3" t="n">
        <v>46271</v>
      </c>
      <c r="C1883" t="n">
        <v>17</v>
      </c>
      <c r="D1883" t="inlineStr">
        <is>
          <t>Sunday</t>
        </is>
      </c>
      <c r="E1883" t="n">
        <v>23</v>
      </c>
      <c r="F1883" t="b">
        <v>0</v>
      </c>
      <c r="H1883" t="b">
        <v>0</v>
      </c>
    </row>
    <row r="1884">
      <c r="A1884" t="inlineStr">
        <is>
          <t>S018</t>
        </is>
      </c>
      <c r="B1884" s="3" t="n">
        <v>46271</v>
      </c>
      <c r="C1884" t="n">
        <v>18</v>
      </c>
      <c r="D1884" t="inlineStr">
        <is>
          <t>Sunday</t>
        </is>
      </c>
      <c r="E1884" t="n">
        <v>19</v>
      </c>
      <c r="F1884" t="b">
        <v>0</v>
      </c>
      <c r="H1884" t="b">
        <v>0</v>
      </c>
    </row>
    <row r="1885">
      <c r="A1885" t="inlineStr">
        <is>
          <t>S018</t>
        </is>
      </c>
      <c r="B1885" s="3" t="n">
        <v>46271</v>
      </c>
      <c r="C1885" t="n">
        <v>19</v>
      </c>
      <c r="D1885" t="inlineStr">
        <is>
          <t>Sunday</t>
        </is>
      </c>
      <c r="E1885" t="n">
        <v>31</v>
      </c>
      <c r="F1885" t="b">
        <v>1</v>
      </c>
      <c r="H1885" t="b">
        <v>1</v>
      </c>
    </row>
    <row r="1886">
      <c r="A1886" t="inlineStr">
        <is>
          <t>S018</t>
        </is>
      </c>
      <c r="B1886" s="3" t="n">
        <v>46271</v>
      </c>
      <c r="C1886" t="n">
        <v>20</v>
      </c>
      <c r="D1886" t="inlineStr">
        <is>
          <t>Sunday</t>
        </is>
      </c>
      <c r="E1886" t="n">
        <v>37</v>
      </c>
      <c r="F1886" t="b">
        <v>1</v>
      </c>
      <c r="G1886" t="inlineStr">
        <is>
          <t>Light</t>
        </is>
      </c>
      <c r="H1886" t="b">
        <v>0</v>
      </c>
    </row>
    <row r="1887">
      <c r="A1887" t="inlineStr">
        <is>
          <t>S018</t>
        </is>
      </c>
      <c r="B1887" s="3" t="n">
        <v>46271</v>
      </c>
      <c r="C1887" t="n">
        <v>21</v>
      </c>
      <c r="D1887" t="inlineStr">
        <is>
          <t>Sunday</t>
        </is>
      </c>
      <c r="E1887" t="n">
        <v>36</v>
      </c>
      <c r="F1887" t="b">
        <v>1</v>
      </c>
      <c r="H1887" t="b">
        <v>0</v>
      </c>
    </row>
    <row r="1888">
      <c r="A1888" t="inlineStr">
        <is>
          <t>S018</t>
        </is>
      </c>
      <c r="B1888" s="3" t="n">
        <v>46271</v>
      </c>
      <c r="C1888" t="n">
        <v>22</v>
      </c>
      <c r="D1888" t="inlineStr">
        <is>
          <t>Sunday</t>
        </is>
      </c>
      <c r="E1888" t="n">
        <v>26</v>
      </c>
      <c r="F1888" t="b">
        <v>0</v>
      </c>
      <c r="H1888" t="b">
        <v>0</v>
      </c>
    </row>
    <row r="1889">
      <c r="A1889" t="inlineStr">
        <is>
          <t>S018</t>
        </is>
      </c>
      <c r="B1889" s="3" t="n">
        <v>46271</v>
      </c>
      <c r="C1889" t="n">
        <v>23</v>
      </c>
      <c r="D1889" t="inlineStr">
        <is>
          <t>Sunday</t>
        </is>
      </c>
      <c r="E1889" t="n">
        <v>27</v>
      </c>
      <c r="F1889" t="b">
        <v>0</v>
      </c>
      <c r="H1889" t="b">
        <v>1</v>
      </c>
    </row>
    <row r="1890">
      <c r="A1890" t="inlineStr">
        <is>
          <t>S019</t>
        </is>
      </c>
      <c r="B1890" s="3" t="n">
        <v>46271</v>
      </c>
      <c r="C1890" t="n">
        <v>8</v>
      </c>
      <c r="D1890" t="inlineStr">
        <is>
          <t>Sunday</t>
        </is>
      </c>
      <c r="E1890" t="n">
        <v>24</v>
      </c>
      <c r="F1890" t="b">
        <v>0</v>
      </c>
      <c r="G1890" t="inlineStr">
        <is>
          <t>Light</t>
        </is>
      </c>
      <c r="H1890" t="b">
        <v>0</v>
      </c>
    </row>
    <row r="1891">
      <c r="A1891" t="inlineStr">
        <is>
          <t>S019</t>
        </is>
      </c>
      <c r="B1891" s="3" t="n">
        <v>46271</v>
      </c>
      <c r="C1891" t="n">
        <v>9</v>
      </c>
      <c r="D1891" t="inlineStr">
        <is>
          <t>Sunday</t>
        </is>
      </c>
      <c r="E1891" t="n">
        <v>22</v>
      </c>
      <c r="F1891" t="b">
        <v>0</v>
      </c>
      <c r="H1891" t="b">
        <v>0</v>
      </c>
    </row>
    <row r="1892">
      <c r="A1892" t="inlineStr">
        <is>
          <t>S019</t>
        </is>
      </c>
      <c r="B1892" s="3" t="n">
        <v>46271</v>
      </c>
      <c r="C1892" t="n">
        <v>10</v>
      </c>
      <c r="D1892" t="inlineStr">
        <is>
          <t>Sunday</t>
        </is>
      </c>
      <c r="E1892" t="n">
        <v>17</v>
      </c>
      <c r="F1892" t="b">
        <v>0</v>
      </c>
      <c r="G1892" t="inlineStr">
        <is>
          <t>Light</t>
        </is>
      </c>
      <c r="H1892" t="b">
        <v>0</v>
      </c>
    </row>
    <row r="1893">
      <c r="A1893" t="inlineStr">
        <is>
          <t>S019</t>
        </is>
      </c>
      <c r="B1893" s="3" t="n">
        <v>46271</v>
      </c>
      <c r="C1893" t="n">
        <v>11</v>
      </c>
      <c r="D1893" t="inlineStr">
        <is>
          <t>Sunday</t>
        </is>
      </c>
      <c r="E1893" t="n">
        <v>21</v>
      </c>
      <c r="F1893" t="b">
        <v>0</v>
      </c>
      <c r="G1893" t="inlineStr">
        <is>
          <t>Light</t>
        </is>
      </c>
      <c r="H1893" t="b">
        <v>0</v>
      </c>
    </row>
    <row r="1894">
      <c r="A1894" t="inlineStr">
        <is>
          <t>S019</t>
        </is>
      </c>
      <c r="B1894" s="3" t="n">
        <v>46271</v>
      </c>
      <c r="C1894" t="n">
        <v>12</v>
      </c>
      <c r="D1894" t="inlineStr">
        <is>
          <t>Sunday</t>
        </is>
      </c>
      <c r="E1894" t="n">
        <v>22</v>
      </c>
      <c r="F1894" t="b">
        <v>0</v>
      </c>
      <c r="G1894" t="inlineStr">
        <is>
          <t>Light</t>
        </is>
      </c>
      <c r="H1894" t="b">
        <v>0</v>
      </c>
    </row>
    <row r="1895">
      <c r="A1895" t="inlineStr">
        <is>
          <t>S019</t>
        </is>
      </c>
      <c r="B1895" s="3" t="n">
        <v>46271</v>
      </c>
      <c r="C1895" t="n">
        <v>13</v>
      </c>
      <c r="D1895" t="inlineStr">
        <is>
          <t>Sunday</t>
        </is>
      </c>
      <c r="E1895" t="n">
        <v>19</v>
      </c>
      <c r="F1895" t="b">
        <v>0</v>
      </c>
      <c r="G1895" t="inlineStr">
        <is>
          <t>Light</t>
        </is>
      </c>
      <c r="H1895" t="b">
        <v>1</v>
      </c>
    </row>
    <row r="1896">
      <c r="A1896" t="inlineStr">
        <is>
          <t>S019</t>
        </is>
      </c>
      <c r="B1896" s="3" t="n">
        <v>46271</v>
      </c>
      <c r="C1896" t="n">
        <v>14</v>
      </c>
      <c r="D1896" t="inlineStr">
        <is>
          <t>Sunday</t>
        </is>
      </c>
      <c r="E1896" t="n">
        <v>14</v>
      </c>
      <c r="F1896" t="b">
        <v>0</v>
      </c>
      <c r="H1896" t="b">
        <v>0</v>
      </c>
    </row>
    <row r="1897">
      <c r="A1897" t="inlineStr">
        <is>
          <t>S019</t>
        </is>
      </c>
      <c r="B1897" s="3" t="n">
        <v>46271</v>
      </c>
      <c r="C1897" t="n">
        <v>15</v>
      </c>
      <c r="D1897" t="inlineStr">
        <is>
          <t>Sunday</t>
        </is>
      </c>
      <c r="E1897" t="n">
        <v>13</v>
      </c>
      <c r="F1897" t="b">
        <v>0</v>
      </c>
      <c r="H1897" t="b">
        <v>0</v>
      </c>
    </row>
    <row r="1898">
      <c r="A1898" t="inlineStr">
        <is>
          <t>S019</t>
        </is>
      </c>
      <c r="B1898" s="3" t="n">
        <v>46271</v>
      </c>
      <c r="C1898" t="n">
        <v>16</v>
      </c>
      <c r="D1898" t="inlineStr">
        <is>
          <t>Sunday</t>
        </is>
      </c>
      <c r="E1898" t="n">
        <v>26</v>
      </c>
      <c r="F1898" t="b">
        <v>0</v>
      </c>
      <c r="H1898" t="b">
        <v>0</v>
      </c>
    </row>
    <row r="1899">
      <c r="A1899" t="inlineStr">
        <is>
          <t>S019</t>
        </is>
      </c>
      <c r="B1899" s="3" t="n">
        <v>46271</v>
      </c>
      <c r="C1899" t="n">
        <v>17</v>
      </c>
      <c r="D1899" t="inlineStr">
        <is>
          <t>Sunday</t>
        </is>
      </c>
      <c r="E1899" t="n">
        <v>23</v>
      </c>
      <c r="F1899" t="b">
        <v>0</v>
      </c>
      <c r="H1899" t="b">
        <v>0</v>
      </c>
    </row>
    <row r="1900">
      <c r="A1900" t="inlineStr">
        <is>
          <t>S019</t>
        </is>
      </c>
      <c r="B1900" s="3" t="n">
        <v>46271</v>
      </c>
      <c r="C1900" t="n">
        <v>18</v>
      </c>
      <c r="D1900" t="inlineStr">
        <is>
          <t>Sunday</t>
        </is>
      </c>
      <c r="E1900" t="n">
        <v>22</v>
      </c>
      <c r="F1900" t="b">
        <v>0</v>
      </c>
      <c r="H1900" t="b">
        <v>0</v>
      </c>
    </row>
    <row r="1901">
      <c r="A1901" t="inlineStr">
        <is>
          <t>S019</t>
        </is>
      </c>
      <c r="B1901" s="3" t="n">
        <v>46271</v>
      </c>
      <c r="C1901" t="n">
        <v>19</v>
      </c>
      <c r="D1901" t="inlineStr">
        <is>
          <t>Sunday</t>
        </is>
      </c>
      <c r="E1901" t="n">
        <v>27</v>
      </c>
      <c r="F1901" t="b">
        <v>1</v>
      </c>
      <c r="H1901" t="b">
        <v>0</v>
      </c>
    </row>
    <row r="1902">
      <c r="A1902" t="inlineStr">
        <is>
          <t>S019</t>
        </is>
      </c>
      <c r="B1902" s="3" t="n">
        <v>46271</v>
      </c>
      <c r="C1902" t="n">
        <v>20</v>
      </c>
      <c r="D1902" t="inlineStr">
        <is>
          <t>Sunday</t>
        </is>
      </c>
      <c r="E1902" t="n">
        <v>24</v>
      </c>
      <c r="F1902" t="b">
        <v>1</v>
      </c>
      <c r="H1902" t="b">
        <v>0</v>
      </c>
    </row>
    <row r="1903">
      <c r="A1903" t="inlineStr">
        <is>
          <t>S019</t>
        </is>
      </c>
      <c r="B1903" s="3" t="n">
        <v>46271</v>
      </c>
      <c r="C1903" t="n">
        <v>21</v>
      </c>
      <c r="D1903" t="inlineStr">
        <is>
          <t>Sunday</t>
        </is>
      </c>
      <c r="E1903" t="n">
        <v>44</v>
      </c>
      <c r="F1903" t="b">
        <v>1</v>
      </c>
      <c r="H1903" t="b">
        <v>0</v>
      </c>
    </row>
    <row r="1904">
      <c r="A1904" t="inlineStr">
        <is>
          <t>S019</t>
        </is>
      </c>
      <c r="B1904" s="3" t="n">
        <v>46271</v>
      </c>
      <c r="C1904" t="n">
        <v>22</v>
      </c>
      <c r="D1904" t="inlineStr">
        <is>
          <t>Sunday</t>
        </is>
      </c>
      <c r="E1904" t="n">
        <v>22</v>
      </c>
      <c r="F1904" t="b">
        <v>0</v>
      </c>
      <c r="H1904" t="b">
        <v>0</v>
      </c>
    </row>
    <row r="1905">
      <c r="A1905" t="inlineStr">
        <is>
          <t>S019</t>
        </is>
      </c>
      <c r="B1905" s="3" t="n">
        <v>46271</v>
      </c>
      <c r="C1905" t="n">
        <v>23</v>
      </c>
      <c r="D1905" t="inlineStr">
        <is>
          <t>Sunday</t>
        </is>
      </c>
      <c r="E1905" t="n">
        <v>20</v>
      </c>
      <c r="F1905" t="b">
        <v>0</v>
      </c>
      <c r="H1905" t="b">
        <v>0</v>
      </c>
    </row>
    <row r="1906">
      <c r="A1906" t="inlineStr">
        <is>
          <t>S020</t>
        </is>
      </c>
      <c r="B1906" s="3" t="n">
        <v>46271</v>
      </c>
      <c r="C1906" t="n">
        <v>8</v>
      </c>
      <c r="D1906" t="inlineStr">
        <is>
          <t>Sunday</t>
        </is>
      </c>
      <c r="E1906" t="n">
        <v>18</v>
      </c>
      <c r="F1906" t="b">
        <v>0</v>
      </c>
      <c r="H1906" t="b">
        <v>0</v>
      </c>
    </row>
    <row r="1907">
      <c r="A1907" t="inlineStr">
        <is>
          <t>S020</t>
        </is>
      </c>
      <c r="B1907" s="3" t="n">
        <v>46271</v>
      </c>
      <c r="C1907" t="n">
        <v>9</v>
      </c>
      <c r="D1907" t="inlineStr">
        <is>
          <t>Sunday</t>
        </is>
      </c>
      <c r="E1907" t="n">
        <v>14</v>
      </c>
      <c r="F1907" t="b">
        <v>0</v>
      </c>
      <c r="H1907" t="b">
        <v>0</v>
      </c>
    </row>
    <row r="1908">
      <c r="A1908" t="inlineStr">
        <is>
          <t>S020</t>
        </is>
      </c>
      <c r="B1908" s="3" t="n">
        <v>46271</v>
      </c>
      <c r="C1908" t="n">
        <v>10</v>
      </c>
      <c r="D1908" t="inlineStr">
        <is>
          <t>Sunday</t>
        </is>
      </c>
      <c r="E1908" t="n">
        <v>5</v>
      </c>
      <c r="F1908" t="b">
        <v>0</v>
      </c>
      <c r="G1908" t="inlineStr">
        <is>
          <t>Light</t>
        </is>
      </c>
      <c r="H1908" t="b">
        <v>0</v>
      </c>
    </row>
    <row r="1909">
      <c r="A1909" t="inlineStr">
        <is>
          <t>S020</t>
        </is>
      </c>
      <c r="B1909" s="3" t="n">
        <v>46271</v>
      </c>
      <c r="C1909" t="n">
        <v>11</v>
      </c>
      <c r="D1909" t="inlineStr">
        <is>
          <t>Sunday</t>
        </is>
      </c>
      <c r="E1909" t="n">
        <v>14</v>
      </c>
      <c r="F1909" t="b">
        <v>0</v>
      </c>
      <c r="H1909" t="b">
        <v>0</v>
      </c>
    </row>
    <row r="1910">
      <c r="A1910" t="inlineStr">
        <is>
          <t>S020</t>
        </is>
      </c>
      <c r="B1910" s="3" t="n">
        <v>46271</v>
      </c>
      <c r="C1910" t="n">
        <v>12</v>
      </c>
      <c r="D1910" t="inlineStr">
        <is>
          <t>Sunday</t>
        </is>
      </c>
      <c r="E1910" t="n">
        <v>14</v>
      </c>
      <c r="F1910" t="b">
        <v>0</v>
      </c>
      <c r="H1910" t="b">
        <v>0</v>
      </c>
    </row>
    <row r="1911">
      <c r="A1911" t="inlineStr">
        <is>
          <t>S020</t>
        </is>
      </c>
      <c r="B1911" s="3" t="n">
        <v>46271</v>
      </c>
      <c r="C1911" t="n">
        <v>13</v>
      </c>
      <c r="D1911" t="inlineStr">
        <is>
          <t>Sunday</t>
        </is>
      </c>
      <c r="E1911" t="n">
        <v>14</v>
      </c>
      <c r="F1911" t="b">
        <v>0</v>
      </c>
      <c r="G1911" t="inlineStr">
        <is>
          <t>Light</t>
        </is>
      </c>
      <c r="H1911" t="b">
        <v>0</v>
      </c>
    </row>
    <row r="1912">
      <c r="A1912" t="inlineStr">
        <is>
          <t>S020</t>
        </is>
      </c>
      <c r="B1912" s="3" t="n">
        <v>46271</v>
      </c>
      <c r="C1912" t="n">
        <v>14</v>
      </c>
      <c r="D1912" t="inlineStr">
        <is>
          <t>Sunday</t>
        </is>
      </c>
      <c r="E1912" t="n">
        <v>14</v>
      </c>
      <c r="F1912" t="b">
        <v>0</v>
      </c>
      <c r="H1912" t="b">
        <v>0</v>
      </c>
    </row>
    <row r="1913">
      <c r="A1913" t="inlineStr">
        <is>
          <t>S020</t>
        </is>
      </c>
      <c r="B1913" s="3" t="n">
        <v>46271</v>
      </c>
      <c r="C1913" t="n">
        <v>15</v>
      </c>
      <c r="D1913" t="inlineStr">
        <is>
          <t>Sunday</t>
        </is>
      </c>
      <c r="E1913" t="n">
        <v>9</v>
      </c>
      <c r="F1913" t="b">
        <v>0</v>
      </c>
      <c r="G1913" t="inlineStr">
        <is>
          <t>Heavy</t>
        </is>
      </c>
      <c r="H1913" t="b">
        <v>0</v>
      </c>
    </row>
    <row r="1914">
      <c r="A1914" t="inlineStr">
        <is>
          <t>S020</t>
        </is>
      </c>
      <c r="B1914" s="3" t="n">
        <v>46271</v>
      </c>
      <c r="C1914" t="n">
        <v>16</v>
      </c>
      <c r="D1914" t="inlineStr">
        <is>
          <t>Sunday</t>
        </is>
      </c>
      <c r="E1914" t="n">
        <v>15</v>
      </c>
      <c r="F1914" t="b">
        <v>0</v>
      </c>
      <c r="H1914" t="b">
        <v>1</v>
      </c>
    </row>
    <row r="1915">
      <c r="A1915" t="inlineStr">
        <is>
          <t>S020</t>
        </is>
      </c>
      <c r="B1915" s="3" t="n">
        <v>46271</v>
      </c>
      <c r="C1915" t="n">
        <v>17</v>
      </c>
      <c r="D1915" t="inlineStr">
        <is>
          <t>Sunday</t>
        </is>
      </c>
      <c r="E1915" t="n">
        <v>17</v>
      </c>
      <c r="F1915" t="b">
        <v>0</v>
      </c>
      <c r="G1915" t="inlineStr">
        <is>
          <t>Light</t>
        </is>
      </c>
      <c r="H1915" t="b">
        <v>0</v>
      </c>
    </row>
    <row r="1916">
      <c r="A1916" t="inlineStr">
        <is>
          <t>S020</t>
        </is>
      </c>
      <c r="B1916" s="3" t="n">
        <v>46271</v>
      </c>
      <c r="C1916" t="n">
        <v>18</v>
      </c>
      <c r="D1916" t="inlineStr">
        <is>
          <t>Sunday</t>
        </is>
      </c>
      <c r="E1916" t="n">
        <v>9</v>
      </c>
      <c r="F1916" t="b">
        <v>0</v>
      </c>
      <c r="H1916" t="b">
        <v>0</v>
      </c>
    </row>
    <row r="1917">
      <c r="A1917" t="inlineStr">
        <is>
          <t>S020</t>
        </is>
      </c>
      <c r="B1917" s="3" t="n">
        <v>46271</v>
      </c>
      <c r="C1917" t="n">
        <v>19</v>
      </c>
      <c r="D1917" t="inlineStr">
        <is>
          <t>Sunday</t>
        </is>
      </c>
      <c r="E1917" t="n">
        <v>24</v>
      </c>
      <c r="F1917" t="b">
        <v>1</v>
      </c>
      <c r="G1917" t="inlineStr">
        <is>
          <t>Light</t>
        </is>
      </c>
      <c r="H1917" t="b">
        <v>0</v>
      </c>
    </row>
    <row r="1918">
      <c r="A1918" t="inlineStr">
        <is>
          <t>S020</t>
        </is>
      </c>
      <c r="B1918" s="3" t="n">
        <v>46271</v>
      </c>
      <c r="C1918" t="n">
        <v>20</v>
      </c>
      <c r="D1918" t="inlineStr">
        <is>
          <t>Sunday</t>
        </is>
      </c>
      <c r="E1918" t="n">
        <v>22</v>
      </c>
      <c r="F1918" t="b">
        <v>1</v>
      </c>
      <c r="H1918" t="b">
        <v>0</v>
      </c>
    </row>
    <row r="1919">
      <c r="A1919" t="inlineStr">
        <is>
          <t>S020</t>
        </is>
      </c>
      <c r="B1919" s="3" t="n">
        <v>46271</v>
      </c>
      <c r="C1919" t="n">
        <v>21</v>
      </c>
      <c r="D1919" t="inlineStr">
        <is>
          <t>Sunday</t>
        </is>
      </c>
      <c r="E1919" t="n">
        <v>22</v>
      </c>
      <c r="F1919" t="b">
        <v>1</v>
      </c>
      <c r="H1919" t="b">
        <v>0</v>
      </c>
    </row>
    <row r="1920">
      <c r="A1920" t="inlineStr">
        <is>
          <t>S020</t>
        </is>
      </c>
      <c r="B1920" s="3" t="n">
        <v>46271</v>
      </c>
      <c r="C1920" t="n">
        <v>22</v>
      </c>
      <c r="D1920" t="inlineStr">
        <is>
          <t>Sunday</t>
        </is>
      </c>
      <c r="E1920" t="n">
        <v>12</v>
      </c>
      <c r="F1920" t="b">
        <v>0</v>
      </c>
      <c r="H1920" t="b">
        <v>0</v>
      </c>
    </row>
    <row r="1921">
      <c r="A1921" t="inlineStr">
        <is>
          <t>S020</t>
        </is>
      </c>
      <c r="B1921" s="3" t="n">
        <v>46271</v>
      </c>
      <c r="C1921" t="n">
        <v>23</v>
      </c>
      <c r="D1921" t="inlineStr">
        <is>
          <t>Sunday</t>
        </is>
      </c>
      <c r="E1921" t="n">
        <v>12</v>
      </c>
      <c r="F1921" t="b">
        <v>0</v>
      </c>
      <c r="H1921" t="b">
        <v>0</v>
      </c>
    </row>
    <row r="1922">
      <c r="A1922" t="inlineStr">
        <is>
          <t>S001</t>
        </is>
      </c>
      <c r="B1922" s="3" t="n">
        <v>46272</v>
      </c>
      <c r="C1922" t="n">
        <v>8</v>
      </c>
      <c r="D1922" t="inlineStr">
        <is>
          <t>Monday</t>
        </is>
      </c>
      <c r="E1922" t="n">
        <v>14</v>
      </c>
      <c r="F1922" t="b">
        <v>0</v>
      </c>
      <c r="H1922" t="b">
        <v>0</v>
      </c>
    </row>
    <row r="1923">
      <c r="A1923" t="inlineStr">
        <is>
          <t>S001</t>
        </is>
      </c>
      <c r="B1923" s="3" t="n">
        <v>46272</v>
      </c>
      <c r="C1923" t="n">
        <v>9</v>
      </c>
      <c r="D1923" t="inlineStr">
        <is>
          <t>Monday</t>
        </is>
      </c>
      <c r="E1923" t="n">
        <v>10</v>
      </c>
      <c r="F1923" t="b">
        <v>0</v>
      </c>
      <c r="G1923" t="inlineStr">
        <is>
          <t>Light</t>
        </is>
      </c>
      <c r="H1923" t="b">
        <v>0</v>
      </c>
    </row>
    <row r="1924">
      <c r="A1924" t="inlineStr">
        <is>
          <t>S001</t>
        </is>
      </c>
      <c r="B1924" s="3" t="n">
        <v>46272</v>
      </c>
      <c r="C1924" t="n">
        <v>10</v>
      </c>
      <c r="D1924" t="inlineStr">
        <is>
          <t>Monday</t>
        </is>
      </c>
      <c r="E1924" t="n">
        <v>12</v>
      </c>
      <c r="F1924" t="b">
        <v>0</v>
      </c>
      <c r="H1924" t="b">
        <v>0</v>
      </c>
    </row>
    <row r="1925">
      <c r="A1925" t="inlineStr">
        <is>
          <t>S001</t>
        </is>
      </c>
      <c r="B1925" s="3" t="n">
        <v>46272</v>
      </c>
      <c r="C1925" t="n">
        <v>11</v>
      </c>
      <c r="D1925" t="inlineStr">
        <is>
          <t>Monday</t>
        </is>
      </c>
      <c r="E1925" t="n">
        <v>15</v>
      </c>
      <c r="F1925" t="b">
        <v>0</v>
      </c>
      <c r="H1925" t="b">
        <v>0</v>
      </c>
    </row>
    <row r="1926">
      <c r="A1926" t="inlineStr">
        <is>
          <t>S001</t>
        </is>
      </c>
      <c r="B1926" s="3" t="n">
        <v>46272</v>
      </c>
      <c r="C1926" t="n">
        <v>12</v>
      </c>
      <c r="D1926" t="inlineStr">
        <is>
          <t>Monday</t>
        </is>
      </c>
      <c r="E1926" t="n">
        <v>16</v>
      </c>
      <c r="F1926" t="b">
        <v>0</v>
      </c>
      <c r="H1926" t="b">
        <v>0</v>
      </c>
    </row>
    <row r="1927">
      <c r="A1927" t="inlineStr">
        <is>
          <t>S001</t>
        </is>
      </c>
      <c r="B1927" s="3" t="n">
        <v>46272</v>
      </c>
      <c r="C1927" t="n">
        <v>13</v>
      </c>
      <c r="D1927" t="inlineStr">
        <is>
          <t>Monday</t>
        </is>
      </c>
      <c r="E1927" t="n">
        <v>24</v>
      </c>
      <c r="F1927" t="b">
        <v>0</v>
      </c>
      <c r="H1927" t="b">
        <v>0</v>
      </c>
    </row>
    <row r="1928">
      <c r="A1928" t="inlineStr">
        <is>
          <t>S001</t>
        </is>
      </c>
      <c r="B1928" s="3" t="n">
        <v>46272</v>
      </c>
      <c r="C1928" t="n">
        <v>14</v>
      </c>
      <c r="D1928" t="inlineStr">
        <is>
          <t>Monday</t>
        </is>
      </c>
      <c r="E1928" t="n">
        <v>7</v>
      </c>
      <c r="F1928" t="b">
        <v>0</v>
      </c>
      <c r="G1928" t="inlineStr">
        <is>
          <t>Heavy</t>
        </is>
      </c>
      <c r="H1928" t="b">
        <v>0</v>
      </c>
    </row>
    <row r="1929">
      <c r="A1929" t="inlineStr">
        <is>
          <t>S001</t>
        </is>
      </c>
      <c r="B1929" s="3" t="n">
        <v>46272</v>
      </c>
      <c r="C1929" t="n">
        <v>15</v>
      </c>
      <c r="D1929" t="inlineStr">
        <is>
          <t>Monday</t>
        </is>
      </c>
      <c r="E1929" t="n">
        <v>9</v>
      </c>
      <c r="F1929" t="b">
        <v>0</v>
      </c>
      <c r="H1929" t="b">
        <v>1</v>
      </c>
    </row>
    <row r="1930">
      <c r="A1930" t="inlineStr">
        <is>
          <t>S001</t>
        </is>
      </c>
      <c r="B1930" s="3" t="n">
        <v>46272</v>
      </c>
      <c r="C1930" t="n">
        <v>16</v>
      </c>
      <c r="D1930" t="inlineStr">
        <is>
          <t>Monday</t>
        </is>
      </c>
      <c r="E1930" t="n">
        <v>13</v>
      </c>
      <c r="F1930" t="b">
        <v>0</v>
      </c>
      <c r="H1930" t="b">
        <v>0</v>
      </c>
    </row>
    <row r="1931">
      <c r="A1931" t="inlineStr">
        <is>
          <t>S001</t>
        </is>
      </c>
      <c r="B1931" s="3" t="n">
        <v>46272</v>
      </c>
      <c r="C1931" t="n">
        <v>17</v>
      </c>
      <c r="D1931" t="inlineStr">
        <is>
          <t>Monday</t>
        </is>
      </c>
      <c r="E1931" t="n">
        <v>15</v>
      </c>
      <c r="F1931" t="b">
        <v>0</v>
      </c>
      <c r="H1931" t="b">
        <v>0</v>
      </c>
    </row>
    <row r="1932">
      <c r="A1932" t="inlineStr">
        <is>
          <t>S001</t>
        </is>
      </c>
      <c r="B1932" s="3" t="n">
        <v>46272</v>
      </c>
      <c r="C1932" t="n">
        <v>18</v>
      </c>
      <c r="D1932" t="inlineStr">
        <is>
          <t>Monday</t>
        </is>
      </c>
      <c r="E1932" t="n">
        <v>12</v>
      </c>
      <c r="F1932" t="b">
        <v>0</v>
      </c>
      <c r="H1932" t="b">
        <v>0</v>
      </c>
    </row>
    <row r="1933">
      <c r="A1933" t="inlineStr">
        <is>
          <t>S001</t>
        </is>
      </c>
      <c r="B1933" s="3" t="n">
        <v>46272</v>
      </c>
      <c r="C1933" t="n">
        <v>19</v>
      </c>
      <c r="D1933" t="inlineStr">
        <is>
          <t>Monday</t>
        </is>
      </c>
      <c r="E1933" t="n">
        <v>29</v>
      </c>
      <c r="F1933" t="b">
        <v>1</v>
      </c>
      <c r="G1933" t="inlineStr">
        <is>
          <t>Heavy</t>
        </is>
      </c>
      <c r="H1933" t="b">
        <v>0</v>
      </c>
    </row>
    <row r="1934">
      <c r="A1934" t="inlineStr">
        <is>
          <t>S001</t>
        </is>
      </c>
      <c r="B1934" s="3" t="n">
        <v>46272</v>
      </c>
      <c r="C1934" t="n">
        <v>20</v>
      </c>
      <c r="D1934" t="inlineStr">
        <is>
          <t>Monday</t>
        </is>
      </c>
      <c r="E1934" t="n">
        <v>18</v>
      </c>
      <c r="F1934" t="b">
        <v>1</v>
      </c>
      <c r="G1934" t="inlineStr">
        <is>
          <t>Light</t>
        </is>
      </c>
      <c r="H1934" t="b">
        <v>0</v>
      </c>
    </row>
    <row r="1935">
      <c r="A1935" t="inlineStr">
        <is>
          <t>S001</t>
        </is>
      </c>
      <c r="B1935" s="3" t="n">
        <v>46272</v>
      </c>
      <c r="C1935" t="n">
        <v>21</v>
      </c>
      <c r="D1935" t="inlineStr">
        <is>
          <t>Monday</t>
        </is>
      </c>
      <c r="E1935" t="n">
        <v>28</v>
      </c>
      <c r="F1935" t="b">
        <v>1</v>
      </c>
      <c r="H1935" t="b">
        <v>0</v>
      </c>
    </row>
    <row r="1936">
      <c r="A1936" t="inlineStr">
        <is>
          <t>S001</t>
        </is>
      </c>
      <c r="B1936" s="3" t="n">
        <v>46272</v>
      </c>
      <c r="C1936" t="n">
        <v>22</v>
      </c>
      <c r="D1936" t="inlineStr">
        <is>
          <t>Monday</t>
        </is>
      </c>
      <c r="E1936" t="n">
        <v>15</v>
      </c>
      <c r="F1936" t="b">
        <v>0</v>
      </c>
      <c r="H1936" t="b">
        <v>0</v>
      </c>
    </row>
    <row r="1937">
      <c r="A1937" t="inlineStr">
        <is>
          <t>S001</t>
        </is>
      </c>
      <c r="B1937" s="3" t="n">
        <v>46272</v>
      </c>
      <c r="C1937" t="n">
        <v>23</v>
      </c>
      <c r="D1937" t="inlineStr">
        <is>
          <t>Monday</t>
        </is>
      </c>
      <c r="E1937" t="n">
        <v>23</v>
      </c>
      <c r="F1937" t="b">
        <v>0</v>
      </c>
      <c r="H1937" t="b">
        <v>0</v>
      </c>
    </row>
    <row r="1938">
      <c r="A1938" t="inlineStr">
        <is>
          <t>S002</t>
        </is>
      </c>
      <c r="B1938" s="3" t="n">
        <v>46272</v>
      </c>
      <c r="C1938" t="n">
        <v>8</v>
      </c>
      <c r="D1938" t="inlineStr">
        <is>
          <t>Monday</t>
        </is>
      </c>
      <c r="E1938" t="n">
        <v>28</v>
      </c>
      <c r="F1938" t="b">
        <v>0</v>
      </c>
      <c r="H1938" t="b">
        <v>0</v>
      </c>
    </row>
    <row r="1939">
      <c r="A1939" t="inlineStr">
        <is>
          <t>S002</t>
        </is>
      </c>
      <c r="B1939" s="3" t="n">
        <v>46272</v>
      </c>
      <c r="C1939" t="n">
        <v>9</v>
      </c>
      <c r="D1939" t="inlineStr">
        <is>
          <t>Monday</t>
        </is>
      </c>
      <c r="E1939" t="n">
        <v>19</v>
      </c>
      <c r="F1939" t="b">
        <v>0</v>
      </c>
      <c r="H1939" t="b">
        <v>0</v>
      </c>
    </row>
    <row r="1940">
      <c r="A1940" t="inlineStr">
        <is>
          <t>S002</t>
        </is>
      </c>
      <c r="B1940" s="3" t="n">
        <v>46272</v>
      </c>
      <c r="C1940" t="n">
        <v>10</v>
      </c>
      <c r="D1940" t="inlineStr">
        <is>
          <t>Monday</t>
        </is>
      </c>
      <c r="E1940" t="n">
        <v>18</v>
      </c>
      <c r="F1940" t="b">
        <v>0</v>
      </c>
      <c r="G1940" t="inlineStr">
        <is>
          <t>Light</t>
        </is>
      </c>
      <c r="H1940" t="b">
        <v>0</v>
      </c>
    </row>
    <row r="1941">
      <c r="A1941" t="inlineStr">
        <is>
          <t>S002</t>
        </is>
      </c>
      <c r="B1941" s="3" t="n">
        <v>46272</v>
      </c>
      <c r="C1941" t="n">
        <v>11</v>
      </c>
      <c r="D1941" t="inlineStr">
        <is>
          <t>Monday</t>
        </is>
      </c>
      <c r="E1941" t="n">
        <v>30</v>
      </c>
      <c r="F1941" t="b">
        <v>0</v>
      </c>
      <c r="H1941" t="b">
        <v>0</v>
      </c>
    </row>
    <row r="1942">
      <c r="A1942" t="inlineStr">
        <is>
          <t>S002</t>
        </is>
      </c>
      <c r="B1942" s="3" t="n">
        <v>46272</v>
      </c>
      <c r="C1942" t="n">
        <v>12</v>
      </c>
      <c r="D1942" t="inlineStr">
        <is>
          <t>Monday</t>
        </is>
      </c>
      <c r="E1942" t="n">
        <v>37</v>
      </c>
      <c r="F1942" t="b">
        <v>0</v>
      </c>
      <c r="H1942" t="b">
        <v>0</v>
      </c>
    </row>
    <row r="1943">
      <c r="A1943" t="inlineStr">
        <is>
          <t>S002</t>
        </is>
      </c>
      <c r="B1943" s="3" t="n">
        <v>46272</v>
      </c>
      <c r="C1943" t="n">
        <v>13</v>
      </c>
      <c r="D1943" t="inlineStr">
        <is>
          <t>Monday</t>
        </is>
      </c>
      <c r="E1943" t="n">
        <v>34</v>
      </c>
      <c r="F1943" t="b">
        <v>0</v>
      </c>
      <c r="G1943" t="inlineStr">
        <is>
          <t>Light</t>
        </is>
      </c>
      <c r="H1943" t="b">
        <v>0</v>
      </c>
    </row>
    <row r="1944">
      <c r="A1944" t="inlineStr">
        <is>
          <t>S002</t>
        </is>
      </c>
      <c r="B1944" s="3" t="n">
        <v>46272</v>
      </c>
      <c r="C1944" t="n">
        <v>14</v>
      </c>
      <c r="D1944" t="inlineStr">
        <is>
          <t>Monday</t>
        </is>
      </c>
      <c r="E1944" t="n">
        <v>20</v>
      </c>
      <c r="F1944" t="b">
        <v>0</v>
      </c>
      <c r="H1944" t="b">
        <v>0</v>
      </c>
    </row>
    <row r="1945">
      <c r="A1945" t="inlineStr">
        <is>
          <t>S002</t>
        </is>
      </c>
      <c r="B1945" s="3" t="n">
        <v>46272</v>
      </c>
      <c r="C1945" t="n">
        <v>15</v>
      </c>
      <c r="D1945" t="inlineStr">
        <is>
          <t>Monday</t>
        </is>
      </c>
      <c r="E1945" t="n">
        <v>21</v>
      </c>
      <c r="F1945" t="b">
        <v>0</v>
      </c>
      <c r="H1945" t="b">
        <v>0</v>
      </c>
    </row>
    <row r="1946">
      <c r="A1946" t="inlineStr">
        <is>
          <t>S002</t>
        </is>
      </c>
      <c r="B1946" s="3" t="n">
        <v>46272</v>
      </c>
      <c r="C1946" t="n">
        <v>16</v>
      </c>
      <c r="D1946" t="inlineStr">
        <is>
          <t>Monday</t>
        </is>
      </c>
      <c r="E1946" t="n">
        <v>29</v>
      </c>
      <c r="F1946" t="b">
        <v>0</v>
      </c>
      <c r="H1946" t="b">
        <v>0</v>
      </c>
    </row>
    <row r="1947">
      <c r="A1947" t="inlineStr">
        <is>
          <t>S002</t>
        </is>
      </c>
      <c r="B1947" s="3" t="n">
        <v>46272</v>
      </c>
      <c r="C1947" t="n">
        <v>17</v>
      </c>
      <c r="D1947" t="inlineStr">
        <is>
          <t>Monday</t>
        </is>
      </c>
      <c r="E1947" t="n">
        <v>35</v>
      </c>
      <c r="F1947" t="b">
        <v>0</v>
      </c>
      <c r="H1947" t="b">
        <v>0</v>
      </c>
    </row>
    <row r="1948">
      <c r="A1948" t="inlineStr">
        <is>
          <t>S002</t>
        </is>
      </c>
      <c r="B1948" s="3" t="n">
        <v>46272</v>
      </c>
      <c r="C1948" t="n">
        <v>18</v>
      </c>
      <c r="D1948" t="inlineStr">
        <is>
          <t>Monday</t>
        </is>
      </c>
      <c r="E1948" t="n">
        <v>37</v>
      </c>
      <c r="F1948" t="b">
        <v>0</v>
      </c>
      <c r="H1948" t="b">
        <v>0</v>
      </c>
    </row>
    <row r="1949">
      <c r="A1949" t="inlineStr">
        <is>
          <t>S002</t>
        </is>
      </c>
      <c r="B1949" s="3" t="n">
        <v>46272</v>
      </c>
      <c r="C1949" t="n">
        <v>19</v>
      </c>
      <c r="D1949" t="inlineStr">
        <is>
          <t>Monday</t>
        </is>
      </c>
      <c r="E1949" t="n">
        <v>43</v>
      </c>
      <c r="F1949" t="b">
        <v>1</v>
      </c>
      <c r="H1949" t="b">
        <v>0</v>
      </c>
    </row>
    <row r="1950">
      <c r="A1950" t="inlineStr">
        <is>
          <t>S002</t>
        </is>
      </c>
      <c r="B1950" s="3" t="n">
        <v>46272</v>
      </c>
      <c r="C1950" t="n">
        <v>20</v>
      </c>
      <c r="D1950" t="inlineStr">
        <is>
          <t>Monday</t>
        </is>
      </c>
      <c r="E1950" t="n">
        <v>64</v>
      </c>
      <c r="F1950" t="b">
        <v>1</v>
      </c>
      <c r="H1950" t="b">
        <v>0</v>
      </c>
    </row>
    <row r="1951">
      <c r="A1951" t="inlineStr">
        <is>
          <t>S002</t>
        </is>
      </c>
      <c r="B1951" s="3" t="n">
        <v>46272</v>
      </c>
      <c r="C1951" t="n">
        <v>21</v>
      </c>
      <c r="D1951" t="inlineStr">
        <is>
          <t>Monday</t>
        </is>
      </c>
      <c r="E1951" t="n">
        <v>52</v>
      </c>
      <c r="F1951" t="b">
        <v>1</v>
      </c>
      <c r="H1951" t="b">
        <v>1</v>
      </c>
    </row>
    <row r="1952">
      <c r="A1952" t="inlineStr">
        <is>
          <t>S002</t>
        </is>
      </c>
      <c r="B1952" s="3" t="n">
        <v>46272</v>
      </c>
      <c r="C1952" t="n">
        <v>22</v>
      </c>
      <c r="D1952" t="inlineStr">
        <is>
          <t>Monday</t>
        </is>
      </c>
      <c r="E1952" t="n">
        <v>42</v>
      </c>
      <c r="F1952" t="b">
        <v>0</v>
      </c>
      <c r="H1952" t="b">
        <v>0</v>
      </c>
    </row>
    <row r="1953">
      <c r="A1953" t="inlineStr">
        <is>
          <t>S002</t>
        </is>
      </c>
      <c r="B1953" s="3" t="n">
        <v>46272</v>
      </c>
      <c r="C1953" t="n">
        <v>23</v>
      </c>
      <c r="D1953" t="inlineStr">
        <is>
          <t>Monday</t>
        </is>
      </c>
      <c r="E1953" t="n">
        <v>39</v>
      </c>
      <c r="F1953" t="b">
        <v>0</v>
      </c>
      <c r="H1953" t="b">
        <v>0</v>
      </c>
    </row>
    <row r="1954">
      <c r="A1954" t="inlineStr">
        <is>
          <t>S003</t>
        </is>
      </c>
      <c r="B1954" s="3" t="n">
        <v>46272</v>
      </c>
      <c r="C1954" t="n">
        <v>8</v>
      </c>
      <c r="D1954" t="inlineStr">
        <is>
          <t>Monday</t>
        </is>
      </c>
      <c r="E1954" t="n">
        <v>22</v>
      </c>
      <c r="F1954" t="b">
        <v>0</v>
      </c>
      <c r="H1954" t="b">
        <v>0</v>
      </c>
    </row>
    <row r="1955">
      <c r="A1955" t="inlineStr">
        <is>
          <t>S003</t>
        </is>
      </c>
      <c r="B1955" s="3" t="n">
        <v>46272</v>
      </c>
      <c r="C1955" t="n">
        <v>9</v>
      </c>
      <c r="D1955" t="inlineStr">
        <is>
          <t>Monday</t>
        </is>
      </c>
      <c r="E1955" t="n">
        <v>25</v>
      </c>
      <c r="F1955" t="b">
        <v>0</v>
      </c>
      <c r="H1955" t="b">
        <v>0</v>
      </c>
    </row>
    <row r="1956">
      <c r="A1956" t="inlineStr">
        <is>
          <t>S003</t>
        </is>
      </c>
      <c r="B1956" s="3" t="n">
        <v>46272</v>
      </c>
      <c r="C1956" t="n">
        <v>10</v>
      </c>
      <c r="D1956" t="inlineStr">
        <is>
          <t>Monday</t>
        </is>
      </c>
      <c r="E1956" t="n">
        <v>38</v>
      </c>
      <c r="F1956" t="b">
        <v>0</v>
      </c>
      <c r="G1956" t="inlineStr">
        <is>
          <t>Light</t>
        </is>
      </c>
      <c r="H1956" t="b">
        <v>0</v>
      </c>
    </row>
    <row r="1957">
      <c r="A1957" t="inlineStr">
        <is>
          <t>S003</t>
        </is>
      </c>
      <c r="B1957" s="3" t="n">
        <v>46272</v>
      </c>
      <c r="C1957" t="n">
        <v>11</v>
      </c>
      <c r="D1957" t="inlineStr">
        <is>
          <t>Monday</t>
        </is>
      </c>
      <c r="E1957" t="n">
        <v>42</v>
      </c>
      <c r="F1957" t="b">
        <v>0</v>
      </c>
      <c r="H1957" t="b">
        <v>0</v>
      </c>
    </row>
    <row r="1958">
      <c r="A1958" t="inlineStr">
        <is>
          <t>S003</t>
        </is>
      </c>
      <c r="B1958" s="3" t="n">
        <v>46272</v>
      </c>
      <c r="C1958" t="n">
        <v>12</v>
      </c>
      <c r="D1958" t="inlineStr">
        <is>
          <t>Monday</t>
        </is>
      </c>
      <c r="E1958" t="n">
        <v>42</v>
      </c>
      <c r="F1958" t="b">
        <v>0</v>
      </c>
      <c r="H1958" t="b">
        <v>0</v>
      </c>
    </row>
    <row r="1959">
      <c r="A1959" t="inlineStr">
        <is>
          <t>S003</t>
        </is>
      </c>
      <c r="B1959" s="3" t="n">
        <v>46272</v>
      </c>
      <c r="C1959" t="n">
        <v>13</v>
      </c>
      <c r="D1959" t="inlineStr">
        <is>
          <t>Monday</t>
        </is>
      </c>
      <c r="E1959" t="n">
        <v>50</v>
      </c>
      <c r="F1959" t="b">
        <v>0</v>
      </c>
      <c r="H1959" t="b">
        <v>0</v>
      </c>
    </row>
    <row r="1960">
      <c r="A1960" t="inlineStr">
        <is>
          <t>S003</t>
        </is>
      </c>
      <c r="B1960" s="3" t="n">
        <v>46272</v>
      </c>
      <c r="C1960" t="n">
        <v>14</v>
      </c>
      <c r="D1960" t="inlineStr">
        <is>
          <t>Monday</t>
        </is>
      </c>
      <c r="E1960" t="n">
        <v>39</v>
      </c>
      <c r="F1960" t="b">
        <v>0</v>
      </c>
      <c r="H1960" t="b">
        <v>0</v>
      </c>
    </row>
    <row r="1961">
      <c r="A1961" t="inlineStr">
        <is>
          <t>S003</t>
        </is>
      </c>
      <c r="B1961" s="3" t="n">
        <v>46272</v>
      </c>
      <c r="C1961" t="n">
        <v>15</v>
      </c>
      <c r="D1961" t="inlineStr">
        <is>
          <t>Monday</t>
        </is>
      </c>
      <c r="E1961" t="n">
        <v>30</v>
      </c>
      <c r="F1961" t="b">
        <v>0</v>
      </c>
      <c r="G1961" t="inlineStr">
        <is>
          <t>Heavy</t>
        </is>
      </c>
      <c r="H1961" t="b">
        <v>0</v>
      </c>
    </row>
    <row r="1962">
      <c r="A1962" t="inlineStr">
        <is>
          <t>S003</t>
        </is>
      </c>
      <c r="B1962" s="3" t="n">
        <v>46272</v>
      </c>
      <c r="C1962" t="n">
        <v>16</v>
      </c>
      <c r="D1962" t="inlineStr">
        <is>
          <t>Monday</t>
        </is>
      </c>
      <c r="E1962" t="n">
        <v>41</v>
      </c>
      <c r="F1962" t="b">
        <v>0</v>
      </c>
      <c r="G1962" t="inlineStr">
        <is>
          <t>Light</t>
        </is>
      </c>
      <c r="H1962" t="b">
        <v>0</v>
      </c>
    </row>
    <row r="1963">
      <c r="A1963" t="inlineStr">
        <is>
          <t>S003</t>
        </is>
      </c>
      <c r="B1963" s="3" t="n">
        <v>46272</v>
      </c>
      <c r="C1963" t="n">
        <v>17</v>
      </c>
      <c r="D1963" t="inlineStr">
        <is>
          <t>Monday</t>
        </is>
      </c>
      <c r="E1963" t="n">
        <v>42</v>
      </c>
      <c r="F1963" t="b">
        <v>0</v>
      </c>
      <c r="H1963" t="b">
        <v>1</v>
      </c>
    </row>
    <row r="1964">
      <c r="A1964" t="inlineStr">
        <is>
          <t>S003</t>
        </is>
      </c>
      <c r="B1964" s="3" t="n">
        <v>46272</v>
      </c>
      <c r="C1964" t="n">
        <v>18</v>
      </c>
      <c r="D1964" t="inlineStr">
        <is>
          <t>Monday</t>
        </is>
      </c>
      <c r="E1964" t="n">
        <v>31</v>
      </c>
      <c r="F1964" t="b">
        <v>0</v>
      </c>
      <c r="H1964" t="b">
        <v>0</v>
      </c>
    </row>
    <row r="1965">
      <c r="A1965" t="inlineStr">
        <is>
          <t>S003</t>
        </is>
      </c>
      <c r="B1965" s="3" t="n">
        <v>46272</v>
      </c>
      <c r="C1965" t="n">
        <v>19</v>
      </c>
      <c r="D1965" t="inlineStr">
        <is>
          <t>Monday</t>
        </is>
      </c>
      <c r="E1965" t="n">
        <v>61</v>
      </c>
      <c r="F1965" t="b">
        <v>1</v>
      </c>
      <c r="H1965" t="b">
        <v>0</v>
      </c>
    </row>
    <row r="1966">
      <c r="A1966" t="inlineStr">
        <is>
          <t>S003</t>
        </is>
      </c>
      <c r="B1966" s="3" t="n">
        <v>46272</v>
      </c>
      <c r="C1966" t="n">
        <v>20</v>
      </c>
      <c r="D1966" t="inlineStr">
        <is>
          <t>Monday</t>
        </is>
      </c>
      <c r="E1966" t="n">
        <v>60</v>
      </c>
      <c r="F1966" t="b">
        <v>1</v>
      </c>
      <c r="G1966" t="inlineStr">
        <is>
          <t>Light</t>
        </is>
      </c>
      <c r="H1966" t="b">
        <v>0</v>
      </c>
    </row>
    <row r="1967">
      <c r="A1967" t="inlineStr">
        <is>
          <t>S003</t>
        </is>
      </c>
      <c r="B1967" s="3" t="n">
        <v>46272</v>
      </c>
      <c r="C1967" t="n">
        <v>21</v>
      </c>
      <c r="D1967" t="inlineStr">
        <is>
          <t>Monday</t>
        </is>
      </c>
      <c r="E1967" t="n">
        <v>61</v>
      </c>
      <c r="F1967" t="b">
        <v>1</v>
      </c>
      <c r="H1967" t="b">
        <v>0</v>
      </c>
    </row>
    <row r="1968">
      <c r="A1968" t="inlineStr">
        <is>
          <t>S003</t>
        </is>
      </c>
      <c r="B1968" s="3" t="n">
        <v>46272</v>
      </c>
      <c r="C1968" t="n">
        <v>22</v>
      </c>
      <c r="D1968" t="inlineStr">
        <is>
          <t>Monday</t>
        </is>
      </c>
      <c r="E1968" t="n">
        <v>43</v>
      </c>
      <c r="F1968" t="b">
        <v>0</v>
      </c>
      <c r="H1968" t="b">
        <v>0</v>
      </c>
    </row>
    <row r="1969">
      <c r="A1969" t="inlineStr">
        <is>
          <t>S003</t>
        </is>
      </c>
      <c r="B1969" s="3" t="n">
        <v>46272</v>
      </c>
      <c r="C1969" t="n">
        <v>23</v>
      </c>
      <c r="D1969" t="inlineStr">
        <is>
          <t>Monday</t>
        </is>
      </c>
      <c r="E1969" t="n">
        <v>47</v>
      </c>
      <c r="F1969" t="b">
        <v>0</v>
      </c>
      <c r="G1969" t="inlineStr">
        <is>
          <t>Heavy</t>
        </is>
      </c>
      <c r="H1969" t="b">
        <v>0</v>
      </c>
    </row>
    <row r="1970">
      <c r="A1970" t="inlineStr">
        <is>
          <t>S004</t>
        </is>
      </c>
      <c r="B1970" s="3" t="n">
        <v>46272</v>
      </c>
      <c r="C1970" t="n">
        <v>8</v>
      </c>
      <c r="D1970" t="inlineStr">
        <is>
          <t>Monday</t>
        </is>
      </c>
      <c r="E1970" t="n">
        <v>32</v>
      </c>
      <c r="F1970" t="b">
        <v>0</v>
      </c>
      <c r="H1970" t="b">
        <v>0</v>
      </c>
    </row>
    <row r="1971">
      <c r="A1971" t="inlineStr">
        <is>
          <t>S004</t>
        </is>
      </c>
      <c r="B1971" s="3" t="n">
        <v>46272</v>
      </c>
      <c r="C1971" t="n">
        <v>9</v>
      </c>
      <c r="D1971" t="inlineStr">
        <is>
          <t>Monday</t>
        </is>
      </c>
      <c r="E1971" t="n">
        <v>22</v>
      </c>
      <c r="F1971" t="b">
        <v>0</v>
      </c>
      <c r="G1971" t="inlineStr">
        <is>
          <t>Light</t>
        </is>
      </c>
      <c r="H1971" t="b">
        <v>1</v>
      </c>
    </row>
    <row r="1972">
      <c r="A1972" t="inlineStr">
        <is>
          <t>S004</t>
        </is>
      </c>
      <c r="B1972" s="3" t="n">
        <v>46272</v>
      </c>
      <c r="C1972" t="n">
        <v>10</v>
      </c>
      <c r="D1972" t="inlineStr">
        <is>
          <t>Monday</t>
        </is>
      </c>
      <c r="E1972" t="n">
        <v>23</v>
      </c>
      <c r="F1972" t="b">
        <v>0</v>
      </c>
      <c r="H1972" t="b">
        <v>0</v>
      </c>
    </row>
    <row r="1973">
      <c r="A1973" t="inlineStr">
        <is>
          <t>S004</t>
        </is>
      </c>
      <c r="B1973" s="3" t="n">
        <v>46272</v>
      </c>
      <c r="C1973" t="n">
        <v>11</v>
      </c>
      <c r="D1973" t="inlineStr">
        <is>
          <t>Monday</t>
        </is>
      </c>
      <c r="E1973" t="n">
        <v>42</v>
      </c>
      <c r="F1973" t="b">
        <v>0</v>
      </c>
      <c r="H1973" t="b">
        <v>0</v>
      </c>
    </row>
    <row r="1974">
      <c r="A1974" t="inlineStr">
        <is>
          <t>S004</t>
        </is>
      </c>
      <c r="B1974" s="3" t="n">
        <v>46272</v>
      </c>
      <c r="C1974" t="n">
        <v>12</v>
      </c>
      <c r="D1974" t="inlineStr">
        <is>
          <t>Monday</t>
        </is>
      </c>
      <c r="E1974" t="n">
        <v>47</v>
      </c>
      <c r="F1974" t="b">
        <v>0</v>
      </c>
      <c r="G1974" t="inlineStr">
        <is>
          <t>Light</t>
        </is>
      </c>
      <c r="H1974" t="b">
        <v>0</v>
      </c>
    </row>
    <row r="1975">
      <c r="A1975" t="inlineStr">
        <is>
          <t>S004</t>
        </is>
      </c>
      <c r="B1975" s="3" t="n">
        <v>46272</v>
      </c>
      <c r="C1975" t="n">
        <v>13</v>
      </c>
      <c r="D1975" t="inlineStr">
        <is>
          <t>Monday</t>
        </is>
      </c>
      <c r="E1975" t="n">
        <v>40</v>
      </c>
      <c r="F1975" t="b">
        <v>0</v>
      </c>
      <c r="H1975" t="b">
        <v>0</v>
      </c>
    </row>
    <row r="1976">
      <c r="A1976" t="inlineStr">
        <is>
          <t>S004</t>
        </is>
      </c>
      <c r="B1976" s="3" t="n">
        <v>46272</v>
      </c>
      <c r="C1976" t="n">
        <v>14</v>
      </c>
      <c r="D1976" t="inlineStr">
        <is>
          <t>Monday</t>
        </is>
      </c>
      <c r="E1976" t="n">
        <v>24</v>
      </c>
      <c r="F1976" t="b">
        <v>0</v>
      </c>
      <c r="H1976" t="b">
        <v>0</v>
      </c>
    </row>
    <row r="1977">
      <c r="A1977" t="inlineStr">
        <is>
          <t>S004</t>
        </is>
      </c>
      <c r="B1977" s="3" t="n">
        <v>46272</v>
      </c>
      <c r="C1977" t="n">
        <v>15</v>
      </c>
      <c r="D1977" t="inlineStr">
        <is>
          <t>Monday</t>
        </is>
      </c>
      <c r="E1977" t="n">
        <v>35</v>
      </c>
      <c r="F1977" t="b">
        <v>0</v>
      </c>
      <c r="H1977" t="b">
        <v>0</v>
      </c>
    </row>
    <row r="1978">
      <c r="A1978" t="inlineStr">
        <is>
          <t>S004</t>
        </is>
      </c>
      <c r="B1978" s="3" t="n">
        <v>46272</v>
      </c>
      <c r="C1978" t="n">
        <v>16</v>
      </c>
      <c r="D1978" t="inlineStr">
        <is>
          <t>Monday</t>
        </is>
      </c>
      <c r="E1978" t="n">
        <v>32</v>
      </c>
      <c r="F1978" t="b">
        <v>0</v>
      </c>
      <c r="H1978" t="b">
        <v>0</v>
      </c>
    </row>
    <row r="1979">
      <c r="A1979" t="inlineStr">
        <is>
          <t>S004</t>
        </is>
      </c>
      <c r="B1979" s="3" t="n">
        <v>46272</v>
      </c>
      <c r="C1979" t="n">
        <v>17</v>
      </c>
      <c r="D1979" t="inlineStr">
        <is>
          <t>Monday</t>
        </is>
      </c>
      <c r="E1979" t="n">
        <v>54</v>
      </c>
      <c r="F1979" t="b">
        <v>0</v>
      </c>
      <c r="H1979" t="b">
        <v>0</v>
      </c>
    </row>
    <row r="1980">
      <c r="A1980" t="inlineStr">
        <is>
          <t>S004</t>
        </is>
      </c>
      <c r="B1980" s="3" t="n">
        <v>46272</v>
      </c>
      <c r="C1980" t="n">
        <v>18</v>
      </c>
      <c r="D1980" t="inlineStr">
        <is>
          <t>Monday</t>
        </is>
      </c>
      <c r="E1980" t="n">
        <v>39</v>
      </c>
      <c r="F1980" t="b">
        <v>0</v>
      </c>
      <c r="H1980" t="b">
        <v>0</v>
      </c>
    </row>
    <row r="1981">
      <c r="A1981" t="inlineStr">
        <is>
          <t>S004</t>
        </is>
      </c>
      <c r="B1981" s="3" t="n">
        <v>46272</v>
      </c>
      <c r="C1981" t="n">
        <v>19</v>
      </c>
      <c r="D1981" t="inlineStr">
        <is>
          <t>Monday</t>
        </is>
      </c>
      <c r="E1981" t="n">
        <v>68</v>
      </c>
      <c r="F1981" t="b">
        <v>1</v>
      </c>
      <c r="G1981" t="inlineStr">
        <is>
          <t>Light</t>
        </is>
      </c>
      <c r="H1981" t="b">
        <v>1</v>
      </c>
    </row>
    <row r="1982">
      <c r="A1982" t="inlineStr">
        <is>
          <t>S004</t>
        </is>
      </c>
      <c r="B1982" s="3" t="n">
        <v>46272</v>
      </c>
      <c r="C1982" t="n">
        <v>20</v>
      </c>
      <c r="D1982" t="inlineStr">
        <is>
          <t>Monday</t>
        </is>
      </c>
      <c r="E1982" t="n">
        <v>62</v>
      </c>
      <c r="F1982" t="b">
        <v>1</v>
      </c>
      <c r="H1982" t="b">
        <v>0</v>
      </c>
    </row>
    <row r="1983">
      <c r="A1983" t="inlineStr">
        <is>
          <t>S004</t>
        </is>
      </c>
      <c r="B1983" s="3" t="n">
        <v>46272</v>
      </c>
      <c r="C1983" t="n">
        <v>21</v>
      </c>
      <c r="D1983" t="inlineStr">
        <is>
          <t>Monday</t>
        </is>
      </c>
      <c r="E1983" t="n">
        <v>50</v>
      </c>
      <c r="F1983" t="b">
        <v>1</v>
      </c>
      <c r="G1983" t="inlineStr">
        <is>
          <t>Light</t>
        </is>
      </c>
      <c r="H1983" t="b">
        <v>0</v>
      </c>
    </row>
    <row r="1984">
      <c r="A1984" t="inlineStr">
        <is>
          <t>S004</t>
        </is>
      </c>
      <c r="B1984" s="3" t="n">
        <v>46272</v>
      </c>
      <c r="C1984" t="n">
        <v>22</v>
      </c>
      <c r="D1984" t="inlineStr">
        <is>
          <t>Monday</t>
        </is>
      </c>
      <c r="E1984" t="n">
        <v>27</v>
      </c>
      <c r="F1984" t="b">
        <v>0</v>
      </c>
      <c r="H1984" t="b">
        <v>0</v>
      </c>
    </row>
    <row r="1985">
      <c r="A1985" t="inlineStr">
        <is>
          <t>S004</t>
        </is>
      </c>
      <c r="B1985" s="3" t="n">
        <v>46272</v>
      </c>
      <c r="C1985" t="n">
        <v>23</v>
      </c>
      <c r="D1985" t="inlineStr">
        <is>
          <t>Monday</t>
        </is>
      </c>
      <c r="E1985" t="n">
        <v>38</v>
      </c>
      <c r="F1985" t="b">
        <v>0</v>
      </c>
      <c r="H1985" t="b">
        <v>0</v>
      </c>
    </row>
    <row r="1986">
      <c r="A1986" t="inlineStr">
        <is>
          <t>S005</t>
        </is>
      </c>
      <c r="B1986" s="3" t="n">
        <v>46272</v>
      </c>
      <c r="C1986" t="n">
        <v>8</v>
      </c>
      <c r="D1986" t="inlineStr">
        <is>
          <t>Monday</t>
        </is>
      </c>
      <c r="E1986" t="n">
        <v>9</v>
      </c>
      <c r="F1986" t="b">
        <v>0</v>
      </c>
      <c r="G1986" t="inlineStr">
        <is>
          <t>Light</t>
        </is>
      </c>
      <c r="H1986" t="b">
        <v>0</v>
      </c>
    </row>
    <row r="1987">
      <c r="A1987" t="inlineStr">
        <is>
          <t>S005</t>
        </is>
      </c>
      <c r="B1987" s="3" t="n">
        <v>46272</v>
      </c>
      <c r="C1987" t="n">
        <v>9</v>
      </c>
      <c r="D1987" t="inlineStr">
        <is>
          <t>Monday</t>
        </is>
      </c>
      <c r="E1987" t="n">
        <v>13</v>
      </c>
      <c r="F1987" t="b">
        <v>0</v>
      </c>
      <c r="H1987" t="b">
        <v>0</v>
      </c>
    </row>
    <row r="1988">
      <c r="A1988" t="inlineStr">
        <is>
          <t>S005</t>
        </is>
      </c>
      <c r="B1988" s="3" t="n">
        <v>46272</v>
      </c>
      <c r="C1988" t="n">
        <v>10</v>
      </c>
      <c r="D1988" t="inlineStr">
        <is>
          <t>Monday</t>
        </is>
      </c>
      <c r="E1988" t="n">
        <v>13</v>
      </c>
      <c r="F1988" t="b">
        <v>0</v>
      </c>
      <c r="H1988" t="b">
        <v>0</v>
      </c>
    </row>
    <row r="1989">
      <c r="A1989" t="inlineStr">
        <is>
          <t>S005</t>
        </is>
      </c>
      <c r="B1989" s="3" t="n">
        <v>46272</v>
      </c>
      <c r="C1989" t="n">
        <v>11</v>
      </c>
      <c r="D1989" t="inlineStr">
        <is>
          <t>Monday</t>
        </is>
      </c>
      <c r="E1989" t="n">
        <v>13</v>
      </c>
      <c r="F1989" t="b">
        <v>0</v>
      </c>
      <c r="H1989" t="b">
        <v>0</v>
      </c>
    </row>
    <row r="1990">
      <c r="A1990" t="inlineStr">
        <is>
          <t>S005</t>
        </is>
      </c>
      <c r="B1990" s="3" t="n">
        <v>46272</v>
      </c>
      <c r="C1990" t="n">
        <v>12</v>
      </c>
      <c r="D1990" t="inlineStr">
        <is>
          <t>Monday</t>
        </is>
      </c>
      <c r="E1990" t="n">
        <v>10</v>
      </c>
      <c r="F1990" t="b">
        <v>0</v>
      </c>
      <c r="G1990" t="inlineStr">
        <is>
          <t>Light</t>
        </is>
      </c>
      <c r="H1990" t="b">
        <v>0</v>
      </c>
    </row>
    <row r="1991">
      <c r="A1991" t="inlineStr">
        <is>
          <t>S005</t>
        </is>
      </c>
      <c r="B1991" s="3" t="n">
        <v>46272</v>
      </c>
      <c r="C1991" t="n">
        <v>13</v>
      </c>
      <c r="D1991" t="inlineStr">
        <is>
          <t>Monday</t>
        </is>
      </c>
      <c r="E1991" t="n">
        <v>17</v>
      </c>
      <c r="F1991" t="b">
        <v>0</v>
      </c>
      <c r="H1991" t="b">
        <v>0</v>
      </c>
    </row>
    <row r="1992">
      <c r="A1992" t="inlineStr">
        <is>
          <t>S005</t>
        </is>
      </c>
      <c r="B1992" s="3" t="n">
        <v>46272</v>
      </c>
      <c r="C1992" t="n">
        <v>14</v>
      </c>
      <c r="D1992" t="inlineStr">
        <is>
          <t>Monday</t>
        </is>
      </c>
      <c r="E1992" t="n">
        <v>10</v>
      </c>
      <c r="F1992" t="b">
        <v>0</v>
      </c>
      <c r="G1992" t="inlineStr">
        <is>
          <t>Light</t>
        </is>
      </c>
      <c r="H1992" t="b">
        <v>0</v>
      </c>
    </row>
    <row r="1993">
      <c r="A1993" t="inlineStr">
        <is>
          <t>S005</t>
        </is>
      </c>
      <c r="B1993" s="3" t="n">
        <v>46272</v>
      </c>
      <c r="C1993" t="n">
        <v>15</v>
      </c>
      <c r="D1993" t="inlineStr">
        <is>
          <t>Monday</t>
        </is>
      </c>
      <c r="E1993" t="n">
        <v>13</v>
      </c>
      <c r="F1993" t="b">
        <v>0</v>
      </c>
      <c r="G1993" t="inlineStr">
        <is>
          <t>Heavy</t>
        </is>
      </c>
      <c r="H1993" t="b">
        <v>0</v>
      </c>
    </row>
    <row r="1994">
      <c r="A1994" t="inlineStr">
        <is>
          <t>S005</t>
        </is>
      </c>
      <c r="B1994" s="3" t="n">
        <v>46272</v>
      </c>
      <c r="C1994" t="n">
        <v>16</v>
      </c>
      <c r="D1994" t="inlineStr">
        <is>
          <t>Monday</t>
        </is>
      </c>
      <c r="E1994" t="n">
        <v>16</v>
      </c>
      <c r="F1994" t="b">
        <v>0</v>
      </c>
      <c r="H1994" t="b">
        <v>0</v>
      </c>
    </row>
    <row r="1995">
      <c r="A1995" t="inlineStr">
        <is>
          <t>S005</t>
        </is>
      </c>
      <c r="B1995" s="3" t="n">
        <v>46272</v>
      </c>
      <c r="C1995" t="n">
        <v>17</v>
      </c>
      <c r="D1995" t="inlineStr">
        <is>
          <t>Monday</t>
        </is>
      </c>
      <c r="E1995" t="n">
        <v>16</v>
      </c>
      <c r="F1995" t="b">
        <v>0</v>
      </c>
      <c r="H1995" t="b">
        <v>0</v>
      </c>
    </row>
    <row r="1996">
      <c r="A1996" t="inlineStr">
        <is>
          <t>S005</t>
        </is>
      </c>
      <c r="B1996" s="3" t="n">
        <v>46272</v>
      </c>
      <c r="C1996" t="n">
        <v>18</v>
      </c>
      <c r="D1996" t="inlineStr">
        <is>
          <t>Monday</t>
        </is>
      </c>
      <c r="E1996" t="n">
        <v>16</v>
      </c>
      <c r="F1996" t="b">
        <v>0</v>
      </c>
      <c r="H1996" t="b">
        <v>0</v>
      </c>
    </row>
    <row r="1997">
      <c r="A1997" t="inlineStr">
        <is>
          <t>S005</t>
        </is>
      </c>
      <c r="B1997" s="3" t="n">
        <v>46272</v>
      </c>
      <c r="C1997" t="n">
        <v>19</v>
      </c>
      <c r="D1997" t="inlineStr">
        <is>
          <t>Monday</t>
        </is>
      </c>
      <c r="E1997" t="n">
        <v>29</v>
      </c>
      <c r="F1997" t="b">
        <v>1</v>
      </c>
      <c r="H1997" t="b">
        <v>0</v>
      </c>
    </row>
    <row r="1998">
      <c r="A1998" t="inlineStr">
        <is>
          <t>S005</t>
        </is>
      </c>
      <c r="B1998" s="3" t="n">
        <v>46272</v>
      </c>
      <c r="C1998" t="n">
        <v>20</v>
      </c>
      <c r="D1998" t="inlineStr">
        <is>
          <t>Monday</t>
        </is>
      </c>
      <c r="E1998" t="n">
        <v>19</v>
      </c>
      <c r="F1998" t="b">
        <v>1</v>
      </c>
      <c r="G1998" t="inlineStr">
        <is>
          <t>Light</t>
        </is>
      </c>
      <c r="H1998" t="b">
        <v>0</v>
      </c>
    </row>
    <row r="1999">
      <c r="A1999" t="inlineStr">
        <is>
          <t>S005</t>
        </is>
      </c>
      <c r="B1999" s="3" t="n">
        <v>46272</v>
      </c>
      <c r="C1999" t="n">
        <v>21</v>
      </c>
      <c r="D1999" t="inlineStr">
        <is>
          <t>Monday</t>
        </is>
      </c>
      <c r="E1999" t="n">
        <v>18</v>
      </c>
      <c r="F1999" t="b">
        <v>1</v>
      </c>
      <c r="H1999" t="b">
        <v>0</v>
      </c>
    </row>
    <row r="2000">
      <c r="A2000" t="inlineStr">
        <is>
          <t>S005</t>
        </is>
      </c>
      <c r="B2000" s="3" t="n">
        <v>46272</v>
      </c>
      <c r="C2000" t="n">
        <v>22</v>
      </c>
      <c r="D2000" t="inlineStr">
        <is>
          <t>Monday</t>
        </is>
      </c>
      <c r="E2000" t="n">
        <v>13</v>
      </c>
      <c r="F2000" t="b">
        <v>0</v>
      </c>
      <c r="H2000" t="b">
        <v>0</v>
      </c>
    </row>
    <row r="2001">
      <c r="A2001" t="inlineStr">
        <is>
          <t>S005</t>
        </is>
      </c>
      <c r="B2001" s="3" t="n">
        <v>46272</v>
      </c>
      <c r="C2001" t="n">
        <v>23</v>
      </c>
      <c r="D2001" t="inlineStr">
        <is>
          <t>Monday</t>
        </is>
      </c>
      <c r="E2001" t="n">
        <v>15</v>
      </c>
      <c r="F2001" t="b">
        <v>0</v>
      </c>
      <c r="H2001" t="b">
        <v>0</v>
      </c>
    </row>
    <row r="2002">
      <c r="A2002" t="inlineStr">
        <is>
          <t>S006</t>
        </is>
      </c>
      <c r="B2002" s="3" t="n">
        <v>46272</v>
      </c>
      <c r="C2002" t="n">
        <v>8</v>
      </c>
      <c r="D2002" t="inlineStr">
        <is>
          <t>Monday</t>
        </is>
      </c>
      <c r="E2002" t="n">
        <v>16</v>
      </c>
      <c r="F2002" t="b">
        <v>0</v>
      </c>
      <c r="H2002" t="b">
        <v>0</v>
      </c>
    </row>
    <row r="2003">
      <c r="A2003" t="inlineStr">
        <is>
          <t>S006</t>
        </is>
      </c>
      <c r="B2003" s="3" t="n">
        <v>46272</v>
      </c>
      <c r="C2003" t="n">
        <v>9</v>
      </c>
      <c r="D2003" t="inlineStr">
        <is>
          <t>Monday</t>
        </is>
      </c>
      <c r="E2003" t="n">
        <v>24</v>
      </c>
      <c r="F2003" t="b">
        <v>0</v>
      </c>
      <c r="H2003" t="b">
        <v>0</v>
      </c>
    </row>
    <row r="2004">
      <c r="A2004" t="inlineStr">
        <is>
          <t>S006</t>
        </is>
      </c>
      <c r="B2004" s="3" t="n">
        <v>46272</v>
      </c>
      <c r="C2004" t="n">
        <v>10</v>
      </c>
      <c r="D2004" t="inlineStr">
        <is>
          <t>Monday</t>
        </is>
      </c>
      <c r="E2004" t="n">
        <v>23</v>
      </c>
      <c r="F2004" t="b">
        <v>0</v>
      </c>
      <c r="H2004" t="b">
        <v>0</v>
      </c>
    </row>
    <row r="2005">
      <c r="A2005" t="inlineStr">
        <is>
          <t>S006</t>
        </is>
      </c>
      <c r="B2005" s="3" t="n">
        <v>46272</v>
      </c>
      <c r="C2005" t="n">
        <v>11</v>
      </c>
      <c r="D2005" t="inlineStr">
        <is>
          <t>Monday</t>
        </is>
      </c>
      <c r="E2005" t="n">
        <v>28</v>
      </c>
      <c r="F2005" t="b">
        <v>0</v>
      </c>
      <c r="H2005" t="b">
        <v>0</v>
      </c>
    </row>
    <row r="2006">
      <c r="A2006" t="inlineStr">
        <is>
          <t>S006</t>
        </is>
      </c>
      <c r="B2006" s="3" t="n">
        <v>46272</v>
      </c>
      <c r="C2006" t="n">
        <v>12</v>
      </c>
      <c r="D2006" t="inlineStr">
        <is>
          <t>Monday</t>
        </is>
      </c>
      <c r="E2006" t="n">
        <v>24</v>
      </c>
      <c r="F2006" t="b">
        <v>0</v>
      </c>
      <c r="H2006" t="b">
        <v>0</v>
      </c>
    </row>
    <row r="2007">
      <c r="A2007" t="inlineStr">
        <is>
          <t>S006</t>
        </is>
      </c>
      <c r="B2007" s="3" t="n">
        <v>46272</v>
      </c>
      <c r="C2007" t="n">
        <v>13</v>
      </c>
      <c r="D2007" t="inlineStr">
        <is>
          <t>Monday</t>
        </is>
      </c>
      <c r="E2007" t="n">
        <v>22</v>
      </c>
      <c r="F2007" t="b">
        <v>0</v>
      </c>
      <c r="G2007" t="inlineStr">
        <is>
          <t>Light</t>
        </is>
      </c>
      <c r="H2007" t="b">
        <v>0</v>
      </c>
    </row>
    <row r="2008">
      <c r="A2008" t="inlineStr">
        <is>
          <t>S006</t>
        </is>
      </c>
      <c r="B2008" s="3" t="n">
        <v>46272</v>
      </c>
      <c r="C2008" t="n">
        <v>14</v>
      </c>
      <c r="D2008" t="inlineStr">
        <is>
          <t>Monday</t>
        </is>
      </c>
      <c r="E2008" t="n">
        <v>17</v>
      </c>
      <c r="F2008" t="b">
        <v>0</v>
      </c>
      <c r="H2008" t="b">
        <v>0</v>
      </c>
    </row>
    <row r="2009">
      <c r="A2009" t="inlineStr">
        <is>
          <t>S006</t>
        </is>
      </c>
      <c r="B2009" s="3" t="n">
        <v>46272</v>
      </c>
      <c r="C2009" t="n">
        <v>15</v>
      </c>
      <c r="D2009" t="inlineStr">
        <is>
          <t>Monday</t>
        </is>
      </c>
      <c r="E2009" t="n">
        <v>17</v>
      </c>
      <c r="F2009" t="b">
        <v>0</v>
      </c>
      <c r="H2009" t="b">
        <v>0</v>
      </c>
    </row>
    <row r="2010">
      <c r="A2010" t="inlineStr">
        <is>
          <t>S006</t>
        </is>
      </c>
      <c r="B2010" s="3" t="n">
        <v>46272</v>
      </c>
      <c r="C2010" t="n">
        <v>16</v>
      </c>
      <c r="D2010" t="inlineStr">
        <is>
          <t>Monday</t>
        </is>
      </c>
      <c r="E2010" t="n">
        <v>24</v>
      </c>
      <c r="F2010" t="b">
        <v>0</v>
      </c>
      <c r="G2010" t="inlineStr">
        <is>
          <t>Light</t>
        </is>
      </c>
      <c r="H2010" t="b">
        <v>0</v>
      </c>
    </row>
    <row r="2011">
      <c r="A2011" t="inlineStr">
        <is>
          <t>S006</t>
        </is>
      </c>
      <c r="B2011" s="3" t="n">
        <v>46272</v>
      </c>
      <c r="C2011" t="n">
        <v>17</v>
      </c>
      <c r="D2011" t="inlineStr">
        <is>
          <t>Monday</t>
        </is>
      </c>
      <c r="E2011" t="n">
        <v>24</v>
      </c>
      <c r="F2011" t="b">
        <v>0</v>
      </c>
      <c r="H2011" t="b">
        <v>0</v>
      </c>
    </row>
    <row r="2012">
      <c r="A2012" t="inlineStr">
        <is>
          <t>S006</t>
        </is>
      </c>
      <c r="B2012" s="3" t="n">
        <v>46272</v>
      </c>
      <c r="C2012" t="n">
        <v>18</v>
      </c>
      <c r="D2012" t="inlineStr">
        <is>
          <t>Monday</t>
        </is>
      </c>
      <c r="E2012" t="n">
        <v>31</v>
      </c>
      <c r="F2012" t="b">
        <v>0</v>
      </c>
      <c r="H2012" t="b">
        <v>0</v>
      </c>
    </row>
    <row r="2013">
      <c r="A2013" t="inlineStr">
        <is>
          <t>S006</t>
        </is>
      </c>
      <c r="B2013" s="3" t="n">
        <v>46272</v>
      </c>
      <c r="C2013" t="n">
        <v>19</v>
      </c>
      <c r="D2013" t="inlineStr">
        <is>
          <t>Monday</t>
        </is>
      </c>
      <c r="E2013" t="n">
        <v>41</v>
      </c>
      <c r="F2013" t="b">
        <v>1</v>
      </c>
      <c r="G2013" t="inlineStr">
        <is>
          <t>Light</t>
        </is>
      </c>
      <c r="H2013" t="b">
        <v>0</v>
      </c>
    </row>
    <row r="2014">
      <c r="A2014" t="inlineStr">
        <is>
          <t>S006</t>
        </is>
      </c>
      <c r="B2014" s="3" t="n">
        <v>46272</v>
      </c>
      <c r="C2014" t="n">
        <v>20</v>
      </c>
      <c r="D2014" t="inlineStr">
        <is>
          <t>Monday</t>
        </is>
      </c>
      <c r="E2014" t="n">
        <v>34</v>
      </c>
      <c r="F2014" t="b">
        <v>1</v>
      </c>
      <c r="H2014" t="b">
        <v>0</v>
      </c>
    </row>
    <row r="2015">
      <c r="A2015" t="inlineStr">
        <is>
          <t>S006</t>
        </is>
      </c>
      <c r="B2015" s="3" t="n">
        <v>46272</v>
      </c>
      <c r="C2015" t="n">
        <v>21</v>
      </c>
      <c r="D2015" t="inlineStr">
        <is>
          <t>Monday</t>
        </is>
      </c>
      <c r="E2015" t="n">
        <v>36</v>
      </c>
      <c r="F2015" t="b">
        <v>1</v>
      </c>
      <c r="H2015" t="b">
        <v>0</v>
      </c>
    </row>
    <row r="2016">
      <c r="A2016" t="inlineStr">
        <is>
          <t>S006</t>
        </is>
      </c>
      <c r="B2016" s="3" t="n">
        <v>46272</v>
      </c>
      <c r="C2016" t="n">
        <v>22</v>
      </c>
      <c r="D2016" t="inlineStr">
        <is>
          <t>Monday</t>
        </is>
      </c>
      <c r="E2016" t="n">
        <v>25</v>
      </c>
      <c r="F2016" t="b">
        <v>0</v>
      </c>
      <c r="G2016" t="inlineStr">
        <is>
          <t>Heavy</t>
        </is>
      </c>
      <c r="H2016" t="b">
        <v>0</v>
      </c>
    </row>
    <row r="2017">
      <c r="A2017" t="inlineStr">
        <is>
          <t>S006</t>
        </is>
      </c>
      <c r="B2017" s="3" t="n">
        <v>46272</v>
      </c>
      <c r="C2017" t="n">
        <v>23</v>
      </c>
      <c r="D2017" t="inlineStr">
        <is>
          <t>Monday</t>
        </is>
      </c>
      <c r="E2017" t="n">
        <v>26</v>
      </c>
      <c r="F2017" t="b">
        <v>0</v>
      </c>
      <c r="G2017" t="inlineStr">
        <is>
          <t>Light</t>
        </is>
      </c>
      <c r="H2017" t="b">
        <v>0</v>
      </c>
    </row>
    <row r="2018">
      <c r="A2018" t="inlineStr">
        <is>
          <t>S007</t>
        </is>
      </c>
      <c r="B2018" s="3" t="n">
        <v>46272</v>
      </c>
      <c r="C2018" t="n">
        <v>8</v>
      </c>
      <c r="D2018" t="inlineStr">
        <is>
          <t>Monday</t>
        </is>
      </c>
      <c r="E2018" t="n">
        <v>32</v>
      </c>
      <c r="F2018" t="b">
        <v>0</v>
      </c>
      <c r="H2018" t="b">
        <v>0</v>
      </c>
    </row>
    <row r="2019">
      <c r="A2019" t="inlineStr">
        <is>
          <t>S007</t>
        </is>
      </c>
      <c r="B2019" s="3" t="n">
        <v>46272</v>
      </c>
      <c r="C2019" t="n">
        <v>9</v>
      </c>
      <c r="D2019" t="inlineStr">
        <is>
          <t>Monday</t>
        </is>
      </c>
      <c r="E2019" t="n">
        <v>30</v>
      </c>
      <c r="F2019" t="b">
        <v>0</v>
      </c>
      <c r="G2019" t="inlineStr">
        <is>
          <t>Light</t>
        </is>
      </c>
      <c r="H2019" t="b">
        <v>0</v>
      </c>
    </row>
    <row r="2020">
      <c r="A2020" t="inlineStr">
        <is>
          <t>S007</t>
        </is>
      </c>
      <c r="B2020" s="3" t="n">
        <v>46272</v>
      </c>
      <c r="C2020" t="n">
        <v>10</v>
      </c>
      <c r="D2020" t="inlineStr">
        <is>
          <t>Monday</t>
        </is>
      </c>
      <c r="E2020" t="n">
        <v>42</v>
      </c>
      <c r="F2020" t="b">
        <v>0</v>
      </c>
      <c r="G2020" t="inlineStr">
        <is>
          <t>Heavy</t>
        </is>
      </c>
      <c r="H2020" t="b">
        <v>0</v>
      </c>
    </row>
    <row r="2021">
      <c r="A2021" t="inlineStr">
        <is>
          <t>S007</t>
        </is>
      </c>
      <c r="B2021" s="3" t="n">
        <v>46272</v>
      </c>
      <c r="C2021" t="n">
        <v>11</v>
      </c>
      <c r="D2021" t="inlineStr">
        <is>
          <t>Monday</t>
        </is>
      </c>
      <c r="E2021" t="n">
        <v>37</v>
      </c>
      <c r="F2021" t="b">
        <v>0</v>
      </c>
      <c r="G2021" t="inlineStr">
        <is>
          <t>Light</t>
        </is>
      </c>
      <c r="H2021" t="b">
        <v>0</v>
      </c>
    </row>
    <row r="2022">
      <c r="A2022" t="inlineStr">
        <is>
          <t>S007</t>
        </is>
      </c>
      <c r="B2022" s="3" t="n">
        <v>46272</v>
      </c>
      <c r="C2022" t="n">
        <v>12</v>
      </c>
      <c r="D2022" t="inlineStr">
        <is>
          <t>Monday</t>
        </is>
      </c>
      <c r="E2022" t="n">
        <v>42</v>
      </c>
      <c r="F2022" t="b">
        <v>0</v>
      </c>
      <c r="H2022" t="b">
        <v>0</v>
      </c>
    </row>
    <row r="2023">
      <c r="A2023" t="inlineStr">
        <is>
          <t>S007</t>
        </is>
      </c>
      <c r="B2023" s="3" t="n">
        <v>46272</v>
      </c>
      <c r="C2023" t="n">
        <v>13</v>
      </c>
      <c r="D2023" t="inlineStr">
        <is>
          <t>Monday</t>
        </is>
      </c>
      <c r="E2023" t="n">
        <v>34</v>
      </c>
      <c r="F2023" t="b">
        <v>0</v>
      </c>
      <c r="H2023" t="b">
        <v>0</v>
      </c>
    </row>
    <row r="2024">
      <c r="A2024" t="inlineStr">
        <is>
          <t>S007</t>
        </is>
      </c>
      <c r="B2024" s="3" t="n">
        <v>46272</v>
      </c>
      <c r="C2024" t="n">
        <v>14</v>
      </c>
      <c r="D2024" t="inlineStr">
        <is>
          <t>Monday</t>
        </is>
      </c>
      <c r="E2024" t="n">
        <v>37</v>
      </c>
      <c r="F2024" t="b">
        <v>0</v>
      </c>
      <c r="G2024" t="inlineStr">
        <is>
          <t>Light</t>
        </is>
      </c>
      <c r="H2024" t="b">
        <v>0</v>
      </c>
    </row>
    <row r="2025">
      <c r="A2025" t="inlineStr">
        <is>
          <t>S007</t>
        </is>
      </c>
      <c r="B2025" s="3" t="n">
        <v>46272</v>
      </c>
      <c r="C2025" t="n">
        <v>15</v>
      </c>
      <c r="D2025" t="inlineStr">
        <is>
          <t>Monday</t>
        </is>
      </c>
      <c r="E2025" t="n">
        <v>21</v>
      </c>
      <c r="F2025" t="b">
        <v>0</v>
      </c>
      <c r="H2025" t="b">
        <v>0</v>
      </c>
    </row>
    <row r="2026">
      <c r="A2026" t="inlineStr">
        <is>
          <t>S007</t>
        </is>
      </c>
      <c r="B2026" s="3" t="n">
        <v>46272</v>
      </c>
      <c r="C2026" t="n">
        <v>16</v>
      </c>
      <c r="D2026" t="inlineStr">
        <is>
          <t>Monday</t>
        </is>
      </c>
      <c r="E2026" t="n">
        <v>42</v>
      </c>
      <c r="F2026" t="b">
        <v>0</v>
      </c>
      <c r="H2026" t="b">
        <v>0</v>
      </c>
    </row>
    <row r="2027">
      <c r="A2027" t="inlineStr">
        <is>
          <t>S007</t>
        </is>
      </c>
      <c r="B2027" s="3" t="n">
        <v>46272</v>
      </c>
      <c r="C2027" t="n">
        <v>17</v>
      </c>
      <c r="D2027" t="inlineStr">
        <is>
          <t>Monday</t>
        </is>
      </c>
      <c r="E2027" t="n">
        <v>47</v>
      </c>
      <c r="F2027" t="b">
        <v>0</v>
      </c>
      <c r="G2027" t="inlineStr">
        <is>
          <t>Light</t>
        </is>
      </c>
      <c r="H2027" t="b">
        <v>0</v>
      </c>
    </row>
    <row r="2028">
      <c r="A2028" t="inlineStr">
        <is>
          <t>S007</t>
        </is>
      </c>
      <c r="B2028" s="3" t="n">
        <v>46272</v>
      </c>
      <c r="C2028" t="n">
        <v>18</v>
      </c>
      <c r="D2028" t="inlineStr">
        <is>
          <t>Monday</t>
        </is>
      </c>
      <c r="E2028" t="n">
        <v>32</v>
      </c>
      <c r="F2028" t="b">
        <v>0</v>
      </c>
      <c r="H2028" t="b">
        <v>0</v>
      </c>
    </row>
    <row r="2029">
      <c r="A2029" t="inlineStr">
        <is>
          <t>S007</t>
        </is>
      </c>
      <c r="B2029" s="3" t="n">
        <v>46272</v>
      </c>
      <c r="C2029" t="n">
        <v>19</v>
      </c>
      <c r="D2029" t="inlineStr">
        <is>
          <t>Monday</t>
        </is>
      </c>
      <c r="E2029" t="n">
        <v>46</v>
      </c>
      <c r="F2029" t="b">
        <v>1</v>
      </c>
      <c r="H2029" t="b">
        <v>0</v>
      </c>
    </row>
    <row r="2030">
      <c r="A2030" t="inlineStr">
        <is>
          <t>S007</t>
        </is>
      </c>
      <c r="B2030" s="3" t="n">
        <v>46272</v>
      </c>
      <c r="C2030" t="n">
        <v>20</v>
      </c>
      <c r="D2030" t="inlineStr">
        <is>
          <t>Monday</t>
        </is>
      </c>
      <c r="E2030" t="n">
        <v>48</v>
      </c>
      <c r="F2030" t="b">
        <v>1</v>
      </c>
      <c r="H2030" t="b">
        <v>0</v>
      </c>
    </row>
    <row r="2031">
      <c r="A2031" t="inlineStr">
        <is>
          <t>S007</t>
        </is>
      </c>
      <c r="B2031" s="3" t="n">
        <v>46272</v>
      </c>
      <c r="C2031" t="n">
        <v>21</v>
      </c>
      <c r="D2031" t="inlineStr">
        <is>
          <t>Monday</t>
        </is>
      </c>
      <c r="E2031" t="n">
        <v>52</v>
      </c>
      <c r="F2031" t="b">
        <v>1</v>
      </c>
      <c r="G2031" t="inlineStr">
        <is>
          <t>Light</t>
        </is>
      </c>
      <c r="H2031" t="b">
        <v>0</v>
      </c>
    </row>
    <row r="2032">
      <c r="A2032" t="inlineStr">
        <is>
          <t>S007</t>
        </is>
      </c>
      <c r="B2032" s="3" t="n">
        <v>46272</v>
      </c>
      <c r="C2032" t="n">
        <v>22</v>
      </c>
      <c r="D2032" t="inlineStr">
        <is>
          <t>Monday</t>
        </is>
      </c>
      <c r="E2032" t="n">
        <v>33</v>
      </c>
      <c r="F2032" t="b">
        <v>0</v>
      </c>
      <c r="G2032" t="inlineStr">
        <is>
          <t>Light</t>
        </is>
      </c>
      <c r="H2032" t="b">
        <v>0</v>
      </c>
    </row>
    <row r="2033">
      <c r="A2033" t="inlineStr">
        <is>
          <t>S007</t>
        </is>
      </c>
      <c r="B2033" s="3" t="n">
        <v>46272</v>
      </c>
      <c r="C2033" t="n">
        <v>23</v>
      </c>
      <c r="D2033" t="inlineStr">
        <is>
          <t>Monday</t>
        </is>
      </c>
      <c r="E2033" t="n">
        <v>47</v>
      </c>
      <c r="F2033" t="b">
        <v>0</v>
      </c>
      <c r="H2033" t="b">
        <v>0</v>
      </c>
    </row>
    <row r="2034">
      <c r="A2034" t="inlineStr">
        <is>
          <t>S008</t>
        </is>
      </c>
      <c r="B2034" s="3" t="n">
        <v>46272</v>
      </c>
      <c r="C2034" t="n">
        <v>8</v>
      </c>
      <c r="D2034" t="inlineStr">
        <is>
          <t>Monday</t>
        </is>
      </c>
      <c r="E2034" t="n">
        <v>18</v>
      </c>
      <c r="F2034" t="b">
        <v>0</v>
      </c>
      <c r="G2034" t="inlineStr">
        <is>
          <t>Light</t>
        </is>
      </c>
      <c r="H2034" t="b">
        <v>0</v>
      </c>
    </row>
    <row r="2035">
      <c r="A2035" t="inlineStr">
        <is>
          <t>S008</t>
        </is>
      </c>
      <c r="B2035" s="3" t="n">
        <v>46272</v>
      </c>
      <c r="C2035" t="n">
        <v>9</v>
      </c>
      <c r="D2035" t="inlineStr">
        <is>
          <t>Monday</t>
        </is>
      </c>
      <c r="E2035" t="n">
        <v>21</v>
      </c>
      <c r="F2035" t="b">
        <v>0</v>
      </c>
      <c r="H2035" t="b">
        <v>0</v>
      </c>
    </row>
    <row r="2036">
      <c r="A2036" t="inlineStr">
        <is>
          <t>S008</t>
        </is>
      </c>
      <c r="B2036" s="3" t="n">
        <v>46272</v>
      </c>
      <c r="C2036" t="n">
        <v>10</v>
      </c>
      <c r="D2036" t="inlineStr">
        <is>
          <t>Monday</t>
        </is>
      </c>
      <c r="E2036" t="n">
        <v>23</v>
      </c>
      <c r="F2036" t="b">
        <v>0</v>
      </c>
      <c r="H2036" t="b">
        <v>0</v>
      </c>
    </row>
    <row r="2037">
      <c r="A2037" t="inlineStr">
        <is>
          <t>S008</t>
        </is>
      </c>
      <c r="B2037" s="3" t="n">
        <v>46272</v>
      </c>
      <c r="C2037" t="n">
        <v>11</v>
      </c>
      <c r="D2037" t="inlineStr">
        <is>
          <t>Monday</t>
        </is>
      </c>
      <c r="E2037" t="n">
        <v>18</v>
      </c>
      <c r="F2037" t="b">
        <v>0</v>
      </c>
      <c r="G2037" t="inlineStr">
        <is>
          <t>Light</t>
        </is>
      </c>
      <c r="H2037" t="b">
        <v>0</v>
      </c>
    </row>
    <row r="2038">
      <c r="A2038" t="inlineStr">
        <is>
          <t>S008</t>
        </is>
      </c>
      <c r="B2038" s="3" t="n">
        <v>46272</v>
      </c>
      <c r="C2038" t="n">
        <v>12</v>
      </c>
      <c r="D2038" t="inlineStr">
        <is>
          <t>Monday</t>
        </is>
      </c>
      <c r="E2038" t="n">
        <v>16</v>
      </c>
      <c r="F2038" t="b">
        <v>0</v>
      </c>
      <c r="H2038" t="b">
        <v>0</v>
      </c>
    </row>
    <row r="2039">
      <c r="A2039" t="inlineStr">
        <is>
          <t>S008</t>
        </is>
      </c>
      <c r="B2039" s="3" t="n">
        <v>46272</v>
      </c>
      <c r="C2039" t="n">
        <v>13</v>
      </c>
      <c r="D2039" t="inlineStr">
        <is>
          <t>Monday</t>
        </is>
      </c>
      <c r="E2039" t="n">
        <v>15</v>
      </c>
      <c r="F2039" t="b">
        <v>0</v>
      </c>
      <c r="H2039" t="b">
        <v>0</v>
      </c>
    </row>
    <row r="2040">
      <c r="A2040" t="inlineStr">
        <is>
          <t>S008</t>
        </is>
      </c>
      <c r="B2040" s="3" t="n">
        <v>46272</v>
      </c>
      <c r="C2040" t="n">
        <v>14</v>
      </c>
      <c r="D2040" t="inlineStr">
        <is>
          <t>Monday</t>
        </is>
      </c>
      <c r="E2040" t="n">
        <v>18</v>
      </c>
      <c r="F2040" t="b">
        <v>0</v>
      </c>
      <c r="H2040" t="b">
        <v>1</v>
      </c>
    </row>
    <row r="2041">
      <c r="A2041" t="inlineStr">
        <is>
          <t>S008</t>
        </is>
      </c>
      <c r="B2041" s="3" t="n">
        <v>46272</v>
      </c>
      <c r="C2041" t="n">
        <v>15</v>
      </c>
      <c r="D2041" t="inlineStr">
        <is>
          <t>Monday</t>
        </is>
      </c>
      <c r="E2041" t="n">
        <v>20</v>
      </c>
      <c r="F2041" t="b">
        <v>0</v>
      </c>
      <c r="H2041" t="b">
        <v>0</v>
      </c>
    </row>
    <row r="2042">
      <c r="A2042" t="inlineStr">
        <is>
          <t>S008</t>
        </is>
      </c>
      <c r="B2042" s="3" t="n">
        <v>46272</v>
      </c>
      <c r="C2042" t="n">
        <v>16</v>
      </c>
      <c r="D2042" t="inlineStr">
        <is>
          <t>Monday</t>
        </is>
      </c>
      <c r="E2042" t="n">
        <v>16</v>
      </c>
      <c r="F2042" t="b">
        <v>0</v>
      </c>
      <c r="H2042" t="b">
        <v>0</v>
      </c>
    </row>
    <row r="2043">
      <c r="A2043" t="inlineStr">
        <is>
          <t>S008</t>
        </is>
      </c>
      <c r="B2043" s="3" t="n">
        <v>46272</v>
      </c>
      <c r="C2043" t="n">
        <v>17</v>
      </c>
      <c r="D2043" t="inlineStr">
        <is>
          <t>Monday</t>
        </is>
      </c>
      <c r="E2043" t="n">
        <v>16</v>
      </c>
      <c r="F2043" t="b">
        <v>0</v>
      </c>
      <c r="H2043" t="b">
        <v>0</v>
      </c>
    </row>
    <row r="2044">
      <c r="A2044" t="inlineStr">
        <is>
          <t>S008</t>
        </is>
      </c>
      <c r="B2044" s="3" t="n">
        <v>46272</v>
      </c>
      <c r="C2044" t="n">
        <v>18</v>
      </c>
      <c r="D2044" t="inlineStr">
        <is>
          <t>Monday</t>
        </is>
      </c>
      <c r="E2044" t="n">
        <v>29</v>
      </c>
      <c r="F2044" t="b">
        <v>0</v>
      </c>
      <c r="G2044" t="inlineStr">
        <is>
          <t>Light</t>
        </is>
      </c>
      <c r="H2044" t="b">
        <v>0</v>
      </c>
    </row>
    <row r="2045">
      <c r="A2045" t="inlineStr">
        <is>
          <t>S008</t>
        </is>
      </c>
      <c r="B2045" s="3" t="n">
        <v>46272</v>
      </c>
      <c r="C2045" t="n">
        <v>19</v>
      </c>
      <c r="D2045" t="inlineStr">
        <is>
          <t>Monday</t>
        </is>
      </c>
      <c r="E2045" t="n">
        <v>31</v>
      </c>
      <c r="F2045" t="b">
        <v>1</v>
      </c>
      <c r="H2045" t="b">
        <v>0</v>
      </c>
    </row>
    <row r="2046">
      <c r="A2046" t="inlineStr">
        <is>
          <t>S008</t>
        </is>
      </c>
      <c r="B2046" s="3" t="n">
        <v>46272</v>
      </c>
      <c r="C2046" t="n">
        <v>20</v>
      </c>
      <c r="D2046" t="inlineStr">
        <is>
          <t>Monday</t>
        </is>
      </c>
      <c r="E2046" t="n">
        <v>33</v>
      </c>
      <c r="F2046" t="b">
        <v>1</v>
      </c>
      <c r="G2046" t="inlineStr">
        <is>
          <t>Light</t>
        </is>
      </c>
      <c r="H2046" t="b">
        <v>0</v>
      </c>
    </row>
    <row r="2047">
      <c r="A2047" t="inlineStr">
        <is>
          <t>S008</t>
        </is>
      </c>
      <c r="B2047" s="3" t="n">
        <v>46272</v>
      </c>
      <c r="C2047" t="n">
        <v>21</v>
      </c>
      <c r="D2047" t="inlineStr">
        <is>
          <t>Monday</t>
        </is>
      </c>
      <c r="E2047" t="n">
        <v>45</v>
      </c>
      <c r="F2047" t="b">
        <v>1</v>
      </c>
      <c r="G2047" t="inlineStr">
        <is>
          <t>Light</t>
        </is>
      </c>
      <c r="H2047" t="b">
        <v>0</v>
      </c>
    </row>
    <row r="2048">
      <c r="A2048" t="inlineStr">
        <is>
          <t>S008</t>
        </is>
      </c>
      <c r="B2048" s="3" t="n">
        <v>46272</v>
      </c>
      <c r="C2048" t="n">
        <v>22</v>
      </c>
      <c r="D2048" t="inlineStr">
        <is>
          <t>Monday</t>
        </is>
      </c>
      <c r="E2048" t="n">
        <v>22</v>
      </c>
      <c r="F2048" t="b">
        <v>0</v>
      </c>
      <c r="H2048" t="b">
        <v>0</v>
      </c>
    </row>
    <row r="2049">
      <c r="A2049" t="inlineStr">
        <is>
          <t>S008</t>
        </is>
      </c>
      <c r="B2049" s="3" t="n">
        <v>46272</v>
      </c>
      <c r="C2049" t="n">
        <v>23</v>
      </c>
      <c r="D2049" t="inlineStr">
        <is>
          <t>Monday</t>
        </is>
      </c>
      <c r="E2049" t="n">
        <v>26</v>
      </c>
      <c r="F2049" t="b">
        <v>0</v>
      </c>
      <c r="H2049" t="b">
        <v>0</v>
      </c>
    </row>
    <row r="2050">
      <c r="A2050" t="inlineStr">
        <is>
          <t>S009</t>
        </is>
      </c>
      <c r="B2050" s="3" t="n">
        <v>46272</v>
      </c>
      <c r="C2050" t="n">
        <v>8</v>
      </c>
      <c r="D2050" t="inlineStr">
        <is>
          <t>Monday</t>
        </is>
      </c>
      <c r="E2050" t="n">
        <v>17</v>
      </c>
      <c r="F2050" t="b">
        <v>0</v>
      </c>
      <c r="H2050" t="b">
        <v>0</v>
      </c>
    </row>
    <row r="2051">
      <c r="A2051" t="inlineStr">
        <is>
          <t>S009</t>
        </is>
      </c>
      <c r="B2051" s="3" t="n">
        <v>46272</v>
      </c>
      <c r="C2051" t="n">
        <v>9</v>
      </c>
      <c r="D2051" t="inlineStr">
        <is>
          <t>Monday</t>
        </is>
      </c>
      <c r="E2051" t="n">
        <v>21</v>
      </c>
      <c r="F2051" t="b">
        <v>0</v>
      </c>
      <c r="G2051" t="inlineStr">
        <is>
          <t>Light</t>
        </is>
      </c>
      <c r="H2051" t="b">
        <v>0</v>
      </c>
    </row>
    <row r="2052">
      <c r="A2052" t="inlineStr">
        <is>
          <t>S009</t>
        </is>
      </c>
      <c r="B2052" s="3" t="n">
        <v>46272</v>
      </c>
      <c r="C2052" t="n">
        <v>10</v>
      </c>
      <c r="D2052" t="inlineStr">
        <is>
          <t>Monday</t>
        </is>
      </c>
      <c r="E2052" t="n">
        <v>21</v>
      </c>
      <c r="F2052" t="b">
        <v>0</v>
      </c>
      <c r="H2052" t="b">
        <v>0</v>
      </c>
    </row>
    <row r="2053">
      <c r="A2053" t="inlineStr">
        <is>
          <t>S009</t>
        </is>
      </c>
      <c r="B2053" s="3" t="n">
        <v>46272</v>
      </c>
      <c r="C2053" t="n">
        <v>11</v>
      </c>
      <c r="D2053" t="inlineStr">
        <is>
          <t>Monday</t>
        </is>
      </c>
      <c r="E2053" t="n">
        <v>23</v>
      </c>
      <c r="F2053" t="b">
        <v>0</v>
      </c>
      <c r="G2053" t="inlineStr">
        <is>
          <t>Light</t>
        </is>
      </c>
      <c r="H2053" t="b">
        <v>0</v>
      </c>
    </row>
    <row r="2054">
      <c r="A2054" t="inlineStr">
        <is>
          <t>S009</t>
        </is>
      </c>
      <c r="B2054" s="3" t="n">
        <v>46272</v>
      </c>
      <c r="C2054" t="n">
        <v>12</v>
      </c>
      <c r="D2054" t="inlineStr">
        <is>
          <t>Monday</t>
        </is>
      </c>
      <c r="E2054" t="n">
        <v>32</v>
      </c>
      <c r="F2054" t="b">
        <v>0</v>
      </c>
      <c r="H2054" t="b">
        <v>0</v>
      </c>
    </row>
    <row r="2055">
      <c r="A2055" t="inlineStr">
        <is>
          <t>S009</t>
        </is>
      </c>
      <c r="B2055" s="3" t="n">
        <v>46272</v>
      </c>
      <c r="C2055" t="n">
        <v>13</v>
      </c>
      <c r="D2055" t="inlineStr">
        <is>
          <t>Monday</t>
        </is>
      </c>
      <c r="E2055" t="n">
        <v>34</v>
      </c>
      <c r="F2055" t="b">
        <v>0</v>
      </c>
      <c r="G2055" t="inlineStr">
        <is>
          <t>Light</t>
        </is>
      </c>
      <c r="H2055" t="b">
        <v>0</v>
      </c>
    </row>
    <row r="2056">
      <c r="A2056" t="inlineStr">
        <is>
          <t>S009</t>
        </is>
      </c>
      <c r="B2056" s="3" t="n">
        <v>46272</v>
      </c>
      <c r="C2056" t="n">
        <v>14</v>
      </c>
      <c r="D2056" t="inlineStr">
        <is>
          <t>Monday</t>
        </is>
      </c>
      <c r="E2056" t="n">
        <v>21</v>
      </c>
      <c r="F2056" t="b">
        <v>0</v>
      </c>
      <c r="H2056" t="b">
        <v>0</v>
      </c>
    </row>
    <row r="2057">
      <c r="A2057" t="inlineStr">
        <is>
          <t>S009</t>
        </is>
      </c>
      <c r="B2057" s="3" t="n">
        <v>46272</v>
      </c>
      <c r="C2057" t="n">
        <v>15</v>
      </c>
      <c r="D2057" t="inlineStr">
        <is>
          <t>Monday</t>
        </is>
      </c>
      <c r="E2057" t="n">
        <v>18</v>
      </c>
      <c r="F2057" t="b">
        <v>0</v>
      </c>
      <c r="G2057" t="inlineStr">
        <is>
          <t>Light</t>
        </is>
      </c>
      <c r="H2057" t="b">
        <v>0</v>
      </c>
    </row>
    <row r="2058">
      <c r="A2058" t="inlineStr">
        <is>
          <t>S009</t>
        </is>
      </c>
      <c r="B2058" s="3" t="n">
        <v>46272</v>
      </c>
      <c r="C2058" t="n">
        <v>16</v>
      </c>
      <c r="D2058" t="inlineStr">
        <is>
          <t>Monday</t>
        </is>
      </c>
      <c r="E2058" t="n">
        <v>29</v>
      </c>
      <c r="F2058" t="b">
        <v>0</v>
      </c>
      <c r="H2058" t="b">
        <v>0</v>
      </c>
    </row>
    <row r="2059">
      <c r="A2059" t="inlineStr">
        <is>
          <t>S009</t>
        </is>
      </c>
      <c r="B2059" s="3" t="n">
        <v>46272</v>
      </c>
      <c r="C2059" t="n">
        <v>17</v>
      </c>
      <c r="D2059" t="inlineStr">
        <is>
          <t>Monday</t>
        </is>
      </c>
      <c r="E2059" t="n">
        <v>32</v>
      </c>
      <c r="F2059" t="b">
        <v>0</v>
      </c>
      <c r="H2059" t="b">
        <v>0</v>
      </c>
    </row>
    <row r="2060">
      <c r="A2060" t="inlineStr">
        <is>
          <t>S009</t>
        </is>
      </c>
      <c r="B2060" s="3" t="n">
        <v>46272</v>
      </c>
      <c r="C2060" t="n">
        <v>18</v>
      </c>
      <c r="D2060" t="inlineStr">
        <is>
          <t>Monday</t>
        </is>
      </c>
      <c r="E2060" t="n">
        <v>27</v>
      </c>
      <c r="F2060" t="b">
        <v>0</v>
      </c>
      <c r="H2060" t="b">
        <v>0</v>
      </c>
    </row>
    <row r="2061">
      <c r="A2061" t="inlineStr">
        <is>
          <t>S009</t>
        </is>
      </c>
      <c r="B2061" s="3" t="n">
        <v>46272</v>
      </c>
      <c r="C2061" t="n">
        <v>19</v>
      </c>
      <c r="D2061" t="inlineStr">
        <is>
          <t>Monday</t>
        </is>
      </c>
      <c r="E2061" t="n">
        <v>51</v>
      </c>
      <c r="F2061" t="b">
        <v>1</v>
      </c>
      <c r="G2061" t="inlineStr">
        <is>
          <t>Heavy</t>
        </is>
      </c>
      <c r="H2061" t="b">
        <v>0</v>
      </c>
    </row>
    <row r="2062">
      <c r="A2062" t="inlineStr">
        <is>
          <t>S009</t>
        </is>
      </c>
      <c r="B2062" s="3" t="n">
        <v>46272</v>
      </c>
      <c r="C2062" t="n">
        <v>20</v>
      </c>
      <c r="D2062" t="inlineStr">
        <is>
          <t>Monday</t>
        </is>
      </c>
      <c r="E2062" t="n">
        <v>41</v>
      </c>
      <c r="F2062" t="b">
        <v>1</v>
      </c>
      <c r="H2062" t="b">
        <v>0</v>
      </c>
    </row>
    <row r="2063">
      <c r="A2063" t="inlineStr">
        <is>
          <t>S009</t>
        </is>
      </c>
      <c r="B2063" s="3" t="n">
        <v>46272</v>
      </c>
      <c r="C2063" t="n">
        <v>21</v>
      </c>
      <c r="D2063" t="inlineStr">
        <is>
          <t>Monday</t>
        </is>
      </c>
      <c r="E2063" t="n">
        <v>43</v>
      </c>
      <c r="F2063" t="b">
        <v>1</v>
      </c>
      <c r="H2063" t="b">
        <v>0</v>
      </c>
    </row>
    <row r="2064">
      <c r="A2064" t="inlineStr">
        <is>
          <t>S009</t>
        </is>
      </c>
      <c r="B2064" s="3" t="n">
        <v>46272</v>
      </c>
      <c r="C2064" t="n">
        <v>22</v>
      </c>
      <c r="D2064" t="inlineStr">
        <is>
          <t>Monday</t>
        </is>
      </c>
      <c r="E2064" t="n">
        <v>25</v>
      </c>
      <c r="F2064" t="b">
        <v>0</v>
      </c>
      <c r="H2064" t="b">
        <v>0</v>
      </c>
    </row>
    <row r="2065">
      <c r="A2065" t="inlineStr">
        <is>
          <t>S009</t>
        </is>
      </c>
      <c r="B2065" s="3" t="n">
        <v>46272</v>
      </c>
      <c r="C2065" t="n">
        <v>23</v>
      </c>
      <c r="D2065" t="inlineStr">
        <is>
          <t>Monday</t>
        </is>
      </c>
      <c r="E2065" t="n">
        <v>33</v>
      </c>
      <c r="F2065" t="b">
        <v>0</v>
      </c>
      <c r="H2065" t="b">
        <v>0</v>
      </c>
    </row>
    <row r="2066">
      <c r="A2066" t="inlineStr">
        <is>
          <t>S010</t>
        </is>
      </c>
      <c r="B2066" s="3" t="n">
        <v>46272</v>
      </c>
      <c r="C2066" t="n">
        <v>8</v>
      </c>
      <c r="D2066" t="inlineStr">
        <is>
          <t>Monday</t>
        </is>
      </c>
      <c r="E2066" t="n">
        <v>14</v>
      </c>
      <c r="F2066" t="b">
        <v>0</v>
      </c>
      <c r="H2066" t="b">
        <v>0</v>
      </c>
    </row>
    <row r="2067">
      <c r="A2067" t="inlineStr">
        <is>
          <t>S010</t>
        </is>
      </c>
      <c r="B2067" s="3" t="n">
        <v>46272</v>
      </c>
      <c r="C2067" t="n">
        <v>9</v>
      </c>
      <c r="D2067" t="inlineStr">
        <is>
          <t>Monday</t>
        </is>
      </c>
      <c r="E2067" t="n">
        <v>19</v>
      </c>
      <c r="F2067" t="b">
        <v>0</v>
      </c>
      <c r="H2067" t="b">
        <v>0</v>
      </c>
    </row>
    <row r="2068">
      <c r="A2068" t="inlineStr">
        <is>
          <t>S010</t>
        </is>
      </c>
      <c r="B2068" s="3" t="n">
        <v>46272</v>
      </c>
      <c r="C2068" t="n">
        <v>10</v>
      </c>
      <c r="D2068" t="inlineStr">
        <is>
          <t>Monday</t>
        </is>
      </c>
      <c r="E2068" t="n">
        <v>13</v>
      </c>
      <c r="F2068" t="b">
        <v>0</v>
      </c>
      <c r="H2068" t="b">
        <v>0</v>
      </c>
    </row>
    <row r="2069">
      <c r="A2069" t="inlineStr">
        <is>
          <t>S010</t>
        </is>
      </c>
      <c r="B2069" s="3" t="n">
        <v>46272</v>
      </c>
      <c r="C2069" t="n">
        <v>11</v>
      </c>
      <c r="D2069" t="inlineStr">
        <is>
          <t>Monday</t>
        </is>
      </c>
      <c r="E2069" t="n">
        <v>28</v>
      </c>
      <c r="F2069" t="b">
        <v>0</v>
      </c>
      <c r="H2069" t="b">
        <v>0</v>
      </c>
    </row>
    <row r="2070">
      <c r="A2070" t="inlineStr">
        <is>
          <t>S010</t>
        </is>
      </c>
      <c r="B2070" s="3" t="n">
        <v>46272</v>
      </c>
      <c r="C2070" t="n">
        <v>12</v>
      </c>
      <c r="D2070" t="inlineStr">
        <is>
          <t>Monday</t>
        </is>
      </c>
      <c r="E2070" t="n">
        <v>28</v>
      </c>
      <c r="F2070" t="b">
        <v>0</v>
      </c>
      <c r="G2070" t="inlineStr">
        <is>
          <t>Heavy</t>
        </is>
      </c>
      <c r="H2070" t="b">
        <v>0</v>
      </c>
    </row>
    <row r="2071">
      <c r="A2071" t="inlineStr">
        <is>
          <t>S010</t>
        </is>
      </c>
      <c r="B2071" s="3" t="n">
        <v>46272</v>
      </c>
      <c r="C2071" t="n">
        <v>13</v>
      </c>
      <c r="D2071" t="inlineStr">
        <is>
          <t>Monday</t>
        </is>
      </c>
      <c r="E2071" t="n">
        <v>25</v>
      </c>
      <c r="F2071" t="b">
        <v>0</v>
      </c>
      <c r="H2071" t="b">
        <v>0</v>
      </c>
    </row>
    <row r="2072">
      <c r="A2072" t="inlineStr">
        <is>
          <t>S010</t>
        </is>
      </c>
      <c r="B2072" s="3" t="n">
        <v>46272</v>
      </c>
      <c r="C2072" t="n">
        <v>14</v>
      </c>
      <c r="D2072" t="inlineStr">
        <is>
          <t>Monday</t>
        </is>
      </c>
      <c r="E2072" t="n">
        <v>12</v>
      </c>
      <c r="F2072" t="b">
        <v>0</v>
      </c>
      <c r="H2072" t="b">
        <v>0</v>
      </c>
    </row>
    <row r="2073">
      <c r="A2073" t="inlineStr">
        <is>
          <t>S010</t>
        </is>
      </c>
      <c r="B2073" s="3" t="n">
        <v>46272</v>
      </c>
      <c r="C2073" t="n">
        <v>15</v>
      </c>
      <c r="D2073" t="inlineStr">
        <is>
          <t>Monday</t>
        </is>
      </c>
      <c r="E2073" t="n">
        <v>8</v>
      </c>
      <c r="F2073" t="b">
        <v>0</v>
      </c>
      <c r="H2073" t="b">
        <v>0</v>
      </c>
    </row>
    <row r="2074">
      <c r="A2074" t="inlineStr">
        <is>
          <t>S010</t>
        </is>
      </c>
      <c r="B2074" s="3" t="n">
        <v>46272</v>
      </c>
      <c r="C2074" t="n">
        <v>16</v>
      </c>
      <c r="D2074" t="inlineStr">
        <is>
          <t>Monday</t>
        </is>
      </c>
      <c r="E2074" t="n">
        <v>21</v>
      </c>
      <c r="F2074" t="b">
        <v>0</v>
      </c>
      <c r="G2074" t="inlineStr">
        <is>
          <t>Heavy</t>
        </is>
      </c>
      <c r="H2074" t="b">
        <v>0</v>
      </c>
    </row>
    <row r="2075">
      <c r="A2075" t="inlineStr">
        <is>
          <t>S010</t>
        </is>
      </c>
      <c r="B2075" s="3" t="n">
        <v>46272</v>
      </c>
      <c r="C2075" t="n">
        <v>17</v>
      </c>
      <c r="D2075" t="inlineStr">
        <is>
          <t>Monday</t>
        </is>
      </c>
      <c r="E2075" t="n">
        <v>29</v>
      </c>
      <c r="F2075" t="b">
        <v>0</v>
      </c>
      <c r="H2075" t="b">
        <v>0</v>
      </c>
    </row>
    <row r="2076">
      <c r="A2076" t="inlineStr">
        <is>
          <t>S010</t>
        </is>
      </c>
      <c r="B2076" s="3" t="n">
        <v>46272</v>
      </c>
      <c r="C2076" t="n">
        <v>18</v>
      </c>
      <c r="D2076" t="inlineStr">
        <is>
          <t>Monday</t>
        </is>
      </c>
      <c r="E2076" t="n">
        <v>20</v>
      </c>
      <c r="F2076" t="b">
        <v>0</v>
      </c>
      <c r="H2076" t="b">
        <v>0</v>
      </c>
    </row>
    <row r="2077">
      <c r="A2077" t="inlineStr">
        <is>
          <t>S010</t>
        </is>
      </c>
      <c r="B2077" s="3" t="n">
        <v>46272</v>
      </c>
      <c r="C2077" t="n">
        <v>19</v>
      </c>
      <c r="D2077" t="inlineStr">
        <is>
          <t>Monday</t>
        </is>
      </c>
      <c r="E2077" t="n">
        <v>30</v>
      </c>
      <c r="F2077" t="b">
        <v>1</v>
      </c>
      <c r="H2077" t="b">
        <v>0</v>
      </c>
    </row>
    <row r="2078">
      <c r="A2078" t="inlineStr">
        <is>
          <t>S010</t>
        </is>
      </c>
      <c r="B2078" s="3" t="n">
        <v>46272</v>
      </c>
      <c r="C2078" t="n">
        <v>20</v>
      </c>
      <c r="D2078" t="inlineStr">
        <is>
          <t>Monday</t>
        </is>
      </c>
      <c r="E2078" t="n">
        <v>32</v>
      </c>
      <c r="F2078" t="b">
        <v>1</v>
      </c>
      <c r="G2078" t="inlineStr">
        <is>
          <t>Heavy</t>
        </is>
      </c>
      <c r="H2078" t="b">
        <v>0</v>
      </c>
    </row>
    <row r="2079">
      <c r="A2079" t="inlineStr">
        <is>
          <t>S010</t>
        </is>
      </c>
      <c r="B2079" s="3" t="n">
        <v>46272</v>
      </c>
      <c r="C2079" t="n">
        <v>21</v>
      </c>
      <c r="D2079" t="inlineStr">
        <is>
          <t>Monday</t>
        </is>
      </c>
      <c r="E2079" t="n">
        <v>31</v>
      </c>
      <c r="F2079" t="b">
        <v>1</v>
      </c>
      <c r="H2079" t="b">
        <v>0</v>
      </c>
    </row>
    <row r="2080">
      <c r="A2080" t="inlineStr">
        <is>
          <t>S010</t>
        </is>
      </c>
      <c r="B2080" s="3" t="n">
        <v>46272</v>
      </c>
      <c r="C2080" t="n">
        <v>22</v>
      </c>
      <c r="D2080" t="inlineStr">
        <is>
          <t>Monday</t>
        </is>
      </c>
      <c r="E2080" t="n">
        <v>24</v>
      </c>
      <c r="F2080" t="b">
        <v>0</v>
      </c>
      <c r="H2080" t="b">
        <v>0</v>
      </c>
    </row>
    <row r="2081">
      <c r="A2081" t="inlineStr">
        <is>
          <t>S010</t>
        </is>
      </c>
      <c r="B2081" s="3" t="n">
        <v>46272</v>
      </c>
      <c r="C2081" t="n">
        <v>23</v>
      </c>
      <c r="D2081" t="inlineStr">
        <is>
          <t>Monday</t>
        </is>
      </c>
      <c r="E2081" t="n">
        <v>24</v>
      </c>
      <c r="F2081" t="b">
        <v>0</v>
      </c>
      <c r="H2081" t="b">
        <v>0</v>
      </c>
    </row>
    <row r="2082">
      <c r="A2082" t="inlineStr">
        <is>
          <t>S011</t>
        </is>
      </c>
      <c r="B2082" s="3" t="n">
        <v>46272</v>
      </c>
      <c r="C2082" t="n">
        <v>8</v>
      </c>
      <c r="D2082" t="inlineStr">
        <is>
          <t>Monday</t>
        </is>
      </c>
      <c r="E2082" t="n">
        <v>21</v>
      </c>
      <c r="F2082" t="b">
        <v>0</v>
      </c>
      <c r="G2082" t="inlineStr">
        <is>
          <t>Light</t>
        </is>
      </c>
      <c r="H2082" t="b">
        <v>0</v>
      </c>
    </row>
    <row r="2083">
      <c r="A2083" t="inlineStr">
        <is>
          <t>S011</t>
        </is>
      </c>
      <c r="B2083" s="3" t="n">
        <v>46272</v>
      </c>
      <c r="C2083" t="n">
        <v>9</v>
      </c>
      <c r="D2083" t="inlineStr">
        <is>
          <t>Monday</t>
        </is>
      </c>
      <c r="E2083" t="n">
        <v>20</v>
      </c>
      <c r="F2083" t="b">
        <v>0</v>
      </c>
      <c r="H2083" t="b">
        <v>0</v>
      </c>
    </row>
    <row r="2084">
      <c r="A2084" t="inlineStr">
        <is>
          <t>S011</t>
        </is>
      </c>
      <c r="B2084" s="3" t="n">
        <v>46272</v>
      </c>
      <c r="C2084" t="n">
        <v>10</v>
      </c>
      <c r="D2084" t="inlineStr">
        <is>
          <t>Monday</t>
        </is>
      </c>
      <c r="E2084" t="n">
        <v>22</v>
      </c>
      <c r="F2084" t="b">
        <v>0</v>
      </c>
      <c r="H2084" t="b">
        <v>0</v>
      </c>
    </row>
    <row r="2085">
      <c r="A2085" t="inlineStr">
        <is>
          <t>S011</t>
        </is>
      </c>
      <c r="B2085" s="3" t="n">
        <v>46272</v>
      </c>
      <c r="C2085" t="n">
        <v>11</v>
      </c>
      <c r="D2085" t="inlineStr">
        <is>
          <t>Monday</t>
        </is>
      </c>
      <c r="E2085" t="n">
        <v>31</v>
      </c>
      <c r="F2085" t="b">
        <v>0</v>
      </c>
      <c r="H2085" t="b">
        <v>0</v>
      </c>
    </row>
    <row r="2086">
      <c r="A2086" t="inlineStr">
        <is>
          <t>S011</t>
        </is>
      </c>
      <c r="B2086" s="3" t="n">
        <v>46272</v>
      </c>
      <c r="C2086" t="n">
        <v>12</v>
      </c>
      <c r="D2086" t="inlineStr">
        <is>
          <t>Monday</t>
        </is>
      </c>
      <c r="E2086" t="n">
        <v>29</v>
      </c>
      <c r="F2086" t="b">
        <v>0</v>
      </c>
      <c r="H2086" t="b">
        <v>0</v>
      </c>
    </row>
    <row r="2087">
      <c r="A2087" t="inlineStr">
        <is>
          <t>S011</t>
        </is>
      </c>
      <c r="B2087" s="3" t="n">
        <v>46272</v>
      </c>
      <c r="C2087" t="n">
        <v>13</v>
      </c>
      <c r="D2087" t="inlineStr">
        <is>
          <t>Monday</t>
        </is>
      </c>
      <c r="E2087" t="n">
        <v>22</v>
      </c>
      <c r="F2087" t="b">
        <v>0</v>
      </c>
      <c r="G2087" t="inlineStr">
        <is>
          <t>Light</t>
        </is>
      </c>
      <c r="H2087" t="b">
        <v>0</v>
      </c>
    </row>
    <row r="2088">
      <c r="A2088" t="inlineStr">
        <is>
          <t>S011</t>
        </is>
      </c>
      <c r="B2088" s="3" t="n">
        <v>46272</v>
      </c>
      <c r="C2088" t="n">
        <v>14</v>
      </c>
      <c r="D2088" t="inlineStr">
        <is>
          <t>Monday</t>
        </is>
      </c>
      <c r="E2088" t="n">
        <v>22</v>
      </c>
      <c r="F2088" t="b">
        <v>0</v>
      </c>
      <c r="G2088" t="inlineStr">
        <is>
          <t>Heavy</t>
        </is>
      </c>
      <c r="H2088" t="b">
        <v>0</v>
      </c>
    </row>
    <row r="2089">
      <c r="A2089" t="inlineStr">
        <is>
          <t>S011</t>
        </is>
      </c>
      <c r="B2089" s="3" t="n">
        <v>46272</v>
      </c>
      <c r="C2089" t="n">
        <v>15</v>
      </c>
      <c r="D2089" t="inlineStr">
        <is>
          <t>Monday</t>
        </is>
      </c>
      <c r="E2089" t="n">
        <v>22</v>
      </c>
      <c r="F2089" t="b">
        <v>0</v>
      </c>
      <c r="H2089" t="b">
        <v>1</v>
      </c>
    </row>
    <row r="2090">
      <c r="A2090" t="inlineStr">
        <is>
          <t>S011</t>
        </is>
      </c>
      <c r="B2090" s="3" t="n">
        <v>46272</v>
      </c>
      <c r="C2090" t="n">
        <v>16</v>
      </c>
      <c r="D2090" t="inlineStr">
        <is>
          <t>Monday</t>
        </is>
      </c>
      <c r="E2090" t="n">
        <v>31</v>
      </c>
      <c r="F2090" t="b">
        <v>0</v>
      </c>
      <c r="H2090" t="b">
        <v>0</v>
      </c>
    </row>
    <row r="2091">
      <c r="A2091" t="inlineStr">
        <is>
          <t>S011</t>
        </is>
      </c>
      <c r="B2091" s="3" t="n">
        <v>46272</v>
      </c>
      <c r="C2091" t="n">
        <v>17</v>
      </c>
      <c r="D2091" t="inlineStr">
        <is>
          <t>Monday</t>
        </is>
      </c>
      <c r="E2091" t="n">
        <v>22</v>
      </c>
      <c r="F2091" t="b">
        <v>0</v>
      </c>
      <c r="H2091" t="b">
        <v>0</v>
      </c>
    </row>
    <row r="2092">
      <c r="A2092" t="inlineStr">
        <is>
          <t>S011</t>
        </is>
      </c>
      <c r="B2092" s="3" t="n">
        <v>46272</v>
      </c>
      <c r="C2092" t="n">
        <v>18</v>
      </c>
      <c r="D2092" t="inlineStr">
        <is>
          <t>Monday</t>
        </is>
      </c>
      <c r="E2092" t="n">
        <v>29</v>
      </c>
      <c r="F2092" t="b">
        <v>0</v>
      </c>
      <c r="H2092" t="b">
        <v>1</v>
      </c>
    </row>
    <row r="2093">
      <c r="A2093" t="inlineStr">
        <is>
          <t>S011</t>
        </is>
      </c>
      <c r="B2093" s="3" t="n">
        <v>46272</v>
      </c>
      <c r="C2093" t="n">
        <v>19</v>
      </c>
      <c r="D2093" t="inlineStr">
        <is>
          <t>Monday</t>
        </is>
      </c>
      <c r="E2093" t="n">
        <v>40</v>
      </c>
      <c r="F2093" t="b">
        <v>1</v>
      </c>
      <c r="H2093" t="b">
        <v>0</v>
      </c>
    </row>
    <row r="2094">
      <c r="A2094" t="inlineStr">
        <is>
          <t>S011</t>
        </is>
      </c>
      <c r="B2094" s="3" t="n">
        <v>46272</v>
      </c>
      <c r="C2094" t="n">
        <v>20</v>
      </c>
      <c r="D2094" t="inlineStr">
        <is>
          <t>Monday</t>
        </is>
      </c>
      <c r="E2094" t="n">
        <v>51</v>
      </c>
      <c r="F2094" t="b">
        <v>1</v>
      </c>
      <c r="G2094" t="inlineStr">
        <is>
          <t>Light</t>
        </is>
      </c>
      <c r="H2094" t="b">
        <v>0</v>
      </c>
    </row>
    <row r="2095">
      <c r="A2095" t="inlineStr">
        <is>
          <t>S011</t>
        </is>
      </c>
      <c r="B2095" s="3" t="n">
        <v>46272</v>
      </c>
      <c r="C2095" t="n">
        <v>21</v>
      </c>
      <c r="D2095" t="inlineStr">
        <is>
          <t>Monday</t>
        </is>
      </c>
      <c r="E2095" t="n">
        <v>54</v>
      </c>
      <c r="F2095" t="b">
        <v>1</v>
      </c>
      <c r="G2095" t="inlineStr">
        <is>
          <t>Light</t>
        </is>
      </c>
      <c r="H2095" t="b">
        <v>1</v>
      </c>
    </row>
    <row r="2096">
      <c r="A2096" t="inlineStr">
        <is>
          <t>S011</t>
        </is>
      </c>
      <c r="B2096" s="3" t="n">
        <v>46272</v>
      </c>
      <c r="C2096" t="n">
        <v>22</v>
      </c>
      <c r="D2096" t="inlineStr">
        <is>
          <t>Monday</t>
        </is>
      </c>
      <c r="E2096" t="n">
        <v>39</v>
      </c>
      <c r="F2096" t="b">
        <v>0</v>
      </c>
      <c r="H2096" t="b">
        <v>0</v>
      </c>
    </row>
    <row r="2097">
      <c r="A2097" t="inlineStr">
        <is>
          <t>S011</t>
        </is>
      </c>
      <c r="B2097" s="3" t="n">
        <v>46272</v>
      </c>
      <c r="C2097" t="n">
        <v>23</v>
      </c>
      <c r="D2097" t="inlineStr">
        <is>
          <t>Monday</t>
        </is>
      </c>
      <c r="E2097" t="n">
        <v>35</v>
      </c>
      <c r="F2097" t="b">
        <v>0</v>
      </c>
      <c r="H2097" t="b">
        <v>0</v>
      </c>
    </row>
    <row r="2098">
      <c r="A2098" t="inlineStr">
        <is>
          <t>S012</t>
        </is>
      </c>
      <c r="B2098" s="3" t="n">
        <v>46272</v>
      </c>
      <c r="C2098" t="n">
        <v>8</v>
      </c>
      <c r="D2098" t="inlineStr">
        <is>
          <t>Monday</t>
        </is>
      </c>
      <c r="E2098" t="n">
        <v>12</v>
      </c>
      <c r="F2098" t="b">
        <v>0</v>
      </c>
      <c r="H2098" t="b">
        <v>0</v>
      </c>
    </row>
    <row r="2099">
      <c r="A2099" t="inlineStr">
        <is>
          <t>S012</t>
        </is>
      </c>
      <c r="B2099" s="3" t="n">
        <v>46272</v>
      </c>
      <c r="C2099" t="n">
        <v>9</v>
      </c>
      <c r="D2099" t="inlineStr">
        <is>
          <t>Monday</t>
        </is>
      </c>
      <c r="E2099" t="n">
        <v>5</v>
      </c>
      <c r="F2099" t="b">
        <v>0</v>
      </c>
      <c r="H2099" t="b">
        <v>0</v>
      </c>
    </row>
    <row r="2100">
      <c r="A2100" t="inlineStr">
        <is>
          <t>S012</t>
        </is>
      </c>
      <c r="B2100" s="3" t="n">
        <v>46272</v>
      </c>
      <c r="C2100" t="n">
        <v>10</v>
      </c>
      <c r="D2100" t="inlineStr">
        <is>
          <t>Monday</t>
        </is>
      </c>
      <c r="E2100" t="n">
        <v>12</v>
      </c>
      <c r="F2100" t="b">
        <v>0</v>
      </c>
      <c r="H2100" t="b">
        <v>0</v>
      </c>
    </row>
    <row r="2101">
      <c r="A2101" t="inlineStr">
        <is>
          <t>S012</t>
        </is>
      </c>
      <c r="B2101" s="3" t="n">
        <v>46272</v>
      </c>
      <c r="C2101" t="n">
        <v>11</v>
      </c>
      <c r="D2101" t="inlineStr">
        <is>
          <t>Monday</t>
        </is>
      </c>
      <c r="E2101" t="n">
        <v>17</v>
      </c>
      <c r="F2101" t="b">
        <v>0</v>
      </c>
      <c r="H2101" t="b">
        <v>0</v>
      </c>
    </row>
    <row r="2102">
      <c r="A2102" t="inlineStr">
        <is>
          <t>S012</t>
        </is>
      </c>
      <c r="B2102" s="3" t="n">
        <v>46272</v>
      </c>
      <c r="C2102" t="n">
        <v>12</v>
      </c>
      <c r="D2102" t="inlineStr">
        <is>
          <t>Monday</t>
        </is>
      </c>
      <c r="E2102" t="n">
        <v>13</v>
      </c>
      <c r="F2102" t="b">
        <v>0</v>
      </c>
      <c r="G2102" t="inlineStr">
        <is>
          <t>Light</t>
        </is>
      </c>
      <c r="H2102" t="b">
        <v>1</v>
      </c>
    </row>
    <row r="2103">
      <c r="A2103" t="inlineStr">
        <is>
          <t>S012</t>
        </is>
      </c>
      <c r="B2103" s="3" t="n">
        <v>46272</v>
      </c>
      <c r="C2103" t="n">
        <v>13</v>
      </c>
      <c r="D2103" t="inlineStr">
        <is>
          <t>Monday</t>
        </is>
      </c>
      <c r="E2103" t="n">
        <v>18</v>
      </c>
      <c r="F2103" t="b">
        <v>0</v>
      </c>
      <c r="H2103" t="b">
        <v>0</v>
      </c>
    </row>
    <row r="2104">
      <c r="A2104" t="inlineStr">
        <is>
          <t>S012</t>
        </is>
      </c>
      <c r="B2104" s="3" t="n">
        <v>46272</v>
      </c>
      <c r="C2104" t="n">
        <v>14</v>
      </c>
      <c r="D2104" t="inlineStr">
        <is>
          <t>Monday</t>
        </is>
      </c>
      <c r="E2104" t="n">
        <v>14</v>
      </c>
      <c r="F2104" t="b">
        <v>0</v>
      </c>
      <c r="G2104" t="inlineStr">
        <is>
          <t>Light</t>
        </is>
      </c>
      <c r="H2104" t="b">
        <v>0</v>
      </c>
    </row>
    <row r="2105">
      <c r="A2105" t="inlineStr">
        <is>
          <t>S012</t>
        </is>
      </c>
      <c r="B2105" s="3" t="n">
        <v>46272</v>
      </c>
      <c r="C2105" t="n">
        <v>15</v>
      </c>
      <c r="D2105" t="inlineStr">
        <is>
          <t>Monday</t>
        </is>
      </c>
      <c r="E2105" t="n">
        <v>12</v>
      </c>
      <c r="F2105" t="b">
        <v>0</v>
      </c>
      <c r="H2105" t="b">
        <v>0</v>
      </c>
    </row>
    <row r="2106">
      <c r="A2106" t="inlineStr">
        <is>
          <t>S012</t>
        </is>
      </c>
      <c r="B2106" s="3" t="n">
        <v>46272</v>
      </c>
      <c r="C2106" t="n">
        <v>16</v>
      </c>
      <c r="D2106" t="inlineStr">
        <is>
          <t>Monday</t>
        </is>
      </c>
      <c r="E2106" t="n">
        <v>12</v>
      </c>
      <c r="F2106" t="b">
        <v>0</v>
      </c>
      <c r="G2106" t="inlineStr">
        <is>
          <t>Heavy</t>
        </is>
      </c>
      <c r="H2106" t="b">
        <v>0</v>
      </c>
    </row>
    <row r="2107">
      <c r="A2107" t="inlineStr">
        <is>
          <t>S012</t>
        </is>
      </c>
      <c r="B2107" s="3" t="n">
        <v>46272</v>
      </c>
      <c r="C2107" t="n">
        <v>17</v>
      </c>
      <c r="D2107" t="inlineStr">
        <is>
          <t>Monday</t>
        </is>
      </c>
      <c r="E2107" t="n">
        <v>14</v>
      </c>
      <c r="F2107" t="b">
        <v>0</v>
      </c>
      <c r="H2107" t="b">
        <v>0</v>
      </c>
    </row>
    <row r="2108">
      <c r="A2108" t="inlineStr">
        <is>
          <t>S012</t>
        </is>
      </c>
      <c r="B2108" s="3" t="n">
        <v>46272</v>
      </c>
      <c r="C2108" t="n">
        <v>18</v>
      </c>
      <c r="D2108" t="inlineStr">
        <is>
          <t>Monday</t>
        </is>
      </c>
      <c r="E2108" t="n">
        <v>15</v>
      </c>
      <c r="F2108" t="b">
        <v>0</v>
      </c>
      <c r="H2108" t="b">
        <v>0</v>
      </c>
    </row>
    <row r="2109">
      <c r="A2109" t="inlineStr">
        <is>
          <t>S012</t>
        </is>
      </c>
      <c r="B2109" s="3" t="n">
        <v>46272</v>
      </c>
      <c r="C2109" t="n">
        <v>19</v>
      </c>
      <c r="D2109" t="inlineStr">
        <is>
          <t>Monday</t>
        </is>
      </c>
      <c r="E2109" t="n">
        <v>24</v>
      </c>
      <c r="F2109" t="b">
        <v>1</v>
      </c>
      <c r="H2109" t="b">
        <v>0</v>
      </c>
    </row>
    <row r="2110">
      <c r="A2110" t="inlineStr">
        <is>
          <t>S012</t>
        </is>
      </c>
      <c r="B2110" s="3" t="n">
        <v>46272</v>
      </c>
      <c r="C2110" t="n">
        <v>20</v>
      </c>
      <c r="D2110" t="inlineStr">
        <is>
          <t>Monday</t>
        </is>
      </c>
      <c r="E2110" t="n">
        <v>20</v>
      </c>
      <c r="F2110" t="b">
        <v>1</v>
      </c>
      <c r="G2110" t="inlineStr">
        <is>
          <t>Light</t>
        </is>
      </c>
      <c r="H2110" t="b">
        <v>0</v>
      </c>
    </row>
    <row r="2111">
      <c r="A2111" t="inlineStr">
        <is>
          <t>S012</t>
        </is>
      </c>
      <c r="B2111" s="3" t="n">
        <v>46272</v>
      </c>
      <c r="C2111" t="n">
        <v>21</v>
      </c>
      <c r="D2111" t="inlineStr">
        <is>
          <t>Monday</t>
        </is>
      </c>
      <c r="E2111" t="n">
        <v>28</v>
      </c>
      <c r="F2111" t="b">
        <v>1</v>
      </c>
      <c r="G2111" t="inlineStr">
        <is>
          <t>Light</t>
        </is>
      </c>
      <c r="H2111" t="b">
        <v>0</v>
      </c>
    </row>
    <row r="2112">
      <c r="A2112" t="inlineStr">
        <is>
          <t>S012</t>
        </is>
      </c>
      <c r="B2112" s="3" t="n">
        <v>46272</v>
      </c>
      <c r="C2112" t="n">
        <v>22</v>
      </c>
      <c r="D2112" t="inlineStr">
        <is>
          <t>Monday</t>
        </is>
      </c>
      <c r="E2112" t="n">
        <v>14</v>
      </c>
      <c r="F2112" t="b">
        <v>0</v>
      </c>
      <c r="H2112" t="b">
        <v>0</v>
      </c>
    </row>
    <row r="2113">
      <c r="A2113" t="inlineStr">
        <is>
          <t>S012</t>
        </is>
      </c>
      <c r="B2113" s="3" t="n">
        <v>46272</v>
      </c>
      <c r="C2113" t="n">
        <v>23</v>
      </c>
      <c r="D2113" t="inlineStr">
        <is>
          <t>Monday</t>
        </is>
      </c>
      <c r="E2113" t="n">
        <v>17</v>
      </c>
      <c r="F2113" t="b">
        <v>0</v>
      </c>
      <c r="H2113" t="b">
        <v>0</v>
      </c>
    </row>
    <row r="2114">
      <c r="A2114" t="inlineStr">
        <is>
          <t>S013</t>
        </is>
      </c>
      <c r="B2114" s="3" t="n">
        <v>46272</v>
      </c>
      <c r="C2114" t="n">
        <v>8</v>
      </c>
      <c r="D2114" t="inlineStr">
        <is>
          <t>Monday</t>
        </is>
      </c>
      <c r="E2114" t="n">
        <v>35</v>
      </c>
      <c r="F2114" t="b">
        <v>0</v>
      </c>
      <c r="G2114" t="inlineStr">
        <is>
          <t>Light</t>
        </is>
      </c>
      <c r="H2114" t="b">
        <v>0</v>
      </c>
    </row>
    <row r="2115">
      <c r="A2115" t="inlineStr">
        <is>
          <t>S013</t>
        </is>
      </c>
      <c r="B2115" s="3" t="n">
        <v>46272</v>
      </c>
      <c r="C2115" t="n">
        <v>9</v>
      </c>
      <c r="D2115" t="inlineStr">
        <is>
          <t>Monday</t>
        </is>
      </c>
      <c r="E2115" t="n">
        <v>36</v>
      </c>
      <c r="F2115" t="b">
        <v>0</v>
      </c>
      <c r="H2115" t="b">
        <v>0</v>
      </c>
    </row>
    <row r="2116">
      <c r="A2116" t="inlineStr">
        <is>
          <t>S013</t>
        </is>
      </c>
      <c r="B2116" s="3" t="n">
        <v>46272</v>
      </c>
      <c r="C2116" t="n">
        <v>10</v>
      </c>
      <c r="D2116" t="inlineStr">
        <is>
          <t>Monday</t>
        </is>
      </c>
      <c r="E2116" t="n">
        <v>37</v>
      </c>
      <c r="F2116" t="b">
        <v>0</v>
      </c>
      <c r="H2116" t="b">
        <v>0</v>
      </c>
    </row>
    <row r="2117">
      <c r="A2117" t="inlineStr">
        <is>
          <t>S013</t>
        </is>
      </c>
      <c r="B2117" s="3" t="n">
        <v>46272</v>
      </c>
      <c r="C2117" t="n">
        <v>11</v>
      </c>
      <c r="D2117" t="inlineStr">
        <is>
          <t>Monday</t>
        </is>
      </c>
      <c r="E2117" t="n">
        <v>53</v>
      </c>
      <c r="F2117" t="b">
        <v>0</v>
      </c>
      <c r="H2117" t="b">
        <v>0</v>
      </c>
    </row>
    <row r="2118">
      <c r="A2118" t="inlineStr">
        <is>
          <t>S013</t>
        </is>
      </c>
      <c r="B2118" s="3" t="n">
        <v>46272</v>
      </c>
      <c r="C2118" t="n">
        <v>12</v>
      </c>
      <c r="D2118" t="inlineStr">
        <is>
          <t>Monday</t>
        </is>
      </c>
      <c r="E2118" t="n">
        <v>47</v>
      </c>
      <c r="F2118" t="b">
        <v>0</v>
      </c>
      <c r="H2118" t="b">
        <v>0</v>
      </c>
    </row>
    <row r="2119">
      <c r="A2119" t="inlineStr">
        <is>
          <t>S013</t>
        </is>
      </c>
      <c r="B2119" s="3" t="n">
        <v>46272</v>
      </c>
      <c r="C2119" t="n">
        <v>13</v>
      </c>
      <c r="D2119" t="inlineStr">
        <is>
          <t>Monday</t>
        </is>
      </c>
      <c r="E2119" t="n">
        <v>46</v>
      </c>
      <c r="F2119" t="b">
        <v>0</v>
      </c>
      <c r="H2119" t="b">
        <v>0</v>
      </c>
    </row>
    <row r="2120">
      <c r="A2120" t="inlineStr">
        <is>
          <t>S013</t>
        </is>
      </c>
      <c r="B2120" s="3" t="n">
        <v>46272</v>
      </c>
      <c r="C2120" t="n">
        <v>14</v>
      </c>
      <c r="D2120" t="inlineStr">
        <is>
          <t>Monday</t>
        </is>
      </c>
      <c r="E2120" t="n">
        <v>27</v>
      </c>
      <c r="F2120" t="b">
        <v>0</v>
      </c>
      <c r="H2120" t="b">
        <v>0</v>
      </c>
    </row>
    <row r="2121">
      <c r="A2121" t="inlineStr">
        <is>
          <t>S013</t>
        </is>
      </c>
      <c r="B2121" s="3" t="n">
        <v>46272</v>
      </c>
      <c r="C2121" t="n">
        <v>15</v>
      </c>
      <c r="D2121" t="inlineStr">
        <is>
          <t>Monday</t>
        </is>
      </c>
      <c r="E2121" t="n">
        <v>42</v>
      </c>
      <c r="F2121" t="b">
        <v>0</v>
      </c>
      <c r="H2121" t="b">
        <v>0</v>
      </c>
    </row>
    <row r="2122">
      <c r="A2122" t="inlineStr">
        <is>
          <t>S013</t>
        </is>
      </c>
      <c r="B2122" s="3" t="n">
        <v>46272</v>
      </c>
      <c r="C2122" t="n">
        <v>16</v>
      </c>
      <c r="D2122" t="inlineStr">
        <is>
          <t>Monday</t>
        </is>
      </c>
      <c r="E2122" t="n">
        <v>58</v>
      </c>
      <c r="F2122" t="b">
        <v>0</v>
      </c>
      <c r="H2122" t="b">
        <v>0</v>
      </c>
    </row>
    <row r="2123">
      <c r="A2123" t="inlineStr">
        <is>
          <t>S013</t>
        </is>
      </c>
      <c r="B2123" s="3" t="n">
        <v>46272</v>
      </c>
      <c r="C2123" t="n">
        <v>17</v>
      </c>
      <c r="D2123" t="inlineStr">
        <is>
          <t>Monday</t>
        </is>
      </c>
      <c r="E2123" t="n">
        <v>56</v>
      </c>
      <c r="F2123" t="b">
        <v>0</v>
      </c>
      <c r="G2123" t="inlineStr">
        <is>
          <t>Heavy</t>
        </is>
      </c>
      <c r="H2123" t="b">
        <v>0</v>
      </c>
    </row>
    <row r="2124">
      <c r="A2124" t="inlineStr">
        <is>
          <t>S013</t>
        </is>
      </c>
      <c r="B2124" s="3" t="n">
        <v>46272</v>
      </c>
      <c r="C2124" t="n">
        <v>18</v>
      </c>
      <c r="D2124" t="inlineStr">
        <is>
          <t>Monday</t>
        </is>
      </c>
      <c r="E2124" t="n">
        <v>52</v>
      </c>
      <c r="F2124" t="b">
        <v>0</v>
      </c>
      <c r="G2124" t="inlineStr">
        <is>
          <t>Heavy</t>
        </is>
      </c>
      <c r="H2124" t="b">
        <v>0</v>
      </c>
    </row>
    <row r="2125">
      <c r="A2125" t="inlineStr">
        <is>
          <t>S013</t>
        </is>
      </c>
      <c r="B2125" s="3" t="n">
        <v>46272</v>
      </c>
      <c r="C2125" t="n">
        <v>19</v>
      </c>
      <c r="D2125" t="inlineStr">
        <is>
          <t>Monday</t>
        </is>
      </c>
      <c r="E2125" t="n">
        <v>70</v>
      </c>
      <c r="F2125" t="b">
        <v>1</v>
      </c>
      <c r="H2125" t="b">
        <v>0</v>
      </c>
    </row>
    <row r="2126">
      <c r="A2126" t="inlineStr">
        <is>
          <t>S013</t>
        </is>
      </c>
      <c r="B2126" s="3" t="n">
        <v>46272</v>
      </c>
      <c r="C2126" t="n">
        <v>20</v>
      </c>
      <c r="D2126" t="inlineStr">
        <is>
          <t>Monday</t>
        </is>
      </c>
      <c r="E2126" t="n">
        <v>86</v>
      </c>
      <c r="F2126" t="b">
        <v>1</v>
      </c>
      <c r="H2126" t="b">
        <v>0</v>
      </c>
    </row>
    <row r="2127">
      <c r="A2127" t="inlineStr">
        <is>
          <t>S013</t>
        </is>
      </c>
      <c r="B2127" s="3" t="n">
        <v>46272</v>
      </c>
      <c r="C2127" t="n">
        <v>21</v>
      </c>
      <c r="D2127" t="inlineStr">
        <is>
          <t>Monday</t>
        </is>
      </c>
      <c r="E2127" t="n">
        <v>78</v>
      </c>
      <c r="F2127" t="b">
        <v>1</v>
      </c>
      <c r="H2127" t="b">
        <v>0</v>
      </c>
    </row>
    <row r="2128">
      <c r="A2128" t="inlineStr">
        <is>
          <t>S013</t>
        </is>
      </c>
      <c r="B2128" s="3" t="n">
        <v>46272</v>
      </c>
      <c r="C2128" t="n">
        <v>22</v>
      </c>
      <c r="D2128" t="inlineStr">
        <is>
          <t>Monday</t>
        </is>
      </c>
      <c r="E2128" t="n">
        <v>45</v>
      </c>
      <c r="F2128" t="b">
        <v>0</v>
      </c>
      <c r="H2128" t="b">
        <v>0</v>
      </c>
    </row>
    <row r="2129">
      <c r="A2129" t="inlineStr">
        <is>
          <t>S013</t>
        </is>
      </c>
      <c r="B2129" s="3" t="n">
        <v>46272</v>
      </c>
      <c r="C2129" t="n">
        <v>23</v>
      </c>
      <c r="D2129" t="inlineStr">
        <is>
          <t>Monday</t>
        </is>
      </c>
      <c r="E2129" t="n">
        <v>38</v>
      </c>
      <c r="F2129" t="b">
        <v>0</v>
      </c>
      <c r="G2129" t="inlineStr">
        <is>
          <t>Light</t>
        </is>
      </c>
      <c r="H2129" t="b">
        <v>0</v>
      </c>
    </row>
    <row r="2130">
      <c r="A2130" t="inlineStr">
        <is>
          <t>S014</t>
        </is>
      </c>
      <c r="B2130" s="3" t="n">
        <v>46272</v>
      </c>
      <c r="C2130" t="n">
        <v>8</v>
      </c>
      <c r="D2130" t="inlineStr">
        <is>
          <t>Monday</t>
        </is>
      </c>
      <c r="E2130" t="n">
        <v>25</v>
      </c>
      <c r="F2130" t="b">
        <v>0</v>
      </c>
      <c r="G2130" t="inlineStr">
        <is>
          <t>Light</t>
        </is>
      </c>
      <c r="H2130" t="b">
        <v>0</v>
      </c>
    </row>
    <row r="2131">
      <c r="A2131" t="inlineStr">
        <is>
          <t>S014</t>
        </is>
      </c>
      <c r="B2131" s="3" t="n">
        <v>46272</v>
      </c>
      <c r="C2131" t="n">
        <v>9</v>
      </c>
      <c r="D2131" t="inlineStr">
        <is>
          <t>Monday</t>
        </is>
      </c>
      <c r="E2131" t="n">
        <v>31</v>
      </c>
      <c r="F2131" t="b">
        <v>0</v>
      </c>
      <c r="G2131" t="inlineStr">
        <is>
          <t>Heavy</t>
        </is>
      </c>
      <c r="H2131" t="b">
        <v>0</v>
      </c>
    </row>
    <row r="2132">
      <c r="A2132" t="inlineStr">
        <is>
          <t>S014</t>
        </is>
      </c>
      <c r="B2132" s="3" t="n">
        <v>46272</v>
      </c>
      <c r="C2132" t="n">
        <v>10</v>
      </c>
      <c r="D2132" t="inlineStr">
        <is>
          <t>Monday</t>
        </is>
      </c>
      <c r="E2132" t="n">
        <v>30</v>
      </c>
      <c r="F2132" t="b">
        <v>0</v>
      </c>
      <c r="H2132" t="b">
        <v>0</v>
      </c>
    </row>
    <row r="2133">
      <c r="A2133" t="inlineStr">
        <is>
          <t>S014</t>
        </is>
      </c>
      <c r="B2133" s="3" t="n">
        <v>46272</v>
      </c>
      <c r="C2133" t="n">
        <v>11</v>
      </c>
      <c r="D2133" t="inlineStr">
        <is>
          <t>Monday</t>
        </is>
      </c>
      <c r="E2133" t="n">
        <v>31</v>
      </c>
      <c r="F2133" t="b">
        <v>0</v>
      </c>
      <c r="G2133" t="inlineStr">
        <is>
          <t>Heavy</t>
        </is>
      </c>
      <c r="H2133" t="b">
        <v>0</v>
      </c>
    </row>
    <row r="2134">
      <c r="A2134" t="inlineStr">
        <is>
          <t>S014</t>
        </is>
      </c>
      <c r="B2134" s="3" t="n">
        <v>46272</v>
      </c>
      <c r="C2134" t="n">
        <v>12</v>
      </c>
      <c r="D2134" t="inlineStr">
        <is>
          <t>Monday</t>
        </is>
      </c>
      <c r="E2134" t="n">
        <v>34</v>
      </c>
      <c r="F2134" t="b">
        <v>0</v>
      </c>
      <c r="H2134" t="b">
        <v>0</v>
      </c>
    </row>
    <row r="2135">
      <c r="A2135" t="inlineStr">
        <is>
          <t>S014</t>
        </is>
      </c>
      <c r="B2135" s="3" t="n">
        <v>46272</v>
      </c>
      <c r="C2135" t="n">
        <v>13</v>
      </c>
      <c r="D2135" t="inlineStr">
        <is>
          <t>Monday</t>
        </is>
      </c>
      <c r="E2135" t="n">
        <v>41</v>
      </c>
      <c r="F2135" t="b">
        <v>0</v>
      </c>
      <c r="H2135" t="b">
        <v>0</v>
      </c>
    </row>
    <row r="2136">
      <c r="A2136" t="inlineStr">
        <is>
          <t>S014</t>
        </is>
      </c>
      <c r="B2136" s="3" t="n">
        <v>46272</v>
      </c>
      <c r="C2136" t="n">
        <v>14</v>
      </c>
      <c r="D2136" t="inlineStr">
        <is>
          <t>Monday</t>
        </is>
      </c>
      <c r="E2136" t="n">
        <v>20</v>
      </c>
      <c r="F2136" t="b">
        <v>0</v>
      </c>
      <c r="H2136" t="b">
        <v>0</v>
      </c>
    </row>
    <row r="2137">
      <c r="A2137" t="inlineStr">
        <is>
          <t>S014</t>
        </is>
      </c>
      <c r="B2137" s="3" t="n">
        <v>46272</v>
      </c>
      <c r="C2137" t="n">
        <v>15</v>
      </c>
      <c r="D2137" t="inlineStr">
        <is>
          <t>Monday</t>
        </is>
      </c>
      <c r="E2137" t="n">
        <v>34</v>
      </c>
      <c r="F2137" t="b">
        <v>0</v>
      </c>
      <c r="H2137" t="b">
        <v>0</v>
      </c>
    </row>
    <row r="2138">
      <c r="A2138" t="inlineStr">
        <is>
          <t>S014</t>
        </is>
      </c>
      <c r="B2138" s="3" t="n">
        <v>46272</v>
      </c>
      <c r="C2138" t="n">
        <v>16</v>
      </c>
      <c r="D2138" t="inlineStr">
        <is>
          <t>Monday</t>
        </is>
      </c>
      <c r="E2138" t="n">
        <v>19</v>
      </c>
      <c r="F2138" t="b">
        <v>0</v>
      </c>
      <c r="G2138" t="inlineStr">
        <is>
          <t>Light</t>
        </is>
      </c>
      <c r="H2138" t="b">
        <v>0</v>
      </c>
    </row>
    <row r="2139">
      <c r="A2139" t="inlineStr">
        <is>
          <t>S014</t>
        </is>
      </c>
      <c r="B2139" s="3" t="n">
        <v>46272</v>
      </c>
      <c r="C2139" t="n">
        <v>17</v>
      </c>
      <c r="D2139" t="inlineStr">
        <is>
          <t>Monday</t>
        </is>
      </c>
      <c r="E2139" t="n">
        <v>28</v>
      </c>
      <c r="F2139" t="b">
        <v>0</v>
      </c>
      <c r="G2139" t="inlineStr">
        <is>
          <t>Heavy</t>
        </is>
      </c>
      <c r="H2139" t="b">
        <v>0</v>
      </c>
    </row>
    <row r="2140">
      <c r="A2140" t="inlineStr">
        <is>
          <t>S014</t>
        </is>
      </c>
      <c r="B2140" s="3" t="n">
        <v>46272</v>
      </c>
      <c r="C2140" t="n">
        <v>18</v>
      </c>
      <c r="D2140" t="inlineStr">
        <is>
          <t>Monday</t>
        </is>
      </c>
      <c r="E2140" t="n">
        <v>25</v>
      </c>
      <c r="F2140" t="b">
        <v>0</v>
      </c>
      <c r="H2140" t="b">
        <v>0</v>
      </c>
    </row>
    <row r="2141">
      <c r="A2141" t="inlineStr">
        <is>
          <t>S014</t>
        </is>
      </c>
      <c r="B2141" s="3" t="n">
        <v>46272</v>
      </c>
      <c r="C2141" t="n">
        <v>19</v>
      </c>
      <c r="D2141" t="inlineStr">
        <is>
          <t>Monday</t>
        </is>
      </c>
      <c r="E2141" t="n">
        <v>53</v>
      </c>
      <c r="F2141" t="b">
        <v>1</v>
      </c>
      <c r="H2141" t="b">
        <v>0</v>
      </c>
    </row>
    <row r="2142">
      <c r="A2142" t="inlineStr">
        <is>
          <t>S014</t>
        </is>
      </c>
      <c r="B2142" s="3" t="n">
        <v>46272</v>
      </c>
      <c r="C2142" t="n">
        <v>20</v>
      </c>
      <c r="D2142" t="inlineStr">
        <is>
          <t>Monday</t>
        </is>
      </c>
      <c r="E2142" t="n">
        <v>57</v>
      </c>
      <c r="F2142" t="b">
        <v>1</v>
      </c>
      <c r="G2142" t="inlineStr">
        <is>
          <t>Light</t>
        </is>
      </c>
      <c r="H2142" t="b">
        <v>0</v>
      </c>
    </row>
    <row r="2143">
      <c r="A2143" t="inlineStr">
        <is>
          <t>S014</t>
        </is>
      </c>
      <c r="B2143" s="3" t="n">
        <v>46272</v>
      </c>
      <c r="C2143" t="n">
        <v>21</v>
      </c>
      <c r="D2143" t="inlineStr">
        <is>
          <t>Monday</t>
        </is>
      </c>
      <c r="E2143" t="n">
        <v>79</v>
      </c>
      <c r="F2143" t="b">
        <v>1</v>
      </c>
      <c r="H2143" t="b">
        <v>0</v>
      </c>
    </row>
    <row r="2144">
      <c r="A2144" t="inlineStr">
        <is>
          <t>S014</t>
        </is>
      </c>
      <c r="B2144" s="3" t="n">
        <v>46272</v>
      </c>
      <c r="C2144" t="n">
        <v>22</v>
      </c>
      <c r="D2144" t="inlineStr">
        <is>
          <t>Monday</t>
        </is>
      </c>
      <c r="E2144" t="n">
        <v>32</v>
      </c>
      <c r="F2144" t="b">
        <v>0</v>
      </c>
      <c r="H2144" t="b">
        <v>0</v>
      </c>
    </row>
    <row r="2145">
      <c r="A2145" t="inlineStr">
        <is>
          <t>S014</t>
        </is>
      </c>
      <c r="B2145" s="3" t="n">
        <v>46272</v>
      </c>
      <c r="C2145" t="n">
        <v>23</v>
      </c>
      <c r="D2145" t="inlineStr">
        <is>
          <t>Monday</t>
        </is>
      </c>
      <c r="E2145" t="n">
        <v>41</v>
      </c>
      <c r="F2145" t="b">
        <v>0</v>
      </c>
      <c r="H2145" t="b">
        <v>1</v>
      </c>
    </row>
    <row r="2146">
      <c r="A2146" t="inlineStr">
        <is>
          <t>S015</t>
        </is>
      </c>
      <c r="B2146" s="3" t="n">
        <v>46272</v>
      </c>
      <c r="C2146" t="n">
        <v>8</v>
      </c>
      <c r="D2146" t="inlineStr">
        <is>
          <t>Monday</t>
        </is>
      </c>
      <c r="E2146" t="n">
        <v>20</v>
      </c>
      <c r="F2146" t="b">
        <v>0</v>
      </c>
      <c r="H2146" t="b">
        <v>0</v>
      </c>
    </row>
    <row r="2147">
      <c r="A2147" t="inlineStr">
        <is>
          <t>S015</t>
        </is>
      </c>
      <c r="B2147" s="3" t="n">
        <v>46272</v>
      </c>
      <c r="C2147" t="n">
        <v>9</v>
      </c>
      <c r="D2147" t="inlineStr">
        <is>
          <t>Monday</t>
        </is>
      </c>
      <c r="E2147" t="n">
        <v>10</v>
      </c>
      <c r="F2147" t="b">
        <v>0</v>
      </c>
      <c r="H2147" t="b">
        <v>0</v>
      </c>
    </row>
    <row r="2148">
      <c r="A2148" t="inlineStr">
        <is>
          <t>S015</t>
        </is>
      </c>
      <c r="B2148" s="3" t="n">
        <v>46272</v>
      </c>
      <c r="C2148" t="n">
        <v>10</v>
      </c>
      <c r="D2148" t="inlineStr">
        <is>
          <t>Monday</t>
        </is>
      </c>
      <c r="E2148" t="n">
        <v>21</v>
      </c>
      <c r="F2148" t="b">
        <v>0</v>
      </c>
      <c r="H2148" t="b">
        <v>0</v>
      </c>
    </row>
    <row r="2149">
      <c r="A2149" t="inlineStr">
        <is>
          <t>S015</t>
        </is>
      </c>
      <c r="B2149" s="3" t="n">
        <v>46272</v>
      </c>
      <c r="C2149" t="n">
        <v>11</v>
      </c>
      <c r="D2149" t="inlineStr">
        <is>
          <t>Monday</t>
        </is>
      </c>
      <c r="E2149" t="n">
        <v>23</v>
      </c>
      <c r="F2149" t="b">
        <v>0</v>
      </c>
      <c r="H2149" t="b">
        <v>0</v>
      </c>
    </row>
    <row r="2150">
      <c r="A2150" t="inlineStr">
        <is>
          <t>S015</t>
        </is>
      </c>
      <c r="B2150" s="3" t="n">
        <v>46272</v>
      </c>
      <c r="C2150" t="n">
        <v>12</v>
      </c>
      <c r="D2150" t="inlineStr">
        <is>
          <t>Monday</t>
        </is>
      </c>
      <c r="E2150" t="n">
        <v>22</v>
      </c>
      <c r="F2150" t="b">
        <v>0</v>
      </c>
      <c r="H2150" t="b">
        <v>0</v>
      </c>
    </row>
    <row r="2151">
      <c r="A2151" t="inlineStr">
        <is>
          <t>S015</t>
        </is>
      </c>
      <c r="B2151" s="3" t="n">
        <v>46272</v>
      </c>
      <c r="C2151" t="n">
        <v>13</v>
      </c>
      <c r="D2151" t="inlineStr">
        <is>
          <t>Monday</t>
        </is>
      </c>
      <c r="E2151" t="n">
        <v>25</v>
      </c>
      <c r="F2151" t="b">
        <v>0</v>
      </c>
      <c r="G2151" t="inlineStr">
        <is>
          <t>Light</t>
        </is>
      </c>
      <c r="H2151" t="b">
        <v>0</v>
      </c>
    </row>
    <row r="2152">
      <c r="A2152" t="inlineStr">
        <is>
          <t>S015</t>
        </is>
      </c>
      <c r="B2152" s="3" t="n">
        <v>46272</v>
      </c>
      <c r="C2152" t="n">
        <v>14</v>
      </c>
      <c r="D2152" t="inlineStr">
        <is>
          <t>Monday</t>
        </is>
      </c>
      <c r="E2152" t="n">
        <v>16</v>
      </c>
      <c r="F2152" t="b">
        <v>0</v>
      </c>
      <c r="H2152" t="b">
        <v>1</v>
      </c>
    </row>
    <row r="2153">
      <c r="A2153" t="inlineStr">
        <is>
          <t>S015</t>
        </is>
      </c>
      <c r="B2153" s="3" t="n">
        <v>46272</v>
      </c>
      <c r="C2153" t="n">
        <v>15</v>
      </c>
      <c r="D2153" t="inlineStr">
        <is>
          <t>Monday</t>
        </is>
      </c>
      <c r="E2153" t="n">
        <v>15</v>
      </c>
      <c r="F2153" t="b">
        <v>0</v>
      </c>
      <c r="G2153" t="inlineStr">
        <is>
          <t>Light</t>
        </is>
      </c>
      <c r="H2153" t="b">
        <v>0</v>
      </c>
    </row>
    <row r="2154">
      <c r="A2154" t="inlineStr">
        <is>
          <t>S015</t>
        </is>
      </c>
      <c r="B2154" s="3" t="n">
        <v>46272</v>
      </c>
      <c r="C2154" t="n">
        <v>16</v>
      </c>
      <c r="D2154" t="inlineStr">
        <is>
          <t>Monday</t>
        </is>
      </c>
      <c r="E2154" t="n">
        <v>21</v>
      </c>
      <c r="F2154" t="b">
        <v>0</v>
      </c>
      <c r="H2154" t="b">
        <v>0</v>
      </c>
    </row>
    <row r="2155">
      <c r="A2155" t="inlineStr">
        <is>
          <t>S015</t>
        </is>
      </c>
      <c r="B2155" s="3" t="n">
        <v>46272</v>
      </c>
      <c r="C2155" t="n">
        <v>17</v>
      </c>
      <c r="D2155" t="inlineStr">
        <is>
          <t>Monday</t>
        </is>
      </c>
      <c r="E2155" t="n">
        <v>28</v>
      </c>
      <c r="F2155" t="b">
        <v>0</v>
      </c>
      <c r="H2155" t="b">
        <v>0</v>
      </c>
    </row>
    <row r="2156">
      <c r="A2156" t="inlineStr">
        <is>
          <t>S015</t>
        </is>
      </c>
      <c r="B2156" s="3" t="n">
        <v>46272</v>
      </c>
      <c r="C2156" t="n">
        <v>18</v>
      </c>
      <c r="D2156" t="inlineStr">
        <is>
          <t>Monday</t>
        </is>
      </c>
      <c r="E2156" t="n">
        <v>19</v>
      </c>
      <c r="F2156" t="b">
        <v>0</v>
      </c>
      <c r="G2156" t="inlineStr">
        <is>
          <t>Light</t>
        </is>
      </c>
      <c r="H2156" t="b">
        <v>0</v>
      </c>
    </row>
    <row r="2157">
      <c r="A2157" t="inlineStr">
        <is>
          <t>S015</t>
        </is>
      </c>
      <c r="B2157" s="3" t="n">
        <v>46272</v>
      </c>
      <c r="C2157" t="n">
        <v>19</v>
      </c>
      <c r="D2157" t="inlineStr">
        <is>
          <t>Monday</t>
        </is>
      </c>
      <c r="E2157" t="n">
        <v>29</v>
      </c>
      <c r="F2157" t="b">
        <v>1</v>
      </c>
      <c r="H2157" t="b">
        <v>0</v>
      </c>
    </row>
    <row r="2158">
      <c r="A2158" t="inlineStr">
        <is>
          <t>S015</t>
        </is>
      </c>
      <c r="B2158" s="3" t="n">
        <v>46272</v>
      </c>
      <c r="C2158" t="n">
        <v>20</v>
      </c>
      <c r="D2158" t="inlineStr">
        <is>
          <t>Monday</t>
        </is>
      </c>
      <c r="E2158" t="n">
        <v>29</v>
      </c>
      <c r="F2158" t="b">
        <v>1</v>
      </c>
      <c r="H2158" t="b">
        <v>0</v>
      </c>
    </row>
    <row r="2159">
      <c r="A2159" t="inlineStr">
        <is>
          <t>S015</t>
        </is>
      </c>
      <c r="B2159" s="3" t="n">
        <v>46272</v>
      </c>
      <c r="C2159" t="n">
        <v>21</v>
      </c>
      <c r="D2159" t="inlineStr">
        <is>
          <t>Monday</t>
        </is>
      </c>
      <c r="E2159" t="n">
        <v>30</v>
      </c>
      <c r="F2159" t="b">
        <v>1</v>
      </c>
      <c r="H2159" t="b">
        <v>0</v>
      </c>
    </row>
    <row r="2160">
      <c r="A2160" t="inlineStr">
        <is>
          <t>S015</t>
        </is>
      </c>
      <c r="B2160" s="3" t="n">
        <v>46272</v>
      </c>
      <c r="C2160" t="n">
        <v>22</v>
      </c>
      <c r="D2160" t="inlineStr">
        <is>
          <t>Monday</t>
        </is>
      </c>
      <c r="E2160" t="n">
        <v>16</v>
      </c>
      <c r="F2160" t="b">
        <v>0</v>
      </c>
      <c r="H2160" t="b">
        <v>0</v>
      </c>
    </row>
    <row r="2161">
      <c r="A2161" t="inlineStr">
        <is>
          <t>S015</t>
        </is>
      </c>
      <c r="B2161" s="3" t="n">
        <v>46272</v>
      </c>
      <c r="C2161" t="n">
        <v>23</v>
      </c>
      <c r="D2161" t="inlineStr">
        <is>
          <t>Monday</t>
        </is>
      </c>
      <c r="E2161" t="n">
        <v>18</v>
      </c>
      <c r="F2161" t="b">
        <v>0</v>
      </c>
      <c r="H2161" t="b">
        <v>0</v>
      </c>
    </row>
    <row r="2162">
      <c r="A2162" t="inlineStr">
        <is>
          <t>S016</t>
        </is>
      </c>
      <c r="B2162" s="3" t="n">
        <v>46272</v>
      </c>
      <c r="C2162" t="n">
        <v>8</v>
      </c>
      <c r="D2162" t="inlineStr">
        <is>
          <t>Monday</t>
        </is>
      </c>
      <c r="E2162" t="n">
        <v>22</v>
      </c>
      <c r="F2162" t="b">
        <v>0</v>
      </c>
      <c r="H2162" t="b">
        <v>0</v>
      </c>
    </row>
    <row r="2163">
      <c r="A2163" t="inlineStr">
        <is>
          <t>S016</t>
        </is>
      </c>
      <c r="B2163" s="3" t="n">
        <v>46272</v>
      </c>
      <c r="C2163" t="n">
        <v>9</v>
      </c>
      <c r="D2163" t="inlineStr">
        <is>
          <t>Monday</t>
        </is>
      </c>
      <c r="E2163" t="n">
        <v>18</v>
      </c>
      <c r="F2163" t="b">
        <v>0</v>
      </c>
      <c r="H2163" t="b">
        <v>0</v>
      </c>
    </row>
    <row r="2164">
      <c r="A2164" t="inlineStr">
        <is>
          <t>S016</t>
        </is>
      </c>
      <c r="B2164" s="3" t="n">
        <v>46272</v>
      </c>
      <c r="C2164" t="n">
        <v>10</v>
      </c>
      <c r="D2164" t="inlineStr">
        <is>
          <t>Monday</t>
        </is>
      </c>
      <c r="E2164" t="n">
        <v>18</v>
      </c>
      <c r="F2164" t="b">
        <v>0</v>
      </c>
      <c r="G2164" t="inlineStr">
        <is>
          <t>Heavy</t>
        </is>
      </c>
      <c r="H2164" t="b">
        <v>0</v>
      </c>
    </row>
    <row r="2165">
      <c r="A2165" t="inlineStr">
        <is>
          <t>S016</t>
        </is>
      </c>
      <c r="B2165" s="3" t="n">
        <v>46272</v>
      </c>
      <c r="C2165" t="n">
        <v>11</v>
      </c>
      <c r="D2165" t="inlineStr">
        <is>
          <t>Monday</t>
        </is>
      </c>
      <c r="E2165" t="n">
        <v>33</v>
      </c>
      <c r="F2165" t="b">
        <v>0</v>
      </c>
      <c r="H2165" t="b">
        <v>0</v>
      </c>
    </row>
    <row r="2166">
      <c r="A2166" t="inlineStr">
        <is>
          <t>S016</t>
        </is>
      </c>
      <c r="B2166" s="3" t="n">
        <v>46272</v>
      </c>
      <c r="C2166" t="n">
        <v>12</v>
      </c>
      <c r="D2166" t="inlineStr">
        <is>
          <t>Monday</t>
        </is>
      </c>
      <c r="E2166" t="n">
        <v>28</v>
      </c>
      <c r="F2166" t="b">
        <v>0</v>
      </c>
      <c r="H2166" t="b">
        <v>0</v>
      </c>
    </row>
    <row r="2167">
      <c r="A2167" t="inlineStr">
        <is>
          <t>S016</t>
        </is>
      </c>
      <c r="B2167" s="3" t="n">
        <v>46272</v>
      </c>
      <c r="C2167" t="n">
        <v>13</v>
      </c>
      <c r="D2167" t="inlineStr">
        <is>
          <t>Monday</t>
        </is>
      </c>
      <c r="E2167" t="n">
        <v>14</v>
      </c>
      <c r="F2167" t="b">
        <v>0</v>
      </c>
      <c r="H2167" t="b">
        <v>0</v>
      </c>
    </row>
    <row r="2168">
      <c r="A2168" t="inlineStr">
        <is>
          <t>S016</t>
        </is>
      </c>
      <c r="B2168" s="3" t="n">
        <v>46272</v>
      </c>
      <c r="C2168" t="n">
        <v>14</v>
      </c>
      <c r="D2168" t="inlineStr">
        <is>
          <t>Monday</t>
        </is>
      </c>
      <c r="E2168" t="n">
        <v>15</v>
      </c>
      <c r="F2168" t="b">
        <v>0</v>
      </c>
      <c r="G2168" t="inlineStr">
        <is>
          <t>Light</t>
        </is>
      </c>
      <c r="H2168" t="b">
        <v>0</v>
      </c>
    </row>
    <row r="2169">
      <c r="A2169" t="inlineStr">
        <is>
          <t>S016</t>
        </is>
      </c>
      <c r="B2169" s="3" t="n">
        <v>46272</v>
      </c>
      <c r="C2169" t="n">
        <v>15</v>
      </c>
      <c r="D2169" t="inlineStr">
        <is>
          <t>Monday</t>
        </is>
      </c>
      <c r="E2169" t="n">
        <v>30</v>
      </c>
      <c r="F2169" t="b">
        <v>0</v>
      </c>
      <c r="H2169" t="b">
        <v>0</v>
      </c>
    </row>
    <row r="2170">
      <c r="A2170" t="inlineStr">
        <is>
          <t>S016</t>
        </is>
      </c>
      <c r="B2170" s="3" t="n">
        <v>46272</v>
      </c>
      <c r="C2170" t="n">
        <v>16</v>
      </c>
      <c r="D2170" t="inlineStr">
        <is>
          <t>Monday</t>
        </is>
      </c>
      <c r="E2170" t="n">
        <v>23</v>
      </c>
      <c r="F2170" t="b">
        <v>0</v>
      </c>
      <c r="H2170" t="b">
        <v>0</v>
      </c>
    </row>
    <row r="2171">
      <c r="A2171" t="inlineStr">
        <is>
          <t>S016</t>
        </is>
      </c>
      <c r="B2171" s="3" t="n">
        <v>46272</v>
      </c>
      <c r="C2171" t="n">
        <v>17</v>
      </c>
      <c r="D2171" t="inlineStr">
        <is>
          <t>Monday</t>
        </is>
      </c>
      <c r="E2171" t="n">
        <v>19</v>
      </c>
      <c r="F2171" t="b">
        <v>0</v>
      </c>
      <c r="G2171" t="inlineStr">
        <is>
          <t>Light</t>
        </is>
      </c>
      <c r="H2171" t="b">
        <v>0</v>
      </c>
    </row>
    <row r="2172">
      <c r="A2172" t="inlineStr">
        <is>
          <t>S016</t>
        </is>
      </c>
      <c r="B2172" s="3" t="n">
        <v>46272</v>
      </c>
      <c r="C2172" t="n">
        <v>18</v>
      </c>
      <c r="D2172" t="inlineStr">
        <is>
          <t>Monday</t>
        </is>
      </c>
      <c r="E2172" t="n">
        <v>21</v>
      </c>
      <c r="F2172" t="b">
        <v>0</v>
      </c>
      <c r="G2172" t="inlineStr">
        <is>
          <t>Heavy</t>
        </is>
      </c>
      <c r="H2172" t="b">
        <v>0</v>
      </c>
    </row>
    <row r="2173">
      <c r="A2173" t="inlineStr">
        <is>
          <t>S016</t>
        </is>
      </c>
      <c r="B2173" s="3" t="n">
        <v>46272</v>
      </c>
      <c r="C2173" t="n">
        <v>19</v>
      </c>
      <c r="D2173" t="inlineStr">
        <is>
          <t>Monday</t>
        </is>
      </c>
      <c r="E2173" t="n">
        <v>29</v>
      </c>
      <c r="F2173" t="b">
        <v>1</v>
      </c>
      <c r="H2173" t="b">
        <v>0</v>
      </c>
    </row>
    <row r="2174">
      <c r="A2174" t="inlineStr">
        <is>
          <t>S016</t>
        </is>
      </c>
      <c r="B2174" s="3" t="n">
        <v>46272</v>
      </c>
      <c r="C2174" t="n">
        <v>20</v>
      </c>
      <c r="D2174" t="inlineStr">
        <is>
          <t>Monday</t>
        </is>
      </c>
      <c r="E2174" t="n">
        <v>24</v>
      </c>
      <c r="F2174" t="b">
        <v>1</v>
      </c>
      <c r="H2174" t="b">
        <v>0</v>
      </c>
    </row>
    <row r="2175">
      <c r="A2175" t="inlineStr">
        <is>
          <t>S016</t>
        </is>
      </c>
      <c r="B2175" s="3" t="n">
        <v>46272</v>
      </c>
      <c r="C2175" t="n">
        <v>21</v>
      </c>
      <c r="D2175" t="inlineStr">
        <is>
          <t>Monday</t>
        </is>
      </c>
      <c r="E2175" t="n">
        <v>23</v>
      </c>
      <c r="F2175" t="b">
        <v>1</v>
      </c>
      <c r="H2175" t="b">
        <v>0</v>
      </c>
    </row>
    <row r="2176">
      <c r="A2176" t="inlineStr">
        <is>
          <t>S016</t>
        </is>
      </c>
      <c r="B2176" s="3" t="n">
        <v>46272</v>
      </c>
      <c r="C2176" t="n">
        <v>22</v>
      </c>
      <c r="D2176" t="inlineStr">
        <is>
          <t>Monday</t>
        </is>
      </c>
      <c r="E2176" t="n">
        <v>27</v>
      </c>
      <c r="F2176" t="b">
        <v>0</v>
      </c>
      <c r="G2176" t="inlineStr">
        <is>
          <t>Light</t>
        </is>
      </c>
      <c r="H2176" t="b">
        <v>0</v>
      </c>
    </row>
    <row r="2177">
      <c r="A2177" t="inlineStr">
        <is>
          <t>S016</t>
        </is>
      </c>
      <c r="B2177" s="3" t="n">
        <v>46272</v>
      </c>
      <c r="C2177" t="n">
        <v>23</v>
      </c>
      <c r="D2177" t="inlineStr">
        <is>
          <t>Monday</t>
        </is>
      </c>
      <c r="E2177" t="n">
        <v>17</v>
      </c>
      <c r="F2177" t="b">
        <v>0</v>
      </c>
      <c r="H2177" t="b">
        <v>0</v>
      </c>
    </row>
    <row r="2178">
      <c r="A2178" t="inlineStr">
        <is>
          <t>S017</t>
        </is>
      </c>
      <c r="B2178" s="3" t="n">
        <v>46272</v>
      </c>
      <c r="C2178" t="n">
        <v>8</v>
      </c>
      <c r="D2178" t="inlineStr">
        <is>
          <t>Monday</t>
        </is>
      </c>
      <c r="E2178" t="n">
        <v>26</v>
      </c>
      <c r="F2178" t="b">
        <v>0</v>
      </c>
      <c r="H2178" t="b">
        <v>0</v>
      </c>
    </row>
    <row r="2179">
      <c r="A2179" t="inlineStr">
        <is>
          <t>S017</t>
        </is>
      </c>
      <c r="B2179" s="3" t="n">
        <v>46272</v>
      </c>
      <c r="C2179" t="n">
        <v>9</v>
      </c>
      <c r="D2179" t="inlineStr">
        <is>
          <t>Monday</t>
        </is>
      </c>
      <c r="E2179" t="n">
        <v>35</v>
      </c>
      <c r="F2179" t="b">
        <v>0</v>
      </c>
      <c r="H2179" t="b">
        <v>0</v>
      </c>
    </row>
    <row r="2180">
      <c r="A2180" t="inlineStr">
        <is>
          <t>S017</t>
        </is>
      </c>
      <c r="B2180" s="3" t="n">
        <v>46272</v>
      </c>
      <c r="C2180" t="n">
        <v>10</v>
      </c>
      <c r="D2180" t="inlineStr">
        <is>
          <t>Monday</t>
        </is>
      </c>
      <c r="E2180" t="n">
        <v>25</v>
      </c>
      <c r="F2180" t="b">
        <v>0</v>
      </c>
      <c r="H2180" t="b">
        <v>0</v>
      </c>
    </row>
    <row r="2181">
      <c r="A2181" t="inlineStr">
        <is>
          <t>S017</t>
        </is>
      </c>
      <c r="B2181" s="3" t="n">
        <v>46272</v>
      </c>
      <c r="C2181" t="n">
        <v>11</v>
      </c>
      <c r="D2181" t="inlineStr">
        <is>
          <t>Monday</t>
        </is>
      </c>
      <c r="E2181" t="n">
        <v>38</v>
      </c>
      <c r="F2181" t="b">
        <v>0</v>
      </c>
      <c r="H2181" t="b">
        <v>0</v>
      </c>
    </row>
    <row r="2182">
      <c r="A2182" t="inlineStr">
        <is>
          <t>S017</t>
        </is>
      </c>
      <c r="B2182" s="3" t="n">
        <v>46272</v>
      </c>
      <c r="C2182" t="n">
        <v>12</v>
      </c>
      <c r="D2182" t="inlineStr">
        <is>
          <t>Monday</t>
        </is>
      </c>
      <c r="E2182" t="n">
        <v>39</v>
      </c>
      <c r="F2182" t="b">
        <v>0</v>
      </c>
      <c r="G2182" t="inlineStr">
        <is>
          <t>Light</t>
        </is>
      </c>
      <c r="H2182" t="b">
        <v>0</v>
      </c>
    </row>
    <row r="2183">
      <c r="A2183" t="inlineStr">
        <is>
          <t>S017</t>
        </is>
      </c>
      <c r="B2183" s="3" t="n">
        <v>46272</v>
      </c>
      <c r="C2183" t="n">
        <v>13</v>
      </c>
      <c r="D2183" t="inlineStr">
        <is>
          <t>Monday</t>
        </is>
      </c>
      <c r="E2183" t="n">
        <v>40</v>
      </c>
      <c r="F2183" t="b">
        <v>0</v>
      </c>
      <c r="H2183" t="b">
        <v>0</v>
      </c>
    </row>
    <row r="2184">
      <c r="A2184" t="inlineStr">
        <is>
          <t>S017</t>
        </is>
      </c>
      <c r="B2184" s="3" t="n">
        <v>46272</v>
      </c>
      <c r="C2184" t="n">
        <v>14</v>
      </c>
      <c r="D2184" t="inlineStr">
        <is>
          <t>Monday</t>
        </is>
      </c>
      <c r="E2184" t="n">
        <v>31</v>
      </c>
      <c r="F2184" t="b">
        <v>0</v>
      </c>
      <c r="H2184" t="b">
        <v>0</v>
      </c>
    </row>
    <row r="2185">
      <c r="A2185" t="inlineStr">
        <is>
          <t>S017</t>
        </is>
      </c>
      <c r="B2185" s="3" t="n">
        <v>46272</v>
      </c>
      <c r="C2185" t="n">
        <v>15</v>
      </c>
      <c r="D2185" t="inlineStr">
        <is>
          <t>Monday</t>
        </is>
      </c>
      <c r="E2185" t="n">
        <v>22</v>
      </c>
      <c r="F2185" t="b">
        <v>0</v>
      </c>
      <c r="H2185" t="b">
        <v>0</v>
      </c>
    </row>
    <row r="2186">
      <c r="A2186" t="inlineStr">
        <is>
          <t>S017</t>
        </is>
      </c>
      <c r="B2186" s="3" t="n">
        <v>46272</v>
      </c>
      <c r="C2186" t="n">
        <v>16</v>
      </c>
      <c r="D2186" t="inlineStr">
        <is>
          <t>Monday</t>
        </is>
      </c>
      <c r="E2186" t="n">
        <v>37</v>
      </c>
      <c r="F2186" t="b">
        <v>0</v>
      </c>
      <c r="H2186" t="b">
        <v>0</v>
      </c>
    </row>
    <row r="2187">
      <c r="A2187" t="inlineStr">
        <is>
          <t>S017</t>
        </is>
      </c>
      <c r="B2187" s="3" t="n">
        <v>46272</v>
      </c>
      <c r="C2187" t="n">
        <v>17</v>
      </c>
      <c r="D2187" t="inlineStr">
        <is>
          <t>Monday</t>
        </is>
      </c>
      <c r="E2187" t="n">
        <v>31</v>
      </c>
      <c r="F2187" t="b">
        <v>0</v>
      </c>
      <c r="H2187" t="b">
        <v>0</v>
      </c>
    </row>
    <row r="2188">
      <c r="A2188" t="inlineStr">
        <is>
          <t>S017</t>
        </is>
      </c>
      <c r="B2188" s="3" t="n">
        <v>46272</v>
      </c>
      <c r="C2188" t="n">
        <v>18</v>
      </c>
      <c r="D2188" t="inlineStr">
        <is>
          <t>Monday</t>
        </is>
      </c>
      <c r="E2188" t="n">
        <v>42</v>
      </c>
      <c r="F2188" t="b">
        <v>0</v>
      </c>
      <c r="H2188" t="b">
        <v>0</v>
      </c>
    </row>
    <row r="2189">
      <c r="A2189" t="inlineStr">
        <is>
          <t>S017</t>
        </is>
      </c>
      <c r="B2189" s="3" t="n">
        <v>46272</v>
      </c>
      <c r="C2189" t="n">
        <v>19</v>
      </c>
      <c r="D2189" t="inlineStr">
        <is>
          <t>Monday</t>
        </is>
      </c>
      <c r="E2189" t="n">
        <v>61</v>
      </c>
      <c r="F2189" t="b">
        <v>1</v>
      </c>
      <c r="H2189" t="b">
        <v>0</v>
      </c>
    </row>
    <row r="2190">
      <c r="A2190" t="inlineStr">
        <is>
          <t>S017</t>
        </is>
      </c>
      <c r="B2190" s="3" t="n">
        <v>46272</v>
      </c>
      <c r="C2190" t="n">
        <v>20</v>
      </c>
      <c r="D2190" t="inlineStr">
        <is>
          <t>Monday</t>
        </is>
      </c>
      <c r="E2190" t="n">
        <v>50</v>
      </c>
      <c r="F2190" t="b">
        <v>1</v>
      </c>
      <c r="H2190" t="b">
        <v>0</v>
      </c>
    </row>
    <row r="2191">
      <c r="A2191" t="inlineStr">
        <is>
          <t>S017</t>
        </is>
      </c>
      <c r="B2191" s="3" t="n">
        <v>46272</v>
      </c>
      <c r="C2191" t="n">
        <v>21</v>
      </c>
      <c r="D2191" t="inlineStr">
        <is>
          <t>Monday</t>
        </is>
      </c>
      <c r="E2191" t="n">
        <v>62</v>
      </c>
      <c r="F2191" t="b">
        <v>1</v>
      </c>
      <c r="H2191" t="b">
        <v>0</v>
      </c>
    </row>
    <row r="2192">
      <c r="A2192" t="inlineStr">
        <is>
          <t>S017</t>
        </is>
      </c>
      <c r="B2192" s="3" t="n">
        <v>46272</v>
      </c>
      <c r="C2192" t="n">
        <v>22</v>
      </c>
      <c r="D2192" t="inlineStr">
        <is>
          <t>Monday</t>
        </is>
      </c>
      <c r="E2192" t="n">
        <v>37</v>
      </c>
      <c r="F2192" t="b">
        <v>0</v>
      </c>
      <c r="H2192" t="b">
        <v>0</v>
      </c>
    </row>
    <row r="2193">
      <c r="A2193" t="inlineStr">
        <is>
          <t>S017</t>
        </is>
      </c>
      <c r="B2193" s="3" t="n">
        <v>46272</v>
      </c>
      <c r="C2193" t="n">
        <v>23</v>
      </c>
      <c r="D2193" t="inlineStr">
        <is>
          <t>Monday</t>
        </is>
      </c>
      <c r="E2193" t="n">
        <v>54</v>
      </c>
      <c r="F2193" t="b">
        <v>0</v>
      </c>
      <c r="H2193" t="b">
        <v>0</v>
      </c>
    </row>
    <row r="2194">
      <c r="A2194" t="inlineStr">
        <is>
          <t>S018</t>
        </is>
      </c>
      <c r="B2194" s="3" t="n">
        <v>46272</v>
      </c>
      <c r="C2194" t="n">
        <v>8</v>
      </c>
      <c r="D2194" t="inlineStr">
        <is>
          <t>Monday</t>
        </is>
      </c>
      <c r="E2194" t="n">
        <v>15</v>
      </c>
      <c r="F2194" t="b">
        <v>0</v>
      </c>
      <c r="G2194" t="inlineStr">
        <is>
          <t>Heavy</t>
        </is>
      </c>
      <c r="H2194" t="b">
        <v>0</v>
      </c>
    </row>
    <row r="2195">
      <c r="A2195" t="inlineStr">
        <is>
          <t>S018</t>
        </is>
      </c>
      <c r="B2195" s="3" t="n">
        <v>46272</v>
      </c>
      <c r="C2195" t="n">
        <v>9</v>
      </c>
      <c r="D2195" t="inlineStr">
        <is>
          <t>Monday</t>
        </is>
      </c>
      <c r="E2195" t="n">
        <v>15</v>
      </c>
      <c r="F2195" t="b">
        <v>0</v>
      </c>
      <c r="H2195" t="b">
        <v>0</v>
      </c>
    </row>
    <row r="2196">
      <c r="A2196" t="inlineStr">
        <is>
          <t>S018</t>
        </is>
      </c>
      <c r="B2196" s="3" t="n">
        <v>46272</v>
      </c>
      <c r="C2196" t="n">
        <v>10</v>
      </c>
      <c r="D2196" t="inlineStr">
        <is>
          <t>Monday</t>
        </is>
      </c>
      <c r="E2196" t="n">
        <v>16</v>
      </c>
      <c r="F2196" t="b">
        <v>0</v>
      </c>
      <c r="G2196" t="inlineStr">
        <is>
          <t>Light</t>
        </is>
      </c>
      <c r="H2196" t="b">
        <v>0</v>
      </c>
    </row>
    <row r="2197">
      <c r="A2197" t="inlineStr">
        <is>
          <t>S018</t>
        </is>
      </c>
      <c r="B2197" s="3" t="n">
        <v>46272</v>
      </c>
      <c r="C2197" t="n">
        <v>11</v>
      </c>
      <c r="D2197" t="inlineStr">
        <is>
          <t>Monday</t>
        </is>
      </c>
      <c r="E2197" t="n">
        <v>16</v>
      </c>
      <c r="F2197" t="b">
        <v>0</v>
      </c>
      <c r="H2197" t="b">
        <v>0</v>
      </c>
    </row>
    <row r="2198">
      <c r="A2198" t="inlineStr">
        <is>
          <t>S018</t>
        </is>
      </c>
      <c r="B2198" s="3" t="n">
        <v>46272</v>
      </c>
      <c r="C2198" t="n">
        <v>12</v>
      </c>
      <c r="D2198" t="inlineStr">
        <is>
          <t>Monday</t>
        </is>
      </c>
      <c r="E2198" t="n">
        <v>17</v>
      </c>
      <c r="F2198" t="b">
        <v>0</v>
      </c>
      <c r="H2198" t="b">
        <v>0</v>
      </c>
    </row>
    <row r="2199">
      <c r="A2199" t="inlineStr">
        <is>
          <t>S018</t>
        </is>
      </c>
      <c r="B2199" s="3" t="n">
        <v>46272</v>
      </c>
      <c r="C2199" t="n">
        <v>13</v>
      </c>
      <c r="D2199" t="inlineStr">
        <is>
          <t>Monday</t>
        </is>
      </c>
      <c r="E2199" t="n">
        <v>17</v>
      </c>
      <c r="F2199" t="b">
        <v>0</v>
      </c>
      <c r="G2199" t="inlineStr">
        <is>
          <t>Light</t>
        </is>
      </c>
      <c r="H2199" t="b">
        <v>0</v>
      </c>
    </row>
    <row r="2200">
      <c r="A2200" t="inlineStr">
        <is>
          <t>S018</t>
        </is>
      </c>
      <c r="B2200" s="3" t="n">
        <v>46272</v>
      </c>
      <c r="C2200" t="n">
        <v>14</v>
      </c>
      <c r="D2200" t="inlineStr">
        <is>
          <t>Monday</t>
        </is>
      </c>
      <c r="E2200" t="n">
        <v>13</v>
      </c>
      <c r="F2200" t="b">
        <v>0</v>
      </c>
      <c r="H2200" t="b">
        <v>0</v>
      </c>
    </row>
    <row r="2201">
      <c r="A2201" t="inlineStr">
        <is>
          <t>S018</t>
        </is>
      </c>
      <c r="B2201" s="3" t="n">
        <v>46272</v>
      </c>
      <c r="C2201" t="n">
        <v>15</v>
      </c>
      <c r="D2201" t="inlineStr">
        <is>
          <t>Monday</t>
        </is>
      </c>
      <c r="E2201" t="n">
        <v>9</v>
      </c>
      <c r="F2201" t="b">
        <v>0</v>
      </c>
      <c r="H2201" t="b">
        <v>0</v>
      </c>
    </row>
    <row r="2202">
      <c r="A2202" t="inlineStr">
        <is>
          <t>S018</t>
        </is>
      </c>
      <c r="B2202" s="3" t="n">
        <v>46272</v>
      </c>
      <c r="C2202" t="n">
        <v>16</v>
      </c>
      <c r="D2202" t="inlineStr">
        <is>
          <t>Monday</t>
        </is>
      </c>
      <c r="E2202" t="n">
        <v>22</v>
      </c>
      <c r="F2202" t="b">
        <v>0</v>
      </c>
      <c r="H2202" t="b">
        <v>0</v>
      </c>
    </row>
    <row r="2203">
      <c r="A2203" t="inlineStr">
        <is>
          <t>S018</t>
        </is>
      </c>
      <c r="B2203" s="3" t="n">
        <v>46272</v>
      </c>
      <c r="C2203" t="n">
        <v>17</v>
      </c>
      <c r="D2203" t="inlineStr">
        <is>
          <t>Monday</t>
        </is>
      </c>
      <c r="E2203" t="n">
        <v>20</v>
      </c>
      <c r="F2203" t="b">
        <v>0</v>
      </c>
      <c r="G2203" t="inlineStr">
        <is>
          <t>Light</t>
        </is>
      </c>
      <c r="H2203" t="b">
        <v>0</v>
      </c>
    </row>
    <row r="2204">
      <c r="A2204" t="inlineStr">
        <is>
          <t>S018</t>
        </is>
      </c>
      <c r="B2204" s="3" t="n">
        <v>46272</v>
      </c>
      <c r="C2204" t="n">
        <v>18</v>
      </c>
      <c r="D2204" t="inlineStr">
        <is>
          <t>Monday</t>
        </is>
      </c>
      <c r="E2204" t="n">
        <v>25</v>
      </c>
      <c r="F2204" t="b">
        <v>0</v>
      </c>
      <c r="G2204" t="inlineStr">
        <is>
          <t>Light</t>
        </is>
      </c>
      <c r="H2204" t="b">
        <v>0</v>
      </c>
    </row>
    <row r="2205">
      <c r="A2205" t="inlineStr">
        <is>
          <t>S018</t>
        </is>
      </c>
      <c r="B2205" s="3" t="n">
        <v>46272</v>
      </c>
      <c r="C2205" t="n">
        <v>19</v>
      </c>
      <c r="D2205" t="inlineStr">
        <is>
          <t>Monday</t>
        </is>
      </c>
      <c r="E2205" t="n">
        <v>30</v>
      </c>
      <c r="F2205" t="b">
        <v>1</v>
      </c>
      <c r="G2205" t="inlineStr">
        <is>
          <t>Light</t>
        </is>
      </c>
      <c r="H2205" t="b">
        <v>0</v>
      </c>
    </row>
    <row r="2206">
      <c r="A2206" t="inlineStr">
        <is>
          <t>S018</t>
        </is>
      </c>
      <c r="B2206" s="3" t="n">
        <v>46272</v>
      </c>
      <c r="C2206" t="n">
        <v>20</v>
      </c>
      <c r="D2206" t="inlineStr">
        <is>
          <t>Monday</t>
        </is>
      </c>
      <c r="E2206" t="n">
        <v>21</v>
      </c>
      <c r="F2206" t="b">
        <v>1</v>
      </c>
      <c r="H2206" t="b">
        <v>0</v>
      </c>
    </row>
    <row r="2207">
      <c r="A2207" t="inlineStr">
        <is>
          <t>S018</t>
        </is>
      </c>
      <c r="B2207" s="3" t="n">
        <v>46272</v>
      </c>
      <c r="C2207" t="n">
        <v>21</v>
      </c>
      <c r="D2207" t="inlineStr">
        <is>
          <t>Monday</t>
        </is>
      </c>
      <c r="E2207" t="n">
        <v>43</v>
      </c>
      <c r="F2207" t="b">
        <v>1</v>
      </c>
      <c r="H2207" t="b">
        <v>0</v>
      </c>
    </row>
    <row r="2208">
      <c r="A2208" t="inlineStr">
        <is>
          <t>S018</t>
        </is>
      </c>
      <c r="B2208" s="3" t="n">
        <v>46272</v>
      </c>
      <c r="C2208" t="n">
        <v>22</v>
      </c>
      <c r="D2208" t="inlineStr">
        <is>
          <t>Monday</t>
        </is>
      </c>
      <c r="E2208" t="n">
        <v>21</v>
      </c>
      <c r="F2208" t="b">
        <v>0</v>
      </c>
      <c r="G2208" t="inlineStr">
        <is>
          <t>Heavy</t>
        </is>
      </c>
      <c r="H2208" t="b">
        <v>0</v>
      </c>
    </row>
    <row r="2209">
      <c r="A2209" t="inlineStr">
        <is>
          <t>S018</t>
        </is>
      </c>
      <c r="B2209" s="3" t="n">
        <v>46272</v>
      </c>
      <c r="C2209" t="n">
        <v>23</v>
      </c>
      <c r="D2209" t="inlineStr">
        <is>
          <t>Monday</t>
        </is>
      </c>
      <c r="E2209" t="n">
        <v>22</v>
      </c>
      <c r="F2209" t="b">
        <v>0</v>
      </c>
      <c r="H2209" t="b">
        <v>0</v>
      </c>
    </row>
    <row r="2210">
      <c r="A2210" t="inlineStr">
        <is>
          <t>S019</t>
        </is>
      </c>
      <c r="B2210" s="3" t="n">
        <v>46272</v>
      </c>
      <c r="C2210" t="n">
        <v>8</v>
      </c>
      <c r="D2210" t="inlineStr">
        <is>
          <t>Monday</t>
        </is>
      </c>
      <c r="E2210" t="n">
        <v>14</v>
      </c>
      <c r="F2210" t="b">
        <v>0</v>
      </c>
      <c r="H2210" t="b">
        <v>0</v>
      </c>
    </row>
    <row r="2211">
      <c r="A2211" t="inlineStr">
        <is>
          <t>S019</t>
        </is>
      </c>
      <c r="B2211" s="3" t="n">
        <v>46272</v>
      </c>
      <c r="C2211" t="n">
        <v>9</v>
      </c>
      <c r="D2211" t="inlineStr">
        <is>
          <t>Monday</t>
        </is>
      </c>
      <c r="E2211" t="n">
        <v>20</v>
      </c>
      <c r="F2211" t="b">
        <v>0</v>
      </c>
      <c r="G2211" t="inlineStr">
        <is>
          <t>Heavy</t>
        </is>
      </c>
      <c r="H2211" t="b">
        <v>0</v>
      </c>
    </row>
    <row r="2212">
      <c r="A2212" t="inlineStr">
        <is>
          <t>S019</t>
        </is>
      </c>
      <c r="B2212" s="3" t="n">
        <v>46272</v>
      </c>
      <c r="C2212" t="n">
        <v>10</v>
      </c>
      <c r="D2212" t="inlineStr">
        <is>
          <t>Monday</t>
        </is>
      </c>
      <c r="E2212" t="n">
        <v>14</v>
      </c>
      <c r="F2212" t="b">
        <v>0</v>
      </c>
      <c r="H2212" t="b">
        <v>0</v>
      </c>
    </row>
    <row r="2213">
      <c r="A2213" t="inlineStr">
        <is>
          <t>S019</t>
        </is>
      </c>
      <c r="B2213" s="3" t="n">
        <v>46272</v>
      </c>
      <c r="C2213" t="n">
        <v>11</v>
      </c>
      <c r="D2213" t="inlineStr">
        <is>
          <t>Monday</t>
        </is>
      </c>
      <c r="E2213" t="n">
        <v>20</v>
      </c>
      <c r="F2213" t="b">
        <v>0</v>
      </c>
      <c r="G2213" t="inlineStr">
        <is>
          <t>Heavy</t>
        </is>
      </c>
      <c r="H2213" t="b">
        <v>0</v>
      </c>
    </row>
    <row r="2214">
      <c r="A2214" t="inlineStr">
        <is>
          <t>S019</t>
        </is>
      </c>
      <c r="B2214" s="3" t="n">
        <v>46272</v>
      </c>
      <c r="C2214" t="n">
        <v>12</v>
      </c>
      <c r="D2214" t="inlineStr">
        <is>
          <t>Monday</t>
        </is>
      </c>
      <c r="E2214" t="n">
        <v>24</v>
      </c>
      <c r="F2214" t="b">
        <v>0</v>
      </c>
      <c r="G2214" t="inlineStr">
        <is>
          <t>Light</t>
        </is>
      </c>
      <c r="H2214" t="b">
        <v>0</v>
      </c>
    </row>
    <row r="2215">
      <c r="A2215" t="inlineStr">
        <is>
          <t>S019</t>
        </is>
      </c>
      <c r="B2215" s="3" t="n">
        <v>46272</v>
      </c>
      <c r="C2215" t="n">
        <v>13</v>
      </c>
      <c r="D2215" t="inlineStr">
        <is>
          <t>Monday</t>
        </is>
      </c>
      <c r="E2215" t="n">
        <v>28</v>
      </c>
      <c r="F2215" t="b">
        <v>0</v>
      </c>
      <c r="H2215" t="b">
        <v>0</v>
      </c>
    </row>
    <row r="2216">
      <c r="A2216" t="inlineStr">
        <is>
          <t>S019</t>
        </is>
      </c>
      <c r="B2216" s="3" t="n">
        <v>46272</v>
      </c>
      <c r="C2216" t="n">
        <v>14</v>
      </c>
      <c r="D2216" t="inlineStr">
        <is>
          <t>Monday</t>
        </is>
      </c>
      <c r="E2216" t="n">
        <v>16</v>
      </c>
      <c r="F2216" t="b">
        <v>0</v>
      </c>
      <c r="H2216" t="b">
        <v>0</v>
      </c>
    </row>
    <row r="2217">
      <c r="A2217" t="inlineStr">
        <is>
          <t>S019</t>
        </is>
      </c>
      <c r="B2217" s="3" t="n">
        <v>46272</v>
      </c>
      <c r="C2217" t="n">
        <v>15</v>
      </c>
      <c r="D2217" t="inlineStr">
        <is>
          <t>Monday</t>
        </is>
      </c>
      <c r="E2217" t="n">
        <v>16</v>
      </c>
      <c r="F2217" t="b">
        <v>0</v>
      </c>
      <c r="G2217" t="inlineStr">
        <is>
          <t>Heavy</t>
        </is>
      </c>
      <c r="H2217" t="b">
        <v>0</v>
      </c>
    </row>
    <row r="2218">
      <c r="A2218" t="inlineStr">
        <is>
          <t>S019</t>
        </is>
      </c>
      <c r="B2218" s="3" t="n">
        <v>46272</v>
      </c>
      <c r="C2218" t="n">
        <v>16</v>
      </c>
      <c r="D2218" t="inlineStr">
        <is>
          <t>Monday</t>
        </is>
      </c>
      <c r="E2218" t="n">
        <v>31</v>
      </c>
      <c r="F2218" t="b">
        <v>0</v>
      </c>
      <c r="H2218" t="b">
        <v>0</v>
      </c>
    </row>
    <row r="2219">
      <c r="A2219" t="inlineStr">
        <is>
          <t>S019</t>
        </is>
      </c>
      <c r="B2219" s="3" t="n">
        <v>46272</v>
      </c>
      <c r="C2219" t="n">
        <v>17</v>
      </c>
      <c r="D2219" t="inlineStr">
        <is>
          <t>Monday</t>
        </is>
      </c>
      <c r="E2219" t="n">
        <v>24</v>
      </c>
      <c r="F2219" t="b">
        <v>0</v>
      </c>
      <c r="H2219" t="b">
        <v>0</v>
      </c>
    </row>
    <row r="2220">
      <c r="A2220" t="inlineStr">
        <is>
          <t>S019</t>
        </is>
      </c>
      <c r="B2220" s="3" t="n">
        <v>46272</v>
      </c>
      <c r="C2220" t="n">
        <v>18</v>
      </c>
      <c r="D2220" t="inlineStr">
        <is>
          <t>Monday</t>
        </is>
      </c>
      <c r="E2220" t="n">
        <v>19</v>
      </c>
      <c r="F2220" t="b">
        <v>0</v>
      </c>
      <c r="H2220" t="b">
        <v>0</v>
      </c>
    </row>
    <row r="2221">
      <c r="A2221" t="inlineStr">
        <is>
          <t>S019</t>
        </is>
      </c>
      <c r="B2221" s="3" t="n">
        <v>46272</v>
      </c>
      <c r="C2221" t="n">
        <v>19</v>
      </c>
      <c r="D2221" t="inlineStr">
        <is>
          <t>Monday</t>
        </is>
      </c>
      <c r="E2221" t="n">
        <v>33</v>
      </c>
      <c r="F2221" t="b">
        <v>1</v>
      </c>
      <c r="H2221" t="b">
        <v>0</v>
      </c>
    </row>
    <row r="2222">
      <c r="A2222" t="inlineStr">
        <is>
          <t>S019</t>
        </is>
      </c>
      <c r="B2222" s="3" t="n">
        <v>46272</v>
      </c>
      <c r="C2222" t="n">
        <v>20</v>
      </c>
      <c r="D2222" t="inlineStr">
        <is>
          <t>Monday</t>
        </is>
      </c>
      <c r="E2222" t="n">
        <v>38</v>
      </c>
      <c r="F2222" t="b">
        <v>1</v>
      </c>
      <c r="H2222" t="b">
        <v>0</v>
      </c>
    </row>
    <row r="2223">
      <c r="A2223" t="inlineStr">
        <is>
          <t>S019</t>
        </is>
      </c>
      <c r="B2223" s="3" t="n">
        <v>46272</v>
      </c>
      <c r="C2223" t="n">
        <v>21</v>
      </c>
      <c r="D2223" t="inlineStr">
        <is>
          <t>Monday</t>
        </is>
      </c>
      <c r="E2223" t="n">
        <v>27</v>
      </c>
      <c r="F2223" t="b">
        <v>1</v>
      </c>
      <c r="G2223" t="inlineStr">
        <is>
          <t>Light</t>
        </is>
      </c>
      <c r="H2223" t="b">
        <v>0</v>
      </c>
    </row>
    <row r="2224">
      <c r="A2224" t="inlineStr">
        <is>
          <t>S019</t>
        </is>
      </c>
      <c r="B2224" s="3" t="n">
        <v>46272</v>
      </c>
      <c r="C2224" t="n">
        <v>22</v>
      </c>
      <c r="D2224" t="inlineStr">
        <is>
          <t>Monday</t>
        </is>
      </c>
      <c r="E2224" t="n">
        <v>25</v>
      </c>
      <c r="F2224" t="b">
        <v>0</v>
      </c>
      <c r="G2224" t="inlineStr">
        <is>
          <t>Light</t>
        </is>
      </c>
      <c r="H2224" t="b">
        <v>0</v>
      </c>
    </row>
    <row r="2225">
      <c r="A2225" t="inlineStr">
        <is>
          <t>S019</t>
        </is>
      </c>
      <c r="B2225" s="3" t="n">
        <v>46272</v>
      </c>
      <c r="C2225" t="n">
        <v>23</v>
      </c>
      <c r="D2225" t="inlineStr">
        <is>
          <t>Monday</t>
        </is>
      </c>
      <c r="E2225" t="n">
        <v>20</v>
      </c>
      <c r="F2225" t="b">
        <v>0</v>
      </c>
      <c r="G2225" t="inlineStr">
        <is>
          <t>Light</t>
        </is>
      </c>
      <c r="H2225" t="b">
        <v>0</v>
      </c>
    </row>
    <row r="2226">
      <c r="A2226" t="inlineStr">
        <is>
          <t>S020</t>
        </is>
      </c>
      <c r="B2226" s="3" t="n">
        <v>46272</v>
      </c>
      <c r="C2226" t="n">
        <v>8</v>
      </c>
      <c r="D2226" t="inlineStr">
        <is>
          <t>Monday</t>
        </is>
      </c>
      <c r="E2226" t="n">
        <v>15</v>
      </c>
      <c r="F2226" t="b">
        <v>0</v>
      </c>
      <c r="H2226" t="b">
        <v>0</v>
      </c>
    </row>
    <row r="2227">
      <c r="A2227" t="inlineStr">
        <is>
          <t>S020</t>
        </is>
      </c>
      <c r="B2227" s="3" t="n">
        <v>46272</v>
      </c>
      <c r="C2227" t="n">
        <v>9</v>
      </c>
      <c r="D2227" t="inlineStr">
        <is>
          <t>Monday</t>
        </is>
      </c>
      <c r="E2227" t="n">
        <v>7</v>
      </c>
      <c r="F2227" t="b">
        <v>0</v>
      </c>
      <c r="G2227" t="inlineStr">
        <is>
          <t>Light</t>
        </is>
      </c>
      <c r="H2227" t="b">
        <v>0</v>
      </c>
    </row>
    <row r="2228">
      <c r="A2228" t="inlineStr">
        <is>
          <t>S020</t>
        </is>
      </c>
      <c r="B2228" s="3" t="n">
        <v>46272</v>
      </c>
      <c r="C2228" t="n">
        <v>10</v>
      </c>
      <c r="D2228" t="inlineStr">
        <is>
          <t>Monday</t>
        </is>
      </c>
      <c r="E2228" t="n">
        <v>16</v>
      </c>
      <c r="F2228" t="b">
        <v>0</v>
      </c>
      <c r="H2228" t="b">
        <v>0</v>
      </c>
    </row>
    <row r="2229">
      <c r="A2229" t="inlineStr">
        <is>
          <t>S020</t>
        </is>
      </c>
      <c r="B2229" s="3" t="n">
        <v>46272</v>
      </c>
      <c r="C2229" t="n">
        <v>11</v>
      </c>
      <c r="D2229" t="inlineStr">
        <is>
          <t>Monday</t>
        </is>
      </c>
      <c r="E2229" t="n">
        <v>11</v>
      </c>
      <c r="F2229" t="b">
        <v>0</v>
      </c>
      <c r="G2229" t="inlineStr">
        <is>
          <t>Light</t>
        </is>
      </c>
      <c r="H2229" t="b">
        <v>0</v>
      </c>
    </row>
    <row r="2230">
      <c r="A2230" t="inlineStr">
        <is>
          <t>S020</t>
        </is>
      </c>
      <c r="B2230" s="3" t="n">
        <v>46272</v>
      </c>
      <c r="C2230" t="n">
        <v>12</v>
      </c>
      <c r="D2230" t="inlineStr">
        <is>
          <t>Monday</t>
        </is>
      </c>
      <c r="E2230" t="n">
        <v>18</v>
      </c>
      <c r="F2230" t="b">
        <v>0</v>
      </c>
      <c r="G2230" t="inlineStr">
        <is>
          <t>Heavy</t>
        </is>
      </c>
      <c r="H2230" t="b">
        <v>0</v>
      </c>
    </row>
    <row r="2231">
      <c r="A2231" t="inlineStr">
        <is>
          <t>S020</t>
        </is>
      </c>
      <c r="B2231" s="3" t="n">
        <v>46272</v>
      </c>
      <c r="C2231" t="n">
        <v>13</v>
      </c>
      <c r="D2231" t="inlineStr">
        <is>
          <t>Monday</t>
        </is>
      </c>
      <c r="E2231" t="n">
        <v>13</v>
      </c>
      <c r="F2231" t="b">
        <v>0</v>
      </c>
      <c r="G2231" t="inlineStr">
        <is>
          <t>Light</t>
        </is>
      </c>
      <c r="H2231" t="b">
        <v>0</v>
      </c>
    </row>
    <row r="2232">
      <c r="A2232" t="inlineStr">
        <is>
          <t>S020</t>
        </is>
      </c>
      <c r="B2232" s="3" t="n">
        <v>46272</v>
      </c>
      <c r="C2232" t="n">
        <v>14</v>
      </c>
      <c r="D2232" t="inlineStr">
        <is>
          <t>Monday</t>
        </is>
      </c>
      <c r="E2232" t="n">
        <v>11</v>
      </c>
      <c r="F2232" t="b">
        <v>0</v>
      </c>
      <c r="H2232" t="b">
        <v>0</v>
      </c>
    </row>
    <row r="2233">
      <c r="A2233" t="inlineStr">
        <is>
          <t>S020</t>
        </is>
      </c>
      <c r="B2233" s="3" t="n">
        <v>46272</v>
      </c>
      <c r="C2233" t="n">
        <v>15</v>
      </c>
      <c r="D2233" t="inlineStr">
        <is>
          <t>Monday</t>
        </is>
      </c>
      <c r="E2233" t="n">
        <v>7</v>
      </c>
      <c r="F2233" t="b">
        <v>0</v>
      </c>
      <c r="G2233" t="inlineStr">
        <is>
          <t>Light</t>
        </is>
      </c>
      <c r="H2233" t="b">
        <v>0</v>
      </c>
    </row>
    <row r="2234">
      <c r="A2234" t="inlineStr">
        <is>
          <t>S020</t>
        </is>
      </c>
      <c r="B2234" s="3" t="n">
        <v>46272</v>
      </c>
      <c r="C2234" t="n">
        <v>16</v>
      </c>
      <c r="D2234" t="inlineStr">
        <is>
          <t>Monday</t>
        </is>
      </c>
      <c r="E2234" t="n">
        <v>21</v>
      </c>
      <c r="F2234" t="b">
        <v>0</v>
      </c>
      <c r="G2234" t="inlineStr">
        <is>
          <t>Heavy</t>
        </is>
      </c>
      <c r="H2234" t="b">
        <v>0</v>
      </c>
    </row>
    <row r="2235">
      <c r="A2235" t="inlineStr">
        <is>
          <t>S020</t>
        </is>
      </c>
      <c r="B2235" s="3" t="n">
        <v>46272</v>
      </c>
      <c r="C2235" t="n">
        <v>17</v>
      </c>
      <c r="D2235" t="inlineStr">
        <is>
          <t>Monday</t>
        </is>
      </c>
      <c r="E2235" t="n">
        <v>12</v>
      </c>
      <c r="F2235" t="b">
        <v>0</v>
      </c>
      <c r="H2235" t="b">
        <v>0</v>
      </c>
    </row>
    <row r="2236">
      <c r="A2236" t="inlineStr">
        <is>
          <t>S020</t>
        </is>
      </c>
      <c r="B2236" s="3" t="n">
        <v>46272</v>
      </c>
      <c r="C2236" t="n">
        <v>18</v>
      </c>
      <c r="D2236" t="inlineStr">
        <is>
          <t>Monday</t>
        </is>
      </c>
      <c r="E2236" t="n">
        <v>11</v>
      </c>
      <c r="F2236" t="b">
        <v>0</v>
      </c>
      <c r="H2236" t="b">
        <v>0</v>
      </c>
    </row>
    <row r="2237">
      <c r="A2237" t="inlineStr">
        <is>
          <t>S020</t>
        </is>
      </c>
      <c r="B2237" s="3" t="n">
        <v>46272</v>
      </c>
      <c r="C2237" t="n">
        <v>19</v>
      </c>
      <c r="D2237" t="inlineStr">
        <is>
          <t>Monday</t>
        </is>
      </c>
      <c r="E2237" t="n">
        <v>31</v>
      </c>
      <c r="F2237" t="b">
        <v>1</v>
      </c>
      <c r="H2237" t="b">
        <v>1</v>
      </c>
    </row>
    <row r="2238">
      <c r="A2238" t="inlineStr">
        <is>
          <t>S020</t>
        </is>
      </c>
      <c r="B2238" s="3" t="n">
        <v>46272</v>
      </c>
      <c r="C2238" t="n">
        <v>20</v>
      </c>
      <c r="D2238" t="inlineStr">
        <is>
          <t>Monday</t>
        </is>
      </c>
      <c r="E2238" t="n">
        <v>28</v>
      </c>
      <c r="F2238" t="b">
        <v>1</v>
      </c>
      <c r="H2238" t="b">
        <v>0</v>
      </c>
    </row>
    <row r="2239">
      <c r="A2239" t="inlineStr">
        <is>
          <t>S020</t>
        </is>
      </c>
      <c r="B2239" s="3" t="n">
        <v>46272</v>
      </c>
      <c r="C2239" t="n">
        <v>21</v>
      </c>
      <c r="D2239" t="inlineStr">
        <is>
          <t>Monday</t>
        </is>
      </c>
      <c r="E2239" t="n">
        <v>22</v>
      </c>
      <c r="F2239" t="b">
        <v>1</v>
      </c>
      <c r="H2239" t="b">
        <v>0</v>
      </c>
    </row>
    <row r="2240">
      <c r="A2240" t="inlineStr">
        <is>
          <t>S020</t>
        </is>
      </c>
      <c r="B2240" s="3" t="n">
        <v>46272</v>
      </c>
      <c r="C2240" t="n">
        <v>22</v>
      </c>
      <c r="D2240" t="inlineStr">
        <is>
          <t>Monday</t>
        </is>
      </c>
      <c r="E2240" t="n">
        <v>10</v>
      </c>
      <c r="F2240" t="b">
        <v>0</v>
      </c>
      <c r="H2240" t="b">
        <v>0</v>
      </c>
    </row>
    <row r="2241">
      <c r="A2241" t="inlineStr">
        <is>
          <t>S020</t>
        </is>
      </c>
      <c r="B2241" s="3" t="n">
        <v>46272</v>
      </c>
      <c r="C2241" t="n">
        <v>23</v>
      </c>
      <c r="D2241" t="inlineStr">
        <is>
          <t>Monday</t>
        </is>
      </c>
      <c r="E2241" t="n">
        <v>13</v>
      </c>
      <c r="F2241" t="b">
        <v>0</v>
      </c>
      <c r="H2241" t="b">
        <v>0</v>
      </c>
    </row>
    <row r="2242">
      <c r="A2242" t="inlineStr">
        <is>
          <t>S001</t>
        </is>
      </c>
      <c r="B2242" s="3" t="n">
        <v>46273</v>
      </c>
      <c r="C2242" t="n">
        <v>8</v>
      </c>
      <c r="D2242" t="inlineStr">
        <is>
          <t>Tuesday</t>
        </is>
      </c>
      <c r="E2242" t="n">
        <v>15</v>
      </c>
      <c r="F2242" t="b">
        <v>0</v>
      </c>
      <c r="H2242" t="b">
        <v>0</v>
      </c>
    </row>
    <row r="2243">
      <c r="A2243" t="inlineStr">
        <is>
          <t>S001</t>
        </is>
      </c>
      <c r="B2243" s="3" t="n">
        <v>46273</v>
      </c>
      <c r="C2243" t="n">
        <v>9</v>
      </c>
      <c r="D2243" t="inlineStr">
        <is>
          <t>Tuesday</t>
        </is>
      </c>
      <c r="E2243" t="n">
        <v>10</v>
      </c>
      <c r="F2243" t="b">
        <v>0</v>
      </c>
      <c r="H2243" t="b">
        <v>0</v>
      </c>
    </row>
    <row r="2244">
      <c r="A2244" t="inlineStr">
        <is>
          <t>S001</t>
        </is>
      </c>
      <c r="B2244" s="3" t="n">
        <v>46273</v>
      </c>
      <c r="C2244" t="n">
        <v>10</v>
      </c>
      <c r="D2244" t="inlineStr">
        <is>
          <t>Tuesday</t>
        </is>
      </c>
      <c r="E2244" t="n">
        <v>9</v>
      </c>
      <c r="F2244" t="b">
        <v>0</v>
      </c>
      <c r="G2244" t="inlineStr">
        <is>
          <t>Light</t>
        </is>
      </c>
      <c r="H2244" t="b">
        <v>0</v>
      </c>
    </row>
    <row r="2245">
      <c r="A2245" t="inlineStr">
        <is>
          <t>S001</t>
        </is>
      </c>
      <c r="B2245" s="3" t="n">
        <v>46273</v>
      </c>
      <c r="C2245" t="n">
        <v>11</v>
      </c>
      <c r="D2245" t="inlineStr">
        <is>
          <t>Tuesday</t>
        </is>
      </c>
      <c r="E2245" t="n">
        <v>16</v>
      </c>
      <c r="F2245" t="b">
        <v>0</v>
      </c>
      <c r="H2245" t="b">
        <v>0</v>
      </c>
    </row>
    <row r="2246">
      <c r="A2246" t="inlineStr">
        <is>
          <t>S001</t>
        </is>
      </c>
      <c r="B2246" s="3" t="n">
        <v>46273</v>
      </c>
      <c r="C2246" t="n">
        <v>12</v>
      </c>
      <c r="D2246" t="inlineStr">
        <is>
          <t>Tuesday</t>
        </is>
      </c>
      <c r="E2246" t="n">
        <v>18</v>
      </c>
      <c r="F2246" t="b">
        <v>0</v>
      </c>
      <c r="H2246" t="b">
        <v>0</v>
      </c>
    </row>
    <row r="2247">
      <c r="A2247" t="inlineStr">
        <is>
          <t>S001</t>
        </is>
      </c>
      <c r="B2247" s="3" t="n">
        <v>46273</v>
      </c>
      <c r="C2247" t="n">
        <v>13</v>
      </c>
      <c r="D2247" t="inlineStr">
        <is>
          <t>Tuesday</t>
        </is>
      </c>
      <c r="E2247" t="n">
        <v>19</v>
      </c>
      <c r="F2247" t="b">
        <v>0</v>
      </c>
      <c r="G2247" t="inlineStr">
        <is>
          <t>Light</t>
        </is>
      </c>
      <c r="H2247" t="b">
        <v>0</v>
      </c>
    </row>
    <row r="2248">
      <c r="A2248" t="inlineStr">
        <is>
          <t>S001</t>
        </is>
      </c>
      <c r="B2248" s="3" t="n">
        <v>46273</v>
      </c>
      <c r="C2248" t="n">
        <v>14</v>
      </c>
      <c r="D2248" t="inlineStr">
        <is>
          <t>Tuesday</t>
        </is>
      </c>
      <c r="E2248" t="n">
        <v>13</v>
      </c>
      <c r="F2248" t="b">
        <v>0</v>
      </c>
      <c r="G2248" t="inlineStr">
        <is>
          <t>Light</t>
        </is>
      </c>
      <c r="H2248" t="b">
        <v>1</v>
      </c>
    </row>
    <row r="2249">
      <c r="A2249" t="inlineStr">
        <is>
          <t>S001</t>
        </is>
      </c>
      <c r="B2249" s="3" t="n">
        <v>46273</v>
      </c>
      <c r="C2249" t="n">
        <v>15</v>
      </c>
      <c r="D2249" t="inlineStr">
        <is>
          <t>Tuesday</t>
        </is>
      </c>
      <c r="E2249" t="n">
        <v>11</v>
      </c>
      <c r="F2249" t="b">
        <v>0</v>
      </c>
      <c r="H2249" t="b">
        <v>0</v>
      </c>
    </row>
    <row r="2250">
      <c r="A2250" t="inlineStr">
        <is>
          <t>S001</t>
        </is>
      </c>
      <c r="B2250" s="3" t="n">
        <v>46273</v>
      </c>
      <c r="C2250" t="n">
        <v>16</v>
      </c>
      <c r="D2250" t="inlineStr">
        <is>
          <t>Tuesday</t>
        </is>
      </c>
      <c r="E2250" t="n">
        <v>15</v>
      </c>
      <c r="F2250" t="b">
        <v>0</v>
      </c>
      <c r="H2250" t="b">
        <v>0</v>
      </c>
    </row>
    <row r="2251">
      <c r="A2251" t="inlineStr">
        <is>
          <t>S001</t>
        </is>
      </c>
      <c r="B2251" s="3" t="n">
        <v>46273</v>
      </c>
      <c r="C2251" t="n">
        <v>17</v>
      </c>
      <c r="D2251" t="inlineStr">
        <is>
          <t>Tuesday</t>
        </is>
      </c>
      <c r="E2251" t="n">
        <v>15</v>
      </c>
      <c r="F2251" t="b">
        <v>0</v>
      </c>
      <c r="H2251" t="b">
        <v>0</v>
      </c>
    </row>
    <row r="2252">
      <c r="A2252" t="inlineStr">
        <is>
          <t>S001</t>
        </is>
      </c>
      <c r="B2252" s="3" t="n">
        <v>46273</v>
      </c>
      <c r="C2252" t="n">
        <v>18</v>
      </c>
      <c r="D2252" t="inlineStr">
        <is>
          <t>Tuesday</t>
        </is>
      </c>
      <c r="E2252" t="n">
        <v>9</v>
      </c>
      <c r="F2252" t="b">
        <v>0</v>
      </c>
      <c r="H2252" t="b">
        <v>0</v>
      </c>
    </row>
    <row r="2253">
      <c r="A2253" t="inlineStr">
        <is>
          <t>S001</t>
        </is>
      </c>
      <c r="B2253" s="3" t="n">
        <v>46273</v>
      </c>
      <c r="C2253" t="n">
        <v>19</v>
      </c>
      <c r="D2253" t="inlineStr">
        <is>
          <t>Tuesday</t>
        </is>
      </c>
      <c r="E2253" t="n">
        <v>20</v>
      </c>
      <c r="F2253" t="b">
        <v>1</v>
      </c>
      <c r="H2253" t="b">
        <v>0</v>
      </c>
    </row>
    <row r="2254">
      <c r="A2254" t="inlineStr">
        <is>
          <t>S001</t>
        </is>
      </c>
      <c r="B2254" s="3" t="n">
        <v>46273</v>
      </c>
      <c r="C2254" t="n">
        <v>20</v>
      </c>
      <c r="D2254" t="inlineStr">
        <is>
          <t>Tuesday</t>
        </is>
      </c>
      <c r="E2254" t="n">
        <v>28</v>
      </c>
      <c r="F2254" t="b">
        <v>1</v>
      </c>
      <c r="H2254" t="b">
        <v>0</v>
      </c>
    </row>
    <row r="2255">
      <c r="A2255" t="inlineStr">
        <is>
          <t>S001</t>
        </is>
      </c>
      <c r="B2255" s="3" t="n">
        <v>46273</v>
      </c>
      <c r="C2255" t="n">
        <v>21</v>
      </c>
      <c r="D2255" t="inlineStr">
        <is>
          <t>Tuesday</t>
        </is>
      </c>
      <c r="E2255" t="n">
        <v>18</v>
      </c>
      <c r="F2255" t="b">
        <v>1</v>
      </c>
      <c r="G2255" t="inlineStr">
        <is>
          <t>Heavy</t>
        </is>
      </c>
      <c r="H2255" t="b">
        <v>0</v>
      </c>
    </row>
    <row r="2256">
      <c r="A2256" t="inlineStr">
        <is>
          <t>S001</t>
        </is>
      </c>
      <c r="B2256" s="3" t="n">
        <v>46273</v>
      </c>
      <c r="C2256" t="n">
        <v>22</v>
      </c>
      <c r="D2256" t="inlineStr">
        <is>
          <t>Tuesday</t>
        </is>
      </c>
      <c r="E2256" t="n">
        <v>19</v>
      </c>
      <c r="F2256" t="b">
        <v>0</v>
      </c>
      <c r="G2256" t="inlineStr">
        <is>
          <t>Light</t>
        </is>
      </c>
      <c r="H2256" t="b">
        <v>0</v>
      </c>
    </row>
    <row r="2257">
      <c r="A2257" t="inlineStr">
        <is>
          <t>S001</t>
        </is>
      </c>
      <c r="B2257" s="3" t="n">
        <v>46273</v>
      </c>
      <c r="C2257" t="n">
        <v>23</v>
      </c>
      <c r="D2257" t="inlineStr">
        <is>
          <t>Tuesday</t>
        </is>
      </c>
      <c r="E2257" t="n">
        <v>12</v>
      </c>
      <c r="F2257" t="b">
        <v>0</v>
      </c>
      <c r="H2257" t="b">
        <v>0</v>
      </c>
    </row>
    <row r="2258">
      <c r="A2258" t="inlineStr">
        <is>
          <t>S002</t>
        </is>
      </c>
      <c r="B2258" s="3" t="n">
        <v>46273</v>
      </c>
      <c r="C2258" t="n">
        <v>8</v>
      </c>
      <c r="D2258" t="inlineStr">
        <is>
          <t>Tuesday</t>
        </is>
      </c>
      <c r="E2258" t="n">
        <v>19</v>
      </c>
      <c r="F2258" t="b">
        <v>0</v>
      </c>
      <c r="H2258" t="b">
        <v>0</v>
      </c>
    </row>
    <row r="2259">
      <c r="A2259" t="inlineStr">
        <is>
          <t>S002</t>
        </is>
      </c>
      <c r="B2259" s="3" t="n">
        <v>46273</v>
      </c>
      <c r="C2259" t="n">
        <v>9</v>
      </c>
      <c r="D2259" t="inlineStr">
        <is>
          <t>Tuesday</t>
        </is>
      </c>
      <c r="E2259" t="n">
        <v>28</v>
      </c>
      <c r="F2259" t="b">
        <v>0</v>
      </c>
      <c r="H2259" t="b">
        <v>0</v>
      </c>
    </row>
    <row r="2260">
      <c r="A2260" t="inlineStr">
        <is>
          <t>S002</t>
        </is>
      </c>
      <c r="B2260" s="3" t="n">
        <v>46273</v>
      </c>
      <c r="C2260" t="n">
        <v>10</v>
      </c>
      <c r="D2260" t="inlineStr">
        <is>
          <t>Tuesday</t>
        </is>
      </c>
      <c r="E2260" t="n">
        <v>21</v>
      </c>
      <c r="F2260" t="b">
        <v>0</v>
      </c>
      <c r="H2260" t="b">
        <v>0</v>
      </c>
    </row>
    <row r="2261">
      <c r="A2261" t="inlineStr">
        <is>
          <t>S002</t>
        </is>
      </c>
      <c r="B2261" s="3" t="n">
        <v>46273</v>
      </c>
      <c r="C2261" t="n">
        <v>11</v>
      </c>
      <c r="D2261" t="inlineStr">
        <is>
          <t>Tuesday</t>
        </is>
      </c>
      <c r="E2261" t="n">
        <v>36</v>
      </c>
      <c r="F2261" t="b">
        <v>0</v>
      </c>
      <c r="H2261" t="b">
        <v>0</v>
      </c>
    </row>
    <row r="2262">
      <c r="A2262" t="inlineStr">
        <is>
          <t>S002</t>
        </is>
      </c>
      <c r="B2262" s="3" t="n">
        <v>46273</v>
      </c>
      <c r="C2262" t="n">
        <v>12</v>
      </c>
      <c r="D2262" t="inlineStr">
        <is>
          <t>Tuesday</t>
        </is>
      </c>
      <c r="E2262" t="n">
        <v>35</v>
      </c>
      <c r="F2262" t="b">
        <v>0</v>
      </c>
      <c r="H2262" t="b">
        <v>0</v>
      </c>
    </row>
    <row r="2263">
      <c r="A2263" t="inlineStr">
        <is>
          <t>S002</t>
        </is>
      </c>
      <c r="B2263" s="3" t="n">
        <v>46273</v>
      </c>
      <c r="C2263" t="n">
        <v>13</v>
      </c>
      <c r="D2263" t="inlineStr">
        <is>
          <t>Tuesday</t>
        </is>
      </c>
      <c r="E2263" t="n">
        <v>40</v>
      </c>
      <c r="F2263" t="b">
        <v>0</v>
      </c>
      <c r="H2263" t="b">
        <v>0</v>
      </c>
    </row>
    <row r="2264">
      <c r="A2264" t="inlineStr">
        <is>
          <t>S002</t>
        </is>
      </c>
      <c r="B2264" s="3" t="n">
        <v>46273</v>
      </c>
      <c r="C2264" t="n">
        <v>14</v>
      </c>
      <c r="D2264" t="inlineStr">
        <is>
          <t>Tuesday</t>
        </is>
      </c>
      <c r="E2264" t="n">
        <v>20</v>
      </c>
      <c r="F2264" t="b">
        <v>0</v>
      </c>
      <c r="H2264" t="b">
        <v>0</v>
      </c>
    </row>
    <row r="2265">
      <c r="A2265" t="inlineStr">
        <is>
          <t>S002</t>
        </is>
      </c>
      <c r="B2265" s="3" t="n">
        <v>46273</v>
      </c>
      <c r="C2265" t="n">
        <v>15</v>
      </c>
      <c r="D2265" t="inlineStr">
        <is>
          <t>Tuesday</t>
        </is>
      </c>
      <c r="E2265" t="n">
        <v>25</v>
      </c>
      <c r="F2265" t="b">
        <v>0</v>
      </c>
      <c r="G2265" t="inlineStr">
        <is>
          <t>Light</t>
        </is>
      </c>
      <c r="H2265" t="b">
        <v>0</v>
      </c>
    </row>
    <row r="2266">
      <c r="A2266" t="inlineStr">
        <is>
          <t>S002</t>
        </is>
      </c>
      <c r="B2266" s="3" t="n">
        <v>46273</v>
      </c>
      <c r="C2266" t="n">
        <v>16</v>
      </c>
      <c r="D2266" t="inlineStr">
        <is>
          <t>Tuesday</t>
        </is>
      </c>
      <c r="E2266" t="n">
        <v>36</v>
      </c>
      <c r="F2266" t="b">
        <v>0</v>
      </c>
      <c r="H2266" t="b">
        <v>0</v>
      </c>
    </row>
    <row r="2267">
      <c r="A2267" t="inlineStr">
        <is>
          <t>S002</t>
        </is>
      </c>
      <c r="B2267" s="3" t="n">
        <v>46273</v>
      </c>
      <c r="C2267" t="n">
        <v>17</v>
      </c>
      <c r="D2267" t="inlineStr">
        <is>
          <t>Tuesday</t>
        </is>
      </c>
      <c r="E2267" t="n">
        <v>38</v>
      </c>
      <c r="F2267" t="b">
        <v>0</v>
      </c>
      <c r="G2267" t="inlineStr">
        <is>
          <t>Heavy</t>
        </is>
      </c>
      <c r="H2267" t="b">
        <v>0</v>
      </c>
    </row>
    <row r="2268">
      <c r="A2268" t="inlineStr">
        <is>
          <t>S002</t>
        </is>
      </c>
      <c r="B2268" s="3" t="n">
        <v>46273</v>
      </c>
      <c r="C2268" t="n">
        <v>18</v>
      </c>
      <c r="D2268" t="inlineStr">
        <is>
          <t>Tuesday</t>
        </is>
      </c>
      <c r="E2268" t="n">
        <v>37</v>
      </c>
      <c r="F2268" t="b">
        <v>0</v>
      </c>
      <c r="G2268" t="inlineStr">
        <is>
          <t>Light</t>
        </is>
      </c>
      <c r="H2268" t="b">
        <v>0</v>
      </c>
    </row>
    <row r="2269">
      <c r="A2269" t="inlineStr">
        <is>
          <t>S002</t>
        </is>
      </c>
      <c r="B2269" s="3" t="n">
        <v>46273</v>
      </c>
      <c r="C2269" t="n">
        <v>19</v>
      </c>
      <c r="D2269" t="inlineStr">
        <is>
          <t>Tuesday</t>
        </is>
      </c>
      <c r="E2269" t="n">
        <v>59</v>
      </c>
      <c r="F2269" t="b">
        <v>1</v>
      </c>
      <c r="H2269" t="b">
        <v>0</v>
      </c>
    </row>
    <row r="2270">
      <c r="A2270" t="inlineStr">
        <is>
          <t>S002</t>
        </is>
      </c>
      <c r="B2270" s="3" t="n">
        <v>46273</v>
      </c>
      <c r="C2270" t="n">
        <v>20</v>
      </c>
      <c r="D2270" t="inlineStr">
        <is>
          <t>Tuesday</t>
        </is>
      </c>
      <c r="E2270" t="n">
        <v>52</v>
      </c>
      <c r="F2270" t="b">
        <v>1</v>
      </c>
      <c r="G2270" t="inlineStr">
        <is>
          <t>Light</t>
        </is>
      </c>
      <c r="H2270" t="b">
        <v>1</v>
      </c>
    </row>
    <row r="2271">
      <c r="A2271" t="inlineStr">
        <is>
          <t>S002</t>
        </is>
      </c>
      <c r="B2271" s="3" t="n">
        <v>46273</v>
      </c>
      <c r="C2271" t="n">
        <v>21</v>
      </c>
      <c r="D2271" t="inlineStr">
        <is>
          <t>Tuesday</t>
        </is>
      </c>
      <c r="E2271" t="n">
        <v>61</v>
      </c>
      <c r="F2271" t="b">
        <v>1</v>
      </c>
      <c r="H2271" t="b">
        <v>0</v>
      </c>
    </row>
    <row r="2272">
      <c r="A2272" t="inlineStr">
        <is>
          <t>S002</t>
        </is>
      </c>
      <c r="B2272" s="3" t="n">
        <v>46273</v>
      </c>
      <c r="C2272" t="n">
        <v>22</v>
      </c>
      <c r="D2272" t="inlineStr">
        <is>
          <t>Tuesday</t>
        </is>
      </c>
      <c r="E2272" t="n">
        <v>37</v>
      </c>
      <c r="F2272" t="b">
        <v>0</v>
      </c>
      <c r="H2272" t="b">
        <v>1</v>
      </c>
    </row>
    <row r="2273">
      <c r="A2273" t="inlineStr">
        <is>
          <t>S002</t>
        </is>
      </c>
      <c r="B2273" s="3" t="n">
        <v>46273</v>
      </c>
      <c r="C2273" t="n">
        <v>23</v>
      </c>
      <c r="D2273" t="inlineStr">
        <is>
          <t>Tuesday</t>
        </is>
      </c>
      <c r="E2273" t="n">
        <v>40</v>
      </c>
      <c r="F2273" t="b">
        <v>0</v>
      </c>
      <c r="G2273" t="inlineStr">
        <is>
          <t>Heavy</t>
        </is>
      </c>
      <c r="H2273" t="b">
        <v>0</v>
      </c>
    </row>
    <row r="2274">
      <c r="A2274" t="inlineStr">
        <is>
          <t>S003</t>
        </is>
      </c>
      <c r="B2274" s="3" t="n">
        <v>46273</v>
      </c>
      <c r="C2274" t="n">
        <v>8</v>
      </c>
      <c r="D2274" t="inlineStr">
        <is>
          <t>Tuesday</t>
        </is>
      </c>
      <c r="E2274" t="n">
        <v>19</v>
      </c>
      <c r="F2274" t="b">
        <v>0</v>
      </c>
      <c r="G2274" t="inlineStr">
        <is>
          <t>Light</t>
        </is>
      </c>
      <c r="H2274" t="b">
        <v>0</v>
      </c>
    </row>
    <row r="2275">
      <c r="A2275" t="inlineStr">
        <is>
          <t>S003</t>
        </is>
      </c>
      <c r="B2275" s="3" t="n">
        <v>46273</v>
      </c>
      <c r="C2275" t="n">
        <v>9</v>
      </c>
      <c r="D2275" t="inlineStr">
        <is>
          <t>Tuesday</t>
        </is>
      </c>
      <c r="E2275" t="n">
        <v>45</v>
      </c>
      <c r="F2275" t="b">
        <v>0</v>
      </c>
      <c r="H2275" t="b">
        <v>0</v>
      </c>
    </row>
    <row r="2276">
      <c r="A2276" t="inlineStr">
        <is>
          <t>S003</t>
        </is>
      </c>
      <c r="B2276" s="3" t="n">
        <v>46273</v>
      </c>
      <c r="C2276" t="n">
        <v>10</v>
      </c>
      <c r="D2276" t="inlineStr">
        <is>
          <t>Tuesday</t>
        </is>
      </c>
      <c r="E2276" t="n">
        <v>34</v>
      </c>
      <c r="F2276" t="b">
        <v>0</v>
      </c>
      <c r="H2276" t="b">
        <v>0</v>
      </c>
    </row>
    <row r="2277">
      <c r="A2277" t="inlineStr">
        <is>
          <t>S003</t>
        </is>
      </c>
      <c r="B2277" s="3" t="n">
        <v>46273</v>
      </c>
      <c r="C2277" t="n">
        <v>11</v>
      </c>
      <c r="D2277" t="inlineStr">
        <is>
          <t>Tuesday</t>
        </is>
      </c>
      <c r="E2277" t="n">
        <v>34</v>
      </c>
      <c r="F2277" t="b">
        <v>0</v>
      </c>
      <c r="H2277" t="b">
        <v>0</v>
      </c>
    </row>
    <row r="2278">
      <c r="A2278" t="inlineStr">
        <is>
          <t>S003</t>
        </is>
      </c>
      <c r="B2278" s="3" t="n">
        <v>46273</v>
      </c>
      <c r="C2278" t="n">
        <v>12</v>
      </c>
      <c r="D2278" t="inlineStr">
        <is>
          <t>Tuesday</t>
        </is>
      </c>
      <c r="E2278" t="n">
        <v>31</v>
      </c>
      <c r="F2278" t="b">
        <v>0</v>
      </c>
      <c r="H2278" t="b">
        <v>0</v>
      </c>
    </row>
    <row r="2279">
      <c r="A2279" t="inlineStr">
        <is>
          <t>S003</t>
        </is>
      </c>
      <c r="B2279" s="3" t="n">
        <v>46273</v>
      </c>
      <c r="C2279" t="n">
        <v>13</v>
      </c>
      <c r="D2279" t="inlineStr">
        <is>
          <t>Tuesday</t>
        </is>
      </c>
      <c r="E2279" t="n">
        <v>43</v>
      </c>
      <c r="F2279" t="b">
        <v>0</v>
      </c>
      <c r="H2279" t="b">
        <v>0</v>
      </c>
    </row>
    <row r="2280">
      <c r="A2280" t="inlineStr">
        <is>
          <t>S003</t>
        </is>
      </c>
      <c r="B2280" s="3" t="n">
        <v>46273</v>
      </c>
      <c r="C2280" t="n">
        <v>14</v>
      </c>
      <c r="D2280" t="inlineStr">
        <is>
          <t>Tuesday</t>
        </is>
      </c>
      <c r="E2280" t="n">
        <v>33</v>
      </c>
      <c r="F2280" t="b">
        <v>0</v>
      </c>
      <c r="H2280" t="b">
        <v>0</v>
      </c>
    </row>
    <row r="2281">
      <c r="A2281" t="inlineStr">
        <is>
          <t>S003</t>
        </is>
      </c>
      <c r="B2281" s="3" t="n">
        <v>46273</v>
      </c>
      <c r="C2281" t="n">
        <v>15</v>
      </c>
      <c r="D2281" t="inlineStr">
        <is>
          <t>Tuesday</t>
        </is>
      </c>
      <c r="E2281" t="n">
        <v>29</v>
      </c>
      <c r="F2281" t="b">
        <v>0</v>
      </c>
      <c r="H2281" t="b">
        <v>0</v>
      </c>
    </row>
    <row r="2282">
      <c r="A2282" t="inlineStr">
        <is>
          <t>S003</t>
        </is>
      </c>
      <c r="B2282" s="3" t="n">
        <v>46273</v>
      </c>
      <c r="C2282" t="n">
        <v>16</v>
      </c>
      <c r="D2282" t="inlineStr">
        <is>
          <t>Tuesday</t>
        </is>
      </c>
      <c r="E2282" t="n">
        <v>45</v>
      </c>
      <c r="F2282" t="b">
        <v>0</v>
      </c>
      <c r="G2282" t="inlineStr">
        <is>
          <t>Light</t>
        </is>
      </c>
      <c r="H2282" t="b">
        <v>0</v>
      </c>
    </row>
    <row r="2283">
      <c r="A2283" t="inlineStr">
        <is>
          <t>S003</t>
        </is>
      </c>
      <c r="B2283" s="3" t="n">
        <v>46273</v>
      </c>
      <c r="C2283" t="n">
        <v>17</v>
      </c>
      <c r="D2283" t="inlineStr">
        <is>
          <t>Tuesday</t>
        </is>
      </c>
      <c r="E2283" t="n">
        <v>43</v>
      </c>
      <c r="F2283" t="b">
        <v>0</v>
      </c>
      <c r="H2283" t="b">
        <v>1</v>
      </c>
    </row>
    <row r="2284">
      <c r="A2284" t="inlineStr">
        <is>
          <t>S003</t>
        </is>
      </c>
      <c r="B2284" s="3" t="n">
        <v>46273</v>
      </c>
      <c r="C2284" t="n">
        <v>18</v>
      </c>
      <c r="D2284" t="inlineStr">
        <is>
          <t>Tuesday</t>
        </is>
      </c>
      <c r="E2284" t="n">
        <v>40</v>
      </c>
      <c r="F2284" t="b">
        <v>0</v>
      </c>
      <c r="H2284" t="b">
        <v>1</v>
      </c>
    </row>
    <row r="2285">
      <c r="A2285" t="inlineStr">
        <is>
          <t>S003</t>
        </is>
      </c>
      <c r="B2285" s="3" t="n">
        <v>46273</v>
      </c>
      <c r="C2285" t="n">
        <v>19</v>
      </c>
      <c r="D2285" t="inlineStr">
        <is>
          <t>Tuesday</t>
        </is>
      </c>
      <c r="E2285" t="n">
        <v>53</v>
      </c>
      <c r="F2285" t="b">
        <v>1</v>
      </c>
      <c r="H2285" t="b">
        <v>0</v>
      </c>
    </row>
    <row r="2286">
      <c r="A2286" t="inlineStr">
        <is>
          <t>S003</t>
        </is>
      </c>
      <c r="B2286" s="3" t="n">
        <v>46273</v>
      </c>
      <c r="C2286" t="n">
        <v>20</v>
      </c>
      <c r="D2286" t="inlineStr">
        <is>
          <t>Tuesday</t>
        </is>
      </c>
      <c r="E2286" t="n">
        <v>59</v>
      </c>
      <c r="F2286" t="b">
        <v>1</v>
      </c>
      <c r="H2286" t="b">
        <v>0</v>
      </c>
    </row>
    <row r="2287">
      <c r="A2287" t="inlineStr">
        <is>
          <t>S003</t>
        </is>
      </c>
      <c r="B2287" s="3" t="n">
        <v>46273</v>
      </c>
      <c r="C2287" t="n">
        <v>21</v>
      </c>
      <c r="D2287" t="inlineStr">
        <is>
          <t>Tuesday</t>
        </is>
      </c>
      <c r="E2287" t="n">
        <v>64</v>
      </c>
      <c r="F2287" t="b">
        <v>1</v>
      </c>
      <c r="H2287" t="b">
        <v>0</v>
      </c>
    </row>
    <row r="2288">
      <c r="A2288" t="inlineStr">
        <is>
          <t>S003</t>
        </is>
      </c>
      <c r="B2288" s="3" t="n">
        <v>46273</v>
      </c>
      <c r="C2288" t="n">
        <v>22</v>
      </c>
      <c r="D2288" t="inlineStr">
        <is>
          <t>Tuesday</t>
        </is>
      </c>
      <c r="E2288" t="n">
        <v>24</v>
      </c>
      <c r="F2288" t="b">
        <v>0</v>
      </c>
      <c r="H2288" t="b">
        <v>1</v>
      </c>
    </row>
    <row r="2289">
      <c r="A2289" t="inlineStr">
        <is>
          <t>S003</t>
        </is>
      </c>
      <c r="B2289" s="3" t="n">
        <v>46273</v>
      </c>
      <c r="C2289" t="n">
        <v>23</v>
      </c>
      <c r="D2289" t="inlineStr">
        <is>
          <t>Tuesday</t>
        </is>
      </c>
      <c r="E2289" t="n">
        <v>37</v>
      </c>
      <c r="F2289" t="b">
        <v>0</v>
      </c>
      <c r="G2289" t="inlineStr">
        <is>
          <t>Light</t>
        </is>
      </c>
      <c r="H2289" t="b">
        <v>0</v>
      </c>
    </row>
    <row r="2290">
      <c r="A2290" t="inlineStr">
        <is>
          <t>S004</t>
        </is>
      </c>
      <c r="B2290" s="3" t="n">
        <v>46273</v>
      </c>
      <c r="C2290" t="n">
        <v>8</v>
      </c>
      <c r="D2290" t="inlineStr">
        <is>
          <t>Tuesday</t>
        </is>
      </c>
      <c r="E2290" t="n">
        <v>35</v>
      </c>
      <c r="F2290" t="b">
        <v>0</v>
      </c>
      <c r="G2290" t="inlineStr">
        <is>
          <t>Light</t>
        </is>
      </c>
      <c r="H2290" t="b">
        <v>0</v>
      </c>
    </row>
    <row r="2291">
      <c r="A2291" t="inlineStr">
        <is>
          <t>S004</t>
        </is>
      </c>
      <c r="B2291" s="3" t="n">
        <v>46273</v>
      </c>
      <c r="C2291" t="n">
        <v>9</v>
      </c>
      <c r="D2291" t="inlineStr">
        <is>
          <t>Tuesday</t>
        </is>
      </c>
      <c r="E2291" t="n">
        <v>33</v>
      </c>
      <c r="F2291" t="b">
        <v>0</v>
      </c>
      <c r="G2291" t="inlineStr">
        <is>
          <t>Light</t>
        </is>
      </c>
      <c r="H2291" t="b">
        <v>0</v>
      </c>
    </row>
    <row r="2292">
      <c r="A2292" t="inlineStr">
        <is>
          <t>S004</t>
        </is>
      </c>
      <c r="B2292" s="3" t="n">
        <v>46273</v>
      </c>
      <c r="C2292" t="n">
        <v>10</v>
      </c>
      <c r="D2292" t="inlineStr">
        <is>
          <t>Tuesday</t>
        </is>
      </c>
      <c r="E2292" t="n">
        <v>35</v>
      </c>
      <c r="F2292" t="b">
        <v>0</v>
      </c>
      <c r="H2292" t="b">
        <v>0</v>
      </c>
    </row>
    <row r="2293">
      <c r="A2293" t="inlineStr">
        <is>
          <t>S004</t>
        </is>
      </c>
      <c r="B2293" s="3" t="n">
        <v>46273</v>
      </c>
      <c r="C2293" t="n">
        <v>11</v>
      </c>
      <c r="D2293" t="inlineStr">
        <is>
          <t>Tuesday</t>
        </is>
      </c>
      <c r="E2293" t="n">
        <v>41</v>
      </c>
      <c r="F2293" t="b">
        <v>0</v>
      </c>
      <c r="H2293" t="b">
        <v>0</v>
      </c>
    </row>
    <row r="2294">
      <c r="A2294" t="inlineStr">
        <is>
          <t>S004</t>
        </is>
      </c>
      <c r="B2294" s="3" t="n">
        <v>46273</v>
      </c>
      <c r="C2294" t="n">
        <v>12</v>
      </c>
      <c r="D2294" t="inlineStr">
        <is>
          <t>Tuesday</t>
        </is>
      </c>
      <c r="E2294" t="n">
        <v>45</v>
      </c>
      <c r="F2294" t="b">
        <v>0</v>
      </c>
      <c r="G2294" t="inlineStr">
        <is>
          <t>Light</t>
        </is>
      </c>
      <c r="H2294" t="b">
        <v>0</v>
      </c>
    </row>
    <row r="2295">
      <c r="A2295" t="inlineStr">
        <is>
          <t>S004</t>
        </is>
      </c>
      <c r="B2295" s="3" t="n">
        <v>46273</v>
      </c>
      <c r="C2295" t="n">
        <v>13</v>
      </c>
      <c r="D2295" t="inlineStr">
        <is>
          <t>Tuesday</t>
        </is>
      </c>
      <c r="E2295" t="n">
        <v>49</v>
      </c>
      <c r="F2295" t="b">
        <v>0</v>
      </c>
      <c r="G2295" t="inlineStr">
        <is>
          <t>Heavy</t>
        </is>
      </c>
      <c r="H2295" t="b">
        <v>0</v>
      </c>
    </row>
    <row r="2296">
      <c r="A2296" t="inlineStr">
        <is>
          <t>S004</t>
        </is>
      </c>
      <c r="B2296" s="3" t="n">
        <v>46273</v>
      </c>
      <c r="C2296" t="n">
        <v>14</v>
      </c>
      <c r="D2296" t="inlineStr">
        <is>
          <t>Tuesday</t>
        </is>
      </c>
      <c r="E2296" t="n">
        <v>31</v>
      </c>
      <c r="F2296" t="b">
        <v>0</v>
      </c>
      <c r="H2296" t="b">
        <v>0</v>
      </c>
    </row>
    <row r="2297">
      <c r="A2297" t="inlineStr">
        <is>
          <t>S004</t>
        </is>
      </c>
      <c r="B2297" s="3" t="n">
        <v>46273</v>
      </c>
      <c r="C2297" t="n">
        <v>15</v>
      </c>
      <c r="D2297" t="inlineStr">
        <is>
          <t>Tuesday</t>
        </is>
      </c>
      <c r="E2297" t="n">
        <v>37</v>
      </c>
      <c r="F2297" t="b">
        <v>0</v>
      </c>
      <c r="H2297" t="b">
        <v>0</v>
      </c>
    </row>
    <row r="2298">
      <c r="A2298" t="inlineStr">
        <is>
          <t>S004</t>
        </is>
      </c>
      <c r="B2298" s="3" t="n">
        <v>46273</v>
      </c>
      <c r="C2298" t="n">
        <v>16</v>
      </c>
      <c r="D2298" t="inlineStr">
        <is>
          <t>Tuesday</t>
        </is>
      </c>
      <c r="E2298" t="n">
        <v>42</v>
      </c>
      <c r="F2298" t="b">
        <v>0</v>
      </c>
      <c r="G2298" t="inlineStr">
        <is>
          <t>Light</t>
        </is>
      </c>
      <c r="H2298" t="b">
        <v>0</v>
      </c>
    </row>
    <row r="2299">
      <c r="A2299" t="inlineStr">
        <is>
          <t>S004</t>
        </is>
      </c>
      <c r="B2299" s="3" t="n">
        <v>46273</v>
      </c>
      <c r="C2299" t="n">
        <v>17</v>
      </c>
      <c r="D2299" t="inlineStr">
        <is>
          <t>Tuesday</t>
        </is>
      </c>
      <c r="E2299" t="n">
        <v>35</v>
      </c>
      <c r="F2299" t="b">
        <v>0</v>
      </c>
      <c r="H2299" t="b">
        <v>0</v>
      </c>
    </row>
    <row r="2300">
      <c r="A2300" t="inlineStr">
        <is>
          <t>S004</t>
        </is>
      </c>
      <c r="B2300" s="3" t="n">
        <v>46273</v>
      </c>
      <c r="C2300" t="n">
        <v>18</v>
      </c>
      <c r="D2300" t="inlineStr">
        <is>
          <t>Tuesday</t>
        </is>
      </c>
      <c r="E2300" t="n">
        <v>37</v>
      </c>
      <c r="F2300" t="b">
        <v>0</v>
      </c>
      <c r="H2300" t="b">
        <v>0</v>
      </c>
    </row>
    <row r="2301">
      <c r="A2301" t="inlineStr">
        <is>
          <t>S004</t>
        </is>
      </c>
      <c r="B2301" s="3" t="n">
        <v>46273</v>
      </c>
      <c r="C2301" t="n">
        <v>19</v>
      </c>
      <c r="D2301" t="inlineStr">
        <is>
          <t>Tuesday</t>
        </is>
      </c>
      <c r="E2301" t="n">
        <v>72</v>
      </c>
      <c r="F2301" t="b">
        <v>1</v>
      </c>
      <c r="H2301" t="b">
        <v>0</v>
      </c>
    </row>
    <row r="2302">
      <c r="A2302" t="inlineStr">
        <is>
          <t>S004</t>
        </is>
      </c>
      <c r="B2302" s="3" t="n">
        <v>46273</v>
      </c>
      <c r="C2302" t="n">
        <v>20</v>
      </c>
      <c r="D2302" t="inlineStr">
        <is>
          <t>Tuesday</t>
        </is>
      </c>
      <c r="E2302" t="n">
        <v>71</v>
      </c>
      <c r="F2302" t="b">
        <v>1</v>
      </c>
      <c r="H2302" t="b">
        <v>1</v>
      </c>
    </row>
    <row r="2303">
      <c r="A2303" t="inlineStr">
        <is>
          <t>S004</t>
        </is>
      </c>
      <c r="B2303" s="3" t="n">
        <v>46273</v>
      </c>
      <c r="C2303" t="n">
        <v>21</v>
      </c>
      <c r="D2303" t="inlineStr">
        <is>
          <t>Tuesday</t>
        </is>
      </c>
      <c r="E2303" t="n">
        <v>64</v>
      </c>
      <c r="F2303" t="b">
        <v>1</v>
      </c>
      <c r="G2303" t="inlineStr">
        <is>
          <t>Light</t>
        </is>
      </c>
      <c r="H2303" t="b">
        <v>0</v>
      </c>
    </row>
    <row r="2304">
      <c r="A2304" t="inlineStr">
        <is>
          <t>S004</t>
        </is>
      </c>
      <c r="B2304" s="3" t="n">
        <v>46273</v>
      </c>
      <c r="C2304" t="n">
        <v>22</v>
      </c>
      <c r="D2304" t="inlineStr">
        <is>
          <t>Tuesday</t>
        </is>
      </c>
      <c r="E2304" t="n">
        <v>44</v>
      </c>
      <c r="F2304" t="b">
        <v>0</v>
      </c>
      <c r="H2304" t="b">
        <v>0</v>
      </c>
    </row>
    <row r="2305">
      <c r="A2305" t="inlineStr">
        <is>
          <t>S004</t>
        </is>
      </c>
      <c r="B2305" s="3" t="n">
        <v>46273</v>
      </c>
      <c r="C2305" t="n">
        <v>23</v>
      </c>
      <c r="D2305" t="inlineStr">
        <is>
          <t>Tuesday</t>
        </is>
      </c>
      <c r="E2305" t="n">
        <v>37</v>
      </c>
      <c r="F2305" t="b">
        <v>0</v>
      </c>
      <c r="H2305" t="b">
        <v>0</v>
      </c>
    </row>
    <row r="2306">
      <c r="A2306" t="inlineStr">
        <is>
          <t>S005</t>
        </is>
      </c>
      <c r="B2306" s="3" t="n">
        <v>46273</v>
      </c>
      <c r="C2306" t="n">
        <v>8</v>
      </c>
      <c r="D2306" t="inlineStr">
        <is>
          <t>Tuesday</t>
        </is>
      </c>
      <c r="E2306" t="n">
        <v>14</v>
      </c>
      <c r="F2306" t="b">
        <v>0</v>
      </c>
      <c r="G2306" t="inlineStr">
        <is>
          <t>Light</t>
        </is>
      </c>
      <c r="H2306" t="b">
        <v>0</v>
      </c>
    </row>
    <row r="2307">
      <c r="A2307" t="inlineStr">
        <is>
          <t>S005</t>
        </is>
      </c>
      <c r="B2307" s="3" t="n">
        <v>46273</v>
      </c>
      <c r="C2307" t="n">
        <v>9</v>
      </c>
      <c r="D2307" t="inlineStr">
        <is>
          <t>Tuesday</t>
        </is>
      </c>
      <c r="E2307" t="n">
        <v>16</v>
      </c>
      <c r="F2307" t="b">
        <v>0</v>
      </c>
      <c r="H2307" t="b">
        <v>0</v>
      </c>
    </row>
    <row r="2308">
      <c r="A2308" t="inlineStr">
        <is>
          <t>S005</t>
        </is>
      </c>
      <c r="B2308" s="3" t="n">
        <v>46273</v>
      </c>
      <c r="C2308" t="n">
        <v>10</v>
      </c>
      <c r="D2308" t="inlineStr">
        <is>
          <t>Tuesday</t>
        </is>
      </c>
      <c r="E2308" t="n">
        <v>14</v>
      </c>
      <c r="F2308" t="b">
        <v>0</v>
      </c>
      <c r="H2308" t="b">
        <v>0</v>
      </c>
    </row>
    <row r="2309">
      <c r="A2309" t="inlineStr">
        <is>
          <t>S005</t>
        </is>
      </c>
      <c r="B2309" s="3" t="n">
        <v>46273</v>
      </c>
      <c r="C2309" t="n">
        <v>11</v>
      </c>
      <c r="D2309" t="inlineStr">
        <is>
          <t>Tuesday</t>
        </is>
      </c>
      <c r="E2309" t="n">
        <v>9</v>
      </c>
      <c r="F2309" t="b">
        <v>0</v>
      </c>
      <c r="H2309" t="b">
        <v>0</v>
      </c>
    </row>
    <row r="2310">
      <c r="A2310" t="inlineStr">
        <is>
          <t>S005</t>
        </is>
      </c>
      <c r="B2310" s="3" t="n">
        <v>46273</v>
      </c>
      <c r="C2310" t="n">
        <v>12</v>
      </c>
      <c r="D2310" t="inlineStr">
        <is>
          <t>Tuesday</t>
        </is>
      </c>
      <c r="E2310" t="n">
        <v>9</v>
      </c>
      <c r="F2310" t="b">
        <v>0</v>
      </c>
      <c r="H2310" t="b">
        <v>0</v>
      </c>
    </row>
    <row r="2311">
      <c r="A2311" t="inlineStr">
        <is>
          <t>S005</t>
        </is>
      </c>
      <c r="B2311" s="3" t="n">
        <v>46273</v>
      </c>
      <c r="C2311" t="n">
        <v>13</v>
      </c>
      <c r="D2311" t="inlineStr">
        <is>
          <t>Tuesday</t>
        </is>
      </c>
      <c r="E2311" t="n">
        <v>12</v>
      </c>
      <c r="F2311" t="b">
        <v>0</v>
      </c>
      <c r="G2311" t="inlineStr">
        <is>
          <t>Heavy</t>
        </is>
      </c>
      <c r="H2311" t="b">
        <v>0</v>
      </c>
    </row>
    <row r="2312">
      <c r="A2312" t="inlineStr">
        <is>
          <t>S005</t>
        </is>
      </c>
      <c r="B2312" s="3" t="n">
        <v>46273</v>
      </c>
      <c r="C2312" t="n">
        <v>14</v>
      </c>
      <c r="D2312" t="inlineStr">
        <is>
          <t>Tuesday</t>
        </is>
      </c>
      <c r="E2312" t="n">
        <v>13</v>
      </c>
      <c r="F2312" t="b">
        <v>0</v>
      </c>
      <c r="H2312" t="b">
        <v>0</v>
      </c>
    </row>
    <row r="2313">
      <c r="A2313" t="inlineStr">
        <is>
          <t>S005</t>
        </is>
      </c>
      <c r="B2313" s="3" t="n">
        <v>46273</v>
      </c>
      <c r="C2313" t="n">
        <v>15</v>
      </c>
      <c r="D2313" t="inlineStr">
        <is>
          <t>Tuesday</t>
        </is>
      </c>
      <c r="E2313" t="n">
        <v>12</v>
      </c>
      <c r="F2313" t="b">
        <v>0</v>
      </c>
      <c r="G2313" t="inlineStr">
        <is>
          <t>Heavy</t>
        </is>
      </c>
      <c r="H2313" t="b">
        <v>0</v>
      </c>
    </row>
    <row r="2314">
      <c r="A2314" t="inlineStr">
        <is>
          <t>S005</t>
        </is>
      </c>
      <c r="B2314" s="3" t="n">
        <v>46273</v>
      </c>
      <c r="C2314" t="n">
        <v>16</v>
      </c>
      <c r="D2314" t="inlineStr">
        <is>
          <t>Tuesday</t>
        </is>
      </c>
      <c r="E2314" t="n">
        <v>9</v>
      </c>
      <c r="F2314" t="b">
        <v>0</v>
      </c>
      <c r="G2314" t="inlineStr">
        <is>
          <t>Light</t>
        </is>
      </c>
      <c r="H2314" t="b">
        <v>0</v>
      </c>
    </row>
    <row r="2315">
      <c r="A2315" t="inlineStr">
        <is>
          <t>S005</t>
        </is>
      </c>
      <c r="B2315" s="3" t="n">
        <v>46273</v>
      </c>
      <c r="C2315" t="n">
        <v>17</v>
      </c>
      <c r="D2315" t="inlineStr">
        <is>
          <t>Tuesday</t>
        </is>
      </c>
      <c r="E2315" t="n">
        <v>9</v>
      </c>
      <c r="F2315" t="b">
        <v>0</v>
      </c>
      <c r="H2315" t="b">
        <v>0</v>
      </c>
    </row>
    <row r="2316">
      <c r="A2316" t="inlineStr">
        <is>
          <t>S005</t>
        </is>
      </c>
      <c r="B2316" s="3" t="n">
        <v>46273</v>
      </c>
      <c r="C2316" t="n">
        <v>18</v>
      </c>
      <c r="D2316" t="inlineStr">
        <is>
          <t>Tuesday</t>
        </is>
      </c>
      <c r="E2316" t="n">
        <v>13</v>
      </c>
      <c r="F2316" t="b">
        <v>0</v>
      </c>
      <c r="H2316" t="b">
        <v>0</v>
      </c>
    </row>
    <row r="2317">
      <c r="A2317" t="inlineStr">
        <is>
          <t>S005</t>
        </is>
      </c>
      <c r="B2317" s="3" t="n">
        <v>46273</v>
      </c>
      <c r="C2317" t="n">
        <v>19</v>
      </c>
      <c r="D2317" t="inlineStr">
        <is>
          <t>Tuesday</t>
        </is>
      </c>
      <c r="E2317" t="n">
        <v>15</v>
      </c>
      <c r="F2317" t="b">
        <v>1</v>
      </c>
      <c r="H2317" t="b">
        <v>0</v>
      </c>
    </row>
    <row r="2318">
      <c r="A2318" t="inlineStr">
        <is>
          <t>S005</t>
        </is>
      </c>
      <c r="B2318" s="3" t="n">
        <v>46273</v>
      </c>
      <c r="C2318" t="n">
        <v>20</v>
      </c>
      <c r="D2318" t="inlineStr">
        <is>
          <t>Tuesday</t>
        </is>
      </c>
      <c r="E2318" t="n">
        <v>21</v>
      </c>
      <c r="F2318" t="b">
        <v>1</v>
      </c>
      <c r="G2318" t="inlineStr">
        <is>
          <t>Light</t>
        </is>
      </c>
      <c r="H2318" t="b">
        <v>0</v>
      </c>
    </row>
    <row r="2319">
      <c r="A2319" t="inlineStr">
        <is>
          <t>S005</t>
        </is>
      </c>
      <c r="B2319" s="3" t="n">
        <v>46273</v>
      </c>
      <c r="C2319" t="n">
        <v>21</v>
      </c>
      <c r="D2319" t="inlineStr">
        <is>
          <t>Tuesday</t>
        </is>
      </c>
      <c r="E2319" t="n">
        <v>13</v>
      </c>
      <c r="F2319" t="b">
        <v>1</v>
      </c>
      <c r="H2319" t="b">
        <v>0</v>
      </c>
    </row>
    <row r="2320">
      <c r="A2320" t="inlineStr">
        <is>
          <t>S005</t>
        </is>
      </c>
      <c r="B2320" s="3" t="n">
        <v>46273</v>
      </c>
      <c r="C2320" t="n">
        <v>22</v>
      </c>
      <c r="D2320" t="inlineStr">
        <is>
          <t>Tuesday</t>
        </is>
      </c>
      <c r="E2320" t="n">
        <v>9</v>
      </c>
      <c r="F2320" t="b">
        <v>0</v>
      </c>
      <c r="H2320" t="b">
        <v>0</v>
      </c>
    </row>
    <row r="2321">
      <c r="A2321" t="inlineStr">
        <is>
          <t>S005</t>
        </is>
      </c>
      <c r="B2321" s="3" t="n">
        <v>46273</v>
      </c>
      <c r="C2321" t="n">
        <v>23</v>
      </c>
      <c r="D2321" t="inlineStr">
        <is>
          <t>Tuesday</t>
        </is>
      </c>
      <c r="E2321" t="n">
        <v>17</v>
      </c>
      <c r="F2321" t="b">
        <v>0</v>
      </c>
      <c r="H2321" t="b">
        <v>0</v>
      </c>
    </row>
    <row r="2322">
      <c r="A2322" t="inlineStr">
        <is>
          <t>S006</t>
        </is>
      </c>
      <c r="B2322" s="3" t="n">
        <v>46273</v>
      </c>
      <c r="C2322" t="n">
        <v>8</v>
      </c>
      <c r="D2322" t="inlineStr">
        <is>
          <t>Tuesday</t>
        </is>
      </c>
      <c r="E2322" t="n">
        <v>22</v>
      </c>
      <c r="F2322" t="b">
        <v>0</v>
      </c>
      <c r="H2322" t="b">
        <v>0</v>
      </c>
    </row>
    <row r="2323">
      <c r="A2323" t="inlineStr">
        <is>
          <t>S006</t>
        </is>
      </c>
      <c r="B2323" s="3" t="n">
        <v>46273</v>
      </c>
      <c r="C2323" t="n">
        <v>9</v>
      </c>
      <c r="D2323" t="inlineStr">
        <is>
          <t>Tuesday</t>
        </is>
      </c>
      <c r="E2323" t="n">
        <v>20</v>
      </c>
      <c r="F2323" t="b">
        <v>0</v>
      </c>
      <c r="H2323" t="b">
        <v>0</v>
      </c>
    </row>
    <row r="2324">
      <c r="A2324" t="inlineStr">
        <is>
          <t>S006</t>
        </is>
      </c>
      <c r="B2324" s="3" t="n">
        <v>46273</v>
      </c>
      <c r="C2324" t="n">
        <v>10</v>
      </c>
      <c r="D2324" t="inlineStr">
        <is>
          <t>Tuesday</t>
        </is>
      </c>
      <c r="E2324" t="n">
        <v>25</v>
      </c>
      <c r="F2324" t="b">
        <v>0</v>
      </c>
      <c r="H2324" t="b">
        <v>0</v>
      </c>
    </row>
    <row r="2325">
      <c r="A2325" t="inlineStr">
        <is>
          <t>S006</t>
        </is>
      </c>
      <c r="B2325" s="3" t="n">
        <v>46273</v>
      </c>
      <c r="C2325" t="n">
        <v>11</v>
      </c>
      <c r="D2325" t="inlineStr">
        <is>
          <t>Tuesday</t>
        </is>
      </c>
      <c r="E2325" t="n">
        <v>24</v>
      </c>
      <c r="F2325" t="b">
        <v>0</v>
      </c>
      <c r="H2325" t="b">
        <v>0</v>
      </c>
    </row>
    <row r="2326">
      <c r="A2326" t="inlineStr">
        <is>
          <t>S006</t>
        </is>
      </c>
      <c r="B2326" s="3" t="n">
        <v>46273</v>
      </c>
      <c r="C2326" t="n">
        <v>12</v>
      </c>
      <c r="D2326" t="inlineStr">
        <is>
          <t>Tuesday</t>
        </is>
      </c>
      <c r="E2326" t="n">
        <v>26</v>
      </c>
      <c r="F2326" t="b">
        <v>0</v>
      </c>
      <c r="H2326" t="b">
        <v>0</v>
      </c>
    </row>
    <row r="2327">
      <c r="A2327" t="inlineStr">
        <is>
          <t>S006</t>
        </is>
      </c>
      <c r="B2327" s="3" t="n">
        <v>46273</v>
      </c>
      <c r="C2327" t="n">
        <v>13</v>
      </c>
      <c r="D2327" t="inlineStr">
        <is>
          <t>Tuesday</t>
        </is>
      </c>
      <c r="E2327" t="n">
        <v>29</v>
      </c>
      <c r="F2327" t="b">
        <v>0</v>
      </c>
      <c r="G2327" t="inlineStr">
        <is>
          <t>Heavy</t>
        </is>
      </c>
      <c r="H2327" t="b">
        <v>0</v>
      </c>
    </row>
    <row r="2328">
      <c r="A2328" t="inlineStr">
        <is>
          <t>S006</t>
        </is>
      </c>
      <c r="B2328" s="3" t="n">
        <v>46273</v>
      </c>
      <c r="C2328" t="n">
        <v>14</v>
      </c>
      <c r="D2328" t="inlineStr">
        <is>
          <t>Tuesday</t>
        </is>
      </c>
      <c r="E2328" t="n">
        <v>19</v>
      </c>
      <c r="F2328" t="b">
        <v>0</v>
      </c>
      <c r="H2328" t="b">
        <v>0</v>
      </c>
    </row>
    <row r="2329">
      <c r="A2329" t="inlineStr">
        <is>
          <t>S006</t>
        </is>
      </c>
      <c r="B2329" s="3" t="n">
        <v>46273</v>
      </c>
      <c r="C2329" t="n">
        <v>15</v>
      </c>
      <c r="D2329" t="inlineStr">
        <is>
          <t>Tuesday</t>
        </is>
      </c>
      <c r="E2329" t="n">
        <v>12</v>
      </c>
      <c r="F2329" t="b">
        <v>0</v>
      </c>
      <c r="H2329" t="b">
        <v>0</v>
      </c>
    </row>
    <row r="2330">
      <c r="A2330" t="inlineStr">
        <is>
          <t>S006</t>
        </is>
      </c>
      <c r="B2330" s="3" t="n">
        <v>46273</v>
      </c>
      <c r="C2330" t="n">
        <v>16</v>
      </c>
      <c r="D2330" t="inlineStr">
        <is>
          <t>Tuesday</t>
        </is>
      </c>
      <c r="E2330" t="n">
        <v>32</v>
      </c>
      <c r="F2330" t="b">
        <v>0</v>
      </c>
      <c r="H2330" t="b">
        <v>0</v>
      </c>
    </row>
    <row r="2331">
      <c r="A2331" t="inlineStr">
        <is>
          <t>S006</t>
        </is>
      </c>
      <c r="B2331" s="3" t="n">
        <v>46273</v>
      </c>
      <c r="C2331" t="n">
        <v>17</v>
      </c>
      <c r="D2331" t="inlineStr">
        <is>
          <t>Tuesday</t>
        </is>
      </c>
      <c r="E2331" t="n">
        <v>22</v>
      </c>
      <c r="F2331" t="b">
        <v>0</v>
      </c>
      <c r="G2331" t="inlineStr">
        <is>
          <t>Light</t>
        </is>
      </c>
      <c r="H2331" t="b">
        <v>0</v>
      </c>
    </row>
    <row r="2332">
      <c r="A2332" t="inlineStr">
        <is>
          <t>S006</t>
        </is>
      </c>
      <c r="B2332" s="3" t="n">
        <v>46273</v>
      </c>
      <c r="C2332" t="n">
        <v>18</v>
      </c>
      <c r="D2332" t="inlineStr">
        <is>
          <t>Tuesday</t>
        </is>
      </c>
      <c r="E2332" t="n">
        <v>27</v>
      </c>
      <c r="F2332" t="b">
        <v>0</v>
      </c>
      <c r="H2332" t="b">
        <v>0</v>
      </c>
    </row>
    <row r="2333">
      <c r="A2333" t="inlineStr">
        <is>
          <t>S006</t>
        </is>
      </c>
      <c r="B2333" s="3" t="n">
        <v>46273</v>
      </c>
      <c r="C2333" t="n">
        <v>19</v>
      </c>
      <c r="D2333" t="inlineStr">
        <is>
          <t>Tuesday</t>
        </is>
      </c>
      <c r="E2333" t="n">
        <v>43</v>
      </c>
      <c r="F2333" t="b">
        <v>1</v>
      </c>
      <c r="G2333" t="inlineStr">
        <is>
          <t>Light</t>
        </is>
      </c>
      <c r="H2333" t="b">
        <v>0</v>
      </c>
    </row>
    <row r="2334">
      <c r="A2334" t="inlineStr">
        <is>
          <t>S006</t>
        </is>
      </c>
      <c r="B2334" s="3" t="n">
        <v>46273</v>
      </c>
      <c r="C2334" t="n">
        <v>20</v>
      </c>
      <c r="D2334" t="inlineStr">
        <is>
          <t>Tuesday</t>
        </is>
      </c>
      <c r="E2334" t="n">
        <v>39</v>
      </c>
      <c r="F2334" t="b">
        <v>1</v>
      </c>
      <c r="G2334" t="inlineStr">
        <is>
          <t>Heavy</t>
        </is>
      </c>
      <c r="H2334" t="b">
        <v>0</v>
      </c>
    </row>
    <row r="2335">
      <c r="A2335" t="inlineStr">
        <is>
          <t>S006</t>
        </is>
      </c>
      <c r="B2335" s="3" t="n">
        <v>46273</v>
      </c>
      <c r="C2335" t="n">
        <v>21</v>
      </c>
      <c r="D2335" t="inlineStr">
        <is>
          <t>Tuesday</t>
        </is>
      </c>
      <c r="E2335" t="n">
        <v>42</v>
      </c>
      <c r="F2335" t="b">
        <v>1</v>
      </c>
      <c r="H2335" t="b">
        <v>0</v>
      </c>
    </row>
    <row r="2336">
      <c r="A2336" t="inlineStr">
        <is>
          <t>S006</t>
        </is>
      </c>
      <c r="B2336" s="3" t="n">
        <v>46273</v>
      </c>
      <c r="C2336" t="n">
        <v>22</v>
      </c>
      <c r="D2336" t="inlineStr">
        <is>
          <t>Tuesday</t>
        </is>
      </c>
      <c r="E2336" t="n">
        <v>21</v>
      </c>
      <c r="F2336" t="b">
        <v>0</v>
      </c>
      <c r="H2336" t="b">
        <v>0</v>
      </c>
    </row>
    <row r="2337">
      <c r="A2337" t="inlineStr">
        <is>
          <t>S006</t>
        </is>
      </c>
      <c r="B2337" s="3" t="n">
        <v>46273</v>
      </c>
      <c r="C2337" t="n">
        <v>23</v>
      </c>
      <c r="D2337" t="inlineStr">
        <is>
          <t>Tuesday</t>
        </is>
      </c>
      <c r="E2337" t="n">
        <v>33</v>
      </c>
      <c r="F2337" t="b">
        <v>0</v>
      </c>
      <c r="H2337" t="b">
        <v>0</v>
      </c>
    </row>
    <row r="2338">
      <c r="A2338" t="inlineStr">
        <is>
          <t>S007</t>
        </is>
      </c>
      <c r="B2338" s="3" t="n">
        <v>46273</v>
      </c>
      <c r="C2338" t="n">
        <v>8</v>
      </c>
      <c r="D2338" t="inlineStr">
        <is>
          <t>Tuesday</t>
        </is>
      </c>
      <c r="E2338" t="n">
        <v>23</v>
      </c>
      <c r="F2338" t="b">
        <v>0</v>
      </c>
      <c r="G2338" t="inlineStr">
        <is>
          <t>Light</t>
        </is>
      </c>
      <c r="H2338" t="b">
        <v>0</v>
      </c>
    </row>
    <row r="2339">
      <c r="A2339" t="inlineStr">
        <is>
          <t>S007</t>
        </is>
      </c>
      <c r="B2339" s="3" t="n">
        <v>46273</v>
      </c>
      <c r="C2339" t="n">
        <v>9</v>
      </c>
      <c r="D2339" t="inlineStr">
        <is>
          <t>Tuesday</t>
        </is>
      </c>
      <c r="E2339" t="n">
        <v>21</v>
      </c>
      <c r="F2339" t="b">
        <v>0</v>
      </c>
      <c r="H2339" t="b">
        <v>0</v>
      </c>
    </row>
    <row r="2340">
      <c r="A2340" t="inlineStr">
        <is>
          <t>S007</t>
        </is>
      </c>
      <c r="B2340" s="3" t="n">
        <v>46273</v>
      </c>
      <c r="C2340" t="n">
        <v>10</v>
      </c>
      <c r="D2340" t="inlineStr">
        <is>
          <t>Tuesday</t>
        </is>
      </c>
      <c r="E2340" t="n">
        <v>23</v>
      </c>
      <c r="F2340" t="b">
        <v>0</v>
      </c>
      <c r="G2340" t="inlineStr">
        <is>
          <t>Heavy</t>
        </is>
      </c>
      <c r="H2340" t="b">
        <v>0</v>
      </c>
    </row>
    <row r="2341">
      <c r="A2341" t="inlineStr">
        <is>
          <t>S007</t>
        </is>
      </c>
      <c r="B2341" s="3" t="n">
        <v>46273</v>
      </c>
      <c r="C2341" t="n">
        <v>11</v>
      </c>
      <c r="D2341" t="inlineStr">
        <is>
          <t>Tuesday</t>
        </is>
      </c>
      <c r="E2341" t="n">
        <v>38</v>
      </c>
      <c r="F2341" t="b">
        <v>0</v>
      </c>
      <c r="H2341" t="b">
        <v>0</v>
      </c>
    </row>
    <row r="2342">
      <c r="A2342" t="inlineStr">
        <is>
          <t>S007</t>
        </is>
      </c>
      <c r="B2342" s="3" t="n">
        <v>46273</v>
      </c>
      <c r="C2342" t="n">
        <v>12</v>
      </c>
      <c r="D2342" t="inlineStr">
        <is>
          <t>Tuesday</t>
        </is>
      </c>
      <c r="E2342" t="n">
        <v>38</v>
      </c>
      <c r="F2342" t="b">
        <v>0</v>
      </c>
      <c r="H2342" t="b">
        <v>0</v>
      </c>
    </row>
    <row r="2343">
      <c r="A2343" t="inlineStr">
        <is>
          <t>S007</t>
        </is>
      </c>
      <c r="B2343" s="3" t="n">
        <v>46273</v>
      </c>
      <c r="C2343" t="n">
        <v>13</v>
      </c>
      <c r="D2343" t="inlineStr">
        <is>
          <t>Tuesday</t>
        </is>
      </c>
      <c r="E2343" t="n">
        <v>41</v>
      </c>
      <c r="F2343" t="b">
        <v>0</v>
      </c>
      <c r="G2343" t="inlineStr">
        <is>
          <t>Heavy</t>
        </is>
      </c>
      <c r="H2343" t="b">
        <v>0</v>
      </c>
    </row>
    <row r="2344">
      <c r="A2344" t="inlineStr">
        <is>
          <t>S007</t>
        </is>
      </c>
      <c r="B2344" s="3" t="n">
        <v>46273</v>
      </c>
      <c r="C2344" t="n">
        <v>14</v>
      </c>
      <c r="D2344" t="inlineStr">
        <is>
          <t>Tuesday</t>
        </is>
      </c>
      <c r="E2344" t="n">
        <v>34</v>
      </c>
      <c r="F2344" t="b">
        <v>0</v>
      </c>
      <c r="H2344" t="b">
        <v>0</v>
      </c>
    </row>
    <row r="2345">
      <c r="A2345" t="inlineStr">
        <is>
          <t>S007</t>
        </is>
      </c>
      <c r="B2345" s="3" t="n">
        <v>46273</v>
      </c>
      <c r="C2345" t="n">
        <v>15</v>
      </c>
      <c r="D2345" t="inlineStr">
        <is>
          <t>Tuesday</t>
        </is>
      </c>
      <c r="E2345" t="n">
        <v>20</v>
      </c>
      <c r="F2345" t="b">
        <v>0</v>
      </c>
      <c r="H2345" t="b">
        <v>0</v>
      </c>
    </row>
    <row r="2346">
      <c r="A2346" t="inlineStr">
        <is>
          <t>S007</t>
        </is>
      </c>
      <c r="B2346" s="3" t="n">
        <v>46273</v>
      </c>
      <c r="C2346" t="n">
        <v>16</v>
      </c>
      <c r="D2346" t="inlineStr">
        <is>
          <t>Tuesday</t>
        </is>
      </c>
      <c r="E2346" t="n">
        <v>33</v>
      </c>
      <c r="F2346" t="b">
        <v>0</v>
      </c>
      <c r="H2346" t="b">
        <v>0</v>
      </c>
    </row>
    <row r="2347">
      <c r="A2347" t="inlineStr">
        <is>
          <t>S007</t>
        </is>
      </c>
      <c r="B2347" s="3" t="n">
        <v>46273</v>
      </c>
      <c r="C2347" t="n">
        <v>17</v>
      </c>
      <c r="D2347" t="inlineStr">
        <is>
          <t>Tuesday</t>
        </is>
      </c>
      <c r="E2347" t="n">
        <v>34</v>
      </c>
      <c r="F2347" t="b">
        <v>0</v>
      </c>
      <c r="H2347" t="b">
        <v>0</v>
      </c>
    </row>
    <row r="2348">
      <c r="A2348" t="inlineStr">
        <is>
          <t>S007</t>
        </is>
      </c>
      <c r="B2348" s="3" t="n">
        <v>46273</v>
      </c>
      <c r="C2348" t="n">
        <v>18</v>
      </c>
      <c r="D2348" t="inlineStr">
        <is>
          <t>Tuesday</t>
        </is>
      </c>
      <c r="E2348" t="n">
        <v>47</v>
      </c>
      <c r="F2348" t="b">
        <v>0</v>
      </c>
      <c r="H2348" t="b">
        <v>0</v>
      </c>
    </row>
    <row r="2349">
      <c r="A2349" t="inlineStr">
        <is>
          <t>S007</t>
        </is>
      </c>
      <c r="B2349" s="3" t="n">
        <v>46273</v>
      </c>
      <c r="C2349" t="n">
        <v>19</v>
      </c>
      <c r="D2349" t="inlineStr">
        <is>
          <t>Tuesday</t>
        </is>
      </c>
      <c r="E2349" t="n">
        <v>53</v>
      </c>
      <c r="F2349" t="b">
        <v>1</v>
      </c>
      <c r="H2349" t="b">
        <v>0</v>
      </c>
    </row>
    <row r="2350">
      <c r="A2350" t="inlineStr">
        <is>
          <t>S007</t>
        </is>
      </c>
      <c r="B2350" s="3" t="n">
        <v>46273</v>
      </c>
      <c r="C2350" t="n">
        <v>20</v>
      </c>
      <c r="D2350" t="inlineStr">
        <is>
          <t>Tuesday</t>
        </is>
      </c>
      <c r="E2350" t="n">
        <v>42</v>
      </c>
      <c r="F2350" t="b">
        <v>1</v>
      </c>
      <c r="H2350" t="b">
        <v>0</v>
      </c>
    </row>
    <row r="2351">
      <c r="A2351" t="inlineStr">
        <is>
          <t>S007</t>
        </is>
      </c>
      <c r="B2351" s="3" t="n">
        <v>46273</v>
      </c>
      <c r="C2351" t="n">
        <v>21</v>
      </c>
      <c r="D2351" t="inlineStr">
        <is>
          <t>Tuesday</t>
        </is>
      </c>
      <c r="E2351" t="n">
        <v>59</v>
      </c>
      <c r="F2351" t="b">
        <v>1</v>
      </c>
      <c r="H2351" t="b">
        <v>0</v>
      </c>
    </row>
    <row r="2352">
      <c r="A2352" t="inlineStr">
        <is>
          <t>S007</t>
        </is>
      </c>
      <c r="B2352" s="3" t="n">
        <v>46273</v>
      </c>
      <c r="C2352" t="n">
        <v>22</v>
      </c>
      <c r="D2352" t="inlineStr">
        <is>
          <t>Tuesday</t>
        </is>
      </c>
      <c r="E2352" t="n">
        <v>43</v>
      </c>
      <c r="F2352" t="b">
        <v>0</v>
      </c>
      <c r="H2352" t="b">
        <v>0</v>
      </c>
    </row>
    <row r="2353">
      <c r="A2353" t="inlineStr">
        <is>
          <t>S007</t>
        </is>
      </c>
      <c r="B2353" s="3" t="n">
        <v>46273</v>
      </c>
      <c r="C2353" t="n">
        <v>23</v>
      </c>
      <c r="D2353" t="inlineStr">
        <is>
          <t>Tuesday</t>
        </is>
      </c>
      <c r="E2353" t="n">
        <v>36</v>
      </c>
      <c r="F2353" t="b">
        <v>0</v>
      </c>
      <c r="H2353" t="b">
        <v>0</v>
      </c>
    </row>
    <row r="2354">
      <c r="A2354" t="inlineStr">
        <is>
          <t>S008</t>
        </is>
      </c>
      <c r="B2354" s="3" t="n">
        <v>46273</v>
      </c>
      <c r="C2354" t="n">
        <v>8</v>
      </c>
      <c r="D2354" t="inlineStr">
        <is>
          <t>Tuesday</t>
        </is>
      </c>
      <c r="E2354" t="n">
        <v>14</v>
      </c>
      <c r="F2354" t="b">
        <v>0</v>
      </c>
      <c r="G2354" t="inlineStr">
        <is>
          <t>Heavy</t>
        </is>
      </c>
      <c r="H2354" t="b">
        <v>0</v>
      </c>
    </row>
    <row r="2355">
      <c r="A2355" t="inlineStr">
        <is>
          <t>S008</t>
        </is>
      </c>
      <c r="B2355" s="3" t="n">
        <v>46273</v>
      </c>
      <c r="C2355" t="n">
        <v>9</v>
      </c>
      <c r="D2355" t="inlineStr">
        <is>
          <t>Tuesday</t>
        </is>
      </c>
      <c r="E2355" t="n">
        <v>17</v>
      </c>
      <c r="F2355" t="b">
        <v>0</v>
      </c>
      <c r="G2355" t="inlineStr">
        <is>
          <t>Light</t>
        </is>
      </c>
      <c r="H2355" t="b">
        <v>0</v>
      </c>
    </row>
    <row r="2356">
      <c r="A2356" t="inlineStr">
        <is>
          <t>S008</t>
        </is>
      </c>
      <c r="B2356" s="3" t="n">
        <v>46273</v>
      </c>
      <c r="C2356" t="n">
        <v>10</v>
      </c>
      <c r="D2356" t="inlineStr">
        <is>
          <t>Tuesday</t>
        </is>
      </c>
      <c r="E2356" t="n">
        <v>13</v>
      </c>
      <c r="F2356" t="b">
        <v>0</v>
      </c>
      <c r="H2356" t="b">
        <v>0</v>
      </c>
    </row>
    <row r="2357">
      <c r="A2357" t="inlineStr">
        <is>
          <t>S008</t>
        </is>
      </c>
      <c r="B2357" s="3" t="n">
        <v>46273</v>
      </c>
      <c r="C2357" t="n">
        <v>11</v>
      </c>
      <c r="D2357" t="inlineStr">
        <is>
          <t>Tuesday</t>
        </is>
      </c>
      <c r="E2357" t="n">
        <v>20</v>
      </c>
      <c r="F2357" t="b">
        <v>0</v>
      </c>
      <c r="G2357" t="inlineStr">
        <is>
          <t>Light</t>
        </is>
      </c>
      <c r="H2357" t="b">
        <v>0</v>
      </c>
    </row>
    <row r="2358">
      <c r="A2358" t="inlineStr">
        <is>
          <t>S008</t>
        </is>
      </c>
      <c r="B2358" s="3" t="n">
        <v>46273</v>
      </c>
      <c r="C2358" t="n">
        <v>12</v>
      </c>
      <c r="D2358" t="inlineStr">
        <is>
          <t>Tuesday</t>
        </is>
      </c>
      <c r="E2358" t="n">
        <v>38</v>
      </c>
      <c r="F2358" t="b">
        <v>0</v>
      </c>
      <c r="G2358" t="inlineStr">
        <is>
          <t>Heavy</t>
        </is>
      </c>
      <c r="H2358" t="b">
        <v>0</v>
      </c>
    </row>
    <row r="2359">
      <c r="A2359" t="inlineStr">
        <is>
          <t>S008</t>
        </is>
      </c>
      <c r="B2359" s="3" t="n">
        <v>46273</v>
      </c>
      <c r="C2359" t="n">
        <v>13</v>
      </c>
      <c r="D2359" t="inlineStr">
        <is>
          <t>Tuesday</t>
        </is>
      </c>
      <c r="E2359" t="n">
        <v>28</v>
      </c>
      <c r="F2359" t="b">
        <v>0</v>
      </c>
      <c r="G2359" t="inlineStr">
        <is>
          <t>Light</t>
        </is>
      </c>
      <c r="H2359" t="b">
        <v>0</v>
      </c>
    </row>
    <row r="2360">
      <c r="A2360" t="inlineStr">
        <is>
          <t>S008</t>
        </is>
      </c>
      <c r="B2360" s="3" t="n">
        <v>46273</v>
      </c>
      <c r="C2360" t="n">
        <v>14</v>
      </c>
      <c r="D2360" t="inlineStr">
        <is>
          <t>Tuesday</t>
        </is>
      </c>
      <c r="E2360" t="n">
        <v>9</v>
      </c>
      <c r="F2360" t="b">
        <v>0</v>
      </c>
      <c r="H2360" t="b">
        <v>0</v>
      </c>
    </row>
    <row r="2361">
      <c r="A2361" t="inlineStr">
        <is>
          <t>S008</t>
        </is>
      </c>
      <c r="B2361" s="3" t="n">
        <v>46273</v>
      </c>
      <c r="C2361" t="n">
        <v>15</v>
      </c>
      <c r="D2361" t="inlineStr">
        <is>
          <t>Tuesday</t>
        </is>
      </c>
      <c r="E2361" t="n">
        <v>12</v>
      </c>
      <c r="F2361" t="b">
        <v>0</v>
      </c>
      <c r="H2361" t="b">
        <v>0</v>
      </c>
    </row>
    <row r="2362">
      <c r="A2362" t="inlineStr">
        <is>
          <t>S008</t>
        </is>
      </c>
      <c r="B2362" s="3" t="n">
        <v>46273</v>
      </c>
      <c r="C2362" t="n">
        <v>16</v>
      </c>
      <c r="D2362" t="inlineStr">
        <is>
          <t>Tuesday</t>
        </is>
      </c>
      <c r="E2362" t="n">
        <v>17</v>
      </c>
      <c r="F2362" t="b">
        <v>0</v>
      </c>
      <c r="H2362" t="b">
        <v>0</v>
      </c>
    </row>
    <row r="2363">
      <c r="A2363" t="inlineStr">
        <is>
          <t>S008</t>
        </is>
      </c>
      <c r="B2363" s="3" t="n">
        <v>46273</v>
      </c>
      <c r="C2363" t="n">
        <v>17</v>
      </c>
      <c r="D2363" t="inlineStr">
        <is>
          <t>Tuesday</t>
        </is>
      </c>
      <c r="E2363" t="n">
        <v>22</v>
      </c>
      <c r="F2363" t="b">
        <v>0</v>
      </c>
      <c r="G2363" t="inlineStr">
        <is>
          <t>Light</t>
        </is>
      </c>
      <c r="H2363" t="b">
        <v>0</v>
      </c>
    </row>
    <row r="2364">
      <c r="A2364" t="inlineStr">
        <is>
          <t>S008</t>
        </is>
      </c>
      <c r="B2364" s="3" t="n">
        <v>46273</v>
      </c>
      <c r="C2364" t="n">
        <v>18</v>
      </c>
      <c r="D2364" t="inlineStr">
        <is>
          <t>Tuesday</t>
        </is>
      </c>
      <c r="E2364" t="n">
        <v>25</v>
      </c>
      <c r="F2364" t="b">
        <v>0</v>
      </c>
      <c r="H2364" t="b">
        <v>0</v>
      </c>
    </row>
    <row r="2365">
      <c r="A2365" t="inlineStr">
        <is>
          <t>S008</t>
        </is>
      </c>
      <c r="B2365" s="3" t="n">
        <v>46273</v>
      </c>
      <c r="C2365" t="n">
        <v>19</v>
      </c>
      <c r="D2365" t="inlineStr">
        <is>
          <t>Tuesday</t>
        </is>
      </c>
      <c r="E2365" t="n">
        <v>36</v>
      </c>
      <c r="F2365" t="b">
        <v>1</v>
      </c>
      <c r="G2365" t="inlineStr">
        <is>
          <t>Light</t>
        </is>
      </c>
      <c r="H2365" t="b">
        <v>0</v>
      </c>
    </row>
    <row r="2366">
      <c r="A2366" t="inlineStr">
        <is>
          <t>S008</t>
        </is>
      </c>
      <c r="B2366" s="3" t="n">
        <v>46273</v>
      </c>
      <c r="C2366" t="n">
        <v>20</v>
      </c>
      <c r="D2366" t="inlineStr">
        <is>
          <t>Tuesday</t>
        </is>
      </c>
      <c r="E2366" t="n">
        <v>39</v>
      </c>
      <c r="F2366" t="b">
        <v>1</v>
      </c>
      <c r="H2366" t="b">
        <v>0</v>
      </c>
    </row>
    <row r="2367">
      <c r="A2367" t="inlineStr">
        <is>
          <t>S008</t>
        </is>
      </c>
      <c r="B2367" s="3" t="n">
        <v>46273</v>
      </c>
      <c r="C2367" t="n">
        <v>21</v>
      </c>
      <c r="D2367" t="inlineStr">
        <is>
          <t>Tuesday</t>
        </is>
      </c>
      <c r="E2367" t="n">
        <v>40</v>
      </c>
      <c r="F2367" t="b">
        <v>1</v>
      </c>
      <c r="H2367" t="b">
        <v>0</v>
      </c>
    </row>
    <row r="2368">
      <c r="A2368" t="inlineStr">
        <is>
          <t>S008</t>
        </is>
      </c>
      <c r="B2368" s="3" t="n">
        <v>46273</v>
      </c>
      <c r="C2368" t="n">
        <v>22</v>
      </c>
      <c r="D2368" t="inlineStr">
        <is>
          <t>Tuesday</t>
        </is>
      </c>
      <c r="E2368" t="n">
        <v>21</v>
      </c>
      <c r="F2368" t="b">
        <v>0</v>
      </c>
      <c r="H2368" t="b">
        <v>0</v>
      </c>
    </row>
    <row r="2369">
      <c r="A2369" t="inlineStr">
        <is>
          <t>S008</t>
        </is>
      </c>
      <c r="B2369" s="3" t="n">
        <v>46273</v>
      </c>
      <c r="C2369" t="n">
        <v>23</v>
      </c>
      <c r="D2369" t="inlineStr">
        <is>
          <t>Tuesday</t>
        </is>
      </c>
      <c r="E2369" t="n">
        <v>17</v>
      </c>
      <c r="F2369" t="b">
        <v>0</v>
      </c>
      <c r="G2369" t="inlineStr">
        <is>
          <t>Light</t>
        </is>
      </c>
      <c r="H2369" t="b">
        <v>0</v>
      </c>
    </row>
    <row r="2370">
      <c r="A2370" t="inlineStr">
        <is>
          <t>S009</t>
        </is>
      </c>
      <c r="B2370" s="3" t="n">
        <v>46273</v>
      </c>
      <c r="C2370" t="n">
        <v>8</v>
      </c>
      <c r="D2370" t="inlineStr">
        <is>
          <t>Tuesday</t>
        </is>
      </c>
      <c r="E2370" t="n">
        <v>26</v>
      </c>
      <c r="F2370" t="b">
        <v>0</v>
      </c>
      <c r="H2370" t="b">
        <v>0</v>
      </c>
    </row>
    <row r="2371">
      <c r="A2371" t="inlineStr">
        <is>
          <t>S009</t>
        </is>
      </c>
      <c r="B2371" s="3" t="n">
        <v>46273</v>
      </c>
      <c r="C2371" t="n">
        <v>9</v>
      </c>
      <c r="D2371" t="inlineStr">
        <is>
          <t>Tuesday</t>
        </is>
      </c>
      <c r="E2371" t="n">
        <v>18</v>
      </c>
      <c r="F2371" t="b">
        <v>0</v>
      </c>
      <c r="H2371" t="b">
        <v>0</v>
      </c>
    </row>
    <row r="2372">
      <c r="A2372" t="inlineStr">
        <is>
          <t>S009</t>
        </is>
      </c>
      <c r="B2372" s="3" t="n">
        <v>46273</v>
      </c>
      <c r="C2372" t="n">
        <v>10</v>
      </c>
      <c r="D2372" t="inlineStr">
        <is>
          <t>Tuesday</t>
        </is>
      </c>
      <c r="E2372" t="n">
        <v>29</v>
      </c>
      <c r="F2372" t="b">
        <v>0</v>
      </c>
      <c r="H2372" t="b">
        <v>0</v>
      </c>
    </row>
    <row r="2373">
      <c r="A2373" t="inlineStr">
        <is>
          <t>S009</t>
        </is>
      </c>
      <c r="B2373" s="3" t="n">
        <v>46273</v>
      </c>
      <c r="C2373" t="n">
        <v>11</v>
      </c>
      <c r="D2373" t="inlineStr">
        <is>
          <t>Tuesday</t>
        </is>
      </c>
      <c r="E2373" t="n">
        <v>23</v>
      </c>
      <c r="F2373" t="b">
        <v>0</v>
      </c>
      <c r="H2373" t="b">
        <v>0</v>
      </c>
    </row>
    <row r="2374">
      <c r="A2374" t="inlineStr">
        <is>
          <t>S009</t>
        </is>
      </c>
      <c r="B2374" s="3" t="n">
        <v>46273</v>
      </c>
      <c r="C2374" t="n">
        <v>12</v>
      </c>
      <c r="D2374" t="inlineStr">
        <is>
          <t>Tuesday</t>
        </is>
      </c>
      <c r="E2374" t="n">
        <v>31</v>
      </c>
      <c r="F2374" t="b">
        <v>0</v>
      </c>
      <c r="G2374" t="inlineStr">
        <is>
          <t>Light</t>
        </is>
      </c>
      <c r="H2374" t="b">
        <v>0</v>
      </c>
    </row>
    <row r="2375">
      <c r="A2375" t="inlineStr">
        <is>
          <t>S009</t>
        </is>
      </c>
      <c r="B2375" s="3" t="n">
        <v>46273</v>
      </c>
      <c r="C2375" t="n">
        <v>13</v>
      </c>
      <c r="D2375" t="inlineStr">
        <is>
          <t>Tuesday</t>
        </is>
      </c>
      <c r="E2375" t="n">
        <v>41</v>
      </c>
      <c r="F2375" t="b">
        <v>0</v>
      </c>
      <c r="H2375" t="b">
        <v>0</v>
      </c>
    </row>
    <row r="2376">
      <c r="A2376" t="inlineStr">
        <is>
          <t>S009</t>
        </is>
      </c>
      <c r="B2376" s="3" t="n">
        <v>46273</v>
      </c>
      <c r="C2376" t="n">
        <v>14</v>
      </c>
      <c r="D2376" t="inlineStr">
        <is>
          <t>Tuesday</t>
        </is>
      </c>
      <c r="E2376" t="n">
        <v>27</v>
      </c>
      <c r="F2376" t="b">
        <v>0</v>
      </c>
      <c r="H2376" t="b">
        <v>0</v>
      </c>
    </row>
    <row r="2377">
      <c r="A2377" t="inlineStr">
        <is>
          <t>S009</t>
        </is>
      </c>
      <c r="B2377" s="3" t="n">
        <v>46273</v>
      </c>
      <c r="C2377" t="n">
        <v>15</v>
      </c>
      <c r="D2377" t="inlineStr">
        <is>
          <t>Tuesday</t>
        </is>
      </c>
      <c r="E2377" t="n">
        <v>21</v>
      </c>
      <c r="F2377" t="b">
        <v>0</v>
      </c>
      <c r="H2377" t="b">
        <v>0</v>
      </c>
    </row>
    <row r="2378">
      <c r="A2378" t="inlineStr">
        <is>
          <t>S009</t>
        </is>
      </c>
      <c r="B2378" s="3" t="n">
        <v>46273</v>
      </c>
      <c r="C2378" t="n">
        <v>16</v>
      </c>
      <c r="D2378" t="inlineStr">
        <is>
          <t>Tuesday</t>
        </is>
      </c>
      <c r="E2378" t="n">
        <v>23</v>
      </c>
      <c r="F2378" t="b">
        <v>0</v>
      </c>
      <c r="G2378" t="inlineStr">
        <is>
          <t>Light</t>
        </is>
      </c>
      <c r="H2378" t="b">
        <v>0</v>
      </c>
    </row>
    <row r="2379">
      <c r="A2379" t="inlineStr">
        <is>
          <t>S009</t>
        </is>
      </c>
      <c r="B2379" s="3" t="n">
        <v>46273</v>
      </c>
      <c r="C2379" t="n">
        <v>17</v>
      </c>
      <c r="D2379" t="inlineStr">
        <is>
          <t>Tuesday</t>
        </is>
      </c>
      <c r="E2379" t="n">
        <v>24</v>
      </c>
      <c r="F2379" t="b">
        <v>0</v>
      </c>
      <c r="H2379" t="b">
        <v>0</v>
      </c>
    </row>
    <row r="2380">
      <c r="A2380" t="inlineStr">
        <is>
          <t>S009</t>
        </is>
      </c>
      <c r="B2380" s="3" t="n">
        <v>46273</v>
      </c>
      <c r="C2380" t="n">
        <v>18</v>
      </c>
      <c r="D2380" t="inlineStr">
        <is>
          <t>Tuesday</t>
        </is>
      </c>
      <c r="E2380" t="n">
        <v>25</v>
      </c>
      <c r="F2380" t="b">
        <v>0</v>
      </c>
      <c r="H2380" t="b">
        <v>1</v>
      </c>
    </row>
    <row r="2381">
      <c r="A2381" t="inlineStr">
        <is>
          <t>S009</t>
        </is>
      </c>
      <c r="B2381" s="3" t="n">
        <v>46273</v>
      </c>
      <c r="C2381" t="n">
        <v>19</v>
      </c>
      <c r="D2381" t="inlineStr">
        <is>
          <t>Tuesday</t>
        </is>
      </c>
      <c r="E2381" t="n">
        <v>45</v>
      </c>
      <c r="F2381" t="b">
        <v>1</v>
      </c>
      <c r="H2381" t="b">
        <v>0</v>
      </c>
    </row>
    <row r="2382">
      <c r="A2382" t="inlineStr">
        <is>
          <t>S009</t>
        </is>
      </c>
      <c r="B2382" s="3" t="n">
        <v>46273</v>
      </c>
      <c r="C2382" t="n">
        <v>20</v>
      </c>
      <c r="D2382" t="inlineStr">
        <is>
          <t>Tuesday</t>
        </is>
      </c>
      <c r="E2382" t="n">
        <v>37</v>
      </c>
      <c r="F2382" t="b">
        <v>1</v>
      </c>
      <c r="H2382" t="b">
        <v>0</v>
      </c>
    </row>
    <row r="2383">
      <c r="A2383" t="inlineStr">
        <is>
          <t>S009</t>
        </is>
      </c>
      <c r="B2383" s="3" t="n">
        <v>46273</v>
      </c>
      <c r="C2383" t="n">
        <v>21</v>
      </c>
      <c r="D2383" t="inlineStr">
        <is>
          <t>Tuesday</t>
        </is>
      </c>
      <c r="E2383" t="n">
        <v>43</v>
      </c>
      <c r="F2383" t="b">
        <v>1</v>
      </c>
      <c r="H2383" t="b">
        <v>0</v>
      </c>
    </row>
    <row r="2384">
      <c r="A2384" t="inlineStr">
        <is>
          <t>S009</t>
        </is>
      </c>
      <c r="B2384" s="3" t="n">
        <v>46273</v>
      </c>
      <c r="C2384" t="n">
        <v>22</v>
      </c>
      <c r="D2384" t="inlineStr">
        <is>
          <t>Tuesday</t>
        </is>
      </c>
      <c r="E2384" t="n">
        <v>28</v>
      </c>
      <c r="F2384" t="b">
        <v>0</v>
      </c>
      <c r="H2384" t="b">
        <v>0</v>
      </c>
    </row>
    <row r="2385">
      <c r="A2385" t="inlineStr">
        <is>
          <t>S009</t>
        </is>
      </c>
      <c r="B2385" s="3" t="n">
        <v>46273</v>
      </c>
      <c r="C2385" t="n">
        <v>23</v>
      </c>
      <c r="D2385" t="inlineStr">
        <is>
          <t>Tuesday</t>
        </is>
      </c>
      <c r="E2385" t="n">
        <v>22</v>
      </c>
      <c r="F2385" t="b">
        <v>0</v>
      </c>
      <c r="H2385" t="b">
        <v>0</v>
      </c>
    </row>
    <row r="2386">
      <c r="A2386" t="inlineStr">
        <is>
          <t>S010</t>
        </is>
      </c>
      <c r="B2386" s="3" t="n">
        <v>46273</v>
      </c>
      <c r="C2386" t="n">
        <v>8</v>
      </c>
      <c r="D2386" t="inlineStr">
        <is>
          <t>Tuesday</t>
        </is>
      </c>
      <c r="E2386" t="n">
        <v>18</v>
      </c>
      <c r="F2386" t="b">
        <v>0</v>
      </c>
      <c r="H2386" t="b">
        <v>0</v>
      </c>
    </row>
    <row r="2387">
      <c r="A2387" t="inlineStr">
        <is>
          <t>S010</t>
        </is>
      </c>
      <c r="B2387" s="3" t="n">
        <v>46273</v>
      </c>
      <c r="C2387" t="n">
        <v>9</v>
      </c>
      <c r="D2387" t="inlineStr">
        <is>
          <t>Tuesday</t>
        </is>
      </c>
      <c r="E2387" t="n">
        <v>9</v>
      </c>
      <c r="F2387" t="b">
        <v>0</v>
      </c>
      <c r="H2387" t="b">
        <v>0</v>
      </c>
    </row>
    <row r="2388">
      <c r="A2388" t="inlineStr">
        <is>
          <t>S010</t>
        </is>
      </c>
      <c r="B2388" s="3" t="n">
        <v>46273</v>
      </c>
      <c r="C2388" t="n">
        <v>10</v>
      </c>
      <c r="D2388" t="inlineStr">
        <is>
          <t>Tuesday</t>
        </is>
      </c>
      <c r="E2388" t="n">
        <v>19</v>
      </c>
      <c r="F2388" t="b">
        <v>0</v>
      </c>
      <c r="G2388" t="inlineStr">
        <is>
          <t>Light</t>
        </is>
      </c>
      <c r="H2388" t="b">
        <v>0</v>
      </c>
    </row>
    <row r="2389">
      <c r="A2389" t="inlineStr">
        <is>
          <t>S010</t>
        </is>
      </c>
      <c r="B2389" s="3" t="n">
        <v>46273</v>
      </c>
      <c r="C2389" t="n">
        <v>11</v>
      </c>
      <c r="D2389" t="inlineStr">
        <is>
          <t>Tuesday</t>
        </is>
      </c>
      <c r="E2389" t="n">
        <v>22</v>
      </c>
      <c r="F2389" t="b">
        <v>0</v>
      </c>
      <c r="G2389" t="inlineStr">
        <is>
          <t>Light</t>
        </is>
      </c>
      <c r="H2389" t="b">
        <v>0</v>
      </c>
    </row>
    <row r="2390">
      <c r="A2390" t="inlineStr">
        <is>
          <t>S010</t>
        </is>
      </c>
      <c r="B2390" s="3" t="n">
        <v>46273</v>
      </c>
      <c r="C2390" t="n">
        <v>12</v>
      </c>
      <c r="D2390" t="inlineStr">
        <is>
          <t>Tuesday</t>
        </is>
      </c>
      <c r="E2390" t="n">
        <v>30</v>
      </c>
      <c r="F2390" t="b">
        <v>0</v>
      </c>
      <c r="G2390" t="inlineStr">
        <is>
          <t>Light</t>
        </is>
      </c>
      <c r="H2390" t="b">
        <v>0</v>
      </c>
    </row>
    <row r="2391">
      <c r="A2391" t="inlineStr">
        <is>
          <t>S010</t>
        </is>
      </c>
      <c r="B2391" s="3" t="n">
        <v>46273</v>
      </c>
      <c r="C2391" t="n">
        <v>13</v>
      </c>
      <c r="D2391" t="inlineStr">
        <is>
          <t>Tuesday</t>
        </is>
      </c>
      <c r="E2391" t="n">
        <v>20</v>
      </c>
      <c r="F2391" t="b">
        <v>0</v>
      </c>
      <c r="H2391" t="b">
        <v>0</v>
      </c>
    </row>
    <row r="2392">
      <c r="A2392" t="inlineStr">
        <is>
          <t>S010</t>
        </is>
      </c>
      <c r="B2392" s="3" t="n">
        <v>46273</v>
      </c>
      <c r="C2392" t="n">
        <v>14</v>
      </c>
      <c r="D2392" t="inlineStr">
        <is>
          <t>Tuesday</t>
        </is>
      </c>
      <c r="E2392" t="n">
        <v>12</v>
      </c>
      <c r="F2392" t="b">
        <v>0</v>
      </c>
      <c r="H2392" t="b">
        <v>0</v>
      </c>
    </row>
    <row r="2393">
      <c r="A2393" t="inlineStr">
        <is>
          <t>S010</t>
        </is>
      </c>
      <c r="B2393" s="3" t="n">
        <v>46273</v>
      </c>
      <c r="C2393" t="n">
        <v>15</v>
      </c>
      <c r="D2393" t="inlineStr">
        <is>
          <t>Tuesday</t>
        </is>
      </c>
      <c r="E2393" t="n">
        <v>14</v>
      </c>
      <c r="F2393" t="b">
        <v>0</v>
      </c>
      <c r="H2393" t="b">
        <v>0</v>
      </c>
    </row>
    <row r="2394">
      <c r="A2394" t="inlineStr">
        <is>
          <t>S010</t>
        </is>
      </c>
      <c r="B2394" s="3" t="n">
        <v>46273</v>
      </c>
      <c r="C2394" t="n">
        <v>16</v>
      </c>
      <c r="D2394" t="inlineStr">
        <is>
          <t>Tuesday</t>
        </is>
      </c>
      <c r="E2394" t="n">
        <v>21</v>
      </c>
      <c r="F2394" t="b">
        <v>0</v>
      </c>
      <c r="H2394" t="b">
        <v>0</v>
      </c>
    </row>
    <row r="2395">
      <c r="A2395" t="inlineStr">
        <is>
          <t>S010</t>
        </is>
      </c>
      <c r="B2395" s="3" t="n">
        <v>46273</v>
      </c>
      <c r="C2395" t="n">
        <v>17</v>
      </c>
      <c r="D2395" t="inlineStr">
        <is>
          <t>Tuesday</t>
        </is>
      </c>
      <c r="E2395" t="n">
        <v>18</v>
      </c>
      <c r="F2395" t="b">
        <v>0</v>
      </c>
      <c r="H2395" t="b">
        <v>0</v>
      </c>
    </row>
    <row r="2396">
      <c r="A2396" t="inlineStr">
        <is>
          <t>S010</t>
        </is>
      </c>
      <c r="B2396" s="3" t="n">
        <v>46273</v>
      </c>
      <c r="C2396" t="n">
        <v>18</v>
      </c>
      <c r="D2396" t="inlineStr">
        <is>
          <t>Tuesday</t>
        </is>
      </c>
      <c r="E2396" t="n">
        <v>22</v>
      </c>
      <c r="F2396" t="b">
        <v>0</v>
      </c>
      <c r="H2396" t="b">
        <v>0</v>
      </c>
    </row>
    <row r="2397">
      <c r="A2397" t="inlineStr">
        <is>
          <t>S010</t>
        </is>
      </c>
      <c r="B2397" s="3" t="n">
        <v>46273</v>
      </c>
      <c r="C2397" t="n">
        <v>19</v>
      </c>
      <c r="D2397" t="inlineStr">
        <is>
          <t>Tuesday</t>
        </is>
      </c>
      <c r="E2397" t="n">
        <v>45</v>
      </c>
      <c r="F2397" t="b">
        <v>1</v>
      </c>
      <c r="H2397" t="b">
        <v>0</v>
      </c>
    </row>
    <row r="2398">
      <c r="A2398" t="inlineStr">
        <is>
          <t>S010</t>
        </is>
      </c>
      <c r="B2398" s="3" t="n">
        <v>46273</v>
      </c>
      <c r="C2398" t="n">
        <v>20</v>
      </c>
      <c r="D2398" t="inlineStr">
        <is>
          <t>Tuesday</t>
        </is>
      </c>
      <c r="E2398" t="n">
        <v>35</v>
      </c>
      <c r="F2398" t="b">
        <v>1</v>
      </c>
      <c r="H2398" t="b">
        <v>0</v>
      </c>
    </row>
    <row r="2399">
      <c r="A2399" t="inlineStr">
        <is>
          <t>S010</t>
        </is>
      </c>
      <c r="B2399" s="3" t="n">
        <v>46273</v>
      </c>
      <c r="C2399" t="n">
        <v>21</v>
      </c>
      <c r="D2399" t="inlineStr">
        <is>
          <t>Tuesday</t>
        </is>
      </c>
      <c r="E2399" t="n">
        <v>30</v>
      </c>
      <c r="F2399" t="b">
        <v>1</v>
      </c>
      <c r="H2399" t="b">
        <v>0</v>
      </c>
    </row>
    <row r="2400">
      <c r="A2400" t="inlineStr">
        <is>
          <t>S010</t>
        </is>
      </c>
      <c r="B2400" s="3" t="n">
        <v>46273</v>
      </c>
      <c r="C2400" t="n">
        <v>22</v>
      </c>
      <c r="D2400" t="inlineStr">
        <is>
          <t>Tuesday</t>
        </is>
      </c>
      <c r="E2400" t="n">
        <v>21</v>
      </c>
      <c r="F2400" t="b">
        <v>0</v>
      </c>
      <c r="H2400" t="b">
        <v>0</v>
      </c>
    </row>
    <row r="2401">
      <c r="A2401" t="inlineStr">
        <is>
          <t>S010</t>
        </is>
      </c>
      <c r="B2401" s="3" t="n">
        <v>46273</v>
      </c>
      <c r="C2401" t="n">
        <v>23</v>
      </c>
      <c r="D2401" t="inlineStr">
        <is>
          <t>Tuesday</t>
        </is>
      </c>
      <c r="E2401" t="n">
        <v>22</v>
      </c>
      <c r="F2401" t="b">
        <v>0</v>
      </c>
      <c r="G2401" t="inlineStr">
        <is>
          <t>Heavy</t>
        </is>
      </c>
      <c r="H2401" t="b">
        <v>0</v>
      </c>
    </row>
    <row r="2402">
      <c r="A2402" t="inlineStr">
        <is>
          <t>S011</t>
        </is>
      </c>
      <c r="B2402" s="3" t="n">
        <v>46273</v>
      </c>
      <c r="C2402" t="n">
        <v>8</v>
      </c>
      <c r="D2402" t="inlineStr">
        <is>
          <t>Tuesday</t>
        </is>
      </c>
      <c r="E2402" t="n">
        <v>21</v>
      </c>
      <c r="F2402" t="b">
        <v>0</v>
      </c>
      <c r="G2402" t="inlineStr">
        <is>
          <t>Light</t>
        </is>
      </c>
      <c r="H2402" t="b">
        <v>0</v>
      </c>
    </row>
    <row r="2403">
      <c r="A2403" t="inlineStr">
        <is>
          <t>S011</t>
        </is>
      </c>
      <c r="B2403" s="3" t="n">
        <v>46273</v>
      </c>
      <c r="C2403" t="n">
        <v>9</v>
      </c>
      <c r="D2403" t="inlineStr">
        <is>
          <t>Tuesday</t>
        </is>
      </c>
      <c r="E2403" t="n">
        <v>14</v>
      </c>
      <c r="F2403" t="b">
        <v>0</v>
      </c>
      <c r="G2403" t="inlineStr">
        <is>
          <t>Light</t>
        </is>
      </c>
      <c r="H2403" t="b">
        <v>0</v>
      </c>
    </row>
    <row r="2404">
      <c r="A2404" t="inlineStr">
        <is>
          <t>S011</t>
        </is>
      </c>
      <c r="B2404" s="3" t="n">
        <v>46273</v>
      </c>
      <c r="C2404" t="n">
        <v>10</v>
      </c>
      <c r="D2404" t="inlineStr">
        <is>
          <t>Tuesday</t>
        </is>
      </c>
      <c r="E2404" t="n">
        <v>21</v>
      </c>
      <c r="F2404" t="b">
        <v>0</v>
      </c>
      <c r="H2404" t="b">
        <v>0</v>
      </c>
    </row>
    <row r="2405">
      <c r="A2405" t="inlineStr">
        <is>
          <t>S011</t>
        </is>
      </c>
      <c r="B2405" s="3" t="n">
        <v>46273</v>
      </c>
      <c r="C2405" t="n">
        <v>11</v>
      </c>
      <c r="D2405" t="inlineStr">
        <is>
          <t>Tuesday</t>
        </is>
      </c>
      <c r="E2405" t="n">
        <v>31</v>
      </c>
      <c r="F2405" t="b">
        <v>0</v>
      </c>
      <c r="G2405" t="inlineStr">
        <is>
          <t>Heavy</t>
        </is>
      </c>
      <c r="H2405" t="b">
        <v>0</v>
      </c>
    </row>
    <row r="2406">
      <c r="A2406" t="inlineStr">
        <is>
          <t>S011</t>
        </is>
      </c>
      <c r="B2406" s="3" t="n">
        <v>46273</v>
      </c>
      <c r="C2406" t="n">
        <v>12</v>
      </c>
      <c r="D2406" t="inlineStr">
        <is>
          <t>Tuesday</t>
        </is>
      </c>
      <c r="E2406" t="n">
        <v>36</v>
      </c>
      <c r="F2406" t="b">
        <v>0</v>
      </c>
      <c r="H2406" t="b">
        <v>0</v>
      </c>
    </row>
    <row r="2407">
      <c r="A2407" t="inlineStr">
        <is>
          <t>S011</t>
        </is>
      </c>
      <c r="B2407" s="3" t="n">
        <v>46273</v>
      </c>
      <c r="C2407" t="n">
        <v>13</v>
      </c>
      <c r="D2407" t="inlineStr">
        <is>
          <t>Tuesday</t>
        </is>
      </c>
      <c r="E2407" t="n">
        <v>33</v>
      </c>
      <c r="F2407" t="b">
        <v>0</v>
      </c>
      <c r="G2407" t="inlineStr">
        <is>
          <t>Heavy</t>
        </is>
      </c>
      <c r="H2407" t="b">
        <v>0</v>
      </c>
    </row>
    <row r="2408">
      <c r="A2408" t="inlineStr">
        <is>
          <t>S011</t>
        </is>
      </c>
      <c r="B2408" s="3" t="n">
        <v>46273</v>
      </c>
      <c r="C2408" t="n">
        <v>14</v>
      </c>
      <c r="D2408" t="inlineStr">
        <is>
          <t>Tuesday</t>
        </is>
      </c>
      <c r="E2408" t="n">
        <v>23</v>
      </c>
      <c r="F2408" t="b">
        <v>0</v>
      </c>
      <c r="H2408" t="b">
        <v>0</v>
      </c>
    </row>
    <row r="2409">
      <c r="A2409" t="inlineStr">
        <is>
          <t>S011</t>
        </is>
      </c>
      <c r="B2409" s="3" t="n">
        <v>46273</v>
      </c>
      <c r="C2409" t="n">
        <v>15</v>
      </c>
      <c r="D2409" t="inlineStr">
        <is>
          <t>Tuesday</t>
        </is>
      </c>
      <c r="E2409" t="n">
        <v>23</v>
      </c>
      <c r="F2409" t="b">
        <v>0</v>
      </c>
      <c r="H2409" t="b">
        <v>0</v>
      </c>
    </row>
    <row r="2410">
      <c r="A2410" t="inlineStr">
        <is>
          <t>S011</t>
        </is>
      </c>
      <c r="B2410" s="3" t="n">
        <v>46273</v>
      </c>
      <c r="C2410" t="n">
        <v>16</v>
      </c>
      <c r="D2410" t="inlineStr">
        <is>
          <t>Tuesday</t>
        </is>
      </c>
      <c r="E2410" t="n">
        <v>39</v>
      </c>
      <c r="F2410" t="b">
        <v>0</v>
      </c>
      <c r="G2410" t="inlineStr">
        <is>
          <t>Light</t>
        </is>
      </c>
      <c r="H2410" t="b">
        <v>0</v>
      </c>
    </row>
    <row r="2411">
      <c r="A2411" t="inlineStr">
        <is>
          <t>S011</t>
        </is>
      </c>
      <c r="B2411" s="3" t="n">
        <v>46273</v>
      </c>
      <c r="C2411" t="n">
        <v>17</v>
      </c>
      <c r="D2411" t="inlineStr">
        <is>
          <t>Tuesday</t>
        </is>
      </c>
      <c r="E2411" t="n">
        <v>31</v>
      </c>
      <c r="F2411" t="b">
        <v>0</v>
      </c>
      <c r="G2411" t="inlineStr">
        <is>
          <t>Heavy</t>
        </is>
      </c>
      <c r="H2411" t="b">
        <v>0</v>
      </c>
    </row>
    <row r="2412">
      <c r="A2412" t="inlineStr">
        <is>
          <t>S011</t>
        </is>
      </c>
      <c r="B2412" s="3" t="n">
        <v>46273</v>
      </c>
      <c r="C2412" t="n">
        <v>18</v>
      </c>
      <c r="D2412" t="inlineStr">
        <is>
          <t>Tuesday</t>
        </is>
      </c>
      <c r="E2412" t="n">
        <v>32</v>
      </c>
      <c r="F2412" t="b">
        <v>0</v>
      </c>
      <c r="G2412" t="inlineStr">
        <is>
          <t>Light</t>
        </is>
      </c>
      <c r="H2412" t="b">
        <v>0</v>
      </c>
    </row>
    <row r="2413">
      <c r="A2413" t="inlineStr">
        <is>
          <t>S011</t>
        </is>
      </c>
      <c r="B2413" s="3" t="n">
        <v>46273</v>
      </c>
      <c r="C2413" t="n">
        <v>19</v>
      </c>
      <c r="D2413" t="inlineStr">
        <is>
          <t>Tuesday</t>
        </is>
      </c>
      <c r="E2413" t="n">
        <v>46</v>
      </c>
      <c r="F2413" t="b">
        <v>1</v>
      </c>
      <c r="H2413" t="b">
        <v>0</v>
      </c>
    </row>
    <row r="2414">
      <c r="A2414" t="inlineStr">
        <is>
          <t>S011</t>
        </is>
      </c>
      <c r="B2414" s="3" t="n">
        <v>46273</v>
      </c>
      <c r="C2414" t="n">
        <v>20</v>
      </c>
      <c r="D2414" t="inlineStr">
        <is>
          <t>Tuesday</t>
        </is>
      </c>
      <c r="E2414" t="n">
        <v>42</v>
      </c>
      <c r="F2414" t="b">
        <v>1</v>
      </c>
      <c r="H2414" t="b">
        <v>0</v>
      </c>
    </row>
    <row r="2415">
      <c r="A2415" t="inlineStr">
        <is>
          <t>S011</t>
        </is>
      </c>
      <c r="B2415" s="3" t="n">
        <v>46273</v>
      </c>
      <c r="C2415" t="n">
        <v>21</v>
      </c>
      <c r="D2415" t="inlineStr">
        <is>
          <t>Tuesday</t>
        </is>
      </c>
      <c r="E2415" t="n">
        <v>51</v>
      </c>
      <c r="F2415" t="b">
        <v>1</v>
      </c>
      <c r="G2415" t="inlineStr">
        <is>
          <t>Heavy</t>
        </is>
      </c>
      <c r="H2415" t="b">
        <v>0</v>
      </c>
    </row>
    <row r="2416">
      <c r="A2416" t="inlineStr">
        <is>
          <t>S011</t>
        </is>
      </c>
      <c r="B2416" s="3" t="n">
        <v>46273</v>
      </c>
      <c r="C2416" t="n">
        <v>22</v>
      </c>
      <c r="D2416" t="inlineStr">
        <is>
          <t>Tuesday</t>
        </is>
      </c>
      <c r="E2416" t="n">
        <v>34</v>
      </c>
      <c r="F2416" t="b">
        <v>0</v>
      </c>
      <c r="G2416" t="inlineStr">
        <is>
          <t>Heavy</t>
        </is>
      </c>
      <c r="H2416" t="b">
        <v>0</v>
      </c>
    </row>
    <row r="2417">
      <c r="A2417" t="inlineStr">
        <is>
          <t>S011</t>
        </is>
      </c>
      <c r="B2417" s="3" t="n">
        <v>46273</v>
      </c>
      <c r="C2417" t="n">
        <v>23</v>
      </c>
      <c r="D2417" t="inlineStr">
        <is>
          <t>Tuesday</t>
        </is>
      </c>
      <c r="E2417" t="n">
        <v>22</v>
      </c>
      <c r="F2417" t="b">
        <v>0</v>
      </c>
      <c r="H2417" t="b">
        <v>0</v>
      </c>
    </row>
    <row r="2418">
      <c r="A2418" t="inlineStr">
        <is>
          <t>S012</t>
        </is>
      </c>
      <c r="B2418" s="3" t="n">
        <v>46273</v>
      </c>
      <c r="C2418" t="n">
        <v>8</v>
      </c>
      <c r="D2418" t="inlineStr">
        <is>
          <t>Tuesday</t>
        </is>
      </c>
      <c r="E2418" t="n">
        <v>10</v>
      </c>
      <c r="F2418" t="b">
        <v>0</v>
      </c>
      <c r="G2418" t="inlineStr">
        <is>
          <t>Heavy</t>
        </is>
      </c>
      <c r="H2418" t="b">
        <v>0</v>
      </c>
    </row>
    <row r="2419">
      <c r="A2419" t="inlineStr">
        <is>
          <t>S012</t>
        </is>
      </c>
      <c r="B2419" s="3" t="n">
        <v>46273</v>
      </c>
      <c r="C2419" t="n">
        <v>9</v>
      </c>
      <c r="D2419" t="inlineStr">
        <is>
          <t>Tuesday</t>
        </is>
      </c>
      <c r="E2419" t="n">
        <v>5</v>
      </c>
      <c r="F2419" t="b">
        <v>0</v>
      </c>
      <c r="G2419" t="inlineStr">
        <is>
          <t>Light</t>
        </is>
      </c>
      <c r="H2419" t="b">
        <v>0</v>
      </c>
    </row>
    <row r="2420">
      <c r="A2420" t="inlineStr">
        <is>
          <t>S012</t>
        </is>
      </c>
      <c r="B2420" s="3" t="n">
        <v>46273</v>
      </c>
      <c r="C2420" t="n">
        <v>10</v>
      </c>
      <c r="D2420" t="inlineStr">
        <is>
          <t>Tuesday</t>
        </is>
      </c>
      <c r="E2420" t="n">
        <v>9</v>
      </c>
      <c r="F2420" t="b">
        <v>0</v>
      </c>
      <c r="H2420" t="b">
        <v>0</v>
      </c>
    </row>
    <row r="2421">
      <c r="A2421" t="inlineStr">
        <is>
          <t>S012</t>
        </is>
      </c>
      <c r="B2421" s="3" t="n">
        <v>46273</v>
      </c>
      <c r="C2421" t="n">
        <v>11</v>
      </c>
      <c r="D2421" t="inlineStr">
        <is>
          <t>Tuesday</t>
        </is>
      </c>
      <c r="E2421" t="n">
        <v>17</v>
      </c>
      <c r="F2421" t="b">
        <v>0</v>
      </c>
      <c r="G2421" t="inlineStr">
        <is>
          <t>Heavy</t>
        </is>
      </c>
      <c r="H2421" t="b">
        <v>0</v>
      </c>
    </row>
    <row r="2422">
      <c r="A2422" t="inlineStr">
        <is>
          <t>S012</t>
        </is>
      </c>
      <c r="B2422" s="3" t="n">
        <v>46273</v>
      </c>
      <c r="C2422" t="n">
        <v>12</v>
      </c>
      <c r="D2422" t="inlineStr">
        <is>
          <t>Tuesday</t>
        </is>
      </c>
      <c r="E2422" t="n">
        <v>17</v>
      </c>
      <c r="F2422" t="b">
        <v>0</v>
      </c>
      <c r="G2422" t="inlineStr">
        <is>
          <t>Heavy</t>
        </is>
      </c>
      <c r="H2422" t="b">
        <v>0</v>
      </c>
    </row>
    <row r="2423">
      <c r="A2423" t="inlineStr">
        <is>
          <t>S012</t>
        </is>
      </c>
      <c r="B2423" s="3" t="n">
        <v>46273</v>
      </c>
      <c r="C2423" t="n">
        <v>13</v>
      </c>
      <c r="D2423" t="inlineStr">
        <is>
          <t>Tuesday</t>
        </is>
      </c>
      <c r="E2423" t="n">
        <v>15</v>
      </c>
      <c r="F2423" t="b">
        <v>0</v>
      </c>
      <c r="G2423" t="inlineStr">
        <is>
          <t>Heavy</t>
        </is>
      </c>
      <c r="H2423" t="b">
        <v>0</v>
      </c>
    </row>
    <row r="2424">
      <c r="A2424" t="inlineStr">
        <is>
          <t>S012</t>
        </is>
      </c>
      <c r="B2424" s="3" t="n">
        <v>46273</v>
      </c>
      <c r="C2424" t="n">
        <v>14</v>
      </c>
      <c r="D2424" t="inlineStr">
        <is>
          <t>Tuesday</t>
        </is>
      </c>
      <c r="E2424" t="n">
        <v>5</v>
      </c>
      <c r="F2424" t="b">
        <v>0</v>
      </c>
      <c r="G2424" t="inlineStr">
        <is>
          <t>Light</t>
        </is>
      </c>
      <c r="H2424" t="b">
        <v>0</v>
      </c>
    </row>
    <row r="2425">
      <c r="A2425" t="inlineStr">
        <is>
          <t>S012</t>
        </is>
      </c>
      <c r="B2425" s="3" t="n">
        <v>46273</v>
      </c>
      <c r="C2425" t="n">
        <v>15</v>
      </c>
      <c r="D2425" t="inlineStr">
        <is>
          <t>Tuesday</t>
        </is>
      </c>
      <c r="E2425" t="n">
        <v>13</v>
      </c>
      <c r="F2425" t="b">
        <v>0</v>
      </c>
      <c r="G2425" t="inlineStr">
        <is>
          <t>Light</t>
        </is>
      </c>
      <c r="H2425" t="b">
        <v>0</v>
      </c>
    </row>
    <row r="2426">
      <c r="A2426" t="inlineStr">
        <is>
          <t>S012</t>
        </is>
      </c>
      <c r="B2426" s="3" t="n">
        <v>46273</v>
      </c>
      <c r="C2426" t="n">
        <v>16</v>
      </c>
      <c r="D2426" t="inlineStr">
        <is>
          <t>Tuesday</t>
        </is>
      </c>
      <c r="E2426" t="n">
        <v>12</v>
      </c>
      <c r="F2426" t="b">
        <v>0</v>
      </c>
      <c r="H2426" t="b">
        <v>1</v>
      </c>
    </row>
    <row r="2427">
      <c r="A2427" t="inlineStr">
        <is>
          <t>S012</t>
        </is>
      </c>
      <c r="B2427" s="3" t="n">
        <v>46273</v>
      </c>
      <c r="C2427" t="n">
        <v>17</v>
      </c>
      <c r="D2427" t="inlineStr">
        <is>
          <t>Tuesday</t>
        </is>
      </c>
      <c r="E2427" t="n">
        <v>13</v>
      </c>
      <c r="F2427" t="b">
        <v>0</v>
      </c>
      <c r="H2427" t="b">
        <v>0</v>
      </c>
    </row>
    <row r="2428">
      <c r="A2428" t="inlineStr">
        <is>
          <t>S012</t>
        </is>
      </c>
      <c r="B2428" s="3" t="n">
        <v>46273</v>
      </c>
      <c r="C2428" t="n">
        <v>18</v>
      </c>
      <c r="D2428" t="inlineStr">
        <is>
          <t>Tuesday</t>
        </is>
      </c>
      <c r="E2428" t="n">
        <v>17</v>
      </c>
      <c r="F2428" t="b">
        <v>0</v>
      </c>
      <c r="G2428" t="inlineStr">
        <is>
          <t>Light</t>
        </is>
      </c>
      <c r="H2428" t="b">
        <v>0</v>
      </c>
    </row>
    <row r="2429">
      <c r="A2429" t="inlineStr">
        <is>
          <t>S012</t>
        </is>
      </c>
      <c r="B2429" s="3" t="n">
        <v>46273</v>
      </c>
      <c r="C2429" t="n">
        <v>19</v>
      </c>
      <c r="D2429" t="inlineStr">
        <is>
          <t>Tuesday</t>
        </is>
      </c>
      <c r="E2429" t="n">
        <v>19</v>
      </c>
      <c r="F2429" t="b">
        <v>1</v>
      </c>
      <c r="G2429" t="inlineStr">
        <is>
          <t>Heavy</t>
        </is>
      </c>
      <c r="H2429" t="b">
        <v>0</v>
      </c>
    </row>
    <row r="2430">
      <c r="A2430" t="inlineStr">
        <is>
          <t>S012</t>
        </is>
      </c>
      <c r="B2430" s="3" t="n">
        <v>46273</v>
      </c>
      <c r="C2430" t="n">
        <v>20</v>
      </c>
      <c r="D2430" t="inlineStr">
        <is>
          <t>Tuesday</t>
        </is>
      </c>
      <c r="E2430" t="n">
        <v>21</v>
      </c>
      <c r="F2430" t="b">
        <v>1</v>
      </c>
      <c r="H2430" t="b">
        <v>0</v>
      </c>
    </row>
    <row r="2431">
      <c r="A2431" t="inlineStr">
        <is>
          <t>S012</t>
        </is>
      </c>
      <c r="B2431" s="3" t="n">
        <v>46273</v>
      </c>
      <c r="C2431" t="n">
        <v>21</v>
      </c>
      <c r="D2431" t="inlineStr">
        <is>
          <t>Tuesday</t>
        </is>
      </c>
      <c r="E2431" t="n">
        <v>16</v>
      </c>
      <c r="F2431" t="b">
        <v>1</v>
      </c>
      <c r="H2431" t="b">
        <v>0</v>
      </c>
    </row>
    <row r="2432">
      <c r="A2432" t="inlineStr">
        <is>
          <t>S012</t>
        </is>
      </c>
      <c r="B2432" s="3" t="n">
        <v>46273</v>
      </c>
      <c r="C2432" t="n">
        <v>22</v>
      </c>
      <c r="D2432" t="inlineStr">
        <is>
          <t>Tuesday</t>
        </is>
      </c>
      <c r="E2432" t="n">
        <v>16</v>
      </c>
      <c r="F2432" t="b">
        <v>0</v>
      </c>
      <c r="H2432" t="b">
        <v>0</v>
      </c>
    </row>
    <row r="2433">
      <c r="A2433" t="inlineStr">
        <is>
          <t>S012</t>
        </is>
      </c>
      <c r="B2433" s="3" t="n">
        <v>46273</v>
      </c>
      <c r="C2433" t="n">
        <v>23</v>
      </c>
      <c r="D2433" t="inlineStr">
        <is>
          <t>Tuesday</t>
        </is>
      </c>
      <c r="E2433" t="n">
        <v>18</v>
      </c>
      <c r="F2433" t="b">
        <v>0</v>
      </c>
      <c r="H2433" t="b">
        <v>0</v>
      </c>
    </row>
    <row r="2434">
      <c r="A2434" t="inlineStr">
        <is>
          <t>S013</t>
        </is>
      </c>
      <c r="B2434" s="3" t="n">
        <v>46273</v>
      </c>
      <c r="C2434" t="n">
        <v>8</v>
      </c>
      <c r="D2434" t="inlineStr">
        <is>
          <t>Tuesday</t>
        </is>
      </c>
      <c r="E2434" t="n">
        <v>37</v>
      </c>
      <c r="F2434" t="b">
        <v>0</v>
      </c>
      <c r="H2434" t="b">
        <v>0</v>
      </c>
    </row>
    <row r="2435">
      <c r="A2435" t="inlineStr">
        <is>
          <t>S013</t>
        </is>
      </c>
      <c r="B2435" s="3" t="n">
        <v>46273</v>
      </c>
      <c r="C2435" t="n">
        <v>9</v>
      </c>
      <c r="D2435" t="inlineStr">
        <is>
          <t>Tuesday</t>
        </is>
      </c>
      <c r="E2435" t="n">
        <v>41</v>
      </c>
      <c r="F2435" t="b">
        <v>0</v>
      </c>
      <c r="H2435" t="b">
        <v>0</v>
      </c>
    </row>
    <row r="2436">
      <c r="A2436" t="inlineStr">
        <is>
          <t>S013</t>
        </is>
      </c>
      <c r="B2436" s="3" t="n">
        <v>46273</v>
      </c>
      <c r="C2436" t="n">
        <v>10</v>
      </c>
      <c r="D2436" t="inlineStr">
        <is>
          <t>Tuesday</t>
        </is>
      </c>
      <c r="E2436" t="n">
        <v>29</v>
      </c>
      <c r="F2436" t="b">
        <v>0</v>
      </c>
      <c r="H2436" t="b">
        <v>0</v>
      </c>
    </row>
    <row r="2437">
      <c r="A2437" t="inlineStr">
        <is>
          <t>S013</t>
        </is>
      </c>
      <c r="B2437" s="3" t="n">
        <v>46273</v>
      </c>
      <c r="C2437" t="n">
        <v>11</v>
      </c>
      <c r="D2437" t="inlineStr">
        <is>
          <t>Tuesday</t>
        </is>
      </c>
      <c r="E2437" t="n">
        <v>49</v>
      </c>
      <c r="F2437" t="b">
        <v>0</v>
      </c>
      <c r="G2437" t="inlineStr">
        <is>
          <t>Light</t>
        </is>
      </c>
      <c r="H2437" t="b">
        <v>0</v>
      </c>
    </row>
    <row r="2438">
      <c r="A2438" t="inlineStr">
        <is>
          <t>S013</t>
        </is>
      </c>
      <c r="B2438" s="3" t="n">
        <v>46273</v>
      </c>
      <c r="C2438" t="n">
        <v>12</v>
      </c>
      <c r="D2438" t="inlineStr">
        <is>
          <t>Tuesday</t>
        </is>
      </c>
      <c r="E2438" t="n">
        <v>54</v>
      </c>
      <c r="F2438" t="b">
        <v>0</v>
      </c>
      <c r="H2438" t="b">
        <v>0</v>
      </c>
    </row>
    <row r="2439">
      <c r="A2439" t="inlineStr">
        <is>
          <t>S013</t>
        </is>
      </c>
      <c r="B2439" s="3" t="n">
        <v>46273</v>
      </c>
      <c r="C2439" t="n">
        <v>13</v>
      </c>
      <c r="D2439" t="inlineStr">
        <is>
          <t>Tuesday</t>
        </is>
      </c>
      <c r="E2439" t="n">
        <v>50</v>
      </c>
      <c r="F2439" t="b">
        <v>0</v>
      </c>
      <c r="H2439" t="b">
        <v>0</v>
      </c>
    </row>
    <row r="2440">
      <c r="A2440" t="inlineStr">
        <is>
          <t>S013</t>
        </is>
      </c>
      <c r="B2440" s="3" t="n">
        <v>46273</v>
      </c>
      <c r="C2440" t="n">
        <v>14</v>
      </c>
      <c r="D2440" t="inlineStr">
        <is>
          <t>Tuesday</t>
        </is>
      </c>
      <c r="E2440" t="n">
        <v>40</v>
      </c>
      <c r="F2440" t="b">
        <v>0</v>
      </c>
      <c r="G2440" t="inlineStr">
        <is>
          <t>Light</t>
        </is>
      </c>
      <c r="H2440" t="b">
        <v>0</v>
      </c>
    </row>
    <row r="2441">
      <c r="A2441" t="inlineStr">
        <is>
          <t>S013</t>
        </is>
      </c>
      <c r="B2441" s="3" t="n">
        <v>46273</v>
      </c>
      <c r="C2441" t="n">
        <v>15</v>
      </c>
      <c r="D2441" t="inlineStr">
        <is>
          <t>Tuesday</t>
        </is>
      </c>
      <c r="E2441" t="n">
        <v>32</v>
      </c>
      <c r="F2441" t="b">
        <v>0</v>
      </c>
      <c r="G2441" t="inlineStr">
        <is>
          <t>Heavy</t>
        </is>
      </c>
      <c r="H2441" t="b">
        <v>0</v>
      </c>
    </row>
    <row r="2442">
      <c r="A2442" t="inlineStr">
        <is>
          <t>S013</t>
        </is>
      </c>
      <c r="B2442" s="3" t="n">
        <v>46273</v>
      </c>
      <c r="C2442" t="n">
        <v>16</v>
      </c>
      <c r="D2442" t="inlineStr">
        <is>
          <t>Tuesday</t>
        </is>
      </c>
      <c r="E2442" t="n">
        <v>39</v>
      </c>
      <c r="F2442" t="b">
        <v>0</v>
      </c>
      <c r="H2442" t="b">
        <v>0</v>
      </c>
    </row>
    <row r="2443">
      <c r="A2443" t="inlineStr">
        <is>
          <t>S013</t>
        </is>
      </c>
      <c r="B2443" s="3" t="n">
        <v>46273</v>
      </c>
      <c r="C2443" t="n">
        <v>17</v>
      </c>
      <c r="D2443" t="inlineStr">
        <is>
          <t>Tuesday</t>
        </is>
      </c>
      <c r="E2443" t="n">
        <v>67</v>
      </c>
      <c r="F2443" t="b">
        <v>0</v>
      </c>
      <c r="H2443" t="b">
        <v>0</v>
      </c>
    </row>
    <row r="2444">
      <c r="A2444" t="inlineStr">
        <is>
          <t>S013</t>
        </is>
      </c>
      <c r="B2444" s="3" t="n">
        <v>46273</v>
      </c>
      <c r="C2444" t="n">
        <v>18</v>
      </c>
      <c r="D2444" t="inlineStr">
        <is>
          <t>Tuesday</t>
        </is>
      </c>
      <c r="E2444" t="n">
        <v>42</v>
      </c>
      <c r="F2444" t="b">
        <v>0</v>
      </c>
      <c r="G2444" t="inlineStr">
        <is>
          <t>Light</t>
        </is>
      </c>
      <c r="H2444" t="b">
        <v>0</v>
      </c>
    </row>
    <row r="2445">
      <c r="A2445" t="inlineStr">
        <is>
          <t>S013</t>
        </is>
      </c>
      <c r="B2445" s="3" t="n">
        <v>46273</v>
      </c>
      <c r="C2445" t="n">
        <v>19</v>
      </c>
      <c r="D2445" t="inlineStr">
        <is>
          <t>Tuesday</t>
        </is>
      </c>
      <c r="E2445" t="n">
        <v>80</v>
      </c>
      <c r="F2445" t="b">
        <v>1</v>
      </c>
      <c r="H2445" t="b">
        <v>0</v>
      </c>
    </row>
    <row r="2446">
      <c r="A2446" t="inlineStr">
        <is>
          <t>S013</t>
        </is>
      </c>
      <c r="B2446" s="3" t="n">
        <v>46273</v>
      </c>
      <c r="C2446" t="n">
        <v>20</v>
      </c>
      <c r="D2446" t="inlineStr">
        <is>
          <t>Tuesday</t>
        </is>
      </c>
      <c r="E2446" t="n">
        <v>72</v>
      </c>
      <c r="F2446" t="b">
        <v>1</v>
      </c>
      <c r="G2446" t="inlineStr">
        <is>
          <t>Light</t>
        </is>
      </c>
      <c r="H2446" t="b">
        <v>0</v>
      </c>
    </row>
    <row r="2447">
      <c r="A2447" t="inlineStr">
        <is>
          <t>S013</t>
        </is>
      </c>
      <c r="B2447" s="3" t="n">
        <v>46273</v>
      </c>
      <c r="C2447" t="n">
        <v>21</v>
      </c>
      <c r="D2447" t="inlineStr">
        <is>
          <t>Tuesday</t>
        </is>
      </c>
      <c r="E2447" t="n">
        <v>61</v>
      </c>
      <c r="F2447" t="b">
        <v>1</v>
      </c>
      <c r="H2447" t="b">
        <v>1</v>
      </c>
    </row>
    <row r="2448">
      <c r="A2448" t="inlineStr">
        <is>
          <t>S013</t>
        </is>
      </c>
      <c r="B2448" s="3" t="n">
        <v>46273</v>
      </c>
      <c r="C2448" t="n">
        <v>22</v>
      </c>
      <c r="D2448" t="inlineStr">
        <is>
          <t>Tuesday</t>
        </is>
      </c>
      <c r="E2448" t="n">
        <v>56</v>
      </c>
      <c r="F2448" t="b">
        <v>0</v>
      </c>
      <c r="G2448" t="inlineStr">
        <is>
          <t>Heavy</t>
        </is>
      </c>
      <c r="H2448" t="b">
        <v>0</v>
      </c>
    </row>
    <row r="2449">
      <c r="A2449" t="inlineStr">
        <is>
          <t>S013</t>
        </is>
      </c>
      <c r="B2449" s="3" t="n">
        <v>46273</v>
      </c>
      <c r="C2449" t="n">
        <v>23</v>
      </c>
      <c r="D2449" t="inlineStr">
        <is>
          <t>Tuesday</t>
        </is>
      </c>
      <c r="E2449" t="n">
        <v>44</v>
      </c>
      <c r="F2449" t="b">
        <v>0</v>
      </c>
      <c r="H2449" t="b">
        <v>0</v>
      </c>
    </row>
    <row r="2450">
      <c r="A2450" t="inlineStr">
        <is>
          <t>S014</t>
        </is>
      </c>
      <c r="B2450" s="3" t="n">
        <v>46273</v>
      </c>
      <c r="C2450" t="n">
        <v>8</v>
      </c>
      <c r="D2450" t="inlineStr">
        <is>
          <t>Tuesday</t>
        </is>
      </c>
      <c r="E2450" t="n">
        <v>29</v>
      </c>
      <c r="F2450" t="b">
        <v>0</v>
      </c>
      <c r="H2450" t="b">
        <v>0</v>
      </c>
    </row>
    <row r="2451">
      <c r="A2451" t="inlineStr">
        <is>
          <t>S014</t>
        </is>
      </c>
      <c r="B2451" s="3" t="n">
        <v>46273</v>
      </c>
      <c r="C2451" t="n">
        <v>9</v>
      </c>
      <c r="D2451" t="inlineStr">
        <is>
          <t>Tuesday</t>
        </is>
      </c>
      <c r="E2451" t="n">
        <v>26</v>
      </c>
      <c r="F2451" t="b">
        <v>0</v>
      </c>
      <c r="H2451" t="b">
        <v>0</v>
      </c>
    </row>
    <row r="2452">
      <c r="A2452" t="inlineStr">
        <is>
          <t>S014</t>
        </is>
      </c>
      <c r="B2452" s="3" t="n">
        <v>46273</v>
      </c>
      <c r="C2452" t="n">
        <v>10</v>
      </c>
      <c r="D2452" t="inlineStr">
        <is>
          <t>Tuesday</t>
        </is>
      </c>
      <c r="E2452" t="n">
        <v>26</v>
      </c>
      <c r="F2452" t="b">
        <v>0</v>
      </c>
      <c r="G2452" t="inlineStr">
        <is>
          <t>Light</t>
        </is>
      </c>
      <c r="H2452" t="b">
        <v>0</v>
      </c>
    </row>
    <row r="2453">
      <c r="A2453" t="inlineStr">
        <is>
          <t>S014</t>
        </is>
      </c>
      <c r="B2453" s="3" t="n">
        <v>46273</v>
      </c>
      <c r="C2453" t="n">
        <v>11</v>
      </c>
      <c r="D2453" t="inlineStr">
        <is>
          <t>Tuesday</t>
        </is>
      </c>
      <c r="E2453" t="n">
        <v>27</v>
      </c>
      <c r="F2453" t="b">
        <v>0</v>
      </c>
      <c r="H2453" t="b">
        <v>0</v>
      </c>
    </row>
    <row r="2454">
      <c r="A2454" t="inlineStr">
        <is>
          <t>S014</t>
        </is>
      </c>
      <c r="B2454" s="3" t="n">
        <v>46273</v>
      </c>
      <c r="C2454" t="n">
        <v>12</v>
      </c>
      <c r="D2454" t="inlineStr">
        <is>
          <t>Tuesday</t>
        </is>
      </c>
      <c r="E2454" t="n">
        <v>38</v>
      </c>
      <c r="F2454" t="b">
        <v>0</v>
      </c>
      <c r="H2454" t="b">
        <v>0</v>
      </c>
    </row>
    <row r="2455">
      <c r="A2455" t="inlineStr">
        <is>
          <t>S014</t>
        </is>
      </c>
      <c r="B2455" s="3" t="n">
        <v>46273</v>
      </c>
      <c r="C2455" t="n">
        <v>13</v>
      </c>
      <c r="D2455" t="inlineStr">
        <is>
          <t>Tuesday</t>
        </is>
      </c>
      <c r="E2455" t="n">
        <v>27</v>
      </c>
      <c r="F2455" t="b">
        <v>0</v>
      </c>
      <c r="G2455" t="inlineStr">
        <is>
          <t>Light</t>
        </is>
      </c>
      <c r="H2455" t="b">
        <v>1</v>
      </c>
    </row>
    <row r="2456">
      <c r="A2456" t="inlineStr">
        <is>
          <t>S014</t>
        </is>
      </c>
      <c r="B2456" s="3" t="n">
        <v>46273</v>
      </c>
      <c r="C2456" t="n">
        <v>14</v>
      </c>
      <c r="D2456" t="inlineStr">
        <is>
          <t>Tuesday</t>
        </is>
      </c>
      <c r="E2456" t="n">
        <v>33</v>
      </c>
      <c r="F2456" t="b">
        <v>0</v>
      </c>
      <c r="H2456" t="b">
        <v>0</v>
      </c>
    </row>
    <row r="2457">
      <c r="A2457" t="inlineStr">
        <is>
          <t>S014</t>
        </is>
      </c>
      <c r="B2457" s="3" t="n">
        <v>46273</v>
      </c>
      <c r="C2457" t="n">
        <v>15</v>
      </c>
      <c r="D2457" t="inlineStr">
        <is>
          <t>Tuesday</t>
        </is>
      </c>
      <c r="E2457" t="n">
        <v>26</v>
      </c>
      <c r="F2457" t="b">
        <v>0</v>
      </c>
      <c r="H2457" t="b">
        <v>0</v>
      </c>
    </row>
    <row r="2458">
      <c r="A2458" t="inlineStr">
        <is>
          <t>S014</t>
        </is>
      </c>
      <c r="B2458" s="3" t="n">
        <v>46273</v>
      </c>
      <c r="C2458" t="n">
        <v>16</v>
      </c>
      <c r="D2458" t="inlineStr">
        <is>
          <t>Tuesday</t>
        </is>
      </c>
      <c r="E2458" t="n">
        <v>38</v>
      </c>
      <c r="F2458" t="b">
        <v>0</v>
      </c>
      <c r="G2458" t="inlineStr">
        <is>
          <t>Heavy</t>
        </is>
      </c>
      <c r="H2458" t="b">
        <v>0</v>
      </c>
    </row>
    <row r="2459">
      <c r="A2459" t="inlineStr">
        <is>
          <t>S014</t>
        </is>
      </c>
      <c r="B2459" s="3" t="n">
        <v>46273</v>
      </c>
      <c r="C2459" t="n">
        <v>17</v>
      </c>
      <c r="D2459" t="inlineStr">
        <is>
          <t>Tuesday</t>
        </is>
      </c>
      <c r="E2459" t="n">
        <v>37</v>
      </c>
      <c r="F2459" t="b">
        <v>0</v>
      </c>
      <c r="H2459" t="b">
        <v>0</v>
      </c>
    </row>
    <row r="2460">
      <c r="A2460" t="inlineStr">
        <is>
          <t>S014</t>
        </is>
      </c>
      <c r="B2460" s="3" t="n">
        <v>46273</v>
      </c>
      <c r="C2460" t="n">
        <v>18</v>
      </c>
      <c r="D2460" t="inlineStr">
        <is>
          <t>Tuesday</t>
        </is>
      </c>
      <c r="E2460" t="n">
        <v>42</v>
      </c>
      <c r="F2460" t="b">
        <v>0</v>
      </c>
      <c r="H2460" t="b">
        <v>0</v>
      </c>
    </row>
    <row r="2461">
      <c r="A2461" t="inlineStr">
        <is>
          <t>S014</t>
        </is>
      </c>
      <c r="B2461" s="3" t="n">
        <v>46273</v>
      </c>
      <c r="C2461" t="n">
        <v>19</v>
      </c>
      <c r="D2461" t="inlineStr">
        <is>
          <t>Tuesday</t>
        </is>
      </c>
      <c r="E2461" t="n">
        <v>55</v>
      </c>
      <c r="F2461" t="b">
        <v>1</v>
      </c>
      <c r="H2461" t="b">
        <v>0</v>
      </c>
    </row>
    <row r="2462">
      <c r="A2462" t="inlineStr">
        <is>
          <t>S014</t>
        </is>
      </c>
      <c r="B2462" s="3" t="n">
        <v>46273</v>
      </c>
      <c r="C2462" t="n">
        <v>20</v>
      </c>
      <c r="D2462" t="inlineStr">
        <is>
          <t>Tuesday</t>
        </is>
      </c>
      <c r="E2462" t="n">
        <v>62</v>
      </c>
      <c r="F2462" t="b">
        <v>1</v>
      </c>
      <c r="G2462" t="inlineStr">
        <is>
          <t>Light</t>
        </is>
      </c>
      <c r="H2462" t="b">
        <v>0</v>
      </c>
    </row>
    <row r="2463">
      <c r="A2463" t="inlineStr">
        <is>
          <t>S014</t>
        </is>
      </c>
      <c r="B2463" s="3" t="n">
        <v>46273</v>
      </c>
      <c r="C2463" t="n">
        <v>21</v>
      </c>
      <c r="D2463" t="inlineStr">
        <is>
          <t>Tuesday</t>
        </is>
      </c>
      <c r="E2463" t="n">
        <v>65</v>
      </c>
      <c r="F2463" t="b">
        <v>1</v>
      </c>
      <c r="H2463" t="b">
        <v>0</v>
      </c>
    </row>
    <row r="2464">
      <c r="A2464" t="inlineStr">
        <is>
          <t>S014</t>
        </is>
      </c>
      <c r="B2464" s="3" t="n">
        <v>46273</v>
      </c>
      <c r="C2464" t="n">
        <v>22</v>
      </c>
      <c r="D2464" t="inlineStr">
        <is>
          <t>Tuesday</t>
        </is>
      </c>
      <c r="E2464" t="n">
        <v>38</v>
      </c>
      <c r="F2464" t="b">
        <v>0</v>
      </c>
      <c r="H2464" t="b">
        <v>0</v>
      </c>
    </row>
    <row r="2465">
      <c r="A2465" t="inlineStr">
        <is>
          <t>S014</t>
        </is>
      </c>
      <c r="B2465" s="3" t="n">
        <v>46273</v>
      </c>
      <c r="C2465" t="n">
        <v>23</v>
      </c>
      <c r="D2465" t="inlineStr">
        <is>
          <t>Tuesday</t>
        </is>
      </c>
      <c r="E2465" t="n">
        <v>35</v>
      </c>
      <c r="F2465" t="b">
        <v>0</v>
      </c>
      <c r="G2465" t="inlineStr">
        <is>
          <t>Light</t>
        </is>
      </c>
      <c r="H2465" t="b">
        <v>0</v>
      </c>
    </row>
    <row r="2466">
      <c r="A2466" t="inlineStr">
        <is>
          <t>S015</t>
        </is>
      </c>
      <c r="B2466" s="3" t="n">
        <v>46273</v>
      </c>
      <c r="C2466" t="n">
        <v>8</v>
      </c>
      <c r="D2466" t="inlineStr">
        <is>
          <t>Tuesday</t>
        </is>
      </c>
      <c r="E2466" t="n">
        <v>21</v>
      </c>
      <c r="F2466" t="b">
        <v>0</v>
      </c>
      <c r="H2466" t="b">
        <v>0</v>
      </c>
    </row>
    <row r="2467">
      <c r="A2467" t="inlineStr">
        <is>
          <t>S015</t>
        </is>
      </c>
      <c r="B2467" s="3" t="n">
        <v>46273</v>
      </c>
      <c r="C2467" t="n">
        <v>9</v>
      </c>
      <c r="D2467" t="inlineStr">
        <is>
          <t>Tuesday</t>
        </is>
      </c>
      <c r="E2467" t="n">
        <v>9</v>
      </c>
      <c r="F2467" t="b">
        <v>0</v>
      </c>
      <c r="H2467" t="b">
        <v>0</v>
      </c>
    </row>
    <row r="2468">
      <c r="A2468" t="inlineStr">
        <is>
          <t>S015</t>
        </is>
      </c>
      <c r="B2468" s="3" t="n">
        <v>46273</v>
      </c>
      <c r="C2468" t="n">
        <v>10</v>
      </c>
      <c r="D2468" t="inlineStr">
        <is>
          <t>Tuesday</t>
        </is>
      </c>
      <c r="E2468" t="n">
        <v>17</v>
      </c>
      <c r="F2468" t="b">
        <v>0</v>
      </c>
      <c r="G2468" t="inlineStr">
        <is>
          <t>Heavy</t>
        </is>
      </c>
      <c r="H2468" t="b">
        <v>1</v>
      </c>
    </row>
    <row r="2469">
      <c r="A2469" t="inlineStr">
        <is>
          <t>S015</t>
        </is>
      </c>
      <c r="B2469" s="3" t="n">
        <v>46273</v>
      </c>
      <c r="C2469" t="n">
        <v>11</v>
      </c>
      <c r="D2469" t="inlineStr">
        <is>
          <t>Tuesday</t>
        </is>
      </c>
      <c r="E2469" t="n">
        <v>29</v>
      </c>
      <c r="F2469" t="b">
        <v>0</v>
      </c>
      <c r="H2469" t="b">
        <v>0</v>
      </c>
    </row>
    <row r="2470">
      <c r="A2470" t="inlineStr">
        <is>
          <t>S015</t>
        </is>
      </c>
      <c r="B2470" s="3" t="n">
        <v>46273</v>
      </c>
      <c r="C2470" t="n">
        <v>12</v>
      </c>
      <c r="D2470" t="inlineStr">
        <is>
          <t>Tuesday</t>
        </is>
      </c>
      <c r="E2470" t="n">
        <v>31</v>
      </c>
      <c r="F2470" t="b">
        <v>0</v>
      </c>
      <c r="H2470" t="b">
        <v>0</v>
      </c>
    </row>
    <row r="2471">
      <c r="A2471" t="inlineStr">
        <is>
          <t>S015</t>
        </is>
      </c>
      <c r="B2471" s="3" t="n">
        <v>46273</v>
      </c>
      <c r="C2471" t="n">
        <v>13</v>
      </c>
      <c r="D2471" t="inlineStr">
        <is>
          <t>Tuesday</t>
        </is>
      </c>
      <c r="E2471" t="n">
        <v>26</v>
      </c>
      <c r="F2471" t="b">
        <v>0</v>
      </c>
      <c r="H2471" t="b">
        <v>0</v>
      </c>
    </row>
    <row r="2472">
      <c r="A2472" t="inlineStr">
        <is>
          <t>S015</t>
        </is>
      </c>
      <c r="B2472" s="3" t="n">
        <v>46273</v>
      </c>
      <c r="C2472" t="n">
        <v>14</v>
      </c>
      <c r="D2472" t="inlineStr">
        <is>
          <t>Tuesday</t>
        </is>
      </c>
      <c r="E2472" t="n">
        <v>15</v>
      </c>
      <c r="F2472" t="b">
        <v>0</v>
      </c>
      <c r="H2472" t="b">
        <v>0</v>
      </c>
    </row>
    <row r="2473">
      <c r="A2473" t="inlineStr">
        <is>
          <t>S015</t>
        </is>
      </c>
      <c r="B2473" s="3" t="n">
        <v>46273</v>
      </c>
      <c r="C2473" t="n">
        <v>15</v>
      </c>
      <c r="D2473" t="inlineStr">
        <is>
          <t>Tuesday</t>
        </is>
      </c>
      <c r="E2473" t="n">
        <v>21</v>
      </c>
      <c r="F2473" t="b">
        <v>0</v>
      </c>
      <c r="H2473" t="b">
        <v>0</v>
      </c>
    </row>
    <row r="2474">
      <c r="A2474" t="inlineStr">
        <is>
          <t>S015</t>
        </is>
      </c>
      <c r="B2474" s="3" t="n">
        <v>46273</v>
      </c>
      <c r="C2474" t="n">
        <v>16</v>
      </c>
      <c r="D2474" t="inlineStr">
        <is>
          <t>Tuesday</t>
        </is>
      </c>
      <c r="E2474" t="n">
        <v>29</v>
      </c>
      <c r="F2474" t="b">
        <v>0</v>
      </c>
      <c r="H2474" t="b">
        <v>0</v>
      </c>
    </row>
    <row r="2475">
      <c r="A2475" t="inlineStr">
        <is>
          <t>S015</t>
        </is>
      </c>
      <c r="B2475" s="3" t="n">
        <v>46273</v>
      </c>
      <c r="C2475" t="n">
        <v>17</v>
      </c>
      <c r="D2475" t="inlineStr">
        <is>
          <t>Tuesday</t>
        </is>
      </c>
      <c r="E2475" t="n">
        <v>17</v>
      </c>
      <c r="F2475" t="b">
        <v>0</v>
      </c>
      <c r="H2475" t="b">
        <v>0</v>
      </c>
    </row>
    <row r="2476">
      <c r="A2476" t="inlineStr">
        <is>
          <t>S015</t>
        </is>
      </c>
      <c r="B2476" s="3" t="n">
        <v>46273</v>
      </c>
      <c r="C2476" t="n">
        <v>18</v>
      </c>
      <c r="D2476" t="inlineStr">
        <is>
          <t>Tuesday</t>
        </is>
      </c>
      <c r="E2476" t="n">
        <v>23</v>
      </c>
      <c r="F2476" t="b">
        <v>0</v>
      </c>
      <c r="H2476" t="b">
        <v>0</v>
      </c>
    </row>
    <row r="2477">
      <c r="A2477" t="inlineStr">
        <is>
          <t>S015</t>
        </is>
      </c>
      <c r="B2477" s="3" t="n">
        <v>46273</v>
      </c>
      <c r="C2477" t="n">
        <v>19</v>
      </c>
      <c r="D2477" t="inlineStr">
        <is>
          <t>Tuesday</t>
        </is>
      </c>
      <c r="E2477" t="n">
        <v>37</v>
      </c>
      <c r="F2477" t="b">
        <v>1</v>
      </c>
      <c r="G2477" t="inlineStr">
        <is>
          <t>Light</t>
        </is>
      </c>
      <c r="H2477" t="b">
        <v>0</v>
      </c>
    </row>
    <row r="2478">
      <c r="A2478" t="inlineStr">
        <is>
          <t>S015</t>
        </is>
      </c>
      <c r="B2478" s="3" t="n">
        <v>46273</v>
      </c>
      <c r="C2478" t="n">
        <v>20</v>
      </c>
      <c r="D2478" t="inlineStr">
        <is>
          <t>Tuesday</t>
        </is>
      </c>
      <c r="E2478" t="n">
        <v>32</v>
      </c>
      <c r="F2478" t="b">
        <v>1</v>
      </c>
      <c r="H2478" t="b">
        <v>0</v>
      </c>
    </row>
    <row r="2479">
      <c r="A2479" t="inlineStr">
        <is>
          <t>S015</t>
        </is>
      </c>
      <c r="B2479" s="3" t="n">
        <v>46273</v>
      </c>
      <c r="C2479" t="n">
        <v>21</v>
      </c>
      <c r="D2479" t="inlineStr">
        <is>
          <t>Tuesday</t>
        </is>
      </c>
      <c r="E2479" t="n">
        <v>32</v>
      </c>
      <c r="F2479" t="b">
        <v>1</v>
      </c>
      <c r="G2479" t="inlineStr">
        <is>
          <t>Light</t>
        </is>
      </c>
      <c r="H2479" t="b">
        <v>0</v>
      </c>
    </row>
    <row r="2480">
      <c r="A2480" t="inlineStr">
        <is>
          <t>S015</t>
        </is>
      </c>
      <c r="B2480" s="3" t="n">
        <v>46273</v>
      </c>
      <c r="C2480" t="n">
        <v>22</v>
      </c>
      <c r="D2480" t="inlineStr">
        <is>
          <t>Tuesday</t>
        </is>
      </c>
      <c r="E2480" t="n">
        <v>17</v>
      </c>
      <c r="F2480" t="b">
        <v>0</v>
      </c>
      <c r="H2480" t="b">
        <v>0</v>
      </c>
    </row>
    <row r="2481">
      <c r="A2481" t="inlineStr">
        <is>
          <t>S015</t>
        </is>
      </c>
      <c r="B2481" s="3" t="n">
        <v>46273</v>
      </c>
      <c r="C2481" t="n">
        <v>23</v>
      </c>
      <c r="D2481" t="inlineStr">
        <is>
          <t>Tuesday</t>
        </is>
      </c>
      <c r="E2481" t="n">
        <v>16</v>
      </c>
      <c r="F2481" t="b">
        <v>0</v>
      </c>
      <c r="H2481" t="b">
        <v>0</v>
      </c>
    </row>
    <row r="2482">
      <c r="A2482" t="inlineStr">
        <is>
          <t>S016</t>
        </is>
      </c>
      <c r="B2482" s="3" t="n">
        <v>46273</v>
      </c>
      <c r="C2482" t="n">
        <v>8</v>
      </c>
      <c r="D2482" t="inlineStr">
        <is>
          <t>Tuesday</t>
        </is>
      </c>
      <c r="E2482" t="n">
        <v>17</v>
      </c>
      <c r="F2482" t="b">
        <v>0</v>
      </c>
      <c r="H2482" t="b">
        <v>0</v>
      </c>
    </row>
    <row r="2483">
      <c r="A2483" t="inlineStr">
        <is>
          <t>S016</t>
        </is>
      </c>
      <c r="B2483" s="3" t="n">
        <v>46273</v>
      </c>
      <c r="C2483" t="n">
        <v>9</v>
      </c>
      <c r="D2483" t="inlineStr">
        <is>
          <t>Tuesday</t>
        </is>
      </c>
      <c r="E2483" t="n">
        <v>17</v>
      </c>
      <c r="F2483" t="b">
        <v>0</v>
      </c>
      <c r="H2483" t="b">
        <v>1</v>
      </c>
    </row>
    <row r="2484">
      <c r="A2484" t="inlineStr">
        <is>
          <t>S016</t>
        </is>
      </c>
      <c r="B2484" s="3" t="n">
        <v>46273</v>
      </c>
      <c r="C2484" t="n">
        <v>10</v>
      </c>
      <c r="D2484" t="inlineStr">
        <is>
          <t>Tuesday</t>
        </is>
      </c>
      <c r="E2484" t="n">
        <v>12</v>
      </c>
      <c r="F2484" t="b">
        <v>0</v>
      </c>
      <c r="H2484" t="b">
        <v>0</v>
      </c>
    </row>
    <row r="2485">
      <c r="A2485" t="inlineStr">
        <is>
          <t>S016</t>
        </is>
      </c>
      <c r="B2485" s="3" t="n">
        <v>46273</v>
      </c>
      <c r="C2485" t="n">
        <v>11</v>
      </c>
      <c r="D2485" t="inlineStr">
        <is>
          <t>Tuesday</t>
        </is>
      </c>
      <c r="E2485" t="n">
        <v>24</v>
      </c>
      <c r="F2485" t="b">
        <v>0</v>
      </c>
      <c r="H2485" t="b">
        <v>0</v>
      </c>
    </row>
    <row r="2486">
      <c r="A2486" t="inlineStr">
        <is>
          <t>S016</t>
        </is>
      </c>
      <c r="B2486" s="3" t="n">
        <v>46273</v>
      </c>
      <c r="C2486" t="n">
        <v>12</v>
      </c>
      <c r="D2486" t="inlineStr">
        <is>
          <t>Tuesday</t>
        </is>
      </c>
      <c r="E2486" t="n">
        <v>25</v>
      </c>
      <c r="F2486" t="b">
        <v>0</v>
      </c>
      <c r="H2486" t="b">
        <v>0</v>
      </c>
    </row>
    <row r="2487">
      <c r="A2487" t="inlineStr">
        <is>
          <t>S016</t>
        </is>
      </c>
      <c r="B2487" s="3" t="n">
        <v>46273</v>
      </c>
      <c r="C2487" t="n">
        <v>13</v>
      </c>
      <c r="D2487" t="inlineStr">
        <is>
          <t>Tuesday</t>
        </is>
      </c>
      <c r="E2487" t="n">
        <v>29</v>
      </c>
      <c r="F2487" t="b">
        <v>0</v>
      </c>
      <c r="H2487" t="b">
        <v>0</v>
      </c>
    </row>
    <row r="2488">
      <c r="A2488" t="inlineStr">
        <is>
          <t>S016</t>
        </is>
      </c>
      <c r="B2488" s="3" t="n">
        <v>46273</v>
      </c>
      <c r="C2488" t="n">
        <v>14</v>
      </c>
      <c r="D2488" t="inlineStr">
        <is>
          <t>Tuesday</t>
        </is>
      </c>
      <c r="E2488" t="n">
        <v>18</v>
      </c>
      <c r="F2488" t="b">
        <v>0</v>
      </c>
      <c r="H2488" t="b">
        <v>0</v>
      </c>
    </row>
    <row r="2489">
      <c r="A2489" t="inlineStr">
        <is>
          <t>S016</t>
        </is>
      </c>
      <c r="B2489" s="3" t="n">
        <v>46273</v>
      </c>
      <c r="C2489" t="n">
        <v>15</v>
      </c>
      <c r="D2489" t="inlineStr">
        <is>
          <t>Tuesday</t>
        </is>
      </c>
      <c r="E2489" t="n">
        <v>16</v>
      </c>
      <c r="F2489" t="b">
        <v>0</v>
      </c>
      <c r="G2489" t="inlineStr">
        <is>
          <t>Light</t>
        </is>
      </c>
      <c r="H2489" t="b">
        <v>0</v>
      </c>
    </row>
    <row r="2490">
      <c r="A2490" t="inlineStr">
        <is>
          <t>S016</t>
        </is>
      </c>
      <c r="B2490" s="3" t="n">
        <v>46273</v>
      </c>
      <c r="C2490" t="n">
        <v>16</v>
      </c>
      <c r="D2490" t="inlineStr">
        <is>
          <t>Tuesday</t>
        </is>
      </c>
      <c r="E2490" t="n">
        <v>23</v>
      </c>
      <c r="F2490" t="b">
        <v>0</v>
      </c>
      <c r="G2490" t="inlineStr">
        <is>
          <t>Light</t>
        </is>
      </c>
      <c r="H2490" t="b">
        <v>0</v>
      </c>
    </row>
    <row r="2491">
      <c r="A2491" t="inlineStr">
        <is>
          <t>S016</t>
        </is>
      </c>
      <c r="B2491" s="3" t="n">
        <v>46273</v>
      </c>
      <c r="C2491" t="n">
        <v>17</v>
      </c>
      <c r="D2491" t="inlineStr">
        <is>
          <t>Tuesday</t>
        </is>
      </c>
      <c r="E2491" t="n">
        <v>35</v>
      </c>
      <c r="F2491" t="b">
        <v>0</v>
      </c>
      <c r="H2491" t="b">
        <v>0</v>
      </c>
    </row>
    <row r="2492">
      <c r="A2492" t="inlineStr">
        <is>
          <t>S016</t>
        </is>
      </c>
      <c r="B2492" s="3" t="n">
        <v>46273</v>
      </c>
      <c r="C2492" t="n">
        <v>18</v>
      </c>
      <c r="D2492" t="inlineStr">
        <is>
          <t>Tuesday</t>
        </is>
      </c>
      <c r="E2492" t="n">
        <v>25</v>
      </c>
      <c r="F2492" t="b">
        <v>0</v>
      </c>
      <c r="G2492" t="inlineStr">
        <is>
          <t>Light</t>
        </is>
      </c>
      <c r="H2492" t="b">
        <v>0</v>
      </c>
    </row>
    <row r="2493">
      <c r="A2493" t="inlineStr">
        <is>
          <t>S016</t>
        </is>
      </c>
      <c r="B2493" s="3" t="n">
        <v>46273</v>
      </c>
      <c r="C2493" t="n">
        <v>19</v>
      </c>
      <c r="D2493" t="inlineStr">
        <is>
          <t>Tuesday</t>
        </is>
      </c>
      <c r="E2493" t="n">
        <v>34</v>
      </c>
      <c r="F2493" t="b">
        <v>1</v>
      </c>
      <c r="H2493" t="b">
        <v>0</v>
      </c>
    </row>
    <row r="2494">
      <c r="A2494" t="inlineStr">
        <is>
          <t>S016</t>
        </is>
      </c>
      <c r="B2494" s="3" t="n">
        <v>46273</v>
      </c>
      <c r="C2494" t="n">
        <v>20</v>
      </c>
      <c r="D2494" t="inlineStr">
        <is>
          <t>Tuesday</t>
        </is>
      </c>
      <c r="E2494" t="n">
        <v>29</v>
      </c>
      <c r="F2494" t="b">
        <v>1</v>
      </c>
      <c r="H2494" t="b">
        <v>0</v>
      </c>
    </row>
    <row r="2495">
      <c r="A2495" t="inlineStr">
        <is>
          <t>S016</t>
        </is>
      </c>
      <c r="B2495" s="3" t="n">
        <v>46273</v>
      </c>
      <c r="C2495" t="n">
        <v>21</v>
      </c>
      <c r="D2495" t="inlineStr">
        <is>
          <t>Tuesday</t>
        </is>
      </c>
      <c r="E2495" t="n">
        <v>34</v>
      </c>
      <c r="F2495" t="b">
        <v>1</v>
      </c>
      <c r="H2495" t="b">
        <v>0</v>
      </c>
    </row>
    <row r="2496">
      <c r="A2496" t="inlineStr">
        <is>
          <t>S016</t>
        </is>
      </c>
      <c r="B2496" s="3" t="n">
        <v>46273</v>
      </c>
      <c r="C2496" t="n">
        <v>22</v>
      </c>
      <c r="D2496" t="inlineStr">
        <is>
          <t>Tuesday</t>
        </is>
      </c>
      <c r="E2496" t="n">
        <v>20</v>
      </c>
      <c r="F2496" t="b">
        <v>0</v>
      </c>
      <c r="H2496" t="b">
        <v>0</v>
      </c>
    </row>
    <row r="2497">
      <c r="A2497" t="inlineStr">
        <is>
          <t>S016</t>
        </is>
      </c>
      <c r="B2497" s="3" t="n">
        <v>46273</v>
      </c>
      <c r="C2497" t="n">
        <v>23</v>
      </c>
      <c r="D2497" t="inlineStr">
        <is>
          <t>Tuesday</t>
        </is>
      </c>
      <c r="E2497" t="n">
        <v>30</v>
      </c>
      <c r="F2497" t="b">
        <v>0</v>
      </c>
      <c r="G2497" t="inlineStr">
        <is>
          <t>Light</t>
        </is>
      </c>
      <c r="H2497" t="b">
        <v>0</v>
      </c>
    </row>
    <row r="2498">
      <c r="A2498" t="inlineStr">
        <is>
          <t>S017</t>
        </is>
      </c>
      <c r="B2498" s="3" t="n">
        <v>46273</v>
      </c>
      <c r="C2498" t="n">
        <v>8</v>
      </c>
      <c r="D2498" t="inlineStr">
        <is>
          <t>Tuesday</t>
        </is>
      </c>
      <c r="E2498" t="n">
        <v>32</v>
      </c>
      <c r="F2498" t="b">
        <v>0</v>
      </c>
      <c r="H2498" t="b">
        <v>0</v>
      </c>
    </row>
    <row r="2499">
      <c r="A2499" t="inlineStr">
        <is>
          <t>S017</t>
        </is>
      </c>
      <c r="B2499" s="3" t="n">
        <v>46273</v>
      </c>
      <c r="C2499" t="n">
        <v>9</v>
      </c>
      <c r="D2499" t="inlineStr">
        <is>
          <t>Tuesday</t>
        </is>
      </c>
      <c r="E2499" t="n">
        <v>32</v>
      </c>
      <c r="F2499" t="b">
        <v>0</v>
      </c>
      <c r="G2499" t="inlineStr">
        <is>
          <t>Light</t>
        </is>
      </c>
      <c r="H2499" t="b">
        <v>0</v>
      </c>
    </row>
    <row r="2500">
      <c r="A2500" t="inlineStr">
        <is>
          <t>S017</t>
        </is>
      </c>
      <c r="B2500" s="3" t="n">
        <v>46273</v>
      </c>
      <c r="C2500" t="n">
        <v>10</v>
      </c>
      <c r="D2500" t="inlineStr">
        <is>
          <t>Tuesday</t>
        </is>
      </c>
      <c r="E2500" t="n">
        <v>21</v>
      </c>
      <c r="F2500" t="b">
        <v>0</v>
      </c>
      <c r="G2500" t="inlineStr">
        <is>
          <t>Heavy</t>
        </is>
      </c>
      <c r="H2500" t="b">
        <v>0</v>
      </c>
    </row>
    <row r="2501">
      <c r="A2501" t="inlineStr">
        <is>
          <t>S017</t>
        </is>
      </c>
      <c r="B2501" s="3" t="n">
        <v>46273</v>
      </c>
      <c r="C2501" t="n">
        <v>11</v>
      </c>
      <c r="D2501" t="inlineStr">
        <is>
          <t>Tuesday</t>
        </is>
      </c>
      <c r="E2501" t="n">
        <v>29</v>
      </c>
      <c r="F2501" t="b">
        <v>0</v>
      </c>
      <c r="H2501" t="b">
        <v>0</v>
      </c>
    </row>
    <row r="2502">
      <c r="A2502" t="inlineStr">
        <is>
          <t>S017</t>
        </is>
      </c>
      <c r="B2502" s="3" t="n">
        <v>46273</v>
      </c>
      <c r="C2502" t="n">
        <v>12</v>
      </c>
      <c r="D2502" t="inlineStr">
        <is>
          <t>Tuesday</t>
        </is>
      </c>
      <c r="E2502" t="n">
        <v>36</v>
      </c>
      <c r="F2502" t="b">
        <v>0</v>
      </c>
      <c r="G2502" t="inlineStr">
        <is>
          <t>Light</t>
        </is>
      </c>
      <c r="H2502" t="b">
        <v>0</v>
      </c>
    </row>
    <row r="2503">
      <c r="A2503" t="inlineStr">
        <is>
          <t>S017</t>
        </is>
      </c>
      <c r="B2503" s="3" t="n">
        <v>46273</v>
      </c>
      <c r="C2503" t="n">
        <v>13</v>
      </c>
      <c r="D2503" t="inlineStr">
        <is>
          <t>Tuesday</t>
        </is>
      </c>
      <c r="E2503" t="n">
        <v>38</v>
      </c>
      <c r="F2503" t="b">
        <v>0</v>
      </c>
      <c r="H2503" t="b">
        <v>0</v>
      </c>
    </row>
    <row r="2504">
      <c r="A2504" t="inlineStr">
        <is>
          <t>S017</t>
        </is>
      </c>
      <c r="B2504" s="3" t="n">
        <v>46273</v>
      </c>
      <c r="C2504" t="n">
        <v>14</v>
      </c>
      <c r="D2504" t="inlineStr">
        <is>
          <t>Tuesday</t>
        </is>
      </c>
      <c r="E2504" t="n">
        <v>25</v>
      </c>
      <c r="F2504" t="b">
        <v>0</v>
      </c>
      <c r="H2504" t="b">
        <v>0</v>
      </c>
    </row>
    <row r="2505">
      <c r="A2505" t="inlineStr">
        <is>
          <t>S017</t>
        </is>
      </c>
      <c r="B2505" s="3" t="n">
        <v>46273</v>
      </c>
      <c r="C2505" t="n">
        <v>15</v>
      </c>
      <c r="D2505" t="inlineStr">
        <is>
          <t>Tuesday</t>
        </is>
      </c>
      <c r="E2505" t="n">
        <v>25</v>
      </c>
      <c r="F2505" t="b">
        <v>0</v>
      </c>
      <c r="G2505" t="inlineStr">
        <is>
          <t>Light</t>
        </is>
      </c>
      <c r="H2505" t="b">
        <v>0</v>
      </c>
    </row>
    <row r="2506">
      <c r="A2506" t="inlineStr">
        <is>
          <t>S017</t>
        </is>
      </c>
      <c r="B2506" s="3" t="n">
        <v>46273</v>
      </c>
      <c r="C2506" t="n">
        <v>16</v>
      </c>
      <c r="D2506" t="inlineStr">
        <is>
          <t>Tuesday</t>
        </is>
      </c>
      <c r="E2506" t="n">
        <v>31</v>
      </c>
      <c r="F2506" t="b">
        <v>0</v>
      </c>
      <c r="G2506" t="inlineStr">
        <is>
          <t>Light</t>
        </is>
      </c>
      <c r="H2506" t="b">
        <v>0</v>
      </c>
    </row>
    <row r="2507">
      <c r="A2507" t="inlineStr">
        <is>
          <t>S017</t>
        </is>
      </c>
      <c r="B2507" s="3" t="n">
        <v>46273</v>
      </c>
      <c r="C2507" t="n">
        <v>17</v>
      </c>
      <c r="D2507" t="inlineStr">
        <is>
          <t>Tuesday</t>
        </is>
      </c>
      <c r="E2507" t="n">
        <v>42</v>
      </c>
      <c r="F2507" t="b">
        <v>0</v>
      </c>
      <c r="G2507" t="inlineStr">
        <is>
          <t>Heavy</t>
        </is>
      </c>
      <c r="H2507" t="b">
        <v>0</v>
      </c>
    </row>
    <row r="2508">
      <c r="A2508" t="inlineStr">
        <is>
          <t>S017</t>
        </is>
      </c>
      <c r="B2508" s="3" t="n">
        <v>46273</v>
      </c>
      <c r="C2508" t="n">
        <v>18</v>
      </c>
      <c r="D2508" t="inlineStr">
        <is>
          <t>Tuesday</t>
        </is>
      </c>
      <c r="E2508" t="n">
        <v>40</v>
      </c>
      <c r="F2508" t="b">
        <v>0</v>
      </c>
      <c r="H2508" t="b">
        <v>0</v>
      </c>
    </row>
    <row r="2509">
      <c r="A2509" t="inlineStr">
        <is>
          <t>S017</t>
        </is>
      </c>
      <c r="B2509" s="3" t="n">
        <v>46273</v>
      </c>
      <c r="C2509" t="n">
        <v>19</v>
      </c>
      <c r="D2509" t="inlineStr">
        <is>
          <t>Tuesday</t>
        </is>
      </c>
      <c r="E2509" t="n">
        <v>54</v>
      </c>
      <c r="F2509" t="b">
        <v>1</v>
      </c>
      <c r="H2509" t="b">
        <v>0</v>
      </c>
    </row>
    <row r="2510">
      <c r="A2510" t="inlineStr">
        <is>
          <t>S017</t>
        </is>
      </c>
      <c r="B2510" s="3" t="n">
        <v>46273</v>
      </c>
      <c r="C2510" t="n">
        <v>20</v>
      </c>
      <c r="D2510" t="inlineStr">
        <is>
          <t>Tuesday</t>
        </is>
      </c>
      <c r="E2510" t="n">
        <v>39</v>
      </c>
      <c r="F2510" t="b">
        <v>1</v>
      </c>
      <c r="H2510" t="b">
        <v>0</v>
      </c>
    </row>
    <row r="2511">
      <c r="A2511" t="inlineStr">
        <is>
          <t>S017</t>
        </is>
      </c>
      <c r="B2511" s="3" t="n">
        <v>46273</v>
      </c>
      <c r="C2511" t="n">
        <v>21</v>
      </c>
      <c r="D2511" t="inlineStr">
        <is>
          <t>Tuesday</t>
        </is>
      </c>
      <c r="E2511" t="n">
        <v>49</v>
      </c>
      <c r="F2511" t="b">
        <v>1</v>
      </c>
      <c r="G2511" t="inlineStr">
        <is>
          <t>Light</t>
        </is>
      </c>
      <c r="H2511" t="b">
        <v>0</v>
      </c>
    </row>
    <row r="2512">
      <c r="A2512" t="inlineStr">
        <is>
          <t>S017</t>
        </is>
      </c>
      <c r="B2512" s="3" t="n">
        <v>46273</v>
      </c>
      <c r="C2512" t="n">
        <v>22</v>
      </c>
      <c r="D2512" t="inlineStr">
        <is>
          <t>Tuesday</t>
        </is>
      </c>
      <c r="E2512" t="n">
        <v>38</v>
      </c>
      <c r="F2512" t="b">
        <v>0</v>
      </c>
      <c r="H2512" t="b">
        <v>0</v>
      </c>
    </row>
    <row r="2513">
      <c r="A2513" t="inlineStr">
        <is>
          <t>S017</t>
        </is>
      </c>
      <c r="B2513" s="3" t="n">
        <v>46273</v>
      </c>
      <c r="C2513" t="n">
        <v>23</v>
      </c>
      <c r="D2513" t="inlineStr">
        <is>
          <t>Tuesday</t>
        </is>
      </c>
      <c r="E2513" t="n">
        <v>41</v>
      </c>
      <c r="F2513" t="b">
        <v>0</v>
      </c>
      <c r="G2513" t="inlineStr">
        <is>
          <t>Heavy</t>
        </is>
      </c>
      <c r="H2513" t="b">
        <v>0</v>
      </c>
    </row>
    <row r="2514">
      <c r="A2514" t="inlineStr">
        <is>
          <t>S018</t>
        </is>
      </c>
      <c r="B2514" s="3" t="n">
        <v>46273</v>
      </c>
      <c r="C2514" t="n">
        <v>8</v>
      </c>
      <c r="D2514" t="inlineStr">
        <is>
          <t>Tuesday</t>
        </is>
      </c>
      <c r="E2514" t="n">
        <v>19</v>
      </c>
      <c r="F2514" t="b">
        <v>0</v>
      </c>
      <c r="G2514" t="inlineStr">
        <is>
          <t>Heavy</t>
        </is>
      </c>
      <c r="H2514" t="b">
        <v>0</v>
      </c>
    </row>
    <row r="2515">
      <c r="A2515" t="inlineStr">
        <is>
          <t>S018</t>
        </is>
      </c>
      <c r="B2515" s="3" t="n">
        <v>46273</v>
      </c>
      <c r="C2515" t="n">
        <v>9</v>
      </c>
      <c r="D2515" t="inlineStr">
        <is>
          <t>Tuesday</t>
        </is>
      </c>
      <c r="E2515" t="n">
        <v>15</v>
      </c>
      <c r="F2515" t="b">
        <v>0</v>
      </c>
      <c r="H2515" t="b">
        <v>0</v>
      </c>
    </row>
    <row r="2516">
      <c r="A2516" t="inlineStr">
        <is>
          <t>S018</t>
        </is>
      </c>
      <c r="B2516" s="3" t="n">
        <v>46273</v>
      </c>
      <c r="C2516" t="n">
        <v>10</v>
      </c>
      <c r="D2516" t="inlineStr">
        <is>
          <t>Tuesday</t>
        </is>
      </c>
      <c r="E2516" t="n">
        <v>27</v>
      </c>
      <c r="F2516" t="b">
        <v>0</v>
      </c>
      <c r="H2516" t="b">
        <v>0</v>
      </c>
    </row>
    <row r="2517">
      <c r="A2517" t="inlineStr">
        <is>
          <t>S018</t>
        </is>
      </c>
      <c r="B2517" s="3" t="n">
        <v>46273</v>
      </c>
      <c r="C2517" t="n">
        <v>11</v>
      </c>
      <c r="D2517" t="inlineStr">
        <is>
          <t>Tuesday</t>
        </is>
      </c>
      <c r="E2517" t="n">
        <v>13</v>
      </c>
      <c r="F2517" t="b">
        <v>0</v>
      </c>
      <c r="H2517" t="b">
        <v>1</v>
      </c>
    </row>
    <row r="2518">
      <c r="A2518" t="inlineStr">
        <is>
          <t>S018</t>
        </is>
      </c>
      <c r="B2518" s="3" t="n">
        <v>46273</v>
      </c>
      <c r="C2518" t="n">
        <v>12</v>
      </c>
      <c r="D2518" t="inlineStr">
        <is>
          <t>Tuesday</t>
        </is>
      </c>
      <c r="E2518" t="n">
        <v>14</v>
      </c>
      <c r="F2518" t="b">
        <v>0</v>
      </c>
      <c r="H2518" t="b">
        <v>0</v>
      </c>
    </row>
    <row r="2519">
      <c r="A2519" t="inlineStr">
        <is>
          <t>S018</t>
        </is>
      </c>
      <c r="B2519" s="3" t="n">
        <v>46273</v>
      </c>
      <c r="C2519" t="n">
        <v>13</v>
      </c>
      <c r="D2519" t="inlineStr">
        <is>
          <t>Tuesday</t>
        </is>
      </c>
      <c r="E2519" t="n">
        <v>20</v>
      </c>
      <c r="F2519" t="b">
        <v>0</v>
      </c>
      <c r="H2519" t="b">
        <v>0</v>
      </c>
    </row>
    <row r="2520">
      <c r="A2520" t="inlineStr">
        <is>
          <t>S018</t>
        </is>
      </c>
      <c r="B2520" s="3" t="n">
        <v>46273</v>
      </c>
      <c r="C2520" t="n">
        <v>14</v>
      </c>
      <c r="D2520" t="inlineStr">
        <is>
          <t>Tuesday</t>
        </is>
      </c>
      <c r="E2520" t="n">
        <v>12</v>
      </c>
      <c r="F2520" t="b">
        <v>0</v>
      </c>
      <c r="H2520" t="b">
        <v>0</v>
      </c>
    </row>
    <row r="2521">
      <c r="A2521" t="inlineStr">
        <is>
          <t>S018</t>
        </is>
      </c>
      <c r="B2521" s="3" t="n">
        <v>46273</v>
      </c>
      <c r="C2521" t="n">
        <v>15</v>
      </c>
      <c r="D2521" t="inlineStr">
        <is>
          <t>Tuesday</t>
        </is>
      </c>
      <c r="E2521" t="n">
        <v>12</v>
      </c>
      <c r="F2521" t="b">
        <v>0</v>
      </c>
      <c r="G2521" t="inlineStr">
        <is>
          <t>Light</t>
        </is>
      </c>
      <c r="H2521" t="b">
        <v>0</v>
      </c>
    </row>
    <row r="2522">
      <c r="A2522" t="inlineStr">
        <is>
          <t>S018</t>
        </is>
      </c>
      <c r="B2522" s="3" t="n">
        <v>46273</v>
      </c>
      <c r="C2522" t="n">
        <v>16</v>
      </c>
      <c r="D2522" t="inlineStr">
        <is>
          <t>Tuesday</t>
        </is>
      </c>
      <c r="E2522" t="n">
        <v>15</v>
      </c>
      <c r="F2522" t="b">
        <v>0</v>
      </c>
      <c r="H2522" t="b">
        <v>0</v>
      </c>
    </row>
    <row r="2523">
      <c r="A2523" t="inlineStr">
        <is>
          <t>S018</t>
        </is>
      </c>
      <c r="B2523" s="3" t="n">
        <v>46273</v>
      </c>
      <c r="C2523" t="n">
        <v>17</v>
      </c>
      <c r="D2523" t="inlineStr">
        <is>
          <t>Tuesday</t>
        </is>
      </c>
      <c r="E2523" t="n">
        <v>23</v>
      </c>
      <c r="F2523" t="b">
        <v>0</v>
      </c>
      <c r="H2523" t="b">
        <v>0</v>
      </c>
    </row>
    <row r="2524">
      <c r="A2524" t="inlineStr">
        <is>
          <t>S018</t>
        </is>
      </c>
      <c r="B2524" s="3" t="n">
        <v>46273</v>
      </c>
      <c r="C2524" t="n">
        <v>18</v>
      </c>
      <c r="D2524" t="inlineStr">
        <is>
          <t>Tuesday</t>
        </is>
      </c>
      <c r="E2524" t="n">
        <v>14</v>
      </c>
      <c r="F2524" t="b">
        <v>0</v>
      </c>
      <c r="G2524" t="inlineStr">
        <is>
          <t>Heavy</t>
        </is>
      </c>
      <c r="H2524" t="b">
        <v>0</v>
      </c>
    </row>
    <row r="2525">
      <c r="A2525" t="inlineStr">
        <is>
          <t>S018</t>
        </is>
      </c>
      <c r="B2525" s="3" t="n">
        <v>46273</v>
      </c>
      <c r="C2525" t="n">
        <v>19</v>
      </c>
      <c r="D2525" t="inlineStr">
        <is>
          <t>Tuesday</t>
        </is>
      </c>
      <c r="E2525" t="n">
        <v>32</v>
      </c>
      <c r="F2525" t="b">
        <v>1</v>
      </c>
      <c r="H2525" t="b">
        <v>0</v>
      </c>
    </row>
    <row r="2526">
      <c r="A2526" t="inlineStr">
        <is>
          <t>S018</t>
        </is>
      </c>
      <c r="B2526" s="3" t="n">
        <v>46273</v>
      </c>
      <c r="C2526" t="n">
        <v>20</v>
      </c>
      <c r="D2526" t="inlineStr">
        <is>
          <t>Tuesday</t>
        </is>
      </c>
      <c r="E2526" t="n">
        <v>42</v>
      </c>
      <c r="F2526" t="b">
        <v>1</v>
      </c>
      <c r="G2526" t="inlineStr">
        <is>
          <t>Light</t>
        </is>
      </c>
      <c r="H2526" t="b">
        <v>0</v>
      </c>
    </row>
    <row r="2527">
      <c r="A2527" t="inlineStr">
        <is>
          <t>S018</t>
        </is>
      </c>
      <c r="B2527" s="3" t="n">
        <v>46273</v>
      </c>
      <c r="C2527" t="n">
        <v>21</v>
      </c>
      <c r="D2527" t="inlineStr">
        <is>
          <t>Tuesday</t>
        </is>
      </c>
      <c r="E2527" t="n">
        <v>39</v>
      </c>
      <c r="F2527" t="b">
        <v>1</v>
      </c>
      <c r="H2527" t="b">
        <v>0</v>
      </c>
    </row>
    <row r="2528">
      <c r="A2528" t="inlineStr">
        <is>
          <t>S018</t>
        </is>
      </c>
      <c r="B2528" s="3" t="n">
        <v>46273</v>
      </c>
      <c r="C2528" t="n">
        <v>22</v>
      </c>
      <c r="D2528" t="inlineStr">
        <is>
          <t>Tuesday</t>
        </is>
      </c>
      <c r="E2528" t="n">
        <v>18</v>
      </c>
      <c r="F2528" t="b">
        <v>0</v>
      </c>
      <c r="G2528" t="inlineStr">
        <is>
          <t>Heavy</t>
        </is>
      </c>
      <c r="H2528" t="b">
        <v>0</v>
      </c>
    </row>
    <row r="2529">
      <c r="A2529" t="inlineStr">
        <is>
          <t>S018</t>
        </is>
      </c>
      <c r="B2529" s="3" t="n">
        <v>46273</v>
      </c>
      <c r="C2529" t="n">
        <v>23</v>
      </c>
      <c r="D2529" t="inlineStr">
        <is>
          <t>Tuesday</t>
        </is>
      </c>
      <c r="E2529" t="n">
        <v>24</v>
      </c>
      <c r="F2529" t="b">
        <v>0</v>
      </c>
      <c r="G2529" t="inlineStr">
        <is>
          <t>Heavy</t>
        </is>
      </c>
      <c r="H2529" t="b">
        <v>0</v>
      </c>
    </row>
    <row r="2530">
      <c r="A2530" t="inlineStr">
        <is>
          <t>S019</t>
        </is>
      </c>
      <c r="B2530" s="3" t="n">
        <v>46273</v>
      </c>
      <c r="C2530" t="n">
        <v>8</v>
      </c>
      <c r="D2530" t="inlineStr">
        <is>
          <t>Tuesday</t>
        </is>
      </c>
      <c r="E2530" t="n">
        <v>11</v>
      </c>
      <c r="F2530" t="b">
        <v>0</v>
      </c>
      <c r="H2530" t="b">
        <v>0</v>
      </c>
    </row>
    <row r="2531">
      <c r="A2531" t="inlineStr">
        <is>
          <t>S019</t>
        </is>
      </c>
      <c r="B2531" s="3" t="n">
        <v>46273</v>
      </c>
      <c r="C2531" t="n">
        <v>9</v>
      </c>
      <c r="D2531" t="inlineStr">
        <is>
          <t>Tuesday</t>
        </is>
      </c>
      <c r="E2531" t="n">
        <v>7</v>
      </c>
      <c r="F2531" t="b">
        <v>0</v>
      </c>
      <c r="G2531" t="inlineStr">
        <is>
          <t>Heavy</t>
        </is>
      </c>
      <c r="H2531" t="b">
        <v>0</v>
      </c>
    </row>
    <row r="2532">
      <c r="A2532" t="inlineStr">
        <is>
          <t>S019</t>
        </is>
      </c>
      <c r="B2532" s="3" t="n">
        <v>46273</v>
      </c>
      <c r="C2532" t="n">
        <v>10</v>
      </c>
      <c r="D2532" t="inlineStr">
        <is>
          <t>Tuesday</t>
        </is>
      </c>
      <c r="E2532" t="n">
        <v>12</v>
      </c>
      <c r="F2532" t="b">
        <v>0</v>
      </c>
      <c r="H2532" t="b">
        <v>0</v>
      </c>
    </row>
    <row r="2533">
      <c r="A2533" t="inlineStr">
        <is>
          <t>S019</t>
        </is>
      </c>
      <c r="B2533" s="3" t="n">
        <v>46273</v>
      </c>
      <c r="C2533" t="n">
        <v>11</v>
      </c>
      <c r="D2533" t="inlineStr">
        <is>
          <t>Tuesday</t>
        </is>
      </c>
      <c r="E2533" t="n">
        <v>12</v>
      </c>
      <c r="F2533" t="b">
        <v>0</v>
      </c>
      <c r="G2533" t="inlineStr">
        <is>
          <t>Light</t>
        </is>
      </c>
      <c r="H2533" t="b">
        <v>0</v>
      </c>
    </row>
    <row r="2534">
      <c r="A2534" t="inlineStr">
        <is>
          <t>S019</t>
        </is>
      </c>
      <c r="B2534" s="3" t="n">
        <v>46273</v>
      </c>
      <c r="C2534" t="n">
        <v>12</v>
      </c>
      <c r="D2534" t="inlineStr">
        <is>
          <t>Tuesday</t>
        </is>
      </c>
      <c r="E2534" t="n">
        <v>22</v>
      </c>
      <c r="F2534" t="b">
        <v>0</v>
      </c>
      <c r="H2534" t="b">
        <v>0</v>
      </c>
    </row>
    <row r="2535">
      <c r="A2535" t="inlineStr">
        <is>
          <t>S019</t>
        </is>
      </c>
      <c r="B2535" s="3" t="n">
        <v>46273</v>
      </c>
      <c r="C2535" t="n">
        <v>13</v>
      </c>
      <c r="D2535" t="inlineStr">
        <is>
          <t>Tuesday</t>
        </is>
      </c>
      <c r="E2535" t="n">
        <v>25</v>
      </c>
      <c r="F2535" t="b">
        <v>0</v>
      </c>
      <c r="H2535" t="b">
        <v>0</v>
      </c>
    </row>
    <row r="2536">
      <c r="A2536" t="inlineStr">
        <is>
          <t>S019</t>
        </is>
      </c>
      <c r="B2536" s="3" t="n">
        <v>46273</v>
      </c>
      <c r="C2536" t="n">
        <v>14</v>
      </c>
      <c r="D2536" t="inlineStr">
        <is>
          <t>Tuesday</t>
        </is>
      </c>
      <c r="E2536" t="n">
        <v>24</v>
      </c>
      <c r="F2536" t="b">
        <v>0</v>
      </c>
      <c r="H2536" t="b">
        <v>0</v>
      </c>
    </row>
    <row r="2537">
      <c r="A2537" t="inlineStr">
        <is>
          <t>S019</t>
        </is>
      </c>
      <c r="B2537" s="3" t="n">
        <v>46273</v>
      </c>
      <c r="C2537" t="n">
        <v>15</v>
      </c>
      <c r="D2537" t="inlineStr">
        <is>
          <t>Tuesday</t>
        </is>
      </c>
      <c r="E2537" t="n">
        <v>13</v>
      </c>
      <c r="F2537" t="b">
        <v>0</v>
      </c>
      <c r="G2537" t="inlineStr">
        <is>
          <t>Heavy</t>
        </is>
      </c>
      <c r="H2537" t="b">
        <v>0</v>
      </c>
    </row>
    <row r="2538">
      <c r="A2538" t="inlineStr">
        <is>
          <t>S019</t>
        </is>
      </c>
      <c r="B2538" s="3" t="n">
        <v>46273</v>
      </c>
      <c r="C2538" t="n">
        <v>16</v>
      </c>
      <c r="D2538" t="inlineStr">
        <is>
          <t>Tuesday</t>
        </is>
      </c>
      <c r="E2538" t="n">
        <v>23</v>
      </c>
      <c r="F2538" t="b">
        <v>0</v>
      </c>
      <c r="H2538" t="b">
        <v>0</v>
      </c>
    </row>
    <row r="2539">
      <c r="A2539" t="inlineStr">
        <is>
          <t>S019</t>
        </is>
      </c>
      <c r="B2539" s="3" t="n">
        <v>46273</v>
      </c>
      <c r="C2539" t="n">
        <v>17</v>
      </c>
      <c r="D2539" t="inlineStr">
        <is>
          <t>Tuesday</t>
        </is>
      </c>
      <c r="E2539" t="n">
        <v>24</v>
      </c>
      <c r="F2539" t="b">
        <v>0</v>
      </c>
      <c r="G2539" t="inlineStr">
        <is>
          <t>Light</t>
        </is>
      </c>
      <c r="H2539" t="b">
        <v>0</v>
      </c>
    </row>
    <row r="2540">
      <c r="A2540" t="inlineStr">
        <is>
          <t>S019</t>
        </is>
      </c>
      <c r="B2540" s="3" t="n">
        <v>46273</v>
      </c>
      <c r="C2540" t="n">
        <v>18</v>
      </c>
      <c r="D2540" t="inlineStr">
        <is>
          <t>Tuesday</t>
        </is>
      </c>
      <c r="E2540" t="n">
        <v>28</v>
      </c>
      <c r="F2540" t="b">
        <v>0</v>
      </c>
      <c r="H2540" t="b">
        <v>0</v>
      </c>
    </row>
    <row r="2541">
      <c r="A2541" t="inlineStr">
        <is>
          <t>S019</t>
        </is>
      </c>
      <c r="B2541" s="3" t="n">
        <v>46273</v>
      </c>
      <c r="C2541" t="n">
        <v>19</v>
      </c>
      <c r="D2541" t="inlineStr">
        <is>
          <t>Tuesday</t>
        </is>
      </c>
      <c r="E2541" t="n">
        <v>33</v>
      </c>
      <c r="F2541" t="b">
        <v>1</v>
      </c>
      <c r="H2541" t="b">
        <v>0</v>
      </c>
    </row>
    <row r="2542">
      <c r="A2542" t="inlineStr">
        <is>
          <t>S019</t>
        </is>
      </c>
      <c r="B2542" s="3" t="n">
        <v>46273</v>
      </c>
      <c r="C2542" t="n">
        <v>20</v>
      </c>
      <c r="D2542" t="inlineStr">
        <is>
          <t>Tuesday</t>
        </is>
      </c>
      <c r="E2542" t="n">
        <v>38</v>
      </c>
      <c r="F2542" t="b">
        <v>1</v>
      </c>
      <c r="G2542" t="inlineStr">
        <is>
          <t>Light</t>
        </is>
      </c>
      <c r="H2542" t="b">
        <v>0</v>
      </c>
    </row>
    <row r="2543">
      <c r="A2543" t="inlineStr">
        <is>
          <t>S019</t>
        </is>
      </c>
      <c r="B2543" s="3" t="n">
        <v>46273</v>
      </c>
      <c r="C2543" t="n">
        <v>21</v>
      </c>
      <c r="D2543" t="inlineStr">
        <is>
          <t>Tuesday</t>
        </is>
      </c>
      <c r="E2543" t="n">
        <v>43</v>
      </c>
      <c r="F2543" t="b">
        <v>1</v>
      </c>
      <c r="H2543" t="b">
        <v>0</v>
      </c>
    </row>
    <row r="2544">
      <c r="A2544" t="inlineStr">
        <is>
          <t>S019</t>
        </is>
      </c>
      <c r="B2544" s="3" t="n">
        <v>46273</v>
      </c>
      <c r="C2544" t="n">
        <v>22</v>
      </c>
      <c r="D2544" t="inlineStr">
        <is>
          <t>Tuesday</t>
        </is>
      </c>
      <c r="E2544" t="n">
        <v>14</v>
      </c>
      <c r="F2544" t="b">
        <v>0</v>
      </c>
      <c r="H2544" t="b">
        <v>0</v>
      </c>
    </row>
    <row r="2545">
      <c r="A2545" t="inlineStr">
        <is>
          <t>S019</t>
        </is>
      </c>
      <c r="B2545" s="3" t="n">
        <v>46273</v>
      </c>
      <c r="C2545" t="n">
        <v>23</v>
      </c>
      <c r="D2545" t="inlineStr">
        <is>
          <t>Tuesday</t>
        </is>
      </c>
      <c r="E2545" t="n">
        <v>27</v>
      </c>
      <c r="F2545" t="b">
        <v>0</v>
      </c>
      <c r="H2545" t="b">
        <v>0</v>
      </c>
    </row>
    <row r="2546">
      <c r="A2546" t="inlineStr">
        <is>
          <t>S020</t>
        </is>
      </c>
      <c r="B2546" s="3" t="n">
        <v>46273</v>
      </c>
      <c r="C2546" t="n">
        <v>8</v>
      </c>
      <c r="D2546" t="inlineStr">
        <is>
          <t>Tuesday</t>
        </is>
      </c>
      <c r="E2546" t="n">
        <v>7</v>
      </c>
      <c r="F2546" t="b">
        <v>0</v>
      </c>
      <c r="H2546" t="b">
        <v>0</v>
      </c>
    </row>
    <row r="2547">
      <c r="A2547" t="inlineStr">
        <is>
          <t>S020</t>
        </is>
      </c>
      <c r="B2547" s="3" t="n">
        <v>46273</v>
      </c>
      <c r="C2547" t="n">
        <v>9</v>
      </c>
      <c r="D2547" t="inlineStr">
        <is>
          <t>Tuesday</t>
        </is>
      </c>
      <c r="E2547" t="n">
        <v>11</v>
      </c>
      <c r="F2547" t="b">
        <v>0</v>
      </c>
      <c r="G2547" t="inlineStr">
        <is>
          <t>Heavy</t>
        </is>
      </c>
      <c r="H2547" t="b">
        <v>0</v>
      </c>
    </row>
    <row r="2548">
      <c r="A2548" t="inlineStr">
        <is>
          <t>S020</t>
        </is>
      </c>
      <c r="B2548" s="3" t="n">
        <v>46273</v>
      </c>
      <c r="C2548" t="n">
        <v>10</v>
      </c>
      <c r="D2548" t="inlineStr">
        <is>
          <t>Tuesday</t>
        </is>
      </c>
      <c r="E2548" t="n">
        <v>7</v>
      </c>
      <c r="F2548" t="b">
        <v>0</v>
      </c>
      <c r="H2548" t="b">
        <v>0</v>
      </c>
    </row>
    <row r="2549">
      <c r="A2549" t="inlineStr">
        <is>
          <t>S020</t>
        </is>
      </c>
      <c r="B2549" s="3" t="n">
        <v>46273</v>
      </c>
      <c r="C2549" t="n">
        <v>11</v>
      </c>
      <c r="D2549" t="inlineStr">
        <is>
          <t>Tuesday</t>
        </is>
      </c>
      <c r="E2549" t="n">
        <v>15</v>
      </c>
      <c r="F2549" t="b">
        <v>0</v>
      </c>
      <c r="H2549" t="b">
        <v>0</v>
      </c>
    </row>
    <row r="2550">
      <c r="A2550" t="inlineStr">
        <is>
          <t>S020</t>
        </is>
      </c>
      <c r="B2550" s="3" t="n">
        <v>46273</v>
      </c>
      <c r="C2550" t="n">
        <v>12</v>
      </c>
      <c r="D2550" t="inlineStr">
        <is>
          <t>Tuesday</t>
        </is>
      </c>
      <c r="E2550" t="n">
        <v>14</v>
      </c>
      <c r="F2550" t="b">
        <v>0</v>
      </c>
      <c r="H2550" t="b">
        <v>0</v>
      </c>
    </row>
    <row r="2551">
      <c r="A2551" t="inlineStr">
        <is>
          <t>S020</t>
        </is>
      </c>
      <c r="B2551" s="3" t="n">
        <v>46273</v>
      </c>
      <c r="C2551" t="n">
        <v>13</v>
      </c>
      <c r="D2551" t="inlineStr">
        <is>
          <t>Tuesday</t>
        </is>
      </c>
      <c r="E2551" t="n">
        <v>13</v>
      </c>
      <c r="F2551" t="b">
        <v>0</v>
      </c>
      <c r="H2551" t="b">
        <v>0</v>
      </c>
    </row>
    <row r="2552">
      <c r="A2552" t="inlineStr">
        <is>
          <t>S020</t>
        </is>
      </c>
      <c r="B2552" s="3" t="n">
        <v>46273</v>
      </c>
      <c r="C2552" t="n">
        <v>14</v>
      </c>
      <c r="D2552" t="inlineStr">
        <is>
          <t>Tuesday</t>
        </is>
      </c>
      <c r="E2552" t="n">
        <v>12</v>
      </c>
      <c r="F2552" t="b">
        <v>0</v>
      </c>
      <c r="G2552" t="inlineStr">
        <is>
          <t>Light</t>
        </is>
      </c>
      <c r="H2552" t="b">
        <v>0</v>
      </c>
    </row>
    <row r="2553">
      <c r="A2553" t="inlineStr">
        <is>
          <t>S020</t>
        </is>
      </c>
      <c r="B2553" s="3" t="n">
        <v>46273</v>
      </c>
      <c r="C2553" t="n">
        <v>15</v>
      </c>
      <c r="D2553" t="inlineStr">
        <is>
          <t>Tuesday</t>
        </is>
      </c>
      <c r="E2553" t="n">
        <v>9</v>
      </c>
      <c r="F2553" t="b">
        <v>0</v>
      </c>
      <c r="H2553" t="b">
        <v>0</v>
      </c>
    </row>
    <row r="2554">
      <c r="A2554" t="inlineStr">
        <is>
          <t>S020</t>
        </is>
      </c>
      <c r="B2554" s="3" t="n">
        <v>46273</v>
      </c>
      <c r="C2554" t="n">
        <v>16</v>
      </c>
      <c r="D2554" t="inlineStr">
        <is>
          <t>Tuesday</t>
        </is>
      </c>
      <c r="E2554" t="n">
        <v>13</v>
      </c>
      <c r="F2554" t="b">
        <v>0</v>
      </c>
      <c r="H2554" t="b">
        <v>0</v>
      </c>
    </row>
    <row r="2555">
      <c r="A2555" t="inlineStr">
        <is>
          <t>S020</t>
        </is>
      </c>
      <c r="B2555" s="3" t="n">
        <v>46273</v>
      </c>
      <c r="C2555" t="n">
        <v>17</v>
      </c>
      <c r="D2555" t="inlineStr">
        <is>
          <t>Tuesday</t>
        </is>
      </c>
      <c r="E2555" t="n">
        <v>25</v>
      </c>
      <c r="F2555" t="b">
        <v>0</v>
      </c>
      <c r="G2555" t="inlineStr">
        <is>
          <t>Light</t>
        </is>
      </c>
      <c r="H2555" t="b">
        <v>0</v>
      </c>
    </row>
    <row r="2556">
      <c r="A2556" t="inlineStr">
        <is>
          <t>S020</t>
        </is>
      </c>
      <c r="B2556" s="3" t="n">
        <v>46273</v>
      </c>
      <c r="C2556" t="n">
        <v>18</v>
      </c>
      <c r="D2556" t="inlineStr">
        <is>
          <t>Tuesday</t>
        </is>
      </c>
      <c r="E2556" t="n">
        <v>10</v>
      </c>
      <c r="F2556" t="b">
        <v>0</v>
      </c>
      <c r="H2556" t="b">
        <v>0</v>
      </c>
    </row>
    <row r="2557">
      <c r="A2557" t="inlineStr">
        <is>
          <t>S020</t>
        </is>
      </c>
      <c r="B2557" s="3" t="n">
        <v>46273</v>
      </c>
      <c r="C2557" t="n">
        <v>19</v>
      </c>
      <c r="D2557" t="inlineStr">
        <is>
          <t>Tuesday</t>
        </is>
      </c>
      <c r="E2557" t="n">
        <v>21</v>
      </c>
      <c r="F2557" t="b">
        <v>1</v>
      </c>
      <c r="H2557" t="b">
        <v>0</v>
      </c>
    </row>
    <row r="2558">
      <c r="A2558" t="inlineStr">
        <is>
          <t>S020</t>
        </is>
      </c>
      <c r="B2558" s="3" t="n">
        <v>46273</v>
      </c>
      <c r="C2558" t="n">
        <v>20</v>
      </c>
      <c r="D2558" t="inlineStr">
        <is>
          <t>Tuesday</t>
        </is>
      </c>
      <c r="E2558" t="n">
        <v>22</v>
      </c>
      <c r="F2558" t="b">
        <v>1</v>
      </c>
      <c r="H2558" t="b">
        <v>0</v>
      </c>
    </row>
    <row r="2559">
      <c r="A2559" t="inlineStr">
        <is>
          <t>S020</t>
        </is>
      </c>
      <c r="B2559" s="3" t="n">
        <v>46273</v>
      </c>
      <c r="C2559" t="n">
        <v>21</v>
      </c>
      <c r="D2559" t="inlineStr">
        <is>
          <t>Tuesday</t>
        </is>
      </c>
      <c r="E2559" t="n">
        <v>20</v>
      </c>
      <c r="F2559" t="b">
        <v>1</v>
      </c>
      <c r="H2559" t="b">
        <v>0</v>
      </c>
    </row>
    <row r="2560">
      <c r="A2560" t="inlineStr">
        <is>
          <t>S020</t>
        </is>
      </c>
      <c r="B2560" s="3" t="n">
        <v>46273</v>
      </c>
      <c r="C2560" t="n">
        <v>22</v>
      </c>
      <c r="D2560" t="inlineStr">
        <is>
          <t>Tuesday</t>
        </is>
      </c>
      <c r="E2560" t="n">
        <v>19</v>
      </c>
      <c r="F2560" t="b">
        <v>0</v>
      </c>
      <c r="G2560" t="inlineStr">
        <is>
          <t>Heavy</t>
        </is>
      </c>
      <c r="H2560" t="b">
        <v>0</v>
      </c>
    </row>
    <row r="2561">
      <c r="A2561" t="inlineStr">
        <is>
          <t>S020</t>
        </is>
      </c>
      <c r="B2561" s="3" t="n">
        <v>46273</v>
      </c>
      <c r="C2561" t="n">
        <v>23</v>
      </c>
      <c r="D2561" t="inlineStr">
        <is>
          <t>Tuesday</t>
        </is>
      </c>
      <c r="E2561" t="n">
        <v>18</v>
      </c>
      <c r="F2561" t="b">
        <v>0</v>
      </c>
      <c r="G2561" t="inlineStr">
        <is>
          <t>Light</t>
        </is>
      </c>
      <c r="H2561" t="b">
        <v>0</v>
      </c>
    </row>
    <row r="2562">
      <c r="A2562" t="inlineStr">
        <is>
          <t>S001</t>
        </is>
      </c>
      <c r="B2562" s="3" t="n">
        <v>46274</v>
      </c>
      <c r="C2562" t="n">
        <v>8</v>
      </c>
      <c r="D2562" t="inlineStr">
        <is>
          <t>Wednesday</t>
        </is>
      </c>
      <c r="E2562" t="n">
        <v>9</v>
      </c>
      <c r="F2562" t="b">
        <v>0</v>
      </c>
      <c r="G2562" t="inlineStr">
        <is>
          <t>Light</t>
        </is>
      </c>
      <c r="H2562" t="b">
        <v>0</v>
      </c>
    </row>
    <row r="2563">
      <c r="A2563" t="inlineStr">
        <is>
          <t>S001</t>
        </is>
      </c>
      <c r="B2563" s="3" t="n">
        <v>46274</v>
      </c>
      <c r="C2563" t="n">
        <v>9</v>
      </c>
      <c r="D2563" t="inlineStr">
        <is>
          <t>Wednesday</t>
        </is>
      </c>
      <c r="E2563" t="n">
        <v>10</v>
      </c>
      <c r="F2563" t="b">
        <v>0</v>
      </c>
      <c r="H2563" t="b">
        <v>0</v>
      </c>
    </row>
    <row r="2564">
      <c r="A2564" t="inlineStr">
        <is>
          <t>S001</t>
        </is>
      </c>
      <c r="B2564" s="3" t="n">
        <v>46274</v>
      </c>
      <c r="C2564" t="n">
        <v>10</v>
      </c>
      <c r="D2564" t="inlineStr">
        <is>
          <t>Wednesday</t>
        </is>
      </c>
      <c r="E2564" t="n">
        <v>16</v>
      </c>
      <c r="F2564" t="b">
        <v>0</v>
      </c>
      <c r="H2564" t="b">
        <v>0</v>
      </c>
    </row>
    <row r="2565">
      <c r="A2565" t="inlineStr">
        <is>
          <t>S001</t>
        </is>
      </c>
      <c r="B2565" s="3" t="n">
        <v>46274</v>
      </c>
      <c r="C2565" t="n">
        <v>11</v>
      </c>
      <c r="D2565" t="inlineStr">
        <is>
          <t>Wednesday</t>
        </is>
      </c>
      <c r="E2565" t="n">
        <v>16</v>
      </c>
      <c r="F2565" t="b">
        <v>0</v>
      </c>
      <c r="H2565" t="b">
        <v>0</v>
      </c>
    </row>
    <row r="2566">
      <c r="A2566" t="inlineStr">
        <is>
          <t>S001</t>
        </is>
      </c>
      <c r="B2566" s="3" t="n">
        <v>46274</v>
      </c>
      <c r="C2566" t="n">
        <v>12</v>
      </c>
      <c r="D2566" t="inlineStr">
        <is>
          <t>Wednesday</t>
        </is>
      </c>
      <c r="E2566" t="n">
        <v>17</v>
      </c>
      <c r="F2566" t="b">
        <v>0</v>
      </c>
      <c r="H2566" t="b">
        <v>0</v>
      </c>
    </row>
    <row r="2567">
      <c r="A2567" t="inlineStr">
        <is>
          <t>S001</t>
        </is>
      </c>
      <c r="B2567" s="3" t="n">
        <v>46274</v>
      </c>
      <c r="C2567" t="n">
        <v>13</v>
      </c>
      <c r="D2567" t="inlineStr">
        <is>
          <t>Wednesday</t>
        </is>
      </c>
      <c r="E2567" t="n">
        <v>25</v>
      </c>
      <c r="F2567" t="b">
        <v>0</v>
      </c>
      <c r="H2567" t="b">
        <v>0</v>
      </c>
    </row>
    <row r="2568">
      <c r="A2568" t="inlineStr">
        <is>
          <t>S001</t>
        </is>
      </c>
      <c r="B2568" s="3" t="n">
        <v>46274</v>
      </c>
      <c r="C2568" t="n">
        <v>14</v>
      </c>
      <c r="D2568" t="inlineStr">
        <is>
          <t>Wednesday</t>
        </is>
      </c>
      <c r="E2568" t="n">
        <v>7</v>
      </c>
      <c r="F2568" t="b">
        <v>0</v>
      </c>
      <c r="H2568" t="b">
        <v>0</v>
      </c>
    </row>
    <row r="2569">
      <c r="A2569" t="inlineStr">
        <is>
          <t>S001</t>
        </is>
      </c>
      <c r="B2569" s="3" t="n">
        <v>46274</v>
      </c>
      <c r="C2569" t="n">
        <v>15</v>
      </c>
      <c r="D2569" t="inlineStr">
        <is>
          <t>Wednesday</t>
        </is>
      </c>
      <c r="E2569" t="n">
        <v>6</v>
      </c>
      <c r="F2569" t="b">
        <v>0</v>
      </c>
      <c r="G2569" t="inlineStr">
        <is>
          <t>Light</t>
        </is>
      </c>
      <c r="H2569" t="b">
        <v>0</v>
      </c>
    </row>
    <row r="2570">
      <c r="A2570" t="inlineStr">
        <is>
          <t>S001</t>
        </is>
      </c>
      <c r="B2570" s="3" t="n">
        <v>46274</v>
      </c>
      <c r="C2570" t="n">
        <v>16</v>
      </c>
      <c r="D2570" t="inlineStr">
        <is>
          <t>Wednesday</t>
        </is>
      </c>
      <c r="E2570" t="n">
        <v>17</v>
      </c>
      <c r="F2570" t="b">
        <v>0</v>
      </c>
      <c r="G2570" t="inlineStr">
        <is>
          <t>Light</t>
        </is>
      </c>
      <c r="H2570" t="b">
        <v>0</v>
      </c>
    </row>
    <row r="2571">
      <c r="A2571" t="inlineStr">
        <is>
          <t>S001</t>
        </is>
      </c>
      <c r="B2571" s="3" t="n">
        <v>46274</v>
      </c>
      <c r="C2571" t="n">
        <v>17</v>
      </c>
      <c r="D2571" t="inlineStr">
        <is>
          <t>Wednesday</t>
        </is>
      </c>
      <c r="E2571" t="n">
        <v>16</v>
      </c>
      <c r="F2571" t="b">
        <v>0</v>
      </c>
      <c r="H2571" t="b">
        <v>0</v>
      </c>
    </row>
    <row r="2572">
      <c r="A2572" t="inlineStr">
        <is>
          <t>S001</t>
        </is>
      </c>
      <c r="B2572" s="3" t="n">
        <v>46274</v>
      </c>
      <c r="C2572" t="n">
        <v>18</v>
      </c>
      <c r="D2572" t="inlineStr">
        <is>
          <t>Wednesday</t>
        </is>
      </c>
      <c r="E2572" t="n">
        <v>21</v>
      </c>
      <c r="F2572" t="b">
        <v>0</v>
      </c>
      <c r="H2572" t="b">
        <v>0</v>
      </c>
    </row>
    <row r="2573">
      <c r="A2573" t="inlineStr">
        <is>
          <t>S001</t>
        </is>
      </c>
      <c r="B2573" s="3" t="n">
        <v>46274</v>
      </c>
      <c r="C2573" t="n">
        <v>19</v>
      </c>
      <c r="D2573" t="inlineStr">
        <is>
          <t>Wednesday</t>
        </is>
      </c>
      <c r="E2573" t="n">
        <v>35</v>
      </c>
      <c r="F2573" t="b">
        <v>1</v>
      </c>
      <c r="H2573" t="b">
        <v>0</v>
      </c>
    </row>
    <row r="2574">
      <c r="A2574" t="inlineStr">
        <is>
          <t>S001</t>
        </is>
      </c>
      <c r="B2574" s="3" t="n">
        <v>46274</v>
      </c>
      <c r="C2574" t="n">
        <v>20</v>
      </c>
      <c r="D2574" t="inlineStr">
        <is>
          <t>Wednesday</t>
        </is>
      </c>
      <c r="E2574" t="n">
        <v>22</v>
      </c>
      <c r="F2574" t="b">
        <v>1</v>
      </c>
      <c r="H2574" t="b">
        <v>0</v>
      </c>
    </row>
    <row r="2575">
      <c r="A2575" t="inlineStr">
        <is>
          <t>S001</t>
        </is>
      </c>
      <c r="B2575" s="3" t="n">
        <v>46274</v>
      </c>
      <c r="C2575" t="n">
        <v>21</v>
      </c>
      <c r="D2575" t="inlineStr">
        <is>
          <t>Wednesday</t>
        </is>
      </c>
      <c r="E2575" t="n">
        <v>25</v>
      </c>
      <c r="F2575" t="b">
        <v>1</v>
      </c>
      <c r="H2575" t="b">
        <v>0</v>
      </c>
    </row>
    <row r="2576">
      <c r="A2576" t="inlineStr">
        <is>
          <t>S001</t>
        </is>
      </c>
      <c r="B2576" s="3" t="n">
        <v>46274</v>
      </c>
      <c r="C2576" t="n">
        <v>22</v>
      </c>
      <c r="D2576" t="inlineStr">
        <is>
          <t>Wednesday</t>
        </is>
      </c>
      <c r="E2576" t="n">
        <v>17</v>
      </c>
      <c r="F2576" t="b">
        <v>0</v>
      </c>
      <c r="H2576" t="b">
        <v>0</v>
      </c>
    </row>
    <row r="2577">
      <c r="A2577" t="inlineStr">
        <is>
          <t>S001</t>
        </is>
      </c>
      <c r="B2577" s="3" t="n">
        <v>46274</v>
      </c>
      <c r="C2577" t="n">
        <v>23</v>
      </c>
      <c r="D2577" t="inlineStr">
        <is>
          <t>Wednesday</t>
        </is>
      </c>
      <c r="E2577" t="n">
        <v>15</v>
      </c>
      <c r="F2577" t="b">
        <v>0</v>
      </c>
      <c r="G2577" t="inlineStr">
        <is>
          <t>Light</t>
        </is>
      </c>
      <c r="H2577" t="b">
        <v>0</v>
      </c>
    </row>
    <row r="2578">
      <c r="A2578" t="inlineStr">
        <is>
          <t>S002</t>
        </is>
      </c>
      <c r="B2578" s="3" t="n">
        <v>46274</v>
      </c>
      <c r="C2578" t="n">
        <v>8</v>
      </c>
      <c r="D2578" t="inlineStr">
        <is>
          <t>Wednesday</t>
        </is>
      </c>
      <c r="E2578" t="n">
        <v>15</v>
      </c>
      <c r="F2578" t="b">
        <v>0</v>
      </c>
      <c r="G2578" t="inlineStr">
        <is>
          <t>Heavy</t>
        </is>
      </c>
      <c r="H2578" t="b">
        <v>0</v>
      </c>
    </row>
    <row r="2579">
      <c r="A2579" t="inlineStr">
        <is>
          <t>S002</t>
        </is>
      </c>
      <c r="B2579" s="3" t="n">
        <v>46274</v>
      </c>
      <c r="C2579" t="n">
        <v>9</v>
      </c>
      <c r="D2579" t="inlineStr">
        <is>
          <t>Wednesday</t>
        </is>
      </c>
      <c r="E2579" t="n">
        <v>24</v>
      </c>
      <c r="F2579" t="b">
        <v>0</v>
      </c>
      <c r="G2579" t="inlineStr">
        <is>
          <t>Light</t>
        </is>
      </c>
      <c r="H2579" t="b">
        <v>0</v>
      </c>
    </row>
    <row r="2580">
      <c r="A2580" t="inlineStr">
        <is>
          <t>S002</t>
        </is>
      </c>
      <c r="B2580" s="3" t="n">
        <v>46274</v>
      </c>
      <c r="C2580" t="n">
        <v>10</v>
      </c>
      <c r="D2580" t="inlineStr">
        <is>
          <t>Wednesday</t>
        </is>
      </c>
      <c r="E2580" t="n">
        <v>27</v>
      </c>
      <c r="F2580" t="b">
        <v>0</v>
      </c>
      <c r="H2580" t="b">
        <v>0</v>
      </c>
    </row>
    <row r="2581">
      <c r="A2581" t="inlineStr">
        <is>
          <t>S002</t>
        </is>
      </c>
      <c r="B2581" s="3" t="n">
        <v>46274</v>
      </c>
      <c r="C2581" t="n">
        <v>11</v>
      </c>
      <c r="D2581" t="inlineStr">
        <is>
          <t>Wednesday</t>
        </is>
      </c>
      <c r="E2581" t="n">
        <v>28</v>
      </c>
      <c r="F2581" t="b">
        <v>0</v>
      </c>
      <c r="H2581" t="b">
        <v>0</v>
      </c>
    </row>
    <row r="2582">
      <c r="A2582" t="inlineStr">
        <is>
          <t>S002</t>
        </is>
      </c>
      <c r="B2582" s="3" t="n">
        <v>46274</v>
      </c>
      <c r="C2582" t="n">
        <v>12</v>
      </c>
      <c r="D2582" t="inlineStr">
        <is>
          <t>Wednesday</t>
        </is>
      </c>
      <c r="E2582" t="n">
        <v>37</v>
      </c>
      <c r="F2582" t="b">
        <v>0</v>
      </c>
      <c r="G2582" t="inlineStr">
        <is>
          <t>Light</t>
        </is>
      </c>
      <c r="H2582" t="b">
        <v>0</v>
      </c>
    </row>
    <row r="2583">
      <c r="A2583" t="inlineStr">
        <is>
          <t>S002</t>
        </is>
      </c>
      <c r="B2583" s="3" t="n">
        <v>46274</v>
      </c>
      <c r="C2583" t="n">
        <v>13</v>
      </c>
      <c r="D2583" t="inlineStr">
        <is>
          <t>Wednesday</t>
        </is>
      </c>
      <c r="E2583" t="n">
        <v>42</v>
      </c>
      <c r="F2583" t="b">
        <v>0</v>
      </c>
      <c r="H2583" t="b">
        <v>0</v>
      </c>
    </row>
    <row r="2584">
      <c r="A2584" t="inlineStr">
        <is>
          <t>S002</t>
        </is>
      </c>
      <c r="B2584" s="3" t="n">
        <v>46274</v>
      </c>
      <c r="C2584" t="n">
        <v>14</v>
      </c>
      <c r="D2584" t="inlineStr">
        <is>
          <t>Wednesday</t>
        </is>
      </c>
      <c r="E2584" t="n">
        <v>19</v>
      </c>
      <c r="F2584" t="b">
        <v>0</v>
      </c>
      <c r="H2584" t="b">
        <v>0</v>
      </c>
    </row>
    <row r="2585">
      <c r="A2585" t="inlineStr">
        <is>
          <t>S002</t>
        </is>
      </c>
      <c r="B2585" s="3" t="n">
        <v>46274</v>
      </c>
      <c r="C2585" t="n">
        <v>15</v>
      </c>
      <c r="D2585" t="inlineStr">
        <is>
          <t>Wednesday</t>
        </is>
      </c>
      <c r="E2585" t="n">
        <v>26</v>
      </c>
      <c r="F2585" t="b">
        <v>0</v>
      </c>
      <c r="H2585" t="b">
        <v>0</v>
      </c>
    </row>
    <row r="2586">
      <c r="A2586" t="inlineStr">
        <is>
          <t>S002</t>
        </is>
      </c>
      <c r="B2586" s="3" t="n">
        <v>46274</v>
      </c>
      <c r="C2586" t="n">
        <v>16</v>
      </c>
      <c r="D2586" t="inlineStr">
        <is>
          <t>Wednesday</t>
        </is>
      </c>
      <c r="E2586" t="n">
        <v>36</v>
      </c>
      <c r="F2586" t="b">
        <v>0</v>
      </c>
      <c r="H2586" t="b">
        <v>0</v>
      </c>
    </row>
    <row r="2587">
      <c r="A2587" t="inlineStr">
        <is>
          <t>S002</t>
        </is>
      </c>
      <c r="B2587" s="3" t="n">
        <v>46274</v>
      </c>
      <c r="C2587" t="n">
        <v>17</v>
      </c>
      <c r="D2587" t="inlineStr">
        <is>
          <t>Wednesday</t>
        </is>
      </c>
      <c r="E2587" t="n">
        <v>33</v>
      </c>
      <c r="F2587" t="b">
        <v>0</v>
      </c>
      <c r="G2587" t="inlineStr">
        <is>
          <t>Light</t>
        </is>
      </c>
      <c r="H2587" t="b">
        <v>0</v>
      </c>
    </row>
    <row r="2588">
      <c r="A2588" t="inlineStr">
        <is>
          <t>S002</t>
        </is>
      </c>
      <c r="B2588" s="3" t="n">
        <v>46274</v>
      </c>
      <c r="C2588" t="n">
        <v>18</v>
      </c>
      <c r="D2588" t="inlineStr">
        <is>
          <t>Wednesday</t>
        </is>
      </c>
      <c r="E2588" t="n">
        <v>43</v>
      </c>
      <c r="F2588" t="b">
        <v>0</v>
      </c>
      <c r="G2588" t="inlineStr">
        <is>
          <t>Light</t>
        </is>
      </c>
      <c r="H2588" t="b">
        <v>0</v>
      </c>
    </row>
    <row r="2589">
      <c r="A2589" t="inlineStr">
        <is>
          <t>S002</t>
        </is>
      </c>
      <c r="B2589" s="3" t="n">
        <v>46274</v>
      </c>
      <c r="C2589" t="n">
        <v>19</v>
      </c>
      <c r="D2589" t="inlineStr">
        <is>
          <t>Wednesday</t>
        </is>
      </c>
      <c r="E2589" t="n">
        <v>46</v>
      </c>
      <c r="F2589" t="b">
        <v>1</v>
      </c>
      <c r="H2589" t="b">
        <v>0</v>
      </c>
    </row>
    <row r="2590">
      <c r="A2590" t="inlineStr">
        <is>
          <t>S002</t>
        </is>
      </c>
      <c r="B2590" s="3" t="n">
        <v>46274</v>
      </c>
      <c r="C2590" t="n">
        <v>20</v>
      </c>
      <c r="D2590" t="inlineStr">
        <is>
          <t>Wednesday</t>
        </is>
      </c>
      <c r="E2590" t="n">
        <v>60</v>
      </c>
      <c r="F2590" t="b">
        <v>1</v>
      </c>
      <c r="G2590" t="inlineStr">
        <is>
          <t>Light</t>
        </is>
      </c>
      <c r="H2590" t="b">
        <v>0</v>
      </c>
    </row>
    <row r="2591">
      <c r="A2591" t="inlineStr">
        <is>
          <t>S002</t>
        </is>
      </c>
      <c r="B2591" s="3" t="n">
        <v>46274</v>
      </c>
      <c r="C2591" t="n">
        <v>21</v>
      </c>
      <c r="D2591" t="inlineStr">
        <is>
          <t>Wednesday</t>
        </is>
      </c>
      <c r="E2591" t="n">
        <v>51</v>
      </c>
      <c r="F2591" t="b">
        <v>1</v>
      </c>
      <c r="H2591" t="b">
        <v>0</v>
      </c>
    </row>
    <row r="2592">
      <c r="A2592" t="inlineStr">
        <is>
          <t>S002</t>
        </is>
      </c>
      <c r="B2592" s="3" t="n">
        <v>46274</v>
      </c>
      <c r="C2592" t="n">
        <v>22</v>
      </c>
      <c r="D2592" t="inlineStr">
        <is>
          <t>Wednesday</t>
        </is>
      </c>
      <c r="E2592" t="n">
        <v>42</v>
      </c>
      <c r="F2592" t="b">
        <v>0</v>
      </c>
      <c r="H2592" t="b">
        <v>0</v>
      </c>
    </row>
    <row r="2593">
      <c r="A2593" t="inlineStr">
        <is>
          <t>S002</t>
        </is>
      </c>
      <c r="B2593" s="3" t="n">
        <v>46274</v>
      </c>
      <c r="C2593" t="n">
        <v>23</v>
      </c>
      <c r="D2593" t="inlineStr">
        <is>
          <t>Wednesday</t>
        </is>
      </c>
      <c r="E2593" t="n">
        <v>33</v>
      </c>
      <c r="F2593" t="b">
        <v>0</v>
      </c>
      <c r="H2593" t="b">
        <v>0</v>
      </c>
    </row>
    <row r="2594">
      <c r="A2594" t="inlineStr">
        <is>
          <t>S003</t>
        </is>
      </c>
      <c r="B2594" s="3" t="n">
        <v>46274</v>
      </c>
      <c r="C2594" t="n">
        <v>8</v>
      </c>
      <c r="D2594" t="inlineStr">
        <is>
          <t>Wednesday</t>
        </is>
      </c>
      <c r="E2594" t="n">
        <v>37</v>
      </c>
      <c r="F2594" t="b">
        <v>0</v>
      </c>
      <c r="H2594" t="b">
        <v>0</v>
      </c>
    </row>
    <row r="2595">
      <c r="A2595" t="inlineStr">
        <is>
          <t>S003</t>
        </is>
      </c>
      <c r="B2595" s="3" t="n">
        <v>46274</v>
      </c>
      <c r="C2595" t="n">
        <v>9</v>
      </c>
      <c r="D2595" t="inlineStr">
        <is>
          <t>Wednesday</t>
        </is>
      </c>
      <c r="E2595" t="n">
        <v>37</v>
      </c>
      <c r="F2595" t="b">
        <v>0</v>
      </c>
      <c r="H2595" t="b">
        <v>0</v>
      </c>
    </row>
    <row r="2596">
      <c r="A2596" t="inlineStr">
        <is>
          <t>S003</t>
        </is>
      </c>
      <c r="B2596" s="3" t="n">
        <v>46274</v>
      </c>
      <c r="C2596" t="n">
        <v>10</v>
      </c>
      <c r="D2596" t="inlineStr">
        <is>
          <t>Wednesday</t>
        </is>
      </c>
      <c r="E2596" t="n">
        <v>28</v>
      </c>
      <c r="F2596" t="b">
        <v>0</v>
      </c>
      <c r="H2596" t="b">
        <v>0</v>
      </c>
    </row>
    <row r="2597">
      <c r="A2597" t="inlineStr">
        <is>
          <t>S003</t>
        </is>
      </c>
      <c r="B2597" s="3" t="n">
        <v>46274</v>
      </c>
      <c r="C2597" t="n">
        <v>11</v>
      </c>
      <c r="D2597" t="inlineStr">
        <is>
          <t>Wednesday</t>
        </is>
      </c>
      <c r="E2597" t="n">
        <v>44</v>
      </c>
      <c r="F2597" t="b">
        <v>0</v>
      </c>
      <c r="H2597" t="b">
        <v>0</v>
      </c>
    </row>
    <row r="2598">
      <c r="A2598" t="inlineStr">
        <is>
          <t>S003</t>
        </is>
      </c>
      <c r="B2598" s="3" t="n">
        <v>46274</v>
      </c>
      <c r="C2598" t="n">
        <v>12</v>
      </c>
      <c r="D2598" t="inlineStr">
        <is>
          <t>Wednesday</t>
        </is>
      </c>
      <c r="E2598" t="n">
        <v>50</v>
      </c>
      <c r="F2598" t="b">
        <v>0</v>
      </c>
      <c r="H2598" t="b">
        <v>0</v>
      </c>
    </row>
    <row r="2599">
      <c r="A2599" t="inlineStr">
        <is>
          <t>S003</t>
        </is>
      </c>
      <c r="B2599" s="3" t="n">
        <v>46274</v>
      </c>
      <c r="C2599" t="n">
        <v>13</v>
      </c>
      <c r="D2599" t="inlineStr">
        <is>
          <t>Wednesday</t>
        </is>
      </c>
      <c r="E2599" t="n">
        <v>33</v>
      </c>
      <c r="F2599" t="b">
        <v>0</v>
      </c>
      <c r="H2599" t="b">
        <v>0</v>
      </c>
    </row>
    <row r="2600">
      <c r="A2600" t="inlineStr">
        <is>
          <t>S003</t>
        </is>
      </c>
      <c r="B2600" s="3" t="n">
        <v>46274</v>
      </c>
      <c r="C2600" t="n">
        <v>14</v>
      </c>
      <c r="D2600" t="inlineStr">
        <is>
          <t>Wednesday</t>
        </is>
      </c>
      <c r="E2600" t="n">
        <v>30</v>
      </c>
      <c r="F2600" t="b">
        <v>0</v>
      </c>
      <c r="H2600" t="b">
        <v>0</v>
      </c>
    </row>
    <row r="2601">
      <c r="A2601" t="inlineStr">
        <is>
          <t>S003</t>
        </is>
      </c>
      <c r="B2601" s="3" t="n">
        <v>46274</v>
      </c>
      <c r="C2601" t="n">
        <v>15</v>
      </c>
      <c r="D2601" t="inlineStr">
        <is>
          <t>Wednesday</t>
        </is>
      </c>
      <c r="E2601" t="n">
        <v>24</v>
      </c>
      <c r="F2601" t="b">
        <v>0</v>
      </c>
      <c r="H2601" t="b">
        <v>0</v>
      </c>
    </row>
    <row r="2602">
      <c r="A2602" t="inlineStr">
        <is>
          <t>S003</t>
        </is>
      </c>
      <c r="B2602" s="3" t="n">
        <v>46274</v>
      </c>
      <c r="C2602" t="n">
        <v>16</v>
      </c>
      <c r="D2602" t="inlineStr">
        <is>
          <t>Wednesday</t>
        </is>
      </c>
      <c r="E2602" t="n">
        <v>42</v>
      </c>
      <c r="F2602" t="b">
        <v>0</v>
      </c>
      <c r="H2602" t="b">
        <v>0</v>
      </c>
    </row>
    <row r="2603">
      <c r="A2603" t="inlineStr">
        <is>
          <t>S003</t>
        </is>
      </c>
      <c r="B2603" s="3" t="n">
        <v>46274</v>
      </c>
      <c r="C2603" t="n">
        <v>17</v>
      </c>
      <c r="D2603" t="inlineStr">
        <is>
          <t>Wednesday</t>
        </is>
      </c>
      <c r="E2603" t="n">
        <v>46</v>
      </c>
      <c r="F2603" t="b">
        <v>0</v>
      </c>
      <c r="H2603" t="b">
        <v>0</v>
      </c>
    </row>
    <row r="2604">
      <c r="A2604" t="inlineStr">
        <is>
          <t>S003</t>
        </is>
      </c>
      <c r="B2604" s="3" t="n">
        <v>46274</v>
      </c>
      <c r="C2604" t="n">
        <v>18</v>
      </c>
      <c r="D2604" t="inlineStr">
        <is>
          <t>Wednesday</t>
        </is>
      </c>
      <c r="E2604" t="n">
        <v>36</v>
      </c>
      <c r="F2604" t="b">
        <v>0</v>
      </c>
      <c r="H2604" t="b">
        <v>0</v>
      </c>
    </row>
    <row r="2605">
      <c r="A2605" t="inlineStr">
        <is>
          <t>S003</t>
        </is>
      </c>
      <c r="B2605" s="3" t="n">
        <v>46274</v>
      </c>
      <c r="C2605" t="n">
        <v>19</v>
      </c>
      <c r="D2605" t="inlineStr">
        <is>
          <t>Wednesday</t>
        </is>
      </c>
      <c r="E2605" t="n">
        <v>71</v>
      </c>
      <c r="F2605" t="b">
        <v>1</v>
      </c>
      <c r="H2605" t="b">
        <v>0</v>
      </c>
    </row>
    <row r="2606">
      <c r="A2606" t="inlineStr">
        <is>
          <t>S003</t>
        </is>
      </c>
      <c r="B2606" s="3" t="n">
        <v>46274</v>
      </c>
      <c r="C2606" t="n">
        <v>20</v>
      </c>
      <c r="D2606" t="inlineStr">
        <is>
          <t>Wednesday</t>
        </is>
      </c>
      <c r="E2606" t="n">
        <v>66</v>
      </c>
      <c r="F2606" t="b">
        <v>1</v>
      </c>
      <c r="G2606" t="inlineStr">
        <is>
          <t>Light</t>
        </is>
      </c>
      <c r="H2606" t="b">
        <v>0</v>
      </c>
    </row>
    <row r="2607">
      <c r="A2607" t="inlineStr">
        <is>
          <t>S003</t>
        </is>
      </c>
      <c r="B2607" s="3" t="n">
        <v>46274</v>
      </c>
      <c r="C2607" t="n">
        <v>21</v>
      </c>
      <c r="D2607" t="inlineStr">
        <is>
          <t>Wednesday</t>
        </is>
      </c>
      <c r="E2607" t="n">
        <v>63</v>
      </c>
      <c r="F2607" t="b">
        <v>1</v>
      </c>
      <c r="H2607" t="b">
        <v>0</v>
      </c>
    </row>
    <row r="2608">
      <c r="A2608" t="inlineStr">
        <is>
          <t>S003</t>
        </is>
      </c>
      <c r="B2608" s="3" t="n">
        <v>46274</v>
      </c>
      <c r="C2608" t="n">
        <v>22</v>
      </c>
      <c r="D2608" t="inlineStr">
        <is>
          <t>Wednesday</t>
        </is>
      </c>
      <c r="E2608" t="n">
        <v>31</v>
      </c>
      <c r="F2608" t="b">
        <v>0</v>
      </c>
      <c r="H2608" t="b">
        <v>0</v>
      </c>
    </row>
    <row r="2609">
      <c r="A2609" t="inlineStr">
        <is>
          <t>S003</t>
        </is>
      </c>
      <c r="B2609" s="3" t="n">
        <v>46274</v>
      </c>
      <c r="C2609" t="n">
        <v>23</v>
      </c>
      <c r="D2609" t="inlineStr">
        <is>
          <t>Wednesday</t>
        </is>
      </c>
      <c r="E2609" t="n">
        <v>37</v>
      </c>
      <c r="F2609" t="b">
        <v>0</v>
      </c>
      <c r="H2609" t="b">
        <v>0</v>
      </c>
    </row>
    <row r="2610">
      <c r="A2610" t="inlineStr">
        <is>
          <t>S004</t>
        </is>
      </c>
      <c r="B2610" s="3" t="n">
        <v>46274</v>
      </c>
      <c r="C2610" t="n">
        <v>8</v>
      </c>
      <c r="D2610" t="inlineStr">
        <is>
          <t>Wednesday</t>
        </is>
      </c>
      <c r="E2610" t="n">
        <v>29</v>
      </c>
      <c r="F2610" t="b">
        <v>0</v>
      </c>
      <c r="H2610" t="b">
        <v>0</v>
      </c>
    </row>
    <row r="2611">
      <c r="A2611" t="inlineStr">
        <is>
          <t>S004</t>
        </is>
      </c>
      <c r="B2611" s="3" t="n">
        <v>46274</v>
      </c>
      <c r="C2611" t="n">
        <v>9</v>
      </c>
      <c r="D2611" t="inlineStr">
        <is>
          <t>Wednesday</t>
        </is>
      </c>
      <c r="E2611" t="n">
        <v>29</v>
      </c>
      <c r="F2611" t="b">
        <v>0</v>
      </c>
      <c r="G2611" t="inlineStr">
        <is>
          <t>Heavy</t>
        </is>
      </c>
      <c r="H2611" t="b">
        <v>0</v>
      </c>
    </row>
    <row r="2612">
      <c r="A2612" t="inlineStr">
        <is>
          <t>S004</t>
        </is>
      </c>
      <c r="B2612" s="3" t="n">
        <v>46274</v>
      </c>
      <c r="C2612" t="n">
        <v>10</v>
      </c>
      <c r="D2612" t="inlineStr">
        <is>
          <t>Wednesday</t>
        </is>
      </c>
      <c r="E2612" t="n">
        <v>23</v>
      </c>
      <c r="F2612" t="b">
        <v>0</v>
      </c>
      <c r="G2612" t="inlineStr">
        <is>
          <t>Light</t>
        </is>
      </c>
      <c r="H2612" t="b">
        <v>0</v>
      </c>
    </row>
    <row r="2613">
      <c r="A2613" t="inlineStr">
        <is>
          <t>S004</t>
        </is>
      </c>
      <c r="B2613" s="3" t="n">
        <v>46274</v>
      </c>
      <c r="C2613" t="n">
        <v>11</v>
      </c>
      <c r="D2613" t="inlineStr">
        <is>
          <t>Wednesday</t>
        </is>
      </c>
      <c r="E2613" t="n">
        <v>42</v>
      </c>
      <c r="F2613" t="b">
        <v>0</v>
      </c>
      <c r="H2613" t="b">
        <v>0</v>
      </c>
    </row>
    <row r="2614">
      <c r="A2614" t="inlineStr">
        <is>
          <t>S004</t>
        </is>
      </c>
      <c r="B2614" s="3" t="n">
        <v>46274</v>
      </c>
      <c r="C2614" t="n">
        <v>12</v>
      </c>
      <c r="D2614" t="inlineStr">
        <is>
          <t>Wednesday</t>
        </is>
      </c>
      <c r="E2614" t="n">
        <v>50</v>
      </c>
      <c r="F2614" t="b">
        <v>0</v>
      </c>
      <c r="G2614" t="inlineStr">
        <is>
          <t>Light</t>
        </is>
      </c>
      <c r="H2614" t="b">
        <v>0</v>
      </c>
    </row>
    <row r="2615">
      <c r="A2615" t="inlineStr">
        <is>
          <t>S004</t>
        </is>
      </c>
      <c r="B2615" s="3" t="n">
        <v>46274</v>
      </c>
      <c r="C2615" t="n">
        <v>13</v>
      </c>
      <c r="D2615" t="inlineStr">
        <is>
          <t>Wednesday</t>
        </is>
      </c>
      <c r="E2615" t="n">
        <v>38</v>
      </c>
      <c r="F2615" t="b">
        <v>0</v>
      </c>
      <c r="G2615" t="inlineStr">
        <is>
          <t>Light</t>
        </is>
      </c>
      <c r="H2615" t="b">
        <v>0</v>
      </c>
    </row>
    <row r="2616">
      <c r="A2616" t="inlineStr">
        <is>
          <t>S004</t>
        </is>
      </c>
      <c r="B2616" s="3" t="n">
        <v>46274</v>
      </c>
      <c r="C2616" t="n">
        <v>14</v>
      </c>
      <c r="D2616" t="inlineStr">
        <is>
          <t>Wednesday</t>
        </is>
      </c>
      <c r="E2616" t="n">
        <v>37</v>
      </c>
      <c r="F2616" t="b">
        <v>0</v>
      </c>
      <c r="H2616" t="b">
        <v>0</v>
      </c>
    </row>
    <row r="2617">
      <c r="A2617" t="inlineStr">
        <is>
          <t>S004</t>
        </is>
      </c>
      <c r="B2617" s="3" t="n">
        <v>46274</v>
      </c>
      <c r="C2617" t="n">
        <v>15</v>
      </c>
      <c r="D2617" t="inlineStr">
        <is>
          <t>Wednesday</t>
        </is>
      </c>
      <c r="E2617" t="n">
        <v>32</v>
      </c>
      <c r="F2617" t="b">
        <v>0</v>
      </c>
      <c r="G2617" t="inlineStr">
        <is>
          <t>Light</t>
        </is>
      </c>
      <c r="H2617" t="b">
        <v>0</v>
      </c>
    </row>
    <row r="2618">
      <c r="A2618" t="inlineStr">
        <is>
          <t>S004</t>
        </is>
      </c>
      <c r="B2618" s="3" t="n">
        <v>46274</v>
      </c>
      <c r="C2618" t="n">
        <v>16</v>
      </c>
      <c r="D2618" t="inlineStr">
        <is>
          <t>Wednesday</t>
        </is>
      </c>
      <c r="E2618" t="n">
        <v>37</v>
      </c>
      <c r="F2618" t="b">
        <v>0</v>
      </c>
      <c r="H2618" t="b">
        <v>0</v>
      </c>
    </row>
    <row r="2619">
      <c r="A2619" t="inlineStr">
        <is>
          <t>S004</t>
        </is>
      </c>
      <c r="B2619" s="3" t="n">
        <v>46274</v>
      </c>
      <c r="C2619" t="n">
        <v>17</v>
      </c>
      <c r="D2619" t="inlineStr">
        <is>
          <t>Wednesday</t>
        </is>
      </c>
      <c r="E2619" t="n">
        <v>55</v>
      </c>
      <c r="F2619" t="b">
        <v>0</v>
      </c>
      <c r="H2619" t="b">
        <v>0</v>
      </c>
    </row>
    <row r="2620">
      <c r="A2620" t="inlineStr">
        <is>
          <t>S004</t>
        </is>
      </c>
      <c r="B2620" s="3" t="n">
        <v>46274</v>
      </c>
      <c r="C2620" t="n">
        <v>18</v>
      </c>
      <c r="D2620" t="inlineStr">
        <is>
          <t>Wednesday</t>
        </is>
      </c>
      <c r="E2620" t="n">
        <v>44</v>
      </c>
      <c r="F2620" t="b">
        <v>0</v>
      </c>
      <c r="H2620" t="b">
        <v>0</v>
      </c>
    </row>
    <row r="2621">
      <c r="A2621" t="inlineStr">
        <is>
          <t>S004</t>
        </is>
      </c>
      <c r="B2621" s="3" t="n">
        <v>46274</v>
      </c>
      <c r="C2621" t="n">
        <v>19</v>
      </c>
      <c r="D2621" t="inlineStr">
        <is>
          <t>Wednesday</t>
        </is>
      </c>
      <c r="E2621" t="n">
        <v>46</v>
      </c>
      <c r="F2621" t="b">
        <v>1</v>
      </c>
      <c r="H2621" t="b">
        <v>0</v>
      </c>
    </row>
    <row r="2622">
      <c r="A2622" t="inlineStr">
        <is>
          <t>S004</t>
        </is>
      </c>
      <c r="B2622" s="3" t="n">
        <v>46274</v>
      </c>
      <c r="C2622" t="n">
        <v>20</v>
      </c>
      <c r="D2622" t="inlineStr">
        <is>
          <t>Wednesday</t>
        </is>
      </c>
      <c r="E2622" t="n">
        <v>58</v>
      </c>
      <c r="F2622" t="b">
        <v>1</v>
      </c>
      <c r="H2622" t="b">
        <v>0</v>
      </c>
    </row>
    <row r="2623">
      <c r="A2623" t="inlineStr">
        <is>
          <t>S004</t>
        </is>
      </c>
      <c r="B2623" s="3" t="n">
        <v>46274</v>
      </c>
      <c r="C2623" t="n">
        <v>21</v>
      </c>
      <c r="D2623" t="inlineStr">
        <is>
          <t>Wednesday</t>
        </is>
      </c>
      <c r="E2623" t="n">
        <v>57</v>
      </c>
      <c r="F2623" t="b">
        <v>1</v>
      </c>
      <c r="G2623" t="inlineStr">
        <is>
          <t>Light</t>
        </is>
      </c>
      <c r="H2623" t="b">
        <v>0</v>
      </c>
    </row>
    <row r="2624">
      <c r="A2624" t="inlineStr">
        <is>
          <t>S004</t>
        </is>
      </c>
      <c r="B2624" s="3" t="n">
        <v>46274</v>
      </c>
      <c r="C2624" t="n">
        <v>22</v>
      </c>
      <c r="D2624" t="inlineStr">
        <is>
          <t>Wednesday</t>
        </is>
      </c>
      <c r="E2624" t="n">
        <v>40</v>
      </c>
      <c r="F2624" t="b">
        <v>0</v>
      </c>
      <c r="H2624" t="b">
        <v>0</v>
      </c>
    </row>
    <row r="2625">
      <c r="A2625" t="inlineStr">
        <is>
          <t>S004</t>
        </is>
      </c>
      <c r="B2625" s="3" t="n">
        <v>46274</v>
      </c>
      <c r="C2625" t="n">
        <v>23</v>
      </c>
      <c r="D2625" t="inlineStr">
        <is>
          <t>Wednesday</t>
        </is>
      </c>
      <c r="E2625" t="n">
        <v>36</v>
      </c>
      <c r="F2625" t="b">
        <v>0</v>
      </c>
      <c r="G2625" t="inlineStr">
        <is>
          <t>Light</t>
        </is>
      </c>
      <c r="H2625" t="b">
        <v>0</v>
      </c>
    </row>
    <row r="2626">
      <c r="A2626" t="inlineStr">
        <is>
          <t>S005</t>
        </is>
      </c>
      <c r="B2626" s="3" t="n">
        <v>46274</v>
      </c>
      <c r="C2626" t="n">
        <v>8</v>
      </c>
      <c r="D2626" t="inlineStr">
        <is>
          <t>Wednesday</t>
        </is>
      </c>
      <c r="E2626" t="n">
        <v>10</v>
      </c>
      <c r="F2626" t="b">
        <v>0</v>
      </c>
      <c r="G2626" t="inlineStr">
        <is>
          <t>Light</t>
        </is>
      </c>
      <c r="H2626" t="b">
        <v>0</v>
      </c>
    </row>
    <row r="2627">
      <c r="A2627" t="inlineStr">
        <is>
          <t>S005</t>
        </is>
      </c>
      <c r="B2627" s="3" t="n">
        <v>46274</v>
      </c>
      <c r="C2627" t="n">
        <v>9</v>
      </c>
      <c r="D2627" t="inlineStr">
        <is>
          <t>Wednesday</t>
        </is>
      </c>
      <c r="E2627" t="n">
        <v>6</v>
      </c>
      <c r="F2627" t="b">
        <v>0</v>
      </c>
      <c r="H2627" t="b">
        <v>0</v>
      </c>
    </row>
    <row r="2628">
      <c r="A2628" t="inlineStr">
        <is>
          <t>S005</t>
        </is>
      </c>
      <c r="B2628" s="3" t="n">
        <v>46274</v>
      </c>
      <c r="C2628" t="n">
        <v>10</v>
      </c>
      <c r="D2628" t="inlineStr">
        <is>
          <t>Wednesday</t>
        </is>
      </c>
      <c r="E2628" t="n">
        <v>7</v>
      </c>
      <c r="F2628" t="b">
        <v>0</v>
      </c>
      <c r="H2628" t="b">
        <v>1</v>
      </c>
    </row>
    <row r="2629">
      <c r="A2629" t="inlineStr">
        <is>
          <t>S005</t>
        </is>
      </c>
      <c r="B2629" s="3" t="n">
        <v>46274</v>
      </c>
      <c r="C2629" t="n">
        <v>11</v>
      </c>
      <c r="D2629" t="inlineStr">
        <is>
          <t>Wednesday</t>
        </is>
      </c>
      <c r="E2629" t="n">
        <v>11</v>
      </c>
      <c r="F2629" t="b">
        <v>0</v>
      </c>
      <c r="G2629" t="inlineStr">
        <is>
          <t>Heavy</t>
        </is>
      </c>
      <c r="H2629" t="b">
        <v>0</v>
      </c>
    </row>
    <row r="2630">
      <c r="A2630" t="inlineStr">
        <is>
          <t>S005</t>
        </is>
      </c>
      <c r="B2630" s="3" t="n">
        <v>46274</v>
      </c>
      <c r="C2630" t="n">
        <v>12</v>
      </c>
      <c r="D2630" t="inlineStr">
        <is>
          <t>Wednesday</t>
        </is>
      </c>
      <c r="E2630" t="n">
        <v>6</v>
      </c>
      <c r="F2630" t="b">
        <v>0</v>
      </c>
      <c r="H2630" t="b">
        <v>0</v>
      </c>
    </row>
    <row r="2631">
      <c r="A2631" t="inlineStr">
        <is>
          <t>S005</t>
        </is>
      </c>
      <c r="B2631" s="3" t="n">
        <v>46274</v>
      </c>
      <c r="C2631" t="n">
        <v>13</v>
      </c>
      <c r="D2631" t="inlineStr">
        <is>
          <t>Wednesday</t>
        </is>
      </c>
      <c r="E2631" t="n">
        <v>14</v>
      </c>
      <c r="F2631" t="b">
        <v>0</v>
      </c>
      <c r="H2631" t="b">
        <v>0</v>
      </c>
    </row>
    <row r="2632">
      <c r="A2632" t="inlineStr">
        <is>
          <t>S005</t>
        </is>
      </c>
      <c r="B2632" s="3" t="n">
        <v>46274</v>
      </c>
      <c r="C2632" t="n">
        <v>14</v>
      </c>
      <c r="D2632" t="inlineStr">
        <is>
          <t>Wednesday</t>
        </is>
      </c>
      <c r="E2632" t="n">
        <v>10</v>
      </c>
      <c r="F2632" t="b">
        <v>0</v>
      </c>
      <c r="H2632" t="b">
        <v>0</v>
      </c>
    </row>
    <row r="2633">
      <c r="A2633" t="inlineStr">
        <is>
          <t>S005</t>
        </is>
      </c>
      <c r="B2633" s="3" t="n">
        <v>46274</v>
      </c>
      <c r="C2633" t="n">
        <v>15</v>
      </c>
      <c r="D2633" t="inlineStr">
        <is>
          <t>Wednesday</t>
        </is>
      </c>
      <c r="E2633" t="n">
        <v>5</v>
      </c>
      <c r="F2633" t="b">
        <v>0</v>
      </c>
      <c r="G2633" t="inlineStr">
        <is>
          <t>Light</t>
        </is>
      </c>
      <c r="H2633" t="b">
        <v>0</v>
      </c>
    </row>
    <row r="2634">
      <c r="A2634" t="inlineStr">
        <is>
          <t>S005</t>
        </is>
      </c>
      <c r="B2634" s="3" t="n">
        <v>46274</v>
      </c>
      <c r="C2634" t="n">
        <v>16</v>
      </c>
      <c r="D2634" t="inlineStr">
        <is>
          <t>Wednesday</t>
        </is>
      </c>
      <c r="E2634" t="n">
        <v>16</v>
      </c>
      <c r="F2634" t="b">
        <v>0</v>
      </c>
      <c r="H2634" t="b">
        <v>0</v>
      </c>
    </row>
    <row r="2635">
      <c r="A2635" t="inlineStr">
        <is>
          <t>S005</t>
        </is>
      </c>
      <c r="B2635" s="3" t="n">
        <v>46274</v>
      </c>
      <c r="C2635" t="n">
        <v>17</v>
      </c>
      <c r="D2635" t="inlineStr">
        <is>
          <t>Wednesday</t>
        </is>
      </c>
      <c r="E2635" t="n">
        <v>20</v>
      </c>
      <c r="F2635" t="b">
        <v>0</v>
      </c>
      <c r="G2635" t="inlineStr">
        <is>
          <t>Light</t>
        </is>
      </c>
      <c r="H2635" t="b">
        <v>0</v>
      </c>
    </row>
    <row r="2636">
      <c r="A2636" t="inlineStr">
        <is>
          <t>S005</t>
        </is>
      </c>
      <c r="B2636" s="3" t="n">
        <v>46274</v>
      </c>
      <c r="C2636" t="n">
        <v>18</v>
      </c>
      <c r="D2636" t="inlineStr">
        <is>
          <t>Wednesday</t>
        </is>
      </c>
      <c r="E2636" t="n">
        <v>16</v>
      </c>
      <c r="F2636" t="b">
        <v>0</v>
      </c>
      <c r="G2636" t="inlineStr">
        <is>
          <t>Light</t>
        </is>
      </c>
      <c r="H2636" t="b">
        <v>0</v>
      </c>
    </row>
    <row r="2637">
      <c r="A2637" t="inlineStr">
        <is>
          <t>S005</t>
        </is>
      </c>
      <c r="B2637" s="3" t="n">
        <v>46274</v>
      </c>
      <c r="C2637" t="n">
        <v>19</v>
      </c>
      <c r="D2637" t="inlineStr">
        <is>
          <t>Wednesday</t>
        </is>
      </c>
      <c r="E2637" t="n">
        <v>15</v>
      </c>
      <c r="F2637" t="b">
        <v>1</v>
      </c>
      <c r="H2637" t="b">
        <v>0</v>
      </c>
    </row>
    <row r="2638">
      <c r="A2638" t="inlineStr">
        <is>
          <t>S005</t>
        </is>
      </c>
      <c r="B2638" s="3" t="n">
        <v>46274</v>
      </c>
      <c r="C2638" t="n">
        <v>20</v>
      </c>
      <c r="D2638" t="inlineStr">
        <is>
          <t>Wednesday</t>
        </is>
      </c>
      <c r="E2638" t="n">
        <v>25</v>
      </c>
      <c r="F2638" t="b">
        <v>1</v>
      </c>
      <c r="G2638" t="inlineStr">
        <is>
          <t>Light</t>
        </is>
      </c>
      <c r="H2638" t="b">
        <v>0</v>
      </c>
    </row>
    <row r="2639">
      <c r="A2639" t="inlineStr">
        <is>
          <t>S005</t>
        </is>
      </c>
      <c r="B2639" s="3" t="n">
        <v>46274</v>
      </c>
      <c r="C2639" t="n">
        <v>21</v>
      </c>
      <c r="D2639" t="inlineStr">
        <is>
          <t>Wednesday</t>
        </is>
      </c>
      <c r="E2639" t="n">
        <v>15</v>
      </c>
      <c r="F2639" t="b">
        <v>1</v>
      </c>
      <c r="H2639" t="b">
        <v>0</v>
      </c>
    </row>
    <row r="2640">
      <c r="A2640" t="inlineStr">
        <is>
          <t>S005</t>
        </is>
      </c>
      <c r="B2640" s="3" t="n">
        <v>46274</v>
      </c>
      <c r="C2640" t="n">
        <v>22</v>
      </c>
      <c r="D2640" t="inlineStr">
        <is>
          <t>Wednesday</t>
        </is>
      </c>
      <c r="E2640" t="n">
        <v>15</v>
      </c>
      <c r="F2640" t="b">
        <v>0</v>
      </c>
      <c r="H2640" t="b">
        <v>0</v>
      </c>
    </row>
    <row r="2641">
      <c r="A2641" t="inlineStr">
        <is>
          <t>S005</t>
        </is>
      </c>
      <c r="B2641" s="3" t="n">
        <v>46274</v>
      </c>
      <c r="C2641" t="n">
        <v>23</v>
      </c>
      <c r="D2641" t="inlineStr">
        <is>
          <t>Wednesday</t>
        </is>
      </c>
      <c r="E2641" t="n">
        <v>11</v>
      </c>
      <c r="F2641" t="b">
        <v>0</v>
      </c>
      <c r="H2641" t="b">
        <v>0</v>
      </c>
    </row>
    <row r="2642">
      <c r="A2642" t="inlineStr">
        <is>
          <t>S006</t>
        </is>
      </c>
      <c r="B2642" s="3" t="n">
        <v>46274</v>
      </c>
      <c r="C2642" t="n">
        <v>8</v>
      </c>
      <c r="D2642" t="inlineStr">
        <is>
          <t>Wednesday</t>
        </is>
      </c>
      <c r="E2642" t="n">
        <v>17</v>
      </c>
      <c r="F2642" t="b">
        <v>0</v>
      </c>
      <c r="G2642" t="inlineStr">
        <is>
          <t>Light</t>
        </is>
      </c>
      <c r="H2642" t="b">
        <v>0</v>
      </c>
    </row>
    <row r="2643">
      <c r="A2643" t="inlineStr">
        <is>
          <t>S006</t>
        </is>
      </c>
      <c r="B2643" s="3" t="n">
        <v>46274</v>
      </c>
      <c r="C2643" t="n">
        <v>9</v>
      </c>
      <c r="D2643" t="inlineStr">
        <is>
          <t>Wednesday</t>
        </is>
      </c>
      <c r="E2643" t="n">
        <v>19</v>
      </c>
      <c r="F2643" t="b">
        <v>0</v>
      </c>
      <c r="H2643" t="b">
        <v>0</v>
      </c>
    </row>
    <row r="2644">
      <c r="A2644" t="inlineStr">
        <is>
          <t>S006</t>
        </is>
      </c>
      <c r="B2644" s="3" t="n">
        <v>46274</v>
      </c>
      <c r="C2644" t="n">
        <v>10</v>
      </c>
      <c r="D2644" t="inlineStr">
        <is>
          <t>Wednesday</t>
        </is>
      </c>
      <c r="E2644" t="n">
        <v>18</v>
      </c>
      <c r="F2644" t="b">
        <v>0</v>
      </c>
      <c r="H2644" t="b">
        <v>0</v>
      </c>
    </row>
    <row r="2645">
      <c r="A2645" t="inlineStr">
        <is>
          <t>S006</t>
        </is>
      </c>
      <c r="B2645" s="3" t="n">
        <v>46274</v>
      </c>
      <c r="C2645" t="n">
        <v>11</v>
      </c>
      <c r="D2645" t="inlineStr">
        <is>
          <t>Wednesday</t>
        </is>
      </c>
      <c r="E2645" t="n">
        <v>33</v>
      </c>
      <c r="F2645" t="b">
        <v>0</v>
      </c>
      <c r="G2645" t="inlineStr">
        <is>
          <t>Light</t>
        </is>
      </c>
      <c r="H2645" t="b">
        <v>0</v>
      </c>
    </row>
    <row r="2646">
      <c r="A2646" t="inlineStr">
        <is>
          <t>S006</t>
        </is>
      </c>
      <c r="B2646" s="3" t="n">
        <v>46274</v>
      </c>
      <c r="C2646" t="n">
        <v>12</v>
      </c>
      <c r="D2646" t="inlineStr">
        <is>
          <t>Wednesday</t>
        </is>
      </c>
      <c r="E2646" t="n">
        <v>24</v>
      </c>
      <c r="F2646" t="b">
        <v>0</v>
      </c>
      <c r="H2646" t="b">
        <v>0</v>
      </c>
    </row>
    <row r="2647">
      <c r="A2647" t="inlineStr">
        <is>
          <t>S006</t>
        </is>
      </c>
      <c r="B2647" s="3" t="n">
        <v>46274</v>
      </c>
      <c r="C2647" t="n">
        <v>13</v>
      </c>
      <c r="D2647" t="inlineStr">
        <is>
          <t>Wednesday</t>
        </is>
      </c>
      <c r="E2647" t="n">
        <v>27</v>
      </c>
      <c r="F2647" t="b">
        <v>0</v>
      </c>
      <c r="H2647" t="b">
        <v>0</v>
      </c>
    </row>
    <row r="2648">
      <c r="A2648" t="inlineStr">
        <is>
          <t>S006</t>
        </is>
      </c>
      <c r="B2648" s="3" t="n">
        <v>46274</v>
      </c>
      <c r="C2648" t="n">
        <v>14</v>
      </c>
      <c r="D2648" t="inlineStr">
        <is>
          <t>Wednesday</t>
        </is>
      </c>
      <c r="E2648" t="n">
        <v>15</v>
      </c>
      <c r="F2648" t="b">
        <v>0</v>
      </c>
      <c r="H2648" t="b">
        <v>0</v>
      </c>
    </row>
    <row r="2649">
      <c r="A2649" t="inlineStr">
        <is>
          <t>S006</t>
        </is>
      </c>
      <c r="B2649" s="3" t="n">
        <v>46274</v>
      </c>
      <c r="C2649" t="n">
        <v>15</v>
      </c>
      <c r="D2649" t="inlineStr">
        <is>
          <t>Wednesday</t>
        </is>
      </c>
      <c r="E2649" t="n">
        <v>30</v>
      </c>
      <c r="F2649" t="b">
        <v>0</v>
      </c>
      <c r="G2649" t="inlineStr">
        <is>
          <t>Light</t>
        </is>
      </c>
      <c r="H2649" t="b">
        <v>0</v>
      </c>
    </row>
    <row r="2650">
      <c r="A2650" t="inlineStr">
        <is>
          <t>S006</t>
        </is>
      </c>
      <c r="B2650" s="3" t="n">
        <v>46274</v>
      </c>
      <c r="C2650" t="n">
        <v>16</v>
      </c>
      <c r="D2650" t="inlineStr">
        <is>
          <t>Wednesday</t>
        </is>
      </c>
      <c r="E2650" t="n">
        <v>23</v>
      </c>
      <c r="F2650" t="b">
        <v>0</v>
      </c>
      <c r="H2650" t="b">
        <v>0</v>
      </c>
    </row>
    <row r="2651">
      <c r="A2651" t="inlineStr">
        <is>
          <t>S006</t>
        </is>
      </c>
      <c r="B2651" s="3" t="n">
        <v>46274</v>
      </c>
      <c r="C2651" t="n">
        <v>17</v>
      </c>
      <c r="D2651" t="inlineStr">
        <is>
          <t>Wednesday</t>
        </is>
      </c>
      <c r="E2651" t="n">
        <v>29</v>
      </c>
      <c r="F2651" t="b">
        <v>0</v>
      </c>
      <c r="H2651" t="b">
        <v>0</v>
      </c>
    </row>
    <row r="2652">
      <c r="A2652" t="inlineStr">
        <is>
          <t>S006</t>
        </is>
      </c>
      <c r="B2652" s="3" t="n">
        <v>46274</v>
      </c>
      <c r="C2652" t="n">
        <v>18</v>
      </c>
      <c r="D2652" t="inlineStr">
        <is>
          <t>Wednesday</t>
        </is>
      </c>
      <c r="E2652" t="n">
        <v>26</v>
      </c>
      <c r="F2652" t="b">
        <v>0</v>
      </c>
      <c r="G2652" t="inlineStr">
        <is>
          <t>Light</t>
        </is>
      </c>
      <c r="H2652" t="b">
        <v>0</v>
      </c>
    </row>
    <row r="2653">
      <c r="A2653" t="inlineStr">
        <is>
          <t>S006</t>
        </is>
      </c>
      <c r="B2653" s="3" t="n">
        <v>46274</v>
      </c>
      <c r="C2653" t="n">
        <v>19</v>
      </c>
      <c r="D2653" t="inlineStr">
        <is>
          <t>Wednesday</t>
        </is>
      </c>
      <c r="E2653" t="n">
        <v>45</v>
      </c>
      <c r="F2653" t="b">
        <v>1</v>
      </c>
      <c r="G2653" t="inlineStr">
        <is>
          <t>Light</t>
        </is>
      </c>
      <c r="H2653" t="b">
        <v>0</v>
      </c>
    </row>
    <row r="2654">
      <c r="A2654" t="inlineStr">
        <is>
          <t>S006</t>
        </is>
      </c>
      <c r="B2654" s="3" t="n">
        <v>46274</v>
      </c>
      <c r="C2654" t="n">
        <v>20</v>
      </c>
      <c r="D2654" t="inlineStr">
        <is>
          <t>Wednesday</t>
        </is>
      </c>
      <c r="E2654" t="n">
        <v>21</v>
      </c>
      <c r="F2654" t="b">
        <v>1</v>
      </c>
      <c r="G2654" t="inlineStr">
        <is>
          <t>Light</t>
        </is>
      </c>
      <c r="H2654" t="b">
        <v>0</v>
      </c>
    </row>
    <row r="2655">
      <c r="A2655" t="inlineStr">
        <is>
          <t>S006</t>
        </is>
      </c>
      <c r="B2655" s="3" t="n">
        <v>46274</v>
      </c>
      <c r="C2655" t="n">
        <v>21</v>
      </c>
      <c r="D2655" t="inlineStr">
        <is>
          <t>Wednesday</t>
        </is>
      </c>
      <c r="E2655" t="n">
        <v>32</v>
      </c>
      <c r="F2655" t="b">
        <v>1</v>
      </c>
      <c r="H2655" t="b">
        <v>0</v>
      </c>
    </row>
    <row r="2656">
      <c r="A2656" t="inlineStr">
        <is>
          <t>S006</t>
        </is>
      </c>
      <c r="B2656" s="3" t="n">
        <v>46274</v>
      </c>
      <c r="C2656" t="n">
        <v>22</v>
      </c>
      <c r="D2656" t="inlineStr">
        <is>
          <t>Wednesday</t>
        </is>
      </c>
      <c r="E2656" t="n">
        <v>17</v>
      </c>
      <c r="F2656" t="b">
        <v>0</v>
      </c>
      <c r="H2656" t="b">
        <v>0</v>
      </c>
    </row>
    <row r="2657">
      <c r="A2657" t="inlineStr">
        <is>
          <t>S006</t>
        </is>
      </c>
      <c r="B2657" s="3" t="n">
        <v>46274</v>
      </c>
      <c r="C2657" t="n">
        <v>23</v>
      </c>
      <c r="D2657" t="inlineStr">
        <is>
          <t>Wednesday</t>
        </is>
      </c>
      <c r="E2657" t="n">
        <v>24</v>
      </c>
      <c r="F2657" t="b">
        <v>0</v>
      </c>
      <c r="H2657" t="b">
        <v>0</v>
      </c>
    </row>
    <row r="2658">
      <c r="A2658" t="inlineStr">
        <is>
          <t>S007</t>
        </is>
      </c>
      <c r="B2658" s="3" t="n">
        <v>46274</v>
      </c>
      <c r="C2658" t="n">
        <v>8</v>
      </c>
      <c r="D2658" t="inlineStr">
        <is>
          <t>Wednesday</t>
        </is>
      </c>
      <c r="E2658" t="n">
        <v>23</v>
      </c>
      <c r="F2658" t="b">
        <v>0</v>
      </c>
      <c r="G2658" t="inlineStr">
        <is>
          <t>Light</t>
        </is>
      </c>
      <c r="H2658" t="b">
        <v>0</v>
      </c>
    </row>
    <row r="2659">
      <c r="A2659" t="inlineStr">
        <is>
          <t>S007</t>
        </is>
      </c>
      <c r="B2659" s="3" t="n">
        <v>46274</v>
      </c>
      <c r="C2659" t="n">
        <v>9</v>
      </c>
      <c r="D2659" t="inlineStr">
        <is>
          <t>Wednesday</t>
        </is>
      </c>
      <c r="E2659" t="n">
        <v>20</v>
      </c>
      <c r="F2659" t="b">
        <v>0</v>
      </c>
      <c r="H2659" t="b">
        <v>1</v>
      </c>
    </row>
    <row r="2660">
      <c r="A2660" t="inlineStr">
        <is>
          <t>S007</t>
        </is>
      </c>
      <c r="B2660" s="3" t="n">
        <v>46274</v>
      </c>
      <c r="C2660" t="n">
        <v>10</v>
      </c>
      <c r="D2660" t="inlineStr">
        <is>
          <t>Wednesday</t>
        </is>
      </c>
      <c r="E2660" t="n">
        <v>23</v>
      </c>
      <c r="F2660" t="b">
        <v>0</v>
      </c>
      <c r="H2660" t="b">
        <v>1</v>
      </c>
    </row>
    <row r="2661">
      <c r="A2661" t="inlineStr">
        <is>
          <t>S007</t>
        </is>
      </c>
      <c r="B2661" s="3" t="n">
        <v>46274</v>
      </c>
      <c r="C2661" t="n">
        <v>11</v>
      </c>
      <c r="D2661" t="inlineStr">
        <is>
          <t>Wednesday</t>
        </is>
      </c>
      <c r="E2661" t="n">
        <v>32</v>
      </c>
      <c r="F2661" t="b">
        <v>0</v>
      </c>
      <c r="H2661" t="b">
        <v>0</v>
      </c>
    </row>
    <row r="2662">
      <c r="A2662" t="inlineStr">
        <is>
          <t>S007</t>
        </is>
      </c>
      <c r="B2662" s="3" t="n">
        <v>46274</v>
      </c>
      <c r="C2662" t="n">
        <v>12</v>
      </c>
      <c r="D2662" t="inlineStr">
        <is>
          <t>Wednesday</t>
        </is>
      </c>
      <c r="E2662" t="n">
        <v>39</v>
      </c>
      <c r="F2662" t="b">
        <v>0</v>
      </c>
      <c r="H2662" t="b">
        <v>0</v>
      </c>
    </row>
    <row r="2663">
      <c r="A2663" t="inlineStr">
        <is>
          <t>S007</t>
        </is>
      </c>
      <c r="B2663" s="3" t="n">
        <v>46274</v>
      </c>
      <c r="C2663" t="n">
        <v>13</v>
      </c>
      <c r="D2663" t="inlineStr">
        <is>
          <t>Wednesday</t>
        </is>
      </c>
      <c r="E2663" t="n">
        <v>40</v>
      </c>
      <c r="F2663" t="b">
        <v>0</v>
      </c>
      <c r="G2663" t="inlineStr">
        <is>
          <t>Heavy</t>
        </is>
      </c>
      <c r="H2663" t="b">
        <v>0</v>
      </c>
    </row>
    <row r="2664">
      <c r="A2664" t="inlineStr">
        <is>
          <t>S007</t>
        </is>
      </c>
      <c r="B2664" s="3" t="n">
        <v>46274</v>
      </c>
      <c r="C2664" t="n">
        <v>14</v>
      </c>
      <c r="D2664" t="inlineStr">
        <is>
          <t>Wednesday</t>
        </is>
      </c>
      <c r="E2664" t="n">
        <v>32</v>
      </c>
      <c r="F2664" t="b">
        <v>0</v>
      </c>
      <c r="G2664" t="inlineStr">
        <is>
          <t>Light</t>
        </is>
      </c>
      <c r="H2664" t="b">
        <v>0</v>
      </c>
    </row>
    <row r="2665">
      <c r="A2665" t="inlineStr">
        <is>
          <t>S007</t>
        </is>
      </c>
      <c r="B2665" s="3" t="n">
        <v>46274</v>
      </c>
      <c r="C2665" t="n">
        <v>15</v>
      </c>
      <c r="D2665" t="inlineStr">
        <is>
          <t>Wednesday</t>
        </is>
      </c>
      <c r="E2665" t="n">
        <v>29</v>
      </c>
      <c r="F2665" t="b">
        <v>0</v>
      </c>
      <c r="H2665" t="b">
        <v>0</v>
      </c>
    </row>
    <row r="2666">
      <c r="A2666" t="inlineStr">
        <is>
          <t>S007</t>
        </is>
      </c>
      <c r="B2666" s="3" t="n">
        <v>46274</v>
      </c>
      <c r="C2666" t="n">
        <v>16</v>
      </c>
      <c r="D2666" t="inlineStr">
        <is>
          <t>Wednesday</t>
        </is>
      </c>
      <c r="E2666" t="n">
        <v>39</v>
      </c>
      <c r="F2666" t="b">
        <v>0</v>
      </c>
      <c r="H2666" t="b">
        <v>0</v>
      </c>
    </row>
    <row r="2667">
      <c r="A2667" t="inlineStr">
        <is>
          <t>S007</t>
        </is>
      </c>
      <c r="B2667" s="3" t="n">
        <v>46274</v>
      </c>
      <c r="C2667" t="n">
        <v>17</v>
      </c>
      <c r="D2667" t="inlineStr">
        <is>
          <t>Wednesday</t>
        </is>
      </c>
      <c r="E2667" t="n">
        <v>29</v>
      </c>
      <c r="F2667" t="b">
        <v>0</v>
      </c>
      <c r="H2667" t="b">
        <v>0</v>
      </c>
    </row>
    <row r="2668">
      <c r="A2668" t="inlineStr">
        <is>
          <t>S007</t>
        </is>
      </c>
      <c r="B2668" s="3" t="n">
        <v>46274</v>
      </c>
      <c r="C2668" t="n">
        <v>18</v>
      </c>
      <c r="D2668" t="inlineStr">
        <is>
          <t>Wednesday</t>
        </is>
      </c>
      <c r="E2668" t="n">
        <v>33</v>
      </c>
      <c r="F2668" t="b">
        <v>0</v>
      </c>
      <c r="H2668" t="b">
        <v>0</v>
      </c>
    </row>
    <row r="2669">
      <c r="A2669" t="inlineStr">
        <is>
          <t>S007</t>
        </is>
      </c>
      <c r="B2669" s="3" t="n">
        <v>46274</v>
      </c>
      <c r="C2669" t="n">
        <v>19</v>
      </c>
      <c r="D2669" t="inlineStr">
        <is>
          <t>Wednesday</t>
        </is>
      </c>
      <c r="E2669" t="n">
        <v>44</v>
      </c>
      <c r="F2669" t="b">
        <v>1</v>
      </c>
      <c r="H2669" t="b">
        <v>0</v>
      </c>
    </row>
    <row r="2670">
      <c r="A2670" t="inlineStr">
        <is>
          <t>S007</t>
        </is>
      </c>
      <c r="B2670" s="3" t="n">
        <v>46274</v>
      </c>
      <c r="C2670" t="n">
        <v>20</v>
      </c>
      <c r="D2670" t="inlineStr">
        <is>
          <t>Wednesday</t>
        </is>
      </c>
      <c r="E2670" t="n">
        <v>52</v>
      </c>
      <c r="F2670" t="b">
        <v>1</v>
      </c>
      <c r="H2670" t="b">
        <v>0</v>
      </c>
    </row>
    <row r="2671">
      <c r="A2671" t="inlineStr">
        <is>
          <t>S007</t>
        </is>
      </c>
      <c r="B2671" s="3" t="n">
        <v>46274</v>
      </c>
      <c r="C2671" t="n">
        <v>21</v>
      </c>
      <c r="D2671" t="inlineStr">
        <is>
          <t>Wednesday</t>
        </is>
      </c>
      <c r="E2671" t="n">
        <v>48</v>
      </c>
      <c r="F2671" t="b">
        <v>1</v>
      </c>
      <c r="H2671" t="b">
        <v>0</v>
      </c>
    </row>
    <row r="2672">
      <c r="A2672" t="inlineStr">
        <is>
          <t>S007</t>
        </is>
      </c>
      <c r="B2672" s="3" t="n">
        <v>46274</v>
      </c>
      <c r="C2672" t="n">
        <v>22</v>
      </c>
      <c r="D2672" t="inlineStr">
        <is>
          <t>Wednesday</t>
        </is>
      </c>
      <c r="E2672" t="n">
        <v>38</v>
      </c>
      <c r="F2672" t="b">
        <v>0</v>
      </c>
      <c r="H2672" t="b">
        <v>0</v>
      </c>
    </row>
    <row r="2673">
      <c r="A2673" t="inlineStr">
        <is>
          <t>S007</t>
        </is>
      </c>
      <c r="B2673" s="3" t="n">
        <v>46274</v>
      </c>
      <c r="C2673" t="n">
        <v>23</v>
      </c>
      <c r="D2673" t="inlineStr">
        <is>
          <t>Wednesday</t>
        </is>
      </c>
      <c r="E2673" t="n">
        <v>41</v>
      </c>
      <c r="F2673" t="b">
        <v>0</v>
      </c>
      <c r="G2673" t="inlineStr">
        <is>
          <t>Light</t>
        </is>
      </c>
      <c r="H2673" t="b">
        <v>0</v>
      </c>
    </row>
    <row r="2674">
      <c r="A2674" t="inlineStr">
        <is>
          <t>S008</t>
        </is>
      </c>
      <c r="B2674" s="3" t="n">
        <v>46274</v>
      </c>
      <c r="C2674" t="n">
        <v>8</v>
      </c>
      <c r="D2674" t="inlineStr">
        <is>
          <t>Wednesday</t>
        </is>
      </c>
      <c r="E2674" t="n">
        <v>20</v>
      </c>
      <c r="F2674" t="b">
        <v>0</v>
      </c>
      <c r="H2674" t="b">
        <v>0</v>
      </c>
    </row>
    <row r="2675">
      <c r="A2675" t="inlineStr">
        <is>
          <t>S008</t>
        </is>
      </c>
      <c r="B2675" s="3" t="n">
        <v>46274</v>
      </c>
      <c r="C2675" t="n">
        <v>9</v>
      </c>
      <c r="D2675" t="inlineStr">
        <is>
          <t>Wednesday</t>
        </is>
      </c>
      <c r="E2675" t="n">
        <v>15</v>
      </c>
      <c r="F2675" t="b">
        <v>0</v>
      </c>
      <c r="H2675" t="b">
        <v>0</v>
      </c>
    </row>
    <row r="2676">
      <c r="A2676" t="inlineStr">
        <is>
          <t>S008</t>
        </is>
      </c>
      <c r="B2676" s="3" t="n">
        <v>46274</v>
      </c>
      <c r="C2676" t="n">
        <v>10</v>
      </c>
      <c r="D2676" t="inlineStr">
        <is>
          <t>Wednesday</t>
        </is>
      </c>
      <c r="E2676" t="n">
        <v>15</v>
      </c>
      <c r="F2676" t="b">
        <v>0</v>
      </c>
      <c r="H2676" t="b">
        <v>0</v>
      </c>
    </row>
    <row r="2677">
      <c r="A2677" t="inlineStr">
        <is>
          <t>S008</t>
        </is>
      </c>
      <c r="B2677" s="3" t="n">
        <v>46274</v>
      </c>
      <c r="C2677" t="n">
        <v>11</v>
      </c>
      <c r="D2677" t="inlineStr">
        <is>
          <t>Wednesday</t>
        </is>
      </c>
      <c r="E2677" t="n">
        <v>30</v>
      </c>
      <c r="F2677" t="b">
        <v>0</v>
      </c>
      <c r="H2677" t="b">
        <v>0</v>
      </c>
    </row>
    <row r="2678">
      <c r="A2678" t="inlineStr">
        <is>
          <t>S008</t>
        </is>
      </c>
      <c r="B2678" s="3" t="n">
        <v>46274</v>
      </c>
      <c r="C2678" t="n">
        <v>12</v>
      </c>
      <c r="D2678" t="inlineStr">
        <is>
          <t>Wednesday</t>
        </is>
      </c>
      <c r="E2678" t="n">
        <v>26</v>
      </c>
      <c r="F2678" t="b">
        <v>0</v>
      </c>
      <c r="H2678" t="b">
        <v>0</v>
      </c>
    </row>
    <row r="2679">
      <c r="A2679" t="inlineStr">
        <is>
          <t>S008</t>
        </is>
      </c>
      <c r="B2679" s="3" t="n">
        <v>46274</v>
      </c>
      <c r="C2679" t="n">
        <v>13</v>
      </c>
      <c r="D2679" t="inlineStr">
        <is>
          <t>Wednesday</t>
        </is>
      </c>
      <c r="E2679" t="n">
        <v>29</v>
      </c>
      <c r="F2679" t="b">
        <v>0</v>
      </c>
      <c r="H2679" t="b">
        <v>0</v>
      </c>
    </row>
    <row r="2680">
      <c r="A2680" t="inlineStr">
        <is>
          <t>S008</t>
        </is>
      </c>
      <c r="B2680" s="3" t="n">
        <v>46274</v>
      </c>
      <c r="C2680" t="n">
        <v>14</v>
      </c>
      <c r="D2680" t="inlineStr">
        <is>
          <t>Wednesday</t>
        </is>
      </c>
      <c r="E2680" t="n">
        <v>12</v>
      </c>
      <c r="F2680" t="b">
        <v>0</v>
      </c>
      <c r="G2680" t="inlineStr">
        <is>
          <t>Heavy</t>
        </is>
      </c>
      <c r="H2680" t="b">
        <v>0</v>
      </c>
    </row>
    <row r="2681">
      <c r="A2681" t="inlineStr">
        <is>
          <t>S008</t>
        </is>
      </c>
      <c r="B2681" s="3" t="n">
        <v>46274</v>
      </c>
      <c r="C2681" t="n">
        <v>15</v>
      </c>
      <c r="D2681" t="inlineStr">
        <is>
          <t>Wednesday</t>
        </is>
      </c>
      <c r="E2681" t="n">
        <v>14</v>
      </c>
      <c r="F2681" t="b">
        <v>0</v>
      </c>
      <c r="G2681" t="inlineStr">
        <is>
          <t>Light</t>
        </is>
      </c>
      <c r="H2681" t="b">
        <v>0</v>
      </c>
    </row>
    <row r="2682">
      <c r="A2682" t="inlineStr">
        <is>
          <t>S008</t>
        </is>
      </c>
      <c r="B2682" s="3" t="n">
        <v>46274</v>
      </c>
      <c r="C2682" t="n">
        <v>16</v>
      </c>
      <c r="D2682" t="inlineStr">
        <is>
          <t>Wednesday</t>
        </is>
      </c>
      <c r="E2682" t="n">
        <v>17</v>
      </c>
      <c r="F2682" t="b">
        <v>0</v>
      </c>
      <c r="G2682" t="inlineStr">
        <is>
          <t>Light</t>
        </is>
      </c>
      <c r="H2682" t="b">
        <v>0</v>
      </c>
    </row>
    <row r="2683">
      <c r="A2683" t="inlineStr">
        <is>
          <t>S008</t>
        </is>
      </c>
      <c r="B2683" s="3" t="n">
        <v>46274</v>
      </c>
      <c r="C2683" t="n">
        <v>17</v>
      </c>
      <c r="D2683" t="inlineStr">
        <is>
          <t>Wednesday</t>
        </is>
      </c>
      <c r="E2683" t="n">
        <v>28</v>
      </c>
      <c r="F2683" t="b">
        <v>0</v>
      </c>
      <c r="G2683" t="inlineStr">
        <is>
          <t>Light</t>
        </is>
      </c>
      <c r="H2683" t="b">
        <v>0</v>
      </c>
    </row>
    <row r="2684">
      <c r="A2684" t="inlineStr">
        <is>
          <t>S008</t>
        </is>
      </c>
      <c r="B2684" s="3" t="n">
        <v>46274</v>
      </c>
      <c r="C2684" t="n">
        <v>18</v>
      </c>
      <c r="D2684" t="inlineStr">
        <is>
          <t>Wednesday</t>
        </is>
      </c>
      <c r="E2684" t="n">
        <v>18</v>
      </c>
      <c r="F2684" t="b">
        <v>0</v>
      </c>
      <c r="H2684" t="b">
        <v>0</v>
      </c>
    </row>
    <row r="2685">
      <c r="A2685" t="inlineStr">
        <is>
          <t>S008</t>
        </is>
      </c>
      <c r="B2685" s="3" t="n">
        <v>46274</v>
      </c>
      <c r="C2685" t="n">
        <v>19</v>
      </c>
      <c r="D2685" t="inlineStr">
        <is>
          <t>Wednesday</t>
        </is>
      </c>
      <c r="E2685" t="n">
        <v>41</v>
      </c>
      <c r="F2685" t="b">
        <v>1</v>
      </c>
      <c r="G2685" t="inlineStr">
        <is>
          <t>Light</t>
        </is>
      </c>
      <c r="H2685" t="b">
        <v>0</v>
      </c>
    </row>
    <row r="2686">
      <c r="A2686" t="inlineStr">
        <is>
          <t>S008</t>
        </is>
      </c>
      <c r="B2686" s="3" t="n">
        <v>46274</v>
      </c>
      <c r="C2686" t="n">
        <v>20</v>
      </c>
      <c r="D2686" t="inlineStr">
        <is>
          <t>Wednesday</t>
        </is>
      </c>
      <c r="E2686" t="n">
        <v>47</v>
      </c>
      <c r="F2686" t="b">
        <v>1</v>
      </c>
      <c r="G2686" t="inlineStr">
        <is>
          <t>Heavy</t>
        </is>
      </c>
      <c r="H2686" t="b">
        <v>0</v>
      </c>
    </row>
    <row r="2687">
      <c r="A2687" t="inlineStr">
        <is>
          <t>S008</t>
        </is>
      </c>
      <c r="B2687" s="3" t="n">
        <v>46274</v>
      </c>
      <c r="C2687" t="n">
        <v>21</v>
      </c>
      <c r="D2687" t="inlineStr">
        <is>
          <t>Wednesday</t>
        </is>
      </c>
      <c r="E2687" t="n">
        <v>31</v>
      </c>
      <c r="F2687" t="b">
        <v>1</v>
      </c>
      <c r="H2687" t="b">
        <v>0</v>
      </c>
    </row>
    <row r="2688">
      <c r="A2688" t="inlineStr">
        <is>
          <t>S008</t>
        </is>
      </c>
      <c r="B2688" s="3" t="n">
        <v>46274</v>
      </c>
      <c r="C2688" t="n">
        <v>22</v>
      </c>
      <c r="D2688" t="inlineStr">
        <is>
          <t>Wednesday</t>
        </is>
      </c>
      <c r="E2688" t="n">
        <v>22</v>
      </c>
      <c r="F2688" t="b">
        <v>0</v>
      </c>
      <c r="H2688" t="b">
        <v>0</v>
      </c>
    </row>
    <row r="2689">
      <c r="A2689" t="inlineStr">
        <is>
          <t>S008</t>
        </is>
      </c>
      <c r="B2689" s="3" t="n">
        <v>46274</v>
      </c>
      <c r="C2689" t="n">
        <v>23</v>
      </c>
      <c r="D2689" t="inlineStr">
        <is>
          <t>Wednesday</t>
        </is>
      </c>
      <c r="E2689" t="n">
        <v>25</v>
      </c>
      <c r="F2689" t="b">
        <v>0</v>
      </c>
      <c r="G2689" t="inlineStr">
        <is>
          <t>Light</t>
        </is>
      </c>
      <c r="H2689" t="b">
        <v>0</v>
      </c>
    </row>
    <row r="2690">
      <c r="A2690" t="inlineStr">
        <is>
          <t>S009</t>
        </is>
      </c>
      <c r="B2690" s="3" t="n">
        <v>46274</v>
      </c>
      <c r="C2690" t="n">
        <v>8</v>
      </c>
      <c r="D2690" t="inlineStr">
        <is>
          <t>Wednesday</t>
        </is>
      </c>
      <c r="E2690" t="n">
        <v>17</v>
      </c>
      <c r="F2690" t="b">
        <v>0</v>
      </c>
      <c r="H2690" t="b">
        <v>0</v>
      </c>
    </row>
    <row r="2691">
      <c r="A2691" t="inlineStr">
        <is>
          <t>S009</t>
        </is>
      </c>
      <c r="B2691" s="3" t="n">
        <v>46274</v>
      </c>
      <c r="C2691" t="n">
        <v>9</v>
      </c>
      <c r="D2691" t="inlineStr">
        <is>
          <t>Wednesday</t>
        </is>
      </c>
      <c r="E2691" t="n">
        <v>17</v>
      </c>
      <c r="F2691" t="b">
        <v>0</v>
      </c>
      <c r="H2691" t="b">
        <v>0</v>
      </c>
    </row>
    <row r="2692">
      <c r="A2692" t="inlineStr">
        <is>
          <t>S009</t>
        </is>
      </c>
      <c r="B2692" s="3" t="n">
        <v>46274</v>
      </c>
      <c r="C2692" t="n">
        <v>10</v>
      </c>
      <c r="D2692" t="inlineStr">
        <is>
          <t>Wednesday</t>
        </is>
      </c>
      <c r="E2692" t="n">
        <v>18</v>
      </c>
      <c r="F2692" t="b">
        <v>0</v>
      </c>
      <c r="H2692" t="b">
        <v>0</v>
      </c>
    </row>
    <row r="2693">
      <c r="A2693" t="inlineStr">
        <is>
          <t>S009</t>
        </is>
      </c>
      <c r="B2693" s="3" t="n">
        <v>46274</v>
      </c>
      <c r="C2693" t="n">
        <v>11</v>
      </c>
      <c r="D2693" t="inlineStr">
        <is>
          <t>Wednesday</t>
        </is>
      </c>
      <c r="E2693" t="n">
        <v>28</v>
      </c>
      <c r="F2693" t="b">
        <v>0</v>
      </c>
      <c r="H2693" t="b">
        <v>0</v>
      </c>
    </row>
    <row r="2694">
      <c r="A2694" t="inlineStr">
        <is>
          <t>S009</t>
        </is>
      </c>
      <c r="B2694" s="3" t="n">
        <v>46274</v>
      </c>
      <c r="C2694" t="n">
        <v>12</v>
      </c>
      <c r="D2694" t="inlineStr">
        <is>
          <t>Wednesday</t>
        </is>
      </c>
      <c r="E2694" t="n">
        <v>30</v>
      </c>
      <c r="F2694" t="b">
        <v>0</v>
      </c>
      <c r="G2694" t="inlineStr">
        <is>
          <t>Light</t>
        </is>
      </c>
      <c r="H2694" t="b">
        <v>0</v>
      </c>
    </row>
    <row r="2695">
      <c r="A2695" t="inlineStr">
        <is>
          <t>S009</t>
        </is>
      </c>
      <c r="B2695" s="3" t="n">
        <v>46274</v>
      </c>
      <c r="C2695" t="n">
        <v>13</v>
      </c>
      <c r="D2695" t="inlineStr">
        <is>
          <t>Wednesday</t>
        </is>
      </c>
      <c r="E2695" t="n">
        <v>33</v>
      </c>
      <c r="F2695" t="b">
        <v>0</v>
      </c>
      <c r="H2695" t="b">
        <v>0</v>
      </c>
    </row>
    <row r="2696">
      <c r="A2696" t="inlineStr">
        <is>
          <t>S009</t>
        </is>
      </c>
      <c r="B2696" s="3" t="n">
        <v>46274</v>
      </c>
      <c r="C2696" t="n">
        <v>14</v>
      </c>
      <c r="D2696" t="inlineStr">
        <is>
          <t>Wednesday</t>
        </is>
      </c>
      <c r="E2696" t="n">
        <v>21</v>
      </c>
      <c r="F2696" t="b">
        <v>0</v>
      </c>
      <c r="H2696" t="b">
        <v>0</v>
      </c>
    </row>
    <row r="2697">
      <c r="A2697" t="inlineStr">
        <is>
          <t>S009</t>
        </is>
      </c>
      <c r="B2697" s="3" t="n">
        <v>46274</v>
      </c>
      <c r="C2697" t="n">
        <v>15</v>
      </c>
      <c r="D2697" t="inlineStr">
        <is>
          <t>Wednesday</t>
        </is>
      </c>
      <c r="E2697" t="n">
        <v>16</v>
      </c>
      <c r="F2697" t="b">
        <v>0</v>
      </c>
      <c r="H2697" t="b">
        <v>0</v>
      </c>
    </row>
    <row r="2698">
      <c r="A2698" t="inlineStr">
        <is>
          <t>S009</t>
        </is>
      </c>
      <c r="B2698" s="3" t="n">
        <v>46274</v>
      </c>
      <c r="C2698" t="n">
        <v>16</v>
      </c>
      <c r="D2698" t="inlineStr">
        <is>
          <t>Wednesday</t>
        </is>
      </c>
      <c r="E2698" t="n">
        <v>29</v>
      </c>
      <c r="F2698" t="b">
        <v>0</v>
      </c>
      <c r="H2698" t="b">
        <v>0</v>
      </c>
    </row>
    <row r="2699">
      <c r="A2699" t="inlineStr">
        <is>
          <t>S009</t>
        </is>
      </c>
      <c r="B2699" s="3" t="n">
        <v>46274</v>
      </c>
      <c r="C2699" t="n">
        <v>17</v>
      </c>
      <c r="D2699" t="inlineStr">
        <is>
          <t>Wednesday</t>
        </is>
      </c>
      <c r="E2699" t="n">
        <v>35</v>
      </c>
      <c r="F2699" t="b">
        <v>0</v>
      </c>
      <c r="H2699" t="b">
        <v>0</v>
      </c>
    </row>
    <row r="2700">
      <c r="A2700" t="inlineStr">
        <is>
          <t>S009</t>
        </is>
      </c>
      <c r="B2700" s="3" t="n">
        <v>46274</v>
      </c>
      <c r="C2700" t="n">
        <v>18</v>
      </c>
      <c r="D2700" t="inlineStr">
        <is>
          <t>Wednesday</t>
        </is>
      </c>
      <c r="E2700" t="n">
        <v>25</v>
      </c>
      <c r="F2700" t="b">
        <v>0</v>
      </c>
      <c r="H2700" t="b">
        <v>0</v>
      </c>
    </row>
    <row r="2701">
      <c r="A2701" t="inlineStr">
        <is>
          <t>S009</t>
        </is>
      </c>
      <c r="B2701" s="3" t="n">
        <v>46274</v>
      </c>
      <c r="C2701" t="n">
        <v>19</v>
      </c>
      <c r="D2701" t="inlineStr">
        <is>
          <t>Wednesday</t>
        </is>
      </c>
      <c r="E2701" t="n">
        <v>39</v>
      </c>
      <c r="F2701" t="b">
        <v>1</v>
      </c>
      <c r="H2701" t="b">
        <v>0</v>
      </c>
    </row>
    <row r="2702">
      <c r="A2702" t="inlineStr">
        <is>
          <t>S009</t>
        </is>
      </c>
      <c r="B2702" s="3" t="n">
        <v>46274</v>
      </c>
      <c r="C2702" t="n">
        <v>20</v>
      </c>
      <c r="D2702" t="inlineStr">
        <is>
          <t>Wednesday</t>
        </is>
      </c>
      <c r="E2702" t="n">
        <v>40</v>
      </c>
      <c r="F2702" t="b">
        <v>1</v>
      </c>
      <c r="H2702" t="b">
        <v>0</v>
      </c>
    </row>
    <row r="2703">
      <c r="A2703" t="inlineStr">
        <is>
          <t>S009</t>
        </is>
      </c>
      <c r="B2703" s="3" t="n">
        <v>46274</v>
      </c>
      <c r="C2703" t="n">
        <v>21</v>
      </c>
      <c r="D2703" t="inlineStr">
        <is>
          <t>Wednesday</t>
        </is>
      </c>
      <c r="E2703" t="n">
        <v>48</v>
      </c>
      <c r="F2703" t="b">
        <v>1</v>
      </c>
      <c r="H2703" t="b">
        <v>0</v>
      </c>
    </row>
    <row r="2704">
      <c r="A2704" t="inlineStr">
        <is>
          <t>S009</t>
        </is>
      </c>
      <c r="B2704" s="3" t="n">
        <v>46274</v>
      </c>
      <c r="C2704" t="n">
        <v>22</v>
      </c>
      <c r="D2704" t="inlineStr">
        <is>
          <t>Wednesday</t>
        </is>
      </c>
      <c r="E2704" t="n">
        <v>26</v>
      </c>
      <c r="F2704" t="b">
        <v>0</v>
      </c>
      <c r="H2704" t="b">
        <v>0</v>
      </c>
    </row>
    <row r="2705">
      <c r="A2705" t="inlineStr">
        <is>
          <t>S009</t>
        </is>
      </c>
      <c r="B2705" s="3" t="n">
        <v>46274</v>
      </c>
      <c r="C2705" t="n">
        <v>23</v>
      </c>
      <c r="D2705" t="inlineStr">
        <is>
          <t>Wednesday</t>
        </is>
      </c>
      <c r="E2705" t="n">
        <v>29</v>
      </c>
      <c r="F2705" t="b">
        <v>0</v>
      </c>
      <c r="H2705" t="b">
        <v>0</v>
      </c>
    </row>
    <row r="2706">
      <c r="A2706" t="inlineStr">
        <is>
          <t>S010</t>
        </is>
      </c>
      <c r="B2706" s="3" t="n">
        <v>46274</v>
      </c>
      <c r="C2706" t="n">
        <v>8</v>
      </c>
      <c r="D2706" t="inlineStr">
        <is>
          <t>Wednesday</t>
        </is>
      </c>
      <c r="E2706" t="n">
        <v>16</v>
      </c>
      <c r="F2706" t="b">
        <v>0</v>
      </c>
      <c r="G2706" t="inlineStr">
        <is>
          <t>Light</t>
        </is>
      </c>
      <c r="H2706" t="b">
        <v>0</v>
      </c>
    </row>
    <row r="2707">
      <c r="A2707" t="inlineStr">
        <is>
          <t>S010</t>
        </is>
      </c>
      <c r="B2707" s="3" t="n">
        <v>46274</v>
      </c>
      <c r="C2707" t="n">
        <v>9</v>
      </c>
      <c r="D2707" t="inlineStr">
        <is>
          <t>Wednesday</t>
        </is>
      </c>
      <c r="E2707" t="n">
        <v>18</v>
      </c>
      <c r="F2707" t="b">
        <v>0</v>
      </c>
      <c r="H2707" t="b">
        <v>0</v>
      </c>
    </row>
    <row r="2708">
      <c r="A2708" t="inlineStr">
        <is>
          <t>S010</t>
        </is>
      </c>
      <c r="B2708" s="3" t="n">
        <v>46274</v>
      </c>
      <c r="C2708" t="n">
        <v>10</v>
      </c>
      <c r="D2708" t="inlineStr">
        <is>
          <t>Wednesday</t>
        </is>
      </c>
      <c r="E2708" t="n">
        <v>11</v>
      </c>
      <c r="F2708" t="b">
        <v>0</v>
      </c>
      <c r="H2708" t="b">
        <v>0</v>
      </c>
    </row>
    <row r="2709">
      <c r="A2709" t="inlineStr">
        <is>
          <t>S010</t>
        </is>
      </c>
      <c r="B2709" s="3" t="n">
        <v>46274</v>
      </c>
      <c r="C2709" t="n">
        <v>11</v>
      </c>
      <c r="D2709" t="inlineStr">
        <is>
          <t>Wednesday</t>
        </is>
      </c>
      <c r="E2709" t="n">
        <v>16</v>
      </c>
      <c r="F2709" t="b">
        <v>0</v>
      </c>
      <c r="H2709" t="b">
        <v>1</v>
      </c>
    </row>
    <row r="2710">
      <c r="A2710" t="inlineStr">
        <is>
          <t>S010</t>
        </is>
      </c>
      <c r="B2710" s="3" t="n">
        <v>46274</v>
      </c>
      <c r="C2710" t="n">
        <v>12</v>
      </c>
      <c r="D2710" t="inlineStr">
        <is>
          <t>Wednesday</t>
        </is>
      </c>
      <c r="E2710" t="n">
        <v>16</v>
      </c>
      <c r="F2710" t="b">
        <v>0</v>
      </c>
      <c r="G2710" t="inlineStr">
        <is>
          <t>Light</t>
        </is>
      </c>
      <c r="H2710" t="b">
        <v>0</v>
      </c>
    </row>
    <row r="2711">
      <c r="A2711" t="inlineStr">
        <is>
          <t>S010</t>
        </is>
      </c>
      <c r="B2711" s="3" t="n">
        <v>46274</v>
      </c>
      <c r="C2711" t="n">
        <v>13</v>
      </c>
      <c r="D2711" t="inlineStr">
        <is>
          <t>Wednesday</t>
        </is>
      </c>
      <c r="E2711" t="n">
        <v>19</v>
      </c>
      <c r="F2711" t="b">
        <v>0</v>
      </c>
      <c r="H2711" t="b">
        <v>0</v>
      </c>
    </row>
    <row r="2712">
      <c r="A2712" t="inlineStr">
        <is>
          <t>S010</t>
        </is>
      </c>
      <c r="B2712" s="3" t="n">
        <v>46274</v>
      </c>
      <c r="C2712" t="n">
        <v>14</v>
      </c>
      <c r="D2712" t="inlineStr">
        <is>
          <t>Wednesday</t>
        </is>
      </c>
      <c r="E2712" t="n">
        <v>13</v>
      </c>
      <c r="F2712" t="b">
        <v>0</v>
      </c>
      <c r="G2712" t="inlineStr">
        <is>
          <t>Heavy</t>
        </is>
      </c>
      <c r="H2712" t="b">
        <v>0</v>
      </c>
    </row>
    <row r="2713">
      <c r="A2713" t="inlineStr">
        <is>
          <t>S010</t>
        </is>
      </c>
      <c r="B2713" s="3" t="n">
        <v>46274</v>
      </c>
      <c r="C2713" t="n">
        <v>15</v>
      </c>
      <c r="D2713" t="inlineStr">
        <is>
          <t>Wednesday</t>
        </is>
      </c>
      <c r="E2713" t="n">
        <v>15</v>
      </c>
      <c r="F2713" t="b">
        <v>0</v>
      </c>
      <c r="H2713" t="b">
        <v>0</v>
      </c>
    </row>
    <row r="2714">
      <c r="A2714" t="inlineStr">
        <is>
          <t>S010</t>
        </is>
      </c>
      <c r="B2714" s="3" t="n">
        <v>46274</v>
      </c>
      <c r="C2714" t="n">
        <v>16</v>
      </c>
      <c r="D2714" t="inlineStr">
        <is>
          <t>Wednesday</t>
        </is>
      </c>
      <c r="E2714" t="n">
        <v>27</v>
      </c>
      <c r="F2714" t="b">
        <v>0</v>
      </c>
      <c r="H2714" t="b">
        <v>0</v>
      </c>
    </row>
    <row r="2715">
      <c r="A2715" t="inlineStr">
        <is>
          <t>S010</t>
        </is>
      </c>
      <c r="B2715" s="3" t="n">
        <v>46274</v>
      </c>
      <c r="C2715" t="n">
        <v>17</v>
      </c>
      <c r="D2715" t="inlineStr">
        <is>
          <t>Wednesday</t>
        </is>
      </c>
      <c r="E2715" t="n">
        <v>23</v>
      </c>
      <c r="F2715" t="b">
        <v>0</v>
      </c>
      <c r="G2715" t="inlineStr">
        <is>
          <t>Light</t>
        </is>
      </c>
      <c r="H2715" t="b">
        <v>0</v>
      </c>
    </row>
    <row r="2716">
      <c r="A2716" t="inlineStr">
        <is>
          <t>S010</t>
        </is>
      </c>
      <c r="B2716" s="3" t="n">
        <v>46274</v>
      </c>
      <c r="C2716" t="n">
        <v>18</v>
      </c>
      <c r="D2716" t="inlineStr">
        <is>
          <t>Wednesday</t>
        </is>
      </c>
      <c r="E2716" t="n">
        <v>24</v>
      </c>
      <c r="F2716" t="b">
        <v>0</v>
      </c>
      <c r="H2716" t="b">
        <v>0</v>
      </c>
    </row>
    <row r="2717">
      <c r="A2717" t="inlineStr">
        <is>
          <t>S010</t>
        </is>
      </c>
      <c r="B2717" s="3" t="n">
        <v>46274</v>
      </c>
      <c r="C2717" t="n">
        <v>19</v>
      </c>
      <c r="D2717" t="inlineStr">
        <is>
          <t>Wednesday</t>
        </is>
      </c>
      <c r="E2717" t="n">
        <v>36</v>
      </c>
      <c r="F2717" t="b">
        <v>1</v>
      </c>
      <c r="H2717" t="b">
        <v>0</v>
      </c>
    </row>
    <row r="2718">
      <c r="A2718" t="inlineStr">
        <is>
          <t>S010</t>
        </is>
      </c>
      <c r="B2718" s="3" t="n">
        <v>46274</v>
      </c>
      <c r="C2718" t="n">
        <v>20</v>
      </c>
      <c r="D2718" t="inlineStr">
        <is>
          <t>Wednesday</t>
        </is>
      </c>
      <c r="E2718" t="n">
        <v>30</v>
      </c>
      <c r="F2718" t="b">
        <v>1</v>
      </c>
      <c r="G2718" t="inlineStr">
        <is>
          <t>Light</t>
        </is>
      </c>
      <c r="H2718" t="b">
        <v>0</v>
      </c>
    </row>
    <row r="2719">
      <c r="A2719" t="inlineStr">
        <is>
          <t>S010</t>
        </is>
      </c>
      <c r="B2719" s="3" t="n">
        <v>46274</v>
      </c>
      <c r="C2719" t="n">
        <v>21</v>
      </c>
      <c r="D2719" t="inlineStr">
        <is>
          <t>Wednesday</t>
        </is>
      </c>
      <c r="E2719" t="n">
        <v>29</v>
      </c>
      <c r="F2719" t="b">
        <v>1</v>
      </c>
      <c r="G2719" t="inlineStr">
        <is>
          <t>Light</t>
        </is>
      </c>
      <c r="H2719" t="b">
        <v>0</v>
      </c>
    </row>
    <row r="2720">
      <c r="A2720" t="inlineStr">
        <is>
          <t>S010</t>
        </is>
      </c>
      <c r="B2720" s="3" t="n">
        <v>46274</v>
      </c>
      <c r="C2720" t="n">
        <v>22</v>
      </c>
      <c r="D2720" t="inlineStr">
        <is>
          <t>Wednesday</t>
        </is>
      </c>
      <c r="E2720" t="n">
        <v>20</v>
      </c>
      <c r="F2720" t="b">
        <v>0</v>
      </c>
      <c r="G2720" t="inlineStr">
        <is>
          <t>Light</t>
        </is>
      </c>
      <c r="H2720" t="b">
        <v>0</v>
      </c>
    </row>
    <row r="2721">
      <c r="A2721" t="inlineStr">
        <is>
          <t>S010</t>
        </is>
      </c>
      <c r="B2721" s="3" t="n">
        <v>46274</v>
      </c>
      <c r="C2721" t="n">
        <v>23</v>
      </c>
      <c r="D2721" t="inlineStr">
        <is>
          <t>Wednesday</t>
        </is>
      </c>
      <c r="E2721" t="n">
        <v>24</v>
      </c>
      <c r="F2721" t="b">
        <v>0</v>
      </c>
      <c r="H2721" t="b">
        <v>0</v>
      </c>
    </row>
    <row r="2722">
      <c r="A2722" t="inlineStr">
        <is>
          <t>S011</t>
        </is>
      </c>
      <c r="B2722" s="3" t="n">
        <v>46274</v>
      </c>
      <c r="C2722" t="n">
        <v>8</v>
      </c>
      <c r="D2722" t="inlineStr">
        <is>
          <t>Wednesday</t>
        </is>
      </c>
      <c r="E2722" t="n">
        <v>23</v>
      </c>
      <c r="F2722" t="b">
        <v>0</v>
      </c>
      <c r="H2722" t="b">
        <v>0</v>
      </c>
    </row>
    <row r="2723">
      <c r="A2723" t="inlineStr">
        <is>
          <t>S011</t>
        </is>
      </c>
      <c r="B2723" s="3" t="n">
        <v>46274</v>
      </c>
      <c r="C2723" t="n">
        <v>9</v>
      </c>
      <c r="D2723" t="inlineStr">
        <is>
          <t>Wednesday</t>
        </is>
      </c>
      <c r="E2723" t="n">
        <v>30</v>
      </c>
      <c r="F2723" t="b">
        <v>0</v>
      </c>
      <c r="H2723" t="b">
        <v>0</v>
      </c>
    </row>
    <row r="2724">
      <c r="A2724" t="inlineStr">
        <is>
          <t>S011</t>
        </is>
      </c>
      <c r="B2724" s="3" t="n">
        <v>46274</v>
      </c>
      <c r="C2724" t="n">
        <v>10</v>
      </c>
      <c r="D2724" t="inlineStr">
        <is>
          <t>Wednesday</t>
        </is>
      </c>
      <c r="E2724" t="n">
        <v>20</v>
      </c>
      <c r="F2724" t="b">
        <v>0</v>
      </c>
      <c r="H2724" t="b">
        <v>0</v>
      </c>
    </row>
    <row r="2725">
      <c r="A2725" t="inlineStr">
        <is>
          <t>S011</t>
        </is>
      </c>
      <c r="B2725" s="3" t="n">
        <v>46274</v>
      </c>
      <c r="C2725" t="n">
        <v>11</v>
      </c>
      <c r="D2725" t="inlineStr">
        <is>
          <t>Wednesday</t>
        </is>
      </c>
      <c r="E2725" t="n">
        <v>25</v>
      </c>
      <c r="F2725" t="b">
        <v>0</v>
      </c>
      <c r="G2725" t="inlineStr">
        <is>
          <t>Heavy</t>
        </is>
      </c>
      <c r="H2725" t="b">
        <v>0</v>
      </c>
    </row>
    <row r="2726">
      <c r="A2726" t="inlineStr">
        <is>
          <t>S011</t>
        </is>
      </c>
      <c r="B2726" s="3" t="n">
        <v>46274</v>
      </c>
      <c r="C2726" t="n">
        <v>12</v>
      </c>
      <c r="D2726" t="inlineStr">
        <is>
          <t>Wednesday</t>
        </is>
      </c>
      <c r="E2726" t="n">
        <v>31</v>
      </c>
      <c r="F2726" t="b">
        <v>0</v>
      </c>
      <c r="H2726" t="b">
        <v>0</v>
      </c>
    </row>
    <row r="2727">
      <c r="A2727" t="inlineStr">
        <is>
          <t>S011</t>
        </is>
      </c>
      <c r="B2727" s="3" t="n">
        <v>46274</v>
      </c>
      <c r="C2727" t="n">
        <v>13</v>
      </c>
      <c r="D2727" t="inlineStr">
        <is>
          <t>Wednesday</t>
        </is>
      </c>
      <c r="E2727" t="n">
        <v>32</v>
      </c>
      <c r="F2727" t="b">
        <v>0</v>
      </c>
      <c r="G2727" t="inlineStr">
        <is>
          <t>Light</t>
        </is>
      </c>
      <c r="H2727" t="b">
        <v>0</v>
      </c>
    </row>
    <row r="2728">
      <c r="A2728" t="inlineStr">
        <is>
          <t>S011</t>
        </is>
      </c>
      <c r="B2728" s="3" t="n">
        <v>46274</v>
      </c>
      <c r="C2728" t="n">
        <v>14</v>
      </c>
      <c r="D2728" t="inlineStr">
        <is>
          <t>Wednesday</t>
        </is>
      </c>
      <c r="E2728" t="n">
        <v>26</v>
      </c>
      <c r="F2728" t="b">
        <v>0</v>
      </c>
      <c r="H2728" t="b">
        <v>0</v>
      </c>
    </row>
    <row r="2729">
      <c r="A2729" t="inlineStr">
        <is>
          <t>S011</t>
        </is>
      </c>
      <c r="B2729" s="3" t="n">
        <v>46274</v>
      </c>
      <c r="C2729" t="n">
        <v>15</v>
      </c>
      <c r="D2729" t="inlineStr">
        <is>
          <t>Wednesday</t>
        </is>
      </c>
      <c r="E2729" t="n">
        <v>15</v>
      </c>
      <c r="F2729" t="b">
        <v>0</v>
      </c>
      <c r="H2729" t="b">
        <v>0</v>
      </c>
    </row>
    <row r="2730">
      <c r="A2730" t="inlineStr">
        <is>
          <t>S011</t>
        </is>
      </c>
      <c r="B2730" s="3" t="n">
        <v>46274</v>
      </c>
      <c r="C2730" t="n">
        <v>16</v>
      </c>
      <c r="D2730" t="inlineStr">
        <is>
          <t>Wednesday</t>
        </is>
      </c>
      <c r="E2730" t="n">
        <v>37</v>
      </c>
      <c r="F2730" t="b">
        <v>0</v>
      </c>
      <c r="H2730" t="b">
        <v>0</v>
      </c>
    </row>
    <row r="2731">
      <c r="A2731" t="inlineStr">
        <is>
          <t>S011</t>
        </is>
      </c>
      <c r="B2731" s="3" t="n">
        <v>46274</v>
      </c>
      <c r="C2731" t="n">
        <v>17</v>
      </c>
      <c r="D2731" t="inlineStr">
        <is>
          <t>Wednesday</t>
        </is>
      </c>
      <c r="E2731" t="n">
        <v>32</v>
      </c>
      <c r="F2731" t="b">
        <v>0</v>
      </c>
      <c r="H2731" t="b">
        <v>0</v>
      </c>
    </row>
    <row r="2732">
      <c r="A2732" t="inlineStr">
        <is>
          <t>S011</t>
        </is>
      </c>
      <c r="B2732" s="3" t="n">
        <v>46274</v>
      </c>
      <c r="C2732" t="n">
        <v>18</v>
      </c>
      <c r="D2732" t="inlineStr">
        <is>
          <t>Wednesday</t>
        </is>
      </c>
      <c r="E2732" t="n">
        <v>38</v>
      </c>
      <c r="F2732" t="b">
        <v>0</v>
      </c>
      <c r="H2732" t="b">
        <v>0</v>
      </c>
    </row>
    <row r="2733">
      <c r="A2733" t="inlineStr">
        <is>
          <t>S011</t>
        </is>
      </c>
      <c r="B2733" s="3" t="n">
        <v>46274</v>
      </c>
      <c r="C2733" t="n">
        <v>19</v>
      </c>
      <c r="D2733" t="inlineStr">
        <is>
          <t>Wednesday</t>
        </is>
      </c>
      <c r="E2733" t="n">
        <v>45</v>
      </c>
      <c r="F2733" t="b">
        <v>1</v>
      </c>
      <c r="H2733" t="b">
        <v>0</v>
      </c>
    </row>
    <row r="2734">
      <c r="A2734" t="inlineStr">
        <is>
          <t>S011</t>
        </is>
      </c>
      <c r="B2734" s="3" t="n">
        <v>46274</v>
      </c>
      <c r="C2734" t="n">
        <v>20</v>
      </c>
      <c r="D2734" t="inlineStr">
        <is>
          <t>Wednesday</t>
        </is>
      </c>
      <c r="E2734" t="n">
        <v>46</v>
      </c>
      <c r="F2734" t="b">
        <v>1</v>
      </c>
      <c r="H2734" t="b">
        <v>0</v>
      </c>
    </row>
    <row r="2735">
      <c r="A2735" t="inlineStr">
        <is>
          <t>S011</t>
        </is>
      </c>
      <c r="B2735" s="3" t="n">
        <v>46274</v>
      </c>
      <c r="C2735" t="n">
        <v>21</v>
      </c>
      <c r="D2735" t="inlineStr">
        <is>
          <t>Wednesday</t>
        </is>
      </c>
      <c r="E2735" t="n">
        <v>48</v>
      </c>
      <c r="F2735" t="b">
        <v>1</v>
      </c>
      <c r="G2735" t="inlineStr">
        <is>
          <t>Light</t>
        </is>
      </c>
      <c r="H2735" t="b">
        <v>0</v>
      </c>
    </row>
    <row r="2736">
      <c r="A2736" t="inlineStr">
        <is>
          <t>S011</t>
        </is>
      </c>
      <c r="B2736" s="3" t="n">
        <v>46274</v>
      </c>
      <c r="C2736" t="n">
        <v>22</v>
      </c>
      <c r="D2736" t="inlineStr">
        <is>
          <t>Wednesday</t>
        </is>
      </c>
      <c r="E2736" t="n">
        <v>33</v>
      </c>
      <c r="F2736" t="b">
        <v>0</v>
      </c>
      <c r="H2736" t="b">
        <v>0</v>
      </c>
    </row>
    <row r="2737">
      <c r="A2737" t="inlineStr">
        <is>
          <t>S011</t>
        </is>
      </c>
      <c r="B2737" s="3" t="n">
        <v>46274</v>
      </c>
      <c r="C2737" t="n">
        <v>23</v>
      </c>
      <c r="D2737" t="inlineStr">
        <is>
          <t>Wednesday</t>
        </is>
      </c>
      <c r="E2737" t="n">
        <v>32</v>
      </c>
      <c r="F2737" t="b">
        <v>0</v>
      </c>
      <c r="H2737" t="b">
        <v>0</v>
      </c>
    </row>
    <row r="2738">
      <c r="A2738" t="inlineStr">
        <is>
          <t>S012</t>
        </is>
      </c>
      <c r="B2738" s="3" t="n">
        <v>46274</v>
      </c>
      <c r="C2738" t="n">
        <v>8</v>
      </c>
      <c r="D2738" t="inlineStr">
        <is>
          <t>Wednesday</t>
        </is>
      </c>
      <c r="E2738" t="n">
        <v>9</v>
      </c>
      <c r="F2738" t="b">
        <v>0</v>
      </c>
      <c r="H2738" t="b">
        <v>0</v>
      </c>
    </row>
    <row r="2739">
      <c r="A2739" t="inlineStr">
        <is>
          <t>S012</t>
        </is>
      </c>
      <c r="B2739" s="3" t="n">
        <v>46274</v>
      </c>
      <c r="C2739" t="n">
        <v>9</v>
      </c>
      <c r="D2739" t="inlineStr">
        <is>
          <t>Wednesday</t>
        </is>
      </c>
      <c r="E2739" t="n">
        <v>11</v>
      </c>
      <c r="F2739" t="b">
        <v>0</v>
      </c>
      <c r="G2739" t="inlineStr">
        <is>
          <t>Light</t>
        </is>
      </c>
      <c r="H2739" t="b">
        <v>0</v>
      </c>
    </row>
    <row r="2740">
      <c r="A2740" t="inlineStr">
        <is>
          <t>S012</t>
        </is>
      </c>
      <c r="B2740" s="3" t="n">
        <v>46274</v>
      </c>
      <c r="C2740" t="n">
        <v>10</v>
      </c>
      <c r="D2740" t="inlineStr">
        <is>
          <t>Wednesday</t>
        </is>
      </c>
      <c r="E2740" t="n">
        <v>12</v>
      </c>
      <c r="F2740" t="b">
        <v>0</v>
      </c>
      <c r="H2740" t="b">
        <v>0</v>
      </c>
    </row>
    <row r="2741">
      <c r="A2741" t="inlineStr">
        <is>
          <t>S012</t>
        </is>
      </c>
      <c r="B2741" s="3" t="n">
        <v>46274</v>
      </c>
      <c r="C2741" t="n">
        <v>11</v>
      </c>
      <c r="D2741" t="inlineStr">
        <is>
          <t>Wednesday</t>
        </is>
      </c>
      <c r="E2741" t="n">
        <v>21</v>
      </c>
      <c r="F2741" t="b">
        <v>0</v>
      </c>
      <c r="G2741" t="inlineStr">
        <is>
          <t>Heavy</t>
        </is>
      </c>
      <c r="H2741" t="b">
        <v>0</v>
      </c>
    </row>
    <row r="2742">
      <c r="A2742" t="inlineStr">
        <is>
          <t>S012</t>
        </is>
      </c>
      <c r="B2742" s="3" t="n">
        <v>46274</v>
      </c>
      <c r="C2742" t="n">
        <v>12</v>
      </c>
      <c r="D2742" t="inlineStr">
        <is>
          <t>Wednesday</t>
        </is>
      </c>
      <c r="E2742" t="n">
        <v>17</v>
      </c>
      <c r="F2742" t="b">
        <v>0</v>
      </c>
      <c r="G2742" t="inlineStr">
        <is>
          <t>Light</t>
        </is>
      </c>
      <c r="H2742" t="b">
        <v>0</v>
      </c>
    </row>
    <row r="2743">
      <c r="A2743" t="inlineStr">
        <is>
          <t>S012</t>
        </is>
      </c>
      <c r="B2743" s="3" t="n">
        <v>46274</v>
      </c>
      <c r="C2743" t="n">
        <v>13</v>
      </c>
      <c r="D2743" t="inlineStr">
        <is>
          <t>Wednesday</t>
        </is>
      </c>
      <c r="E2743" t="n">
        <v>16</v>
      </c>
      <c r="F2743" t="b">
        <v>0</v>
      </c>
      <c r="H2743" t="b">
        <v>0</v>
      </c>
    </row>
    <row r="2744">
      <c r="A2744" t="inlineStr">
        <is>
          <t>S012</t>
        </is>
      </c>
      <c r="B2744" s="3" t="n">
        <v>46274</v>
      </c>
      <c r="C2744" t="n">
        <v>14</v>
      </c>
      <c r="D2744" t="inlineStr">
        <is>
          <t>Wednesday</t>
        </is>
      </c>
      <c r="E2744" t="n">
        <v>10</v>
      </c>
      <c r="F2744" t="b">
        <v>0</v>
      </c>
      <c r="H2744" t="b">
        <v>0</v>
      </c>
    </row>
    <row r="2745">
      <c r="A2745" t="inlineStr">
        <is>
          <t>S012</t>
        </is>
      </c>
      <c r="B2745" s="3" t="n">
        <v>46274</v>
      </c>
      <c r="C2745" t="n">
        <v>15</v>
      </c>
      <c r="D2745" t="inlineStr">
        <is>
          <t>Wednesday</t>
        </is>
      </c>
      <c r="E2745" t="n">
        <v>10</v>
      </c>
      <c r="F2745" t="b">
        <v>0</v>
      </c>
      <c r="H2745" t="b">
        <v>0</v>
      </c>
    </row>
    <row r="2746">
      <c r="A2746" t="inlineStr">
        <is>
          <t>S012</t>
        </is>
      </c>
      <c r="B2746" s="3" t="n">
        <v>46274</v>
      </c>
      <c r="C2746" t="n">
        <v>16</v>
      </c>
      <c r="D2746" t="inlineStr">
        <is>
          <t>Wednesday</t>
        </is>
      </c>
      <c r="E2746" t="n">
        <v>12</v>
      </c>
      <c r="F2746" t="b">
        <v>0</v>
      </c>
      <c r="G2746" t="inlineStr">
        <is>
          <t>Light</t>
        </is>
      </c>
      <c r="H2746" t="b">
        <v>0</v>
      </c>
    </row>
    <row r="2747">
      <c r="A2747" t="inlineStr">
        <is>
          <t>S012</t>
        </is>
      </c>
      <c r="B2747" s="3" t="n">
        <v>46274</v>
      </c>
      <c r="C2747" t="n">
        <v>17</v>
      </c>
      <c r="D2747" t="inlineStr">
        <is>
          <t>Wednesday</t>
        </is>
      </c>
      <c r="E2747" t="n">
        <v>15</v>
      </c>
      <c r="F2747" t="b">
        <v>0</v>
      </c>
      <c r="G2747" t="inlineStr">
        <is>
          <t>Heavy</t>
        </is>
      </c>
      <c r="H2747" t="b">
        <v>0</v>
      </c>
    </row>
    <row r="2748">
      <c r="A2748" t="inlineStr">
        <is>
          <t>S012</t>
        </is>
      </c>
      <c r="B2748" s="3" t="n">
        <v>46274</v>
      </c>
      <c r="C2748" t="n">
        <v>18</v>
      </c>
      <c r="D2748" t="inlineStr">
        <is>
          <t>Wednesday</t>
        </is>
      </c>
      <c r="E2748" t="n">
        <v>16</v>
      </c>
      <c r="F2748" t="b">
        <v>0</v>
      </c>
      <c r="H2748" t="b">
        <v>0</v>
      </c>
    </row>
    <row r="2749">
      <c r="A2749" t="inlineStr">
        <is>
          <t>S012</t>
        </is>
      </c>
      <c r="B2749" s="3" t="n">
        <v>46274</v>
      </c>
      <c r="C2749" t="n">
        <v>19</v>
      </c>
      <c r="D2749" t="inlineStr">
        <is>
          <t>Wednesday</t>
        </is>
      </c>
      <c r="E2749" t="n">
        <v>13</v>
      </c>
      <c r="F2749" t="b">
        <v>1</v>
      </c>
      <c r="H2749" t="b">
        <v>0</v>
      </c>
    </row>
    <row r="2750">
      <c r="A2750" t="inlineStr">
        <is>
          <t>S012</t>
        </is>
      </c>
      <c r="B2750" s="3" t="n">
        <v>46274</v>
      </c>
      <c r="C2750" t="n">
        <v>20</v>
      </c>
      <c r="D2750" t="inlineStr">
        <is>
          <t>Wednesday</t>
        </is>
      </c>
      <c r="E2750" t="n">
        <v>25</v>
      </c>
      <c r="F2750" t="b">
        <v>1</v>
      </c>
      <c r="H2750" t="b">
        <v>0</v>
      </c>
    </row>
    <row r="2751">
      <c r="A2751" t="inlineStr">
        <is>
          <t>S012</t>
        </is>
      </c>
      <c r="B2751" s="3" t="n">
        <v>46274</v>
      </c>
      <c r="C2751" t="n">
        <v>21</v>
      </c>
      <c r="D2751" t="inlineStr">
        <is>
          <t>Wednesday</t>
        </is>
      </c>
      <c r="E2751" t="n">
        <v>24</v>
      </c>
      <c r="F2751" t="b">
        <v>1</v>
      </c>
      <c r="H2751" t="b">
        <v>0</v>
      </c>
    </row>
    <row r="2752">
      <c r="A2752" t="inlineStr">
        <is>
          <t>S012</t>
        </is>
      </c>
      <c r="B2752" s="3" t="n">
        <v>46274</v>
      </c>
      <c r="C2752" t="n">
        <v>22</v>
      </c>
      <c r="D2752" t="inlineStr">
        <is>
          <t>Wednesday</t>
        </is>
      </c>
      <c r="E2752" t="n">
        <v>14</v>
      </c>
      <c r="F2752" t="b">
        <v>0</v>
      </c>
      <c r="H2752" t="b">
        <v>0</v>
      </c>
    </row>
    <row r="2753">
      <c r="A2753" t="inlineStr">
        <is>
          <t>S012</t>
        </is>
      </c>
      <c r="B2753" s="3" t="n">
        <v>46274</v>
      </c>
      <c r="C2753" t="n">
        <v>23</v>
      </c>
      <c r="D2753" t="inlineStr">
        <is>
          <t>Wednesday</t>
        </is>
      </c>
      <c r="E2753" t="n">
        <v>23</v>
      </c>
      <c r="F2753" t="b">
        <v>0</v>
      </c>
      <c r="G2753" t="inlineStr">
        <is>
          <t>Light</t>
        </is>
      </c>
      <c r="H2753" t="b">
        <v>0</v>
      </c>
    </row>
    <row r="2754">
      <c r="A2754" t="inlineStr">
        <is>
          <t>S013</t>
        </is>
      </c>
      <c r="B2754" s="3" t="n">
        <v>46274</v>
      </c>
      <c r="C2754" t="n">
        <v>8</v>
      </c>
      <c r="D2754" t="inlineStr">
        <is>
          <t>Wednesday</t>
        </is>
      </c>
      <c r="E2754" t="n">
        <v>33</v>
      </c>
      <c r="F2754" t="b">
        <v>0</v>
      </c>
      <c r="G2754" t="inlineStr">
        <is>
          <t>Light</t>
        </is>
      </c>
      <c r="H2754" t="b">
        <v>0</v>
      </c>
    </row>
    <row r="2755">
      <c r="A2755" t="inlineStr">
        <is>
          <t>S013</t>
        </is>
      </c>
      <c r="B2755" s="3" t="n">
        <v>46274</v>
      </c>
      <c r="C2755" t="n">
        <v>9</v>
      </c>
      <c r="D2755" t="inlineStr">
        <is>
          <t>Wednesday</t>
        </is>
      </c>
      <c r="E2755" t="n">
        <v>31</v>
      </c>
      <c r="F2755" t="b">
        <v>0</v>
      </c>
      <c r="G2755" t="inlineStr">
        <is>
          <t>Heavy</t>
        </is>
      </c>
      <c r="H2755" t="b">
        <v>0</v>
      </c>
    </row>
    <row r="2756">
      <c r="A2756" t="inlineStr">
        <is>
          <t>S013</t>
        </is>
      </c>
      <c r="B2756" s="3" t="n">
        <v>46274</v>
      </c>
      <c r="C2756" t="n">
        <v>10</v>
      </c>
      <c r="D2756" t="inlineStr">
        <is>
          <t>Wednesday</t>
        </is>
      </c>
      <c r="E2756" t="n">
        <v>25</v>
      </c>
      <c r="F2756" t="b">
        <v>0</v>
      </c>
      <c r="H2756" t="b">
        <v>0</v>
      </c>
    </row>
    <row r="2757">
      <c r="A2757" t="inlineStr">
        <is>
          <t>S013</t>
        </is>
      </c>
      <c r="B2757" s="3" t="n">
        <v>46274</v>
      </c>
      <c r="C2757" t="n">
        <v>11</v>
      </c>
      <c r="D2757" t="inlineStr">
        <is>
          <t>Wednesday</t>
        </is>
      </c>
      <c r="E2757" t="n">
        <v>41</v>
      </c>
      <c r="F2757" t="b">
        <v>0</v>
      </c>
      <c r="H2757" t="b">
        <v>0</v>
      </c>
    </row>
    <row r="2758">
      <c r="A2758" t="inlineStr">
        <is>
          <t>S013</t>
        </is>
      </c>
      <c r="B2758" s="3" t="n">
        <v>46274</v>
      </c>
      <c r="C2758" t="n">
        <v>12</v>
      </c>
      <c r="D2758" t="inlineStr">
        <is>
          <t>Wednesday</t>
        </is>
      </c>
      <c r="E2758" t="n">
        <v>49</v>
      </c>
      <c r="F2758" t="b">
        <v>0</v>
      </c>
      <c r="H2758" t="b">
        <v>0</v>
      </c>
    </row>
    <row r="2759">
      <c r="A2759" t="inlineStr">
        <is>
          <t>S013</t>
        </is>
      </c>
      <c r="B2759" s="3" t="n">
        <v>46274</v>
      </c>
      <c r="C2759" t="n">
        <v>13</v>
      </c>
      <c r="D2759" t="inlineStr">
        <is>
          <t>Wednesday</t>
        </is>
      </c>
      <c r="E2759" t="n">
        <v>49</v>
      </c>
      <c r="F2759" t="b">
        <v>0</v>
      </c>
      <c r="G2759" t="inlineStr">
        <is>
          <t>Light</t>
        </is>
      </c>
      <c r="H2759" t="b">
        <v>0</v>
      </c>
    </row>
    <row r="2760">
      <c r="A2760" t="inlineStr">
        <is>
          <t>S013</t>
        </is>
      </c>
      <c r="B2760" s="3" t="n">
        <v>46274</v>
      </c>
      <c r="C2760" t="n">
        <v>14</v>
      </c>
      <c r="D2760" t="inlineStr">
        <is>
          <t>Wednesday</t>
        </is>
      </c>
      <c r="E2760" t="n">
        <v>32</v>
      </c>
      <c r="F2760" t="b">
        <v>0</v>
      </c>
      <c r="G2760" t="inlineStr">
        <is>
          <t>Light</t>
        </is>
      </c>
      <c r="H2760" t="b">
        <v>0</v>
      </c>
    </row>
    <row r="2761">
      <c r="A2761" t="inlineStr">
        <is>
          <t>S013</t>
        </is>
      </c>
      <c r="B2761" s="3" t="n">
        <v>46274</v>
      </c>
      <c r="C2761" t="n">
        <v>15</v>
      </c>
      <c r="D2761" t="inlineStr">
        <is>
          <t>Wednesday</t>
        </is>
      </c>
      <c r="E2761" t="n">
        <v>40</v>
      </c>
      <c r="F2761" t="b">
        <v>0</v>
      </c>
      <c r="H2761" t="b">
        <v>0</v>
      </c>
    </row>
    <row r="2762">
      <c r="A2762" t="inlineStr">
        <is>
          <t>S013</t>
        </is>
      </c>
      <c r="B2762" s="3" t="n">
        <v>46274</v>
      </c>
      <c r="C2762" t="n">
        <v>16</v>
      </c>
      <c r="D2762" t="inlineStr">
        <is>
          <t>Wednesday</t>
        </is>
      </c>
      <c r="E2762" t="n">
        <v>55</v>
      </c>
      <c r="F2762" t="b">
        <v>0</v>
      </c>
      <c r="H2762" t="b">
        <v>0</v>
      </c>
    </row>
    <row r="2763">
      <c r="A2763" t="inlineStr">
        <is>
          <t>S013</t>
        </is>
      </c>
      <c r="B2763" s="3" t="n">
        <v>46274</v>
      </c>
      <c r="C2763" t="n">
        <v>17</v>
      </c>
      <c r="D2763" t="inlineStr">
        <is>
          <t>Wednesday</t>
        </is>
      </c>
      <c r="E2763" t="n">
        <v>49</v>
      </c>
      <c r="F2763" t="b">
        <v>0</v>
      </c>
      <c r="H2763" t="b">
        <v>0</v>
      </c>
    </row>
    <row r="2764">
      <c r="A2764" t="inlineStr">
        <is>
          <t>S013</t>
        </is>
      </c>
      <c r="B2764" s="3" t="n">
        <v>46274</v>
      </c>
      <c r="C2764" t="n">
        <v>18</v>
      </c>
      <c r="D2764" t="inlineStr">
        <is>
          <t>Wednesday</t>
        </is>
      </c>
      <c r="E2764" t="n">
        <v>46</v>
      </c>
      <c r="F2764" t="b">
        <v>0</v>
      </c>
      <c r="G2764" t="inlineStr">
        <is>
          <t>Light</t>
        </is>
      </c>
      <c r="H2764" t="b">
        <v>0</v>
      </c>
    </row>
    <row r="2765">
      <c r="A2765" t="inlineStr">
        <is>
          <t>S013</t>
        </is>
      </c>
      <c r="B2765" s="3" t="n">
        <v>46274</v>
      </c>
      <c r="C2765" t="n">
        <v>19</v>
      </c>
      <c r="D2765" t="inlineStr">
        <is>
          <t>Wednesday</t>
        </is>
      </c>
      <c r="E2765" t="n">
        <v>85</v>
      </c>
      <c r="F2765" t="b">
        <v>1</v>
      </c>
      <c r="H2765" t="b">
        <v>0</v>
      </c>
    </row>
    <row r="2766">
      <c r="A2766" t="inlineStr">
        <is>
          <t>S013</t>
        </is>
      </c>
      <c r="B2766" s="3" t="n">
        <v>46274</v>
      </c>
      <c r="C2766" t="n">
        <v>20</v>
      </c>
      <c r="D2766" t="inlineStr">
        <is>
          <t>Wednesday</t>
        </is>
      </c>
      <c r="E2766" t="n">
        <v>74</v>
      </c>
      <c r="F2766" t="b">
        <v>1</v>
      </c>
      <c r="H2766" t="b">
        <v>0</v>
      </c>
    </row>
    <row r="2767">
      <c r="A2767" t="inlineStr">
        <is>
          <t>S013</t>
        </is>
      </c>
      <c r="B2767" s="3" t="n">
        <v>46274</v>
      </c>
      <c r="C2767" t="n">
        <v>21</v>
      </c>
      <c r="D2767" t="inlineStr">
        <is>
          <t>Wednesday</t>
        </is>
      </c>
      <c r="E2767" t="n">
        <v>69</v>
      </c>
      <c r="F2767" t="b">
        <v>1</v>
      </c>
      <c r="H2767" t="b">
        <v>0</v>
      </c>
    </row>
    <row r="2768">
      <c r="A2768" t="inlineStr">
        <is>
          <t>S013</t>
        </is>
      </c>
      <c r="B2768" s="3" t="n">
        <v>46274</v>
      </c>
      <c r="C2768" t="n">
        <v>22</v>
      </c>
      <c r="D2768" t="inlineStr">
        <is>
          <t>Wednesday</t>
        </is>
      </c>
      <c r="E2768" t="n">
        <v>71</v>
      </c>
      <c r="F2768" t="b">
        <v>0</v>
      </c>
      <c r="G2768" t="inlineStr">
        <is>
          <t>Light</t>
        </is>
      </c>
      <c r="H2768" t="b">
        <v>0</v>
      </c>
    </row>
    <row r="2769">
      <c r="A2769" t="inlineStr">
        <is>
          <t>S013</t>
        </is>
      </c>
      <c r="B2769" s="3" t="n">
        <v>46274</v>
      </c>
      <c r="C2769" t="n">
        <v>23</v>
      </c>
      <c r="D2769" t="inlineStr">
        <is>
          <t>Wednesday</t>
        </is>
      </c>
      <c r="E2769" t="n">
        <v>51</v>
      </c>
      <c r="F2769" t="b">
        <v>0</v>
      </c>
      <c r="G2769" t="inlineStr">
        <is>
          <t>Light</t>
        </is>
      </c>
      <c r="H2769" t="b">
        <v>0</v>
      </c>
    </row>
    <row r="2770">
      <c r="A2770" t="inlineStr">
        <is>
          <t>S014</t>
        </is>
      </c>
      <c r="B2770" s="3" t="n">
        <v>46274</v>
      </c>
      <c r="C2770" t="n">
        <v>8</v>
      </c>
      <c r="D2770" t="inlineStr">
        <is>
          <t>Wednesday</t>
        </is>
      </c>
      <c r="E2770" t="n">
        <v>23</v>
      </c>
      <c r="F2770" t="b">
        <v>0</v>
      </c>
      <c r="H2770" t="b">
        <v>0</v>
      </c>
    </row>
    <row r="2771">
      <c r="A2771" t="inlineStr">
        <is>
          <t>S014</t>
        </is>
      </c>
      <c r="B2771" s="3" t="n">
        <v>46274</v>
      </c>
      <c r="C2771" t="n">
        <v>9</v>
      </c>
      <c r="D2771" t="inlineStr">
        <is>
          <t>Wednesday</t>
        </is>
      </c>
      <c r="E2771" t="n">
        <v>32</v>
      </c>
      <c r="F2771" t="b">
        <v>0</v>
      </c>
      <c r="G2771" t="inlineStr">
        <is>
          <t>Light</t>
        </is>
      </c>
      <c r="H2771" t="b">
        <v>0</v>
      </c>
    </row>
    <row r="2772">
      <c r="A2772" t="inlineStr">
        <is>
          <t>S014</t>
        </is>
      </c>
      <c r="B2772" s="3" t="n">
        <v>46274</v>
      </c>
      <c r="C2772" t="n">
        <v>10</v>
      </c>
      <c r="D2772" t="inlineStr">
        <is>
          <t>Wednesday</t>
        </is>
      </c>
      <c r="E2772" t="n">
        <v>28</v>
      </c>
      <c r="F2772" t="b">
        <v>0</v>
      </c>
      <c r="H2772" t="b">
        <v>0</v>
      </c>
    </row>
    <row r="2773">
      <c r="A2773" t="inlineStr">
        <is>
          <t>S014</t>
        </is>
      </c>
      <c r="B2773" s="3" t="n">
        <v>46274</v>
      </c>
      <c r="C2773" t="n">
        <v>11</v>
      </c>
      <c r="D2773" t="inlineStr">
        <is>
          <t>Wednesday</t>
        </is>
      </c>
      <c r="E2773" t="n">
        <v>33</v>
      </c>
      <c r="F2773" t="b">
        <v>0</v>
      </c>
      <c r="G2773" t="inlineStr">
        <is>
          <t>Light</t>
        </is>
      </c>
      <c r="H2773" t="b">
        <v>0</v>
      </c>
    </row>
    <row r="2774">
      <c r="A2774" t="inlineStr">
        <is>
          <t>S014</t>
        </is>
      </c>
      <c r="B2774" s="3" t="n">
        <v>46274</v>
      </c>
      <c r="C2774" t="n">
        <v>12</v>
      </c>
      <c r="D2774" t="inlineStr">
        <is>
          <t>Wednesday</t>
        </is>
      </c>
      <c r="E2774" t="n">
        <v>44</v>
      </c>
      <c r="F2774" t="b">
        <v>0</v>
      </c>
      <c r="G2774" t="inlineStr">
        <is>
          <t>Light</t>
        </is>
      </c>
      <c r="H2774" t="b">
        <v>0</v>
      </c>
    </row>
    <row r="2775">
      <c r="A2775" t="inlineStr">
        <is>
          <t>S014</t>
        </is>
      </c>
      <c r="B2775" s="3" t="n">
        <v>46274</v>
      </c>
      <c r="C2775" t="n">
        <v>13</v>
      </c>
      <c r="D2775" t="inlineStr">
        <is>
          <t>Wednesday</t>
        </is>
      </c>
      <c r="E2775" t="n">
        <v>36</v>
      </c>
      <c r="F2775" t="b">
        <v>0</v>
      </c>
      <c r="H2775" t="b">
        <v>0</v>
      </c>
    </row>
    <row r="2776">
      <c r="A2776" t="inlineStr">
        <is>
          <t>S014</t>
        </is>
      </c>
      <c r="B2776" s="3" t="n">
        <v>46274</v>
      </c>
      <c r="C2776" t="n">
        <v>14</v>
      </c>
      <c r="D2776" t="inlineStr">
        <is>
          <t>Wednesday</t>
        </is>
      </c>
      <c r="E2776" t="n">
        <v>25</v>
      </c>
      <c r="F2776" t="b">
        <v>0</v>
      </c>
      <c r="H2776" t="b">
        <v>0</v>
      </c>
    </row>
    <row r="2777">
      <c r="A2777" t="inlineStr">
        <is>
          <t>S014</t>
        </is>
      </c>
      <c r="B2777" s="3" t="n">
        <v>46274</v>
      </c>
      <c r="C2777" t="n">
        <v>15</v>
      </c>
      <c r="D2777" t="inlineStr">
        <is>
          <t>Wednesday</t>
        </is>
      </c>
      <c r="E2777" t="n">
        <v>17</v>
      </c>
      <c r="F2777" t="b">
        <v>0</v>
      </c>
      <c r="H2777" t="b">
        <v>0</v>
      </c>
    </row>
    <row r="2778">
      <c r="A2778" t="inlineStr">
        <is>
          <t>S014</t>
        </is>
      </c>
      <c r="B2778" s="3" t="n">
        <v>46274</v>
      </c>
      <c r="C2778" t="n">
        <v>16</v>
      </c>
      <c r="D2778" t="inlineStr">
        <is>
          <t>Wednesday</t>
        </is>
      </c>
      <c r="E2778" t="n">
        <v>43</v>
      </c>
      <c r="F2778" t="b">
        <v>0</v>
      </c>
      <c r="H2778" t="b">
        <v>1</v>
      </c>
    </row>
    <row r="2779">
      <c r="A2779" t="inlineStr">
        <is>
          <t>S014</t>
        </is>
      </c>
      <c r="B2779" s="3" t="n">
        <v>46274</v>
      </c>
      <c r="C2779" t="n">
        <v>17</v>
      </c>
      <c r="D2779" t="inlineStr">
        <is>
          <t>Wednesday</t>
        </is>
      </c>
      <c r="E2779" t="n">
        <v>36</v>
      </c>
      <c r="F2779" t="b">
        <v>0</v>
      </c>
      <c r="H2779" t="b">
        <v>0</v>
      </c>
    </row>
    <row r="2780">
      <c r="A2780" t="inlineStr">
        <is>
          <t>S014</t>
        </is>
      </c>
      <c r="B2780" s="3" t="n">
        <v>46274</v>
      </c>
      <c r="C2780" t="n">
        <v>18</v>
      </c>
      <c r="D2780" t="inlineStr">
        <is>
          <t>Wednesday</t>
        </is>
      </c>
      <c r="E2780" t="n">
        <v>32</v>
      </c>
      <c r="F2780" t="b">
        <v>0</v>
      </c>
      <c r="H2780" t="b">
        <v>0</v>
      </c>
    </row>
    <row r="2781">
      <c r="A2781" t="inlineStr">
        <is>
          <t>S014</t>
        </is>
      </c>
      <c r="B2781" s="3" t="n">
        <v>46274</v>
      </c>
      <c r="C2781" t="n">
        <v>19</v>
      </c>
      <c r="D2781" t="inlineStr">
        <is>
          <t>Wednesday</t>
        </is>
      </c>
      <c r="E2781" t="n">
        <v>49</v>
      </c>
      <c r="F2781" t="b">
        <v>1</v>
      </c>
      <c r="G2781" t="inlineStr">
        <is>
          <t>Heavy</t>
        </is>
      </c>
      <c r="H2781" t="b">
        <v>0</v>
      </c>
    </row>
    <row r="2782">
      <c r="A2782" t="inlineStr">
        <is>
          <t>S014</t>
        </is>
      </c>
      <c r="B2782" s="3" t="n">
        <v>46274</v>
      </c>
      <c r="C2782" t="n">
        <v>20</v>
      </c>
      <c r="D2782" t="inlineStr">
        <is>
          <t>Wednesday</t>
        </is>
      </c>
      <c r="E2782" t="n">
        <v>52</v>
      </c>
      <c r="F2782" t="b">
        <v>1</v>
      </c>
      <c r="H2782" t="b">
        <v>0</v>
      </c>
    </row>
    <row r="2783">
      <c r="A2783" t="inlineStr">
        <is>
          <t>S014</t>
        </is>
      </c>
      <c r="B2783" s="3" t="n">
        <v>46274</v>
      </c>
      <c r="C2783" t="n">
        <v>21</v>
      </c>
      <c r="D2783" t="inlineStr">
        <is>
          <t>Wednesday</t>
        </is>
      </c>
      <c r="E2783" t="n">
        <v>54</v>
      </c>
      <c r="F2783" t="b">
        <v>1</v>
      </c>
      <c r="H2783" t="b">
        <v>0</v>
      </c>
    </row>
    <row r="2784">
      <c r="A2784" t="inlineStr">
        <is>
          <t>S014</t>
        </is>
      </c>
      <c r="B2784" s="3" t="n">
        <v>46274</v>
      </c>
      <c r="C2784" t="n">
        <v>22</v>
      </c>
      <c r="D2784" t="inlineStr">
        <is>
          <t>Wednesday</t>
        </is>
      </c>
      <c r="E2784" t="n">
        <v>28</v>
      </c>
      <c r="F2784" t="b">
        <v>0</v>
      </c>
      <c r="G2784" t="inlineStr">
        <is>
          <t>Light</t>
        </is>
      </c>
      <c r="H2784" t="b">
        <v>0</v>
      </c>
    </row>
    <row r="2785">
      <c r="A2785" t="inlineStr">
        <is>
          <t>S014</t>
        </is>
      </c>
      <c r="B2785" s="3" t="n">
        <v>46274</v>
      </c>
      <c r="C2785" t="n">
        <v>23</v>
      </c>
      <c r="D2785" t="inlineStr">
        <is>
          <t>Wednesday</t>
        </is>
      </c>
      <c r="E2785" t="n">
        <v>45</v>
      </c>
      <c r="F2785" t="b">
        <v>0</v>
      </c>
      <c r="G2785" t="inlineStr">
        <is>
          <t>Light</t>
        </is>
      </c>
      <c r="H2785" t="b">
        <v>0</v>
      </c>
    </row>
    <row r="2786">
      <c r="A2786" t="inlineStr">
        <is>
          <t>S015</t>
        </is>
      </c>
      <c r="B2786" s="3" t="n">
        <v>46274</v>
      </c>
      <c r="C2786" t="n">
        <v>8</v>
      </c>
      <c r="D2786" t="inlineStr">
        <is>
          <t>Wednesday</t>
        </is>
      </c>
      <c r="E2786" t="n">
        <v>14</v>
      </c>
      <c r="F2786" t="b">
        <v>0</v>
      </c>
      <c r="H2786" t="b">
        <v>0</v>
      </c>
    </row>
    <row r="2787">
      <c r="A2787" t="inlineStr">
        <is>
          <t>S015</t>
        </is>
      </c>
      <c r="B2787" s="3" t="n">
        <v>46274</v>
      </c>
      <c r="C2787" t="n">
        <v>9</v>
      </c>
      <c r="D2787" t="inlineStr">
        <is>
          <t>Wednesday</t>
        </is>
      </c>
      <c r="E2787" t="n">
        <v>15</v>
      </c>
      <c r="F2787" t="b">
        <v>0</v>
      </c>
      <c r="H2787" t="b">
        <v>1</v>
      </c>
    </row>
    <row r="2788">
      <c r="A2788" t="inlineStr">
        <is>
          <t>S015</t>
        </is>
      </c>
      <c r="B2788" s="3" t="n">
        <v>46274</v>
      </c>
      <c r="C2788" t="n">
        <v>10</v>
      </c>
      <c r="D2788" t="inlineStr">
        <is>
          <t>Wednesday</t>
        </is>
      </c>
      <c r="E2788" t="n">
        <v>11</v>
      </c>
      <c r="F2788" t="b">
        <v>0</v>
      </c>
      <c r="H2788" t="b">
        <v>0</v>
      </c>
    </row>
    <row r="2789">
      <c r="A2789" t="inlineStr">
        <is>
          <t>S015</t>
        </is>
      </c>
      <c r="B2789" s="3" t="n">
        <v>46274</v>
      </c>
      <c r="C2789" t="n">
        <v>11</v>
      </c>
      <c r="D2789" t="inlineStr">
        <is>
          <t>Wednesday</t>
        </is>
      </c>
      <c r="E2789" t="n">
        <v>23</v>
      </c>
      <c r="F2789" t="b">
        <v>0</v>
      </c>
      <c r="G2789" t="inlineStr">
        <is>
          <t>Light</t>
        </is>
      </c>
      <c r="H2789" t="b">
        <v>0</v>
      </c>
    </row>
    <row r="2790">
      <c r="A2790" t="inlineStr">
        <is>
          <t>S015</t>
        </is>
      </c>
      <c r="B2790" s="3" t="n">
        <v>46274</v>
      </c>
      <c r="C2790" t="n">
        <v>12</v>
      </c>
      <c r="D2790" t="inlineStr">
        <is>
          <t>Wednesday</t>
        </is>
      </c>
      <c r="E2790" t="n">
        <v>32</v>
      </c>
      <c r="F2790" t="b">
        <v>0</v>
      </c>
      <c r="H2790" t="b">
        <v>0</v>
      </c>
    </row>
    <row r="2791">
      <c r="A2791" t="inlineStr">
        <is>
          <t>S015</t>
        </is>
      </c>
      <c r="B2791" s="3" t="n">
        <v>46274</v>
      </c>
      <c r="C2791" t="n">
        <v>13</v>
      </c>
      <c r="D2791" t="inlineStr">
        <is>
          <t>Wednesday</t>
        </is>
      </c>
      <c r="E2791" t="n">
        <v>22</v>
      </c>
      <c r="F2791" t="b">
        <v>0</v>
      </c>
      <c r="H2791" t="b">
        <v>0</v>
      </c>
    </row>
    <row r="2792">
      <c r="A2792" t="inlineStr">
        <is>
          <t>S015</t>
        </is>
      </c>
      <c r="B2792" s="3" t="n">
        <v>46274</v>
      </c>
      <c r="C2792" t="n">
        <v>14</v>
      </c>
      <c r="D2792" t="inlineStr">
        <is>
          <t>Wednesday</t>
        </is>
      </c>
      <c r="E2792" t="n">
        <v>10</v>
      </c>
      <c r="F2792" t="b">
        <v>0</v>
      </c>
      <c r="G2792" t="inlineStr">
        <is>
          <t>Light</t>
        </is>
      </c>
      <c r="H2792" t="b">
        <v>0</v>
      </c>
    </row>
    <row r="2793">
      <c r="A2793" t="inlineStr">
        <is>
          <t>S015</t>
        </is>
      </c>
      <c r="B2793" s="3" t="n">
        <v>46274</v>
      </c>
      <c r="C2793" t="n">
        <v>15</v>
      </c>
      <c r="D2793" t="inlineStr">
        <is>
          <t>Wednesday</t>
        </is>
      </c>
      <c r="E2793" t="n">
        <v>20</v>
      </c>
      <c r="F2793" t="b">
        <v>0</v>
      </c>
      <c r="H2793" t="b">
        <v>0</v>
      </c>
    </row>
    <row r="2794">
      <c r="A2794" t="inlineStr">
        <is>
          <t>S015</t>
        </is>
      </c>
      <c r="B2794" s="3" t="n">
        <v>46274</v>
      </c>
      <c r="C2794" t="n">
        <v>16</v>
      </c>
      <c r="D2794" t="inlineStr">
        <is>
          <t>Wednesday</t>
        </is>
      </c>
      <c r="E2794" t="n">
        <v>19</v>
      </c>
      <c r="F2794" t="b">
        <v>0</v>
      </c>
      <c r="H2794" t="b">
        <v>0</v>
      </c>
    </row>
    <row r="2795">
      <c r="A2795" t="inlineStr">
        <is>
          <t>S015</t>
        </is>
      </c>
      <c r="B2795" s="3" t="n">
        <v>46274</v>
      </c>
      <c r="C2795" t="n">
        <v>17</v>
      </c>
      <c r="D2795" t="inlineStr">
        <is>
          <t>Wednesday</t>
        </is>
      </c>
      <c r="E2795" t="n">
        <v>24</v>
      </c>
      <c r="F2795" t="b">
        <v>0</v>
      </c>
      <c r="H2795" t="b">
        <v>0</v>
      </c>
    </row>
    <row r="2796">
      <c r="A2796" t="inlineStr">
        <is>
          <t>S015</t>
        </is>
      </c>
      <c r="B2796" s="3" t="n">
        <v>46274</v>
      </c>
      <c r="C2796" t="n">
        <v>18</v>
      </c>
      <c r="D2796" t="inlineStr">
        <is>
          <t>Wednesday</t>
        </is>
      </c>
      <c r="E2796" t="n">
        <v>23</v>
      </c>
      <c r="F2796" t="b">
        <v>0</v>
      </c>
      <c r="H2796" t="b">
        <v>0</v>
      </c>
    </row>
    <row r="2797">
      <c r="A2797" t="inlineStr">
        <is>
          <t>S015</t>
        </is>
      </c>
      <c r="B2797" s="3" t="n">
        <v>46274</v>
      </c>
      <c r="C2797" t="n">
        <v>19</v>
      </c>
      <c r="D2797" t="inlineStr">
        <is>
          <t>Wednesday</t>
        </is>
      </c>
      <c r="E2797" t="n">
        <v>31</v>
      </c>
      <c r="F2797" t="b">
        <v>1</v>
      </c>
      <c r="H2797" t="b">
        <v>0</v>
      </c>
    </row>
    <row r="2798">
      <c r="A2798" t="inlineStr">
        <is>
          <t>S015</t>
        </is>
      </c>
      <c r="B2798" s="3" t="n">
        <v>46274</v>
      </c>
      <c r="C2798" t="n">
        <v>20</v>
      </c>
      <c r="D2798" t="inlineStr">
        <is>
          <t>Wednesday</t>
        </is>
      </c>
      <c r="E2798" t="n">
        <v>38</v>
      </c>
      <c r="F2798" t="b">
        <v>1</v>
      </c>
      <c r="H2798" t="b">
        <v>0</v>
      </c>
    </row>
    <row r="2799">
      <c r="A2799" t="inlineStr">
        <is>
          <t>S015</t>
        </is>
      </c>
      <c r="B2799" s="3" t="n">
        <v>46274</v>
      </c>
      <c r="C2799" t="n">
        <v>21</v>
      </c>
      <c r="D2799" t="inlineStr">
        <is>
          <t>Wednesday</t>
        </is>
      </c>
      <c r="E2799" t="n">
        <v>33</v>
      </c>
      <c r="F2799" t="b">
        <v>1</v>
      </c>
      <c r="H2799" t="b">
        <v>1</v>
      </c>
    </row>
    <row r="2800">
      <c r="A2800" t="inlineStr">
        <is>
          <t>S015</t>
        </is>
      </c>
      <c r="B2800" s="3" t="n">
        <v>46274</v>
      </c>
      <c r="C2800" t="n">
        <v>22</v>
      </c>
      <c r="D2800" t="inlineStr">
        <is>
          <t>Wednesday</t>
        </is>
      </c>
      <c r="E2800" t="n">
        <v>23</v>
      </c>
      <c r="F2800" t="b">
        <v>0</v>
      </c>
      <c r="H2800" t="b">
        <v>0</v>
      </c>
    </row>
    <row r="2801">
      <c r="A2801" t="inlineStr">
        <is>
          <t>S015</t>
        </is>
      </c>
      <c r="B2801" s="3" t="n">
        <v>46274</v>
      </c>
      <c r="C2801" t="n">
        <v>23</v>
      </c>
      <c r="D2801" t="inlineStr">
        <is>
          <t>Wednesday</t>
        </is>
      </c>
      <c r="E2801" t="n">
        <v>36</v>
      </c>
      <c r="F2801" t="b">
        <v>0</v>
      </c>
      <c r="H2801" t="b">
        <v>0</v>
      </c>
    </row>
    <row r="2802">
      <c r="A2802" t="inlineStr">
        <is>
          <t>S016</t>
        </is>
      </c>
      <c r="B2802" s="3" t="n">
        <v>46274</v>
      </c>
      <c r="C2802" t="n">
        <v>8</v>
      </c>
      <c r="D2802" t="inlineStr">
        <is>
          <t>Wednesday</t>
        </is>
      </c>
      <c r="E2802" t="n">
        <v>11</v>
      </c>
      <c r="F2802" t="b">
        <v>0</v>
      </c>
      <c r="H2802" t="b">
        <v>0</v>
      </c>
    </row>
    <row r="2803">
      <c r="A2803" t="inlineStr">
        <is>
          <t>S016</t>
        </is>
      </c>
      <c r="B2803" s="3" t="n">
        <v>46274</v>
      </c>
      <c r="C2803" t="n">
        <v>9</v>
      </c>
      <c r="D2803" t="inlineStr">
        <is>
          <t>Wednesday</t>
        </is>
      </c>
      <c r="E2803" t="n">
        <v>15</v>
      </c>
      <c r="F2803" t="b">
        <v>0</v>
      </c>
      <c r="H2803" t="b">
        <v>0</v>
      </c>
    </row>
    <row r="2804">
      <c r="A2804" t="inlineStr">
        <is>
          <t>S016</t>
        </is>
      </c>
      <c r="B2804" s="3" t="n">
        <v>46274</v>
      </c>
      <c r="C2804" t="n">
        <v>10</v>
      </c>
      <c r="D2804" t="inlineStr">
        <is>
          <t>Wednesday</t>
        </is>
      </c>
      <c r="E2804" t="n">
        <v>18</v>
      </c>
      <c r="F2804" t="b">
        <v>0</v>
      </c>
      <c r="G2804" t="inlineStr">
        <is>
          <t>Light</t>
        </is>
      </c>
      <c r="H2804" t="b">
        <v>1</v>
      </c>
    </row>
    <row r="2805">
      <c r="A2805" t="inlineStr">
        <is>
          <t>S016</t>
        </is>
      </c>
      <c r="B2805" s="3" t="n">
        <v>46274</v>
      </c>
      <c r="C2805" t="n">
        <v>11</v>
      </c>
      <c r="D2805" t="inlineStr">
        <is>
          <t>Wednesday</t>
        </is>
      </c>
      <c r="E2805" t="n">
        <v>19</v>
      </c>
      <c r="F2805" t="b">
        <v>0</v>
      </c>
      <c r="H2805" t="b">
        <v>0</v>
      </c>
    </row>
    <row r="2806">
      <c r="A2806" t="inlineStr">
        <is>
          <t>S016</t>
        </is>
      </c>
      <c r="B2806" s="3" t="n">
        <v>46274</v>
      </c>
      <c r="C2806" t="n">
        <v>12</v>
      </c>
      <c r="D2806" t="inlineStr">
        <is>
          <t>Wednesday</t>
        </is>
      </c>
      <c r="E2806" t="n">
        <v>31</v>
      </c>
      <c r="F2806" t="b">
        <v>0</v>
      </c>
      <c r="H2806" t="b">
        <v>0</v>
      </c>
    </row>
    <row r="2807">
      <c r="A2807" t="inlineStr">
        <is>
          <t>S016</t>
        </is>
      </c>
      <c r="B2807" s="3" t="n">
        <v>46274</v>
      </c>
      <c r="C2807" t="n">
        <v>13</v>
      </c>
      <c r="D2807" t="inlineStr">
        <is>
          <t>Wednesday</t>
        </is>
      </c>
      <c r="E2807" t="n">
        <v>26</v>
      </c>
      <c r="F2807" t="b">
        <v>0</v>
      </c>
      <c r="H2807" t="b">
        <v>0</v>
      </c>
    </row>
    <row r="2808">
      <c r="A2808" t="inlineStr">
        <is>
          <t>S016</t>
        </is>
      </c>
      <c r="B2808" s="3" t="n">
        <v>46274</v>
      </c>
      <c r="C2808" t="n">
        <v>14</v>
      </c>
      <c r="D2808" t="inlineStr">
        <is>
          <t>Wednesday</t>
        </is>
      </c>
      <c r="E2808" t="n">
        <v>12</v>
      </c>
      <c r="F2808" t="b">
        <v>0</v>
      </c>
      <c r="H2808" t="b">
        <v>0</v>
      </c>
    </row>
    <row r="2809">
      <c r="A2809" t="inlineStr">
        <is>
          <t>S016</t>
        </is>
      </c>
      <c r="B2809" s="3" t="n">
        <v>46274</v>
      </c>
      <c r="C2809" t="n">
        <v>15</v>
      </c>
      <c r="D2809" t="inlineStr">
        <is>
          <t>Wednesday</t>
        </is>
      </c>
      <c r="E2809" t="n">
        <v>24</v>
      </c>
      <c r="F2809" t="b">
        <v>0</v>
      </c>
      <c r="H2809" t="b">
        <v>0</v>
      </c>
    </row>
    <row r="2810">
      <c r="A2810" t="inlineStr">
        <is>
          <t>S016</t>
        </is>
      </c>
      <c r="B2810" s="3" t="n">
        <v>46274</v>
      </c>
      <c r="C2810" t="n">
        <v>16</v>
      </c>
      <c r="D2810" t="inlineStr">
        <is>
          <t>Wednesday</t>
        </is>
      </c>
      <c r="E2810" t="n">
        <v>26</v>
      </c>
      <c r="F2810" t="b">
        <v>0</v>
      </c>
      <c r="H2810" t="b">
        <v>0</v>
      </c>
    </row>
    <row r="2811">
      <c r="A2811" t="inlineStr">
        <is>
          <t>S016</t>
        </is>
      </c>
      <c r="B2811" s="3" t="n">
        <v>46274</v>
      </c>
      <c r="C2811" t="n">
        <v>17</v>
      </c>
      <c r="D2811" t="inlineStr">
        <is>
          <t>Wednesday</t>
        </is>
      </c>
      <c r="E2811" t="n">
        <v>20</v>
      </c>
      <c r="F2811" t="b">
        <v>0</v>
      </c>
      <c r="H2811" t="b">
        <v>0</v>
      </c>
    </row>
    <row r="2812">
      <c r="A2812" t="inlineStr">
        <is>
          <t>S016</t>
        </is>
      </c>
      <c r="B2812" s="3" t="n">
        <v>46274</v>
      </c>
      <c r="C2812" t="n">
        <v>18</v>
      </c>
      <c r="D2812" t="inlineStr">
        <is>
          <t>Wednesday</t>
        </is>
      </c>
      <c r="E2812" t="n">
        <v>19</v>
      </c>
      <c r="F2812" t="b">
        <v>0</v>
      </c>
      <c r="G2812" t="inlineStr">
        <is>
          <t>Light</t>
        </is>
      </c>
      <c r="H2812" t="b">
        <v>1</v>
      </c>
    </row>
    <row r="2813">
      <c r="A2813" t="inlineStr">
        <is>
          <t>S016</t>
        </is>
      </c>
      <c r="B2813" s="3" t="n">
        <v>46274</v>
      </c>
      <c r="C2813" t="n">
        <v>19</v>
      </c>
      <c r="D2813" t="inlineStr">
        <is>
          <t>Wednesday</t>
        </is>
      </c>
      <c r="E2813" t="n">
        <v>42</v>
      </c>
      <c r="F2813" t="b">
        <v>1</v>
      </c>
      <c r="H2813" t="b">
        <v>0</v>
      </c>
    </row>
    <row r="2814">
      <c r="A2814" t="inlineStr">
        <is>
          <t>S016</t>
        </is>
      </c>
      <c r="B2814" s="3" t="n">
        <v>46274</v>
      </c>
      <c r="C2814" t="n">
        <v>20</v>
      </c>
      <c r="D2814" t="inlineStr">
        <is>
          <t>Wednesday</t>
        </is>
      </c>
      <c r="E2814" t="n">
        <v>38</v>
      </c>
      <c r="F2814" t="b">
        <v>1</v>
      </c>
      <c r="H2814" t="b">
        <v>1</v>
      </c>
    </row>
    <row r="2815">
      <c r="A2815" t="inlineStr">
        <is>
          <t>S016</t>
        </is>
      </c>
      <c r="B2815" s="3" t="n">
        <v>46274</v>
      </c>
      <c r="C2815" t="n">
        <v>21</v>
      </c>
      <c r="D2815" t="inlineStr">
        <is>
          <t>Wednesday</t>
        </is>
      </c>
      <c r="E2815" t="n">
        <v>41</v>
      </c>
      <c r="F2815" t="b">
        <v>1</v>
      </c>
      <c r="G2815" t="inlineStr">
        <is>
          <t>Light</t>
        </is>
      </c>
      <c r="H2815" t="b">
        <v>0</v>
      </c>
    </row>
    <row r="2816">
      <c r="A2816" t="inlineStr">
        <is>
          <t>S016</t>
        </is>
      </c>
      <c r="B2816" s="3" t="n">
        <v>46274</v>
      </c>
      <c r="C2816" t="n">
        <v>22</v>
      </c>
      <c r="D2816" t="inlineStr">
        <is>
          <t>Wednesday</t>
        </is>
      </c>
      <c r="E2816" t="n">
        <v>22</v>
      </c>
      <c r="F2816" t="b">
        <v>0</v>
      </c>
      <c r="H2816" t="b">
        <v>0</v>
      </c>
    </row>
    <row r="2817">
      <c r="A2817" t="inlineStr">
        <is>
          <t>S016</t>
        </is>
      </c>
      <c r="B2817" s="3" t="n">
        <v>46274</v>
      </c>
      <c r="C2817" t="n">
        <v>23</v>
      </c>
      <c r="D2817" t="inlineStr">
        <is>
          <t>Wednesday</t>
        </is>
      </c>
      <c r="E2817" t="n">
        <v>32</v>
      </c>
      <c r="F2817" t="b">
        <v>0</v>
      </c>
      <c r="G2817" t="inlineStr">
        <is>
          <t>Light</t>
        </is>
      </c>
      <c r="H2817" t="b">
        <v>0</v>
      </c>
    </row>
    <row r="2818">
      <c r="A2818" t="inlineStr">
        <is>
          <t>S017</t>
        </is>
      </c>
      <c r="B2818" s="3" t="n">
        <v>46274</v>
      </c>
      <c r="C2818" t="n">
        <v>8</v>
      </c>
      <c r="D2818" t="inlineStr">
        <is>
          <t>Wednesday</t>
        </is>
      </c>
      <c r="E2818" t="n">
        <v>25</v>
      </c>
      <c r="F2818" t="b">
        <v>0</v>
      </c>
      <c r="H2818" t="b">
        <v>0</v>
      </c>
    </row>
    <row r="2819">
      <c r="A2819" t="inlineStr">
        <is>
          <t>S017</t>
        </is>
      </c>
      <c r="B2819" s="3" t="n">
        <v>46274</v>
      </c>
      <c r="C2819" t="n">
        <v>9</v>
      </c>
      <c r="D2819" t="inlineStr">
        <is>
          <t>Wednesday</t>
        </is>
      </c>
      <c r="E2819" t="n">
        <v>30</v>
      </c>
      <c r="F2819" t="b">
        <v>0</v>
      </c>
      <c r="H2819" t="b">
        <v>0</v>
      </c>
    </row>
    <row r="2820">
      <c r="A2820" t="inlineStr">
        <is>
          <t>S017</t>
        </is>
      </c>
      <c r="B2820" s="3" t="n">
        <v>46274</v>
      </c>
      <c r="C2820" t="n">
        <v>10</v>
      </c>
      <c r="D2820" t="inlineStr">
        <is>
          <t>Wednesday</t>
        </is>
      </c>
      <c r="E2820" t="n">
        <v>22</v>
      </c>
      <c r="F2820" t="b">
        <v>0</v>
      </c>
      <c r="H2820" t="b">
        <v>0</v>
      </c>
    </row>
    <row r="2821">
      <c r="A2821" t="inlineStr">
        <is>
          <t>S017</t>
        </is>
      </c>
      <c r="B2821" s="3" t="n">
        <v>46274</v>
      </c>
      <c r="C2821" t="n">
        <v>11</v>
      </c>
      <c r="D2821" t="inlineStr">
        <is>
          <t>Wednesday</t>
        </is>
      </c>
      <c r="E2821" t="n">
        <v>34</v>
      </c>
      <c r="F2821" t="b">
        <v>0</v>
      </c>
      <c r="G2821" t="inlineStr">
        <is>
          <t>Light</t>
        </is>
      </c>
      <c r="H2821" t="b">
        <v>0</v>
      </c>
    </row>
    <row r="2822">
      <c r="A2822" t="inlineStr">
        <is>
          <t>S017</t>
        </is>
      </c>
      <c r="B2822" s="3" t="n">
        <v>46274</v>
      </c>
      <c r="C2822" t="n">
        <v>12</v>
      </c>
      <c r="D2822" t="inlineStr">
        <is>
          <t>Wednesday</t>
        </is>
      </c>
      <c r="E2822" t="n">
        <v>36</v>
      </c>
      <c r="F2822" t="b">
        <v>0</v>
      </c>
      <c r="H2822" t="b">
        <v>0</v>
      </c>
    </row>
    <row r="2823">
      <c r="A2823" t="inlineStr">
        <is>
          <t>S017</t>
        </is>
      </c>
      <c r="B2823" s="3" t="n">
        <v>46274</v>
      </c>
      <c r="C2823" t="n">
        <v>13</v>
      </c>
      <c r="D2823" t="inlineStr">
        <is>
          <t>Wednesday</t>
        </is>
      </c>
      <c r="E2823" t="n">
        <v>31</v>
      </c>
      <c r="F2823" t="b">
        <v>0</v>
      </c>
      <c r="G2823" t="inlineStr">
        <is>
          <t>Light</t>
        </is>
      </c>
      <c r="H2823" t="b">
        <v>0</v>
      </c>
    </row>
    <row r="2824">
      <c r="A2824" t="inlineStr">
        <is>
          <t>S017</t>
        </is>
      </c>
      <c r="B2824" s="3" t="n">
        <v>46274</v>
      </c>
      <c r="C2824" t="n">
        <v>14</v>
      </c>
      <c r="D2824" t="inlineStr">
        <is>
          <t>Wednesday</t>
        </is>
      </c>
      <c r="E2824" t="n">
        <v>20</v>
      </c>
      <c r="F2824" t="b">
        <v>0</v>
      </c>
      <c r="G2824" t="inlineStr">
        <is>
          <t>Light</t>
        </is>
      </c>
      <c r="H2824" t="b">
        <v>0</v>
      </c>
    </row>
    <row r="2825">
      <c r="A2825" t="inlineStr">
        <is>
          <t>S017</t>
        </is>
      </c>
      <c r="B2825" s="3" t="n">
        <v>46274</v>
      </c>
      <c r="C2825" t="n">
        <v>15</v>
      </c>
      <c r="D2825" t="inlineStr">
        <is>
          <t>Wednesday</t>
        </is>
      </c>
      <c r="E2825" t="n">
        <v>19</v>
      </c>
      <c r="F2825" t="b">
        <v>0</v>
      </c>
      <c r="H2825" t="b">
        <v>0</v>
      </c>
    </row>
    <row r="2826">
      <c r="A2826" t="inlineStr">
        <is>
          <t>S017</t>
        </is>
      </c>
      <c r="B2826" s="3" t="n">
        <v>46274</v>
      </c>
      <c r="C2826" t="n">
        <v>16</v>
      </c>
      <c r="D2826" t="inlineStr">
        <is>
          <t>Wednesday</t>
        </is>
      </c>
      <c r="E2826" t="n">
        <v>34</v>
      </c>
      <c r="F2826" t="b">
        <v>0</v>
      </c>
      <c r="G2826" t="inlineStr">
        <is>
          <t>Light</t>
        </is>
      </c>
      <c r="H2826" t="b">
        <v>0</v>
      </c>
    </row>
    <row r="2827">
      <c r="A2827" t="inlineStr">
        <is>
          <t>S017</t>
        </is>
      </c>
      <c r="B2827" s="3" t="n">
        <v>46274</v>
      </c>
      <c r="C2827" t="n">
        <v>17</v>
      </c>
      <c r="D2827" t="inlineStr">
        <is>
          <t>Wednesday</t>
        </is>
      </c>
      <c r="E2827" t="n">
        <v>27</v>
      </c>
      <c r="F2827" t="b">
        <v>0</v>
      </c>
      <c r="H2827" t="b">
        <v>0</v>
      </c>
    </row>
    <row r="2828">
      <c r="A2828" t="inlineStr">
        <is>
          <t>S017</t>
        </is>
      </c>
      <c r="B2828" s="3" t="n">
        <v>46274</v>
      </c>
      <c r="C2828" t="n">
        <v>18</v>
      </c>
      <c r="D2828" t="inlineStr">
        <is>
          <t>Wednesday</t>
        </is>
      </c>
      <c r="E2828" t="n">
        <v>42</v>
      </c>
      <c r="F2828" t="b">
        <v>0</v>
      </c>
      <c r="G2828" t="inlineStr">
        <is>
          <t>Light</t>
        </is>
      </c>
      <c r="H2828" t="b">
        <v>0</v>
      </c>
    </row>
    <row r="2829">
      <c r="A2829" t="inlineStr">
        <is>
          <t>S017</t>
        </is>
      </c>
      <c r="B2829" s="3" t="n">
        <v>46274</v>
      </c>
      <c r="C2829" t="n">
        <v>19</v>
      </c>
      <c r="D2829" t="inlineStr">
        <is>
          <t>Wednesday</t>
        </is>
      </c>
      <c r="E2829" t="n">
        <v>42</v>
      </c>
      <c r="F2829" t="b">
        <v>1</v>
      </c>
      <c r="H2829" t="b">
        <v>0</v>
      </c>
    </row>
    <row r="2830">
      <c r="A2830" t="inlineStr">
        <is>
          <t>S017</t>
        </is>
      </c>
      <c r="B2830" s="3" t="n">
        <v>46274</v>
      </c>
      <c r="C2830" t="n">
        <v>20</v>
      </c>
      <c r="D2830" t="inlineStr">
        <is>
          <t>Wednesday</t>
        </is>
      </c>
      <c r="E2830" t="n">
        <v>51</v>
      </c>
      <c r="F2830" t="b">
        <v>1</v>
      </c>
      <c r="G2830" t="inlineStr">
        <is>
          <t>Light</t>
        </is>
      </c>
      <c r="H2830" t="b">
        <v>0</v>
      </c>
    </row>
    <row r="2831">
      <c r="A2831" t="inlineStr">
        <is>
          <t>S017</t>
        </is>
      </c>
      <c r="B2831" s="3" t="n">
        <v>46274</v>
      </c>
      <c r="C2831" t="n">
        <v>21</v>
      </c>
      <c r="D2831" t="inlineStr">
        <is>
          <t>Wednesday</t>
        </is>
      </c>
      <c r="E2831" t="n">
        <v>66</v>
      </c>
      <c r="F2831" t="b">
        <v>1</v>
      </c>
      <c r="H2831" t="b">
        <v>0</v>
      </c>
    </row>
    <row r="2832">
      <c r="A2832" t="inlineStr">
        <is>
          <t>S017</t>
        </is>
      </c>
      <c r="B2832" s="3" t="n">
        <v>46274</v>
      </c>
      <c r="C2832" t="n">
        <v>22</v>
      </c>
      <c r="D2832" t="inlineStr">
        <is>
          <t>Wednesday</t>
        </is>
      </c>
      <c r="E2832" t="n">
        <v>44</v>
      </c>
      <c r="F2832" t="b">
        <v>0</v>
      </c>
      <c r="H2832" t="b">
        <v>0</v>
      </c>
    </row>
    <row r="2833">
      <c r="A2833" t="inlineStr">
        <is>
          <t>S017</t>
        </is>
      </c>
      <c r="B2833" s="3" t="n">
        <v>46274</v>
      </c>
      <c r="C2833" t="n">
        <v>23</v>
      </c>
      <c r="D2833" t="inlineStr">
        <is>
          <t>Wednesday</t>
        </is>
      </c>
      <c r="E2833" t="n">
        <v>53</v>
      </c>
      <c r="F2833" t="b">
        <v>0</v>
      </c>
      <c r="H2833" t="b">
        <v>0</v>
      </c>
    </row>
    <row r="2834">
      <c r="A2834" t="inlineStr">
        <is>
          <t>S018</t>
        </is>
      </c>
      <c r="B2834" s="3" t="n">
        <v>46274</v>
      </c>
      <c r="C2834" t="n">
        <v>8</v>
      </c>
      <c r="D2834" t="inlineStr">
        <is>
          <t>Wednesday</t>
        </is>
      </c>
      <c r="E2834" t="n">
        <v>14</v>
      </c>
      <c r="F2834" t="b">
        <v>0</v>
      </c>
      <c r="G2834" t="inlineStr">
        <is>
          <t>Light</t>
        </is>
      </c>
      <c r="H2834" t="b">
        <v>1</v>
      </c>
    </row>
    <row r="2835">
      <c r="A2835" t="inlineStr">
        <is>
          <t>S018</t>
        </is>
      </c>
      <c r="B2835" s="3" t="n">
        <v>46274</v>
      </c>
      <c r="C2835" t="n">
        <v>9</v>
      </c>
      <c r="D2835" t="inlineStr">
        <is>
          <t>Wednesday</t>
        </is>
      </c>
      <c r="E2835" t="n">
        <v>16</v>
      </c>
      <c r="F2835" t="b">
        <v>0</v>
      </c>
      <c r="H2835" t="b">
        <v>0</v>
      </c>
    </row>
    <row r="2836">
      <c r="A2836" t="inlineStr">
        <is>
          <t>S018</t>
        </is>
      </c>
      <c r="B2836" s="3" t="n">
        <v>46274</v>
      </c>
      <c r="C2836" t="n">
        <v>10</v>
      </c>
      <c r="D2836" t="inlineStr">
        <is>
          <t>Wednesday</t>
        </is>
      </c>
      <c r="E2836" t="n">
        <v>15</v>
      </c>
      <c r="F2836" t="b">
        <v>0</v>
      </c>
      <c r="H2836" t="b">
        <v>0</v>
      </c>
    </row>
    <row r="2837">
      <c r="A2837" t="inlineStr">
        <is>
          <t>S018</t>
        </is>
      </c>
      <c r="B2837" s="3" t="n">
        <v>46274</v>
      </c>
      <c r="C2837" t="n">
        <v>11</v>
      </c>
      <c r="D2837" t="inlineStr">
        <is>
          <t>Wednesday</t>
        </is>
      </c>
      <c r="E2837" t="n">
        <v>19</v>
      </c>
      <c r="F2837" t="b">
        <v>0</v>
      </c>
      <c r="H2837" t="b">
        <v>0</v>
      </c>
    </row>
    <row r="2838">
      <c r="A2838" t="inlineStr">
        <is>
          <t>S018</t>
        </is>
      </c>
      <c r="B2838" s="3" t="n">
        <v>46274</v>
      </c>
      <c r="C2838" t="n">
        <v>12</v>
      </c>
      <c r="D2838" t="inlineStr">
        <is>
          <t>Wednesday</t>
        </is>
      </c>
      <c r="E2838" t="n">
        <v>18</v>
      </c>
      <c r="F2838" t="b">
        <v>0</v>
      </c>
      <c r="H2838" t="b">
        <v>0</v>
      </c>
    </row>
    <row r="2839">
      <c r="A2839" t="inlineStr">
        <is>
          <t>S018</t>
        </is>
      </c>
      <c r="B2839" s="3" t="n">
        <v>46274</v>
      </c>
      <c r="C2839" t="n">
        <v>13</v>
      </c>
      <c r="D2839" t="inlineStr">
        <is>
          <t>Wednesday</t>
        </is>
      </c>
      <c r="E2839" t="n">
        <v>17</v>
      </c>
      <c r="F2839" t="b">
        <v>0</v>
      </c>
      <c r="H2839" t="b">
        <v>0</v>
      </c>
    </row>
    <row r="2840">
      <c r="A2840" t="inlineStr">
        <is>
          <t>S018</t>
        </is>
      </c>
      <c r="B2840" s="3" t="n">
        <v>46274</v>
      </c>
      <c r="C2840" t="n">
        <v>14</v>
      </c>
      <c r="D2840" t="inlineStr">
        <is>
          <t>Wednesday</t>
        </is>
      </c>
      <c r="E2840" t="n">
        <v>21</v>
      </c>
      <c r="F2840" t="b">
        <v>0</v>
      </c>
      <c r="H2840" t="b">
        <v>0</v>
      </c>
    </row>
    <row r="2841">
      <c r="A2841" t="inlineStr">
        <is>
          <t>S018</t>
        </is>
      </c>
      <c r="B2841" s="3" t="n">
        <v>46274</v>
      </c>
      <c r="C2841" t="n">
        <v>15</v>
      </c>
      <c r="D2841" t="inlineStr">
        <is>
          <t>Wednesday</t>
        </is>
      </c>
      <c r="E2841" t="n">
        <v>7</v>
      </c>
      <c r="F2841" t="b">
        <v>0</v>
      </c>
      <c r="G2841" t="inlineStr">
        <is>
          <t>Light</t>
        </is>
      </c>
      <c r="H2841" t="b">
        <v>0</v>
      </c>
    </row>
    <row r="2842">
      <c r="A2842" t="inlineStr">
        <is>
          <t>S018</t>
        </is>
      </c>
      <c r="B2842" s="3" t="n">
        <v>46274</v>
      </c>
      <c r="C2842" t="n">
        <v>16</v>
      </c>
      <c r="D2842" t="inlineStr">
        <is>
          <t>Wednesday</t>
        </is>
      </c>
      <c r="E2842" t="n">
        <v>16</v>
      </c>
      <c r="F2842" t="b">
        <v>0</v>
      </c>
      <c r="G2842" t="inlineStr">
        <is>
          <t>Heavy</t>
        </is>
      </c>
      <c r="H2842" t="b">
        <v>0</v>
      </c>
    </row>
    <row r="2843">
      <c r="A2843" t="inlineStr">
        <is>
          <t>S018</t>
        </is>
      </c>
      <c r="B2843" s="3" t="n">
        <v>46274</v>
      </c>
      <c r="C2843" t="n">
        <v>17</v>
      </c>
      <c r="D2843" t="inlineStr">
        <is>
          <t>Wednesday</t>
        </is>
      </c>
      <c r="E2843" t="n">
        <v>17</v>
      </c>
      <c r="F2843" t="b">
        <v>0</v>
      </c>
      <c r="H2843" t="b">
        <v>0</v>
      </c>
    </row>
    <row r="2844">
      <c r="A2844" t="inlineStr">
        <is>
          <t>S018</t>
        </is>
      </c>
      <c r="B2844" s="3" t="n">
        <v>46274</v>
      </c>
      <c r="C2844" t="n">
        <v>18</v>
      </c>
      <c r="D2844" t="inlineStr">
        <is>
          <t>Wednesday</t>
        </is>
      </c>
      <c r="E2844" t="n">
        <v>21</v>
      </c>
      <c r="F2844" t="b">
        <v>0</v>
      </c>
      <c r="H2844" t="b">
        <v>0</v>
      </c>
    </row>
    <row r="2845">
      <c r="A2845" t="inlineStr">
        <is>
          <t>S018</t>
        </is>
      </c>
      <c r="B2845" s="3" t="n">
        <v>46274</v>
      </c>
      <c r="C2845" t="n">
        <v>19</v>
      </c>
      <c r="D2845" t="inlineStr">
        <is>
          <t>Wednesday</t>
        </is>
      </c>
      <c r="E2845" t="n">
        <v>33</v>
      </c>
      <c r="F2845" t="b">
        <v>1</v>
      </c>
      <c r="H2845" t="b">
        <v>0</v>
      </c>
    </row>
    <row r="2846">
      <c r="A2846" t="inlineStr">
        <is>
          <t>S018</t>
        </is>
      </c>
      <c r="B2846" s="3" t="n">
        <v>46274</v>
      </c>
      <c r="C2846" t="n">
        <v>20</v>
      </c>
      <c r="D2846" t="inlineStr">
        <is>
          <t>Wednesday</t>
        </is>
      </c>
      <c r="E2846" t="n">
        <v>23</v>
      </c>
      <c r="F2846" t="b">
        <v>1</v>
      </c>
      <c r="H2846" t="b">
        <v>0</v>
      </c>
    </row>
    <row r="2847">
      <c r="A2847" t="inlineStr">
        <is>
          <t>S018</t>
        </is>
      </c>
      <c r="B2847" s="3" t="n">
        <v>46274</v>
      </c>
      <c r="C2847" t="n">
        <v>21</v>
      </c>
      <c r="D2847" t="inlineStr">
        <is>
          <t>Wednesday</t>
        </is>
      </c>
      <c r="E2847" t="n">
        <v>28</v>
      </c>
      <c r="F2847" t="b">
        <v>1</v>
      </c>
      <c r="H2847" t="b">
        <v>0</v>
      </c>
    </row>
    <row r="2848">
      <c r="A2848" t="inlineStr">
        <is>
          <t>S018</t>
        </is>
      </c>
      <c r="B2848" s="3" t="n">
        <v>46274</v>
      </c>
      <c r="C2848" t="n">
        <v>22</v>
      </c>
      <c r="D2848" t="inlineStr">
        <is>
          <t>Wednesday</t>
        </is>
      </c>
      <c r="E2848" t="n">
        <v>23</v>
      </c>
      <c r="F2848" t="b">
        <v>0</v>
      </c>
      <c r="H2848" t="b">
        <v>0</v>
      </c>
    </row>
    <row r="2849">
      <c r="A2849" t="inlineStr">
        <is>
          <t>S018</t>
        </is>
      </c>
      <c r="B2849" s="3" t="n">
        <v>46274</v>
      </c>
      <c r="C2849" t="n">
        <v>23</v>
      </c>
      <c r="D2849" t="inlineStr">
        <is>
          <t>Wednesday</t>
        </is>
      </c>
      <c r="E2849" t="n">
        <v>18</v>
      </c>
      <c r="F2849" t="b">
        <v>0</v>
      </c>
      <c r="G2849" t="inlineStr">
        <is>
          <t>Light</t>
        </is>
      </c>
      <c r="H2849" t="b">
        <v>0</v>
      </c>
    </row>
    <row r="2850">
      <c r="A2850" t="inlineStr">
        <is>
          <t>S019</t>
        </is>
      </c>
      <c r="B2850" s="3" t="n">
        <v>46274</v>
      </c>
      <c r="C2850" t="n">
        <v>8</v>
      </c>
      <c r="D2850" t="inlineStr">
        <is>
          <t>Wednesday</t>
        </is>
      </c>
      <c r="E2850" t="n">
        <v>13</v>
      </c>
      <c r="F2850" t="b">
        <v>0</v>
      </c>
      <c r="H2850" t="b">
        <v>0</v>
      </c>
    </row>
    <row r="2851">
      <c r="A2851" t="inlineStr">
        <is>
          <t>S019</t>
        </is>
      </c>
      <c r="B2851" s="3" t="n">
        <v>46274</v>
      </c>
      <c r="C2851" t="n">
        <v>9</v>
      </c>
      <c r="D2851" t="inlineStr">
        <is>
          <t>Wednesday</t>
        </is>
      </c>
      <c r="E2851" t="n">
        <v>13</v>
      </c>
      <c r="F2851" t="b">
        <v>0</v>
      </c>
      <c r="H2851" t="b">
        <v>0</v>
      </c>
    </row>
    <row r="2852">
      <c r="A2852" t="inlineStr">
        <is>
          <t>S019</t>
        </is>
      </c>
      <c r="B2852" s="3" t="n">
        <v>46274</v>
      </c>
      <c r="C2852" t="n">
        <v>10</v>
      </c>
      <c r="D2852" t="inlineStr">
        <is>
          <t>Wednesday</t>
        </is>
      </c>
      <c r="E2852" t="n">
        <v>14</v>
      </c>
      <c r="F2852" t="b">
        <v>0</v>
      </c>
      <c r="H2852" t="b">
        <v>0</v>
      </c>
    </row>
    <row r="2853">
      <c r="A2853" t="inlineStr">
        <is>
          <t>S019</t>
        </is>
      </c>
      <c r="B2853" s="3" t="n">
        <v>46274</v>
      </c>
      <c r="C2853" t="n">
        <v>11</v>
      </c>
      <c r="D2853" t="inlineStr">
        <is>
          <t>Wednesday</t>
        </is>
      </c>
      <c r="E2853" t="n">
        <v>20</v>
      </c>
      <c r="F2853" t="b">
        <v>0</v>
      </c>
      <c r="H2853" t="b">
        <v>0</v>
      </c>
    </row>
    <row r="2854">
      <c r="A2854" t="inlineStr">
        <is>
          <t>S019</t>
        </is>
      </c>
      <c r="B2854" s="3" t="n">
        <v>46274</v>
      </c>
      <c r="C2854" t="n">
        <v>12</v>
      </c>
      <c r="D2854" t="inlineStr">
        <is>
          <t>Wednesday</t>
        </is>
      </c>
      <c r="E2854" t="n">
        <v>20</v>
      </c>
      <c r="F2854" t="b">
        <v>0</v>
      </c>
      <c r="H2854" t="b">
        <v>0</v>
      </c>
    </row>
    <row r="2855">
      <c r="A2855" t="inlineStr">
        <is>
          <t>S019</t>
        </is>
      </c>
      <c r="B2855" s="3" t="n">
        <v>46274</v>
      </c>
      <c r="C2855" t="n">
        <v>13</v>
      </c>
      <c r="D2855" t="inlineStr">
        <is>
          <t>Wednesday</t>
        </is>
      </c>
      <c r="E2855" t="n">
        <v>23</v>
      </c>
      <c r="F2855" t="b">
        <v>0</v>
      </c>
      <c r="H2855" t="b">
        <v>1</v>
      </c>
    </row>
    <row r="2856">
      <c r="A2856" t="inlineStr">
        <is>
          <t>S019</t>
        </is>
      </c>
      <c r="B2856" s="3" t="n">
        <v>46274</v>
      </c>
      <c r="C2856" t="n">
        <v>14</v>
      </c>
      <c r="D2856" t="inlineStr">
        <is>
          <t>Wednesday</t>
        </is>
      </c>
      <c r="E2856" t="n">
        <v>16</v>
      </c>
      <c r="F2856" t="b">
        <v>0</v>
      </c>
      <c r="G2856" t="inlineStr">
        <is>
          <t>Heavy</t>
        </is>
      </c>
      <c r="H2856" t="b">
        <v>0</v>
      </c>
    </row>
    <row r="2857">
      <c r="A2857" t="inlineStr">
        <is>
          <t>S019</t>
        </is>
      </c>
      <c r="B2857" s="3" t="n">
        <v>46274</v>
      </c>
      <c r="C2857" t="n">
        <v>15</v>
      </c>
      <c r="D2857" t="inlineStr">
        <is>
          <t>Wednesday</t>
        </is>
      </c>
      <c r="E2857" t="n">
        <v>19</v>
      </c>
      <c r="F2857" t="b">
        <v>0</v>
      </c>
      <c r="H2857" t="b">
        <v>0</v>
      </c>
    </row>
    <row r="2858">
      <c r="A2858" t="inlineStr">
        <is>
          <t>S019</t>
        </is>
      </c>
      <c r="B2858" s="3" t="n">
        <v>46274</v>
      </c>
      <c r="C2858" t="n">
        <v>16</v>
      </c>
      <c r="D2858" t="inlineStr">
        <is>
          <t>Wednesday</t>
        </is>
      </c>
      <c r="E2858" t="n">
        <v>17</v>
      </c>
      <c r="F2858" t="b">
        <v>0</v>
      </c>
      <c r="H2858" t="b">
        <v>0</v>
      </c>
    </row>
    <row r="2859">
      <c r="A2859" t="inlineStr">
        <is>
          <t>S019</t>
        </is>
      </c>
      <c r="B2859" s="3" t="n">
        <v>46274</v>
      </c>
      <c r="C2859" t="n">
        <v>17</v>
      </c>
      <c r="D2859" t="inlineStr">
        <is>
          <t>Wednesday</t>
        </is>
      </c>
      <c r="E2859" t="n">
        <v>19</v>
      </c>
      <c r="F2859" t="b">
        <v>0</v>
      </c>
      <c r="H2859" t="b">
        <v>0</v>
      </c>
    </row>
    <row r="2860">
      <c r="A2860" t="inlineStr">
        <is>
          <t>S019</t>
        </is>
      </c>
      <c r="B2860" s="3" t="n">
        <v>46274</v>
      </c>
      <c r="C2860" t="n">
        <v>18</v>
      </c>
      <c r="D2860" t="inlineStr">
        <is>
          <t>Wednesday</t>
        </is>
      </c>
      <c r="E2860" t="n">
        <v>9</v>
      </c>
      <c r="F2860" t="b">
        <v>0</v>
      </c>
      <c r="H2860" t="b">
        <v>0</v>
      </c>
    </row>
    <row r="2861">
      <c r="A2861" t="inlineStr">
        <is>
          <t>S019</t>
        </is>
      </c>
      <c r="B2861" s="3" t="n">
        <v>46274</v>
      </c>
      <c r="C2861" t="n">
        <v>19</v>
      </c>
      <c r="D2861" t="inlineStr">
        <is>
          <t>Wednesday</t>
        </is>
      </c>
      <c r="E2861" t="n">
        <v>19</v>
      </c>
      <c r="F2861" t="b">
        <v>1</v>
      </c>
      <c r="H2861" t="b">
        <v>0</v>
      </c>
    </row>
    <row r="2862">
      <c r="A2862" t="inlineStr">
        <is>
          <t>S019</t>
        </is>
      </c>
      <c r="B2862" s="3" t="n">
        <v>46274</v>
      </c>
      <c r="C2862" t="n">
        <v>20</v>
      </c>
      <c r="D2862" t="inlineStr">
        <is>
          <t>Wednesday</t>
        </is>
      </c>
      <c r="E2862" t="n">
        <v>38</v>
      </c>
      <c r="F2862" t="b">
        <v>1</v>
      </c>
      <c r="H2862" t="b">
        <v>0</v>
      </c>
    </row>
    <row r="2863">
      <c r="A2863" t="inlineStr">
        <is>
          <t>S019</t>
        </is>
      </c>
      <c r="B2863" s="3" t="n">
        <v>46274</v>
      </c>
      <c r="C2863" t="n">
        <v>21</v>
      </c>
      <c r="D2863" t="inlineStr">
        <is>
          <t>Wednesday</t>
        </is>
      </c>
      <c r="E2863" t="n">
        <v>28</v>
      </c>
      <c r="F2863" t="b">
        <v>1</v>
      </c>
      <c r="H2863" t="b">
        <v>0</v>
      </c>
    </row>
    <row r="2864">
      <c r="A2864" t="inlineStr">
        <is>
          <t>S019</t>
        </is>
      </c>
      <c r="B2864" s="3" t="n">
        <v>46274</v>
      </c>
      <c r="C2864" t="n">
        <v>22</v>
      </c>
      <c r="D2864" t="inlineStr">
        <is>
          <t>Wednesday</t>
        </is>
      </c>
      <c r="E2864" t="n">
        <v>32</v>
      </c>
      <c r="F2864" t="b">
        <v>0</v>
      </c>
      <c r="H2864" t="b">
        <v>0</v>
      </c>
    </row>
    <row r="2865">
      <c r="A2865" t="inlineStr">
        <is>
          <t>S019</t>
        </is>
      </c>
      <c r="B2865" s="3" t="n">
        <v>46274</v>
      </c>
      <c r="C2865" t="n">
        <v>23</v>
      </c>
      <c r="D2865" t="inlineStr">
        <is>
          <t>Wednesday</t>
        </is>
      </c>
      <c r="E2865" t="n">
        <v>22</v>
      </c>
      <c r="F2865" t="b">
        <v>0</v>
      </c>
      <c r="H2865" t="b">
        <v>0</v>
      </c>
    </row>
    <row r="2866">
      <c r="A2866" t="inlineStr">
        <is>
          <t>S020</t>
        </is>
      </c>
      <c r="B2866" s="3" t="n">
        <v>46274</v>
      </c>
      <c r="C2866" t="n">
        <v>8</v>
      </c>
      <c r="D2866" t="inlineStr">
        <is>
          <t>Wednesday</t>
        </is>
      </c>
      <c r="E2866" t="n">
        <v>16</v>
      </c>
      <c r="F2866" t="b">
        <v>0</v>
      </c>
      <c r="G2866" t="inlineStr">
        <is>
          <t>Light</t>
        </is>
      </c>
      <c r="H2866" t="b">
        <v>0</v>
      </c>
    </row>
    <row r="2867">
      <c r="A2867" t="inlineStr">
        <is>
          <t>S020</t>
        </is>
      </c>
      <c r="B2867" s="3" t="n">
        <v>46274</v>
      </c>
      <c r="C2867" t="n">
        <v>9</v>
      </c>
      <c r="D2867" t="inlineStr">
        <is>
          <t>Wednesday</t>
        </is>
      </c>
      <c r="E2867" t="n">
        <v>10</v>
      </c>
      <c r="F2867" t="b">
        <v>0</v>
      </c>
      <c r="H2867" t="b">
        <v>0</v>
      </c>
    </row>
    <row r="2868">
      <c r="A2868" t="inlineStr">
        <is>
          <t>S020</t>
        </is>
      </c>
      <c r="B2868" s="3" t="n">
        <v>46274</v>
      </c>
      <c r="C2868" t="n">
        <v>10</v>
      </c>
      <c r="D2868" t="inlineStr">
        <is>
          <t>Wednesday</t>
        </is>
      </c>
      <c r="E2868" t="n">
        <v>5</v>
      </c>
      <c r="F2868" t="b">
        <v>0</v>
      </c>
      <c r="H2868" t="b">
        <v>0</v>
      </c>
    </row>
    <row r="2869">
      <c r="A2869" t="inlineStr">
        <is>
          <t>S020</t>
        </is>
      </c>
      <c r="B2869" s="3" t="n">
        <v>46274</v>
      </c>
      <c r="C2869" t="n">
        <v>11</v>
      </c>
      <c r="D2869" t="inlineStr">
        <is>
          <t>Wednesday</t>
        </is>
      </c>
      <c r="E2869" t="n">
        <v>18</v>
      </c>
      <c r="F2869" t="b">
        <v>0</v>
      </c>
      <c r="H2869" t="b">
        <v>0</v>
      </c>
    </row>
    <row r="2870">
      <c r="A2870" t="inlineStr">
        <is>
          <t>S020</t>
        </is>
      </c>
      <c r="B2870" s="3" t="n">
        <v>46274</v>
      </c>
      <c r="C2870" t="n">
        <v>12</v>
      </c>
      <c r="D2870" t="inlineStr">
        <is>
          <t>Wednesday</t>
        </is>
      </c>
      <c r="E2870" t="n">
        <v>12</v>
      </c>
      <c r="F2870" t="b">
        <v>0</v>
      </c>
      <c r="G2870" t="inlineStr">
        <is>
          <t>Light</t>
        </is>
      </c>
      <c r="H2870" t="b">
        <v>0</v>
      </c>
    </row>
    <row r="2871">
      <c r="A2871" t="inlineStr">
        <is>
          <t>S020</t>
        </is>
      </c>
      <c r="B2871" s="3" t="n">
        <v>46274</v>
      </c>
      <c r="C2871" t="n">
        <v>13</v>
      </c>
      <c r="D2871" t="inlineStr">
        <is>
          <t>Wednesday</t>
        </is>
      </c>
      <c r="E2871" t="n">
        <v>15</v>
      </c>
      <c r="F2871" t="b">
        <v>0</v>
      </c>
      <c r="H2871" t="b">
        <v>0</v>
      </c>
    </row>
    <row r="2872">
      <c r="A2872" t="inlineStr">
        <is>
          <t>S020</t>
        </is>
      </c>
      <c r="B2872" s="3" t="n">
        <v>46274</v>
      </c>
      <c r="C2872" t="n">
        <v>14</v>
      </c>
      <c r="D2872" t="inlineStr">
        <is>
          <t>Wednesday</t>
        </is>
      </c>
      <c r="E2872" t="n">
        <v>11</v>
      </c>
      <c r="F2872" t="b">
        <v>0</v>
      </c>
      <c r="H2872" t="b">
        <v>0</v>
      </c>
    </row>
    <row r="2873">
      <c r="A2873" t="inlineStr">
        <is>
          <t>S020</t>
        </is>
      </c>
      <c r="B2873" s="3" t="n">
        <v>46274</v>
      </c>
      <c r="C2873" t="n">
        <v>15</v>
      </c>
      <c r="D2873" t="inlineStr">
        <is>
          <t>Wednesday</t>
        </is>
      </c>
      <c r="E2873" t="n">
        <v>9</v>
      </c>
      <c r="F2873" t="b">
        <v>0</v>
      </c>
      <c r="H2873" t="b">
        <v>0</v>
      </c>
    </row>
    <row r="2874">
      <c r="A2874" t="inlineStr">
        <is>
          <t>S020</t>
        </is>
      </c>
      <c r="B2874" s="3" t="n">
        <v>46274</v>
      </c>
      <c r="C2874" t="n">
        <v>16</v>
      </c>
      <c r="D2874" t="inlineStr">
        <is>
          <t>Wednesday</t>
        </is>
      </c>
      <c r="E2874" t="n">
        <v>11</v>
      </c>
      <c r="F2874" t="b">
        <v>0</v>
      </c>
      <c r="H2874" t="b">
        <v>0</v>
      </c>
    </row>
    <row r="2875">
      <c r="A2875" t="inlineStr">
        <is>
          <t>S020</t>
        </is>
      </c>
      <c r="B2875" s="3" t="n">
        <v>46274</v>
      </c>
      <c r="C2875" t="n">
        <v>17</v>
      </c>
      <c r="D2875" t="inlineStr">
        <is>
          <t>Wednesday</t>
        </is>
      </c>
      <c r="E2875" t="n">
        <v>16</v>
      </c>
      <c r="F2875" t="b">
        <v>0</v>
      </c>
      <c r="H2875" t="b">
        <v>0</v>
      </c>
    </row>
    <row r="2876">
      <c r="A2876" t="inlineStr">
        <is>
          <t>S020</t>
        </is>
      </c>
      <c r="B2876" s="3" t="n">
        <v>46274</v>
      </c>
      <c r="C2876" t="n">
        <v>18</v>
      </c>
      <c r="D2876" t="inlineStr">
        <is>
          <t>Wednesday</t>
        </is>
      </c>
      <c r="E2876" t="n">
        <v>13</v>
      </c>
      <c r="F2876" t="b">
        <v>0</v>
      </c>
      <c r="H2876" t="b">
        <v>0</v>
      </c>
    </row>
    <row r="2877">
      <c r="A2877" t="inlineStr">
        <is>
          <t>S020</t>
        </is>
      </c>
      <c r="B2877" s="3" t="n">
        <v>46274</v>
      </c>
      <c r="C2877" t="n">
        <v>19</v>
      </c>
      <c r="D2877" t="inlineStr">
        <is>
          <t>Wednesday</t>
        </is>
      </c>
      <c r="E2877" t="n">
        <v>16</v>
      </c>
      <c r="F2877" t="b">
        <v>1</v>
      </c>
      <c r="H2877" t="b">
        <v>0</v>
      </c>
    </row>
    <row r="2878">
      <c r="A2878" t="inlineStr">
        <is>
          <t>S020</t>
        </is>
      </c>
      <c r="B2878" s="3" t="n">
        <v>46274</v>
      </c>
      <c r="C2878" t="n">
        <v>20</v>
      </c>
      <c r="D2878" t="inlineStr">
        <is>
          <t>Wednesday</t>
        </is>
      </c>
      <c r="E2878" t="n">
        <v>24</v>
      </c>
      <c r="F2878" t="b">
        <v>1</v>
      </c>
      <c r="H2878" t="b">
        <v>0</v>
      </c>
    </row>
    <row r="2879">
      <c r="A2879" t="inlineStr">
        <is>
          <t>S020</t>
        </is>
      </c>
      <c r="B2879" s="3" t="n">
        <v>46274</v>
      </c>
      <c r="C2879" t="n">
        <v>21</v>
      </c>
      <c r="D2879" t="inlineStr">
        <is>
          <t>Wednesday</t>
        </is>
      </c>
      <c r="E2879" t="n">
        <v>17</v>
      </c>
      <c r="F2879" t="b">
        <v>1</v>
      </c>
      <c r="H2879" t="b">
        <v>0</v>
      </c>
    </row>
    <row r="2880">
      <c r="A2880" t="inlineStr">
        <is>
          <t>S020</t>
        </is>
      </c>
      <c r="B2880" s="3" t="n">
        <v>46274</v>
      </c>
      <c r="C2880" t="n">
        <v>22</v>
      </c>
      <c r="D2880" t="inlineStr">
        <is>
          <t>Wednesday</t>
        </is>
      </c>
      <c r="E2880" t="n">
        <v>13</v>
      </c>
      <c r="F2880" t="b">
        <v>0</v>
      </c>
      <c r="H2880" t="b">
        <v>0</v>
      </c>
    </row>
    <row r="2881">
      <c r="A2881" t="inlineStr">
        <is>
          <t>S020</t>
        </is>
      </c>
      <c r="B2881" s="3" t="n">
        <v>46274</v>
      </c>
      <c r="C2881" t="n">
        <v>23</v>
      </c>
      <c r="D2881" t="inlineStr">
        <is>
          <t>Wednesday</t>
        </is>
      </c>
      <c r="E2881" t="n">
        <v>14</v>
      </c>
      <c r="F2881" t="b">
        <v>0</v>
      </c>
      <c r="H2881" t="b">
        <v>0</v>
      </c>
    </row>
    <row r="2882">
      <c r="A2882" t="inlineStr">
        <is>
          <t>S001</t>
        </is>
      </c>
      <c r="B2882" s="3" t="n">
        <v>46275</v>
      </c>
      <c r="C2882" t="n">
        <v>8</v>
      </c>
      <c r="D2882" t="inlineStr">
        <is>
          <t>Thursday</t>
        </is>
      </c>
      <c r="E2882" t="n">
        <v>15</v>
      </c>
      <c r="F2882" t="b">
        <v>0</v>
      </c>
      <c r="H2882" t="b">
        <v>0</v>
      </c>
    </row>
    <row r="2883">
      <c r="A2883" t="inlineStr">
        <is>
          <t>S001</t>
        </is>
      </c>
      <c r="B2883" s="3" t="n">
        <v>46275</v>
      </c>
      <c r="C2883" t="n">
        <v>9</v>
      </c>
      <c r="D2883" t="inlineStr">
        <is>
          <t>Thursday</t>
        </is>
      </c>
      <c r="E2883" t="n">
        <v>12</v>
      </c>
      <c r="F2883" t="b">
        <v>0</v>
      </c>
      <c r="H2883" t="b">
        <v>0</v>
      </c>
    </row>
    <row r="2884">
      <c r="A2884" t="inlineStr">
        <is>
          <t>S001</t>
        </is>
      </c>
      <c r="B2884" s="3" t="n">
        <v>46275</v>
      </c>
      <c r="C2884" t="n">
        <v>10</v>
      </c>
      <c r="D2884" t="inlineStr">
        <is>
          <t>Thursday</t>
        </is>
      </c>
      <c r="E2884" t="n">
        <v>12</v>
      </c>
      <c r="F2884" t="b">
        <v>0</v>
      </c>
      <c r="H2884" t="b">
        <v>0</v>
      </c>
    </row>
    <row r="2885">
      <c r="A2885" t="inlineStr">
        <is>
          <t>S001</t>
        </is>
      </c>
      <c r="B2885" s="3" t="n">
        <v>46275</v>
      </c>
      <c r="C2885" t="n">
        <v>11</v>
      </c>
      <c r="D2885" t="inlineStr">
        <is>
          <t>Thursday</t>
        </is>
      </c>
      <c r="E2885" t="n">
        <v>20</v>
      </c>
      <c r="F2885" t="b">
        <v>0</v>
      </c>
      <c r="H2885" t="b">
        <v>0</v>
      </c>
    </row>
    <row r="2886">
      <c r="A2886" t="inlineStr">
        <is>
          <t>S001</t>
        </is>
      </c>
      <c r="B2886" s="3" t="n">
        <v>46275</v>
      </c>
      <c r="C2886" t="n">
        <v>12</v>
      </c>
      <c r="D2886" t="inlineStr">
        <is>
          <t>Thursday</t>
        </is>
      </c>
      <c r="E2886" t="n">
        <v>16</v>
      </c>
      <c r="F2886" t="b">
        <v>0</v>
      </c>
      <c r="H2886" t="b">
        <v>0</v>
      </c>
    </row>
    <row r="2887">
      <c r="A2887" t="inlineStr">
        <is>
          <t>S001</t>
        </is>
      </c>
      <c r="B2887" s="3" t="n">
        <v>46275</v>
      </c>
      <c r="C2887" t="n">
        <v>13</v>
      </c>
      <c r="D2887" t="inlineStr">
        <is>
          <t>Thursday</t>
        </is>
      </c>
      <c r="E2887" t="n">
        <v>23</v>
      </c>
      <c r="F2887" t="b">
        <v>0</v>
      </c>
      <c r="G2887" t="inlineStr">
        <is>
          <t>Light</t>
        </is>
      </c>
      <c r="H2887" t="b">
        <v>0</v>
      </c>
    </row>
    <row r="2888">
      <c r="A2888" t="inlineStr">
        <is>
          <t>S001</t>
        </is>
      </c>
      <c r="B2888" s="3" t="n">
        <v>46275</v>
      </c>
      <c r="C2888" t="n">
        <v>14</v>
      </c>
      <c r="D2888" t="inlineStr">
        <is>
          <t>Thursday</t>
        </is>
      </c>
      <c r="E2888" t="n">
        <v>13</v>
      </c>
      <c r="F2888" t="b">
        <v>0</v>
      </c>
      <c r="H2888" t="b">
        <v>0</v>
      </c>
    </row>
    <row r="2889">
      <c r="A2889" t="inlineStr">
        <is>
          <t>S001</t>
        </is>
      </c>
      <c r="B2889" s="3" t="n">
        <v>46275</v>
      </c>
      <c r="C2889" t="n">
        <v>15</v>
      </c>
      <c r="D2889" t="inlineStr">
        <is>
          <t>Thursday</t>
        </is>
      </c>
      <c r="E2889" t="n">
        <v>13</v>
      </c>
      <c r="F2889" t="b">
        <v>0</v>
      </c>
      <c r="H2889" t="b">
        <v>0</v>
      </c>
    </row>
    <row r="2890">
      <c r="A2890" t="inlineStr">
        <is>
          <t>S001</t>
        </is>
      </c>
      <c r="B2890" s="3" t="n">
        <v>46275</v>
      </c>
      <c r="C2890" t="n">
        <v>16</v>
      </c>
      <c r="D2890" t="inlineStr">
        <is>
          <t>Thursday</t>
        </is>
      </c>
      <c r="E2890" t="n">
        <v>14</v>
      </c>
      <c r="F2890" t="b">
        <v>0</v>
      </c>
      <c r="H2890" t="b">
        <v>0</v>
      </c>
    </row>
    <row r="2891">
      <c r="A2891" t="inlineStr">
        <is>
          <t>S001</t>
        </is>
      </c>
      <c r="B2891" s="3" t="n">
        <v>46275</v>
      </c>
      <c r="C2891" t="n">
        <v>17</v>
      </c>
      <c r="D2891" t="inlineStr">
        <is>
          <t>Thursday</t>
        </is>
      </c>
      <c r="E2891" t="n">
        <v>10</v>
      </c>
      <c r="F2891" t="b">
        <v>0</v>
      </c>
      <c r="H2891" t="b">
        <v>0</v>
      </c>
    </row>
    <row r="2892">
      <c r="A2892" t="inlineStr">
        <is>
          <t>S001</t>
        </is>
      </c>
      <c r="B2892" s="3" t="n">
        <v>46275</v>
      </c>
      <c r="C2892" t="n">
        <v>18</v>
      </c>
      <c r="D2892" t="inlineStr">
        <is>
          <t>Thursday</t>
        </is>
      </c>
      <c r="E2892" t="n">
        <v>10</v>
      </c>
      <c r="F2892" t="b">
        <v>0</v>
      </c>
      <c r="H2892" t="b">
        <v>0</v>
      </c>
    </row>
    <row r="2893">
      <c r="A2893" t="inlineStr">
        <is>
          <t>S001</t>
        </is>
      </c>
      <c r="B2893" s="3" t="n">
        <v>46275</v>
      </c>
      <c r="C2893" t="n">
        <v>19</v>
      </c>
      <c r="D2893" t="inlineStr">
        <is>
          <t>Thursday</t>
        </is>
      </c>
      <c r="E2893" t="n">
        <v>29</v>
      </c>
      <c r="F2893" t="b">
        <v>1</v>
      </c>
      <c r="H2893" t="b">
        <v>0</v>
      </c>
    </row>
    <row r="2894">
      <c r="A2894" t="inlineStr">
        <is>
          <t>S001</t>
        </is>
      </c>
      <c r="B2894" s="3" t="n">
        <v>46275</v>
      </c>
      <c r="C2894" t="n">
        <v>20</v>
      </c>
      <c r="D2894" t="inlineStr">
        <is>
          <t>Thursday</t>
        </is>
      </c>
      <c r="E2894" t="n">
        <v>25</v>
      </c>
      <c r="F2894" t="b">
        <v>1</v>
      </c>
      <c r="H2894" t="b">
        <v>0</v>
      </c>
    </row>
    <row r="2895">
      <c r="A2895" t="inlineStr">
        <is>
          <t>S001</t>
        </is>
      </c>
      <c r="B2895" s="3" t="n">
        <v>46275</v>
      </c>
      <c r="C2895" t="n">
        <v>21</v>
      </c>
      <c r="D2895" t="inlineStr">
        <is>
          <t>Thursday</t>
        </is>
      </c>
      <c r="E2895" t="n">
        <v>22</v>
      </c>
      <c r="F2895" t="b">
        <v>1</v>
      </c>
      <c r="G2895" t="inlineStr">
        <is>
          <t>Light</t>
        </is>
      </c>
      <c r="H2895" t="b">
        <v>0</v>
      </c>
    </row>
    <row r="2896">
      <c r="A2896" t="inlineStr">
        <is>
          <t>S001</t>
        </is>
      </c>
      <c r="B2896" s="3" t="n">
        <v>46275</v>
      </c>
      <c r="C2896" t="n">
        <v>22</v>
      </c>
      <c r="D2896" t="inlineStr">
        <is>
          <t>Thursday</t>
        </is>
      </c>
      <c r="E2896" t="n">
        <v>12</v>
      </c>
      <c r="F2896" t="b">
        <v>0</v>
      </c>
      <c r="G2896" t="inlineStr">
        <is>
          <t>Light</t>
        </is>
      </c>
      <c r="H2896" t="b">
        <v>0</v>
      </c>
    </row>
    <row r="2897">
      <c r="A2897" t="inlineStr">
        <is>
          <t>S001</t>
        </is>
      </c>
      <c r="B2897" s="3" t="n">
        <v>46275</v>
      </c>
      <c r="C2897" t="n">
        <v>23</v>
      </c>
      <c r="D2897" t="inlineStr">
        <is>
          <t>Thursday</t>
        </is>
      </c>
      <c r="E2897" t="n">
        <v>13</v>
      </c>
      <c r="F2897" t="b">
        <v>0</v>
      </c>
      <c r="H2897" t="b">
        <v>1</v>
      </c>
    </row>
    <row r="2898">
      <c r="A2898" t="inlineStr">
        <is>
          <t>S002</t>
        </is>
      </c>
      <c r="B2898" s="3" t="n">
        <v>46275</v>
      </c>
      <c r="C2898" t="n">
        <v>8</v>
      </c>
      <c r="D2898" t="inlineStr">
        <is>
          <t>Thursday</t>
        </is>
      </c>
      <c r="E2898" t="n">
        <v>23</v>
      </c>
      <c r="F2898" t="b">
        <v>0</v>
      </c>
      <c r="H2898" t="b">
        <v>0</v>
      </c>
    </row>
    <row r="2899">
      <c r="A2899" t="inlineStr">
        <is>
          <t>S002</t>
        </is>
      </c>
      <c r="B2899" s="3" t="n">
        <v>46275</v>
      </c>
      <c r="C2899" t="n">
        <v>9</v>
      </c>
      <c r="D2899" t="inlineStr">
        <is>
          <t>Thursday</t>
        </is>
      </c>
      <c r="E2899" t="n">
        <v>27</v>
      </c>
      <c r="F2899" t="b">
        <v>0</v>
      </c>
      <c r="H2899" t="b">
        <v>1</v>
      </c>
    </row>
    <row r="2900">
      <c r="A2900" t="inlineStr">
        <is>
          <t>S002</t>
        </is>
      </c>
      <c r="B2900" s="3" t="n">
        <v>46275</v>
      </c>
      <c r="C2900" t="n">
        <v>10</v>
      </c>
      <c r="D2900" t="inlineStr">
        <is>
          <t>Thursday</t>
        </is>
      </c>
      <c r="E2900" t="n">
        <v>12</v>
      </c>
      <c r="F2900" t="b">
        <v>0</v>
      </c>
      <c r="H2900" t="b">
        <v>0</v>
      </c>
    </row>
    <row r="2901">
      <c r="A2901" t="inlineStr">
        <is>
          <t>S002</t>
        </is>
      </c>
      <c r="B2901" s="3" t="n">
        <v>46275</v>
      </c>
      <c r="C2901" t="n">
        <v>11</v>
      </c>
      <c r="D2901" t="inlineStr">
        <is>
          <t>Thursday</t>
        </is>
      </c>
      <c r="E2901" t="n">
        <v>35</v>
      </c>
      <c r="F2901" t="b">
        <v>0</v>
      </c>
      <c r="H2901" t="b">
        <v>0</v>
      </c>
    </row>
    <row r="2902">
      <c r="A2902" t="inlineStr">
        <is>
          <t>S002</t>
        </is>
      </c>
      <c r="B2902" s="3" t="n">
        <v>46275</v>
      </c>
      <c r="C2902" t="n">
        <v>12</v>
      </c>
      <c r="D2902" t="inlineStr">
        <is>
          <t>Thursday</t>
        </is>
      </c>
      <c r="E2902" t="n">
        <v>39</v>
      </c>
      <c r="F2902" t="b">
        <v>0</v>
      </c>
      <c r="H2902" t="b">
        <v>0</v>
      </c>
    </row>
    <row r="2903">
      <c r="A2903" t="inlineStr">
        <is>
          <t>S002</t>
        </is>
      </c>
      <c r="B2903" s="3" t="n">
        <v>46275</v>
      </c>
      <c r="C2903" t="n">
        <v>13</v>
      </c>
      <c r="D2903" t="inlineStr">
        <is>
          <t>Thursday</t>
        </is>
      </c>
      <c r="E2903" t="n">
        <v>38</v>
      </c>
      <c r="F2903" t="b">
        <v>0</v>
      </c>
      <c r="G2903" t="inlineStr">
        <is>
          <t>Light</t>
        </is>
      </c>
      <c r="H2903" t="b">
        <v>0</v>
      </c>
    </row>
    <row r="2904">
      <c r="A2904" t="inlineStr">
        <is>
          <t>S002</t>
        </is>
      </c>
      <c r="B2904" s="3" t="n">
        <v>46275</v>
      </c>
      <c r="C2904" t="n">
        <v>14</v>
      </c>
      <c r="D2904" t="inlineStr">
        <is>
          <t>Thursday</t>
        </is>
      </c>
      <c r="E2904" t="n">
        <v>26</v>
      </c>
      <c r="F2904" t="b">
        <v>0</v>
      </c>
      <c r="H2904" t="b">
        <v>0</v>
      </c>
    </row>
    <row r="2905">
      <c r="A2905" t="inlineStr">
        <is>
          <t>S002</t>
        </is>
      </c>
      <c r="B2905" s="3" t="n">
        <v>46275</v>
      </c>
      <c r="C2905" t="n">
        <v>15</v>
      </c>
      <c r="D2905" t="inlineStr">
        <is>
          <t>Thursday</t>
        </is>
      </c>
      <c r="E2905" t="n">
        <v>25</v>
      </c>
      <c r="F2905" t="b">
        <v>0</v>
      </c>
      <c r="H2905" t="b">
        <v>0</v>
      </c>
    </row>
    <row r="2906">
      <c r="A2906" t="inlineStr">
        <is>
          <t>S002</t>
        </is>
      </c>
      <c r="B2906" s="3" t="n">
        <v>46275</v>
      </c>
      <c r="C2906" t="n">
        <v>16</v>
      </c>
      <c r="D2906" t="inlineStr">
        <is>
          <t>Thursday</t>
        </is>
      </c>
      <c r="E2906" t="n">
        <v>31</v>
      </c>
      <c r="F2906" t="b">
        <v>0</v>
      </c>
      <c r="G2906" t="inlineStr">
        <is>
          <t>Light</t>
        </is>
      </c>
      <c r="H2906" t="b">
        <v>0</v>
      </c>
    </row>
    <row r="2907">
      <c r="A2907" t="inlineStr">
        <is>
          <t>S002</t>
        </is>
      </c>
      <c r="B2907" s="3" t="n">
        <v>46275</v>
      </c>
      <c r="C2907" t="n">
        <v>17</v>
      </c>
      <c r="D2907" t="inlineStr">
        <is>
          <t>Thursday</t>
        </is>
      </c>
      <c r="E2907" t="n">
        <v>37</v>
      </c>
      <c r="F2907" t="b">
        <v>0</v>
      </c>
      <c r="H2907" t="b">
        <v>0</v>
      </c>
    </row>
    <row r="2908">
      <c r="A2908" t="inlineStr">
        <is>
          <t>S002</t>
        </is>
      </c>
      <c r="B2908" s="3" t="n">
        <v>46275</v>
      </c>
      <c r="C2908" t="n">
        <v>18</v>
      </c>
      <c r="D2908" t="inlineStr">
        <is>
          <t>Thursday</t>
        </is>
      </c>
      <c r="E2908" t="n">
        <v>32</v>
      </c>
      <c r="F2908" t="b">
        <v>0</v>
      </c>
      <c r="H2908" t="b">
        <v>1</v>
      </c>
    </row>
    <row r="2909">
      <c r="A2909" t="inlineStr">
        <is>
          <t>S002</t>
        </is>
      </c>
      <c r="B2909" s="3" t="n">
        <v>46275</v>
      </c>
      <c r="C2909" t="n">
        <v>19</v>
      </c>
      <c r="D2909" t="inlineStr">
        <is>
          <t>Thursday</t>
        </is>
      </c>
      <c r="E2909" t="n">
        <v>46</v>
      </c>
      <c r="F2909" t="b">
        <v>1</v>
      </c>
      <c r="H2909" t="b">
        <v>0</v>
      </c>
    </row>
    <row r="2910">
      <c r="A2910" t="inlineStr">
        <is>
          <t>S002</t>
        </is>
      </c>
      <c r="B2910" s="3" t="n">
        <v>46275</v>
      </c>
      <c r="C2910" t="n">
        <v>20</v>
      </c>
      <c r="D2910" t="inlineStr">
        <is>
          <t>Thursday</t>
        </is>
      </c>
      <c r="E2910" t="n">
        <v>57</v>
      </c>
      <c r="F2910" t="b">
        <v>1</v>
      </c>
      <c r="H2910" t="b">
        <v>0</v>
      </c>
    </row>
    <row r="2911">
      <c r="A2911" t="inlineStr">
        <is>
          <t>S002</t>
        </is>
      </c>
      <c r="B2911" s="3" t="n">
        <v>46275</v>
      </c>
      <c r="C2911" t="n">
        <v>21</v>
      </c>
      <c r="D2911" t="inlineStr">
        <is>
          <t>Thursday</t>
        </is>
      </c>
      <c r="E2911" t="n">
        <v>44</v>
      </c>
      <c r="F2911" t="b">
        <v>1</v>
      </c>
      <c r="H2911" t="b">
        <v>0</v>
      </c>
    </row>
    <row r="2912">
      <c r="A2912" t="inlineStr">
        <is>
          <t>S002</t>
        </is>
      </c>
      <c r="B2912" s="3" t="n">
        <v>46275</v>
      </c>
      <c r="C2912" t="n">
        <v>22</v>
      </c>
      <c r="D2912" t="inlineStr">
        <is>
          <t>Thursday</t>
        </is>
      </c>
      <c r="E2912" t="n">
        <v>31</v>
      </c>
      <c r="F2912" t="b">
        <v>0</v>
      </c>
      <c r="H2912" t="b">
        <v>0</v>
      </c>
    </row>
    <row r="2913">
      <c r="A2913" t="inlineStr">
        <is>
          <t>S002</t>
        </is>
      </c>
      <c r="B2913" s="3" t="n">
        <v>46275</v>
      </c>
      <c r="C2913" t="n">
        <v>23</v>
      </c>
      <c r="D2913" t="inlineStr">
        <is>
          <t>Thursday</t>
        </is>
      </c>
      <c r="E2913" t="n">
        <v>34</v>
      </c>
      <c r="F2913" t="b">
        <v>0</v>
      </c>
      <c r="G2913" t="inlineStr">
        <is>
          <t>Light</t>
        </is>
      </c>
      <c r="H2913" t="b">
        <v>0</v>
      </c>
    </row>
    <row r="2914">
      <c r="A2914" t="inlineStr">
        <is>
          <t>S003</t>
        </is>
      </c>
      <c r="B2914" s="3" t="n">
        <v>46275</v>
      </c>
      <c r="C2914" t="n">
        <v>8</v>
      </c>
      <c r="D2914" t="inlineStr">
        <is>
          <t>Thursday</t>
        </is>
      </c>
      <c r="E2914" t="n">
        <v>24</v>
      </c>
      <c r="F2914" t="b">
        <v>0</v>
      </c>
      <c r="H2914" t="b">
        <v>0</v>
      </c>
    </row>
    <row r="2915">
      <c r="A2915" t="inlineStr">
        <is>
          <t>S003</t>
        </is>
      </c>
      <c r="B2915" s="3" t="n">
        <v>46275</v>
      </c>
      <c r="C2915" t="n">
        <v>9</v>
      </c>
      <c r="D2915" t="inlineStr">
        <is>
          <t>Thursday</t>
        </is>
      </c>
      <c r="E2915" t="n">
        <v>31</v>
      </c>
      <c r="F2915" t="b">
        <v>0</v>
      </c>
      <c r="H2915" t="b">
        <v>0</v>
      </c>
    </row>
    <row r="2916">
      <c r="A2916" t="inlineStr">
        <is>
          <t>S003</t>
        </is>
      </c>
      <c r="B2916" s="3" t="n">
        <v>46275</v>
      </c>
      <c r="C2916" t="n">
        <v>10</v>
      </c>
      <c r="D2916" t="inlineStr">
        <is>
          <t>Thursday</t>
        </is>
      </c>
      <c r="E2916" t="n">
        <v>30</v>
      </c>
      <c r="F2916" t="b">
        <v>0</v>
      </c>
      <c r="H2916" t="b">
        <v>0</v>
      </c>
    </row>
    <row r="2917">
      <c r="A2917" t="inlineStr">
        <is>
          <t>S003</t>
        </is>
      </c>
      <c r="B2917" s="3" t="n">
        <v>46275</v>
      </c>
      <c r="C2917" t="n">
        <v>11</v>
      </c>
      <c r="D2917" t="inlineStr">
        <is>
          <t>Thursday</t>
        </is>
      </c>
      <c r="E2917" t="n">
        <v>42</v>
      </c>
      <c r="F2917" t="b">
        <v>0</v>
      </c>
      <c r="H2917" t="b">
        <v>0</v>
      </c>
    </row>
    <row r="2918">
      <c r="A2918" t="inlineStr">
        <is>
          <t>S003</t>
        </is>
      </c>
      <c r="B2918" s="3" t="n">
        <v>46275</v>
      </c>
      <c r="C2918" t="n">
        <v>12</v>
      </c>
      <c r="D2918" t="inlineStr">
        <is>
          <t>Thursday</t>
        </is>
      </c>
      <c r="E2918" t="n">
        <v>34</v>
      </c>
      <c r="F2918" t="b">
        <v>0</v>
      </c>
      <c r="H2918" t="b">
        <v>0</v>
      </c>
    </row>
    <row r="2919">
      <c r="A2919" t="inlineStr">
        <is>
          <t>S003</t>
        </is>
      </c>
      <c r="B2919" s="3" t="n">
        <v>46275</v>
      </c>
      <c r="C2919" t="n">
        <v>13</v>
      </c>
      <c r="D2919" t="inlineStr">
        <is>
          <t>Thursday</t>
        </is>
      </c>
      <c r="E2919" t="n">
        <v>37</v>
      </c>
      <c r="F2919" t="b">
        <v>0</v>
      </c>
      <c r="G2919" t="inlineStr">
        <is>
          <t>Light</t>
        </is>
      </c>
      <c r="H2919" t="b">
        <v>0</v>
      </c>
    </row>
    <row r="2920">
      <c r="A2920" t="inlineStr">
        <is>
          <t>S003</t>
        </is>
      </c>
      <c r="B2920" s="3" t="n">
        <v>46275</v>
      </c>
      <c r="C2920" t="n">
        <v>14</v>
      </c>
      <c r="D2920" t="inlineStr">
        <is>
          <t>Thursday</t>
        </is>
      </c>
      <c r="E2920" t="n">
        <v>29</v>
      </c>
      <c r="F2920" t="b">
        <v>0</v>
      </c>
      <c r="H2920" t="b">
        <v>0</v>
      </c>
    </row>
    <row r="2921">
      <c r="A2921" t="inlineStr">
        <is>
          <t>S003</t>
        </is>
      </c>
      <c r="B2921" s="3" t="n">
        <v>46275</v>
      </c>
      <c r="C2921" t="n">
        <v>15</v>
      </c>
      <c r="D2921" t="inlineStr">
        <is>
          <t>Thursday</t>
        </is>
      </c>
      <c r="E2921" t="n">
        <v>29</v>
      </c>
      <c r="F2921" t="b">
        <v>0</v>
      </c>
      <c r="G2921" t="inlineStr">
        <is>
          <t>Heavy</t>
        </is>
      </c>
      <c r="H2921" t="b">
        <v>0</v>
      </c>
    </row>
    <row r="2922">
      <c r="A2922" t="inlineStr">
        <is>
          <t>S003</t>
        </is>
      </c>
      <c r="B2922" s="3" t="n">
        <v>46275</v>
      </c>
      <c r="C2922" t="n">
        <v>16</v>
      </c>
      <c r="D2922" t="inlineStr">
        <is>
          <t>Thursday</t>
        </is>
      </c>
      <c r="E2922" t="n">
        <v>48</v>
      </c>
      <c r="F2922" t="b">
        <v>0</v>
      </c>
      <c r="H2922" t="b">
        <v>0</v>
      </c>
    </row>
    <row r="2923">
      <c r="A2923" t="inlineStr">
        <is>
          <t>S003</t>
        </is>
      </c>
      <c r="B2923" s="3" t="n">
        <v>46275</v>
      </c>
      <c r="C2923" t="n">
        <v>17</v>
      </c>
      <c r="D2923" t="inlineStr">
        <is>
          <t>Thursday</t>
        </is>
      </c>
      <c r="E2923" t="n">
        <v>47</v>
      </c>
      <c r="F2923" t="b">
        <v>0</v>
      </c>
      <c r="H2923" t="b">
        <v>0</v>
      </c>
    </row>
    <row r="2924">
      <c r="A2924" t="inlineStr">
        <is>
          <t>S003</t>
        </is>
      </c>
      <c r="B2924" s="3" t="n">
        <v>46275</v>
      </c>
      <c r="C2924" t="n">
        <v>18</v>
      </c>
      <c r="D2924" t="inlineStr">
        <is>
          <t>Thursday</t>
        </is>
      </c>
      <c r="E2924" t="n">
        <v>46</v>
      </c>
      <c r="F2924" t="b">
        <v>0</v>
      </c>
      <c r="H2924" t="b">
        <v>0</v>
      </c>
    </row>
    <row r="2925">
      <c r="A2925" t="inlineStr">
        <is>
          <t>S003</t>
        </is>
      </c>
      <c r="B2925" s="3" t="n">
        <v>46275</v>
      </c>
      <c r="C2925" t="n">
        <v>19</v>
      </c>
      <c r="D2925" t="inlineStr">
        <is>
          <t>Thursday</t>
        </is>
      </c>
      <c r="E2925" t="n">
        <v>79</v>
      </c>
      <c r="F2925" t="b">
        <v>1</v>
      </c>
      <c r="H2925" t="b">
        <v>0</v>
      </c>
    </row>
    <row r="2926">
      <c r="A2926" t="inlineStr">
        <is>
          <t>S003</t>
        </is>
      </c>
      <c r="B2926" s="3" t="n">
        <v>46275</v>
      </c>
      <c r="C2926" t="n">
        <v>20</v>
      </c>
      <c r="D2926" t="inlineStr">
        <is>
          <t>Thursday</t>
        </is>
      </c>
      <c r="E2926" t="n">
        <v>70</v>
      </c>
      <c r="F2926" t="b">
        <v>1</v>
      </c>
      <c r="H2926" t="b">
        <v>0</v>
      </c>
    </row>
    <row r="2927">
      <c r="A2927" t="inlineStr">
        <is>
          <t>S003</t>
        </is>
      </c>
      <c r="B2927" s="3" t="n">
        <v>46275</v>
      </c>
      <c r="C2927" t="n">
        <v>21</v>
      </c>
      <c r="D2927" t="inlineStr">
        <is>
          <t>Thursday</t>
        </is>
      </c>
      <c r="E2927" t="n">
        <v>69</v>
      </c>
      <c r="F2927" t="b">
        <v>1</v>
      </c>
      <c r="H2927" t="b">
        <v>0</v>
      </c>
    </row>
    <row r="2928">
      <c r="A2928" t="inlineStr">
        <is>
          <t>S003</t>
        </is>
      </c>
      <c r="B2928" s="3" t="n">
        <v>46275</v>
      </c>
      <c r="C2928" t="n">
        <v>22</v>
      </c>
      <c r="D2928" t="inlineStr">
        <is>
          <t>Thursday</t>
        </is>
      </c>
      <c r="E2928" t="n">
        <v>42</v>
      </c>
      <c r="F2928" t="b">
        <v>0</v>
      </c>
      <c r="G2928" t="inlineStr">
        <is>
          <t>Light</t>
        </is>
      </c>
      <c r="H2928" t="b">
        <v>0</v>
      </c>
    </row>
    <row r="2929">
      <c r="A2929" t="inlineStr">
        <is>
          <t>S003</t>
        </is>
      </c>
      <c r="B2929" s="3" t="n">
        <v>46275</v>
      </c>
      <c r="C2929" t="n">
        <v>23</v>
      </c>
      <c r="D2929" t="inlineStr">
        <is>
          <t>Thursday</t>
        </is>
      </c>
      <c r="E2929" t="n">
        <v>39</v>
      </c>
      <c r="F2929" t="b">
        <v>0</v>
      </c>
      <c r="H2929" t="b">
        <v>0</v>
      </c>
    </row>
    <row r="2930">
      <c r="A2930" t="inlineStr">
        <is>
          <t>S004</t>
        </is>
      </c>
      <c r="B2930" s="3" t="n">
        <v>46275</v>
      </c>
      <c r="C2930" t="n">
        <v>8</v>
      </c>
      <c r="D2930" t="inlineStr">
        <is>
          <t>Thursday</t>
        </is>
      </c>
      <c r="E2930" t="n">
        <v>43</v>
      </c>
      <c r="F2930" t="b">
        <v>0</v>
      </c>
      <c r="H2930" t="b">
        <v>0</v>
      </c>
    </row>
    <row r="2931">
      <c r="A2931" t="inlineStr">
        <is>
          <t>S004</t>
        </is>
      </c>
      <c r="B2931" s="3" t="n">
        <v>46275</v>
      </c>
      <c r="C2931" t="n">
        <v>9</v>
      </c>
      <c r="D2931" t="inlineStr">
        <is>
          <t>Thursday</t>
        </is>
      </c>
      <c r="E2931" t="n">
        <v>36</v>
      </c>
      <c r="F2931" t="b">
        <v>0</v>
      </c>
      <c r="H2931" t="b">
        <v>0</v>
      </c>
    </row>
    <row r="2932">
      <c r="A2932" t="inlineStr">
        <is>
          <t>S004</t>
        </is>
      </c>
      <c r="B2932" s="3" t="n">
        <v>46275</v>
      </c>
      <c r="C2932" t="n">
        <v>10</v>
      </c>
      <c r="D2932" t="inlineStr">
        <is>
          <t>Thursday</t>
        </is>
      </c>
      <c r="E2932" t="n">
        <v>24</v>
      </c>
      <c r="F2932" t="b">
        <v>0</v>
      </c>
      <c r="G2932" t="inlineStr">
        <is>
          <t>Light</t>
        </is>
      </c>
      <c r="H2932" t="b">
        <v>0</v>
      </c>
    </row>
    <row r="2933">
      <c r="A2933" t="inlineStr">
        <is>
          <t>S004</t>
        </is>
      </c>
      <c r="B2933" s="3" t="n">
        <v>46275</v>
      </c>
      <c r="C2933" t="n">
        <v>11</v>
      </c>
      <c r="D2933" t="inlineStr">
        <is>
          <t>Thursday</t>
        </is>
      </c>
      <c r="E2933" t="n">
        <v>49</v>
      </c>
      <c r="F2933" t="b">
        <v>0</v>
      </c>
      <c r="H2933" t="b">
        <v>0</v>
      </c>
    </row>
    <row r="2934">
      <c r="A2934" t="inlineStr">
        <is>
          <t>S004</t>
        </is>
      </c>
      <c r="B2934" s="3" t="n">
        <v>46275</v>
      </c>
      <c r="C2934" t="n">
        <v>12</v>
      </c>
      <c r="D2934" t="inlineStr">
        <is>
          <t>Thursday</t>
        </is>
      </c>
      <c r="E2934" t="n">
        <v>39</v>
      </c>
      <c r="F2934" t="b">
        <v>0</v>
      </c>
      <c r="G2934" t="inlineStr">
        <is>
          <t>Light</t>
        </is>
      </c>
      <c r="H2934" t="b">
        <v>0</v>
      </c>
    </row>
    <row r="2935">
      <c r="A2935" t="inlineStr">
        <is>
          <t>S004</t>
        </is>
      </c>
      <c r="B2935" s="3" t="n">
        <v>46275</v>
      </c>
      <c r="C2935" t="n">
        <v>13</v>
      </c>
      <c r="D2935" t="inlineStr">
        <is>
          <t>Thursday</t>
        </is>
      </c>
      <c r="E2935" t="n">
        <v>47</v>
      </c>
      <c r="F2935" t="b">
        <v>0</v>
      </c>
      <c r="H2935" t="b">
        <v>0</v>
      </c>
    </row>
    <row r="2936">
      <c r="A2936" t="inlineStr">
        <is>
          <t>S004</t>
        </is>
      </c>
      <c r="B2936" s="3" t="n">
        <v>46275</v>
      </c>
      <c r="C2936" t="n">
        <v>14</v>
      </c>
      <c r="D2936" t="inlineStr">
        <is>
          <t>Thursday</t>
        </is>
      </c>
      <c r="E2936" t="n">
        <v>30</v>
      </c>
      <c r="F2936" t="b">
        <v>0</v>
      </c>
      <c r="G2936" t="inlineStr">
        <is>
          <t>Light</t>
        </is>
      </c>
      <c r="H2936" t="b">
        <v>0</v>
      </c>
    </row>
    <row r="2937">
      <c r="A2937" t="inlineStr">
        <is>
          <t>S004</t>
        </is>
      </c>
      <c r="B2937" s="3" t="n">
        <v>46275</v>
      </c>
      <c r="C2937" t="n">
        <v>15</v>
      </c>
      <c r="D2937" t="inlineStr">
        <is>
          <t>Thursday</t>
        </is>
      </c>
      <c r="E2937" t="n">
        <v>25</v>
      </c>
      <c r="F2937" t="b">
        <v>0</v>
      </c>
      <c r="H2937" t="b">
        <v>0</v>
      </c>
    </row>
    <row r="2938">
      <c r="A2938" t="inlineStr">
        <is>
          <t>S004</t>
        </is>
      </c>
      <c r="B2938" s="3" t="n">
        <v>46275</v>
      </c>
      <c r="C2938" t="n">
        <v>16</v>
      </c>
      <c r="D2938" t="inlineStr">
        <is>
          <t>Thursday</t>
        </is>
      </c>
      <c r="E2938" t="n">
        <v>43</v>
      </c>
      <c r="F2938" t="b">
        <v>0</v>
      </c>
      <c r="G2938" t="inlineStr">
        <is>
          <t>Heavy</t>
        </is>
      </c>
      <c r="H2938" t="b">
        <v>0</v>
      </c>
    </row>
    <row r="2939">
      <c r="A2939" t="inlineStr">
        <is>
          <t>S004</t>
        </is>
      </c>
      <c r="B2939" s="3" t="n">
        <v>46275</v>
      </c>
      <c r="C2939" t="n">
        <v>17</v>
      </c>
      <c r="D2939" t="inlineStr">
        <is>
          <t>Thursday</t>
        </is>
      </c>
      <c r="E2939" t="n">
        <v>38</v>
      </c>
      <c r="F2939" t="b">
        <v>0</v>
      </c>
      <c r="H2939" t="b">
        <v>0</v>
      </c>
    </row>
    <row r="2940">
      <c r="A2940" t="inlineStr">
        <is>
          <t>S004</t>
        </is>
      </c>
      <c r="B2940" s="3" t="n">
        <v>46275</v>
      </c>
      <c r="C2940" t="n">
        <v>18</v>
      </c>
      <c r="D2940" t="inlineStr">
        <is>
          <t>Thursday</t>
        </is>
      </c>
      <c r="E2940" t="n">
        <v>42</v>
      </c>
      <c r="F2940" t="b">
        <v>0</v>
      </c>
      <c r="H2940" t="b">
        <v>0</v>
      </c>
    </row>
    <row r="2941">
      <c r="A2941" t="inlineStr">
        <is>
          <t>S004</t>
        </is>
      </c>
      <c r="B2941" s="3" t="n">
        <v>46275</v>
      </c>
      <c r="C2941" t="n">
        <v>19</v>
      </c>
      <c r="D2941" t="inlineStr">
        <is>
          <t>Thursday</t>
        </is>
      </c>
      <c r="E2941" t="n">
        <v>66</v>
      </c>
      <c r="F2941" t="b">
        <v>1</v>
      </c>
      <c r="H2941" t="b">
        <v>0</v>
      </c>
    </row>
    <row r="2942">
      <c r="A2942" t="inlineStr">
        <is>
          <t>S004</t>
        </is>
      </c>
      <c r="B2942" s="3" t="n">
        <v>46275</v>
      </c>
      <c r="C2942" t="n">
        <v>20</v>
      </c>
      <c r="D2942" t="inlineStr">
        <is>
          <t>Thursday</t>
        </is>
      </c>
      <c r="E2942" t="n">
        <v>63</v>
      </c>
      <c r="F2942" t="b">
        <v>1</v>
      </c>
      <c r="H2942" t="b">
        <v>0</v>
      </c>
    </row>
    <row r="2943">
      <c r="A2943" t="inlineStr">
        <is>
          <t>S004</t>
        </is>
      </c>
      <c r="B2943" s="3" t="n">
        <v>46275</v>
      </c>
      <c r="C2943" t="n">
        <v>21</v>
      </c>
      <c r="D2943" t="inlineStr">
        <is>
          <t>Thursday</t>
        </is>
      </c>
      <c r="E2943" t="n">
        <v>69</v>
      </c>
      <c r="F2943" t="b">
        <v>1</v>
      </c>
      <c r="H2943" t="b">
        <v>0</v>
      </c>
    </row>
    <row r="2944">
      <c r="A2944" t="inlineStr">
        <is>
          <t>S004</t>
        </is>
      </c>
      <c r="B2944" s="3" t="n">
        <v>46275</v>
      </c>
      <c r="C2944" t="n">
        <v>22</v>
      </c>
      <c r="D2944" t="inlineStr">
        <is>
          <t>Thursday</t>
        </is>
      </c>
      <c r="E2944" t="n">
        <v>42</v>
      </c>
      <c r="F2944" t="b">
        <v>0</v>
      </c>
      <c r="G2944" t="inlineStr">
        <is>
          <t>Heavy</t>
        </is>
      </c>
      <c r="H2944" t="b">
        <v>0</v>
      </c>
    </row>
    <row r="2945">
      <c r="A2945" t="inlineStr">
        <is>
          <t>S004</t>
        </is>
      </c>
      <c r="B2945" s="3" t="n">
        <v>46275</v>
      </c>
      <c r="C2945" t="n">
        <v>23</v>
      </c>
      <c r="D2945" t="inlineStr">
        <is>
          <t>Thursday</t>
        </is>
      </c>
      <c r="E2945" t="n">
        <v>51</v>
      </c>
      <c r="F2945" t="b">
        <v>0</v>
      </c>
      <c r="G2945" t="inlineStr">
        <is>
          <t>Light</t>
        </is>
      </c>
      <c r="H2945" t="b">
        <v>0</v>
      </c>
    </row>
    <row r="2946">
      <c r="A2946" t="inlineStr">
        <is>
          <t>S005</t>
        </is>
      </c>
      <c r="B2946" s="3" t="n">
        <v>46275</v>
      </c>
      <c r="C2946" t="n">
        <v>8</v>
      </c>
      <c r="D2946" t="inlineStr">
        <is>
          <t>Thursday</t>
        </is>
      </c>
      <c r="E2946" t="n">
        <v>9</v>
      </c>
      <c r="F2946" t="b">
        <v>0</v>
      </c>
      <c r="G2946" t="inlineStr">
        <is>
          <t>Light</t>
        </is>
      </c>
      <c r="H2946" t="b">
        <v>0</v>
      </c>
    </row>
    <row r="2947">
      <c r="A2947" t="inlineStr">
        <is>
          <t>S005</t>
        </is>
      </c>
      <c r="B2947" s="3" t="n">
        <v>46275</v>
      </c>
      <c r="C2947" t="n">
        <v>9</v>
      </c>
      <c r="D2947" t="inlineStr">
        <is>
          <t>Thursday</t>
        </is>
      </c>
      <c r="E2947" t="n">
        <v>7</v>
      </c>
      <c r="F2947" t="b">
        <v>0</v>
      </c>
      <c r="H2947" t="b">
        <v>0</v>
      </c>
    </row>
    <row r="2948">
      <c r="A2948" t="inlineStr">
        <is>
          <t>S005</t>
        </is>
      </c>
      <c r="B2948" s="3" t="n">
        <v>46275</v>
      </c>
      <c r="C2948" t="n">
        <v>10</v>
      </c>
      <c r="D2948" t="inlineStr">
        <is>
          <t>Thursday</t>
        </is>
      </c>
      <c r="E2948" t="n">
        <v>11</v>
      </c>
      <c r="F2948" t="b">
        <v>0</v>
      </c>
      <c r="H2948" t="b">
        <v>0</v>
      </c>
    </row>
    <row r="2949">
      <c r="A2949" t="inlineStr">
        <is>
          <t>S005</t>
        </is>
      </c>
      <c r="B2949" s="3" t="n">
        <v>46275</v>
      </c>
      <c r="C2949" t="n">
        <v>11</v>
      </c>
      <c r="D2949" t="inlineStr">
        <is>
          <t>Thursday</t>
        </is>
      </c>
      <c r="E2949" t="n">
        <v>9</v>
      </c>
      <c r="F2949" t="b">
        <v>0</v>
      </c>
      <c r="H2949" t="b">
        <v>0</v>
      </c>
    </row>
    <row r="2950">
      <c r="A2950" t="inlineStr">
        <is>
          <t>S005</t>
        </is>
      </c>
      <c r="B2950" s="3" t="n">
        <v>46275</v>
      </c>
      <c r="C2950" t="n">
        <v>12</v>
      </c>
      <c r="D2950" t="inlineStr">
        <is>
          <t>Thursday</t>
        </is>
      </c>
      <c r="E2950" t="n">
        <v>9</v>
      </c>
      <c r="F2950" t="b">
        <v>0</v>
      </c>
      <c r="H2950" t="b">
        <v>0</v>
      </c>
    </row>
    <row r="2951">
      <c r="A2951" t="inlineStr">
        <is>
          <t>S005</t>
        </is>
      </c>
      <c r="B2951" s="3" t="n">
        <v>46275</v>
      </c>
      <c r="C2951" t="n">
        <v>13</v>
      </c>
      <c r="D2951" t="inlineStr">
        <is>
          <t>Thursday</t>
        </is>
      </c>
      <c r="E2951" t="n">
        <v>12</v>
      </c>
      <c r="F2951" t="b">
        <v>0</v>
      </c>
      <c r="G2951" t="inlineStr">
        <is>
          <t>Light</t>
        </is>
      </c>
      <c r="H2951" t="b">
        <v>0</v>
      </c>
    </row>
    <row r="2952">
      <c r="A2952" t="inlineStr">
        <is>
          <t>S005</t>
        </is>
      </c>
      <c r="B2952" s="3" t="n">
        <v>46275</v>
      </c>
      <c r="C2952" t="n">
        <v>14</v>
      </c>
      <c r="D2952" t="inlineStr">
        <is>
          <t>Thursday</t>
        </is>
      </c>
      <c r="E2952" t="n">
        <v>6</v>
      </c>
      <c r="F2952" t="b">
        <v>0</v>
      </c>
      <c r="H2952" t="b">
        <v>0</v>
      </c>
    </row>
    <row r="2953">
      <c r="A2953" t="inlineStr">
        <is>
          <t>S005</t>
        </is>
      </c>
      <c r="B2953" s="3" t="n">
        <v>46275</v>
      </c>
      <c r="C2953" t="n">
        <v>15</v>
      </c>
      <c r="D2953" t="inlineStr">
        <is>
          <t>Thursday</t>
        </is>
      </c>
      <c r="E2953" t="n">
        <v>5</v>
      </c>
      <c r="F2953" t="b">
        <v>0</v>
      </c>
      <c r="H2953" t="b">
        <v>0</v>
      </c>
    </row>
    <row r="2954">
      <c r="A2954" t="inlineStr">
        <is>
          <t>S005</t>
        </is>
      </c>
      <c r="B2954" s="3" t="n">
        <v>46275</v>
      </c>
      <c r="C2954" t="n">
        <v>16</v>
      </c>
      <c r="D2954" t="inlineStr">
        <is>
          <t>Thursday</t>
        </is>
      </c>
      <c r="E2954" t="n">
        <v>14</v>
      </c>
      <c r="F2954" t="b">
        <v>0</v>
      </c>
      <c r="H2954" t="b">
        <v>0</v>
      </c>
    </row>
    <row r="2955">
      <c r="A2955" t="inlineStr">
        <is>
          <t>S005</t>
        </is>
      </c>
      <c r="B2955" s="3" t="n">
        <v>46275</v>
      </c>
      <c r="C2955" t="n">
        <v>17</v>
      </c>
      <c r="D2955" t="inlineStr">
        <is>
          <t>Thursday</t>
        </is>
      </c>
      <c r="E2955" t="n">
        <v>13</v>
      </c>
      <c r="F2955" t="b">
        <v>0</v>
      </c>
      <c r="H2955" t="b">
        <v>0</v>
      </c>
    </row>
    <row r="2956">
      <c r="A2956" t="inlineStr">
        <is>
          <t>S005</t>
        </is>
      </c>
      <c r="B2956" s="3" t="n">
        <v>46275</v>
      </c>
      <c r="C2956" t="n">
        <v>18</v>
      </c>
      <c r="D2956" t="inlineStr">
        <is>
          <t>Thursday</t>
        </is>
      </c>
      <c r="E2956" t="n">
        <v>6</v>
      </c>
      <c r="F2956" t="b">
        <v>0</v>
      </c>
      <c r="H2956" t="b">
        <v>0</v>
      </c>
    </row>
    <row r="2957">
      <c r="A2957" t="inlineStr">
        <is>
          <t>S005</t>
        </is>
      </c>
      <c r="B2957" s="3" t="n">
        <v>46275</v>
      </c>
      <c r="C2957" t="n">
        <v>19</v>
      </c>
      <c r="D2957" t="inlineStr">
        <is>
          <t>Thursday</t>
        </is>
      </c>
      <c r="E2957" t="n">
        <v>16</v>
      </c>
      <c r="F2957" t="b">
        <v>1</v>
      </c>
      <c r="H2957" t="b">
        <v>0</v>
      </c>
    </row>
    <row r="2958">
      <c r="A2958" t="inlineStr">
        <is>
          <t>S005</t>
        </is>
      </c>
      <c r="B2958" s="3" t="n">
        <v>46275</v>
      </c>
      <c r="C2958" t="n">
        <v>20</v>
      </c>
      <c r="D2958" t="inlineStr">
        <is>
          <t>Thursday</t>
        </is>
      </c>
      <c r="E2958" t="n">
        <v>14</v>
      </c>
      <c r="F2958" t="b">
        <v>1</v>
      </c>
      <c r="H2958" t="b">
        <v>0</v>
      </c>
    </row>
    <row r="2959">
      <c r="A2959" t="inlineStr">
        <is>
          <t>S005</t>
        </is>
      </c>
      <c r="B2959" s="3" t="n">
        <v>46275</v>
      </c>
      <c r="C2959" t="n">
        <v>21</v>
      </c>
      <c r="D2959" t="inlineStr">
        <is>
          <t>Thursday</t>
        </is>
      </c>
      <c r="E2959" t="n">
        <v>24</v>
      </c>
      <c r="F2959" t="b">
        <v>1</v>
      </c>
      <c r="H2959" t="b">
        <v>0</v>
      </c>
    </row>
    <row r="2960">
      <c r="A2960" t="inlineStr">
        <is>
          <t>S005</t>
        </is>
      </c>
      <c r="B2960" s="3" t="n">
        <v>46275</v>
      </c>
      <c r="C2960" t="n">
        <v>22</v>
      </c>
      <c r="D2960" t="inlineStr">
        <is>
          <t>Thursday</t>
        </is>
      </c>
      <c r="E2960" t="n">
        <v>11</v>
      </c>
      <c r="F2960" t="b">
        <v>0</v>
      </c>
      <c r="H2960" t="b">
        <v>0</v>
      </c>
    </row>
    <row r="2961">
      <c r="A2961" t="inlineStr">
        <is>
          <t>S005</t>
        </is>
      </c>
      <c r="B2961" s="3" t="n">
        <v>46275</v>
      </c>
      <c r="C2961" t="n">
        <v>23</v>
      </c>
      <c r="D2961" t="inlineStr">
        <is>
          <t>Thursday</t>
        </is>
      </c>
      <c r="E2961" t="n">
        <v>13</v>
      </c>
      <c r="F2961" t="b">
        <v>0</v>
      </c>
      <c r="G2961" t="inlineStr">
        <is>
          <t>Light</t>
        </is>
      </c>
      <c r="H2961" t="b">
        <v>1</v>
      </c>
    </row>
    <row r="2962">
      <c r="A2962" t="inlineStr">
        <is>
          <t>S006</t>
        </is>
      </c>
      <c r="B2962" s="3" t="n">
        <v>46275</v>
      </c>
      <c r="C2962" t="n">
        <v>8</v>
      </c>
      <c r="D2962" t="inlineStr">
        <is>
          <t>Thursday</t>
        </is>
      </c>
      <c r="E2962" t="n">
        <v>14</v>
      </c>
      <c r="F2962" t="b">
        <v>0</v>
      </c>
      <c r="H2962" t="b">
        <v>0</v>
      </c>
    </row>
    <row r="2963">
      <c r="A2963" t="inlineStr">
        <is>
          <t>S006</t>
        </is>
      </c>
      <c r="B2963" s="3" t="n">
        <v>46275</v>
      </c>
      <c r="C2963" t="n">
        <v>9</v>
      </c>
      <c r="D2963" t="inlineStr">
        <is>
          <t>Thursday</t>
        </is>
      </c>
      <c r="E2963" t="n">
        <v>15</v>
      </c>
      <c r="F2963" t="b">
        <v>0</v>
      </c>
      <c r="H2963" t="b">
        <v>0</v>
      </c>
    </row>
    <row r="2964">
      <c r="A2964" t="inlineStr">
        <is>
          <t>S006</t>
        </is>
      </c>
      <c r="B2964" s="3" t="n">
        <v>46275</v>
      </c>
      <c r="C2964" t="n">
        <v>10</v>
      </c>
      <c r="D2964" t="inlineStr">
        <is>
          <t>Thursday</t>
        </is>
      </c>
      <c r="E2964" t="n">
        <v>30</v>
      </c>
      <c r="F2964" t="b">
        <v>0</v>
      </c>
      <c r="G2964" t="inlineStr">
        <is>
          <t>Heavy</t>
        </is>
      </c>
      <c r="H2964" t="b">
        <v>0</v>
      </c>
    </row>
    <row r="2965">
      <c r="A2965" t="inlineStr">
        <is>
          <t>S006</t>
        </is>
      </c>
      <c r="B2965" s="3" t="n">
        <v>46275</v>
      </c>
      <c r="C2965" t="n">
        <v>11</v>
      </c>
      <c r="D2965" t="inlineStr">
        <is>
          <t>Thursday</t>
        </is>
      </c>
      <c r="E2965" t="n">
        <v>31</v>
      </c>
      <c r="F2965" t="b">
        <v>0</v>
      </c>
      <c r="H2965" t="b">
        <v>0</v>
      </c>
    </row>
    <row r="2966">
      <c r="A2966" t="inlineStr">
        <is>
          <t>S006</t>
        </is>
      </c>
      <c r="B2966" s="3" t="n">
        <v>46275</v>
      </c>
      <c r="C2966" t="n">
        <v>12</v>
      </c>
      <c r="D2966" t="inlineStr">
        <is>
          <t>Thursday</t>
        </is>
      </c>
      <c r="E2966" t="n">
        <v>24</v>
      </c>
      <c r="F2966" t="b">
        <v>0</v>
      </c>
      <c r="H2966" t="b">
        <v>0</v>
      </c>
    </row>
    <row r="2967">
      <c r="A2967" t="inlineStr">
        <is>
          <t>S006</t>
        </is>
      </c>
      <c r="B2967" s="3" t="n">
        <v>46275</v>
      </c>
      <c r="C2967" t="n">
        <v>13</v>
      </c>
      <c r="D2967" t="inlineStr">
        <is>
          <t>Thursday</t>
        </is>
      </c>
      <c r="E2967" t="n">
        <v>22</v>
      </c>
      <c r="F2967" t="b">
        <v>0</v>
      </c>
      <c r="G2967" t="inlineStr">
        <is>
          <t>Light</t>
        </is>
      </c>
      <c r="H2967" t="b">
        <v>0</v>
      </c>
    </row>
    <row r="2968">
      <c r="A2968" t="inlineStr">
        <is>
          <t>S006</t>
        </is>
      </c>
      <c r="B2968" s="3" t="n">
        <v>46275</v>
      </c>
      <c r="C2968" t="n">
        <v>14</v>
      </c>
      <c r="D2968" t="inlineStr">
        <is>
          <t>Thursday</t>
        </is>
      </c>
      <c r="E2968" t="n">
        <v>23</v>
      </c>
      <c r="F2968" t="b">
        <v>0</v>
      </c>
      <c r="G2968" t="inlineStr">
        <is>
          <t>Light</t>
        </is>
      </c>
      <c r="H2968" t="b">
        <v>0</v>
      </c>
    </row>
    <row r="2969">
      <c r="A2969" t="inlineStr">
        <is>
          <t>S006</t>
        </is>
      </c>
      <c r="B2969" s="3" t="n">
        <v>46275</v>
      </c>
      <c r="C2969" t="n">
        <v>15</v>
      </c>
      <c r="D2969" t="inlineStr">
        <is>
          <t>Thursday</t>
        </is>
      </c>
      <c r="E2969" t="n">
        <v>20</v>
      </c>
      <c r="F2969" t="b">
        <v>0</v>
      </c>
      <c r="G2969" t="inlineStr">
        <is>
          <t>Light</t>
        </is>
      </c>
      <c r="H2969" t="b">
        <v>0</v>
      </c>
    </row>
    <row r="2970">
      <c r="A2970" t="inlineStr">
        <is>
          <t>S006</t>
        </is>
      </c>
      <c r="B2970" s="3" t="n">
        <v>46275</v>
      </c>
      <c r="C2970" t="n">
        <v>16</v>
      </c>
      <c r="D2970" t="inlineStr">
        <is>
          <t>Thursday</t>
        </is>
      </c>
      <c r="E2970" t="n">
        <v>22</v>
      </c>
      <c r="F2970" t="b">
        <v>0</v>
      </c>
      <c r="H2970" t="b">
        <v>1</v>
      </c>
    </row>
    <row r="2971">
      <c r="A2971" t="inlineStr">
        <is>
          <t>S006</t>
        </is>
      </c>
      <c r="B2971" s="3" t="n">
        <v>46275</v>
      </c>
      <c r="C2971" t="n">
        <v>17</v>
      </c>
      <c r="D2971" t="inlineStr">
        <is>
          <t>Thursday</t>
        </is>
      </c>
      <c r="E2971" t="n">
        <v>28</v>
      </c>
      <c r="F2971" t="b">
        <v>0</v>
      </c>
      <c r="H2971" t="b">
        <v>1</v>
      </c>
    </row>
    <row r="2972">
      <c r="A2972" t="inlineStr">
        <is>
          <t>S006</t>
        </is>
      </c>
      <c r="B2972" s="3" t="n">
        <v>46275</v>
      </c>
      <c r="C2972" t="n">
        <v>18</v>
      </c>
      <c r="D2972" t="inlineStr">
        <is>
          <t>Thursday</t>
        </is>
      </c>
      <c r="E2972" t="n">
        <v>25</v>
      </c>
      <c r="F2972" t="b">
        <v>0</v>
      </c>
      <c r="H2972" t="b">
        <v>0</v>
      </c>
    </row>
    <row r="2973">
      <c r="A2973" t="inlineStr">
        <is>
          <t>S006</t>
        </is>
      </c>
      <c r="B2973" s="3" t="n">
        <v>46275</v>
      </c>
      <c r="C2973" t="n">
        <v>19</v>
      </c>
      <c r="D2973" t="inlineStr">
        <is>
          <t>Thursday</t>
        </is>
      </c>
      <c r="E2973" t="n">
        <v>47</v>
      </c>
      <c r="F2973" t="b">
        <v>1</v>
      </c>
      <c r="G2973" t="inlineStr">
        <is>
          <t>Light</t>
        </is>
      </c>
      <c r="H2973" t="b">
        <v>0</v>
      </c>
    </row>
    <row r="2974">
      <c r="A2974" t="inlineStr">
        <is>
          <t>S006</t>
        </is>
      </c>
      <c r="B2974" s="3" t="n">
        <v>46275</v>
      </c>
      <c r="C2974" t="n">
        <v>20</v>
      </c>
      <c r="D2974" t="inlineStr">
        <is>
          <t>Thursday</t>
        </is>
      </c>
      <c r="E2974" t="n">
        <v>35</v>
      </c>
      <c r="F2974" t="b">
        <v>1</v>
      </c>
      <c r="H2974" t="b">
        <v>0</v>
      </c>
    </row>
    <row r="2975">
      <c r="A2975" t="inlineStr">
        <is>
          <t>S006</t>
        </is>
      </c>
      <c r="B2975" s="3" t="n">
        <v>46275</v>
      </c>
      <c r="C2975" t="n">
        <v>21</v>
      </c>
      <c r="D2975" t="inlineStr">
        <is>
          <t>Thursday</t>
        </is>
      </c>
      <c r="E2975" t="n">
        <v>40</v>
      </c>
      <c r="F2975" t="b">
        <v>1</v>
      </c>
      <c r="H2975" t="b">
        <v>0</v>
      </c>
    </row>
    <row r="2976">
      <c r="A2976" t="inlineStr">
        <is>
          <t>S006</t>
        </is>
      </c>
      <c r="B2976" s="3" t="n">
        <v>46275</v>
      </c>
      <c r="C2976" t="n">
        <v>22</v>
      </c>
      <c r="D2976" t="inlineStr">
        <is>
          <t>Thursday</t>
        </is>
      </c>
      <c r="E2976" t="n">
        <v>25</v>
      </c>
      <c r="F2976" t="b">
        <v>0</v>
      </c>
      <c r="H2976" t="b">
        <v>0</v>
      </c>
    </row>
    <row r="2977">
      <c r="A2977" t="inlineStr">
        <is>
          <t>S006</t>
        </is>
      </c>
      <c r="B2977" s="3" t="n">
        <v>46275</v>
      </c>
      <c r="C2977" t="n">
        <v>23</v>
      </c>
      <c r="D2977" t="inlineStr">
        <is>
          <t>Thursday</t>
        </is>
      </c>
      <c r="E2977" t="n">
        <v>29</v>
      </c>
      <c r="F2977" t="b">
        <v>0</v>
      </c>
      <c r="G2977" t="inlineStr">
        <is>
          <t>Light</t>
        </is>
      </c>
      <c r="H2977" t="b">
        <v>0</v>
      </c>
    </row>
    <row r="2978">
      <c r="A2978" t="inlineStr">
        <is>
          <t>S007</t>
        </is>
      </c>
      <c r="B2978" s="3" t="n">
        <v>46275</v>
      </c>
      <c r="C2978" t="n">
        <v>8</v>
      </c>
      <c r="D2978" t="inlineStr">
        <is>
          <t>Thursday</t>
        </is>
      </c>
      <c r="E2978" t="n">
        <v>29</v>
      </c>
      <c r="F2978" t="b">
        <v>0</v>
      </c>
      <c r="H2978" t="b">
        <v>0</v>
      </c>
    </row>
    <row r="2979">
      <c r="A2979" t="inlineStr">
        <is>
          <t>S007</t>
        </is>
      </c>
      <c r="B2979" s="3" t="n">
        <v>46275</v>
      </c>
      <c r="C2979" t="n">
        <v>9</v>
      </c>
      <c r="D2979" t="inlineStr">
        <is>
          <t>Thursday</t>
        </is>
      </c>
      <c r="E2979" t="n">
        <v>30</v>
      </c>
      <c r="F2979" t="b">
        <v>0</v>
      </c>
      <c r="H2979" t="b">
        <v>0</v>
      </c>
    </row>
    <row r="2980">
      <c r="A2980" t="inlineStr">
        <is>
          <t>S007</t>
        </is>
      </c>
      <c r="B2980" s="3" t="n">
        <v>46275</v>
      </c>
      <c r="C2980" t="n">
        <v>10</v>
      </c>
      <c r="D2980" t="inlineStr">
        <is>
          <t>Thursday</t>
        </is>
      </c>
      <c r="E2980" t="n">
        <v>33</v>
      </c>
      <c r="F2980" t="b">
        <v>0</v>
      </c>
      <c r="H2980" t="b">
        <v>0</v>
      </c>
    </row>
    <row r="2981">
      <c r="A2981" t="inlineStr">
        <is>
          <t>S007</t>
        </is>
      </c>
      <c r="B2981" s="3" t="n">
        <v>46275</v>
      </c>
      <c r="C2981" t="n">
        <v>11</v>
      </c>
      <c r="D2981" t="inlineStr">
        <is>
          <t>Thursday</t>
        </is>
      </c>
      <c r="E2981" t="n">
        <v>43</v>
      </c>
      <c r="F2981" t="b">
        <v>0</v>
      </c>
      <c r="H2981" t="b">
        <v>0</v>
      </c>
    </row>
    <row r="2982">
      <c r="A2982" t="inlineStr">
        <is>
          <t>S007</t>
        </is>
      </c>
      <c r="B2982" s="3" t="n">
        <v>46275</v>
      </c>
      <c r="C2982" t="n">
        <v>12</v>
      </c>
      <c r="D2982" t="inlineStr">
        <is>
          <t>Thursday</t>
        </is>
      </c>
      <c r="E2982" t="n">
        <v>46</v>
      </c>
      <c r="F2982" t="b">
        <v>0</v>
      </c>
      <c r="G2982" t="inlineStr">
        <is>
          <t>Light</t>
        </is>
      </c>
      <c r="H2982" t="b">
        <v>0</v>
      </c>
    </row>
    <row r="2983">
      <c r="A2983" t="inlineStr">
        <is>
          <t>S007</t>
        </is>
      </c>
      <c r="B2983" s="3" t="n">
        <v>46275</v>
      </c>
      <c r="C2983" t="n">
        <v>13</v>
      </c>
      <c r="D2983" t="inlineStr">
        <is>
          <t>Thursday</t>
        </is>
      </c>
      <c r="E2983" t="n">
        <v>42</v>
      </c>
      <c r="F2983" t="b">
        <v>0</v>
      </c>
      <c r="H2983" t="b">
        <v>0</v>
      </c>
    </row>
    <row r="2984">
      <c r="A2984" t="inlineStr">
        <is>
          <t>S007</t>
        </is>
      </c>
      <c r="B2984" s="3" t="n">
        <v>46275</v>
      </c>
      <c r="C2984" t="n">
        <v>14</v>
      </c>
      <c r="D2984" t="inlineStr">
        <is>
          <t>Thursday</t>
        </is>
      </c>
      <c r="E2984" t="n">
        <v>29</v>
      </c>
      <c r="F2984" t="b">
        <v>0</v>
      </c>
      <c r="G2984" t="inlineStr">
        <is>
          <t>Light</t>
        </is>
      </c>
      <c r="H2984" t="b">
        <v>0</v>
      </c>
    </row>
    <row r="2985">
      <c r="A2985" t="inlineStr">
        <is>
          <t>S007</t>
        </is>
      </c>
      <c r="B2985" s="3" t="n">
        <v>46275</v>
      </c>
      <c r="C2985" t="n">
        <v>15</v>
      </c>
      <c r="D2985" t="inlineStr">
        <is>
          <t>Thursday</t>
        </is>
      </c>
      <c r="E2985" t="n">
        <v>39</v>
      </c>
      <c r="F2985" t="b">
        <v>0</v>
      </c>
      <c r="G2985" t="inlineStr">
        <is>
          <t>Light</t>
        </is>
      </c>
      <c r="H2985" t="b">
        <v>0</v>
      </c>
    </row>
    <row r="2986">
      <c r="A2986" t="inlineStr">
        <is>
          <t>S007</t>
        </is>
      </c>
      <c r="B2986" s="3" t="n">
        <v>46275</v>
      </c>
      <c r="C2986" t="n">
        <v>16</v>
      </c>
      <c r="D2986" t="inlineStr">
        <is>
          <t>Thursday</t>
        </is>
      </c>
      <c r="E2986" t="n">
        <v>50</v>
      </c>
      <c r="F2986" t="b">
        <v>0</v>
      </c>
      <c r="G2986" t="inlineStr">
        <is>
          <t>Heavy</t>
        </is>
      </c>
      <c r="H2986" t="b">
        <v>0</v>
      </c>
    </row>
    <row r="2987">
      <c r="A2987" t="inlineStr">
        <is>
          <t>S007</t>
        </is>
      </c>
      <c r="B2987" s="3" t="n">
        <v>46275</v>
      </c>
      <c r="C2987" t="n">
        <v>17</v>
      </c>
      <c r="D2987" t="inlineStr">
        <is>
          <t>Thursday</t>
        </is>
      </c>
      <c r="E2987" t="n">
        <v>35</v>
      </c>
      <c r="F2987" t="b">
        <v>0</v>
      </c>
      <c r="H2987" t="b">
        <v>0</v>
      </c>
    </row>
    <row r="2988">
      <c r="A2988" t="inlineStr">
        <is>
          <t>S007</t>
        </is>
      </c>
      <c r="B2988" s="3" t="n">
        <v>46275</v>
      </c>
      <c r="C2988" t="n">
        <v>18</v>
      </c>
      <c r="D2988" t="inlineStr">
        <is>
          <t>Thursday</t>
        </is>
      </c>
      <c r="E2988" t="n">
        <v>41</v>
      </c>
      <c r="F2988" t="b">
        <v>0</v>
      </c>
      <c r="H2988" t="b">
        <v>0</v>
      </c>
    </row>
    <row r="2989">
      <c r="A2989" t="inlineStr">
        <is>
          <t>S007</t>
        </is>
      </c>
      <c r="B2989" s="3" t="n">
        <v>46275</v>
      </c>
      <c r="C2989" t="n">
        <v>19</v>
      </c>
      <c r="D2989" t="inlineStr">
        <is>
          <t>Thursday</t>
        </is>
      </c>
      <c r="E2989" t="n">
        <v>57</v>
      </c>
      <c r="F2989" t="b">
        <v>1</v>
      </c>
      <c r="G2989" t="inlineStr">
        <is>
          <t>Light</t>
        </is>
      </c>
      <c r="H2989" t="b">
        <v>0</v>
      </c>
    </row>
    <row r="2990">
      <c r="A2990" t="inlineStr">
        <is>
          <t>S007</t>
        </is>
      </c>
      <c r="B2990" s="3" t="n">
        <v>46275</v>
      </c>
      <c r="C2990" t="n">
        <v>20</v>
      </c>
      <c r="D2990" t="inlineStr">
        <is>
          <t>Thursday</t>
        </is>
      </c>
      <c r="E2990" t="n">
        <v>57</v>
      </c>
      <c r="F2990" t="b">
        <v>1</v>
      </c>
      <c r="H2990" t="b">
        <v>0</v>
      </c>
    </row>
    <row r="2991">
      <c r="A2991" t="inlineStr">
        <is>
          <t>S007</t>
        </is>
      </c>
      <c r="B2991" s="3" t="n">
        <v>46275</v>
      </c>
      <c r="C2991" t="n">
        <v>21</v>
      </c>
      <c r="D2991" t="inlineStr">
        <is>
          <t>Thursday</t>
        </is>
      </c>
      <c r="E2991" t="n">
        <v>59</v>
      </c>
      <c r="F2991" t="b">
        <v>1</v>
      </c>
      <c r="H2991" t="b">
        <v>0</v>
      </c>
    </row>
    <row r="2992">
      <c r="A2992" t="inlineStr">
        <is>
          <t>S007</t>
        </is>
      </c>
      <c r="B2992" s="3" t="n">
        <v>46275</v>
      </c>
      <c r="C2992" t="n">
        <v>22</v>
      </c>
      <c r="D2992" t="inlineStr">
        <is>
          <t>Thursday</t>
        </is>
      </c>
      <c r="E2992" t="n">
        <v>32</v>
      </c>
      <c r="F2992" t="b">
        <v>0</v>
      </c>
      <c r="H2992" t="b">
        <v>0</v>
      </c>
    </row>
    <row r="2993">
      <c r="A2993" t="inlineStr">
        <is>
          <t>S007</t>
        </is>
      </c>
      <c r="B2993" s="3" t="n">
        <v>46275</v>
      </c>
      <c r="C2993" t="n">
        <v>23</v>
      </c>
      <c r="D2993" t="inlineStr">
        <is>
          <t>Thursday</t>
        </is>
      </c>
      <c r="E2993" t="n">
        <v>23</v>
      </c>
      <c r="F2993" t="b">
        <v>0</v>
      </c>
      <c r="H2993" t="b">
        <v>0</v>
      </c>
    </row>
    <row r="2994">
      <c r="A2994" t="inlineStr">
        <is>
          <t>S008</t>
        </is>
      </c>
      <c r="B2994" s="3" t="n">
        <v>46275</v>
      </c>
      <c r="C2994" t="n">
        <v>8</v>
      </c>
      <c r="D2994" t="inlineStr">
        <is>
          <t>Thursday</t>
        </is>
      </c>
      <c r="E2994" t="n">
        <v>21</v>
      </c>
      <c r="F2994" t="b">
        <v>0</v>
      </c>
      <c r="H2994" t="b">
        <v>0</v>
      </c>
    </row>
    <row r="2995">
      <c r="A2995" t="inlineStr">
        <is>
          <t>S008</t>
        </is>
      </c>
      <c r="B2995" s="3" t="n">
        <v>46275</v>
      </c>
      <c r="C2995" t="n">
        <v>9</v>
      </c>
      <c r="D2995" t="inlineStr">
        <is>
          <t>Thursday</t>
        </is>
      </c>
      <c r="E2995" t="n">
        <v>19</v>
      </c>
      <c r="F2995" t="b">
        <v>0</v>
      </c>
      <c r="H2995" t="b">
        <v>0</v>
      </c>
    </row>
    <row r="2996">
      <c r="A2996" t="inlineStr">
        <is>
          <t>S008</t>
        </is>
      </c>
      <c r="B2996" s="3" t="n">
        <v>46275</v>
      </c>
      <c r="C2996" t="n">
        <v>10</v>
      </c>
      <c r="D2996" t="inlineStr">
        <is>
          <t>Thursday</t>
        </is>
      </c>
      <c r="E2996" t="n">
        <v>17</v>
      </c>
      <c r="F2996" t="b">
        <v>0</v>
      </c>
      <c r="H2996" t="b">
        <v>0</v>
      </c>
    </row>
    <row r="2997">
      <c r="A2997" t="inlineStr">
        <is>
          <t>S008</t>
        </is>
      </c>
      <c r="B2997" s="3" t="n">
        <v>46275</v>
      </c>
      <c r="C2997" t="n">
        <v>11</v>
      </c>
      <c r="D2997" t="inlineStr">
        <is>
          <t>Thursday</t>
        </is>
      </c>
      <c r="E2997" t="n">
        <v>23</v>
      </c>
      <c r="F2997" t="b">
        <v>0</v>
      </c>
      <c r="H2997" t="b">
        <v>0</v>
      </c>
    </row>
    <row r="2998">
      <c r="A2998" t="inlineStr">
        <is>
          <t>S008</t>
        </is>
      </c>
      <c r="B2998" s="3" t="n">
        <v>46275</v>
      </c>
      <c r="C2998" t="n">
        <v>12</v>
      </c>
      <c r="D2998" t="inlineStr">
        <is>
          <t>Thursday</t>
        </is>
      </c>
      <c r="E2998" t="n">
        <v>24</v>
      </c>
      <c r="F2998" t="b">
        <v>0</v>
      </c>
      <c r="H2998" t="b">
        <v>0</v>
      </c>
    </row>
    <row r="2999">
      <c r="A2999" t="inlineStr">
        <is>
          <t>S008</t>
        </is>
      </c>
      <c r="B2999" s="3" t="n">
        <v>46275</v>
      </c>
      <c r="C2999" t="n">
        <v>13</v>
      </c>
      <c r="D2999" t="inlineStr">
        <is>
          <t>Thursday</t>
        </is>
      </c>
      <c r="E2999" t="n">
        <v>18</v>
      </c>
      <c r="F2999" t="b">
        <v>0</v>
      </c>
      <c r="H2999" t="b">
        <v>0</v>
      </c>
    </row>
    <row r="3000">
      <c r="A3000" t="inlineStr">
        <is>
          <t>S008</t>
        </is>
      </c>
      <c r="B3000" s="3" t="n">
        <v>46275</v>
      </c>
      <c r="C3000" t="n">
        <v>14</v>
      </c>
      <c r="D3000" t="inlineStr">
        <is>
          <t>Thursday</t>
        </is>
      </c>
      <c r="E3000" t="n">
        <v>16</v>
      </c>
      <c r="F3000" t="b">
        <v>0</v>
      </c>
      <c r="G3000" t="inlineStr">
        <is>
          <t>Light</t>
        </is>
      </c>
      <c r="H3000" t="b">
        <v>0</v>
      </c>
    </row>
    <row r="3001">
      <c r="A3001" t="inlineStr">
        <is>
          <t>S008</t>
        </is>
      </c>
      <c r="B3001" s="3" t="n">
        <v>46275</v>
      </c>
      <c r="C3001" t="n">
        <v>15</v>
      </c>
      <c r="D3001" t="inlineStr">
        <is>
          <t>Thursday</t>
        </is>
      </c>
      <c r="E3001" t="n">
        <v>17</v>
      </c>
      <c r="F3001" t="b">
        <v>0</v>
      </c>
      <c r="H3001" t="b">
        <v>1</v>
      </c>
    </row>
    <row r="3002">
      <c r="A3002" t="inlineStr">
        <is>
          <t>S008</t>
        </is>
      </c>
      <c r="B3002" s="3" t="n">
        <v>46275</v>
      </c>
      <c r="C3002" t="n">
        <v>16</v>
      </c>
      <c r="D3002" t="inlineStr">
        <is>
          <t>Thursday</t>
        </is>
      </c>
      <c r="E3002" t="n">
        <v>18</v>
      </c>
      <c r="F3002" t="b">
        <v>0</v>
      </c>
      <c r="H3002" t="b">
        <v>0</v>
      </c>
    </row>
    <row r="3003">
      <c r="A3003" t="inlineStr">
        <is>
          <t>S008</t>
        </is>
      </c>
      <c r="B3003" s="3" t="n">
        <v>46275</v>
      </c>
      <c r="C3003" t="n">
        <v>17</v>
      </c>
      <c r="D3003" t="inlineStr">
        <is>
          <t>Thursday</t>
        </is>
      </c>
      <c r="E3003" t="n">
        <v>20</v>
      </c>
      <c r="F3003" t="b">
        <v>0</v>
      </c>
      <c r="H3003" t="b">
        <v>0</v>
      </c>
    </row>
    <row r="3004">
      <c r="A3004" t="inlineStr">
        <is>
          <t>S008</t>
        </is>
      </c>
      <c r="B3004" s="3" t="n">
        <v>46275</v>
      </c>
      <c r="C3004" t="n">
        <v>18</v>
      </c>
      <c r="D3004" t="inlineStr">
        <is>
          <t>Thursday</t>
        </is>
      </c>
      <c r="E3004" t="n">
        <v>27</v>
      </c>
      <c r="F3004" t="b">
        <v>0</v>
      </c>
      <c r="H3004" t="b">
        <v>0</v>
      </c>
    </row>
    <row r="3005">
      <c r="A3005" t="inlineStr">
        <is>
          <t>S008</t>
        </is>
      </c>
      <c r="B3005" s="3" t="n">
        <v>46275</v>
      </c>
      <c r="C3005" t="n">
        <v>19</v>
      </c>
      <c r="D3005" t="inlineStr">
        <is>
          <t>Thursday</t>
        </is>
      </c>
      <c r="E3005" t="n">
        <v>25</v>
      </c>
      <c r="F3005" t="b">
        <v>1</v>
      </c>
      <c r="H3005" t="b">
        <v>0</v>
      </c>
    </row>
    <row r="3006">
      <c r="A3006" t="inlineStr">
        <is>
          <t>S008</t>
        </is>
      </c>
      <c r="B3006" s="3" t="n">
        <v>46275</v>
      </c>
      <c r="C3006" t="n">
        <v>20</v>
      </c>
      <c r="D3006" t="inlineStr">
        <is>
          <t>Thursday</t>
        </is>
      </c>
      <c r="E3006" t="n">
        <v>37</v>
      </c>
      <c r="F3006" t="b">
        <v>1</v>
      </c>
      <c r="G3006" t="inlineStr">
        <is>
          <t>Light</t>
        </is>
      </c>
      <c r="H3006" t="b">
        <v>0</v>
      </c>
    </row>
    <row r="3007">
      <c r="A3007" t="inlineStr">
        <is>
          <t>S008</t>
        </is>
      </c>
      <c r="B3007" s="3" t="n">
        <v>46275</v>
      </c>
      <c r="C3007" t="n">
        <v>21</v>
      </c>
      <c r="D3007" t="inlineStr">
        <is>
          <t>Thursday</t>
        </is>
      </c>
      <c r="E3007" t="n">
        <v>31</v>
      </c>
      <c r="F3007" t="b">
        <v>1</v>
      </c>
      <c r="G3007" t="inlineStr">
        <is>
          <t>Heavy</t>
        </is>
      </c>
      <c r="H3007" t="b">
        <v>1</v>
      </c>
    </row>
    <row r="3008">
      <c r="A3008" t="inlineStr">
        <is>
          <t>S008</t>
        </is>
      </c>
      <c r="B3008" s="3" t="n">
        <v>46275</v>
      </c>
      <c r="C3008" t="n">
        <v>22</v>
      </c>
      <c r="D3008" t="inlineStr">
        <is>
          <t>Thursday</t>
        </is>
      </c>
      <c r="E3008" t="n">
        <v>11</v>
      </c>
      <c r="F3008" t="b">
        <v>0</v>
      </c>
      <c r="G3008" t="inlineStr">
        <is>
          <t>Light</t>
        </is>
      </c>
      <c r="H3008" t="b">
        <v>0</v>
      </c>
    </row>
    <row r="3009">
      <c r="A3009" t="inlineStr">
        <is>
          <t>S008</t>
        </is>
      </c>
      <c r="B3009" s="3" t="n">
        <v>46275</v>
      </c>
      <c r="C3009" t="n">
        <v>23</v>
      </c>
      <c r="D3009" t="inlineStr">
        <is>
          <t>Thursday</t>
        </is>
      </c>
      <c r="E3009" t="n">
        <v>23</v>
      </c>
      <c r="F3009" t="b">
        <v>0</v>
      </c>
      <c r="H3009" t="b">
        <v>0</v>
      </c>
    </row>
    <row r="3010">
      <c r="A3010" t="inlineStr">
        <is>
          <t>S009</t>
        </is>
      </c>
      <c r="B3010" s="3" t="n">
        <v>46275</v>
      </c>
      <c r="C3010" t="n">
        <v>8</v>
      </c>
      <c r="D3010" t="inlineStr">
        <is>
          <t>Thursday</t>
        </is>
      </c>
      <c r="E3010" t="n">
        <v>15</v>
      </c>
      <c r="F3010" t="b">
        <v>0</v>
      </c>
      <c r="H3010" t="b">
        <v>0</v>
      </c>
    </row>
    <row r="3011">
      <c r="A3011" t="inlineStr">
        <is>
          <t>S009</t>
        </is>
      </c>
      <c r="B3011" s="3" t="n">
        <v>46275</v>
      </c>
      <c r="C3011" t="n">
        <v>9</v>
      </c>
      <c r="D3011" t="inlineStr">
        <is>
          <t>Thursday</t>
        </is>
      </c>
      <c r="E3011" t="n">
        <v>15</v>
      </c>
      <c r="F3011" t="b">
        <v>0</v>
      </c>
      <c r="G3011" t="inlineStr">
        <is>
          <t>Heavy</t>
        </is>
      </c>
      <c r="H3011" t="b">
        <v>0</v>
      </c>
    </row>
    <row r="3012">
      <c r="A3012" t="inlineStr">
        <is>
          <t>S009</t>
        </is>
      </c>
      <c r="B3012" s="3" t="n">
        <v>46275</v>
      </c>
      <c r="C3012" t="n">
        <v>10</v>
      </c>
      <c r="D3012" t="inlineStr">
        <is>
          <t>Thursday</t>
        </is>
      </c>
      <c r="E3012" t="n">
        <v>16</v>
      </c>
      <c r="F3012" t="b">
        <v>0</v>
      </c>
      <c r="H3012" t="b">
        <v>0</v>
      </c>
    </row>
    <row r="3013">
      <c r="A3013" t="inlineStr">
        <is>
          <t>S009</t>
        </is>
      </c>
      <c r="B3013" s="3" t="n">
        <v>46275</v>
      </c>
      <c r="C3013" t="n">
        <v>11</v>
      </c>
      <c r="D3013" t="inlineStr">
        <is>
          <t>Thursday</t>
        </is>
      </c>
      <c r="E3013" t="n">
        <v>29</v>
      </c>
      <c r="F3013" t="b">
        <v>0</v>
      </c>
      <c r="G3013" t="inlineStr">
        <is>
          <t>Light</t>
        </is>
      </c>
      <c r="H3013" t="b">
        <v>0</v>
      </c>
    </row>
    <row r="3014">
      <c r="A3014" t="inlineStr">
        <is>
          <t>S009</t>
        </is>
      </c>
      <c r="B3014" s="3" t="n">
        <v>46275</v>
      </c>
      <c r="C3014" t="n">
        <v>12</v>
      </c>
      <c r="D3014" t="inlineStr">
        <is>
          <t>Thursday</t>
        </is>
      </c>
      <c r="E3014" t="n">
        <v>22</v>
      </c>
      <c r="F3014" t="b">
        <v>0</v>
      </c>
      <c r="H3014" t="b">
        <v>0</v>
      </c>
    </row>
    <row r="3015">
      <c r="A3015" t="inlineStr">
        <is>
          <t>S009</t>
        </is>
      </c>
      <c r="B3015" s="3" t="n">
        <v>46275</v>
      </c>
      <c r="C3015" t="n">
        <v>13</v>
      </c>
      <c r="D3015" t="inlineStr">
        <is>
          <t>Thursday</t>
        </is>
      </c>
      <c r="E3015" t="n">
        <v>29</v>
      </c>
      <c r="F3015" t="b">
        <v>0</v>
      </c>
      <c r="H3015" t="b">
        <v>0</v>
      </c>
    </row>
    <row r="3016">
      <c r="A3016" t="inlineStr">
        <is>
          <t>S009</t>
        </is>
      </c>
      <c r="B3016" s="3" t="n">
        <v>46275</v>
      </c>
      <c r="C3016" t="n">
        <v>14</v>
      </c>
      <c r="D3016" t="inlineStr">
        <is>
          <t>Thursday</t>
        </is>
      </c>
      <c r="E3016" t="n">
        <v>23</v>
      </c>
      <c r="F3016" t="b">
        <v>0</v>
      </c>
      <c r="H3016" t="b">
        <v>0</v>
      </c>
    </row>
    <row r="3017">
      <c r="A3017" t="inlineStr">
        <is>
          <t>S009</t>
        </is>
      </c>
      <c r="B3017" s="3" t="n">
        <v>46275</v>
      </c>
      <c r="C3017" t="n">
        <v>15</v>
      </c>
      <c r="D3017" t="inlineStr">
        <is>
          <t>Thursday</t>
        </is>
      </c>
      <c r="E3017" t="n">
        <v>22</v>
      </c>
      <c r="F3017" t="b">
        <v>0</v>
      </c>
      <c r="G3017" t="inlineStr">
        <is>
          <t>Light</t>
        </is>
      </c>
      <c r="H3017" t="b">
        <v>0</v>
      </c>
    </row>
    <row r="3018">
      <c r="A3018" t="inlineStr">
        <is>
          <t>S009</t>
        </is>
      </c>
      <c r="B3018" s="3" t="n">
        <v>46275</v>
      </c>
      <c r="C3018" t="n">
        <v>16</v>
      </c>
      <c r="D3018" t="inlineStr">
        <is>
          <t>Thursday</t>
        </is>
      </c>
      <c r="E3018" t="n">
        <v>29</v>
      </c>
      <c r="F3018" t="b">
        <v>0</v>
      </c>
      <c r="H3018" t="b">
        <v>0</v>
      </c>
    </row>
    <row r="3019">
      <c r="A3019" t="inlineStr">
        <is>
          <t>S009</t>
        </is>
      </c>
      <c r="B3019" s="3" t="n">
        <v>46275</v>
      </c>
      <c r="C3019" t="n">
        <v>17</v>
      </c>
      <c r="D3019" t="inlineStr">
        <is>
          <t>Thursday</t>
        </is>
      </c>
      <c r="E3019" t="n">
        <v>31</v>
      </c>
      <c r="F3019" t="b">
        <v>0</v>
      </c>
      <c r="H3019" t="b">
        <v>0</v>
      </c>
    </row>
    <row r="3020">
      <c r="A3020" t="inlineStr">
        <is>
          <t>S009</t>
        </is>
      </c>
      <c r="B3020" s="3" t="n">
        <v>46275</v>
      </c>
      <c r="C3020" t="n">
        <v>18</v>
      </c>
      <c r="D3020" t="inlineStr">
        <is>
          <t>Thursday</t>
        </is>
      </c>
      <c r="E3020" t="n">
        <v>32</v>
      </c>
      <c r="F3020" t="b">
        <v>0</v>
      </c>
      <c r="G3020" t="inlineStr">
        <is>
          <t>Heavy</t>
        </is>
      </c>
      <c r="H3020" t="b">
        <v>0</v>
      </c>
    </row>
    <row r="3021">
      <c r="A3021" t="inlineStr">
        <is>
          <t>S009</t>
        </is>
      </c>
      <c r="B3021" s="3" t="n">
        <v>46275</v>
      </c>
      <c r="C3021" t="n">
        <v>19</v>
      </c>
      <c r="D3021" t="inlineStr">
        <is>
          <t>Thursday</t>
        </is>
      </c>
      <c r="E3021" t="n">
        <v>49</v>
      </c>
      <c r="F3021" t="b">
        <v>1</v>
      </c>
      <c r="H3021" t="b">
        <v>0</v>
      </c>
    </row>
    <row r="3022">
      <c r="A3022" t="inlineStr">
        <is>
          <t>S009</t>
        </is>
      </c>
      <c r="B3022" s="3" t="n">
        <v>46275</v>
      </c>
      <c r="C3022" t="n">
        <v>20</v>
      </c>
      <c r="D3022" t="inlineStr">
        <is>
          <t>Thursday</t>
        </is>
      </c>
      <c r="E3022" t="n">
        <v>47</v>
      </c>
      <c r="F3022" t="b">
        <v>1</v>
      </c>
      <c r="H3022" t="b">
        <v>1</v>
      </c>
    </row>
    <row r="3023">
      <c r="A3023" t="inlineStr">
        <is>
          <t>S009</t>
        </is>
      </c>
      <c r="B3023" s="3" t="n">
        <v>46275</v>
      </c>
      <c r="C3023" t="n">
        <v>21</v>
      </c>
      <c r="D3023" t="inlineStr">
        <is>
          <t>Thursday</t>
        </is>
      </c>
      <c r="E3023" t="n">
        <v>43</v>
      </c>
      <c r="F3023" t="b">
        <v>1</v>
      </c>
      <c r="H3023" t="b">
        <v>0</v>
      </c>
    </row>
    <row r="3024">
      <c r="A3024" t="inlineStr">
        <is>
          <t>S009</t>
        </is>
      </c>
      <c r="B3024" s="3" t="n">
        <v>46275</v>
      </c>
      <c r="C3024" t="n">
        <v>22</v>
      </c>
      <c r="D3024" t="inlineStr">
        <is>
          <t>Thursday</t>
        </is>
      </c>
      <c r="E3024" t="n">
        <v>33</v>
      </c>
      <c r="F3024" t="b">
        <v>0</v>
      </c>
      <c r="H3024" t="b">
        <v>0</v>
      </c>
    </row>
    <row r="3025">
      <c r="A3025" t="inlineStr">
        <is>
          <t>S009</t>
        </is>
      </c>
      <c r="B3025" s="3" t="n">
        <v>46275</v>
      </c>
      <c r="C3025" t="n">
        <v>23</v>
      </c>
      <c r="D3025" t="inlineStr">
        <is>
          <t>Thursday</t>
        </is>
      </c>
      <c r="E3025" t="n">
        <v>36</v>
      </c>
      <c r="F3025" t="b">
        <v>0</v>
      </c>
      <c r="H3025" t="b">
        <v>0</v>
      </c>
    </row>
    <row r="3026">
      <c r="A3026" t="inlineStr">
        <is>
          <t>S010</t>
        </is>
      </c>
      <c r="B3026" s="3" t="n">
        <v>46275</v>
      </c>
      <c r="C3026" t="n">
        <v>8</v>
      </c>
      <c r="D3026" t="inlineStr">
        <is>
          <t>Thursday</t>
        </is>
      </c>
      <c r="E3026" t="n">
        <v>16</v>
      </c>
      <c r="F3026" t="b">
        <v>0</v>
      </c>
      <c r="H3026" t="b">
        <v>0</v>
      </c>
    </row>
    <row r="3027">
      <c r="A3027" t="inlineStr">
        <is>
          <t>S010</t>
        </is>
      </c>
      <c r="B3027" s="3" t="n">
        <v>46275</v>
      </c>
      <c r="C3027" t="n">
        <v>9</v>
      </c>
      <c r="D3027" t="inlineStr">
        <is>
          <t>Thursday</t>
        </is>
      </c>
      <c r="E3027" t="n">
        <v>10</v>
      </c>
      <c r="F3027" t="b">
        <v>0</v>
      </c>
      <c r="H3027" t="b">
        <v>0</v>
      </c>
    </row>
    <row r="3028">
      <c r="A3028" t="inlineStr">
        <is>
          <t>S010</t>
        </is>
      </c>
      <c r="B3028" s="3" t="n">
        <v>46275</v>
      </c>
      <c r="C3028" t="n">
        <v>10</v>
      </c>
      <c r="D3028" t="inlineStr">
        <is>
          <t>Thursday</t>
        </is>
      </c>
      <c r="E3028" t="n">
        <v>12</v>
      </c>
      <c r="F3028" t="b">
        <v>0</v>
      </c>
      <c r="H3028" t="b">
        <v>0</v>
      </c>
    </row>
    <row r="3029">
      <c r="A3029" t="inlineStr">
        <is>
          <t>S010</t>
        </is>
      </c>
      <c r="B3029" s="3" t="n">
        <v>46275</v>
      </c>
      <c r="C3029" t="n">
        <v>11</v>
      </c>
      <c r="D3029" t="inlineStr">
        <is>
          <t>Thursday</t>
        </is>
      </c>
      <c r="E3029" t="n">
        <v>17</v>
      </c>
      <c r="F3029" t="b">
        <v>0</v>
      </c>
      <c r="G3029" t="inlineStr">
        <is>
          <t>Light</t>
        </is>
      </c>
      <c r="H3029" t="b">
        <v>0</v>
      </c>
    </row>
    <row r="3030">
      <c r="A3030" t="inlineStr">
        <is>
          <t>S010</t>
        </is>
      </c>
      <c r="B3030" s="3" t="n">
        <v>46275</v>
      </c>
      <c r="C3030" t="n">
        <v>12</v>
      </c>
      <c r="D3030" t="inlineStr">
        <is>
          <t>Thursday</t>
        </is>
      </c>
      <c r="E3030" t="n">
        <v>25</v>
      </c>
      <c r="F3030" t="b">
        <v>0</v>
      </c>
      <c r="H3030" t="b">
        <v>0</v>
      </c>
    </row>
    <row r="3031">
      <c r="A3031" t="inlineStr">
        <is>
          <t>S010</t>
        </is>
      </c>
      <c r="B3031" s="3" t="n">
        <v>46275</v>
      </c>
      <c r="C3031" t="n">
        <v>13</v>
      </c>
      <c r="D3031" t="inlineStr">
        <is>
          <t>Thursday</t>
        </is>
      </c>
      <c r="E3031" t="n">
        <v>22</v>
      </c>
      <c r="F3031" t="b">
        <v>0</v>
      </c>
      <c r="H3031" t="b">
        <v>0</v>
      </c>
    </row>
    <row r="3032">
      <c r="A3032" t="inlineStr">
        <is>
          <t>S010</t>
        </is>
      </c>
      <c r="B3032" s="3" t="n">
        <v>46275</v>
      </c>
      <c r="C3032" t="n">
        <v>14</v>
      </c>
      <c r="D3032" t="inlineStr">
        <is>
          <t>Thursday</t>
        </is>
      </c>
      <c r="E3032" t="n">
        <v>15</v>
      </c>
      <c r="F3032" t="b">
        <v>0</v>
      </c>
      <c r="H3032" t="b">
        <v>0</v>
      </c>
    </row>
    <row r="3033">
      <c r="A3033" t="inlineStr">
        <is>
          <t>S010</t>
        </is>
      </c>
      <c r="B3033" s="3" t="n">
        <v>46275</v>
      </c>
      <c r="C3033" t="n">
        <v>15</v>
      </c>
      <c r="D3033" t="inlineStr">
        <is>
          <t>Thursday</t>
        </is>
      </c>
      <c r="E3033" t="n">
        <v>16</v>
      </c>
      <c r="F3033" t="b">
        <v>0</v>
      </c>
      <c r="H3033" t="b">
        <v>0</v>
      </c>
    </row>
    <row r="3034">
      <c r="A3034" t="inlineStr">
        <is>
          <t>S010</t>
        </is>
      </c>
      <c r="B3034" s="3" t="n">
        <v>46275</v>
      </c>
      <c r="C3034" t="n">
        <v>16</v>
      </c>
      <c r="D3034" t="inlineStr">
        <is>
          <t>Thursday</t>
        </is>
      </c>
      <c r="E3034" t="n">
        <v>18</v>
      </c>
      <c r="F3034" t="b">
        <v>0</v>
      </c>
      <c r="H3034" t="b">
        <v>0</v>
      </c>
    </row>
    <row r="3035">
      <c r="A3035" t="inlineStr">
        <is>
          <t>S010</t>
        </is>
      </c>
      <c r="B3035" s="3" t="n">
        <v>46275</v>
      </c>
      <c r="C3035" t="n">
        <v>17</v>
      </c>
      <c r="D3035" t="inlineStr">
        <is>
          <t>Thursday</t>
        </is>
      </c>
      <c r="E3035" t="n">
        <v>17</v>
      </c>
      <c r="F3035" t="b">
        <v>0</v>
      </c>
      <c r="H3035" t="b">
        <v>0</v>
      </c>
    </row>
    <row r="3036">
      <c r="A3036" t="inlineStr">
        <is>
          <t>S010</t>
        </is>
      </c>
      <c r="B3036" s="3" t="n">
        <v>46275</v>
      </c>
      <c r="C3036" t="n">
        <v>18</v>
      </c>
      <c r="D3036" t="inlineStr">
        <is>
          <t>Thursday</t>
        </is>
      </c>
      <c r="E3036" t="n">
        <v>23</v>
      </c>
      <c r="F3036" t="b">
        <v>0</v>
      </c>
      <c r="H3036" t="b">
        <v>0</v>
      </c>
    </row>
    <row r="3037">
      <c r="A3037" t="inlineStr">
        <is>
          <t>S010</t>
        </is>
      </c>
      <c r="B3037" s="3" t="n">
        <v>46275</v>
      </c>
      <c r="C3037" t="n">
        <v>19</v>
      </c>
      <c r="D3037" t="inlineStr">
        <is>
          <t>Thursday</t>
        </is>
      </c>
      <c r="E3037" t="n">
        <v>34</v>
      </c>
      <c r="F3037" t="b">
        <v>1</v>
      </c>
      <c r="H3037" t="b">
        <v>0</v>
      </c>
    </row>
    <row r="3038">
      <c r="A3038" t="inlineStr">
        <is>
          <t>S010</t>
        </is>
      </c>
      <c r="B3038" s="3" t="n">
        <v>46275</v>
      </c>
      <c r="C3038" t="n">
        <v>20</v>
      </c>
      <c r="D3038" t="inlineStr">
        <is>
          <t>Thursday</t>
        </is>
      </c>
      <c r="E3038" t="n">
        <v>47</v>
      </c>
      <c r="F3038" t="b">
        <v>1</v>
      </c>
      <c r="H3038" t="b">
        <v>0</v>
      </c>
    </row>
    <row r="3039">
      <c r="A3039" t="inlineStr">
        <is>
          <t>S010</t>
        </is>
      </c>
      <c r="B3039" s="3" t="n">
        <v>46275</v>
      </c>
      <c r="C3039" t="n">
        <v>21</v>
      </c>
      <c r="D3039" t="inlineStr">
        <is>
          <t>Thursday</t>
        </is>
      </c>
      <c r="E3039" t="n">
        <v>30</v>
      </c>
      <c r="F3039" t="b">
        <v>1</v>
      </c>
      <c r="H3039" t="b">
        <v>0</v>
      </c>
    </row>
    <row r="3040">
      <c r="A3040" t="inlineStr">
        <is>
          <t>S010</t>
        </is>
      </c>
      <c r="B3040" s="3" t="n">
        <v>46275</v>
      </c>
      <c r="C3040" t="n">
        <v>22</v>
      </c>
      <c r="D3040" t="inlineStr">
        <is>
          <t>Thursday</t>
        </is>
      </c>
      <c r="E3040" t="n">
        <v>17</v>
      </c>
      <c r="F3040" t="b">
        <v>0</v>
      </c>
      <c r="H3040" t="b">
        <v>0</v>
      </c>
    </row>
    <row r="3041">
      <c r="A3041" t="inlineStr">
        <is>
          <t>S010</t>
        </is>
      </c>
      <c r="B3041" s="3" t="n">
        <v>46275</v>
      </c>
      <c r="C3041" t="n">
        <v>23</v>
      </c>
      <c r="D3041" t="inlineStr">
        <is>
          <t>Thursday</t>
        </is>
      </c>
      <c r="E3041" t="n">
        <v>24</v>
      </c>
      <c r="F3041" t="b">
        <v>0</v>
      </c>
      <c r="H3041" t="b">
        <v>0</v>
      </c>
    </row>
    <row r="3042">
      <c r="A3042" t="inlineStr">
        <is>
          <t>S011</t>
        </is>
      </c>
      <c r="B3042" s="3" t="n">
        <v>46275</v>
      </c>
      <c r="C3042" t="n">
        <v>8</v>
      </c>
      <c r="D3042" t="inlineStr">
        <is>
          <t>Thursday</t>
        </is>
      </c>
      <c r="E3042" t="n">
        <v>20</v>
      </c>
      <c r="F3042" t="b">
        <v>0</v>
      </c>
      <c r="H3042" t="b">
        <v>0</v>
      </c>
    </row>
    <row r="3043">
      <c r="A3043" t="inlineStr">
        <is>
          <t>S011</t>
        </is>
      </c>
      <c r="B3043" s="3" t="n">
        <v>46275</v>
      </c>
      <c r="C3043" t="n">
        <v>9</v>
      </c>
      <c r="D3043" t="inlineStr">
        <is>
          <t>Thursday</t>
        </is>
      </c>
      <c r="E3043" t="n">
        <v>21</v>
      </c>
      <c r="F3043" t="b">
        <v>0</v>
      </c>
      <c r="H3043" t="b">
        <v>0</v>
      </c>
    </row>
    <row r="3044">
      <c r="A3044" t="inlineStr">
        <is>
          <t>S011</t>
        </is>
      </c>
      <c r="B3044" s="3" t="n">
        <v>46275</v>
      </c>
      <c r="C3044" t="n">
        <v>10</v>
      </c>
      <c r="D3044" t="inlineStr">
        <is>
          <t>Thursday</t>
        </is>
      </c>
      <c r="E3044" t="n">
        <v>17</v>
      </c>
      <c r="F3044" t="b">
        <v>0</v>
      </c>
      <c r="H3044" t="b">
        <v>0</v>
      </c>
    </row>
    <row r="3045">
      <c r="A3045" t="inlineStr">
        <is>
          <t>S011</t>
        </is>
      </c>
      <c r="B3045" s="3" t="n">
        <v>46275</v>
      </c>
      <c r="C3045" t="n">
        <v>11</v>
      </c>
      <c r="D3045" t="inlineStr">
        <is>
          <t>Thursday</t>
        </is>
      </c>
      <c r="E3045" t="n">
        <v>33</v>
      </c>
      <c r="F3045" t="b">
        <v>0</v>
      </c>
      <c r="H3045" t="b">
        <v>0</v>
      </c>
    </row>
    <row r="3046">
      <c r="A3046" t="inlineStr">
        <is>
          <t>S011</t>
        </is>
      </c>
      <c r="B3046" s="3" t="n">
        <v>46275</v>
      </c>
      <c r="C3046" t="n">
        <v>12</v>
      </c>
      <c r="D3046" t="inlineStr">
        <is>
          <t>Thursday</t>
        </is>
      </c>
      <c r="E3046" t="n">
        <v>35</v>
      </c>
      <c r="F3046" t="b">
        <v>0</v>
      </c>
      <c r="H3046" t="b">
        <v>0</v>
      </c>
    </row>
    <row r="3047">
      <c r="A3047" t="inlineStr">
        <is>
          <t>S011</t>
        </is>
      </c>
      <c r="B3047" s="3" t="n">
        <v>46275</v>
      </c>
      <c r="C3047" t="n">
        <v>13</v>
      </c>
      <c r="D3047" t="inlineStr">
        <is>
          <t>Thursday</t>
        </is>
      </c>
      <c r="E3047" t="n">
        <v>30</v>
      </c>
      <c r="F3047" t="b">
        <v>0</v>
      </c>
      <c r="G3047" t="inlineStr">
        <is>
          <t>Light</t>
        </is>
      </c>
      <c r="H3047" t="b">
        <v>0</v>
      </c>
    </row>
    <row r="3048">
      <c r="A3048" t="inlineStr">
        <is>
          <t>S011</t>
        </is>
      </c>
      <c r="B3048" s="3" t="n">
        <v>46275</v>
      </c>
      <c r="C3048" t="n">
        <v>14</v>
      </c>
      <c r="D3048" t="inlineStr">
        <is>
          <t>Thursday</t>
        </is>
      </c>
      <c r="E3048" t="n">
        <v>23</v>
      </c>
      <c r="F3048" t="b">
        <v>0</v>
      </c>
      <c r="H3048" t="b">
        <v>0</v>
      </c>
    </row>
    <row r="3049">
      <c r="A3049" t="inlineStr">
        <is>
          <t>S011</t>
        </is>
      </c>
      <c r="B3049" s="3" t="n">
        <v>46275</v>
      </c>
      <c r="C3049" t="n">
        <v>15</v>
      </c>
      <c r="D3049" t="inlineStr">
        <is>
          <t>Thursday</t>
        </is>
      </c>
      <c r="E3049" t="n">
        <v>20</v>
      </c>
      <c r="F3049" t="b">
        <v>0</v>
      </c>
      <c r="H3049" t="b">
        <v>0</v>
      </c>
    </row>
    <row r="3050">
      <c r="A3050" t="inlineStr">
        <is>
          <t>S011</t>
        </is>
      </c>
      <c r="B3050" s="3" t="n">
        <v>46275</v>
      </c>
      <c r="C3050" t="n">
        <v>16</v>
      </c>
      <c r="D3050" t="inlineStr">
        <is>
          <t>Thursday</t>
        </is>
      </c>
      <c r="E3050" t="n">
        <v>29</v>
      </c>
      <c r="F3050" t="b">
        <v>0</v>
      </c>
      <c r="G3050" t="inlineStr">
        <is>
          <t>Light</t>
        </is>
      </c>
      <c r="H3050" t="b">
        <v>0</v>
      </c>
    </row>
    <row r="3051">
      <c r="A3051" t="inlineStr">
        <is>
          <t>S011</t>
        </is>
      </c>
      <c r="B3051" s="3" t="n">
        <v>46275</v>
      </c>
      <c r="C3051" t="n">
        <v>17</v>
      </c>
      <c r="D3051" t="inlineStr">
        <is>
          <t>Thursday</t>
        </is>
      </c>
      <c r="E3051" t="n">
        <v>38</v>
      </c>
      <c r="F3051" t="b">
        <v>0</v>
      </c>
      <c r="H3051" t="b">
        <v>0</v>
      </c>
    </row>
    <row r="3052">
      <c r="A3052" t="inlineStr">
        <is>
          <t>S011</t>
        </is>
      </c>
      <c r="B3052" s="3" t="n">
        <v>46275</v>
      </c>
      <c r="C3052" t="n">
        <v>18</v>
      </c>
      <c r="D3052" t="inlineStr">
        <is>
          <t>Thursday</t>
        </is>
      </c>
      <c r="E3052" t="n">
        <v>31</v>
      </c>
      <c r="F3052" t="b">
        <v>0</v>
      </c>
      <c r="H3052" t="b">
        <v>0</v>
      </c>
    </row>
    <row r="3053">
      <c r="A3053" t="inlineStr">
        <is>
          <t>S011</t>
        </is>
      </c>
      <c r="B3053" s="3" t="n">
        <v>46275</v>
      </c>
      <c r="C3053" t="n">
        <v>19</v>
      </c>
      <c r="D3053" t="inlineStr">
        <is>
          <t>Thursday</t>
        </is>
      </c>
      <c r="E3053" t="n">
        <v>39</v>
      </c>
      <c r="F3053" t="b">
        <v>1</v>
      </c>
      <c r="H3053" t="b">
        <v>0</v>
      </c>
    </row>
    <row r="3054">
      <c r="A3054" t="inlineStr">
        <is>
          <t>S011</t>
        </is>
      </c>
      <c r="B3054" s="3" t="n">
        <v>46275</v>
      </c>
      <c r="C3054" t="n">
        <v>20</v>
      </c>
      <c r="D3054" t="inlineStr">
        <is>
          <t>Thursday</t>
        </is>
      </c>
      <c r="E3054" t="n">
        <v>46</v>
      </c>
      <c r="F3054" t="b">
        <v>1</v>
      </c>
      <c r="G3054" t="inlineStr">
        <is>
          <t>Heavy</t>
        </is>
      </c>
      <c r="H3054" t="b">
        <v>0</v>
      </c>
    </row>
    <row r="3055">
      <c r="A3055" t="inlineStr">
        <is>
          <t>S011</t>
        </is>
      </c>
      <c r="B3055" s="3" t="n">
        <v>46275</v>
      </c>
      <c r="C3055" t="n">
        <v>21</v>
      </c>
      <c r="D3055" t="inlineStr">
        <is>
          <t>Thursday</t>
        </is>
      </c>
      <c r="E3055" t="n">
        <v>41</v>
      </c>
      <c r="F3055" t="b">
        <v>1</v>
      </c>
      <c r="H3055" t="b">
        <v>0</v>
      </c>
    </row>
    <row r="3056">
      <c r="A3056" t="inlineStr">
        <is>
          <t>S011</t>
        </is>
      </c>
      <c r="B3056" s="3" t="n">
        <v>46275</v>
      </c>
      <c r="C3056" t="n">
        <v>22</v>
      </c>
      <c r="D3056" t="inlineStr">
        <is>
          <t>Thursday</t>
        </is>
      </c>
      <c r="E3056" t="n">
        <v>29</v>
      </c>
      <c r="F3056" t="b">
        <v>0</v>
      </c>
      <c r="H3056" t="b">
        <v>0</v>
      </c>
    </row>
    <row r="3057">
      <c r="A3057" t="inlineStr">
        <is>
          <t>S011</t>
        </is>
      </c>
      <c r="B3057" s="3" t="n">
        <v>46275</v>
      </c>
      <c r="C3057" t="n">
        <v>23</v>
      </c>
      <c r="D3057" t="inlineStr">
        <is>
          <t>Thursday</t>
        </is>
      </c>
      <c r="E3057" t="n">
        <v>29</v>
      </c>
      <c r="F3057" t="b">
        <v>0</v>
      </c>
      <c r="G3057" t="inlineStr">
        <is>
          <t>Light</t>
        </is>
      </c>
      <c r="H3057" t="b">
        <v>0</v>
      </c>
    </row>
    <row r="3058">
      <c r="A3058" t="inlineStr">
        <is>
          <t>S012</t>
        </is>
      </c>
      <c r="B3058" s="3" t="n">
        <v>46275</v>
      </c>
      <c r="C3058" t="n">
        <v>8</v>
      </c>
      <c r="D3058" t="inlineStr">
        <is>
          <t>Thursday</t>
        </is>
      </c>
      <c r="E3058" t="n">
        <v>11</v>
      </c>
      <c r="F3058" t="b">
        <v>0</v>
      </c>
      <c r="H3058" t="b">
        <v>0</v>
      </c>
    </row>
    <row r="3059">
      <c r="A3059" t="inlineStr">
        <is>
          <t>S012</t>
        </is>
      </c>
      <c r="B3059" s="3" t="n">
        <v>46275</v>
      </c>
      <c r="C3059" t="n">
        <v>9</v>
      </c>
      <c r="D3059" t="inlineStr">
        <is>
          <t>Thursday</t>
        </is>
      </c>
      <c r="E3059" t="n">
        <v>9</v>
      </c>
      <c r="F3059" t="b">
        <v>0</v>
      </c>
      <c r="G3059" t="inlineStr">
        <is>
          <t>Light</t>
        </is>
      </c>
      <c r="H3059" t="b">
        <v>0</v>
      </c>
    </row>
    <row r="3060">
      <c r="A3060" t="inlineStr">
        <is>
          <t>S012</t>
        </is>
      </c>
      <c r="B3060" s="3" t="n">
        <v>46275</v>
      </c>
      <c r="C3060" t="n">
        <v>10</v>
      </c>
      <c r="D3060" t="inlineStr">
        <is>
          <t>Thursday</t>
        </is>
      </c>
      <c r="E3060" t="n">
        <v>15</v>
      </c>
      <c r="F3060" t="b">
        <v>0</v>
      </c>
      <c r="H3060" t="b">
        <v>0</v>
      </c>
    </row>
    <row r="3061">
      <c r="A3061" t="inlineStr">
        <is>
          <t>S012</t>
        </is>
      </c>
      <c r="B3061" s="3" t="n">
        <v>46275</v>
      </c>
      <c r="C3061" t="n">
        <v>11</v>
      </c>
      <c r="D3061" t="inlineStr">
        <is>
          <t>Thursday</t>
        </is>
      </c>
      <c r="E3061" t="n">
        <v>13</v>
      </c>
      <c r="F3061" t="b">
        <v>0</v>
      </c>
      <c r="H3061" t="b">
        <v>0</v>
      </c>
    </row>
    <row r="3062">
      <c r="A3062" t="inlineStr">
        <is>
          <t>S012</t>
        </is>
      </c>
      <c r="B3062" s="3" t="n">
        <v>46275</v>
      </c>
      <c r="C3062" t="n">
        <v>12</v>
      </c>
      <c r="D3062" t="inlineStr">
        <is>
          <t>Thursday</t>
        </is>
      </c>
      <c r="E3062" t="n">
        <v>17</v>
      </c>
      <c r="F3062" t="b">
        <v>0</v>
      </c>
      <c r="H3062" t="b">
        <v>0</v>
      </c>
    </row>
    <row r="3063">
      <c r="A3063" t="inlineStr">
        <is>
          <t>S012</t>
        </is>
      </c>
      <c r="B3063" s="3" t="n">
        <v>46275</v>
      </c>
      <c r="C3063" t="n">
        <v>13</v>
      </c>
      <c r="D3063" t="inlineStr">
        <is>
          <t>Thursday</t>
        </is>
      </c>
      <c r="E3063" t="n">
        <v>14</v>
      </c>
      <c r="F3063" t="b">
        <v>0</v>
      </c>
      <c r="G3063" t="inlineStr">
        <is>
          <t>Light</t>
        </is>
      </c>
      <c r="H3063" t="b">
        <v>1</v>
      </c>
    </row>
    <row r="3064">
      <c r="A3064" t="inlineStr">
        <is>
          <t>S012</t>
        </is>
      </c>
      <c r="B3064" s="3" t="n">
        <v>46275</v>
      </c>
      <c r="C3064" t="n">
        <v>14</v>
      </c>
      <c r="D3064" t="inlineStr">
        <is>
          <t>Thursday</t>
        </is>
      </c>
      <c r="E3064" t="n">
        <v>12</v>
      </c>
      <c r="F3064" t="b">
        <v>0</v>
      </c>
      <c r="H3064" t="b">
        <v>0</v>
      </c>
    </row>
    <row r="3065">
      <c r="A3065" t="inlineStr">
        <is>
          <t>S012</t>
        </is>
      </c>
      <c r="B3065" s="3" t="n">
        <v>46275</v>
      </c>
      <c r="C3065" t="n">
        <v>15</v>
      </c>
      <c r="D3065" t="inlineStr">
        <is>
          <t>Thursday</t>
        </is>
      </c>
      <c r="E3065" t="n">
        <v>7</v>
      </c>
      <c r="F3065" t="b">
        <v>0</v>
      </c>
      <c r="H3065" t="b">
        <v>0</v>
      </c>
    </row>
    <row r="3066">
      <c r="A3066" t="inlineStr">
        <is>
          <t>S012</t>
        </is>
      </c>
      <c r="B3066" s="3" t="n">
        <v>46275</v>
      </c>
      <c r="C3066" t="n">
        <v>16</v>
      </c>
      <c r="D3066" t="inlineStr">
        <is>
          <t>Thursday</t>
        </is>
      </c>
      <c r="E3066" t="n">
        <v>21</v>
      </c>
      <c r="F3066" t="b">
        <v>0</v>
      </c>
      <c r="H3066" t="b">
        <v>0</v>
      </c>
    </row>
    <row r="3067">
      <c r="A3067" t="inlineStr">
        <is>
          <t>S012</t>
        </is>
      </c>
      <c r="B3067" s="3" t="n">
        <v>46275</v>
      </c>
      <c r="C3067" t="n">
        <v>17</v>
      </c>
      <c r="D3067" t="inlineStr">
        <is>
          <t>Thursday</t>
        </is>
      </c>
      <c r="E3067" t="n">
        <v>15</v>
      </c>
      <c r="F3067" t="b">
        <v>0</v>
      </c>
      <c r="H3067" t="b">
        <v>0</v>
      </c>
    </row>
    <row r="3068">
      <c r="A3068" t="inlineStr">
        <is>
          <t>S012</t>
        </is>
      </c>
      <c r="B3068" s="3" t="n">
        <v>46275</v>
      </c>
      <c r="C3068" t="n">
        <v>18</v>
      </c>
      <c r="D3068" t="inlineStr">
        <is>
          <t>Thursday</t>
        </is>
      </c>
      <c r="E3068" t="n">
        <v>15</v>
      </c>
      <c r="F3068" t="b">
        <v>0</v>
      </c>
      <c r="H3068" t="b">
        <v>0</v>
      </c>
    </row>
    <row r="3069">
      <c r="A3069" t="inlineStr">
        <is>
          <t>S012</t>
        </is>
      </c>
      <c r="B3069" s="3" t="n">
        <v>46275</v>
      </c>
      <c r="C3069" t="n">
        <v>19</v>
      </c>
      <c r="D3069" t="inlineStr">
        <is>
          <t>Thursday</t>
        </is>
      </c>
      <c r="E3069" t="n">
        <v>18</v>
      </c>
      <c r="F3069" t="b">
        <v>1</v>
      </c>
      <c r="H3069" t="b">
        <v>0</v>
      </c>
    </row>
    <row r="3070">
      <c r="A3070" t="inlineStr">
        <is>
          <t>S012</t>
        </is>
      </c>
      <c r="B3070" s="3" t="n">
        <v>46275</v>
      </c>
      <c r="C3070" t="n">
        <v>20</v>
      </c>
      <c r="D3070" t="inlineStr">
        <is>
          <t>Thursday</t>
        </is>
      </c>
      <c r="E3070" t="n">
        <v>22</v>
      </c>
      <c r="F3070" t="b">
        <v>1</v>
      </c>
      <c r="H3070" t="b">
        <v>0</v>
      </c>
    </row>
    <row r="3071">
      <c r="A3071" t="inlineStr">
        <is>
          <t>S012</t>
        </is>
      </c>
      <c r="B3071" s="3" t="n">
        <v>46275</v>
      </c>
      <c r="C3071" t="n">
        <v>21</v>
      </c>
      <c r="D3071" t="inlineStr">
        <is>
          <t>Thursday</t>
        </is>
      </c>
      <c r="E3071" t="n">
        <v>25</v>
      </c>
      <c r="F3071" t="b">
        <v>1</v>
      </c>
      <c r="G3071" t="inlineStr">
        <is>
          <t>Light</t>
        </is>
      </c>
      <c r="H3071" t="b">
        <v>0</v>
      </c>
    </row>
    <row r="3072">
      <c r="A3072" t="inlineStr">
        <is>
          <t>S012</t>
        </is>
      </c>
      <c r="B3072" s="3" t="n">
        <v>46275</v>
      </c>
      <c r="C3072" t="n">
        <v>22</v>
      </c>
      <c r="D3072" t="inlineStr">
        <is>
          <t>Thursday</t>
        </is>
      </c>
      <c r="E3072" t="n">
        <v>11</v>
      </c>
      <c r="F3072" t="b">
        <v>0</v>
      </c>
      <c r="H3072" t="b">
        <v>0</v>
      </c>
    </row>
    <row r="3073">
      <c r="A3073" t="inlineStr">
        <is>
          <t>S012</t>
        </is>
      </c>
      <c r="B3073" s="3" t="n">
        <v>46275</v>
      </c>
      <c r="C3073" t="n">
        <v>23</v>
      </c>
      <c r="D3073" t="inlineStr">
        <is>
          <t>Thursday</t>
        </is>
      </c>
      <c r="E3073" t="n">
        <v>11</v>
      </c>
      <c r="F3073" t="b">
        <v>0</v>
      </c>
      <c r="H3073" t="b">
        <v>0</v>
      </c>
    </row>
    <row r="3074">
      <c r="A3074" t="inlineStr">
        <is>
          <t>S013</t>
        </is>
      </c>
      <c r="B3074" s="3" t="n">
        <v>46275</v>
      </c>
      <c r="C3074" t="n">
        <v>8</v>
      </c>
      <c r="D3074" t="inlineStr">
        <is>
          <t>Thursday</t>
        </is>
      </c>
      <c r="E3074" t="n">
        <v>35</v>
      </c>
      <c r="F3074" t="b">
        <v>0</v>
      </c>
      <c r="H3074" t="b">
        <v>0</v>
      </c>
    </row>
    <row r="3075">
      <c r="A3075" t="inlineStr">
        <is>
          <t>S013</t>
        </is>
      </c>
      <c r="B3075" s="3" t="n">
        <v>46275</v>
      </c>
      <c r="C3075" t="n">
        <v>9</v>
      </c>
      <c r="D3075" t="inlineStr">
        <is>
          <t>Thursday</t>
        </is>
      </c>
      <c r="E3075" t="n">
        <v>39</v>
      </c>
      <c r="F3075" t="b">
        <v>0</v>
      </c>
      <c r="H3075" t="b">
        <v>0</v>
      </c>
    </row>
    <row r="3076">
      <c r="A3076" t="inlineStr">
        <is>
          <t>S013</t>
        </is>
      </c>
      <c r="B3076" s="3" t="n">
        <v>46275</v>
      </c>
      <c r="C3076" t="n">
        <v>10</v>
      </c>
      <c r="D3076" t="inlineStr">
        <is>
          <t>Thursday</t>
        </is>
      </c>
      <c r="E3076" t="n">
        <v>42</v>
      </c>
      <c r="F3076" t="b">
        <v>0</v>
      </c>
      <c r="H3076" t="b">
        <v>0</v>
      </c>
    </row>
    <row r="3077">
      <c r="A3077" t="inlineStr">
        <is>
          <t>S013</t>
        </is>
      </c>
      <c r="B3077" s="3" t="n">
        <v>46275</v>
      </c>
      <c r="C3077" t="n">
        <v>11</v>
      </c>
      <c r="D3077" t="inlineStr">
        <is>
          <t>Thursday</t>
        </is>
      </c>
      <c r="E3077" t="n">
        <v>40</v>
      </c>
      <c r="F3077" t="b">
        <v>0</v>
      </c>
      <c r="G3077" t="inlineStr">
        <is>
          <t>Heavy</t>
        </is>
      </c>
      <c r="H3077" t="b">
        <v>0</v>
      </c>
    </row>
    <row r="3078">
      <c r="A3078" t="inlineStr">
        <is>
          <t>S013</t>
        </is>
      </c>
      <c r="B3078" s="3" t="n">
        <v>46275</v>
      </c>
      <c r="C3078" t="n">
        <v>12</v>
      </c>
      <c r="D3078" t="inlineStr">
        <is>
          <t>Thursday</t>
        </is>
      </c>
      <c r="E3078" t="n">
        <v>47</v>
      </c>
      <c r="F3078" t="b">
        <v>0</v>
      </c>
      <c r="H3078" t="b">
        <v>0</v>
      </c>
    </row>
    <row r="3079">
      <c r="A3079" t="inlineStr">
        <is>
          <t>S013</t>
        </is>
      </c>
      <c r="B3079" s="3" t="n">
        <v>46275</v>
      </c>
      <c r="C3079" t="n">
        <v>13</v>
      </c>
      <c r="D3079" t="inlineStr">
        <is>
          <t>Thursday</t>
        </is>
      </c>
      <c r="E3079" t="n">
        <v>50</v>
      </c>
      <c r="F3079" t="b">
        <v>0</v>
      </c>
      <c r="H3079" t="b">
        <v>0</v>
      </c>
    </row>
    <row r="3080">
      <c r="A3080" t="inlineStr">
        <is>
          <t>S013</t>
        </is>
      </c>
      <c r="B3080" s="3" t="n">
        <v>46275</v>
      </c>
      <c r="C3080" t="n">
        <v>14</v>
      </c>
      <c r="D3080" t="inlineStr">
        <is>
          <t>Thursday</t>
        </is>
      </c>
      <c r="E3080" t="n">
        <v>39</v>
      </c>
      <c r="F3080" t="b">
        <v>0</v>
      </c>
      <c r="H3080" t="b">
        <v>0</v>
      </c>
    </row>
    <row r="3081">
      <c r="A3081" t="inlineStr">
        <is>
          <t>S013</t>
        </is>
      </c>
      <c r="B3081" s="3" t="n">
        <v>46275</v>
      </c>
      <c r="C3081" t="n">
        <v>15</v>
      </c>
      <c r="D3081" t="inlineStr">
        <is>
          <t>Thursday</t>
        </is>
      </c>
      <c r="E3081" t="n">
        <v>46</v>
      </c>
      <c r="F3081" t="b">
        <v>0</v>
      </c>
      <c r="G3081" t="inlineStr">
        <is>
          <t>Heavy</t>
        </is>
      </c>
      <c r="H3081" t="b">
        <v>0</v>
      </c>
    </row>
    <row r="3082">
      <c r="A3082" t="inlineStr">
        <is>
          <t>S013</t>
        </is>
      </c>
      <c r="B3082" s="3" t="n">
        <v>46275</v>
      </c>
      <c r="C3082" t="n">
        <v>16</v>
      </c>
      <c r="D3082" t="inlineStr">
        <is>
          <t>Thursday</t>
        </is>
      </c>
      <c r="E3082" t="n">
        <v>52</v>
      </c>
      <c r="F3082" t="b">
        <v>0</v>
      </c>
      <c r="H3082" t="b">
        <v>0</v>
      </c>
    </row>
    <row r="3083">
      <c r="A3083" t="inlineStr">
        <is>
          <t>S013</t>
        </is>
      </c>
      <c r="B3083" s="3" t="n">
        <v>46275</v>
      </c>
      <c r="C3083" t="n">
        <v>17</v>
      </c>
      <c r="D3083" t="inlineStr">
        <is>
          <t>Thursday</t>
        </is>
      </c>
      <c r="E3083" t="n">
        <v>58</v>
      </c>
      <c r="F3083" t="b">
        <v>0</v>
      </c>
      <c r="H3083" t="b">
        <v>0</v>
      </c>
    </row>
    <row r="3084">
      <c r="A3084" t="inlineStr">
        <is>
          <t>S013</t>
        </is>
      </c>
      <c r="B3084" s="3" t="n">
        <v>46275</v>
      </c>
      <c r="C3084" t="n">
        <v>18</v>
      </c>
      <c r="D3084" t="inlineStr">
        <is>
          <t>Thursday</t>
        </is>
      </c>
      <c r="E3084" t="n">
        <v>52</v>
      </c>
      <c r="F3084" t="b">
        <v>0</v>
      </c>
      <c r="H3084" t="b">
        <v>0</v>
      </c>
    </row>
    <row r="3085">
      <c r="A3085" t="inlineStr">
        <is>
          <t>S013</t>
        </is>
      </c>
      <c r="B3085" s="3" t="n">
        <v>46275</v>
      </c>
      <c r="C3085" t="n">
        <v>19</v>
      </c>
      <c r="D3085" t="inlineStr">
        <is>
          <t>Thursday</t>
        </is>
      </c>
      <c r="E3085" t="n">
        <v>71</v>
      </c>
      <c r="F3085" t="b">
        <v>1</v>
      </c>
      <c r="H3085" t="b">
        <v>0</v>
      </c>
    </row>
    <row r="3086">
      <c r="A3086" t="inlineStr">
        <is>
          <t>S013</t>
        </is>
      </c>
      <c r="B3086" s="3" t="n">
        <v>46275</v>
      </c>
      <c r="C3086" t="n">
        <v>20</v>
      </c>
      <c r="D3086" t="inlineStr">
        <is>
          <t>Thursday</t>
        </is>
      </c>
      <c r="E3086" t="n">
        <v>71</v>
      </c>
      <c r="F3086" t="b">
        <v>1</v>
      </c>
      <c r="H3086" t="b">
        <v>0</v>
      </c>
    </row>
    <row r="3087">
      <c r="A3087" t="inlineStr">
        <is>
          <t>S013</t>
        </is>
      </c>
      <c r="B3087" s="3" t="n">
        <v>46275</v>
      </c>
      <c r="C3087" t="n">
        <v>21</v>
      </c>
      <c r="D3087" t="inlineStr">
        <is>
          <t>Thursday</t>
        </is>
      </c>
      <c r="E3087" t="n">
        <v>75</v>
      </c>
      <c r="F3087" t="b">
        <v>1</v>
      </c>
      <c r="H3087" t="b">
        <v>0</v>
      </c>
    </row>
    <row r="3088">
      <c r="A3088" t="inlineStr">
        <is>
          <t>S013</t>
        </is>
      </c>
      <c r="B3088" s="3" t="n">
        <v>46275</v>
      </c>
      <c r="C3088" t="n">
        <v>22</v>
      </c>
      <c r="D3088" t="inlineStr">
        <is>
          <t>Thursday</t>
        </is>
      </c>
      <c r="E3088" t="n">
        <v>40</v>
      </c>
      <c r="F3088" t="b">
        <v>0</v>
      </c>
      <c r="G3088" t="inlineStr">
        <is>
          <t>Heavy</t>
        </is>
      </c>
      <c r="H3088" t="b">
        <v>0</v>
      </c>
    </row>
    <row r="3089">
      <c r="A3089" t="inlineStr">
        <is>
          <t>S013</t>
        </is>
      </c>
      <c r="B3089" s="3" t="n">
        <v>46275</v>
      </c>
      <c r="C3089" t="n">
        <v>23</v>
      </c>
      <c r="D3089" t="inlineStr">
        <is>
          <t>Thursday</t>
        </is>
      </c>
      <c r="E3089" t="n">
        <v>49</v>
      </c>
      <c r="F3089" t="b">
        <v>0</v>
      </c>
      <c r="G3089" t="inlineStr">
        <is>
          <t>Light</t>
        </is>
      </c>
      <c r="H3089" t="b">
        <v>0</v>
      </c>
    </row>
    <row r="3090">
      <c r="A3090" t="inlineStr">
        <is>
          <t>S014</t>
        </is>
      </c>
      <c r="B3090" s="3" t="n">
        <v>46275</v>
      </c>
      <c r="C3090" t="n">
        <v>8</v>
      </c>
      <c r="D3090" t="inlineStr">
        <is>
          <t>Thursday</t>
        </is>
      </c>
      <c r="E3090" t="n">
        <v>22</v>
      </c>
      <c r="F3090" t="b">
        <v>0</v>
      </c>
      <c r="G3090" t="inlineStr">
        <is>
          <t>Light</t>
        </is>
      </c>
      <c r="H3090" t="b">
        <v>0</v>
      </c>
    </row>
    <row r="3091">
      <c r="A3091" t="inlineStr">
        <is>
          <t>S014</t>
        </is>
      </c>
      <c r="B3091" s="3" t="n">
        <v>46275</v>
      </c>
      <c r="C3091" t="n">
        <v>9</v>
      </c>
      <c r="D3091" t="inlineStr">
        <is>
          <t>Thursday</t>
        </is>
      </c>
      <c r="E3091" t="n">
        <v>20</v>
      </c>
      <c r="F3091" t="b">
        <v>0</v>
      </c>
      <c r="H3091" t="b">
        <v>0</v>
      </c>
    </row>
    <row r="3092">
      <c r="A3092" t="inlineStr">
        <is>
          <t>S014</t>
        </is>
      </c>
      <c r="B3092" s="3" t="n">
        <v>46275</v>
      </c>
      <c r="C3092" t="n">
        <v>10</v>
      </c>
      <c r="D3092" t="inlineStr">
        <is>
          <t>Thursday</t>
        </is>
      </c>
      <c r="E3092" t="n">
        <v>21</v>
      </c>
      <c r="F3092" t="b">
        <v>0</v>
      </c>
      <c r="H3092" t="b">
        <v>0</v>
      </c>
    </row>
    <row r="3093">
      <c r="A3093" t="inlineStr">
        <is>
          <t>S014</t>
        </is>
      </c>
      <c r="B3093" s="3" t="n">
        <v>46275</v>
      </c>
      <c r="C3093" t="n">
        <v>11</v>
      </c>
      <c r="D3093" t="inlineStr">
        <is>
          <t>Thursday</t>
        </is>
      </c>
      <c r="E3093" t="n">
        <v>31</v>
      </c>
      <c r="F3093" t="b">
        <v>0</v>
      </c>
      <c r="G3093" t="inlineStr">
        <is>
          <t>Heavy</t>
        </is>
      </c>
      <c r="H3093" t="b">
        <v>0</v>
      </c>
    </row>
    <row r="3094">
      <c r="A3094" t="inlineStr">
        <is>
          <t>S014</t>
        </is>
      </c>
      <c r="B3094" s="3" t="n">
        <v>46275</v>
      </c>
      <c r="C3094" t="n">
        <v>12</v>
      </c>
      <c r="D3094" t="inlineStr">
        <is>
          <t>Thursday</t>
        </is>
      </c>
      <c r="E3094" t="n">
        <v>43</v>
      </c>
      <c r="F3094" t="b">
        <v>0</v>
      </c>
      <c r="H3094" t="b">
        <v>0</v>
      </c>
    </row>
    <row r="3095">
      <c r="A3095" t="inlineStr">
        <is>
          <t>S014</t>
        </is>
      </c>
      <c r="B3095" s="3" t="n">
        <v>46275</v>
      </c>
      <c r="C3095" t="n">
        <v>13</v>
      </c>
      <c r="D3095" t="inlineStr">
        <is>
          <t>Thursday</t>
        </is>
      </c>
      <c r="E3095" t="n">
        <v>30</v>
      </c>
      <c r="F3095" t="b">
        <v>0</v>
      </c>
      <c r="G3095" t="inlineStr">
        <is>
          <t>Heavy</t>
        </is>
      </c>
      <c r="H3095" t="b">
        <v>0</v>
      </c>
    </row>
    <row r="3096">
      <c r="A3096" t="inlineStr">
        <is>
          <t>S014</t>
        </is>
      </c>
      <c r="B3096" s="3" t="n">
        <v>46275</v>
      </c>
      <c r="C3096" t="n">
        <v>14</v>
      </c>
      <c r="D3096" t="inlineStr">
        <is>
          <t>Thursday</t>
        </is>
      </c>
      <c r="E3096" t="n">
        <v>29</v>
      </c>
      <c r="F3096" t="b">
        <v>0</v>
      </c>
      <c r="G3096" t="inlineStr">
        <is>
          <t>Light</t>
        </is>
      </c>
      <c r="H3096" t="b">
        <v>0</v>
      </c>
    </row>
    <row r="3097">
      <c r="A3097" t="inlineStr">
        <is>
          <t>S014</t>
        </is>
      </c>
      <c r="B3097" s="3" t="n">
        <v>46275</v>
      </c>
      <c r="C3097" t="n">
        <v>15</v>
      </c>
      <c r="D3097" t="inlineStr">
        <is>
          <t>Thursday</t>
        </is>
      </c>
      <c r="E3097" t="n">
        <v>31</v>
      </c>
      <c r="F3097" t="b">
        <v>0</v>
      </c>
      <c r="G3097" t="inlineStr">
        <is>
          <t>Heavy</t>
        </is>
      </c>
      <c r="H3097" t="b">
        <v>0</v>
      </c>
    </row>
    <row r="3098">
      <c r="A3098" t="inlineStr">
        <is>
          <t>S014</t>
        </is>
      </c>
      <c r="B3098" s="3" t="n">
        <v>46275</v>
      </c>
      <c r="C3098" t="n">
        <v>16</v>
      </c>
      <c r="D3098" t="inlineStr">
        <is>
          <t>Thursday</t>
        </is>
      </c>
      <c r="E3098" t="n">
        <v>37</v>
      </c>
      <c r="F3098" t="b">
        <v>0</v>
      </c>
      <c r="H3098" t="b">
        <v>0</v>
      </c>
    </row>
    <row r="3099">
      <c r="A3099" t="inlineStr">
        <is>
          <t>S014</t>
        </is>
      </c>
      <c r="B3099" s="3" t="n">
        <v>46275</v>
      </c>
      <c r="C3099" t="n">
        <v>17</v>
      </c>
      <c r="D3099" t="inlineStr">
        <is>
          <t>Thursday</t>
        </is>
      </c>
      <c r="E3099" t="n">
        <v>48</v>
      </c>
      <c r="F3099" t="b">
        <v>0</v>
      </c>
      <c r="G3099" t="inlineStr">
        <is>
          <t>Heavy</t>
        </is>
      </c>
      <c r="H3099" t="b">
        <v>0</v>
      </c>
    </row>
    <row r="3100">
      <c r="A3100" t="inlineStr">
        <is>
          <t>S014</t>
        </is>
      </c>
      <c r="B3100" s="3" t="n">
        <v>46275</v>
      </c>
      <c r="C3100" t="n">
        <v>18</v>
      </c>
      <c r="D3100" t="inlineStr">
        <is>
          <t>Thursday</t>
        </is>
      </c>
      <c r="E3100" t="n">
        <v>47</v>
      </c>
      <c r="F3100" t="b">
        <v>0</v>
      </c>
      <c r="H3100" t="b">
        <v>0</v>
      </c>
    </row>
    <row r="3101">
      <c r="A3101" t="inlineStr">
        <is>
          <t>S014</t>
        </is>
      </c>
      <c r="B3101" s="3" t="n">
        <v>46275</v>
      </c>
      <c r="C3101" t="n">
        <v>19</v>
      </c>
      <c r="D3101" t="inlineStr">
        <is>
          <t>Thursday</t>
        </is>
      </c>
      <c r="E3101" t="n">
        <v>54</v>
      </c>
      <c r="F3101" t="b">
        <v>1</v>
      </c>
      <c r="G3101" t="inlineStr">
        <is>
          <t>Light</t>
        </is>
      </c>
      <c r="H3101" t="b">
        <v>0</v>
      </c>
    </row>
    <row r="3102">
      <c r="A3102" t="inlineStr">
        <is>
          <t>S014</t>
        </is>
      </c>
      <c r="B3102" s="3" t="n">
        <v>46275</v>
      </c>
      <c r="C3102" t="n">
        <v>20</v>
      </c>
      <c r="D3102" t="inlineStr">
        <is>
          <t>Thursday</t>
        </is>
      </c>
      <c r="E3102" t="n">
        <v>54</v>
      </c>
      <c r="F3102" t="b">
        <v>1</v>
      </c>
      <c r="G3102" t="inlineStr">
        <is>
          <t>Heavy</t>
        </is>
      </c>
      <c r="H3102" t="b">
        <v>0</v>
      </c>
    </row>
    <row r="3103">
      <c r="A3103" t="inlineStr">
        <is>
          <t>S014</t>
        </is>
      </c>
      <c r="B3103" s="3" t="n">
        <v>46275</v>
      </c>
      <c r="C3103" t="n">
        <v>21</v>
      </c>
      <c r="D3103" t="inlineStr">
        <is>
          <t>Thursday</t>
        </is>
      </c>
      <c r="E3103" t="n">
        <v>59</v>
      </c>
      <c r="F3103" t="b">
        <v>1</v>
      </c>
      <c r="H3103" t="b">
        <v>0</v>
      </c>
    </row>
    <row r="3104">
      <c r="A3104" t="inlineStr">
        <is>
          <t>S014</t>
        </is>
      </c>
      <c r="B3104" s="3" t="n">
        <v>46275</v>
      </c>
      <c r="C3104" t="n">
        <v>22</v>
      </c>
      <c r="D3104" t="inlineStr">
        <is>
          <t>Thursday</t>
        </is>
      </c>
      <c r="E3104" t="n">
        <v>26</v>
      </c>
      <c r="F3104" t="b">
        <v>0</v>
      </c>
      <c r="H3104" t="b">
        <v>0</v>
      </c>
    </row>
    <row r="3105">
      <c r="A3105" t="inlineStr">
        <is>
          <t>S014</t>
        </is>
      </c>
      <c r="B3105" s="3" t="n">
        <v>46275</v>
      </c>
      <c r="C3105" t="n">
        <v>23</v>
      </c>
      <c r="D3105" t="inlineStr">
        <is>
          <t>Thursday</t>
        </is>
      </c>
      <c r="E3105" t="n">
        <v>39</v>
      </c>
      <c r="F3105" t="b">
        <v>0</v>
      </c>
      <c r="H3105" t="b">
        <v>0</v>
      </c>
    </row>
    <row r="3106">
      <c r="A3106" t="inlineStr">
        <is>
          <t>S015</t>
        </is>
      </c>
      <c r="B3106" s="3" t="n">
        <v>46275</v>
      </c>
      <c r="C3106" t="n">
        <v>8</v>
      </c>
      <c r="D3106" t="inlineStr">
        <is>
          <t>Thursday</t>
        </is>
      </c>
      <c r="E3106" t="n">
        <v>19</v>
      </c>
      <c r="F3106" t="b">
        <v>0</v>
      </c>
      <c r="H3106" t="b">
        <v>0</v>
      </c>
    </row>
    <row r="3107">
      <c r="A3107" t="inlineStr">
        <is>
          <t>S015</t>
        </is>
      </c>
      <c r="B3107" s="3" t="n">
        <v>46275</v>
      </c>
      <c r="C3107" t="n">
        <v>9</v>
      </c>
      <c r="D3107" t="inlineStr">
        <is>
          <t>Thursday</t>
        </is>
      </c>
      <c r="E3107" t="n">
        <v>9</v>
      </c>
      <c r="F3107" t="b">
        <v>0</v>
      </c>
      <c r="H3107" t="b">
        <v>0</v>
      </c>
    </row>
    <row r="3108">
      <c r="A3108" t="inlineStr">
        <is>
          <t>S015</t>
        </is>
      </c>
      <c r="B3108" s="3" t="n">
        <v>46275</v>
      </c>
      <c r="C3108" t="n">
        <v>10</v>
      </c>
      <c r="D3108" t="inlineStr">
        <is>
          <t>Thursday</t>
        </is>
      </c>
      <c r="E3108" t="n">
        <v>23</v>
      </c>
      <c r="F3108" t="b">
        <v>0</v>
      </c>
      <c r="H3108" t="b">
        <v>0</v>
      </c>
    </row>
    <row r="3109">
      <c r="A3109" t="inlineStr">
        <is>
          <t>S015</t>
        </is>
      </c>
      <c r="B3109" s="3" t="n">
        <v>46275</v>
      </c>
      <c r="C3109" t="n">
        <v>11</v>
      </c>
      <c r="D3109" t="inlineStr">
        <is>
          <t>Thursday</t>
        </is>
      </c>
      <c r="E3109" t="n">
        <v>30</v>
      </c>
      <c r="F3109" t="b">
        <v>0</v>
      </c>
      <c r="H3109" t="b">
        <v>0</v>
      </c>
    </row>
    <row r="3110">
      <c r="A3110" t="inlineStr">
        <is>
          <t>S015</t>
        </is>
      </c>
      <c r="B3110" s="3" t="n">
        <v>46275</v>
      </c>
      <c r="C3110" t="n">
        <v>12</v>
      </c>
      <c r="D3110" t="inlineStr">
        <is>
          <t>Thursday</t>
        </is>
      </c>
      <c r="E3110" t="n">
        <v>22</v>
      </c>
      <c r="F3110" t="b">
        <v>0</v>
      </c>
      <c r="H3110" t="b">
        <v>0</v>
      </c>
    </row>
    <row r="3111">
      <c r="A3111" t="inlineStr">
        <is>
          <t>S015</t>
        </is>
      </c>
      <c r="B3111" s="3" t="n">
        <v>46275</v>
      </c>
      <c r="C3111" t="n">
        <v>13</v>
      </c>
      <c r="D3111" t="inlineStr">
        <is>
          <t>Thursday</t>
        </is>
      </c>
      <c r="E3111" t="n">
        <v>28</v>
      </c>
      <c r="F3111" t="b">
        <v>0</v>
      </c>
      <c r="H3111" t="b">
        <v>0</v>
      </c>
    </row>
    <row r="3112">
      <c r="A3112" t="inlineStr">
        <is>
          <t>S015</t>
        </is>
      </c>
      <c r="B3112" s="3" t="n">
        <v>46275</v>
      </c>
      <c r="C3112" t="n">
        <v>14</v>
      </c>
      <c r="D3112" t="inlineStr">
        <is>
          <t>Thursday</t>
        </is>
      </c>
      <c r="E3112" t="n">
        <v>17</v>
      </c>
      <c r="F3112" t="b">
        <v>0</v>
      </c>
      <c r="H3112" t="b">
        <v>0</v>
      </c>
    </row>
    <row r="3113">
      <c r="A3113" t="inlineStr">
        <is>
          <t>S015</t>
        </is>
      </c>
      <c r="B3113" s="3" t="n">
        <v>46275</v>
      </c>
      <c r="C3113" t="n">
        <v>15</v>
      </c>
      <c r="D3113" t="inlineStr">
        <is>
          <t>Thursday</t>
        </is>
      </c>
      <c r="E3113" t="n">
        <v>12</v>
      </c>
      <c r="F3113" t="b">
        <v>0</v>
      </c>
      <c r="H3113" t="b">
        <v>0</v>
      </c>
    </row>
    <row r="3114">
      <c r="A3114" t="inlineStr">
        <is>
          <t>S015</t>
        </is>
      </c>
      <c r="B3114" s="3" t="n">
        <v>46275</v>
      </c>
      <c r="C3114" t="n">
        <v>16</v>
      </c>
      <c r="D3114" t="inlineStr">
        <is>
          <t>Thursday</t>
        </is>
      </c>
      <c r="E3114" t="n">
        <v>16</v>
      </c>
      <c r="F3114" t="b">
        <v>0</v>
      </c>
      <c r="G3114" t="inlineStr">
        <is>
          <t>Heavy</t>
        </is>
      </c>
      <c r="H3114" t="b">
        <v>0</v>
      </c>
    </row>
    <row r="3115">
      <c r="A3115" t="inlineStr">
        <is>
          <t>S015</t>
        </is>
      </c>
      <c r="B3115" s="3" t="n">
        <v>46275</v>
      </c>
      <c r="C3115" t="n">
        <v>17</v>
      </c>
      <c r="D3115" t="inlineStr">
        <is>
          <t>Thursday</t>
        </is>
      </c>
      <c r="E3115" t="n">
        <v>21</v>
      </c>
      <c r="F3115" t="b">
        <v>0</v>
      </c>
      <c r="H3115" t="b">
        <v>0</v>
      </c>
    </row>
    <row r="3116">
      <c r="A3116" t="inlineStr">
        <is>
          <t>S015</t>
        </is>
      </c>
      <c r="B3116" s="3" t="n">
        <v>46275</v>
      </c>
      <c r="C3116" t="n">
        <v>18</v>
      </c>
      <c r="D3116" t="inlineStr">
        <is>
          <t>Thursday</t>
        </is>
      </c>
      <c r="E3116" t="n">
        <v>30</v>
      </c>
      <c r="F3116" t="b">
        <v>0</v>
      </c>
      <c r="H3116" t="b">
        <v>0</v>
      </c>
    </row>
    <row r="3117">
      <c r="A3117" t="inlineStr">
        <is>
          <t>S015</t>
        </is>
      </c>
      <c r="B3117" s="3" t="n">
        <v>46275</v>
      </c>
      <c r="C3117" t="n">
        <v>19</v>
      </c>
      <c r="D3117" t="inlineStr">
        <is>
          <t>Thursday</t>
        </is>
      </c>
      <c r="E3117" t="n">
        <v>33</v>
      </c>
      <c r="F3117" t="b">
        <v>1</v>
      </c>
      <c r="H3117" t="b">
        <v>0</v>
      </c>
    </row>
    <row r="3118">
      <c r="A3118" t="inlineStr">
        <is>
          <t>S015</t>
        </is>
      </c>
      <c r="B3118" s="3" t="n">
        <v>46275</v>
      </c>
      <c r="C3118" t="n">
        <v>20</v>
      </c>
      <c r="D3118" t="inlineStr">
        <is>
          <t>Thursday</t>
        </is>
      </c>
      <c r="E3118" t="n">
        <v>29</v>
      </c>
      <c r="F3118" t="b">
        <v>1</v>
      </c>
      <c r="H3118" t="b">
        <v>0</v>
      </c>
    </row>
    <row r="3119">
      <c r="A3119" t="inlineStr">
        <is>
          <t>S015</t>
        </is>
      </c>
      <c r="B3119" s="3" t="n">
        <v>46275</v>
      </c>
      <c r="C3119" t="n">
        <v>21</v>
      </c>
      <c r="D3119" t="inlineStr">
        <is>
          <t>Thursday</t>
        </is>
      </c>
      <c r="E3119" t="n">
        <v>36</v>
      </c>
      <c r="F3119" t="b">
        <v>1</v>
      </c>
      <c r="H3119" t="b">
        <v>0</v>
      </c>
    </row>
    <row r="3120">
      <c r="A3120" t="inlineStr">
        <is>
          <t>S015</t>
        </is>
      </c>
      <c r="B3120" s="3" t="n">
        <v>46275</v>
      </c>
      <c r="C3120" t="n">
        <v>22</v>
      </c>
      <c r="D3120" t="inlineStr">
        <is>
          <t>Thursday</t>
        </is>
      </c>
      <c r="E3120" t="n">
        <v>31</v>
      </c>
      <c r="F3120" t="b">
        <v>0</v>
      </c>
      <c r="H3120" t="b">
        <v>0</v>
      </c>
    </row>
    <row r="3121">
      <c r="A3121" t="inlineStr">
        <is>
          <t>S015</t>
        </is>
      </c>
      <c r="B3121" s="3" t="n">
        <v>46275</v>
      </c>
      <c r="C3121" t="n">
        <v>23</v>
      </c>
      <c r="D3121" t="inlineStr">
        <is>
          <t>Thursday</t>
        </is>
      </c>
      <c r="E3121" t="n">
        <v>18</v>
      </c>
      <c r="F3121" t="b">
        <v>0</v>
      </c>
      <c r="G3121" t="inlineStr">
        <is>
          <t>Light</t>
        </is>
      </c>
      <c r="H3121" t="b">
        <v>0</v>
      </c>
    </row>
    <row r="3122">
      <c r="A3122" t="inlineStr">
        <is>
          <t>S016</t>
        </is>
      </c>
      <c r="B3122" s="3" t="n">
        <v>46275</v>
      </c>
      <c r="C3122" t="n">
        <v>8</v>
      </c>
      <c r="D3122" t="inlineStr">
        <is>
          <t>Thursday</t>
        </is>
      </c>
      <c r="E3122" t="n">
        <v>14</v>
      </c>
      <c r="F3122" t="b">
        <v>0</v>
      </c>
      <c r="H3122" t="b">
        <v>0</v>
      </c>
    </row>
    <row r="3123">
      <c r="A3123" t="inlineStr">
        <is>
          <t>S016</t>
        </is>
      </c>
      <c r="B3123" s="3" t="n">
        <v>46275</v>
      </c>
      <c r="C3123" t="n">
        <v>9</v>
      </c>
      <c r="D3123" t="inlineStr">
        <is>
          <t>Thursday</t>
        </is>
      </c>
      <c r="E3123" t="n">
        <v>16</v>
      </c>
      <c r="F3123" t="b">
        <v>0</v>
      </c>
      <c r="H3123" t="b">
        <v>0</v>
      </c>
    </row>
    <row r="3124">
      <c r="A3124" t="inlineStr">
        <is>
          <t>S016</t>
        </is>
      </c>
      <c r="B3124" s="3" t="n">
        <v>46275</v>
      </c>
      <c r="C3124" t="n">
        <v>10</v>
      </c>
      <c r="D3124" t="inlineStr">
        <is>
          <t>Thursday</t>
        </is>
      </c>
      <c r="E3124" t="n">
        <v>20</v>
      </c>
      <c r="F3124" t="b">
        <v>0</v>
      </c>
      <c r="G3124" t="inlineStr">
        <is>
          <t>Light</t>
        </is>
      </c>
      <c r="H3124" t="b">
        <v>0</v>
      </c>
    </row>
    <row r="3125">
      <c r="A3125" t="inlineStr">
        <is>
          <t>S016</t>
        </is>
      </c>
      <c r="B3125" s="3" t="n">
        <v>46275</v>
      </c>
      <c r="C3125" t="n">
        <v>11</v>
      </c>
      <c r="D3125" t="inlineStr">
        <is>
          <t>Thursday</t>
        </is>
      </c>
      <c r="E3125" t="n">
        <v>20</v>
      </c>
      <c r="F3125" t="b">
        <v>0</v>
      </c>
      <c r="H3125" t="b">
        <v>0</v>
      </c>
    </row>
    <row r="3126">
      <c r="A3126" t="inlineStr">
        <is>
          <t>S016</t>
        </is>
      </c>
      <c r="B3126" s="3" t="n">
        <v>46275</v>
      </c>
      <c r="C3126" t="n">
        <v>12</v>
      </c>
      <c r="D3126" t="inlineStr">
        <is>
          <t>Thursday</t>
        </is>
      </c>
      <c r="E3126" t="n">
        <v>25</v>
      </c>
      <c r="F3126" t="b">
        <v>0</v>
      </c>
      <c r="H3126" t="b">
        <v>0</v>
      </c>
    </row>
    <row r="3127">
      <c r="A3127" t="inlineStr">
        <is>
          <t>S016</t>
        </is>
      </c>
      <c r="B3127" s="3" t="n">
        <v>46275</v>
      </c>
      <c r="C3127" t="n">
        <v>13</v>
      </c>
      <c r="D3127" t="inlineStr">
        <is>
          <t>Thursday</t>
        </is>
      </c>
      <c r="E3127" t="n">
        <v>26</v>
      </c>
      <c r="F3127" t="b">
        <v>0</v>
      </c>
      <c r="G3127" t="inlineStr">
        <is>
          <t>Light</t>
        </is>
      </c>
      <c r="H3127" t="b">
        <v>0</v>
      </c>
    </row>
    <row r="3128">
      <c r="A3128" t="inlineStr">
        <is>
          <t>S016</t>
        </is>
      </c>
      <c r="B3128" s="3" t="n">
        <v>46275</v>
      </c>
      <c r="C3128" t="n">
        <v>14</v>
      </c>
      <c r="D3128" t="inlineStr">
        <is>
          <t>Thursday</t>
        </is>
      </c>
      <c r="E3128" t="n">
        <v>18</v>
      </c>
      <c r="F3128" t="b">
        <v>0</v>
      </c>
      <c r="H3128" t="b">
        <v>0</v>
      </c>
    </row>
    <row r="3129">
      <c r="A3129" t="inlineStr">
        <is>
          <t>S016</t>
        </is>
      </c>
      <c r="B3129" s="3" t="n">
        <v>46275</v>
      </c>
      <c r="C3129" t="n">
        <v>15</v>
      </c>
      <c r="D3129" t="inlineStr">
        <is>
          <t>Thursday</t>
        </is>
      </c>
      <c r="E3129" t="n">
        <v>15</v>
      </c>
      <c r="F3129" t="b">
        <v>0</v>
      </c>
      <c r="H3129" t="b">
        <v>0</v>
      </c>
    </row>
    <row r="3130">
      <c r="A3130" t="inlineStr">
        <is>
          <t>S016</t>
        </is>
      </c>
      <c r="B3130" s="3" t="n">
        <v>46275</v>
      </c>
      <c r="C3130" t="n">
        <v>16</v>
      </c>
      <c r="D3130" t="inlineStr">
        <is>
          <t>Thursday</t>
        </is>
      </c>
      <c r="E3130" t="n">
        <v>22</v>
      </c>
      <c r="F3130" t="b">
        <v>0</v>
      </c>
      <c r="H3130" t="b">
        <v>0</v>
      </c>
    </row>
    <row r="3131">
      <c r="A3131" t="inlineStr">
        <is>
          <t>S016</t>
        </is>
      </c>
      <c r="B3131" s="3" t="n">
        <v>46275</v>
      </c>
      <c r="C3131" t="n">
        <v>17</v>
      </c>
      <c r="D3131" t="inlineStr">
        <is>
          <t>Thursday</t>
        </is>
      </c>
      <c r="E3131" t="n">
        <v>23</v>
      </c>
      <c r="F3131" t="b">
        <v>0</v>
      </c>
      <c r="H3131" t="b">
        <v>0</v>
      </c>
    </row>
    <row r="3132">
      <c r="A3132" t="inlineStr">
        <is>
          <t>S016</t>
        </is>
      </c>
      <c r="B3132" s="3" t="n">
        <v>46275</v>
      </c>
      <c r="C3132" t="n">
        <v>18</v>
      </c>
      <c r="D3132" t="inlineStr">
        <is>
          <t>Thursday</t>
        </is>
      </c>
      <c r="E3132" t="n">
        <v>24</v>
      </c>
      <c r="F3132" t="b">
        <v>0</v>
      </c>
      <c r="H3132" t="b">
        <v>0</v>
      </c>
    </row>
    <row r="3133">
      <c r="A3133" t="inlineStr">
        <is>
          <t>S016</t>
        </is>
      </c>
      <c r="B3133" s="3" t="n">
        <v>46275</v>
      </c>
      <c r="C3133" t="n">
        <v>19</v>
      </c>
      <c r="D3133" t="inlineStr">
        <is>
          <t>Thursday</t>
        </is>
      </c>
      <c r="E3133" t="n">
        <v>28</v>
      </c>
      <c r="F3133" t="b">
        <v>1</v>
      </c>
      <c r="G3133" t="inlineStr">
        <is>
          <t>Heavy</t>
        </is>
      </c>
      <c r="H3133" t="b">
        <v>0</v>
      </c>
    </row>
    <row r="3134">
      <c r="A3134" t="inlineStr">
        <is>
          <t>S016</t>
        </is>
      </c>
      <c r="B3134" s="3" t="n">
        <v>46275</v>
      </c>
      <c r="C3134" t="n">
        <v>20</v>
      </c>
      <c r="D3134" t="inlineStr">
        <is>
          <t>Thursday</t>
        </is>
      </c>
      <c r="E3134" t="n">
        <v>36</v>
      </c>
      <c r="F3134" t="b">
        <v>1</v>
      </c>
      <c r="G3134" t="inlineStr">
        <is>
          <t>Light</t>
        </is>
      </c>
      <c r="H3134" t="b">
        <v>0</v>
      </c>
    </row>
    <row r="3135">
      <c r="A3135" t="inlineStr">
        <is>
          <t>S016</t>
        </is>
      </c>
      <c r="B3135" s="3" t="n">
        <v>46275</v>
      </c>
      <c r="C3135" t="n">
        <v>21</v>
      </c>
      <c r="D3135" t="inlineStr">
        <is>
          <t>Thursday</t>
        </is>
      </c>
      <c r="E3135" t="n">
        <v>36</v>
      </c>
      <c r="F3135" t="b">
        <v>1</v>
      </c>
      <c r="H3135" t="b">
        <v>0</v>
      </c>
    </row>
    <row r="3136">
      <c r="A3136" t="inlineStr">
        <is>
          <t>S016</t>
        </is>
      </c>
      <c r="B3136" s="3" t="n">
        <v>46275</v>
      </c>
      <c r="C3136" t="n">
        <v>22</v>
      </c>
      <c r="D3136" t="inlineStr">
        <is>
          <t>Thursday</t>
        </is>
      </c>
      <c r="E3136" t="n">
        <v>31</v>
      </c>
      <c r="F3136" t="b">
        <v>0</v>
      </c>
      <c r="G3136" t="inlineStr">
        <is>
          <t>Light</t>
        </is>
      </c>
      <c r="H3136" t="b">
        <v>0</v>
      </c>
    </row>
    <row r="3137">
      <c r="A3137" t="inlineStr">
        <is>
          <t>S016</t>
        </is>
      </c>
      <c r="B3137" s="3" t="n">
        <v>46275</v>
      </c>
      <c r="C3137" t="n">
        <v>23</v>
      </c>
      <c r="D3137" t="inlineStr">
        <is>
          <t>Thursday</t>
        </is>
      </c>
      <c r="E3137" t="n">
        <v>29</v>
      </c>
      <c r="F3137" t="b">
        <v>0</v>
      </c>
      <c r="H3137" t="b">
        <v>0</v>
      </c>
    </row>
    <row r="3138">
      <c r="A3138" t="inlineStr">
        <is>
          <t>S017</t>
        </is>
      </c>
      <c r="B3138" s="3" t="n">
        <v>46275</v>
      </c>
      <c r="C3138" t="n">
        <v>8</v>
      </c>
      <c r="D3138" t="inlineStr">
        <is>
          <t>Thursday</t>
        </is>
      </c>
      <c r="E3138" t="n">
        <v>24</v>
      </c>
      <c r="F3138" t="b">
        <v>0</v>
      </c>
      <c r="H3138" t="b">
        <v>0</v>
      </c>
    </row>
    <row r="3139">
      <c r="A3139" t="inlineStr">
        <is>
          <t>S017</t>
        </is>
      </c>
      <c r="B3139" s="3" t="n">
        <v>46275</v>
      </c>
      <c r="C3139" t="n">
        <v>9</v>
      </c>
      <c r="D3139" t="inlineStr">
        <is>
          <t>Thursday</t>
        </is>
      </c>
      <c r="E3139" t="n">
        <v>29</v>
      </c>
      <c r="F3139" t="b">
        <v>0</v>
      </c>
      <c r="G3139" t="inlineStr">
        <is>
          <t>Light</t>
        </is>
      </c>
      <c r="H3139" t="b">
        <v>0</v>
      </c>
    </row>
    <row r="3140">
      <c r="A3140" t="inlineStr">
        <is>
          <t>S017</t>
        </is>
      </c>
      <c r="B3140" s="3" t="n">
        <v>46275</v>
      </c>
      <c r="C3140" t="n">
        <v>10</v>
      </c>
      <c r="D3140" t="inlineStr">
        <is>
          <t>Thursday</t>
        </is>
      </c>
      <c r="E3140" t="n">
        <v>23</v>
      </c>
      <c r="F3140" t="b">
        <v>0</v>
      </c>
      <c r="H3140" t="b">
        <v>0</v>
      </c>
    </row>
    <row r="3141">
      <c r="A3141" t="inlineStr">
        <is>
          <t>S017</t>
        </is>
      </c>
      <c r="B3141" s="3" t="n">
        <v>46275</v>
      </c>
      <c r="C3141" t="n">
        <v>11</v>
      </c>
      <c r="D3141" t="inlineStr">
        <is>
          <t>Thursday</t>
        </is>
      </c>
      <c r="E3141" t="n">
        <v>40</v>
      </c>
      <c r="F3141" t="b">
        <v>0</v>
      </c>
      <c r="H3141" t="b">
        <v>0</v>
      </c>
    </row>
    <row r="3142">
      <c r="A3142" t="inlineStr">
        <is>
          <t>S017</t>
        </is>
      </c>
      <c r="B3142" s="3" t="n">
        <v>46275</v>
      </c>
      <c r="C3142" t="n">
        <v>12</v>
      </c>
      <c r="D3142" t="inlineStr">
        <is>
          <t>Thursday</t>
        </is>
      </c>
      <c r="E3142" t="n">
        <v>35</v>
      </c>
      <c r="F3142" t="b">
        <v>0</v>
      </c>
      <c r="H3142" t="b">
        <v>0</v>
      </c>
    </row>
    <row r="3143">
      <c r="A3143" t="inlineStr">
        <is>
          <t>S017</t>
        </is>
      </c>
      <c r="B3143" s="3" t="n">
        <v>46275</v>
      </c>
      <c r="C3143" t="n">
        <v>13</v>
      </c>
      <c r="D3143" t="inlineStr">
        <is>
          <t>Thursday</t>
        </is>
      </c>
      <c r="E3143" t="n">
        <v>38</v>
      </c>
      <c r="F3143" t="b">
        <v>0</v>
      </c>
      <c r="H3143" t="b">
        <v>0</v>
      </c>
    </row>
    <row r="3144">
      <c r="A3144" t="inlineStr">
        <is>
          <t>S017</t>
        </is>
      </c>
      <c r="B3144" s="3" t="n">
        <v>46275</v>
      </c>
      <c r="C3144" t="n">
        <v>14</v>
      </c>
      <c r="D3144" t="inlineStr">
        <is>
          <t>Thursday</t>
        </is>
      </c>
      <c r="E3144" t="n">
        <v>24</v>
      </c>
      <c r="F3144" t="b">
        <v>0</v>
      </c>
      <c r="H3144" t="b">
        <v>0</v>
      </c>
    </row>
    <row r="3145">
      <c r="A3145" t="inlineStr">
        <is>
          <t>S017</t>
        </is>
      </c>
      <c r="B3145" s="3" t="n">
        <v>46275</v>
      </c>
      <c r="C3145" t="n">
        <v>15</v>
      </c>
      <c r="D3145" t="inlineStr">
        <is>
          <t>Thursday</t>
        </is>
      </c>
      <c r="E3145" t="n">
        <v>21</v>
      </c>
      <c r="F3145" t="b">
        <v>0</v>
      </c>
      <c r="G3145" t="inlineStr">
        <is>
          <t>Light</t>
        </is>
      </c>
      <c r="H3145" t="b">
        <v>0</v>
      </c>
    </row>
    <row r="3146">
      <c r="A3146" t="inlineStr">
        <is>
          <t>S017</t>
        </is>
      </c>
      <c r="B3146" s="3" t="n">
        <v>46275</v>
      </c>
      <c r="C3146" t="n">
        <v>16</v>
      </c>
      <c r="D3146" t="inlineStr">
        <is>
          <t>Thursday</t>
        </is>
      </c>
      <c r="E3146" t="n">
        <v>42</v>
      </c>
      <c r="F3146" t="b">
        <v>0</v>
      </c>
      <c r="H3146" t="b">
        <v>0</v>
      </c>
    </row>
    <row r="3147">
      <c r="A3147" t="inlineStr">
        <is>
          <t>S017</t>
        </is>
      </c>
      <c r="B3147" s="3" t="n">
        <v>46275</v>
      </c>
      <c r="C3147" t="n">
        <v>17</v>
      </c>
      <c r="D3147" t="inlineStr">
        <is>
          <t>Thursday</t>
        </is>
      </c>
      <c r="E3147" t="n">
        <v>44</v>
      </c>
      <c r="F3147" t="b">
        <v>0</v>
      </c>
      <c r="H3147" t="b">
        <v>0</v>
      </c>
    </row>
    <row r="3148">
      <c r="A3148" t="inlineStr">
        <is>
          <t>S017</t>
        </is>
      </c>
      <c r="B3148" s="3" t="n">
        <v>46275</v>
      </c>
      <c r="C3148" t="n">
        <v>18</v>
      </c>
      <c r="D3148" t="inlineStr">
        <is>
          <t>Thursday</t>
        </is>
      </c>
      <c r="E3148" t="n">
        <v>37</v>
      </c>
      <c r="F3148" t="b">
        <v>0</v>
      </c>
      <c r="H3148" t="b">
        <v>0</v>
      </c>
    </row>
    <row r="3149">
      <c r="A3149" t="inlineStr">
        <is>
          <t>S017</t>
        </is>
      </c>
      <c r="B3149" s="3" t="n">
        <v>46275</v>
      </c>
      <c r="C3149" t="n">
        <v>19</v>
      </c>
      <c r="D3149" t="inlineStr">
        <is>
          <t>Thursday</t>
        </is>
      </c>
      <c r="E3149" t="n">
        <v>50</v>
      </c>
      <c r="F3149" t="b">
        <v>1</v>
      </c>
      <c r="G3149" t="inlineStr">
        <is>
          <t>Heavy</t>
        </is>
      </c>
      <c r="H3149" t="b">
        <v>0</v>
      </c>
    </row>
    <row r="3150">
      <c r="A3150" t="inlineStr">
        <is>
          <t>S017</t>
        </is>
      </c>
      <c r="B3150" s="3" t="n">
        <v>46275</v>
      </c>
      <c r="C3150" t="n">
        <v>20</v>
      </c>
      <c r="D3150" t="inlineStr">
        <is>
          <t>Thursday</t>
        </is>
      </c>
      <c r="E3150" t="n">
        <v>40</v>
      </c>
      <c r="F3150" t="b">
        <v>1</v>
      </c>
      <c r="H3150" t="b">
        <v>0</v>
      </c>
    </row>
    <row r="3151">
      <c r="A3151" t="inlineStr">
        <is>
          <t>S017</t>
        </is>
      </c>
      <c r="B3151" s="3" t="n">
        <v>46275</v>
      </c>
      <c r="C3151" t="n">
        <v>21</v>
      </c>
      <c r="D3151" t="inlineStr">
        <is>
          <t>Thursday</t>
        </is>
      </c>
      <c r="E3151" t="n">
        <v>55</v>
      </c>
      <c r="F3151" t="b">
        <v>1</v>
      </c>
      <c r="H3151" t="b">
        <v>0</v>
      </c>
    </row>
    <row r="3152">
      <c r="A3152" t="inlineStr">
        <is>
          <t>S017</t>
        </is>
      </c>
      <c r="B3152" s="3" t="n">
        <v>46275</v>
      </c>
      <c r="C3152" t="n">
        <v>22</v>
      </c>
      <c r="D3152" t="inlineStr">
        <is>
          <t>Thursday</t>
        </is>
      </c>
      <c r="E3152" t="n">
        <v>44</v>
      </c>
      <c r="F3152" t="b">
        <v>0</v>
      </c>
      <c r="H3152" t="b">
        <v>1</v>
      </c>
    </row>
    <row r="3153">
      <c r="A3153" t="inlineStr">
        <is>
          <t>S017</t>
        </is>
      </c>
      <c r="B3153" s="3" t="n">
        <v>46275</v>
      </c>
      <c r="C3153" t="n">
        <v>23</v>
      </c>
      <c r="D3153" t="inlineStr">
        <is>
          <t>Thursday</t>
        </is>
      </c>
      <c r="E3153" t="n">
        <v>33</v>
      </c>
      <c r="F3153" t="b">
        <v>0</v>
      </c>
      <c r="H3153" t="b">
        <v>0</v>
      </c>
    </row>
    <row r="3154">
      <c r="A3154" t="inlineStr">
        <is>
          <t>S018</t>
        </is>
      </c>
      <c r="B3154" s="3" t="n">
        <v>46275</v>
      </c>
      <c r="C3154" t="n">
        <v>8</v>
      </c>
      <c r="D3154" t="inlineStr">
        <is>
          <t>Thursday</t>
        </is>
      </c>
      <c r="E3154" t="n">
        <v>14</v>
      </c>
      <c r="F3154" t="b">
        <v>0</v>
      </c>
      <c r="G3154" t="inlineStr">
        <is>
          <t>Light</t>
        </is>
      </c>
      <c r="H3154" t="b">
        <v>0</v>
      </c>
    </row>
    <row r="3155">
      <c r="A3155" t="inlineStr">
        <is>
          <t>S018</t>
        </is>
      </c>
      <c r="B3155" s="3" t="n">
        <v>46275</v>
      </c>
      <c r="C3155" t="n">
        <v>9</v>
      </c>
      <c r="D3155" t="inlineStr">
        <is>
          <t>Thursday</t>
        </is>
      </c>
      <c r="E3155" t="n">
        <v>17</v>
      </c>
      <c r="F3155" t="b">
        <v>0</v>
      </c>
      <c r="H3155" t="b">
        <v>0</v>
      </c>
    </row>
    <row r="3156">
      <c r="A3156" t="inlineStr">
        <is>
          <t>S018</t>
        </is>
      </c>
      <c r="B3156" s="3" t="n">
        <v>46275</v>
      </c>
      <c r="C3156" t="n">
        <v>10</v>
      </c>
      <c r="D3156" t="inlineStr">
        <is>
          <t>Thursday</t>
        </is>
      </c>
      <c r="E3156" t="n">
        <v>14</v>
      </c>
      <c r="F3156" t="b">
        <v>0</v>
      </c>
      <c r="H3156" t="b">
        <v>0</v>
      </c>
    </row>
    <row r="3157">
      <c r="A3157" t="inlineStr">
        <is>
          <t>S018</t>
        </is>
      </c>
      <c r="B3157" s="3" t="n">
        <v>46275</v>
      </c>
      <c r="C3157" t="n">
        <v>11</v>
      </c>
      <c r="D3157" t="inlineStr">
        <is>
          <t>Thursday</t>
        </is>
      </c>
      <c r="E3157" t="n">
        <v>17</v>
      </c>
      <c r="F3157" t="b">
        <v>0</v>
      </c>
      <c r="H3157" t="b">
        <v>0</v>
      </c>
    </row>
    <row r="3158">
      <c r="A3158" t="inlineStr">
        <is>
          <t>S018</t>
        </is>
      </c>
      <c r="B3158" s="3" t="n">
        <v>46275</v>
      </c>
      <c r="C3158" t="n">
        <v>12</v>
      </c>
      <c r="D3158" t="inlineStr">
        <is>
          <t>Thursday</t>
        </is>
      </c>
      <c r="E3158" t="n">
        <v>22</v>
      </c>
      <c r="F3158" t="b">
        <v>0</v>
      </c>
      <c r="H3158" t="b">
        <v>0</v>
      </c>
    </row>
    <row r="3159">
      <c r="A3159" t="inlineStr">
        <is>
          <t>S018</t>
        </is>
      </c>
      <c r="B3159" s="3" t="n">
        <v>46275</v>
      </c>
      <c r="C3159" t="n">
        <v>13</v>
      </c>
      <c r="D3159" t="inlineStr">
        <is>
          <t>Thursday</t>
        </is>
      </c>
      <c r="E3159" t="n">
        <v>18</v>
      </c>
      <c r="F3159" t="b">
        <v>0</v>
      </c>
      <c r="G3159" t="inlineStr">
        <is>
          <t>Heavy</t>
        </is>
      </c>
      <c r="H3159" t="b">
        <v>0</v>
      </c>
    </row>
    <row r="3160">
      <c r="A3160" t="inlineStr">
        <is>
          <t>S018</t>
        </is>
      </c>
      <c r="B3160" s="3" t="n">
        <v>46275</v>
      </c>
      <c r="C3160" t="n">
        <v>14</v>
      </c>
      <c r="D3160" t="inlineStr">
        <is>
          <t>Thursday</t>
        </is>
      </c>
      <c r="E3160" t="n">
        <v>9</v>
      </c>
      <c r="F3160" t="b">
        <v>0</v>
      </c>
      <c r="H3160" t="b">
        <v>0</v>
      </c>
    </row>
    <row r="3161">
      <c r="A3161" t="inlineStr">
        <is>
          <t>S018</t>
        </is>
      </c>
      <c r="B3161" s="3" t="n">
        <v>46275</v>
      </c>
      <c r="C3161" t="n">
        <v>15</v>
      </c>
      <c r="D3161" t="inlineStr">
        <is>
          <t>Thursday</t>
        </is>
      </c>
      <c r="E3161" t="n">
        <v>11</v>
      </c>
      <c r="F3161" t="b">
        <v>0</v>
      </c>
      <c r="G3161" t="inlineStr">
        <is>
          <t>Light</t>
        </is>
      </c>
      <c r="H3161" t="b">
        <v>0</v>
      </c>
    </row>
    <row r="3162">
      <c r="A3162" t="inlineStr">
        <is>
          <t>S018</t>
        </is>
      </c>
      <c r="B3162" s="3" t="n">
        <v>46275</v>
      </c>
      <c r="C3162" t="n">
        <v>16</v>
      </c>
      <c r="D3162" t="inlineStr">
        <is>
          <t>Thursday</t>
        </is>
      </c>
      <c r="E3162" t="n">
        <v>23</v>
      </c>
      <c r="F3162" t="b">
        <v>0</v>
      </c>
      <c r="H3162" t="b">
        <v>0</v>
      </c>
    </row>
    <row r="3163">
      <c r="A3163" t="inlineStr">
        <is>
          <t>S018</t>
        </is>
      </c>
      <c r="B3163" s="3" t="n">
        <v>46275</v>
      </c>
      <c r="C3163" t="n">
        <v>17</v>
      </c>
      <c r="D3163" t="inlineStr">
        <is>
          <t>Thursday</t>
        </is>
      </c>
      <c r="E3163" t="n">
        <v>20</v>
      </c>
      <c r="F3163" t="b">
        <v>0</v>
      </c>
      <c r="H3163" t="b">
        <v>0</v>
      </c>
    </row>
    <row r="3164">
      <c r="A3164" t="inlineStr">
        <is>
          <t>S018</t>
        </is>
      </c>
      <c r="B3164" s="3" t="n">
        <v>46275</v>
      </c>
      <c r="C3164" t="n">
        <v>18</v>
      </c>
      <c r="D3164" t="inlineStr">
        <is>
          <t>Thursday</t>
        </is>
      </c>
      <c r="E3164" t="n">
        <v>17</v>
      </c>
      <c r="F3164" t="b">
        <v>0</v>
      </c>
      <c r="H3164" t="b">
        <v>0</v>
      </c>
    </row>
    <row r="3165">
      <c r="A3165" t="inlineStr">
        <is>
          <t>S018</t>
        </is>
      </c>
      <c r="B3165" s="3" t="n">
        <v>46275</v>
      </c>
      <c r="C3165" t="n">
        <v>19</v>
      </c>
      <c r="D3165" t="inlineStr">
        <is>
          <t>Thursday</t>
        </is>
      </c>
      <c r="E3165" t="n">
        <v>29</v>
      </c>
      <c r="F3165" t="b">
        <v>1</v>
      </c>
      <c r="H3165" t="b">
        <v>0</v>
      </c>
    </row>
    <row r="3166">
      <c r="A3166" t="inlineStr">
        <is>
          <t>S018</t>
        </is>
      </c>
      <c r="B3166" s="3" t="n">
        <v>46275</v>
      </c>
      <c r="C3166" t="n">
        <v>20</v>
      </c>
      <c r="D3166" t="inlineStr">
        <is>
          <t>Thursday</t>
        </is>
      </c>
      <c r="E3166" t="n">
        <v>26</v>
      </c>
      <c r="F3166" t="b">
        <v>1</v>
      </c>
      <c r="G3166" t="inlineStr">
        <is>
          <t>Heavy</t>
        </is>
      </c>
      <c r="H3166" t="b">
        <v>0</v>
      </c>
    </row>
    <row r="3167">
      <c r="A3167" t="inlineStr">
        <is>
          <t>S018</t>
        </is>
      </c>
      <c r="B3167" s="3" t="n">
        <v>46275</v>
      </c>
      <c r="C3167" t="n">
        <v>21</v>
      </c>
      <c r="D3167" t="inlineStr">
        <is>
          <t>Thursday</t>
        </is>
      </c>
      <c r="E3167" t="n">
        <v>30</v>
      </c>
      <c r="F3167" t="b">
        <v>1</v>
      </c>
      <c r="H3167" t="b">
        <v>0</v>
      </c>
    </row>
    <row r="3168">
      <c r="A3168" t="inlineStr">
        <is>
          <t>S018</t>
        </is>
      </c>
      <c r="B3168" s="3" t="n">
        <v>46275</v>
      </c>
      <c r="C3168" t="n">
        <v>22</v>
      </c>
      <c r="D3168" t="inlineStr">
        <is>
          <t>Thursday</t>
        </is>
      </c>
      <c r="E3168" t="n">
        <v>23</v>
      </c>
      <c r="F3168" t="b">
        <v>0</v>
      </c>
      <c r="H3168" t="b">
        <v>0</v>
      </c>
    </row>
    <row r="3169">
      <c r="A3169" t="inlineStr">
        <is>
          <t>S018</t>
        </is>
      </c>
      <c r="B3169" s="3" t="n">
        <v>46275</v>
      </c>
      <c r="C3169" t="n">
        <v>23</v>
      </c>
      <c r="D3169" t="inlineStr">
        <is>
          <t>Thursday</t>
        </is>
      </c>
      <c r="E3169" t="n">
        <v>17</v>
      </c>
      <c r="F3169" t="b">
        <v>0</v>
      </c>
      <c r="H3169" t="b">
        <v>0</v>
      </c>
    </row>
    <row r="3170">
      <c r="A3170" t="inlineStr">
        <is>
          <t>S019</t>
        </is>
      </c>
      <c r="B3170" s="3" t="n">
        <v>46275</v>
      </c>
      <c r="C3170" t="n">
        <v>8</v>
      </c>
      <c r="D3170" t="inlineStr">
        <is>
          <t>Thursday</t>
        </is>
      </c>
      <c r="E3170" t="n">
        <v>22</v>
      </c>
      <c r="F3170" t="b">
        <v>0</v>
      </c>
      <c r="G3170" t="inlineStr">
        <is>
          <t>Light</t>
        </is>
      </c>
      <c r="H3170" t="b">
        <v>0</v>
      </c>
    </row>
    <row r="3171">
      <c r="A3171" t="inlineStr">
        <is>
          <t>S019</t>
        </is>
      </c>
      <c r="B3171" s="3" t="n">
        <v>46275</v>
      </c>
      <c r="C3171" t="n">
        <v>9</v>
      </c>
      <c r="D3171" t="inlineStr">
        <is>
          <t>Thursday</t>
        </is>
      </c>
      <c r="E3171" t="n">
        <v>10</v>
      </c>
      <c r="F3171" t="b">
        <v>0</v>
      </c>
      <c r="H3171" t="b">
        <v>0</v>
      </c>
    </row>
    <row r="3172">
      <c r="A3172" t="inlineStr">
        <is>
          <t>S019</t>
        </is>
      </c>
      <c r="B3172" s="3" t="n">
        <v>46275</v>
      </c>
      <c r="C3172" t="n">
        <v>10</v>
      </c>
      <c r="D3172" t="inlineStr">
        <is>
          <t>Thursday</t>
        </is>
      </c>
      <c r="E3172" t="n">
        <v>20</v>
      </c>
      <c r="F3172" t="b">
        <v>0</v>
      </c>
      <c r="G3172" t="inlineStr">
        <is>
          <t>Heavy</t>
        </is>
      </c>
      <c r="H3172" t="b">
        <v>0</v>
      </c>
    </row>
    <row r="3173">
      <c r="A3173" t="inlineStr">
        <is>
          <t>S019</t>
        </is>
      </c>
      <c r="B3173" s="3" t="n">
        <v>46275</v>
      </c>
      <c r="C3173" t="n">
        <v>11</v>
      </c>
      <c r="D3173" t="inlineStr">
        <is>
          <t>Thursday</t>
        </is>
      </c>
      <c r="E3173" t="n">
        <v>15</v>
      </c>
      <c r="F3173" t="b">
        <v>0</v>
      </c>
      <c r="H3173" t="b">
        <v>1</v>
      </c>
    </row>
    <row r="3174">
      <c r="A3174" t="inlineStr">
        <is>
          <t>S019</t>
        </is>
      </c>
      <c r="B3174" s="3" t="n">
        <v>46275</v>
      </c>
      <c r="C3174" t="n">
        <v>12</v>
      </c>
      <c r="D3174" t="inlineStr">
        <is>
          <t>Thursday</t>
        </is>
      </c>
      <c r="E3174" t="n">
        <v>24</v>
      </c>
      <c r="F3174" t="b">
        <v>0</v>
      </c>
      <c r="G3174" t="inlineStr">
        <is>
          <t>Light</t>
        </is>
      </c>
      <c r="H3174" t="b">
        <v>0</v>
      </c>
    </row>
    <row r="3175">
      <c r="A3175" t="inlineStr">
        <is>
          <t>S019</t>
        </is>
      </c>
      <c r="B3175" s="3" t="n">
        <v>46275</v>
      </c>
      <c r="C3175" t="n">
        <v>13</v>
      </c>
      <c r="D3175" t="inlineStr">
        <is>
          <t>Thursday</t>
        </is>
      </c>
      <c r="E3175" t="n">
        <v>25</v>
      </c>
      <c r="F3175" t="b">
        <v>0</v>
      </c>
      <c r="H3175" t="b">
        <v>0</v>
      </c>
    </row>
    <row r="3176">
      <c r="A3176" t="inlineStr">
        <is>
          <t>S019</t>
        </is>
      </c>
      <c r="B3176" s="3" t="n">
        <v>46275</v>
      </c>
      <c r="C3176" t="n">
        <v>14</v>
      </c>
      <c r="D3176" t="inlineStr">
        <is>
          <t>Thursday</t>
        </is>
      </c>
      <c r="E3176" t="n">
        <v>17</v>
      </c>
      <c r="F3176" t="b">
        <v>0</v>
      </c>
      <c r="G3176" t="inlineStr">
        <is>
          <t>Light</t>
        </is>
      </c>
      <c r="H3176" t="b">
        <v>0</v>
      </c>
    </row>
    <row r="3177">
      <c r="A3177" t="inlineStr">
        <is>
          <t>S019</t>
        </is>
      </c>
      <c r="B3177" s="3" t="n">
        <v>46275</v>
      </c>
      <c r="C3177" t="n">
        <v>15</v>
      </c>
      <c r="D3177" t="inlineStr">
        <is>
          <t>Thursday</t>
        </is>
      </c>
      <c r="E3177" t="n">
        <v>13</v>
      </c>
      <c r="F3177" t="b">
        <v>0</v>
      </c>
      <c r="H3177" t="b">
        <v>0</v>
      </c>
    </row>
    <row r="3178">
      <c r="A3178" t="inlineStr">
        <is>
          <t>S019</t>
        </is>
      </c>
      <c r="B3178" s="3" t="n">
        <v>46275</v>
      </c>
      <c r="C3178" t="n">
        <v>16</v>
      </c>
      <c r="D3178" t="inlineStr">
        <is>
          <t>Thursday</t>
        </is>
      </c>
      <c r="E3178" t="n">
        <v>19</v>
      </c>
      <c r="F3178" t="b">
        <v>0</v>
      </c>
      <c r="H3178" t="b">
        <v>0</v>
      </c>
    </row>
    <row r="3179">
      <c r="A3179" t="inlineStr">
        <is>
          <t>S019</t>
        </is>
      </c>
      <c r="B3179" s="3" t="n">
        <v>46275</v>
      </c>
      <c r="C3179" t="n">
        <v>17</v>
      </c>
      <c r="D3179" t="inlineStr">
        <is>
          <t>Thursday</t>
        </is>
      </c>
      <c r="E3179" t="n">
        <v>22</v>
      </c>
      <c r="F3179" t="b">
        <v>0</v>
      </c>
      <c r="H3179" t="b">
        <v>0</v>
      </c>
    </row>
    <row r="3180">
      <c r="A3180" t="inlineStr">
        <is>
          <t>S019</t>
        </is>
      </c>
      <c r="B3180" s="3" t="n">
        <v>46275</v>
      </c>
      <c r="C3180" t="n">
        <v>18</v>
      </c>
      <c r="D3180" t="inlineStr">
        <is>
          <t>Thursday</t>
        </is>
      </c>
      <c r="E3180" t="n">
        <v>21</v>
      </c>
      <c r="F3180" t="b">
        <v>0</v>
      </c>
      <c r="G3180" t="inlineStr">
        <is>
          <t>Light</t>
        </is>
      </c>
      <c r="H3180" t="b">
        <v>0</v>
      </c>
    </row>
    <row r="3181">
      <c r="A3181" t="inlineStr">
        <is>
          <t>S019</t>
        </is>
      </c>
      <c r="B3181" s="3" t="n">
        <v>46275</v>
      </c>
      <c r="C3181" t="n">
        <v>19</v>
      </c>
      <c r="D3181" t="inlineStr">
        <is>
          <t>Thursday</t>
        </is>
      </c>
      <c r="E3181" t="n">
        <v>36</v>
      </c>
      <c r="F3181" t="b">
        <v>1</v>
      </c>
      <c r="G3181" t="inlineStr">
        <is>
          <t>Heavy</t>
        </is>
      </c>
      <c r="H3181" t="b">
        <v>0</v>
      </c>
    </row>
    <row r="3182">
      <c r="A3182" t="inlineStr">
        <is>
          <t>S019</t>
        </is>
      </c>
      <c r="B3182" s="3" t="n">
        <v>46275</v>
      </c>
      <c r="C3182" t="n">
        <v>20</v>
      </c>
      <c r="D3182" t="inlineStr">
        <is>
          <t>Thursday</t>
        </is>
      </c>
      <c r="E3182" t="n">
        <v>25</v>
      </c>
      <c r="F3182" t="b">
        <v>1</v>
      </c>
      <c r="H3182" t="b">
        <v>0</v>
      </c>
    </row>
    <row r="3183">
      <c r="A3183" t="inlineStr">
        <is>
          <t>S019</t>
        </is>
      </c>
      <c r="B3183" s="3" t="n">
        <v>46275</v>
      </c>
      <c r="C3183" t="n">
        <v>21</v>
      </c>
      <c r="D3183" t="inlineStr">
        <is>
          <t>Thursday</t>
        </is>
      </c>
      <c r="E3183" t="n">
        <v>40</v>
      </c>
      <c r="F3183" t="b">
        <v>1</v>
      </c>
      <c r="H3183" t="b">
        <v>0</v>
      </c>
    </row>
    <row r="3184">
      <c r="A3184" t="inlineStr">
        <is>
          <t>S019</t>
        </is>
      </c>
      <c r="B3184" s="3" t="n">
        <v>46275</v>
      </c>
      <c r="C3184" t="n">
        <v>22</v>
      </c>
      <c r="D3184" t="inlineStr">
        <is>
          <t>Thursday</t>
        </is>
      </c>
      <c r="E3184" t="n">
        <v>15</v>
      </c>
      <c r="F3184" t="b">
        <v>0</v>
      </c>
      <c r="H3184" t="b">
        <v>1</v>
      </c>
    </row>
    <row r="3185">
      <c r="A3185" t="inlineStr">
        <is>
          <t>S019</t>
        </is>
      </c>
      <c r="B3185" s="3" t="n">
        <v>46275</v>
      </c>
      <c r="C3185" t="n">
        <v>23</v>
      </c>
      <c r="D3185" t="inlineStr">
        <is>
          <t>Thursday</t>
        </is>
      </c>
      <c r="E3185" t="n">
        <v>23</v>
      </c>
      <c r="F3185" t="b">
        <v>0</v>
      </c>
      <c r="H3185" t="b">
        <v>0</v>
      </c>
    </row>
    <row r="3186">
      <c r="A3186" t="inlineStr">
        <is>
          <t>S020</t>
        </is>
      </c>
      <c r="B3186" s="3" t="n">
        <v>46275</v>
      </c>
      <c r="C3186" t="n">
        <v>8</v>
      </c>
      <c r="D3186" t="inlineStr">
        <is>
          <t>Thursday</t>
        </is>
      </c>
      <c r="E3186" t="n">
        <v>6</v>
      </c>
      <c r="F3186" t="b">
        <v>0</v>
      </c>
      <c r="G3186" t="inlineStr">
        <is>
          <t>Light</t>
        </is>
      </c>
      <c r="H3186" t="b">
        <v>0</v>
      </c>
    </row>
    <row r="3187">
      <c r="A3187" t="inlineStr">
        <is>
          <t>S020</t>
        </is>
      </c>
      <c r="B3187" s="3" t="n">
        <v>46275</v>
      </c>
      <c r="C3187" t="n">
        <v>9</v>
      </c>
      <c r="D3187" t="inlineStr">
        <is>
          <t>Thursday</t>
        </is>
      </c>
      <c r="E3187" t="n">
        <v>12</v>
      </c>
      <c r="F3187" t="b">
        <v>0</v>
      </c>
      <c r="H3187" t="b">
        <v>0</v>
      </c>
    </row>
    <row r="3188">
      <c r="A3188" t="inlineStr">
        <is>
          <t>S020</t>
        </is>
      </c>
      <c r="B3188" s="3" t="n">
        <v>46275</v>
      </c>
      <c r="C3188" t="n">
        <v>10</v>
      </c>
      <c r="D3188" t="inlineStr">
        <is>
          <t>Thursday</t>
        </is>
      </c>
      <c r="E3188" t="n">
        <v>17</v>
      </c>
      <c r="F3188" t="b">
        <v>0</v>
      </c>
      <c r="H3188" t="b">
        <v>0</v>
      </c>
    </row>
    <row r="3189">
      <c r="A3189" t="inlineStr">
        <is>
          <t>S020</t>
        </is>
      </c>
      <c r="B3189" s="3" t="n">
        <v>46275</v>
      </c>
      <c r="C3189" t="n">
        <v>11</v>
      </c>
      <c r="D3189" t="inlineStr">
        <is>
          <t>Thursday</t>
        </is>
      </c>
      <c r="E3189" t="n">
        <v>19</v>
      </c>
      <c r="F3189" t="b">
        <v>0</v>
      </c>
      <c r="H3189" t="b">
        <v>0</v>
      </c>
    </row>
    <row r="3190">
      <c r="A3190" t="inlineStr">
        <is>
          <t>S020</t>
        </is>
      </c>
      <c r="B3190" s="3" t="n">
        <v>46275</v>
      </c>
      <c r="C3190" t="n">
        <v>12</v>
      </c>
      <c r="D3190" t="inlineStr">
        <is>
          <t>Thursday</t>
        </is>
      </c>
      <c r="E3190" t="n">
        <v>10</v>
      </c>
      <c r="F3190" t="b">
        <v>0</v>
      </c>
      <c r="G3190" t="inlineStr">
        <is>
          <t>Light</t>
        </is>
      </c>
      <c r="H3190" t="b">
        <v>0</v>
      </c>
    </row>
    <row r="3191">
      <c r="A3191" t="inlineStr">
        <is>
          <t>S020</t>
        </is>
      </c>
      <c r="B3191" s="3" t="n">
        <v>46275</v>
      </c>
      <c r="C3191" t="n">
        <v>13</v>
      </c>
      <c r="D3191" t="inlineStr">
        <is>
          <t>Thursday</t>
        </is>
      </c>
      <c r="E3191" t="n">
        <v>21</v>
      </c>
      <c r="F3191" t="b">
        <v>0</v>
      </c>
      <c r="H3191" t="b">
        <v>0</v>
      </c>
    </row>
    <row r="3192">
      <c r="A3192" t="inlineStr">
        <is>
          <t>S020</t>
        </is>
      </c>
      <c r="B3192" s="3" t="n">
        <v>46275</v>
      </c>
      <c r="C3192" t="n">
        <v>14</v>
      </c>
      <c r="D3192" t="inlineStr">
        <is>
          <t>Thursday</t>
        </is>
      </c>
      <c r="E3192" t="n">
        <v>17</v>
      </c>
      <c r="F3192" t="b">
        <v>0</v>
      </c>
      <c r="H3192" t="b">
        <v>0</v>
      </c>
    </row>
    <row r="3193">
      <c r="A3193" t="inlineStr">
        <is>
          <t>S020</t>
        </is>
      </c>
      <c r="B3193" s="3" t="n">
        <v>46275</v>
      </c>
      <c r="C3193" t="n">
        <v>15</v>
      </c>
      <c r="D3193" t="inlineStr">
        <is>
          <t>Thursday</t>
        </is>
      </c>
      <c r="E3193" t="n">
        <v>15</v>
      </c>
      <c r="F3193" t="b">
        <v>0</v>
      </c>
      <c r="G3193" t="inlineStr">
        <is>
          <t>Heavy</t>
        </is>
      </c>
      <c r="H3193" t="b">
        <v>0</v>
      </c>
    </row>
    <row r="3194">
      <c r="A3194" t="inlineStr">
        <is>
          <t>S020</t>
        </is>
      </c>
      <c r="B3194" s="3" t="n">
        <v>46275</v>
      </c>
      <c r="C3194" t="n">
        <v>16</v>
      </c>
      <c r="D3194" t="inlineStr">
        <is>
          <t>Thursday</t>
        </is>
      </c>
      <c r="E3194" t="n">
        <v>11</v>
      </c>
      <c r="F3194" t="b">
        <v>0</v>
      </c>
      <c r="H3194" t="b">
        <v>0</v>
      </c>
    </row>
    <row r="3195">
      <c r="A3195" t="inlineStr">
        <is>
          <t>S020</t>
        </is>
      </c>
      <c r="B3195" s="3" t="n">
        <v>46275</v>
      </c>
      <c r="C3195" t="n">
        <v>17</v>
      </c>
      <c r="D3195" t="inlineStr">
        <is>
          <t>Thursday</t>
        </is>
      </c>
      <c r="E3195" t="n">
        <v>9</v>
      </c>
      <c r="F3195" t="b">
        <v>0</v>
      </c>
      <c r="G3195" t="inlineStr">
        <is>
          <t>Heavy</t>
        </is>
      </c>
      <c r="H3195" t="b">
        <v>0</v>
      </c>
    </row>
    <row r="3196">
      <c r="A3196" t="inlineStr">
        <is>
          <t>S020</t>
        </is>
      </c>
      <c r="B3196" s="3" t="n">
        <v>46275</v>
      </c>
      <c r="C3196" t="n">
        <v>18</v>
      </c>
      <c r="D3196" t="inlineStr">
        <is>
          <t>Thursday</t>
        </is>
      </c>
      <c r="E3196" t="n">
        <v>15</v>
      </c>
      <c r="F3196" t="b">
        <v>0</v>
      </c>
      <c r="H3196" t="b">
        <v>0</v>
      </c>
    </row>
    <row r="3197">
      <c r="A3197" t="inlineStr">
        <is>
          <t>S020</t>
        </is>
      </c>
      <c r="B3197" s="3" t="n">
        <v>46275</v>
      </c>
      <c r="C3197" t="n">
        <v>19</v>
      </c>
      <c r="D3197" t="inlineStr">
        <is>
          <t>Thursday</t>
        </is>
      </c>
      <c r="E3197" t="n">
        <v>22</v>
      </c>
      <c r="F3197" t="b">
        <v>1</v>
      </c>
      <c r="G3197" t="inlineStr">
        <is>
          <t>Light</t>
        </is>
      </c>
      <c r="H3197" t="b">
        <v>0</v>
      </c>
    </row>
    <row r="3198">
      <c r="A3198" t="inlineStr">
        <is>
          <t>S020</t>
        </is>
      </c>
      <c r="B3198" s="3" t="n">
        <v>46275</v>
      </c>
      <c r="C3198" t="n">
        <v>20</v>
      </c>
      <c r="D3198" t="inlineStr">
        <is>
          <t>Thursday</t>
        </is>
      </c>
      <c r="E3198" t="n">
        <v>23</v>
      </c>
      <c r="F3198" t="b">
        <v>1</v>
      </c>
      <c r="H3198" t="b">
        <v>0</v>
      </c>
    </row>
    <row r="3199">
      <c r="A3199" t="inlineStr">
        <is>
          <t>S020</t>
        </is>
      </c>
      <c r="B3199" s="3" t="n">
        <v>46275</v>
      </c>
      <c r="C3199" t="n">
        <v>21</v>
      </c>
      <c r="D3199" t="inlineStr">
        <is>
          <t>Thursday</t>
        </is>
      </c>
      <c r="E3199" t="n">
        <v>21</v>
      </c>
      <c r="F3199" t="b">
        <v>1</v>
      </c>
      <c r="H3199" t="b">
        <v>0</v>
      </c>
    </row>
    <row r="3200">
      <c r="A3200" t="inlineStr">
        <is>
          <t>S020</t>
        </is>
      </c>
      <c r="B3200" s="3" t="n">
        <v>46275</v>
      </c>
      <c r="C3200" t="n">
        <v>22</v>
      </c>
      <c r="D3200" t="inlineStr">
        <is>
          <t>Thursday</t>
        </is>
      </c>
      <c r="E3200" t="n">
        <v>10</v>
      </c>
      <c r="F3200" t="b">
        <v>0</v>
      </c>
      <c r="H3200" t="b">
        <v>0</v>
      </c>
    </row>
    <row r="3201">
      <c r="A3201" t="inlineStr">
        <is>
          <t>S020</t>
        </is>
      </c>
      <c r="B3201" s="3" t="n">
        <v>46275</v>
      </c>
      <c r="C3201" t="n">
        <v>23</v>
      </c>
      <c r="D3201" t="inlineStr">
        <is>
          <t>Thursday</t>
        </is>
      </c>
      <c r="E3201" t="n">
        <v>14</v>
      </c>
      <c r="F3201" t="b">
        <v>0</v>
      </c>
      <c r="H3201" t="b">
        <v>0</v>
      </c>
    </row>
    <row r="3202">
      <c r="A3202" t="inlineStr">
        <is>
          <t>S001</t>
        </is>
      </c>
      <c r="B3202" s="3" t="n">
        <v>46276</v>
      </c>
      <c r="C3202" t="n">
        <v>8</v>
      </c>
      <c r="D3202" t="inlineStr">
        <is>
          <t>Friday</t>
        </is>
      </c>
      <c r="E3202" t="n">
        <v>10</v>
      </c>
      <c r="F3202" t="b">
        <v>0</v>
      </c>
      <c r="G3202" t="inlineStr">
        <is>
          <t>Light</t>
        </is>
      </c>
      <c r="H3202" t="b">
        <v>0</v>
      </c>
    </row>
    <row r="3203">
      <c r="A3203" t="inlineStr">
        <is>
          <t>S001</t>
        </is>
      </c>
      <c r="B3203" s="3" t="n">
        <v>46276</v>
      </c>
      <c r="C3203" t="n">
        <v>9</v>
      </c>
      <c r="D3203" t="inlineStr">
        <is>
          <t>Friday</t>
        </is>
      </c>
      <c r="E3203" t="n">
        <v>12</v>
      </c>
      <c r="F3203" t="b">
        <v>0</v>
      </c>
      <c r="H3203" t="b">
        <v>0</v>
      </c>
    </row>
    <row r="3204">
      <c r="A3204" t="inlineStr">
        <is>
          <t>S001</t>
        </is>
      </c>
      <c r="B3204" s="3" t="n">
        <v>46276</v>
      </c>
      <c r="C3204" t="n">
        <v>10</v>
      </c>
      <c r="D3204" t="inlineStr">
        <is>
          <t>Friday</t>
        </is>
      </c>
      <c r="E3204" t="n">
        <v>10</v>
      </c>
      <c r="F3204" t="b">
        <v>0</v>
      </c>
      <c r="H3204" t="b">
        <v>0</v>
      </c>
    </row>
    <row r="3205">
      <c r="A3205" t="inlineStr">
        <is>
          <t>S001</t>
        </is>
      </c>
      <c r="B3205" s="3" t="n">
        <v>46276</v>
      </c>
      <c r="C3205" t="n">
        <v>11</v>
      </c>
      <c r="D3205" t="inlineStr">
        <is>
          <t>Friday</t>
        </is>
      </c>
      <c r="E3205" t="n">
        <v>19</v>
      </c>
      <c r="F3205" t="b">
        <v>0</v>
      </c>
      <c r="H3205" t="b">
        <v>0</v>
      </c>
    </row>
    <row r="3206">
      <c r="A3206" t="inlineStr">
        <is>
          <t>S001</t>
        </is>
      </c>
      <c r="B3206" s="3" t="n">
        <v>46276</v>
      </c>
      <c r="C3206" t="n">
        <v>12</v>
      </c>
      <c r="D3206" t="inlineStr">
        <is>
          <t>Friday</t>
        </is>
      </c>
      <c r="E3206" t="n">
        <v>24</v>
      </c>
      <c r="F3206" t="b">
        <v>0</v>
      </c>
      <c r="G3206" t="inlineStr">
        <is>
          <t>Heavy</t>
        </is>
      </c>
      <c r="H3206" t="b">
        <v>0</v>
      </c>
    </row>
    <row r="3207">
      <c r="A3207" t="inlineStr">
        <is>
          <t>S001</t>
        </is>
      </c>
      <c r="B3207" s="3" t="n">
        <v>46276</v>
      </c>
      <c r="C3207" t="n">
        <v>13</v>
      </c>
      <c r="D3207" t="inlineStr">
        <is>
          <t>Friday</t>
        </is>
      </c>
      <c r="E3207" t="n">
        <v>15</v>
      </c>
      <c r="F3207" t="b">
        <v>0</v>
      </c>
      <c r="H3207" t="b">
        <v>0</v>
      </c>
    </row>
    <row r="3208">
      <c r="A3208" t="inlineStr">
        <is>
          <t>S001</t>
        </is>
      </c>
      <c r="B3208" s="3" t="n">
        <v>46276</v>
      </c>
      <c r="C3208" t="n">
        <v>14</v>
      </c>
      <c r="D3208" t="inlineStr">
        <is>
          <t>Friday</t>
        </is>
      </c>
      <c r="E3208" t="n">
        <v>11</v>
      </c>
      <c r="F3208" t="b">
        <v>0</v>
      </c>
      <c r="G3208" t="inlineStr">
        <is>
          <t>Heavy</t>
        </is>
      </c>
      <c r="H3208" t="b">
        <v>0</v>
      </c>
    </row>
    <row r="3209">
      <c r="A3209" t="inlineStr">
        <is>
          <t>S001</t>
        </is>
      </c>
      <c r="B3209" s="3" t="n">
        <v>46276</v>
      </c>
      <c r="C3209" t="n">
        <v>15</v>
      </c>
      <c r="D3209" t="inlineStr">
        <is>
          <t>Friday</t>
        </is>
      </c>
      <c r="E3209" t="n">
        <v>10</v>
      </c>
      <c r="F3209" t="b">
        <v>0</v>
      </c>
      <c r="H3209" t="b">
        <v>0</v>
      </c>
    </row>
    <row r="3210">
      <c r="A3210" t="inlineStr">
        <is>
          <t>S001</t>
        </is>
      </c>
      <c r="B3210" s="3" t="n">
        <v>46276</v>
      </c>
      <c r="C3210" t="n">
        <v>16</v>
      </c>
      <c r="D3210" t="inlineStr">
        <is>
          <t>Friday</t>
        </is>
      </c>
      <c r="E3210" t="n">
        <v>19</v>
      </c>
      <c r="F3210" t="b">
        <v>0</v>
      </c>
      <c r="H3210" t="b">
        <v>0</v>
      </c>
    </row>
    <row r="3211">
      <c r="A3211" t="inlineStr">
        <is>
          <t>S001</t>
        </is>
      </c>
      <c r="B3211" s="3" t="n">
        <v>46276</v>
      </c>
      <c r="C3211" t="n">
        <v>17</v>
      </c>
      <c r="D3211" t="inlineStr">
        <is>
          <t>Friday</t>
        </is>
      </c>
      <c r="E3211" t="n">
        <v>6</v>
      </c>
      <c r="F3211" t="b">
        <v>0</v>
      </c>
      <c r="H3211" t="b">
        <v>0</v>
      </c>
    </row>
    <row r="3212">
      <c r="A3212" t="inlineStr">
        <is>
          <t>S001</t>
        </is>
      </c>
      <c r="B3212" s="3" t="n">
        <v>46276</v>
      </c>
      <c r="C3212" t="n">
        <v>18</v>
      </c>
      <c r="D3212" t="inlineStr">
        <is>
          <t>Friday</t>
        </is>
      </c>
      <c r="E3212" t="n">
        <v>15</v>
      </c>
      <c r="F3212" t="b">
        <v>0</v>
      </c>
      <c r="H3212" t="b">
        <v>0</v>
      </c>
    </row>
    <row r="3213">
      <c r="A3213" t="inlineStr">
        <is>
          <t>S001</t>
        </is>
      </c>
      <c r="B3213" s="3" t="n">
        <v>46276</v>
      </c>
      <c r="C3213" t="n">
        <v>19</v>
      </c>
      <c r="D3213" t="inlineStr">
        <is>
          <t>Friday</t>
        </is>
      </c>
      <c r="E3213" t="n">
        <v>37</v>
      </c>
      <c r="F3213" t="b">
        <v>1</v>
      </c>
      <c r="H3213" t="b">
        <v>0</v>
      </c>
    </row>
    <row r="3214">
      <c r="A3214" t="inlineStr">
        <is>
          <t>S001</t>
        </is>
      </c>
      <c r="B3214" s="3" t="n">
        <v>46276</v>
      </c>
      <c r="C3214" t="n">
        <v>20</v>
      </c>
      <c r="D3214" t="inlineStr">
        <is>
          <t>Friday</t>
        </is>
      </c>
      <c r="E3214" t="n">
        <v>26</v>
      </c>
      <c r="F3214" t="b">
        <v>1</v>
      </c>
      <c r="G3214" t="inlineStr">
        <is>
          <t>Light</t>
        </is>
      </c>
      <c r="H3214" t="b">
        <v>0</v>
      </c>
    </row>
    <row r="3215">
      <c r="A3215" t="inlineStr">
        <is>
          <t>S001</t>
        </is>
      </c>
      <c r="B3215" s="3" t="n">
        <v>46276</v>
      </c>
      <c r="C3215" t="n">
        <v>21</v>
      </c>
      <c r="D3215" t="inlineStr">
        <is>
          <t>Friday</t>
        </is>
      </c>
      <c r="E3215" t="n">
        <v>23</v>
      </c>
      <c r="F3215" t="b">
        <v>1</v>
      </c>
      <c r="H3215" t="b">
        <v>0</v>
      </c>
    </row>
    <row r="3216">
      <c r="A3216" t="inlineStr">
        <is>
          <t>S001</t>
        </is>
      </c>
      <c r="B3216" s="3" t="n">
        <v>46276</v>
      </c>
      <c r="C3216" t="n">
        <v>22</v>
      </c>
      <c r="D3216" t="inlineStr">
        <is>
          <t>Friday</t>
        </is>
      </c>
      <c r="E3216" t="n">
        <v>13</v>
      </c>
      <c r="F3216" t="b">
        <v>0</v>
      </c>
      <c r="H3216" t="b">
        <v>0</v>
      </c>
    </row>
    <row r="3217">
      <c r="A3217" t="inlineStr">
        <is>
          <t>S001</t>
        </is>
      </c>
      <c r="B3217" s="3" t="n">
        <v>46276</v>
      </c>
      <c r="C3217" t="n">
        <v>23</v>
      </c>
      <c r="D3217" t="inlineStr">
        <is>
          <t>Friday</t>
        </is>
      </c>
      <c r="E3217" t="n">
        <v>15</v>
      </c>
      <c r="F3217" t="b">
        <v>0</v>
      </c>
      <c r="H3217" t="b">
        <v>0</v>
      </c>
    </row>
    <row r="3218">
      <c r="A3218" t="inlineStr">
        <is>
          <t>S002</t>
        </is>
      </c>
      <c r="B3218" s="3" t="n">
        <v>46276</v>
      </c>
      <c r="C3218" t="n">
        <v>8</v>
      </c>
      <c r="D3218" t="inlineStr">
        <is>
          <t>Friday</t>
        </is>
      </c>
      <c r="E3218" t="n">
        <v>23</v>
      </c>
      <c r="F3218" t="b">
        <v>0</v>
      </c>
      <c r="H3218" t="b">
        <v>0</v>
      </c>
    </row>
    <row r="3219">
      <c r="A3219" t="inlineStr">
        <is>
          <t>S002</t>
        </is>
      </c>
      <c r="B3219" s="3" t="n">
        <v>46276</v>
      </c>
      <c r="C3219" t="n">
        <v>9</v>
      </c>
      <c r="D3219" t="inlineStr">
        <is>
          <t>Friday</t>
        </is>
      </c>
      <c r="E3219" t="n">
        <v>24</v>
      </c>
      <c r="F3219" t="b">
        <v>0</v>
      </c>
      <c r="H3219" t="b">
        <v>0</v>
      </c>
    </row>
    <row r="3220">
      <c r="A3220" t="inlineStr">
        <is>
          <t>S002</t>
        </is>
      </c>
      <c r="B3220" s="3" t="n">
        <v>46276</v>
      </c>
      <c r="C3220" t="n">
        <v>10</v>
      </c>
      <c r="D3220" t="inlineStr">
        <is>
          <t>Friday</t>
        </is>
      </c>
      <c r="E3220" t="n">
        <v>26</v>
      </c>
      <c r="F3220" t="b">
        <v>0</v>
      </c>
      <c r="G3220" t="inlineStr">
        <is>
          <t>Light</t>
        </is>
      </c>
      <c r="H3220" t="b">
        <v>0</v>
      </c>
    </row>
    <row r="3221">
      <c r="A3221" t="inlineStr">
        <is>
          <t>S002</t>
        </is>
      </c>
      <c r="B3221" s="3" t="n">
        <v>46276</v>
      </c>
      <c r="C3221" t="n">
        <v>11</v>
      </c>
      <c r="D3221" t="inlineStr">
        <is>
          <t>Friday</t>
        </is>
      </c>
      <c r="E3221" t="n">
        <v>30</v>
      </c>
      <c r="F3221" t="b">
        <v>0</v>
      </c>
      <c r="G3221" t="inlineStr">
        <is>
          <t>Light</t>
        </is>
      </c>
      <c r="H3221" t="b">
        <v>0</v>
      </c>
    </row>
    <row r="3222">
      <c r="A3222" t="inlineStr">
        <is>
          <t>S002</t>
        </is>
      </c>
      <c r="B3222" s="3" t="n">
        <v>46276</v>
      </c>
      <c r="C3222" t="n">
        <v>12</v>
      </c>
      <c r="D3222" t="inlineStr">
        <is>
          <t>Friday</t>
        </is>
      </c>
      <c r="E3222" t="n">
        <v>43</v>
      </c>
      <c r="F3222" t="b">
        <v>0</v>
      </c>
      <c r="H3222" t="b">
        <v>0</v>
      </c>
    </row>
    <row r="3223">
      <c r="A3223" t="inlineStr">
        <is>
          <t>S002</t>
        </is>
      </c>
      <c r="B3223" s="3" t="n">
        <v>46276</v>
      </c>
      <c r="C3223" t="n">
        <v>13</v>
      </c>
      <c r="D3223" t="inlineStr">
        <is>
          <t>Friday</t>
        </is>
      </c>
      <c r="E3223" t="n">
        <v>33</v>
      </c>
      <c r="F3223" t="b">
        <v>0</v>
      </c>
      <c r="H3223" t="b">
        <v>0</v>
      </c>
    </row>
    <row r="3224">
      <c r="A3224" t="inlineStr">
        <is>
          <t>S002</t>
        </is>
      </c>
      <c r="B3224" s="3" t="n">
        <v>46276</v>
      </c>
      <c r="C3224" t="n">
        <v>14</v>
      </c>
      <c r="D3224" t="inlineStr">
        <is>
          <t>Friday</t>
        </is>
      </c>
      <c r="E3224" t="n">
        <v>23</v>
      </c>
      <c r="F3224" t="b">
        <v>0</v>
      </c>
      <c r="H3224" t="b">
        <v>0</v>
      </c>
    </row>
    <row r="3225">
      <c r="A3225" t="inlineStr">
        <is>
          <t>S002</t>
        </is>
      </c>
      <c r="B3225" s="3" t="n">
        <v>46276</v>
      </c>
      <c r="C3225" t="n">
        <v>15</v>
      </c>
      <c r="D3225" t="inlineStr">
        <is>
          <t>Friday</t>
        </is>
      </c>
      <c r="E3225" t="n">
        <v>29</v>
      </c>
      <c r="F3225" t="b">
        <v>0</v>
      </c>
      <c r="G3225" t="inlineStr">
        <is>
          <t>Light</t>
        </is>
      </c>
      <c r="H3225" t="b">
        <v>0</v>
      </c>
    </row>
    <row r="3226">
      <c r="A3226" t="inlineStr">
        <is>
          <t>S002</t>
        </is>
      </c>
      <c r="B3226" s="3" t="n">
        <v>46276</v>
      </c>
      <c r="C3226" t="n">
        <v>16</v>
      </c>
      <c r="D3226" t="inlineStr">
        <is>
          <t>Friday</t>
        </is>
      </c>
      <c r="E3226" t="n">
        <v>40</v>
      </c>
      <c r="F3226" t="b">
        <v>0</v>
      </c>
      <c r="G3226" t="inlineStr">
        <is>
          <t>Light</t>
        </is>
      </c>
      <c r="H3226" t="b">
        <v>0</v>
      </c>
    </row>
    <row r="3227">
      <c r="A3227" t="inlineStr">
        <is>
          <t>S002</t>
        </is>
      </c>
      <c r="B3227" s="3" t="n">
        <v>46276</v>
      </c>
      <c r="C3227" t="n">
        <v>17</v>
      </c>
      <c r="D3227" t="inlineStr">
        <is>
          <t>Friday</t>
        </is>
      </c>
      <c r="E3227" t="n">
        <v>45</v>
      </c>
      <c r="F3227" t="b">
        <v>0</v>
      </c>
      <c r="H3227" t="b">
        <v>0</v>
      </c>
    </row>
    <row r="3228">
      <c r="A3228" t="inlineStr">
        <is>
          <t>S002</t>
        </is>
      </c>
      <c r="B3228" s="3" t="n">
        <v>46276</v>
      </c>
      <c r="C3228" t="n">
        <v>18</v>
      </c>
      <c r="D3228" t="inlineStr">
        <is>
          <t>Friday</t>
        </is>
      </c>
      <c r="E3228" t="n">
        <v>35</v>
      </c>
      <c r="F3228" t="b">
        <v>0</v>
      </c>
      <c r="H3228" t="b">
        <v>0</v>
      </c>
    </row>
    <row r="3229">
      <c r="A3229" t="inlineStr">
        <is>
          <t>S002</t>
        </is>
      </c>
      <c r="B3229" s="3" t="n">
        <v>46276</v>
      </c>
      <c r="C3229" t="n">
        <v>19</v>
      </c>
      <c r="D3229" t="inlineStr">
        <is>
          <t>Friday</t>
        </is>
      </c>
      <c r="E3229" t="n">
        <v>53</v>
      </c>
      <c r="F3229" t="b">
        <v>1</v>
      </c>
      <c r="H3229" t="b">
        <v>0</v>
      </c>
    </row>
    <row r="3230">
      <c r="A3230" t="inlineStr">
        <is>
          <t>S002</t>
        </is>
      </c>
      <c r="B3230" s="3" t="n">
        <v>46276</v>
      </c>
      <c r="C3230" t="n">
        <v>20</v>
      </c>
      <c r="D3230" t="inlineStr">
        <is>
          <t>Friday</t>
        </is>
      </c>
      <c r="E3230" t="n">
        <v>56</v>
      </c>
      <c r="F3230" t="b">
        <v>1</v>
      </c>
      <c r="H3230" t="b">
        <v>0</v>
      </c>
    </row>
    <row r="3231">
      <c r="A3231" t="inlineStr">
        <is>
          <t>S002</t>
        </is>
      </c>
      <c r="B3231" s="3" t="n">
        <v>46276</v>
      </c>
      <c r="C3231" t="n">
        <v>21</v>
      </c>
      <c r="D3231" t="inlineStr">
        <is>
          <t>Friday</t>
        </is>
      </c>
      <c r="E3231" t="n">
        <v>48</v>
      </c>
      <c r="F3231" t="b">
        <v>1</v>
      </c>
      <c r="H3231" t="b">
        <v>0</v>
      </c>
    </row>
    <row r="3232">
      <c r="A3232" t="inlineStr">
        <is>
          <t>S002</t>
        </is>
      </c>
      <c r="B3232" s="3" t="n">
        <v>46276</v>
      </c>
      <c r="C3232" t="n">
        <v>22</v>
      </c>
      <c r="D3232" t="inlineStr">
        <is>
          <t>Friday</t>
        </is>
      </c>
      <c r="E3232" t="n">
        <v>38</v>
      </c>
      <c r="F3232" t="b">
        <v>0</v>
      </c>
      <c r="H3232" t="b">
        <v>0</v>
      </c>
    </row>
    <row r="3233">
      <c r="A3233" t="inlineStr">
        <is>
          <t>S002</t>
        </is>
      </c>
      <c r="B3233" s="3" t="n">
        <v>46276</v>
      </c>
      <c r="C3233" t="n">
        <v>23</v>
      </c>
      <c r="D3233" t="inlineStr">
        <is>
          <t>Friday</t>
        </is>
      </c>
      <c r="E3233" t="n">
        <v>39</v>
      </c>
      <c r="F3233" t="b">
        <v>0</v>
      </c>
      <c r="H3233" t="b">
        <v>0</v>
      </c>
    </row>
    <row r="3234">
      <c r="A3234" t="inlineStr">
        <is>
          <t>S003</t>
        </is>
      </c>
      <c r="B3234" s="3" t="n">
        <v>46276</v>
      </c>
      <c r="C3234" t="n">
        <v>8</v>
      </c>
      <c r="D3234" t="inlineStr">
        <is>
          <t>Friday</t>
        </is>
      </c>
      <c r="E3234" t="n">
        <v>20</v>
      </c>
      <c r="F3234" t="b">
        <v>0</v>
      </c>
      <c r="H3234" t="b">
        <v>0</v>
      </c>
    </row>
    <row r="3235">
      <c r="A3235" t="inlineStr">
        <is>
          <t>S003</t>
        </is>
      </c>
      <c r="B3235" s="3" t="n">
        <v>46276</v>
      </c>
      <c r="C3235" t="n">
        <v>9</v>
      </c>
      <c r="D3235" t="inlineStr">
        <is>
          <t>Friday</t>
        </is>
      </c>
      <c r="E3235" t="n">
        <v>31</v>
      </c>
      <c r="F3235" t="b">
        <v>0</v>
      </c>
      <c r="H3235" t="b">
        <v>0</v>
      </c>
    </row>
    <row r="3236">
      <c r="A3236" t="inlineStr">
        <is>
          <t>S003</t>
        </is>
      </c>
      <c r="B3236" s="3" t="n">
        <v>46276</v>
      </c>
      <c r="C3236" t="n">
        <v>10</v>
      </c>
      <c r="D3236" t="inlineStr">
        <is>
          <t>Friday</t>
        </is>
      </c>
      <c r="E3236" t="n">
        <v>31</v>
      </c>
      <c r="F3236" t="b">
        <v>0</v>
      </c>
      <c r="G3236" t="inlineStr">
        <is>
          <t>Heavy</t>
        </is>
      </c>
      <c r="H3236" t="b">
        <v>0</v>
      </c>
    </row>
    <row r="3237">
      <c r="A3237" t="inlineStr">
        <is>
          <t>S003</t>
        </is>
      </c>
      <c r="B3237" s="3" t="n">
        <v>46276</v>
      </c>
      <c r="C3237" t="n">
        <v>11</v>
      </c>
      <c r="D3237" t="inlineStr">
        <is>
          <t>Friday</t>
        </is>
      </c>
      <c r="E3237" t="n">
        <v>52</v>
      </c>
      <c r="F3237" t="b">
        <v>0</v>
      </c>
      <c r="H3237" t="b">
        <v>0</v>
      </c>
    </row>
    <row r="3238">
      <c r="A3238" t="inlineStr">
        <is>
          <t>S003</t>
        </is>
      </c>
      <c r="B3238" s="3" t="n">
        <v>46276</v>
      </c>
      <c r="C3238" t="n">
        <v>12</v>
      </c>
      <c r="D3238" t="inlineStr">
        <is>
          <t>Friday</t>
        </is>
      </c>
      <c r="E3238" t="n">
        <v>55</v>
      </c>
      <c r="F3238" t="b">
        <v>0</v>
      </c>
      <c r="H3238" t="b">
        <v>1</v>
      </c>
    </row>
    <row r="3239">
      <c r="A3239" t="inlineStr">
        <is>
          <t>S003</t>
        </is>
      </c>
      <c r="B3239" s="3" t="n">
        <v>46276</v>
      </c>
      <c r="C3239" t="n">
        <v>13</v>
      </c>
      <c r="D3239" t="inlineStr">
        <is>
          <t>Friday</t>
        </is>
      </c>
      <c r="E3239" t="n">
        <v>39</v>
      </c>
      <c r="F3239" t="b">
        <v>0</v>
      </c>
      <c r="G3239" t="inlineStr">
        <is>
          <t>Heavy</t>
        </is>
      </c>
      <c r="H3239" t="b">
        <v>0</v>
      </c>
    </row>
    <row r="3240">
      <c r="A3240" t="inlineStr">
        <is>
          <t>S003</t>
        </is>
      </c>
      <c r="B3240" s="3" t="n">
        <v>46276</v>
      </c>
      <c r="C3240" t="n">
        <v>14</v>
      </c>
      <c r="D3240" t="inlineStr">
        <is>
          <t>Friday</t>
        </is>
      </c>
      <c r="E3240" t="n">
        <v>27</v>
      </c>
      <c r="F3240" t="b">
        <v>0</v>
      </c>
      <c r="H3240" t="b">
        <v>0</v>
      </c>
    </row>
    <row r="3241">
      <c r="A3241" t="inlineStr">
        <is>
          <t>S003</t>
        </is>
      </c>
      <c r="B3241" s="3" t="n">
        <v>46276</v>
      </c>
      <c r="C3241" t="n">
        <v>15</v>
      </c>
      <c r="D3241" t="inlineStr">
        <is>
          <t>Friday</t>
        </is>
      </c>
      <c r="E3241" t="n">
        <v>31</v>
      </c>
      <c r="F3241" t="b">
        <v>0</v>
      </c>
      <c r="H3241" t="b">
        <v>0</v>
      </c>
    </row>
    <row r="3242">
      <c r="A3242" t="inlineStr">
        <is>
          <t>S003</t>
        </is>
      </c>
      <c r="B3242" s="3" t="n">
        <v>46276</v>
      </c>
      <c r="C3242" t="n">
        <v>16</v>
      </c>
      <c r="D3242" t="inlineStr">
        <is>
          <t>Friday</t>
        </is>
      </c>
      <c r="E3242" t="n">
        <v>40</v>
      </c>
      <c r="F3242" t="b">
        <v>0</v>
      </c>
      <c r="H3242" t="b">
        <v>0</v>
      </c>
    </row>
    <row r="3243">
      <c r="A3243" t="inlineStr">
        <is>
          <t>S003</t>
        </is>
      </c>
      <c r="B3243" s="3" t="n">
        <v>46276</v>
      </c>
      <c r="C3243" t="n">
        <v>17</v>
      </c>
      <c r="D3243" t="inlineStr">
        <is>
          <t>Friday</t>
        </is>
      </c>
      <c r="E3243" t="n">
        <v>39</v>
      </c>
      <c r="F3243" t="b">
        <v>0</v>
      </c>
      <c r="H3243" t="b">
        <v>0</v>
      </c>
    </row>
    <row r="3244">
      <c r="A3244" t="inlineStr">
        <is>
          <t>S003</t>
        </is>
      </c>
      <c r="B3244" s="3" t="n">
        <v>46276</v>
      </c>
      <c r="C3244" t="n">
        <v>18</v>
      </c>
      <c r="D3244" t="inlineStr">
        <is>
          <t>Friday</t>
        </is>
      </c>
      <c r="E3244" t="n">
        <v>49</v>
      </c>
      <c r="F3244" t="b">
        <v>0</v>
      </c>
      <c r="H3244" t="b">
        <v>0</v>
      </c>
    </row>
    <row r="3245">
      <c r="A3245" t="inlineStr">
        <is>
          <t>S003</t>
        </is>
      </c>
      <c r="B3245" s="3" t="n">
        <v>46276</v>
      </c>
      <c r="C3245" t="n">
        <v>19</v>
      </c>
      <c r="D3245" t="inlineStr">
        <is>
          <t>Friday</t>
        </is>
      </c>
      <c r="E3245" t="n">
        <v>62</v>
      </c>
      <c r="F3245" t="b">
        <v>1</v>
      </c>
      <c r="H3245" t="b">
        <v>0</v>
      </c>
    </row>
    <row r="3246">
      <c r="A3246" t="inlineStr">
        <is>
          <t>S003</t>
        </is>
      </c>
      <c r="B3246" s="3" t="n">
        <v>46276</v>
      </c>
      <c r="C3246" t="n">
        <v>20</v>
      </c>
      <c r="D3246" t="inlineStr">
        <is>
          <t>Friday</t>
        </is>
      </c>
      <c r="E3246" t="n">
        <v>52</v>
      </c>
      <c r="F3246" t="b">
        <v>1</v>
      </c>
      <c r="G3246" t="inlineStr">
        <is>
          <t>Light</t>
        </is>
      </c>
      <c r="H3246" t="b">
        <v>0</v>
      </c>
    </row>
    <row r="3247">
      <c r="A3247" t="inlineStr">
        <is>
          <t>S003</t>
        </is>
      </c>
      <c r="B3247" s="3" t="n">
        <v>46276</v>
      </c>
      <c r="C3247" t="n">
        <v>21</v>
      </c>
      <c r="D3247" t="inlineStr">
        <is>
          <t>Friday</t>
        </is>
      </c>
      <c r="E3247" t="n">
        <v>56</v>
      </c>
      <c r="F3247" t="b">
        <v>1</v>
      </c>
      <c r="H3247" t="b">
        <v>0</v>
      </c>
    </row>
    <row r="3248">
      <c r="A3248" t="inlineStr">
        <is>
          <t>S003</t>
        </is>
      </c>
      <c r="B3248" s="3" t="n">
        <v>46276</v>
      </c>
      <c r="C3248" t="n">
        <v>22</v>
      </c>
      <c r="D3248" t="inlineStr">
        <is>
          <t>Friday</t>
        </is>
      </c>
      <c r="E3248" t="n">
        <v>34</v>
      </c>
      <c r="F3248" t="b">
        <v>0</v>
      </c>
      <c r="H3248" t="b">
        <v>0</v>
      </c>
    </row>
    <row r="3249">
      <c r="A3249" t="inlineStr">
        <is>
          <t>S003</t>
        </is>
      </c>
      <c r="B3249" s="3" t="n">
        <v>46276</v>
      </c>
      <c r="C3249" t="n">
        <v>23</v>
      </c>
      <c r="D3249" t="inlineStr">
        <is>
          <t>Friday</t>
        </is>
      </c>
      <c r="E3249" t="n">
        <v>36</v>
      </c>
      <c r="F3249" t="b">
        <v>0</v>
      </c>
      <c r="H3249" t="b">
        <v>0</v>
      </c>
    </row>
    <row r="3250">
      <c r="A3250" t="inlineStr">
        <is>
          <t>S004</t>
        </is>
      </c>
      <c r="B3250" s="3" t="n">
        <v>46276</v>
      </c>
      <c r="C3250" t="n">
        <v>8</v>
      </c>
      <c r="D3250" t="inlineStr">
        <is>
          <t>Friday</t>
        </is>
      </c>
      <c r="E3250" t="n">
        <v>24</v>
      </c>
      <c r="F3250" t="b">
        <v>0</v>
      </c>
      <c r="H3250" t="b">
        <v>0</v>
      </c>
    </row>
    <row r="3251">
      <c r="A3251" t="inlineStr">
        <is>
          <t>S004</t>
        </is>
      </c>
      <c r="B3251" s="3" t="n">
        <v>46276</v>
      </c>
      <c r="C3251" t="n">
        <v>9</v>
      </c>
      <c r="D3251" t="inlineStr">
        <is>
          <t>Friday</t>
        </is>
      </c>
      <c r="E3251" t="n">
        <v>30</v>
      </c>
      <c r="F3251" t="b">
        <v>0</v>
      </c>
      <c r="H3251" t="b">
        <v>0</v>
      </c>
    </row>
    <row r="3252">
      <c r="A3252" t="inlineStr">
        <is>
          <t>S004</t>
        </is>
      </c>
      <c r="B3252" s="3" t="n">
        <v>46276</v>
      </c>
      <c r="C3252" t="n">
        <v>10</v>
      </c>
      <c r="D3252" t="inlineStr">
        <is>
          <t>Friday</t>
        </is>
      </c>
      <c r="E3252" t="n">
        <v>21</v>
      </c>
      <c r="F3252" t="b">
        <v>0</v>
      </c>
      <c r="H3252" t="b">
        <v>0</v>
      </c>
    </row>
    <row r="3253">
      <c r="A3253" t="inlineStr">
        <is>
          <t>S004</t>
        </is>
      </c>
      <c r="B3253" s="3" t="n">
        <v>46276</v>
      </c>
      <c r="C3253" t="n">
        <v>11</v>
      </c>
      <c r="D3253" t="inlineStr">
        <is>
          <t>Friday</t>
        </is>
      </c>
      <c r="E3253" t="n">
        <v>40</v>
      </c>
      <c r="F3253" t="b">
        <v>0</v>
      </c>
      <c r="H3253" t="b">
        <v>0</v>
      </c>
    </row>
    <row r="3254">
      <c r="A3254" t="inlineStr">
        <is>
          <t>S004</t>
        </is>
      </c>
      <c r="B3254" s="3" t="n">
        <v>46276</v>
      </c>
      <c r="C3254" t="n">
        <v>12</v>
      </c>
      <c r="D3254" t="inlineStr">
        <is>
          <t>Friday</t>
        </is>
      </c>
      <c r="E3254" t="n">
        <v>49</v>
      </c>
      <c r="F3254" t="b">
        <v>0</v>
      </c>
      <c r="G3254" t="inlineStr">
        <is>
          <t>Light</t>
        </is>
      </c>
      <c r="H3254" t="b">
        <v>0</v>
      </c>
    </row>
    <row r="3255">
      <c r="A3255" t="inlineStr">
        <is>
          <t>S004</t>
        </is>
      </c>
      <c r="B3255" s="3" t="n">
        <v>46276</v>
      </c>
      <c r="C3255" t="n">
        <v>13</v>
      </c>
      <c r="D3255" t="inlineStr">
        <is>
          <t>Friday</t>
        </is>
      </c>
      <c r="E3255" t="n">
        <v>42</v>
      </c>
      <c r="F3255" t="b">
        <v>0</v>
      </c>
      <c r="G3255" t="inlineStr">
        <is>
          <t>Light</t>
        </is>
      </c>
      <c r="H3255" t="b">
        <v>0</v>
      </c>
    </row>
    <row r="3256">
      <c r="A3256" t="inlineStr">
        <is>
          <t>S004</t>
        </is>
      </c>
      <c r="B3256" s="3" t="n">
        <v>46276</v>
      </c>
      <c r="C3256" t="n">
        <v>14</v>
      </c>
      <c r="D3256" t="inlineStr">
        <is>
          <t>Friday</t>
        </is>
      </c>
      <c r="E3256" t="n">
        <v>34</v>
      </c>
      <c r="F3256" t="b">
        <v>0</v>
      </c>
      <c r="H3256" t="b">
        <v>0</v>
      </c>
    </row>
    <row r="3257">
      <c r="A3257" t="inlineStr">
        <is>
          <t>S004</t>
        </is>
      </c>
      <c r="B3257" s="3" t="n">
        <v>46276</v>
      </c>
      <c r="C3257" t="n">
        <v>15</v>
      </c>
      <c r="D3257" t="inlineStr">
        <is>
          <t>Friday</t>
        </is>
      </c>
      <c r="E3257" t="n">
        <v>35</v>
      </c>
      <c r="F3257" t="b">
        <v>0</v>
      </c>
      <c r="H3257" t="b">
        <v>0</v>
      </c>
    </row>
    <row r="3258">
      <c r="A3258" t="inlineStr">
        <is>
          <t>S004</t>
        </is>
      </c>
      <c r="B3258" s="3" t="n">
        <v>46276</v>
      </c>
      <c r="C3258" t="n">
        <v>16</v>
      </c>
      <c r="D3258" t="inlineStr">
        <is>
          <t>Friday</t>
        </is>
      </c>
      <c r="E3258" t="n">
        <v>36</v>
      </c>
      <c r="F3258" t="b">
        <v>0</v>
      </c>
      <c r="G3258" t="inlineStr">
        <is>
          <t>Heavy</t>
        </is>
      </c>
      <c r="H3258" t="b">
        <v>0</v>
      </c>
    </row>
    <row r="3259">
      <c r="A3259" t="inlineStr">
        <is>
          <t>S004</t>
        </is>
      </c>
      <c r="B3259" s="3" t="n">
        <v>46276</v>
      </c>
      <c r="C3259" t="n">
        <v>17</v>
      </c>
      <c r="D3259" t="inlineStr">
        <is>
          <t>Friday</t>
        </is>
      </c>
      <c r="E3259" t="n">
        <v>29</v>
      </c>
      <c r="F3259" t="b">
        <v>0</v>
      </c>
      <c r="G3259" t="inlineStr">
        <is>
          <t>Light</t>
        </is>
      </c>
      <c r="H3259" t="b">
        <v>0</v>
      </c>
    </row>
    <row r="3260">
      <c r="A3260" t="inlineStr">
        <is>
          <t>S004</t>
        </is>
      </c>
      <c r="B3260" s="3" t="n">
        <v>46276</v>
      </c>
      <c r="C3260" t="n">
        <v>18</v>
      </c>
      <c r="D3260" t="inlineStr">
        <is>
          <t>Friday</t>
        </is>
      </c>
      <c r="E3260" t="n">
        <v>34</v>
      </c>
      <c r="F3260" t="b">
        <v>0</v>
      </c>
      <c r="H3260" t="b">
        <v>0</v>
      </c>
    </row>
    <row r="3261">
      <c r="A3261" t="inlineStr">
        <is>
          <t>S004</t>
        </is>
      </c>
      <c r="B3261" s="3" t="n">
        <v>46276</v>
      </c>
      <c r="C3261" t="n">
        <v>19</v>
      </c>
      <c r="D3261" t="inlineStr">
        <is>
          <t>Friday</t>
        </is>
      </c>
      <c r="E3261" t="n">
        <v>65</v>
      </c>
      <c r="F3261" t="b">
        <v>1</v>
      </c>
      <c r="H3261" t="b">
        <v>0</v>
      </c>
    </row>
    <row r="3262">
      <c r="A3262" t="inlineStr">
        <is>
          <t>S004</t>
        </is>
      </c>
      <c r="B3262" s="3" t="n">
        <v>46276</v>
      </c>
      <c r="C3262" t="n">
        <v>20</v>
      </c>
      <c r="D3262" t="inlineStr">
        <is>
          <t>Friday</t>
        </is>
      </c>
      <c r="E3262" t="n">
        <v>59</v>
      </c>
      <c r="F3262" t="b">
        <v>1</v>
      </c>
      <c r="H3262" t="b">
        <v>0</v>
      </c>
    </row>
    <row r="3263">
      <c r="A3263" t="inlineStr">
        <is>
          <t>S004</t>
        </is>
      </c>
      <c r="B3263" s="3" t="n">
        <v>46276</v>
      </c>
      <c r="C3263" t="n">
        <v>21</v>
      </c>
      <c r="D3263" t="inlineStr">
        <is>
          <t>Friday</t>
        </is>
      </c>
      <c r="E3263" t="n">
        <v>62</v>
      </c>
      <c r="F3263" t="b">
        <v>1</v>
      </c>
      <c r="H3263" t="b">
        <v>0</v>
      </c>
    </row>
    <row r="3264">
      <c r="A3264" t="inlineStr">
        <is>
          <t>S004</t>
        </is>
      </c>
      <c r="B3264" s="3" t="n">
        <v>46276</v>
      </c>
      <c r="C3264" t="n">
        <v>22</v>
      </c>
      <c r="D3264" t="inlineStr">
        <is>
          <t>Friday</t>
        </is>
      </c>
      <c r="E3264" t="n">
        <v>32</v>
      </c>
      <c r="F3264" t="b">
        <v>0</v>
      </c>
      <c r="H3264" t="b">
        <v>0</v>
      </c>
    </row>
    <row r="3265">
      <c r="A3265" t="inlineStr">
        <is>
          <t>S004</t>
        </is>
      </c>
      <c r="B3265" s="3" t="n">
        <v>46276</v>
      </c>
      <c r="C3265" t="n">
        <v>23</v>
      </c>
      <c r="D3265" t="inlineStr">
        <is>
          <t>Friday</t>
        </is>
      </c>
      <c r="E3265" t="n">
        <v>38</v>
      </c>
      <c r="F3265" t="b">
        <v>0</v>
      </c>
      <c r="H3265" t="b">
        <v>0</v>
      </c>
    </row>
    <row r="3266">
      <c r="A3266" t="inlineStr">
        <is>
          <t>S005</t>
        </is>
      </c>
      <c r="B3266" s="3" t="n">
        <v>46276</v>
      </c>
      <c r="C3266" t="n">
        <v>8</v>
      </c>
      <c r="D3266" t="inlineStr">
        <is>
          <t>Friday</t>
        </is>
      </c>
      <c r="E3266" t="n">
        <v>11</v>
      </c>
      <c r="F3266" t="b">
        <v>0</v>
      </c>
      <c r="H3266" t="b">
        <v>0</v>
      </c>
    </row>
    <row r="3267">
      <c r="A3267" t="inlineStr">
        <is>
          <t>S005</t>
        </is>
      </c>
      <c r="B3267" s="3" t="n">
        <v>46276</v>
      </c>
      <c r="C3267" t="n">
        <v>9</v>
      </c>
      <c r="D3267" t="inlineStr">
        <is>
          <t>Friday</t>
        </is>
      </c>
      <c r="E3267" t="n">
        <v>11</v>
      </c>
      <c r="F3267" t="b">
        <v>0</v>
      </c>
      <c r="G3267" t="inlineStr">
        <is>
          <t>Heavy</t>
        </is>
      </c>
      <c r="H3267" t="b">
        <v>0</v>
      </c>
    </row>
    <row r="3268">
      <c r="A3268" t="inlineStr">
        <is>
          <t>S005</t>
        </is>
      </c>
      <c r="B3268" s="3" t="n">
        <v>46276</v>
      </c>
      <c r="C3268" t="n">
        <v>10</v>
      </c>
      <c r="D3268" t="inlineStr">
        <is>
          <t>Friday</t>
        </is>
      </c>
      <c r="E3268" t="n">
        <v>13</v>
      </c>
      <c r="F3268" t="b">
        <v>0</v>
      </c>
      <c r="H3268" t="b">
        <v>0</v>
      </c>
    </row>
    <row r="3269">
      <c r="A3269" t="inlineStr">
        <is>
          <t>S005</t>
        </is>
      </c>
      <c r="B3269" s="3" t="n">
        <v>46276</v>
      </c>
      <c r="C3269" t="n">
        <v>11</v>
      </c>
      <c r="D3269" t="inlineStr">
        <is>
          <t>Friday</t>
        </is>
      </c>
      <c r="E3269" t="n">
        <v>13</v>
      </c>
      <c r="F3269" t="b">
        <v>0</v>
      </c>
      <c r="G3269" t="inlineStr">
        <is>
          <t>Heavy</t>
        </is>
      </c>
      <c r="H3269" t="b">
        <v>0</v>
      </c>
    </row>
    <row r="3270">
      <c r="A3270" t="inlineStr">
        <is>
          <t>S005</t>
        </is>
      </c>
      <c r="B3270" s="3" t="n">
        <v>46276</v>
      </c>
      <c r="C3270" t="n">
        <v>12</v>
      </c>
      <c r="D3270" t="inlineStr">
        <is>
          <t>Friday</t>
        </is>
      </c>
      <c r="E3270" t="n">
        <v>13</v>
      </c>
      <c r="F3270" t="b">
        <v>0</v>
      </c>
      <c r="G3270" t="inlineStr">
        <is>
          <t>Light</t>
        </is>
      </c>
      <c r="H3270" t="b">
        <v>0</v>
      </c>
    </row>
    <row r="3271">
      <c r="A3271" t="inlineStr">
        <is>
          <t>S005</t>
        </is>
      </c>
      <c r="B3271" s="3" t="n">
        <v>46276</v>
      </c>
      <c r="C3271" t="n">
        <v>13</v>
      </c>
      <c r="D3271" t="inlineStr">
        <is>
          <t>Friday</t>
        </is>
      </c>
      <c r="E3271" t="n">
        <v>23</v>
      </c>
      <c r="F3271" t="b">
        <v>0</v>
      </c>
      <c r="H3271" t="b">
        <v>0</v>
      </c>
    </row>
    <row r="3272">
      <c r="A3272" t="inlineStr">
        <is>
          <t>S005</t>
        </is>
      </c>
      <c r="B3272" s="3" t="n">
        <v>46276</v>
      </c>
      <c r="C3272" t="n">
        <v>14</v>
      </c>
      <c r="D3272" t="inlineStr">
        <is>
          <t>Friday</t>
        </is>
      </c>
      <c r="E3272" t="n">
        <v>9</v>
      </c>
      <c r="F3272" t="b">
        <v>0</v>
      </c>
      <c r="G3272" t="inlineStr">
        <is>
          <t>Light</t>
        </is>
      </c>
      <c r="H3272" t="b">
        <v>0</v>
      </c>
    </row>
    <row r="3273">
      <c r="A3273" t="inlineStr">
        <is>
          <t>S005</t>
        </is>
      </c>
      <c r="B3273" s="3" t="n">
        <v>46276</v>
      </c>
      <c r="C3273" t="n">
        <v>15</v>
      </c>
      <c r="D3273" t="inlineStr">
        <is>
          <t>Friday</t>
        </is>
      </c>
      <c r="E3273" t="n">
        <v>11</v>
      </c>
      <c r="F3273" t="b">
        <v>0</v>
      </c>
      <c r="H3273" t="b">
        <v>1</v>
      </c>
    </row>
    <row r="3274">
      <c r="A3274" t="inlineStr">
        <is>
          <t>S005</t>
        </is>
      </c>
      <c r="B3274" s="3" t="n">
        <v>46276</v>
      </c>
      <c r="C3274" t="n">
        <v>16</v>
      </c>
      <c r="D3274" t="inlineStr">
        <is>
          <t>Friday</t>
        </is>
      </c>
      <c r="E3274" t="n">
        <v>13</v>
      </c>
      <c r="F3274" t="b">
        <v>0</v>
      </c>
      <c r="G3274" t="inlineStr">
        <is>
          <t>Light</t>
        </is>
      </c>
      <c r="H3274" t="b">
        <v>0</v>
      </c>
    </row>
    <row r="3275">
      <c r="A3275" t="inlineStr">
        <is>
          <t>S005</t>
        </is>
      </c>
      <c r="B3275" s="3" t="n">
        <v>46276</v>
      </c>
      <c r="C3275" t="n">
        <v>17</v>
      </c>
      <c r="D3275" t="inlineStr">
        <is>
          <t>Friday</t>
        </is>
      </c>
      <c r="E3275" t="n">
        <v>9</v>
      </c>
      <c r="F3275" t="b">
        <v>0</v>
      </c>
      <c r="H3275" t="b">
        <v>0</v>
      </c>
    </row>
    <row r="3276">
      <c r="A3276" t="inlineStr">
        <is>
          <t>S005</t>
        </is>
      </c>
      <c r="B3276" s="3" t="n">
        <v>46276</v>
      </c>
      <c r="C3276" t="n">
        <v>18</v>
      </c>
      <c r="D3276" t="inlineStr">
        <is>
          <t>Friday</t>
        </is>
      </c>
      <c r="E3276" t="n">
        <v>15</v>
      </c>
      <c r="F3276" t="b">
        <v>0</v>
      </c>
      <c r="G3276" t="inlineStr">
        <is>
          <t>Light</t>
        </is>
      </c>
      <c r="H3276" t="b">
        <v>0</v>
      </c>
    </row>
    <row r="3277">
      <c r="A3277" t="inlineStr">
        <is>
          <t>S005</t>
        </is>
      </c>
      <c r="B3277" s="3" t="n">
        <v>46276</v>
      </c>
      <c r="C3277" t="n">
        <v>19</v>
      </c>
      <c r="D3277" t="inlineStr">
        <is>
          <t>Friday</t>
        </is>
      </c>
      <c r="E3277" t="n">
        <v>17</v>
      </c>
      <c r="F3277" t="b">
        <v>1</v>
      </c>
      <c r="H3277" t="b">
        <v>0</v>
      </c>
    </row>
    <row r="3278">
      <c r="A3278" t="inlineStr">
        <is>
          <t>S005</t>
        </is>
      </c>
      <c r="B3278" s="3" t="n">
        <v>46276</v>
      </c>
      <c r="C3278" t="n">
        <v>20</v>
      </c>
      <c r="D3278" t="inlineStr">
        <is>
          <t>Friday</t>
        </is>
      </c>
      <c r="E3278" t="n">
        <v>15</v>
      </c>
      <c r="F3278" t="b">
        <v>1</v>
      </c>
      <c r="G3278" t="inlineStr">
        <is>
          <t>Heavy</t>
        </is>
      </c>
      <c r="H3278" t="b">
        <v>0</v>
      </c>
    </row>
    <row r="3279">
      <c r="A3279" t="inlineStr">
        <is>
          <t>S005</t>
        </is>
      </c>
      <c r="B3279" s="3" t="n">
        <v>46276</v>
      </c>
      <c r="C3279" t="n">
        <v>21</v>
      </c>
      <c r="D3279" t="inlineStr">
        <is>
          <t>Friday</t>
        </is>
      </c>
      <c r="E3279" t="n">
        <v>26</v>
      </c>
      <c r="F3279" t="b">
        <v>1</v>
      </c>
      <c r="G3279" t="inlineStr">
        <is>
          <t>Light</t>
        </is>
      </c>
      <c r="H3279" t="b">
        <v>0</v>
      </c>
    </row>
    <row r="3280">
      <c r="A3280" t="inlineStr">
        <is>
          <t>S005</t>
        </is>
      </c>
      <c r="B3280" s="3" t="n">
        <v>46276</v>
      </c>
      <c r="C3280" t="n">
        <v>22</v>
      </c>
      <c r="D3280" t="inlineStr">
        <is>
          <t>Friday</t>
        </is>
      </c>
      <c r="E3280" t="n">
        <v>13</v>
      </c>
      <c r="F3280" t="b">
        <v>0</v>
      </c>
      <c r="G3280" t="inlineStr">
        <is>
          <t>Light</t>
        </is>
      </c>
      <c r="H3280" t="b">
        <v>0</v>
      </c>
    </row>
    <row r="3281">
      <c r="A3281" t="inlineStr">
        <is>
          <t>S005</t>
        </is>
      </c>
      <c r="B3281" s="3" t="n">
        <v>46276</v>
      </c>
      <c r="C3281" t="n">
        <v>23</v>
      </c>
      <c r="D3281" t="inlineStr">
        <is>
          <t>Friday</t>
        </is>
      </c>
      <c r="E3281" t="n">
        <v>17</v>
      </c>
      <c r="F3281" t="b">
        <v>0</v>
      </c>
      <c r="H3281" t="b">
        <v>0</v>
      </c>
    </row>
    <row r="3282">
      <c r="A3282" t="inlineStr">
        <is>
          <t>S006</t>
        </is>
      </c>
      <c r="B3282" s="3" t="n">
        <v>46276</v>
      </c>
      <c r="C3282" t="n">
        <v>8</v>
      </c>
      <c r="D3282" t="inlineStr">
        <is>
          <t>Friday</t>
        </is>
      </c>
      <c r="E3282" t="n">
        <v>22</v>
      </c>
      <c r="F3282" t="b">
        <v>0</v>
      </c>
      <c r="G3282" t="inlineStr">
        <is>
          <t>Light</t>
        </is>
      </c>
      <c r="H3282" t="b">
        <v>0</v>
      </c>
    </row>
    <row r="3283">
      <c r="A3283" t="inlineStr">
        <is>
          <t>S006</t>
        </is>
      </c>
      <c r="B3283" s="3" t="n">
        <v>46276</v>
      </c>
      <c r="C3283" t="n">
        <v>9</v>
      </c>
      <c r="D3283" t="inlineStr">
        <is>
          <t>Friday</t>
        </is>
      </c>
      <c r="E3283" t="n">
        <v>26</v>
      </c>
      <c r="F3283" t="b">
        <v>0</v>
      </c>
      <c r="G3283" t="inlineStr">
        <is>
          <t>Heavy</t>
        </is>
      </c>
      <c r="H3283" t="b">
        <v>0</v>
      </c>
    </row>
    <row r="3284">
      <c r="A3284" t="inlineStr">
        <is>
          <t>S006</t>
        </is>
      </c>
      <c r="B3284" s="3" t="n">
        <v>46276</v>
      </c>
      <c r="C3284" t="n">
        <v>10</v>
      </c>
      <c r="D3284" t="inlineStr">
        <is>
          <t>Friday</t>
        </is>
      </c>
      <c r="E3284" t="n">
        <v>23</v>
      </c>
      <c r="F3284" t="b">
        <v>0</v>
      </c>
      <c r="G3284" t="inlineStr">
        <is>
          <t>Light</t>
        </is>
      </c>
      <c r="H3284" t="b">
        <v>0</v>
      </c>
    </row>
    <row r="3285">
      <c r="A3285" t="inlineStr">
        <is>
          <t>S006</t>
        </is>
      </c>
      <c r="B3285" s="3" t="n">
        <v>46276</v>
      </c>
      <c r="C3285" t="n">
        <v>11</v>
      </c>
      <c r="D3285" t="inlineStr">
        <is>
          <t>Friday</t>
        </is>
      </c>
      <c r="E3285" t="n">
        <v>28</v>
      </c>
      <c r="F3285" t="b">
        <v>0</v>
      </c>
      <c r="H3285" t="b">
        <v>0</v>
      </c>
    </row>
    <row r="3286">
      <c r="A3286" t="inlineStr">
        <is>
          <t>S006</t>
        </is>
      </c>
      <c r="B3286" s="3" t="n">
        <v>46276</v>
      </c>
      <c r="C3286" t="n">
        <v>12</v>
      </c>
      <c r="D3286" t="inlineStr">
        <is>
          <t>Friday</t>
        </is>
      </c>
      <c r="E3286" t="n">
        <v>31</v>
      </c>
      <c r="F3286" t="b">
        <v>0</v>
      </c>
      <c r="H3286" t="b">
        <v>0</v>
      </c>
    </row>
    <row r="3287">
      <c r="A3287" t="inlineStr">
        <is>
          <t>S006</t>
        </is>
      </c>
      <c r="B3287" s="3" t="n">
        <v>46276</v>
      </c>
      <c r="C3287" t="n">
        <v>13</v>
      </c>
      <c r="D3287" t="inlineStr">
        <is>
          <t>Friday</t>
        </is>
      </c>
      <c r="E3287" t="n">
        <v>26</v>
      </c>
      <c r="F3287" t="b">
        <v>0</v>
      </c>
      <c r="G3287" t="inlineStr">
        <is>
          <t>Light</t>
        </is>
      </c>
      <c r="H3287" t="b">
        <v>0</v>
      </c>
    </row>
    <row r="3288">
      <c r="A3288" t="inlineStr">
        <is>
          <t>S006</t>
        </is>
      </c>
      <c r="B3288" s="3" t="n">
        <v>46276</v>
      </c>
      <c r="C3288" t="n">
        <v>14</v>
      </c>
      <c r="D3288" t="inlineStr">
        <is>
          <t>Friday</t>
        </is>
      </c>
      <c r="E3288" t="n">
        <v>19</v>
      </c>
      <c r="F3288" t="b">
        <v>0</v>
      </c>
      <c r="H3288" t="b">
        <v>0</v>
      </c>
    </row>
    <row r="3289">
      <c r="A3289" t="inlineStr">
        <is>
          <t>S006</t>
        </is>
      </c>
      <c r="B3289" s="3" t="n">
        <v>46276</v>
      </c>
      <c r="C3289" t="n">
        <v>15</v>
      </c>
      <c r="D3289" t="inlineStr">
        <is>
          <t>Friday</t>
        </is>
      </c>
      <c r="E3289" t="n">
        <v>20</v>
      </c>
      <c r="F3289" t="b">
        <v>0</v>
      </c>
      <c r="H3289" t="b">
        <v>0</v>
      </c>
    </row>
    <row r="3290">
      <c r="A3290" t="inlineStr">
        <is>
          <t>S006</t>
        </is>
      </c>
      <c r="B3290" s="3" t="n">
        <v>46276</v>
      </c>
      <c r="C3290" t="n">
        <v>16</v>
      </c>
      <c r="D3290" t="inlineStr">
        <is>
          <t>Friday</t>
        </is>
      </c>
      <c r="E3290" t="n">
        <v>41</v>
      </c>
      <c r="F3290" t="b">
        <v>0</v>
      </c>
      <c r="H3290" t="b">
        <v>0</v>
      </c>
    </row>
    <row r="3291">
      <c r="A3291" t="inlineStr">
        <is>
          <t>S006</t>
        </is>
      </c>
      <c r="B3291" s="3" t="n">
        <v>46276</v>
      </c>
      <c r="C3291" t="n">
        <v>17</v>
      </c>
      <c r="D3291" t="inlineStr">
        <is>
          <t>Friday</t>
        </is>
      </c>
      <c r="E3291" t="n">
        <v>25</v>
      </c>
      <c r="F3291" t="b">
        <v>0</v>
      </c>
      <c r="H3291" t="b">
        <v>0</v>
      </c>
    </row>
    <row r="3292">
      <c r="A3292" t="inlineStr">
        <is>
          <t>S006</t>
        </is>
      </c>
      <c r="B3292" s="3" t="n">
        <v>46276</v>
      </c>
      <c r="C3292" t="n">
        <v>18</v>
      </c>
      <c r="D3292" t="inlineStr">
        <is>
          <t>Friday</t>
        </is>
      </c>
      <c r="E3292" t="n">
        <v>26</v>
      </c>
      <c r="F3292" t="b">
        <v>0</v>
      </c>
      <c r="G3292" t="inlineStr">
        <is>
          <t>Heavy</t>
        </is>
      </c>
      <c r="H3292" t="b">
        <v>0</v>
      </c>
    </row>
    <row r="3293">
      <c r="A3293" t="inlineStr">
        <is>
          <t>S006</t>
        </is>
      </c>
      <c r="B3293" s="3" t="n">
        <v>46276</v>
      </c>
      <c r="C3293" t="n">
        <v>19</v>
      </c>
      <c r="D3293" t="inlineStr">
        <is>
          <t>Friday</t>
        </is>
      </c>
      <c r="E3293" t="n">
        <v>28</v>
      </c>
      <c r="F3293" t="b">
        <v>1</v>
      </c>
      <c r="H3293" t="b">
        <v>0</v>
      </c>
    </row>
    <row r="3294">
      <c r="A3294" t="inlineStr">
        <is>
          <t>S006</t>
        </is>
      </c>
      <c r="B3294" s="3" t="n">
        <v>46276</v>
      </c>
      <c r="C3294" t="n">
        <v>20</v>
      </c>
      <c r="D3294" t="inlineStr">
        <is>
          <t>Friday</t>
        </is>
      </c>
      <c r="E3294" t="n">
        <v>36</v>
      </c>
      <c r="F3294" t="b">
        <v>1</v>
      </c>
      <c r="G3294" t="inlineStr">
        <is>
          <t>Heavy</t>
        </is>
      </c>
      <c r="H3294" t="b">
        <v>0</v>
      </c>
    </row>
    <row r="3295">
      <c r="A3295" t="inlineStr">
        <is>
          <t>S006</t>
        </is>
      </c>
      <c r="B3295" s="3" t="n">
        <v>46276</v>
      </c>
      <c r="C3295" t="n">
        <v>21</v>
      </c>
      <c r="D3295" t="inlineStr">
        <is>
          <t>Friday</t>
        </is>
      </c>
      <c r="E3295" t="n">
        <v>33</v>
      </c>
      <c r="F3295" t="b">
        <v>1</v>
      </c>
      <c r="H3295" t="b">
        <v>1</v>
      </c>
    </row>
    <row r="3296">
      <c r="A3296" t="inlineStr">
        <is>
          <t>S006</t>
        </is>
      </c>
      <c r="B3296" s="3" t="n">
        <v>46276</v>
      </c>
      <c r="C3296" t="n">
        <v>22</v>
      </c>
      <c r="D3296" t="inlineStr">
        <is>
          <t>Friday</t>
        </is>
      </c>
      <c r="E3296" t="n">
        <v>32</v>
      </c>
      <c r="F3296" t="b">
        <v>0</v>
      </c>
      <c r="H3296" t="b">
        <v>0</v>
      </c>
    </row>
    <row r="3297">
      <c r="A3297" t="inlineStr">
        <is>
          <t>S006</t>
        </is>
      </c>
      <c r="B3297" s="3" t="n">
        <v>46276</v>
      </c>
      <c r="C3297" t="n">
        <v>23</v>
      </c>
      <c r="D3297" t="inlineStr">
        <is>
          <t>Friday</t>
        </is>
      </c>
      <c r="E3297" t="n">
        <v>22</v>
      </c>
      <c r="F3297" t="b">
        <v>0</v>
      </c>
      <c r="H3297" t="b">
        <v>0</v>
      </c>
    </row>
    <row r="3298">
      <c r="A3298" t="inlineStr">
        <is>
          <t>S007</t>
        </is>
      </c>
      <c r="B3298" s="3" t="n">
        <v>46276</v>
      </c>
      <c r="C3298" t="n">
        <v>8</v>
      </c>
      <c r="D3298" t="inlineStr">
        <is>
          <t>Friday</t>
        </is>
      </c>
      <c r="E3298" t="n">
        <v>31</v>
      </c>
      <c r="F3298" t="b">
        <v>0</v>
      </c>
      <c r="H3298" t="b">
        <v>0</v>
      </c>
    </row>
    <row r="3299">
      <c r="A3299" t="inlineStr">
        <is>
          <t>S007</t>
        </is>
      </c>
      <c r="B3299" s="3" t="n">
        <v>46276</v>
      </c>
      <c r="C3299" t="n">
        <v>9</v>
      </c>
      <c r="D3299" t="inlineStr">
        <is>
          <t>Friday</t>
        </is>
      </c>
      <c r="E3299" t="n">
        <v>28</v>
      </c>
      <c r="F3299" t="b">
        <v>0</v>
      </c>
      <c r="H3299" t="b">
        <v>0</v>
      </c>
    </row>
    <row r="3300">
      <c r="A3300" t="inlineStr">
        <is>
          <t>S007</t>
        </is>
      </c>
      <c r="B3300" s="3" t="n">
        <v>46276</v>
      </c>
      <c r="C3300" t="n">
        <v>10</v>
      </c>
      <c r="D3300" t="inlineStr">
        <is>
          <t>Friday</t>
        </is>
      </c>
      <c r="E3300" t="n">
        <v>18</v>
      </c>
      <c r="F3300" t="b">
        <v>0</v>
      </c>
      <c r="H3300" t="b">
        <v>0</v>
      </c>
    </row>
    <row r="3301">
      <c r="A3301" t="inlineStr">
        <is>
          <t>S007</t>
        </is>
      </c>
      <c r="B3301" s="3" t="n">
        <v>46276</v>
      </c>
      <c r="C3301" t="n">
        <v>11</v>
      </c>
      <c r="D3301" t="inlineStr">
        <is>
          <t>Friday</t>
        </is>
      </c>
      <c r="E3301" t="n">
        <v>48</v>
      </c>
      <c r="F3301" t="b">
        <v>0</v>
      </c>
      <c r="G3301" t="inlineStr">
        <is>
          <t>Heavy</t>
        </is>
      </c>
      <c r="H3301" t="b">
        <v>0</v>
      </c>
    </row>
    <row r="3302">
      <c r="A3302" t="inlineStr">
        <is>
          <t>S007</t>
        </is>
      </c>
      <c r="B3302" s="3" t="n">
        <v>46276</v>
      </c>
      <c r="C3302" t="n">
        <v>12</v>
      </c>
      <c r="D3302" t="inlineStr">
        <is>
          <t>Friday</t>
        </is>
      </c>
      <c r="E3302" t="n">
        <v>36</v>
      </c>
      <c r="F3302" t="b">
        <v>0</v>
      </c>
      <c r="H3302" t="b">
        <v>0</v>
      </c>
    </row>
    <row r="3303">
      <c r="A3303" t="inlineStr">
        <is>
          <t>S007</t>
        </is>
      </c>
      <c r="B3303" s="3" t="n">
        <v>46276</v>
      </c>
      <c r="C3303" t="n">
        <v>13</v>
      </c>
      <c r="D3303" t="inlineStr">
        <is>
          <t>Friday</t>
        </is>
      </c>
      <c r="E3303" t="n">
        <v>41</v>
      </c>
      <c r="F3303" t="b">
        <v>0</v>
      </c>
      <c r="H3303" t="b">
        <v>0</v>
      </c>
    </row>
    <row r="3304">
      <c r="A3304" t="inlineStr">
        <is>
          <t>S007</t>
        </is>
      </c>
      <c r="B3304" s="3" t="n">
        <v>46276</v>
      </c>
      <c r="C3304" t="n">
        <v>14</v>
      </c>
      <c r="D3304" t="inlineStr">
        <is>
          <t>Friday</t>
        </is>
      </c>
      <c r="E3304" t="n">
        <v>30</v>
      </c>
      <c r="F3304" t="b">
        <v>0</v>
      </c>
      <c r="H3304" t="b">
        <v>0</v>
      </c>
    </row>
    <row r="3305">
      <c r="A3305" t="inlineStr">
        <is>
          <t>S007</t>
        </is>
      </c>
      <c r="B3305" s="3" t="n">
        <v>46276</v>
      </c>
      <c r="C3305" t="n">
        <v>15</v>
      </c>
      <c r="D3305" t="inlineStr">
        <is>
          <t>Friday</t>
        </is>
      </c>
      <c r="E3305" t="n">
        <v>30</v>
      </c>
      <c r="F3305" t="b">
        <v>0</v>
      </c>
      <c r="H3305" t="b">
        <v>0</v>
      </c>
    </row>
    <row r="3306">
      <c r="A3306" t="inlineStr">
        <is>
          <t>S007</t>
        </is>
      </c>
      <c r="B3306" s="3" t="n">
        <v>46276</v>
      </c>
      <c r="C3306" t="n">
        <v>16</v>
      </c>
      <c r="D3306" t="inlineStr">
        <is>
          <t>Friday</t>
        </is>
      </c>
      <c r="E3306" t="n">
        <v>32</v>
      </c>
      <c r="F3306" t="b">
        <v>0</v>
      </c>
      <c r="H3306" t="b">
        <v>0</v>
      </c>
    </row>
    <row r="3307">
      <c r="A3307" t="inlineStr">
        <is>
          <t>S007</t>
        </is>
      </c>
      <c r="B3307" s="3" t="n">
        <v>46276</v>
      </c>
      <c r="C3307" t="n">
        <v>17</v>
      </c>
      <c r="D3307" t="inlineStr">
        <is>
          <t>Friday</t>
        </is>
      </c>
      <c r="E3307" t="n">
        <v>33</v>
      </c>
      <c r="F3307" t="b">
        <v>0</v>
      </c>
      <c r="H3307" t="b">
        <v>0</v>
      </c>
    </row>
    <row r="3308">
      <c r="A3308" t="inlineStr">
        <is>
          <t>S007</t>
        </is>
      </c>
      <c r="B3308" s="3" t="n">
        <v>46276</v>
      </c>
      <c r="C3308" t="n">
        <v>18</v>
      </c>
      <c r="D3308" t="inlineStr">
        <is>
          <t>Friday</t>
        </is>
      </c>
      <c r="E3308" t="n">
        <v>39</v>
      </c>
      <c r="F3308" t="b">
        <v>0</v>
      </c>
      <c r="H3308" t="b">
        <v>0</v>
      </c>
    </row>
    <row r="3309">
      <c r="A3309" t="inlineStr">
        <is>
          <t>S007</t>
        </is>
      </c>
      <c r="B3309" s="3" t="n">
        <v>46276</v>
      </c>
      <c r="C3309" t="n">
        <v>19</v>
      </c>
      <c r="D3309" t="inlineStr">
        <is>
          <t>Friday</t>
        </is>
      </c>
      <c r="E3309" t="n">
        <v>63</v>
      </c>
      <c r="F3309" t="b">
        <v>1</v>
      </c>
      <c r="H3309" t="b">
        <v>0</v>
      </c>
    </row>
    <row r="3310">
      <c r="A3310" t="inlineStr">
        <is>
          <t>S007</t>
        </is>
      </c>
      <c r="B3310" s="3" t="n">
        <v>46276</v>
      </c>
      <c r="C3310" t="n">
        <v>20</v>
      </c>
      <c r="D3310" t="inlineStr">
        <is>
          <t>Friday</t>
        </is>
      </c>
      <c r="E3310" t="n">
        <v>52</v>
      </c>
      <c r="F3310" t="b">
        <v>1</v>
      </c>
      <c r="H3310" t="b">
        <v>0</v>
      </c>
    </row>
    <row r="3311">
      <c r="A3311" t="inlineStr">
        <is>
          <t>S007</t>
        </is>
      </c>
      <c r="B3311" s="3" t="n">
        <v>46276</v>
      </c>
      <c r="C3311" t="n">
        <v>21</v>
      </c>
      <c r="D3311" t="inlineStr">
        <is>
          <t>Friday</t>
        </is>
      </c>
      <c r="E3311" t="n">
        <v>60</v>
      </c>
      <c r="F3311" t="b">
        <v>1</v>
      </c>
      <c r="H3311" t="b">
        <v>1</v>
      </c>
    </row>
    <row r="3312">
      <c r="A3312" t="inlineStr">
        <is>
          <t>S007</t>
        </is>
      </c>
      <c r="B3312" s="3" t="n">
        <v>46276</v>
      </c>
      <c r="C3312" t="n">
        <v>22</v>
      </c>
      <c r="D3312" t="inlineStr">
        <is>
          <t>Friday</t>
        </is>
      </c>
      <c r="E3312" t="n">
        <v>38</v>
      </c>
      <c r="F3312" t="b">
        <v>0</v>
      </c>
      <c r="H3312" t="b">
        <v>0</v>
      </c>
    </row>
    <row r="3313">
      <c r="A3313" t="inlineStr">
        <is>
          <t>S007</t>
        </is>
      </c>
      <c r="B3313" s="3" t="n">
        <v>46276</v>
      </c>
      <c r="C3313" t="n">
        <v>23</v>
      </c>
      <c r="D3313" t="inlineStr">
        <is>
          <t>Friday</t>
        </is>
      </c>
      <c r="E3313" t="n">
        <v>35</v>
      </c>
      <c r="F3313" t="b">
        <v>0</v>
      </c>
      <c r="H3313" t="b">
        <v>0</v>
      </c>
    </row>
    <row r="3314">
      <c r="A3314" t="inlineStr">
        <is>
          <t>S008</t>
        </is>
      </c>
      <c r="B3314" s="3" t="n">
        <v>46276</v>
      </c>
      <c r="C3314" t="n">
        <v>8</v>
      </c>
      <c r="D3314" t="inlineStr">
        <is>
          <t>Friday</t>
        </is>
      </c>
      <c r="E3314" t="n">
        <v>17</v>
      </c>
      <c r="F3314" t="b">
        <v>0</v>
      </c>
      <c r="H3314" t="b">
        <v>0</v>
      </c>
    </row>
    <row r="3315">
      <c r="A3315" t="inlineStr">
        <is>
          <t>S008</t>
        </is>
      </c>
      <c r="B3315" s="3" t="n">
        <v>46276</v>
      </c>
      <c r="C3315" t="n">
        <v>9</v>
      </c>
      <c r="D3315" t="inlineStr">
        <is>
          <t>Friday</t>
        </is>
      </c>
      <c r="E3315" t="n">
        <v>16</v>
      </c>
      <c r="F3315" t="b">
        <v>0</v>
      </c>
      <c r="G3315" t="inlineStr">
        <is>
          <t>Light</t>
        </is>
      </c>
      <c r="H3315" t="b">
        <v>0</v>
      </c>
    </row>
    <row r="3316">
      <c r="A3316" t="inlineStr">
        <is>
          <t>S008</t>
        </is>
      </c>
      <c r="B3316" s="3" t="n">
        <v>46276</v>
      </c>
      <c r="C3316" t="n">
        <v>10</v>
      </c>
      <c r="D3316" t="inlineStr">
        <is>
          <t>Friday</t>
        </is>
      </c>
      <c r="E3316" t="n">
        <v>20</v>
      </c>
      <c r="F3316" t="b">
        <v>0</v>
      </c>
      <c r="G3316" t="inlineStr">
        <is>
          <t>Light</t>
        </is>
      </c>
      <c r="H3316" t="b">
        <v>0</v>
      </c>
    </row>
    <row r="3317">
      <c r="A3317" t="inlineStr">
        <is>
          <t>S008</t>
        </is>
      </c>
      <c r="B3317" s="3" t="n">
        <v>46276</v>
      </c>
      <c r="C3317" t="n">
        <v>11</v>
      </c>
      <c r="D3317" t="inlineStr">
        <is>
          <t>Friday</t>
        </is>
      </c>
      <c r="E3317" t="n">
        <v>23</v>
      </c>
      <c r="F3317" t="b">
        <v>0</v>
      </c>
      <c r="H3317" t="b">
        <v>0</v>
      </c>
    </row>
    <row r="3318">
      <c r="A3318" t="inlineStr">
        <is>
          <t>S008</t>
        </is>
      </c>
      <c r="B3318" s="3" t="n">
        <v>46276</v>
      </c>
      <c r="C3318" t="n">
        <v>12</v>
      </c>
      <c r="D3318" t="inlineStr">
        <is>
          <t>Friday</t>
        </is>
      </c>
      <c r="E3318" t="n">
        <v>29</v>
      </c>
      <c r="F3318" t="b">
        <v>0</v>
      </c>
      <c r="H3318" t="b">
        <v>0</v>
      </c>
    </row>
    <row r="3319">
      <c r="A3319" t="inlineStr">
        <is>
          <t>S008</t>
        </is>
      </c>
      <c r="B3319" s="3" t="n">
        <v>46276</v>
      </c>
      <c r="C3319" t="n">
        <v>13</v>
      </c>
      <c r="D3319" t="inlineStr">
        <is>
          <t>Friday</t>
        </is>
      </c>
      <c r="E3319" t="n">
        <v>21</v>
      </c>
      <c r="F3319" t="b">
        <v>0</v>
      </c>
      <c r="H3319" t="b">
        <v>0</v>
      </c>
    </row>
    <row r="3320">
      <c r="A3320" t="inlineStr">
        <is>
          <t>S008</t>
        </is>
      </c>
      <c r="B3320" s="3" t="n">
        <v>46276</v>
      </c>
      <c r="C3320" t="n">
        <v>14</v>
      </c>
      <c r="D3320" t="inlineStr">
        <is>
          <t>Friday</t>
        </is>
      </c>
      <c r="E3320" t="n">
        <v>21</v>
      </c>
      <c r="F3320" t="b">
        <v>0</v>
      </c>
      <c r="H3320" t="b">
        <v>0</v>
      </c>
    </row>
    <row r="3321">
      <c r="A3321" t="inlineStr">
        <is>
          <t>S008</t>
        </is>
      </c>
      <c r="B3321" s="3" t="n">
        <v>46276</v>
      </c>
      <c r="C3321" t="n">
        <v>15</v>
      </c>
      <c r="D3321" t="inlineStr">
        <is>
          <t>Friday</t>
        </is>
      </c>
      <c r="E3321" t="n">
        <v>20</v>
      </c>
      <c r="F3321" t="b">
        <v>0</v>
      </c>
      <c r="H3321" t="b">
        <v>0</v>
      </c>
    </row>
    <row r="3322">
      <c r="A3322" t="inlineStr">
        <is>
          <t>S008</t>
        </is>
      </c>
      <c r="B3322" s="3" t="n">
        <v>46276</v>
      </c>
      <c r="C3322" t="n">
        <v>16</v>
      </c>
      <c r="D3322" t="inlineStr">
        <is>
          <t>Friday</t>
        </is>
      </c>
      <c r="E3322" t="n">
        <v>25</v>
      </c>
      <c r="F3322" t="b">
        <v>0</v>
      </c>
      <c r="G3322" t="inlineStr">
        <is>
          <t>Heavy</t>
        </is>
      </c>
      <c r="H3322" t="b">
        <v>0</v>
      </c>
    </row>
    <row r="3323">
      <c r="A3323" t="inlineStr">
        <is>
          <t>S008</t>
        </is>
      </c>
      <c r="B3323" s="3" t="n">
        <v>46276</v>
      </c>
      <c r="C3323" t="n">
        <v>17</v>
      </c>
      <c r="D3323" t="inlineStr">
        <is>
          <t>Friday</t>
        </is>
      </c>
      <c r="E3323" t="n">
        <v>28</v>
      </c>
      <c r="F3323" t="b">
        <v>0</v>
      </c>
      <c r="H3323" t="b">
        <v>0</v>
      </c>
    </row>
    <row r="3324">
      <c r="A3324" t="inlineStr">
        <is>
          <t>S008</t>
        </is>
      </c>
      <c r="B3324" s="3" t="n">
        <v>46276</v>
      </c>
      <c r="C3324" t="n">
        <v>18</v>
      </c>
      <c r="D3324" t="inlineStr">
        <is>
          <t>Friday</t>
        </is>
      </c>
      <c r="E3324" t="n">
        <v>32</v>
      </c>
      <c r="F3324" t="b">
        <v>0</v>
      </c>
      <c r="H3324" t="b">
        <v>0</v>
      </c>
    </row>
    <row r="3325">
      <c r="A3325" t="inlineStr">
        <is>
          <t>S008</t>
        </is>
      </c>
      <c r="B3325" s="3" t="n">
        <v>46276</v>
      </c>
      <c r="C3325" t="n">
        <v>19</v>
      </c>
      <c r="D3325" t="inlineStr">
        <is>
          <t>Friday</t>
        </is>
      </c>
      <c r="E3325" t="n">
        <v>38</v>
      </c>
      <c r="F3325" t="b">
        <v>1</v>
      </c>
      <c r="H3325" t="b">
        <v>0</v>
      </c>
    </row>
    <row r="3326">
      <c r="A3326" t="inlineStr">
        <is>
          <t>S008</t>
        </is>
      </c>
      <c r="B3326" s="3" t="n">
        <v>46276</v>
      </c>
      <c r="C3326" t="n">
        <v>20</v>
      </c>
      <c r="D3326" t="inlineStr">
        <is>
          <t>Friday</t>
        </is>
      </c>
      <c r="E3326" t="n">
        <v>37</v>
      </c>
      <c r="F3326" t="b">
        <v>1</v>
      </c>
      <c r="H3326" t="b">
        <v>0</v>
      </c>
    </row>
    <row r="3327">
      <c r="A3327" t="inlineStr">
        <is>
          <t>S008</t>
        </is>
      </c>
      <c r="B3327" s="3" t="n">
        <v>46276</v>
      </c>
      <c r="C3327" t="n">
        <v>21</v>
      </c>
      <c r="D3327" t="inlineStr">
        <is>
          <t>Friday</t>
        </is>
      </c>
      <c r="E3327" t="n">
        <v>29</v>
      </c>
      <c r="F3327" t="b">
        <v>1</v>
      </c>
      <c r="H3327" t="b">
        <v>0</v>
      </c>
    </row>
    <row r="3328">
      <c r="A3328" t="inlineStr">
        <is>
          <t>S008</t>
        </is>
      </c>
      <c r="B3328" s="3" t="n">
        <v>46276</v>
      </c>
      <c r="C3328" t="n">
        <v>22</v>
      </c>
      <c r="D3328" t="inlineStr">
        <is>
          <t>Friday</t>
        </is>
      </c>
      <c r="E3328" t="n">
        <v>22</v>
      </c>
      <c r="F3328" t="b">
        <v>0</v>
      </c>
      <c r="G3328" t="inlineStr">
        <is>
          <t>Light</t>
        </is>
      </c>
      <c r="H3328" t="b">
        <v>0</v>
      </c>
    </row>
    <row r="3329">
      <c r="A3329" t="inlineStr">
        <is>
          <t>S008</t>
        </is>
      </c>
      <c r="B3329" s="3" t="n">
        <v>46276</v>
      </c>
      <c r="C3329" t="n">
        <v>23</v>
      </c>
      <c r="D3329" t="inlineStr">
        <is>
          <t>Friday</t>
        </is>
      </c>
      <c r="E3329" t="n">
        <v>19</v>
      </c>
      <c r="F3329" t="b">
        <v>0</v>
      </c>
      <c r="H3329" t="b">
        <v>0</v>
      </c>
    </row>
    <row r="3330">
      <c r="A3330" t="inlineStr">
        <is>
          <t>S009</t>
        </is>
      </c>
      <c r="B3330" s="3" t="n">
        <v>46276</v>
      </c>
      <c r="C3330" t="n">
        <v>8</v>
      </c>
      <c r="D3330" t="inlineStr">
        <is>
          <t>Friday</t>
        </is>
      </c>
      <c r="E3330" t="n">
        <v>13</v>
      </c>
      <c r="F3330" t="b">
        <v>0</v>
      </c>
      <c r="H3330" t="b">
        <v>0</v>
      </c>
    </row>
    <row r="3331">
      <c r="A3331" t="inlineStr">
        <is>
          <t>S009</t>
        </is>
      </c>
      <c r="B3331" s="3" t="n">
        <v>46276</v>
      </c>
      <c r="C3331" t="n">
        <v>9</v>
      </c>
      <c r="D3331" t="inlineStr">
        <is>
          <t>Friday</t>
        </is>
      </c>
      <c r="E3331" t="n">
        <v>19</v>
      </c>
      <c r="F3331" t="b">
        <v>0</v>
      </c>
      <c r="G3331" t="inlineStr">
        <is>
          <t>Light</t>
        </is>
      </c>
      <c r="H3331" t="b">
        <v>0</v>
      </c>
    </row>
    <row r="3332">
      <c r="A3332" t="inlineStr">
        <is>
          <t>S009</t>
        </is>
      </c>
      <c r="B3332" s="3" t="n">
        <v>46276</v>
      </c>
      <c r="C3332" t="n">
        <v>10</v>
      </c>
      <c r="D3332" t="inlineStr">
        <is>
          <t>Friday</t>
        </is>
      </c>
      <c r="E3332" t="n">
        <v>23</v>
      </c>
      <c r="F3332" t="b">
        <v>0</v>
      </c>
      <c r="H3332" t="b">
        <v>0</v>
      </c>
    </row>
    <row r="3333">
      <c r="A3333" t="inlineStr">
        <is>
          <t>S009</t>
        </is>
      </c>
      <c r="B3333" s="3" t="n">
        <v>46276</v>
      </c>
      <c r="C3333" t="n">
        <v>11</v>
      </c>
      <c r="D3333" t="inlineStr">
        <is>
          <t>Friday</t>
        </is>
      </c>
      <c r="E3333" t="n">
        <v>33</v>
      </c>
      <c r="F3333" t="b">
        <v>0</v>
      </c>
      <c r="G3333" t="inlineStr">
        <is>
          <t>Light</t>
        </is>
      </c>
      <c r="H3333" t="b">
        <v>0</v>
      </c>
    </row>
    <row r="3334">
      <c r="A3334" t="inlineStr">
        <is>
          <t>S009</t>
        </is>
      </c>
      <c r="B3334" s="3" t="n">
        <v>46276</v>
      </c>
      <c r="C3334" t="n">
        <v>12</v>
      </c>
      <c r="D3334" t="inlineStr">
        <is>
          <t>Friday</t>
        </is>
      </c>
      <c r="E3334" t="n">
        <v>31</v>
      </c>
      <c r="F3334" t="b">
        <v>0</v>
      </c>
      <c r="H3334" t="b">
        <v>0</v>
      </c>
    </row>
    <row r="3335">
      <c r="A3335" t="inlineStr">
        <is>
          <t>S009</t>
        </is>
      </c>
      <c r="B3335" s="3" t="n">
        <v>46276</v>
      </c>
      <c r="C3335" t="n">
        <v>13</v>
      </c>
      <c r="D3335" t="inlineStr">
        <is>
          <t>Friday</t>
        </is>
      </c>
      <c r="E3335" t="n">
        <v>34</v>
      </c>
      <c r="F3335" t="b">
        <v>0</v>
      </c>
      <c r="H3335" t="b">
        <v>0</v>
      </c>
    </row>
    <row r="3336">
      <c r="A3336" t="inlineStr">
        <is>
          <t>S009</t>
        </is>
      </c>
      <c r="B3336" s="3" t="n">
        <v>46276</v>
      </c>
      <c r="C3336" t="n">
        <v>14</v>
      </c>
      <c r="D3336" t="inlineStr">
        <is>
          <t>Friday</t>
        </is>
      </c>
      <c r="E3336" t="n">
        <v>20</v>
      </c>
      <c r="F3336" t="b">
        <v>0</v>
      </c>
      <c r="H3336" t="b">
        <v>0</v>
      </c>
    </row>
    <row r="3337">
      <c r="A3337" t="inlineStr">
        <is>
          <t>S009</t>
        </is>
      </c>
      <c r="B3337" s="3" t="n">
        <v>46276</v>
      </c>
      <c r="C3337" t="n">
        <v>15</v>
      </c>
      <c r="D3337" t="inlineStr">
        <is>
          <t>Friday</t>
        </is>
      </c>
      <c r="E3337" t="n">
        <v>19</v>
      </c>
      <c r="F3337" t="b">
        <v>0</v>
      </c>
      <c r="H3337" t="b">
        <v>0</v>
      </c>
    </row>
    <row r="3338">
      <c r="A3338" t="inlineStr">
        <is>
          <t>S009</t>
        </is>
      </c>
      <c r="B3338" s="3" t="n">
        <v>46276</v>
      </c>
      <c r="C3338" t="n">
        <v>16</v>
      </c>
      <c r="D3338" t="inlineStr">
        <is>
          <t>Friday</t>
        </is>
      </c>
      <c r="E3338" t="n">
        <v>34</v>
      </c>
      <c r="F3338" t="b">
        <v>0</v>
      </c>
      <c r="H3338" t="b">
        <v>0</v>
      </c>
    </row>
    <row r="3339">
      <c r="A3339" t="inlineStr">
        <is>
          <t>S009</t>
        </is>
      </c>
      <c r="B3339" s="3" t="n">
        <v>46276</v>
      </c>
      <c r="C3339" t="n">
        <v>17</v>
      </c>
      <c r="D3339" t="inlineStr">
        <is>
          <t>Friday</t>
        </is>
      </c>
      <c r="E3339" t="n">
        <v>37</v>
      </c>
      <c r="F3339" t="b">
        <v>0</v>
      </c>
      <c r="H3339" t="b">
        <v>0</v>
      </c>
    </row>
    <row r="3340">
      <c r="A3340" t="inlineStr">
        <is>
          <t>S009</t>
        </is>
      </c>
      <c r="B3340" s="3" t="n">
        <v>46276</v>
      </c>
      <c r="C3340" t="n">
        <v>18</v>
      </c>
      <c r="D3340" t="inlineStr">
        <is>
          <t>Friday</t>
        </is>
      </c>
      <c r="E3340" t="n">
        <v>24</v>
      </c>
      <c r="F3340" t="b">
        <v>0</v>
      </c>
      <c r="G3340" t="inlineStr">
        <is>
          <t>Light</t>
        </is>
      </c>
      <c r="H3340" t="b">
        <v>0</v>
      </c>
    </row>
    <row r="3341">
      <c r="A3341" t="inlineStr">
        <is>
          <t>S009</t>
        </is>
      </c>
      <c r="B3341" s="3" t="n">
        <v>46276</v>
      </c>
      <c r="C3341" t="n">
        <v>19</v>
      </c>
      <c r="D3341" t="inlineStr">
        <is>
          <t>Friday</t>
        </is>
      </c>
      <c r="E3341" t="n">
        <v>35</v>
      </c>
      <c r="F3341" t="b">
        <v>1</v>
      </c>
      <c r="H3341" t="b">
        <v>0</v>
      </c>
    </row>
    <row r="3342">
      <c r="A3342" t="inlineStr">
        <is>
          <t>S009</t>
        </is>
      </c>
      <c r="B3342" s="3" t="n">
        <v>46276</v>
      </c>
      <c r="C3342" t="n">
        <v>20</v>
      </c>
      <c r="D3342" t="inlineStr">
        <is>
          <t>Friday</t>
        </is>
      </c>
      <c r="E3342" t="n">
        <v>44</v>
      </c>
      <c r="F3342" t="b">
        <v>1</v>
      </c>
      <c r="G3342" t="inlineStr">
        <is>
          <t>Heavy</t>
        </is>
      </c>
      <c r="H3342" t="b">
        <v>0</v>
      </c>
    </row>
    <row r="3343">
      <c r="A3343" t="inlineStr">
        <is>
          <t>S009</t>
        </is>
      </c>
      <c r="B3343" s="3" t="n">
        <v>46276</v>
      </c>
      <c r="C3343" t="n">
        <v>21</v>
      </c>
      <c r="D3343" t="inlineStr">
        <is>
          <t>Friday</t>
        </is>
      </c>
      <c r="E3343" t="n">
        <v>38</v>
      </c>
      <c r="F3343" t="b">
        <v>1</v>
      </c>
      <c r="G3343" t="inlineStr">
        <is>
          <t>Light</t>
        </is>
      </c>
      <c r="H3343" t="b">
        <v>0</v>
      </c>
    </row>
    <row r="3344">
      <c r="A3344" t="inlineStr">
        <is>
          <t>S009</t>
        </is>
      </c>
      <c r="B3344" s="3" t="n">
        <v>46276</v>
      </c>
      <c r="C3344" t="n">
        <v>22</v>
      </c>
      <c r="D3344" t="inlineStr">
        <is>
          <t>Friday</t>
        </is>
      </c>
      <c r="E3344" t="n">
        <v>30</v>
      </c>
      <c r="F3344" t="b">
        <v>0</v>
      </c>
      <c r="G3344" t="inlineStr">
        <is>
          <t>Light</t>
        </is>
      </c>
      <c r="H3344" t="b">
        <v>0</v>
      </c>
    </row>
    <row r="3345">
      <c r="A3345" t="inlineStr">
        <is>
          <t>S009</t>
        </is>
      </c>
      <c r="B3345" s="3" t="n">
        <v>46276</v>
      </c>
      <c r="C3345" t="n">
        <v>23</v>
      </c>
      <c r="D3345" t="inlineStr">
        <is>
          <t>Friday</t>
        </is>
      </c>
      <c r="E3345" t="n">
        <v>30</v>
      </c>
      <c r="F3345" t="b">
        <v>0</v>
      </c>
      <c r="H3345" t="b">
        <v>0</v>
      </c>
    </row>
    <row r="3346">
      <c r="A3346" t="inlineStr">
        <is>
          <t>S010</t>
        </is>
      </c>
      <c r="B3346" s="3" t="n">
        <v>46276</v>
      </c>
      <c r="C3346" t="n">
        <v>8</v>
      </c>
      <c r="D3346" t="inlineStr">
        <is>
          <t>Friday</t>
        </is>
      </c>
      <c r="E3346" t="n">
        <v>16</v>
      </c>
      <c r="F3346" t="b">
        <v>0</v>
      </c>
      <c r="H3346" t="b">
        <v>0</v>
      </c>
    </row>
    <row r="3347">
      <c r="A3347" t="inlineStr">
        <is>
          <t>S010</t>
        </is>
      </c>
      <c r="B3347" s="3" t="n">
        <v>46276</v>
      </c>
      <c r="C3347" t="n">
        <v>9</v>
      </c>
      <c r="D3347" t="inlineStr">
        <is>
          <t>Friday</t>
        </is>
      </c>
      <c r="E3347" t="n">
        <v>18</v>
      </c>
      <c r="F3347" t="b">
        <v>0</v>
      </c>
      <c r="H3347" t="b">
        <v>0</v>
      </c>
    </row>
    <row r="3348">
      <c r="A3348" t="inlineStr">
        <is>
          <t>S010</t>
        </is>
      </c>
      <c r="B3348" s="3" t="n">
        <v>46276</v>
      </c>
      <c r="C3348" t="n">
        <v>10</v>
      </c>
      <c r="D3348" t="inlineStr">
        <is>
          <t>Friday</t>
        </is>
      </c>
      <c r="E3348" t="n">
        <v>9</v>
      </c>
      <c r="F3348" t="b">
        <v>0</v>
      </c>
      <c r="H3348" t="b">
        <v>0</v>
      </c>
    </row>
    <row r="3349">
      <c r="A3349" t="inlineStr">
        <is>
          <t>S010</t>
        </is>
      </c>
      <c r="B3349" s="3" t="n">
        <v>46276</v>
      </c>
      <c r="C3349" t="n">
        <v>11</v>
      </c>
      <c r="D3349" t="inlineStr">
        <is>
          <t>Friday</t>
        </is>
      </c>
      <c r="E3349" t="n">
        <v>19</v>
      </c>
      <c r="F3349" t="b">
        <v>0</v>
      </c>
      <c r="H3349" t="b">
        <v>0</v>
      </c>
    </row>
    <row r="3350">
      <c r="A3350" t="inlineStr">
        <is>
          <t>S010</t>
        </is>
      </c>
      <c r="B3350" s="3" t="n">
        <v>46276</v>
      </c>
      <c r="C3350" t="n">
        <v>12</v>
      </c>
      <c r="D3350" t="inlineStr">
        <is>
          <t>Friday</t>
        </is>
      </c>
      <c r="E3350" t="n">
        <v>32</v>
      </c>
      <c r="F3350" t="b">
        <v>0</v>
      </c>
      <c r="H3350" t="b">
        <v>0</v>
      </c>
    </row>
    <row r="3351">
      <c r="A3351" t="inlineStr">
        <is>
          <t>S010</t>
        </is>
      </c>
      <c r="B3351" s="3" t="n">
        <v>46276</v>
      </c>
      <c r="C3351" t="n">
        <v>13</v>
      </c>
      <c r="D3351" t="inlineStr">
        <is>
          <t>Friday</t>
        </is>
      </c>
      <c r="E3351" t="n">
        <v>23</v>
      </c>
      <c r="F3351" t="b">
        <v>0</v>
      </c>
      <c r="H3351" t="b">
        <v>0</v>
      </c>
    </row>
    <row r="3352">
      <c r="A3352" t="inlineStr">
        <is>
          <t>S010</t>
        </is>
      </c>
      <c r="B3352" s="3" t="n">
        <v>46276</v>
      </c>
      <c r="C3352" t="n">
        <v>14</v>
      </c>
      <c r="D3352" t="inlineStr">
        <is>
          <t>Friday</t>
        </is>
      </c>
      <c r="E3352" t="n">
        <v>14</v>
      </c>
      <c r="F3352" t="b">
        <v>0</v>
      </c>
      <c r="H3352" t="b">
        <v>0</v>
      </c>
    </row>
    <row r="3353">
      <c r="A3353" t="inlineStr">
        <is>
          <t>S010</t>
        </is>
      </c>
      <c r="B3353" s="3" t="n">
        <v>46276</v>
      </c>
      <c r="C3353" t="n">
        <v>15</v>
      </c>
      <c r="D3353" t="inlineStr">
        <is>
          <t>Friday</t>
        </is>
      </c>
      <c r="E3353" t="n">
        <v>18</v>
      </c>
      <c r="F3353" t="b">
        <v>0</v>
      </c>
      <c r="H3353" t="b">
        <v>0</v>
      </c>
    </row>
    <row r="3354">
      <c r="A3354" t="inlineStr">
        <is>
          <t>S010</t>
        </is>
      </c>
      <c r="B3354" s="3" t="n">
        <v>46276</v>
      </c>
      <c r="C3354" t="n">
        <v>16</v>
      </c>
      <c r="D3354" t="inlineStr">
        <is>
          <t>Friday</t>
        </is>
      </c>
      <c r="E3354" t="n">
        <v>33</v>
      </c>
      <c r="F3354" t="b">
        <v>0</v>
      </c>
      <c r="H3354" t="b">
        <v>0</v>
      </c>
    </row>
    <row r="3355">
      <c r="A3355" t="inlineStr">
        <is>
          <t>S010</t>
        </is>
      </c>
      <c r="B3355" s="3" t="n">
        <v>46276</v>
      </c>
      <c r="C3355" t="n">
        <v>17</v>
      </c>
      <c r="D3355" t="inlineStr">
        <is>
          <t>Friday</t>
        </is>
      </c>
      <c r="E3355" t="n">
        <v>16</v>
      </c>
      <c r="F3355" t="b">
        <v>0</v>
      </c>
      <c r="G3355" t="inlineStr">
        <is>
          <t>Light</t>
        </is>
      </c>
      <c r="H3355" t="b">
        <v>0</v>
      </c>
    </row>
    <row r="3356">
      <c r="A3356" t="inlineStr">
        <is>
          <t>S010</t>
        </is>
      </c>
      <c r="B3356" s="3" t="n">
        <v>46276</v>
      </c>
      <c r="C3356" t="n">
        <v>18</v>
      </c>
      <c r="D3356" t="inlineStr">
        <is>
          <t>Friday</t>
        </is>
      </c>
      <c r="E3356" t="n">
        <v>26</v>
      </c>
      <c r="F3356" t="b">
        <v>0</v>
      </c>
      <c r="G3356" t="inlineStr">
        <is>
          <t>Light</t>
        </is>
      </c>
      <c r="H3356" t="b">
        <v>0</v>
      </c>
    </row>
    <row r="3357">
      <c r="A3357" t="inlineStr">
        <is>
          <t>S010</t>
        </is>
      </c>
      <c r="B3357" s="3" t="n">
        <v>46276</v>
      </c>
      <c r="C3357" t="n">
        <v>19</v>
      </c>
      <c r="D3357" t="inlineStr">
        <is>
          <t>Friday</t>
        </is>
      </c>
      <c r="E3357" t="n">
        <v>38</v>
      </c>
      <c r="F3357" t="b">
        <v>1</v>
      </c>
      <c r="H3357" t="b">
        <v>0</v>
      </c>
    </row>
    <row r="3358">
      <c r="A3358" t="inlineStr">
        <is>
          <t>S010</t>
        </is>
      </c>
      <c r="B3358" s="3" t="n">
        <v>46276</v>
      </c>
      <c r="C3358" t="n">
        <v>20</v>
      </c>
      <c r="D3358" t="inlineStr">
        <is>
          <t>Friday</t>
        </is>
      </c>
      <c r="E3358" t="n">
        <v>34</v>
      </c>
      <c r="F3358" t="b">
        <v>1</v>
      </c>
      <c r="H3358" t="b">
        <v>0</v>
      </c>
    </row>
    <row r="3359">
      <c r="A3359" t="inlineStr">
        <is>
          <t>S010</t>
        </is>
      </c>
      <c r="B3359" s="3" t="n">
        <v>46276</v>
      </c>
      <c r="C3359" t="n">
        <v>21</v>
      </c>
      <c r="D3359" t="inlineStr">
        <is>
          <t>Friday</t>
        </is>
      </c>
      <c r="E3359" t="n">
        <v>36</v>
      </c>
      <c r="F3359" t="b">
        <v>1</v>
      </c>
      <c r="H3359" t="b">
        <v>0</v>
      </c>
    </row>
    <row r="3360">
      <c r="A3360" t="inlineStr">
        <is>
          <t>S010</t>
        </is>
      </c>
      <c r="B3360" s="3" t="n">
        <v>46276</v>
      </c>
      <c r="C3360" t="n">
        <v>22</v>
      </c>
      <c r="D3360" t="inlineStr">
        <is>
          <t>Friday</t>
        </is>
      </c>
      <c r="E3360" t="n">
        <v>13</v>
      </c>
      <c r="F3360" t="b">
        <v>0</v>
      </c>
      <c r="H3360" t="b">
        <v>0</v>
      </c>
    </row>
    <row r="3361">
      <c r="A3361" t="inlineStr">
        <is>
          <t>S010</t>
        </is>
      </c>
      <c r="B3361" s="3" t="n">
        <v>46276</v>
      </c>
      <c r="C3361" t="n">
        <v>23</v>
      </c>
      <c r="D3361" t="inlineStr">
        <is>
          <t>Friday</t>
        </is>
      </c>
      <c r="E3361" t="n">
        <v>21</v>
      </c>
      <c r="F3361" t="b">
        <v>0</v>
      </c>
      <c r="H3361" t="b">
        <v>0</v>
      </c>
    </row>
    <row r="3362">
      <c r="A3362" t="inlineStr">
        <is>
          <t>S011</t>
        </is>
      </c>
      <c r="B3362" s="3" t="n">
        <v>46276</v>
      </c>
      <c r="C3362" t="n">
        <v>8</v>
      </c>
      <c r="D3362" t="inlineStr">
        <is>
          <t>Friday</t>
        </is>
      </c>
      <c r="E3362" t="n">
        <v>25</v>
      </c>
      <c r="F3362" t="b">
        <v>0</v>
      </c>
      <c r="H3362" t="b">
        <v>0</v>
      </c>
    </row>
    <row r="3363">
      <c r="A3363" t="inlineStr">
        <is>
          <t>S011</t>
        </is>
      </c>
      <c r="B3363" s="3" t="n">
        <v>46276</v>
      </c>
      <c r="C3363" t="n">
        <v>9</v>
      </c>
      <c r="D3363" t="inlineStr">
        <is>
          <t>Friday</t>
        </is>
      </c>
      <c r="E3363" t="n">
        <v>28</v>
      </c>
      <c r="F3363" t="b">
        <v>0</v>
      </c>
      <c r="H3363" t="b">
        <v>0</v>
      </c>
    </row>
    <row r="3364">
      <c r="A3364" t="inlineStr">
        <is>
          <t>S011</t>
        </is>
      </c>
      <c r="B3364" s="3" t="n">
        <v>46276</v>
      </c>
      <c r="C3364" t="n">
        <v>10</v>
      </c>
      <c r="D3364" t="inlineStr">
        <is>
          <t>Friday</t>
        </is>
      </c>
      <c r="E3364" t="n">
        <v>20</v>
      </c>
      <c r="F3364" t="b">
        <v>0</v>
      </c>
      <c r="H3364" t="b">
        <v>0</v>
      </c>
    </row>
    <row r="3365">
      <c r="A3365" t="inlineStr">
        <is>
          <t>S011</t>
        </is>
      </c>
      <c r="B3365" s="3" t="n">
        <v>46276</v>
      </c>
      <c r="C3365" t="n">
        <v>11</v>
      </c>
      <c r="D3365" t="inlineStr">
        <is>
          <t>Friday</t>
        </is>
      </c>
      <c r="E3365" t="n">
        <v>29</v>
      </c>
      <c r="F3365" t="b">
        <v>0</v>
      </c>
      <c r="H3365" t="b">
        <v>0</v>
      </c>
    </row>
    <row r="3366">
      <c r="A3366" t="inlineStr">
        <is>
          <t>S011</t>
        </is>
      </c>
      <c r="B3366" s="3" t="n">
        <v>46276</v>
      </c>
      <c r="C3366" t="n">
        <v>12</v>
      </c>
      <c r="D3366" t="inlineStr">
        <is>
          <t>Friday</t>
        </is>
      </c>
      <c r="E3366" t="n">
        <v>42</v>
      </c>
      <c r="F3366" t="b">
        <v>0</v>
      </c>
      <c r="H3366" t="b">
        <v>0</v>
      </c>
    </row>
    <row r="3367">
      <c r="A3367" t="inlineStr">
        <is>
          <t>S011</t>
        </is>
      </c>
      <c r="B3367" s="3" t="n">
        <v>46276</v>
      </c>
      <c r="C3367" t="n">
        <v>13</v>
      </c>
      <c r="D3367" t="inlineStr">
        <is>
          <t>Friday</t>
        </is>
      </c>
      <c r="E3367" t="n">
        <v>30</v>
      </c>
      <c r="F3367" t="b">
        <v>0</v>
      </c>
      <c r="H3367" t="b">
        <v>0</v>
      </c>
    </row>
    <row r="3368">
      <c r="A3368" t="inlineStr">
        <is>
          <t>S011</t>
        </is>
      </c>
      <c r="B3368" s="3" t="n">
        <v>46276</v>
      </c>
      <c r="C3368" t="n">
        <v>14</v>
      </c>
      <c r="D3368" t="inlineStr">
        <is>
          <t>Friday</t>
        </is>
      </c>
      <c r="E3368" t="n">
        <v>27</v>
      </c>
      <c r="F3368" t="b">
        <v>0</v>
      </c>
      <c r="H3368" t="b">
        <v>0</v>
      </c>
    </row>
    <row r="3369">
      <c r="A3369" t="inlineStr">
        <is>
          <t>S011</t>
        </is>
      </c>
      <c r="B3369" s="3" t="n">
        <v>46276</v>
      </c>
      <c r="C3369" t="n">
        <v>15</v>
      </c>
      <c r="D3369" t="inlineStr">
        <is>
          <t>Friday</t>
        </is>
      </c>
      <c r="E3369" t="n">
        <v>25</v>
      </c>
      <c r="F3369" t="b">
        <v>0</v>
      </c>
      <c r="G3369" t="inlineStr">
        <is>
          <t>Light</t>
        </is>
      </c>
      <c r="H3369" t="b">
        <v>0</v>
      </c>
    </row>
    <row r="3370">
      <c r="A3370" t="inlineStr">
        <is>
          <t>S011</t>
        </is>
      </c>
      <c r="B3370" s="3" t="n">
        <v>46276</v>
      </c>
      <c r="C3370" t="n">
        <v>16</v>
      </c>
      <c r="D3370" t="inlineStr">
        <is>
          <t>Friday</t>
        </is>
      </c>
      <c r="E3370" t="n">
        <v>20</v>
      </c>
      <c r="F3370" t="b">
        <v>0</v>
      </c>
      <c r="H3370" t="b">
        <v>0</v>
      </c>
    </row>
    <row r="3371">
      <c r="A3371" t="inlineStr">
        <is>
          <t>S011</t>
        </is>
      </c>
      <c r="B3371" s="3" t="n">
        <v>46276</v>
      </c>
      <c r="C3371" t="n">
        <v>17</v>
      </c>
      <c r="D3371" t="inlineStr">
        <is>
          <t>Friday</t>
        </is>
      </c>
      <c r="E3371" t="n">
        <v>30</v>
      </c>
      <c r="F3371" t="b">
        <v>0</v>
      </c>
      <c r="H3371" t="b">
        <v>0</v>
      </c>
    </row>
    <row r="3372">
      <c r="A3372" t="inlineStr">
        <is>
          <t>S011</t>
        </is>
      </c>
      <c r="B3372" s="3" t="n">
        <v>46276</v>
      </c>
      <c r="C3372" t="n">
        <v>18</v>
      </c>
      <c r="D3372" t="inlineStr">
        <is>
          <t>Friday</t>
        </is>
      </c>
      <c r="E3372" t="n">
        <v>34</v>
      </c>
      <c r="F3372" t="b">
        <v>0</v>
      </c>
      <c r="H3372" t="b">
        <v>0</v>
      </c>
    </row>
    <row r="3373">
      <c r="A3373" t="inlineStr">
        <is>
          <t>S011</t>
        </is>
      </c>
      <c r="B3373" s="3" t="n">
        <v>46276</v>
      </c>
      <c r="C3373" t="n">
        <v>19</v>
      </c>
      <c r="D3373" t="inlineStr">
        <is>
          <t>Friday</t>
        </is>
      </c>
      <c r="E3373" t="n">
        <v>38</v>
      </c>
      <c r="F3373" t="b">
        <v>1</v>
      </c>
      <c r="H3373" t="b">
        <v>0</v>
      </c>
    </row>
    <row r="3374">
      <c r="A3374" t="inlineStr">
        <is>
          <t>S011</t>
        </is>
      </c>
      <c r="B3374" s="3" t="n">
        <v>46276</v>
      </c>
      <c r="C3374" t="n">
        <v>20</v>
      </c>
      <c r="D3374" t="inlineStr">
        <is>
          <t>Friday</t>
        </is>
      </c>
      <c r="E3374" t="n">
        <v>62</v>
      </c>
      <c r="F3374" t="b">
        <v>1</v>
      </c>
      <c r="H3374" t="b">
        <v>0</v>
      </c>
    </row>
    <row r="3375">
      <c r="A3375" t="inlineStr">
        <is>
          <t>S011</t>
        </is>
      </c>
      <c r="B3375" s="3" t="n">
        <v>46276</v>
      </c>
      <c r="C3375" t="n">
        <v>21</v>
      </c>
      <c r="D3375" t="inlineStr">
        <is>
          <t>Friday</t>
        </is>
      </c>
      <c r="E3375" t="n">
        <v>47</v>
      </c>
      <c r="F3375" t="b">
        <v>1</v>
      </c>
      <c r="H3375" t="b">
        <v>0</v>
      </c>
    </row>
    <row r="3376">
      <c r="A3376" t="inlineStr">
        <is>
          <t>S011</t>
        </is>
      </c>
      <c r="B3376" s="3" t="n">
        <v>46276</v>
      </c>
      <c r="C3376" t="n">
        <v>22</v>
      </c>
      <c r="D3376" t="inlineStr">
        <is>
          <t>Friday</t>
        </is>
      </c>
      <c r="E3376" t="n">
        <v>30</v>
      </c>
      <c r="F3376" t="b">
        <v>0</v>
      </c>
      <c r="G3376" t="inlineStr">
        <is>
          <t>Light</t>
        </is>
      </c>
      <c r="H3376" t="b">
        <v>0</v>
      </c>
    </row>
    <row r="3377">
      <c r="A3377" t="inlineStr">
        <is>
          <t>S011</t>
        </is>
      </c>
      <c r="B3377" s="3" t="n">
        <v>46276</v>
      </c>
      <c r="C3377" t="n">
        <v>23</v>
      </c>
      <c r="D3377" t="inlineStr">
        <is>
          <t>Friday</t>
        </is>
      </c>
      <c r="E3377" t="n">
        <v>32</v>
      </c>
      <c r="F3377" t="b">
        <v>0</v>
      </c>
      <c r="H3377" t="b">
        <v>0</v>
      </c>
    </row>
    <row r="3378">
      <c r="A3378" t="inlineStr">
        <is>
          <t>S012</t>
        </is>
      </c>
      <c r="B3378" s="3" t="n">
        <v>46276</v>
      </c>
      <c r="C3378" t="n">
        <v>8</v>
      </c>
      <c r="D3378" t="inlineStr">
        <is>
          <t>Friday</t>
        </is>
      </c>
      <c r="E3378" t="n">
        <v>17</v>
      </c>
      <c r="F3378" t="b">
        <v>0</v>
      </c>
      <c r="G3378" t="inlineStr">
        <is>
          <t>Heavy</t>
        </is>
      </c>
      <c r="H3378" t="b">
        <v>0</v>
      </c>
    </row>
    <row r="3379">
      <c r="A3379" t="inlineStr">
        <is>
          <t>S012</t>
        </is>
      </c>
      <c r="B3379" s="3" t="n">
        <v>46276</v>
      </c>
      <c r="C3379" t="n">
        <v>9</v>
      </c>
      <c r="D3379" t="inlineStr">
        <is>
          <t>Friday</t>
        </is>
      </c>
      <c r="E3379" t="n">
        <v>13</v>
      </c>
      <c r="F3379" t="b">
        <v>0</v>
      </c>
      <c r="G3379" t="inlineStr">
        <is>
          <t>Light</t>
        </is>
      </c>
      <c r="H3379" t="b">
        <v>0</v>
      </c>
    </row>
    <row r="3380">
      <c r="A3380" t="inlineStr">
        <is>
          <t>S012</t>
        </is>
      </c>
      <c r="B3380" s="3" t="n">
        <v>46276</v>
      </c>
      <c r="C3380" t="n">
        <v>10</v>
      </c>
      <c r="D3380" t="inlineStr">
        <is>
          <t>Friday</t>
        </is>
      </c>
      <c r="E3380" t="n">
        <v>8</v>
      </c>
      <c r="F3380" t="b">
        <v>0</v>
      </c>
      <c r="G3380" t="inlineStr">
        <is>
          <t>Heavy</t>
        </is>
      </c>
      <c r="H3380" t="b">
        <v>0</v>
      </c>
    </row>
    <row r="3381">
      <c r="A3381" t="inlineStr">
        <is>
          <t>S012</t>
        </is>
      </c>
      <c r="B3381" s="3" t="n">
        <v>46276</v>
      </c>
      <c r="C3381" t="n">
        <v>11</v>
      </c>
      <c r="D3381" t="inlineStr">
        <is>
          <t>Friday</t>
        </is>
      </c>
      <c r="E3381" t="n">
        <v>15</v>
      </c>
      <c r="F3381" t="b">
        <v>0</v>
      </c>
      <c r="H3381" t="b">
        <v>0</v>
      </c>
    </row>
    <row r="3382">
      <c r="A3382" t="inlineStr">
        <is>
          <t>S012</t>
        </is>
      </c>
      <c r="B3382" s="3" t="n">
        <v>46276</v>
      </c>
      <c r="C3382" t="n">
        <v>12</v>
      </c>
      <c r="D3382" t="inlineStr">
        <is>
          <t>Friday</t>
        </is>
      </c>
      <c r="E3382" t="n">
        <v>13</v>
      </c>
      <c r="F3382" t="b">
        <v>0</v>
      </c>
      <c r="G3382" t="inlineStr">
        <is>
          <t>Heavy</t>
        </is>
      </c>
      <c r="H3382" t="b">
        <v>0</v>
      </c>
    </row>
    <row r="3383">
      <c r="A3383" t="inlineStr">
        <is>
          <t>S012</t>
        </is>
      </c>
      <c r="B3383" s="3" t="n">
        <v>46276</v>
      </c>
      <c r="C3383" t="n">
        <v>13</v>
      </c>
      <c r="D3383" t="inlineStr">
        <is>
          <t>Friday</t>
        </is>
      </c>
      <c r="E3383" t="n">
        <v>16</v>
      </c>
      <c r="F3383" t="b">
        <v>0</v>
      </c>
      <c r="G3383" t="inlineStr">
        <is>
          <t>Heavy</t>
        </is>
      </c>
      <c r="H3383" t="b">
        <v>0</v>
      </c>
    </row>
    <row r="3384">
      <c r="A3384" t="inlineStr">
        <is>
          <t>S012</t>
        </is>
      </c>
      <c r="B3384" s="3" t="n">
        <v>46276</v>
      </c>
      <c r="C3384" t="n">
        <v>14</v>
      </c>
      <c r="D3384" t="inlineStr">
        <is>
          <t>Friday</t>
        </is>
      </c>
      <c r="E3384" t="n">
        <v>14</v>
      </c>
      <c r="F3384" t="b">
        <v>0</v>
      </c>
      <c r="G3384" t="inlineStr">
        <is>
          <t>Light</t>
        </is>
      </c>
      <c r="H3384" t="b">
        <v>0</v>
      </c>
    </row>
    <row r="3385">
      <c r="A3385" t="inlineStr">
        <is>
          <t>S012</t>
        </is>
      </c>
      <c r="B3385" s="3" t="n">
        <v>46276</v>
      </c>
      <c r="C3385" t="n">
        <v>15</v>
      </c>
      <c r="D3385" t="inlineStr">
        <is>
          <t>Friday</t>
        </is>
      </c>
      <c r="E3385" t="n">
        <v>12</v>
      </c>
      <c r="F3385" t="b">
        <v>0</v>
      </c>
      <c r="H3385" t="b">
        <v>0</v>
      </c>
    </row>
    <row r="3386">
      <c r="A3386" t="inlineStr">
        <is>
          <t>S012</t>
        </is>
      </c>
      <c r="B3386" s="3" t="n">
        <v>46276</v>
      </c>
      <c r="C3386" t="n">
        <v>16</v>
      </c>
      <c r="D3386" t="inlineStr">
        <is>
          <t>Friday</t>
        </is>
      </c>
      <c r="E3386" t="n">
        <v>20</v>
      </c>
      <c r="F3386" t="b">
        <v>0</v>
      </c>
      <c r="H3386" t="b">
        <v>0</v>
      </c>
    </row>
    <row r="3387">
      <c r="A3387" t="inlineStr">
        <is>
          <t>S012</t>
        </is>
      </c>
      <c r="B3387" s="3" t="n">
        <v>46276</v>
      </c>
      <c r="C3387" t="n">
        <v>17</v>
      </c>
      <c r="D3387" t="inlineStr">
        <is>
          <t>Friday</t>
        </is>
      </c>
      <c r="E3387" t="n">
        <v>15</v>
      </c>
      <c r="F3387" t="b">
        <v>0</v>
      </c>
      <c r="H3387" t="b">
        <v>0</v>
      </c>
    </row>
    <row r="3388">
      <c r="A3388" t="inlineStr">
        <is>
          <t>S012</t>
        </is>
      </c>
      <c r="B3388" s="3" t="n">
        <v>46276</v>
      </c>
      <c r="C3388" t="n">
        <v>18</v>
      </c>
      <c r="D3388" t="inlineStr">
        <is>
          <t>Friday</t>
        </is>
      </c>
      <c r="E3388" t="n">
        <v>12</v>
      </c>
      <c r="F3388" t="b">
        <v>0</v>
      </c>
      <c r="H3388" t="b">
        <v>0</v>
      </c>
    </row>
    <row r="3389">
      <c r="A3389" t="inlineStr">
        <is>
          <t>S012</t>
        </is>
      </c>
      <c r="B3389" s="3" t="n">
        <v>46276</v>
      </c>
      <c r="C3389" t="n">
        <v>19</v>
      </c>
      <c r="D3389" t="inlineStr">
        <is>
          <t>Friday</t>
        </is>
      </c>
      <c r="E3389" t="n">
        <v>23</v>
      </c>
      <c r="F3389" t="b">
        <v>1</v>
      </c>
      <c r="H3389" t="b">
        <v>0</v>
      </c>
    </row>
    <row r="3390">
      <c r="A3390" t="inlineStr">
        <is>
          <t>S012</t>
        </is>
      </c>
      <c r="B3390" s="3" t="n">
        <v>46276</v>
      </c>
      <c r="C3390" t="n">
        <v>20</v>
      </c>
      <c r="D3390" t="inlineStr">
        <is>
          <t>Friday</t>
        </is>
      </c>
      <c r="E3390" t="n">
        <v>15</v>
      </c>
      <c r="F3390" t="b">
        <v>1</v>
      </c>
      <c r="H3390" t="b">
        <v>0</v>
      </c>
    </row>
    <row r="3391">
      <c r="A3391" t="inlineStr">
        <is>
          <t>S012</t>
        </is>
      </c>
      <c r="B3391" s="3" t="n">
        <v>46276</v>
      </c>
      <c r="C3391" t="n">
        <v>21</v>
      </c>
      <c r="D3391" t="inlineStr">
        <is>
          <t>Friday</t>
        </is>
      </c>
      <c r="E3391" t="n">
        <v>19</v>
      </c>
      <c r="F3391" t="b">
        <v>1</v>
      </c>
      <c r="G3391" t="inlineStr">
        <is>
          <t>Heavy</t>
        </is>
      </c>
      <c r="H3391" t="b">
        <v>0</v>
      </c>
    </row>
    <row r="3392">
      <c r="A3392" t="inlineStr">
        <is>
          <t>S012</t>
        </is>
      </c>
      <c r="B3392" s="3" t="n">
        <v>46276</v>
      </c>
      <c r="C3392" t="n">
        <v>22</v>
      </c>
      <c r="D3392" t="inlineStr">
        <is>
          <t>Friday</t>
        </is>
      </c>
      <c r="E3392" t="n">
        <v>17</v>
      </c>
      <c r="F3392" t="b">
        <v>0</v>
      </c>
      <c r="H3392" t="b">
        <v>0</v>
      </c>
    </row>
    <row r="3393">
      <c r="A3393" t="inlineStr">
        <is>
          <t>S012</t>
        </is>
      </c>
      <c r="B3393" s="3" t="n">
        <v>46276</v>
      </c>
      <c r="C3393" t="n">
        <v>23</v>
      </c>
      <c r="D3393" t="inlineStr">
        <is>
          <t>Friday</t>
        </is>
      </c>
      <c r="E3393" t="n">
        <v>14</v>
      </c>
      <c r="F3393" t="b">
        <v>0</v>
      </c>
      <c r="H3393" t="b">
        <v>0</v>
      </c>
    </row>
    <row r="3394">
      <c r="A3394" t="inlineStr">
        <is>
          <t>S013</t>
        </is>
      </c>
      <c r="B3394" s="3" t="n">
        <v>46276</v>
      </c>
      <c r="C3394" t="n">
        <v>8</v>
      </c>
      <c r="D3394" t="inlineStr">
        <is>
          <t>Friday</t>
        </is>
      </c>
      <c r="E3394" t="n">
        <v>46</v>
      </c>
      <c r="F3394" t="b">
        <v>0</v>
      </c>
      <c r="H3394" t="b">
        <v>0</v>
      </c>
    </row>
    <row r="3395">
      <c r="A3395" t="inlineStr">
        <is>
          <t>S013</t>
        </is>
      </c>
      <c r="B3395" s="3" t="n">
        <v>46276</v>
      </c>
      <c r="C3395" t="n">
        <v>9</v>
      </c>
      <c r="D3395" t="inlineStr">
        <is>
          <t>Friday</t>
        </is>
      </c>
      <c r="E3395" t="n">
        <v>35</v>
      </c>
      <c r="F3395" t="b">
        <v>0</v>
      </c>
      <c r="H3395" t="b">
        <v>0</v>
      </c>
    </row>
    <row r="3396">
      <c r="A3396" t="inlineStr">
        <is>
          <t>S013</t>
        </is>
      </c>
      <c r="B3396" s="3" t="n">
        <v>46276</v>
      </c>
      <c r="C3396" t="n">
        <v>10</v>
      </c>
      <c r="D3396" t="inlineStr">
        <is>
          <t>Friday</t>
        </is>
      </c>
      <c r="E3396" t="n">
        <v>32</v>
      </c>
      <c r="F3396" t="b">
        <v>0</v>
      </c>
      <c r="H3396" t="b">
        <v>0</v>
      </c>
    </row>
    <row r="3397">
      <c r="A3397" t="inlineStr">
        <is>
          <t>S013</t>
        </is>
      </c>
      <c r="B3397" s="3" t="n">
        <v>46276</v>
      </c>
      <c r="C3397" t="n">
        <v>11</v>
      </c>
      <c r="D3397" t="inlineStr">
        <is>
          <t>Friday</t>
        </is>
      </c>
      <c r="E3397" t="n">
        <v>71</v>
      </c>
      <c r="F3397" t="b">
        <v>0</v>
      </c>
      <c r="H3397" t="b">
        <v>0</v>
      </c>
    </row>
    <row r="3398">
      <c r="A3398" t="inlineStr">
        <is>
          <t>S013</t>
        </is>
      </c>
      <c r="B3398" s="3" t="n">
        <v>46276</v>
      </c>
      <c r="C3398" t="n">
        <v>12</v>
      </c>
      <c r="D3398" t="inlineStr">
        <is>
          <t>Friday</t>
        </is>
      </c>
      <c r="E3398" t="n">
        <v>67</v>
      </c>
      <c r="F3398" t="b">
        <v>0</v>
      </c>
      <c r="H3398" t="b">
        <v>0</v>
      </c>
    </row>
    <row r="3399">
      <c r="A3399" t="inlineStr">
        <is>
          <t>S013</t>
        </is>
      </c>
      <c r="B3399" s="3" t="n">
        <v>46276</v>
      </c>
      <c r="C3399" t="n">
        <v>13</v>
      </c>
      <c r="D3399" t="inlineStr">
        <is>
          <t>Friday</t>
        </is>
      </c>
      <c r="E3399" t="n">
        <v>41</v>
      </c>
      <c r="F3399" t="b">
        <v>0</v>
      </c>
      <c r="G3399" t="inlineStr">
        <is>
          <t>Light</t>
        </is>
      </c>
      <c r="H3399" t="b">
        <v>0</v>
      </c>
    </row>
    <row r="3400">
      <c r="A3400" t="inlineStr">
        <is>
          <t>S013</t>
        </is>
      </c>
      <c r="B3400" s="3" t="n">
        <v>46276</v>
      </c>
      <c r="C3400" t="n">
        <v>14</v>
      </c>
      <c r="D3400" t="inlineStr">
        <is>
          <t>Friday</t>
        </is>
      </c>
      <c r="E3400" t="n">
        <v>31</v>
      </c>
      <c r="F3400" t="b">
        <v>0</v>
      </c>
      <c r="H3400" t="b">
        <v>0</v>
      </c>
    </row>
    <row r="3401">
      <c r="A3401" t="inlineStr">
        <is>
          <t>S013</t>
        </is>
      </c>
      <c r="B3401" s="3" t="n">
        <v>46276</v>
      </c>
      <c r="C3401" t="n">
        <v>15</v>
      </c>
      <c r="D3401" t="inlineStr">
        <is>
          <t>Friday</t>
        </is>
      </c>
      <c r="E3401" t="n">
        <v>37</v>
      </c>
      <c r="F3401" t="b">
        <v>0</v>
      </c>
      <c r="H3401" t="b">
        <v>0</v>
      </c>
    </row>
    <row r="3402">
      <c r="A3402" t="inlineStr">
        <is>
          <t>S013</t>
        </is>
      </c>
      <c r="B3402" s="3" t="n">
        <v>46276</v>
      </c>
      <c r="C3402" t="n">
        <v>16</v>
      </c>
      <c r="D3402" t="inlineStr">
        <is>
          <t>Friday</t>
        </is>
      </c>
      <c r="E3402" t="n">
        <v>46</v>
      </c>
      <c r="F3402" t="b">
        <v>0</v>
      </c>
      <c r="G3402" t="inlineStr">
        <is>
          <t>Light</t>
        </is>
      </c>
      <c r="H3402" t="b">
        <v>0</v>
      </c>
    </row>
    <row r="3403">
      <c r="A3403" t="inlineStr">
        <is>
          <t>S013</t>
        </is>
      </c>
      <c r="B3403" s="3" t="n">
        <v>46276</v>
      </c>
      <c r="C3403" t="n">
        <v>17</v>
      </c>
      <c r="D3403" t="inlineStr">
        <is>
          <t>Friday</t>
        </is>
      </c>
      <c r="E3403" t="n">
        <v>51</v>
      </c>
      <c r="F3403" t="b">
        <v>0</v>
      </c>
      <c r="G3403" t="inlineStr">
        <is>
          <t>Heavy</t>
        </is>
      </c>
      <c r="H3403" t="b">
        <v>0</v>
      </c>
    </row>
    <row r="3404">
      <c r="A3404" t="inlineStr">
        <is>
          <t>S013</t>
        </is>
      </c>
      <c r="B3404" s="3" t="n">
        <v>46276</v>
      </c>
      <c r="C3404" t="n">
        <v>18</v>
      </c>
      <c r="D3404" t="inlineStr">
        <is>
          <t>Friday</t>
        </is>
      </c>
      <c r="E3404" t="n">
        <v>54</v>
      </c>
      <c r="F3404" t="b">
        <v>0</v>
      </c>
      <c r="H3404" t="b">
        <v>0</v>
      </c>
    </row>
    <row r="3405">
      <c r="A3405" t="inlineStr">
        <is>
          <t>S013</t>
        </is>
      </c>
      <c r="B3405" s="3" t="n">
        <v>46276</v>
      </c>
      <c r="C3405" t="n">
        <v>19</v>
      </c>
      <c r="D3405" t="inlineStr">
        <is>
          <t>Friday</t>
        </is>
      </c>
      <c r="E3405" t="n">
        <v>82</v>
      </c>
      <c r="F3405" t="b">
        <v>1</v>
      </c>
      <c r="H3405" t="b">
        <v>0</v>
      </c>
    </row>
    <row r="3406">
      <c r="A3406" t="inlineStr">
        <is>
          <t>S013</t>
        </is>
      </c>
      <c r="B3406" s="3" t="n">
        <v>46276</v>
      </c>
      <c r="C3406" t="n">
        <v>20</v>
      </c>
      <c r="D3406" t="inlineStr">
        <is>
          <t>Friday</t>
        </is>
      </c>
      <c r="E3406" t="n">
        <v>90</v>
      </c>
      <c r="F3406" t="b">
        <v>1</v>
      </c>
      <c r="G3406" t="inlineStr">
        <is>
          <t>Light</t>
        </is>
      </c>
      <c r="H3406" t="b">
        <v>0</v>
      </c>
    </row>
    <row r="3407">
      <c r="A3407" t="inlineStr">
        <is>
          <t>S013</t>
        </is>
      </c>
      <c r="B3407" s="3" t="n">
        <v>46276</v>
      </c>
      <c r="C3407" t="n">
        <v>21</v>
      </c>
      <c r="D3407" t="inlineStr">
        <is>
          <t>Friday</t>
        </is>
      </c>
      <c r="E3407" t="n">
        <v>76</v>
      </c>
      <c r="F3407" t="b">
        <v>1</v>
      </c>
      <c r="H3407" t="b">
        <v>0</v>
      </c>
    </row>
    <row r="3408">
      <c r="A3408" t="inlineStr">
        <is>
          <t>S013</t>
        </is>
      </c>
      <c r="B3408" s="3" t="n">
        <v>46276</v>
      </c>
      <c r="C3408" t="n">
        <v>22</v>
      </c>
      <c r="D3408" t="inlineStr">
        <is>
          <t>Friday</t>
        </is>
      </c>
      <c r="E3408" t="n">
        <v>42</v>
      </c>
      <c r="F3408" t="b">
        <v>0</v>
      </c>
      <c r="H3408" t="b">
        <v>0</v>
      </c>
    </row>
    <row r="3409">
      <c r="A3409" t="inlineStr">
        <is>
          <t>S013</t>
        </is>
      </c>
      <c r="B3409" s="3" t="n">
        <v>46276</v>
      </c>
      <c r="C3409" t="n">
        <v>23</v>
      </c>
      <c r="D3409" t="inlineStr">
        <is>
          <t>Friday</t>
        </is>
      </c>
      <c r="E3409" t="n">
        <v>51</v>
      </c>
      <c r="F3409" t="b">
        <v>0</v>
      </c>
      <c r="H3409" t="b">
        <v>0</v>
      </c>
    </row>
    <row r="3410">
      <c r="A3410" t="inlineStr">
        <is>
          <t>S014</t>
        </is>
      </c>
      <c r="B3410" s="3" t="n">
        <v>46276</v>
      </c>
      <c r="C3410" t="n">
        <v>8</v>
      </c>
      <c r="D3410" t="inlineStr">
        <is>
          <t>Friday</t>
        </is>
      </c>
      <c r="E3410" t="n">
        <v>31</v>
      </c>
      <c r="F3410" t="b">
        <v>0</v>
      </c>
      <c r="H3410" t="b">
        <v>0</v>
      </c>
    </row>
    <row r="3411">
      <c r="A3411" t="inlineStr">
        <is>
          <t>S014</t>
        </is>
      </c>
      <c r="B3411" s="3" t="n">
        <v>46276</v>
      </c>
      <c r="C3411" t="n">
        <v>9</v>
      </c>
      <c r="D3411" t="inlineStr">
        <is>
          <t>Friday</t>
        </is>
      </c>
      <c r="E3411" t="n">
        <v>31</v>
      </c>
      <c r="F3411" t="b">
        <v>0</v>
      </c>
      <c r="H3411" t="b">
        <v>0</v>
      </c>
    </row>
    <row r="3412">
      <c r="A3412" t="inlineStr">
        <is>
          <t>S014</t>
        </is>
      </c>
      <c r="B3412" s="3" t="n">
        <v>46276</v>
      </c>
      <c r="C3412" t="n">
        <v>10</v>
      </c>
      <c r="D3412" t="inlineStr">
        <is>
          <t>Friday</t>
        </is>
      </c>
      <c r="E3412" t="n">
        <v>20</v>
      </c>
      <c r="F3412" t="b">
        <v>0</v>
      </c>
      <c r="H3412" t="b">
        <v>0</v>
      </c>
    </row>
    <row r="3413">
      <c r="A3413" t="inlineStr">
        <is>
          <t>S014</t>
        </is>
      </c>
      <c r="B3413" s="3" t="n">
        <v>46276</v>
      </c>
      <c r="C3413" t="n">
        <v>11</v>
      </c>
      <c r="D3413" t="inlineStr">
        <is>
          <t>Friday</t>
        </is>
      </c>
      <c r="E3413" t="n">
        <v>37</v>
      </c>
      <c r="F3413" t="b">
        <v>0</v>
      </c>
      <c r="H3413" t="b">
        <v>0</v>
      </c>
    </row>
    <row r="3414">
      <c r="A3414" t="inlineStr">
        <is>
          <t>S014</t>
        </is>
      </c>
      <c r="B3414" s="3" t="n">
        <v>46276</v>
      </c>
      <c r="C3414" t="n">
        <v>12</v>
      </c>
      <c r="D3414" t="inlineStr">
        <is>
          <t>Friday</t>
        </is>
      </c>
      <c r="E3414" t="n">
        <v>34</v>
      </c>
      <c r="F3414" t="b">
        <v>0</v>
      </c>
      <c r="H3414" t="b">
        <v>0</v>
      </c>
    </row>
    <row r="3415">
      <c r="A3415" t="inlineStr">
        <is>
          <t>S014</t>
        </is>
      </c>
      <c r="B3415" s="3" t="n">
        <v>46276</v>
      </c>
      <c r="C3415" t="n">
        <v>13</v>
      </c>
      <c r="D3415" t="inlineStr">
        <is>
          <t>Friday</t>
        </is>
      </c>
      <c r="E3415" t="n">
        <v>31</v>
      </c>
      <c r="F3415" t="b">
        <v>0</v>
      </c>
      <c r="H3415" t="b">
        <v>0</v>
      </c>
    </row>
    <row r="3416">
      <c r="A3416" t="inlineStr">
        <is>
          <t>S014</t>
        </is>
      </c>
      <c r="B3416" s="3" t="n">
        <v>46276</v>
      </c>
      <c r="C3416" t="n">
        <v>14</v>
      </c>
      <c r="D3416" t="inlineStr">
        <is>
          <t>Friday</t>
        </is>
      </c>
      <c r="E3416" t="n">
        <v>20</v>
      </c>
      <c r="F3416" t="b">
        <v>0</v>
      </c>
      <c r="H3416" t="b">
        <v>0</v>
      </c>
    </row>
    <row r="3417">
      <c r="A3417" t="inlineStr">
        <is>
          <t>S014</t>
        </is>
      </c>
      <c r="B3417" s="3" t="n">
        <v>46276</v>
      </c>
      <c r="C3417" t="n">
        <v>15</v>
      </c>
      <c r="D3417" t="inlineStr">
        <is>
          <t>Friday</t>
        </is>
      </c>
      <c r="E3417" t="n">
        <v>32</v>
      </c>
      <c r="F3417" t="b">
        <v>0</v>
      </c>
      <c r="H3417" t="b">
        <v>1</v>
      </c>
    </row>
    <row r="3418">
      <c r="A3418" t="inlineStr">
        <is>
          <t>S014</t>
        </is>
      </c>
      <c r="B3418" s="3" t="n">
        <v>46276</v>
      </c>
      <c r="C3418" t="n">
        <v>16</v>
      </c>
      <c r="D3418" t="inlineStr">
        <is>
          <t>Friday</t>
        </is>
      </c>
      <c r="E3418" t="n">
        <v>40</v>
      </c>
      <c r="F3418" t="b">
        <v>0</v>
      </c>
      <c r="H3418" t="b">
        <v>0</v>
      </c>
    </row>
    <row r="3419">
      <c r="A3419" t="inlineStr">
        <is>
          <t>S014</t>
        </is>
      </c>
      <c r="B3419" s="3" t="n">
        <v>46276</v>
      </c>
      <c r="C3419" t="n">
        <v>17</v>
      </c>
      <c r="D3419" t="inlineStr">
        <is>
          <t>Friday</t>
        </is>
      </c>
      <c r="E3419" t="n">
        <v>40</v>
      </c>
      <c r="F3419" t="b">
        <v>0</v>
      </c>
      <c r="H3419" t="b">
        <v>0</v>
      </c>
    </row>
    <row r="3420">
      <c r="A3420" t="inlineStr">
        <is>
          <t>S014</t>
        </is>
      </c>
      <c r="B3420" s="3" t="n">
        <v>46276</v>
      </c>
      <c r="C3420" t="n">
        <v>18</v>
      </c>
      <c r="D3420" t="inlineStr">
        <is>
          <t>Friday</t>
        </is>
      </c>
      <c r="E3420" t="n">
        <v>48</v>
      </c>
      <c r="F3420" t="b">
        <v>0</v>
      </c>
      <c r="H3420" t="b">
        <v>0</v>
      </c>
    </row>
    <row r="3421">
      <c r="A3421" t="inlineStr">
        <is>
          <t>S014</t>
        </is>
      </c>
      <c r="B3421" s="3" t="n">
        <v>46276</v>
      </c>
      <c r="C3421" t="n">
        <v>19</v>
      </c>
      <c r="D3421" t="inlineStr">
        <is>
          <t>Friday</t>
        </is>
      </c>
      <c r="E3421" t="n">
        <v>56</v>
      </c>
      <c r="F3421" t="b">
        <v>1</v>
      </c>
      <c r="H3421" t="b">
        <v>0</v>
      </c>
    </row>
    <row r="3422">
      <c r="A3422" t="inlineStr">
        <is>
          <t>S014</t>
        </is>
      </c>
      <c r="B3422" s="3" t="n">
        <v>46276</v>
      </c>
      <c r="C3422" t="n">
        <v>20</v>
      </c>
      <c r="D3422" t="inlineStr">
        <is>
          <t>Friday</t>
        </is>
      </c>
      <c r="E3422" t="n">
        <v>58</v>
      </c>
      <c r="F3422" t="b">
        <v>1</v>
      </c>
      <c r="H3422" t="b">
        <v>0</v>
      </c>
    </row>
    <row r="3423">
      <c r="A3423" t="inlineStr">
        <is>
          <t>S014</t>
        </is>
      </c>
      <c r="B3423" s="3" t="n">
        <v>46276</v>
      </c>
      <c r="C3423" t="n">
        <v>21</v>
      </c>
      <c r="D3423" t="inlineStr">
        <is>
          <t>Friday</t>
        </is>
      </c>
      <c r="E3423" t="n">
        <v>49</v>
      </c>
      <c r="F3423" t="b">
        <v>1</v>
      </c>
      <c r="H3423" t="b">
        <v>0</v>
      </c>
    </row>
    <row r="3424">
      <c r="A3424" t="inlineStr">
        <is>
          <t>S014</t>
        </is>
      </c>
      <c r="B3424" s="3" t="n">
        <v>46276</v>
      </c>
      <c r="C3424" t="n">
        <v>22</v>
      </c>
      <c r="D3424" t="inlineStr">
        <is>
          <t>Friday</t>
        </is>
      </c>
      <c r="E3424" t="n">
        <v>36</v>
      </c>
      <c r="F3424" t="b">
        <v>0</v>
      </c>
      <c r="H3424" t="b">
        <v>0</v>
      </c>
    </row>
    <row r="3425">
      <c r="A3425" t="inlineStr">
        <is>
          <t>S014</t>
        </is>
      </c>
      <c r="B3425" s="3" t="n">
        <v>46276</v>
      </c>
      <c r="C3425" t="n">
        <v>23</v>
      </c>
      <c r="D3425" t="inlineStr">
        <is>
          <t>Friday</t>
        </is>
      </c>
      <c r="E3425" t="n">
        <v>40</v>
      </c>
      <c r="F3425" t="b">
        <v>0</v>
      </c>
      <c r="G3425" t="inlineStr">
        <is>
          <t>Light</t>
        </is>
      </c>
      <c r="H3425" t="b">
        <v>0</v>
      </c>
    </row>
    <row r="3426">
      <c r="A3426" t="inlineStr">
        <is>
          <t>S015</t>
        </is>
      </c>
      <c r="B3426" s="3" t="n">
        <v>46276</v>
      </c>
      <c r="C3426" t="n">
        <v>8</v>
      </c>
      <c r="D3426" t="inlineStr">
        <is>
          <t>Friday</t>
        </is>
      </c>
      <c r="E3426" t="n">
        <v>23</v>
      </c>
      <c r="F3426" t="b">
        <v>0</v>
      </c>
      <c r="G3426" t="inlineStr">
        <is>
          <t>Light</t>
        </is>
      </c>
      <c r="H3426" t="b">
        <v>0</v>
      </c>
    </row>
    <row r="3427">
      <c r="A3427" t="inlineStr">
        <is>
          <t>S015</t>
        </is>
      </c>
      <c r="B3427" s="3" t="n">
        <v>46276</v>
      </c>
      <c r="C3427" t="n">
        <v>9</v>
      </c>
      <c r="D3427" t="inlineStr">
        <is>
          <t>Friday</t>
        </is>
      </c>
      <c r="E3427" t="n">
        <v>14</v>
      </c>
      <c r="F3427" t="b">
        <v>0</v>
      </c>
      <c r="G3427" t="inlineStr">
        <is>
          <t>Light</t>
        </is>
      </c>
      <c r="H3427" t="b">
        <v>0</v>
      </c>
    </row>
    <row r="3428">
      <c r="A3428" t="inlineStr">
        <is>
          <t>S015</t>
        </is>
      </c>
      <c r="B3428" s="3" t="n">
        <v>46276</v>
      </c>
      <c r="C3428" t="n">
        <v>10</v>
      </c>
      <c r="D3428" t="inlineStr">
        <is>
          <t>Friday</t>
        </is>
      </c>
      <c r="E3428" t="n">
        <v>21</v>
      </c>
      <c r="F3428" t="b">
        <v>0</v>
      </c>
      <c r="G3428" t="inlineStr">
        <is>
          <t>Light</t>
        </is>
      </c>
      <c r="H3428" t="b">
        <v>0</v>
      </c>
    </row>
    <row r="3429">
      <c r="A3429" t="inlineStr">
        <is>
          <t>S015</t>
        </is>
      </c>
      <c r="B3429" s="3" t="n">
        <v>46276</v>
      </c>
      <c r="C3429" t="n">
        <v>11</v>
      </c>
      <c r="D3429" t="inlineStr">
        <is>
          <t>Friday</t>
        </is>
      </c>
      <c r="E3429" t="n">
        <v>20</v>
      </c>
      <c r="F3429" t="b">
        <v>0</v>
      </c>
      <c r="G3429" t="inlineStr">
        <is>
          <t>Light</t>
        </is>
      </c>
      <c r="H3429" t="b">
        <v>0</v>
      </c>
    </row>
    <row r="3430">
      <c r="A3430" t="inlineStr">
        <is>
          <t>S015</t>
        </is>
      </c>
      <c r="B3430" s="3" t="n">
        <v>46276</v>
      </c>
      <c r="C3430" t="n">
        <v>12</v>
      </c>
      <c r="D3430" t="inlineStr">
        <is>
          <t>Friday</t>
        </is>
      </c>
      <c r="E3430" t="n">
        <v>16</v>
      </c>
      <c r="F3430" t="b">
        <v>0</v>
      </c>
      <c r="G3430" t="inlineStr">
        <is>
          <t>Light</t>
        </is>
      </c>
      <c r="H3430" t="b">
        <v>0</v>
      </c>
    </row>
    <row r="3431">
      <c r="A3431" t="inlineStr">
        <is>
          <t>S015</t>
        </is>
      </c>
      <c r="B3431" s="3" t="n">
        <v>46276</v>
      </c>
      <c r="C3431" t="n">
        <v>13</v>
      </c>
      <c r="D3431" t="inlineStr">
        <is>
          <t>Friday</t>
        </is>
      </c>
      <c r="E3431" t="n">
        <v>16</v>
      </c>
      <c r="F3431" t="b">
        <v>0</v>
      </c>
      <c r="G3431" t="inlineStr">
        <is>
          <t>Light</t>
        </is>
      </c>
      <c r="H3431" t="b">
        <v>0</v>
      </c>
    </row>
    <row r="3432">
      <c r="A3432" t="inlineStr">
        <is>
          <t>S015</t>
        </is>
      </c>
      <c r="B3432" s="3" t="n">
        <v>46276</v>
      </c>
      <c r="C3432" t="n">
        <v>14</v>
      </c>
      <c r="D3432" t="inlineStr">
        <is>
          <t>Friday</t>
        </is>
      </c>
      <c r="E3432" t="n">
        <v>16</v>
      </c>
      <c r="F3432" t="b">
        <v>0</v>
      </c>
      <c r="G3432" t="inlineStr">
        <is>
          <t>Light</t>
        </is>
      </c>
      <c r="H3432" t="b">
        <v>0</v>
      </c>
    </row>
    <row r="3433">
      <c r="A3433" t="inlineStr">
        <is>
          <t>S015</t>
        </is>
      </c>
      <c r="B3433" s="3" t="n">
        <v>46276</v>
      </c>
      <c r="C3433" t="n">
        <v>15</v>
      </c>
      <c r="D3433" t="inlineStr">
        <is>
          <t>Friday</t>
        </is>
      </c>
      <c r="E3433" t="n">
        <v>15</v>
      </c>
      <c r="F3433" t="b">
        <v>0</v>
      </c>
      <c r="H3433" t="b">
        <v>1</v>
      </c>
    </row>
    <row r="3434">
      <c r="A3434" t="inlineStr">
        <is>
          <t>S015</t>
        </is>
      </c>
      <c r="B3434" s="3" t="n">
        <v>46276</v>
      </c>
      <c r="C3434" t="n">
        <v>16</v>
      </c>
      <c r="D3434" t="inlineStr">
        <is>
          <t>Friday</t>
        </is>
      </c>
      <c r="E3434" t="n">
        <v>12</v>
      </c>
      <c r="F3434" t="b">
        <v>0</v>
      </c>
      <c r="G3434" t="inlineStr">
        <is>
          <t>Light</t>
        </is>
      </c>
      <c r="H3434" t="b">
        <v>0</v>
      </c>
    </row>
    <row r="3435">
      <c r="A3435" t="inlineStr">
        <is>
          <t>S015</t>
        </is>
      </c>
      <c r="B3435" s="3" t="n">
        <v>46276</v>
      </c>
      <c r="C3435" t="n">
        <v>17</v>
      </c>
      <c r="D3435" t="inlineStr">
        <is>
          <t>Friday</t>
        </is>
      </c>
      <c r="E3435" t="n">
        <v>33</v>
      </c>
      <c r="F3435" t="b">
        <v>0</v>
      </c>
      <c r="G3435" t="inlineStr">
        <is>
          <t>Light</t>
        </is>
      </c>
      <c r="H3435" t="b">
        <v>0</v>
      </c>
    </row>
    <row r="3436">
      <c r="A3436" t="inlineStr">
        <is>
          <t>S015</t>
        </is>
      </c>
      <c r="B3436" s="3" t="n">
        <v>46276</v>
      </c>
      <c r="C3436" t="n">
        <v>18</v>
      </c>
      <c r="D3436" t="inlineStr">
        <is>
          <t>Friday</t>
        </is>
      </c>
      <c r="E3436" t="n">
        <v>19</v>
      </c>
      <c r="F3436" t="b">
        <v>0</v>
      </c>
      <c r="H3436" t="b">
        <v>0</v>
      </c>
    </row>
    <row r="3437">
      <c r="A3437" t="inlineStr">
        <is>
          <t>S015</t>
        </is>
      </c>
      <c r="B3437" s="3" t="n">
        <v>46276</v>
      </c>
      <c r="C3437" t="n">
        <v>19</v>
      </c>
      <c r="D3437" t="inlineStr">
        <is>
          <t>Friday</t>
        </is>
      </c>
      <c r="E3437" t="n">
        <v>32</v>
      </c>
      <c r="F3437" t="b">
        <v>1</v>
      </c>
      <c r="H3437" t="b">
        <v>0</v>
      </c>
    </row>
    <row r="3438">
      <c r="A3438" t="inlineStr">
        <is>
          <t>S015</t>
        </is>
      </c>
      <c r="B3438" s="3" t="n">
        <v>46276</v>
      </c>
      <c r="C3438" t="n">
        <v>20</v>
      </c>
      <c r="D3438" t="inlineStr">
        <is>
          <t>Friday</t>
        </is>
      </c>
      <c r="E3438" t="n">
        <v>22</v>
      </c>
      <c r="F3438" t="b">
        <v>1</v>
      </c>
      <c r="H3438" t="b">
        <v>0</v>
      </c>
    </row>
    <row r="3439">
      <c r="A3439" t="inlineStr">
        <is>
          <t>S015</t>
        </is>
      </c>
      <c r="B3439" s="3" t="n">
        <v>46276</v>
      </c>
      <c r="C3439" t="n">
        <v>21</v>
      </c>
      <c r="D3439" t="inlineStr">
        <is>
          <t>Friday</t>
        </is>
      </c>
      <c r="E3439" t="n">
        <v>37</v>
      </c>
      <c r="F3439" t="b">
        <v>1</v>
      </c>
      <c r="H3439" t="b">
        <v>0</v>
      </c>
    </row>
    <row r="3440">
      <c r="A3440" t="inlineStr">
        <is>
          <t>S015</t>
        </is>
      </c>
      <c r="B3440" s="3" t="n">
        <v>46276</v>
      </c>
      <c r="C3440" t="n">
        <v>22</v>
      </c>
      <c r="D3440" t="inlineStr">
        <is>
          <t>Friday</t>
        </is>
      </c>
      <c r="E3440" t="n">
        <v>27</v>
      </c>
      <c r="F3440" t="b">
        <v>0</v>
      </c>
      <c r="H3440" t="b">
        <v>0</v>
      </c>
    </row>
    <row r="3441">
      <c r="A3441" t="inlineStr">
        <is>
          <t>S015</t>
        </is>
      </c>
      <c r="B3441" s="3" t="n">
        <v>46276</v>
      </c>
      <c r="C3441" t="n">
        <v>23</v>
      </c>
      <c r="D3441" t="inlineStr">
        <is>
          <t>Friday</t>
        </is>
      </c>
      <c r="E3441" t="n">
        <v>27</v>
      </c>
      <c r="F3441" t="b">
        <v>0</v>
      </c>
      <c r="H3441" t="b">
        <v>0</v>
      </c>
    </row>
    <row r="3442">
      <c r="A3442" t="inlineStr">
        <is>
          <t>S016</t>
        </is>
      </c>
      <c r="B3442" s="3" t="n">
        <v>46276</v>
      </c>
      <c r="C3442" t="n">
        <v>8</v>
      </c>
      <c r="D3442" t="inlineStr">
        <is>
          <t>Friday</t>
        </is>
      </c>
      <c r="E3442" t="n">
        <v>19</v>
      </c>
      <c r="F3442" t="b">
        <v>0</v>
      </c>
      <c r="H3442" t="b">
        <v>0</v>
      </c>
    </row>
    <row r="3443">
      <c r="A3443" t="inlineStr">
        <is>
          <t>S016</t>
        </is>
      </c>
      <c r="B3443" s="3" t="n">
        <v>46276</v>
      </c>
      <c r="C3443" t="n">
        <v>9</v>
      </c>
      <c r="D3443" t="inlineStr">
        <is>
          <t>Friday</t>
        </is>
      </c>
      <c r="E3443" t="n">
        <v>18</v>
      </c>
      <c r="F3443" t="b">
        <v>0</v>
      </c>
      <c r="H3443" t="b">
        <v>0</v>
      </c>
    </row>
    <row r="3444">
      <c r="A3444" t="inlineStr">
        <is>
          <t>S016</t>
        </is>
      </c>
      <c r="B3444" s="3" t="n">
        <v>46276</v>
      </c>
      <c r="C3444" t="n">
        <v>10</v>
      </c>
      <c r="D3444" t="inlineStr">
        <is>
          <t>Friday</t>
        </is>
      </c>
      <c r="E3444" t="n">
        <v>18</v>
      </c>
      <c r="F3444" t="b">
        <v>0</v>
      </c>
      <c r="G3444" t="inlineStr">
        <is>
          <t>Light</t>
        </is>
      </c>
      <c r="H3444" t="b">
        <v>0</v>
      </c>
    </row>
    <row r="3445">
      <c r="A3445" t="inlineStr">
        <is>
          <t>S016</t>
        </is>
      </c>
      <c r="B3445" s="3" t="n">
        <v>46276</v>
      </c>
      <c r="C3445" t="n">
        <v>11</v>
      </c>
      <c r="D3445" t="inlineStr">
        <is>
          <t>Friday</t>
        </is>
      </c>
      <c r="E3445" t="n">
        <v>26</v>
      </c>
      <c r="F3445" t="b">
        <v>0</v>
      </c>
      <c r="H3445" t="b">
        <v>0</v>
      </c>
    </row>
    <row r="3446">
      <c r="A3446" t="inlineStr">
        <is>
          <t>S016</t>
        </is>
      </c>
      <c r="B3446" s="3" t="n">
        <v>46276</v>
      </c>
      <c r="C3446" t="n">
        <v>12</v>
      </c>
      <c r="D3446" t="inlineStr">
        <is>
          <t>Friday</t>
        </is>
      </c>
      <c r="E3446" t="n">
        <v>29</v>
      </c>
      <c r="F3446" t="b">
        <v>0</v>
      </c>
      <c r="H3446" t="b">
        <v>0</v>
      </c>
    </row>
    <row r="3447">
      <c r="A3447" t="inlineStr">
        <is>
          <t>S016</t>
        </is>
      </c>
      <c r="B3447" s="3" t="n">
        <v>46276</v>
      </c>
      <c r="C3447" t="n">
        <v>13</v>
      </c>
      <c r="D3447" t="inlineStr">
        <is>
          <t>Friday</t>
        </is>
      </c>
      <c r="E3447" t="n">
        <v>16</v>
      </c>
      <c r="F3447" t="b">
        <v>0</v>
      </c>
      <c r="G3447" t="inlineStr">
        <is>
          <t>Light</t>
        </is>
      </c>
      <c r="H3447" t="b">
        <v>0</v>
      </c>
    </row>
    <row r="3448">
      <c r="A3448" t="inlineStr">
        <is>
          <t>S016</t>
        </is>
      </c>
      <c r="B3448" s="3" t="n">
        <v>46276</v>
      </c>
      <c r="C3448" t="n">
        <v>14</v>
      </c>
      <c r="D3448" t="inlineStr">
        <is>
          <t>Friday</t>
        </is>
      </c>
      <c r="E3448" t="n">
        <v>24</v>
      </c>
      <c r="F3448" t="b">
        <v>0</v>
      </c>
      <c r="H3448" t="b">
        <v>0</v>
      </c>
    </row>
    <row r="3449">
      <c r="A3449" t="inlineStr">
        <is>
          <t>S016</t>
        </is>
      </c>
      <c r="B3449" s="3" t="n">
        <v>46276</v>
      </c>
      <c r="C3449" t="n">
        <v>15</v>
      </c>
      <c r="D3449" t="inlineStr">
        <is>
          <t>Friday</t>
        </is>
      </c>
      <c r="E3449" t="n">
        <v>13</v>
      </c>
      <c r="F3449" t="b">
        <v>0</v>
      </c>
      <c r="H3449" t="b">
        <v>0</v>
      </c>
    </row>
    <row r="3450">
      <c r="A3450" t="inlineStr">
        <is>
          <t>S016</t>
        </is>
      </c>
      <c r="B3450" s="3" t="n">
        <v>46276</v>
      </c>
      <c r="C3450" t="n">
        <v>16</v>
      </c>
      <c r="D3450" t="inlineStr">
        <is>
          <t>Friday</t>
        </is>
      </c>
      <c r="E3450" t="n">
        <v>23</v>
      </c>
      <c r="F3450" t="b">
        <v>0</v>
      </c>
      <c r="H3450" t="b">
        <v>0</v>
      </c>
    </row>
    <row r="3451">
      <c r="A3451" t="inlineStr">
        <is>
          <t>S016</t>
        </is>
      </c>
      <c r="B3451" s="3" t="n">
        <v>46276</v>
      </c>
      <c r="C3451" t="n">
        <v>17</v>
      </c>
      <c r="D3451" t="inlineStr">
        <is>
          <t>Friday</t>
        </is>
      </c>
      <c r="E3451" t="n">
        <v>22</v>
      </c>
      <c r="F3451" t="b">
        <v>0</v>
      </c>
      <c r="H3451" t="b">
        <v>0</v>
      </c>
    </row>
    <row r="3452">
      <c r="A3452" t="inlineStr">
        <is>
          <t>S016</t>
        </is>
      </c>
      <c r="B3452" s="3" t="n">
        <v>46276</v>
      </c>
      <c r="C3452" t="n">
        <v>18</v>
      </c>
      <c r="D3452" t="inlineStr">
        <is>
          <t>Friday</t>
        </is>
      </c>
      <c r="E3452" t="n">
        <v>41</v>
      </c>
      <c r="F3452" t="b">
        <v>0</v>
      </c>
      <c r="H3452" t="b">
        <v>0</v>
      </c>
    </row>
    <row r="3453">
      <c r="A3453" t="inlineStr">
        <is>
          <t>S016</t>
        </is>
      </c>
      <c r="B3453" s="3" t="n">
        <v>46276</v>
      </c>
      <c r="C3453" t="n">
        <v>19</v>
      </c>
      <c r="D3453" t="inlineStr">
        <is>
          <t>Friday</t>
        </is>
      </c>
      <c r="E3453" t="n">
        <v>26</v>
      </c>
      <c r="F3453" t="b">
        <v>1</v>
      </c>
      <c r="H3453" t="b">
        <v>0</v>
      </c>
    </row>
    <row r="3454">
      <c r="A3454" t="inlineStr">
        <is>
          <t>S016</t>
        </is>
      </c>
      <c r="B3454" s="3" t="n">
        <v>46276</v>
      </c>
      <c r="C3454" t="n">
        <v>20</v>
      </c>
      <c r="D3454" t="inlineStr">
        <is>
          <t>Friday</t>
        </is>
      </c>
      <c r="E3454" t="n">
        <v>37</v>
      </c>
      <c r="F3454" t="b">
        <v>1</v>
      </c>
      <c r="H3454" t="b">
        <v>0</v>
      </c>
    </row>
    <row r="3455">
      <c r="A3455" t="inlineStr">
        <is>
          <t>S016</t>
        </is>
      </c>
      <c r="B3455" s="3" t="n">
        <v>46276</v>
      </c>
      <c r="C3455" t="n">
        <v>21</v>
      </c>
      <c r="D3455" t="inlineStr">
        <is>
          <t>Friday</t>
        </is>
      </c>
      <c r="E3455" t="n">
        <v>48</v>
      </c>
      <c r="F3455" t="b">
        <v>1</v>
      </c>
      <c r="H3455" t="b">
        <v>0</v>
      </c>
    </row>
    <row r="3456">
      <c r="A3456" t="inlineStr">
        <is>
          <t>S016</t>
        </is>
      </c>
      <c r="B3456" s="3" t="n">
        <v>46276</v>
      </c>
      <c r="C3456" t="n">
        <v>22</v>
      </c>
      <c r="D3456" t="inlineStr">
        <is>
          <t>Friday</t>
        </is>
      </c>
      <c r="E3456" t="n">
        <v>31</v>
      </c>
      <c r="F3456" t="b">
        <v>0</v>
      </c>
      <c r="G3456" t="inlineStr">
        <is>
          <t>Heavy</t>
        </is>
      </c>
      <c r="H3456" t="b">
        <v>1</v>
      </c>
    </row>
    <row r="3457">
      <c r="A3457" t="inlineStr">
        <is>
          <t>S016</t>
        </is>
      </c>
      <c r="B3457" s="3" t="n">
        <v>46276</v>
      </c>
      <c r="C3457" t="n">
        <v>23</v>
      </c>
      <c r="D3457" t="inlineStr">
        <is>
          <t>Friday</t>
        </is>
      </c>
      <c r="E3457" t="n">
        <v>29</v>
      </c>
      <c r="F3457" t="b">
        <v>0</v>
      </c>
      <c r="H3457" t="b">
        <v>0</v>
      </c>
    </row>
    <row r="3458">
      <c r="A3458" t="inlineStr">
        <is>
          <t>S017</t>
        </is>
      </c>
      <c r="B3458" s="3" t="n">
        <v>46276</v>
      </c>
      <c r="C3458" t="n">
        <v>8</v>
      </c>
      <c r="D3458" t="inlineStr">
        <is>
          <t>Friday</t>
        </is>
      </c>
      <c r="E3458" t="n">
        <v>17</v>
      </c>
      <c r="F3458" t="b">
        <v>0</v>
      </c>
      <c r="H3458" t="b">
        <v>0</v>
      </c>
    </row>
    <row r="3459">
      <c r="A3459" t="inlineStr">
        <is>
          <t>S017</t>
        </is>
      </c>
      <c r="B3459" s="3" t="n">
        <v>46276</v>
      </c>
      <c r="C3459" t="n">
        <v>9</v>
      </c>
      <c r="D3459" t="inlineStr">
        <is>
          <t>Friday</t>
        </is>
      </c>
      <c r="E3459" t="n">
        <v>12</v>
      </c>
      <c r="F3459" t="b">
        <v>0</v>
      </c>
      <c r="H3459" t="b">
        <v>0</v>
      </c>
    </row>
    <row r="3460">
      <c r="A3460" t="inlineStr">
        <is>
          <t>S017</t>
        </is>
      </c>
      <c r="B3460" s="3" t="n">
        <v>46276</v>
      </c>
      <c r="C3460" t="n">
        <v>10</v>
      </c>
      <c r="D3460" t="inlineStr">
        <is>
          <t>Friday</t>
        </is>
      </c>
      <c r="E3460" t="n">
        <v>27</v>
      </c>
      <c r="F3460" t="b">
        <v>0</v>
      </c>
      <c r="H3460" t="b">
        <v>0</v>
      </c>
    </row>
    <row r="3461">
      <c r="A3461" t="inlineStr">
        <is>
          <t>S017</t>
        </is>
      </c>
      <c r="B3461" s="3" t="n">
        <v>46276</v>
      </c>
      <c r="C3461" t="n">
        <v>11</v>
      </c>
      <c r="D3461" t="inlineStr">
        <is>
          <t>Friday</t>
        </is>
      </c>
      <c r="E3461" t="n">
        <v>45</v>
      </c>
      <c r="F3461" t="b">
        <v>0</v>
      </c>
      <c r="G3461" t="inlineStr">
        <is>
          <t>Light</t>
        </is>
      </c>
      <c r="H3461" t="b">
        <v>0</v>
      </c>
    </row>
    <row r="3462">
      <c r="A3462" t="inlineStr">
        <is>
          <t>S017</t>
        </is>
      </c>
      <c r="B3462" s="3" t="n">
        <v>46276</v>
      </c>
      <c r="C3462" t="n">
        <v>12</v>
      </c>
      <c r="D3462" t="inlineStr">
        <is>
          <t>Friday</t>
        </is>
      </c>
      <c r="E3462" t="n">
        <v>38</v>
      </c>
      <c r="F3462" t="b">
        <v>0</v>
      </c>
      <c r="H3462" t="b">
        <v>0</v>
      </c>
    </row>
    <row r="3463">
      <c r="A3463" t="inlineStr">
        <is>
          <t>S017</t>
        </is>
      </c>
      <c r="B3463" s="3" t="n">
        <v>46276</v>
      </c>
      <c r="C3463" t="n">
        <v>13</v>
      </c>
      <c r="D3463" t="inlineStr">
        <is>
          <t>Friday</t>
        </is>
      </c>
      <c r="E3463" t="n">
        <v>47</v>
      </c>
      <c r="F3463" t="b">
        <v>0</v>
      </c>
      <c r="G3463" t="inlineStr">
        <is>
          <t>Light</t>
        </is>
      </c>
      <c r="H3463" t="b">
        <v>0</v>
      </c>
    </row>
    <row r="3464">
      <c r="A3464" t="inlineStr">
        <is>
          <t>S017</t>
        </is>
      </c>
      <c r="B3464" s="3" t="n">
        <v>46276</v>
      </c>
      <c r="C3464" t="n">
        <v>14</v>
      </c>
      <c r="D3464" t="inlineStr">
        <is>
          <t>Friday</t>
        </is>
      </c>
      <c r="E3464" t="n">
        <v>28</v>
      </c>
      <c r="F3464" t="b">
        <v>0</v>
      </c>
      <c r="H3464" t="b">
        <v>0</v>
      </c>
    </row>
    <row r="3465">
      <c r="A3465" t="inlineStr">
        <is>
          <t>S017</t>
        </is>
      </c>
      <c r="B3465" s="3" t="n">
        <v>46276</v>
      </c>
      <c r="C3465" t="n">
        <v>15</v>
      </c>
      <c r="D3465" t="inlineStr">
        <is>
          <t>Friday</t>
        </is>
      </c>
      <c r="E3465" t="n">
        <v>30</v>
      </c>
      <c r="F3465" t="b">
        <v>0</v>
      </c>
      <c r="H3465" t="b">
        <v>0</v>
      </c>
    </row>
    <row r="3466">
      <c r="A3466" t="inlineStr">
        <is>
          <t>S017</t>
        </is>
      </c>
      <c r="B3466" s="3" t="n">
        <v>46276</v>
      </c>
      <c r="C3466" t="n">
        <v>16</v>
      </c>
      <c r="D3466" t="inlineStr">
        <is>
          <t>Friday</t>
        </is>
      </c>
      <c r="E3466" t="n">
        <v>48</v>
      </c>
      <c r="F3466" t="b">
        <v>0</v>
      </c>
      <c r="H3466" t="b">
        <v>0</v>
      </c>
    </row>
    <row r="3467">
      <c r="A3467" t="inlineStr">
        <is>
          <t>S017</t>
        </is>
      </c>
      <c r="B3467" s="3" t="n">
        <v>46276</v>
      </c>
      <c r="C3467" t="n">
        <v>17</v>
      </c>
      <c r="D3467" t="inlineStr">
        <is>
          <t>Friday</t>
        </is>
      </c>
      <c r="E3467" t="n">
        <v>38</v>
      </c>
      <c r="F3467" t="b">
        <v>0</v>
      </c>
      <c r="G3467" t="inlineStr">
        <is>
          <t>Heavy</t>
        </is>
      </c>
      <c r="H3467" t="b">
        <v>0</v>
      </c>
    </row>
    <row r="3468">
      <c r="A3468" t="inlineStr">
        <is>
          <t>S017</t>
        </is>
      </c>
      <c r="B3468" s="3" t="n">
        <v>46276</v>
      </c>
      <c r="C3468" t="n">
        <v>18</v>
      </c>
      <c r="D3468" t="inlineStr">
        <is>
          <t>Friday</t>
        </is>
      </c>
      <c r="E3468" t="n">
        <v>29</v>
      </c>
      <c r="F3468" t="b">
        <v>0</v>
      </c>
      <c r="H3468" t="b">
        <v>0</v>
      </c>
    </row>
    <row r="3469">
      <c r="A3469" t="inlineStr">
        <is>
          <t>S017</t>
        </is>
      </c>
      <c r="B3469" s="3" t="n">
        <v>46276</v>
      </c>
      <c r="C3469" t="n">
        <v>19</v>
      </c>
      <c r="D3469" t="inlineStr">
        <is>
          <t>Friday</t>
        </is>
      </c>
      <c r="E3469" t="n">
        <v>51</v>
      </c>
      <c r="F3469" t="b">
        <v>1</v>
      </c>
      <c r="H3469" t="b">
        <v>0</v>
      </c>
    </row>
    <row r="3470">
      <c r="A3470" t="inlineStr">
        <is>
          <t>S017</t>
        </is>
      </c>
      <c r="B3470" s="3" t="n">
        <v>46276</v>
      </c>
      <c r="C3470" t="n">
        <v>20</v>
      </c>
      <c r="D3470" t="inlineStr">
        <is>
          <t>Friday</t>
        </is>
      </c>
      <c r="E3470" t="n">
        <v>58</v>
      </c>
      <c r="F3470" t="b">
        <v>1</v>
      </c>
      <c r="H3470" t="b">
        <v>0</v>
      </c>
    </row>
    <row r="3471">
      <c r="A3471" t="inlineStr">
        <is>
          <t>S017</t>
        </is>
      </c>
      <c r="B3471" s="3" t="n">
        <v>46276</v>
      </c>
      <c r="C3471" t="n">
        <v>21</v>
      </c>
      <c r="D3471" t="inlineStr">
        <is>
          <t>Friday</t>
        </is>
      </c>
      <c r="E3471" t="n">
        <v>47</v>
      </c>
      <c r="F3471" t="b">
        <v>1</v>
      </c>
      <c r="H3471" t="b">
        <v>0</v>
      </c>
    </row>
    <row r="3472">
      <c r="A3472" t="inlineStr">
        <is>
          <t>S017</t>
        </is>
      </c>
      <c r="B3472" s="3" t="n">
        <v>46276</v>
      </c>
      <c r="C3472" t="n">
        <v>22</v>
      </c>
      <c r="D3472" t="inlineStr">
        <is>
          <t>Friday</t>
        </is>
      </c>
      <c r="E3472" t="n">
        <v>35</v>
      </c>
      <c r="F3472" t="b">
        <v>0</v>
      </c>
      <c r="H3472" t="b">
        <v>0</v>
      </c>
    </row>
    <row r="3473">
      <c r="A3473" t="inlineStr">
        <is>
          <t>S017</t>
        </is>
      </c>
      <c r="B3473" s="3" t="n">
        <v>46276</v>
      </c>
      <c r="C3473" t="n">
        <v>23</v>
      </c>
      <c r="D3473" t="inlineStr">
        <is>
          <t>Friday</t>
        </is>
      </c>
      <c r="E3473" t="n">
        <v>37</v>
      </c>
      <c r="F3473" t="b">
        <v>0</v>
      </c>
      <c r="G3473" t="inlineStr">
        <is>
          <t>Light</t>
        </is>
      </c>
      <c r="H3473" t="b">
        <v>0</v>
      </c>
    </row>
    <row r="3474">
      <c r="A3474" t="inlineStr">
        <is>
          <t>S018</t>
        </is>
      </c>
      <c r="B3474" s="3" t="n">
        <v>46276</v>
      </c>
      <c r="C3474" t="n">
        <v>8</v>
      </c>
      <c r="D3474" t="inlineStr">
        <is>
          <t>Friday</t>
        </is>
      </c>
      <c r="E3474" t="n">
        <v>16</v>
      </c>
      <c r="F3474" t="b">
        <v>0</v>
      </c>
      <c r="G3474" t="inlineStr">
        <is>
          <t>Light</t>
        </is>
      </c>
      <c r="H3474" t="b">
        <v>0</v>
      </c>
    </row>
    <row r="3475">
      <c r="A3475" t="inlineStr">
        <is>
          <t>S018</t>
        </is>
      </c>
      <c r="B3475" s="3" t="n">
        <v>46276</v>
      </c>
      <c r="C3475" t="n">
        <v>9</v>
      </c>
      <c r="D3475" t="inlineStr">
        <is>
          <t>Friday</t>
        </is>
      </c>
      <c r="E3475" t="n">
        <v>15</v>
      </c>
      <c r="F3475" t="b">
        <v>0</v>
      </c>
      <c r="H3475" t="b">
        <v>0</v>
      </c>
    </row>
    <row r="3476">
      <c r="A3476" t="inlineStr">
        <is>
          <t>S018</t>
        </is>
      </c>
      <c r="B3476" s="3" t="n">
        <v>46276</v>
      </c>
      <c r="C3476" t="n">
        <v>10</v>
      </c>
      <c r="D3476" t="inlineStr">
        <is>
          <t>Friday</t>
        </is>
      </c>
      <c r="E3476" t="n">
        <v>15</v>
      </c>
      <c r="F3476" t="b">
        <v>0</v>
      </c>
      <c r="H3476" t="b">
        <v>0</v>
      </c>
    </row>
    <row r="3477">
      <c r="A3477" t="inlineStr">
        <is>
          <t>S018</t>
        </is>
      </c>
      <c r="B3477" s="3" t="n">
        <v>46276</v>
      </c>
      <c r="C3477" t="n">
        <v>11</v>
      </c>
      <c r="D3477" t="inlineStr">
        <is>
          <t>Friday</t>
        </is>
      </c>
      <c r="E3477" t="n">
        <v>15</v>
      </c>
      <c r="F3477" t="b">
        <v>0</v>
      </c>
      <c r="H3477" t="b">
        <v>0</v>
      </c>
    </row>
    <row r="3478">
      <c r="A3478" t="inlineStr">
        <is>
          <t>S018</t>
        </is>
      </c>
      <c r="B3478" s="3" t="n">
        <v>46276</v>
      </c>
      <c r="C3478" t="n">
        <v>12</v>
      </c>
      <c r="D3478" t="inlineStr">
        <is>
          <t>Friday</t>
        </is>
      </c>
      <c r="E3478" t="n">
        <v>20</v>
      </c>
      <c r="F3478" t="b">
        <v>0</v>
      </c>
      <c r="H3478" t="b">
        <v>0</v>
      </c>
    </row>
    <row r="3479">
      <c r="A3479" t="inlineStr">
        <is>
          <t>S018</t>
        </is>
      </c>
      <c r="B3479" s="3" t="n">
        <v>46276</v>
      </c>
      <c r="C3479" t="n">
        <v>13</v>
      </c>
      <c r="D3479" t="inlineStr">
        <is>
          <t>Friday</t>
        </is>
      </c>
      <c r="E3479" t="n">
        <v>23</v>
      </c>
      <c r="F3479" t="b">
        <v>0</v>
      </c>
      <c r="G3479" t="inlineStr">
        <is>
          <t>Light</t>
        </is>
      </c>
      <c r="H3479" t="b">
        <v>0</v>
      </c>
    </row>
    <row r="3480">
      <c r="A3480" t="inlineStr">
        <is>
          <t>S018</t>
        </is>
      </c>
      <c r="B3480" s="3" t="n">
        <v>46276</v>
      </c>
      <c r="C3480" t="n">
        <v>14</v>
      </c>
      <c r="D3480" t="inlineStr">
        <is>
          <t>Friday</t>
        </is>
      </c>
      <c r="E3480" t="n">
        <v>11</v>
      </c>
      <c r="F3480" t="b">
        <v>0</v>
      </c>
      <c r="H3480" t="b">
        <v>0</v>
      </c>
    </row>
    <row r="3481">
      <c r="A3481" t="inlineStr">
        <is>
          <t>S018</t>
        </is>
      </c>
      <c r="B3481" s="3" t="n">
        <v>46276</v>
      </c>
      <c r="C3481" t="n">
        <v>15</v>
      </c>
      <c r="D3481" t="inlineStr">
        <is>
          <t>Friday</t>
        </is>
      </c>
      <c r="E3481" t="n">
        <v>15</v>
      </c>
      <c r="F3481" t="b">
        <v>0</v>
      </c>
      <c r="G3481" t="inlineStr">
        <is>
          <t>Light</t>
        </is>
      </c>
      <c r="H3481" t="b">
        <v>0</v>
      </c>
    </row>
    <row r="3482">
      <c r="A3482" t="inlineStr">
        <is>
          <t>S018</t>
        </is>
      </c>
      <c r="B3482" s="3" t="n">
        <v>46276</v>
      </c>
      <c r="C3482" t="n">
        <v>16</v>
      </c>
      <c r="D3482" t="inlineStr">
        <is>
          <t>Friday</t>
        </is>
      </c>
      <c r="E3482" t="n">
        <v>21</v>
      </c>
      <c r="F3482" t="b">
        <v>0</v>
      </c>
      <c r="H3482" t="b">
        <v>0</v>
      </c>
    </row>
    <row r="3483">
      <c r="A3483" t="inlineStr">
        <is>
          <t>S018</t>
        </is>
      </c>
      <c r="B3483" s="3" t="n">
        <v>46276</v>
      </c>
      <c r="C3483" t="n">
        <v>17</v>
      </c>
      <c r="D3483" t="inlineStr">
        <is>
          <t>Friday</t>
        </is>
      </c>
      <c r="E3483" t="n">
        <v>16</v>
      </c>
      <c r="F3483" t="b">
        <v>0</v>
      </c>
      <c r="H3483" t="b">
        <v>0</v>
      </c>
    </row>
    <row r="3484">
      <c r="A3484" t="inlineStr">
        <is>
          <t>S018</t>
        </is>
      </c>
      <c r="B3484" s="3" t="n">
        <v>46276</v>
      </c>
      <c r="C3484" t="n">
        <v>18</v>
      </c>
      <c r="D3484" t="inlineStr">
        <is>
          <t>Friday</t>
        </is>
      </c>
      <c r="E3484" t="n">
        <v>20</v>
      </c>
      <c r="F3484" t="b">
        <v>0</v>
      </c>
      <c r="G3484" t="inlineStr">
        <is>
          <t>Light</t>
        </is>
      </c>
      <c r="H3484" t="b">
        <v>0</v>
      </c>
    </row>
    <row r="3485">
      <c r="A3485" t="inlineStr">
        <is>
          <t>S018</t>
        </is>
      </c>
      <c r="B3485" s="3" t="n">
        <v>46276</v>
      </c>
      <c r="C3485" t="n">
        <v>19</v>
      </c>
      <c r="D3485" t="inlineStr">
        <is>
          <t>Friday</t>
        </is>
      </c>
      <c r="E3485" t="n">
        <v>31</v>
      </c>
      <c r="F3485" t="b">
        <v>1</v>
      </c>
      <c r="G3485" t="inlineStr">
        <is>
          <t>Light</t>
        </is>
      </c>
      <c r="H3485" t="b">
        <v>0</v>
      </c>
    </row>
    <row r="3486">
      <c r="A3486" t="inlineStr">
        <is>
          <t>S018</t>
        </is>
      </c>
      <c r="B3486" s="3" t="n">
        <v>46276</v>
      </c>
      <c r="C3486" t="n">
        <v>20</v>
      </c>
      <c r="D3486" t="inlineStr">
        <is>
          <t>Friday</t>
        </is>
      </c>
      <c r="E3486" t="n">
        <v>39</v>
      </c>
      <c r="F3486" t="b">
        <v>1</v>
      </c>
      <c r="G3486" t="inlineStr">
        <is>
          <t>Light</t>
        </is>
      </c>
      <c r="H3486" t="b">
        <v>0</v>
      </c>
    </row>
    <row r="3487">
      <c r="A3487" t="inlineStr">
        <is>
          <t>S018</t>
        </is>
      </c>
      <c r="B3487" s="3" t="n">
        <v>46276</v>
      </c>
      <c r="C3487" t="n">
        <v>21</v>
      </c>
      <c r="D3487" t="inlineStr">
        <is>
          <t>Friday</t>
        </is>
      </c>
      <c r="E3487" t="n">
        <v>34</v>
      </c>
      <c r="F3487" t="b">
        <v>1</v>
      </c>
      <c r="H3487" t="b">
        <v>0</v>
      </c>
    </row>
    <row r="3488">
      <c r="A3488" t="inlineStr">
        <is>
          <t>S018</t>
        </is>
      </c>
      <c r="B3488" s="3" t="n">
        <v>46276</v>
      </c>
      <c r="C3488" t="n">
        <v>22</v>
      </c>
      <c r="D3488" t="inlineStr">
        <is>
          <t>Friday</t>
        </is>
      </c>
      <c r="E3488" t="n">
        <v>20</v>
      </c>
      <c r="F3488" t="b">
        <v>0</v>
      </c>
      <c r="H3488" t="b">
        <v>0</v>
      </c>
    </row>
    <row r="3489">
      <c r="A3489" t="inlineStr">
        <is>
          <t>S018</t>
        </is>
      </c>
      <c r="B3489" s="3" t="n">
        <v>46276</v>
      </c>
      <c r="C3489" t="n">
        <v>23</v>
      </c>
      <c r="D3489" t="inlineStr">
        <is>
          <t>Friday</t>
        </is>
      </c>
      <c r="E3489" t="n">
        <v>28</v>
      </c>
      <c r="F3489" t="b">
        <v>0</v>
      </c>
      <c r="H3489" t="b">
        <v>0</v>
      </c>
    </row>
    <row r="3490">
      <c r="A3490" t="inlineStr">
        <is>
          <t>S019</t>
        </is>
      </c>
      <c r="B3490" s="3" t="n">
        <v>46276</v>
      </c>
      <c r="C3490" t="n">
        <v>8</v>
      </c>
      <c r="D3490" t="inlineStr">
        <is>
          <t>Friday</t>
        </is>
      </c>
      <c r="E3490" t="n">
        <v>17</v>
      </c>
      <c r="F3490" t="b">
        <v>0</v>
      </c>
      <c r="H3490" t="b">
        <v>0</v>
      </c>
    </row>
    <row r="3491">
      <c r="A3491" t="inlineStr">
        <is>
          <t>S019</t>
        </is>
      </c>
      <c r="B3491" s="3" t="n">
        <v>46276</v>
      </c>
      <c r="C3491" t="n">
        <v>9</v>
      </c>
      <c r="D3491" t="inlineStr">
        <is>
          <t>Friday</t>
        </is>
      </c>
      <c r="E3491" t="n">
        <v>19</v>
      </c>
      <c r="F3491" t="b">
        <v>0</v>
      </c>
      <c r="G3491" t="inlineStr">
        <is>
          <t>Light</t>
        </is>
      </c>
      <c r="H3491" t="b">
        <v>1</v>
      </c>
    </row>
    <row r="3492">
      <c r="A3492" t="inlineStr">
        <is>
          <t>S019</t>
        </is>
      </c>
      <c r="B3492" s="3" t="n">
        <v>46276</v>
      </c>
      <c r="C3492" t="n">
        <v>10</v>
      </c>
      <c r="D3492" t="inlineStr">
        <is>
          <t>Friday</t>
        </is>
      </c>
      <c r="E3492" t="n">
        <v>7</v>
      </c>
      <c r="F3492" t="b">
        <v>0</v>
      </c>
      <c r="G3492" t="inlineStr">
        <is>
          <t>Light</t>
        </is>
      </c>
      <c r="H3492" t="b">
        <v>0</v>
      </c>
    </row>
    <row r="3493">
      <c r="A3493" t="inlineStr">
        <is>
          <t>S019</t>
        </is>
      </c>
      <c r="B3493" s="3" t="n">
        <v>46276</v>
      </c>
      <c r="C3493" t="n">
        <v>11</v>
      </c>
      <c r="D3493" t="inlineStr">
        <is>
          <t>Friday</t>
        </is>
      </c>
      <c r="E3493" t="n">
        <v>16</v>
      </c>
      <c r="F3493" t="b">
        <v>0</v>
      </c>
      <c r="H3493" t="b">
        <v>0</v>
      </c>
    </row>
    <row r="3494">
      <c r="A3494" t="inlineStr">
        <is>
          <t>S019</t>
        </is>
      </c>
      <c r="B3494" s="3" t="n">
        <v>46276</v>
      </c>
      <c r="C3494" t="n">
        <v>12</v>
      </c>
      <c r="D3494" t="inlineStr">
        <is>
          <t>Friday</t>
        </is>
      </c>
      <c r="E3494" t="n">
        <v>17</v>
      </c>
      <c r="F3494" t="b">
        <v>0</v>
      </c>
      <c r="H3494" t="b">
        <v>0</v>
      </c>
    </row>
    <row r="3495">
      <c r="A3495" t="inlineStr">
        <is>
          <t>S019</t>
        </is>
      </c>
      <c r="B3495" s="3" t="n">
        <v>46276</v>
      </c>
      <c r="C3495" t="n">
        <v>13</v>
      </c>
      <c r="D3495" t="inlineStr">
        <is>
          <t>Friday</t>
        </is>
      </c>
      <c r="E3495" t="n">
        <v>29</v>
      </c>
      <c r="F3495" t="b">
        <v>0</v>
      </c>
      <c r="G3495" t="inlineStr">
        <is>
          <t>Heavy</t>
        </is>
      </c>
      <c r="H3495" t="b">
        <v>0</v>
      </c>
    </row>
    <row r="3496">
      <c r="A3496" t="inlineStr">
        <is>
          <t>S019</t>
        </is>
      </c>
      <c r="B3496" s="3" t="n">
        <v>46276</v>
      </c>
      <c r="C3496" t="n">
        <v>14</v>
      </c>
      <c r="D3496" t="inlineStr">
        <is>
          <t>Friday</t>
        </is>
      </c>
      <c r="E3496" t="n">
        <v>19</v>
      </c>
      <c r="F3496" t="b">
        <v>0</v>
      </c>
      <c r="H3496" t="b">
        <v>0</v>
      </c>
    </row>
    <row r="3497">
      <c r="A3497" t="inlineStr">
        <is>
          <t>S019</t>
        </is>
      </c>
      <c r="B3497" s="3" t="n">
        <v>46276</v>
      </c>
      <c r="C3497" t="n">
        <v>15</v>
      </c>
      <c r="D3497" t="inlineStr">
        <is>
          <t>Friday</t>
        </is>
      </c>
      <c r="E3497" t="n">
        <v>14</v>
      </c>
      <c r="F3497" t="b">
        <v>0</v>
      </c>
      <c r="H3497" t="b">
        <v>0</v>
      </c>
    </row>
    <row r="3498">
      <c r="A3498" t="inlineStr">
        <is>
          <t>S019</t>
        </is>
      </c>
      <c r="B3498" s="3" t="n">
        <v>46276</v>
      </c>
      <c r="C3498" t="n">
        <v>16</v>
      </c>
      <c r="D3498" t="inlineStr">
        <is>
          <t>Friday</t>
        </is>
      </c>
      <c r="E3498" t="n">
        <v>24</v>
      </c>
      <c r="F3498" t="b">
        <v>0</v>
      </c>
      <c r="H3498" t="b">
        <v>0</v>
      </c>
    </row>
    <row r="3499">
      <c r="A3499" t="inlineStr">
        <is>
          <t>S019</t>
        </is>
      </c>
      <c r="B3499" s="3" t="n">
        <v>46276</v>
      </c>
      <c r="C3499" t="n">
        <v>17</v>
      </c>
      <c r="D3499" t="inlineStr">
        <is>
          <t>Friday</t>
        </is>
      </c>
      <c r="E3499" t="n">
        <v>17</v>
      </c>
      <c r="F3499" t="b">
        <v>0</v>
      </c>
      <c r="G3499" t="inlineStr">
        <is>
          <t>Light</t>
        </is>
      </c>
      <c r="H3499" t="b">
        <v>0</v>
      </c>
    </row>
    <row r="3500">
      <c r="A3500" t="inlineStr">
        <is>
          <t>S019</t>
        </is>
      </c>
      <c r="B3500" s="3" t="n">
        <v>46276</v>
      </c>
      <c r="C3500" t="n">
        <v>18</v>
      </c>
      <c r="D3500" t="inlineStr">
        <is>
          <t>Friday</t>
        </is>
      </c>
      <c r="E3500" t="n">
        <v>22</v>
      </c>
      <c r="F3500" t="b">
        <v>0</v>
      </c>
      <c r="G3500" t="inlineStr">
        <is>
          <t>Light</t>
        </is>
      </c>
      <c r="H3500" t="b">
        <v>0</v>
      </c>
    </row>
    <row r="3501">
      <c r="A3501" t="inlineStr">
        <is>
          <t>S019</t>
        </is>
      </c>
      <c r="B3501" s="3" t="n">
        <v>46276</v>
      </c>
      <c r="C3501" t="n">
        <v>19</v>
      </c>
      <c r="D3501" t="inlineStr">
        <is>
          <t>Friday</t>
        </is>
      </c>
      <c r="E3501" t="n">
        <v>36</v>
      </c>
      <c r="F3501" t="b">
        <v>1</v>
      </c>
      <c r="G3501" t="inlineStr">
        <is>
          <t>Light</t>
        </is>
      </c>
      <c r="H3501" t="b">
        <v>0</v>
      </c>
    </row>
    <row r="3502">
      <c r="A3502" t="inlineStr">
        <is>
          <t>S019</t>
        </is>
      </c>
      <c r="B3502" s="3" t="n">
        <v>46276</v>
      </c>
      <c r="C3502" t="n">
        <v>20</v>
      </c>
      <c r="D3502" t="inlineStr">
        <is>
          <t>Friday</t>
        </is>
      </c>
      <c r="E3502" t="n">
        <v>31</v>
      </c>
      <c r="F3502" t="b">
        <v>1</v>
      </c>
      <c r="H3502" t="b">
        <v>0</v>
      </c>
    </row>
    <row r="3503">
      <c r="A3503" t="inlineStr">
        <is>
          <t>S019</t>
        </is>
      </c>
      <c r="B3503" s="3" t="n">
        <v>46276</v>
      </c>
      <c r="C3503" t="n">
        <v>21</v>
      </c>
      <c r="D3503" t="inlineStr">
        <is>
          <t>Friday</t>
        </is>
      </c>
      <c r="E3503" t="n">
        <v>29</v>
      </c>
      <c r="F3503" t="b">
        <v>1</v>
      </c>
      <c r="H3503" t="b">
        <v>0</v>
      </c>
    </row>
    <row r="3504">
      <c r="A3504" t="inlineStr">
        <is>
          <t>S019</t>
        </is>
      </c>
      <c r="B3504" s="3" t="n">
        <v>46276</v>
      </c>
      <c r="C3504" t="n">
        <v>22</v>
      </c>
      <c r="D3504" t="inlineStr">
        <is>
          <t>Friday</t>
        </is>
      </c>
      <c r="E3504" t="n">
        <v>33</v>
      </c>
      <c r="F3504" t="b">
        <v>0</v>
      </c>
      <c r="H3504" t="b">
        <v>0</v>
      </c>
    </row>
    <row r="3505">
      <c r="A3505" t="inlineStr">
        <is>
          <t>S019</t>
        </is>
      </c>
      <c r="B3505" s="3" t="n">
        <v>46276</v>
      </c>
      <c r="C3505" t="n">
        <v>23</v>
      </c>
      <c r="D3505" t="inlineStr">
        <is>
          <t>Friday</t>
        </is>
      </c>
      <c r="E3505" t="n">
        <v>24</v>
      </c>
      <c r="F3505" t="b">
        <v>0</v>
      </c>
      <c r="G3505" t="inlineStr">
        <is>
          <t>Light</t>
        </is>
      </c>
      <c r="H3505" t="b">
        <v>0</v>
      </c>
    </row>
    <row r="3506">
      <c r="A3506" t="inlineStr">
        <is>
          <t>S020</t>
        </is>
      </c>
      <c r="B3506" s="3" t="n">
        <v>46276</v>
      </c>
      <c r="C3506" t="n">
        <v>8</v>
      </c>
      <c r="D3506" t="inlineStr">
        <is>
          <t>Friday</t>
        </is>
      </c>
      <c r="E3506" t="n">
        <v>11</v>
      </c>
      <c r="F3506" t="b">
        <v>0</v>
      </c>
      <c r="G3506" t="inlineStr">
        <is>
          <t>Light</t>
        </is>
      </c>
      <c r="H3506" t="b">
        <v>0</v>
      </c>
    </row>
    <row r="3507">
      <c r="A3507" t="inlineStr">
        <is>
          <t>S020</t>
        </is>
      </c>
      <c r="B3507" s="3" t="n">
        <v>46276</v>
      </c>
      <c r="C3507" t="n">
        <v>9</v>
      </c>
      <c r="D3507" t="inlineStr">
        <is>
          <t>Friday</t>
        </is>
      </c>
      <c r="E3507" t="n">
        <v>9</v>
      </c>
      <c r="F3507" t="b">
        <v>0</v>
      </c>
      <c r="G3507" t="inlineStr">
        <is>
          <t>Light</t>
        </is>
      </c>
      <c r="H3507" t="b">
        <v>0</v>
      </c>
    </row>
    <row r="3508">
      <c r="A3508" t="inlineStr">
        <is>
          <t>S020</t>
        </is>
      </c>
      <c r="B3508" s="3" t="n">
        <v>46276</v>
      </c>
      <c r="C3508" t="n">
        <v>10</v>
      </c>
      <c r="D3508" t="inlineStr">
        <is>
          <t>Friday</t>
        </is>
      </c>
      <c r="E3508" t="n">
        <v>13</v>
      </c>
      <c r="F3508" t="b">
        <v>0</v>
      </c>
      <c r="H3508" t="b">
        <v>0</v>
      </c>
    </row>
    <row r="3509">
      <c r="A3509" t="inlineStr">
        <is>
          <t>S020</t>
        </is>
      </c>
      <c r="B3509" s="3" t="n">
        <v>46276</v>
      </c>
      <c r="C3509" t="n">
        <v>11</v>
      </c>
      <c r="D3509" t="inlineStr">
        <is>
          <t>Friday</t>
        </is>
      </c>
      <c r="E3509" t="n">
        <v>16</v>
      </c>
      <c r="F3509" t="b">
        <v>0</v>
      </c>
      <c r="H3509" t="b">
        <v>0</v>
      </c>
    </row>
    <row r="3510">
      <c r="A3510" t="inlineStr">
        <is>
          <t>S020</t>
        </is>
      </c>
      <c r="B3510" s="3" t="n">
        <v>46276</v>
      </c>
      <c r="C3510" t="n">
        <v>12</v>
      </c>
      <c r="D3510" t="inlineStr">
        <is>
          <t>Friday</t>
        </is>
      </c>
      <c r="E3510" t="n">
        <v>21</v>
      </c>
      <c r="F3510" t="b">
        <v>0</v>
      </c>
      <c r="G3510" t="inlineStr">
        <is>
          <t>Light</t>
        </is>
      </c>
      <c r="H3510" t="b">
        <v>0</v>
      </c>
    </row>
    <row r="3511">
      <c r="A3511" t="inlineStr">
        <is>
          <t>S020</t>
        </is>
      </c>
      <c r="B3511" s="3" t="n">
        <v>46276</v>
      </c>
      <c r="C3511" t="n">
        <v>13</v>
      </c>
      <c r="D3511" t="inlineStr">
        <is>
          <t>Friday</t>
        </is>
      </c>
      <c r="E3511" t="n">
        <v>20</v>
      </c>
      <c r="F3511" t="b">
        <v>0</v>
      </c>
      <c r="G3511" t="inlineStr">
        <is>
          <t>Light</t>
        </is>
      </c>
      <c r="H3511" t="b">
        <v>0</v>
      </c>
    </row>
    <row r="3512">
      <c r="A3512" t="inlineStr">
        <is>
          <t>S020</t>
        </is>
      </c>
      <c r="B3512" s="3" t="n">
        <v>46276</v>
      </c>
      <c r="C3512" t="n">
        <v>14</v>
      </c>
      <c r="D3512" t="inlineStr">
        <is>
          <t>Friday</t>
        </is>
      </c>
      <c r="E3512" t="n">
        <v>5</v>
      </c>
      <c r="F3512" t="b">
        <v>0</v>
      </c>
      <c r="H3512" t="b">
        <v>0</v>
      </c>
    </row>
    <row r="3513">
      <c r="A3513" t="inlineStr">
        <is>
          <t>S020</t>
        </is>
      </c>
      <c r="B3513" s="3" t="n">
        <v>46276</v>
      </c>
      <c r="C3513" t="n">
        <v>15</v>
      </c>
      <c r="D3513" t="inlineStr">
        <is>
          <t>Friday</t>
        </is>
      </c>
      <c r="E3513" t="n">
        <v>10</v>
      </c>
      <c r="F3513" t="b">
        <v>0</v>
      </c>
      <c r="H3513" t="b">
        <v>0</v>
      </c>
    </row>
    <row r="3514">
      <c r="A3514" t="inlineStr">
        <is>
          <t>S020</t>
        </is>
      </c>
      <c r="B3514" s="3" t="n">
        <v>46276</v>
      </c>
      <c r="C3514" t="n">
        <v>16</v>
      </c>
      <c r="D3514" t="inlineStr">
        <is>
          <t>Friday</t>
        </is>
      </c>
      <c r="E3514" t="n">
        <v>16</v>
      </c>
      <c r="F3514" t="b">
        <v>0</v>
      </c>
      <c r="H3514" t="b">
        <v>0</v>
      </c>
    </row>
    <row r="3515">
      <c r="A3515" t="inlineStr">
        <is>
          <t>S020</t>
        </is>
      </c>
      <c r="B3515" s="3" t="n">
        <v>46276</v>
      </c>
      <c r="C3515" t="n">
        <v>17</v>
      </c>
      <c r="D3515" t="inlineStr">
        <is>
          <t>Friday</t>
        </is>
      </c>
      <c r="E3515" t="n">
        <v>14</v>
      </c>
      <c r="F3515" t="b">
        <v>0</v>
      </c>
      <c r="G3515" t="inlineStr">
        <is>
          <t>Heavy</t>
        </is>
      </c>
      <c r="H3515" t="b">
        <v>0</v>
      </c>
    </row>
    <row r="3516">
      <c r="A3516" t="inlineStr">
        <is>
          <t>S020</t>
        </is>
      </c>
      <c r="B3516" s="3" t="n">
        <v>46276</v>
      </c>
      <c r="C3516" t="n">
        <v>18</v>
      </c>
      <c r="D3516" t="inlineStr">
        <is>
          <t>Friday</t>
        </is>
      </c>
      <c r="E3516" t="n">
        <v>17</v>
      </c>
      <c r="F3516" t="b">
        <v>0</v>
      </c>
      <c r="H3516" t="b">
        <v>0</v>
      </c>
    </row>
    <row r="3517">
      <c r="A3517" t="inlineStr">
        <is>
          <t>S020</t>
        </is>
      </c>
      <c r="B3517" s="3" t="n">
        <v>46276</v>
      </c>
      <c r="C3517" t="n">
        <v>19</v>
      </c>
      <c r="D3517" t="inlineStr">
        <is>
          <t>Friday</t>
        </is>
      </c>
      <c r="E3517" t="n">
        <v>19</v>
      </c>
      <c r="F3517" t="b">
        <v>1</v>
      </c>
      <c r="G3517" t="inlineStr">
        <is>
          <t>Light</t>
        </is>
      </c>
      <c r="H3517" t="b">
        <v>0</v>
      </c>
    </row>
    <row r="3518">
      <c r="A3518" t="inlineStr">
        <is>
          <t>S020</t>
        </is>
      </c>
      <c r="B3518" s="3" t="n">
        <v>46276</v>
      </c>
      <c r="C3518" t="n">
        <v>20</v>
      </c>
      <c r="D3518" t="inlineStr">
        <is>
          <t>Friday</t>
        </is>
      </c>
      <c r="E3518" t="n">
        <v>25</v>
      </c>
      <c r="F3518" t="b">
        <v>1</v>
      </c>
      <c r="G3518" t="inlineStr">
        <is>
          <t>Heavy</t>
        </is>
      </c>
      <c r="H3518" t="b">
        <v>0</v>
      </c>
    </row>
    <row r="3519">
      <c r="A3519" t="inlineStr">
        <is>
          <t>S020</t>
        </is>
      </c>
      <c r="B3519" s="3" t="n">
        <v>46276</v>
      </c>
      <c r="C3519" t="n">
        <v>21</v>
      </c>
      <c r="D3519" t="inlineStr">
        <is>
          <t>Friday</t>
        </is>
      </c>
      <c r="E3519" t="n">
        <v>19</v>
      </c>
      <c r="F3519" t="b">
        <v>1</v>
      </c>
      <c r="H3519" t="b">
        <v>0</v>
      </c>
    </row>
    <row r="3520">
      <c r="A3520" t="inlineStr">
        <is>
          <t>S020</t>
        </is>
      </c>
      <c r="B3520" s="3" t="n">
        <v>46276</v>
      </c>
      <c r="C3520" t="n">
        <v>22</v>
      </c>
      <c r="D3520" t="inlineStr">
        <is>
          <t>Friday</t>
        </is>
      </c>
      <c r="E3520" t="n">
        <v>11</v>
      </c>
      <c r="F3520" t="b">
        <v>0</v>
      </c>
      <c r="H3520" t="b">
        <v>0</v>
      </c>
    </row>
    <row r="3521">
      <c r="A3521" t="inlineStr">
        <is>
          <t>S020</t>
        </is>
      </c>
      <c r="B3521" s="3" t="n">
        <v>46276</v>
      </c>
      <c r="C3521" t="n">
        <v>23</v>
      </c>
      <c r="D3521" t="inlineStr">
        <is>
          <t>Friday</t>
        </is>
      </c>
      <c r="E3521" t="n">
        <v>17</v>
      </c>
      <c r="F3521" t="b">
        <v>0</v>
      </c>
      <c r="G3521" t="inlineStr">
        <is>
          <t>Light</t>
        </is>
      </c>
      <c r="H3521" t="b">
        <v>0</v>
      </c>
    </row>
    <row r="3522">
      <c r="A3522" t="inlineStr">
        <is>
          <t>S001</t>
        </is>
      </c>
      <c r="B3522" s="3" t="n">
        <v>46277</v>
      </c>
      <c r="C3522" t="n">
        <v>8</v>
      </c>
      <c r="D3522" t="inlineStr">
        <is>
          <t>Saturday</t>
        </is>
      </c>
      <c r="E3522" t="n">
        <v>11</v>
      </c>
      <c r="F3522" t="b">
        <v>0</v>
      </c>
      <c r="G3522" t="inlineStr">
        <is>
          <t>Light</t>
        </is>
      </c>
      <c r="H3522" t="b">
        <v>0</v>
      </c>
    </row>
    <row r="3523">
      <c r="A3523" t="inlineStr">
        <is>
          <t>S001</t>
        </is>
      </c>
      <c r="B3523" s="3" t="n">
        <v>46277</v>
      </c>
      <c r="C3523" t="n">
        <v>9</v>
      </c>
      <c r="D3523" t="inlineStr">
        <is>
          <t>Saturday</t>
        </is>
      </c>
      <c r="E3523" t="n">
        <v>13</v>
      </c>
      <c r="F3523" t="b">
        <v>0</v>
      </c>
      <c r="H3523" t="b">
        <v>0</v>
      </c>
    </row>
    <row r="3524">
      <c r="A3524" t="inlineStr">
        <is>
          <t>S001</t>
        </is>
      </c>
      <c r="B3524" s="3" t="n">
        <v>46277</v>
      </c>
      <c r="C3524" t="n">
        <v>10</v>
      </c>
      <c r="D3524" t="inlineStr">
        <is>
          <t>Saturday</t>
        </is>
      </c>
      <c r="E3524" t="n">
        <v>17</v>
      </c>
      <c r="F3524" t="b">
        <v>0</v>
      </c>
      <c r="H3524" t="b">
        <v>0</v>
      </c>
    </row>
    <row r="3525">
      <c r="A3525" t="inlineStr">
        <is>
          <t>S001</t>
        </is>
      </c>
      <c r="B3525" s="3" t="n">
        <v>46277</v>
      </c>
      <c r="C3525" t="n">
        <v>11</v>
      </c>
      <c r="D3525" t="inlineStr">
        <is>
          <t>Saturday</t>
        </is>
      </c>
      <c r="E3525" t="n">
        <v>21</v>
      </c>
      <c r="F3525" t="b">
        <v>0</v>
      </c>
      <c r="H3525" t="b">
        <v>0</v>
      </c>
    </row>
    <row r="3526">
      <c r="A3526" t="inlineStr">
        <is>
          <t>S001</t>
        </is>
      </c>
      <c r="B3526" s="3" t="n">
        <v>46277</v>
      </c>
      <c r="C3526" t="n">
        <v>12</v>
      </c>
      <c r="D3526" t="inlineStr">
        <is>
          <t>Saturday</t>
        </is>
      </c>
      <c r="E3526" t="n">
        <v>27</v>
      </c>
      <c r="F3526" t="b">
        <v>0</v>
      </c>
      <c r="H3526" t="b">
        <v>1</v>
      </c>
    </row>
    <row r="3527">
      <c r="A3527" t="inlineStr">
        <is>
          <t>S001</t>
        </is>
      </c>
      <c r="B3527" s="3" t="n">
        <v>46277</v>
      </c>
      <c r="C3527" t="n">
        <v>13</v>
      </c>
      <c r="D3527" t="inlineStr">
        <is>
          <t>Saturday</t>
        </is>
      </c>
      <c r="E3527" t="n">
        <v>13</v>
      </c>
      <c r="F3527" t="b">
        <v>0</v>
      </c>
      <c r="G3527" t="inlineStr">
        <is>
          <t>Light</t>
        </is>
      </c>
      <c r="H3527" t="b">
        <v>0</v>
      </c>
    </row>
    <row r="3528">
      <c r="A3528" t="inlineStr">
        <is>
          <t>S001</t>
        </is>
      </c>
      <c r="B3528" s="3" t="n">
        <v>46277</v>
      </c>
      <c r="C3528" t="n">
        <v>14</v>
      </c>
      <c r="D3528" t="inlineStr">
        <is>
          <t>Saturday</t>
        </is>
      </c>
      <c r="E3528" t="n">
        <v>12</v>
      </c>
      <c r="F3528" t="b">
        <v>0</v>
      </c>
      <c r="H3528" t="b">
        <v>0</v>
      </c>
    </row>
    <row r="3529">
      <c r="A3529" t="inlineStr">
        <is>
          <t>S001</t>
        </is>
      </c>
      <c r="B3529" s="3" t="n">
        <v>46277</v>
      </c>
      <c r="C3529" t="n">
        <v>15</v>
      </c>
      <c r="D3529" t="inlineStr">
        <is>
          <t>Saturday</t>
        </is>
      </c>
      <c r="E3529" t="n">
        <v>7</v>
      </c>
      <c r="F3529" t="b">
        <v>0</v>
      </c>
      <c r="H3529" t="b">
        <v>0</v>
      </c>
    </row>
    <row r="3530">
      <c r="A3530" t="inlineStr">
        <is>
          <t>S001</t>
        </is>
      </c>
      <c r="B3530" s="3" t="n">
        <v>46277</v>
      </c>
      <c r="C3530" t="n">
        <v>16</v>
      </c>
      <c r="D3530" t="inlineStr">
        <is>
          <t>Saturday</t>
        </is>
      </c>
      <c r="E3530" t="n">
        <v>10</v>
      </c>
      <c r="F3530" t="b">
        <v>0</v>
      </c>
      <c r="G3530" t="inlineStr">
        <is>
          <t>Light</t>
        </is>
      </c>
      <c r="H3530" t="b">
        <v>0</v>
      </c>
    </row>
    <row r="3531">
      <c r="A3531" t="inlineStr">
        <is>
          <t>S001</t>
        </is>
      </c>
      <c r="B3531" s="3" t="n">
        <v>46277</v>
      </c>
      <c r="C3531" t="n">
        <v>17</v>
      </c>
      <c r="D3531" t="inlineStr">
        <is>
          <t>Saturday</t>
        </is>
      </c>
      <c r="E3531" t="n">
        <v>7</v>
      </c>
      <c r="F3531" t="b">
        <v>0</v>
      </c>
      <c r="H3531" t="b">
        <v>0</v>
      </c>
    </row>
    <row r="3532">
      <c r="A3532" t="inlineStr">
        <is>
          <t>S001</t>
        </is>
      </c>
      <c r="B3532" s="3" t="n">
        <v>46277</v>
      </c>
      <c r="C3532" t="n">
        <v>18</v>
      </c>
      <c r="D3532" t="inlineStr">
        <is>
          <t>Saturday</t>
        </is>
      </c>
      <c r="E3532" t="n">
        <v>18</v>
      </c>
      <c r="F3532" t="b">
        <v>0</v>
      </c>
      <c r="G3532" t="inlineStr">
        <is>
          <t>Light</t>
        </is>
      </c>
      <c r="H3532" t="b">
        <v>0</v>
      </c>
    </row>
    <row r="3533">
      <c r="A3533" t="inlineStr">
        <is>
          <t>S001</t>
        </is>
      </c>
      <c r="B3533" s="3" t="n">
        <v>46277</v>
      </c>
      <c r="C3533" t="n">
        <v>19</v>
      </c>
      <c r="D3533" t="inlineStr">
        <is>
          <t>Saturday</t>
        </is>
      </c>
      <c r="E3533" t="n">
        <v>23</v>
      </c>
      <c r="F3533" t="b">
        <v>1</v>
      </c>
      <c r="H3533" t="b">
        <v>1</v>
      </c>
    </row>
    <row r="3534">
      <c r="A3534" t="inlineStr">
        <is>
          <t>S001</t>
        </is>
      </c>
      <c r="B3534" s="3" t="n">
        <v>46277</v>
      </c>
      <c r="C3534" t="n">
        <v>20</v>
      </c>
      <c r="D3534" t="inlineStr">
        <is>
          <t>Saturday</t>
        </is>
      </c>
      <c r="E3534" t="n">
        <v>19</v>
      </c>
      <c r="F3534" t="b">
        <v>1</v>
      </c>
      <c r="G3534" t="inlineStr">
        <is>
          <t>Light</t>
        </is>
      </c>
      <c r="H3534" t="b">
        <v>0</v>
      </c>
    </row>
    <row r="3535">
      <c r="A3535" t="inlineStr">
        <is>
          <t>S001</t>
        </is>
      </c>
      <c r="B3535" s="3" t="n">
        <v>46277</v>
      </c>
      <c r="C3535" t="n">
        <v>21</v>
      </c>
      <c r="D3535" t="inlineStr">
        <is>
          <t>Saturday</t>
        </is>
      </c>
      <c r="E3535" t="n">
        <v>26</v>
      </c>
      <c r="F3535" t="b">
        <v>1</v>
      </c>
      <c r="H3535" t="b">
        <v>0</v>
      </c>
    </row>
    <row r="3536">
      <c r="A3536" t="inlineStr">
        <is>
          <t>S001</t>
        </is>
      </c>
      <c r="B3536" s="3" t="n">
        <v>46277</v>
      </c>
      <c r="C3536" t="n">
        <v>22</v>
      </c>
      <c r="D3536" t="inlineStr">
        <is>
          <t>Saturday</t>
        </is>
      </c>
      <c r="E3536" t="n">
        <v>17</v>
      </c>
      <c r="F3536" t="b">
        <v>0</v>
      </c>
      <c r="H3536" t="b">
        <v>0</v>
      </c>
    </row>
    <row r="3537">
      <c r="A3537" t="inlineStr">
        <is>
          <t>S001</t>
        </is>
      </c>
      <c r="B3537" s="3" t="n">
        <v>46277</v>
      </c>
      <c r="C3537" t="n">
        <v>23</v>
      </c>
      <c r="D3537" t="inlineStr">
        <is>
          <t>Saturday</t>
        </is>
      </c>
      <c r="E3537" t="n">
        <v>14</v>
      </c>
      <c r="F3537" t="b">
        <v>0</v>
      </c>
      <c r="G3537" t="inlineStr">
        <is>
          <t>Light</t>
        </is>
      </c>
      <c r="H3537" t="b">
        <v>0</v>
      </c>
    </row>
    <row r="3538">
      <c r="A3538" t="inlineStr">
        <is>
          <t>S002</t>
        </is>
      </c>
      <c r="B3538" s="3" t="n">
        <v>46277</v>
      </c>
      <c r="C3538" t="n">
        <v>8</v>
      </c>
      <c r="D3538" t="inlineStr">
        <is>
          <t>Saturday</t>
        </is>
      </c>
      <c r="E3538" t="n">
        <v>27</v>
      </c>
      <c r="F3538" t="b">
        <v>0</v>
      </c>
      <c r="G3538" t="inlineStr">
        <is>
          <t>Heavy</t>
        </is>
      </c>
      <c r="H3538" t="b">
        <v>0</v>
      </c>
    </row>
    <row r="3539">
      <c r="A3539" t="inlineStr">
        <is>
          <t>S002</t>
        </is>
      </c>
      <c r="B3539" s="3" t="n">
        <v>46277</v>
      </c>
      <c r="C3539" t="n">
        <v>9</v>
      </c>
      <c r="D3539" t="inlineStr">
        <is>
          <t>Saturday</t>
        </is>
      </c>
      <c r="E3539" t="n">
        <v>18</v>
      </c>
      <c r="F3539" t="b">
        <v>0</v>
      </c>
      <c r="H3539" t="b">
        <v>0</v>
      </c>
    </row>
    <row r="3540">
      <c r="A3540" t="inlineStr">
        <is>
          <t>S002</t>
        </is>
      </c>
      <c r="B3540" s="3" t="n">
        <v>46277</v>
      </c>
      <c r="C3540" t="n">
        <v>10</v>
      </c>
      <c r="D3540" t="inlineStr">
        <is>
          <t>Saturday</t>
        </is>
      </c>
      <c r="E3540" t="n">
        <v>27</v>
      </c>
      <c r="F3540" t="b">
        <v>0</v>
      </c>
      <c r="G3540" t="inlineStr">
        <is>
          <t>Light</t>
        </is>
      </c>
      <c r="H3540" t="b">
        <v>0</v>
      </c>
    </row>
    <row r="3541">
      <c r="A3541" t="inlineStr">
        <is>
          <t>S002</t>
        </is>
      </c>
      <c r="B3541" s="3" t="n">
        <v>46277</v>
      </c>
      <c r="C3541" t="n">
        <v>11</v>
      </c>
      <c r="D3541" t="inlineStr">
        <is>
          <t>Saturday</t>
        </is>
      </c>
      <c r="E3541" t="n">
        <v>29</v>
      </c>
      <c r="F3541" t="b">
        <v>0</v>
      </c>
      <c r="H3541" t="b">
        <v>0</v>
      </c>
    </row>
    <row r="3542">
      <c r="A3542" t="inlineStr">
        <is>
          <t>S002</t>
        </is>
      </c>
      <c r="B3542" s="3" t="n">
        <v>46277</v>
      </c>
      <c r="C3542" t="n">
        <v>12</v>
      </c>
      <c r="D3542" t="inlineStr">
        <is>
          <t>Saturday</t>
        </is>
      </c>
      <c r="E3542" t="n">
        <v>37</v>
      </c>
      <c r="F3542" t="b">
        <v>0</v>
      </c>
      <c r="G3542" t="inlineStr">
        <is>
          <t>Light</t>
        </is>
      </c>
      <c r="H3542" t="b">
        <v>0</v>
      </c>
    </row>
    <row r="3543">
      <c r="A3543" t="inlineStr">
        <is>
          <t>S002</t>
        </is>
      </c>
      <c r="B3543" s="3" t="n">
        <v>46277</v>
      </c>
      <c r="C3543" t="n">
        <v>13</v>
      </c>
      <c r="D3543" t="inlineStr">
        <is>
          <t>Saturday</t>
        </is>
      </c>
      <c r="E3543" t="n">
        <v>39</v>
      </c>
      <c r="F3543" t="b">
        <v>0</v>
      </c>
      <c r="H3543" t="b">
        <v>0</v>
      </c>
    </row>
    <row r="3544">
      <c r="A3544" t="inlineStr">
        <is>
          <t>S002</t>
        </is>
      </c>
      <c r="B3544" s="3" t="n">
        <v>46277</v>
      </c>
      <c r="C3544" t="n">
        <v>14</v>
      </c>
      <c r="D3544" t="inlineStr">
        <is>
          <t>Saturday</t>
        </is>
      </c>
      <c r="E3544" t="n">
        <v>31</v>
      </c>
      <c r="F3544" t="b">
        <v>0</v>
      </c>
      <c r="H3544" t="b">
        <v>0</v>
      </c>
    </row>
    <row r="3545">
      <c r="A3545" t="inlineStr">
        <is>
          <t>S002</t>
        </is>
      </c>
      <c r="B3545" s="3" t="n">
        <v>46277</v>
      </c>
      <c r="C3545" t="n">
        <v>15</v>
      </c>
      <c r="D3545" t="inlineStr">
        <is>
          <t>Saturday</t>
        </is>
      </c>
      <c r="E3545" t="n">
        <v>28</v>
      </c>
      <c r="F3545" t="b">
        <v>0</v>
      </c>
      <c r="H3545" t="b">
        <v>0</v>
      </c>
    </row>
    <row r="3546">
      <c r="A3546" t="inlineStr">
        <is>
          <t>S002</t>
        </is>
      </c>
      <c r="B3546" s="3" t="n">
        <v>46277</v>
      </c>
      <c r="C3546" t="n">
        <v>16</v>
      </c>
      <c r="D3546" t="inlineStr">
        <is>
          <t>Saturday</t>
        </is>
      </c>
      <c r="E3546" t="n">
        <v>35</v>
      </c>
      <c r="F3546" t="b">
        <v>0</v>
      </c>
      <c r="H3546" t="b">
        <v>0</v>
      </c>
    </row>
    <row r="3547">
      <c r="A3547" t="inlineStr">
        <is>
          <t>S002</t>
        </is>
      </c>
      <c r="B3547" s="3" t="n">
        <v>46277</v>
      </c>
      <c r="C3547" t="n">
        <v>17</v>
      </c>
      <c r="D3547" t="inlineStr">
        <is>
          <t>Saturday</t>
        </is>
      </c>
      <c r="E3547" t="n">
        <v>33</v>
      </c>
      <c r="F3547" t="b">
        <v>0</v>
      </c>
      <c r="H3547" t="b">
        <v>0</v>
      </c>
    </row>
    <row r="3548">
      <c r="A3548" t="inlineStr">
        <is>
          <t>S002</t>
        </is>
      </c>
      <c r="B3548" s="3" t="n">
        <v>46277</v>
      </c>
      <c r="C3548" t="n">
        <v>18</v>
      </c>
      <c r="D3548" t="inlineStr">
        <is>
          <t>Saturday</t>
        </is>
      </c>
      <c r="E3548" t="n">
        <v>38</v>
      </c>
      <c r="F3548" t="b">
        <v>0</v>
      </c>
      <c r="H3548" t="b">
        <v>0</v>
      </c>
    </row>
    <row r="3549">
      <c r="A3549" t="inlineStr">
        <is>
          <t>S002</t>
        </is>
      </c>
      <c r="B3549" s="3" t="n">
        <v>46277</v>
      </c>
      <c r="C3549" t="n">
        <v>19</v>
      </c>
      <c r="D3549" t="inlineStr">
        <is>
          <t>Saturday</t>
        </is>
      </c>
      <c r="E3549" t="n">
        <v>55</v>
      </c>
      <c r="F3549" t="b">
        <v>1</v>
      </c>
      <c r="H3549" t="b">
        <v>0</v>
      </c>
    </row>
    <row r="3550">
      <c r="A3550" t="inlineStr">
        <is>
          <t>S002</t>
        </is>
      </c>
      <c r="B3550" s="3" t="n">
        <v>46277</v>
      </c>
      <c r="C3550" t="n">
        <v>20</v>
      </c>
      <c r="D3550" t="inlineStr">
        <is>
          <t>Saturday</t>
        </is>
      </c>
      <c r="E3550" t="n">
        <v>60</v>
      </c>
      <c r="F3550" t="b">
        <v>1</v>
      </c>
      <c r="G3550" t="inlineStr">
        <is>
          <t>Light</t>
        </is>
      </c>
      <c r="H3550" t="b">
        <v>0</v>
      </c>
    </row>
    <row r="3551">
      <c r="A3551" t="inlineStr">
        <is>
          <t>S002</t>
        </is>
      </c>
      <c r="B3551" s="3" t="n">
        <v>46277</v>
      </c>
      <c r="C3551" t="n">
        <v>21</v>
      </c>
      <c r="D3551" t="inlineStr">
        <is>
          <t>Saturday</t>
        </is>
      </c>
      <c r="E3551" t="n">
        <v>64</v>
      </c>
      <c r="F3551" t="b">
        <v>1</v>
      </c>
      <c r="H3551" t="b">
        <v>0</v>
      </c>
    </row>
    <row r="3552">
      <c r="A3552" t="inlineStr">
        <is>
          <t>S002</t>
        </is>
      </c>
      <c r="B3552" s="3" t="n">
        <v>46277</v>
      </c>
      <c r="C3552" t="n">
        <v>22</v>
      </c>
      <c r="D3552" t="inlineStr">
        <is>
          <t>Saturday</t>
        </is>
      </c>
      <c r="E3552" t="n">
        <v>43</v>
      </c>
      <c r="F3552" t="b">
        <v>0</v>
      </c>
      <c r="H3552" t="b">
        <v>0</v>
      </c>
    </row>
    <row r="3553">
      <c r="A3553" t="inlineStr">
        <is>
          <t>S002</t>
        </is>
      </c>
      <c r="B3553" s="3" t="n">
        <v>46277</v>
      </c>
      <c r="C3553" t="n">
        <v>23</v>
      </c>
      <c r="D3553" t="inlineStr">
        <is>
          <t>Saturday</t>
        </is>
      </c>
      <c r="E3553" t="n">
        <v>39</v>
      </c>
      <c r="F3553" t="b">
        <v>0</v>
      </c>
      <c r="H3553" t="b">
        <v>1</v>
      </c>
    </row>
    <row r="3554">
      <c r="A3554" t="inlineStr">
        <is>
          <t>S003</t>
        </is>
      </c>
      <c r="B3554" s="3" t="n">
        <v>46277</v>
      </c>
      <c r="C3554" t="n">
        <v>8</v>
      </c>
      <c r="D3554" t="inlineStr">
        <is>
          <t>Saturday</t>
        </is>
      </c>
      <c r="E3554" t="n">
        <v>35</v>
      </c>
      <c r="F3554" t="b">
        <v>0</v>
      </c>
      <c r="G3554" t="inlineStr">
        <is>
          <t>Light</t>
        </is>
      </c>
      <c r="H3554" t="b">
        <v>0</v>
      </c>
    </row>
    <row r="3555">
      <c r="A3555" t="inlineStr">
        <is>
          <t>S003</t>
        </is>
      </c>
      <c r="B3555" s="3" t="n">
        <v>46277</v>
      </c>
      <c r="C3555" t="n">
        <v>9</v>
      </c>
      <c r="D3555" t="inlineStr">
        <is>
          <t>Saturday</t>
        </is>
      </c>
      <c r="E3555" t="n">
        <v>34</v>
      </c>
      <c r="F3555" t="b">
        <v>0</v>
      </c>
      <c r="H3555" t="b">
        <v>0</v>
      </c>
    </row>
    <row r="3556">
      <c r="A3556" t="inlineStr">
        <is>
          <t>S003</t>
        </is>
      </c>
      <c r="B3556" s="3" t="n">
        <v>46277</v>
      </c>
      <c r="C3556" t="n">
        <v>10</v>
      </c>
      <c r="D3556" t="inlineStr">
        <is>
          <t>Saturday</t>
        </is>
      </c>
      <c r="E3556" t="n">
        <v>30</v>
      </c>
      <c r="F3556" t="b">
        <v>0</v>
      </c>
      <c r="G3556" t="inlineStr">
        <is>
          <t>Light</t>
        </is>
      </c>
      <c r="H3556" t="b">
        <v>0</v>
      </c>
    </row>
    <row r="3557">
      <c r="A3557" t="inlineStr">
        <is>
          <t>S003</t>
        </is>
      </c>
      <c r="B3557" s="3" t="n">
        <v>46277</v>
      </c>
      <c r="C3557" t="n">
        <v>11</v>
      </c>
      <c r="D3557" t="inlineStr">
        <is>
          <t>Saturday</t>
        </is>
      </c>
      <c r="E3557" t="n">
        <v>54</v>
      </c>
      <c r="F3557" t="b">
        <v>0</v>
      </c>
      <c r="H3557" t="b">
        <v>0</v>
      </c>
    </row>
    <row r="3558">
      <c r="A3558" t="inlineStr">
        <is>
          <t>S003</t>
        </is>
      </c>
      <c r="B3558" s="3" t="n">
        <v>46277</v>
      </c>
      <c r="C3558" t="n">
        <v>12</v>
      </c>
      <c r="D3558" t="inlineStr">
        <is>
          <t>Saturday</t>
        </is>
      </c>
      <c r="E3558" t="n">
        <v>52</v>
      </c>
      <c r="F3558" t="b">
        <v>0</v>
      </c>
      <c r="H3558" t="b">
        <v>0</v>
      </c>
    </row>
    <row r="3559">
      <c r="A3559" t="inlineStr">
        <is>
          <t>S003</t>
        </is>
      </c>
      <c r="B3559" s="3" t="n">
        <v>46277</v>
      </c>
      <c r="C3559" t="n">
        <v>13</v>
      </c>
      <c r="D3559" t="inlineStr">
        <is>
          <t>Saturday</t>
        </is>
      </c>
      <c r="E3559" t="n">
        <v>39</v>
      </c>
      <c r="F3559" t="b">
        <v>0</v>
      </c>
      <c r="H3559" t="b">
        <v>0</v>
      </c>
    </row>
    <row r="3560">
      <c r="A3560" t="inlineStr">
        <is>
          <t>S003</t>
        </is>
      </c>
      <c r="B3560" s="3" t="n">
        <v>46277</v>
      </c>
      <c r="C3560" t="n">
        <v>14</v>
      </c>
      <c r="D3560" t="inlineStr">
        <is>
          <t>Saturday</t>
        </is>
      </c>
      <c r="E3560" t="n">
        <v>33</v>
      </c>
      <c r="F3560" t="b">
        <v>0</v>
      </c>
      <c r="G3560" t="inlineStr">
        <is>
          <t>Light</t>
        </is>
      </c>
      <c r="H3560" t="b">
        <v>0</v>
      </c>
    </row>
    <row r="3561">
      <c r="A3561" t="inlineStr">
        <is>
          <t>S003</t>
        </is>
      </c>
      <c r="B3561" s="3" t="n">
        <v>46277</v>
      </c>
      <c r="C3561" t="n">
        <v>15</v>
      </c>
      <c r="D3561" t="inlineStr">
        <is>
          <t>Saturday</t>
        </is>
      </c>
      <c r="E3561" t="n">
        <v>36</v>
      </c>
      <c r="F3561" t="b">
        <v>0</v>
      </c>
      <c r="G3561" t="inlineStr">
        <is>
          <t>Light</t>
        </is>
      </c>
      <c r="H3561" t="b">
        <v>0</v>
      </c>
    </row>
    <row r="3562">
      <c r="A3562" t="inlineStr">
        <is>
          <t>S003</t>
        </is>
      </c>
      <c r="B3562" s="3" t="n">
        <v>46277</v>
      </c>
      <c r="C3562" t="n">
        <v>16</v>
      </c>
      <c r="D3562" t="inlineStr">
        <is>
          <t>Saturday</t>
        </is>
      </c>
      <c r="E3562" t="n">
        <v>40</v>
      </c>
      <c r="F3562" t="b">
        <v>0</v>
      </c>
      <c r="H3562" t="b">
        <v>0</v>
      </c>
    </row>
    <row r="3563">
      <c r="A3563" t="inlineStr">
        <is>
          <t>S003</t>
        </is>
      </c>
      <c r="B3563" s="3" t="n">
        <v>46277</v>
      </c>
      <c r="C3563" t="n">
        <v>17</v>
      </c>
      <c r="D3563" t="inlineStr">
        <is>
          <t>Saturday</t>
        </is>
      </c>
      <c r="E3563" t="n">
        <v>40</v>
      </c>
      <c r="F3563" t="b">
        <v>0</v>
      </c>
      <c r="H3563" t="b">
        <v>0</v>
      </c>
    </row>
    <row r="3564">
      <c r="A3564" t="inlineStr">
        <is>
          <t>S003</t>
        </is>
      </c>
      <c r="B3564" s="3" t="n">
        <v>46277</v>
      </c>
      <c r="C3564" t="n">
        <v>18</v>
      </c>
      <c r="D3564" t="inlineStr">
        <is>
          <t>Saturday</t>
        </is>
      </c>
      <c r="E3564" t="n">
        <v>42</v>
      </c>
      <c r="F3564" t="b">
        <v>0</v>
      </c>
      <c r="H3564" t="b">
        <v>0</v>
      </c>
    </row>
    <row r="3565">
      <c r="A3565" t="inlineStr">
        <is>
          <t>S003</t>
        </is>
      </c>
      <c r="B3565" s="3" t="n">
        <v>46277</v>
      </c>
      <c r="C3565" t="n">
        <v>19</v>
      </c>
      <c r="D3565" t="inlineStr">
        <is>
          <t>Saturday</t>
        </is>
      </c>
      <c r="E3565" t="n">
        <v>79</v>
      </c>
      <c r="F3565" t="b">
        <v>1</v>
      </c>
      <c r="H3565" t="b">
        <v>0</v>
      </c>
    </row>
    <row r="3566">
      <c r="A3566" t="inlineStr">
        <is>
          <t>S003</t>
        </is>
      </c>
      <c r="B3566" s="3" t="n">
        <v>46277</v>
      </c>
      <c r="C3566" t="n">
        <v>20</v>
      </c>
      <c r="D3566" t="inlineStr">
        <is>
          <t>Saturday</t>
        </is>
      </c>
      <c r="E3566" t="n">
        <v>64</v>
      </c>
      <c r="F3566" t="b">
        <v>1</v>
      </c>
      <c r="H3566" t="b">
        <v>0</v>
      </c>
    </row>
    <row r="3567">
      <c r="A3567" t="inlineStr">
        <is>
          <t>S003</t>
        </is>
      </c>
      <c r="B3567" s="3" t="n">
        <v>46277</v>
      </c>
      <c r="C3567" t="n">
        <v>21</v>
      </c>
      <c r="D3567" t="inlineStr">
        <is>
          <t>Saturday</t>
        </is>
      </c>
      <c r="E3567" t="n">
        <v>52</v>
      </c>
      <c r="F3567" t="b">
        <v>1</v>
      </c>
      <c r="H3567" t="b">
        <v>0</v>
      </c>
    </row>
    <row r="3568">
      <c r="A3568" t="inlineStr">
        <is>
          <t>S003</t>
        </is>
      </c>
      <c r="B3568" s="3" t="n">
        <v>46277</v>
      </c>
      <c r="C3568" t="n">
        <v>22</v>
      </c>
      <c r="D3568" t="inlineStr">
        <is>
          <t>Saturday</t>
        </is>
      </c>
      <c r="E3568" t="n">
        <v>41</v>
      </c>
      <c r="F3568" t="b">
        <v>0</v>
      </c>
      <c r="H3568" t="b">
        <v>0</v>
      </c>
    </row>
    <row r="3569">
      <c r="A3569" t="inlineStr">
        <is>
          <t>S003</t>
        </is>
      </c>
      <c r="B3569" s="3" t="n">
        <v>46277</v>
      </c>
      <c r="C3569" t="n">
        <v>23</v>
      </c>
      <c r="D3569" t="inlineStr">
        <is>
          <t>Saturday</t>
        </is>
      </c>
      <c r="E3569" t="n">
        <v>43</v>
      </c>
      <c r="F3569" t="b">
        <v>0</v>
      </c>
      <c r="G3569" t="inlineStr">
        <is>
          <t>Light</t>
        </is>
      </c>
      <c r="H3569" t="b">
        <v>0</v>
      </c>
    </row>
    <row r="3570">
      <c r="A3570" t="inlineStr">
        <is>
          <t>S004</t>
        </is>
      </c>
      <c r="B3570" s="3" t="n">
        <v>46277</v>
      </c>
      <c r="C3570" t="n">
        <v>8</v>
      </c>
      <c r="D3570" t="inlineStr">
        <is>
          <t>Saturday</t>
        </is>
      </c>
      <c r="E3570" t="n">
        <v>43</v>
      </c>
      <c r="F3570" t="b">
        <v>0</v>
      </c>
      <c r="G3570" t="inlineStr">
        <is>
          <t>Heavy</t>
        </is>
      </c>
      <c r="H3570" t="b">
        <v>0</v>
      </c>
    </row>
    <row r="3571">
      <c r="A3571" t="inlineStr">
        <is>
          <t>S004</t>
        </is>
      </c>
      <c r="B3571" s="3" t="n">
        <v>46277</v>
      </c>
      <c r="C3571" t="n">
        <v>9</v>
      </c>
      <c r="D3571" t="inlineStr">
        <is>
          <t>Saturday</t>
        </is>
      </c>
      <c r="E3571" t="n">
        <v>24</v>
      </c>
      <c r="F3571" t="b">
        <v>0</v>
      </c>
      <c r="H3571" t="b">
        <v>0</v>
      </c>
    </row>
    <row r="3572">
      <c r="A3572" t="inlineStr">
        <is>
          <t>S004</t>
        </is>
      </c>
      <c r="B3572" s="3" t="n">
        <v>46277</v>
      </c>
      <c r="C3572" t="n">
        <v>10</v>
      </c>
      <c r="D3572" t="inlineStr">
        <is>
          <t>Saturday</t>
        </is>
      </c>
      <c r="E3572" t="n">
        <v>37</v>
      </c>
      <c r="F3572" t="b">
        <v>0</v>
      </c>
      <c r="H3572" t="b">
        <v>0</v>
      </c>
    </row>
    <row r="3573">
      <c r="A3573" t="inlineStr">
        <is>
          <t>S004</t>
        </is>
      </c>
      <c r="B3573" s="3" t="n">
        <v>46277</v>
      </c>
      <c r="C3573" t="n">
        <v>11</v>
      </c>
      <c r="D3573" t="inlineStr">
        <is>
          <t>Saturday</t>
        </is>
      </c>
      <c r="E3573" t="n">
        <v>52</v>
      </c>
      <c r="F3573" t="b">
        <v>0</v>
      </c>
      <c r="H3573" t="b">
        <v>0</v>
      </c>
    </row>
    <row r="3574">
      <c r="A3574" t="inlineStr">
        <is>
          <t>S004</t>
        </is>
      </c>
      <c r="B3574" s="3" t="n">
        <v>46277</v>
      </c>
      <c r="C3574" t="n">
        <v>12</v>
      </c>
      <c r="D3574" t="inlineStr">
        <is>
          <t>Saturday</t>
        </is>
      </c>
      <c r="E3574" t="n">
        <v>44</v>
      </c>
      <c r="F3574" t="b">
        <v>0</v>
      </c>
      <c r="G3574" t="inlineStr">
        <is>
          <t>Heavy</t>
        </is>
      </c>
      <c r="H3574" t="b">
        <v>0</v>
      </c>
    </row>
    <row r="3575">
      <c r="A3575" t="inlineStr">
        <is>
          <t>S004</t>
        </is>
      </c>
      <c r="B3575" s="3" t="n">
        <v>46277</v>
      </c>
      <c r="C3575" t="n">
        <v>13</v>
      </c>
      <c r="D3575" t="inlineStr">
        <is>
          <t>Saturday</t>
        </is>
      </c>
      <c r="E3575" t="n">
        <v>33</v>
      </c>
      <c r="F3575" t="b">
        <v>0</v>
      </c>
      <c r="H3575" t="b">
        <v>0</v>
      </c>
    </row>
    <row r="3576">
      <c r="A3576" t="inlineStr">
        <is>
          <t>S004</t>
        </is>
      </c>
      <c r="B3576" s="3" t="n">
        <v>46277</v>
      </c>
      <c r="C3576" t="n">
        <v>14</v>
      </c>
      <c r="D3576" t="inlineStr">
        <is>
          <t>Saturday</t>
        </is>
      </c>
      <c r="E3576" t="n">
        <v>26</v>
      </c>
      <c r="F3576" t="b">
        <v>0</v>
      </c>
      <c r="G3576" t="inlineStr">
        <is>
          <t>Heavy</t>
        </is>
      </c>
      <c r="H3576" t="b">
        <v>0</v>
      </c>
    </row>
    <row r="3577">
      <c r="A3577" t="inlineStr">
        <is>
          <t>S004</t>
        </is>
      </c>
      <c r="B3577" s="3" t="n">
        <v>46277</v>
      </c>
      <c r="C3577" t="n">
        <v>15</v>
      </c>
      <c r="D3577" t="inlineStr">
        <is>
          <t>Saturday</t>
        </is>
      </c>
      <c r="E3577" t="n">
        <v>43</v>
      </c>
      <c r="F3577" t="b">
        <v>0</v>
      </c>
      <c r="H3577" t="b">
        <v>0</v>
      </c>
    </row>
    <row r="3578">
      <c r="A3578" t="inlineStr">
        <is>
          <t>S004</t>
        </is>
      </c>
      <c r="B3578" s="3" t="n">
        <v>46277</v>
      </c>
      <c r="C3578" t="n">
        <v>16</v>
      </c>
      <c r="D3578" t="inlineStr">
        <is>
          <t>Saturday</t>
        </is>
      </c>
      <c r="E3578" t="n">
        <v>50</v>
      </c>
      <c r="F3578" t="b">
        <v>0</v>
      </c>
      <c r="G3578" t="inlineStr">
        <is>
          <t>Light</t>
        </is>
      </c>
      <c r="H3578" t="b">
        <v>0</v>
      </c>
    </row>
    <row r="3579">
      <c r="A3579" t="inlineStr">
        <is>
          <t>S004</t>
        </is>
      </c>
      <c r="B3579" s="3" t="n">
        <v>46277</v>
      </c>
      <c r="C3579" t="n">
        <v>17</v>
      </c>
      <c r="D3579" t="inlineStr">
        <is>
          <t>Saturday</t>
        </is>
      </c>
      <c r="E3579" t="n">
        <v>54</v>
      </c>
      <c r="F3579" t="b">
        <v>0</v>
      </c>
      <c r="H3579" t="b">
        <v>0</v>
      </c>
    </row>
    <row r="3580">
      <c r="A3580" t="inlineStr">
        <is>
          <t>S004</t>
        </is>
      </c>
      <c r="B3580" s="3" t="n">
        <v>46277</v>
      </c>
      <c r="C3580" t="n">
        <v>18</v>
      </c>
      <c r="D3580" t="inlineStr">
        <is>
          <t>Saturday</t>
        </is>
      </c>
      <c r="E3580" t="n">
        <v>34</v>
      </c>
      <c r="F3580" t="b">
        <v>0</v>
      </c>
      <c r="H3580" t="b">
        <v>0</v>
      </c>
    </row>
    <row r="3581">
      <c r="A3581" t="inlineStr">
        <is>
          <t>S004</t>
        </is>
      </c>
      <c r="B3581" s="3" t="n">
        <v>46277</v>
      </c>
      <c r="C3581" t="n">
        <v>19</v>
      </c>
      <c r="D3581" t="inlineStr">
        <is>
          <t>Saturday</t>
        </is>
      </c>
      <c r="E3581" t="n">
        <v>74</v>
      </c>
      <c r="F3581" t="b">
        <v>1</v>
      </c>
      <c r="H3581" t="b">
        <v>0</v>
      </c>
    </row>
    <row r="3582">
      <c r="A3582" t="inlineStr">
        <is>
          <t>S004</t>
        </is>
      </c>
      <c r="B3582" s="3" t="n">
        <v>46277</v>
      </c>
      <c r="C3582" t="n">
        <v>20</v>
      </c>
      <c r="D3582" t="inlineStr">
        <is>
          <t>Saturday</t>
        </is>
      </c>
      <c r="E3582" t="n">
        <v>89</v>
      </c>
      <c r="F3582" t="b">
        <v>1</v>
      </c>
      <c r="H3582" t="b">
        <v>0</v>
      </c>
    </row>
    <row r="3583">
      <c r="A3583" t="inlineStr">
        <is>
          <t>S004</t>
        </is>
      </c>
      <c r="B3583" s="3" t="n">
        <v>46277</v>
      </c>
      <c r="C3583" t="n">
        <v>21</v>
      </c>
      <c r="D3583" t="inlineStr">
        <is>
          <t>Saturday</t>
        </is>
      </c>
      <c r="E3583" t="n">
        <v>79</v>
      </c>
      <c r="F3583" t="b">
        <v>1</v>
      </c>
      <c r="G3583" t="inlineStr">
        <is>
          <t>Light</t>
        </is>
      </c>
      <c r="H3583" t="b">
        <v>0</v>
      </c>
    </row>
    <row r="3584">
      <c r="A3584" t="inlineStr">
        <is>
          <t>S004</t>
        </is>
      </c>
      <c r="B3584" s="3" t="n">
        <v>46277</v>
      </c>
      <c r="C3584" t="n">
        <v>22</v>
      </c>
      <c r="D3584" t="inlineStr">
        <is>
          <t>Saturday</t>
        </is>
      </c>
      <c r="E3584" t="n">
        <v>50</v>
      </c>
      <c r="F3584" t="b">
        <v>0</v>
      </c>
      <c r="H3584" t="b">
        <v>0</v>
      </c>
    </row>
    <row r="3585">
      <c r="A3585" t="inlineStr">
        <is>
          <t>S004</t>
        </is>
      </c>
      <c r="B3585" s="3" t="n">
        <v>46277</v>
      </c>
      <c r="C3585" t="n">
        <v>23</v>
      </c>
      <c r="D3585" t="inlineStr">
        <is>
          <t>Saturday</t>
        </is>
      </c>
      <c r="E3585" t="n">
        <v>37</v>
      </c>
      <c r="F3585" t="b">
        <v>0</v>
      </c>
      <c r="H3585" t="b">
        <v>0</v>
      </c>
    </row>
    <row r="3586">
      <c r="A3586" t="inlineStr">
        <is>
          <t>S005</t>
        </is>
      </c>
      <c r="B3586" s="3" t="n">
        <v>46277</v>
      </c>
      <c r="C3586" t="n">
        <v>8</v>
      </c>
      <c r="D3586" t="inlineStr">
        <is>
          <t>Saturday</t>
        </is>
      </c>
      <c r="E3586" t="n">
        <v>9</v>
      </c>
      <c r="F3586" t="b">
        <v>0</v>
      </c>
      <c r="H3586" t="b">
        <v>0</v>
      </c>
    </row>
    <row r="3587">
      <c r="A3587" t="inlineStr">
        <is>
          <t>S005</t>
        </is>
      </c>
      <c r="B3587" s="3" t="n">
        <v>46277</v>
      </c>
      <c r="C3587" t="n">
        <v>9</v>
      </c>
      <c r="D3587" t="inlineStr">
        <is>
          <t>Saturday</t>
        </is>
      </c>
      <c r="E3587" t="n">
        <v>10</v>
      </c>
      <c r="F3587" t="b">
        <v>0</v>
      </c>
      <c r="H3587" t="b">
        <v>0</v>
      </c>
    </row>
    <row r="3588">
      <c r="A3588" t="inlineStr">
        <is>
          <t>S005</t>
        </is>
      </c>
      <c r="B3588" s="3" t="n">
        <v>46277</v>
      </c>
      <c r="C3588" t="n">
        <v>10</v>
      </c>
      <c r="D3588" t="inlineStr">
        <is>
          <t>Saturday</t>
        </is>
      </c>
      <c r="E3588" t="n">
        <v>14</v>
      </c>
      <c r="F3588" t="b">
        <v>0</v>
      </c>
      <c r="H3588" t="b">
        <v>0</v>
      </c>
    </row>
    <row r="3589">
      <c r="A3589" t="inlineStr">
        <is>
          <t>S005</t>
        </is>
      </c>
      <c r="B3589" s="3" t="n">
        <v>46277</v>
      </c>
      <c r="C3589" t="n">
        <v>11</v>
      </c>
      <c r="D3589" t="inlineStr">
        <is>
          <t>Saturday</t>
        </is>
      </c>
      <c r="E3589" t="n">
        <v>13</v>
      </c>
      <c r="F3589" t="b">
        <v>0</v>
      </c>
      <c r="G3589" t="inlineStr">
        <is>
          <t>Heavy</t>
        </is>
      </c>
      <c r="H3589" t="b">
        <v>0</v>
      </c>
    </row>
    <row r="3590">
      <c r="A3590" t="inlineStr">
        <is>
          <t>S005</t>
        </is>
      </c>
      <c r="B3590" s="3" t="n">
        <v>46277</v>
      </c>
      <c r="C3590" t="n">
        <v>12</v>
      </c>
      <c r="D3590" t="inlineStr">
        <is>
          <t>Saturday</t>
        </is>
      </c>
      <c r="E3590" t="n">
        <v>13</v>
      </c>
      <c r="F3590" t="b">
        <v>0</v>
      </c>
      <c r="G3590" t="inlineStr">
        <is>
          <t>Light</t>
        </is>
      </c>
      <c r="H3590" t="b">
        <v>0</v>
      </c>
    </row>
    <row r="3591">
      <c r="A3591" t="inlineStr">
        <is>
          <t>S005</t>
        </is>
      </c>
      <c r="B3591" s="3" t="n">
        <v>46277</v>
      </c>
      <c r="C3591" t="n">
        <v>13</v>
      </c>
      <c r="D3591" t="inlineStr">
        <is>
          <t>Saturday</t>
        </is>
      </c>
      <c r="E3591" t="n">
        <v>8</v>
      </c>
      <c r="F3591" t="b">
        <v>0</v>
      </c>
      <c r="H3591" t="b">
        <v>0</v>
      </c>
    </row>
    <row r="3592">
      <c r="A3592" t="inlineStr">
        <is>
          <t>S005</t>
        </is>
      </c>
      <c r="B3592" s="3" t="n">
        <v>46277</v>
      </c>
      <c r="C3592" t="n">
        <v>14</v>
      </c>
      <c r="D3592" t="inlineStr">
        <is>
          <t>Saturday</t>
        </is>
      </c>
      <c r="E3592" t="n">
        <v>11</v>
      </c>
      <c r="F3592" t="b">
        <v>0</v>
      </c>
      <c r="H3592" t="b">
        <v>0</v>
      </c>
    </row>
    <row r="3593">
      <c r="A3593" t="inlineStr">
        <is>
          <t>S005</t>
        </is>
      </c>
      <c r="B3593" s="3" t="n">
        <v>46277</v>
      </c>
      <c r="C3593" t="n">
        <v>15</v>
      </c>
      <c r="D3593" t="inlineStr">
        <is>
          <t>Saturday</t>
        </is>
      </c>
      <c r="E3593" t="n">
        <v>7</v>
      </c>
      <c r="F3593" t="b">
        <v>0</v>
      </c>
      <c r="G3593" t="inlineStr">
        <is>
          <t>Light</t>
        </is>
      </c>
      <c r="H3593" t="b">
        <v>0</v>
      </c>
    </row>
    <row r="3594">
      <c r="A3594" t="inlineStr">
        <is>
          <t>S005</t>
        </is>
      </c>
      <c r="B3594" s="3" t="n">
        <v>46277</v>
      </c>
      <c r="C3594" t="n">
        <v>16</v>
      </c>
      <c r="D3594" t="inlineStr">
        <is>
          <t>Saturday</t>
        </is>
      </c>
      <c r="E3594" t="n">
        <v>16</v>
      </c>
      <c r="F3594" t="b">
        <v>0</v>
      </c>
      <c r="H3594" t="b">
        <v>1</v>
      </c>
    </row>
    <row r="3595">
      <c r="A3595" t="inlineStr">
        <is>
          <t>S005</t>
        </is>
      </c>
      <c r="B3595" s="3" t="n">
        <v>46277</v>
      </c>
      <c r="C3595" t="n">
        <v>17</v>
      </c>
      <c r="D3595" t="inlineStr">
        <is>
          <t>Saturday</t>
        </is>
      </c>
      <c r="E3595" t="n">
        <v>15</v>
      </c>
      <c r="F3595" t="b">
        <v>0</v>
      </c>
      <c r="H3595" t="b">
        <v>0</v>
      </c>
    </row>
    <row r="3596">
      <c r="A3596" t="inlineStr">
        <is>
          <t>S005</t>
        </is>
      </c>
      <c r="B3596" s="3" t="n">
        <v>46277</v>
      </c>
      <c r="C3596" t="n">
        <v>18</v>
      </c>
      <c r="D3596" t="inlineStr">
        <is>
          <t>Saturday</t>
        </is>
      </c>
      <c r="E3596" t="n">
        <v>17</v>
      </c>
      <c r="F3596" t="b">
        <v>0</v>
      </c>
      <c r="G3596" t="inlineStr">
        <is>
          <t>Light</t>
        </is>
      </c>
      <c r="H3596" t="b">
        <v>0</v>
      </c>
    </row>
    <row r="3597">
      <c r="A3597" t="inlineStr">
        <is>
          <t>S005</t>
        </is>
      </c>
      <c r="B3597" s="3" t="n">
        <v>46277</v>
      </c>
      <c r="C3597" t="n">
        <v>19</v>
      </c>
      <c r="D3597" t="inlineStr">
        <is>
          <t>Saturday</t>
        </is>
      </c>
      <c r="E3597" t="n">
        <v>24</v>
      </c>
      <c r="F3597" t="b">
        <v>1</v>
      </c>
      <c r="H3597" t="b">
        <v>0</v>
      </c>
    </row>
    <row r="3598">
      <c r="A3598" t="inlineStr">
        <is>
          <t>S005</t>
        </is>
      </c>
      <c r="B3598" s="3" t="n">
        <v>46277</v>
      </c>
      <c r="C3598" t="n">
        <v>20</v>
      </c>
      <c r="D3598" t="inlineStr">
        <is>
          <t>Saturday</t>
        </is>
      </c>
      <c r="E3598" t="n">
        <v>16</v>
      </c>
      <c r="F3598" t="b">
        <v>1</v>
      </c>
      <c r="H3598" t="b">
        <v>0</v>
      </c>
    </row>
    <row r="3599">
      <c r="A3599" t="inlineStr">
        <is>
          <t>S005</t>
        </is>
      </c>
      <c r="B3599" s="3" t="n">
        <v>46277</v>
      </c>
      <c r="C3599" t="n">
        <v>21</v>
      </c>
      <c r="D3599" t="inlineStr">
        <is>
          <t>Saturday</t>
        </is>
      </c>
      <c r="E3599" t="n">
        <v>23</v>
      </c>
      <c r="F3599" t="b">
        <v>1</v>
      </c>
      <c r="H3599" t="b">
        <v>0</v>
      </c>
    </row>
    <row r="3600">
      <c r="A3600" t="inlineStr">
        <is>
          <t>S005</t>
        </is>
      </c>
      <c r="B3600" s="3" t="n">
        <v>46277</v>
      </c>
      <c r="C3600" t="n">
        <v>22</v>
      </c>
      <c r="D3600" t="inlineStr">
        <is>
          <t>Saturday</t>
        </is>
      </c>
      <c r="E3600" t="n">
        <v>10</v>
      </c>
      <c r="F3600" t="b">
        <v>0</v>
      </c>
      <c r="H3600" t="b">
        <v>0</v>
      </c>
    </row>
    <row r="3601">
      <c r="A3601" t="inlineStr">
        <is>
          <t>S005</t>
        </is>
      </c>
      <c r="B3601" s="3" t="n">
        <v>46277</v>
      </c>
      <c r="C3601" t="n">
        <v>23</v>
      </c>
      <c r="D3601" t="inlineStr">
        <is>
          <t>Saturday</t>
        </is>
      </c>
      <c r="E3601" t="n">
        <v>10</v>
      </c>
      <c r="F3601" t="b">
        <v>0</v>
      </c>
      <c r="H3601" t="b">
        <v>0</v>
      </c>
    </row>
    <row r="3602">
      <c r="A3602" t="inlineStr">
        <is>
          <t>S006</t>
        </is>
      </c>
      <c r="B3602" s="3" t="n">
        <v>46277</v>
      </c>
      <c r="C3602" t="n">
        <v>8</v>
      </c>
      <c r="D3602" t="inlineStr">
        <is>
          <t>Saturday</t>
        </is>
      </c>
      <c r="E3602" t="n">
        <v>23</v>
      </c>
      <c r="F3602" t="b">
        <v>0</v>
      </c>
      <c r="G3602" t="inlineStr">
        <is>
          <t>Light</t>
        </is>
      </c>
      <c r="H3602" t="b">
        <v>0</v>
      </c>
    </row>
    <row r="3603">
      <c r="A3603" t="inlineStr">
        <is>
          <t>S006</t>
        </is>
      </c>
      <c r="B3603" s="3" t="n">
        <v>46277</v>
      </c>
      <c r="C3603" t="n">
        <v>9</v>
      </c>
      <c r="D3603" t="inlineStr">
        <is>
          <t>Saturday</t>
        </is>
      </c>
      <c r="E3603" t="n">
        <v>27</v>
      </c>
      <c r="F3603" t="b">
        <v>0</v>
      </c>
      <c r="H3603" t="b">
        <v>0</v>
      </c>
    </row>
    <row r="3604">
      <c r="A3604" t="inlineStr">
        <is>
          <t>S006</t>
        </is>
      </c>
      <c r="B3604" s="3" t="n">
        <v>46277</v>
      </c>
      <c r="C3604" t="n">
        <v>10</v>
      </c>
      <c r="D3604" t="inlineStr">
        <is>
          <t>Saturday</t>
        </is>
      </c>
      <c r="E3604" t="n">
        <v>25</v>
      </c>
      <c r="F3604" t="b">
        <v>0</v>
      </c>
      <c r="H3604" t="b">
        <v>0</v>
      </c>
    </row>
    <row r="3605">
      <c r="A3605" t="inlineStr">
        <is>
          <t>S006</t>
        </is>
      </c>
      <c r="B3605" s="3" t="n">
        <v>46277</v>
      </c>
      <c r="C3605" t="n">
        <v>11</v>
      </c>
      <c r="D3605" t="inlineStr">
        <is>
          <t>Saturday</t>
        </is>
      </c>
      <c r="E3605" t="n">
        <v>20</v>
      </c>
      <c r="F3605" t="b">
        <v>0</v>
      </c>
      <c r="H3605" t="b">
        <v>0</v>
      </c>
    </row>
    <row r="3606">
      <c r="A3606" t="inlineStr">
        <is>
          <t>S006</t>
        </is>
      </c>
      <c r="B3606" s="3" t="n">
        <v>46277</v>
      </c>
      <c r="C3606" t="n">
        <v>12</v>
      </c>
      <c r="D3606" t="inlineStr">
        <is>
          <t>Saturday</t>
        </is>
      </c>
      <c r="E3606" t="n">
        <v>22</v>
      </c>
      <c r="F3606" t="b">
        <v>0</v>
      </c>
      <c r="G3606" t="inlineStr">
        <is>
          <t>Heavy</t>
        </is>
      </c>
      <c r="H3606" t="b">
        <v>0</v>
      </c>
    </row>
    <row r="3607">
      <c r="A3607" t="inlineStr">
        <is>
          <t>S006</t>
        </is>
      </c>
      <c r="B3607" s="3" t="n">
        <v>46277</v>
      </c>
      <c r="C3607" t="n">
        <v>13</v>
      </c>
      <c r="D3607" t="inlineStr">
        <is>
          <t>Saturday</t>
        </is>
      </c>
      <c r="E3607" t="n">
        <v>26</v>
      </c>
      <c r="F3607" t="b">
        <v>0</v>
      </c>
      <c r="H3607" t="b">
        <v>0</v>
      </c>
    </row>
    <row r="3608">
      <c r="A3608" t="inlineStr">
        <is>
          <t>S006</t>
        </is>
      </c>
      <c r="B3608" s="3" t="n">
        <v>46277</v>
      </c>
      <c r="C3608" t="n">
        <v>14</v>
      </c>
      <c r="D3608" t="inlineStr">
        <is>
          <t>Saturday</t>
        </is>
      </c>
      <c r="E3608" t="n">
        <v>24</v>
      </c>
      <c r="F3608" t="b">
        <v>0</v>
      </c>
      <c r="H3608" t="b">
        <v>0</v>
      </c>
    </row>
    <row r="3609">
      <c r="A3609" t="inlineStr">
        <is>
          <t>S006</t>
        </is>
      </c>
      <c r="B3609" s="3" t="n">
        <v>46277</v>
      </c>
      <c r="C3609" t="n">
        <v>15</v>
      </c>
      <c r="D3609" t="inlineStr">
        <is>
          <t>Saturday</t>
        </is>
      </c>
      <c r="E3609" t="n">
        <v>29</v>
      </c>
      <c r="F3609" t="b">
        <v>0</v>
      </c>
      <c r="G3609" t="inlineStr">
        <is>
          <t>Heavy</t>
        </is>
      </c>
      <c r="H3609" t="b">
        <v>0</v>
      </c>
    </row>
    <row r="3610">
      <c r="A3610" t="inlineStr">
        <is>
          <t>S006</t>
        </is>
      </c>
      <c r="B3610" s="3" t="n">
        <v>46277</v>
      </c>
      <c r="C3610" t="n">
        <v>16</v>
      </c>
      <c r="D3610" t="inlineStr">
        <is>
          <t>Saturday</t>
        </is>
      </c>
      <c r="E3610" t="n">
        <v>36</v>
      </c>
      <c r="F3610" t="b">
        <v>0</v>
      </c>
      <c r="H3610" t="b">
        <v>0</v>
      </c>
    </row>
    <row r="3611">
      <c r="A3611" t="inlineStr">
        <is>
          <t>S006</t>
        </is>
      </c>
      <c r="B3611" s="3" t="n">
        <v>46277</v>
      </c>
      <c r="C3611" t="n">
        <v>17</v>
      </c>
      <c r="D3611" t="inlineStr">
        <is>
          <t>Saturday</t>
        </is>
      </c>
      <c r="E3611" t="n">
        <v>18</v>
      </c>
      <c r="F3611" t="b">
        <v>0</v>
      </c>
      <c r="H3611" t="b">
        <v>0</v>
      </c>
    </row>
    <row r="3612">
      <c r="A3612" t="inlineStr">
        <is>
          <t>S006</t>
        </is>
      </c>
      <c r="B3612" s="3" t="n">
        <v>46277</v>
      </c>
      <c r="C3612" t="n">
        <v>18</v>
      </c>
      <c r="D3612" t="inlineStr">
        <is>
          <t>Saturday</t>
        </is>
      </c>
      <c r="E3612" t="n">
        <v>30</v>
      </c>
      <c r="F3612" t="b">
        <v>0</v>
      </c>
      <c r="G3612" t="inlineStr">
        <is>
          <t>Light</t>
        </is>
      </c>
      <c r="H3612" t="b">
        <v>1</v>
      </c>
    </row>
    <row r="3613">
      <c r="A3613" t="inlineStr">
        <is>
          <t>S006</t>
        </is>
      </c>
      <c r="B3613" s="3" t="n">
        <v>46277</v>
      </c>
      <c r="C3613" t="n">
        <v>19</v>
      </c>
      <c r="D3613" t="inlineStr">
        <is>
          <t>Saturday</t>
        </is>
      </c>
      <c r="E3613" t="n">
        <v>46</v>
      </c>
      <c r="F3613" t="b">
        <v>1</v>
      </c>
      <c r="H3613" t="b">
        <v>0</v>
      </c>
    </row>
    <row r="3614">
      <c r="A3614" t="inlineStr">
        <is>
          <t>S006</t>
        </is>
      </c>
      <c r="B3614" s="3" t="n">
        <v>46277</v>
      </c>
      <c r="C3614" t="n">
        <v>20</v>
      </c>
      <c r="D3614" t="inlineStr">
        <is>
          <t>Saturday</t>
        </is>
      </c>
      <c r="E3614" t="n">
        <v>31</v>
      </c>
      <c r="F3614" t="b">
        <v>1</v>
      </c>
      <c r="G3614" t="inlineStr">
        <is>
          <t>Light</t>
        </is>
      </c>
      <c r="H3614" t="b">
        <v>0</v>
      </c>
    </row>
    <row r="3615">
      <c r="A3615" t="inlineStr">
        <is>
          <t>S006</t>
        </is>
      </c>
      <c r="B3615" s="3" t="n">
        <v>46277</v>
      </c>
      <c r="C3615" t="n">
        <v>21</v>
      </c>
      <c r="D3615" t="inlineStr">
        <is>
          <t>Saturday</t>
        </is>
      </c>
      <c r="E3615" t="n">
        <v>39</v>
      </c>
      <c r="F3615" t="b">
        <v>1</v>
      </c>
      <c r="H3615" t="b">
        <v>0</v>
      </c>
    </row>
    <row r="3616">
      <c r="A3616" t="inlineStr">
        <is>
          <t>S006</t>
        </is>
      </c>
      <c r="B3616" s="3" t="n">
        <v>46277</v>
      </c>
      <c r="C3616" t="n">
        <v>22</v>
      </c>
      <c r="D3616" t="inlineStr">
        <is>
          <t>Saturday</t>
        </is>
      </c>
      <c r="E3616" t="n">
        <v>34</v>
      </c>
      <c r="F3616" t="b">
        <v>0</v>
      </c>
      <c r="H3616" t="b">
        <v>0</v>
      </c>
    </row>
    <row r="3617">
      <c r="A3617" t="inlineStr">
        <is>
          <t>S006</t>
        </is>
      </c>
      <c r="B3617" s="3" t="n">
        <v>46277</v>
      </c>
      <c r="C3617" t="n">
        <v>23</v>
      </c>
      <c r="D3617" t="inlineStr">
        <is>
          <t>Saturday</t>
        </is>
      </c>
      <c r="E3617" t="n">
        <v>40</v>
      </c>
      <c r="F3617" t="b">
        <v>0</v>
      </c>
      <c r="G3617" t="inlineStr">
        <is>
          <t>Light</t>
        </is>
      </c>
      <c r="H3617" t="b">
        <v>0</v>
      </c>
    </row>
    <row r="3618">
      <c r="A3618" t="inlineStr">
        <is>
          <t>S007</t>
        </is>
      </c>
      <c r="B3618" s="3" t="n">
        <v>46277</v>
      </c>
      <c r="C3618" t="n">
        <v>8</v>
      </c>
      <c r="D3618" t="inlineStr">
        <is>
          <t>Saturday</t>
        </is>
      </c>
      <c r="E3618" t="n">
        <v>28</v>
      </c>
      <c r="F3618" t="b">
        <v>0</v>
      </c>
      <c r="G3618" t="inlineStr">
        <is>
          <t>Light</t>
        </is>
      </c>
      <c r="H3618" t="b">
        <v>0</v>
      </c>
    </row>
    <row r="3619">
      <c r="A3619" t="inlineStr">
        <is>
          <t>S007</t>
        </is>
      </c>
      <c r="B3619" s="3" t="n">
        <v>46277</v>
      </c>
      <c r="C3619" t="n">
        <v>9</v>
      </c>
      <c r="D3619" t="inlineStr">
        <is>
          <t>Saturday</t>
        </is>
      </c>
      <c r="E3619" t="n">
        <v>24</v>
      </c>
      <c r="F3619" t="b">
        <v>0</v>
      </c>
      <c r="H3619" t="b">
        <v>0</v>
      </c>
    </row>
    <row r="3620">
      <c r="A3620" t="inlineStr">
        <is>
          <t>S007</t>
        </is>
      </c>
      <c r="B3620" s="3" t="n">
        <v>46277</v>
      </c>
      <c r="C3620" t="n">
        <v>10</v>
      </c>
      <c r="D3620" t="inlineStr">
        <is>
          <t>Saturday</t>
        </is>
      </c>
      <c r="E3620" t="n">
        <v>25</v>
      </c>
      <c r="F3620" t="b">
        <v>0</v>
      </c>
      <c r="H3620" t="b">
        <v>0</v>
      </c>
    </row>
    <row r="3621">
      <c r="A3621" t="inlineStr">
        <is>
          <t>S007</t>
        </is>
      </c>
      <c r="B3621" s="3" t="n">
        <v>46277</v>
      </c>
      <c r="C3621" t="n">
        <v>11</v>
      </c>
      <c r="D3621" t="inlineStr">
        <is>
          <t>Saturday</t>
        </is>
      </c>
      <c r="E3621" t="n">
        <v>49</v>
      </c>
      <c r="F3621" t="b">
        <v>0</v>
      </c>
      <c r="H3621" t="b">
        <v>0</v>
      </c>
    </row>
    <row r="3622">
      <c r="A3622" t="inlineStr">
        <is>
          <t>S007</t>
        </is>
      </c>
      <c r="B3622" s="3" t="n">
        <v>46277</v>
      </c>
      <c r="C3622" t="n">
        <v>12</v>
      </c>
      <c r="D3622" t="inlineStr">
        <is>
          <t>Saturday</t>
        </is>
      </c>
      <c r="E3622" t="n">
        <v>47</v>
      </c>
      <c r="F3622" t="b">
        <v>0</v>
      </c>
      <c r="H3622" t="b">
        <v>1</v>
      </c>
    </row>
    <row r="3623">
      <c r="A3623" t="inlineStr">
        <is>
          <t>S007</t>
        </is>
      </c>
      <c r="B3623" s="3" t="n">
        <v>46277</v>
      </c>
      <c r="C3623" t="n">
        <v>13</v>
      </c>
      <c r="D3623" t="inlineStr">
        <is>
          <t>Saturday</t>
        </is>
      </c>
      <c r="E3623" t="n">
        <v>39</v>
      </c>
      <c r="F3623" t="b">
        <v>0</v>
      </c>
      <c r="H3623" t="b">
        <v>0</v>
      </c>
    </row>
    <row r="3624">
      <c r="A3624" t="inlineStr">
        <is>
          <t>S007</t>
        </is>
      </c>
      <c r="B3624" s="3" t="n">
        <v>46277</v>
      </c>
      <c r="C3624" t="n">
        <v>14</v>
      </c>
      <c r="D3624" t="inlineStr">
        <is>
          <t>Saturday</t>
        </is>
      </c>
      <c r="E3624" t="n">
        <v>33</v>
      </c>
      <c r="F3624" t="b">
        <v>0</v>
      </c>
      <c r="H3624" t="b">
        <v>0</v>
      </c>
    </row>
    <row r="3625">
      <c r="A3625" t="inlineStr">
        <is>
          <t>S007</t>
        </is>
      </c>
      <c r="B3625" s="3" t="n">
        <v>46277</v>
      </c>
      <c r="C3625" t="n">
        <v>15</v>
      </c>
      <c r="D3625" t="inlineStr">
        <is>
          <t>Saturday</t>
        </is>
      </c>
      <c r="E3625" t="n">
        <v>26</v>
      </c>
      <c r="F3625" t="b">
        <v>0</v>
      </c>
      <c r="H3625" t="b">
        <v>0</v>
      </c>
    </row>
    <row r="3626">
      <c r="A3626" t="inlineStr">
        <is>
          <t>S007</t>
        </is>
      </c>
      <c r="B3626" s="3" t="n">
        <v>46277</v>
      </c>
      <c r="C3626" t="n">
        <v>16</v>
      </c>
      <c r="D3626" t="inlineStr">
        <is>
          <t>Saturday</t>
        </is>
      </c>
      <c r="E3626" t="n">
        <v>44</v>
      </c>
      <c r="F3626" t="b">
        <v>0</v>
      </c>
      <c r="H3626" t="b">
        <v>0</v>
      </c>
    </row>
    <row r="3627">
      <c r="A3627" t="inlineStr">
        <is>
          <t>S007</t>
        </is>
      </c>
      <c r="B3627" s="3" t="n">
        <v>46277</v>
      </c>
      <c r="C3627" t="n">
        <v>17</v>
      </c>
      <c r="D3627" t="inlineStr">
        <is>
          <t>Saturday</t>
        </is>
      </c>
      <c r="E3627" t="n">
        <v>37</v>
      </c>
      <c r="F3627" t="b">
        <v>0</v>
      </c>
      <c r="H3627" t="b">
        <v>0</v>
      </c>
    </row>
    <row r="3628">
      <c r="A3628" t="inlineStr">
        <is>
          <t>S007</t>
        </is>
      </c>
      <c r="B3628" s="3" t="n">
        <v>46277</v>
      </c>
      <c r="C3628" t="n">
        <v>18</v>
      </c>
      <c r="D3628" t="inlineStr">
        <is>
          <t>Saturday</t>
        </is>
      </c>
      <c r="E3628" t="n">
        <v>37</v>
      </c>
      <c r="F3628" t="b">
        <v>0</v>
      </c>
      <c r="G3628" t="inlineStr">
        <is>
          <t>Heavy</t>
        </is>
      </c>
      <c r="H3628" t="b">
        <v>0</v>
      </c>
    </row>
    <row r="3629">
      <c r="A3629" t="inlineStr">
        <is>
          <t>S007</t>
        </is>
      </c>
      <c r="B3629" s="3" t="n">
        <v>46277</v>
      </c>
      <c r="C3629" t="n">
        <v>19</v>
      </c>
      <c r="D3629" t="inlineStr">
        <is>
          <t>Saturday</t>
        </is>
      </c>
      <c r="E3629" t="n">
        <v>50</v>
      </c>
      <c r="F3629" t="b">
        <v>1</v>
      </c>
      <c r="G3629" t="inlineStr">
        <is>
          <t>Heavy</t>
        </is>
      </c>
      <c r="H3629" t="b">
        <v>0</v>
      </c>
    </row>
    <row r="3630">
      <c r="A3630" t="inlineStr">
        <is>
          <t>S007</t>
        </is>
      </c>
      <c r="B3630" s="3" t="n">
        <v>46277</v>
      </c>
      <c r="C3630" t="n">
        <v>20</v>
      </c>
      <c r="D3630" t="inlineStr">
        <is>
          <t>Saturday</t>
        </is>
      </c>
      <c r="E3630" t="n">
        <v>66</v>
      </c>
      <c r="F3630" t="b">
        <v>1</v>
      </c>
      <c r="H3630" t="b">
        <v>0</v>
      </c>
    </row>
    <row r="3631">
      <c r="A3631" t="inlineStr">
        <is>
          <t>S007</t>
        </is>
      </c>
      <c r="B3631" s="3" t="n">
        <v>46277</v>
      </c>
      <c r="C3631" t="n">
        <v>21</v>
      </c>
      <c r="D3631" t="inlineStr">
        <is>
          <t>Saturday</t>
        </is>
      </c>
      <c r="E3631" t="n">
        <v>55</v>
      </c>
      <c r="F3631" t="b">
        <v>1</v>
      </c>
      <c r="H3631" t="b">
        <v>0</v>
      </c>
    </row>
    <row r="3632">
      <c r="A3632" t="inlineStr">
        <is>
          <t>S007</t>
        </is>
      </c>
      <c r="B3632" s="3" t="n">
        <v>46277</v>
      </c>
      <c r="C3632" t="n">
        <v>22</v>
      </c>
      <c r="D3632" t="inlineStr">
        <is>
          <t>Saturday</t>
        </is>
      </c>
      <c r="E3632" t="n">
        <v>37</v>
      </c>
      <c r="F3632" t="b">
        <v>0</v>
      </c>
      <c r="H3632" t="b">
        <v>0</v>
      </c>
    </row>
    <row r="3633">
      <c r="A3633" t="inlineStr">
        <is>
          <t>S007</t>
        </is>
      </c>
      <c r="B3633" s="3" t="n">
        <v>46277</v>
      </c>
      <c r="C3633" t="n">
        <v>23</v>
      </c>
      <c r="D3633" t="inlineStr">
        <is>
          <t>Saturday</t>
        </is>
      </c>
      <c r="E3633" t="n">
        <v>34</v>
      </c>
      <c r="F3633" t="b">
        <v>0</v>
      </c>
      <c r="H3633" t="b">
        <v>0</v>
      </c>
    </row>
    <row r="3634">
      <c r="A3634" t="inlineStr">
        <is>
          <t>S008</t>
        </is>
      </c>
      <c r="B3634" s="3" t="n">
        <v>46277</v>
      </c>
      <c r="C3634" t="n">
        <v>8</v>
      </c>
      <c r="D3634" t="inlineStr">
        <is>
          <t>Saturday</t>
        </is>
      </c>
      <c r="E3634" t="n">
        <v>21</v>
      </c>
      <c r="F3634" t="b">
        <v>0</v>
      </c>
      <c r="H3634" t="b">
        <v>0</v>
      </c>
    </row>
    <row r="3635">
      <c r="A3635" t="inlineStr">
        <is>
          <t>S008</t>
        </is>
      </c>
      <c r="B3635" s="3" t="n">
        <v>46277</v>
      </c>
      <c r="C3635" t="n">
        <v>9</v>
      </c>
      <c r="D3635" t="inlineStr">
        <is>
          <t>Saturday</t>
        </is>
      </c>
      <c r="E3635" t="n">
        <v>18</v>
      </c>
      <c r="F3635" t="b">
        <v>0</v>
      </c>
      <c r="H3635" t="b">
        <v>0</v>
      </c>
    </row>
    <row r="3636">
      <c r="A3636" t="inlineStr">
        <is>
          <t>S008</t>
        </is>
      </c>
      <c r="B3636" s="3" t="n">
        <v>46277</v>
      </c>
      <c r="C3636" t="n">
        <v>10</v>
      </c>
      <c r="D3636" t="inlineStr">
        <is>
          <t>Saturday</t>
        </is>
      </c>
      <c r="E3636" t="n">
        <v>23</v>
      </c>
      <c r="F3636" t="b">
        <v>0</v>
      </c>
      <c r="H3636" t="b">
        <v>0</v>
      </c>
    </row>
    <row r="3637">
      <c r="A3637" t="inlineStr">
        <is>
          <t>S008</t>
        </is>
      </c>
      <c r="B3637" s="3" t="n">
        <v>46277</v>
      </c>
      <c r="C3637" t="n">
        <v>11</v>
      </c>
      <c r="D3637" t="inlineStr">
        <is>
          <t>Saturday</t>
        </is>
      </c>
      <c r="E3637" t="n">
        <v>34</v>
      </c>
      <c r="F3637" t="b">
        <v>0</v>
      </c>
      <c r="G3637" t="inlineStr">
        <is>
          <t>Light</t>
        </is>
      </c>
      <c r="H3637" t="b">
        <v>0</v>
      </c>
    </row>
    <row r="3638">
      <c r="A3638" t="inlineStr">
        <is>
          <t>S008</t>
        </is>
      </c>
      <c r="B3638" s="3" t="n">
        <v>46277</v>
      </c>
      <c r="C3638" t="n">
        <v>12</v>
      </c>
      <c r="D3638" t="inlineStr">
        <is>
          <t>Saturday</t>
        </is>
      </c>
      <c r="E3638" t="n">
        <v>12</v>
      </c>
      <c r="F3638" t="b">
        <v>0</v>
      </c>
      <c r="H3638" t="b">
        <v>0</v>
      </c>
    </row>
    <row r="3639">
      <c r="A3639" t="inlineStr">
        <is>
          <t>S008</t>
        </is>
      </c>
      <c r="B3639" s="3" t="n">
        <v>46277</v>
      </c>
      <c r="C3639" t="n">
        <v>13</v>
      </c>
      <c r="D3639" t="inlineStr">
        <is>
          <t>Saturday</t>
        </is>
      </c>
      <c r="E3639" t="n">
        <v>25</v>
      </c>
      <c r="F3639" t="b">
        <v>0</v>
      </c>
      <c r="H3639" t="b">
        <v>0</v>
      </c>
    </row>
    <row r="3640">
      <c r="A3640" t="inlineStr">
        <is>
          <t>S008</t>
        </is>
      </c>
      <c r="B3640" s="3" t="n">
        <v>46277</v>
      </c>
      <c r="C3640" t="n">
        <v>14</v>
      </c>
      <c r="D3640" t="inlineStr">
        <is>
          <t>Saturday</t>
        </is>
      </c>
      <c r="E3640" t="n">
        <v>18</v>
      </c>
      <c r="F3640" t="b">
        <v>0</v>
      </c>
      <c r="G3640" t="inlineStr">
        <is>
          <t>Light</t>
        </is>
      </c>
      <c r="H3640" t="b">
        <v>0</v>
      </c>
    </row>
    <row r="3641">
      <c r="A3641" t="inlineStr">
        <is>
          <t>S008</t>
        </is>
      </c>
      <c r="B3641" s="3" t="n">
        <v>46277</v>
      </c>
      <c r="C3641" t="n">
        <v>15</v>
      </c>
      <c r="D3641" t="inlineStr">
        <is>
          <t>Saturday</t>
        </is>
      </c>
      <c r="E3641" t="n">
        <v>15</v>
      </c>
      <c r="F3641" t="b">
        <v>0</v>
      </c>
      <c r="H3641" t="b">
        <v>0</v>
      </c>
    </row>
    <row r="3642">
      <c r="A3642" t="inlineStr">
        <is>
          <t>S008</t>
        </is>
      </c>
      <c r="B3642" s="3" t="n">
        <v>46277</v>
      </c>
      <c r="C3642" t="n">
        <v>16</v>
      </c>
      <c r="D3642" t="inlineStr">
        <is>
          <t>Saturday</t>
        </is>
      </c>
      <c r="E3642" t="n">
        <v>29</v>
      </c>
      <c r="F3642" t="b">
        <v>0</v>
      </c>
      <c r="H3642" t="b">
        <v>0</v>
      </c>
    </row>
    <row r="3643">
      <c r="A3643" t="inlineStr">
        <is>
          <t>S008</t>
        </is>
      </c>
      <c r="B3643" s="3" t="n">
        <v>46277</v>
      </c>
      <c r="C3643" t="n">
        <v>17</v>
      </c>
      <c r="D3643" t="inlineStr">
        <is>
          <t>Saturday</t>
        </is>
      </c>
      <c r="E3643" t="n">
        <v>34</v>
      </c>
      <c r="F3643" t="b">
        <v>0</v>
      </c>
      <c r="H3643" t="b">
        <v>0</v>
      </c>
    </row>
    <row r="3644">
      <c r="A3644" t="inlineStr">
        <is>
          <t>S008</t>
        </is>
      </c>
      <c r="B3644" s="3" t="n">
        <v>46277</v>
      </c>
      <c r="C3644" t="n">
        <v>18</v>
      </c>
      <c r="D3644" t="inlineStr">
        <is>
          <t>Saturday</t>
        </is>
      </c>
      <c r="E3644" t="n">
        <v>25</v>
      </c>
      <c r="F3644" t="b">
        <v>0</v>
      </c>
      <c r="G3644" t="inlineStr">
        <is>
          <t>Light</t>
        </is>
      </c>
      <c r="H3644" t="b">
        <v>0</v>
      </c>
    </row>
    <row r="3645">
      <c r="A3645" t="inlineStr">
        <is>
          <t>S008</t>
        </is>
      </c>
      <c r="B3645" s="3" t="n">
        <v>46277</v>
      </c>
      <c r="C3645" t="n">
        <v>19</v>
      </c>
      <c r="D3645" t="inlineStr">
        <is>
          <t>Saturday</t>
        </is>
      </c>
      <c r="E3645" t="n">
        <v>42</v>
      </c>
      <c r="F3645" t="b">
        <v>1</v>
      </c>
      <c r="H3645" t="b">
        <v>0</v>
      </c>
    </row>
    <row r="3646">
      <c r="A3646" t="inlineStr">
        <is>
          <t>S008</t>
        </is>
      </c>
      <c r="B3646" s="3" t="n">
        <v>46277</v>
      </c>
      <c r="C3646" t="n">
        <v>20</v>
      </c>
      <c r="D3646" t="inlineStr">
        <is>
          <t>Saturday</t>
        </is>
      </c>
      <c r="E3646" t="n">
        <v>36</v>
      </c>
      <c r="F3646" t="b">
        <v>1</v>
      </c>
      <c r="G3646" t="inlineStr">
        <is>
          <t>Light</t>
        </is>
      </c>
      <c r="H3646" t="b">
        <v>0</v>
      </c>
    </row>
    <row r="3647">
      <c r="A3647" t="inlineStr">
        <is>
          <t>S008</t>
        </is>
      </c>
      <c r="B3647" s="3" t="n">
        <v>46277</v>
      </c>
      <c r="C3647" t="n">
        <v>21</v>
      </c>
      <c r="D3647" t="inlineStr">
        <is>
          <t>Saturday</t>
        </is>
      </c>
      <c r="E3647" t="n">
        <v>37</v>
      </c>
      <c r="F3647" t="b">
        <v>1</v>
      </c>
      <c r="H3647" t="b">
        <v>0</v>
      </c>
    </row>
    <row r="3648">
      <c r="A3648" t="inlineStr">
        <is>
          <t>S008</t>
        </is>
      </c>
      <c r="B3648" s="3" t="n">
        <v>46277</v>
      </c>
      <c r="C3648" t="n">
        <v>22</v>
      </c>
      <c r="D3648" t="inlineStr">
        <is>
          <t>Saturday</t>
        </is>
      </c>
      <c r="E3648" t="n">
        <v>24</v>
      </c>
      <c r="F3648" t="b">
        <v>0</v>
      </c>
      <c r="H3648" t="b">
        <v>0</v>
      </c>
    </row>
    <row r="3649">
      <c r="A3649" t="inlineStr">
        <is>
          <t>S008</t>
        </is>
      </c>
      <c r="B3649" s="3" t="n">
        <v>46277</v>
      </c>
      <c r="C3649" t="n">
        <v>23</v>
      </c>
      <c r="D3649" t="inlineStr">
        <is>
          <t>Saturday</t>
        </is>
      </c>
      <c r="E3649" t="n">
        <v>23</v>
      </c>
      <c r="F3649" t="b">
        <v>0</v>
      </c>
      <c r="H3649" t="b">
        <v>0</v>
      </c>
    </row>
    <row r="3650">
      <c r="A3650" t="inlineStr">
        <is>
          <t>S009</t>
        </is>
      </c>
      <c r="B3650" s="3" t="n">
        <v>46277</v>
      </c>
      <c r="C3650" t="n">
        <v>8</v>
      </c>
      <c r="D3650" t="inlineStr">
        <is>
          <t>Saturday</t>
        </is>
      </c>
      <c r="E3650" t="n">
        <v>26</v>
      </c>
      <c r="F3650" t="b">
        <v>0</v>
      </c>
      <c r="G3650" t="inlineStr">
        <is>
          <t>Heavy</t>
        </is>
      </c>
      <c r="H3650" t="b">
        <v>0</v>
      </c>
    </row>
    <row r="3651">
      <c r="A3651" t="inlineStr">
        <is>
          <t>S009</t>
        </is>
      </c>
      <c r="B3651" s="3" t="n">
        <v>46277</v>
      </c>
      <c r="C3651" t="n">
        <v>9</v>
      </c>
      <c r="D3651" t="inlineStr">
        <is>
          <t>Saturday</t>
        </is>
      </c>
      <c r="E3651" t="n">
        <v>23</v>
      </c>
      <c r="F3651" t="b">
        <v>0</v>
      </c>
      <c r="G3651" t="inlineStr">
        <is>
          <t>Light</t>
        </is>
      </c>
      <c r="H3651" t="b">
        <v>0</v>
      </c>
    </row>
    <row r="3652">
      <c r="A3652" t="inlineStr">
        <is>
          <t>S009</t>
        </is>
      </c>
      <c r="B3652" s="3" t="n">
        <v>46277</v>
      </c>
      <c r="C3652" t="n">
        <v>10</v>
      </c>
      <c r="D3652" t="inlineStr">
        <is>
          <t>Saturday</t>
        </is>
      </c>
      <c r="E3652" t="n">
        <v>20</v>
      </c>
      <c r="F3652" t="b">
        <v>0</v>
      </c>
      <c r="H3652" t="b">
        <v>0</v>
      </c>
    </row>
    <row r="3653">
      <c r="A3653" t="inlineStr">
        <is>
          <t>S009</t>
        </is>
      </c>
      <c r="B3653" s="3" t="n">
        <v>46277</v>
      </c>
      <c r="C3653" t="n">
        <v>11</v>
      </c>
      <c r="D3653" t="inlineStr">
        <is>
          <t>Saturday</t>
        </is>
      </c>
      <c r="E3653" t="n">
        <v>31</v>
      </c>
      <c r="F3653" t="b">
        <v>0</v>
      </c>
      <c r="H3653" t="b">
        <v>0</v>
      </c>
    </row>
    <row r="3654">
      <c r="A3654" t="inlineStr">
        <is>
          <t>S009</t>
        </is>
      </c>
      <c r="B3654" s="3" t="n">
        <v>46277</v>
      </c>
      <c r="C3654" t="n">
        <v>12</v>
      </c>
      <c r="D3654" t="inlineStr">
        <is>
          <t>Saturday</t>
        </is>
      </c>
      <c r="E3654" t="n">
        <v>25</v>
      </c>
      <c r="F3654" t="b">
        <v>0</v>
      </c>
      <c r="H3654" t="b">
        <v>0</v>
      </c>
    </row>
    <row r="3655">
      <c r="A3655" t="inlineStr">
        <is>
          <t>S009</t>
        </is>
      </c>
      <c r="B3655" s="3" t="n">
        <v>46277</v>
      </c>
      <c r="C3655" t="n">
        <v>13</v>
      </c>
      <c r="D3655" t="inlineStr">
        <is>
          <t>Saturday</t>
        </is>
      </c>
      <c r="E3655" t="n">
        <v>34</v>
      </c>
      <c r="F3655" t="b">
        <v>0</v>
      </c>
      <c r="G3655" t="inlineStr">
        <is>
          <t>Light</t>
        </is>
      </c>
      <c r="H3655" t="b">
        <v>0</v>
      </c>
    </row>
    <row r="3656">
      <c r="A3656" t="inlineStr">
        <is>
          <t>S009</t>
        </is>
      </c>
      <c r="B3656" s="3" t="n">
        <v>46277</v>
      </c>
      <c r="C3656" t="n">
        <v>14</v>
      </c>
      <c r="D3656" t="inlineStr">
        <is>
          <t>Saturday</t>
        </is>
      </c>
      <c r="E3656" t="n">
        <v>14</v>
      </c>
      <c r="F3656" t="b">
        <v>0</v>
      </c>
      <c r="H3656" t="b">
        <v>0</v>
      </c>
    </row>
    <row r="3657">
      <c r="A3657" t="inlineStr">
        <is>
          <t>S009</t>
        </is>
      </c>
      <c r="B3657" s="3" t="n">
        <v>46277</v>
      </c>
      <c r="C3657" t="n">
        <v>15</v>
      </c>
      <c r="D3657" t="inlineStr">
        <is>
          <t>Saturday</t>
        </is>
      </c>
      <c r="E3657" t="n">
        <v>29</v>
      </c>
      <c r="F3657" t="b">
        <v>0</v>
      </c>
      <c r="G3657" t="inlineStr">
        <is>
          <t>Light</t>
        </is>
      </c>
      <c r="H3657" t="b">
        <v>0</v>
      </c>
    </row>
    <row r="3658">
      <c r="A3658" t="inlineStr">
        <is>
          <t>S009</t>
        </is>
      </c>
      <c r="B3658" s="3" t="n">
        <v>46277</v>
      </c>
      <c r="C3658" t="n">
        <v>16</v>
      </c>
      <c r="D3658" t="inlineStr">
        <is>
          <t>Saturday</t>
        </is>
      </c>
      <c r="E3658" t="n">
        <v>30</v>
      </c>
      <c r="F3658" t="b">
        <v>0</v>
      </c>
      <c r="G3658" t="inlineStr">
        <is>
          <t>Heavy</t>
        </is>
      </c>
      <c r="H3658" t="b">
        <v>0</v>
      </c>
    </row>
    <row r="3659">
      <c r="A3659" t="inlineStr">
        <is>
          <t>S009</t>
        </is>
      </c>
      <c r="B3659" s="3" t="n">
        <v>46277</v>
      </c>
      <c r="C3659" t="n">
        <v>17</v>
      </c>
      <c r="D3659" t="inlineStr">
        <is>
          <t>Saturday</t>
        </is>
      </c>
      <c r="E3659" t="n">
        <v>30</v>
      </c>
      <c r="F3659" t="b">
        <v>0</v>
      </c>
      <c r="H3659" t="b">
        <v>0</v>
      </c>
    </row>
    <row r="3660">
      <c r="A3660" t="inlineStr">
        <is>
          <t>S009</t>
        </is>
      </c>
      <c r="B3660" s="3" t="n">
        <v>46277</v>
      </c>
      <c r="C3660" t="n">
        <v>18</v>
      </c>
      <c r="D3660" t="inlineStr">
        <is>
          <t>Saturday</t>
        </is>
      </c>
      <c r="E3660" t="n">
        <v>37</v>
      </c>
      <c r="F3660" t="b">
        <v>0</v>
      </c>
      <c r="H3660" t="b">
        <v>0</v>
      </c>
    </row>
    <row r="3661">
      <c r="A3661" t="inlineStr">
        <is>
          <t>S009</t>
        </is>
      </c>
      <c r="B3661" s="3" t="n">
        <v>46277</v>
      </c>
      <c r="C3661" t="n">
        <v>19</v>
      </c>
      <c r="D3661" t="inlineStr">
        <is>
          <t>Saturday</t>
        </is>
      </c>
      <c r="E3661" t="n">
        <v>46</v>
      </c>
      <c r="F3661" t="b">
        <v>1</v>
      </c>
      <c r="G3661" t="inlineStr">
        <is>
          <t>Light</t>
        </is>
      </c>
      <c r="H3661" t="b">
        <v>0</v>
      </c>
    </row>
    <row r="3662">
      <c r="A3662" t="inlineStr">
        <is>
          <t>S009</t>
        </is>
      </c>
      <c r="B3662" s="3" t="n">
        <v>46277</v>
      </c>
      <c r="C3662" t="n">
        <v>20</v>
      </c>
      <c r="D3662" t="inlineStr">
        <is>
          <t>Saturday</t>
        </is>
      </c>
      <c r="E3662" t="n">
        <v>56</v>
      </c>
      <c r="F3662" t="b">
        <v>1</v>
      </c>
      <c r="G3662" t="inlineStr">
        <is>
          <t>Light</t>
        </is>
      </c>
      <c r="H3662" t="b">
        <v>0</v>
      </c>
    </row>
    <row r="3663">
      <c r="A3663" t="inlineStr">
        <is>
          <t>S009</t>
        </is>
      </c>
      <c r="B3663" s="3" t="n">
        <v>46277</v>
      </c>
      <c r="C3663" t="n">
        <v>21</v>
      </c>
      <c r="D3663" t="inlineStr">
        <is>
          <t>Saturday</t>
        </is>
      </c>
      <c r="E3663" t="n">
        <v>52</v>
      </c>
      <c r="F3663" t="b">
        <v>1</v>
      </c>
      <c r="H3663" t="b">
        <v>0</v>
      </c>
    </row>
    <row r="3664">
      <c r="A3664" t="inlineStr">
        <is>
          <t>S009</t>
        </is>
      </c>
      <c r="B3664" s="3" t="n">
        <v>46277</v>
      </c>
      <c r="C3664" t="n">
        <v>22</v>
      </c>
      <c r="D3664" t="inlineStr">
        <is>
          <t>Saturday</t>
        </is>
      </c>
      <c r="E3664" t="n">
        <v>28</v>
      </c>
      <c r="F3664" t="b">
        <v>0</v>
      </c>
      <c r="H3664" t="b">
        <v>0</v>
      </c>
    </row>
    <row r="3665">
      <c r="A3665" t="inlineStr">
        <is>
          <t>S009</t>
        </is>
      </c>
      <c r="B3665" s="3" t="n">
        <v>46277</v>
      </c>
      <c r="C3665" t="n">
        <v>23</v>
      </c>
      <c r="D3665" t="inlineStr">
        <is>
          <t>Saturday</t>
        </is>
      </c>
      <c r="E3665" t="n">
        <v>27</v>
      </c>
      <c r="F3665" t="b">
        <v>0</v>
      </c>
      <c r="G3665" t="inlineStr">
        <is>
          <t>Light</t>
        </is>
      </c>
      <c r="H3665" t="b">
        <v>0</v>
      </c>
    </row>
    <row r="3666">
      <c r="A3666" t="inlineStr">
        <is>
          <t>S010</t>
        </is>
      </c>
      <c r="B3666" s="3" t="n">
        <v>46277</v>
      </c>
      <c r="C3666" t="n">
        <v>8</v>
      </c>
      <c r="D3666" t="inlineStr">
        <is>
          <t>Saturday</t>
        </is>
      </c>
      <c r="E3666" t="n">
        <v>17</v>
      </c>
      <c r="F3666" t="b">
        <v>0</v>
      </c>
      <c r="G3666" t="inlineStr">
        <is>
          <t>Light</t>
        </is>
      </c>
      <c r="H3666" t="b">
        <v>0</v>
      </c>
    </row>
    <row r="3667">
      <c r="A3667" t="inlineStr">
        <is>
          <t>S010</t>
        </is>
      </c>
      <c r="B3667" s="3" t="n">
        <v>46277</v>
      </c>
      <c r="C3667" t="n">
        <v>9</v>
      </c>
      <c r="D3667" t="inlineStr">
        <is>
          <t>Saturday</t>
        </is>
      </c>
      <c r="E3667" t="n">
        <v>17</v>
      </c>
      <c r="F3667" t="b">
        <v>0</v>
      </c>
      <c r="G3667" t="inlineStr">
        <is>
          <t>Light</t>
        </is>
      </c>
      <c r="H3667" t="b">
        <v>0</v>
      </c>
    </row>
    <row r="3668">
      <c r="A3668" t="inlineStr">
        <is>
          <t>S010</t>
        </is>
      </c>
      <c r="B3668" s="3" t="n">
        <v>46277</v>
      </c>
      <c r="C3668" t="n">
        <v>10</v>
      </c>
      <c r="D3668" t="inlineStr">
        <is>
          <t>Saturday</t>
        </is>
      </c>
      <c r="E3668" t="n">
        <v>14</v>
      </c>
      <c r="F3668" t="b">
        <v>0</v>
      </c>
      <c r="H3668" t="b">
        <v>0</v>
      </c>
    </row>
    <row r="3669">
      <c r="A3669" t="inlineStr">
        <is>
          <t>S010</t>
        </is>
      </c>
      <c r="B3669" s="3" t="n">
        <v>46277</v>
      </c>
      <c r="C3669" t="n">
        <v>11</v>
      </c>
      <c r="D3669" t="inlineStr">
        <is>
          <t>Saturday</t>
        </is>
      </c>
      <c r="E3669" t="n">
        <v>28</v>
      </c>
      <c r="F3669" t="b">
        <v>0</v>
      </c>
      <c r="H3669" t="b">
        <v>0</v>
      </c>
    </row>
    <row r="3670">
      <c r="A3670" t="inlineStr">
        <is>
          <t>S010</t>
        </is>
      </c>
      <c r="B3670" s="3" t="n">
        <v>46277</v>
      </c>
      <c r="C3670" t="n">
        <v>12</v>
      </c>
      <c r="D3670" t="inlineStr">
        <is>
          <t>Saturday</t>
        </is>
      </c>
      <c r="E3670" t="n">
        <v>27</v>
      </c>
      <c r="F3670" t="b">
        <v>0</v>
      </c>
      <c r="H3670" t="b">
        <v>0</v>
      </c>
    </row>
    <row r="3671">
      <c r="A3671" t="inlineStr">
        <is>
          <t>S010</t>
        </is>
      </c>
      <c r="B3671" s="3" t="n">
        <v>46277</v>
      </c>
      <c r="C3671" t="n">
        <v>13</v>
      </c>
      <c r="D3671" t="inlineStr">
        <is>
          <t>Saturday</t>
        </is>
      </c>
      <c r="E3671" t="n">
        <v>27</v>
      </c>
      <c r="F3671" t="b">
        <v>0</v>
      </c>
      <c r="H3671" t="b">
        <v>0</v>
      </c>
    </row>
    <row r="3672">
      <c r="A3672" t="inlineStr">
        <is>
          <t>S010</t>
        </is>
      </c>
      <c r="B3672" s="3" t="n">
        <v>46277</v>
      </c>
      <c r="C3672" t="n">
        <v>14</v>
      </c>
      <c r="D3672" t="inlineStr">
        <is>
          <t>Saturday</t>
        </is>
      </c>
      <c r="E3672" t="n">
        <v>19</v>
      </c>
      <c r="F3672" t="b">
        <v>0</v>
      </c>
      <c r="H3672" t="b">
        <v>0</v>
      </c>
    </row>
    <row r="3673">
      <c r="A3673" t="inlineStr">
        <is>
          <t>S010</t>
        </is>
      </c>
      <c r="B3673" s="3" t="n">
        <v>46277</v>
      </c>
      <c r="C3673" t="n">
        <v>15</v>
      </c>
      <c r="D3673" t="inlineStr">
        <is>
          <t>Saturday</t>
        </is>
      </c>
      <c r="E3673" t="n">
        <v>23</v>
      </c>
      <c r="F3673" t="b">
        <v>0</v>
      </c>
      <c r="H3673" t="b">
        <v>0</v>
      </c>
    </row>
    <row r="3674">
      <c r="A3674" t="inlineStr">
        <is>
          <t>S010</t>
        </is>
      </c>
      <c r="B3674" s="3" t="n">
        <v>46277</v>
      </c>
      <c r="C3674" t="n">
        <v>16</v>
      </c>
      <c r="D3674" t="inlineStr">
        <is>
          <t>Saturday</t>
        </is>
      </c>
      <c r="E3674" t="n">
        <v>23</v>
      </c>
      <c r="F3674" t="b">
        <v>0</v>
      </c>
      <c r="H3674" t="b">
        <v>0</v>
      </c>
    </row>
    <row r="3675">
      <c r="A3675" t="inlineStr">
        <is>
          <t>S010</t>
        </is>
      </c>
      <c r="B3675" s="3" t="n">
        <v>46277</v>
      </c>
      <c r="C3675" t="n">
        <v>17</v>
      </c>
      <c r="D3675" t="inlineStr">
        <is>
          <t>Saturday</t>
        </is>
      </c>
      <c r="E3675" t="n">
        <v>22</v>
      </c>
      <c r="F3675" t="b">
        <v>0</v>
      </c>
      <c r="G3675" t="inlineStr">
        <is>
          <t>Heavy</t>
        </is>
      </c>
      <c r="H3675" t="b">
        <v>0</v>
      </c>
    </row>
    <row r="3676">
      <c r="A3676" t="inlineStr">
        <is>
          <t>S010</t>
        </is>
      </c>
      <c r="B3676" s="3" t="n">
        <v>46277</v>
      </c>
      <c r="C3676" t="n">
        <v>18</v>
      </c>
      <c r="D3676" t="inlineStr">
        <is>
          <t>Saturday</t>
        </is>
      </c>
      <c r="E3676" t="n">
        <v>29</v>
      </c>
      <c r="F3676" t="b">
        <v>0</v>
      </c>
      <c r="H3676" t="b">
        <v>0</v>
      </c>
    </row>
    <row r="3677">
      <c r="A3677" t="inlineStr">
        <is>
          <t>S010</t>
        </is>
      </c>
      <c r="B3677" s="3" t="n">
        <v>46277</v>
      </c>
      <c r="C3677" t="n">
        <v>19</v>
      </c>
      <c r="D3677" t="inlineStr">
        <is>
          <t>Saturday</t>
        </is>
      </c>
      <c r="E3677" t="n">
        <v>33</v>
      </c>
      <c r="F3677" t="b">
        <v>1</v>
      </c>
      <c r="H3677" t="b">
        <v>0</v>
      </c>
    </row>
    <row r="3678">
      <c r="A3678" t="inlineStr">
        <is>
          <t>S010</t>
        </is>
      </c>
      <c r="B3678" s="3" t="n">
        <v>46277</v>
      </c>
      <c r="C3678" t="n">
        <v>20</v>
      </c>
      <c r="D3678" t="inlineStr">
        <is>
          <t>Saturday</t>
        </is>
      </c>
      <c r="E3678" t="n">
        <v>33</v>
      </c>
      <c r="F3678" t="b">
        <v>1</v>
      </c>
      <c r="H3678" t="b">
        <v>0</v>
      </c>
    </row>
    <row r="3679">
      <c r="A3679" t="inlineStr">
        <is>
          <t>S010</t>
        </is>
      </c>
      <c r="B3679" s="3" t="n">
        <v>46277</v>
      </c>
      <c r="C3679" t="n">
        <v>21</v>
      </c>
      <c r="D3679" t="inlineStr">
        <is>
          <t>Saturday</t>
        </is>
      </c>
      <c r="E3679" t="n">
        <v>39</v>
      </c>
      <c r="F3679" t="b">
        <v>1</v>
      </c>
      <c r="G3679" t="inlineStr">
        <is>
          <t>Light</t>
        </is>
      </c>
      <c r="H3679" t="b">
        <v>0</v>
      </c>
    </row>
    <row r="3680">
      <c r="A3680" t="inlineStr">
        <is>
          <t>S010</t>
        </is>
      </c>
      <c r="B3680" s="3" t="n">
        <v>46277</v>
      </c>
      <c r="C3680" t="n">
        <v>22</v>
      </c>
      <c r="D3680" t="inlineStr">
        <is>
          <t>Saturday</t>
        </is>
      </c>
      <c r="E3680" t="n">
        <v>26</v>
      </c>
      <c r="F3680" t="b">
        <v>0</v>
      </c>
      <c r="H3680" t="b">
        <v>0</v>
      </c>
    </row>
    <row r="3681">
      <c r="A3681" t="inlineStr">
        <is>
          <t>S010</t>
        </is>
      </c>
      <c r="B3681" s="3" t="n">
        <v>46277</v>
      </c>
      <c r="C3681" t="n">
        <v>23</v>
      </c>
      <c r="D3681" t="inlineStr">
        <is>
          <t>Saturday</t>
        </is>
      </c>
      <c r="E3681" t="n">
        <v>31</v>
      </c>
      <c r="F3681" t="b">
        <v>0</v>
      </c>
      <c r="G3681" t="inlineStr">
        <is>
          <t>Heavy</t>
        </is>
      </c>
      <c r="H3681" t="b">
        <v>0</v>
      </c>
    </row>
    <row r="3682">
      <c r="A3682" t="inlineStr">
        <is>
          <t>S011</t>
        </is>
      </c>
      <c r="B3682" s="3" t="n">
        <v>46277</v>
      </c>
      <c r="C3682" t="n">
        <v>8</v>
      </c>
      <c r="D3682" t="inlineStr">
        <is>
          <t>Saturday</t>
        </is>
      </c>
      <c r="E3682" t="n">
        <v>23</v>
      </c>
      <c r="F3682" t="b">
        <v>0</v>
      </c>
      <c r="H3682" t="b">
        <v>0</v>
      </c>
    </row>
    <row r="3683">
      <c r="A3683" t="inlineStr">
        <is>
          <t>S011</t>
        </is>
      </c>
      <c r="B3683" s="3" t="n">
        <v>46277</v>
      </c>
      <c r="C3683" t="n">
        <v>9</v>
      </c>
      <c r="D3683" t="inlineStr">
        <is>
          <t>Saturday</t>
        </is>
      </c>
      <c r="E3683" t="n">
        <v>23</v>
      </c>
      <c r="F3683" t="b">
        <v>0</v>
      </c>
      <c r="G3683" t="inlineStr">
        <is>
          <t>Heavy</t>
        </is>
      </c>
      <c r="H3683" t="b">
        <v>0</v>
      </c>
    </row>
    <row r="3684">
      <c r="A3684" t="inlineStr">
        <is>
          <t>S011</t>
        </is>
      </c>
      <c r="B3684" s="3" t="n">
        <v>46277</v>
      </c>
      <c r="C3684" t="n">
        <v>10</v>
      </c>
      <c r="D3684" t="inlineStr">
        <is>
          <t>Saturday</t>
        </is>
      </c>
      <c r="E3684" t="n">
        <v>23</v>
      </c>
      <c r="F3684" t="b">
        <v>0</v>
      </c>
      <c r="H3684" t="b">
        <v>0</v>
      </c>
    </row>
    <row r="3685">
      <c r="A3685" t="inlineStr">
        <is>
          <t>S011</t>
        </is>
      </c>
      <c r="B3685" s="3" t="n">
        <v>46277</v>
      </c>
      <c r="C3685" t="n">
        <v>11</v>
      </c>
      <c r="D3685" t="inlineStr">
        <is>
          <t>Saturday</t>
        </is>
      </c>
      <c r="E3685" t="n">
        <v>37</v>
      </c>
      <c r="F3685" t="b">
        <v>0</v>
      </c>
      <c r="H3685" t="b">
        <v>0</v>
      </c>
    </row>
    <row r="3686">
      <c r="A3686" t="inlineStr">
        <is>
          <t>S011</t>
        </is>
      </c>
      <c r="B3686" s="3" t="n">
        <v>46277</v>
      </c>
      <c r="C3686" t="n">
        <v>12</v>
      </c>
      <c r="D3686" t="inlineStr">
        <is>
          <t>Saturday</t>
        </is>
      </c>
      <c r="E3686" t="n">
        <v>38</v>
      </c>
      <c r="F3686" t="b">
        <v>0</v>
      </c>
      <c r="H3686" t="b">
        <v>0</v>
      </c>
    </row>
    <row r="3687">
      <c r="A3687" t="inlineStr">
        <is>
          <t>S011</t>
        </is>
      </c>
      <c r="B3687" s="3" t="n">
        <v>46277</v>
      </c>
      <c r="C3687" t="n">
        <v>13</v>
      </c>
      <c r="D3687" t="inlineStr">
        <is>
          <t>Saturday</t>
        </is>
      </c>
      <c r="E3687" t="n">
        <v>40</v>
      </c>
      <c r="F3687" t="b">
        <v>0</v>
      </c>
      <c r="H3687" t="b">
        <v>0</v>
      </c>
    </row>
    <row r="3688">
      <c r="A3688" t="inlineStr">
        <is>
          <t>S011</t>
        </is>
      </c>
      <c r="B3688" s="3" t="n">
        <v>46277</v>
      </c>
      <c r="C3688" t="n">
        <v>14</v>
      </c>
      <c r="D3688" t="inlineStr">
        <is>
          <t>Saturday</t>
        </is>
      </c>
      <c r="E3688" t="n">
        <v>16</v>
      </c>
      <c r="F3688" t="b">
        <v>0</v>
      </c>
      <c r="H3688" t="b">
        <v>0</v>
      </c>
    </row>
    <row r="3689">
      <c r="A3689" t="inlineStr">
        <is>
          <t>S011</t>
        </is>
      </c>
      <c r="B3689" s="3" t="n">
        <v>46277</v>
      </c>
      <c r="C3689" t="n">
        <v>15</v>
      </c>
      <c r="D3689" t="inlineStr">
        <is>
          <t>Saturday</t>
        </is>
      </c>
      <c r="E3689" t="n">
        <v>38</v>
      </c>
      <c r="F3689" t="b">
        <v>0</v>
      </c>
      <c r="G3689" t="inlineStr">
        <is>
          <t>Heavy</t>
        </is>
      </c>
      <c r="H3689" t="b">
        <v>0</v>
      </c>
    </row>
    <row r="3690">
      <c r="A3690" t="inlineStr">
        <is>
          <t>S011</t>
        </is>
      </c>
      <c r="B3690" s="3" t="n">
        <v>46277</v>
      </c>
      <c r="C3690" t="n">
        <v>16</v>
      </c>
      <c r="D3690" t="inlineStr">
        <is>
          <t>Saturday</t>
        </is>
      </c>
      <c r="E3690" t="n">
        <v>35</v>
      </c>
      <c r="F3690" t="b">
        <v>0</v>
      </c>
      <c r="H3690" t="b">
        <v>0</v>
      </c>
    </row>
    <row r="3691">
      <c r="A3691" t="inlineStr">
        <is>
          <t>S011</t>
        </is>
      </c>
      <c r="B3691" s="3" t="n">
        <v>46277</v>
      </c>
      <c r="C3691" t="n">
        <v>17</v>
      </c>
      <c r="D3691" t="inlineStr">
        <is>
          <t>Saturday</t>
        </is>
      </c>
      <c r="E3691" t="n">
        <v>29</v>
      </c>
      <c r="F3691" t="b">
        <v>0</v>
      </c>
      <c r="G3691" t="inlineStr">
        <is>
          <t>Light</t>
        </is>
      </c>
      <c r="H3691" t="b">
        <v>0</v>
      </c>
    </row>
    <row r="3692">
      <c r="A3692" t="inlineStr">
        <is>
          <t>S011</t>
        </is>
      </c>
      <c r="B3692" s="3" t="n">
        <v>46277</v>
      </c>
      <c r="C3692" t="n">
        <v>18</v>
      </c>
      <c r="D3692" t="inlineStr">
        <is>
          <t>Saturday</t>
        </is>
      </c>
      <c r="E3692" t="n">
        <v>40</v>
      </c>
      <c r="F3692" t="b">
        <v>0</v>
      </c>
      <c r="H3692" t="b">
        <v>0</v>
      </c>
    </row>
    <row r="3693">
      <c r="A3693" t="inlineStr">
        <is>
          <t>S011</t>
        </is>
      </c>
      <c r="B3693" s="3" t="n">
        <v>46277</v>
      </c>
      <c r="C3693" t="n">
        <v>19</v>
      </c>
      <c r="D3693" t="inlineStr">
        <is>
          <t>Saturday</t>
        </is>
      </c>
      <c r="E3693" t="n">
        <v>50</v>
      </c>
      <c r="F3693" t="b">
        <v>1</v>
      </c>
      <c r="G3693" t="inlineStr">
        <is>
          <t>Heavy</t>
        </is>
      </c>
      <c r="H3693" t="b">
        <v>0</v>
      </c>
    </row>
    <row r="3694">
      <c r="A3694" t="inlineStr">
        <is>
          <t>S011</t>
        </is>
      </c>
      <c r="B3694" s="3" t="n">
        <v>46277</v>
      </c>
      <c r="C3694" t="n">
        <v>20</v>
      </c>
      <c r="D3694" t="inlineStr">
        <is>
          <t>Saturday</t>
        </is>
      </c>
      <c r="E3694" t="n">
        <v>36</v>
      </c>
      <c r="F3694" t="b">
        <v>1</v>
      </c>
      <c r="H3694" t="b">
        <v>0</v>
      </c>
    </row>
    <row r="3695">
      <c r="A3695" t="inlineStr">
        <is>
          <t>S011</t>
        </is>
      </c>
      <c r="B3695" s="3" t="n">
        <v>46277</v>
      </c>
      <c r="C3695" t="n">
        <v>21</v>
      </c>
      <c r="D3695" t="inlineStr">
        <is>
          <t>Saturday</t>
        </is>
      </c>
      <c r="E3695" t="n">
        <v>48</v>
      </c>
      <c r="F3695" t="b">
        <v>1</v>
      </c>
      <c r="H3695" t="b">
        <v>0</v>
      </c>
    </row>
    <row r="3696">
      <c r="A3696" t="inlineStr">
        <is>
          <t>S011</t>
        </is>
      </c>
      <c r="B3696" s="3" t="n">
        <v>46277</v>
      </c>
      <c r="C3696" t="n">
        <v>22</v>
      </c>
      <c r="D3696" t="inlineStr">
        <is>
          <t>Saturday</t>
        </is>
      </c>
      <c r="E3696" t="n">
        <v>37</v>
      </c>
      <c r="F3696" t="b">
        <v>0</v>
      </c>
      <c r="G3696" t="inlineStr">
        <is>
          <t>Light</t>
        </is>
      </c>
      <c r="H3696" t="b">
        <v>0</v>
      </c>
    </row>
    <row r="3697">
      <c r="A3697" t="inlineStr">
        <is>
          <t>S011</t>
        </is>
      </c>
      <c r="B3697" s="3" t="n">
        <v>46277</v>
      </c>
      <c r="C3697" t="n">
        <v>23</v>
      </c>
      <c r="D3697" t="inlineStr">
        <is>
          <t>Saturday</t>
        </is>
      </c>
      <c r="E3697" t="n">
        <v>32</v>
      </c>
      <c r="F3697" t="b">
        <v>0</v>
      </c>
      <c r="H3697" t="b">
        <v>0</v>
      </c>
    </row>
    <row r="3698">
      <c r="A3698" t="inlineStr">
        <is>
          <t>S012</t>
        </is>
      </c>
      <c r="B3698" s="3" t="n">
        <v>46277</v>
      </c>
      <c r="C3698" t="n">
        <v>8</v>
      </c>
      <c r="D3698" t="inlineStr">
        <is>
          <t>Saturday</t>
        </is>
      </c>
      <c r="E3698" t="n">
        <v>19</v>
      </c>
      <c r="F3698" t="b">
        <v>0</v>
      </c>
      <c r="H3698" t="b">
        <v>0</v>
      </c>
    </row>
    <row r="3699">
      <c r="A3699" t="inlineStr">
        <is>
          <t>S012</t>
        </is>
      </c>
      <c r="B3699" s="3" t="n">
        <v>46277</v>
      </c>
      <c r="C3699" t="n">
        <v>9</v>
      </c>
      <c r="D3699" t="inlineStr">
        <is>
          <t>Saturday</t>
        </is>
      </c>
      <c r="E3699" t="n">
        <v>13</v>
      </c>
      <c r="F3699" t="b">
        <v>0</v>
      </c>
      <c r="H3699" t="b">
        <v>1</v>
      </c>
    </row>
    <row r="3700">
      <c r="A3700" t="inlineStr">
        <is>
          <t>S012</t>
        </is>
      </c>
      <c r="B3700" s="3" t="n">
        <v>46277</v>
      </c>
      <c r="C3700" t="n">
        <v>10</v>
      </c>
      <c r="D3700" t="inlineStr">
        <is>
          <t>Saturday</t>
        </is>
      </c>
      <c r="E3700" t="n">
        <v>19</v>
      </c>
      <c r="F3700" t="b">
        <v>0</v>
      </c>
      <c r="G3700" t="inlineStr">
        <is>
          <t>Light</t>
        </is>
      </c>
      <c r="H3700" t="b">
        <v>0</v>
      </c>
    </row>
    <row r="3701">
      <c r="A3701" t="inlineStr">
        <is>
          <t>S012</t>
        </is>
      </c>
      <c r="B3701" s="3" t="n">
        <v>46277</v>
      </c>
      <c r="C3701" t="n">
        <v>11</v>
      </c>
      <c r="D3701" t="inlineStr">
        <is>
          <t>Saturday</t>
        </is>
      </c>
      <c r="E3701" t="n">
        <v>12</v>
      </c>
      <c r="F3701" t="b">
        <v>0</v>
      </c>
      <c r="G3701" t="inlineStr">
        <is>
          <t>Heavy</t>
        </is>
      </c>
      <c r="H3701" t="b">
        <v>0</v>
      </c>
    </row>
    <row r="3702">
      <c r="A3702" t="inlineStr">
        <is>
          <t>S012</t>
        </is>
      </c>
      <c r="B3702" s="3" t="n">
        <v>46277</v>
      </c>
      <c r="C3702" t="n">
        <v>12</v>
      </c>
      <c r="D3702" t="inlineStr">
        <is>
          <t>Saturday</t>
        </is>
      </c>
      <c r="E3702" t="n">
        <v>14</v>
      </c>
      <c r="F3702" t="b">
        <v>0</v>
      </c>
      <c r="G3702" t="inlineStr">
        <is>
          <t>Heavy</t>
        </is>
      </c>
      <c r="H3702" t="b">
        <v>0</v>
      </c>
    </row>
    <row r="3703">
      <c r="A3703" t="inlineStr">
        <is>
          <t>S012</t>
        </is>
      </c>
      <c r="B3703" s="3" t="n">
        <v>46277</v>
      </c>
      <c r="C3703" t="n">
        <v>13</v>
      </c>
      <c r="D3703" t="inlineStr">
        <is>
          <t>Saturday</t>
        </is>
      </c>
      <c r="E3703" t="n">
        <v>15</v>
      </c>
      <c r="F3703" t="b">
        <v>0</v>
      </c>
      <c r="G3703" t="inlineStr">
        <is>
          <t>Heavy</t>
        </is>
      </c>
      <c r="H3703" t="b">
        <v>0</v>
      </c>
    </row>
    <row r="3704">
      <c r="A3704" t="inlineStr">
        <is>
          <t>S012</t>
        </is>
      </c>
      <c r="B3704" s="3" t="n">
        <v>46277</v>
      </c>
      <c r="C3704" t="n">
        <v>14</v>
      </c>
      <c r="D3704" t="inlineStr">
        <is>
          <t>Saturday</t>
        </is>
      </c>
      <c r="E3704" t="n">
        <v>7</v>
      </c>
      <c r="F3704" t="b">
        <v>0</v>
      </c>
      <c r="H3704" t="b">
        <v>0</v>
      </c>
    </row>
    <row r="3705">
      <c r="A3705" t="inlineStr">
        <is>
          <t>S012</t>
        </is>
      </c>
      <c r="B3705" s="3" t="n">
        <v>46277</v>
      </c>
      <c r="C3705" t="n">
        <v>15</v>
      </c>
      <c r="D3705" t="inlineStr">
        <is>
          <t>Saturday</t>
        </is>
      </c>
      <c r="E3705" t="n">
        <v>13</v>
      </c>
      <c r="F3705" t="b">
        <v>0</v>
      </c>
      <c r="G3705" t="inlineStr">
        <is>
          <t>Light</t>
        </is>
      </c>
      <c r="H3705" t="b">
        <v>0</v>
      </c>
    </row>
    <row r="3706">
      <c r="A3706" t="inlineStr">
        <is>
          <t>S012</t>
        </is>
      </c>
      <c r="B3706" s="3" t="n">
        <v>46277</v>
      </c>
      <c r="C3706" t="n">
        <v>16</v>
      </c>
      <c r="D3706" t="inlineStr">
        <is>
          <t>Saturday</t>
        </is>
      </c>
      <c r="E3706" t="n">
        <v>18</v>
      </c>
      <c r="F3706" t="b">
        <v>0</v>
      </c>
      <c r="H3706" t="b">
        <v>0</v>
      </c>
    </row>
    <row r="3707">
      <c r="A3707" t="inlineStr">
        <is>
          <t>S012</t>
        </is>
      </c>
      <c r="B3707" s="3" t="n">
        <v>46277</v>
      </c>
      <c r="C3707" t="n">
        <v>17</v>
      </c>
      <c r="D3707" t="inlineStr">
        <is>
          <t>Saturday</t>
        </is>
      </c>
      <c r="E3707" t="n">
        <v>8</v>
      </c>
      <c r="F3707" t="b">
        <v>0</v>
      </c>
      <c r="H3707" t="b">
        <v>0</v>
      </c>
    </row>
    <row r="3708">
      <c r="A3708" t="inlineStr">
        <is>
          <t>S012</t>
        </is>
      </c>
      <c r="B3708" s="3" t="n">
        <v>46277</v>
      </c>
      <c r="C3708" t="n">
        <v>18</v>
      </c>
      <c r="D3708" t="inlineStr">
        <is>
          <t>Saturday</t>
        </is>
      </c>
      <c r="E3708" t="n">
        <v>13</v>
      </c>
      <c r="F3708" t="b">
        <v>0</v>
      </c>
      <c r="H3708" t="b">
        <v>0</v>
      </c>
    </row>
    <row r="3709">
      <c r="A3709" t="inlineStr">
        <is>
          <t>S012</t>
        </is>
      </c>
      <c r="B3709" s="3" t="n">
        <v>46277</v>
      </c>
      <c r="C3709" t="n">
        <v>19</v>
      </c>
      <c r="D3709" t="inlineStr">
        <is>
          <t>Saturday</t>
        </is>
      </c>
      <c r="E3709" t="n">
        <v>38</v>
      </c>
      <c r="F3709" t="b">
        <v>1</v>
      </c>
      <c r="G3709" t="inlineStr">
        <is>
          <t>Light</t>
        </is>
      </c>
      <c r="H3709" t="b">
        <v>0</v>
      </c>
    </row>
    <row r="3710">
      <c r="A3710" t="inlineStr">
        <is>
          <t>S012</t>
        </is>
      </c>
      <c r="B3710" s="3" t="n">
        <v>46277</v>
      </c>
      <c r="C3710" t="n">
        <v>20</v>
      </c>
      <c r="D3710" t="inlineStr">
        <is>
          <t>Saturday</t>
        </is>
      </c>
      <c r="E3710" t="n">
        <v>29</v>
      </c>
      <c r="F3710" t="b">
        <v>1</v>
      </c>
      <c r="H3710" t="b">
        <v>0</v>
      </c>
    </row>
    <row r="3711">
      <c r="A3711" t="inlineStr">
        <is>
          <t>S012</t>
        </is>
      </c>
      <c r="B3711" s="3" t="n">
        <v>46277</v>
      </c>
      <c r="C3711" t="n">
        <v>21</v>
      </c>
      <c r="D3711" t="inlineStr">
        <is>
          <t>Saturday</t>
        </is>
      </c>
      <c r="E3711" t="n">
        <v>29</v>
      </c>
      <c r="F3711" t="b">
        <v>1</v>
      </c>
      <c r="G3711" t="inlineStr">
        <is>
          <t>Light</t>
        </is>
      </c>
      <c r="H3711" t="b">
        <v>0</v>
      </c>
    </row>
    <row r="3712">
      <c r="A3712" t="inlineStr">
        <is>
          <t>S012</t>
        </is>
      </c>
      <c r="B3712" s="3" t="n">
        <v>46277</v>
      </c>
      <c r="C3712" t="n">
        <v>22</v>
      </c>
      <c r="D3712" t="inlineStr">
        <is>
          <t>Saturday</t>
        </is>
      </c>
      <c r="E3712" t="n">
        <v>12</v>
      </c>
      <c r="F3712" t="b">
        <v>0</v>
      </c>
      <c r="G3712" t="inlineStr">
        <is>
          <t>Light</t>
        </is>
      </c>
      <c r="H3712" t="b">
        <v>0</v>
      </c>
    </row>
    <row r="3713">
      <c r="A3713" t="inlineStr">
        <is>
          <t>S012</t>
        </is>
      </c>
      <c r="B3713" s="3" t="n">
        <v>46277</v>
      </c>
      <c r="C3713" t="n">
        <v>23</v>
      </c>
      <c r="D3713" t="inlineStr">
        <is>
          <t>Saturday</t>
        </is>
      </c>
      <c r="E3713" t="n">
        <v>23</v>
      </c>
      <c r="F3713" t="b">
        <v>0</v>
      </c>
      <c r="G3713" t="inlineStr">
        <is>
          <t>Light</t>
        </is>
      </c>
      <c r="H3713" t="b">
        <v>0</v>
      </c>
    </row>
    <row r="3714">
      <c r="A3714" t="inlineStr">
        <is>
          <t>S013</t>
        </is>
      </c>
      <c r="B3714" s="3" t="n">
        <v>46277</v>
      </c>
      <c r="C3714" t="n">
        <v>8</v>
      </c>
      <c r="D3714" t="inlineStr">
        <is>
          <t>Saturday</t>
        </is>
      </c>
      <c r="E3714" t="n">
        <v>36</v>
      </c>
      <c r="F3714" t="b">
        <v>0</v>
      </c>
      <c r="H3714" t="b">
        <v>0</v>
      </c>
    </row>
    <row r="3715">
      <c r="A3715" t="inlineStr">
        <is>
          <t>S013</t>
        </is>
      </c>
      <c r="B3715" s="3" t="n">
        <v>46277</v>
      </c>
      <c r="C3715" t="n">
        <v>9</v>
      </c>
      <c r="D3715" t="inlineStr">
        <is>
          <t>Saturday</t>
        </is>
      </c>
      <c r="E3715" t="n">
        <v>34</v>
      </c>
      <c r="F3715" t="b">
        <v>0</v>
      </c>
      <c r="G3715" t="inlineStr">
        <is>
          <t>Heavy</t>
        </is>
      </c>
      <c r="H3715" t="b">
        <v>0</v>
      </c>
    </row>
    <row r="3716">
      <c r="A3716" t="inlineStr">
        <is>
          <t>S013</t>
        </is>
      </c>
      <c r="B3716" s="3" t="n">
        <v>46277</v>
      </c>
      <c r="C3716" t="n">
        <v>10</v>
      </c>
      <c r="D3716" t="inlineStr">
        <is>
          <t>Saturday</t>
        </is>
      </c>
      <c r="E3716" t="n">
        <v>39</v>
      </c>
      <c r="F3716" t="b">
        <v>0</v>
      </c>
      <c r="H3716" t="b">
        <v>0</v>
      </c>
    </row>
    <row r="3717">
      <c r="A3717" t="inlineStr">
        <is>
          <t>S013</t>
        </is>
      </c>
      <c r="B3717" s="3" t="n">
        <v>46277</v>
      </c>
      <c r="C3717" t="n">
        <v>11</v>
      </c>
      <c r="D3717" t="inlineStr">
        <is>
          <t>Saturday</t>
        </is>
      </c>
      <c r="E3717" t="n">
        <v>57</v>
      </c>
      <c r="F3717" t="b">
        <v>0</v>
      </c>
      <c r="H3717" t="b">
        <v>0</v>
      </c>
    </row>
    <row r="3718">
      <c r="A3718" t="inlineStr">
        <is>
          <t>S013</t>
        </is>
      </c>
      <c r="B3718" s="3" t="n">
        <v>46277</v>
      </c>
      <c r="C3718" t="n">
        <v>12</v>
      </c>
      <c r="D3718" t="inlineStr">
        <is>
          <t>Saturday</t>
        </is>
      </c>
      <c r="E3718" t="n">
        <v>57</v>
      </c>
      <c r="F3718" t="b">
        <v>0</v>
      </c>
      <c r="H3718" t="b">
        <v>0</v>
      </c>
    </row>
    <row r="3719">
      <c r="A3719" t="inlineStr">
        <is>
          <t>S013</t>
        </is>
      </c>
      <c r="B3719" s="3" t="n">
        <v>46277</v>
      </c>
      <c r="C3719" t="n">
        <v>13</v>
      </c>
      <c r="D3719" t="inlineStr">
        <is>
          <t>Saturday</t>
        </is>
      </c>
      <c r="E3719" t="n">
        <v>51</v>
      </c>
      <c r="F3719" t="b">
        <v>0</v>
      </c>
      <c r="G3719" t="inlineStr">
        <is>
          <t>Light</t>
        </is>
      </c>
      <c r="H3719" t="b">
        <v>0</v>
      </c>
    </row>
    <row r="3720">
      <c r="A3720" t="inlineStr">
        <is>
          <t>S013</t>
        </is>
      </c>
      <c r="B3720" s="3" t="n">
        <v>46277</v>
      </c>
      <c r="C3720" t="n">
        <v>14</v>
      </c>
      <c r="D3720" t="inlineStr">
        <is>
          <t>Saturday</t>
        </is>
      </c>
      <c r="E3720" t="n">
        <v>32</v>
      </c>
      <c r="F3720" t="b">
        <v>0</v>
      </c>
      <c r="H3720" t="b">
        <v>0</v>
      </c>
    </row>
    <row r="3721">
      <c r="A3721" t="inlineStr">
        <is>
          <t>S013</t>
        </is>
      </c>
      <c r="B3721" s="3" t="n">
        <v>46277</v>
      </c>
      <c r="C3721" t="n">
        <v>15</v>
      </c>
      <c r="D3721" t="inlineStr">
        <is>
          <t>Saturday</t>
        </is>
      </c>
      <c r="E3721" t="n">
        <v>43</v>
      </c>
      <c r="F3721" t="b">
        <v>0</v>
      </c>
      <c r="H3721" t="b">
        <v>0</v>
      </c>
    </row>
    <row r="3722">
      <c r="A3722" t="inlineStr">
        <is>
          <t>S013</t>
        </is>
      </c>
      <c r="B3722" s="3" t="n">
        <v>46277</v>
      </c>
      <c r="C3722" t="n">
        <v>16</v>
      </c>
      <c r="D3722" t="inlineStr">
        <is>
          <t>Saturday</t>
        </is>
      </c>
      <c r="E3722" t="n">
        <v>61</v>
      </c>
      <c r="F3722" t="b">
        <v>0</v>
      </c>
      <c r="H3722" t="b">
        <v>0</v>
      </c>
    </row>
    <row r="3723">
      <c r="A3723" t="inlineStr">
        <is>
          <t>S013</t>
        </is>
      </c>
      <c r="B3723" s="3" t="n">
        <v>46277</v>
      </c>
      <c r="C3723" t="n">
        <v>17</v>
      </c>
      <c r="D3723" t="inlineStr">
        <is>
          <t>Saturday</t>
        </is>
      </c>
      <c r="E3723" t="n">
        <v>51</v>
      </c>
      <c r="F3723" t="b">
        <v>0</v>
      </c>
      <c r="H3723" t="b">
        <v>0</v>
      </c>
    </row>
    <row r="3724">
      <c r="A3724" t="inlineStr">
        <is>
          <t>S013</t>
        </is>
      </c>
      <c r="B3724" s="3" t="n">
        <v>46277</v>
      </c>
      <c r="C3724" t="n">
        <v>18</v>
      </c>
      <c r="D3724" t="inlineStr">
        <is>
          <t>Saturday</t>
        </is>
      </c>
      <c r="E3724" t="n">
        <v>53</v>
      </c>
      <c r="F3724" t="b">
        <v>0</v>
      </c>
      <c r="H3724" t="b">
        <v>0</v>
      </c>
    </row>
    <row r="3725">
      <c r="A3725" t="inlineStr">
        <is>
          <t>S013</t>
        </is>
      </c>
      <c r="B3725" s="3" t="n">
        <v>46277</v>
      </c>
      <c r="C3725" t="n">
        <v>19</v>
      </c>
      <c r="D3725" t="inlineStr">
        <is>
          <t>Saturday</t>
        </is>
      </c>
      <c r="E3725" t="n">
        <v>88</v>
      </c>
      <c r="F3725" t="b">
        <v>1</v>
      </c>
      <c r="H3725" t="b">
        <v>0</v>
      </c>
    </row>
    <row r="3726">
      <c r="A3726" t="inlineStr">
        <is>
          <t>S013</t>
        </is>
      </c>
      <c r="B3726" s="3" t="n">
        <v>46277</v>
      </c>
      <c r="C3726" t="n">
        <v>20</v>
      </c>
      <c r="D3726" t="inlineStr">
        <is>
          <t>Saturday</t>
        </is>
      </c>
      <c r="E3726" t="n">
        <v>75</v>
      </c>
      <c r="F3726" t="b">
        <v>1</v>
      </c>
      <c r="G3726" t="inlineStr">
        <is>
          <t>Light</t>
        </is>
      </c>
      <c r="H3726" t="b">
        <v>0</v>
      </c>
    </row>
    <row r="3727">
      <c r="A3727" t="inlineStr">
        <is>
          <t>S013</t>
        </is>
      </c>
      <c r="B3727" s="3" t="n">
        <v>46277</v>
      </c>
      <c r="C3727" t="n">
        <v>21</v>
      </c>
      <c r="D3727" t="inlineStr">
        <is>
          <t>Saturday</t>
        </is>
      </c>
      <c r="E3727" t="n">
        <v>80</v>
      </c>
      <c r="F3727" t="b">
        <v>1</v>
      </c>
      <c r="H3727" t="b">
        <v>0</v>
      </c>
    </row>
    <row r="3728">
      <c r="A3728" t="inlineStr">
        <is>
          <t>S013</t>
        </is>
      </c>
      <c r="B3728" s="3" t="n">
        <v>46277</v>
      </c>
      <c r="C3728" t="n">
        <v>22</v>
      </c>
      <c r="D3728" t="inlineStr">
        <is>
          <t>Saturday</t>
        </is>
      </c>
      <c r="E3728" t="n">
        <v>55</v>
      </c>
      <c r="F3728" t="b">
        <v>0</v>
      </c>
      <c r="H3728" t="b">
        <v>0</v>
      </c>
    </row>
    <row r="3729">
      <c r="A3729" t="inlineStr">
        <is>
          <t>S013</t>
        </is>
      </c>
      <c r="B3729" s="3" t="n">
        <v>46277</v>
      </c>
      <c r="C3729" t="n">
        <v>23</v>
      </c>
      <c r="D3729" t="inlineStr">
        <is>
          <t>Saturday</t>
        </is>
      </c>
      <c r="E3729" t="n">
        <v>55</v>
      </c>
      <c r="F3729" t="b">
        <v>0</v>
      </c>
      <c r="G3729" t="inlineStr">
        <is>
          <t>Light</t>
        </is>
      </c>
      <c r="H3729" t="b">
        <v>0</v>
      </c>
    </row>
    <row r="3730">
      <c r="A3730" t="inlineStr">
        <is>
          <t>S014</t>
        </is>
      </c>
      <c r="B3730" s="3" t="n">
        <v>46277</v>
      </c>
      <c r="C3730" t="n">
        <v>8</v>
      </c>
      <c r="D3730" t="inlineStr">
        <is>
          <t>Saturday</t>
        </is>
      </c>
      <c r="E3730" t="n">
        <v>31</v>
      </c>
      <c r="F3730" t="b">
        <v>0</v>
      </c>
      <c r="G3730" t="inlineStr">
        <is>
          <t>Light</t>
        </is>
      </c>
      <c r="H3730" t="b">
        <v>0</v>
      </c>
    </row>
    <row r="3731">
      <c r="A3731" t="inlineStr">
        <is>
          <t>S014</t>
        </is>
      </c>
      <c r="B3731" s="3" t="n">
        <v>46277</v>
      </c>
      <c r="C3731" t="n">
        <v>9</v>
      </c>
      <c r="D3731" t="inlineStr">
        <is>
          <t>Saturday</t>
        </is>
      </c>
      <c r="E3731" t="n">
        <v>33</v>
      </c>
      <c r="F3731" t="b">
        <v>0</v>
      </c>
      <c r="H3731" t="b">
        <v>0</v>
      </c>
    </row>
    <row r="3732">
      <c r="A3732" t="inlineStr">
        <is>
          <t>S014</t>
        </is>
      </c>
      <c r="B3732" s="3" t="n">
        <v>46277</v>
      </c>
      <c r="C3732" t="n">
        <v>10</v>
      </c>
      <c r="D3732" t="inlineStr">
        <is>
          <t>Saturday</t>
        </is>
      </c>
      <c r="E3732" t="n">
        <v>34</v>
      </c>
      <c r="F3732" t="b">
        <v>0</v>
      </c>
      <c r="H3732" t="b">
        <v>0</v>
      </c>
    </row>
    <row r="3733">
      <c r="A3733" t="inlineStr">
        <is>
          <t>S014</t>
        </is>
      </c>
      <c r="B3733" s="3" t="n">
        <v>46277</v>
      </c>
      <c r="C3733" t="n">
        <v>11</v>
      </c>
      <c r="D3733" t="inlineStr">
        <is>
          <t>Saturday</t>
        </is>
      </c>
      <c r="E3733" t="n">
        <v>51</v>
      </c>
      <c r="F3733" t="b">
        <v>0</v>
      </c>
      <c r="H3733" t="b">
        <v>0</v>
      </c>
    </row>
    <row r="3734">
      <c r="A3734" t="inlineStr">
        <is>
          <t>S014</t>
        </is>
      </c>
      <c r="B3734" s="3" t="n">
        <v>46277</v>
      </c>
      <c r="C3734" t="n">
        <v>12</v>
      </c>
      <c r="D3734" t="inlineStr">
        <is>
          <t>Saturday</t>
        </is>
      </c>
      <c r="E3734" t="n">
        <v>34</v>
      </c>
      <c r="F3734" t="b">
        <v>0</v>
      </c>
      <c r="G3734" t="inlineStr">
        <is>
          <t>Heavy</t>
        </is>
      </c>
      <c r="H3734" t="b">
        <v>0</v>
      </c>
    </row>
    <row r="3735">
      <c r="A3735" t="inlineStr">
        <is>
          <t>S014</t>
        </is>
      </c>
      <c r="B3735" s="3" t="n">
        <v>46277</v>
      </c>
      <c r="C3735" t="n">
        <v>13</v>
      </c>
      <c r="D3735" t="inlineStr">
        <is>
          <t>Saturday</t>
        </is>
      </c>
      <c r="E3735" t="n">
        <v>37</v>
      </c>
      <c r="F3735" t="b">
        <v>0</v>
      </c>
      <c r="H3735" t="b">
        <v>0</v>
      </c>
    </row>
    <row r="3736">
      <c r="A3736" t="inlineStr">
        <is>
          <t>S014</t>
        </is>
      </c>
      <c r="B3736" s="3" t="n">
        <v>46277</v>
      </c>
      <c r="C3736" t="n">
        <v>14</v>
      </c>
      <c r="D3736" t="inlineStr">
        <is>
          <t>Saturday</t>
        </is>
      </c>
      <c r="E3736" t="n">
        <v>25</v>
      </c>
      <c r="F3736" t="b">
        <v>0</v>
      </c>
      <c r="H3736" t="b">
        <v>0</v>
      </c>
    </row>
    <row r="3737">
      <c r="A3737" t="inlineStr">
        <is>
          <t>S014</t>
        </is>
      </c>
      <c r="B3737" s="3" t="n">
        <v>46277</v>
      </c>
      <c r="C3737" t="n">
        <v>15</v>
      </c>
      <c r="D3737" t="inlineStr">
        <is>
          <t>Saturday</t>
        </is>
      </c>
      <c r="E3737" t="n">
        <v>22</v>
      </c>
      <c r="F3737" t="b">
        <v>0</v>
      </c>
      <c r="H3737" t="b">
        <v>0</v>
      </c>
    </row>
    <row r="3738">
      <c r="A3738" t="inlineStr">
        <is>
          <t>S014</t>
        </is>
      </c>
      <c r="B3738" s="3" t="n">
        <v>46277</v>
      </c>
      <c r="C3738" t="n">
        <v>16</v>
      </c>
      <c r="D3738" t="inlineStr">
        <is>
          <t>Saturday</t>
        </is>
      </c>
      <c r="E3738" t="n">
        <v>36</v>
      </c>
      <c r="F3738" t="b">
        <v>0</v>
      </c>
      <c r="H3738" t="b">
        <v>0</v>
      </c>
    </row>
    <row r="3739">
      <c r="A3739" t="inlineStr">
        <is>
          <t>S014</t>
        </is>
      </c>
      <c r="B3739" s="3" t="n">
        <v>46277</v>
      </c>
      <c r="C3739" t="n">
        <v>17</v>
      </c>
      <c r="D3739" t="inlineStr">
        <is>
          <t>Saturday</t>
        </is>
      </c>
      <c r="E3739" t="n">
        <v>46</v>
      </c>
      <c r="F3739" t="b">
        <v>0</v>
      </c>
      <c r="H3739" t="b">
        <v>0</v>
      </c>
    </row>
    <row r="3740">
      <c r="A3740" t="inlineStr">
        <is>
          <t>S014</t>
        </is>
      </c>
      <c r="B3740" s="3" t="n">
        <v>46277</v>
      </c>
      <c r="C3740" t="n">
        <v>18</v>
      </c>
      <c r="D3740" t="inlineStr">
        <is>
          <t>Saturday</t>
        </is>
      </c>
      <c r="E3740" t="n">
        <v>47</v>
      </c>
      <c r="F3740" t="b">
        <v>0</v>
      </c>
      <c r="H3740" t="b">
        <v>0</v>
      </c>
    </row>
    <row r="3741">
      <c r="A3741" t="inlineStr">
        <is>
          <t>S014</t>
        </is>
      </c>
      <c r="B3741" s="3" t="n">
        <v>46277</v>
      </c>
      <c r="C3741" t="n">
        <v>19</v>
      </c>
      <c r="D3741" t="inlineStr">
        <is>
          <t>Saturday</t>
        </is>
      </c>
      <c r="E3741" t="n">
        <v>59</v>
      </c>
      <c r="F3741" t="b">
        <v>1</v>
      </c>
      <c r="H3741" t="b">
        <v>0</v>
      </c>
    </row>
    <row r="3742">
      <c r="A3742" t="inlineStr">
        <is>
          <t>S014</t>
        </is>
      </c>
      <c r="B3742" s="3" t="n">
        <v>46277</v>
      </c>
      <c r="C3742" t="n">
        <v>20</v>
      </c>
      <c r="D3742" t="inlineStr">
        <is>
          <t>Saturday</t>
        </is>
      </c>
      <c r="E3742" t="n">
        <v>47</v>
      </c>
      <c r="F3742" t="b">
        <v>1</v>
      </c>
      <c r="H3742" t="b">
        <v>0</v>
      </c>
    </row>
    <row r="3743">
      <c r="A3743" t="inlineStr">
        <is>
          <t>S014</t>
        </is>
      </c>
      <c r="B3743" s="3" t="n">
        <v>46277</v>
      </c>
      <c r="C3743" t="n">
        <v>21</v>
      </c>
      <c r="D3743" t="inlineStr">
        <is>
          <t>Saturday</t>
        </is>
      </c>
      <c r="E3743" t="n">
        <v>65</v>
      </c>
      <c r="F3743" t="b">
        <v>1</v>
      </c>
      <c r="G3743" t="inlineStr">
        <is>
          <t>Light</t>
        </is>
      </c>
      <c r="H3743" t="b">
        <v>0</v>
      </c>
    </row>
    <row r="3744">
      <c r="A3744" t="inlineStr">
        <is>
          <t>S014</t>
        </is>
      </c>
      <c r="B3744" s="3" t="n">
        <v>46277</v>
      </c>
      <c r="C3744" t="n">
        <v>22</v>
      </c>
      <c r="D3744" t="inlineStr">
        <is>
          <t>Saturday</t>
        </is>
      </c>
      <c r="E3744" t="n">
        <v>38</v>
      </c>
      <c r="F3744" t="b">
        <v>0</v>
      </c>
      <c r="G3744" t="inlineStr">
        <is>
          <t>Light</t>
        </is>
      </c>
      <c r="H3744" t="b">
        <v>0</v>
      </c>
    </row>
    <row r="3745">
      <c r="A3745" t="inlineStr">
        <is>
          <t>S014</t>
        </is>
      </c>
      <c r="B3745" s="3" t="n">
        <v>46277</v>
      </c>
      <c r="C3745" t="n">
        <v>23</v>
      </c>
      <c r="D3745" t="inlineStr">
        <is>
          <t>Saturday</t>
        </is>
      </c>
      <c r="E3745" t="n">
        <v>44</v>
      </c>
      <c r="F3745" t="b">
        <v>0</v>
      </c>
      <c r="H3745" t="b">
        <v>0</v>
      </c>
    </row>
    <row r="3746">
      <c r="A3746" t="inlineStr">
        <is>
          <t>S015</t>
        </is>
      </c>
      <c r="B3746" s="3" t="n">
        <v>46277</v>
      </c>
      <c r="C3746" t="n">
        <v>8</v>
      </c>
      <c r="D3746" t="inlineStr">
        <is>
          <t>Saturday</t>
        </is>
      </c>
      <c r="E3746" t="n">
        <v>16</v>
      </c>
      <c r="F3746" t="b">
        <v>0</v>
      </c>
      <c r="H3746" t="b">
        <v>0</v>
      </c>
    </row>
    <row r="3747">
      <c r="A3747" t="inlineStr">
        <is>
          <t>S015</t>
        </is>
      </c>
      <c r="B3747" s="3" t="n">
        <v>46277</v>
      </c>
      <c r="C3747" t="n">
        <v>9</v>
      </c>
      <c r="D3747" t="inlineStr">
        <is>
          <t>Saturday</t>
        </is>
      </c>
      <c r="E3747" t="n">
        <v>24</v>
      </c>
      <c r="F3747" t="b">
        <v>0</v>
      </c>
      <c r="H3747" t="b">
        <v>0</v>
      </c>
    </row>
    <row r="3748">
      <c r="A3748" t="inlineStr">
        <is>
          <t>S015</t>
        </is>
      </c>
      <c r="B3748" s="3" t="n">
        <v>46277</v>
      </c>
      <c r="C3748" t="n">
        <v>10</v>
      </c>
      <c r="D3748" t="inlineStr">
        <is>
          <t>Saturday</t>
        </is>
      </c>
      <c r="E3748" t="n">
        <v>18</v>
      </c>
      <c r="F3748" t="b">
        <v>0</v>
      </c>
      <c r="H3748" t="b">
        <v>1</v>
      </c>
    </row>
    <row r="3749">
      <c r="A3749" t="inlineStr">
        <is>
          <t>S015</t>
        </is>
      </c>
      <c r="B3749" s="3" t="n">
        <v>46277</v>
      </c>
      <c r="C3749" t="n">
        <v>11</v>
      </c>
      <c r="D3749" t="inlineStr">
        <is>
          <t>Saturday</t>
        </is>
      </c>
      <c r="E3749" t="n">
        <v>30</v>
      </c>
      <c r="F3749" t="b">
        <v>0</v>
      </c>
      <c r="G3749" t="inlineStr">
        <is>
          <t>Heavy</t>
        </is>
      </c>
      <c r="H3749" t="b">
        <v>0</v>
      </c>
    </row>
    <row r="3750">
      <c r="A3750" t="inlineStr">
        <is>
          <t>S015</t>
        </is>
      </c>
      <c r="B3750" s="3" t="n">
        <v>46277</v>
      </c>
      <c r="C3750" t="n">
        <v>12</v>
      </c>
      <c r="D3750" t="inlineStr">
        <is>
          <t>Saturday</t>
        </is>
      </c>
      <c r="E3750" t="n">
        <v>25</v>
      </c>
      <c r="F3750" t="b">
        <v>0</v>
      </c>
      <c r="H3750" t="b">
        <v>0</v>
      </c>
    </row>
    <row r="3751">
      <c r="A3751" t="inlineStr">
        <is>
          <t>S015</t>
        </is>
      </c>
      <c r="B3751" s="3" t="n">
        <v>46277</v>
      </c>
      <c r="C3751" t="n">
        <v>13</v>
      </c>
      <c r="D3751" t="inlineStr">
        <is>
          <t>Saturday</t>
        </is>
      </c>
      <c r="E3751" t="n">
        <v>18</v>
      </c>
      <c r="F3751" t="b">
        <v>0</v>
      </c>
      <c r="H3751" t="b">
        <v>0</v>
      </c>
    </row>
    <row r="3752">
      <c r="A3752" t="inlineStr">
        <is>
          <t>S015</t>
        </is>
      </c>
      <c r="B3752" s="3" t="n">
        <v>46277</v>
      </c>
      <c r="C3752" t="n">
        <v>14</v>
      </c>
      <c r="D3752" t="inlineStr">
        <is>
          <t>Saturday</t>
        </is>
      </c>
      <c r="E3752" t="n">
        <v>13</v>
      </c>
      <c r="F3752" t="b">
        <v>0</v>
      </c>
      <c r="H3752" t="b">
        <v>0</v>
      </c>
    </row>
    <row r="3753">
      <c r="A3753" t="inlineStr">
        <is>
          <t>S015</t>
        </is>
      </c>
      <c r="B3753" s="3" t="n">
        <v>46277</v>
      </c>
      <c r="C3753" t="n">
        <v>15</v>
      </c>
      <c r="D3753" t="inlineStr">
        <is>
          <t>Saturday</t>
        </is>
      </c>
      <c r="E3753" t="n">
        <v>16</v>
      </c>
      <c r="F3753" t="b">
        <v>0</v>
      </c>
      <c r="H3753" t="b">
        <v>0</v>
      </c>
    </row>
    <row r="3754">
      <c r="A3754" t="inlineStr">
        <is>
          <t>S015</t>
        </is>
      </c>
      <c r="B3754" s="3" t="n">
        <v>46277</v>
      </c>
      <c r="C3754" t="n">
        <v>16</v>
      </c>
      <c r="D3754" t="inlineStr">
        <is>
          <t>Saturday</t>
        </is>
      </c>
      <c r="E3754" t="n">
        <v>23</v>
      </c>
      <c r="F3754" t="b">
        <v>0</v>
      </c>
      <c r="H3754" t="b">
        <v>0</v>
      </c>
    </row>
    <row r="3755">
      <c r="A3755" t="inlineStr">
        <is>
          <t>S015</t>
        </is>
      </c>
      <c r="B3755" s="3" t="n">
        <v>46277</v>
      </c>
      <c r="C3755" t="n">
        <v>17</v>
      </c>
      <c r="D3755" t="inlineStr">
        <is>
          <t>Saturday</t>
        </is>
      </c>
      <c r="E3755" t="n">
        <v>26</v>
      </c>
      <c r="F3755" t="b">
        <v>0</v>
      </c>
      <c r="H3755" t="b">
        <v>0</v>
      </c>
    </row>
    <row r="3756">
      <c r="A3756" t="inlineStr">
        <is>
          <t>S015</t>
        </is>
      </c>
      <c r="B3756" s="3" t="n">
        <v>46277</v>
      </c>
      <c r="C3756" t="n">
        <v>18</v>
      </c>
      <c r="D3756" t="inlineStr">
        <is>
          <t>Saturday</t>
        </is>
      </c>
      <c r="E3756" t="n">
        <v>27</v>
      </c>
      <c r="F3756" t="b">
        <v>0</v>
      </c>
      <c r="H3756" t="b">
        <v>0</v>
      </c>
    </row>
    <row r="3757">
      <c r="A3757" t="inlineStr">
        <is>
          <t>S015</t>
        </is>
      </c>
      <c r="B3757" s="3" t="n">
        <v>46277</v>
      </c>
      <c r="C3757" t="n">
        <v>19</v>
      </c>
      <c r="D3757" t="inlineStr">
        <is>
          <t>Saturday</t>
        </is>
      </c>
      <c r="E3757" t="n">
        <v>39</v>
      </c>
      <c r="F3757" t="b">
        <v>1</v>
      </c>
      <c r="H3757" t="b">
        <v>0</v>
      </c>
    </row>
    <row r="3758">
      <c r="A3758" t="inlineStr">
        <is>
          <t>S015</t>
        </is>
      </c>
      <c r="B3758" s="3" t="n">
        <v>46277</v>
      </c>
      <c r="C3758" t="n">
        <v>20</v>
      </c>
      <c r="D3758" t="inlineStr">
        <is>
          <t>Saturday</t>
        </is>
      </c>
      <c r="E3758" t="n">
        <v>41</v>
      </c>
      <c r="F3758" t="b">
        <v>1</v>
      </c>
      <c r="G3758" t="inlineStr">
        <is>
          <t>Light</t>
        </is>
      </c>
      <c r="H3758" t="b">
        <v>0</v>
      </c>
    </row>
    <row r="3759">
      <c r="A3759" t="inlineStr">
        <is>
          <t>S015</t>
        </is>
      </c>
      <c r="B3759" s="3" t="n">
        <v>46277</v>
      </c>
      <c r="C3759" t="n">
        <v>21</v>
      </c>
      <c r="D3759" t="inlineStr">
        <is>
          <t>Saturday</t>
        </is>
      </c>
      <c r="E3759" t="n">
        <v>37</v>
      </c>
      <c r="F3759" t="b">
        <v>1</v>
      </c>
      <c r="H3759" t="b">
        <v>0</v>
      </c>
    </row>
    <row r="3760">
      <c r="A3760" t="inlineStr">
        <is>
          <t>S015</t>
        </is>
      </c>
      <c r="B3760" s="3" t="n">
        <v>46277</v>
      </c>
      <c r="C3760" t="n">
        <v>22</v>
      </c>
      <c r="D3760" t="inlineStr">
        <is>
          <t>Saturday</t>
        </is>
      </c>
      <c r="E3760" t="n">
        <v>32</v>
      </c>
      <c r="F3760" t="b">
        <v>0</v>
      </c>
      <c r="G3760" t="inlineStr">
        <is>
          <t>Light</t>
        </is>
      </c>
      <c r="H3760" t="b">
        <v>0</v>
      </c>
    </row>
    <row r="3761">
      <c r="A3761" t="inlineStr">
        <is>
          <t>S015</t>
        </is>
      </c>
      <c r="B3761" s="3" t="n">
        <v>46277</v>
      </c>
      <c r="C3761" t="n">
        <v>23</v>
      </c>
      <c r="D3761" t="inlineStr">
        <is>
          <t>Saturday</t>
        </is>
      </c>
      <c r="E3761" t="n">
        <v>20</v>
      </c>
      <c r="F3761" t="b">
        <v>0</v>
      </c>
      <c r="H3761" t="b">
        <v>0</v>
      </c>
    </row>
    <row r="3762">
      <c r="A3762" t="inlineStr">
        <is>
          <t>S016</t>
        </is>
      </c>
      <c r="B3762" s="3" t="n">
        <v>46277</v>
      </c>
      <c r="C3762" t="n">
        <v>8</v>
      </c>
      <c r="D3762" t="inlineStr">
        <is>
          <t>Saturday</t>
        </is>
      </c>
      <c r="E3762" t="n">
        <v>16</v>
      </c>
      <c r="F3762" t="b">
        <v>0</v>
      </c>
      <c r="G3762" t="inlineStr">
        <is>
          <t>Heavy</t>
        </is>
      </c>
      <c r="H3762" t="b">
        <v>0</v>
      </c>
    </row>
    <row r="3763">
      <c r="A3763" t="inlineStr">
        <is>
          <t>S016</t>
        </is>
      </c>
      <c r="B3763" s="3" t="n">
        <v>46277</v>
      </c>
      <c r="C3763" t="n">
        <v>9</v>
      </c>
      <c r="D3763" t="inlineStr">
        <is>
          <t>Saturday</t>
        </is>
      </c>
      <c r="E3763" t="n">
        <v>18</v>
      </c>
      <c r="F3763" t="b">
        <v>0</v>
      </c>
      <c r="H3763" t="b">
        <v>0</v>
      </c>
    </row>
    <row r="3764">
      <c r="A3764" t="inlineStr">
        <is>
          <t>S016</t>
        </is>
      </c>
      <c r="B3764" s="3" t="n">
        <v>46277</v>
      </c>
      <c r="C3764" t="n">
        <v>10</v>
      </c>
      <c r="D3764" t="inlineStr">
        <is>
          <t>Saturday</t>
        </is>
      </c>
      <c r="E3764" t="n">
        <v>20</v>
      </c>
      <c r="F3764" t="b">
        <v>0</v>
      </c>
      <c r="H3764" t="b">
        <v>0</v>
      </c>
    </row>
    <row r="3765">
      <c r="A3765" t="inlineStr">
        <is>
          <t>S016</t>
        </is>
      </c>
      <c r="B3765" s="3" t="n">
        <v>46277</v>
      </c>
      <c r="C3765" t="n">
        <v>11</v>
      </c>
      <c r="D3765" t="inlineStr">
        <is>
          <t>Saturday</t>
        </is>
      </c>
      <c r="E3765" t="n">
        <v>22</v>
      </c>
      <c r="F3765" t="b">
        <v>0</v>
      </c>
      <c r="G3765" t="inlineStr">
        <is>
          <t>Light</t>
        </is>
      </c>
      <c r="H3765" t="b">
        <v>0</v>
      </c>
    </row>
    <row r="3766">
      <c r="A3766" t="inlineStr">
        <is>
          <t>S016</t>
        </is>
      </c>
      <c r="B3766" s="3" t="n">
        <v>46277</v>
      </c>
      <c r="C3766" t="n">
        <v>12</v>
      </c>
      <c r="D3766" t="inlineStr">
        <is>
          <t>Saturday</t>
        </is>
      </c>
      <c r="E3766" t="n">
        <v>33</v>
      </c>
      <c r="F3766" t="b">
        <v>0</v>
      </c>
      <c r="H3766" t="b">
        <v>0</v>
      </c>
    </row>
    <row r="3767">
      <c r="A3767" t="inlineStr">
        <is>
          <t>S016</t>
        </is>
      </c>
      <c r="B3767" s="3" t="n">
        <v>46277</v>
      </c>
      <c r="C3767" t="n">
        <v>13</v>
      </c>
      <c r="D3767" t="inlineStr">
        <is>
          <t>Saturday</t>
        </is>
      </c>
      <c r="E3767" t="n">
        <v>28</v>
      </c>
      <c r="F3767" t="b">
        <v>0</v>
      </c>
      <c r="H3767" t="b">
        <v>0</v>
      </c>
    </row>
    <row r="3768">
      <c r="A3768" t="inlineStr">
        <is>
          <t>S016</t>
        </is>
      </c>
      <c r="B3768" s="3" t="n">
        <v>46277</v>
      </c>
      <c r="C3768" t="n">
        <v>14</v>
      </c>
      <c r="D3768" t="inlineStr">
        <is>
          <t>Saturday</t>
        </is>
      </c>
      <c r="E3768" t="n">
        <v>8</v>
      </c>
      <c r="F3768" t="b">
        <v>0</v>
      </c>
      <c r="H3768" t="b">
        <v>0</v>
      </c>
    </row>
    <row r="3769">
      <c r="A3769" t="inlineStr">
        <is>
          <t>S016</t>
        </is>
      </c>
      <c r="B3769" s="3" t="n">
        <v>46277</v>
      </c>
      <c r="C3769" t="n">
        <v>15</v>
      </c>
      <c r="D3769" t="inlineStr">
        <is>
          <t>Saturday</t>
        </is>
      </c>
      <c r="E3769" t="n">
        <v>25</v>
      </c>
      <c r="F3769" t="b">
        <v>0</v>
      </c>
      <c r="H3769" t="b">
        <v>0</v>
      </c>
    </row>
    <row r="3770">
      <c r="A3770" t="inlineStr">
        <is>
          <t>S016</t>
        </is>
      </c>
      <c r="B3770" s="3" t="n">
        <v>46277</v>
      </c>
      <c r="C3770" t="n">
        <v>16</v>
      </c>
      <c r="D3770" t="inlineStr">
        <is>
          <t>Saturday</t>
        </is>
      </c>
      <c r="E3770" t="n">
        <v>22</v>
      </c>
      <c r="F3770" t="b">
        <v>0</v>
      </c>
      <c r="H3770" t="b">
        <v>0</v>
      </c>
    </row>
    <row r="3771">
      <c r="A3771" t="inlineStr">
        <is>
          <t>S016</t>
        </is>
      </c>
      <c r="B3771" s="3" t="n">
        <v>46277</v>
      </c>
      <c r="C3771" t="n">
        <v>17</v>
      </c>
      <c r="D3771" t="inlineStr">
        <is>
          <t>Saturday</t>
        </is>
      </c>
      <c r="E3771" t="n">
        <v>22</v>
      </c>
      <c r="F3771" t="b">
        <v>0</v>
      </c>
      <c r="G3771" t="inlineStr">
        <is>
          <t>Light</t>
        </is>
      </c>
      <c r="H3771" t="b">
        <v>0</v>
      </c>
    </row>
    <row r="3772">
      <c r="A3772" t="inlineStr">
        <is>
          <t>S016</t>
        </is>
      </c>
      <c r="B3772" s="3" t="n">
        <v>46277</v>
      </c>
      <c r="C3772" t="n">
        <v>18</v>
      </c>
      <c r="D3772" t="inlineStr">
        <is>
          <t>Saturday</t>
        </is>
      </c>
      <c r="E3772" t="n">
        <v>28</v>
      </c>
      <c r="F3772" t="b">
        <v>0</v>
      </c>
      <c r="H3772" t="b">
        <v>0</v>
      </c>
    </row>
    <row r="3773">
      <c r="A3773" t="inlineStr">
        <is>
          <t>S016</t>
        </is>
      </c>
      <c r="B3773" s="3" t="n">
        <v>46277</v>
      </c>
      <c r="C3773" t="n">
        <v>19</v>
      </c>
      <c r="D3773" t="inlineStr">
        <is>
          <t>Saturday</t>
        </is>
      </c>
      <c r="E3773" t="n">
        <v>43</v>
      </c>
      <c r="F3773" t="b">
        <v>1</v>
      </c>
      <c r="H3773" t="b">
        <v>0</v>
      </c>
    </row>
    <row r="3774">
      <c r="A3774" t="inlineStr">
        <is>
          <t>S016</t>
        </is>
      </c>
      <c r="B3774" s="3" t="n">
        <v>46277</v>
      </c>
      <c r="C3774" t="n">
        <v>20</v>
      </c>
      <c r="D3774" t="inlineStr">
        <is>
          <t>Saturday</t>
        </is>
      </c>
      <c r="E3774" t="n">
        <v>33</v>
      </c>
      <c r="F3774" t="b">
        <v>1</v>
      </c>
      <c r="H3774" t="b">
        <v>0</v>
      </c>
    </row>
    <row r="3775">
      <c r="A3775" t="inlineStr">
        <is>
          <t>S016</t>
        </is>
      </c>
      <c r="B3775" s="3" t="n">
        <v>46277</v>
      </c>
      <c r="C3775" t="n">
        <v>21</v>
      </c>
      <c r="D3775" t="inlineStr">
        <is>
          <t>Saturday</t>
        </is>
      </c>
      <c r="E3775" t="n">
        <v>36</v>
      </c>
      <c r="F3775" t="b">
        <v>1</v>
      </c>
      <c r="H3775" t="b">
        <v>1</v>
      </c>
    </row>
    <row r="3776">
      <c r="A3776" t="inlineStr">
        <is>
          <t>S016</t>
        </is>
      </c>
      <c r="B3776" s="3" t="n">
        <v>46277</v>
      </c>
      <c r="C3776" t="n">
        <v>22</v>
      </c>
      <c r="D3776" t="inlineStr">
        <is>
          <t>Saturday</t>
        </is>
      </c>
      <c r="E3776" t="n">
        <v>35</v>
      </c>
      <c r="F3776" t="b">
        <v>0</v>
      </c>
      <c r="H3776" t="b">
        <v>0</v>
      </c>
    </row>
    <row r="3777">
      <c r="A3777" t="inlineStr">
        <is>
          <t>S016</t>
        </is>
      </c>
      <c r="B3777" s="3" t="n">
        <v>46277</v>
      </c>
      <c r="C3777" t="n">
        <v>23</v>
      </c>
      <c r="D3777" t="inlineStr">
        <is>
          <t>Saturday</t>
        </is>
      </c>
      <c r="E3777" t="n">
        <v>27</v>
      </c>
      <c r="F3777" t="b">
        <v>0</v>
      </c>
      <c r="H3777" t="b">
        <v>0</v>
      </c>
    </row>
    <row r="3778">
      <c r="A3778" t="inlineStr">
        <is>
          <t>S017</t>
        </is>
      </c>
      <c r="B3778" s="3" t="n">
        <v>46277</v>
      </c>
      <c r="C3778" t="n">
        <v>8</v>
      </c>
      <c r="D3778" t="inlineStr">
        <is>
          <t>Saturday</t>
        </is>
      </c>
      <c r="E3778" t="n">
        <v>14</v>
      </c>
      <c r="F3778" t="b">
        <v>0</v>
      </c>
      <c r="H3778" t="b">
        <v>0</v>
      </c>
    </row>
    <row r="3779">
      <c r="A3779" t="inlineStr">
        <is>
          <t>S017</t>
        </is>
      </c>
      <c r="B3779" s="3" t="n">
        <v>46277</v>
      </c>
      <c r="C3779" t="n">
        <v>9</v>
      </c>
      <c r="D3779" t="inlineStr">
        <is>
          <t>Saturday</t>
        </is>
      </c>
      <c r="E3779" t="n">
        <v>25</v>
      </c>
      <c r="F3779" t="b">
        <v>0</v>
      </c>
      <c r="H3779" t="b">
        <v>0</v>
      </c>
    </row>
    <row r="3780">
      <c r="A3780" t="inlineStr">
        <is>
          <t>S017</t>
        </is>
      </c>
      <c r="B3780" s="3" t="n">
        <v>46277</v>
      </c>
      <c r="C3780" t="n">
        <v>10</v>
      </c>
      <c r="D3780" t="inlineStr">
        <is>
          <t>Saturday</t>
        </is>
      </c>
      <c r="E3780" t="n">
        <v>25</v>
      </c>
      <c r="F3780" t="b">
        <v>0</v>
      </c>
      <c r="G3780" t="inlineStr">
        <is>
          <t>Light</t>
        </is>
      </c>
      <c r="H3780" t="b">
        <v>0</v>
      </c>
    </row>
    <row r="3781">
      <c r="A3781" t="inlineStr">
        <is>
          <t>S017</t>
        </is>
      </c>
      <c r="B3781" s="3" t="n">
        <v>46277</v>
      </c>
      <c r="C3781" t="n">
        <v>11</v>
      </c>
      <c r="D3781" t="inlineStr">
        <is>
          <t>Saturday</t>
        </is>
      </c>
      <c r="E3781" t="n">
        <v>52</v>
      </c>
      <c r="F3781" t="b">
        <v>0</v>
      </c>
      <c r="H3781" t="b">
        <v>1</v>
      </c>
    </row>
    <row r="3782">
      <c r="A3782" t="inlineStr">
        <is>
          <t>S017</t>
        </is>
      </c>
      <c r="B3782" s="3" t="n">
        <v>46277</v>
      </c>
      <c r="C3782" t="n">
        <v>12</v>
      </c>
      <c r="D3782" t="inlineStr">
        <is>
          <t>Saturday</t>
        </is>
      </c>
      <c r="E3782" t="n">
        <v>41</v>
      </c>
      <c r="F3782" t="b">
        <v>0</v>
      </c>
      <c r="G3782" t="inlineStr">
        <is>
          <t>Light</t>
        </is>
      </c>
      <c r="H3782" t="b">
        <v>0</v>
      </c>
    </row>
    <row r="3783">
      <c r="A3783" t="inlineStr">
        <is>
          <t>S017</t>
        </is>
      </c>
      <c r="B3783" s="3" t="n">
        <v>46277</v>
      </c>
      <c r="C3783" t="n">
        <v>13</v>
      </c>
      <c r="D3783" t="inlineStr">
        <is>
          <t>Saturday</t>
        </is>
      </c>
      <c r="E3783" t="n">
        <v>32</v>
      </c>
      <c r="F3783" t="b">
        <v>0</v>
      </c>
      <c r="H3783" t="b">
        <v>0</v>
      </c>
    </row>
    <row r="3784">
      <c r="A3784" t="inlineStr">
        <is>
          <t>S017</t>
        </is>
      </c>
      <c r="B3784" s="3" t="n">
        <v>46277</v>
      </c>
      <c r="C3784" t="n">
        <v>14</v>
      </c>
      <c r="D3784" t="inlineStr">
        <is>
          <t>Saturday</t>
        </is>
      </c>
      <c r="E3784" t="n">
        <v>26</v>
      </c>
      <c r="F3784" t="b">
        <v>0</v>
      </c>
      <c r="H3784" t="b">
        <v>1</v>
      </c>
    </row>
    <row r="3785">
      <c r="A3785" t="inlineStr">
        <is>
          <t>S017</t>
        </is>
      </c>
      <c r="B3785" s="3" t="n">
        <v>46277</v>
      </c>
      <c r="C3785" t="n">
        <v>15</v>
      </c>
      <c r="D3785" t="inlineStr">
        <is>
          <t>Saturday</t>
        </is>
      </c>
      <c r="E3785" t="n">
        <v>19</v>
      </c>
      <c r="F3785" t="b">
        <v>0</v>
      </c>
      <c r="G3785" t="inlineStr">
        <is>
          <t>Light</t>
        </is>
      </c>
      <c r="H3785" t="b">
        <v>0</v>
      </c>
    </row>
    <row r="3786">
      <c r="A3786" t="inlineStr">
        <is>
          <t>S017</t>
        </is>
      </c>
      <c r="B3786" s="3" t="n">
        <v>46277</v>
      </c>
      <c r="C3786" t="n">
        <v>16</v>
      </c>
      <c r="D3786" t="inlineStr">
        <is>
          <t>Saturday</t>
        </is>
      </c>
      <c r="E3786" t="n">
        <v>37</v>
      </c>
      <c r="F3786" t="b">
        <v>0</v>
      </c>
      <c r="H3786" t="b">
        <v>0</v>
      </c>
    </row>
    <row r="3787">
      <c r="A3787" t="inlineStr">
        <is>
          <t>S017</t>
        </is>
      </c>
      <c r="B3787" s="3" t="n">
        <v>46277</v>
      </c>
      <c r="C3787" t="n">
        <v>17</v>
      </c>
      <c r="D3787" t="inlineStr">
        <is>
          <t>Saturday</t>
        </is>
      </c>
      <c r="E3787" t="n">
        <v>29</v>
      </c>
      <c r="F3787" t="b">
        <v>0</v>
      </c>
      <c r="G3787" t="inlineStr">
        <is>
          <t>Light</t>
        </is>
      </c>
      <c r="H3787" t="b">
        <v>0</v>
      </c>
    </row>
    <row r="3788">
      <c r="A3788" t="inlineStr">
        <is>
          <t>S017</t>
        </is>
      </c>
      <c r="B3788" s="3" t="n">
        <v>46277</v>
      </c>
      <c r="C3788" t="n">
        <v>18</v>
      </c>
      <c r="D3788" t="inlineStr">
        <is>
          <t>Saturday</t>
        </is>
      </c>
      <c r="E3788" t="n">
        <v>31</v>
      </c>
      <c r="F3788" t="b">
        <v>0</v>
      </c>
      <c r="H3788" t="b">
        <v>0</v>
      </c>
    </row>
    <row r="3789">
      <c r="A3789" t="inlineStr">
        <is>
          <t>S017</t>
        </is>
      </c>
      <c r="B3789" s="3" t="n">
        <v>46277</v>
      </c>
      <c r="C3789" t="n">
        <v>19</v>
      </c>
      <c r="D3789" t="inlineStr">
        <is>
          <t>Saturday</t>
        </is>
      </c>
      <c r="E3789" t="n">
        <v>51</v>
      </c>
      <c r="F3789" t="b">
        <v>1</v>
      </c>
      <c r="H3789" t="b">
        <v>0</v>
      </c>
    </row>
    <row r="3790">
      <c r="A3790" t="inlineStr">
        <is>
          <t>S017</t>
        </is>
      </c>
      <c r="B3790" s="3" t="n">
        <v>46277</v>
      </c>
      <c r="C3790" t="n">
        <v>20</v>
      </c>
      <c r="D3790" t="inlineStr">
        <is>
          <t>Saturday</t>
        </is>
      </c>
      <c r="E3790" t="n">
        <v>46</v>
      </c>
      <c r="F3790" t="b">
        <v>1</v>
      </c>
      <c r="H3790" t="b">
        <v>0</v>
      </c>
    </row>
    <row r="3791">
      <c r="A3791" t="inlineStr">
        <is>
          <t>S017</t>
        </is>
      </c>
      <c r="B3791" s="3" t="n">
        <v>46277</v>
      </c>
      <c r="C3791" t="n">
        <v>21</v>
      </c>
      <c r="D3791" t="inlineStr">
        <is>
          <t>Saturday</t>
        </is>
      </c>
      <c r="E3791" t="n">
        <v>56</v>
      </c>
      <c r="F3791" t="b">
        <v>1</v>
      </c>
      <c r="H3791" t="b">
        <v>0</v>
      </c>
    </row>
    <row r="3792">
      <c r="A3792" t="inlineStr">
        <is>
          <t>S017</t>
        </is>
      </c>
      <c r="B3792" s="3" t="n">
        <v>46277</v>
      </c>
      <c r="C3792" t="n">
        <v>22</v>
      </c>
      <c r="D3792" t="inlineStr">
        <is>
          <t>Saturday</t>
        </is>
      </c>
      <c r="E3792" t="n">
        <v>41</v>
      </c>
      <c r="F3792" t="b">
        <v>0</v>
      </c>
      <c r="H3792" t="b">
        <v>0</v>
      </c>
    </row>
    <row r="3793">
      <c r="A3793" t="inlineStr">
        <is>
          <t>S017</t>
        </is>
      </c>
      <c r="B3793" s="3" t="n">
        <v>46277</v>
      </c>
      <c r="C3793" t="n">
        <v>23</v>
      </c>
      <c r="D3793" t="inlineStr">
        <is>
          <t>Saturday</t>
        </is>
      </c>
      <c r="E3793" t="n">
        <v>47</v>
      </c>
      <c r="F3793" t="b">
        <v>0</v>
      </c>
      <c r="H3793" t="b">
        <v>0</v>
      </c>
    </row>
    <row r="3794">
      <c r="A3794" t="inlineStr">
        <is>
          <t>S018</t>
        </is>
      </c>
      <c r="B3794" s="3" t="n">
        <v>46277</v>
      </c>
      <c r="C3794" t="n">
        <v>8</v>
      </c>
      <c r="D3794" t="inlineStr">
        <is>
          <t>Saturday</t>
        </is>
      </c>
      <c r="E3794" t="n">
        <v>12</v>
      </c>
      <c r="F3794" t="b">
        <v>0</v>
      </c>
      <c r="H3794" t="b">
        <v>0</v>
      </c>
    </row>
    <row r="3795">
      <c r="A3795" t="inlineStr">
        <is>
          <t>S018</t>
        </is>
      </c>
      <c r="B3795" s="3" t="n">
        <v>46277</v>
      </c>
      <c r="C3795" t="n">
        <v>9</v>
      </c>
      <c r="D3795" t="inlineStr">
        <is>
          <t>Saturday</t>
        </is>
      </c>
      <c r="E3795" t="n">
        <v>9</v>
      </c>
      <c r="F3795" t="b">
        <v>0</v>
      </c>
      <c r="H3795" t="b">
        <v>0</v>
      </c>
    </row>
    <row r="3796">
      <c r="A3796" t="inlineStr">
        <is>
          <t>S018</t>
        </is>
      </c>
      <c r="B3796" s="3" t="n">
        <v>46277</v>
      </c>
      <c r="C3796" t="n">
        <v>10</v>
      </c>
      <c r="D3796" t="inlineStr">
        <is>
          <t>Saturday</t>
        </is>
      </c>
      <c r="E3796" t="n">
        <v>25</v>
      </c>
      <c r="F3796" t="b">
        <v>0</v>
      </c>
      <c r="G3796" t="inlineStr">
        <is>
          <t>Light</t>
        </is>
      </c>
      <c r="H3796" t="b">
        <v>0</v>
      </c>
    </row>
    <row r="3797">
      <c r="A3797" t="inlineStr">
        <is>
          <t>S018</t>
        </is>
      </c>
      <c r="B3797" s="3" t="n">
        <v>46277</v>
      </c>
      <c r="C3797" t="n">
        <v>11</v>
      </c>
      <c r="D3797" t="inlineStr">
        <is>
          <t>Saturday</t>
        </is>
      </c>
      <c r="E3797" t="n">
        <v>21</v>
      </c>
      <c r="F3797" t="b">
        <v>0</v>
      </c>
      <c r="H3797" t="b">
        <v>0</v>
      </c>
    </row>
    <row r="3798">
      <c r="A3798" t="inlineStr">
        <is>
          <t>S018</t>
        </is>
      </c>
      <c r="B3798" s="3" t="n">
        <v>46277</v>
      </c>
      <c r="C3798" t="n">
        <v>12</v>
      </c>
      <c r="D3798" t="inlineStr">
        <is>
          <t>Saturday</t>
        </is>
      </c>
      <c r="E3798" t="n">
        <v>21</v>
      </c>
      <c r="F3798" t="b">
        <v>0</v>
      </c>
      <c r="H3798" t="b">
        <v>0</v>
      </c>
    </row>
    <row r="3799">
      <c r="A3799" t="inlineStr">
        <is>
          <t>S018</t>
        </is>
      </c>
      <c r="B3799" s="3" t="n">
        <v>46277</v>
      </c>
      <c r="C3799" t="n">
        <v>13</v>
      </c>
      <c r="D3799" t="inlineStr">
        <is>
          <t>Saturday</t>
        </is>
      </c>
      <c r="E3799" t="n">
        <v>24</v>
      </c>
      <c r="F3799" t="b">
        <v>0</v>
      </c>
      <c r="G3799" t="inlineStr">
        <is>
          <t>Light</t>
        </is>
      </c>
      <c r="H3799" t="b">
        <v>0</v>
      </c>
    </row>
    <row r="3800">
      <c r="A3800" t="inlineStr">
        <is>
          <t>S018</t>
        </is>
      </c>
      <c r="B3800" s="3" t="n">
        <v>46277</v>
      </c>
      <c r="C3800" t="n">
        <v>14</v>
      </c>
      <c r="D3800" t="inlineStr">
        <is>
          <t>Saturday</t>
        </is>
      </c>
      <c r="E3800" t="n">
        <v>25</v>
      </c>
      <c r="F3800" t="b">
        <v>0</v>
      </c>
      <c r="H3800" t="b">
        <v>1</v>
      </c>
    </row>
    <row r="3801">
      <c r="A3801" t="inlineStr">
        <is>
          <t>S018</t>
        </is>
      </c>
      <c r="B3801" s="3" t="n">
        <v>46277</v>
      </c>
      <c r="C3801" t="n">
        <v>15</v>
      </c>
      <c r="D3801" t="inlineStr">
        <is>
          <t>Saturday</t>
        </is>
      </c>
      <c r="E3801" t="n">
        <v>21</v>
      </c>
      <c r="F3801" t="b">
        <v>0</v>
      </c>
      <c r="G3801" t="inlineStr">
        <is>
          <t>Light</t>
        </is>
      </c>
      <c r="H3801" t="b">
        <v>0</v>
      </c>
    </row>
    <row r="3802">
      <c r="A3802" t="inlineStr">
        <is>
          <t>S018</t>
        </is>
      </c>
      <c r="B3802" s="3" t="n">
        <v>46277</v>
      </c>
      <c r="C3802" t="n">
        <v>16</v>
      </c>
      <c r="D3802" t="inlineStr">
        <is>
          <t>Saturday</t>
        </is>
      </c>
      <c r="E3802" t="n">
        <v>18</v>
      </c>
      <c r="F3802" t="b">
        <v>0</v>
      </c>
      <c r="H3802" t="b">
        <v>0</v>
      </c>
    </row>
    <row r="3803">
      <c r="A3803" t="inlineStr">
        <is>
          <t>S018</t>
        </is>
      </c>
      <c r="B3803" s="3" t="n">
        <v>46277</v>
      </c>
      <c r="C3803" t="n">
        <v>17</v>
      </c>
      <c r="D3803" t="inlineStr">
        <is>
          <t>Saturday</t>
        </is>
      </c>
      <c r="E3803" t="n">
        <v>21</v>
      </c>
      <c r="F3803" t="b">
        <v>0</v>
      </c>
      <c r="H3803" t="b">
        <v>0</v>
      </c>
    </row>
    <row r="3804">
      <c r="A3804" t="inlineStr">
        <is>
          <t>S018</t>
        </is>
      </c>
      <c r="B3804" s="3" t="n">
        <v>46277</v>
      </c>
      <c r="C3804" t="n">
        <v>18</v>
      </c>
      <c r="D3804" t="inlineStr">
        <is>
          <t>Saturday</t>
        </is>
      </c>
      <c r="E3804" t="n">
        <v>22</v>
      </c>
      <c r="F3804" t="b">
        <v>0</v>
      </c>
      <c r="H3804" t="b">
        <v>0</v>
      </c>
    </row>
    <row r="3805">
      <c r="A3805" t="inlineStr">
        <is>
          <t>S018</t>
        </is>
      </c>
      <c r="B3805" s="3" t="n">
        <v>46277</v>
      </c>
      <c r="C3805" t="n">
        <v>19</v>
      </c>
      <c r="D3805" t="inlineStr">
        <is>
          <t>Saturday</t>
        </is>
      </c>
      <c r="E3805" t="n">
        <v>35</v>
      </c>
      <c r="F3805" t="b">
        <v>1</v>
      </c>
      <c r="G3805" t="inlineStr">
        <is>
          <t>Light</t>
        </is>
      </c>
      <c r="H3805" t="b">
        <v>0</v>
      </c>
    </row>
    <row r="3806">
      <c r="A3806" t="inlineStr">
        <is>
          <t>S018</t>
        </is>
      </c>
      <c r="B3806" s="3" t="n">
        <v>46277</v>
      </c>
      <c r="C3806" t="n">
        <v>20</v>
      </c>
      <c r="D3806" t="inlineStr">
        <is>
          <t>Saturday</t>
        </is>
      </c>
      <c r="E3806" t="n">
        <v>35</v>
      </c>
      <c r="F3806" t="b">
        <v>1</v>
      </c>
      <c r="G3806" t="inlineStr">
        <is>
          <t>Light</t>
        </is>
      </c>
      <c r="H3806" t="b">
        <v>0</v>
      </c>
    </row>
    <row r="3807">
      <c r="A3807" t="inlineStr">
        <is>
          <t>S018</t>
        </is>
      </c>
      <c r="B3807" s="3" t="n">
        <v>46277</v>
      </c>
      <c r="C3807" t="n">
        <v>21</v>
      </c>
      <c r="D3807" t="inlineStr">
        <is>
          <t>Saturday</t>
        </is>
      </c>
      <c r="E3807" t="n">
        <v>44</v>
      </c>
      <c r="F3807" t="b">
        <v>1</v>
      </c>
      <c r="H3807" t="b">
        <v>0</v>
      </c>
    </row>
    <row r="3808">
      <c r="A3808" t="inlineStr">
        <is>
          <t>S018</t>
        </is>
      </c>
      <c r="B3808" s="3" t="n">
        <v>46277</v>
      </c>
      <c r="C3808" t="n">
        <v>22</v>
      </c>
      <c r="D3808" t="inlineStr">
        <is>
          <t>Saturday</t>
        </is>
      </c>
      <c r="E3808" t="n">
        <v>29</v>
      </c>
      <c r="F3808" t="b">
        <v>0</v>
      </c>
      <c r="H3808" t="b">
        <v>0</v>
      </c>
    </row>
    <row r="3809">
      <c r="A3809" t="inlineStr">
        <is>
          <t>S018</t>
        </is>
      </c>
      <c r="B3809" s="3" t="n">
        <v>46277</v>
      </c>
      <c r="C3809" t="n">
        <v>23</v>
      </c>
      <c r="D3809" t="inlineStr">
        <is>
          <t>Saturday</t>
        </is>
      </c>
      <c r="E3809" t="n">
        <v>22</v>
      </c>
      <c r="F3809" t="b">
        <v>0</v>
      </c>
      <c r="G3809" t="inlineStr">
        <is>
          <t>Light</t>
        </is>
      </c>
      <c r="H3809" t="b">
        <v>0</v>
      </c>
    </row>
    <row r="3810">
      <c r="A3810" t="inlineStr">
        <is>
          <t>S019</t>
        </is>
      </c>
      <c r="B3810" s="3" t="n">
        <v>46277</v>
      </c>
      <c r="C3810" t="n">
        <v>8</v>
      </c>
      <c r="D3810" t="inlineStr">
        <is>
          <t>Saturday</t>
        </is>
      </c>
      <c r="E3810" t="n">
        <v>19</v>
      </c>
      <c r="F3810" t="b">
        <v>0</v>
      </c>
      <c r="H3810" t="b">
        <v>0</v>
      </c>
    </row>
    <row r="3811">
      <c r="A3811" t="inlineStr">
        <is>
          <t>S019</t>
        </is>
      </c>
      <c r="B3811" s="3" t="n">
        <v>46277</v>
      </c>
      <c r="C3811" t="n">
        <v>9</v>
      </c>
      <c r="D3811" t="inlineStr">
        <is>
          <t>Saturday</t>
        </is>
      </c>
      <c r="E3811" t="n">
        <v>20</v>
      </c>
      <c r="F3811" t="b">
        <v>0</v>
      </c>
      <c r="H3811" t="b">
        <v>0</v>
      </c>
    </row>
    <row r="3812">
      <c r="A3812" t="inlineStr">
        <is>
          <t>S019</t>
        </is>
      </c>
      <c r="B3812" s="3" t="n">
        <v>46277</v>
      </c>
      <c r="C3812" t="n">
        <v>10</v>
      </c>
      <c r="D3812" t="inlineStr">
        <is>
          <t>Saturday</t>
        </is>
      </c>
      <c r="E3812" t="n">
        <v>13</v>
      </c>
      <c r="F3812" t="b">
        <v>0</v>
      </c>
      <c r="G3812" t="inlineStr">
        <is>
          <t>Heavy</t>
        </is>
      </c>
      <c r="H3812" t="b">
        <v>0</v>
      </c>
    </row>
    <row r="3813">
      <c r="A3813" t="inlineStr">
        <is>
          <t>S019</t>
        </is>
      </c>
      <c r="B3813" s="3" t="n">
        <v>46277</v>
      </c>
      <c r="C3813" t="n">
        <v>11</v>
      </c>
      <c r="D3813" t="inlineStr">
        <is>
          <t>Saturday</t>
        </is>
      </c>
      <c r="E3813" t="n">
        <v>22</v>
      </c>
      <c r="F3813" t="b">
        <v>0</v>
      </c>
      <c r="G3813" t="inlineStr">
        <is>
          <t>Light</t>
        </is>
      </c>
      <c r="H3813" t="b">
        <v>0</v>
      </c>
    </row>
    <row r="3814">
      <c r="A3814" t="inlineStr">
        <is>
          <t>S019</t>
        </is>
      </c>
      <c r="B3814" s="3" t="n">
        <v>46277</v>
      </c>
      <c r="C3814" t="n">
        <v>12</v>
      </c>
      <c r="D3814" t="inlineStr">
        <is>
          <t>Saturday</t>
        </is>
      </c>
      <c r="E3814" t="n">
        <v>30</v>
      </c>
      <c r="F3814" t="b">
        <v>0</v>
      </c>
      <c r="H3814" t="b">
        <v>0</v>
      </c>
    </row>
    <row r="3815">
      <c r="A3815" t="inlineStr">
        <is>
          <t>S019</t>
        </is>
      </c>
      <c r="B3815" s="3" t="n">
        <v>46277</v>
      </c>
      <c r="C3815" t="n">
        <v>13</v>
      </c>
      <c r="D3815" t="inlineStr">
        <is>
          <t>Saturday</t>
        </is>
      </c>
      <c r="E3815" t="n">
        <v>17</v>
      </c>
      <c r="F3815" t="b">
        <v>0</v>
      </c>
      <c r="H3815" t="b">
        <v>0</v>
      </c>
    </row>
    <row r="3816">
      <c r="A3816" t="inlineStr">
        <is>
          <t>S019</t>
        </is>
      </c>
      <c r="B3816" s="3" t="n">
        <v>46277</v>
      </c>
      <c r="C3816" t="n">
        <v>14</v>
      </c>
      <c r="D3816" t="inlineStr">
        <is>
          <t>Saturday</t>
        </is>
      </c>
      <c r="E3816" t="n">
        <v>17</v>
      </c>
      <c r="F3816" t="b">
        <v>0</v>
      </c>
      <c r="H3816" t="b">
        <v>0</v>
      </c>
    </row>
    <row r="3817">
      <c r="A3817" t="inlineStr">
        <is>
          <t>S019</t>
        </is>
      </c>
      <c r="B3817" s="3" t="n">
        <v>46277</v>
      </c>
      <c r="C3817" t="n">
        <v>15</v>
      </c>
      <c r="D3817" t="inlineStr">
        <is>
          <t>Saturday</t>
        </is>
      </c>
      <c r="E3817" t="n">
        <v>20</v>
      </c>
      <c r="F3817" t="b">
        <v>0</v>
      </c>
      <c r="H3817" t="b">
        <v>0</v>
      </c>
    </row>
    <row r="3818">
      <c r="A3818" t="inlineStr">
        <is>
          <t>S019</t>
        </is>
      </c>
      <c r="B3818" s="3" t="n">
        <v>46277</v>
      </c>
      <c r="C3818" t="n">
        <v>16</v>
      </c>
      <c r="D3818" t="inlineStr">
        <is>
          <t>Saturday</t>
        </is>
      </c>
      <c r="E3818" t="n">
        <v>27</v>
      </c>
      <c r="F3818" t="b">
        <v>0</v>
      </c>
      <c r="H3818" t="b">
        <v>0</v>
      </c>
    </row>
    <row r="3819">
      <c r="A3819" t="inlineStr">
        <is>
          <t>S019</t>
        </is>
      </c>
      <c r="B3819" s="3" t="n">
        <v>46277</v>
      </c>
      <c r="C3819" t="n">
        <v>17</v>
      </c>
      <c r="D3819" t="inlineStr">
        <is>
          <t>Saturday</t>
        </is>
      </c>
      <c r="E3819" t="n">
        <v>19</v>
      </c>
      <c r="F3819" t="b">
        <v>0</v>
      </c>
      <c r="H3819" t="b">
        <v>0</v>
      </c>
    </row>
    <row r="3820">
      <c r="A3820" t="inlineStr">
        <is>
          <t>S019</t>
        </is>
      </c>
      <c r="B3820" s="3" t="n">
        <v>46277</v>
      </c>
      <c r="C3820" t="n">
        <v>18</v>
      </c>
      <c r="D3820" t="inlineStr">
        <is>
          <t>Saturday</t>
        </is>
      </c>
      <c r="E3820" t="n">
        <v>24</v>
      </c>
      <c r="F3820" t="b">
        <v>0</v>
      </c>
      <c r="G3820" t="inlineStr">
        <is>
          <t>Heavy</t>
        </is>
      </c>
      <c r="H3820" t="b">
        <v>0</v>
      </c>
    </row>
    <row r="3821">
      <c r="A3821" t="inlineStr">
        <is>
          <t>S019</t>
        </is>
      </c>
      <c r="B3821" s="3" t="n">
        <v>46277</v>
      </c>
      <c r="C3821" t="n">
        <v>19</v>
      </c>
      <c r="D3821" t="inlineStr">
        <is>
          <t>Saturday</t>
        </is>
      </c>
      <c r="E3821" t="n">
        <v>31</v>
      </c>
      <c r="F3821" t="b">
        <v>1</v>
      </c>
      <c r="H3821" t="b">
        <v>0</v>
      </c>
    </row>
    <row r="3822">
      <c r="A3822" t="inlineStr">
        <is>
          <t>S019</t>
        </is>
      </c>
      <c r="B3822" s="3" t="n">
        <v>46277</v>
      </c>
      <c r="C3822" t="n">
        <v>20</v>
      </c>
      <c r="D3822" t="inlineStr">
        <is>
          <t>Saturday</t>
        </is>
      </c>
      <c r="E3822" t="n">
        <v>33</v>
      </c>
      <c r="F3822" t="b">
        <v>1</v>
      </c>
      <c r="G3822" t="inlineStr">
        <is>
          <t>Light</t>
        </is>
      </c>
      <c r="H3822" t="b">
        <v>0</v>
      </c>
    </row>
    <row r="3823">
      <c r="A3823" t="inlineStr">
        <is>
          <t>S019</t>
        </is>
      </c>
      <c r="B3823" s="3" t="n">
        <v>46277</v>
      </c>
      <c r="C3823" t="n">
        <v>21</v>
      </c>
      <c r="D3823" t="inlineStr">
        <is>
          <t>Saturday</t>
        </is>
      </c>
      <c r="E3823" t="n">
        <v>39</v>
      </c>
      <c r="F3823" t="b">
        <v>1</v>
      </c>
      <c r="H3823" t="b">
        <v>0</v>
      </c>
    </row>
    <row r="3824">
      <c r="A3824" t="inlineStr">
        <is>
          <t>S019</t>
        </is>
      </c>
      <c r="B3824" s="3" t="n">
        <v>46277</v>
      </c>
      <c r="C3824" t="n">
        <v>22</v>
      </c>
      <c r="D3824" t="inlineStr">
        <is>
          <t>Saturday</t>
        </is>
      </c>
      <c r="E3824" t="n">
        <v>17</v>
      </c>
      <c r="F3824" t="b">
        <v>0</v>
      </c>
      <c r="G3824" t="inlineStr">
        <is>
          <t>Heavy</t>
        </is>
      </c>
      <c r="H3824" t="b">
        <v>0</v>
      </c>
    </row>
    <row r="3825">
      <c r="A3825" t="inlineStr">
        <is>
          <t>S019</t>
        </is>
      </c>
      <c r="B3825" s="3" t="n">
        <v>46277</v>
      </c>
      <c r="C3825" t="n">
        <v>23</v>
      </c>
      <c r="D3825" t="inlineStr">
        <is>
          <t>Saturday</t>
        </is>
      </c>
      <c r="E3825" t="n">
        <v>25</v>
      </c>
      <c r="F3825" t="b">
        <v>0</v>
      </c>
      <c r="G3825" t="inlineStr">
        <is>
          <t>Heavy</t>
        </is>
      </c>
      <c r="H3825" t="b">
        <v>0</v>
      </c>
    </row>
    <row r="3826">
      <c r="A3826" t="inlineStr">
        <is>
          <t>S020</t>
        </is>
      </c>
      <c r="B3826" s="3" t="n">
        <v>46277</v>
      </c>
      <c r="C3826" t="n">
        <v>8</v>
      </c>
      <c r="D3826" t="inlineStr">
        <is>
          <t>Saturday</t>
        </is>
      </c>
      <c r="E3826" t="n">
        <v>18</v>
      </c>
      <c r="F3826" t="b">
        <v>0</v>
      </c>
      <c r="H3826" t="b">
        <v>0</v>
      </c>
    </row>
    <row r="3827">
      <c r="A3827" t="inlineStr">
        <is>
          <t>S020</t>
        </is>
      </c>
      <c r="B3827" s="3" t="n">
        <v>46277</v>
      </c>
      <c r="C3827" t="n">
        <v>9</v>
      </c>
      <c r="D3827" t="inlineStr">
        <is>
          <t>Saturday</t>
        </is>
      </c>
      <c r="E3827" t="n">
        <v>12</v>
      </c>
      <c r="F3827" t="b">
        <v>0</v>
      </c>
      <c r="H3827" t="b">
        <v>0</v>
      </c>
    </row>
    <row r="3828">
      <c r="A3828" t="inlineStr">
        <is>
          <t>S020</t>
        </is>
      </c>
      <c r="B3828" s="3" t="n">
        <v>46277</v>
      </c>
      <c r="C3828" t="n">
        <v>10</v>
      </c>
      <c r="D3828" t="inlineStr">
        <is>
          <t>Saturday</t>
        </is>
      </c>
      <c r="E3828" t="n">
        <v>8</v>
      </c>
      <c r="F3828" t="b">
        <v>0</v>
      </c>
      <c r="H3828" t="b">
        <v>0</v>
      </c>
    </row>
    <row r="3829">
      <c r="A3829" t="inlineStr">
        <is>
          <t>S020</t>
        </is>
      </c>
      <c r="B3829" s="3" t="n">
        <v>46277</v>
      </c>
      <c r="C3829" t="n">
        <v>11</v>
      </c>
      <c r="D3829" t="inlineStr">
        <is>
          <t>Saturday</t>
        </is>
      </c>
      <c r="E3829" t="n">
        <v>18</v>
      </c>
      <c r="F3829" t="b">
        <v>0</v>
      </c>
      <c r="H3829" t="b">
        <v>0</v>
      </c>
    </row>
    <row r="3830">
      <c r="A3830" t="inlineStr">
        <is>
          <t>S020</t>
        </is>
      </c>
      <c r="B3830" s="3" t="n">
        <v>46277</v>
      </c>
      <c r="C3830" t="n">
        <v>12</v>
      </c>
      <c r="D3830" t="inlineStr">
        <is>
          <t>Saturday</t>
        </is>
      </c>
      <c r="E3830" t="n">
        <v>19</v>
      </c>
      <c r="F3830" t="b">
        <v>0</v>
      </c>
      <c r="G3830" t="inlineStr">
        <is>
          <t>Light</t>
        </is>
      </c>
      <c r="H3830" t="b">
        <v>0</v>
      </c>
    </row>
    <row r="3831">
      <c r="A3831" t="inlineStr">
        <is>
          <t>S020</t>
        </is>
      </c>
      <c r="B3831" s="3" t="n">
        <v>46277</v>
      </c>
      <c r="C3831" t="n">
        <v>13</v>
      </c>
      <c r="D3831" t="inlineStr">
        <is>
          <t>Saturday</t>
        </is>
      </c>
      <c r="E3831" t="n">
        <v>10</v>
      </c>
      <c r="F3831" t="b">
        <v>0</v>
      </c>
      <c r="G3831" t="inlineStr">
        <is>
          <t>Heavy</t>
        </is>
      </c>
      <c r="H3831" t="b">
        <v>0</v>
      </c>
    </row>
    <row r="3832">
      <c r="A3832" t="inlineStr">
        <is>
          <t>S020</t>
        </is>
      </c>
      <c r="B3832" s="3" t="n">
        <v>46277</v>
      </c>
      <c r="C3832" t="n">
        <v>14</v>
      </c>
      <c r="D3832" t="inlineStr">
        <is>
          <t>Saturday</t>
        </is>
      </c>
      <c r="E3832" t="n">
        <v>10</v>
      </c>
      <c r="F3832" t="b">
        <v>0</v>
      </c>
      <c r="H3832" t="b">
        <v>0</v>
      </c>
    </row>
    <row r="3833">
      <c r="A3833" t="inlineStr">
        <is>
          <t>S020</t>
        </is>
      </c>
      <c r="B3833" s="3" t="n">
        <v>46277</v>
      </c>
      <c r="C3833" t="n">
        <v>15</v>
      </c>
      <c r="D3833" t="inlineStr">
        <is>
          <t>Saturday</t>
        </is>
      </c>
      <c r="E3833" t="n">
        <v>9</v>
      </c>
      <c r="F3833" t="b">
        <v>0</v>
      </c>
      <c r="G3833" t="inlineStr">
        <is>
          <t>Light</t>
        </is>
      </c>
      <c r="H3833" t="b">
        <v>0</v>
      </c>
    </row>
    <row r="3834">
      <c r="A3834" t="inlineStr">
        <is>
          <t>S020</t>
        </is>
      </c>
      <c r="B3834" s="3" t="n">
        <v>46277</v>
      </c>
      <c r="C3834" t="n">
        <v>16</v>
      </c>
      <c r="D3834" t="inlineStr">
        <is>
          <t>Saturday</t>
        </is>
      </c>
      <c r="E3834" t="n">
        <v>25</v>
      </c>
      <c r="F3834" t="b">
        <v>0</v>
      </c>
      <c r="H3834" t="b">
        <v>0</v>
      </c>
    </row>
    <row r="3835">
      <c r="A3835" t="inlineStr">
        <is>
          <t>S020</t>
        </is>
      </c>
      <c r="B3835" s="3" t="n">
        <v>46277</v>
      </c>
      <c r="C3835" t="n">
        <v>17</v>
      </c>
      <c r="D3835" t="inlineStr">
        <is>
          <t>Saturday</t>
        </is>
      </c>
      <c r="E3835" t="n">
        <v>23</v>
      </c>
      <c r="F3835" t="b">
        <v>0</v>
      </c>
      <c r="H3835" t="b">
        <v>0</v>
      </c>
    </row>
    <row r="3836">
      <c r="A3836" t="inlineStr">
        <is>
          <t>S020</t>
        </is>
      </c>
      <c r="B3836" s="3" t="n">
        <v>46277</v>
      </c>
      <c r="C3836" t="n">
        <v>18</v>
      </c>
      <c r="D3836" t="inlineStr">
        <is>
          <t>Saturday</t>
        </is>
      </c>
      <c r="E3836" t="n">
        <v>15</v>
      </c>
      <c r="F3836" t="b">
        <v>0</v>
      </c>
      <c r="G3836" t="inlineStr">
        <is>
          <t>Light</t>
        </is>
      </c>
      <c r="H3836" t="b">
        <v>0</v>
      </c>
    </row>
    <row r="3837">
      <c r="A3837" t="inlineStr">
        <is>
          <t>S020</t>
        </is>
      </c>
      <c r="B3837" s="3" t="n">
        <v>46277</v>
      </c>
      <c r="C3837" t="n">
        <v>19</v>
      </c>
      <c r="D3837" t="inlineStr">
        <is>
          <t>Saturday</t>
        </is>
      </c>
      <c r="E3837" t="n">
        <v>31</v>
      </c>
      <c r="F3837" t="b">
        <v>1</v>
      </c>
      <c r="G3837" t="inlineStr">
        <is>
          <t>Light</t>
        </is>
      </c>
      <c r="H3837" t="b">
        <v>0</v>
      </c>
    </row>
    <row r="3838">
      <c r="A3838" t="inlineStr">
        <is>
          <t>S020</t>
        </is>
      </c>
      <c r="B3838" s="3" t="n">
        <v>46277</v>
      </c>
      <c r="C3838" t="n">
        <v>20</v>
      </c>
      <c r="D3838" t="inlineStr">
        <is>
          <t>Saturday</t>
        </is>
      </c>
      <c r="E3838" t="n">
        <v>19</v>
      </c>
      <c r="F3838" t="b">
        <v>1</v>
      </c>
      <c r="G3838" t="inlineStr">
        <is>
          <t>Heavy</t>
        </is>
      </c>
      <c r="H3838" t="b">
        <v>0</v>
      </c>
    </row>
    <row r="3839">
      <c r="A3839" t="inlineStr">
        <is>
          <t>S020</t>
        </is>
      </c>
      <c r="B3839" s="3" t="n">
        <v>46277</v>
      </c>
      <c r="C3839" t="n">
        <v>21</v>
      </c>
      <c r="D3839" t="inlineStr">
        <is>
          <t>Saturday</t>
        </is>
      </c>
      <c r="E3839" t="n">
        <v>25</v>
      </c>
      <c r="F3839" t="b">
        <v>1</v>
      </c>
      <c r="G3839" t="inlineStr">
        <is>
          <t>Heavy</t>
        </is>
      </c>
      <c r="H3839" t="b">
        <v>0</v>
      </c>
    </row>
    <row r="3840">
      <c r="A3840" t="inlineStr">
        <is>
          <t>S020</t>
        </is>
      </c>
      <c r="B3840" s="3" t="n">
        <v>46277</v>
      </c>
      <c r="C3840" t="n">
        <v>22</v>
      </c>
      <c r="D3840" t="inlineStr">
        <is>
          <t>Saturday</t>
        </is>
      </c>
      <c r="E3840" t="n">
        <v>15</v>
      </c>
      <c r="F3840" t="b">
        <v>0</v>
      </c>
      <c r="G3840" t="inlineStr">
        <is>
          <t>Light</t>
        </is>
      </c>
      <c r="H3840" t="b">
        <v>0</v>
      </c>
    </row>
    <row r="3841">
      <c r="A3841" t="inlineStr">
        <is>
          <t>S020</t>
        </is>
      </c>
      <c r="B3841" s="3" t="n">
        <v>46277</v>
      </c>
      <c r="C3841" t="n">
        <v>23</v>
      </c>
      <c r="D3841" t="inlineStr">
        <is>
          <t>Saturday</t>
        </is>
      </c>
      <c r="E3841" t="n">
        <v>15</v>
      </c>
      <c r="F3841" t="b">
        <v>0</v>
      </c>
      <c r="H3841" t="b">
        <v>0</v>
      </c>
    </row>
    <row r="3842">
      <c r="A3842" t="inlineStr">
        <is>
          <t>S001</t>
        </is>
      </c>
      <c r="B3842" s="3" t="n">
        <v>46278</v>
      </c>
      <c r="C3842" t="n">
        <v>8</v>
      </c>
      <c r="D3842" t="inlineStr">
        <is>
          <t>Sunday</t>
        </is>
      </c>
      <c r="E3842" t="n">
        <v>12</v>
      </c>
      <c r="F3842" t="b">
        <v>0</v>
      </c>
      <c r="H3842" t="b">
        <v>0</v>
      </c>
    </row>
    <row r="3843">
      <c r="A3843" t="inlineStr">
        <is>
          <t>S001</t>
        </is>
      </c>
      <c r="B3843" s="3" t="n">
        <v>46278</v>
      </c>
      <c r="C3843" t="n">
        <v>9</v>
      </c>
      <c r="D3843" t="inlineStr">
        <is>
          <t>Sunday</t>
        </is>
      </c>
      <c r="E3843" t="n">
        <v>13</v>
      </c>
      <c r="F3843" t="b">
        <v>0</v>
      </c>
      <c r="H3843" t="b">
        <v>0</v>
      </c>
    </row>
    <row r="3844">
      <c r="A3844" t="inlineStr">
        <is>
          <t>S001</t>
        </is>
      </c>
      <c r="B3844" s="3" t="n">
        <v>46278</v>
      </c>
      <c r="C3844" t="n">
        <v>10</v>
      </c>
      <c r="D3844" t="inlineStr">
        <is>
          <t>Sunday</t>
        </is>
      </c>
      <c r="E3844" t="n">
        <v>12</v>
      </c>
      <c r="F3844" t="b">
        <v>0</v>
      </c>
      <c r="H3844" t="b">
        <v>0</v>
      </c>
    </row>
    <row r="3845">
      <c r="A3845" t="inlineStr">
        <is>
          <t>S001</t>
        </is>
      </c>
      <c r="B3845" s="3" t="n">
        <v>46278</v>
      </c>
      <c r="C3845" t="n">
        <v>11</v>
      </c>
      <c r="D3845" t="inlineStr">
        <is>
          <t>Sunday</t>
        </is>
      </c>
      <c r="E3845" t="n">
        <v>18</v>
      </c>
      <c r="F3845" t="b">
        <v>0</v>
      </c>
      <c r="H3845" t="b">
        <v>0</v>
      </c>
    </row>
    <row r="3846">
      <c r="A3846" t="inlineStr">
        <is>
          <t>S001</t>
        </is>
      </c>
      <c r="B3846" s="3" t="n">
        <v>46278</v>
      </c>
      <c r="C3846" t="n">
        <v>12</v>
      </c>
      <c r="D3846" t="inlineStr">
        <is>
          <t>Sunday</t>
        </is>
      </c>
      <c r="E3846" t="n">
        <v>23</v>
      </c>
      <c r="F3846" t="b">
        <v>0</v>
      </c>
      <c r="H3846" t="b">
        <v>0</v>
      </c>
    </row>
    <row r="3847">
      <c r="A3847" t="inlineStr">
        <is>
          <t>S001</t>
        </is>
      </c>
      <c r="B3847" s="3" t="n">
        <v>46278</v>
      </c>
      <c r="C3847" t="n">
        <v>13</v>
      </c>
      <c r="D3847" t="inlineStr">
        <is>
          <t>Sunday</t>
        </is>
      </c>
      <c r="E3847" t="n">
        <v>13</v>
      </c>
      <c r="F3847" t="b">
        <v>0</v>
      </c>
      <c r="H3847" t="b">
        <v>0</v>
      </c>
    </row>
    <row r="3848">
      <c r="A3848" t="inlineStr">
        <is>
          <t>S001</t>
        </is>
      </c>
      <c r="B3848" s="3" t="n">
        <v>46278</v>
      </c>
      <c r="C3848" t="n">
        <v>14</v>
      </c>
      <c r="D3848" t="inlineStr">
        <is>
          <t>Sunday</t>
        </is>
      </c>
      <c r="E3848" t="n">
        <v>6</v>
      </c>
      <c r="F3848" t="b">
        <v>0</v>
      </c>
      <c r="H3848" t="b">
        <v>0</v>
      </c>
    </row>
    <row r="3849">
      <c r="A3849" t="inlineStr">
        <is>
          <t>S001</t>
        </is>
      </c>
      <c r="B3849" s="3" t="n">
        <v>46278</v>
      </c>
      <c r="C3849" t="n">
        <v>15</v>
      </c>
      <c r="D3849" t="inlineStr">
        <is>
          <t>Sunday</t>
        </is>
      </c>
      <c r="E3849" t="n">
        <v>16</v>
      </c>
      <c r="F3849" t="b">
        <v>0</v>
      </c>
      <c r="H3849" t="b">
        <v>0</v>
      </c>
    </row>
    <row r="3850">
      <c r="A3850" t="inlineStr">
        <is>
          <t>S001</t>
        </is>
      </c>
      <c r="B3850" s="3" t="n">
        <v>46278</v>
      </c>
      <c r="C3850" t="n">
        <v>16</v>
      </c>
      <c r="D3850" t="inlineStr">
        <is>
          <t>Sunday</t>
        </is>
      </c>
      <c r="E3850" t="n">
        <v>27</v>
      </c>
      <c r="F3850" t="b">
        <v>0</v>
      </c>
      <c r="G3850" t="inlineStr">
        <is>
          <t>Light</t>
        </is>
      </c>
      <c r="H3850" t="b">
        <v>1</v>
      </c>
    </row>
    <row r="3851">
      <c r="A3851" t="inlineStr">
        <is>
          <t>S001</t>
        </is>
      </c>
      <c r="B3851" s="3" t="n">
        <v>46278</v>
      </c>
      <c r="C3851" t="n">
        <v>17</v>
      </c>
      <c r="D3851" t="inlineStr">
        <is>
          <t>Sunday</t>
        </is>
      </c>
      <c r="E3851" t="n">
        <v>18</v>
      </c>
      <c r="F3851" t="b">
        <v>0</v>
      </c>
      <c r="H3851" t="b">
        <v>0</v>
      </c>
    </row>
    <row r="3852">
      <c r="A3852" t="inlineStr">
        <is>
          <t>S001</t>
        </is>
      </c>
      <c r="B3852" s="3" t="n">
        <v>46278</v>
      </c>
      <c r="C3852" t="n">
        <v>18</v>
      </c>
      <c r="D3852" t="inlineStr">
        <is>
          <t>Sunday</t>
        </is>
      </c>
      <c r="E3852" t="n">
        <v>13</v>
      </c>
      <c r="F3852" t="b">
        <v>0</v>
      </c>
      <c r="H3852" t="b">
        <v>0</v>
      </c>
    </row>
    <row r="3853">
      <c r="A3853" t="inlineStr">
        <is>
          <t>S001</t>
        </is>
      </c>
      <c r="B3853" s="3" t="n">
        <v>46278</v>
      </c>
      <c r="C3853" t="n">
        <v>19</v>
      </c>
      <c r="D3853" t="inlineStr">
        <is>
          <t>Sunday</t>
        </is>
      </c>
      <c r="E3853" t="n">
        <v>24</v>
      </c>
      <c r="F3853" t="b">
        <v>1</v>
      </c>
      <c r="H3853" t="b">
        <v>0</v>
      </c>
    </row>
    <row r="3854">
      <c r="A3854" t="inlineStr">
        <is>
          <t>S001</t>
        </is>
      </c>
      <c r="B3854" s="3" t="n">
        <v>46278</v>
      </c>
      <c r="C3854" t="n">
        <v>20</v>
      </c>
      <c r="D3854" t="inlineStr">
        <is>
          <t>Sunday</t>
        </is>
      </c>
      <c r="E3854" t="n">
        <v>25</v>
      </c>
      <c r="F3854" t="b">
        <v>1</v>
      </c>
      <c r="G3854" t="inlineStr">
        <is>
          <t>Light</t>
        </is>
      </c>
      <c r="H3854" t="b">
        <v>0</v>
      </c>
    </row>
    <row r="3855">
      <c r="A3855" t="inlineStr">
        <is>
          <t>S001</t>
        </is>
      </c>
      <c r="B3855" s="3" t="n">
        <v>46278</v>
      </c>
      <c r="C3855" t="n">
        <v>21</v>
      </c>
      <c r="D3855" t="inlineStr">
        <is>
          <t>Sunday</t>
        </is>
      </c>
      <c r="E3855" t="n">
        <v>22</v>
      </c>
      <c r="F3855" t="b">
        <v>1</v>
      </c>
      <c r="H3855" t="b">
        <v>0</v>
      </c>
    </row>
    <row r="3856">
      <c r="A3856" t="inlineStr">
        <is>
          <t>S001</t>
        </is>
      </c>
      <c r="B3856" s="3" t="n">
        <v>46278</v>
      </c>
      <c r="C3856" t="n">
        <v>22</v>
      </c>
      <c r="D3856" t="inlineStr">
        <is>
          <t>Sunday</t>
        </is>
      </c>
      <c r="E3856" t="n">
        <v>27</v>
      </c>
      <c r="F3856" t="b">
        <v>0</v>
      </c>
      <c r="H3856" t="b">
        <v>0</v>
      </c>
    </row>
    <row r="3857">
      <c r="A3857" t="inlineStr">
        <is>
          <t>S001</t>
        </is>
      </c>
      <c r="B3857" s="3" t="n">
        <v>46278</v>
      </c>
      <c r="C3857" t="n">
        <v>23</v>
      </c>
      <c r="D3857" t="inlineStr">
        <is>
          <t>Sunday</t>
        </is>
      </c>
      <c r="E3857" t="n">
        <v>23</v>
      </c>
      <c r="F3857" t="b">
        <v>0</v>
      </c>
      <c r="H3857" t="b">
        <v>0</v>
      </c>
    </row>
    <row r="3858">
      <c r="A3858" t="inlineStr">
        <is>
          <t>S002</t>
        </is>
      </c>
      <c r="B3858" s="3" t="n">
        <v>46278</v>
      </c>
      <c r="C3858" t="n">
        <v>8</v>
      </c>
      <c r="D3858" t="inlineStr">
        <is>
          <t>Sunday</t>
        </is>
      </c>
      <c r="E3858" t="n">
        <v>28</v>
      </c>
      <c r="F3858" t="b">
        <v>0</v>
      </c>
      <c r="H3858" t="b">
        <v>0</v>
      </c>
    </row>
    <row r="3859">
      <c r="A3859" t="inlineStr">
        <is>
          <t>S002</t>
        </is>
      </c>
      <c r="B3859" s="3" t="n">
        <v>46278</v>
      </c>
      <c r="C3859" t="n">
        <v>9</v>
      </c>
      <c r="D3859" t="inlineStr">
        <is>
          <t>Sunday</t>
        </is>
      </c>
      <c r="E3859" t="n">
        <v>20</v>
      </c>
      <c r="F3859" t="b">
        <v>0</v>
      </c>
      <c r="G3859" t="inlineStr">
        <is>
          <t>Heavy</t>
        </is>
      </c>
      <c r="H3859" t="b">
        <v>0</v>
      </c>
    </row>
    <row r="3860">
      <c r="A3860" t="inlineStr">
        <is>
          <t>S002</t>
        </is>
      </c>
      <c r="B3860" s="3" t="n">
        <v>46278</v>
      </c>
      <c r="C3860" t="n">
        <v>10</v>
      </c>
      <c r="D3860" t="inlineStr">
        <is>
          <t>Sunday</t>
        </is>
      </c>
      <c r="E3860" t="n">
        <v>29</v>
      </c>
      <c r="F3860" t="b">
        <v>0</v>
      </c>
      <c r="H3860" t="b">
        <v>0</v>
      </c>
    </row>
    <row r="3861">
      <c r="A3861" t="inlineStr">
        <is>
          <t>S002</t>
        </is>
      </c>
      <c r="B3861" s="3" t="n">
        <v>46278</v>
      </c>
      <c r="C3861" t="n">
        <v>11</v>
      </c>
      <c r="D3861" t="inlineStr">
        <is>
          <t>Sunday</t>
        </is>
      </c>
      <c r="E3861" t="n">
        <v>30</v>
      </c>
      <c r="F3861" t="b">
        <v>0</v>
      </c>
      <c r="H3861" t="b">
        <v>0</v>
      </c>
    </row>
    <row r="3862">
      <c r="A3862" t="inlineStr">
        <is>
          <t>S002</t>
        </is>
      </c>
      <c r="B3862" s="3" t="n">
        <v>46278</v>
      </c>
      <c r="C3862" t="n">
        <v>12</v>
      </c>
      <c r="D3862" t="inlineStr">
        <is>
          <t>Sunday</t>
        </is>
      </c>
      <c r="E3862" t="n">
        <v>24</v>
      </c>
      <c r="F3862" t="b">
        <v>0</v>
      </c>
      <c r="G3862" t="inlineStr">
        <is>
          <t>Heavy</t>
        </is>
      </c>
      <c r="H3862" t="b">
        <v>0</v>
      </c>
    </row>
    <row r="3863">
      <c r="A3863" t="inlineStr">
        <is>
          <t>S002</t>
        </is>
      </c>
      <c r="B3863" s="3" t="n">
        <v>46278</v>
      </c>
      <c r="C3863" t="n">
        <v>13</v>
      </c>
      <c r="D3863" t="inlineStr">
        <is>
          <t>Sunday</t>
        </is>
      </c>
      <c r="E3863" t="n">
        <v>42</v>
      </c>
      <c r="F3863" t="b">
        <v>0</v>
      </c>
      <c r="H3863" t="b">
        <v>0</v>
      </c>
    </row>
    <row r="3864">
      <c r="A3864" t="inlineStr">
        <is>
          <t>S002</t>
        </is>
      </c>
      <c r="B3864" s="3" t="n">
        <v>46278</v>
      </c>
      <c r="C3864" t="n">
        <v>14</v>
      </c>
      <c r="D3864" t="inlineStr">
        <is>
          <t>Sunday</t>
        </is>
      </c>
      <c r="E3864" t="n">
        <v>31</v>
      </c>
      <c r="F3864" t="b">
        <v>0</v>
      </c>
      <c r="H3864" t="b">
        <v>0</v>
      </c>
    </row>
    <row r="3865">
      <c r="A3865" t="inlineStr">
        <is>
          <t>S002</t>
        </is>
      </c>
      <c r="B3865" s="3" t="n">
        <v>46278</v>
      </c>
      <c r="C3865" t="n">
        <v>15</v>
      </c>
      <c r="D3865" t="inlineStr">
        <is>
          <t>Sunday</t>
        </is>
      </c>
      <c r="E3865" t="n">
        <v>29</v>
      </c>
      <c r="F3865" t="b">
        <v>0</v>
      </c>
      <c r="H3865" t="b">
        <v>0</v>
      </c>
    </row>
    <row r="3866">
      <c r="A3866" t="inlineStr">
        <is>
          <t>S002</t>
        </is>
      </c>
      <c r="B3866" s="3" t="n">
        <v>46278</v>
      </c>
      <c r="C3866" t="n">
        <v>16</v>
      </c>
      <c r="D3866" t="inlineStr">
        <is>
          <t>Sunday</t>
        </is>
      </c>
      <c r="E3866" t="n">
        <v>28</v>
      </c>
      <c r="F3866" t="b">
        <v>0</v>
      </c>
      <c r="H3866" t="b">
        <v>0</v>
      </c>
    </row>
    <row r="3867">
      <c r="A3867" t="inlineStr">
        <is>
          <t>S002</t>
        </is>
      </c>
      <c r="B3867" s="3" t="n">
        <v>46278</v>
      </c>
      <c r="C3867" t="n">
        <v>17</v>
      </c>
      <c r="D3867" t="inlineStr">
        <is>
          <t>Sunday</t>
        </is>
      </c>
      <c r="E3867" t="n">
        <v>33</v>
      </c>
      <c r="F3867" t="b">
        <v>0</v>
      </c>
      <c r="H3867" t="b">
        <v>0</v>
      </c>
    </row>
    <row r="3868">
      <c r="A3868" t="inlineStr">
        <is>
          <t>S002</t>
        </is>
      </c>
      <c r="B3868" s="3" t="n">
        <v>46278</v>
      </c>
      <c r="C3868" t="n">
        <v>18</v>
      </c>
      <c r="D3868" t="inlineStr">
        <is>
          <t>Sunday</t>
        </is>
      </c>
      <c r="E3868" t="n">
        <v>46</v>
      </c>
      <c r="F3868" t="b">
        <v>0</v>
      </c>
      <c r="H3868" t="b">
        <v>0</v>
      </c>
    </row>
    <row r="3869">
      <c r="A3869" t="inlineStr">
        <is>
          <t>S002</t>
        </is>
      </c>
      <c r="B3869" s="3" t="n">
        <v>46278</v>
      </c>
      <c r="C3869" t="n">
        <v>19</v>
      </c>
      <c r="D3869" t="inlineStr">
        <is>
          <t>Sunday</t>
        </is>
      </c>
      <c r="E3869" t="n">
        <v>47</v>
      </c>
      <c r="F3869" t="b">
        <v>1</v>
      </c>
      <c r="H3869" t="b">
        <v>0</v>
      </c>
    </row>
    <row r="3870">
      <c r="A3870" t="inlineStr">
        <is>
          <t>S002</t>
        </is>
      </c>
      <c r="B3870" s="3" t="n">
        <v>46278</v>
      </c>
      <c r="C3870" t="n">
        <v>20</v>
      </c>
      <c r="D3870" t="inlineStr">
        <is>
          <t>Sunday</t>
        </is>
      </c>
      <c r="E3870" t="n">
        <v>60</v>
      </c>
      <c r="F3870" t="b">
        <v>1</v>
      </c>
      <c r="H3870" t="b">
        <v>0</v>
      </c>
    </row>
    <row r="3871">
      <c r="A3871" t="inlineStr">
        <is>
          <t>S002</t>
        </is>
      </c>
      <c r="B3871" s="3" t="n">
        <v>46278</v>
      </c>
      <c r="C3871" t="n">
        <v>21</v>
      </c>
      <c r="D3871" t="inlineStr">
        <is>
          <t>Sunday</t>
        </is>
      </c>
      <c r="E3871" t="n">
        <v>64</v>
      </c>
      <c r="F3871" t="b">
        <v>1</v>
      </c>
      <c r="H3871" t="b">
        <v>0</v>
      </c>
    </row>
    <row r="3872">
      <c r="A3872" t="inlineStr">
        <is>
          <t>S002</t>
        </is>
      </c>
      <c r="B3872" s="3" t="n">
        <v>46278</v>
      </c>
      <c r="C3872" t="n">
        <v>22</v>
      </c>
      <c r="D3872" t="inlineStr">
        <is>
          <t>Sunday</t>
        </is>
      </c>
      <c r="E3872" t="n">
        <v>30</v>
      </c>
      <c r="F3872" t="b">
        <v>0</v>
      </c>
      <c r="H3872" t="b">
        <v>0</v>
      </c>
    </row>
    <row r="3873">
      <c r="A3873" t="inlineStr">
        <is>
          <t>S002</t>
        </is>
      </c>
      <c r="B3873" s="3" t="n">
        <v>46278</v>
      </c>
      <c r="C3873" t="n">
        <v>23</v>
      </c>
      <c r="D3873" t="inlineStr">
        <is>
          <t>Sunday</t>
        </is>
      </c>
      <c r="E3873" t="n">
        <v>35</v>
      </c>
      <c r="F3873" t="b">
        <v>0</v>
      </c>
      <c r="H3873" t="b">
        <v>1</v>
      </c>
    </row>
    <row r="3874">
      <c r="A3874" t="inlineStr">
        <is>
          <t>S003</t>
        </is>
      </c>
      <c r="B3874" s="3" t="n">
        <v>46278</v>
      </c>
      <c r="C3874" t="n">
        <v>8</v>
      </c>
      <c r="D3874" t="inlineStr">
        <is>
          <t>Sunday</t>
        </is>
      </c>
      <c r="E3874" t="n">
        <v>25</v>
      </c>
      <c r="F3874" t="b">
        <v>0</v>
      </c>
      <c r="H3874" t="b">
        <v>0</v>
      </c>
    </row>
    <row r="3875">
      <c r="A3875" t="inlineStr">
        <is>
          <t>S003</t>
        </is>
      </c>
      <c r="B3875" s="3" t="n">
        <v>46278</v>
      </c>
      <c r="C3875" t="n">
        <v>9</v>
      </c>
      <c r="D3875" t="inlineStr">
        <is>
          <t>Sunday</t>
        </is>
      </c>
      <c r="E3875" t="n">
        <v>31</v>
      </c>
      <c r="F3875" t="b">
        <v>0</v>
      </c>
      <c r="H3875" t="b">
        <v>0</v>
      </c>
    </row>
    <row r="3876">
      <c r="A3876" t="inlineStr">
        <is>
          <t>S003</t>
        </is>
      </c>
      <c r="B3876" s="3" t="n">
        <v>46278</v>
      </c>
      <c r="C3876" t="n">
        <v>10</v>
      </c>
      <c r="D3876" t="inlineStr">
        <is>
          <t>Sunday</t>
        </is>
      </c>
      <c r="E3876" t="n">
        <v>19</v>
      </c>
      <c r="F3876" t="b">
        <v>0</v>
      </c>
      <c r="H3876" t="b">
        <v>0</v>
      </c>
    </row>
    <row r="3877">
      <c r="A3877" t="inlineStr">
        <is>
          <t>S003</t>
        </is>
      </c>
      <c r="B3877" s="3" t="n">
        <v>46278</v>
      </c>
      <c r="C3877" t="n">
        <v>11</v>
      </c>
      <c r="D3877" t="inlineStr">
        <is>
          <t>Sunday</t>
        </is>
      </c>
      <c r="E3877" t="n">
        <v>41</v>
      </c>
      <c r="F3877" t="b">
        <v>0</v>
      </c>
      <c r="G3877" t="inlineStr">
        <is>
          <t>Light</t>
        </is>
      </c>
      <c r="H3877" t="b">
        <v>0</v>
      </c>
    </row>
    <row r="3878">
      <c r="A3878" t="inlineStr">
        <is>
          <t>S003</t>
        </is>
      </c>
      <c r="B3878" s="3" t="n">
        <v>46278</v>
      </c>
      <c r="C3878" t="n">
        <v>12</v>
      </c>
      <c r="D3878" t="inlineStr">
        <is>
          <t>Sunday</t>
        </is>
      </c>
      <c r="E3878" t="n">
        <v>51</v>
      </c>
      <c r="F3878" t="b">
        <v>0</v>
      </c>
      <c r="H3878" t="b">
        <v>0</v>
      </c>
    </row>
    <row r="3879">
      <c r="A3879" t="inlineStr">
        <is>
          <t>S003</t>
        </is>
      </c>
      <c r="B3879" s="3" t="n">
        <v>46278</v>
      </c>
      <c r="C3879" t="n">
        <v>13</v>
      </c>
      <c r="D3879" t="inlineStr">
        <is>
          <t>Sunday</t>
        </is>
      </c>
      <c r="E3879" t="n">
        <v>36</v>
      </c>
      <c r="F3879" t="b">
        <v>0</v>
      </c>
      <c r="G3879" t="inlineStr">
        <is>
          <t>Light</t>
        </is>
      </c>
      <c r="H3879" t="b">
        <v>0</v>
      </c>
    </row>
    <row r="3880">
      <c r="A3880" t="inlineStr">
        <is>
          <t>S003</t>
        </is>
      </c>
      <c r="B3880" s="3" t="n">
        <v>46278</v>
      </c>
      <c r="C3880" t="n">
        <v>14</v>
      </c>
      <c r="D3880" t="inlineStr">
        <is>
          <t>Sunday</t>
        </is>
      </c>
      <c r="E3880" t="n">
        <v>31</v>
      </c>
      <c r="F3880" t="b">
        <v>0</v>
      </c>
      <c r="H3880" t="b">
        <v>0</v>
      </c>
    </row>
    <row r="3881">
      <c r="A3881" t="inlineStr">
        <is>
          <t>S003</t>
        </is>
      </c>
      <c r="B3881" s="3" t="n">
        <v>46278</v>
      </c>
      <c r="C3881" t="n">
        <v>15</v>
      </c>
      <c r="D3881" t="inlineStr">
        <is>
          <t>Sunday</t>
        </is>
      </c>
      <c r="E3881" t="n">
        <v>29</v>
      </c>
      <c r="F3881" t="b">
        <v>0</v>
      </c>
      <c r="H3881" t="b">
        <v>1</v>
      </c>
    </row>
    <row r="3882">
      <c r="A3882" t="inlineStr">
        <is>
          <t>S003</t>
        </is>
      </c>
      <c r="B3882" s="3" t="n">
        <v>46278</v>
      </c>
      <c r="C3882" t="n">
        <v>16</v>
      </c>
      <c r="D3882" t="inlineStr">
        <is>
          <t>Sunday</t>
        </is>
      </c>
      <c r="E3882" t="n">
        <v>55</v>
      </c>
      <c r="F3882" t="b">
        <v>0</v>
      </c>
      <c r="H3882" t="b">
        <v>0</v>
      </c>
    </row>
    <row r="3883">
      <c r="A3883" t="inlineStr">
        <is>
          <t>S003</t>
        </is>
      </c>
      <c r="B3883" s="3" t="n">
        <v>46278</v>
      </c>
      <c r="C3883" t="n">
        <v>17</v>
      </c>
      <c r="D3883" t="inlineStr">
        <is>
          <t>Sunday</t>
        </is>
      </c>
      <c r="E3883" t="n">
        <v>41</v>
      </c>
      <c r="F3883" t="b">
        <v>0</v>
      </c>
      <c r="G3883" t="inlineStr">
        <is>
          <t>Heavy</t>
        </is>
      </c>
      <c r="H3883" t="b">
        <v>0</v>
      </c>
    </row>
    <row r="3884">
      <c r="A3884" t="inlineStr">
        <is>
          <t>S003</t>
        </is>
      </c>
      <c r="B3884" s="3" t="n">
        <v>46278</v>
      </c>
      <c r="C3884" t="n">
        <v>18</v>
      </c>
      <c r="D3884" t="inlineStr">
        <is>
          <t>Sunday</t>
        </is>
      </c>
      <c r="E3884" t="n">
        <v>36</v>
      </c>
      <c r="F3884" t="b">
        <v>0</v>
      </c>
      <c r="H3884" t="b">
        <v>0</v>
      </c>
    </row>
    <row r="3885">
      <c r="A3885" t="inlineStr">
        <is>
          <t>S003</t>
        </is>
      </c>
      <c r="B3885" s="3" t="n">
        <v>46278</v>
      </c>
      <c r="C3885" t="n">
        <v>19</v>
      </c>
      <c r="D3885" t="inlineStr">
        <is>
          <t>Sunday</t>
        </is>
      </c>
      <c r="E3885" t="n">
        <v>62</v>
      </c>
      <c r="F3885" t="b">
        <v>1</v>
      </c>
      <c r="H3885" t="b">
        <v>0</v>
      </c>
    </row>
    <row r="3886">
      <c r="A3886" t="inlineStr">
        <is>
          <t>S003</t>
        </is>
      </c>
      <c r="B3886" s="3" t="n">
        <v>46278</v>
      </c>
      <c r="C3886" t="n">
        <v>20</v>
      </c>
      <c r="D3886" t="inlineStr">
        <is>
          <t>Sunday</t>
        </is>
      </c>
      <c r="E3886" t="n">
        <v>78</v>
      </c>
      <c r="F3886" t="b">
        <v>1</v>
      </c>
      <c r="H3886" t="b">
        <v>0</v>
      </c>
    </row>
    <row r="3887">
      <c r="A3887" t="inlineStr">
        <is>
          <t>S003</t>
        </is>
      </c>
      <c r="B3887" s="3" t="n">
        <v>46278</v>
      </c>
      <c r="C3887" t="n">
        <v>21</v>
      </c>
      <c r="D3887" t="inlineStr">
        <is>
          <t>Sunday</t>
        </is>
      </c>
      <c r="E3887" t="n">
        <v>68</v>
      </c>
      <c r="F3887" t="b">
        <v>1</v>
      </c>
      <c r="H3887" t="b">
        <v>0</v>
      </c>
    </row>
    <row r="3888">
      <c r="A3888" t="inlineStr">
        <is>
          <t>S003</t>
        </is>
      </c>
      <c r="B3888" s="3" t="n">
        <v>46278</v>
      </c>
      <c r="C3888" t="n">
        <v>22</v>
      </c>
      <c r="D3888" t="inlineStr">
        <is>
          <t>Sunday</t>
        </is>
      </c>
      <c r="E3888" t="n">
        <v>49</v>
      </c>
      <c r="F3888" t="b">
        <v>0</v>
      </c>
      <c r="G3888" t="inlineStr">
        <is>
          <t>Light</t>
        </is>
      </c>
      <c r="H3888" t="b">
        <v>0</v>
      </c>
    </row>
    <row r="3889">
      <c r="A3889" t="inlineStr">
        <is>
          <t>S003</t>
        </is>
      </c>
      <c r="B3889" s="3" t="n">
        <v>46278</v>
      </c>
      <c r="C3889" t="n">
        <v>23</v>
      </c>
      <c r="D3889" t="inlineStr">
        <is>
          <t>Sunday</t>
        </is>
      </c>
      <c r="E3889" t="n">
        <v>32</v>
      </c>
      <c r="F3889" t="b">
        <v>0</v>
      </c>
      <c r="G3889" t="inlineStr">
        <is>
          <t>Heavy</t>
        </is>
      </c>
      <c r="H3889" t="b">
        <v>0</v>
      </c>
    </row>
    <row r="3890">
      <c r="A3890" t="inlineStr">
        <is>
          <t>S004</t>
        </is>
      </c>
      <c r="B3890" s="3" t="n">
        <v>46278</v>
      </c>
      <c r="C3890" t="n">
        <v>8</v>
      </c>
      <c r="D3890" t="inlineStr">
        <is>
          <t>Sunday</t>
        </is>
      </c>
      <c r="E3890" t="n">
        <v>36</v>
      </c>
      <c r="F3890" t="b">
        <v>0</v>
      </c>
      <c r="G3890" t="inlineStr">
        <is>
          <t>Light</t>
        </is>
      </c>
      <c r="H3890" t="b">
        <v>0</v>
      </c>
    </row>
    <row r="3891">
      <c r="A3891" t="inlineStr">
        <is>
          <t>S004</t>
        </is>
      </c>
      <c r="B3891" s="3" t="n">
        <v>46278</v>
      </c>
      <c r="C3891" t="n">
        <v>9</v>
      </c>
      <c r="D3891" t="inlineStr">
        <is>
          <t>Sunday</t>
        </is>
      </c>
      <c r="E3891" t="n">
        <v>28</v>
      </c>
      <c r="F3891" t="b">
        <v>0</v>
      </c>
      <c r="H3891" t="b">
        <v>0</v>
      </c>
    </row>
    <row r="3892">
      <c r="A3892" t="inlineStr">
        <is>
          <t>S004</t>
        </is>
      </c>
      <c r="B3892" s="3" t="n">
        <v>46278</v>
      </c>
      <c r="C3892" t="n">
        <v>10</v>
      </c>
      <c r="D3892" t="inlineStr">
        <is>
          <t>Sunday</t>
        </is>
      </c>
      <c r="E3892" t="n">
        <v>36</v>
      </c>
      <c r="F3892" t="b">
        <v>0</v>
      </c>
      <c r="H3892" t="b">
        <v>0</v>
      </c>
    </row>
    <row r="3893">
      <c r="A3893" t="inlineStr">
        <is>
          <t>S004</t>
        </is>
      </c>
      <c r="B3893" s="3" t="n">
        <v>46278</v>
      </c>
      <c r="C3893" t="n">
        <v>11</v>
      </c>
      <c r="D3893" t="inlineStr">
        <is>
          <t>Sunday</t>
        </is>
      </c>
      <c r="E3893" t="n">
        <v>58</v>
      </c>
      <c r="F3893" t="b">
        <v>0</v>
      </c>
      <c r="G3893" t="inlineStr">
        <is>
          <t>Light</t>
        </is>
      </c>
      <c r="H3893" t="b">
        <v>0</v>
      </c>
    </row>
    <row r="3894">
      <c r="A3894" t="inlineStr">
        <is>
          <t>S004</t>
        </is>
      </c>
      <c r="B3894" s="3" t="n">
        <v>46278</v>
      </c>
      <c r="C3894" t="n">
        <v>12</v>
      </c>
      <c r="D3894" t="inlineStr">
        <is>
          <t>Sunday</t>
        </is>
      </c>
      <c r="E3894" t="n">
        <v>41</v>
      </c>
      <c r="F3894" t="b">
        <v>0</v>
      </c>
      <c r="H3894" t="b">
        <v>0</v>
      </c>
    </row>
    <row r="3895">
      <c r="A3895" t="inlineStr">
        <is>
          <t>S004</t>
        </is>
      </c>
      <c r="B3895" s="3" t="n">
        <v>46278</v>
      </c>
      <c r="C3895" t="n">
        <v>13</v>
      </c>
      <c r="D3895" t="inlineStr">
        <is>
          <t>Sunday</t>
        </is>
      </c>
      <c r="E3895" t="n">
        <v>41</v>
      </c>
      <c r="F3895" t="b">
        <v>0</v>
      </c>
      <c r="H3895" t="b">
        <v>0</v>
      </c>
    </row>
    <row r="3896">
      <c r="A3896" t="inlineStr">
        <is>
          <t>S004</t>
        </is>
      </c>
      <c r="B3896" s="3" t="n">
        <v>46278</v>
      </c>
      <c r="C3896" t="n">
        <v>14</v>
      </c>
      <c r="D3896" t="inlineStr">
        <is>
          <t>Sunday</t>
        </is>
      </c>
      <c r="E3896" t="n">
        <v>41</v>
      </c>
      <c r="F3896" t="b">
        <v>0</v>
      </c>
      <c r="H3896" t="b">
        <v>0</v>
      </c>
    </row>
    <row r="3897">
      <c r="A3897" t="inlineStr">
        <is>
          <t>S004</t>
        </is>
      </c>
      <c r="B3897" s="3" t="n">
        <v>46278</v>
      </c>
      <c r="C3897" t="n">
        <v>15</v>
      </c>
      <c r="D3897" t="inlineStr">
        <is>
          <t>Sunday</t>
        </is>
      </c>
      <c r="E3897" t="n">
        <v>38</v>
      </c>
      <c r="F3897" t="b">
        <v>0</v>
      </c>
      <c r="H3897" t="b">
        <v>0</v>
      </c>
    </row>
    <row r="3898">
      <c r="A3898" t="inlineStr">
        <is>
          <t>S004</t>
        </is>
      </c>
      <c r="B3898" s="3" t="n">
        <v>46278</v>
      </c>
      <c r="C3898" t="n">
        <v>16</v>
      </c>
      <c r="D3898" t="inlineStr">
        <is>
          <t>Sunday</t>
        </is>
      </c>
      <c r="E3898" t="n">
        <v>44</v>
      </c>
      <c r="F3898" t="b">
        <v>0</v>
      </c>
      <c r="G3898" t="inlineStr">
        <is>
          <t>Heavy</t>
        </is>
      </c>
      <c r="H3898" t="b">
        <v>0</v>
      </c>
    </row>
    <row r="3899">
      <c r="A3899" t="inlineStr">
        <is>
          <t>S004</t>
        </is>
      </c>
      <c r="B3899" s="3" t="n">
        <v>46278</v>
      </c>
      <c r="C3899" t="n">
        <v>17</v>
      </c>
      <c r="D3899" t="inlineStr">
        <is>
          <t>Sunday</t>
        </is>
      </c>
      <c r="E3899" t="n">
        <v>43</v>
      </c>
      <c r="F3899" t="b">
        <v>0</v>
      </c>
      <c r="G3899" t="inlineStr">
        <is>
          <t>Light</t>
        </is>
      </c>
      <c r="H3899" t="b">
        <v>0</v>
      </c>
    </row>
    <row r="3900">
      <c r="A3900" t="inlineStr">
        <is>
          <t>S004</t>
        </is>
      </c>
      <c r="B3900" s="3" t="n">
        <v>46278</v>
      </c>
      <c r="C3900" t="n">
        <v>18</v>
      </c>
      <c r="D3900" t="inlineStr">
        <is>
          <t>Sunday</t>
        </is>
      </c>
      <c r="E3900" t="n">
        <v>48</v>
      </c>
      <c r="F3900" t="b">
        <v>0</v>
      </c>
      <c r="H3900" t="b">
        <v>1</v>
      </c>
    </row>
    <row r="3901">
      <c r="A3901" t="inlineStr">
        <is>
          <t>S004</t>
        </is>
      </c>
      <c r="B3901" s="3" t="n">
        <v>46278</v>
      </c>
      <c r="C3901" t="n">
        <v>19</v>
      </c>
      <c r="D3901" t="inlineStr">
        <is>
          <t>Sunday</t>
        </is>
      </c>
      <c r="E3901" t="n">
        <v>63</v>
      </c>
      <c r="F3901" t="b">
        <v>1</v>
      </c>
      <c r="G3901" t="inlineStr">
        <is>
          <t>Light</t>
        </is>
      </c>
      <c r="H3901" t="b">
        <v>0</v>
      </c>
    </row>
    <row r="3902">
      <c r="A3902" t="inlineStr">
        <is>
          <t>S004</t>
        </is>
      </c>
      <c r="B3902" s="3" t="n">
        <v>46278</v>
      </c>
      <c r="C3902" t="n">
        <v>20</v>
      </c>
      <c r="D3902" t="inlineStr">
        <is>
          <t>Sunday</t>
        </is>
      </c>
      <c r="E3902" t="n">
        <v>56</v>
      </c>
      <c r="F3902" t="b">
        <v>1</v>
      </c>
      <c r="H3902" t="b">
        <v>0</v>
      </c>
    </row>
    <row r="3903">
      <c r="A3903" t="inlineStr">
        <is>
          <t>S004</t>
        </is>
      </c>
      <c r="B3903" s="3" t="n">
        <v>46278</v>
      </c>
      <c r="C3903" t="n">
        <v>21</v>
      </c>
      <c r="D3903" t="inlineStr">
        <is>
          <t>Sunday</t>
        </is>
      </c>
      <c r="E3903" t="n">
        <v>78</v>
      </c>
      <c r="F3903" t="b">
        <v>1</v>
      </c>
      <c r="G3903" t="inlineStr">
        <is>
          <t>Light</t>
        </is>
      </c>
      <c r="H3903" t="b">
        <v>0</v>
      </c>
    </row>
    <row r="3904">
      <c r="A3904" t="inlineStr">
        <is>
          <t>S004</t>
        </is>
      </c>
      <c r="B3904" s="3" t="n">
        <v>46278</v>
      </c>
      <c r="C3904" t="n">
        <v>22</v>
      </c>
      <c r="D3904" t="inlineStr">
        <is>
          <t>Sunday</t>
        </is>
      </c>
      <c r="E3904" t="n">
        <v>41</v>
      </c>
      <c r="F3904" t="b">
        <v>0</v>
      </c>
      <c r="G3904" t="inlineStr">
        <is>
          <t>Heavy</t>
        </is>
      </c>
      <c r="H3904" t="b">
        <v>0</v>
      </c>
    </row>
    <row r="3905">
      <c r="A3905" t="inlineStr">
        <is>
          <t>S004</t>
        </is>
      </c>
      <c r="B3905" s="3" t="n">
        <v>46278</v>
      </c>
      <c r="C3905" t="n">
        <v>23</v>
      </c>
      <c r="D3905" t="inlineStr">
        <is>
          <t>Sunday</t>
        </is>
      </c>
      <c r="E3905" t="n">
        <v>48</v>
      </c>
      <c r="F3905" t="b">
        <v>0</v>
      </c>
      <c r="H3905" t="b">
        <v>0</v>
      </c>
    </row>
    <row r="3906">
      <c r="A3906" t="inlineStr">
        <is>
          <t>S005</t>
        </is>
      </c>
      <c r="B3906" s="3" t="n">
        <v>46278</v>
      </c>
      <c r="C3906" t="n">
        <v>8</v>
      </c>
      <c r="D3906" t="inlineStr">
        <is>
          <t>Sunday</t>
        </is>
      </c>
      <c r="E3906" t="n">
        <v>9</v>
      </c>
      <c r="F3906" t="b">
        <v>0</v>
      </c>
      <c r="G3906" t="inlineStr">
        <is>
          <t>Light</t>
        </is>
      </c>
      <c r="H3906" t="b">
        <v>0</v>
      </c>
    </row>
    <row r="3907">
      <c r="A3907" t="inlineStr">
        <is>
          <t>S005</t>
        </is>
      </c>
      <c r="B3907" s="3" t="n">
        <v>46278</v>
      </c>
      <c r="C3907" t="n">
        <v>9</v>
      </c>
      <c r="D3907" t="inlineStr">
        <is>
          <t>Sunday</t>
        </is>
      </c>
      <c r="E3907" t="n">
        <v>18</v>
      </c>
      <c r="F3907" t="b">
        <v>0</v>
      </c>
      <c r="H3907" t="b">
        <v>0</v>
      </c>
    </row>
    <row r="3908">
      <c r="A3908" t="inlineStr">
        <is>
          <t>S005</t>
        </is>
      </c>
      <c r="B3908" s="3" t="n">
        <v>46278</v>
      </c>
      <c r="C3908" t="n">
        <v>10</v>
      </c>
      <c r="D3908" t="inlineStr">
        <is>
          <t>Sunday</t>
        </is>
      </c>
      <c r="E3908" t="n">
        <v>6</v>
      </c>
      <c r="F3908" t="b">
        <v>0</v>
      </c>
      <c r="H3908" t="b">
        <v>0</v>
      </c>
    </row>
    <row r="3909">
      <c r="A3909" t="inlineStr">
        <is>
          <t>S005</t>
        </is>
      </c>
      <c r="B3909" s="3" t="n">
        <v>46278</v>
      </c>
      <c r="C3909" t="n">
        <v>11</v>
      </c>
      <c r="D3909" t="inlineStr">
        <is>
          <t>Sunday</t>
        </is>
      </c>
      <c r="E3909" t="n">
        <v>12</v>
      </c>
      <c r="F3909" t="b">
        <v>0</v>
      </c>
      <c r="H3909" t="b">
        <v>1</v>
      </c>
    </row>
    <row r="3910">
      <c r="A3910" t="inlineStr">
        <is>
          <t>S005</t>
        </is>
      </c>
      <c r="B3910" s="3" t="n">
        <v>46278</v>
      </c>
      <c r="C3910" t="n">
        <v>12</v>
      </c>
      <c r="D3910" t="inlineStr">
        <is>
          <t>Sunday</t>
        </is>
      </c>
      <c r="E3910" t="n">
        <v>16</v>
      </c>
      <c r="F3910" t="b">
        <v>0</v>
      </c>
      <c r="H3910" t="b">
        <v>0</v>
      </c>
    </row>
    <row r="3911">
      <c r="A3911" t="inlineStr">
        <is>
          <t>S005</t>
        </is>
      </c>
      <c r="B3911" s="3" t="n">
        <v>46278</v>
      </c>
      <c r="C3911" t="n">
        <v>13</v>
      </c>
      <c r="D3911" t="inlineStr">
        <is>
          <t>Sunday</t>
        </is>
      </c>
      <c r="E3911" t="n">
        <v>6</v>
      </c>
      <c r="F3911" t="b">
        <v>0</v>
      </c>
      <c r="H3911" t="b">
        <v>0</v>
      </c>
    </row>
    <row r="3912">
      <c r="A3912" t="inlineStr">
        <is>
          <t>S005</t>
        </is>
      </c>
      <c r="B3912" s="3" t="n">
        <v>46278</v>
      </c>
      <c r="C3912" t="n">
        <v>14</v>
      </c>
      <c r="D3912" t="inlineStr">
        <is>
          <t>Sunday</t>
        </is>
      </c>
      <c r="E3912" t="n">
        <v>5</v>
      </c>
      <c r="F3912" t="b">
        <v>0</v>
      </c>
      <c r="G3912" t="inlineStr">
        <is>
          <t>Light</t>
        </is>
      </c>
      <c r="H3912" t="b">
        <v>0</v>
      </c>
    </row>
    <row r="3913">
      <c r="A3913" t="inlineStr">
        <is>
          <t>S005</t>
        </is>
      </c>
      <c r="B3913" s="3" t="n">
        <v>46278</v>
      </c>
      <c r="C3913" t="n">
        <v>15</v>
      </c>
      <c r="D3913" t="inlineStr">
        <is>
          <t>Sunday</t>
        </is>
      </c>
      <c r="E3913" t="n">
        <v>11</v>
      </c>
      <c r="F3913" t="b">
        <v>0</v>
      </c>
      <c r="G3913" t="inlineStr">
        <is>
          <t>Light</t>
        </is>
      </c>
      <c r="H3913" t="b">
        <v>0</v>
      </c>
    </row>
    <row r="3914">
      <c r="A3914" t="inlineStr">
        <is>
          <t>S005</t>
        </is>
      </c>
      <c r="B3914" s="3" t="n">
        <v>46278</v>
      </c>
      <c r="C3914" t="n">
        <v>16</v>
      </c>
      <c r="D3914" t="inlineStr">
        <is>
          <t>Sunday</t>
        </is>
      </c>
      <c r="E3914" t="n">
        <v>17</v>
      </c>
      <c r="F3914" t="b">
        <v>0</v>
      </c>
      <c r="G3914" t="inlineStr">
        <is>
          <t>Light</t>
        </is>
      </c>
      <c r="H3914" t="b">
        <v>0</v>
      </c>
    </row>
    <row r="3915">
      <c r="A3915" t="inlineStr">
        <is>
          <t>S005</t>
        </is>
      </c>
      <c r="B3915" s="3" t="n">
        <v>46278</v>
      </c>
      <c r="C3915" t="n">
        <v>17</v>
      </c>
      <c r="D3915" t="inlineStr">
        <is>
          <t>Sunday</t>
        </is>
      </c>
      <c r="E3915" t="n">
        <v>11</v>
      </c>
      <c r="F3915" t="b">
        <v>0</v>
      </c>
      <c r="H3915" t="b">
        <v>0</v>
      </c>
    </row>
    <row r="3916">
      <c r="A3916" t="inlineStr">
        <is>
          <t>S005</t>
        </is>
      </c>
      <c r="B3916" s="3" t="n">
        <v>46278</v>
      </c>
      <c r="C3916" t="n">
        <v>18</v>
      </c>
      <c r="D3916" t="inlineStr">
        <is>
          <t>Sunday</t>
        </is>
      </c>
      <c r="E3916" t="n">
        <v>18</v>
      </c>
      <c r="F3916" t="b">
        <v>0</v>
      </c>
      <c r="G3916" t="inlineStr">
        <is>
          <t>Heavy</t>
        </is>
      </c>
      <c r="H3916" t="b">
        <v>0</v>
      </c>
    </row>
    <row r="3917">
      <c r="A3917" t="inlineStr">
        <is>
          <t>S005</t>
        </is>
      </c>
      <c r="B3917" s="3" t="n">
        <v>46278</v>
      </c>
      <c r="C3917" t="n">
        <v>19</v>
      </c>
      <c r="D3917" t="inlineStr">
        <is>
          <t>Sunday</t>
        </is>
      </c>
      <c r="E3917" t="n">
        <v>26</v>
      </c>
      <c r="F3917" t="b">
        <v>1</v>
      </c>
      <c r="G3917" t="inlineStr">
        <is>
          <t>Heavy</t>
        </is>
      </c>
      <c r="H3917" t="b">
        <v>0</v>
      </c>
    </row>
    <row r="3918">
      <c r="A3918" t="inlineStr">
        <is>
          <t>S005</t>
        </is>
      </c>
      <c r="B3918" s="3" t="n">
        <v>46278</v>
      </c>
      <c r="C3918" t="n">
        <v>20</v>
      </c>
      <c r="D3918" t="inlineStr">
        <is>
          <t>Sunday</t>
        </is>
      </c>
      <c r="E3918" t="n">
        <v>16</v>
      </c>
      <c r="F3918" t="b">
        <v>1</v>
      </c>
      <c r="H3918" t="b">
        <v>0</v>
      </c>
    </row>
    <row r="3919">
      <c r="A3919" t="inlineStr">
        <is>
          <t>S005</t>
        </is>
      </c>
      <c r="B3919" s="3" t="n">
        <v>46278</v>
      </c>
      <c r="C3919" t="n">
        <v>21</v>
      </c>
      <c r="D3919" t="inlineStr">
        <is>
          <t>Sunday</t>
        </is>
      </c>
      <c r="E3919" t="n">
        <v>16</v>
      </c>
      <c r="F3919" t="b">
        <v>1</v>
      </c>
      <c r="H3919" t="b">
        <v>0</v>
      </c>
    </row>
    <row r="3920">
      <c r="A3920" t="inlineStr">
        <is>
          <t>S005</t>
        </is>
      </c>
      <c r="B3920" s="3" t="n">
        <v>46278</v>
      </c>
      <c r="C3920" t="n">
        <v>22</v>
      </c>
      <c r="D3920" t="inlineStr">
        <is>
          <t>Sunday</t>
        </is>
      </c>
      <c r="E3920" t="n">
        <v>13</v>
      </c>
      <c r="F3920" t="b">
        <v>0</v>
      </c>
      <c r="H3920" t="b">
        <v>0</v>
      </c>
    </row>
    <row r="3921">
      <c r="A3921" t="inlineStr">
        <is>
          <t>S005</t>
        </is>
      </c>
      <c r="B3921" s="3" t="n">
        <v>46278</v>
      </c>
      <c r="C3921" t="n">
        <v>23</v>
      </c>
      <c r="D3921" t="inlineStr">
        <is>
          <t>Sunday</t>
        </is>
      </c>
      <c r="E3921" t="n">
        <v>16</v>
      </c>
      <c r="F3921" t="b">
        <v>0</v>
      </c>
      <c r="H3921" t="b">
        <v>0</v>
      </c>
    </row>
    <row r="3922">
      <c r="A3922" t="inlineStr">
        <is>
          <t>S006</t>
        </is>
      </c>
      <c r="B3922" s="3" t="n">
        <v>46278</v>
      </c>
      <c r="C3922" t="n">
        <v>8</v>
      </c>
      <c r="D3922" t="inlineStr">
        <is>
          <t>Sunday</t>
        </is>
      </c>
      <c r="E3922" t="n">
        <v>27</v>
      </c>
      <c r="F3922" t="b">
        <v>0</v>
      </c>
      <c r="G3922" t="inlineStr">
        <is>
          <t>Light</t>
        </is>
      </c>
      <c r="H3922" t="b">
        <v>0</v>
      </c>
    </row>
    <row r="3923">
      <c r="A3923" t="inlineStr">
        <is>
          <t>S006</t>
        </is>
      </c>
      <c r="B3923" s="3" t="n">
        <v>46278</v>
      </c>
      <c r="C3923" t="n">
        <v>9</v>
      </c>
      <c r="D3923" t="inlineStr">
        <is>
          <t>Sunday</t>
        </is>
      </c>
      <c r="E3923" t="n">
        <v>21</v>
      </c>
      <c r="F3923" t="b">
        <v>0</v>
      </c>
      <c r="H3923" t="b">
        <v>0</v>
      </c>
    </row>
    <row r="3924">
      <c r="A3924" t="inlineStr">
        <is>
          <t>S006</t>
        </is>
      </c>
      <c r="B3924" s="3" t="n">
        <v>46278</v>
      </c>
      <c r="C3924" t="n">
        <v>10</v>
      </c>
      <c r="D3924" t="inlineStr">
        <is>
          <t>Sunday</t>
        </is>
      </c>
      <c r="E3924" t="n">
        <v>16</v>
      </c>
      <c r="F3924" t="b">
        <v>0</v>
      </c>
      <c r="G3924" t="inlineStr">
        <is>
          <t>Heavy</t>
        </is>
      </c>
      <c r="H3924" t="b">
        <v>0</v>
      </c>
    </row>
    <row r="3925">
      <c r="A3925" t="inlineStr">
        <is>
          <t>S006</t>
        </is>
      </c>
      <c r="B3925" s="3" t="n">
        <v>46278</v>
      </c>
      <c r="C3925" t="n">
        <v>11</v>
      </c>
      <c r="D3925" t="inlineStr">
        <is>
          <t>Sunday</t>
        </is>
      </c>
      <c r="E3925" t="n">
        <v>24</v>
      </c>
      <c r="F3925" t="b">
        <v>0</v>
      </c>
      <c r="G3925" t="inlineStr">
        <is>
          <t>Light</t>
        </is>
      </c>
      <c r="H3925" t="b">
        <v>1</v>
      </c>
    </row>
    <row r="3926">
      <c r="A3926" t="inlineStr">
        <is>
          <t>S006</t>
        </is>
      </c>
      <c r="B3926" s="3" t="n">
        <v>46278</v>
      </c>
      <c r="C3926" t="n">
        <v>12</v>
      </c>
      <c r="D3926" t="inlineStr">
        <is>
          <t>Sunday</t>
        </is>
      </c>
      <c r="E3926" t="n">
        <v>28</v>
      </c>
      <c r="F3926" t="b">
        <v>0</v>
      </c>
      <c r="H3926" t="b">
        <v>0</v>
      </c>
    </row>
    <row r="3927">
      <c r="A3927" t="inlineStr">
        <is>
          <t>S006</t>
        </is>
      </c>
      <c r="B3927" s="3" t="n">
        <v>46278</v>
      </c>
      <c r="C3927" t="n">
        <v>13</v>
      </c>
      <c r="D3927" t="inlineStr">
        <is>
          <t>Sunday</t>
        </is>
      </c>
      <c r="E3927" t="n">
        <v>34</v>
      </c>
      <c r="F3927" t="b">
        <v>0</v>
      </c>
      <c r="H3927" t="b">
        <v>0</v>
      </c>
    </row>
    <row r="3928">
      <c r="A3928" t="inlineStr">
        <is>
          <t>S006</t>
        </is>
      </c>
      <c r="B3928" s="3" t="n">
        <v>46278</v>
      </c>
      <c r="C3928" t="n">
        <v>14</v>
      </c>
      <c r="D3928" t="inlineStr">
        <is>
          <t>Sunday</t>
        </is>
      </c>
      <c r="E3928" t="n">
        <v>12</v>
      </c>
      <c r="F3928" t="b">
        <v>0</v>
      </c>
      <c r="H3928" t="b">
        <v>0</v>
      </c>
    </row>
    <row r="3929">
      <c r="A3929" t="inlineStr">
        <is>
          <t>S006</t>
        </is>
      </c>
      <c r="B3929" s="3" t="n">
        <v>46278</v>
      </c>
      <c r="C3929" t="n">
        <v>15</v>
      </c>
      <c r="D3929" t="inlineStr">
        <is>
          <t>Sunday</t>
        </is>
      </c>
      <c r="E3929" t="n">
        <v>20</v>
      </c>
      <c r="F3929" t="b">
        <v>0</v>
      </c>
      <c r="G3929" t="inlineStr">
        <is>
          <t>Light</t>
        </is>
      </c>
      <c r="H3929" t="b">
        <v>0</v>
      </c>
    </row>
    <row r="3930">
      <c r="A3930" t="inlineStr">
        <is>
          <t>S006</t>
        </is>
      </c>
      <c r="B3930" s="3" t="n">
        <v>46278</v>
      </c>
      <c r="C3930" t="n">
        <v>16</v>
      </c>
      <c r="D3930" t="inlineStr">
        <is>
          <t>Sunday</t>
        </is>
      </c>
      <c r="E3930" t="n">
        <v>29</v>
      </c>
      <c r="F3930" t="b">
        <v>0</v>
      </c>
      <c r="G3930" t="inlineStr">
        <is>
          <t>Light</t>
        </is>
      </c>
      <c r="H3930" t="b">
        <v>0</v>
      </c>
    </row>
    <row r="3931">
      <c r="A3931" t="inlineStr">
        <is>
          <t>S006</t>
        </is>
      </c>
      <c r="B3931" s="3" t="n">
        <v>46278</v>
      </c>
      <c r="C3931" t="n">
        <v>17</v>
      </c>
      <c r="D3931" t="inlineStr">
        <is>
          <t>Sunday</t>
        </is>
      </c>
      <c r="E3931" t="n">
        <v>36</v>
      </c>
      <c r="F3931" t="b">
        <v>0</v>
      </c>
      <c r="H3931" t="b">
        <v>0</v>
      </c>
    </row>
    <row r="3932">
      <c r="A3932" t="inlineStr">
        <is>
          <t>S006</t>
        </is>
      </c>
      <c r="B3932" s="3" t="n">
        <v>46278</v>
      </c>
      <c r="C3932" t="n">
        <v>18</v>
      </c>
      <c r="D3932" t="inlineStr">
        <is>
          <t>Sunday</t>
        </is>
      </c>
      <c r="E3932" t="n">
        <v>20</v>
      </c>
      <c r="F3932" t="b">
        <v>0</v>
      </c>
      <c r="H3932" t="b">
        <v>0</v>
      </c>
    </row>
    <row r="3933">
      <c r="A3933" t="inlineStr">
        <is>
          <t>S006</t>
        </is>
      </c>
      <c r="B3933" s="3" t="n">
        <v>46278</v>
      </c>
      <c r="C3933" t="n">
        <v>19</v>
      </c>
      <c r="D3933" t="inlineStr">
        <is>
          <t>Sunday</t>
        </is>
      </c>
      <c r="E3933" t="n">
        <v>52</v>
      </c>
      <c r="F3933" t="b">
        <v>1</v>
      </c>
      <c r="H3933" t="b">
        <v>0</v>
      </c>
    </row>
    <row r="3934">
      <c r="A3934" t="inlineStr">
        <is>
          <t>S006</t>
        </is>
      </c>
      <c r="B3934" s="3" t="n">
        <v>46278</v>
      </c>
      <c r="C3934" t="n">
        <v>20</v>
      </c>
      <c r="D3934" t="inlineStr">
        <is>
          <t>Sunday</t>
        </is>
      </c>
      <c r="E3934" t="n">
        <v>44</v>
      </c>
      <c r="F3934" t="b">
        <v>1</v>
      </c>
      <c r="H3934" t="b">
        <v>0</v>
      </c>
    </row>
    <row r="3935">
      <c r="A3935" t="inlineStr">
        <is>
          <t>S006</t>
        </is>
      </c>
      <c r="B3935" s="3" t="n">
        <v>46278</v>
      </c>
      <c r="C3935" t="n">
        <v>21</v>
      </c>
      <c r="D3935" t="inlineStr">
        <is>
          <t>Sunday</t>
        </is>
      </c>
      <c r="E3935" t="n">
        <v>41</v>
      </c>
      <c r="F3935" t="b">
        <v>1</v>
      </c>
      <c r="H3935" t="b">
        <v>0</v>
      </c>
    </row>
    <row r="3936">
      <c r="A3936" t="inlineStr">
        <is>
          <t>S006</t>
        </is>
      </c>
      <c r="B3936" s="3" t="n">
        <v>46278</v>
      </c>
      <c r="C3936" t="n">
        <v>22</v>
      </c>
      <c r="D3936" t="inlineStr">
        <is>
          <t>Sunday</t>
        </is>
      </c>
      <c r="E3936" t="n">
        <v>22</v>
      </c>
      <c r="F3936" t="b">
        <v>0</v>
      </c>
      <c r="H3936" t="b">
        <v>0</v>
      </c>
    </row>
    <row r="3937">
      <c r="A3937" t="inlineStr">
        <is>
          <t>S006</t>
        </is>
      </c>
      <c r="B3937" s="3" t="n">
        <v>46278</v>
      </c>
      <c r="C3937" t="n">
        <v>23</v>
      </c>
      <c r="D3937" t="inlineStr">
        <is>
          <t>Sunday</t>
        </is>
      </c>
      <c r="E3937" t="n">
        <v>34</v>
      </c>
      <c r="F3937" t="b">
        <v>0</v>
      </c>
      <c r="H3937" t="b">
        <v>0</v>
      </c>
    </row>
    <row r="3938">
      <c r="A3938" t="inlineStr">
        <is>
          <t>S007</t>
        </is>
      </c>
      <c r="B3938" s="3" t="n">
        <v>46278</v>
      </c>
      <c r="C3938" t="n">
        <v>8</v>
      </c>
      <c r="D3938" t="inlineStr">
        <is>
          <t>Sunday</t>
        </is>
      </c>
      <c r="E3938" t="n">
        <v>39</v>
      </c>
      <c r="F3938" t="b">
        <v>0</v>
      </c>
      <c r="H3938" t="b">
        <v>0</v>
      </c>
    </row>
    <row r="3939">
      <c r="A3939" t="inlineStr">
        <is>
          <t>S007</t>
        </is>
      </c>
      <c r="B3939" s="3" t="n">
        <v>46278</v>
      </c>
      <c r="C3939" t="n">
        <v>9</v>
      </c>
      <c r="D3939" t="inlineStr">
        <is>
          <t>Sunday</t>
        </is>
      </c>
      <c r="E3939" t="n">
        <v>30</v>
      </c>
      <c r="F3939" t="b">
        <v>0</v>
      </c>
      <c r="H3939" t="b">
        <v>0</v>
      </c>
    </row>
    <row r="3940">
      <c r="A3940" t="inlineStr">
        <is>
          <t>S007</t>
        </is>
      </c>
      <c r="B3940" s="3" t="n">
        <v>46278</v>
      </c>
      <c r="C3940" t="n">
        <v>10</v>
      </c>
      <c r="D3940" t="inlineStr">
        <is>
          <t>Sunday</t>
        </is>
      </c>
      <c r="E3940" t="n">
        <v>31</v>
      </c>
      <c r="F3940" t="b">
        <v>0</v>
      </c>
      <c r="H3940" t="b">
        <v>0</v>
      </c>
    </row>
    <row r="3941">
      <c r="A3941" t="inlineStr">
        <is>
          <t>S007</t>
        </is>
      </c>
      <c r="B3941" s="3" t="n">
        <v>46278</v>
      </c>
      <c r="C3941" t="n">
        <v>11</v>
      </c>
      <c r="D3941" t="inlineStr">
        <is>
          <t>Sunday</t>
        </is>
      </c>
      <c r="E3941" t="n">
        <v>44</v>
      </c>
      <c r="F3941" t="b">
        <v>0</v>
      </c>
      <c r="H3941" t="b">
        <v>0</v>
      </c>
    </row>
    <row r="3942">
      <c r="A3942" t="inlineStr">
        <is>
          <t>S007</t>
        </is>
      </c>
      <c r="B3942" s="3" t="n">
        <v>46278</v>
      </c>
      <c r="C3942" t="n">
        <v>12</v>
      </c>
      <c r="D3942" t="inlineStr">
        <is>
          <t>Sunday</t>
        </is>
      </c>
      <c r="E3942" t="n">
        <v>35</v>
      </c>
      <c r="F3942" t="b">
        <v>0</v>
      </c>
      <c r="H3942" t="b">
        <v>0</v>
      </c>
    </row>
    <row r="3943">
      <c r="A3943" t="inlineStr">
        <is>
          <t>S007</t>
        </is>
      </c>
      <c r="B3943" s="3" t="n">
        <v>46278</v>
      </c>
      <c r="C3943" t="n">
        <v>13</v>
      </c>
      <c r="D3943" t="inlineStr">
        <is>
          <t>Sunday</t>
        </is>
      </c>
      <c r="E3943" t="n">
        <v>38</v>
      </c>
      <c r="F3943" t="b">
        <v>0</v>
      </c>
      <c r="G3943" t="inlineStr">
        <is>
          <t>Heavy</t>
        </is>
      </c>
      <c r="H3943" t="b">
        <v>0</v>
      </c>
    </row>
    <row r="3944">
      <c r="A3944" t="inlineStr">
        <is>
          <t>S007</t>
        </is>
      </c>
      <c r="B3944" s="3" t="n">
        <v>46278</v>
      </c>
      <c r="C3944" t="n">
        <v>14</v>
      </c>
      <c r="D3944" t="inlineStr">
        <is>
          <t>Sunday</t>
        </is>
      </c>
      <c r="E3944" t="n">
        <v>24</v>
      </c>
      <c r="F3944" t="b">
        <v>0</v>
      </c>
      <c r="H3944" t="b">
        <v>0</v>
      </c>
    </row>
    <row r="3945">
      <c r="A3945" t="inlineStr">
        <is>
          <t>S007</t>
        </is>
      </c>
      <c r="B3945" s="3" t="n">
        <v>46278</v>
      </c>
      <c r="C3945" t="n">
        <v>15</v>
      </c>
      <c r="D3945" t="inlineStr">
        <is>
          <t>Sunday</t>
        </is>
      </c>
      <c r="E3945" t="n">
        <v>24</v>
      </c>
      <c r="F3945" t="b">
        <v>0</v>
      </c>
      <c r="G3945" t="inlineStr">
        <is>
          <t>Heavy</t>
        </is>
      </c>
      <c r="H3945" t="b">
        <v>0</v>
      </c>
    </row>
    <row r="3946">
      <c r="A3946" t="inlineStr">
        <is>
          <t>S007</t>
        </is>
      </c>
      <c r="B3946" s="3" t="n">
        <v>46278</v>
      </c>
      <c r="C3946" t="n">
        <v>16</v>
      </c>
      <c r="D3946" t="inlineStr">
        <is>
          <t>Sunday</t>
        </is>
      </c>
      <c r="E3946" t="n">
        <v>46</v>
      </c>
      <c r="F3946" t="b">
        <v>0</v>
      </c>
      <c r="G3946" t="inlineStr">
        <is>
          <t>Light</t>
        </is>
      </c>
      <c r="H3946" t="b">
        <v>0</v>
      </c>
    </row>
    <row r="3947">
      <c r="A3947" t="inlineStr">
        <is>
          <t>S007</t>
        </is>
      </c>
      <c r="B3947" s="3" t="n">
        <v>46278</v>
      </c>
      <c r="C3947" t="n">
        <v>17</v>
      </c>
      <c r="D3947" t="inlineStr">
        <is>
          <t>Sunday</t>
        </is>
      </c>
      <c r="E3947" t="n">
        <v>35</v>
      </c>
      <c r="F3947" t="b">
        <v>0</v>
      </c>
      <c r="H3947" t="b">
        <v>0</v>
      </c>
    </row>
    <row r="3948">
      <c r="A3948" t="inlineStr">
        <is>
          <t>S007</t>
        </is>
      </c>
      <c r="B3948" s="3" t="n">
        <v>46278</v>
      </c>
      <c r="C3948" t="n">
        <v>18</v>
      </c>
      <c r="D3948" t="inlineStr">
        <is>
          <t>Sunday</t>
        </is>
      </c>
      <c r="E3948" t="n">
        <v>39</v>
      </c>
      <c r="F3948" t="b">
        <v>0</v>
      </c>
      <c r="H3948" t="b">
        <v>0</v>
      </c>
    </row>
    <row r="3949">
      <c r="A3949" t="inlineStr">
        <is>
          <t>S007</t>
        </is>
      </c>
      <c r="B3949" s="3" t="n">
        <v>46278</v>
      </c>
      <c r="C3949" t="n">
        <v>19</v>
      </c>
      <c r="D3949" t="inlineStr">
        <is>
          <t>Sunday</t>
        </is>
      </c>
      <c r="E3949" t="n">
        <v>56</v>
      </c>
      <c r="F3949" t="b">
        <v>1</v>
      </c>
      <c r="H3949" t="b">
        <v>0</v>
      </c>
    </row>
    <row r="3950">
      <c r="A3950" t="inlineStr">
        <is>
          <t>S007</t>
        </is>
      </c>
      <c r="B3950" s="3" t="n">
        <v>46278</v>
      </c>
      <c r="C3950" t="n">
        <v>20</v>
      </c>
      <c r="D3950" t="inlineStr">
        <is>
          <t>Sunday</t>
        </is>
      </c>
      <c r="E3950" t="n">
        <v>50</v>
      </c>
      <c r="F3950" t="b">
        <v>1</v>
      </c>
      <c r="H3950" t="b">
        <v>0</v>
      </c>
    </row>
    <row r="3951">
      <c r="A3951" t="inlineStr">
        <is>
          <t>S007</t>
        </is>
      </c>
      <c r="B3951" s="3" t="n">
        <v>46278</v>
      </c>
      <c r="C3951" t="n">
        <v>21</v>
      </c>
      <c r="D3951" t="inlineStr">
        <is>
          <t>Sunday</t>
        </is>
      </c>
      <c r="E3951" t="n">
        <v>62</v>
      </c>
      <c r="F3951" t="b">
        <v>1</v>
      </c>
      <c r="H3951" t="b">
        <v>0</v>
      </c>
    </row>
    <row r="3952">
      <c r="A3952" t="inlineStr">
        <is>
          <t>S007</t>
        </is>
      </c>
      <c r="B3952" s="3" t="n">
        <v>46278</v>
      </c>
      <c r="C3952" t="n">
        <v>22</v>
      </c>
      <c r="D3952" t="inlineStr">
        <is>
          <t>Sunday</t>
        </is>
      </c>
      <c r="E3952" t="n">
        <v>49</v>
      </c>
      <c r="F3952" t="b">
        <v>0</v>
      </c>
      <c r="G3952" t="inlineStr">
        <is>
          <t>Light</t>
        </is>
      </c>
      <c r="H3952" t="b">
        <v>0</v>
      </c>
    </row>
    <row r="3953">
      <c r="A3953" t="inlineStr">
        <is>
          <t>S007</t>
        </is>
      </c>
      <c r="B3953" s="3" t="n">
        <v>46278</v>
      </c>
      <c r="C3953" t="n">
        <v>23</v>
      </c>
      <c r="D3953" t="inlineStr">
        <is>
          <t>Sunday</t>
        </is>
      </c>
      <c r="E3953" t="n">
        <v>38</v>
      </c>
      <c r="F3953" t="b">
        <v>0</v>
      </c>
      <c r="H3953" t="b">
        <v>0</v>
      </c>
    </row>
    <row r="3954">
      <c r="A3954" t="inlineStr">
        <is>
          <t>S008</t>
        </is>
      </c>
      <c r="B3954" s="3" t="n">
        <v>46278</v>
      </c>
      <c r="C3954" t="n">
        <v>8</v>
      </c>
      <c r="D3954" t="inlineStr">
        <is>
          <t>Sunday</t>
        </is>
      </c>
      <c r="E3954" t="n">
        <v>11</v>
      </c>
      <c r="F3954" t="b">
        <v>0</v>
      </c>
      <c r="G3954" t="inlineStr">
        <is>
          <t>Light</t>
        </is>
      </c>
      <c r="H3954" t="b">
        <v>0</v>
      </c>
    </row>
    <row r="3955">
      <c r="A3955" t="inlineStr">
        <is>
          <t>S008</t>
        </is>
      </c>
      <c r="B3955" s="3" t="n">
        <v>46278</v>
      </c>
      <c r="C3955" t="n">
        <v>9</v>
      </c>
      <c r="D3955" t="inlineStr">
        <is>
          <t>Sunday</t>
        </is>
      </c>
      <c r="E3955" t="n">
        <v>9</v>
      </c>
      <c r="F3955" t="b">
        <v>0</v>
      </c>
      <c r="H3955" t="b">
        <v>0</v>
      </c>
    </row>
    <row r="3956">
      <c r="A3956" t="inlineStr">
        <is>
          <t>S008</t>
        </is>
      </c>
      <c r="B3956" s="3" t="n">
        <v>46278</v>
      </c>
      <c r="C3956" t="n">
        <v>10</v>
      </c>
      <c r="D3956" t="inlineStr">
        <is>
          <t>Sunday</t>
        </is>
      </c>
      <c r="E3956" t="n">
        <v>19</v>
      </c>
      <c r="F3956" t="b">
        <v>0</v>
      </c>
      <c r="H3956" t="b">
        <v>0</v>
      </c>
    </row>
    <row r="3957">
      <c r="A3957" t="inlineStr">
        <is>
          <t>S008</t>
        </is>
      </c>
      <c r="B3957" s="3" t="n">
        <v>46278</v>
      </c>
      <c r="C3957" t="n">
        <v>11</v>
      </c>
      <c r="D3957" t="inlineStr">
        <is>
          <t>Sunday</t>
        </is>
      </c>
      <c r="E3957" t="n">
        <v>28</v>
      </c>
      <c r="F3957" t="b">
        <v>0</v>
      </c>
      <c r="H3957" t="b">
        <v>0</v>
      </c>
    </row>
    <row r="3958">
      <c r="A3958" t="inlineStr">
        <is>
          <t>S008</t>
        </is>
      </c>
      <c r="B3958" s="3" t="n">
        <v>46278</v>
      </c>
      <c r="C3958" t="n">
        <v>12</v>
      </c>
      <c r="D3958" t="inlineStr">
        <is>
          <t>Sunday</t>
        </is>
      </c>
      <c r="E3958" t="n">
        <v>27</v>
      </c>
      <c r="F3958" t="b">
        <v>0</v>
      </c>
      <c r="H3958" t="b">
        <v>0</v>
      </c>
    </row>
    <row r="3959">
      <c r="A3959" t="inlineStr">
        <is>
          <t>S008</t>
        </is>
      </c>
      <c r="B3959" s="3" t="n">
        <v>46278</v>
      </c>
      <c r="C3959" t="n">
        <v>13</v>
      </c>
      <c r="D3959" t="inlineStr">
        <is>
          <t>Sunday</t>
        </is>
      </c>
      <c r="E3959" t="n">
        <v>28</v>
      </c>
      <c r="F3959" t="b">
        <v>0</v>
      </c>
      <c r="H3959" t="b">
        <v>0</v>
      </c>
    </row>
    <row r="3960">
      <c r="A3960" t="inlineStr">
        <is>
          <t>S008</t>
        </is>
      </c>
      <c r="B3960" s="3" t="n">
        <v>46278</v>
      </c>
      <c r="C3960" t="n">
        <v>14</v>
      </c>
      <c r="D3960" t="inlineStr">
        <is>
          <t>Sunday</t>
        </is>
      </c>
      <c r="E3960" t="n">
        <v>22</v>
      </c>
      <c r="F3960" t="b">
        <v>0</v>
      </c>
      <c r="H3960" t="b">
        <v>0</v>
      </c>
    </row>
    <row r="3961">
      <c r="A3961" t="inlineStr">
        <is>
          <t>S008</t>
        </is>
      </c>
      <c r="B3961" s="3" t="n">
        <v>46278</v>
      </c>
      <c r="C3961" t="n">
        <v>15</v>
      </c>
      <c r="D3961" t="inlineStr">
        <is>
          <t>Sunday</t>
        </is>
      </c>
      <c r="E3961" t="n">
        <v>25</v>
      </c>
      <c r="F3961" t="b">
        <v>0</v>
      </c>
      <c r="H3961" t="b">
        <v>0</v>
      </c>
    </row>
    <row r="3962">
      <c r="A3962" t="inlineStr">
        <is>
          <t>S008</t>
        </is>
      </c>
      <c r="B3962" s="3" t="n">
        <v>46278</v>
      </c>
      <c r="C3962" t="n">
        <v>16</v>
      </c>
      <c r="D3962" t="inlineStr">
        <is>
          <t>Sunday</t>
        </is>
      </c>
      <c r="E3962" t="n">
        <v>28</v>
      </c>
      <c r="F3962" t="b">
        <v>0</v>
      </c>
      <c r="H3962" t="b">
        <v>0</v>
      </c>
    </row>
    <row r="3963">
      <c r="A3963" t="inlineStr">
        <is>
          <t>S008</t>
        </is>
      </c>
      <c r="B3963" s="3" t="n">
        <v>46278</v>
      </c>
      <c r="C3963" t="n">
        <v>17</v>
      </c>
      <c r="D3963" t="inlineStr">
        <is>
          <t>Sunday</t>
        </is>
      </c>
      <c r="E3963" t="n">
        <v>37</v>
      </c>
      <c r="F3963" t="b">
        <v>0</v>
      </c>
      <c r="G3963" t="inlineStr">
        <is>
          <t>Light</t>
        </is>
      </c>
      <c r="H3963" t="b">
        <v>0</v>
      </c>
    </row>
    <row r="3964">
      <c r="A3964" t="inlineStr">
        <is>
          <t>S008</t>
        </is>
      </c>
      <c r="B3964" s="3" t="n">
        <v>46278</v>
      </c>
      <c r="C3964" t="n">
        <v>18</v>
      </c>
      <c r="D3964" t="inlineStr">
        <is>
          <t>Sunday</t>
        </is>
      </c>
      <c r="E3964" t="n">
        <v>32</v>
      </c>
      <c r="F3964" t="b">
        <v>0</v>
      </c>
      <c r="G3964" t="inlineStr">
        <is>
          <t>Light</t>
        </is>
      </c>
      <c r="H3964" t="b">
        <v>0</v>
      </c>
    </row>
    <row r="3965">
      <c r="A3965" t="inlineStr">
        <is>
          <t>S008</t>
        </is>
      </c>
      <c r="B3965" s="3" t="n">
        <v>46278</v>
      </c>
      <c r="C3965" t="n">
        <v>19</v>
      </c>
      <c r="D3965" t="inlineStr">
        <is>
          <t>Sunday</t>
        </is>
      </c>
      <c r="E3965" t="n">
        <v>34</v>
      </c>
      <c r="F3965" t="b">
        <v>1</v>
      </c>
      <c r="G3965" t="inlineStr">
        <is>
          <t>Light</t>
        </is>
      </c>
      <c r="H3965" t="b">
        <v>0</v>
      </c>
    </row>
    <row r="3966">
      <c r="A3966" t="inlineStr">
        <is>
          <t>S008</t>
        </is>
      </c>
      <c r="B3966" s="3" t="n">
        <v>46278</v>
      </c>
      <c r="C3966" t="n">
        <v>20</v>
      </c>
      <c r="D3966" t="inlineStr">
        <is>
          <t>Sunday</t>
        </is>
      </c>
      <c r="E3966" t="n">
        <v>36</v>
      </c>
      <c r="F3966" t="b">
        <v>1</v>
      </c>
      <c r="H3966" t="b">
        <v>0</v>
      </c>
    </row>
    <row r="3967">
      <c r="A3967" t="inlineStr">
        <is>
          <t>S008</t>
        </is>
      </c>
      <c r="B3967" s="3" t="n">
        <v>46278</v>
      </c>
      <c r="C3967" t="n">
        <v>21</v>
      </c>
      <c r="D3967" t="inlineStr">
        <is>
          <t>Sunday</t>
        </is>
      </c>
      <c r="E3967" t="n">
        <v>44</v>
      </c>
      <c r="F3967" t="b">
        <v>1</v>
      </c>
      <c r="H3967" t="b">
        <v>0</v>
      </c>
    </row>
    <row r="3968">
      <c r="A3968" t="inlineStr">
        <is>
          <t>S008</t>
        </is>
      </c>
      <c r="B3968" s="3" t="n">
        <v>46278</v>
      </c>
      <c r="C3968" t="n">
        <v>22</v>
      </c>
      <c r="D3968" t="inlineStr">
        <is>
          <t>Sunday</t>
        </is>
      </c>
      <c r="E3968" t="n">
        <v>21</v>
      </c>
      <c r="F3968" t="b">
        <v>0</v>
      </c>
      <c r="H3968" t="b">
        <v>0</v>
      </c>
    </row>
    <row r="3969">
      <c r="A3969" t="inlineStr">
        <is>
          <t>S008</t>
        </is>
      </c>
      <c r="B3969" s="3" t="n">
        <v>46278</v>
      </c>
      <c r="C3969" t="n">
        <v>23</v>
      </c>
      <c r="D3969" t="inlineStr">
        <is>
          <t>Sunday</t>
        </is>
      </c>
      <c r="E3969" t="n">
        <v>27</v>
      </c>
      <c r="F3969" t="b">
        <v>0</v>
      </c>
      <c r="H3969" t="b">
        <v>0</v>
      </c>
    </row>
    <row r="3970">
      <c r="A3970" t="inlineStr">
        <is>
          <t>S009</t>
        </is>
      </c>
      <c r="B3970" s="3" t="n">
        <v>46278</v>
      </c>
      <c r="C3970" t="n">
        <v>8</v>
      </c>
      <c r="D3970" t="inlineStr">
        <is>
          <t>Sunday</t>
        </is>
      </c>
      <c r="E3970" t="n">
        <v>15</v>
      </c>
      <c r="F3970" t="b">
        <v>0</v>
      </c>
      <c r="H3970" t="b">
        <v>0</v>
      </c>
    </row>
    <row r="3971">
      <c r="A3971" t="inlineStr">
        <is>
          <t>S009</t>
        </is>
      </c>
      <c r="B3971" s="3" t="n">
        <v>46278</v>
      </c>
      <c r="C3971" t="n">
        <v>9</v>
      </c>
      <c r="D3971" t="inlineStr">
        <is>
          <t>Sunday</t>
        </is>
      </c>
      <c r="E3971" t="n">
        <v>26</v>
      </c>
      <c r="F3971" t="b">
        <v>0</v>
      </c>
      <c r="H3971" t="b">
        <v>0</v>
      </c>
    </row>
    <row r="3972">
      <c r="A3972" t="inlineStr">
        <is>
          <t>S009</t>
        </is>
      </c>
      <c r="B3972" s="3" t="n">
        <v>46278</v>
      </c>
      <c r="C3972" t="n">
        <v>10</v>
      </c>
      <c r="D3972" t="inlineStr">
        <is>
          <t>Sunday</t>
        </is>
      </c>
      <c r="E3972" t="n">
        <v>22</v>
      </c>
      <c r="F3972" t="b">
        <v>0</v>
      </c>
      <c r="H3972" t="b">
        <v>0</v>
      </c>
    </row>
    <row r="3973">
      <c r="A3973" t="inlineStr">
        <is>
          <t>S009</t>
        </is>
      </c>
      <c r="B3973" s="3" t="n">
        <v>46278</v>
      </c>
      <c r="C3973" t="n">
        <v>11</v>
      </c>
      <c r="D3973" t="inlineStr">
        <is>
          <t>Sunday</t>
        </is>
      </c>
      <c r="E3973" t="n">
        <v>37</v>
      </c>
      <c r="F3973" t="b">
        <v>0</v>
      </c>
      <c r="H3973" t="b">
        <v>0</v>
      </c>
    </row>
    <row r="3974">
      <c r="A3974" t="inlineStr">
        <is>
          <t>S009</t>
        </is>
      </c>
      <c r="B3974" s="3" t="n">
        <v>46278</v>
      </c>
      <c r="C3974" t="n">
        <v>12</v>
      </c>
      <c r="D3974" t="inlineStr">
        <is>
          <t>Sunday</t>
        </is>
      </c>
      <c r="E3974" t="n">
        <v>34</v>
      </c>
      <c r="F3974" t="b">
        <v>0</v>
      </c>
      <c r="H3974" t="b">
        <v>0</v>
      </c>
    </row>
    <row r="3975">
      <c r="A3975" t="inlineStr">
        <is>
          <t>S009</t>
        </is>
      </c>
      <c r="B3975" s="3" t="n">
        <v>46278</v>
      </c>
      <c r="C3975" t="n">
        <v>13</v>
      </c>
      <c r="D3975" t="inlineStr">
        <is>
          <t>Sunday</t>
        </is>
      </c>
      <c r="E3975" t="n">
        <v>28</v>
      </c>
      <c r="F3975" t="b">
        <v>0</v>
      </c>
      <c r="H3975" t="b">
        <v>0</v>
      </c>
    </row>
    <row r="3976">
      <c r="A3976" t="inlineStr">
        <is>
          <t>S009</t>
        </is>
      </c>
      <c r="B3976" s="3" t="n">
        <v>46278</v>
      </c>
      <c r="C3976" t="n">
        <v>14</v>
      </c>
      <c r="D3976" t="inlineStr">
        <is>
          <t>Sunday</t>
        </is>
      </c>
      <c r="E3976" t="n">
        <v>27</v>
      </c>
      <c r="F3976" t="b">
        <v>0</v>
      </c>
      <c r="G3976" t="inlineStr">
        <is>
          <t>Heavy</t>
        </is>
      </c>
      <c r="H3976" t="b">
        <v>0</v>
      </c>
    </row>
    <row r="3977">
      <c r="A3977" t="inlineStr">
        <is>
          <t>S009</t>
        </is>
      </c>
      <c r="B3977" s="3" t="n">
        <v>46278</v>
      </c>
      <c r="C3977" t="n">
        <v>15</v>
      </c>
      <c r="D3977" t="inlineStr">
        <is>
          <t>Sunday</t>
        </is>
      </c>
      <c r="E3977" t="n">
        <v>16</v>
      </c>
      <c r="F3977" t="b">
        <v>0</v>
      </c>
      <c r="G3977" t="inlineStr">
        <is>
          <t>Light</t>
        </is>
      </c>
      <c r="H3977" t="b">
        <v>0</v>
      </c>
    </row>
    <row r="3978">
      <c r="A3978" t="inlineStr">
        <is>
          <t>S009</t>
        </is>
      </c>
      <c r="B3978" s="3" t="n">
        <v>46278</v>
      </c>
      <c r="C3978" t="n">
        <v>16</v>
      </c>
      <c r="D3978" t="inlineStr">
        <is>
          <t>Sunday</t>
        </is>
      </c>
      <c r="E3978" t="n">
        <v>38</v>
      </c>
      <c r="F3978" t="b">
        <v>0</v>
      </c>
      <c r="H3978" t="b">
        <v>0</v>
      </c>
    </row>
    <row r="3979">
      <c r="A3979" t="inlineStr">
        <is>
          <t>S009</t>
        </is>
      </c>
      <c r="B3979" s="3" t="n">
        <v>46278</v>
      </c>
      <c r="C3979" t="n">
        <v>17</v>
      </c>
      <c r="D3979" t="inlineStr">
        <is>
          <t>Sunday</t>
        </is>
      </c>
      <c r="E3979" t="n">
        <v>36</v>
      </c>
      <c r="F3979" t="b">
        <v>0</v>
      </c>
      <c r="H3979" t="b">
        <v>0</v>
      </c>
    </row>
    <row r="3980">
      <c r="A3980" t="inlineStr">
        <is>
          <t>S009</t>
        </is>
      </c>
      <c r="B3980" s="3" t="n">
        <v>46278</v>
      </c>
      <c r="C3980" t="n">
        <v>18</v>
      </c>
      <c r="D3980" t="inlineStr">
        <is>
          <t>Sunday</t>
        </is>
      </c>
      <c r="E3980" t="n">
        <v>35</v>
      </c>
      <c r="F3980" t="b">
        <v>0</v>
      </c>
      <c r="G3980" t="inlineStr">
        <is>
          <t>Light</t>
        </is>
      </c>
      <c r="H3980" t="b">
        <v>0</v>
      </c>
    </row>
    <row r="3981">
      <c r="A3981" t="inlineStr">
        <is>
          <t>S009</t>
        </is>
      </c>
      <c r="B3981" s="3" t="n">
        <v>46278</v>
      </c>
      <c r="C3981" t="n">
        <v>19</v>
      </c>
      <c r="D3981" t="inlineStr">
        <is>
          <t>Sunday</t>
        </is>
      </c>
      <c r="E3981" t="n">
        <v>45</v>
      </c>
      <c r="F3981" t="b">
        <v>1</v>
      </c>
      <c r="G3981" t="inlineStr">
        <is>
          <t>Heavy</t>
        </is>
      </c>
      <c r="H3981" t="b">
        <v>0</v>
      </c>
    </row>
    <row r="3982">
      <c r="A3982" t="inlineStr">
        <is>
          <t>S009</t>
        </is>
      </c>
      <c r="B3982" s="3" t="n">
        <v>46278</v>
      </c>
      <c r="C3982" t="n">
        <v>20</v>
      </c>
      <c r="D3982" t="inlineStr">
        <is>
          <t>Sunday</t>
        </is>
      </c>
      <c r="E3982" t="n">
        <v>46</v>
      </c>
      <c r="F3982" t="b">
        <v>1</v>
      </c>
      <c r="H3982" t="b">
        <v>0</v>
      </c>
    </row>
    <row r="3983">
      <c r="A3983" t="inlineStr">
        <is>
          <t>S009</t>
        </is>
      </c>
      <c r="B3983" s="3" t="n">
        <v>46278</v>
      </c>
      <c r="C3983" t="n">
        <v>21</v>
      </c>
      <c r="D3983" t="inlineStr">
        <is>
          <t>Sunday</t>
        </is>
      </c>
      <c r="E3983" t="n">
        <v>50</v>
      </c>
      <c r="F3983" t="b">
        <v>1</v>
      </c>
      <c r="H3983" t="b">
        <v>0</v>
      </c>
    </row>
    <row r="3984">
      <c r="A3984" t="inlineStr">
        <is>
          <t>S009</t>
        </is>
      </c>
      <c r="B3984" s="3" t="n">
        <v>46278</v>
      </c>
      <c r="C3984" t="n">
        <v>22</v>
      </c>
      <c r="D3984" t="inlineStr">
        <is>
          <t>Sunday</t>
        </is>
      </c>
      <c r="E3984" t="n">
        <v>36</v>
      </c>
      <c r="F3984" t="b">
        <v>0</v>
      </c>
      <c r="G3984" t="inlineStr">
        <is>
          <t>Heavy</t>
        </is>
      </c>
      <c r="H3984" t="b">
        <v>0</v>
      </c>
    </row>
    <row r="3985">
      <c r="A3985" t="inlineStr">
        <is>
          <t>S009</t>
        </is>
      </c>
      <c r="B3985" s="3" t="n">
        <v>46278</v>
      </c>
      <c r="C3985" t="n">
        <v>23</v>
      </c>
      <c r="D3985" t="inlineStr">
        <is>
          <t>Sunday</t>
        </is>
      </c>
      <c r="E3985" t="n">
        <v>47</v>
      </c>
      <c r="F3985" t="b">
        <v>0</v>
      </c>
      <c r="H3985" t="b">
        <v>1</v>
      </c>
    </row>
    <row r="3986">
      <c r="A3986" t="inlineStr">
        <is>
          <t>S010</t>
        </is>
      </c>
      <c r="B3986" s="3" t="n">
        <v>46278</v>
      </c>
      <c r="C3986" t="n">
        <v>8</v>
      </c>
      <c r="D3986" t="inlineStr">
        <is>
          <t>Sunday</t>
        </is>
      </c>
      <c r="E3986" t="n">
        <v>11</v>
      </c>
      <c r="F3986" t="b">
        <v>0</v>
      </c>
      <c r="H3986" t="b">
        <v>0</v>
      </c>
    </row>
    <row r="3987">
      <c r="A3987" t="inlineStr">
        <is>
          <t>S010</t>
        </is>
      </c>
      <c r="B3987" s="3" t="n">
        <v>46278</v>
      </c>
      <c r="C3987" t="n">
        <v>9</v>
      </c>
      <c r="D3987" t="inlineStr">
        <is>
          <t>Sunday</t>
        </is>
      </c>
      <c r="E3987" t="n">
        <v>23</v>
      </c>
      <c r="F3987" t="b">
        <v>0</v>
      </c>
      <c r="G3987" t="inlineStr">
        <is>
          <t>Light</t>
        </is>
      </c>
      <c r="H3987" t="b">
        <v>0</v>
      </c>
    </row>
    <row r="3988">
      <c r="A3988" t="inlineStr">
        <is>
          <t>S010</t>
        </is>
      </c>
      <c r="B3988" s="3" t="n">
        <v>46278</v>
      </c>
      <c r="C3988" t="n">
        <v>10</v>
      </c>
      <c r="D3988" t="inlineStr">
        <is>
          <t>Sunday</t>
        </is>
      </c>
      <c r="E3988" t="n">
        <v>21</v>
      </c>
      <c r="F3988" t="b">
        <v>0</v>
      </c>
      <c r="H3988" t="b">
        <v>0</v>
      </c>
    </row>
    <row r="3989">
      <c r="A3989" t="inlineStr">
        <is>
          <t>S010</t>
        </is>
      </c>
      <c r="B3989" s="3" t="n">
        <v>46278</v>
      </c>
      <c r="C3989" t="n">
        <v>11</v>
      </c>
      <c r="D3989" t="inlineStr">
        <is>
          <t>Sunday</t>
        </is>
      </c>
      <c r="E3989" t="n">
        <v>34</v>
      </c>
      <c r="F3989" t="b">
        <v>0</v>
      </c>
      <c r="H3989" t="b">
        <v>0</v>
      </c>
    </row>
    <row r="3990">
      <c r="A3990" t="inlineStr">
        <is>
          <t>S010</t>
        </is>
      </c>
      <c r="B3990" s="3" t="n">
        <v>46278</v>
      </c>
      <c r="C3990" t="n">
        <v>12</v>
      </c>
      <c r="D3990" t="inlineStr">
        <is>
          <t>Sunday</t>
        </is>
      </c>
      <c r="E3990" t="n">
        <v>20</v>
      </c>
      <c r="F3990" t="b">
        <v>0</v>
      </c>
      <c r="H3990" t="b">
        <v>0</v>
      </c>
    </row>
    <row r="3991">
      <c r="A3991" t="inlineStr">
        <is>
          <t>S010</t>
        </is>
      </c>
      <c r="B3991" s="3" t="n">
        <v>46278</v>
      </c>
      <c r="C3991" t="n">
        <v>13</v>
      </c>
      <c r="D3991" t="inlineStr">
        <is>
          <t>Sunday</t>
        </is>
      </c>
      <c r="E3991" t="n">
        <v>27</v>
      </c>
      <c r="F3991" t="b">
        <v>0</v>
      </c>
      <c r="H3991" t="b">
        <v>0</v>
      </c>
    </row>
    <row r="3992">
      <c r="A3992" t="inlineStr">
        <is>
          <t>S010</t>
        </is>
      </c>
      <c r="B3992" s="3" t="n">
        <v>46278</v>
      </c>
      <c r="C3992" t="n">
        <v>14</v>
      </c>
      <c r="D3992" t="inlineStr">
        <is>
          <t>Sunday</t>
        </is>
      </c>
      <c r="E3992" t="n">
        <v>15</v>
      </c>
      <c r="F3992" t="b">
        <v>0</v>
      </c>
      <c r="H3992" t="b">
        <v>0</v>
      </c>
    </row>
    <row r="3993">
      <c r="A3993" t="inlineStr">
        <is>
          <t>S010</t>
        </is>
      </c>
      <c r="B3993" s="3" t="n">
        <v>46278</v>
      </c>
      <c r="C3993" t="n">
        <v>15</v>
      </c>
      <c r="D3993" t="inlineStr">
        <is>
          <t>Sunday</t>
        </is>
      </c>
      <c r="E3993" t="n">
        <v>15</v>
      </c>
      <c r="F3993" t="b">
        <v>0</v>
      </c>
      <c r="H3993" t="b">
        <v>0</v>
      </c>
    </row>
    <row r="3994">
      <c r="A3994" t="inlineStr">
        <is>
          <t>S010</t>
        </is>
      </c>
      <c r="B3994" s="3" t="n">
        <v>46278</v>
      </c>
      <c r="C3994" t="n">
        <v>16</v>
      </c>
      <c r="D3994" t="inlineStr">
        <is>
          <t>Sunday</t>
        </is>
      </c>
      <c r="E3994" t="n">
        <v>23</v>
      </c>
      <c r="F3994" t="b">
        <v>0</v>
      </c>
      <c r="G3994" t="inlineStr">
        <is>
          <t>Light</t>
        </is>
      </c>
      <c r="H3994" t="b">
        <v>0</v>
      </c>
    </row>
    <row r="3995">
      <c r="A3995" t="inlineStr">
        <is>
          <t>S010</t>
        </is>
      </c>
      <c r="B3995" s="3" t="n">
        <v>46278</v>
      </c>
      <c r="C3995" t="n">
        <v>17</v>
      </c>
      <c r="D3995" t="inlineStr">
        <is>
          <t>Sunday</t>
        </is>
      </c>
      <c r="E3995" t="n">
        <v>24</v>
      </c>
      <c r="F3995" t="b">
        <v>0</v>
      </c>
      <c r="H3995" t="b">
        <v>0</v>
      </c>
    </row>
    <row r="3996">
      <c r="A3996" t="inlineStr">
        <is>
          <t>S010</t>
        </is>
      </c>
      <c r="B3996" s="3" t="n">
        <v>46278</v>
      </c>
      <c r="C3996" t="n">
        <v>18</v>
      </c>
      <c r="D3996" t="inlineStr">
        <is>
          <t>Sunday</t>
        </is>
      </c>
      <c r="E3996" t="n">
        <v>18</v>
      </c>
      <c r="F3996" t="b">
        <v>0</v>
      </c>
      <c r="G3996" t="inlineStr">
        <is>
          <t>Heavy</t>
        </is>
      </c>
      <c r="H3996" t="b">
        <v>0</v>
      </c>
    </row>
    <row r="3997">
      <c r="A3997" t="inlineStr">
        <is>
          <t>S010</t>
        </is>
      </c>
      <c r="B3997" s="3" t="n">
        <v>46278</v>
      </c>
      <c r="C3997" t="n">
        <v>19</v>
      </c>
      <c r="D3997" t="inlineStr">
        <is>
          <t>Sunday</t>
        </is>
      </c>
      <c r="E3997" t="n">
        <v>33</v>
      </c>
      <c r="F3997" t="b">
        <v>1</v>
      </c>
      <c r="H3997" t="b">
        <v>0</v>
      </c>
    </row>
    <row r="3998">
      <c r="A3998" t="inlineStr">
        <is>
          <t>S010</t>
        </is>
      </c>
      <c r="B3998" s="3" t="n">
        <v>46278</v>
      </c>
      <c r="C3998" t="n">
        <v>20</v>
      </c>
      <c r="D3998" t="inlineStr">
        <is>
          <t>Sunday</t>
        </is>
      </c>
      <c r="E3998" t="n">
        <v>36</v>
      </c>
      <c r="F3998" t="b">
        <v>1</v>
      </c>
      <c r="H3998" t="b">
        <v>0</v>
      </c>
    </row>
    <row r="3999">
      <c r="A3999" t="inlineStr">
        <is>
          <t>S010</t>
        </is>
      </c>
      <c r="B3999" s="3" t="n">
        <v>46278</v>
      </c>
      <c r="C3999" t="n">
        <v>21</v>
      </c>
      <c r="D3999" t="inlineStr">
        <is>
          <t>Sunday</t>
        </is>
      </c>
      <c r="E3999" t="n">
        <v>37</v>
      </c>
      <c r="F3999" t="b">
        <v>1</v>
      </c>
      <c r="H3999" t="b">
        <v>0</v>
      </c>
    </row>
    <row r="4000">
      <c r="A4000" t="inlineStr">
        <is>
          <t>S010</t>
        </is>
      </c>
      <c r="B4000" s="3" t="n">
        <v>46278</v>
      </c>
      <c r="C4000" t="n">
        <v>22</v>
      </c>
      <c r="D4000" t="inlineStr">
        <is>
          <t>Sunday</t>
        </is>
      </c>
      <c r="E4000" t="n">
        <v>23</v>
      </c>
      <c r="F4000" t="b">
        <v>0</v>
      </c>
      <c r="H4000" t="b">
        <v>0</v>
      </c>
    </row>
    <row r="4001">
      <c r="A4001" t="inlineStr">
        <is>
          <t>S010</t>
        </is>
      </c>
      <c r="B4001" s="3" t="n">
        <v>46278</v>
      </c>
      <c r="C4001" t="n">
        <v>23</v>
      </c>
      <c r="D4001" t="inlineStr">
        <is>
          <t>Sunday</t>
        </is>
      </c>
      <c r="E4001" t="n">
        <v>37</v>
      </c>
      <c r="F4001" t="b">
        <v>0</v>
      </c>
      <c r="G4001" t="inlineStr">
        <is>
          <t>Light</t>
        </is>
      </c>
      <c r="H4001" t="b">
        <v>0</v>
      </c>
    </row>
    <row r="4002">
      <c r="A4002" t="inlineStr">
        <is>
          <t>S011</t>
        </is>
      </c>
      <c r="B4002" s="3" t="n">
        <v>46278</v>
      </c>
      <c r="C4002" t="n">
        <v>8</v>
      </c>
      <c r="D4002" t="inlineStr">
        <is>
          <t>Sunday</t>
        </is>
      </c>
      <c r="E4002" t="n">
        <v>21</v>
      </c>
      <c r="F4002" t="b">
        <v>0</v>
      </c>
      <c r="H4002" t="b">
        <v>0</v>
      </c>
    </row>
    <row r="4003">
      <c r="A4003" t="inlineStr">
        <is>
          <t>S011</t>
        </is>
      </c>
      <c r="B4003" s="3" t="n">
        <v>46278</v>
      </c>
      <c r="C4003" t="n">
        <v>9</v>
      </c>
      <c r="D4003" t="inlineStr">
        <is>
          <t>Sunday</t>
        </is>
      </c>
      <c r="E4003" t="n">
        <v>23</v>
      </c>
      <c r="F4003" t="b">
        <v>0</v>
      </c>
      <c r="H4003" t="b">
        <v>0</v>
      </c>
    </row>
    <row r="4004">
      <c r="A4004" t="inlineStr">
        <is>
          <t>S011</t>
        </is>
      </c>
      <c r="B4004" s="3" t="n">
        <v>46278</v>
      </c>
      <c r="C4004" t="n">
        <v>10</v>
      </c>
      <c r="D4004" t="inlineStr">
        <is>
          <t>Sunday</t>
        </is>
      </c>
      <c r="E4004" t="n">
        <v>24</v>
      </c>
      <c r="F4004" t="b">
        <v>0</v>
      </c>
      <c r="H4004" t="b">
        <v>0</v>
      </c>
    </row>
    <row r="4005">
      <c r="A4005" t="inlineStr">
        <is>
          <t>S011</t>
        </is>
      </c>
      <c r="B4005" s="3" t="n">
        <v>46278</v>
      </c>
      <c r="C4005" t="n">
        <v>11</v>
      </c>
      <c r="D4005" t="inlineStr">
        <is>
          <t>Sunday</t>
        </is>
      </c>
      <c r="E4005" t="n">
        <v>35</v>
      </c>
      <c r="F4005" t="b">
        <v>0</v>
      </c>
      <c r="G4005" t="inlineStr">
        <is>
          <t>Light</t>
        </is>
      </c>
      <c r="H4005" t="b">
        <v>0</v>
      </c>
    </row>
    <row r="4006">
      <c r="A4006" t="inlineStr">
        <is>
          <t>S011</t>
        </is>
      </c>
      <c r="B4006" s="3" t="n">
        <v>46278</v>
      </c>
      <c r="C4006" t="n">
        <v>12</v>
      </c>
      <c r="D4006" t="inlineStr">
        <is>
          <t>Sunday</t>
        </is>
      </c>
      <c r="E4006" t="n">
        <v>33</v>
      </c>
      <c r="F4006" t="b">
        <v>0</v>
      </c>
      <c r="H4006" t="b">
        <v>0</v>
      </c>
    </row>
    <row r="4007">
      <c r="A4007" t="inlineStr">
        <is>
          <t>S011</t>
        </is>
      </c>
      <c r="B4007" s="3" t="n">
        <v>46278</v>
      </c>
      <c r="C4007" t="n">
        <v>13</v>
      </c>
      <c r="D4007" t="inlineStr">
        <is>
          <t>Sunday</t>
        </is>
      </c>
      <c r="E4007" t="n">
        <v>38</v>
      </c>
      <c r="F4007" t="b">
        <v>0</v>
      </c>
      <c r="H4007" t="b">
        <v>0</v>
      </c>
    </row>
    <row r="4008">
      <c r="A4008" t="inlineStr">
        <is>
          <t>S011</t>
        </is>
      </c>
      <c r="B4008" s="3" t="n">
        <v>46278</v>
      </c>
      <c r="C4008" t="n">
        <v>14</v>
      </c>
      <c r="D4008" t="inlineStr">
        <is>
          <t>Sunday</t>
        </is>
      </c>
      <c r="E4008" t="n">
        <v>22</v>
      </c>
      <c r="F4008" t="b">
        <v>0</v>
      </c>
      <c r="G4008" t="inlineStr">
        <is>
          <t>Light</t>
        </is>
      </c>
      <c r="H4008" t="b">
        <v>0</v>
      </c>
    </row>
    <row r="4009">
      <c r="A4009" t="inlineStr">
        <is>
          <t>S011</t>
        </is>
      </c>
      <c r="B4009" s="3" t="n">
        <v>46278</v>
      </c>
      <c r="C4009" t="n">
        <v>15</v>
      </c>
      <c r="D4009" t="inlineStr">
        <is>
          <t>Sunday</t>
        </is>
      </c>
      <c r="E4009" t="n">
        <v>18</v>
      </c>
      <c r="F4009" t="b">
        <v>0</v>
      </c>
      <c r="H4009" t="b">
        <v>1</v>
      </c>
    </row>
    <row r="4010">
      <c r="A4010" t="inlineStr">
        <is>
          <t>S011</t>
        </is>
      </c>
      <c r="B4010" s="3" t="n">
        <v>46278</v>
      </c>
      <c r="C4010" t="n">
        <v>16</v>
      </c>
      <c r="D4010" t="inlineStr">
        <is>
          <t>Sunday</t>
        </is>
      </c>
      <c r="E4010" t="n">
        <v>31</v>
      </c>
      <c r="F4010" t="b">
        <v>0</v>
      </c>
      <c r="G4010" t="inlineStr">
        <is>
          <t>Light</t>
        </is>
      </c>
      <c r="H4010" t="b">
        <v>0</v>
      </c>
    </row>
    <row r="4011">
      <c r="A4011" t="inlineStr">
        <is>
          <t>S011</t>
        </is>
      </c>
      <c r="B4011" s="3" t="n">
        <v>46278</v>
      </c>
      <c r="C4011" t="n">
        <v>17</v>
      </c>
      <c r="D4011" t="inlineStr">
        <is>
          <t>Sunday</t>
        </is>
      </c>
      <c r="E4011" t="n">
        <v>36</v>
      </c>
      <c r="F4011" t="b">
        <v>0</v>
      </c>
      <c r="G4011" t="inlineStr">
        <is>
          <t>Light</t>
        </is>
      </c>
      <c r="H4011" t="b">
        <v>0</v>
      </c>
    </row>
    <row r="4012">
      <c r="A4012" t="inlineStr">
        <is>
          <t>S011</t>
        </is>
      </c>
      <c r="B4012" s="3" t="n">
        <v>46278</v>
      </c>
      <c r="C4012" t="n">
        <v>18</v>
      </c>
      <c r="D4012" t="inlineStr">
        <is>
          <t>Sunday</t>
        </is>
      </c>
      <c r="E4012" t="n">
        <v>35</v>
      </c>
      <c r="F4012" t="b">
        <v>0</v>
      </c>
      <c r="G4012" t="inlineStr">
        <is>
          <t>Light</t>
        </is>
      </c>
      <c r="H4012" t="b">
        <v>0</v>
      </c>
    </row>
    <row r="4013">
      <c r="A4013" t="inlineStr">
        <is>
          <t>S011</t>
        </is>
      </c>
      <c r="B4013" s="3" t="n">
        <v>46278</v>
      </c>
      <c r="C4013" t="n">
        <v>19</v>
      </c>
      <c r="D4013" t="inlineStr">
        <is>
          <t>Sunday</t>
        </is>
      </c>
      <c r="E4013" t="n">
        <v>46</v>
      </c>
      <c r="F4013" t="b">
        <v>1</v>
      </c>
      <c r="H4013" t="b">
        <v>0</v>
      </c>
    </row>
    <row r="4014">
      <c r="A4014" t="inlineStr">
        <is>
          <t>S011</t>
        </is>
      </c>
      <c r="B4014" s="3" t="n">
        <v>46278</v>
      </c>
      <c r="C4014" t="n">
        <v>20</v>
      </c>
      <c r="D4014" t="inlineStr">
        <is>
          <t>Sunday</t>
        </is>
      </c>
      <c r="E4014" t="n">
        <v>42</v>
      </c>
      <c r="F4014" t="b">
        <v>1</v>
      </c>
      <c r="H4014" t="b">
        <v>0</v>
      </c>
    </row>
    <row r="4015">
      <c r="A4015" t="inlineStr">
        <is>
          <t>S011</t>
        </is>
      </c>
      <c r="B4015" s="3" t="n">
        <v>46278</v>
      </c>
      <c r="C4015" t="n">
        <v>21</v>
      </c>
      <c r="D4015" t="inlineStr">
        <is>
          <t>Sunday</t>
        </is>
      </c>
      <c r="E4015" t="n">
        <v>52</v>
      </c>
      <c r="F4015" t="b">
        <v>1</v>
      </c>
      <c r="G4015" t="inlineStr">
        <is>
          <t>Light</t>
        </is>
      </c>
      <c r="H4015" t="b">
        <v>0</v>
      </c>
    </row>
    <row r="4016">
      <c r="A4016" t="inlineStr">
        <is>
          <t>S011</t>
        </is>
      </c>
      <c r="B4016" s="3" t="n">
        <v>46278</v>
      </c>
      <c r="C4016" t="n">
        <v>22</v>
      </c>
      <c r="D4016" t="inlineStr">
        <is>
          <t>Sunday</t>
        </is>
      </c>
      <c r="E4016" t="n">
        <v>49</v>
      </c>
      <c r="F4016" t="b">
        <v>0</v>
      </c>
      <c r="H4016" t="b">
        <v>0</v>
      </c>
    </row>
    <row r="4017">
      <c r="A4017" t="inlineStr">
        <is>
          <t>S011</t>
        </is>
      </c>
      <c r="B4017" s="3" t="n">
        <v>46278</v>
      </c>
      <c r="C4017" t="n">
        <v>23</v>
      </c>
      <c r="D4017" t="inlineStr">
        <is>
          <t>Sunday</t>
        </is>
      </c>
      <c r="E4017" t="n">
        <v>32</v>
      </c>
      <c r="F4017" t="b">
        <v>0</v>
      </c>
      <c r="H4017" t="b">
        <v>0</v>
      </c>
    </row>
    <row r="4018">
      <c r="A4018" t="inlineStr">
        <is>
          <t>S012</t>
        </is>
      </c>
      <c r="B4018" s="3" t="n">
        <v>46278</v>
      </c>
      <c r="C4018" t="n">
        <v>8</v>
      </c>
      <c r="D4018" t="inlineStr">
        <is>
          <t>Sunday</t>
        </is>
      </c>
      <c r="E4018" t="n">
        <v>8</v>
      </c>
      <c r="F4018" t="b">
        <v>0</v>
      </c>
      <c r="H4018" t="b">
        <v>0</v>
      </c>
    </row>
    <row r="4019">
      <c r="A4019" t="inlineStr">
        <is>
          <t>S012</t>
        </is>
      </c>
      <c r="B4019" s="3" t="n">
        <v>46278</v>
      </c>
      <c r="C4019" t="n">
        <v>9</v>
      </c>
      <c r="D4019" t="inlineStr">
        <is>
          <t>Sunday</t>
        </is>
      </c>
      <c r="E4019" t="n">
        <v>13</v>
      </c>
      <c r="F4019" t="b">
        <v>0</v>
      </c>
      <c r="H4019" t="b">
        <v>0</v>
      </c>
    </row>
    <row r="4020">
      <c r="A4020" t="inlineStr">
        <is>
          <t>S012</t>
        </is>
      </c>
      <c r="B4020" s="3" t="n">
        <v>46278</v>
      </c>
      <c r="C4020" t="n">
        <v>10</v>
      </c>
      <c r="D4020" t="inlineStr">
        <is>
          <t>Sunday</t>
        </is>
      </c>
      <c r="E4020" t="n">
        <v>9</v>
      </c>
      <c r="F4020" t="b">
        <v>0</v>
      </c>
      <c r="H4020" t="b">
        <v>1</v>
      </c>
    </row>
    <row r="4021">
      <c r="A4021" t="inlineStr">
        <is>
          <t>S012</t>
        </is>
      </c>
      <c r="B4021" s="3" t="n">
        <v>46278</v>
      </c>
      <c r="C4021" t="n">
        <v>11</v>
      </c>
      <c r="D4021" t="inlineStr">
        <is>
          <t>Sunday</t>
        </is>
      </c>
      <c r="E4021" t="n">
        <v>15</v>
      </c>
      <c r="F4021" t="b">
        <v>0</v>
      </c>
      <c r="H4021" t="b">
        <v>0</v>
      </c>
    </row>
    <row r="4022">
      <c r="A4022" t="inlineStr">
        <is>
          <t>S012</t>
        </is>
      </c>
      <c r="B4022" s="3" t="n">
        <v>46278</v>
      </c>
      <c r="C4022" t="n">
        <v>12</v>
      </c>
      <c r="D4022" t="inlineStr">
        <is>
          <t>Sunday</t>
        </is>
      </c>
      <c r="E4022" t="n">
        <v>19</v>
      </c>
      <c r="F4022" t="b">
        <v>0</v>
      </c>
      <c r="H4022" t="b">
        <v>0</v>
      </c>
    </row>
    <row r="4023">
      <c r="A4023" t="inlineStr">
        <is>
          <t>S012</t>
        </is>
      </c>
      <c r="B4023" s="3" t="n">
        <v>46278</v>
      </c>
      <c r="C4023" t="n">
        <v>13</v>
      </c>
      <c r="D4023" t="inlineStr">
        <is>
          <t>Sunday</t>
        </is>
      </c>
      <c r="E4023" t="n">
        <v>14</v>
      </c>
      <c r="F4023" t="b">
        <v>0</v>
      </c>
      <c r="G4023" t="inlineStr">
        <is>
          <t>Light</t>
        </is>
      </c>
      <c r="H4023" t="b">
        <v>0</v>
      </c>
    </row>
    <row r="4024">
      <c r="A4024" t="inlineStr">
        <is>
          <t>S012</t>
        </is>
      </c>
      <c r="B4024" s="3" t="n">
        <v>46278</v>
      </c>
      <c r="C4024" t="n">
        <v>14</v>
      </c>
      <c r="D4024" t="inlineStr">
        <is>
          <t>Sunday</t>
        </is>
      </c>
      <c r="E4024" t="n">
        <v>6</v>
      </c>
      <c r="F4024" t="b">
        <v>0</v>
      </c>
      <c r="G4024" t="inlineStr">
        <is>
          <t>Light</t>
        </is>
      </c>
      <c r="H4024" t="b">
        <v>0</v>
      </c>
    </row>
    <row r="4025">
      <c r="A4025" t="inlineStr">
        <is>
          <t>S012</t>
        </is>
      </c>
      <c r="B4025" s="3" t="n">
        <v>46278</v>
      </c>
      <c r="C4025" t="n">
        <v>15</v>
      </c>
      <c r="D4025" t="inlineStr">
        <is>
          <t>Sunday</t>
        </is>
      </c>
      <c r="E4025" t="n">
        <v>5</v>
      </c>
      <c r="F4025" t="b">
        <v>0</v>
      </c>
      <c r="H4025" t="b">
        <v>0</v>
      </c>
    </row>
    <row r="4026">
      <c r="A4026" t="inlineStr">
        <is>
          <t>S012</t>
        </is>
      </c>
      <c r="B4026" s="3" t="n">
        <v>46278</v>
      </c>
      <c r="C4026" t="n">
        <v>16</v>
      </c>
      <c r="D4026" t="inlineStr">
        <is>
          <t>Sunday</t>
        </is>
      </c>
      <c r="E4026" t="n">
        <v>14</v>
      </c>
      <c r="F4026" t="b">
        <v>0</v>
      </c>
      <c r="H4026" t="b">
        <v>0</v>
      </c>
    </row>
    <row r="4027">
      <c r="A4027" t="inlineStr">
        <is>
          <t>S012</t>
        </is>
      </c>
      <c r="B4027" s="3" t="n">
        <v>46278</v>
      </c>
      <c r="C4027" t="n">
        <v>17</v>
      </c>
      <c r="D4027" t="inlineStr">
        <is>
          <t>Sunday</t>
        </is>
      </c>
      <c r="E4027" t="n">
        <v>8</v>
      </c>
      <c r="F4027" t="b">
        <v>0</v>
      </c>
      <c r="H4027" t="b">
        <v>0</v>
      </c>
    </row>
    <row r="4028">
      <c r="A4028" t="inlineStr">
        <is>
          <t>S012</t>
        </is>
      </c>
      <c r="B4028" s="3" t="n">
        <v>46278</v>
      </c>
      <c r="C4028" t="n">
        <v>18</v>
      </c>
      <c r="D4028" t="inlineStr">
        <is>
          <t>Sunday</t>
        </is>
      </c>
      <c r="E4028" t="n">
        <v>15</v>
      </c>
      <c r="F4028" t="b">
        <v>0</v>
      </c>
      <c r="H4028" t="b">
        <v>0</v>
      </c>
    </row>
    <row r="4029">
      <c r="A4029" t="inlineStr">
        <is>
          <t>S012</t>
        </is>
      </c>
      <c r="B4029" s="3" t="n">
        <v>46278</v>
      </c>
      <c r="C4029" t="n">
        <v>19</v>
      </c>
      <c r="D4029" t="inlineStr">
        <is>
          <t>Sunday</t>
        </is>
      </c>
      <c r="E4029" t="n">
        <v>24</v>
      </c>
      <c r="F4029" t="b">
        <v>1</v>
      </c>
      <c r="H4029" t="b">
        <v>0</v>
      </c>
    </row>
    <row r="4030">
      <c r="A4030" t="inlineStr">
        <is>
          <t>S012</t>
        </is>
      </c>
      <c r="B4030" s="3" t="n">
        <v>46278</v>
      </c>
      <c r="C4030" t="n">
        <v>20</v>
      </c>
      <c r="D4030" t="inlineStr">
        <is>
          <t>Sunday</t>
        </is>
      </c>
      <c r="E4030" t="n">
        <v>25</v>
      </c>
      <c r="F4030" t="b">
        <v>1</v>
      </c>
      <c r="G4030" t="inlineStr">
        <is>
          <t>Light</t>
        </is>
      </c>
      <c r="H4030" t="b">
        <v>0</v>
      </c>
    </row>
    <row r="4031">
      <c r="A4031" t="inlineStr">
        <is>
          <t>S012</t>
        </is>
      </c>
      <c r="B4031" s="3" t="n">
        <v>46278</v>
      </c>
      <c r="C4031" t="n">
        <v>21</v>
      </c>
      <c r="D4031" t="inlineStr">
        <is>
          <t>Sunday</t>
        </is>
      </c>
      <c r="E4031" t="n">
        <v>22</v>
      </c>
      <c r="F4031" t="b">
        <v>1</v>
      </c>
      <c r="H4031" t="b">
        <v>0</v>
      </c>
    </row>
    <row r="4032">
      <c r="A4032" t="inlineStr">
        <is>
          <t>S012</t>
        </is>
      </c>
      <c r="B4032" s="3" t="n">
        <v>46278</v>
      </c>
      <c r="C4032" t="n">
        <v>22</v>
      </c>
      <c r="D4032" t="inlineStr">
        <is>
          <t>Sunday</t>
        </is>
      </c>
      <c r="E4032" t="n">
        <v>20</v>
      </c>
      <c r="F4032" t="b">
        <v>0</v>
      </c>
      <c r="G4032" t="inlineStr">
        <is>
          <t>Heavy</t>
        </is>
      </c>
      <c r="H4032" t="b">
        <v>0</v>
      </c>
    </row>
    <row r="4033">
      <c r="A4033" t="inlineStr">
        <is>
          <t>S012</t>
        </is>
      </c>
      <c r="B4033" s="3" t="n">
        <v>46278</v>
      </c>
      <c r="C4033" t="n">
        <v>23</v>
      </c>
      <c r="D4033" t="inlineStr">
        <is>
          <t>Sunday</t>
        </is>
      </c>
      <c r="E4033" t="n">
        <v>19</v>
      </c>
      <c r="F4033" t="b">
        <v>0</v>
      </c>
      <c r="H4033" t="b">
        <v>0</v>
      </c>
    </row>
    <row r="4034">
      <c r="A4034" t="inlineStr">
        <is>
          <t>S013</t>
        </is>
      </c>
      <c r="B4034" s="3" t="n">
        <v>46278</v>
      </c>
      <c r="C4034" t="n">
        <v>8</v>
      </c>
      <c r="D4034" t="inlineStr">
        <is>
          <t>Sunday</t>
        </is>
      </c>
      <c r="E4034" t="n">
        <v>43</v>
      </c>
      <c r="F4034" t="b">
        <v>0</v>
      </c>
      <c r="H4034" t="b">
        <v>0</v>
      </c>
    </row>
    <row r="4035">
      <c r="A4035" t="inlineStr">
        <is>
          <t>S013</t>
        </is>
      </c>
      <c r="B4035" s="3" t="n">
        <v>46278</v>
      </c>
      <c r="C4035" t="n">
        <v>9</v>
      </c>
      <c r="D4035" t="inlineStr">
        <is>
          <t>Sunday</t>
        </is>
      </c>
      <c r="E4035" t="n">
        <v>30</v>
      </c>
      <c r="F4035" t="b">
        <v>0</v>
      </c>
      <c r="H4035" t="b">
        <v>0</v>
      </c>
    </row>
    <row r="4036">
      <c r="A4036" t="inlineStr">
        <is>
          <t>S013</t>
        </is>
      </c>
      <c r="B4036" s="3" t="n">
        <v>46278</v>
      </c>
      <c r="C4036" t="n">
        <v>10</v>
      </c>
      <c r="D4036" t="inlineStr">
        <is>
          <t>Sunday</t>
        </is>
      </c>
      <c r="E4036" t="n">
        <v>31</v>
      </c>
      <c r="F4036" t="b">
        <v>0</v>
      </c>
      <c r="H4036" t="b">
        <v>0</v>
      </c>
    </row>
    <row r="4037">
      <c r="A4037" t="inlineStr">
        <is>
          <t>S013</t>
        </is>
      </c>
      <c r="B4037" s="3" t="n">
        <v>46278</v>
      </c>
      <c r="C4037" t="n">
        <v>11</v>
      </c>
      <c r="D4037" t="inlineStr">
        <is>
          <t>Sunday</t>
        </is>
      </c>
      <c r="E4037" t="n">
        <v>48</v>
      </c>
      <c r="F4037" t="b">
        <v>0</v>
      </c>
      <c r="H4037" t="b">
        <v>0</v>
      </c>
    </row>
    <row r="4038">
      <c r="A4038" t="inlineStr">
        <is>
          <t>S013</t>
        </is>
      </c>
      <c r="B4038" s="3" t="n">
        <v>46278</v>
      </c>
      <c r="C4038" t="n">
        <v>12</v>
      </c>
      <c r="D4038" t="inlineStr">
        <is>
          <t>Sunday</t>
        </is>
      </c>
      <c r="E4038" t="n">
        <v>64</v>
      </c>
      <c r="F4038" t="b">
        <v>0</v>
      </c>
      <c r="G4038" t="inlineStr">
        <is>
          <t>Light</t>
        </is>
      </c>
      <c r="H4038" t="b">
        <v>0</v>
      </c>
    </row>
    <row r="4039">
      <c r="A4039" t="inlineStr">
        <is>
          <t>S013</t>
        </is>
      </c>
      <c r="B4039" s="3" t="n">
        <v>46278</v>
      </c>
      <c r="C4039" t="n">
        <v>13</v>
      </c>
      <c r="D4039" t="inlineStr">
        <is>
          <t>Sunday</t>
        </is>
      </c>
      <c r="E4039" t="n">
        <v>50</v>
      </c>
      <c r="F4039" t="b">
        <v>0</v>
      </c>
      <c r="H4039" t="b">
        <v>0</v>
      </c>
    </row>
    <row r="4040">
      <c r="A4040" t="inlineStr">
        <is>
          <t>S013</t>
        </is>
      </c>
      <c r="B4040" s="3" t="n">
        <v>46278</v>
      </c>
      <c r="C4040" t="n">
        <v>14</v>
      </c>
      <c r="D4040" t="inlineStr">
        <is>
          <t>Sunday</t>
        </is>
      </c>
      <c r="E4040" t="n">
        <v>32</v>
      </c>
      <c r="F4040" t="b">
        <v>0</v>
      </c>
      <c r="G4040" t="inlineStr">
        <is>
          <t>Light</t>
        </is>
      </c>
      <c r="H4040" t="b">
        <v>0</v>
      </c>
    </row>
    <row r="4041">
      <c r="A4041" t="inlineStr">
        <is>
          <t>S013</t>
        </is>
      </c>
      <c r="B4041" s="3" t="n">
        <v>46278</v>
      </c>
      <c r="C4041" t="n">
        <v>15</v>
      </c>
      <c r="D4041" t="inlineStr">
        <is>
          <t>Sunday</t>
        </is>
      </c>
      <c r="E4041" t="n">
        <v>34</v>
      </c>
      <c r="F4041" t="b">
        <v>0</v>
      </c>
      <c r="H4041" t="b">
        <v>0</v>
      </c>
    </row>
    <row r="4042">
      <c r="A4042" t="inlineStr">
        <is>
          <t>S013</t>
        </is>
      </c>
      <c r="B4042" s="3" t="n">
        <v>46278</v>
      </c>
      <c r="C4042" t="n">
        <v>16</v>
      </c>
      <c r="D4042" t="inlineStr">
        <is>
          <t>Sunday</t>
        </is>
      </c>
      <c r="E4042" t="n">
        <v>65</v>
      </c>
      <c r="F4042" t="b">
        <v>0</v>
      </c>
      <c r="H4042" t="b">
        <v>1</v>
      </c>
    </row>
    <row r="4043">
      <c r="A4043" t="inlineStr">
        <is>
          <t>S013</t>
        </is>
      </c>
      <c r="B4043" s="3" t="n">
        <v>46278</v>
      </c>
      <c r="C4043" t="n">
        <v>17</v>
      </c>
      <c r="D4043" t="inlineStr">
        <is>
          <t>Sunday</t>
        </is>
      </c>
      <c r="E4043" t="n">
        <v>48</v>
      </c>
      <c r="F4043" t="b">
        <v>0</v>
      </c>
      <c r="H4043" t="b">
        <v>0</v>
      </c>
    </row>
    <row r="4044">
      <c r="A4044" t="inlineStr">
        <is>
          <t>S013</t>
        </is>
      </c>
      <c r="B4044" s="3" t="n">
        <v>46278</v>
      </c>
      <c r="C4044" t="n">
        <v>18</v>
      </c>
      <c r="D4044" t="inlineStr">
        <is>
          <t>Sunday</t>
        </is>
      </c>
      <c r="E4044" t="n">
        <v>51</v>
      </c>
      <c r="F4044" t="b">
        <v>0</v>
      </c>
      <c r="H4044" t="b">
        <v>0</v>
      </c>
    </row>
    <row r="4045">
      <c r="A4045" t="inlineStr">
        <is>
          <t>S013</t>
        </is>
      </c>
      <c r="B4045" s="3" t="n">
        <v>46278</v>
      </c>
      <c r="C4045" t="n">
        <v>19</v>
      </c>
      <c r="D4045" t="inlineStr">
        <is>
          <t>Sunday</t>
        </is>
      </c>
      <c r="E4045" t="n">
        <v>78</v>
      </c>
      <c r="F4045" t="b">
        <v>1</v>
      </c>
      <c r="H4045" t="b">
        <v>0</v>
      </c>
    </row>
    <row r="4046">
      <c r="A4046" t="inlineStr">
        <is>
          <t>S013</t>
        </is>
      </c>
      <c r="B4046" s="3" t="n">
        <v>46278</v>
      </c>
      <c r="C4046" t="n">
        <v>20</v>
      </c>
      <c r="D4046" t="inlineStr">
        <is>
          <t>Sunday</t>
        </is>
      </c>
      <c r="E4046" t="n">
        <v>89</v>
      </c>
      <c r="F4046" t="b">
        <v>1</v>
      </c>
      <c r="H4046" t="b">
        <v>0</v>
      </c>
    </row>
    <row r="4047">
      <c r="A4047" t="inlineStr">
        <is>
          <t>S013</t>
        </is>
      </c>
      <c r="B4047" s="3" t="n">
        <v>46278</v>
      </c>
      <c r="C4047" t="n">
        <v>21</v>
      </c>
      <c r="D4047" t="inlineStr">
        <is>
          <t>Sunday</t>
        </is>
      </c>
      <c r="E4047" t="n">
        <v>82</v>
      </c>
      <c r="F4047" t="b">
        <v>1</v>
      </c>
      <c r="H4047" t="b">
        <v>0</v>
      </c>
    </row>
    <row r="4048">
      <c r="A4048" t="inlineStr">
        <is>
          <t>S013</t>
        </is>
      </c>
      <c r="B4048" s="3" t="n">
        <v>46278</v>
      </c>
      <c r="C4048" t="n">
        <v>22</v>
      </c>
      <c r="D4048" t="inlineStr">
        <is>
          <t>Sunday</t>
        </is>
      </c>
      <c r="E4048" t="n">
        <v>57</v>
      </c>
      <c r="F4048" t="b">
        <v>0</v>
      </c>
      <c r="H4048" t="b">
        <v>0</v>
      </c>
    </row>
    <row r="4049">
      <c r="A4049" t="inlineStr">
        <is>
          <t>S013</t>
        </is>
      </c>
      <c r="B4049" s="3" t="n">
        <v>46278</v>
      </c>
      <c r="C4049" t="n">
        <v>23</v>
      </c>
      <c r="D4049" t="inlineStr">
        <is>
          <t>Sunday</t>
        </is>
      </c>
      <c r="E4049" t="n">
        <v>42</v>
      </c>
      <c r="F4049" t="b">
        <v>0</v>
      </c>
      <c r="H4049" t="b">
        <v>0</v>
      </c>
    </row>
    <row r="4050">
      <c r="A4050" t="inlineStr">
        <is>
          <t>S014</t>
        </is>
      </c>
      <c r="B4050" s="3" t="n">
        <v>46278</v>
      </c>
      <c r="C4050" t="n">
        <v>8</v>
      </c>
      <c r="D4050" t="inlineStr">
        <is>
          <t>Sunday</t>
        </is>
      </c>
      <c r="E4050" t="n">
        <v>33</v>
      </c>
      <c r="F4050" t="b">
        <v>0</v>
      </c>
      <c r="H4050" t="b">
        <v>0</v>
      </c>
    </row>
    <row r="4051">
      <c r="A4051" t="inlineStr">
        <is>
          <t>S014</t>
        </is>
      </c>
      <c r="B4051" s="3" t="n">
        <v>46278</v>
      </c>
      <c r="C4051" t="n">
        <v>9</v>
      </c>
      <c r="D4051" t="inlineStr">
        <is>
          <t>Sunday</t>
        </is>
      </c>
      <c r="E4051" t="n">
        <v>30</v>
      </c>
      <c r="F4051" t="b">
        <v>0</v>
      </c>
      <c r="G4051" t="inlineStr">
        <is>
          <t>Light</t>
        </is>
      </c>
      <c r="H4051" t="b">
        <v>0</v>
      </c>
    </row>
    <row r="4052">
      <c r="A4052" t="inlineStr">
        <is>
          <t>S014</t>
        </is>
      </c>
      <c r="B4052" s="3" t="n">
        <v>46278</v>
      </c>
      <c r="C4052" t="n">
        <v>10</v>
      </c>
      <c r="D4052" t="inlineStr">
        <is>
          <t>Sunday</t>
        </is>
      </c>
      <c r="E4052" t="n">
        <v>42</v>
      </c>
      <c r="F4052" t="b">
        <v>0</v>
      </c>
      <c r="G4052" t="inlineStr">
        <is>
          <t>Heavy</t>
        </is>
      </c>
      <c r="H4052" t="b">
        <v>0</v>
      </c>
    </row>
    <row r="4053">
      <c r="A4053" t="inlineStr">
        <is>
          <t>S014</t>
        </is>
      </c>
      <c r="B4053" s="3" t="n">
        <v>46278</v>
      </c>
      <c r="C4053" t="n">
        <v>11</v>
      </c>
      <c r="D4053" t="inlineStr">
        <is>
          <t>Sunday</t>
        </is>
      </c>
      <c r="E4053" t="n">
        <v>48</v>
      </c>
      <c r="F4053" t="b">
        <v>0</v>
      </c>
      <c r="H4053" t="b">
        <v>0</v>
      </c>
    </row>
    <row r="4054">
      <c r="A4054" t="inlineStr">
        <is>
          <t>S014</t>
        </is>
      </c>
      <c r="B4054" s="3" t="n">
        <v>46278</v>
      </c>
      <c r="C4054" t="n">
        <v>12</v>
      </c>
      <c r="D4054" t="inlineStr">
        <is>
          <t>Sunday</t>
        </is>
      </c>
      <c r="E4054" t="n">
        <v>39</v>
      </c>
      <c r="F4054" t="b">
        <v>0</v>
      </c>
      <c r="H4054" t="b">
        <v>0</v>
      </c>
    </row>
    <row r="4055">
      <c r="A4055" t="inlineStr">
        <is>
          <t>S014</t>
        </is>
      </c>
      <c r="B4055" s="3" t="n">
        <v>46278</v>
      </c>
      <c r="C4055" t="n">
        <v>13</v>
      </c>
      <c r="D4055" t="inlineStr">
        <is>
          <t>Sunday</t>
        </is>
      </c>
      <c r="E4055" t="n">
        <v>35</v>
      </c>
      <c r="F4055" t="b">
        <v>0</v>
      </c>
      <c r="G4055" t="inlineStr">
        <is>
          <t>Heavy</t>
        </is>
      </c>
      <c r="H4055" t="b">
        <v>0</v>
      </c>
    </row>
    <row r="4056">
      <c r="A4056" t="inlineStr">
        <is>
          <t>S014</t>
        </is>
      </c>
      <c r="B4056" s="3" t="n">
        <v>46278</v>
      </c>
      <c r="C4056" t="n">
        <v>14</v>
      </c>
      <c r="D4056" t="inlineStr">
        <is>
          <t>Sunday</t>
        </is>
      </c>
      <c r="E4056" t="n">
        <v>35</v>
      </c>
      <c r="F4056" t="b">
        <v>0</v>
      </c>
      <c r="H4056" t="b">
        <v>0</v>
      </c>
    </row>
    <row r="4057">
      <c r="A4057" t="inlineStr">
        <is>
          <t>S014</t>
        </is>
      </c>
      <c r="B4057" s="3" t="n">
        <v>46278</v>
      </c>
      <c r="C4057" t="n">
        <v>15</v>
      </c>
      <c r="D4057" t="inlineStr">
        <is>
          <t>Sunday</t>
        </is>
      </c>
      <c r="E4057" t="n">
        <v>23</v>
      </c>
      <c r="F4057" t="b">
        <v>0</v>
      </c>
      <c r="H4057" t="b">
        <v>0</v>
      </c>
    </row>
    <row r="4058">
      <c r="A4058" t="inlineStr">
        <is>
          <t>S014</t>
        </is>
      </c>
      <c r="B4058" s="3" t="n">
        <v>46278</v>
      </c>
      <c r="C4058" t="n">
        <v>16</v>
      </c>
      <c r="D4058" t="inlineStr">
        <is>
          <t>Sunday</t>
        </is>
      </c>
      <c r="E4058" t="n">
        <v>36</v>
      </c>
      <c r="F4058" t="b">
        <v>0</v>
      </c>
      <c r="H4058" t="b">
        <v>0</v>
      </c>
    </row>
    <row r="4059">
      <c r="A4059" t="inlineStr">
        <is>
          <t>S014</t>
        </is>
      </c>
      <c r="B4059" s="3" t="n">
        <v>46278</v>
      </c>
      <c r="C4059" t="n">
        <v>17</v>
      </c>
      <c r="D4059" t="inlineStr">
        <is>
          <t>Sunday</t>
        </is>
      </c>
      <c r="E4059" t="n">
        <v>45</v>
      </c>
      <c r="F4059" t="b">
        <v>0</v>
      </c>
      <c r="H4059" t="b">
        <v>0</v>
      </c>
    </row>
    <row r="4060">
      <c r="A4060" t="inlineStr">
        <is>
          <t>S014</t>
        </is>
      </c>
      <c r="B4060" s="3" t="n">
        <v>46278</v>
      </c>
      <c r="C4060" t="n">
        <v>18</v>
      </c>
      <c r="D4060" t="inlineStr">
        <is>
          <t>Sunday</t>
        </is>
      </c>
      <c r="E4060" t="n">
        <v>35</v>
      </c>
      <c r="F4060" t="b">
        <v>0</v>
      </c>
      <c r="H4060" t="b">
        <v>0</v>
      </c>
    </row>
    <row r="4061">
      <c r="A4061" t="inlineStr">
        <is>
          <t>S014</t>
        </is>
      </c>
      <c r="B4061" s="3" t="n">
        <v>46278</v>
      </c>
      <c r="C4061" t="n">
        <v>19</v>
      </c>
      <c r="D4061" t="inlineStr">
        <is>
          <t>Sunday</t>
        </is>
      </c>
      <c r="E4061" t="n">
        <v>61</v>
      </c>
      <c r="F4061" t="b">
        <v>1</v>
      </c>
      <c r="H4061" t="b">
        <v>0</v>
      </c>
    </row>
    <row r="4062">
      <c r="A4062" t="inlineStr">
        <is>
          <t>S014</t>
        </is>
      </c>
      <c r="B4062" s="3" t="n">
        <v>46278</v>
      </c>
      <c r="C4062" t="n">
        <v>20</v>
      </c>
      <c r="D4062" t="inlineStr">
        <is>
          <t>Sunday</t>
        </is>
      </c>
      <c r="E4062" t="n">
        <v>55</v>
      </c>
      <c r="F4062" t="b">
        <v>1</v>
      </c>
      <c r="G4062" t="inlineStr">
        <is>
          <t>Light</t>
        </is>
      </c>
      <c r="H4062" t="b">
        <v>0</v>
      </c>
    </row>
    <row r="4063">
      <c r="A4063" t="inlineStr">
        <is>
          <t>S014</t>
        </is>
      </c>
      <c r="B4063" s="3" t="n">
        <v>46278</v>
      </c>
      <c r="C4063" t="n">
        <v>21</v>
      </c>
      <c r="D4063" t="inlineStr">
        <is>
          <t>Sunday</t>
        </is>
      </c>
      <c r="E4063" t="n">
        <v>54</v>
      </c>
      <c r="F4063" t="b">
        <v>1</v>
      </c>
      <c r="H4063" t="b">
        <v>0</v>
      </c>
    </row>
    <row r="4064">
      <c r="A4064" t="inlineStr">
        <is>
          <t>S014</t>
        </is>
      </c>
      <c r="B4064" s="3" t="n">
        <v>46278</v>
      </c>
      <c r="C4064" t="n">
        <v>22</v>
      </c>
      <c r="D4064" t="inlineStr">
        <is>
          <t>Sunday</t>
        </is>
      </c>
      <c r="E4064" t="n">
        <v>50</v>
      </c>
      <c r="F4064" t="b">
        <v>0</v>
      </c>
      <c r="H4064" t="b">
        <v>0</v>
      </c>
    </row>
    <row r="4065">
      <c r="A4065" t="inlineStr">
        <is>
          <t>S014</t>
        </is>
      </c>
      <c r="B4065" s="3" t="n">
        <v>46278</v>
      </c>
      <c r="C4065" t="n">
        <v>23</v>
      </c>
      <c r="D4065" t="inlineStr">
        <is>
          <t>Sunday</t>
        </is>
      </c>
      <c r="E4065" t="n">
        <v>40</v>
      </c>
      <c r="F4065" t="b">
        <v>0</v>
      </c>
      <c r="G4065" t="inlineStr">
        <is>
          <t>Heavy</t>
        </is>
      </c>
      <c r="H4065" t="b">
        <v>0</v>
      </c>
    </row>
    <row r="4066">
      <c r="A4066" t="inlineStr">
        <is>
          <t>S015</t>
        </is>
      </c>
      <c r="B4066" s="3" t="n">
        <v>46278</v>
      </c>
      <c r="C4066" t="n">
        <v>8</v>
      </c>
      <c r="D4066" t="inlineStr">
        <is>
          <t>Sunday</t>
        </is>
      </c>
      <c r="E4066" t="n">
        <v>14</v>
      </c>
      <c r="F4066" t="b">
        <v>0</v>
      </c>
      <c r="H4066" t="b">
        <v>0</v>
      </c>
    </row>
    <row r="4067">
      <c r="A4067" t="inlineStr">
        <is>
          <t>S015</t>
        </is>
      </c>
      <c r="B4067" s="3" t="n">
        <v>46278</v>
      </c>
      <c r="C4067" t="n">
        <v>9</v>
      </c>
      <c r="D4067" t="inlineStr">
        <is>
          <t>Sunday</t>
        </is>
      </c>
      <c r="E4067" t="n">
        <v>13</v>
      </c>
      <c r="F4067" t="b">
        <v>0</v>
      </c>
      <c r="G4067" t="inlineStr">
        <is>
          <t>Light</t>
        </is>
      </c>
      <c r="H4067" t="b">
        <v>0</v>
      </c>
    </row>
    <row r="4068">
      <c r="A4068" t="inlineStr">
        <is>
          <t>S015</t>
        </is>
      </c>
      <c r="B4068" s="3" t="n">
        <v>46278</v>
      </c>
      <c r="C4068" t="n">
        <v>10</v>
      </c>
      <c r="D4068" t="inlineStr">
        <is>
          <t>Sunday</t>
        </is>
      </c>
      <c r="E4068" t="n">
        <v>16</v>
      </c>
      <c r="F4068" t="b">
        <v>0</v>
      </c>
      <c r="G4068" t="inlineStr">
        <is>
          <t>Light</t>
        </is>
      </c>
      <c r="H4068" t="b">
        <v>0</v>
      </c>
    </row>
    <row r="4069">
      <c r="A4069" t="inlineStr">
        <is>
          <t>S015</t>
        </is>
      </c>
      <c r="B4069" s="3" t="n">
        <v>46278</v>
      </c>
      <c r="C4069" t="n">
        <v>11</v>
      </c>
      <c r="D4069" t="inlineStr">
        <is>
          <t>Sunday</t>
        </is>
      </c>
      <c r="E4069" t="n">
        <v>19</v>
      </c>
      <c r="F4069" t="b">
        <v>0</v>
      </c>
      <c r="H4069" t="b">
        <v>0</v>
      </c>
    </row>
    <row r="4070">
      <c r="A4070" t="inlineStr">
        <is>
          <t>S015</t>
        </is>
      </c>
      <c r="B4070" s="3" t="n">
        <v>46278</v>
      </c>
      <c r="C4070" t="n">
        <v>12</v>
      </c>
      <c r="D4070" t="inlineStr">
        <is>
          <t>Sunday</t>
        </is>
      </c>
      <c r="E4070" t="n">
        <v>29</v>
      </c>
      <c r="F4070" t="b">
        <v>0</v>
      </c>
      <c r="G4070" t="inlineStr">
        <is>
          <t>Light</t>
        </is>
      </c>
      <c r="H4070" t="b">
        <v>0</v>
      </c>
    </row>
    <row r="4071">
      <c r="A4071" t="inlineStr">
        <is>
          <t>S015</t>
        </is>
      </c>
      <c r="B4071" s="3" t="n">
        <v>46278</v>
      </c>
      <c r="C4071" t="n">
        <v>13</v>
      </c>
      <c r="D4071" t="inlineStr">
        <is>
          <t>Sunday</t>
        </is>
      </c>
      <c r="E4071" t="n">
        <v>19</v>
      </c>
      <c r="F4071" t="b">
        <v>0</v>
      </c>
      <c r="G4071" t="inlineStr">
        <is>
          <t>Light</t>
        </is>
      </c>
      <c r="H4071" t="b">
        <v>0</v>
      </c>
    </row>
    <row r="4072">
      <c r="A4072" t="inlineStr">
        <is>
          <t>S015</t>
        </is>
      </c>
      <c r="B4072" s="3" t="n">
        <v>46278</v>
      </c>
      <c r="C4072" t="n">
        <v>14</v>
      </c>
      <c r="D4072" t="inlineStr">
        <is>
          <t>Sunday</t>
        </is>
      </c>
      <c r="E4072" t="n">
        <v>16</v>
      </c>
      <c r="F4072" t="b">
        <v>0</v>
      </c>
      <c r="G4072" t="inlineStr">
        <is>
          <t>Light</t>
        </is>
      </c>
      <c r="H4072" t="b">
        <v>1</v>
      </c>
    </row>
    <row r="4073">
      <c r="A4073" t="inlineStr">
        <is>
          <t>S015</t>
        </is>
      </c>
      <c r="B4073" s="3" t="n">
        <v>46278</v>
      </c>
      <c r="C4073" t="n">
        <v>15</v>
      </c>
      <c r="D4073" t="inlineStr">
        <is>
          <t>Sunday</t>
        </is>
      </c>
      <c r="E4073" t="n">
        <v>23</v>
      </c>
      <c r="F4073" t="b">
        <v>0</v>
      </c>
      <c r="H4073" t="b">
        <v>0</v>
      </c>
    </row>
    <row r="4074">
      <c r="A4074" t="inlineStr">
        <is>
          <t>S015</t>
        </is>
      </c>
      <c r="B4074" s="3" t="n">
        <v>46278</v>
      </c>
      <c r="C4074" t="n">
        <v>16</v>
      </c>
      <c r="D4074" t="inlineStr">
        <is>
          <t>Sunday</t>
        </is>
      </c>
      <c r="E4074" t="n">
        <v>23</v>
      </c>
      <c r="F4074" t="b">
        <v>0</v>
      </c>
      <c r="H4074" t="b">
        <v>0</v>
      </c>
    </row>
    <row r="4075">
      <c r="A4075" t="inlineStr">
        <is>
          <t>S015</t>
        </is>
      </c>
      <c r="B4075" s="3" t="n">
        <v>46278</v>
      </c>
      <c r="C4075" t="n">
        <v>17</v>
      </c>
      <c r="D4075" t="inlineStr">
        <is>
          <t>Sunday</t>
        </is>
      </c>
      <c r="E4075" t="n">
        <v>28</v>
      </c>
      <c r="F4075" t="b">
        <v>0</v>
      </c>
      <c r="G4075" t="inlineStr">
        <is>
          <t>Light</t>
        </is>
      </c>
      <c r="H4075" t="b">
        <v>0</v>
      </c>
    </row>
    <row r="4076">
      <c r="A4076" t="inlineStr">
        <is>
          <t>S015</t>
        </is>
      </c>
      <c r="B4076" s="3" t="n">
        <v>46278</v>
      </c>
      <c r="C4076" t="n">
        <v>18</v>
      </c>
      <c r="D4076" t="inlineStr">
        <is>
          <t>Sunday</t>
        </is>
      </c>
      <c r="E4076" t="n">
        <v>37</v>
      </c>
      <c r="F4076" t="b">
        <v>0</v>
      </c>
      <c r="H4076" t="b">
        <v>0</v>
      </c>
    </row>
    <row r="4077">
      <c r="A4077" t="inlineStr">
        <is>
          <t>S015</t>
        </is>
      </c>
      <c r="B4077" s="3" t="n">
        <v>46278</v>
      </c>
      <c r="C4077" t="n">
        <v>19</v>
      </c>
      <c r="D4077" t="inlineStr">
        <is>
          <t>Sunday</t>
        </is>
      </c>
      <c r="E4077" t="n">
        <v>43</v>
      </c>
      <c r="F4077" t="b">
        <v>1</v>
      </c>
      <c r="H4077" t="b">
        <v>0</v>
      </c>
    </row>
    <row r="4078">
      <c r="A4078" t="inlineStr">
        <is>
          <t>S015</t>
        </is>
      </c>
      <c r="B4078" s="3" t="n">
        <v>46278</v>
      </c>
      <c r="C4078" t="n">
        <v>20</v>
      </c>
      <c r="D4078" t="inlineStr">
        <is>
          <t>Sunday</t>
        </is>
      </c>
      <c r="E4078" t="n">
        <v>38</v>
      </c>
      <c r="F4078" t="b">
        <v>1</v>
      </c>
      <c r="H4078" t="b">
        <v>0</v>
      </c>
    </row>
    <row r="4079">
      <c r="A4079" t="inlineStr">
        <is>
          <t>S015</t>
        </is>
      </c>
      <c r="B4079" s="3" t="n">
        <v>46278</v>
      </c>
      <c r="C4079" t="n">
        <v>21</v>
      </c>
      <c r="D4079" t="inlineStr">
        <is>
          <t>Sunday</t>
        </is>
      </c>
      <c r="E4079" t="n">
        <v>31</v>
      </c>
      <c r="F4079" t="b">
        <v>1</v>
      </c>
      <c r="H4079" t="b">
        <v>0</v>
      </c>
    </row>
    <row r="4080">
      <c r="A4080" t="inlineStr">
        <is>
          <t>S015</t>
        </is>
      </c>
      <c r="B4080" s="3" t="n">
        <v>46278</v>
      </c>
      <c r="C4080" t="n">
        <v>22</v>
      </c>
      <c r="D4080" t="inlineStr">
        <is>
          <t>Sunday</t>
        </is>
      </c>
      <c r="E4080" t="n">
        <v>26</v>
      </c>
      <c r="F4080" t="b">
        <v>0</v>
      </c>
      <c r="H4080" t="b">
        <v>0</v>
      </c>
    </row>
    <row r="4081">
      <c r="A4081" t="inlineStr">
        <is>
          <t>S015</t>
        </is>
      </c>
      <c r="B4081" s="3" t="n">
        <v>46278</v>
      </c>
      <c r="C4081" t="n">
        <v>23</v>
      </c>
      <c r="D4081" t="inlineStr">
        <is>
          <t>Sunday</t>
        </is>
      </c>
      <c r="E4081" t="n">
        <v>19</v>
      </c>
      <c r="F4081" t="b">
        <v>0</v>
      </c>
      <c r="H4081" t="b">
        <v>0</v>
      </c>
    </row>
    <row r="4082">
      <c r="A4082" t="inlineStr">
        <is>
          <t>S016</t>
        </is>
      </c>
      <c r="B4082" s="3" t="n">
        <v>46278</v>
      </c>
      <c r="C4082" t="n">
        <v>8</v>
      </c>
      <c r="D4082" t="inlineStr">
        <is>
          <t>Sunday</t>
        </is>
      </c>
      <c r="E4082" t="n">
        <v>28</v>
      </c>
      <c r="F4082" t="b">
        <v>0</v>
      </c>
      <c r="H4082" t="b">
        <v>1</v>
      </c>
    </row>
    <row r="4083">
      <c r="A4083" t="inlineStr">
        <is>
          <t>S016</t>
        </is>
      </c>
      <c r="B4083" s="3" t="n">
        <v>46278</v>
      </c>
      <c r="C4083" t="n">
        <v>9</v>
      </c>
      <c r="D4083" t="inlineStr">
        <is>
          <t>Sunday</t>
        </is>
      </c>
      <c r="E4083" t="n">
        <v>21</v>
      </c>
      <c r="F4083" t="b">
        <v>0</v>
      </c>
      <c r="H4083" t="b">
        <v>0</v>
      </c>
    </row>
    <row r="4084">
      <c r="A4084" t="inlineStr">
        <is>
          <t>S016</t>
        </is>
      </c>
      <c r="B4084" s="3" t="n">
        <v>46278</v>
      </c>
      <c r="C4084" t="n">
        <v>10</v>
      </c>
      <c r="D4084" t="inlineStr">
        <is>
          <t>Sunday</t>
        </is>
      </c>
      <c r="E4084" t="n">
        <v>16</v>
      </c>
      <c r="F4084" t="b">
        <v>0</v>
      </c>
      <c r="H4084" t="b">
        <v>0</v>
      </c>
    </row>
    <row r="4085">
      <c r="A4085" t="inlineStr">
        <is>
          <t>S016</t>
        </is>
      </c>
      <c r="B4085" s="3" t="n">
        <v>46278</v>
      </c>
      <c r="C4085" t="n">
        <v>11</v>
      </c>
      <c r="D4085" t="inlineStr">
        <is>
          <t>Sunday</t>
        </is>
      </c>
      <c r="E4085" t="n">
        <v>23</v>
      </c>
      <c r="F4085" t="b">
        <v>0</v>
      </c>
      <c r="H4085" t="b">
        <v>0</v>
      </c>
    </row>
    <row r="4086">
      <c r="A4086" t="inlineStr">
        <is>
          <t>S016</t>
        </is>
      </c>
      <c r="B4086" s="3" t="n">
        <v>46278</v>
      </c>
      <c r="C4086" t="n">
        <v>12</v>
      </c>
      <c r="D4086" t="inlineStr">
        <is>
          <t>Sunday</t>
        </is>
      </c>
      <c r="E4086" t="n">
        <v>43</v>
      </c>
      <c r="F4086" t="b">
        <v>0</v>
      </c>
      <c r="H4086" t="b">
        <v>0</v>
      </c>
    </row>
    <row r="4087">
      <c r="A4087" t="inlineStr">
        <is>
          <t>S016</t>
        </is>
      </c>
      <c r="B4087" s="3" t="n">
        <v>46278</v>
      </c>
      <c r="C4087" t="n">
        <v>13</v>
      </c>
      <c r="D4087" t="inlineStr">
        <is>
          <t>Sunday</t>
        </is>
      </c>
      <c r="E4087" t="n">
        <v>23</v>
      </c>
      <c r="F4087" t="b">
        <v>0</v>
      </c>
      <c r="G4087" t="inlineStr">
        <is>
          <t>Light</t>
        </is>
      </c>
      <c r="H4087" t="b">
        <v>0</v>
      </c>
    </row>
    <row r="4088">
      <c r="A4088" t="inlineStr">
        <is>
          <t>S016</t>
        </is>
      </c>
      <c r="B4088" s="3" t="n">
        <v>46278</v>
      </c>
      <c r="C4088" t="n">
        <v>14</v>
      </c>
      <c r="D4088" t="inlineStr">
        <is>
          <t>Sunday</t>
        </is>
      </c>
      <c r="E4088" t="n">
        <v>16</v>
      </c>
      <c r="F4088" t="b">
        <v>0</v>
      </c>
      <c r="H4088" t="b">
        <v>0</v>
      </c>
    </row>
    <row r="4089">
      <c r="A4089" t="inlineStr">
        <is>
          <t>S016</t>
        </is>
      </c>
      <c r="B4089" s="3" t="n">
        <v>46278</v>
      </c>
      <c r="C4089" t="n">
        <v>15</v>
      </c>
      <c r="D4089" t="inlineStr">
        <is>
          <t>Sunday</t>
        </is>
      </c>
      <c r="E4089" t="n">
        <v>19</v>
      </c>
      <c r="F4089" t="b">
        <v>0</v>
      </c>
      <c r="H4089" t="b">
        <v>0</v>
      </c>
    </row>
    <row r="4090">
      <c r="A4090" t="inlineStr">
        <is>
          <t>S016</t>
        </is>
      </c>
      <c r="B4090" s="3" t="n">
        <v>46278</v>
      </c>
      <c r="C4090" t="n">
        <v>16</v>
      </c>
      <c r="D4090" t="inlineStr">
        <is>
          <t>Sunday</t>
        </is>
      </c>
      <c r="E4090" t="n">
        <v>37</v>
      </c>
      <c r="F4090" t="b">
        <v>0</v>
      </c>
      <c r="H4090" t="b">
        <v>0</v>
      </c>
    </row>
    <row r="4091">
      <c r="A4091" t="inlineStr">
        <is>
          <t>S016</t>
        </is>
      </c>
      <c r="B4091" s="3" t="n">
        <v>46278</v>
      </c>
      <c r="C4091" t="n">
        <v>17</v>
      </c>
      <c r="D4091" t="inlineStr">
        <is>
          <t>Sunday</t>
        </is>
      </c>
      <c r="E4091" t="n">
        <v>29</v>
      </c>
      <c r="F4091" t="b">
        <v>0</v>
      </c>
      <c r="H4091" t="b">
        <v>0</v>
      </c>
    </row>
    <row r="4092">
      <c r="A4092" t="inlineStr">
        <is>
          <t>S016</t>
        </is>
      </c>
      <c r="B4092" s="3" t="n">
        <v>46278</v>
      </c>
      <c r="C4092" t="n">
        <v>18</v>
      </c>
      <c r="D4092" t="inlineStr">
        <is>
          <t>Sunday</t>
        </is>
      </c>
      <c r="E4092" t="n">
        <v>36</v>
      </c>
      <c r="F4092" t="b">
        <v>0</v>
      </c>
      <c r="G4092" t="inlineStr">
        <is>
          <t>Light</t>
        </is>
      </c>
      <c r="H4092" t="b">
        <v>0</v>
      </c>
    </row>
    <row r="4093">
      <c r="A4093" t="inlineStr">
        <is>
          <t>S016</t>
        </is>
      </c>
      <c r="B4093" s="3" t="n">
        <v>46278</v>
      </c>
      <c r="C4093" t="n">
        <v>19</v>
      </c>
      <c r="D4093" t="inlineStr">
        <is>
          <t>Sunday</t>
        </is>
      </c>
      <c r="E4093" t="n">
        <v>43</v>
      </c>
      <c r="F4093" t="b">
        <v>1</v>
      </c>
      <c r="H4093" t="b">
        <v>0</v>
      </c>
    </row>
    <row r="4094">
      <c r="A4094" t="inlineStr">
        <is>
          <t>S016</t>
        </is>
      </c>
      <c r="B4094" s="3" t="n">
        <v>46278</v>
      </c>
      <c r="C4094" t="n">
        <v>20</v>
      </c>
      <c r="D4094" t="inlineStr">
        <is>
          <t>Sunday</t>
        </is>
      </c>
      <c r="E4094" t="n">
        <v>48</v>
      </c>
      <c r="F4094" t="b">
        <v>1</v>
      </c>
      <c r="H4094" t="b">
        <v>0</v>
      </c>
    </row>
    <row r="4095">
      <c r="A4095" t="inlineStr">
        <is>
          <t>S016</t>
        </is>
      </c>
      <c r="B4095" s="3" t="n">
        <v>46278</v>
      </c>
      <c r="C4095" t="n">
        <v>21</v>
      </c>
      <c r="D4095" t="inlineStr">
        <is>
          <t>Sunday</t>
        </is>
      </c>
      <c r="E4095" t="n">
        <v>40</v>
      </c>
      <c r="F4095" t="b">
        <v>1</v>
      </c>
      <c r="H4095" t="b">
        <v>0</v>
      </c>
    </row>
    <row r="4096">
      <c r="A4096" t="inlineStr">
        <is>
          <t>S016</t>
        </is>
      </c>
      <c r="B4096" s="3" t="n">
        <v>46278</v>
      </c>
      <c r="C4096" t="n">
        <v>22</v>
      </c>
      <c r="D4096" t="inlineStr">
        <is>
          <t>Sunday</t>
        </is>
      </c>
      <c r="E4096" t="n">
        <v>22</v>
      </c>
      <c r="F4096" t="b">
        <v>0</v>
      </c>
      <c r="G4096" t="inlineStr">
        <is>
          <t>Light</t>
        </is>
      </c>
      <c r="H4096" t="b">
        <v>0</v>
      </c>
    </row>
    <row r="4097">
      <c r="A4097" t="inlineStr">
        <is>
          <t>S016</t>
        </is>
      </c>
      <c r="B4097" s="3" t="n">
        <v>46278</v>
      </c>
      <c r="C4097" t="n">
        <v>23</v>
      </c>
      <c r="D4097" t="inlineStr">
        <is>
          <t>Sunday</t>
        </is>
      </c>
      <c r="E4097" t="n">
        <v>24</v>
      </c>
      <c r="F4097" t="b">
        <v>0</v>
      </c>
      <c r="H4097" t="b">
        <v>0</v>
      </c>
    </row>
    <row r="4098">
      <c r="A4098" t="inlineStr">
        <is>
          <t>S017</t>
        </is>
      </c>
      <c r="B4098" s="3" t="n">
        <v>46278</v>
      </c>
      <c r="C4098" t="n">
        <v>8</v>
      </c>
      <c r="D4098" t="inlineStr">
        <is>
          <t>Sunday</t>
        </is>
      </c>
      <c r="E4098" t="n">
        <v>31</v>
      </c>
      <c r="F4098" t="b">
        <v>0</v>
      </c>
      <c r="H4098" t="b">
        <v>0</v>
      </c>
    </row>
    <row r="4099">
      <c r="A4099" t="inlineStr">
        <is>
          <t>S017</t>
        </is>
      </c>
      <c r="B4099" s="3" t="n">
        <v>46278</v>
      </c>
      <c r="C4099" t="n">
        <v>9</v>
      </c>
      <c r="D4099" t="inlineStr">
        <is>
          <t>Sunday</t>
        </is>
      </c>
      <c r="E4099" t="n">
        <v>26</v>
      </c>
      <c r="F4099" t="b">
        <v>0</v>
      </c>
      <c r="H4099" t="b">
        <v>0</v>
      </c>
    </row>
    <row r="4100">
      <c r="A4100" t="inlineStr">
        <is>
          <t>S017</t>
        </is>
      </c>
      <c r="B4100" s="3" t="n">
        <v>46278</v>
      </c>
      <c r="C4100" t="n">
        <v>10</v>
      </c>
      <c r="D4100" t="inlineStr">
        <is>
          <t>Sunday</t>
        </is>
      </c>
      <c r="E4100" t="n">
        <v>44</v>
      </c>
      <c r="F4100" t="b">
        <v>0</v>
      </c>
      <c r="G4100" t="inlineStr">
        <is>
          <t>Light</t>
        </is>
      </c>
      <c r="H4100" t="b">
        <v>0</v>
      </c>
    </row>
    <row r="4101">
      <c r="A4101" t="inlineStr">
        <is>
          <t>S017</t>
        </is>
      </c>
      <c r="B4101" s="3" t="n">
        <v>46278</v>
      </c>
      <c r="C4101" t="n">
        <v>11</v>
      </c>
      <c r="D4101" t="inlineStr">
        <is>
          <t>Sunday</t>
        </is>
      </c>
      <c r="E4101" t="n">
        <v>35</v>
      </c>
      <c r="F4101" t="b">
        <v>0</v>
      </c>
      <c r="H4101" t="b">
        <v>0</v>
      </c>
    </row>
    <row r="4102">
      <c r="A4102" t="inlineStr">
        <is>
          <t>S017</t>
        </is>
      </c>
      <c r="B4102" s="3" t="n">
        <v>46278</v>
      </c>
      <c r="C4102" t="n">
        <v>12</v>
      </c>
      <c r="D4102" t="inlineStr">
        <is>
          <t>Sunday</t>
        </is>
      </c>
      <c r="E4102" t="n">
        <v>35</v>
      </c>
      <c r="F4102" t="b">
        <v>0</v>
      </c>
      <c r="G4102" t="inlineStr">
        <is>
          <t>Light</t>
        </is>
      </c>
      <c r="H4102" t="b">
        <v>0</v>
      </c>
    </row>
    <row r="4103">
      <c r="A4103" t="inlineStr">
        <is>
          <t>S017</t>
        </is>
      </c>
      <c r="B4103" s="3" t="n">
        <v>46278</v>
      </c>
      <c r="C4103" t="n">
        <v>13</v>
      </c>
      <c r="D4103" t="inlineStr">
        <is>
          <t>Sunday</t>
        </is>
      </c>
      <c r="E4103" t="n">
        <v>37</v>
      </c>
      <c r="F4103" t="b">
        <v>0</v>
      </c>
      <c r="G4103" t="inlineStr">
        <is>
          <t>Heavy</t>
        </is>
      </c>
      <c r="H4103" t="b">
        <v>0</v>
      </c>
    </row>
    <row r="4104">
      <c r="A4104" t="inlineStr">
        <is>
          <t>S017</t>
        </is>
      </c>
      <c r="B4104" s="3" t="n">
        <v>46278</v>
      </c>
      <c r="C4104" t="n">
        <v>14</v>
      </c>
      <c r="D4104" t="inlineStr">
        <is>
          <t>Sunday</t>
        </is>
      </c>
      <c r="E4104" t="n">
        <v>23</v>
      </c>
      <c r="F4104" t="b">
        <v>0</v>
      </c>
      <c r="G4104" t="inlineStr">
        <is>
          <t>Light</t>
        </is>
      </c>
      <c r="H4104" t="b">
        <v>0</v>
      </c>
    </row>
    <row r="4105">
      <c r="A4105" t="inlineStr">
        <is>
          <t>S017</t>
        </is>
      </c>
      <c r="B4105" s="3" t="n">
        <v>46278</v>
      </c>
      <c r="C4105" t="n">
        <v>15</v>
      </c>
      <c r="D4105" t="inlineStr">
        <is>
          <t>Sunday</t>
        </is>
      </c>
      <c r="E4105" t="n">
        <v>23</v>
      </c>
      <c r="F4105" t="b">
        <v>0</v>
      </c>
      <c r="H4105" t="b">
        <v>0</v>
      </c>
    </row>
    <row r="4106">
      <c r="A4106" t="inlineStr">
        <is>
          <t>S017</t>
        </is>
      </c>
      <c r="B4106" s="3" t="n">
        <v>46278</v>
      </c>
      <c r="C4106" t="n">
        <v>16</v>
      </c>
      <c r="D4106" t="inlineStr">
        <is>
          <t>Sunday</t>
        </is>
      </c>
      <c r="E4106" t="n">
        <v>45</v>
      </c>
      <c r="F4106" t="b">
        <v>0</v>
      </c>
      <c r="G4106" t="inlineStr">
        <is>
          <t>Light</t>
        </is>
      </c>
      <c r="H4106" t="b">
        <v>0</v>
      </c>
    </row>
    <row r="4107">
      <c r="A4107" t="inlineStr">
        <is>
          <t>S017</t>
        </is>
      </c>
      <c r="B4107" s="3" t="n">
        <v>46278</v>
      </c>
      <c r="C4107" t="n">
        <v>17</v>
      </c>
      <c r="D4107" t="inlineStr">
        <is>
          <t>Sunday</t>
        </is>
      </c>
      <c r="E4107" t="n">
        <v>42</v>
      </c>
      <c r="F4107" t="b">
        <v>0</v>
      </c>
      <c r="G4107" t="inlineStr">
        <is>
          <t>Light</t>
        </is>
      </c>
      <c r="H4107" t="b">
        <v>0</v>
      </c>
    </row>
    <row r="4108">
      <c r="A4108" t="inlineStr">
        <is>
          <t>S017</t>
        </is>
      </c>
      <c r="B4108" s="3" t="n">
        <v>46278</v>
      </c>
      <c r="C4108" t="n">
        <v>18</v>
      </c>
      <c r="D4108" t="inlineStr">
        <is>
          <t>Sunday</t>
        </is>
      </c>
      <c r="E4108" t="n">
        <v>35</v>
      </c>
      <c r="F4108" t="b">
        <v>0</v>
      </c>
      <c r="G4108" t="inlineStr">
        <is>
          <t>Light</t>
        </is>
      </c>
      <c r="H4108" t="b">
        <v>0</v>
      </c>
    </row>
    <row r="4109">
      <c r="A4109" t="inlineStr">
        <is>
          <t>S017</t>
        </is>
      </c>
      <c r="B4109" s="3" t="n">
        <v>46278</v>
      </c>
      <c r="C4109" t="n">
        <v>19</v>
      </c>
      <c r="D4109" t="inlineStr">
        <is>
          <t>Sunday</t>
        </is>
      </c>
      <c r="E4109" t="n">
        <v>61</v>
      </c>
      <c r="F4109" t="b">
        <v>1</v>
      </c>
      <c r="H4109" t="b">
        <v>0</v>
      </c>
    </row>
    <row r="4110">
      <c r="A4110" t="inlineStr">
        <is>
          <t>S017</t>
        </is>
      </c>
      <c r="B4110" s="3" t="n">
        <v>46278</v>
      </c>
      <c r="C4110" t="n">
        <v>20</v>
      </c>
      <c r="D4110" t="inlineStr">
        <is>
          <t>Sunday</t>
        </is>
      </c>
      <c r="E4110" t="n">
        <v>53</v>
      </c>
      <c r="F4110" t="b">
        <v>1</v>
      </c>
      <c r="H4110" t="b">
        <v>0</v>
      </c>
    </row>
    <row r="4111">
      <c r="A4111" t="inlineStr">
        <is>
          <t>S017</t>
        </is>
      </c>
      <c r="B4111" s="3" t="n">
        <v>46278</v>
      </c>
      <c r="C4111" t="n">
        <v>21</v>
      </c>
      <c r="D4111" t="inlineStr">
        <is>
          <t>Sunday</t>
        </is>
      </c>
      <c r="E4111" t="n">
        <v>57</v>
      </c>
      <c r="F4111" t="b">
        <v>1</v>
      </c>
      <c r="H4111" t="b">
        <v>0</v>
      </c>
    </row>
    <row r="4112">
      <c r="A4112" t="inlineStr">
        <is>
          <t>S017</t>
        </is>
      </c>
      <c r="B4112" s="3" t="n">
        <v>46278</v>
      </c>
      <c r="C4112" t="n">
        <v>22</v>
      </c>
      <c r="D4112" t="inlineStr">
        <is>
          <t>Sunday</t>
        </is>
      </c>
      <c r="E4112" t="n">
        <v>43</v>
      </c>
      <c r="F4112" t="b">
        <v>0</v>
      </c>
      <c r="H4112" t="b">
        <v>0</v>
      </c>
    </row>
    <row r="4113">
      <c r="A4113" t="inlineStr">
        <is>
          <t>S017</t>
        </is>
      </c>
      <c r="B4113" s="3" t="n">
        <v>46278</v>
      </c>
      <c r="C4113" t="n">
        <v>23</v>
      </c>
      <c r="D4113" t="inlineStr">
        <is>
          <t>Sunday</t>
        </is>
      </c>
      <c r="E4113" t="n">
        <v>48</v>
      </c>
      <c r="F4113" t="b">
        <v>0</v>
      </c>
      <c r="G4113" t="inlineStr">
        <is>
          <t>Light</t>
        </is>
      </c>
      <c r="H4113" t="b">
        <v>0</v>
      </c>
    </row>
    <row r="4114">
      <c r="A4114" t="inlineStr">
        <is>
          <t>S018</t>
        </is>
      </c>
      <c r="B4114" s="3" t="n">
        <v>46278</v>
      </c>
      <c r="C4114" t="n">
        <v>8</v>
      </c>
      <c r="D4114" t="inlineStr">
        <is>
          <t>Sunday</t>
        </is>
      </c>
      <c r="E4114" t="n">
        <v>11</v>
      </c>
      <c r="F4114" t="b">
        <v>0</v>
      </c>
      <c r="H4114" t="b">
        <v>0</v>
      </c>
    </row>
    <row r="4115">
      <c r="A4115" t="inlineStr">
        <is>
          <t>S018</t>
        </is>
      </c>
      <c r="B4115" s="3" t="n">
        <v>46278</v>
      </c>
      <c r="C4115" t="n">
        <v>9</v>
      </c>
      <c r="D4115" t="inlineStr">
        <is>
          <t>Sunday</t>
        </is>
      </c>
      <c r="E4115" t="n">
        <v>20</v>
      </c>
      <c r="F4115" t="b">
        <v>0</v>
      </c>
      <c r="H4115" t="b">
        <v>0</v>
      </c>
    </row>
    <row r="4116">
      <c r="A4116" t="inlineStr">
        <is>
          <t>S018</t>
        </is>
      </c>
      <c r="B4116" s="3" t="n">
        <v>46278</v>
      </c>
      <c r="C4116" t="n">
        <v>10</v>
      </c>
      <c r="D4116" t="inlineStr">
        <is>
          <t>Sunday</t>
        </is>
      </c>
      <c r="E4116" t="n">
        <v>14</v>
      </c>
      <c r="F4116" t="b">
        <v>0</v>
      </c>
      <c r="H4116" t="b">
        <v>0</v>
      </c>
    </row>
    <row r="4117">
      <c r="A4117" t="inlineStr">
        <is>
          <t>S018</t>
        </is>
      </c>
      <c r="B4117" s="3" t="n">
        <v>46278</v>
      </c>
      <c r="C4117" t="n">
        <v>11</v>
      </c>
      <c r="D4117" t="inlineStr">
        <is>
          <t>Sunday</t>
        </is>
      </c>
      <c r="E4117" t="n">
        <v>23</v>
      </c>
      <c r="F4117" t="b">
        <v>0</v>
      </c>
      <c r="H4117" t="b">
        <v>0</v>
      </c>
    </row>
    <row r="4118">
      <c r="A4118" t="inlineStr">
        <is>
          <t>S018</t>
        </is>
      </c>
      <c r="B4118" s="3" t="n">
        <v>46278</v>
      </c>
      <c r="C4118" t="n">
        <v>12</v>
      </c>
      <c r="D4118" t="inlineStr">
        <is>
          <t>Sunday</t>
        </is>
      </c>
      <c r="E4118" t="n">
        <v>17</v>
      </c>
      <c r="F4118" t="b">
        <v>0</v>
      </c>
      <c r="H4118" t="b">
        <v>1</v>
      </c>
    </row>
    <row r="4119">
      <c r="A4119" t="inlineStr">
        <is>
          <t>S018</t>
        </is>
      </c>
      <c r="B4119" s="3" t="n">
        <v>46278</v>
      </c>
      <c r="C4119" t="n">
        <v>13</v>
      </c>
      <c r="D4119" t="inlineStr">
        <is>
          <t>Sunday</t>
        </is>
      </c>
      <c r="E4119" t="n">
        <v>18</v>
      </c>
      <c r="F4119" t="b">
        <v>0</v>
      </c>
      <c r="H4119" t="b">
        <v>0</v>
      </c>
    </row>
    <row r="4120">
      <c r="A4120" t="inlineStr">
        <is>
          <t>S018</t>
        </is>
      </c>
      <c r="B4120" s="3" t="n">
        <v>46278</v>
      </c>
      <c r="C4120" t="n">
        <v>14</v>
      </c>
      <c r="D4120" t="inlineStr">
        <is>
          <t>Sunday</t>
        </is>
      </c>
      <c r="E4120" t="n">
        <v>11</v>
      </c>
      <c r="F4120" t="b">
        <v>0</v>
      </c>
      <c r="H4120" t="b">
        <v>0</v>
      </c>
    </row>
    <row r="4121">
      <c r="A4121" t="inlineStr">
        <is>
          <t>S018</t>
        </is>
      </c>
      <c r="B4121" s="3" t="n">
        <v>46278</v>
      </c>
      <c r="C4121" t="n">
        <v>15</v>
      </c>
      <c r="D4121" t="inlineStr">
        <is>
          <t>Sunday</t>
        </is>
      </c>
      <c r="E4121" t="n">
        <v>17</v>
      </c>
      <c r="F4121" t="b">
        <v>0</v>
      </c>
      <c r="H4121" t="b">
        <v>0</v>
      </c>
    </row>
    <row r="4122">
      <c r="A4122" t="inlineStr">
        <is>
          <t>S018</t>
        </is>
      </c>
      <c r="B4122" s="3" t="n">
        <v>46278</v>
      </c>
      <c r="C4122" t="n">
        <v>16</v>
      </c>
      <c r="D4122" t="inlineStr">
        <is>
          <t>Sunday</t>
        </is>
      </c>
      <c r="E4122" t="n">
        <v>23</v>
      </c>
      <c r="F4122" t="b">
        <v>0</v>
      </c>
      <c r="G4122" t="inlineStr">
        <is>
          <t>Light</t>
        </is>
      </c>
      <c r="H4122" t="b">
        <v>0</v>
      </c>
    </row>
    <row r="4123">
      <c r="A4123" t="inlineStr">
        <is>
          <t>S018</t>
        </is>
      </c>
      <c r="B4123" s="3" t="n">
        <v>46278</v>
      </c>
      <c r="C4123" t="n">
        <v>17</v>
      </c>
      <c r="D4123" t="inlineStr">
        <is>
          <t>Sunday</t>
        </is>
      </c>
      <c r="E4123" t="n">
        <v>25</v>
      </c>
      <c r="F4123" t="b">
        <v>0</v>
      </c>
      <c r="H4123" t="b">
        <v>0</v>
      </c>
    </row>
    <row r="4124">
      <c r="A4124" t="inlineStr">
        <is>
          <t>S018</t>
        </is>
      </c>
      <c r="B4124" s="3" t="n">
        <v>46278</v>
      </c>
      <c r="C4124" t="n">
        <v>18</v>
      </c>
      <c r="D4124" t="inlineStr">
        <is>
          <t>Sunday</t>
        </is>
      </c>
      <c r="E4124" t="n">
        <v>21</v>
      </c>
      <c r="F4124" t="b">
        <v>0</v>
      </c>
      <c r="H4124" t="b">
        <v>0</v>
      </c>
    </row>
    <row r="4125">
      <c r="A4125" t="inlineStr">
        <is>
          <t>S018</t>
        </is>
      </c>
      <c r="B4125" s="3" t="n">
        <v>46278</v>
      </c>
      <c r="C4125" t="n">
        <v>19</v>
      </c>
      <c r="D4125" t="inlineStr">
        <is>
          <t>Sunday</t>
        </is>
      </c>
      <c r="E4125" t="n">
        <v>40</v>
      </c>
      <c r="F4125" t="b">
        <v>1</v>
      </c>
      <c r="H4125" t="b">
        <v>0</v>
      </c>
    </row>
    <row r="4126">
      <c r="A4126" t="inlineStr">
        <is>
          <t>S018</t>
        </is>
      </c>
      <c r="B4126" s="3" t="n">
        <v>46278</v>
      </c>
      <c r="C4126" t="n">
        <v>20</v>
      </c>
      <c r="D4126" t="inlineStr">
        <is>
          <t>Sunday</t>
        </is>
      </c>
      <c r="E4126" t="n">
        <v>31</v>
      </c>
      <c r="F4126" t="b">
        <v>1</v>
      </c>
      <c r="H4126" t="b">
        <v>0</v>
      </c>
    </row>
    <row r="4127">
      <c r="A4127" t="inlineStr">
        <is>
          <t>S018</t>
        </is>
      </c>
      <c r="B4127" s="3" t="n">
        <v>46278</v>
      </c>
      <c r="C4127" t="n">
        <v>21</v>
      </c>
      <c r="D4127" t="inlineStr">
        <is>
          <t>Sunday</t>
        </is>
      </c>
      <c r="E4127" t="n">
        <v>30</v>
      </c>
      <c r="F4127" t="b">
        <v>1</v>
      </c>
      <c r="H4127" t="b">
        <v>0</v>
      </c>
    </row>
    <row r="4128">
      <c r="A4128" t="inlineStr">
        <is>
          <t>S018</t>
        </is>
      </c>
      <c r="B4128" s="3" t="n">
        <v>46278</v>
      </c>
      <c r="C4128" t="n">
        <v>22</v>
      </c>
      <c r="D4128" t="inlineStr">
        <is>
          <t>Sunday</t>
        </is>
      </c>
      <c r="E4128" t="n">
        <v>25</v>
      </c>
      <c r="F4128" t="b">
        <v>0</v>
      </c>
      <c r="H4128" t="b">
        <v>0</v>
      </c>
    </row>
    <row r="4129">
      <c r="A4129" t="inlineStr">
        <is>
          <t>S018</t>
        </is>
      </c>
      <c r="B4129" s="3" t="n">
        <v>46278</v>
      </c>
      <c r="C4129" t="n">
        <v>23</v>
      </c>
      <c r="D4129" t="inlineStr">
        <is>
          <t>Sunday</t>
        </is>
      </c>
      <c r="E4129" t="n">
        <v>24</v>
      </c>
      <c r="F4129" t="b">
        <v>0</v>
      </c>
      <c r="G4129" t="inlineStr">
        <is>
          <t>Light</t>
        </is>
      </c>
      <c r="H4129" t="b">
        <v>0</v>
      </c>
    </row>
    <row r="4130">
      <c r="A4130" t="inlineStr">
        <is>
          <t>S019</t>
        </is>
      </c>
      <c r="B4130" s="3" t="n">
        <v>46278</v>
      </c>
      <c r="C4130" t="n">
        <v>8</v>
      </c>
      <c r="D4130" t="inlineStr">
        <is>
          <t>Sunday</t>
        </is>
      </c>
      <c r="E4130" t="n">
        <v>18</v>
      </c>
      <c r="F4130" t="b">
        <v>0</v>
      </c>
      <c r="H4130" t="b">
        <v>0</v>
      </c>
    </row>
    <row r="4131">
      <c r="A4131" t="inlineStr">
        <is>
          <t>S019</t>
        </is>
      </c>
      <c r="B4131" s="3" t="n">
        <v>46278</v>
      </c>
      <c r="C4131" t="n">
        <v>9</v>
      </c>
      <c r="D4131" t="inlineStr">
        <is>
          <t>Sunday</t>
        </is>
      </c>
      <c r="E4131" t="n">
        <v>11</v>
      </c>
      <c r="F4131" t="b">
        <v>0</v>
      </c>
      <c r="H4131" t="b">
        <v>0</v>
      </c>
    </row>
    <row r="4132">
      <c r="A4132" t="inlineStr">
        <is>
          <t>S019</t>
        </is>
      </c>
      <c r="B4132" s="3" t="n">
        <v>46278</v>
      </c>
      <c r="C4132" t="n">
        <v>10</v>
      </c>
      <c r="D4132" t="inlineStr">
        <is>
          <t>Sunday</t>
        </is>
      </c>
      <c r="E4132" t="n">
        <v>19</v>
      </c>
      <c r="F4132" t="b">
        <v>0</v>
      </c>
      <c r="H4132" t="b">
        <v>0</v>
      </c>
    </row>
    <row r="4133">
      <c r="A4133" t="inlineStr">
        <is>
          <t>S019</t>
        </is>
      </c>
      <c r="B4133" s="3" t="n">
        <v>46278</v>
      </c>
      <c r="C4133" t="n">
        <v>11</v>
      </c>
      <c r="D4133" t="inlineStr">
        <is>
          <t>Sunday</t>
        </is>
      </c>
      <c r="E4133" t="n">
        <v>18</v>
      </c>
      <c r="F4133" t="b">
        <v>0</v>
      </c>
      <c r="H4133" t="b">
        <v>0</v>
      </c>
    </row>
    <row r="4134">
      <c r="A4134" t="inlineStr">
        <is>
          <t>S019</t>
        </is>
      </c>
      <c r="B4134" s="3" t="n">
        <v>46278</v>
      </c>
      <c r="C4134" t="n">
        <v>12</v>
      </c>
      <c r="D4134" t="inlineStr">
        <is>
          <t>Sunday</t>
        </is>
      </c>
      <c r="E4134" t="n">
        <v>18</v>
      </c>
      <c r="F4134" t="b">
        <v>0</v>
      </c>
      <c r="H4134" t="b">
        <v>0</v>
      </c>
    </row>
    <row r="4135">
      <c r="A4135" t="inlineStr">
        <is>
          <t>S019</t>
        </is>
      </c>
      <c r="B4135" s="3" t="n">
        <v>46278</v>
      </c>
      <c r="C4135" t="n">
        <v>13</v>
      </c>
      <c r="D4135" t="inlineStr">
        <is>
          <t>Sunday</t>
        </is>
      </c>
      <c r="E4135" t="n">
        <v>21</v>
      </c>
      <c r="F4135" t="b">
        <v>0</v>
      </c>
      <c r="G4135" t="inlineStr">
        <is>
          <t>Light</t>
        </is>
      </c>
      <c r="H4135" t="b">
        <v>0</v>
      </c>
    </row>
    <row r="4136">
      <c r="A4136" t="inlineStr">
        <is>
          <t>S019</t>
        </is>
      </c>
      <c r="B4136" s="3" t="n">
        <v>46278</v>
      </c>
      <c r="C4136" t="n">
        <v>14</v>
      </c>
      <c r="D4136" t="inlineStr">
        <is>
          <t>Sunday</t>
        </is>
      </c>
      <c r="E4136" t="n">
        <v>16</v>
      </c>
      <c r="F4136" t="b">
        <v>0</v>
      </c>
      <c r="G4136" t="inlineStr">
        <is>
          <t>Light</t>
        </is>
      </c>
      <c r="H4136" t="b">
        <v>0</v>
      </c>
    </row>
    <row r="4137">
      <c r="A4137" t="inlineStr">
        <is>
          <t>S019</t>
        </is>
      </c>
      <c r="B4137" s="3" t="n">
        <v>46278</v>
      </c>
      <c r="C4137" t="n">
        <v>15</v>
      </c>
      <c r="D4137" t="inlineStr">
        <is>
          <t>Sunday</t>
        </is>
      </c>
      <c r="E4137" t="n">
        <v>18</v>
      </c>
      <c r="F4137" t="b">
        <v>0</v>
      </c>
      <c r="H4137" t="b">
        <v>0</v>
      </c>
    </row>
    <row r="4138">
      <c r="A4138" t="inlineStr">
        <is>
          <t>S019</t>
        </is>
      </c>
      <c r="B4138" s="3" t="n">
        <v>46278</v>
      </c>
      <c r="C4138" t="n">
        <v>16</v>
      </c>
      <c r="D4138" t="inlineStr">
        <is>
          <t>Sunday</t>
        </is>
      </c>
      <c r="E4138" t="n">
        <v>19</v>
      </c>
      <c r="F4138" t="b">
        <v>0</v>
      </c>
      <c r="H4138" t="b">
        <v>0</v>
      </c>
    </row>
    <row r="4139">
      <c r="A4139" t="inlineStr">
        <is>
          <t>S019</t>
        </is>
      </c>
      <c r="B4139" s="3" t="n">
        <v>46278</v>
      </c>
      <c r="C4139" t="n">
        <v>17</v>
      </c>
      <c r="D4139" t="inlineStr">
        <is>
          <t>Sunday</t>
        </is>
      </c>
      <c r="E4139" t="n">
        <v>20</v>
      </c>
      <c r="F4139" t="b">
        <v>0</v>
      </c>
      <c r="H4139" t="b">
        <v>0</v>
      </c>
    </row>
    <row r="4140">
      <c r="A4140" t="inlineStr">
        <is>
          <t>S019</t>
        </is>
      </c>
      <c r="B4140" s="3" t="n">
        <v>46278</v>
      </c>
      <c r="C4140" t="n">
        <v>18</v>
      </c>
      <c r="D4140" t="inlineStr">
        <is>
          <t>Sunday</t>
        </is>
      </c>
      <c r="E4140" t="n">
        <v>28</v>
      </c>
      <c r="F4140" t="b">
        <v>0</v>
      </c>
      <c r="G4140" t="inlineStr">
        <is>
          <t>Light</t>
        </is>
      </c>
      <c r="H4140" t="b">
        <v>0</v>
      </c>
    </row>
    <row r="4141">
      <c r="A4141" t="inlineStr">
        <is>
          <t>S019</t>
        </is>
      </c>
      <c r="B4141" s="3" t="n">
        <v>46278</v>
      </c>
      <c r="C4141" t="n">
        <v>19</v>
      </c>
      <c r="D4141" t="inlineStr">
        <is>
          <t>Sunday</t>
        </is>
      </c>
      <c r="E4141" t="n">
        <v>36</v>
      </c>
      <c r="F4141" t="b">
        <v>1</v>
      </c>
      <c r="H4141" t="b">
        <v>0</v>
      </c>
    </row>
    <row r="4142">
      <c r="A4142" t="inlineStr">
        <is>
          <t>S019</t>
        </is>
      </c>
      <c r="B4142" s="3" t="n">
        <v>46278</v>
      </c>
      <c r="C4142" t="n">
        <v>20</v>
      </c>
      <c r="D4142" t="inlineStr">
        <is>
          <t>Sunday</t>
        </is>
      </c>
      <c r="E4142" t="n">
        <v>40</v>
      </c>
      <c r="F4142" t="b">
        <v>1</v>
      </c>
      <c r="H4142" t="b">
        <v>0</v>
      </c>
    </row>
    <row r="4143">
      <c r="A4143" t="inlineStr">
        <is>
          <t>S019</t>
        </is>
      </c>
      <c r="B4143" s="3" t="n">
        <v>46278</v>
      </c>
      <c r="C4143" t="n">
        <v>21</v>
      </c>
      <c r="D4143" t="inlineStr">
        <is>
          <t>Sunday</t>
        </is>
      </c>
      <c r="E4143" t="n">
        <v>31</v>
      </c>
      <c r="F4143" t="b">
        <v>1</v>
      </c>
      <c r="H4143" t="b">
        <v>0</v>
      </c>
    </row>
    <row r="4144">
      <c r="A4144" t="inlineStr">
        <is>
          <t>S019</t>
        </is>
      </c>
      <c r="B4144" s="3" t="n">
        <v>46278</v>
      </c>
      <c r="C4144" t="n">
        <v>22</v>
      </c>
      <c r="D4144" t="inlineStr">
        <is>
          <t>Sunday</t>
        </is>
      </c>
      <c r="E4144" t="n">
        <v>16</v>
      </c>
      <c r="F4144" t="b">
        <v>0</v>
      </c>
      <c r="H4144" t="b">
        <v>0</v>
      </c>
    </row>
    <row r="4145">
      <c r="A4145" t="inlineStr">
        <is>
          <t>S019</t>
        </is>
      </c>
      <c r="B4145" s="3" t="n">
        <v>46278</v>
      </c>
      <c r="C4145" t="n">
        <v>23</v>
      </c>
      <c r="D4145" t="inlineStr">
        <is>
          <t>Sunday</t>
        </is>
      </c>
      <c r="E4145" t="n">
        <v>26</v>
      </c>
      <c r="F4145" t="b">
        <v>0</v>
      </c>
      <c r="G4145" t="inlineStr">
        <is>
          <t>Light</t>
        </is>
      </c>
      <c r="H4145" t="b">
        <v>0</v>
      </c>
    </row>
    <row r="4146">
      <c r="A4146" t="inlineStr">
        <is>
          <t>S020</t>
        </is>
      </c>
      <c r="B4146" s="3" t="n">
        <v>46278</v>
      </c>
      <c r="C4146" t="n">
        <v>8</v>
      </c>
      <c r="D4146" t="inlineStr">
        <is>
          <t>Sunday</t>
        </is>
      </c>
      <c r="E4146" t="n">
        <v>10</v>
      </c>
      <c r="F4146" t="b">
        <v>0</v>
      </c>
      <c r="H4146" t="b">
        <v>0</v>
      </c>
    </row>
    <row r="4147">
      <c r="A4147" t="inlineStr">
        <is>
          <t>S020</t>
        </is>
      </c>
      <c r="B4147" s="3" t="n">
        <v>46278</v>
      </c>
      <c r="C4147" t="n">
        <v>9</v>
      </c>
      <c r="D4147" t="inlineStr">
        <is>
          <t>Sunday</t>
        </is>
      </c>
      <c r="E4147" t="n">
        <v>11</v>
      </c>
      <c r="F4147" t="b">
        <v>0</v>
      </c>
      <c r="H4147" t="b">
        <v>0</v>
      </c>
    </row>
    <row r="4148">
      <c r="A4148" t="inlineStr">
        <is>
          <t>S020</t>
        </is>
      </c>
      <c r="B4148" s="3" t="n">
        <v>46278</v>
      </c>
      <c r="C4148" t="n">
        <v>10</v>
      </c>
      <c r="D4148" t="inlineStr">
        <is>
          <t>Sunday</t>
        </is>
      </c>
      <c r="E4148" t="n">
        <v>12</v>
      </c>
      <c r="F4148" t="b">
        <v>0</v>
      </c>
      <c r="G4148" t="inlineStr">
        <is>
          <t>Heavy</t>
        </is>
      </c>
      <c r="H4148" t="b">
        <v>0</v>
      </c>
    </row>
    <row r="4149">
      <c r="A4149" t="inlineStr">
        <is>
          <t>S020</t>
        </is>
      </c>
      <c r="B4149" s="3" t="n">
        <v>46278</v>
      </c>
      <c r="C4149" t="n">
        <v>11</v>
      </c>
      <c r="D4149" t="inlineStr">
        <is>
          <t>Sunday</t>
        </is>
      </c>
      <c r="E4149" t="n">
        <v>19</v>
      </c>
      <c r="F4149" t="b">
        <v>0</v>
      </c>
      <c r="H4149" t="b">
        <v>0</v>
      </c>
    </row>
    <row r="4150">
      <c r="A4150" t="inlineStr">
        <is>
          <t>S020</t>
        </is>
      </c>
      <c r="B4150" s="3" t="n">
        <v>46278</v>
      </c>
      <c r="C4150" t="n">
        <v>12</v>
      </c>
      <c r="D4150" t="inlineStr">
        <is>
          <t>Sunday</t>
        </is>
      </c>
      <c r="E4150" t="n">
        <v>20</v>
      </c>
      <c r="F4150" t="b">
        <v>0</v>
      </c>
      <c r="H4150" t="b">
        <v>0</v>
      </c>
    </row>
    <row r="4151">
      <c r="A4151" t="inlineStr">
        <is>
          <t>S020</t>
        </is>
      </c>
      <c r="B4151" s="3" t="n">
        <v>46278</v>
      </c>
      <c r="C4151" t="n">
        <v>13</v>
      </c>
      <c r="D4151" t="inlineStr">
        <is>
          <t>Sunday</t>
        </is>
      </c>
      <c r="E4151" t="n">
        <v>14</v>
      </c>
      <c r="F4151" t="b">
        <v>0</v>
      </c>
      <c r="H4151" t="b">
        <v>0</v>
      </c>
    </row>
    <row r="4152">
      <c r="A4152" t="inlineStr">
        <is>
          <t>S020</t>
        </is>
      </c>
      <c r="B4152" s="3" t="n">
        <v>46278</v>
      </c>
      <c r="C4152" t="n">
        <v>14</v>
      </c>
      <c r="D4152" t="inlineStr">
        <is>
          <t>Sunday</t>
        </is>
      </c>
      <c r="E4152" t="n">
        <v>17</v>
      </c>
      <c r="F4152" t="b">
        <v>0</v>
      </c>
      <c r="H4152" t="b">
        <v>0</v>
      </c>
    </row>
    <row r="4153">
      <c r="A4153" t="inlineStr">
        <is>
          <t>S020</t>
        </is>
      </c>
      <c r="B4153" s="3" t="n">
        <v>46278</v>
      </c>
      <c r="C4153" t="n">
        <v>15</v>
      </c>
      <c r="D4153" t="inlineStr">
        <is>
          <t>Sunday</t>
        </is>
      </c>
      <c r="E4153" t="n">
        <v>11</v>
      </c>
      <c r="F4153" t="b">
        <v>0</v>
      </c>
      <c r="H4153" t="b">
        <v>0</v>
      </c>
    </row>
    <row r="4154">
      <c r="A4154" t="inlineStr">
        <is>
          <t>S020</t>
        </is>
      </c>
      <c r="B4154" s="3" t="n">
        <v>46278</v>
      </c>
      <c r="C4154" t="n">
        <v>16</v>
      </c>
      <c r="D4154" t="inlineStr">
        <is>
          <t>Sunday</t>
        </is>
      </c>
      <c r="E4154" t="n">
        <v>16</v>
      </c>
      <c r="F4154" t="b">
        <v>0</v>
      </c>
      <c r="H4154" t="b">
        <v>0</v>
      </c>
    </row>
    <row r="4155">
      <c r="A4155" t="inlineStr">
        <is>
          <t>S020</t>
        </is>
      </c>
      <c r="B4155" s="3" t="n">
        <v>46278</v>
      </c>
      <c r="C4155" t="n">
        <v>17</v>
      </c>
      <c r="D4155" t="inlineStr">
        <is>
          <t>Sunday</t>
        </is>
      </c>
      <c r="E4155" t="n">
        <v>21</v>
      </c>
      <c r="F4155" t="b">
        <v>0</v>
      </c>
      <c r="H4155" t="b">
        <v>0</v>
      </c>
    </row>
    <row r="4156">
      <c r="A4156" t="inlineStr">
        <is>
          <t>S020</t>
        </is>
      </c>
      <c r="B4156" s="3" t="n">
        <v>46278</v>
      </c>
      <c r="C4156" t="n">
        <v>18</v>
      </c>
      <c r="D4156" t="inlineStr">
        <is>
          <t>Sunday</t>
        </is>
      </c>
      <c r="E4156" t="n">
        <v>12</v>
      </c>
      <c r="F4156" t="b">
        <v>0</v>
      </c>
      <c r="G4156" t="inlineStr">
        <is>
          <t>Heavy</t>
        </is>
      </c>
      <c r="H4156" t="b">
        <v>0</v>
      </c>
    </row>
    <row r="4157">
      <c r="A4157" t="inlineStr">
        <is>
          <t>S020</t>
        </is>
      </c>
      <c r="B4157" s="3" t="n">
        <v>46278</v>
      </c>
      <c r="C4157" t="n">
        <v>19</v>
      </c>
      <c r="D4157" t="inlineStr">
        <is>
          <t>Sunday</t>
        </is>
      </c>
      <c r="E4157" t="n">
        <v>23</v>
      </c>
      <c r="F4157" t="b">
        <v>1</v>
      </c>
      <c r="G4157" t="inlineStr">
        <is>
          <t>Light</t>
        </is>
      </c>
      <c r="H4157" t="b">
        <v>0</v>
      </c>
    </row>
    <row r="4158">
      <c r="A4158" t="inlineStr">
        <is>
          <t>S020</t>
        </is>
      </c>
      <c r="B4158" s="3" t="n">
        <v>46278</v>
      </c>
      <c r="C4158" t="n">
        <v>20</v>
      </c>
      <c r="D4158" t="inlineStr">
        <is>
          <t>Sunday</t>
        </is>
      </c>
      <c r="E4158" t="n">
        <v>37</v>
      </c>
      <c r="F4158" t="b">
        <v>1</v>
      </c>
      <c r="H4158" t="b">
        <v>0</v>
      </c>
    </row>
    <row r="4159">
      <c r="A4159" t="inlineStr">
        <is>
          <t>S020</t>
        </is>
      </c>
      <c r="B4159" s="3" t="n">
        <v>46278</v>
      </c>
      <c r="C4159" t="n">
        <v>21</v>
      </c>
      <c r="D4159" t="inlineStr">
        <is>
          <t>Sunday</t>
        </is>
      </c>
      <c r="E4159" t="n">
        <v>19</v>
      </c>
      <c r="F4159" t="b">
        <v>1</v>
      </c>
      <c r="H4159" t="b">
        <v>0</v>
      </c>
    </row>
    <row r="4160">
      <c r="A4160" t="inlineStr">
        <is>
          <t>S020</t>
        </is>
      </c>
      <c r="B4160" s="3" t="n">
        <v>46278</v>
      </c>
      <c r="C4160" t="n">
        <v>22</v>
      </c>
      <c r="D4160" t="inlineStr">
        <is>
          <t>Sunday</t>
        </is>
      </c>
      <c r="E4160" t="n">
        <v>28</v>
      </c>
      <c r="F4160" t="b">
        <v>0</v>
      </c>
      <c r="H4160" t="b">
        <v>0</v>
      </c>
    </row>
    <row r="4161">
      <c r="A4161" t="inlineStr">
        <is>
          <t>S020</t>
        </is>
      </c>
      <c r="B4161" s="3" t="n">
        <v>46278</v>
      </c>
      <c r="C4161" t="n">
        <v>23</v>
      </c>
      <c r="D4161" t="inlineStr">
        <is>
          <t>Sunday</t>
        </is>
      </c>
      <c r="E4161" t="n">
        <v>15</v>
      </c>
      <c r="F4161" t="b">
        <v>0</v>
      </c>
      <c r="H4161" t="b">
        <v>0</v>
      </c>
    </row>
    <row r="4162">
      <c r="A4162" t="inlineStr">
        <is>
          <t>S001</t>
        </is>
      </c>
      <c r="B4162" s="3" t="n">
        <v>46279</v>
      </c>
      <c r="C4162" t="n">
        <v>8</v>
      </c>
      <c r="D4162" t="inlineStr">
        <is>
          <t>Monday</t>
        </is>
      </c>
      <c r="E4162" t="n">
        <v>9</v>
      </c>
      <c r="F4162" t="b">
        <v>0</v>
      </c>
      <c r="H4162" t="b">
        <v>0</v>
      </c>
    </row>
    <row r="4163">
      <c r="A4163" t="inlineStr">
        <is>
          <t>S001</t>
        </is>
      </c>
      <c r="B4163" s="3" t="n">
        <v>46279</v>
      </c>
      <c r="C4163" t="n">
        <v>9</v>
      </c>
      <c r="D4163" t="inlineStr">
        <is>
          <t>Monday</t>
        </is>
      </c>
      <c r="E4163" t="n">
        <v>11</v>
      </c>
      <c r="F4163" t="b">
        <v>0</v>
      </c>
      <c r="H4163" t="b">
        <v>0</v>
      </c>
    </row>
    <row r="4164">
      <c r="A4164" t="inlineStr">
        <is>
          <t>S001</t>
        </is>
      </c>
      <c r="B4164" s="3" t="n">
        <v>46279</v>
      </c>
      <c r="C4164" t="n">
        <v>10</v>
      </c>
      <c r="D4164" t="inlineStr">
        <is>
          <t>Monday</t>
        </is>
      </c>
      <c r="E4164" t="n">
        <v>15</v>
      </c>
      <c r="F4164" t="b">
        <v>0</v>
      </c>
      <c r="G4164" t="inlineStr">
        <is>
          <t>Light</t>
        </is>
      </c>
      <c r="H4164" t="b">
        <v>0</v>
      </c>
    </row>
    <row r="4165">
      <c r="A4165" t="inlineStr">
        <is>
          <t>S001</t>
        </is>
      </c>
      <c r="B4165" s="3" t="n">
        <v>46279</v>
      </c>
      <c r="C4165" t="n">
        <v>11</v>
      </c>
      <c r="D4165" t="inlineStr">
        <is>
          <t>Monday</t>
        </is>
      </c>
      <c r="E4165" t="n">
        <v>20</v>
      </c>
      <c r="F4165" t="b">
        <v>0</v>
      </c>
      <c r="G4165" t="inlineStr">
        <is>
          <t>Heavy</t>
        </is>
      </c>
      <c r="H4165" t="b">
        <v>0</v>
      </c>
    </row>
    <row r="4166">
      <c r="A4166" t="inlineStr">
        <is>
          <t>S001</t>
        </is>
      </c>
      <c r="B4166" s="3" t="n">
        <v>46279</v>
      </c>
      <c r="C4166" t="n">
        <v>12</v>
      </c>
      <c r="D4166" t="inlineStr">
        <is>
          <t>Monday</t>
        </is>
      </c>
      <c r="E4166" t="n">
        <v>18</v>
      </c>
      <c r="F4166" t="b">
        <v>0</v>
      </c>
      <c r="G4166" t="inlineStr">
        <is>
          <t>Light</t>
        </is>
      </c>
      <c r="H4166" t="b">
        <v>1</v>
      </c>
    </row>
    <row r="4167">
      <c r="A4167" t="inlineStr">
        <is>
          <t>S001</t>
        </is>
      </c>
      <c r="B4167" s="3" t="n">
        <v>46279</v>
      </c>
      <c r="C4167" t="n">
        <v>13</v>
      </c>
      <c r="D4167" t="inlineStr">
        <is>
          <t>Monday</t>
        </is>
      </c>
      <c r="E4167" t="n">
        <v>22</v>
      </c>
      <c r="F4167" t="b">
        <v>0</v>
      </c>
      <c r="G4167" t="inlineStr">
        <is>
          <t>Light</t>
        </is>
      </c>
      <c r="H4167" t="b">
        <v>0</v>
      </c>
    </row>
    <row r="4168">
      <c r="A4168" t="inlineStr">
        <is>
          <t>S001</t>
        </is>
      </c>
      <c r="B4168" s="3" t="n">
        <v>46279</v>
      </c>
      <c r="C4168" t="n">
        <v>14</v>
      </c>
      <c r="D4168" t="inlineStr">
        <is>
          <t>Monday</t>
        </is>
      </c>
      <c r="E4168" t="n">
        <v>8</v>
      </c>
      <c r="F4168" t="b">
        <v>0</v>
      </c>
      <c r="G4168" t="inlineStr">
        <is>
          <t>Light</t>
        </is>
      </c>
      <c r="H4168" t="b">
        <v>0</v>
      </c>
    </row>
    <row r="4169">
      <c r="A4169" t="inlineStr">
        <is>
          <t>S001</t>
        </is>
      </c>
      <c r="B4169" s="3" t="n">
        <v>46279</v>
      </c>
      <c r="C4169" t="n">
        <v>15</v>
      </c>
      <c r="D4169" t="inlineStr">
        <is>
          <t>Monday</t>
        </is>
      </c>
      <c r="E4169" t="n">
        <v>11</v>
      </c>
      <c r="F4169" t="b">
        <v>0</v>
      </c>
      <c r="H4169" t="b">
        <v>1</v>
      </c>
    </row>
    <row r="4170">
      <c r="A4170" t="inlineStr">
        <is>
          <t>S001</t>
        </is>
      </c>
      <c r="B4170" s="3" t="n">
        <v>46279</v>
      </c>
      <c r="C4170" t="n">
        <v>16</v>
      </c>
      <c r="D4170" t="inlineStr">
        <is>
          <t>Monday</t>
        </is>
      </c>
      <c r="E4170" t="n">
        <v>8</v>
      </c>
      <c r="F4170" t="b">
        <v>0</v>
      </c>
      <c r="H4170" t="b">
        <v>0</v>
      </c>
    </row>
    <row r="4171">
      <c r="A4171" t="inlineStr">
        <is>
          <t>S001</t>
        </is>
      </c>
      <c r="B4171" s="3" t="n">
        <v>46279</v>
      </c>
      <c r="C4171" t="n">
        <v>17</v>
      </c>
      <c r="D4171" t="inlineStr">
        <is>
          <t>Monday</t>
        </is>
      </c>
      <c r="E4171" t="n">
        <v>17</v>
      </c>
      <c r="F4171" t="b">
        <v>0</v>
      </c>
      <c r="H4171" t="b">
        <v>0</v>
      </c>
    </row>
    <row r="4172">
      <c r="A4172" t="inlineStr">
        <is>
          <t>S001</t>
        </is>
      </c>
      <c r="B4172" s="3" t="n">
        <v>46279</v>
      </c>
      <c r="C4172" t="n">
        <v>18</v>
      </c>
      <c r="D4172" t="inlineStr">
        <is>
          <t>Monday</t>
        </is>
      </c>
      <c r="E4172" t="n">
        <v>21</v>
      </c>
      <c r="F4172" t="b">
        <v>0</v>
      </c>
      <c r="H4172" t="b">
        <v>0</v>
      </c>
    </row>
    <row r="4173">
      <c r="A4173" t="inlineStr">
        <is>
          <t>S001</t>
        </is>
      </c>
      <c r="B4173" s="3" t="n">
        <v>46279</v>
      </c>
      <c r="C4173" t="n">
        <v>19</v>
      </c>
      <c r="D4173" t="inlineStr">
        <is>
          <t>Monday</t>
        </is>
      </c>
      <c r="E4173" t="n">
        <v>20</v>
      </c>
      <c r="F4173" t="b">
        <v>1</v>
      </c>
      <c r="H4173" t="b">
        <v>0</v>
      </c>
    </row>
    <row r="4174">
      <c r="A4174" t="inlineStr">
        <is>
          <t>S001</t>
        </is>
      </c>
      <c r="B4174" s="3" t="n">
        <v>46279</v>
      </c>
      <c r="C4174" t="n">
        <v>20</v>
      </c>
      <c r="D4174" t="inlineStr">
        <is>
          <t>Monday</t>
        </is>
      </c>
      <c r="E4174" t="n">
        <v>20</v>
      </c>
      <c r="F4174" t="b">
        <v>1</v>
      </c>
      <c r="H4174" t="b">
        <v>0</v>
      </c>
    </row>
    <row r="4175">
      <c r="A4175" t="inlineStr">
        <is>
          <t>S001</t>
        </is>
      </c>
      <c r="B4175" s="3" t="n">
        <v>46279</v>
      </c>
      <c r="C4175" t="n">
        <v>21</v>
      </c>
      <c r="D4175" t="inlineStr">
        <is>
          <t>Monday</t>
        </is>
      </c>
      <c r="E4175" t="n">
        <v>21</v>
      </c>
      <c r="F4175" t="b">
        <v>1</v>
      </c>
      <c r="H4175" t="b">
        <v>0</v>
      </c>
    </row>
    <row r="4176">
      <c r="A4176" t="inlineStr">
        <is>
          <t>S001</t>
        </is>
      </c>
      <c r="B4176" s="3" t="n">
        <v>46279</v>
      </c>
      <c r="C4176" t="n">
        <v>22</v>
      </c>
      <c r="D4176" t="inlineStr">
        <is>
          <t>Monday</t>
        </is>
      </c>
      <c r="E4176" t="n">
        <v>15</v>
      </c>
      <c r="F4176" t="b">
        <v>0</v>
      </c>
      <c r="G4176" t="inlineStr">
        <is>
          <t>Heavy</t>
        </is>
      </c>
      <c r="H4176" t="b">
        <v>0</v>
      </c>
    </row>
    <row r="4177">
      <c r="A4177" t="inlineStr">
        <is>
          <t>S001</t>
        </is>
      </c>
      <c r="B4177" s="3" t="n">
        <v>46279</v>
      </c>
      <c r="C4177" t="n">
        <v>23</v>
      </c>
      <c r="D4177" t="inlineStr">
        <is>
          <t>Monday</t>
        </is>
      </c>
      <c r="E4177" t="n">
        <v>11</v>
      </c>
      <c r="F4177" t="b">
        <v>0</v>
      </c>
      <c r="H4177" t="b">
        <v>0</v>
      </c>
    </row>
    <row r="4178">
      <c r="A4178" t="inlineStr">
        <is>
          <t>S002</t>
        </is>
      </c>
      <c r="B4178" s="3" t="n">
        <v>46279</v>
      </c>
      <c r="C4178" t="n">
        <v>8</v>
      </c>
      <c r="D4178" t="inlineStr">
        <is>
          <t>Monday</t>
        </is>
      </c>
      <c r="E4178" t="n">
        <v>11</v>
      </c>
      <c r="F4178" t="b">
        <v>0</v>
      </c>
      <c r="H4178" t="b">
        <v>0</v>
      </c>
    </row>
    <row r="4179">
      <c r="A4179" t="inlineStr">
        <is>
          <t>S002</t>
        </is>
      </c>
      <c r="B4179" s="3" t="n">
        <v>46279</v>
      </c>
      <c r="C4179" t="n">
        <v>9</v>
      </c>
      <c r="D4179" t="inlineStr">
        <is>
          <t>Monday</t>
        </is>
      </c>
      <c r="E4179" t="n">
        <v>20</v>
      </c>
      <c r="F4179" t="b">
        <v>0</v>
      </c>
      <c r="H4179" t="b">
        <v>0</v>
      </c>
    </row>
    <row r="4180">
      <c r="A4180" t="inlineStr">
        <is>
          <t>S002</t>
        </is>
      </c>
      <c r="B4180" s="3" t="n">
        <v>46279</v>
      </c>
      <c r="C4180" t="n">
        <v>10</v>
      </c>
      <c r="D4180" t="inlineStr">
        <is>
          <t>Monday</t>
        </is>
      </c>
      <c r="E4180" t="n">
        <v>21</v>
      </c>
      <c r="F4180" t="b">
        <v>0</v>
      </c>
      <c r="G4180" t="inlineStr">
        <is>
          <t>Light</t>
        </is>
      </c>
      <c r="H4180" t="b">
        <v>0</v>
      </c>
    </row>
    <row r="4181">
      <c r="A4181" t="inlineStr">
        <is>
          <t>S002</t>
        </is>
      </c>
      <c r="B4181" s="3" t="n">
        <v>46279</v>
      </c>
      <c r="C4181" t="n">
        <v>11</v>
      </c>
      <c r="D4181" t="inlineStr">
        <is>
          <t>Monday</t>
        </is>
      </c>
      <c r="E4181" t="n">
        <v>38</v>
      </c>
      <c r="F4181" t="b">
        <v>0</v>
      </c>
      <c r="H4181" t="b">
        <v>0</v>
      </c>
    </row>
    <row r="4182">
      <c r="A4182" t="inlineStr">
        <is>
          <t>S002</t>
        </is>
      </c>
      <c r="B4182" s="3" t="n">
        <v>46279</v>
      </c>
      <c r="C4182" t="n">
        <v>12</v>
      </c>
      <c r="D4182" t="inlineStr">
        <is>
          <t>Monday</t>
        </is>
      </c>
      <c r="E4182" t="n">
        <v>18</v>
      </c>
      <c r="F4182" t="b">
        <v>0</v>
      </c>
      <c r="H4182" t="b">
        <v>0</v>
      </c>
    </row>
    <row r="4183">
      <c r="A4183" t="inlineStr">
        <is>
          <t>S002</t>
        </is>
      </c>
      <c r="B4183" s="3" t="n">
        <v>46279</v>
      </c>
      <c r="C4183" t="n">
        <v>13</v>
      </c>
      <c r="D4183" t="inlineStr">
        <is>
          <t>Monday</t>
        </is>
      </c>
      <c r="E4183" t="n">
        <v>26</v>
      </c>
      <c r="F4183" t="b">
        <v>0</v>
      </c>
      <c r="H4183" t="b">
        <v>0</v>
      </c>
    </row>
    <row r="4184">
      <c r="A4184" t="inlineStr">
        <is>
          <t>S002</t>
        </is>
      </c>
      <c r="B4184" s="3" t="n">
        <v>46279</v>
      </c>
      <c r="C4184" t="n">
        <v>14</v>
      </c>
      <c r="D4184" t="inlineStr">
        <is>
          <t>Monday</t>
        </is>
      </c>
      <c r="E4184" t="n">
        <v>22</v>
      </c>
      <c r="F4184" t="b">
        <v>0</v>
      </c>
      <c r="G4184" t="inlineStr">
        <is>
          <t>Light</t>
        </is>
      </c>
      <c r="H4184" t="b">
        <v>0</v>
      </c>
    </row>
    <row r="4185">
      <c r="A4185" t="inlineStr">
        <is>
          <t>S002</t>
        </is>
      </c>
      <c r="B4185" s="3" t="n">
        <v>46279</v>
      </c>
      <c r="C4185" t="n">
        <v>15</v>
      </c>
      <c r="D4185" t="inlineStr">
        <is>
          <t>Monday</t>
        </is>
      </c>
      <c r="E4185" t="n">
        <v>22</v>
      </c>
      <c r="F4185" t="b">
        <v>0</v>
      </c>
      <c r="H4185" t="b">
        <v>0</v>
      </c>
    </row>
    <row r="4186">
      <c r="A4186" t="inlineStr">
        <is>
          <t>S002</t>
        </is>
      </c>
      <c r="B4186" s="3" t="n">
        <v>46279</v>
      </c>
      <c r="C4186" t="n">
        <v>16</v>
      </c>
      <c r="D4186" t="inlineStr">
        <is>
          <t>Monday</t>
        </is>
      </c>
      <c r="E4186" t="n">
        <v>33</v>
      </c>
      <c r="F4186" t="b">
        <v>0</v>
      </c>
      <c r="G4186" t="inlineStr">
        <is>
          <t>Light</t>
        </is>
      </c>
      <c r="H4186" t="b">
        <v>0</v>
      </c>
    </row>
    <row r="4187">
      <c r="A4187" t="inlineStr">
        <is>
          <t>S002</t>
        </is>
      </c>
      <c r="B4187" s="3" t="n">
        <v>46279</v>
      </c>
      <c r="C4187" t="n">
        <v>17</v>
      </c>
      <c r="D4187" t="inlineStr">
        <is>
          <t>Monday</t>
        </is>
      </c>
      <c r="E4187" t="n">
        <v>34</v>
      </c>
      <c r="F4187" t="b">
        <v>0</v>
      </c>
      <c r="H4187" t="b">
        <v>0</v>
      </c>
    </row>
    <row r="4188">
      <c r="A4188" t="inlineStr">
        <is>
          <t>S002</t>
        </is>
      </c>
      <c r="B4188" s="3" t="n">
        <v>46279</v>
      </c>
      <c r="C4188" t="n">
        <v>18</v>
      </c>
      <c r="D4188" t="inlineStr">
        <is>
          <t>Monday</t>
        </is>
      </c>
      <c r="E4188" t="n">
        <v>29</v>
      </c>
      <c r="F4188" t="b">
        <v>0</v>
      </c>
      <c r="H4188" t="b">
        <v>0</v>
      </c>
    </row>
    <row r="4189">
      <c r="A4189" t="inlineStr">
        <is>
          <t>S002</t>
        </is>
      </c>
      <c r="B4189" s="3" t="n">
        <v>46279</v>
      </c>
      <c r="C4189" t="n">
        <v>19</v>
      </c>
      <c r="D4189" t="inlineStr">
        <is>
          <t>Monday</t>
        </is>
      </c>
      <c r="E4189" t="n">
        <v>50</v>
      </c>
      <c r="F4189" t="b">
        <v>1</v>
      </c>
      <c r="H4189" t="b">
        <v>0</v>
      </c>
    </row>
    <row r="4190">
      <c r="A4190" t="inlineStr">
        <is>
          <t>S002</t>
        </is>
      </c>
      <c r="B4190" s="3" t="n">
        <v>46279</v>
      </c>
      <c r="C4190" t="n">
        <v>20</v>
      </c>
      <c r="D4190" t="inlineStr">
        <is>
          <t>Monday</t>
        </is>
      </c>
      <c r="E4190" t="n">
        <v>54</v>
      </c>
      <c r="F4190" t="b">
        <v>1</v>
      </c>
      <c r="G4190" t="inlineStr">
        <is>
          <t>Light</t>
        </is>
      </c>
      <c r="H4190" t="b">
        <v>0</v>
      </c>
    </row>
    <row r="4191">
      <c r="A4191" t="inlineStr">
        <is>
          <t>S002</t>
        </is>
      </c>
      <c r="B4191" s="3" t="n">
        <v>46279</v>
      </c>
      <c r="C4191" t="n">
        <v>21</v>
      </c>
      <c r="D4191" t="inlineStr">
        <is>
          <t>Monday</t>
        </is>
      </c>
      <c r="E4191" t="n">
        <v>49</v>
      </c>
      <c r="F4191" t="b">
        <v>1</v>
      </c>
      <c r="G4191" t="inlineStr">
        <is>
          <t>Light</t>
        </is>
      </c>
      <c r="H4191" t="b">
        <v>0</v>
      </c>
    </row>
    <row r="4192">
      <c r="A4192" t="inlineStr">
        <is>
          <t>S002</t>
        </is>
      </c>
      <c r="B4192" s="3" t="n">
        <v>46279</v>
      </c>
      <c r="C4192" t="n">
        <v>22</v>
      </c>
      <c r="D4192" t="inlineStr">
        <is>
          <t>Monday</t>
        </is>
      </c>
      <c r="E4192" t="n">
        <v>37</v>
      </c>
      <c r="F4192" t="b">
        <v>0</v>
      </c>
      <c r="H4192" t="b">
        <v>1</v>
      </c>
    </row>
    <row r="4193">
      <c r="A4193" t="inlineStr">
        <is>
          <t>S002</t>
        </is>
      </c>
      <c r="B4193" s="3" t="n">
        <v>46279</v>
      </c>
      <c r="C4193" t="n">
        <v>23</v>
      </c>
      <c r="D4193" t="inlineStr">
        <is>
          <t>Monday</t>
        </is>
      </c>
      <c r="E4193" t="n">
        <v>32</v>
      </c>
      <c r="F4193" t="b">
        <v>0</v>
      </c>
      <c r="G4193" t="inlineStr">
        <is>
          <t>Light</t>
        </is>
      </c>
      <c r="H4193" t="b">
        <v>0</v>
      </c>
    </row>
    <row r="4194">
      <c r="A4194" t="inlineStr">
        <is>
          <t>S003</t>
        </is>
      </c>
      <c r="B4194" s="3" t="n">
        <v>46279</v>
      </c>
      <c r="C4194" t="n">
        <v>8</v>
      </c>
      <c r="D4194" t="inlineStr">
        <is>
          <t>Monday</t>
        </is>
      </c>
      <c r="E4194" t="n">
        <v>33</v>
      </c>
      <c r="F4194" t="b">
        <v>0</v>
      </c>
      <c r="G4194" t="inlineStr">
        <is>
          <t>Light</t>
        </is>
      </c>
      <c r="H4194" t="b">
        <v>0</v>
      </c>
    </row>
    <row r="4195">
      <c r="A4195" t="inlineStr">
        <is>
          <t>S003</t>
        </is>
      </c>
      <c r="B4195" s="3" t="n">
        <v>46279</v>
      </c>
      <c r="C4195" t="n">
        <v>9</v>
      </c>
      <c r="D4195" t="inlineStr">
        <is>
          <t>Monday</t>
        </is>
      </c>
      <c r="E4195" t="n">
        <v>30</v>
      </c>
      <c r="F4195" t="b">
        <v>0</v>
      </c>
      <c r="H4195" t="b">
        <v>0</v>
      </c>
    </row>
    <row r="4196">
      <c r="A4196" t="inlineStr">
        <is>
          <t>S003</t>
        </is>
      </c>
      <c r="B4196" s="3" t="n">
        <v>46279</v>
      </c>
      <c r="C4196" t="n">
        <v>10</v>
      </c>
      <c r="D4196" t="inlineStr">
        <is>
          <t>Monday</t>
        </is>
      </c>
      <c r="E4196" t="n">
        <v>16</v>
      </c>
      <c r="F4196" t="b">
        <v>0</v>
      </c>
      <c r="H4196" t="b">
        <v>0</v>
      </c>
    </row>
    <row r="4197">
      <c r="A4197" t="inlineStr">
        <is>
          <t>S003</t>
        </is>
      </c>
      <c r="B4197" s="3" t="n">
        <v>46279</v>
      </c>
      <c r="C4197" t="n">
        <v>11</v>
      </c>
      <c r="D4197" t="inlineStr">
        <is>
          <t>Monday</t>
        </is>
      </c>
      <c r="E4197" t="n">
        <v>38</v>
      </c>
      <c r="F4197" t="b">
        <v>0</v>
      </c>
      <c r="H4197" t="b">
        <v>0</v>
      </c>
    </row>
    <row r="4198">
      <c r="A4198" t="inlineStr">
        <is>
          <t>S003</t>
        </is>
      </c>
      <c r="B4198" s="3" t="n">
        <v>46279</v>
      </c>
      <c r="C4198" t="n">
        <v>12</v>
      </c>
      <c r="D4198" t="inlineStr">
        <is>
          <t>Monday</t>
        </is>
      </c>
      <c r="E4198" t="n">
        <v>49</v>
      </c>
      <c r="F4198" t="b">
        <v>0</v>
      </c>
      <c r="H4198" t="b">
        <v>0</v>
      </c>
    </row>
    <row r="4199">
      <c r="A4199" t="inlineStr">
        <is>
          <t>S003</t>
        </is>
      </c>
      <c r="B4199" s="3" t="n">
        <v>46279</v>
      </c>
      <c r="C4199" t="n">
        <v>13</v>
      </c>
      <c r="D4199" t="inlineStr">
        <is>
          <t>Monday</t>
        </is>
      </c>
      <c r="E4199" t="n">
        <v>39</v>
      </c>
      <c r="F4199" t="b">
        <v>0</v>
      </c>
      <c r="H4199" t="b">
        <v>0</v>
      </c>
    </row>
    <row r="4200">
      <c r="A4200" t="inlineStr">
        <is>
          <t>S003</t>
        </is>
      </c>
      <c r="B4200" s="3" t="n">
        <v>46279</v>
      </c>
      <c r="C4200" t="n">
        <v>14</v>
      </c>
      <c r="D4200" t="inlineStr">
        <is>
          <t>Monday</t>
        </is>
      </c>
      <c r="E4200" t="n">
        <v>33</v>
      </c>
      <c r="F4200" t="b">
        <v>0</v>
      </c>
      <c r="G4200" t="inlineStr">
        <is>
          <t>Light</t>
        </is>
      </c>
      <c r="H4200" t="b">
        <v>0</v>
      </c>
    </row>
    <row r="4201">
      <c r="A4201" t="inlineStr">
        <is>
          <t>S003</t>
        </is>
      </c>
      <c r="B4201" s="3" t="n">
        <v>46279</v>
      </c>
      <c r="C4201" t="n">
        <v>15</v>
      </c>
      <c r="D4201" t="inlineStr">
        <is>
          <t>Monday</t>
        </is>
      </c>
      <c r="E4201" t="n">
        <v>34</v>
      </c>
      <c r="F4201" t="b">
        <v>0</v>
      </c>
      <c r="H4201" t="b">
        <v>0</v>
      </c>
    </row>
    <row r="4202">
      <c r="A4202" t="inlineStr">
        <is>
          <t>S003</t>
        </is>
      </c>
      <c r="B4202" s="3" t="n">
        <v>46279</v>
      </c>
      <c r="C4202" t="n">
        <v>16</v>
      </c>
      <c r="D4202" t="inlineStr">
        <is>
          <t>Monday</t>
        </is>
      </c>
      <c r="E4202" t="n">
        <v>32</v>
      </c>
      <c r="F4202" t="b">
        <v>0</v>
      </c>
      <c r="H4202" t="b">
        <v>0</v>
      </c>
    </row>
    <row r="4203">
      <c r="A4203" t="inlineStr">
        <is>
          <t>S003</t>
        </is>
      </c>
      <c r="B4203" s="3" t="n">
        <v>46279</v>
      </c>
      <c r="C4203" t="n">
        <v>17</v>
      </c>
      <c r="D4203" t="inlineStr">
        <is>
          <t>Monday</t>
        </is>
      </c>
      <c r="E4203" t="n">
        <v>33</v>
      </c>
      <c r="F4203" t="b">
        <v>0</v>
      </c>
      <c r="G4203" t="inlineStr">
        <is>
          <t>Heavy</t>
        </is>
      </c>
      <c r="H4203" t="b">
        <v>0</v>
      </c>
    </row>
    <row r="4204">
      <c r="A4204" t="inlineStr">
        <is>
          <t>S003</t>
        </is>
      </c>
      <c r="B4204" s="3" t="n">
        <v>46279</v>
      </c>
      <c r="C4204" t="n">
        <v>18</v>
      </c>
      <c r="D4204" t="inlineStr">
        <is>
          <t>Monday</t>
        </is>
      </c>
      <c r="E4204" t="n">
        <v>38</v>
      </c>
      <c r="F4204" t="b">
        <v>0</v>
      </c>
      <c r="G4204" t="inlineStr">
        <is>
          <t>Heavy</t>
        </is>
      </c>
      <c r="H4204" t="b">
        <v>0</v>
      </c>
    </row>
    <row r="4205">
      <c r="A4205" t="inlineStr">
        <is>
          <t>S003</t>
        </is>
      </c>
      <c r="B4205" s="3" t="n">
        <v>46279</v>
      </c>
      <c r="C4205" t="n">
        <v>19</v>
      </c>
      <c r="D4205" t="inlineStr">
        <is>
          <t>Monday</t>
        </is>
      </c>
      <c r="E4205" t="n">
        <v>59</v>
      </c>
      <c r="F4205" t="b">
        <v>1</v>
      </c>
      <c r="H4205" t="b">
        <v>0</v>
      </c>
    </row>
    <row r="4206">
      <c r="A4206" t="inlineStr">
        <is>
          <t>S003</t>
        </is>
      </c>
      <c r="B4206" s="3" t="n">
        <v>46279</v>
      </c>
      <c r="C4206" t="n">
        <v>20</v>
      </c>
      <c r="D4206" t="inlineStr">
        <is>
          <t>Monday</t>
        </is>
      </c>
      <c r="E4206" t="n">
        <v>68</v>
      </c>
      <c r="F4206" t="b">
        <v>1</v>
      </c>
      <c r="G4206" t="inlineStr">
        <is>
          <t>Light</t>
        </is>
      </c>
      <c r="H4206" t="b">
        <v>0</v>
      </c>
    </row>
    <row r="4207">
      <c r="A4207" t="inlineStr">
        <is>
          <t>S003</t>
        </is>
      </c>
      <c r="B4207" s="3" t="n">
        <v>46279</v>
      </c>
      <c r="C4207" t="n">
        <v>21</v>
      </c>
      <c r="D4207" t="inlineStr">
        <is>
          <t>Monday</t>
        </is>
      </c>
      <c r="E4207" t="n">
        <v>49</v>
      </c>
      <c r="F4207" t="b">
        <v>1</v>
      </c>
      <c r="G4207" t="inlineStr">
        <is>
          <t>Light</t>
        </is>
      </c>
      <c r="H4207" t="b">
        <v>0</v>
      </c>
    </row>
    <row r="4208">
      <c r="A4208" t="inlineStr">
        <is>
          <t>S003</t>
        </is>
      </c>
      <c r="B4208" s="3" t="n">
        <v>46279</v>
      </c>
      <c r="C4208" t="n">
        <v>22</v>
      </c>
      <c r="D4208" t="inlineStr">
        <is>
          <t>Monday</t>
        </is>
      </c>
      <c r="E4208" t="n">
        <v>38</v>
      </c>
      <c r="F4208" t="b">
        <v>0</v>
      </c>
      <c r="G4208" t="inlineStr">
        <is>
          <t>Heavy</t>
        </is>
      </c>
      <c r="H4208" t="b">
        <v>0</v>
      </c>
    </row>
    <row r="4209">
      <c r="A4209" t="inlineStr">
        <is>
          <t>S003</t>
        </is>
      </c>
      <c r="B4209" s="3" t="n">
        <v>46279</v>
      </c>
      <c r="C4209" t="n">
        <v>23</v>
      </c>
      <c r="D4209" t="inlineStr">
        <is>
          <t>Monday</t>
        </is>
      </c>
      <c r="E4209" t="n">
        <v>48</v>
      </c>
      <c r="F4209" t="b">
        <v>0</v>
      </c>
      <c r="H4209" t="b">
        <v>0</v>
      </c>
    </row>
    <row r="4210">
      <c r="A4210" t="inlineStr">
        <is>
          <t>S004</t>
        </is>
      </c>
      <c r="B4210" s="3" t="n">
        <v>46279</v>
      </c>
      <c r="C4210" t="n">
        <v>8</v>
      </c>
      <c r="D4210" t="inlineStr">
        <is>
          <t>Monday</t>
        </is>
      </c>
      <c r="E4210" t="n">
        <v>25</v>
      </c>
      <c r="F4210" t="b">
        <v>0</v>
      </c>
      <c r="G4210" t="inlineStr">
        <is>
          <t>Light</t>
        </is>
      </c>
      <c r="H4210" t="b">
        <v>0</v>
      </c>
    </row>
    <row r="4211">
      <c r="A4211" t="inlineStr">
        <is>
          <t>S004</t>
        </is>
      </c>
      <c r="B4211" s="3" t="n">
        <v>46279</v>
      </c>
      <c r="C4211" t="n">
        <v>9</v>
      </c>
      <c r="D4211" t="inlineStr">
        <is>
          <t>Monday</t>
        </is>
      </c>
      <c r="E4211" t="n">
        <v>22</v>
      </c>
      <c r="F4211" t="b">
        <v>0</v>
      </c>
      <c r="H4211" t="b">
        <v>0</v>
      </c>
    </row>
    <row r="4212">
      <c r="A4212" t="inlineStr">
        <is>
          <t>S004</t>
        </is>
      </c>
      <c r="B4212" s="3" t="n">
        <v>46279</v>
      </c>
      <c r="C4212" t="n">
        <v>10</v>
      </c>
      <c r="D4212" t="inlineStr">
        <is>
          <t>Monday</t>
        </is>
      </c>
      <c r="E4212" t="n">
        <v>19</v>
      </c>
      <c r="F4212" t="b">
        <v>0</v>
      </c>
      <c r="G4212" t="inlineStr">
        <is>
          <t>Light</t>
        </is>
      </c>
      <c r="H4212" t="b">
        <v>0</v>
      </c>
    </row>
    <row r="4213">
      <c r="A4213" t="inlineStr">
        <is>
          <t>S004</t>
        </is>
      </c>
      <c r="B4213" s="3" t="n">
        <v>46279</v>
      </c>
      <c r="C4213" t="n">
        <v>11</v>
      </c>
      <c r="D4213" t="inlineStr">
        <is>
          <t>Monday</t>
        </is>
      </c>
      <c r="E4213" t="n">
        <v>35</v>
      </c>
      <c r="F4213" t="b">
        <v>0</v>
      </c>
      <c r="H4213" t="b">
        <v>0</v>
      </c>
    </row>
    <row r="4214">
      <c r="A4214" t="inlineStr">
        <is>
          <t>S004</t>
        </is>
      </c>
      <c r="B4214" s="3" t="n">
        <v>46279</v>
      </c>
      <c r="C4214" t="n">
        <v>12</v>
      </c>
      <c r="D4214" t="inlineStr">
        <is>
          <t>Monday</t>
        </is>
      </c>
      <c r="E4214" t="n">
        <v>36</v>
      </c>
      <c r="F4214" t="b">
        <v>0</v>
      </c>
      <c r="H4214" t="b">
        <v>0</v>
      </c>
    </row>
    <row r="4215">
      <c r="A4215" t="inlineStr">
        <is>
          <t>S004</t>
        </is>
      </c>
      <c r="B4215" s="3" t="n">
        <v>46279</v>
      </c>
      <c r="C4215" t="n">
        <v>13</v>
      </c>
      <c r="D4215" t="inlineStr">
        <is>
          <t>Monday</t>
        </is>
      </c>
      <c r="E4215" t="n">
        <v>32</v>
      </c>
      <c r="F4215" t="b">
        <v>0</v>
      </c>
      <c r="H4215" t="b">
        <v>0</v>
      </c>
    </row>
    <row r="4216">
      <c r="A4216" t="inlineStr">
        <is>
          <t>S004</t>
        </is>
      </c>
      <c r="B4216" s="3" t="n">
        <v>46279</v>
      </c>
      <c r="C4216" t="n">
        <v>14</v>
      </c>
      <c r="D4216" t="inlineStr">
        <is>
          <t>Monday</t>
        </is>
      </c>
      <c r="E4216" t="n">
        <v>30</v>
      </c>
      <c r="F4216" t="b">
        <v>0</v>
      </c>
      <c r="G4216" t="inlineStr">
        <is>
          <t>Light</t>
        </is>
      </c>
      <c r="H4216" t="b">
        <v>0</v>
      </c>
    </row>
    <row r="4217">
      <c r="A4217" t="inlineStr">
        <is>
          <t>S004</t>
        </is>
      </c>
      <c r="B4217" s="3" t="n">
        <v>46279</v>
      </c>
      <c r="C4217" t="n">
        <v>15</v>
      </c>
      <c r="D4217" t="inlineStr">
        <is>
          <t>Monday</t>
        </is>
      </c>
      <c r="E4217" t="n">
        <v>32</v>
      </c>
      <c r="F4217" t="b">
        <v>0</v>
      </c>
      <c r="H4217" t="b">
        <v>1</v>
      </c>
    </row>
    <row r="4218">
      <c r="A4218" t="inlineStr">
        <is>
          <t>S004</t>
        </is>
      </c>
      <c r="B4218" s="3" t="n">
        <v>46279</v>
      </c>
      <c r="C4218" t="n">
        <v>16</v>
      </c>
      <c r="D4218" t="inlineStr">
        <is>
          <t>Monday</t>
        </is>
      </c>
      <c r="E4218" t="n">
        <v>48</v>
      </c>
      <c r="F4218" t="b">
        <v>0</v>
      </c>
      <c r="H4218" t="b">
        <v>0</v>
      </c>
    </row>
    <row r="4219">
      <c r="A4219" t="inlineStr">
        <is>
          <t>S004</t>
        </is>
      </c>
      <c r="B4219" s="3" t="n">
        <v>46279</v>
      </c>
      <c r="C4219" t="n">
        <v>17</v>
      </c>
      <c r="D4219" t="inlineStr">
        <is>
          <t>Monday</t>
        </is>
      </c>
      <c r="E4219" t="n">
        <v>58</v>
      </c>
      <c r="F4219" t="b">
        <v>0</v>
      </c>
      <c r="H4219" t="b">
        <v>0</v>
      </c>
    </row>
    <row r="4220">
      <c r="A4220" t="inlineStr">
        <is>
          <t>S004</t>
        </is>
      </c>
      <c r="B4220" s="3" t="n">
        <v>46279</v>
      </c>
      <c r="C4220" t="n">
        <v>18</v>
      </c>
      <c r="D4220" t="inlineStr">
        <is>
          <t>Monday</t>
        </is>
      </c>
      <c r="E4220" t="n">
        <v>37</v>
      </c>
      <c r="F4220" t="b">
        <v>0</v>
      </c>
      <c r="H4220" t="b">
        <v>0</v>
      </c>
    </row>
    <row r="4221">
      <c r="A4221" t="inlineStr">
        <is>
          <t>S004</t>
        </is>
      </c>
      <c r="B4221" s="3" t="n">
        <v>46279</v>
      </c>
      <c r="C4221" t="n">
        <v>19</v>
      </c>
      <c r="D4221" t="inlineStr">
        <is>
          <t>Monday</t>
        </is>
      </c>
      <c r="E4221" t="n">
        <v>63</v>
      </c>
      <c r="F4221" t="b">
        <v>1</v>
      </c>
      <c r="H4221" t="b">
        <v>0</v>
      </c>
    </row>
    <row r="4222">
      <c r="A4222" t="inlineStr">
        <is>
          <t>S004</t>
        </is>
      </c>
      <c r="B4222" s="3" t="n">
        <v>46279</v>
      </c>
      <c r="C4222" t="n">
        <v>20</v>
      </c>
      <c r="D4222" t="inlineStr">
        <is>
          <t>Monday</t>
        </is>
      </c>
      <c r="E4222" t="n">
        <v>54</v>
      </c>
      <c r="F4222" t="b">
        <v>1</v>
      </c>
      <c r="G4222" t="inlineStr">
        <is>
          <t>Light</t>
        </is>
      </c>
      <c r="H4222" t="b">
        <v>1</v>
      </c>
    </row>
    <row r="4223">
      <c r="A4223" t="inlineStr">
        <is>
          <t>S004</t>
        </is>
      </c>
      <c r="B4223" s="3" t="n">
        <v>46279</v>
      </c>
      <c r="C4223" t="n">
        <v>21</v>
      </c>
      <c r="D4223" t="inlineStr">
        <is>
          <t>Monday</t>
        </is>
      </c>
      <c r="E4223" t="n">
        <v>62</v>
      </c>
      <c r="F4223" t="b">
        <v>1</v>
      </c>
      <c r="H4223" t="b">
        <v>0</v>
      </c>
    </row>
    <row r="4224">
      <c r="A4224" t="inlineStr">
        <is>
          <t>S004</t>
        </is>
      </c>
      <c r="B4224" s="3" t="n">
        <v>46279</v>
      </c>
      <c r="C4224" t="n">
        <v>22</v>
      </c>
      <c r="D4224" t="inlineStr">
        <is>
          <t>Monday</t>
        </is>
      </c>
      <c r="E4224" t="n">
        <v>28</v>
      </c>
      <c r="F4224" t="b">
        <v>0</v>
      </c>
      <c r="H4224" t="b">
        <v>0</v>
      </c>
    </row>
    <row r="4225">
      <c r="A4225" t="inlineStr">
        <is>
          <t>S004</t>
        </is>
      </c>
      <c r="B4225" s="3" t="n">
        <v>46279</v>
      </c>
      <c r="C4225" t="n">
        <v>23</v>
      </c>
      <c r="D4225" t="inlineStr">
        <is>
          <t>Monday</t>
        </is>
      </c>
      <c r="E4225" t="n">
        <v>31</v>
      </c>
      <c r="F4225" t="b">
        <v>0</v>
      </c>
      <c r="H4225" t="b">
        <v>0</v>
      </c>
    </row>
    <row r="4226">
      <c r="A4226" t="inlineStr">
        <is>
          <t>S005</t>
        </is>
      </c>
      <c r="B4226" s="3" t="n">
        <v>46279</v>
      </c>
      <c r="C4226" t="n">
        <v>8</v>
      </c>
      <c r="D4226" t="inlineStr">
        <is>
          <t>Monday</t>
        </is>
      </c>
      <c r="E4226" t="n">
        <v>13</v>
      </c>
      <c r="F4226" t="b">
        <v>0</v>
      </c>
      <c r="H4226" t="b">
        <v>0</v>
      </c>
    </row>
    <row r="4227">
      <c r="A4227" t="inlineStr">
        <is>
          <t>S005</t>
        </is>
      </c>
      <c r="B4227" s="3" t="n">
        <v>46279</v>
      </c>
      <c r="C4227" t="n">
        <v>9</v>
      </c>
      <c r="D4227" t="inlineStr">
        <is>
          <t>Monday</t>
        </is>
      </c>
      <c r="E4227" t="n">
        <v>10</v>
      </c>
      <c r="F4227" t="b">
        <v>0</v>
      </c>
      <c r="H4227" t="b">
        <v>0</v>
      </c>
    </row>
    <row r="4228">
      <c r="A4228" t="inlineStr">
        <is>
          <t>S005</t>
        </is>
      </c>
      <c r="B4228" s="3" t="n">
        <v>46279</v>
      </c>
      <c r="C4228" t="n">
        <v>10</v>
      </c>
      <c r="D4228" t="inlineStr">
        <is>
          <t>Monday</t>
        </is>
      </c>
      <c r="E4228" t="n">
        <v>9</v>
      </c>
      <c r="F4228" t="b">
        <v>0</v>
      </c>
      <c r="H4228" t="b">
        <v>0</v>
      </c>
    </row>
    <row r="4229">
      <c r="A4229" t="inlineStr">
        <is>
          <t>S005</t>
        </is>
      </c>
      <c r="B4229" s="3" t="n">
        <v>46279</v>
      </c>
      <c r="C4229" t="n">
        <v>11</v>
      </c>
      <c r="D4229" t="inlineStr">
        <is>
          <t>Monday</t>
        </is>
      </c>
      <c r="E4229" t="n">
        <v>17</v>
      </c>
      <c r="F4229" t="b">
        <v>0</v>
      </c>
      <c r="H4229" t="b">
        <v>0</v>
      </c>
    </row>
    <row r="4230">
      <c r="A4230" t="inlineStr">
        <is>
          <t>S005</t>
        </is>
      </c>
      <c r="B4230" s="3" t="n">
        <v>46279</v>
      </c>
      <c r="C4230" t="n">
        <v>12</v>
      </c>
      <c r="D4230" t="inlineStr">
        <is>
          <t>Monday</t>
        </is>
      </c>
      <c r="E4230" t="n">
        <v>17</v>
      </c>
      <c r="F4230" t="b">
        <v>0</v>
      </c>
      <c r="H4230" t="b">
        <v>0</v>
      </c>
    </row>
    <row r="4231">
      <c r="A4231" t="inlineStr">
        <is>
          <t>S005</t>
        </is>
      </c>
      <c r="B4231" s="3" t="n">
        <v>46279</v>
      </c>
      <c r="C4231" t="n">
        <v>13</v>
      </c>
      <c r="D4231" t="inlineStr">
        <is>
          <t>Monday</t>
        </is>
      </c>
      <c r="E4231" t="n">
        <v>12</v>
      </c>
      <c r="F4231" t="b">
        <v>0</v>
      </c>
      <c r="H4231" t="b">
        <v>0</v>
      </c>
    </row>
    <row r="4232">
      <c r="A4232" t="inlineStr">
        <is>
          <t>S005</t>
        </is>
      </c>
      <c r="B4232" s="3" t="n">
        <v>46279</v>
      </c>
      <c r="C4232" t="n">
        <v>14</v>
      </c>
      <c r="D4232" t="inlineStr">
        <is>
          <t>Monday</t>
        </is>
      </c>
      <c r="E4232" t="n">
        <v>9</v>
      </c>
      <c r="F4232" t="b">
        <v>0</v>
      </c>
      <c r="H4232" t="b">
        <v>0</v>
      </c>
    </row>
    <row r="4233">
      <c r="A4233" t="inlineStr">
        <is>
          <t>S005</t>
        </is>
      </c>
      <c r="B4233" s="3" t="n">
        <v>46279</v>
      </c>
      <c r="C4233" t="n">
        <v>15</v>
      </c>
      <c r="D4233" t="inlineStr">
        <is>
          <t>Monday</t>
        </is>
      </c>
      <c r="E4233" t="n">
        <v>16</v>
      </c>
      <c r="F4233" t="b">
        <v>0</v>
      </c>
      <c r="G4233" t="inlineStr">
        <is>
          <t>Heavy</t>
        </is>
      </c>
      <c r="H4233" t="b">
        <v>0</v>
      </c>
    </row>
    <row r="4234">
      <c r="A4234" t="inlineStr">
        <is>
          <t>S005</t>
        </is>
      </c>
      <c r="B4234" s="3" t="n">
        <v>46279</v>
      </c>
      <c r="C4234" t="n">
        <v>16</v>
      </c>
      <c r="D4234" t="inlineStr">
        <is>
          <t>Monday</t>
        </is>
      </c>
      <c r="E4234" t="n">
        <v>8</v>
      </c>
      <c r="F4234" t="b">
        <v>0</v>
      </c>
      <c r="H4234" t="b">
        <v>0</v>
      </c>
    </row>
    <row r="4235">
      <c r="A4235" t="inlineStr">
        <is>
          <t>S005</t>
        </is>
      </c>
      <c r="B4235" s="3" t="n">
        <v>46279</v>
      </c>
      <c r="C4235" t="n">
        <v>17</v>
      </c>
      <c r="D4235" t="inlineStr">
        <is>
          <t>Monday</t>
        </is>
      </c>
      <c r="E4235" t="n">
        <v>14</v>
      </c>
      <c r="F4235" t="b">
        <v>0</v>
      </c>
      <c r="H4235" t="b">
        <v>0</v>
      </c>
    </row>
    <row r="4236">
      <c r="A4236" t="inlineStr">
        <is>
          <t>S005</t>
        </is>
      </c>
      <c r="B4236" s="3" t="n">
        <v>46279</v>
      </c>
      <c r="C4236" t="n">
        <v>18</v>
      </c>
      <c r="D4236" t="inlineStr">
        <is>
          <t>Monday</t>
        </is>
      </c>
      <c r="E4236" t="n">
        <v>18</v>
      </c>
      <c r="F4236" t="b">
        <v>0</v>
      </c>
      <c r="H4236" t="b">
        <v>0</v>
      </c>
    </row>
    <row r="4237">
      <c r="A4237" t="inlineStr">
        <is>
          <t>S005</t>
        </is>
      </c>
      <c r="B4237" s="3" t="n">
        <v>46279</v>
      </c>
      <c r="C4237" t="n">
        <v>19</v>
      </c>
      <c r="D4237" t="inlineStr">
        <is>
          <t>Monday</t>
        </is>
      </c>
      <c r="E4237" t="n">
        <v>20</v>
      </c>
      <c r="F4237" t="b">
        <v>1</v>
      </c>
      <c r="H4237" t="b">
        <v>0</v>
      </c>
    </row>
    <row r="4238">
      <c r="A4238" t="inlineStr">
        <is>
          <t>S005</t>
        </is>
      </c>
      <c r="B4238" s="3" t="n">
        <v>46279</v>
      </c>
      <c r="C4238" t="n">
        <v>20</v>
      </c>
      <c r="D4238" t="inlineStr">
        <is>
          <t>Monday</t>
        </is>
      </c>
      <c r="E4238" t="n">
        <v>16</v>
      </c>
      <c r="F4238" t="b">
        <v>1</v>
      </c>
      <c r="H4238" t="b">
        <v>0</v>
      </c>
    </row>
    <row r="4239">
      <c r="A4239" t="inlineStr">
        <is>
          <t>S005</t>
        </is>
      </c>
      <c r="B4239" s="3" t="n">
        <v>46279</v>
      </c>
      <c r="C4239" t="n">
        <v>21</v>
      </c>
      <c r="D4239" t="inlineStr">
        <is>
          <t>Monday</t>
        </is>
      </c>
      <c r="E4239" t="n">
        <v>20</v>
      </c>
      <c r="F4239" t="b">
        <v>1</v>
      </c>
      <c r="H4239" t="b">
        <v>0</v>
      </c>
    </row>
    <row r="4240">
      <c r="A4240" t="inlineStr">
        <is>
          <t>S005</t>
        </is>
      </c>
      <c r="B4240" s="3" t="n">
        <v>46279</v>
      </c>
      <c r="C4240" t="n">
        <v>22</v>
      </c>
      <c r="D4240" t="inlineStr">
        <is>
          <t>Monday</t>
        </is>
      </c>
      <c r="E4240" t="n">
        <v>14</v>
      </c>
      <c r="F4240" t="b">
        <v>0</v>
      </c>
      <c r="H4240" t="b">
        <v>0</v>
      </c>
    </row>
    <row r="4241">
      <c r="A4241" t="inlineStr">
        <is>
          <t>S005</t>
        </is>
      </c>
      <c r="B4241" s="3" t="n">
        <v>46279</v>
      </c>
      <c r="C4241" t="n">
        <v>23</v>
      </c>
      <c r="D4241" t="inlineStr">
        <is>
          <t>Monday</t>
        </is>
      </c>
      <c r="E4241" t="n">
        <v>23</v>
      </c>
      <c r="F4241" t="b">
        <v>0</v>
      </c>
      <c r="G4241" t="inlineStr">
        <is>
          <t>Light</t>
        </is>
      </c>
      <c r="H4241" t="b">
        <v>0</v>
      </c>
    </row>
    <row r="4242">
      <c r="A4242" t="inlineStr">
        <is>
          <t>S006</t>
        </is>
      </c>
      <c r="B4242" s="3" t="n">
        <v>46279</v>
      </c>
      <c r="C4242" t="n">
        <v>8</v>
      </c>
      <c r="D4242" t="inlineStr">
        <is>
          <t>Monday</t>
        </is>
      </c>
      <c r="E4242" t="n">
        <v>26</v>
      </c>
      <c r="F4242" t="b">
        <v>0</v>
      </c>
      <c r="H4242" t="b">
        <v>0</v>
      </c>
    </row>
    <row r="4243">
      <c r="A4243" t="inlineStr">
        <is>
          <t>S006</t>
        </is>
      </c>
      <c r="B4243" s="3" t="n">
        <v>46279</v>
      </c>
      <c r="C4243" t="n">
        <v>9</v>
      </c>
      <c r="D4243" t="inlineStr">
        <is>
          <t>Monday</t>
        </is>
      </c>
      <c r="E4243" t="n">
        <v>18</v>
      </c>
      <c r="F4243" t="b">
        <v>0</v>
      </c>
      <c r="H4243" t="b">
        <v>0</v>
      </c>
    </row>
    <row r="4244">
      <c r="A4244" t="inlineStr">
        <is>
          <t>S006</t>
        </is>
      </c>
      <c r="B4244" s="3" t="n">
        <v>46279</v>
      </c>
      <c r="C4244" t="n">
        <v>10</v>
      </c>
      <c r="D4244" t="inlineStr">
        <is>
          <t>Monday</t>
        </is>
      </c>
      <c r="E4244" t="n">
        <v>17</v>
      </c>
      <c r="F4244" t="b">
        <v>0</v>
      </c>
      <c r="H4244" t="b">
        <v>0</v>
      </c>
    </row>
    <row r="4245">
      <c r="A4245" t="inlineStr">
        <is>
          <t>S006</t>
        </is>
      </c>
      <c r="B4245" s="3" t="n">
        <v>46279</v>
      </c>
      <c r="C4245" t="n">
        <v>11</v>
      </c>
      <c r="D4245" t="inlineStr">
        <is>
          <t>Monday</t>
        </is>
      </c>
      <c r="E4245" t="n">
        <v>22</v>
      </c>
      <c r="F4245" t="b">
        <v>0</v>
      </c>
      <c r="H4245" t="b">
        <v>0</v>
      </c>
    </row>
    <row r="4246">
      <c r="A4246" t="inlineStr">
        <is>
          <t>S006</t>
        </is>
      </c>
      <c r="B4246" s="3" t="n">
        <v>46279</v>
      </c>
      <c r="C4246" t="n">
        <v>12</v>
      </c>
      <c r="D4246" t="inlineStr">
        <is>
          <t>Monday</t>
        </is>
      </c>
      <c r="E4246" t="n">
        <v>25</v>
      </c>
      <c r="F4246" t="b">
        <v>0</v>
      </c>
      <c r="H4246" t="b">
        <v>0</v>
      </c>
    </row>
    <row r="4247">
      <c r="A4247" t="inlineStr">
        <is>
          <t>S006</t>
        </is>
      </c>
      <c r="B4247" s="3" t="n">
        <v>46279</v>
      </c>
      <c r="C4247" t="n">
        <v>13</v>
      </c>
      <c r="D4247" t="inlineStr">
        <is>
          <t>Monday</t>
        </is>
      </c>
      <c r="E4247" t="n">
        <v>33</v>
      </c>
      <c r="F4247" t="b">
        <v>0</v>
      </c>
      <c r="H4247" t="b">
        <v>0</v>
      </c>
    </row>
    <row r="4248">
      <c r="A4248" t="inlineStr">
        <is>
          <t>S006</t>
        </is>
      </c>
      <c r="B4248" s="3" t="n">
        <v>46279</v>
      </c>
      <c r="C4248" t="n">
        <v>14</v>
      </c>
      <c r="D4248" t="inlineStr">
        <is>
          <t>Monday</t>
        </is>
      </c>
      <c r="E4248" t="n">
        <v>21</v>
      </c>
      <c r="F4248" t="b">
        <v>0</v>
      </c>
      <c r="G4248" t="inlineStr">
        <is>
          <t>Light</t>
        </is>
      </c>
      <c r="H4248" t="b">
        <v>0</v>
      </c>
    </row>
    <row r="4249">
      <c r="A4249" t="inlineStr">
        <is>
          <t>S006</t>
        </is>
      </c>
      <c r="B4249" s="3" t="n">
        <v>46279</v>
      </c>
      <c r="C4249" t="n">
        <v>15</v>
      </c>
      <c r="D4249" t="inlineStr">
        <is>
          <t>Monday</t>
        </is>
      </c>
      <c r="E4249" t="n">
        <v>20</v>
      </c>
      <c r="F4249" t="b">
        <v>0</v>
      </c>
      <c r="G4249" t="inlineStr">
        <is>
          <t>Light</t>
        </is>
      </c>
      <c r="H4249" t="b">
        <v>0</v>
      </c>
    </row>
    <row r="4250">
      <c r="A4250" t="inlineStr">
        <is>
          <t>S006</t>
        </is>
      </c>
      <c r="B4250" s="3" t="n">
        <v>46279</v>
      </c>
      <c r="C4250" t="n">
        <v>16</v>
      </c>
      <c r="D4250" t="inlineStr">
        <is>
          <t>Monday</t>
        </is>
      </c>
      <c r="E4250" t="n">
        <v>22</v>
      </c>
      <c r="F4250" t="b">
        <v>0</v>
      </c>
      <c r="H4250" t="b">
        <v>0</v>
      </c>
    </row>
    <row r="4251">
      <c r="A4251" t="inlineStr">
        <is>
          <t>S006</t>
        </is>
      </c>
      <c r="B4251" s="3" t="n">
        <v>46279</v>
      </c>
      <c r="C4251" t="n">
        <v>17</v>
      </c>
      <c r="D4251" t="inlineStr">
        <is>
          <t>Monday</t>
        </is>
      </c>
      <c r="E4251" t="n">
        <v>29</v>
      </c>
      <c r="F4251" t="b">
        <v>0</v>
      </c>
      <c r="H4251" t="b">
        <v>0</v>
      </c>
    </row>
    <row r="4252">
      <c r="A4252" t="inlineStr">
        <is>
          <t>S006</t>
        </is>
      </c>
      <c r="B4252" s="3" t="n">
        <v>46279</v>
      </c>
      <c r="C4252" t="n">
        <v>18</v>
      </c>
      <c r="D4252" t="inlineStr">
        <is>
          <t>Monday</t>
        </is>
      </c>
      <c r="E4252" t="n">
        <v>32</v>
      </c>
      <c r="F4252" t="b">
        <v>0</v>
      </c>
      <c r="H4252" t="b">
        <v>1</v>
      </c>
    </row>
    <row r="4253">
      <c r="A4253" t="inlineStr">
        <is>
          <t>S006</t>
        </is>
      </c>
      <c r="B4253" s="3" t="n">
        <v>46279</v>
      </c>
      <c r="C4253" t="n">
        <v>19</v>
      </c>
      <c r="D4253" t="inlineStr">
        <is>
          <t>Monday</t>
        </is>
      </c>
      <c r="E4253" t="n">
        <v>33</v>
      </c>
      <c r="F4253" t="b">
        <v>1</v>
      </c>
      <c r="H4253" t="b">
        <v>0</v>
      </c>
    </row>
    <row r="4254">
      <c r="A4254" t="inlineStr">
        <is>
          <t>S006</t>
        </is>
      </c>
      <c r="B4254" s="3" t="n">
        <v>46279</v>
      </c>
      <c r="C4254" t="n">
        <v>20</v>
      </c>
      <c r="D4254" t="inlineStr">
        <is>
          <t>Monday</t>
        </is>
      </c>
      <c r="E4254" t="n">
        <v>31</v>
      </c>
      <c r="F4254" t="b">
        <v>1</v>
      </c>
      <c r="H4254" t="b">
        <v>0</v>
      </c>
    </row>
    <row r="4255">
      <c r="A4255" t="inlineStr">
        <is>
          <t>S006</t>
        </is>
      </c>
      <c r="B4255" s="3" t="n">
        <v>46279</v>
      </c>
      <c r="C4255" t="n">
        <v>21</v>
      </c>
      <c r="D4255" t="inlineStr">
        <is>
          <t>Monday</t>
        </is>
      </c>
      <c r="E4255" t="n">
        <v>28</v>
      </c>
      <c r="F4255" t="b">
        <v>1</v>
      </c>
      <c r="H4255" t="b">
        <v>0</v>
      </c>
    </row>
    <row r="4256">
      <c r="A4256" t="inlineStr">
        <is>
          <t>S006</t>
        </is>
      </c>
      <c r="B4256" s="3" t="n">
        <v>46279</v>
      </c>
      <c r="C4256" t="n">
        <v>22</v>
      </c>
      <c r="D4256" t="inlineStr">
        <is>
          <t>Monday</t>
        </is>
      </c>
      <c r="E4256" t="n">
        <v>32</v>
      </c>
      <c r="F4256" t="b">
        <v>0</v>
      </c>
      <c r="H4256" t="b">
        <v>0</v>
      </c>
    </row>
    <row r="4257">
      <c r="A4257" t="inlineStr">
        <is>
          <t>S006</t>
        </is>
      </c>
      <c r="B4257" s="3" t="n">
        <v>46279</v>
      </c>
      <c r="C4257" t="n">
        <v>23</v>
      </c>
      <c r="D4257" t="inlineStr">
        <is>
          <t>Monday</t>
        </is>
      </c>
      <c r="E4257" t="n">
        <v>25</v>
      </c>
      <c r="F4257" t="b">
        <v>0</v>
      </c>
      <c r="G4257" t="inlineStr">
        <is>
          <t>Light</t>
        </is>
      </c>
      <c r="H4257" t="b">
        <v>0</v>
      </c>
    </row>
    <row r="4258">
      <c r="A4258" t="inlineStr">
        <is>
          <t>S007</t>
        </is>
      </c>
      <c r="B4258" s="3" t="n">
        <v>46279</v>
      </c>
      <c r="C4258" t="n">
        <v>8</v>
      </c>
      <c r="D4258" t="inlineStr">
        <is>
          <t>Monday</t>
        </is>
      </c>
      <c r="E4258" t="n">
        <v>34</v>
      </c>
      <c r="F4258" t="b">
        <v>0</v>
      </c>
      <c r="H4258" t="b">
        <v>0</v>
      </c>
    </row>
    <row r="4259">
      <c r="A4259" t="inlineStr">
        <is>
          <t>S007</t>
        </is>
      </c>
      <c r="B4259" s="3" t="n">
        <v>46279</v>
      </c>
      <c r="C4259" t="n">
        <v>9</v>
      </c>
      <c r="D4259" t="inlineStr">
        <is>
          <t>Monday</t>
        </is>
      </c>
      <c r="E4259" t="n">
        <v>28</v>
      </c>
      <c r="F4259" t="b">
        <v>0</v>
      </c>
      <c r="H4259" t="b">
        <v>0</v>
      </c>
    </row>
    <row r="4260">
      <c r="A4260" t="inlineStr">
        <is>
          <t>S007</t>
        </is>
      </c>
      <c r="B4260" s="3" t="n">
        <v>46279</v>
      </c>
      <c r="C4260" t="n">
        <v>10</v>
      </c>
      <c r="D4260" t="inlineStr">
        <is>
          <t>Monday</t>
        </is>
      </c>
      <c r="E4260" t="n">
        <v>33</v>
      </c>
      <c r="F4260" t="b">
        <v>0</v>
      </c>
      <c r="H4260" t="b">
        <v>0</v>
      </c>
    </row>
    <row r="4261">
      <c r="A4261" t="inlineStr">
        <is>
          <t>S007</t>
        </is>
      </c>
      <c r="B4261" s="3" t="n">
        <v>46279</v>
      </c>
      <c r="C4261" t="n">
        <v>11</v>
      </c>
      <c r="D4261" t="inlineStr">
        <is>
          <t>Monday</t>
        </is>
      </c>
      <c r="E4261" t="n">
        <v>35</v>
      </c>
      <c r="F4261" t="b">
        <v>0</v>
      </c>
      <c r="H4261" t="b">
        <v>0</v>
      </c>
    </row>
    <row r="4262">
      <c r="A4262" t="inlineStr">
        <is>
          <t>S007</t>
        </is>
      </c>
      <c r="B4262" s="3" t="n">
        <v>46279</v>
      </c>
      <c r="C4262" t="n">
        <v>12</v>
      </c>
      <c r="D4262" t="inlineStr">
        <is>
          <t>Monday</t>
        </is>
      </c>
      <c r="E4262" t="n">
        <v>40</v>
      </c>
      <c r="F4262" t="b">
        <v>0</v>
      </c>
      <c r="G4262" t="inlineStr">
        <is>
          <t>Light</t>
        </is>
      </c>
      <c r="H4262" t="b">
        <v>0</v>
      </c>
    </row>
    <row r="4263">
      <c r="A4263" t="inlineStr">
        <is>
          <t>S007</t>
        </is>
      </c>
      <c r="B4263" s="3" t="n">
        <v>46279</v>
      </c>
      <c r="C4263" t="n">
        <v>13</v>
      </c>
      <c r="D4263" t="inlineStr">
        <is>
          <t>Monday</t>
        </is>
      </c>
      <c r="E4263" t="n">
        <v>25</v>
      </c>
      <c r="F4263" t="b">
        <v>0</v>
      </c>
      <c r="H4263" t="b">
        <v>0</v>
      </c>
    </row>
    <row r="4264">
      <c r="A4264" t="inlineStr">
        <is>
          <t>S007</t>
        </is>
      </c>
      <c r="B4264" s="3" t="n">
        <v>46279</v>
      </c>
      <c r="C4264" t="n">
        <v>14</v>
      </c>
      <c r="D4264" t="inlineStr">
        <is>
          <t>Monday</t>
        </is>
      </c>
      <c r="E4264" t="n">
        <v>25</v>
      </c>
      <c r="F4264" t="b">
        <v>0</v>
      </c>
      <c r="G4264" t="inlineStr">
        <is>
          <t>Heavy</t>
        </is>
      </c>
      <c r="H4264" t="b">
        <v>0</v>
      </c>
    </row>
    <row r="4265">
      <c r="A4265" t="inlineStr">
        <is>
          <t>S007</t>
        </is>
      </c>
      <c r="B4265" s="3" t="n">
        <v>46279</v>
      </c>
      <c r="C4265" t="n">
        <v>15</v>
      </c>
      <c r="D4265" t="inlineStr">
        <is>
          <t>Monday</t>
        </is>
      </c>
      <c r="E4265" t="n">
        <v>26</v>
      </c>
      <c r="F4265" t="b">
        <v>0</v>
      </c>
      <c r="G4265" t="inlineStr">
        <is>
          <t>Heavy</t>
        </is>
      </c>
      <c r="H4265" t="b">
        <v>0</v>
      </c>
    </row>
    <row r="4266">
      <c r="A4266" t="inlineStr">
        <is>
          <t>S007</t>
        </is>
      </c>
      <c r="B4266" s="3" t="n">
        <v>46279</v>
      </c>
      <c r="C4266" t="n">
        <v>16</v>
      </c>
      <c r="D4266" t="inlineStr">
        <is>
          <t>Monday</t>
        </is>
      </c>
      <c r="E4266" t="n">
        <v>30</v>
      </c>
      <c r="F4266" t="b">
        <v>0</v>
      </c>
      <c r="H4266" t="b">
        <v>0</v>
      </c>
    </row>
    <row r="4267">
      <c r="A4267" t="inlineStr">
        <is>
          <t>S007</t>
        </is>
      </c>
      <c r="B4267" s="3" t="n">
        <v>46279</v>
      </c>
      <c r="C4267" t="n">
        <v>17</v>
      </c>
      <c r="D4267" t="inlineStr">
        <is>
          <t>Monday</t>
        </is>
      </c>
      <c r="E4267" t="n">
        <v>34</v>
      </c>
      <c r="F4267" t="b">
        <v>0</v>
      </c>
      <c r="H4267" t="b">
        <v>0</v>
      </c>
    </row>
    <row r="4268">
      <c r="A4268" t="inlineStr">
        <is>
          <t>S007</t>
        </is>
      </c>
      <c r="B4268" s="3" t="n">
        <v>46279</v>
      </c>
      <c r="C4268" t="n">
        <v>18</v>
      </c>
      <c r="D4268" t="inlineStr">
        <is>
          <t>Monday</t>
        </is>
      </c>
      <c r="E4268" t="n">
        <v>31</v>
      </c>
      <c r="F4268" t="b">
        <v>0</v>
      </c>
      <c r="H4268" t="b">
        <v>0</v>
      </c>
    </row>
    <row r="4269">
      <c r="A4269" t="inlineStr">
        <is>
          <t>S007</t>
        </is>
      </c>
      <c r="B4269" s="3" t="n">
        <v>46279</v>
      </c>
      <c r="C4269" t="n">
        <v>19</v>
      </c>
      <c r="D4269" t="inlineStr">
        <is>
          <t>Monday</t>
        </is>
      </c>
      <c r="E4269" t="n">
        <v>44</v>
      </c>
      <c r="F4269" t="b">
        <v>1</v>
      </c>
      <c r="H4269" t="b">
        <v>0</v>
      </c>
    </row>
    <row r="4270">
      <c r="A4270" t="inlineStr">
        <is>
          <t>S007</t>
        </is>
      </c>
      <c r="B4270" s="3" t="n">
        <v>46279</v>
      </c>
      <c r="C4270" t="n">
        <v>20</v>
      </c>
      <c r="D4270" t="inlineStr">
        <is>
          <t>Monday</t>
        </is>
      </c>
      <c r="E4270" t="n">
        <v>62</v>
      </c>
      <c r="F4270" t="b">
        <v>1</v>
      </c>
      <c r="G4270" t="inlineStr">
        <is>
          <t>Heavy</t>
        </is>
      </c>
      <c r="H4270" t="b">
        <v>0</v>
      </c>
    </row>
    <row r="4271">
      <c r="A4271" t="inlineStr">
        <is>
          <t>S007</t>
        </is>
      </c>
      <c r="B4271" s="3" t="n">
        <v>46279</v>
      </c>
      <c r="C4271" t="n">
        <v>21</v>
      </c>
      <c r="D4271" t="inlineStr">
        <is>
          <t>Monday</t>
        </is>
      </c>
      <c r="E4271" t="n">
        <v>56</v>
      </c>
      <c r="F4271" t="b">
        <v>1</v>
      </c>
      <c r="H4271" t="b">
        <v>0</v>
      </c>
    </row>
    <row r="4272">
      <c r="A4272" t="inlineStr">
        <is>
          <t>S007</t>
        </is>
      </c>
      <c r="B4272" s="3" t="n">
        <v>46279</v>
      </c>
      <c r="C4272" t="n">
        <v>22</v>
      </c>
      <c r="D4272" t="inlineStr">
        <is>
          <t>Monday</t>
        </is>
      </c>
      <c r="E4272" t="n">
        <v>42</v>
      </c>
      <c r="F4272" t="b">
        <v>0</v>
      </c>
      <c r="H4272" t="b">
        <v>0</v>
      </c>
    </row>
    <row r="4273">
      <c r="A4273" t="inlineStr">
        <is>
          <t>S007</t>
        </is>
      </c>
      <c r="B4273" s="3" t="n">
        <v>46279</v>
      </c>
      <c r="C4273" t="n">
        <v>23</v>
      </c>
      <c r="D4273" t="inlineStr">
        <is>
          <t>Monday</t>
        </is>
      </c>
      <c r="E4273" t="n">
        <v>33</v>
      </c>
      <c r="F4273" t="b">
        <v>0</v>
      </c>
      <c r="H4273" t="b">
        <v>0</v>
      </c>
    </row>
    <row r="4274">
      <c r="A4274" t="inlineStr">
        <is>
          <t>S008</t>
        </is>
      </c>
      <c r="B4274" s="3" t="n">
        <v>46279</v>
      </c>
      <c r="C4274" t="n">
        <v>8</v>
      </c>
      <c r="D4274" t="inlineStr">
        <is>
          <t>Monday</t>
        </is>
      </c>
      <c r="E4274" t="n">
        <v>13</v>
      </c>
      <c r="F4274" t="b">
        <v>0</v>
      </c>
      <c r="H4274" t="b">
        <v>0</v>
      </c>
    </row>
    <row r="4275">
      <c r="A4275" t="inlineStr">
        <is>
          <t>S008</t>
        </is>
      </c>
      <c r="B4275" s="3" t="n">
        <v>46279</v>
      </c>
      <c r="C4275" t="n">
        <v>9</v>
      </c>
      <c r="D4275" t="inlineStr">
        <is>
          <t>Monday</t>
        </is>
      </c>
      <c r="E4275" t="n">
        <v>14</v>
      </c>
      <c r="F4275" t="b">
        <v>0</v>
      </c>
      <c r="H4275" t="b">
        <v>1</v>
      </c>
    </row>
    <row r="4276">
      <c r="A4276" t="inlineStr">
        <is>
          <t>S008</t>
        </is>
      </c>
      <c r="B4276" s="3" t="n">
        <v>46279</v>
      </c>
      <c r="C4276" t="n">
        <v>10</v>
      </c>
      <c r="D4276" t="inlineStr">
        <is>
          <t>Monday</t>
        </is>
      </c>
      <c r="E4276" t="n">
        <v>14</v>
      </c>
      <c r="F4276" t="b">
        <v>0</v>
      </c>
      <c r="H4276" t="b">
        <v>0</v>
      </c>
    </row>
    <row r="4277">
      <c r="A4277" t="inlineStr">
        <is>
          <t>S008</t>
        </is>
      </c>
      <c r="B4277" s="3" t="n">
        <v>46279</v>
      </c>
      <c r="C4277" t="n">
        <v>11</v>
      </c>
      <c r="D4277" t="inlineStr">
        <is>
          <t>Monday</t>
        </is>
      </c>
      <c r="E4277" t="n">
        <v>20</v>
      </c>
      <c r="F4277" t="b">
        <v>0</v>
      </c>
      <c r="H4277" t="b">
        <v>0</v>
      </c>
    </row>
    <row r="4278">
      <c r="A4278" t="inlineStr">
        <is>
          <t>S008</t>
        </is>
      </c>
      <c r="B4278" s="3" t="n">
        <v>46279</v>
      </c>
      <c r="C4278" t="n">
        <v>12</v>
      </c>
      <c r="D4278" t="inlineStr">
        <is>
          <t>Monday</t>
        </is>
      </c>
      <c r="E4278" t="n">
        <v>24</v>
      </c>
      <c r="F4278" t="b">
        <v>0</v>
      </c>
      <c r="G4278" t="inlineStr">
        <is>
          <t>Heavy</t>
        </is>
      </c>
      <c r="H4278" t="b">
        <v>0</v>
      </c>
    </row>
    <row r="4279">
      <c r="A4279" t="inlineStr">
        <is>
          <t>S008</t>
        </is>
      </c>
      <c r="B4279" s="3" t="n">
        <v>46279</v>
      </c>
      <c r="C4279" t="n">
        <v>13</v>
      </c>
      <c r="D4279" t="inlineStr">
        <is>
          <t>Monday</t>
        </is>
      </c>
      <c r="E4279" t="n">
        <v>25</v>
      </c>
      <c r="F4279" t="b">
        <v>0</v>
      </c>
      <c r="H4279" t="b">
        <v>0</v>
      </c>
    </row>
    <row r="4280">
      <c r="A4280" t="inlineStr">
        <is>
          <t>S008</t>
        </is>
      </c>
      <c r="B4280" s="3" t="n">
        <v>46279</v>
      </c>
      <c r="C4280" t="n">
        <v>14</v>
      </c>
      <c r="D4280" t="inlineStr">
        <is>
          <t>Monday</t>
        </is>
      </c>
      <c r="E4280" t="n">
        <v>14</v>
      </c>
      <c r="F4280" t="b">
        <v>0</v>
      </c>
      <c r="H4280" t="b">
        <v>0</v>
      </c>
    </row>
    <row r="4281">
      <c r="A4281" t="inlineStr">
        <is>
          <t>S008</t>
        </is>
      </c>
      <c r="B4281" s="3" t="n">
        <v>46279</v>
      </c>
      <c r="C4281" t="n">
        <v>15</v>
      </c>
      <c r="D4281" t="inlineStr">
        <is>
          <t>Monday</t>
        </is>
      </c>
      <c r="E4281" t="n">
        <v>17</v>
      </c>
      <c r="F4281" t="b">
        <v>0</v>
      </c>
      <c r="G4281" t="inlineStr">
        <is>
          <t>Light</t>
        </is>
      </c>
      <c r="H4281" t="b">
        <v>0</v>
      </c>
    </row>
    <row r="4282">
      <c r="A4282" t="inlineStr">
        <is>
          <t>S008</t>
        </is>
      </c>
      <c r="B4282" s="3" t="n">
        <v>46279</v>
      </c>
      <c r="C4282" t="n">
        <v>16</v>
      </c>
      <c r="D4282" t="inlineStr">
        <is>
          <t>Monday</t>
        </is>
      </c>
      <c r="E4282" t="n">
        <v>25</v>
      </c>
      <c r="F4282" t="b">
        <v>0</v>
      </c>
      <c r="H4282" t="b">
        <v>0</v>
      </c>
    </row>
    <row r="4283">
      <c r="A4283" t="inlineStr">
        <is>
          <t>S008</t>
        </is>
      </c>
      <c r="B4283" s="3" t="n">
        <v>46279</v>
      </c>
      <c r="C4283" t="n">
        <v>17</v>
      </c>
      <c r="D4283" t="inlineStr">
        <is>
          <t>Monday</t>
        </is>
      </c>
      <c r="E4283" t="n">
        <v>26</v>
      </c>
      <c r="F4283" t="b">
        <v>0</v>
      </c>
      <c r="H4283" t="b">
        <v>0</v>
      </c>
    </row>
    <row r="4284">
      <c r="A4284" t="inlineStr">
        <is>
          <t>S008</t>
        </is>
      </c>
      <c r="B4284" s="3" t="n">
        <v>46279</v>
      </c>
      <c r="C4284" t="n">
        <v>18</v>
      </c>
      <c r="D4284" t="inlineStr">
        <is>
          <t>Monday</t>
        </is>
      </c>
      <c r="E4284" t="n">
        <v>26</v>
      </c>
      <c r="F4284" t="b">
        <v>0</v>
      </c>
      <c r="G4284" t="inlineStr">
        <is>
          <t>Light</t>
        </is>
      </c>
      <c r="H4284" t="b">
        <v>0</v>
      </c>
    </row>
    <row r="4285">
      <c r="A4285" t="inlineStr">
        <is>
          <t>S008</t>
        </is>
      </c>
      <c r="B4285" s="3" t="n">
        <v>46279</v>
      </c>
      <c r="C4285" t="n">
        <v>19</v>
      </c>
      <c r="D4285" t="inlineStr">
        <is>
          <t>Monday</t>
        </is>
      </c>
      <c r="E4285" t="n">
        <v>30</v>
      </c>
      <c r="F4285" t="b">
        <v>1</v>
      </c>
      <c r="G4285" t="inlineStr">
        <is>
          <t>Light</t>
        </is>
      </c>
      <c r="H4285" t="b">
        <v>0</v>
      </c>
    </row>
    <row r="4286">
      <c r="A4286" t="inlineStr">
        <is>
          <t>S008</t>
        </is>
      </c>
      <c r="B4286" s="3" t="n">
        <v>46279</v>
      </c>
      <c r="C4286" t="n">
        <v>20</v>
      </c>
      <c r="D4286" t="inlineStr">
        <is>
          <t>Monday</t>
        </is>
      </c>
      <c r="E4286" t="n">
        <v>39</v>
      </c>
      <c r="F4286" t="b">
        <v>1</v>
      </c>
      <c r="G4286" t="inlineStr">
        <is>
          <t>Light</t>
        </is>
      </c>
      <c r="H4286" t="b">
        <v>0</v>
      </c>
    </row>
    <row r="4287">
      <c r="A4287" t="inlineStr">
        <is>
          <t>S008</t>
        </is>
      </c>
      <c r="B4287" s="3" t="n">
        <v>46279</v>
      </c>
      <c r="C4287" t="n">
        <v>21</v>
      </c>
      <c r="D4287" t="inlineStr">
        <is>
          <t>Monday</t>
        </is>
      </c>
      <c r="E4287" t="n">
        <v>26</v>
      </c>
      <c r="F4287" t="b">
        <v>1</v>
      </c>
      <c r="H4287" t="b">
        <v>0</v>
      </c>
    </row>
    <row r="4288">
      <c r="A4288" t="inlineStr">
        <is>
          <t>S008</t>
        </is>
      </c>
      <c r="B4288" s="3" t="n">
        <v>46279</v>
      </c>
      <c r="C4288" t="n">
        <v>22</v>
      </c>
      <c r="D4288" t="inlineStr">
        <is>
          <t>Monday</t>
        </is>
      </c>
      <c r="E4288" t="n">
        <v>25</v>
      </c>
      <c r="F4288" t="b">
        <v>0</v>
      </c>
      <c r="G4288" t="inlineStr">
        <is>
          <t>Light</t>
        </is>
      </c>
      <c r="H4288" t="b">
        <v>0</v>
      </c>
    </row>
    <row r="4289">
      <c r="A4289" t="inlineStr">
        <is>
          <t>S008</t>
        </is>
      </c>
      <c r="B4289" s="3" t="n">
        <v>46279</v>
      </c>
      <c r="C4289" t="n">
        <v>23</v>
      </c>
      <c r="D4289" t="inlineStr">
        <is>
          <t>Monday</t>
        </is>
      </c>
      <c r="E4289" t="n">
        <v>25</v>
      </c>
      <c r="F4289" t="b">
        <v>0</v>
      </c>
      <c r="H4289" t="b">
        <v>0</v>
      </c>
    </row>
    <row r="4290">
      <c r="A4290" t="inlineStr">
        <is>
          <t>S009</t>
        </is>
      </c>
      <c r="B4290" s="3" t="n">
        <v>46279</v>
      </c>
      <c r="C4290" t="n">
        <v>8</v>
      </c>
      <c r="D4290" t="inlineStr">
        <is>
          <t>Monday</t>
        </is>
      </c>
      <c r="E4290" t="n">
        <v>14</v>
      </c>
      <c r="F4290" t="b">
        <v>0</v>
      </c>
      <c r="H4290" t="b">
        <v>0</v>
      </c>
    </row>
    <row r="4291">
      <c r="A4291" t="inlineStr">
        <is>
          <t>S009</t>
        </is>
      </c>
      <c r="B4291" s="3" t="n">
        <v>46279</v>
      </c>
      <c r="C4291" t="n">
        <v>9</v>
      </c>
      <c r="D4291" t="inlineStr">
        <is>
          <t>Monday</t>
        </is>
      </c>
      <c r="E4291" t="n">
        <v>24</v>
      </c>
      <c r="F4291" t="b">
        <v>0</v>
      </c>
      <c r="H4291" t="b">
        <v>0</v>
      </c>
    </row>
    <row r="4292">
      <c r="A4292" t="inlineStr">
        <is>
          <t>S009</t>
        </is>
      </c>
      <c r="B4292" s="3" t="n">
        <v>46279</v>
      </c>
      <c r="C4292" t="n">
        <v>10</v>
      </c>
      <c r="D4292" t="inlineStr">
        <is>
          <t>Monday</t>
        </is>
      </c>
      <c r="E4292" t="n">
        <v>16</v>
      </c>
      <c r="F4292" t="b">
        <v>0</v>
      </c>
      <c r="G4292" t="inlineStr">
        <is>
          <t>Light</t>
        </is>
      </c>
      <c r="H4292" t="b">
        <v>0</v>
      </c>
    </row>
    <row r="4293">
      <c r="A4293" t="inlineStr">
        <is>
          <t>S009</t>
        </is>
      </c>
      <c r="B4293" s="3" t="n">
        <v>46279</v>
      </c>
      <c r="C4293" t="n">
        <v>11</v>
      </c>
      <c r="D4293" t="inlineStr">
        <is>
          <t>Monday</t>
        </is>
      </c>
      <c r="E4293" t="n">
        <v>34</v>
      </c>
      <c r="F4293" t="b">
        <v>0</v>
      </c>
      <c r="H4293" t="b">
        <v>0</v>
      </c>
    </row>
    <row r="4294">
      <c r="A4294" t="inlineStr">
        <is>
          <t>S009</t>
        </is>
      </c>
      <c r="B4294" s="3" t="n">
        <v>46279</v>
      </c>
      <c r="C4294" t="n">
        <v>12</v>
      </c>
      <c r="D4294" t="inlineStr">
        <is>
          <t>Monday</t>
        </is>
      </c>
      <c r="E4294" t="n">
        <v>27</v>
      </c>
      <c r="F4294" t="b">
        <v>0</v>
      </c>
      <c r="G4294" t="inlineStr">
        <is>
          <t>Light</t>
        </is>
      </c>
      <c r="H4294" t="b">
        <v>0</v>
      </c>
    </row>
    <row r="4295">
      <c r="A4295" t="inlineStr">
        <is>
          <t>S009</t>
        </is>
      </c>
      <c r="B4295" s="3" t="n">
        <v>46279</v>
      </c>
      <c r="C4295" t="n">
        <v>13</v>
      </c>
      <c r="D4295" t="inlineStr">
        <is>
          <t>Monday</t>
        </is>
      </c>
      <c r="E4295" t="n">
        <v>31</v>
      </c>
      <c r="F4295" t="b">
        <v>0</v>
      </c>
      <c r="G4295" t="inlineStr">
        <is>
          <t>Heavy</t>
        </is>
      </c>
      <c r="H4295" t="b">
        <v>0</v>
      </c>
    </row>
    <row r="4296">
      <c r="A4296" t="inlineStr">
        <is>
          <t>S009</t>
        </is>
      </c>
      <c r="B4296" s="3" t="n">
        <v>46279</v>
      </c>
      <c r="C4296" t="n">
        <v>14</v>
      </c>
      <c r="D4296" t="inlineStr">
        <is>
          <t>Monday</t>
        </is>
      </c>
      <c r="E4296" t="n">
        <v>19</v>
      </c>
      <c r="F4296" t="b">
        <v>0</v>
      </c>
      <c r="H4296" t="b">
        <v>0</v>
      </c>
    </row>
    <row r="4297">
      <c r="A4297" t="inlineStr">
        <is>
          <t>S009</t>
        </is>
      </c>
      <c r="B4297" s="3" t="n">
        <v>46279</v>
      </c>
      <c r="C4297" t="n">
        <v>15</v>
      </c>
      <c r="D4297" t="inlineStr">
        <is>
          <t>Monday</t>
        </is>
      </c>
      <c r="E4297" t="n">
        <v>29</v>
      </c>
      <c r="F4297" t="b">
        <v>0</v>
      </c>
      <c r="H4297" t="b">
        <v>0</v>
      </c>
    </row>
    <row r="4298">
      <c r="A4298" t="inlineStr">
        <is>
          <t>S009</t>
        </is>
      </c>
      <c r="B4298" s="3" t="n">
        <v>46279</v>
      </c>
      <c r="C4298" t="n">
        <v>16</v>
      </c>
      <c r="D4298" t="inlineStr">
        <is>
          <t>Monday</t>
        </is>
      </c>
      <c r="E4298" t="n">
        <v>35</v>
      </c>
      <c r="F4298" t="b">
        <v>0</v>
      </c>
      <c r="H4298" t="b">
        <v>0</v>
      </c>
    </row>
    <row r="4299">
      <c r="A4299" t="inlineStr">
        <is>
          <t>S009</t>
        </is>
      </c>
      <c r="B4299" s="3" t="n">
        <v>46279</v>
      </c>
      <c r="C4299" t="n">
        <v>17</v>
      </c>
      <c r="D4299" t="inlineStr">
        <is>
          <t>Monday</t>
        </is>
      </c>
      <c r="E4299" t="n">
        <v>25</v>
      </c>
      <c r="F4299" t="b">
        <v>0</v>
      </c>
      <c r="G4299" t="inlineStr">
        <is>
          <t>Light</t>
        </is>
      </c>
      <c r="H4299" t="b">
        <v>0</v>
      </c>
    </row>
    <row r="4300">
      <c r="A4300" t="inlineStr">
        <is>
          <t>S009</t>
        </is>
      </c>
      <c r="B4300" s="3" t="n">
        <v>46279</v>
      </c>
      <c r="C4300" t="n">
        <v>18</v>
      </c>
      <c r="D4300" t="inlineStr">
        <is>
          <t>Monday</t>
        </is>
      </c>
      <c r="E4300" t="n">
        <v>23</v>
      </c>
      <c r="F4300" t="b">
        <v>0</v>
      </c>
      <c r="G4300" t="inlineStr">
        <is>
          <t>Heavy</t>
        </is>
      </c>
      <c r="H4300" t="b">
        <v>0</v>
      </c>
    </row>
    <row r="4301">
      <c r="A4301" t="inlineStr">
        <is>
          <t>S009</t>
        </is>
      </c>
      <c r="B4301" s="3" t="n">
        <v>46279</v>
      </c>
      <c r="C4301" t="n">
        <v>19</v>
      </c>
      <c r="D4301" t="inlineStr">
        <is>
          <t>Monday</t>
        </is>
      </c>
      <c r="E4301" t="n">
        <v>44</v>
      </c>
      <c r="F4301" t="b">
        <v>1</v>
      </c>
      <c r="H4301" t="b">
        <v>0</v>
      </c>
    </row>
    <row r="4302">
      <c r="A4302" t="inlineStr">
        <is>
          <t>S009</t>
        </is>
      </c>
      <c r="B4302" s="3" t="n">
        <v>46279</v>
      </c>
      <c r="C4302" t="n">
        <v>20</v>
      </c>
      <c r="D4302" t="inlineStr">
        <is>
          <t>Monday</t>
        </is>
      </c>
      <c r="E4302" t="n">
        <v>46</v>
      </c>
      <c r="F4302" t="b">
        <v>1</v>
      </c>
      <c r="H4302" t="b">
        <v>0</v>
      </c>
    </row>
    <row r="4303">
      <c r="A4303" t="inlineStr">
        <is>
          <t>S009</t>
        </is>
      </c>
      <c r="B4303" s="3" t="n">
        <v>46279</v>
      </c>
      <c r="C4303" t="n">
        <v>21</v>
      </c>
      <c r="D4303" t="inlineStr">
        <is>
          <t>Monday</t>
        </is>
      </c>
      <c r="E4303" t="n">
        <v>50</v>
      </c>
      <c r="F4303" t="b">
        <v>1</v>
      </c>
      <c r="H4303" t="b">
        <v>0</v>
      </c>
    </row>
    <row r="4304">
      <c r="A4304" t="inlineStr">
        <is>
          <t>S009</t>
        </is>
      </c>
      <c r="B4304" s="3" t="n">
        <v>46279</v>
      </c>
      <c r="C4304" t="n">
        <v>22</v>
      </c>
      <c r="D4304" t="inlineStr">
        <is>
          <t>Monday</t>
        </is>
      </c>
      <c r="E4304" t="n">
        <v>28</v>
      </c>
      <c r="F4304" t="b">
        <v>0</v>
      </c>
      <c r="G4304" t="inlineStr">
        <is>
          <t>Heavy</t>
        </is>
      </c>
      <c r="H4304" t="b">
        <v>0</v>
      </c>
    </row>
    <row r="4305">
      <c r="A4305" t="inlineStr">
        <is>
          <t>S009</t>
        </is>
      </c>
      <c r="B4305" s="3" t="n">
        <v>46279</v>
      </c>
      <c r="C4305" t="n">
        <v>23</v>
      </c>
      <c r="D4305" t="inlineStr">
        <is>
          <t>Monday</t>
        </is>
      </c>
      <c r="E4305" t="n">
        <v>20</v>
      </c>
      <c r="F4305" t="b">
        <v>0</v>
      </c>
      <c r="H4305" t="b">
        <v>0</v>
      </c>
    </row>
    <row r="4306">
      <c r="A4306" t="inlineStr">
        <is>
          <t>S010</t>
        </is>
      </c>
      <c r="B4306" s="3" t="n">
        <v>46279</v>
      </c>
      <c r="C4306" t="n">
        <v>8</v>
      </c>
      <c r="D4306" t="inlineStr">
        <is>
          <t>Monday</t>
        </is>
      </c>
      <c r="E4306" t="n">
        <v>15</v>
      </c>
      <c r="F4306" t="b">
        <v>0</v>
      </c>
      <c r="H4306" t="b">
        <v>0</v>
      </c>
    </row>
    <row r="4307">
      <c r="A4307" t="inlineStr">
        <is>
          <t>S010</t>
        </is>
      </c>
      <c r="B4307" s="3" t="n">
        <v>46279</v>
      </c>
      <c r="C4307" t="n">
        <v>9</v>
      </c>
      <c r="D4307" t="inlineStr">
        <is>
          <t>Monday</t>
        </is>
      </c>
      <c r="E4307" t="n">
        <v>6</v>
      </c>
      <c r="F4307" t="b">
        <v>0</v>
      </c>
      <c r="H4307" t="b">
        <v>0</v>
      </c>
    </row>
    <row r="4308">
      <c r="A4308" t="inlineStr">
        <is>
          <t>S010</t>
        </is>
      </c>
      <c r="B4308" s="3" t="n">
        <v>46279</v>
      </c>
      <c r="C4308" t="n">
        <v>10</v>
      </c>
      <c r="D4308" t="inlineStr">
        <is>
          <t>Monday</t>
        </is>
      </c>
      <c r="E4308" t="n">
        <v>15</v>
      </c>
      <c r="F4308" t="b">
        <v>0</v>
      </c>
      <c r="G4308" t="inlineStr">
        <is>
          <t>Light</t>
        </is>
      </c>
      <c r="H4308" t="b">
        <v>0</v>
      </c>
    </row>
    <row r="4309">
      <c r="A4309" t="inlineStr">
        <is>
          <t>S010</t>
        </is>
      </c>
      <c r="B4309" s="3" t="n">
        <v>46279</v>
      </c>
      <c r="C4309" t="n">
        <v>11</v>
      </c>
      <c r="D4309" t="inlineStr">
        <is>
          <t>Monday</t>
        </is>
      </c>
      <c r="E4309" t="n">
        <v>19</v>
      </c>
      <c r="F4309" t="b">
        <v>0</v>
      </c>
      <c r="G4309" t="inlineStr">
        <is>
          <t>Heavy</t>
        </is>
      </c>
      <c r="H4309" t="b">
        <v>0</v>
      </c>
    </row>
    <row r="4310">
      <c r="A4310" t="inlineStr">
        <is>
          <t>S010</t>
        </is>
      </c>
      <c r="B4310" s="3" t="n">
        <v>46279</v>
      </c>
      <c r="C4310" t="n">
        <v>12</v>
      </c>
      <c r="D4310" t="inlineStr">
        <is>
          <t>Monday</t>
        </is>
      </c>
      <c r="E4310" t="n">
        <v>27</v>
      </c>
      <c r="F4310" t="b">
        <v>0</v>
      </c>
      <c r="H4310" t="b">
        <v>0</v>
      </c>
    </row>
    <row r="4311">
      <c r="A4311" t="inlineStr">
        <is>
          <t>S010</t>
        </is>
      </c>
      <c r="B4311" s="3" t="n">
        <v>46279</v>
      </c>
      <c r="C4311" t="n">
        <v>13</v>
      </c>
      <c r="D4311" t="inlineStr">
        <is>
          <t>Monday</t>
        </is>
      </c>
      <c r="E4311" t="n">
        <v>15</v>
      </c>
      <c r="F4311" t="b">
        <v>0</v>
      </c>
      <c r="H4311" t="b">
        <v>0</v>
      </c>
    </row>
    <row r="4312">
      <c r="A4312" t="inlineStr">
        <is>
          <t>S010</t>
        </is>
      </c>
      <c r="B4312" s="3" t="n">
        <v>46279</v>
      </c>
      <c r="C4312" t="n">
        <v>14</v>
      </c>
      <c r="D4312" t="inlineStr">
        <is>
          <t>Monday</t>
        </is>
      </c>
      <c r="E4312" t="n">
        <v>13</v>
      </c>
      <c r="F4312" t="b">
        <v>0</v>
      </c>
      <c r="H4312" t="b">
        <v>0</v>
      </c>
    </row>
    <row r="4313">
      <c r="A4313" t="inlineStr">
        <is>
          <t>S010</t>
        </is>
      </c>
      <c r="B4313" s="3" t="n">
        <v>46279</v>
      </c>
      <c r="C4313" t="n">
        <v>15</v>
      </c>
      <c r="D4313" t="inlineStr">
        <is>
          <t>Monday</t>
        </is>
      </c>
      <c r="E4313" t="n">
        <v>16</v>
      </c>
      <c r="F4313" t="b">
        <v>0</v>
      </c>
      <c r="H4313" t="b">
        <v>0</v>
      </c>
    </row>
    <row r="4314">
      <c r="A4314" t="inlineStr">
        <is>
          <t>S010</t>
        </is>
      </c>
      <c r="B4314" s="3" t="n">
        <v>46279</v>
      </c>
      <c r="C4314" t="n">
        <v>16</v>
      </c>
      <c r="D4314" t="inlineStr">
        <is>
          <t>Monday</t>
        </is>
      </c>
      <c r="E4314" t="n">
        <v>27</v>
      </c>
      <c r="F4314" t="b">
        <v>0</v>
      </c>
      <c r="H4314" t="b">
        <v>0</v>
      </c>
    </row>
    <row r="4315">
      <c r="A4315" t="inlineStr">
        <is>
          <t>S010</t>
        </is>
      </c>
      <c r="B4315" s="3" t="n">
        <v>46279</v>
      </c>
      <c r="C4315" t="n">
        <v>17</v>
      </c>
      <c r="D4315" t="inlineStr">
        <is>
          <t>Monday</t>
        </is>
      </c>
      <c r="E4315" t="n">
        <v>21</v>
      </c>
      <c r="F4315" t="b">
        <v>0</v>
      </c>
      <c r="H4315" t="b">
        <v>0</v>
      </c>
    </row>
    <row r="4316">
      <c r="A4316" t="inlineStr">
        <is>
          <t>S010</t>
        </is>
      </c>
      <c r="B4316" s="3" t="n">
        <v>46279</v>
      </c>
      <c r="C4316" t="n">
        <v>18</v>
      </c>
      <c r="D4316" t="inlineStr">
        <is>
          <t>Monday</t>
        </is>
      </c>
      <c r="E4316" t="n">
        <v>18</v>
      </c>
      <c r="F4316" t="b">
        <v>0</v>
      </c>
      <c r="H4316" t="b">
        <v>0</v>
      </c>
    </row>
    <row r="4317">
      <c r="A4317" t="inlineStr">
        <is>
          <t>S010</t>
        </is>
      </c>
      <c r="B4317" s="3" t="n">
        <v>46279</v>
      </c>
      <c r="C4317" t="n">
        <v>19</v>
      </c>
      <c r="D4317" t="inlineStr">
        <is>
          <t>Monday</t>
        </is>
      </c>
      <c r="E4317" t="n">
        <v>31</v>
      </c>
      <c r="F4317" t="b">
        <v>1</v>
      </c>
      <c r="H4317" t="b">
        <v>0</v>
      </c>
    </row>
    <row r="4318">
      <c r="A4318" t="inlineStr">
        <is>
          <t>S010</t>
        </is>
      </c>
      <c r="B4318" s="3" t="n">
        <v>46279</v>
      </c>
      <c r="C4318" t="n">
        <v>20</v>
      </c>
      <c r="D4318" t="inlineStr">
        <is>
          <t>Monday</t>
        </is>
      </c>
      <c r="E4318" t="n">
        <v>37</v>
      </c>
      <c r="F4318" t="b">
        <v>1</v>
      </c>
      <c r="H4318" t="b">
        <v>0</v>
      </c>
    </row>
    <row r="4319">
      <c r="A4319" t="inlineStr">
        <is>
          <t>S010</t>
        </is>
      </c>
      <c r="B4319" s="3" t="n">
        <v>46279</v>
      </c>
      <c r="C4319" t="n">
        <v>21</v>
      </c>
      <c r="D4319" t="inlineStr">
        <is>
          <t>Monday</t>
        </is>
      </c>
      <c r="E4319" t="n">
        <v>34</v>
      </c>
      <c r="F4319" t="b">
        <v>1</v>
      </c>
      <c r="G4319" t="inlineStr">
        <is>
          <t>Light</t>
        </is>
      </c>
      <c r="H4319" t="b">
        <v>0</v>
      </c>
    </row>
    <row r="4320">
      <c r="A4320" t="inlineStr">
        <is>
          <t>S010</t>
        </is>
      </c>
      <c r="B4320" s="3" t="n">
        <v>46279</v>
      </c>
      <c r="C4320" t="n">
        <v>22</v>
      </c>
      <c r="D4320" t="inlineStr">
        <is>
          <t>Monday</t>
        </is>
      </c>
      <c r="E4320" t="n">
        <v>19</v>
      </c>
      <c r="F4320" t="b">
        <v>0</v>
      </c>
      <c r="H4320" t="b">
        <v>0</v>
      </c>
    </row>
    <row r="4321">
      <c r="A4321" t="inlineStr">
        <is>
          <t>S010</t>
        </is>
      </c>
      <c r="B4321" s="3" t="n">
        <v>46279</v>
      </c>
      <c r="C4321" t="n">
        <v>23</v>
      </c>
      <c r="D4321" t="inlineStr">
        <is>
          <t>Monday</t>
        </is>
      </c>
      <c r="E4321" t="n">
        <v>13</v>
      </c>
      <c r="F4321" t="b">
        <v>0</v>
      </c>
      <c r="H4321" t="b">
        <v>1</v>
      </c>
    </row>
    <row r="4322">
      <c r="A4322" t="inlineStr">
        <is>
          <t>S011</t>
        </is>
      </c>
      <c r="B4322" s="3" t="n">
        <v>46279</v>
      </c>
      <c r="C4322" t="n">
        <v>8</v>
      </c>
      <c r="D4322" t="inlineStr">
        <is>
          <t>Monday</t>
        </is>
      </c>
      <c r="E4322" t="n">
        <v>27</v>
      </c>
      <c r="F4322" t="b">
        <v>0</v>
      </c>
      <c r="H4322" t="b">
        <v>0</v>
      </c>
    </row>
    <row r="4323">
      <c r="A4323" t="inlineStr">
        <is>
          <t>S011</t>
        </is>
      </c>
      <c r="B4323" s="3" t="n">
        <v>46279</v>
      </c>
      <c r="C4323" t="n">
        <v>9</v>
      </c>
      <c r="D4323" t="inlineStr">
        <is>
          <t>Monday</t>
        </is>
      </c>
      <c r="E4323" t="n">
        <v>23</v>
      </c>
      <c r="F4323" t="b">
        <v>0</v>
      </c>
      <c r="G4323" t="inlineStr">
        <is>
          <t>Heavy</t>
        </is>
      </c>
      <c r="H4323" t="b">
        <v>0</v>
      </c>
    </row>
    <row r="4324">
      <c r="A4324" t="inlineStr">
        <is>
          <t>S011</t>
        </is>
      </c>
      <c r="B4324" s="3" t="n">
        <v>46279</v>
      </c>
      <c r="C4324" t="n">
        <v>10</v>
      </c>
      <c r="D4324" t="inlineStr">
        <is>
          <t>Monday</t>
        </is>
      </c>
      <c r="E4324" t="n">
        <v>19</v>
      </c>
      <c r="F4324" t="b">
        <v>0</v>
      </c>
      <c r="H4324" t="b">
        <v>0</v>
      </c>
    </row>
    <row r="4325">
      <c r="A4325" t="inlineStr">
        <is>
          <t>S011</t>
        </is>
      </c>
      <c r="B4325" s="3" t="n">
        <v>46279</v>
      </c>
      <c r="C4325" t="n">
        <v>11</v>
      </c>
      <c r="D4325" t="inlineStr">
        <is>
          <t>Monday</t>
        </is>
      </c>
      <c r="E4325" t="n">
        <v>35</v>
      </c>
      <c r="F4325" t="b">
        <v>0</v>
      </c>
      <c r="G4325" t="inlineStr">
        <is>
          <t>Heavy</t>
        </is>
      </c>
      <c r="H4325" t="b">
        <v>0</v>
      </c>
    </row>
    <row r="4326">
      <c r="A4326" t="inlineStr">
        <is>
          <t>S011</t>
        </is>
      </c>
      <c r="B4326" s="3" t="n">
        <v>46279</v>
      </c>
      <c r="C4326" t="n">
        <v>12</v>
      </c>
      <c r="D4326" t="inlineStr">
        <is>
          <t>Monday</t>
        </is>
      </c>
      <c r="E4326" t="n">
        <v>35</v>
      </c>
      <c r="F4326" t="b">
        <v>0</v>
      </c>
      <c r="H4326" t="b">
        <v>0</v>
      </c>
    </row>
    <row r="4327">
      <c r="A4327" t="inlineStr">
        <is>
          <t>S011</t>
        </is>
      </c>
      <c r="B4327" s="3" t="n">
        <v>46279</v>
      </c>
      <c r="C4327" t="n">
        <v>13</v>
      </c>
      <c r="D4327" t="inlineStr">
        <is>
          <t>Monday</t>
        </is>
      </c>
      <c r="E4327" t="n">
        <v>28</v>
      </c>
      <c r="F4327" t="b">
        <v>0</v>
      </c>
      <c r="H4327" t="b">
        <v>0</v>
      </c>
    </row>
    <row r="4328">
      <c r="A4328" t="inlineStr">
        <is>
          <t>S011</t>
        </is>
      </c>
      <c r="B4328" s="3" t="n">
        <v>46279</v>
      </c>
      <c r="C4328" t="n">
        <v>14</v>
      </c>
      <c r="D4328" t="inlineStr">
        <is>
          <t>Monday</t>
        </is>
      </c>
      <c r="E4328" t="n">
        <v>18</v>
      </c>
      <c r="F4328" t="b">
        <v>0</v>
      </c>
      <c r="H4328" t="b">
        <v>0</v>
      </c>
    </row>
    <row r="4329">
      <c r="A4329" t="inlineStr">
        <is>
          <t>S011</t>
        </is>
      </c>
      <c r="B4329" s="3" t="n">
        <v>46279</v>
      </c>
      <c r="C4329" t="n">
        <v>15</v>
      </c>
      <c r="D4329" t="inlineStr">
        <is>
          <t>Monday</t>
        </is>
      </c>
      <c r="E4329" t="n">
        <v>21</v>
      </c>
      <c r="F4329" t="b">
        <v>0</v>
      </c>
      <c r="H4329" t="b">
        <v>0</v>
      </c>
    </row>
    <row r="4330">
      <c r="A4330" t="inlineStr">
        <is>
          <t>S011</t>
        </is>
      </c>
      <c r="B4330" s="3" t="n">
        <v>46279</v>
      </c>
      <c r="C4330" t="n">
        <v>16</v>
      </c>
      <c r="D4330" t="inlineStr">
        <is>
          <t>Monday</t>
        </is>
      </c>
      <c r="E4330" t="n">
        <v>39</v>
      </c>
      <c r="F4330" t="b">
        <v>0</v>
      </c>
      <c r="H4330" t="b">
        <v>0</v>
      </c>
    </row>
    <row r="4331">
      <c r="A4331" t="inlineStr">
        <is>
          <t>S011</t>
        </is>
      </c>
      <c r="B4331" s="3" t="n">
        <v>46279</v>
      </c>
      <c r="C4331" t="n">
        <v>17</v>
      </c>
      <c r="D4331" t="inlineStr">
        <is>
          <t>Monday</t>
        </is>
      </c>
      <c r="E4331" t="n">
        <v>28</v>
      </c>
      <c r="F4331" t="b">
        <v>0</v>
      </c>
      <c r="H4331" t="b">
        <v>0</v>
      </c>
    </row>
    <row r="4332">
      <c r="A4332" t="inlineStr">
        <is>
          <t>S011</t>
        </is>
      </c>
      <c r="B4332" s="3" t="n">
        <v>46279</v>
      </c>
      <c r="C4332" t="n">
        <v>18</v>
      </c>
      <c r="D4332" t="inlineStr">
        <is>
          <t>Monday</t>
        </is>
      </c>
      <c r="E4332" t="n">
        <v>27</v>
      </c>
      <c r="F4332" t="b">
        <v>0</v>
      </c>
      <c r="G4332" t="inlineStr">
        <is>
          <t>Heavy</t>
        </is>
      </c>
      <c r="H4332" t="b">
        <v>0</v>
      </c>
    </row>
    <row r="4333">
      <c r="A4333" t="inlineStr">
        <is>
          <t>S011</t>
        </is>
      </c>
      <c r="B4333" s="3" t="n">
        <v>46279</v>
      </c>
      <c r="C4333" t="n">
        <v>19</v>
      </c>
      <c r="D4333" t="inlineStr">
        <is>
          <t>Monday</t>
        </is>
      </c>
      <c r="E4333" t="n">
        <v>39</v>
      </c>
      <c r="F4333" t="b">
        <v>1</v>
      </c>
      <c r="G4333" t="inlineStr">
        <is>
          <t>Heavy</t>
        </is>
      </c>
      <c r="H4333" t="b">
        <v>0</v>
      </c>
    </row>
    <row r="4334">
      <c r="A4334" t="inlineStr">
        <is>
          <t>S011</t>
        </is>
      </c>
      <c r="B4334" s="3" t="n">
        <v>46279</v>
      </c>
      <c r="C4334" t="n">
        <v>20</v>
      </c>
      <c r="D4334" t="inlineStr">
        <is>
          <t>Monday</t>
        </is>
      </c>
      <c r="E4334" t="n">
        <v>27</v>
      </c>
      <c r="F4334" t="b">
        <v>1</v>
      </c>
      <c r="H4334" t="b">
        <v>0</v>
      </c>
    </row>
    <row r="4335">
      <c r="A4335" t="inlineStr">
        <is>
          <t>S011</t>
        </is>
      </c>
      <c r="B4335" s="3" t="n">
        <v>46279</v>
      </c>
      <c r="C4335" t="n">
        <v>21</v>
      </c>
      <c r="D4335" t="inlineStr">
        <is>
          <t>Monday</t>
        </is>
      </c>
      <c r="E4335" t="n">
        <v>32</v>
      </c>
      <c r="F4335" t="b">
        <v>1</v>
      </c>
      <c r="H4335" t="b">
        <v>0</v>
      </c>
    </row>
    <row r="4336">
      <c r="A4336" t="inlineStr">
        <is>
          <t>S011</t>
        </is>
      </c>
      <c r="B4336" s="3" t="n">
        <v>46279</v>
      </c>
      <c r="C4336" t="n">
        <v>22</v>
      </c>
      <c r="D4336" t="inlineStr">
        <is>
          <t>Monday</t>
        </is>
      </c>
      <c r="E4336" t="n">
        <v>27</v>
      </c>
      <c r="F4336" t="b">
        <v>0</v>
      </c>
      <c r="G4336" t="inlineStr">
        <is>
          <t>Light</t>
        </is>
      </c>
      <c r="H4336" t="b">
        <v>0</v>
      </c>
    </row>
    <row r="4337">
      <c r="A4337" t="inlineStr">
        <is>
          <t>S011</t>
        </is>
      </c>
      <c r="B4337" s="3" t="n">
        <v>46279</v>
      </c>
      <c r="C4337" t="n">
        <v>23</v>
      </c>
      <c r="D4337" t="inlineStr">
        <is>
          <t>Monday</t>
        </is>
      </c>
      <c r="E4337" t="n">
        <v>26</v>
      </c>
      <c r="F4337" t="b">
        <v>0</v>
      </c>
      <c r="H4337" t="b">
        <v>0</v>
      </c>
    </row>
    <row r="4338">
      <c r="A4338" t="inlineStr">
        <is>
          <t>S012</t>
        </is>
      </c>
      <c r="B4338" s="3" t="n">
        <v>46279</v>
      </c>
      <c r="C4338" t="n">
        <v>8</v>
      </c>
      <c r="D4338" t="inlineStr">
        <is>
          <t>Monday</t>
        </is>
      </c>
      <c r="E4338" t="n">
        <v>14</v>
      </c>
      <c r="F4338" t="b">
        <v>0</v>
      </c>
      <c r="H4338" t="b">
        <v>0</v>
      </c>
    </row>
    <row r="4339">
      <c r="A4339" t="inlineStr">
        <is>
          <t>S012</t>
        </is>
      </c>
      <c r="B4339" s="3" t="n">
        <v>46279</v>
      </c>
      <c r="C4339" t="n">
        <v>9</v>
      </c>
      <c r="D4339" t="inlineStr">
        <is>
          <t>Monday</t>
        </is>
      </c>
      <c r="E4339" t="n">
        <v>9</v>
      </c>
      <c r="F4339" t="b">
        <v>0</v>
      </c>
      <c r="H4339" t="b">
        <v>0</v>
      </c>
    </row>
    <row r="4340">
      <c r="A4340" t="inlineStr">
        <is>
          <t>S012</t>
        </is>
      </c>
      <c r="B4340" s="3" t="n">
        <v>46279</v>
      </c>
      <c r="C4340" t="n">
        <v>10</v>
      </c>
      <c r="D4340" t="inlineStr">
        <is>
          <t>Monday</t>
        </is>
      </c>
      <c r="E4340" t="n">
        <v>14</v>
      </c>
      <c r="F4340" t="b">
        <v>0</v>
      </c>
      <c r="H4340" t="b">
        <v>0</v>
      </c>
    </row>
    <row r="4341">
      <c r="A4341" t="inlineStr">
        <is>
          <t>S012</t>
        </is>
      </c>
      <c r="B4341" s="3" t="n">
        <v>46279</v>
      </c>
      <c r="C4341" t="n">
        <v>11</v>
      </c>
      <c r="D4341" t="inlineStr">
        <is>
          <t>Monday</t>
        </is>
      </c>
      <c r="E4341" t="n">
        <v>19</v>
      </c>
      <c r="F4341" t="b">
        <v>0</v>
      </c>
      <c r="G4341" t="inlineStr">
        <is>
          <t>Light</t>
        </is>
      </c>
      <c r="H4341" t="b">
        <v>0</v>
      </c>
    </row>
    <row r="4342">
      <c r="A4342" t="inlineStr">
        <is>
          <t>S012</t>
        </is>
      </c>
      <c r="B4342" s="3" t="n">
        <v>46279</v>
      </c>
      <c r="C4342" t="n">
        <v>12</v>
      </c>
      <c r="D4342" t="inlineStr">
        <is>
          <t>Monday</t>
        </is>
      </c>
      <c r="E4342" t="n">
        <v>15</v>
      </c>
      <c r="F4342" t="b">
        <v>0</v>
      </c>
      <c r="H4342" t="b">
        <v>0</v>
      </c>
    </row>
    <row r="4343">
      <c r="A4343" t="inlineStr">
        <is>
          <t>S012</t>
        </is>
      </c>
      <c r="B4343" s="3" t="n">
        <v>46279</v>
      </c>
      <c r="C4343" t="n">
        <v>13</v>
      </c>
      <c r="D4343" t="inlineStr">
        <is>
          <t>Monday</t>
        </is>
      </c>
      <c r="E4343" t="n">
        <v>7</v>
      </c>
      <c r="F4343" t="b">
        <v>0</v>
      </c>
      <c r="H4343" t="b">
        <v>0</v>
      </c>
    </row>
    <row r="4344">
      <c r="A4344" t="inlineStr">
        <is>
          <t>S012</t>
        </is>
      </c>
      <c r="B4344" s="3" t="n">
        <v>46279</v>
      </c>
      <c r="C4344" t="n">
        <v>14</v>
      </c>
      <c r="D4344" t="inlineStr">
        <is>
          <t>Monday</t>
        </is>
      </c>
      <c r="E4344" t="n">
        <v>17</v>
      </c>
      <c r="F4344" t="b">
        <v>0</v>
      </c>
      <c r="G4344" t="inlineStr">
        <is>
          <t>Heavy</t>
        </is>
      </c>
      <c r="H4344" t="b">
        <v>0</v>
      </c>
    </row>
    <row r="4345">
      <c r="A4345" t="inlineStr">
        <is>
          <t>S012</t>
        </is>
      </c>
      <c r="B4345" s="3" t="n">
        <v>46279</v>
      </c>
      <c r="C4345" t="n">
        <v>15</v>
      </c>
      <c r="D4345" t="inlineStr">
        <is>
          <t>Monday</t>
        </is>
      </c>
      <c r="E4345" t="n">
        <v>16</v>
      </c>
      <c r="F4345" t="b">
        <v>0</v>
      </c>
      <c r="H4345" t="b">
        <v>0</v>
      </c>
    </row>
    <row r="4346">
      <c r="A4346" t="inlineStr">
        <is>
          <t>S012</t>
        </is>
      </c>
      <c r="B4346" s="3" t="n">
        <v>46279</v>
      </c>
      <c r="C4346" t="n">
        <v>16</v>
      </c>
      <c r="D4346" t="inlineStr">
        <is>
          <t>Monday</t>
        </is>
      </c>
      <c r="E4346" t="n">
        <v>20</v>
      </c>
      <c r="F4346" t="b">
        <v>0</v>
      </c>
      <c r="H4346" t="b">
        <v>0</v>
      </c>
    </row>
    <row r="4347">
      <c r="A4347" t="inlineStr">
        <is>
          <t>S012</t>
        </is>
      </c>
      <c r="B4347" s="3" t="n">
        <v>46279</v>
      </c>
      <c r="C4347" t="n">
        <v>17</v>
      </c>
      <c r="D4347" t="inlineStr">
        <is>
          <t>Monday</t>
        </is>
      </c>
      <c r="E4347" t="n">
        <v>18</v>
      </c>
      <c r="F4347" t="b">
        <v>0</v>
      </c>
      <c r="G4347" t="inlineStr">
        <is>
          <t>Light</t>
        </is>
      </c>
      <c r="H4347" t="b">
        <v>0</v>
      </c>
    </row>
    <row r="4348">
      <c r="A4348" t="inlineStr">
        <is>
          <t>S012</t>
        </is>
      </c>
      <c r="B4348" s="3" t="n">
        <v>46279</v>
      </c>
      <c r="C4348" t="n">
        <v>18</v>
      </c>
      <c r="D4348" t="inlineStr">
        <is>
          <t>Monday</t>
        </is>
      </c>
      <c r="E4348" t="n">
        <v>13</v>
      </c>
      <c r="F4348" t="b">
        <v>0</v>
      </c>
      <c r="H4348" t="b">
        <v>0</v>
      </c>
    </row>
    <row r="4349">
      <c r="A4349" t="inlineStr">
        <is>
          <t>S012</t>
        </is>
      </c>
      <c r="B4349" s="3" t="n">
        <v>46279</v>
      </c>
      <c r="C4349" t="n">
        <v>19</v>
      </c>
      <c r="D4349" t="inlineStr">
        <is>
          <t>Monday</t>
        </is>
      </c>
      <c r="E4349" t="n">
        <v>26</v>
      </c>
      <c r="F4349" t="b">
        <v>1</v>
      </c>
      <c r="H4349" t="b">
        <v>0</v>
      </c>
    </row>
    <row r="4350">
      <c r="A4350" t="inlineStr">
        <is>
          <t>S012</t>
        </is>
      </c>
      <c r="B4350" s="3" t="n">
        <v>46279</v>
      </c>
      <c r="C4350" t="n">
        <v>20</v>
      </c>
      <c r="D4350" t="inlineStr">
        <is>
          <t>Monday</t>
        </is>
      </c>
      <c r="E4350" t="n">
        <v>31</v>
      </c>
      <c r="F4350" t="b">
        <v>1</v>
      </c>
      <c r="G4350" t="inlineStr">
        <is>
          <t>Light</t>
        </is>
      </c>
      <c r="H4350" t="b">
        <v>0</v>
      </c>
    </row>
    <row r="4351">
      <c r="A4351" t="inlineStr">
        <is>
          <t>S012</t>
        </is>
      </c>
      <c r="B4351" s="3" t="n">
        <v>46279</v>
      </c>
      <c r="C4351" t="n">
        <v>21</v>
      </c>
      <c r="D4351" t="inlineStr">
        <is>
          <t>Monday</t>
        </is>
      </c>
      <c r="E4351" t="n">
        <v>22</v>
      </c>
      <c r="F4351" t="b">
        <v>1</v>
      </c>
      <c r="G4351" t="inlineStr">
        <is>
          <t>Light</t>
        </is>
      </c>
      <c r="H4351" t="b">
        <v>0</v>
      </c>
    </row>
    <row r="4352">
      <c r="A4352" t="inlineStr">
        <is>
          <t>S012</t>
        </is>
      </c>
      <c r="B4352" s="3" t="n">
        <v>46279</v>
      </c>
      <c r="C4352" t="n">
        <v>22</v>
      </c>
      <c r="D4352" t="inlineStr">
        <is>
          <t>Monday</t>
        </is>
      </c>
      <c r="E4352" t="n">
        <v>12</v>
      </c>
      <c r="F4352" t="b">
        <v>0</v>
      </c>
      <c r="G4352" t="inlineStr">
        <is>
          <t>Light</t>
        </is>
      </c>
      <c r="H4352" t="b">
        <v>0</v>
      </c>
    </row>
    <row r="4353">
      <c r="A4353" t="inlineStr">
        <is>
          <t>S012</t>
        </is>
      </c>
      <c r="B4353" s="3" t="n">
        <v>46279</v>
      </c>
      <c r="C4353" t="n">
        <v>23</v>
      </c>
      <c r="D4353" t="inlineStr">
        <is>
          <t>Monday</t>
        </is>
      </c>
      <c r="E4353" t="n">
        <v>15</v>
      </c>
      <c r="F4353" t="b">
        <v>0</v>
      </c>
      <c r="H4353" t="b">
        <v>0</v>
      </c>
    </row>
    <row r="4354">
      <c r="A4354" t="inlineStr">
        <is>
          <t>S013</t>
        </is>
      </c>
      <c r="B4354" s="3" t="n">
        <v>46279</v>
      </c>
      <c r="C4354" t="n">
        <v>8</v>
      </c>
      <c r="D4354" t="inlineStr">
        <is>
          <t>Monday</t>
        </is>
      </c>
      <c r="E4354" t="n">
        <v>36</v>
      </c>
      <c r="F4354" t="b">
        <v>0</v>
      </c>
      <c r="G4354" t="inlineStr">
        <is>
          <t>Heavy</t>
        </is>
      </c>
      <c r="H4354" t="b">
        <v>0</v>
      </c>
    </row>
    <row r="4355">
      <c r="A4355" t="inlineStr">
        <is>
          <t>S013</t>
        </is>
      </c>
      <c r="B4355" s="3" t="n">
        <v>46279</v>
      </c>
      <c r="C4355" t="n">
        <v>9</v>
      </c>
      <c r="D4355" t="inlineStr">
        <is>
          <t>Monday</t>
        </is>
      </c>
      <c r="E4355" t="n">
        <v>34</v>
      </c>
      <c r="F4355" t="b">
        <v>0</v>
      </c>
      <c r="H4355" t="b">
        <v>0</v>
      </c>
    </row>
    <row r="4356">
      <c r="A4356" t="inlineStr">
        <is>
          <t>S013</t>
        </is>
      </c>
      <c r="B4356" s="3" t="n">
        <v>46279</v>
      </c>
      <c r="C4356" t="n">
        <v>10</v>
      </c>
      <c r="D4356" t="inlineStr">
        <is>
          <t>Monday</t>
        </is>
      </c>
      <c r="E4356" t="n">
        <v>28</v>
      </c>
      <c r="F4356" t="b">
        <v>0</v>
      </c>
      <c r="H4356" t="b">
        <v>0</v>
      </c>
    </row>
    <row r="4357">
      <c r="A4357" t="inlineStr">
        <is>
          <t>S013</t>
        </is>
      </c>
      <c r="B4357" s="3" t="n">
        <v>46279</v>
      </c>
      <c r="C4357" t="n">
        <v>11</v>
      </c>
      <c r="D4357" t="inlineStr">
        <is>
          <t>Monday</t>
        </is>
      </c>
      <c r="E4357" t="n">
        <v>50</v>
      </c>
      <c r="F4357" t="b">
        <v>0</v>
      </c>
      <c r="H4357" t="b">
        <v>0</v>
      </c>
    </row>
    <row r="4358">
      <c r="A4358" t="inlineStr">
        <is>
          <t>S013</t>
        </is>
      </c>
      <c r="B4358" s="3" t="n">
        <v>46279</v>
      </c>
      <c r="C4358" t="n">
        <v>12</v>
      </c>
      <c r="D4358" t="inlineStr">
        <is>
          <t>Monday</t>
        </is>
      </c>
      <c r="E4358" t="n">
        <v>48</v>
      </c>
      <c r="F4358" t="b">
        <v>0</v>
      </c>
      <c r="G4358" t="inlineStr">
        <is>
          <t>Light</t>
        </is>
      </c>
      <c r="H4358" t="b">
        <v>0</v>
      </c>
    </row>
    <row r="4359">
      <c r="A4359" t="inlineStr">
        <is>
          <t>S013</t>
        </is>
      </c>
      <c r="B4359" s="3" t="n">
        <v>46279</v>
      </c>
      <c r="C4359" t="n">
        <v>13</v>
      </c>
      <c r="D4359" t="inlineStr">
        <is>
          <t>Monday</t>
        </is>
      </c>
      <c r="E4359" t="n">
        <v>41</v>
      </c>
      <c r="F4359" t="b">
        <v>0</v>
      </c>
      <c r="G4359" t="inlineStr">
        <is>
          <t>Light</t>
        </is>
      </c>
      <c r="H4359" t="b">
        <v>0</v>
      </c>
    </row>
    <row r="4360">
      <c r="A4360" t="inlineStr">
        <is>
          <t>S013</t>
        </is>
      </c>
      <c r="B4360" s="3" t="n">
        <v>46279</v>
      </c>
      <c r="C4360" t="n">
        <v>14</v>
      </c>
      <c r="D4360" t="inlineStr">
        <is>
          <t>Monday</t>
        </is>
      </c>
      <c r="E4360" t="n">
        <v>42</v>
      </c>
      <c r="F4360" t="b">
        <v>0</v>
      </c>
      <c r="H4360" t="b">
        <v>0</v>
      </c>
    </row>
    <row r="4361">
      <c r="A4361" t="inlineStr">
        <is>
          <t>S013</t>
        </is>
      </c>
      <c r="B4361" s="3" t="n">
        <v>46279</v>
      </c>
      <c r="C4361" t="n">
        <v>15</v>
      </c>
      <c r="D4361" t="inlineStr">
        <is>
          <t>Monday</t>
        </is>
      </c>
      <c r="E4361" t="n">
        <v>30</v>
      </c>
      <c r="F4361" t="b">
        <v>0</v>
      </c>
      <c r="G4361" t="inlineStr">
        <is>
          <t>Heavy</t>
        </is>
      </c>
      <c r="H4361" t="b">
        <v>0</v>
      </c>
    </row>
    <row r="4362">
      <c r="A4362" t="inlineStr">
        <is>
          <t>S013</t>
        </is>
      </c>
      <c r="B4362" s="3" t="n">
        <v>46279</v>
      </c>
      <c r="C4362" t="n">
        <v>16</v>
      </c>
      <c r="D4362" t="inlineStr">
        <is>
          <t>Monday</t>
        </is>
      </c>
      <c r="E4362" t="n">
        <v>39</v>
      </c>
      <c r="F4362" t="b">
        <v>0</v>
      </c>
      <c r="H4362" t="b">
        <v>0</v>
      </c>
    </row>
    <row r="4363">
      <c r="A4363" t="inlineStr">
        <is>
          <t>S013</t>
        </is>
      </c>
      <c r="B4363" s="3" t="n">
        <v>46279</v>
      </c>
      <c r="C4363" t="n">
        <v>17</v>
      </c>
      <c r="D4363" t="inlineStr">
        <is>
          <t>Monday</t>
        </is>
      </c>
      <c r="E4363" t="n">
        <v>33</v>
      </c>
      <c r="F4363" t="b">
        <v>0</v>
      </c>
      <c r="H4363" t="b">
        <v>0</v>
      </c>
    </row>
    <row r="4364">
      <c r="A4364" t="inlineStr">
        <is>
          <t>S013</t>
        </is>
      </c>
      <c r="B4364" s="3" t="n">
        <v>46279</v>
      </c>
      <c r="C4364" t="n">
        <v>18</v>
      </c>
      <c r="D4364" t="inlineStr">
        <is>
          <t>Monday</t>
        </is>
      </c>
      <c r="E4364" t="n">
        <v>57</v>
      </c>
      <c r="F4364" t="b">
        <v>0</v>
      </c>
      <c r="H4364" t="b">
        <v>0</v>
      </c>
    </row>
    <row r="4365">
      <c r="A4365" t="inlineStr">
        <is>
          <t>S013</t>
        </is>
      </c>
      <c r="B4365" s="3" t="n">
        <v>46279</v>
      </c>
      <c r="C4365" t="n">
        <v>19</v>
      </c>
      <c r="D4365" t="inlineStr">
        <is>
          <t>Monday</t>
        </is>
      </c>
      <c r="E4365" t="n">
        <v>73</v>
      </c>
      <c r="F4365" t="b">
        <v>1</v>
      </c>
      <c r="H4365" t="b">
        <v>0</v>
      </c>
    </row>
    <row r="4366">
      <c r="A4366" t="inlineStr">
        <is>
          <t>S013</t>
        </is>
      </c>
      <c r="B4366" s="3" t="n">
        <v>46279</v>
      </c>
      <c r="C4366" t="n">
        <v>20</v>
      </c>
      <c r="D4366" t="inlineStr">
        <is>
          <t>Monday</t>
        </is>
      </c>
      <c r="E4366" t="n">
        <v>86</v>
      </c>
      <c r="F4366" t="b">
        <v>1</v>
      </c>
      <c r="H4366" t="b">
        <v>0</v>
      </c>
    </row>
    <row r="4367">
      <c r="A4367" t="inlineStr">
        <is>
          <t>S013</t>
        </is>
      </c>
      <c r="B4367" s="3" t="n">
        <v>46279</v>
      </c>
      <c r="C4367" t="n">
        <v>21</v>
      </c>
      <c r="D4367" t="inlineStr">
        <is>
          <t>Monday</t>
        </is>
      </c>
      <c r="E4367" t="n">
        <v>71</v>
      </c>
      <c r="F4367" t="b">
        <v>1</v>
      </c>
      <c r="H4367" t="b">
        <v>0</v>
      </c>
    </row>
    <row r="4368">
      <c r="A4368" t="inlineStr">
        <is>
          <t>S013</t>
        </is>
      </c>
      <c r="B4368" s="3" t="n">
        <v>46279</v>
      </c>
      <c r="C4368" t="n">
        <v>22</v>
      </c>
      <c r="D4368" t="inlineStr">
        <is>
          <t>Monday</t>
        </is>
      </c>
      <c r="E4368" t="n">
        <v>52</v>
      </c>
      <c r="F4368" t="b">
        <v>0</v>
      </c>
      <c r="H4368" t="b">
        <v>0</v>
      </c>
    </row>
    <row r="4369">
      <c r="A4369" t="inlineStr">
        <is>
          <t>S013</t>
        </is>
      </c>
      <c r="B4369" s="3" t="n">
        <v>46279</v>
      </c>
      <c r="C4369" t="n">
        <v>23</v>
      </c>
      <c r="D4369" t="inlineStr">
        <is>
          <t>Monday</t>
        </is>
      </c>
      <c r="E4369" t="n">
        <v>42</v>
      </c>
      <c r="F4369" t="b">
        <v>0</v>
      </c>
      <c r="H4369" t="b">
        <v>0</v>
      </c>
    </row>
    <row r="4370">
      <c r="A4370" t="inlineStr">
        <is>
          <t>S014</t>
        </is>
      </c>
      <c r="B4370" s="3" t="n">
        <v>46279</v>
      </c>
      <c r="C4370" t="n">
        <v>8</v>
      </c>
      <c r="D4370" t="inlineStr">
        <is>
          <t>Monday</t>
        </is>
      </c>
      <c r="E4370" t="n">
        <v>30</v>
      </c>
      <c r="F4370" t="b">
        <v>0</v>
      </c>
      <c r="H4370" t="b">
        <v>0</v>
      </c>
    </row>
    <row r="4371">
      <c r="A4371" t="inlineStr">
        <is>
          <t>S014</t>
        </is>
      </c>
      <c r="B4371" s="3" t="n">
        <v>46279</v>
      </c>
      <c r="C4371" t="n">
        <v>9</v>
      </c>
      <c r="D4371" t="inlineStr">
        <is>
          <t>Monday</t>
        </is>
      </c>
      <c r="E4371" t="n">
        <v>29</v>
      </c>
      <c r="F4371" t="b">
        <v>0</v>
      </c>
      <c r="H4371" t="b">
        <v>0</v>
      </c>
    </row>
    <row r="4372">
      <c r="A4372" t="inlineStr">
        <is>
          <t>S014</t>
        </is>
      </c>
      <c r="B4372" s="3" t="n">
        <v>46279</v>
      </c>
      <c r="C4372" t="n">
        <v>10</v>
      </c>
      <c r="D4372" t="inlineStr">
        <is>
          <t>Monday</t>
        </is>
      </c>
      <c r="E4372" t="n">
        <v>29</v>
      </c>
      <c r="F4372" t="b">
        <v>0</v>
      </c>
      <c r="H4372" t="b">
        <v>0</v>
      </c>
    </row>
    <row r="4373">
      <c r="A4373" t="inlineStr">
        <is>
          <t>S014</t>
        </is>
      </c>
      <c r="B4373" s="3" t="n">
        <v>46279</v>
      </c>
      <c r="C4373" t="n">
        <v>11</v>
      </c>
      <c r="D4373" t="inlineStr">
        <is>
          <t>Monday</t>
        </is>
      </c>
      <c r="E4373" t="n">
        <v>32</v>
      </c>
      <c r="F4373" t="b">
        <v>0</v>
      </c>
      <c r="G4373" t="inlineStr">
        <is>
          <t>Light</t>
        </is>
      </c>
      <c r="H4373" t="b">
        <v>0</v>
      </c>
    </row>
    <row r="4374">
      <c r="A4374" t="inlineStr">
        <is>
          <t>S014</t>
        </is>
      </c>
      <c r="B4374" s="3" t="n">
        <v>46279</v>
      </c>
      <c r="C4374" t="n">
        <v>12</v>
      </c>
      <c r="D4374" t="inlineStr">
        <is>
          <t>Monday</t>
        </is>
      </c>
      <c r="E4374" t="n">
        <v>44</v>
      </c>
      <c r="F4374" t="b">
        <v>0</v>
      </c>
      <c r="H4374" t="b">
        <v>0</v>
      </c>
    </row>
    <row r="4375">
      <c r="A4375" t="inlineStr">
        <is>
          <t>S014</t>
        </is>
      </c>
      <c r="B4375" s="3" t="n">
        <v>46279</v>
      </c>
      <c r="C4375" t="n">
        <v>13</v>
      </c>
      <c r="D4375" t="inlineStr">
        <is>
          <t>Monday</t>
        </is>
      </c>
      <c r="E4375" t="n">
        <v>38</v>
      </c>
      <c r="F4375" t="b">
        <v>0</v>
      </c>
      <c r="G4375" t="inlineStr">
        <is>
          <t>Light</t>
        </is>
      </c>
      <c r="H4375" t="b">
        <v>0</v>
      </c>
    </row>
    <row r="4376">
      <c r="A4376" t="inlineStr">
        <is>
          <t>S014</t>
        </is>
      </c>
      <c r="B4376" s="3" t="n">
        <v>46279</v>
      </c>
      <c r="C4376" t="n">
        <v>14</v>
      </c>
      <c r="D4376" t="inlineStr">
        <is>
          <t>Monday</t>
        </is>
      </c>
      <c r="E4376" t="n">
        <v>29</v>
      </c>
      <c r="F4376" t="b">
        <v>0</v>
      </c>
      <c r="H4376" t="b">
        <v>0</v>
      </c>
    </row>
    <row r="4377">
      <c r="A4377" t="inlineStr">
        <is>
          <t>S014</t>
        </is>
      </c>
      <c r="B4377" s="3" t="n">
        <v>46279</v>
      </c>
      <c r="C4377" t="n">
        <v>15</v>
      </c>
      <c r="D4377" t="inlineStr">
        <is>
          <t>Monday</t>
        </is>
      </c>
      <c r="E4377" t="n">
        <v>44</v>
      </c>
      <c r="F4377" t="b">
        <v>0</v>
      </c>
      <c r="H4377" t="b">
        <v>0</v>
      </c>
    </row>
    <row r="4378">
      <c r="A4378" t="inlineStr">
        <is>
          <t>S014</t>
        </is>
      </c>
      <c r="B4378" s="3" t="n">
        <v>46279</v>
      </c>
      <c r="C4378" t="n">
        <v>16</v>
      </c>
      <c r="D4378" t="inlineStr">
        <is>
          <t>Monday</t>
        </is>
      </c>
      <c r="E4378" t="n">
        <v>28</v>
      </c>
      <c r="F4378" t="b">
        <v>0</v>
      </c>
      <c r="G4378" t="inlineStr">
        <is>
          <t>Light</t>
        </is>
      </c>
      <c r="H4378" t="b">
        <v>0</v>
      </c>
    </row>
    <row r="4379">
      <c r="A4379" t="inlineStr">
        <is>
          <t>S014</t>
        </is>
      </c>
      <c r="B4379" s="3" t="n">
        <v>46279</v>
      </c>
      <c r="C4379" t="n">
        <v>17</v>
      </c>
      <c r="D4379" t="inlineStr">
        <is>
          <t>Monday</t>
        </is>
      </c>
      <c r="E4379" t="n">
        <v>42</v>
      </c>
      <c r="F4379" t="b">
        <v>0</v>
      </c>
      <c r="G4379" t="inlineStr">
        <is>
          <t>Light</t>
        </is>
      </c>
      <c r="H4379" t="b">
        <v>0</v>
      </c>
    </row>
    <row r="4380">
      <c r="A4380" t="inlineStr">
        <is>
          <t>S014</t>
        </is>
      </c>
      <c r="B4380" s="3" t="n">
        <v>46279</v>
      </c>
      <c r="C4380" t="n">
        <v>18</v>
      </c>
      <c r="D4380" t="inlineStr">
        <is>
          <t>Monday</t>
        </is>
      </c>
      <c r="E4380" t="n">
        <v>41</v>
      </c>
      <c r="F4380" t="b">
        <v>0</v>
      </c>
      <c r="H4380" t="b">
        <v>1</v>
      </c>
    </row>
    <row r="4381">
      <c r="A4381" t="inlineStr">
        <is>
          <t>S014</t>
        </is>
      </c>
      <c r="B4381" s="3" t="n">
        <v>46279</v>
      </c>
      <c r="C4381" t="n">
        <v>19</v>
      </c>
      <c r="D4381" t="inlineStr">
        <is>
          <t>Monday</t>
        </is>
      </c>
      <c r="E4381" t="n">
        <v>65</v>
      </c>
      <c r="F4381" t="b">
        <v>1</v>
      </c>
      <c r="H4381" t="b">
        <v>0</v>
      </c>
    </row>
    <row r="4382">
      <c r="A4382" t="inlineStr">
        <is>
          <t>S014</t>
        </is>
      </c>
      <c r="B4382" s="3" t="n">
        <v>46279</v>
      </c>
      <c r="C4382" t="n">
        <v>20</v>
      </c>
      <c r="D4382" t="inlineStr">
        <is>
          <t>Monday</t>
        </is>
      </c>
      <c r="E4382" t="n">
        <v>61</v>
      </c>
      <c r="F4382" t="b">
        <v>1</v>
      </c>
      <c r="G4382" t="inlineStr">
        <is>
          <t>Light</t>
        </is>
      </c>
      <c r="H4382" t="b">
        <v>0</v>
      </c>
    </row>
    <row r="4383">
      <c r="A4383" t="inlineStr">
        <is>
          <t>S014</t>
        </is>
      </c>
      <c r="B4383" s="3" t="n">
        <v>46279</v>
      </c>
      <c r="C4383" t="n">
        <v>21</v>
      </c>
      <c r="D4383" t="inlineStr">
        <is>
          <t>Monday</t>
        </is>
      </c>
      <c r="E4383" t="n">
        <v>60</v>
      </c>
      <c r="F4383" t="b">
        <v>1</v>
      </c>
      <c r="H4383" t="b">
        <v>1</v>
      </c>
    </row>
    <row r="4384">
      <c r="A4384" t="inlineStr">
        <is>
          <t>S014</t>
        </is>
      </c>
      <c r="B4384" s="3" t="n">
        <v>46279</v>
      </c>
      <c r="C4384" t="n">
        <v>22</v>
      </c>
      <c r="D4384" t="inlineStr">
        <is>
          <t>Monday</t>
        </is>
      </c>
      <c r="E4384" t="n">
        <v>32</v>
      </c>
      <c r="F4384" t="b">
        <v>0</v>
      </c>
      <c r="G4384" t="inlineStr">
        <is>
          <t>Heavy</t>
        </is>
      </c>
      <c r="H4384" t="b">
        <v>0</v>
      </c>
    </row>
    <row r="4385">
      <c r="A4385" t="inlineStr">
        <is>
          <t>S014</t>
        </is>
      </c>
      <c r="B4385" s="3" t="n">
        <v>46279</v>
      </c>
      <c r="C4385" t="n">
        <v>23</v>
      </c>
      <c r="D4385" t="inlineStr">
        <is>
          <t>Monday</t>
        </is>
      </c>
      <c r="E4385" t="n">
        <v>32</v>
      </c>
      <c r="F4385" t="b">
        <v>0</v>
      </c>
      <c r="G4385" t="inlineStr">
        <is>
          <t>Light</t>
        </is>
      </c>
      <c r="H4385" t="b">
        <v>0</v>
      </c>
    </row>
    <row r="4386">
      <c r="A4386" t="inlineStr">
        <is>
          <t>S015</t>
        </is>
      </c>
      <c r="B4386" s="3" t="n">
        <v>46279</v>
      </c>
      <c r="C4386" t="n">
        <v>8</v>
      </c>
      <c r="D4386" t="inlineStr">
        <is>
          <t>Monday</t>
        </is>
      </c>
      <c r="E4386" t="n">
        <v>17</v>
      </c>
      <c r="F4386" t="b">
        <v>0</v>
      </c>
      <c r="H4386" t="b">
        <v>0</v>
      </c>
    </row>
    <row r="4387">
      <c r="A4387" t="inlineStr">
        <is>
          <t>S015</t>
        </is>
      </c>
      <c r="B4387" s="3" t="n">
        <v>46279</v>
      </c>
      <c r="C4387" t="n">
        <v>9</v>
      </c>
      <c r="D4387" t="inlineStr">
        <is>
          <t>Monday</t>
        </is>
      </c>
      <c r="E4387" t="n">
        <v>24</v>
      </c>
      <c r="F4387" t="b">
        <v>0</v>
      </c>
      <c r="H4387" t="b">
        <v>0</v>
      </c>
    </row>
    <row r="4388">
      <c r="A4388" t="inlineStr">
        <is>
          <t>S015</t>
        </is>
      </c>
      <c r="B4388" s="3" t="n">
        <v>46279</v>
      </c>
      <c r="C4388" t="n">
        <v>10</v>
      </c>
      <c r="D4388" t="inlineStr">
        <is>
          <t>Monday</t>
        </is>
      </c>
      <c r="E4388" t="n">
        <v>16</v>
      </c>
      <c r="F4388" t="b">
        <v>0</v>
      </c>
      <c r="H4388" t="b">
        <v>1</v>
      </c>
    </row>
    <row r="4389">
      <c r="A4389" t="inlineStr">
        <is>
          <t>S015</t>
        </is>
      </c>
      <c r="B4389" s="3" t="n">
        <v>46279</v>
      </c>
      <c r="C4389" t="n">
        <v>11</v>
      </c>
      <c r="D4389" t="inlineStr">
        <is>
          <t>Monday</t>
        </is>
      </c>
      <c r="E4389" t="n">
        <v>17</v>
      </c>
      <c r="F4389" t="b">
        <v>0</v>
      </c>
      <c r="H4389" t="b">
        <v>0</v>
      </c>
    </row>
    <row r="4390">
      <c r="A4390" t="inlineStr">
        <is>
          <t>S015</t>
        </is>
      </c>
      <c r="B4390" s="3" t="n">
        <v>46279</v>
      </c>
      <c r="C4390" t="n">
        <v>12</v>
      </c>
      <c r="D4390" t="inlineStr">
        <is>
          <t>Monday</t>
        </is>
      </c>
      <c r="E4390" t="n">
        <v>22</v>
      </c>
      <c r="F4390" t="b">
        <v>0</v>
      </c>
      <c r="H4390" t="b">
        <v>0</v>
      </c>
    </row>
    <row r="4391">
      <c r="A4391" t="inlineStr">
        <is>
          <t>S015</t>
        </is>
      </c>
      <c r="B4391" s="3" t="n">
        <v>46279</v>
      </c>
      <c r="C4391" t="n">
        <v>13</v>
      </c>
      <c r="D4391" t="inlineStr">
        <is>
          <t>Monday</t>
        </is>
      </c>
      <c r="E4391" t="n">
        <v>26</v>
      </c>
      <c r="F4391" t="b">
        <v>0</v>
      </c>
      <c r="H4391" t="b">
        <v>0</v>
      </c>
    </row>
    <row r="4392">
      <c r="A4392" t="inlineStr">
        <is>
          <t>S015</t>
        </is>
      </c>
      <c r="B4392" s="3" t="n">
        <v>46279</v>
      </c>
      <c r="C4392" t="n">
        <v>14</v>
      </c>
      <c r="D4392" t="inlineStr">
        <is>
          <t>Monday</t>
        </is>
      </c>
      <c r="E4392" t="n">
        <v>20</v>
      </c>
      <c r="F4392" t="b">
        <v>0</v>
      </c>
      <c r="H4392" t="b">
        <v>0</v>
      </c>
    </row>
    <row r="4393">
      <c r="A4393" t="inlineStr">
        <is>
          <t>S015</t>
        </is>
      </c>
      <c r="B4393" s="3" t="n">
        <v>46279</v>
      </c>
      <c r="C4393" t="n">
        <v>15</v>
      </c>
      <c r="D4393" t="inlineStr">
        <is>
          <t>Monday</t>
        </is>
      </c>
      <c r="E4393" t="n">
        <v>15</v>
      </c>
      <c r="F4393" t="b">
        <v>0</v>
      </c>
      <c r="H4393" t="b">
        <v>0</v>
      </c>
    </row>
    <row r="4394">
      <c r="A4394" t="inlineStr">
        <is>
          <t>S015</t>
        </is>
      </c>
      <c r="B4394" s="3" t="n">
        <v>46279</v>
      </c>
      <c r="C4394" t="n">
        <v>16</v>
      </c>
      <c r="D4394" t="inlineStr">
        <is>
          <t>Monday</t>
        </is>
      </c>
      <c r="E4394" t="n">
        <v>18</v>
      </c>
      <c r="F4394" t="b">
        <v>0</v>
      </c>
      <c r="H4394" t="b">
        <v>0</v>
      </c>
    </row>
    <row r="4395">
      <c r="A4395" t="inlineStr">
        <is>
          <t>S015</t>
        </is>
      </c>
      <c r="B4395" s="3" t="n">
        <v>46279</v>
      </c>
      <c r="C4395" t="n">
        <v>17</v>
      </c>
      <c r="D4395" t="inlineStr">
        <is>
          <t>Monday</t>
        </is>
      </c>
      <c r="E4395" t="n">
        <v>25</v>
      </c>
      <c r="F4395" t="b">
        <v>0</v>
      </c>
      <c r="G4395" t="inlineStr">
        <is>
          <t>Light</t>
        </is>
      </c>
      <c r="H4395" t="b">
        <v>0</v>
      </c>
    </row>
    <row r="4396">
      <c r="A4396" t="inlineStr">
        <is>
          <t>S015</t>
        </is>
      </c>
      <c r="B4396" s="3" t="n">
        <v>46279</v>
      </c>
      <c r="C4396" t="n">
        <v>18</v>
      </c>
      <c r="D4396" t="inlineStr">
        <is>
          <t>Monday</t>
        </is>
      </c>
      <c r="E4396" t="n">
        <v>17</v>
      </c>
      <c r="F4396" t="b">
        <v>0</v>
      </c>
      <c r="H4396" t="b">
        <v>0</v>
      </c>
    </row>
    <row r="4397">
      <c r="A4397" t="inlineStr">
        <is>
          <t>S015</t>
        </is>
      </c>
      <c r="B4397" s="3" t="n">
        <v>46279</v>
      </c>
      <c r="C4397" t="n">
        <v>19</v>
      </c>
      <c r="D4397" t="inlineStr">
        <is>
          <t>Monday</t>
        </is>
      </c>
      <c r="E4397" t="n">
        <v>40</v>
      </c>
      <c r="F4397" t="b">
        <v>1</v>
      </c>
      <c r="H4397" t="b">
        <v>0</v>
      </c>
    </row>
    <row r="4398">
      <c r="A4398" t="inlineStr">
        <is>
          <t>S015</t>
        </is>
      </c>
      <c r="B4398" s="3" t="n">
        <v>46279</v>
      </c>
      <c r="C4398" t="n">
        <v>20</v>
      </c>
      <c r="D4398" t="inlineStr">
        <is>
          <t>Monday</t>
        </is>
      </c>
      <c r="E4398" t="n">
        <v>28</v>
      </c>
      <c r="F4398" t="b">
        <v>1</v>
      </c>
      <c r="H4398" t="b">
        <v>0</v>
      </c>
    </row>
    <row r="4399">
      <c r="A4399" t="inlineStr">
        <is>
          <t>S015</t>
        </is>
      </c>
      <c r="B4399" s="3" t="n">
        <v>46279</v>
      </c>
      <c r="C4399" t="n">
        <v>21</v>
      </c>
      <c r="D4399" t="inlineStr">
        <is>
          <t>Monday</t>
        </is>
      </c>
      <c r="E4399" t="n">
        <v>26</v>
      </c>
      <c r="F4399" t="b">
        <v>1</v>
      </c>
      <c r="G4399" t="inlineStr">
        <is>
          <t>Light</t>
        </is>
      </c>
      <c r="H4399" t="b">
        <v>0</v>
      </c>
    </row>
    <row r="4400">
      <c r="A4400" t="inlineStr">
        <is>
          <t>S015</t>
        </is>
      </c>
      <c r="B4400" s="3" t="n">
        <v>46279</v>
      </c>
      <c r="C4400" t="n">
        <v>22</v>
      </c>
      <c r="D4400" t="inlineStr">
        <is>
          <t>Monday</t>
        </is>
      </c>
      <c r="E4400" t="n">
        <v>27</v>
      </c>
      <c r="F4400" t="b">
        <v>0</v>
      </c>
      <c r="H4400" t="b">
        <v>0</v>
      </c>
    </row>
    <row r="4401">
      <c r="A4401" t="inlineStr">
        <is>
          <t>S015</t>
        </is>
      </c>
      <c r="B4401" s="3" t="n">
        <v>46279</v>
      </c>
      <c r="C4401" t="n">
        <v>23</v>
      </c>
      <c r="D4401" t="inlineStr">
        <is>
          <t>Monday</t>
        </is>
      </c>
      <c r="E4401" t="n">
        <v>25</v>
      </c>
      <c r="F4401" t="b">
        <v>0</v>
      </c>
      <c r="H4401" t="b">
        <v>0</v>
      </c>
    </row>
    <row r="4402">
      <c r="A4402" t="inlineStr">
        <is>
          <t>S016</t>
        </is>
      </c>
      <c r="B4402" s="3" t="n">
        <v>46279</v>
      </c>
      <c r="C4402" t="n">
        <v>8</v>
      </c>
      <c r="D4402" t="inlineStr">
        <is>
          <t>Monday</t>
        </is>
      </c>
      <c r="E4402" t="n">
        <v>16</v>
      </c>
      <c r="F4402" t="b">
        <v>0</v>
      </c>
      <c r="G4402" t="inlineStr">
        <is>
          <t>Light</t>
        </is>
      </c>
      <c r="H4402" t="b">
        <v>0</v>
      </c>
    </row>
    <row r="4403">
      <c r="A4403" t="inlineStr">
        <is>
          <t>S016</t>
        </is>
      </c>
      <c r="B4403" s="3" t="n">
        <v>46279</v>
      </c>
      <c r="C4403" t="n">
        <v>9</v>
      </c>
      <c r="D4403" t="inlineStr">
        <is>
          <t>Monday</t>
        </is>
      </c>
      <c r="E4403" t="n">
        <v>19</v>
      </c>
      <c r="F4403" t="b">
        <v>0</v>
      </c>
      <c r="H4403" t="b">
        <v>0</v>
      </c>
    </row>
    <row r="4404">
      <c r="A4404" t="inlineStr">
        <is>
          <t>S016</t>
        </is>
      </c>
      <c r="B4404" s="3" t="n">
        <v>46279</v>
      </c>
      <c r="C4404" t="n">
        <v>10</v>
      </c>
      <c r="D4404" t="inlineStr">
        <is>
          <t>Monday</t>
        </is>
      </c>
      <c r="E4404" t="n">
        <v>15</v>
      </c>
      <c r="F4404" t="b">
        <v>0</v>
      </c>
      <c r="G4404" t="inlineStr">
        <is>
          <t>Heavy</t>
        </is>
      </c>
      <c r="H4404" t="b">
        <v>1</v>
      </c>
    </row>
    <row r="4405">
      <c r="A4405" t="inlineStr">
        <is>
          <t>S016</t>
        </is>
      </c>
      <c r="B4405" s="3" t="n">
        <v>46279</v>
      </c>
      <c r="C4405" t="n">
        <v>11</v>
      </c>
      <c r="D4405" t="inlineStr">
        <is>
          <t>Monday</t>
        </is>
      </c>
      <c r="E4405" t="n">
        <v>17</v>
      </c>
      <c r="F4405" t="b">
        <v>0</v>
      </c>
      <c r="H4405" t="b">
        <v>0</v>
      </c>
    </row>
    <row r="4406">
      <c r="A4406" t="inlineStr">
        <is>
          <t>S016</t>
        </is>
      </c>
      <c r="B4406" s="3" t="n">
        <v>46279</v>
      </c>
      <c r="C4406" t="n">
        <v>12</v>
      </c>
      <c r="D4406" t="inlineStr">
        <is>
          <t>Monday</t>
        </is>
      </c>
      <c r="E4406" t="n">
        <v>19</v>
      </c>
      <c r="F4406" t="b">
        <v>0</v>
      </c>
      <c r="G4406" t="inlineStr">
        <is>
          <t>Heavy</t>
        </is>
      </c>
      <c r="H4406" t="b">
        <v>0</v>
      </c>
    </row>
    <row r="4407">
      <c r="A4407" t="inlineStr">
        <is>
          <t>S016</t>
        </is>
      </c>
      <c r="B4407" s="3" t="n">
        <v>46279</v>
      </c>
      <c r="C4407" t="n">
        <v>13</v>
      </c>
      <c r="D4407" t="inlineStr">
        <is>
          <t>Monday</t>
        </is>
      </c>
      <c r="E4407" t="n">
        <v>18</v>
      </c>
      <c r="F4407" t="b">
        <v>0</v>
      </c>
      <c r="G4407" t="inlineStr">
        <is>
          <t>Light</t>
        </is>
      </c>
      <c r="H4407" t="b">
        <v>0</v>
      </c>
    </row>
    <row r="4408">
      <c r="A4408" t="inlineStr">
        <is>
          <t>S016</t>
        </is>
      </c>
      <c r="B4408" s="3" t="n">
        <v>46279</v>
      </c>
      <c r="C4408" t="n">
        <v>14</v>
      </c>
      <c r="D4408" t="inlineStr">
        <is>
          <t>Monday</t>
        </is>
      </c>
      <c r="E4408" t="n">
        <v>11</v>
      </c>
      <c r="F4408" t="b">
        <v>0</v>
      </c>
      <c r="G4408" t="inlineStr">
        <is>
          <t>Light</t>
        </is>
      </c>
      <c r="H4408" t="b">
        <v>0</v>
      </c>
    </row>
    <row r="4409">
      <c r="A4409" t="inlineStr">
        <is>
          <t>S016</t>
        </is>
      </c>
      <c r="B4409" s="3" t="n">
        <v>46279</v>
      </c>
      <c r="C4409" t="n">
        <v>15</v>
      </c>
      <c r="D4409" t="inlineStr">
        <is>
          <t>Monday</t>
        </is>
      </c>
      <c r="E4409" t="n">
        <v>17</v>
      </c>
      <c r="F4409" t="b">
        <v>0</v>
      </c>
      <c r="H4409" t="b">
        <v>0</v>
      </c>
    </row>
    <row r="4410">
      <c r="A4410" t="inlineStr">
        <is>
          <t>S016</t>
        </is>
      </c>
      <c r="B4410" s="3" t="n">
        <v>46279</v>
      </c>
      <c r="C4410" t="n">
        <v>16</v>
      </c>
      <c r="D4410" t="inlineStr">
        <is>
          <t>Monday</t>
        </is>
      </c>
      <c r="E4410" t="n">
        <v>23</v>
      </c>
      <c r="F4410" t="b">
        <v>0</v>
      </c>
      <c r="H4410" t="b">
        <v>0</v>
      </c>
    </row>
    <row r="4411">
      <c r="A4411" t="inlineStr">
        <is>
          <t>S016</t>
        </is>
      </c>
      <c r="B4411" s="3" t="n">
        <v>46279</v>
      </c>
      <c r="C4411" t="n">
        <v>17</v>
      </c>
      <c r="D4411" t="inlineStr">
        <is>
          <t>Monday</t>
        </is>
      </c>
      <c r="E4411" t="n">
        <v>25</v>
      </c>
      <c r="F4411" t="b">
        <v>0</v>
      </c>
      <c r="H4411" t="b">
        <v>0</v>
      </c>
    </row>
    <row r="4412">
      <c r="A4412" t="inlineStr">
        <is>
          <t>S016</t>
        </is>
      </c>
      <c r="B4412" s="3" t="n">
        <v>46279</v>
      </c>
      <c r="C4412" t="n">
        <v>18</v>
      </c>
      <c r="D4412" t="inlineStr">
        <is>
          <t>Monday</t>
        </is>
      </c>
      <c r="E4412" t="n">
        <v>26</v>
      </c>
      <c r="F4412" t="b">
        <v>0</v>
      </c>
      <c r="H4412" t="b">
        <v>0</v>
      </c>
    </row>
    <row r="4413">
      <c r="A4413" t="inlineStr">
        <is>
          <t>S016</t>
        </is>
      </c>
      <c r="B4413" s="3" t="n">
        <v>46279</v>
      </c>
      <c r="C4413" t="n">
        <v>19</v>
      </c>
      <c r="D4413" t="inlineStr">
        <is>
          <t>Monday</t>
        </is>
      </c>
      <c r="E4413" t="n">
        <v>41</v>
      </c>
      <c r="F4413" t="b">
        <v>1</v>
      </c>
      <c r="H4413" t="b">
        <v>0</v>
      </c>
    </row>
    <row r="4414">
      <c r="A4414" t="inlineStr">
        <is>
          <t>S016</t>
        </is>
      </c>
      <c r="B4414" s="3" t="n">
        <v>46279</v>
      </c>
      <c r="C4414" t="n">
        <v>20</v>
      </c>
      <c r="D4414" t="inlineStr">
        <is>
          <t>Monday</t>
        </is>
      </c>
      <c r="E4414" t="n">
        <v>36</v>
      </c>
      <c r="F4414" t="b">
        <v>1</v>
      </c>
      <c r="H4414" t="b">
        <v>0</v>
      </c>
    </row>
    <row r="4415">
      <c r="A4415" t="inlineStr">
        <is>
          <t>S016</t>
        </is>
      </c>
      <c r="B4415" s="3" t="n">
        <v>46279</v>
      </c>
      <c r="C4415" t="n">
        <v>21</v>
      </c>
      <c r="D4415" t="inlineStr">
        <is>
          <t>Monday</t>
        </is>
      </c>
      <c r="E4415" t="n">
        <v>38</v>
      </c>
      <c r="F4415" t="b">
        <v>1</v>
      </c>
      <c r="H4415" t="b">
        <v>0</v>
      </c>
    </row>
    <row r="4416">
      <c r="A4416" t="inlineStr">
        <is>
          <t>S016</t>
        </is>
      </c>
      <c r="B4416" s="3" t="n">
        <v>46279</v>
      </c>
      <c r="C4416" t="n">
        <v>22</v>
      </c>
      <c r="D4416" t="inlineStr">
        <is>
          <t>Monday</t>
        </is>
      </c>
      <c r="E4416" t="n">
        <v>26</v>
      </c>
      <c r="F4416" t="b">
        <v>0</v>
      </c>
      <c r="H4416" t="b">
        <v>0</v>
      </c>
    </row>
    <row r="4417">
      <c r="A4417" t="inlineStr">
        <is>
          <t>S016</t>
        </is>
      </c>
      <c r="B4417" s="3" t="n">
        <v>46279</v>
      </c>
      <c r="C4417" t="n">
        <v>23</v>
      </c>
      <c r="D4417" t="inlineStr">
        <is>
          <t>Monday</t>
        </is>
      </c>
      <c r="E4417" t="n">
        <v>23</v>
      </c>
      <c r="F4417" t="b">
        <v>0</v>
      </c>
      <c r="H4417" t="b">
        <v>0</v>
      </c>
    </row>
    <row r="4418">
      <c r="A4418" t="inlineStr">
        <is>
          <t>S017</t>
        </is>
      </c>
      <c r="B4418" s="3" t="n">
        <v>46279</v>
      </c>
      <c r="C4418" t="n">
        <v>8</v>
      </c>
      <c r="D4418" t="inlineStr">
        <is>
          <t>Monday</t>
        </is>
      </c>
      <c r="E4418" t="n">
        <v>38</v>
      </c>
      <c r="F4418" t="b">
        <v>0</v>
      </c>
      <c r="G4418" t="inlineStr">
        <is>
          <t>Light</t>
        </is>
      </c>
      <c r="H4418" t="b">
        <v>0</v>
      </c>
    </row>
    <row r="4419">
      <c r="A4419" t="inlineStr">
        <is>
          <t>S017</t>
        </is>
      </c>
      <c r="B4419" s="3" t="n">
        <v>46279</v>
      </c>
      <c r="C4419" t="n">
        <v>9</v>
      </c>
      <c r="D4419" t="inlineStr">
        <is>
          <t>Monday</t>
        </is>
      </c>
      <c r="E4419" t="n">
        <v>36</v>
      </c>
      <c r="F4419" t="b">
        <v>0</v>
      </c>
      <c r="H4419" t="b">
        <v>0</v>
      </c>
    </row>
    <row r="4420">
      <c r="A4420" t="inlineStr">
        <is>
          <t>S017</t>
        </is>
      </c>
      <c r="B4420" s="3" t="n">
        <v>46279</v>
      </c>
      <c r="C4420" t="n">
        <v>10</v>
      </c>
      <c r="D4420" t="inlineStr">
        <is>
          <t>Monday</t>
        </is>
      </c>
      <c r="E4420" t="n">
        <v>34</v>
      </c>
      <c r="F4420" t="b">
        <v>0</v>
      </c>
      <c r="G4420" t="inlineStr">
        <is>
          <t>Light</t>
        </is>
      </c>
      <c r="H4420" t="b">
        <v>0</v>
      </c>
    </row>
    <row r="4421">
      <c r="A4421" t="inlineStr">
        <is>
          <t>S017</t>
        </is>
      </c>
      <c r="B4421" s="3" t="n">
        <v>46279</v>
      </c>
      <c r="C4421" t="n">
        <v>11</v>
      </c>
      <c r="D4421" t="inlineStr">
        <is>
          <t>Monday</t>
        </is>
      </c>
      <c r="E4421" t="n">
        <v>41</v>
      </c>
      <c r="F4421" t="b">
        <v>0</v>
      </c>
      <c r="H4421" t="b">
        <v>0</v>
      </c>
    </row>
    <row r="4422">
      <c r="A4422" t="inlineStr">
        <is>
          <t>S017</t>
        </is>
      </c>
      <c r="B4422" s="3" t="n">
        <v>46279</v>
      </c>
      <c r="C4422" t="n">
        <v>12</v>
      </c>
      <c r="D4422" t="inlineStr">
        <is>
          <t>Monday</t>
        </is>
      </c>
      <c r="E4422" t="n">
        <v>42</v>
      </c>
      <c r="F4422" t="b">
        <v>0</v>
      </c>
      <c r="H4422" t="b">
        <v>0</v>
      </c>
    </row>
    <row r="4423">
      <c r="A4423" t="inlineStr">
        <is>
          <t>S017</t>
        </is>
      </c>
      <c r="B4423" s="3" t="n">
        <v>46279</v>
      </c>
      <c r="C4423" t="n">
        <v>13</v>
      </c>
      <c r="D4423" t="inlineStr">
        <is>
          <t>Monday</t>
        </is>
      </c>
      <c r="E4423" t="n">
        <v>38</v>
      </c>
      <c r="F4423" t="b">
        <v>0</v>
      </c>
      <c r="H4423" t="b">
        <v>0</v>
      </c>
    </row>
    <row r="4424">
      <c r="A4424" t="inlineStr">
        <is>
          <t>S017</t>
        </is>
      </c>
      <c r="B4424" s="3" t="n">
        <v>46279</v>
      </c>
      <c r="C4424" t="n">
        <v>14</v>
      </c>
      <c r="D4424" t="inlineStr">
        <is>
          <t>Monday</t>
        </is>
      </c>
      <c r="E4424" t="n">
        <v>35</v>
      </c>
      <c r="F4424" t="b">
        <v>0</v>
      </c>
      <c r="G4424" t="inlineStr">
        <is>
          <t>Heavy</t>
        </is>
      </c>
      <c r="H4424" t="b">
        <v>0</v>
      </c>
    </row>
    <row r="4425">
      <c r="A4425" t="inlineStr">
        <is>
          <t>S017</t>
        </is>
      </c>
      <c r="B4425" s="3" t="n">
        <v>46279</v>
      </c>
      <c r="C4425" t="n">
        <v>15</v>
      </c>
      <c r="D4425" t="inlineStr">
        <is>
          <t>Monday</t>
        </is>
      </c>
      <c r="E4425" t="n">
        <v>32</v>
      </c>
      <c r="F4425" t="b">
        <v>0</v>
      </c>
      <c r="G4425" t="inlineStr">
        <is>
          <t>Light</t>
        </is>
      </c>
      <c r="H4425" t="b">
        <v>0</v>
      </c>
    </row>
    <row r="4426">
      <c r="A4426" t="inlineStr">
        <is>
          <t>S017</t>
        </is>
      </c>
      <c r="B4426" s="3" t="n">
        <v>46279</v>
      </c>
      <c r="C4426" t="n">
        <v>16</v>
      </c>
      <c r="D4426" t="inlineStr">
        <is>
          <t>Monday</t>
        </is>
      </c>
      <c r="E4426" t="n">
        <v>35</v>
      </c>
      <c r="F4426" t="b">
        <v>0</v>
      </c>
      <c r="H4426" t="b">
        <v>0</v>
      </c>
    </row>
    <row r="4427">
      <c r="A4427" t="inlineStr">
        <is>
          <t>S017</t>
        </is>
      </c>
      <c r="B4427" s="3" t="n">
        <v>46279</v>
      </c>
      <c r="C4427" t="n">
        <v>17</v>
      </c>
      <c r="D4427" t="inlineStr">
        <is>
          <t>Monday</t>
        </is>
      </c>
      <c r="E4427" t="n">
        <v>26</v>
      </c>
      <c r="F4427" t="b">
        <v>0</v>
      </c>
      <c r="H4427" t="b">
        <v>0</v>
      </c>
    </row>
    <row r="4428">
      <c r="A4428" t="inlineStr">
        <is>
          <t>S017</t>
        </is>
      </c>
      <c r="B4428" s="3" t="n">
        <v>46279</v>
      </c>
      <c r="C4428" t="n">
        <v>18</v>
      </c>
      <c r="D4428" t="inlineStr">
        <is>
          <t>Monday</t>
        </is>
      </c>
      <c r="E4428" t="n">
        <v>30</v>
      </c>
      <c r="F4428" t="b">
        <v>0</v>
      </c>
      <c r="H4428" t="b">
        <v>0</v>
      </c>
    </row>
    <row r="4429">
      <c r="A4429" t="inlineStr">
        <is>
          <t>S017</t>
        </is>
      </c>
      <c r="B4429" s="3" t="n">
        <v>46279</v>
      </c>
      <c r="C4429" t="n">
        <v>19</v>
      </c>
      <c r="D4429" t="inlineStr">
        <is>
          <t>Monday</t>
        </is>
      </c>
      <c r="E4429" t="n">
        <v>45</v>
      </c>
      <c r="F4429" t="b">
        <v>1</v>
      </c>
      <c r="H4429" t="b">
        <v>1</v>
      </c>
    </row>
    <row r="4430">
      <c r="A4430" t="inlineStr">
        <is>
          <t>S017</t>
        </is>
      </c>
      <c r="B4430" s="3" t="n">
        <v>46279</v>
      </c>
      <c r="C4430" t="n">
        <v>20</v>
      </c>
      <c r="D4430" t="inlineStr">
        <is>
          <t>Monday</t>
        </is>
      </c>
      <c r="E4430" t="n">
        <v>48</v>
      </c>
      <c r="F4430" t="b">
        <v>1</v>
      </c>
      <c r="H4430" t="b">
        <v>0</v>
      </c>
    </row>
    <row r="4431">
      <c r="A4431" t="inlineStr">
        <is>
          <t>S017</t>
        </is>
      </c>
      <c r="B4431" s="3" t="n">
        <v>46279</v>
      </c>
      <c r="C4431" t="n">
        <v>21</v>
      </c>
      <c r="D4431" t="inlineStr">
        <is>
          <t>Monday</t>
        </is>
      </c>
      <c r="E4431" t="n">
        <v>49</v>
      </c>
      <c r="F4431" t="b">
        <v>1</v>
      </c>
      <c r="G4431" t="inlineStr">
        <is>
          <t>Heavy</t>
        </is>
      </c>
      <c r="H4431" t="b">
        <v>0</v>
      </c>
    </row>
    <row r="4432">
      <c r="A4432" t="inlineStr">
        <is>
          <t>S017</t>
        </is>
      </c>
      <c r="B4432" s="3" t="n">
        <v>46279</v>
      </c>
      <c r="C4432" t="n">
        <v>22</v>
      </c>
      <c r="D4432" t="inlineStr">
        <is>
          <t>Monday</t>
        </is>
      </c>
      <c r="E4432" t="n">
        <v>38</v>
      </c>
      <c r="F4432" t="b">
        <v>0</v>
      </c>
      <c r="G4432" t="inlineStr">
        <is>
          <t>Light</t>
        </is>
      </c>
      <c r="H4432" t="b">
        <v>0</v>
      </c>
    </row>
    <row r="4433">
      <c r="A4433" t="inlineStr">
        <is>
          <t>S017</t>
        </is>
      </c>
      <c r="B4433" s="3" t="n">
        <v>46279</v>
      </c>
      <c r="C4433" t="n">
        <v>23</v>
      </c>
      <c r="D4433" t="inlineStr">
        <is>
          <t>Monday</t>
        </is>
      </c>
      <c r="E4433" t="n">
        <v>38</v>
      </c>
      <c r="F4433" t="b">
        <v>0</v>
      </c>
      <c r="H4433" t="b">
        <v>0</v>
      </c>
    </row>
    <row r="4434">
      <c r="A4434" t="inlineStr">
        <is>
          <t>S018</t>
        </is>
      </c>
      <c r="B4434" s="3" t="n">
        <v>46279</v>
      </c>
      <c r="C4434" t="n">
        <v>8</v>
      </c>
      <c r="D4434" t="inlineStr">
        <is>
          <t>Monday</t>
        </is>
      </c>
      <c r="E4434" t="n">
        <v>17</v>
      </c>
      <c r="F4434" t="b">
        <v>0</v>
      </c>
      <c r="H4434" t="b">
        <v>0</v>
      </c>
    </row>
    <row r="4435">
      <c r="A4435" t="inlineStr">
        <is>
          <t>S018</t>
        </is>
      </c>
      <c r="B4435" s="3" t="n">
        <v>46279</v>
      </c>
      <c r="C4435" t="n">
        <v>9</v>
      </c>
      <c r="D4435" t="inlineStr">
        <is>
          <t>Monday</t>
        </is>
      </c>
      <c r="E4435" t="n">
        <v>17</v>
      </c>
      <c r="F4435" t="b">
        <v>0</v>
      </c>
      <c r="H4435" t="b">
        <v>0</v>
      </c>
    </row>
    <row r="4436">
      <c r="A4436" t="inlineStr">
        <is>
          <t>S018</t>
        </is>
      </c>
      <c r="B4436" s="3" t="n">
        <v>46279</v>
      </c>
      <c r="C4436" t="n">
        <v>10</v>
      </c>
      <c r="D4436" t="inlineStr">
        <is>
          <t>Monday</t>
        </is>
      </c>
      <c r="E4436" t="n">
        <v>12</v>
      </c>
      <c r="F4436" t="b">
        <v>0</v>
      </c>
      <c r="H4436" t="b">
        <v>0</v>
      </c>
    </row>
    <row r="4437">
      <c r="A4437" t="inlineStr">
        <is>
          <t>S018</t>
        </is>
      </c>
      <c r="B4437" s="3" t="n">
        <v>46279</v>
      </c>
      <c r="C4437" t="n">
        <v>11</v>
      </c>
      <c r="D4437" t="inlineStr">
        <is>
          <t>Monday</t>
        </is>
      </c>
      <c r="E4437" t="n">
        <v>26</v>
      </c>
      <c r="F4437" t="b">
        <v>0</v>
      </c>
      <c r="G4437" t="inlineStr">
        <is>
          <t>Heavy</t>
        </is>
      </c>
      <c r="H4437" t="b">
        <v>0</v>
      </c>
    </row>
    <row r="4438">
      <c r="A4438" t="inlineStr">
        <is>
          <t>S018</t>
        </is>
      </c>
      <c r="B4438" s="3" t="n">
        <v>46279</v>
      </c>
      <c r="C4438" t="n">
        <v>12</v>
      </c>
      <c r="D4438" t="inlineStr">
        <is>
          <t>Monday</t>
        </is>
      </c>
      <c r="E4438" t="n">
        <v>19</v>
      </c>
      <c r="F4438" t="b">
        <v>0</v>
      </c>
      <c r="G4438" t="inlineStr">
        <is>
          <t>Heavy</t>
        </is>
      </c>
      <c r="H4438" t="b">
        <v>1</v>
      </c>
    </row>
    <row r="4439">
      <c r="A4439" t="inlineStr">
        <is>
          <t>S018</t>
        </is>
      </c>
      <c r="B4439" s="3" t="n">
        <v>46279</v>
      </c>
      <c r="C4439" t="n">
        <v>13</v>
      </c>
      <c r="D4439" t="inlineStr">
        <is>
          <t>Monday</t>
        </is>
      </c>
      <c r="E4439" t="n">
        <v>18</v>
      </c>
      <c r="F4439" t="b">
        <v>0</v>
      </c>
      <c r="H4439" t="b">
        <v>0</v>
      </c>
    </row>
    <row r="4440">
      <c r="A4440" t="inlineStr">
        <is>
          <t>S018</t>
        </is>
      </c>
      <c r="B4440" s="3" t="n">
        <v>46279</v>
      </c>
      <c r="C4440" t="n">
        <v>14</v>
      </c>
      <c r="D4440" t="inlineStr">
        <is>
          <t>Monday</t>
        </is>
      </c>
      <c r="E4440" t="n">
        <v>14</v>
      </c>
      <c r="F4440" t="b">
        <v>0</v>
      </c>
      <c r="G4440" t="inlineStr">
        <is>
          <t>Heavy</t>
        </is>
      </c>
      <c r="H4440" t="b">
        <v>0</v>
      </c>
    </row>
    <row r="4441">
      <c r="A4441" t="inlineStr">
        <is>
          <t>S018</t>
        </is>
      </c>
      <c r="B4441" s="3" t="n">
        <v>46279</v>
      </c>
      <c r="C4441" t="n">
        <v>15</v>
      </c>
      <c r="D4441" t="inlineStr">
        <is>
          <t>Monday</t>
        </is>
      </c>
      <c r="E4441" t="n">
        <v>10</v>
      </c>
      <c r="F4441" t="b">
        <v>0</v>
      </c>
      <c r="H4441" t="b">
        <v>0</v>
      </c>
    </row>
    <row r="4442">
      <c r="A4442" t="inlineStr">
        <is>
          <t>S018</t>
        </is>
      </c>
      <c r="B4442" s="3" t="n">
        <v>46279</v>
      </c>
      <c r="C4442" t="n">
        <v>16</v>
      </c>
      <c r="D4442" t="inlineStr">
        <is>
          <t>Monday</t>
        </is>
      </c>
      <c r="E4442" t="n">
        <v>12</v>
      </c>
      <c r="F4442" t="b">
        <v>0</v>
      </c>
      <c r="H4442" t="b">
        <v>0</v>
      </c>
    </row>
    <row r="4443">
      <c r="A4443" t="inlineStr">
        <is>
          <t>S018</t>
        </is>
      </c>
      <c r="B4443" s="3" t="n">
        <v>46279</v>
      </c>
      <c r="C4443" t="n">
        <v>17</v>
      </c>
      <c r="D4443" t="inlineStr">
        <is>
          <t>Monday</t>
        </is>
      </c>
      <c r="E4443" t="n">
        <v>21</v>
      </c>
      <c r="F4443" t="b">
        <v>0</v>
      </c>
      <c r="H4443" t="b">
        <v>0</v>
      </c>
    </row>
    <row r="4444">
      <c r="A4444" t="inlineStr">
        <is>
          <t>S018</t>
        </is>
      </c>
      <c r="B4444" s="3" t="n">
        <v>46279</v>
      </c>
      <c r="C4444" t="n">
        <v>18</v>
      </c>
      <c r="D4444" t="inlineStr">
        <is>
          <t>Monday</t>
        </is>
      </c>
      <c r="E4444" t="n">
        <v>14</v>
      </c>
      <c r="F4444" t="b">
        <v>0</v>
      </c>
      <c r="H4444" t="b">
        <v>0</v>
      </c>
    </row>
    <row r="4445">
      <c r="A4445" t="inlineStr">
        <is>
          <t>S018</t>
        </is>
      </c>
      <c r="B4445" s="3" t="n">
        <v>46279</v>
      </c>
      <c r="C4445" t="n">
        <v>19</v>
      </c>
      <c r="D4445" t="inlineStr">
        <is>
          <t>Monday</t>
        </is>
      </c>
      <c r="E4445" t="n">
        <v>32</v>
      </c>
      <c r="F4445" t="b">
        <v>1</v>
      </c>
      <c r="H4445" t="b">
        <v>0</v>
      </c>
    </row>
    <row r="4446">
      <c r="A4446" t="inlineStr">
        <is>
          <t>S018</t>
        </is>
      </c>
      <c r="B4446" s="3" t="n">
        <v>46279</v>
      </c>
      <c r="C4446" t="n">
        <v>20</v>
      </c>
      <c r="D4446" t="inlineStr">
        <is>
          <t>Monday</t>
        </is>
      </c>
      <c r="E4446" t="n">
        <v>27</v>
      </c>
      <c r="F4446" t="b">
        <v>1</v>
      </c>
      <c r="H4446" t="b">
        <v>0</v>
      </c>
    </row>
    <row r="4447">
      <c r="A4447" t="inlineStr">
        <is>
          <t>S018</t>
        </is>
      </c>
      <c r="B4447" s="3" t="n">
        <v>46279</v>
      </c>
      <c r="C4447" t="n">
        <v>21</v>
      </c>
      <c r="D4447" t="inlineStr">
        <is>
          <t>Monday</t>
        </is>
      </c>
      <c r="E4447" t="n">
        <v>39</v>
      </c>
      <c r="F4447" t="b">
        <v>1</v>
      </c>
      <c r="G4447" t="inlineStr">
        <is>
          <t>Light</t>
        </is>
      </c>
      <c r="H4447" t="b">
        <v>0</v>
      </c>
    </row>
    <row r="4448">
      <c r="A4448" t="inlineStr">
        <is>
          <t>S018</t>
        </is>
      </c>
      <c r="B4448" s="3" t="n">
        <v>46279</v>
      </c>
      <c r="C4448" t="n">
        <v>22</v>
      </c>
      <c r="D4448" t="inlineStr">
        <is>
          <t>Monday</t>
        </is>
      </c>
      <c r="E4448" t="n">
        <v>20</v>
      </c>
      <c r="F4448" t="b">
        <v>0</v>
      </c>
      <c r="G4448" t="inlineStr">
        <is>
          <t>Light</t>
        </is>
      </c>
      <c r="H4448" t="b">
        <v>0</v>
      </c>
    </row>
    <row r="4449">
      <c r="A4449" t="inlineStr">
        <is>
          <t>S018</t>
        </is>
      </c>
      <c r="B4449" s="3" t="n">
        <v>46279</v>
      </c>
      <c r="C4449" t="n">
        <v>23</v>
      </c>
      <c r="D4449" t="inlineStr">
        <is>
          <t>Monday</t>
        </is>
      </c>
      <c r="E4449" t="n">
        <v>16</v>
      </c>
      <c r="F4449" t="b">
        <v>0</v>
      </c>
      <c r="H4449" t="b">
        <v>0</v>
      </c>
    </row>
    <row r="4450">
      <c r="A4450" t="inlineStr">
        <is>
          <t>S019</t>
        </is>
      </c>
      <c r="B4450" s="3" t="n">
        <v>46279</v>
      </c>
      <c r="C4450" t="n">
        <v>8</v>
      </c>
      <c r="D4450" t="inlineStr">
        <is>
          <t>Monday</t>
        </is>
      </c>
      <c r="E4450" t="n">
        <v>13</v>
      </c>
      <c r="F4450" t="b">
        <v>0</v>
      </c>
      <c r="H4450" t="b">
        <v>0</v>
      </c>
    </row>
    <row r="4451">
      <c r="A4451" t="inlineStr">
        <is>
          <t>S019</t>
        </is>
      </c>
      <c r="B4451" s="3" t="n">
        <v>46279</v>
      </c>
      <c r="C4451" t="n">
        <v>9</v>
      </c>
      <c r="D4451" t="inlineStr">
        <is>
          <t>Monday</t>
        </is>
      </c>
      <c r="E4451" t="n">
        <v>16</v>
      </c>
      <c r="F4451" t="b">
        <v>0</v>
      </c>
      <c r="G4451" t="inlineStr">
        <is>
          <t>Light</t>
        </is>
      </c>
      <c r="H4451" t="b">
        <v>0</v>
      </c>
    </row>
    <row r="4452">
      <c r="A4452" t="inlineStr">
        <is>
          <t>S019</t>
        </is>
      </c>
      <c r="B4452" s="3" t="n">
        <v>46279</v>
      </c>
      <c r="C4452" t="n">
        <v>10</v>
      </c>
      <c r="D4452" t="inlineStr">
        <is>
          <t>Monday</t>
        </is>
      </c>
      <c r="E4452" t="n">
        <v>12</v>
      </c>
      <c r="F4452" t="b">
        <v>0</v>
      </c>
      <c r="G4452" t="inlineStr">
        <is>
          <t>Light</t>
        </is>
      </c>
      <c r="H4452" t="b">
        <v>0</v>
      </c>
    </row>
    <row r="4453">
      <c r="A4453" t="inlineStr">
        <is>
          <t>S019</t>
        </is>
      </c>
      <c r="B4453" s="3" t="n">
        <v>46279</v>
      </c>
      <c r="C4453" t="n">
        <v>11</v>
      </c>
      <c r="D4453" t="inlineStr">
        <is>
          <t>Monday</t>
        </is>
      </c>
      <c r="E4453" t="n">
        <v>23</v>
      </c>
      <c r="F4453" t="b">
        <v>0</v>
      </c>
      <c r="H4453" t="b">
        <v>0</v>
      </c>
    </row>
    <row r="4454">
      <c r="A4454" t="inlineStr">
        <is>
          <t>S019</t>
        </is>
      </c>
      <c r="B4454" s="3" t="n">
        <v>46279</v>
      </c>
      <c r="C4454" t="n">
        <v>12</v>
      </c>
      <c r="D4454" t="inlineStr">
        <is>
          <t>Monday</t>
        </is>
      </c>
      <c r="E4454" t="n">
        <v>20</v>
      </c>
      <c r="F4454" t="b">
        <v>0</v>
      </c>
      <c r="H4454" t="b">
        <v>0</v>
      </c>
    </row>
    <row r="4455">
      <c r="A4455" t="inlineStr">
        <is>
          <t>S019</t>
        </is>
      </c>
      <c r="B4455" s="3" t="n">
        <v>46279</v>
      </c>
      <c r="C4455" t="n">
        <v>13</v>
      </c>
      <c r="D4455" t="inlineStr">
        <is>
          <t>Monday</t>
        </is>
      </c>
      <c r="E4455" t="n">
        <v>27</v>
      </c>
      <c r="F4455" t="b">
        <v>0</v>
      </c>
      <c r="G4455" t="inlineStr">
        <is>
          <t>Heavy</t>
        </is>
      </c>
      <c r="H4455" t="b">
        <v>0</v>
      </c>
    </row>
    <row r="4456">
      <c r="A4456" t="inlineStr">
        <is>
          <t>S019</t>
        </is>
      </c>
      <c r="B4456" s="3" t="n">
        <v>46279</v>
      </c>
      <c r="C4456" t="n">
        <v>14</v>
      </c>
      <c r="D4456" t="inlineStr">
        <is>
          <t>Monday</t>
        </is>
      </c>
      <c r="E4456" t="n">
        <v>12</v>
      </c>
      <c r="F4456" t="b">
        <v>0</v>
      </c>
      <c r="G4456" t="inlineStr">
        <is>
          <t>Light</t>
        </is>
      </c>
      <c r="H4456" t="b">
        <v>0</v>
      </c>
    </row>
    <row r="4457">
      <c r="A4457" t="inlineStr">
        <is>
          <t>S019</t>
        </is>
      </c>
      <c r="B4457" s="3" t="n">
        <v>46279</v>
      </c>
      <c r="C4457" t="n">
        <v>15</v>
      </c>
      <c r="D4457" t="inlineStr">
        <is>
          <t>Monday</t>
        </is>
      </c>
      <c r="E4457" t="n">
        <v>15</v>
      </c>
      <c r="F4457" t="b">
        <v>0</v>
      </c>
      <c r="H4457" t="b">
        <v>0</v>
      </c>
    </row>
    <row r="4458">
      <c r="A4458" t="inlineStr">
        <is>
          <t>S019</t>
        </is>
      </c>
      <c r="B4458" s="3" t="n">
        <v>46279</v>
      </c>
      <c r="C4458" t="n">
        <v>16</v>
      </c>
      <c r="D4458" t="inlineStr">
        <is>
          <t>Monday</t>
        </is>
      </c>
      <c r="E4458" t="n">
        <v>22</v>
      </c>
      <c r="F4458" t="b">
        <v>0</v>
      </c>
      <c r="H4458" t="b">
        <v>0</v>
      </c>
    </row>
    <row r="4459">
      <c r="A4459" t="inlineStr">
        <is>
          <t>S019</t>
        </is>
      </c>
      <c r="B4459" s="3" t="n">
        <v>46279</v>
      </c>
      <c r="C4459" t="n">
        <v>17</v>
      </c>
      <c r="D4459" t="inlineStr">
        <is>
          <t>Monday</t>
        </is>
      </c>
      <c r="E4459" t="n">
        <v>24</v>
      </c>
      <c r="F4459" t="b">
        <v>0</v>
      </c>
      <c r="H4459" t="b">
        <v>1</v>
      </c>
    </row>
    <row r="4460">
      <c r="A4460" t="inlineStr">
        <is>
          <t>S019</t>
        </is>
      </c>
      <c r="B4460" s="3" t="n">
        <v>46279</v>
      </c>
      <c r="C4460" t="n">
        <v>18</v>
      </c>
      <c r="D4460" t="inlineStr">
        <is>
          <t>Monday</t>
        </is>
      </c>
      <c r="E4460" t="n">
        <v>24</v>
      </c>
      <c r="F4460" t="b">
        <v>0</v>
      </c>
      <c r="H4460" t="b">
        <v>0</v>
      </c>
    </row>
    <row r="4461">
      <c r="A4461" t="inlineStr">
        <is>
          <t>S019</t>
        </is>
      </c>
      <c r="B4461" s="3" t="n">
        <v>46279</v>
      </c>
      <c r="C4461" t="n">
        <v>19</v>
      </c>
      <c r="D4461" t="inlineStr">
        <is>
          <t>Monday</t>
        </is>
      </c>
      <c r="E4461" t="n">
        <v>33</v>
      </c>
      <c r="F4461" t="b">
        <v>1</v>
      </c>
      <c r="H4461" t="b">
        <v>0</v>
      </c>
    </row>
    <row r="4462">
      <c r="A4462" t="inlineStr">
        <is>
          <t>S019</t>
        </is>
      </c>
      <c r="B4462" s="3" t="n">
        <v>46279</v>
      </c>
      <c r="C4462" t="n">
        <v>20</v>
      </c>
      <c r="D4462" t="inlineStr">
        <is>
          <t>Monday</t>
        </is>
      </c>
      <c r="E4462" t="n">
        <v>32</v>
      </c>
      <c r="F4462" t="b">
        <v>1</v>
      </c>
      <c r="G4462" t="inlineStr">
        <is>
          <t>Heavy</t>
        </is>
      </c>
      <c r="H4462" t="b">
        <v>0</v>
      </c>
    </row>
    <row r="4463">
      <c r="A4463" t="inlineStr">
        <is>
          <t>S019</t>
        </is>
      </c>
      <c r="B4463" s="3" t="n">
        <v>46279</v>
      </c>
      <c r="C4463" t="n">
        <v>21</v>
      </c>
      <c r="D4463" t="inlineStr">
        <is>
          <t>Monday</t>
        </is>
      </c>
      <c r="E4463" t="n">
        <v>28</v>
      </c>
      <c r="F4463" t="b">
        <v>1</v>
      </c>
      <c r="H4463" t="b">
        <v>0</v>
      </c>
    </row>
    <row r="4464">
      <c r="A4464" t="inlineStr">
        <is>
          <t>S019</t>
        </is>
      </c>
      <c r="B4464" s="3" t="n">
        <v>46279</v>
      </c>
      <c r="C4464" t="n">
        <v>22</v>
      </c>
      <c r="D4464" t="inlineStr">
        <is>
          <t>Monday</t>
        </is>
      </c>
      <c r="E4464" t="n">
        <v>19</v>
      </c>
      <c r="F4464" t="b">
        <v>0</v>
      </c>
      <c r="H4464" t="b">
        <v>0</v>
      </c>
    </row>
    <row r="4465">
      <c r="A4465" t="inlineStr">
        <is>
          <t>S019</t>
        </is>
      </c>
      <c r="B4465" s="3" t="n">
        <v>46279</v>
      </c>
      <c r="C4465" t="n">
        <v>23</v>
      </c>
      <c r="D4465" t="inlineStr">
        <is>
          <t>Monday</t>
        </is>
      </c>
      <c r="E4465" t="n">
        <v>14</v>
      </c>
      <c r="F4465" t="b">
        <v>0</v>
      </c>
      <c r="H4465" t="b">
        <v>0</v>
      </c>
    </row>
    <row r="4466">
      <c r="A4466" t="inlineStr">
        <is>
          <t>S020</t>
        </is>
      </c>
      <c r="B4466" s="3" t="n">
        <v>46279</v>
      </c>
      <c r="C4466" t="n">
        <v>8</v>
      </c>
      <c r="D4466" t="inlineStr">
        <is>
          <t>Monday</t>
        </is>
      </c>
      <c r="E4466" t="n">
        <v>14</v>
      </c>
      <c r="F4466" t="b">
        <v>0</v>
      </c>
      <c r="H4466" t="b">
        <v>0</v>
      </c>
    </row>
    <row r="4467">
      <c r="A4467" t="inlineStr">
        <is>
          <t>S020</t>
        </is>
      </c>
      <c r="B4467" s="3" t="n">
        <v>46279</v>
      </c>
      <c r="C4467" t="n">
        <v>9</v>
      </c>
      <c r="D4467" t="inlineStr">
        <is>
          <t>Monday</t>
        </is>
      </c>
      <c r="E4467" t="n">
        <v>12</v>
      </c>
      <c r="F4467" t="b">
        <v>0</v>
      </c>
      <c r="H4467" t="b">
        <v>0</v>
      </c>
    </row>
    <row r="4468">
      <c r="A4468" t="inlineStr">
        <is>
          <t>S020</t>
        </is>
      </c>
      <c r="B4468" s="3" t="n">
        <v>46279</v>
      </c>
      <c r="C4468" t="n">
        <v>10</v>
      </c>
      <c r="D4468" t="inlineStr">
        <is>
          <t>Monday</t>
        </is>
      </c>
      <c r="E4468" t="n">
        <v>13</v>
      </c>
      <c r="F4468" t="b">
        <v>0</v>
      </c>
      <c r="G4468" t="inlineStr">
        <is>
          <t>Heavy</t>
        </is>
      </c>
      <c r="H4468" t="b">
        <v>0</v>
      </c>
    </row>
    <row r="4469">
      <c r="A4469" t="inlineStr">
        <is>
          <t>S020</t>
        </is>
      </c>
      <c r="B4469" s="3" t="n">
        <v>46279</v>
      </c>
      <c r="C4469" t="n">
        <v>11</v>
      </c>
      <c r="D4469" t="inlineStr">
        <is>
          <t>Monday</t>
        </is>
      </c>
      <c r="E4469" t="n">
        <v>16</v>
      </c>
      <c r="F4469" t="b">
        <v>0</v>
      </c>
      <c r="G4469" t="inlineStr">
        <is>
          <t>Heavy</t>
        </is>
      </c>
      <c r="H4469" t="b">
        <v>0</v>
      </c>
    </row>
    <row r="4470">
      <c r="A4470" t="inlineStr">
        <is>
          <t>S020</t>
        </is>
      </c>
      <c r="B4470" s="3" t="n">
        <v>46279</v>
      </c>
      <c r="C4470" t="n">
        <v>12</v>
      </c>
      <c r="D4470" t="inlineStr">
        <is>
          <t>Monday</t>
        </is>
      </c>
      <c r="E4470" t="n">
        <v>15</v>
      </c>
      <c r="F4470" t="b">
        <v>0</v>
      </c>
      <c r="H4470" t="b">
        <v>0</v>
      </c>
    </row>
    <row r="4471">
      <c r="A4471" t="inlineStr">
        <is>
          <t>S020</t>
        </is>
      </c>
      <c r="B4471" s="3" t="n">
        <v>46279</v>
      </c>
      <c r="C4471" t="n">
        <v>13</v>
      </c>
      <c r="D4471" t="inlineStr">
        <is>
          <t>Monday</t>
        </is>
      </c>
      <c r="E4471" t="n">
        <v>13</v>
      </c>
      <c r="F4471" t="b">
        <v>0</v>
      </c>
      <c r="H4471" t="b">
        <v>0</v>
      </c>
    </row>
    <row r="4472">
      <c r="A4472" t="inlineStr">
        <is>
          <t>S020</t>
        </is>
      </c>
      <c r="B4472" s="3" t="n">
        <v>46279</v>
      </c>
      <c r="C4472" t="n">
        <v>14</v>
      </c>
      <c r="D4472" t="inlineStr">
        <is>
          <t>Monday</t>
        </is>
      </c>
      <c r="E4472" t="n">
        <v>12</v>
      </c>
      <c r="F4472" t="b">
        <v>0</v>
      </c>
      <c r="H4472" t="b">
        <v>0</v>
      </c>
    </row>
    <row r="4473">
      <c r="A4473" t="inlineStr">
        <is>
          <t>S020</t>
        </is>
      </c>
      <c r="B4473" s="3" t="n">
        <v>46279</v>
      </c>
      <c r="C4473" t="n">
        <v>15</v>
      </c>
      <c r="D4473" t="inlineStr">
        <is>
          <t>Monday</t>
        </is>
      </c>
      <c r="E4473" t="n">
        <v>10</v>
      </c>
      <c r="F4473" t="b">
        <v>0</v>
      </c>
      <c r="H4473" t="b">
        <v>0</v>
      </c>
    </row>
    <row r="4474">
      <c r="A4474" t="inlineStr">
        <is>
          <t>S020</t>
        </is>
      </c>
      <c r="B4474" s="3" t="n">
        <v>46279</v>
      </c>
      <c r="C4474" t="n">
        <v>16</v>
      </c>
      <c r="D4474" t="inlineStr">
        <is>
          <t>Monday</t>
        </is>
      </c>
      <c r="E4474" t="n">
        <v>16</v>
      </c>
      <c r="F4474" t="b">
        <v>0</v>
      </c>
      <c r="H4474" t="b">
        <v>0</v>
      </c>
    </row>
    <row r="4475">
      <c r="A4475" t="inlineStr">
        <is>
          <t>S020</t>
        </is>
      </c>
      <c r="B4475" s="3" t="n">
        <v>46279</v>
      </c>
      <c r="C4475" t="n">
        <v>17</v>
      </c>
      <c r="D4475" t="inlineStr">
        <is>
          <t>Monday</t>
        </is>
      </c>
      <c r="E4475" t="n">
        <v>15</v>
      </c>
      <c r="F4475" t="b">
        <v>0</v>
      </c>
      <c r="H4475" t="b">
        <v>0</v>
      </c>
    </row>
    <row r="4476">
      <c r="A4476" t="inlineStr">
        <is>
          <t>S020</t>
        </is>
      </c>
      <c r="B4476" s="3" t="n">
        <v>46279</v>
      </c>
      <c r="C4476" t="n">
        <v>18</v>
      </c>
      <c r="D4476" t="inlineStr">
        <is>
          <t>Monday</t>
        </is>
      </c>
      <c r="E4476" t="n">
        <v>20</v>
      </c>
      <c r="F4476" t="b">
        <v>0</v>
      </c>
      <c r="G4476" t="inlineStr">
        <is>
          <t>Light</t>
        </is>
      </c>
      <c r="H4476" t="b">
        <v>0</v>
      </c>
    </row>
    <row r="4477">
      <c r="A4477" t="inlineStr">
        <is>
          <t>S020</t>
        </is>
      </c>
      <c r="B4477" s="3" t="n">
        <v>46279</v>
      </c>
      <c r="C4477" t="n">
        <v>19</v>
      </c>
      <c r="D4477" t="inlineStr">
        <is>
          <t>Monday</t>
        </is>
      </c>
      <c r="E4477" t="n">
        <v>24</v>
      </c>
      <c r="F4477" t="b">
        <v>1</v>
      </c>
      <c r="G4477" t="inlineStr">
        <is>
          <t>Light</t>
        </is>
      </c>
      <c r="H4477" t="b">
        <v>0</v>
      </c>
    </row>
    <row r="4478">
      <c r="A4478" t="inlineStr">
        <is>
          <t>S020</t>
        </is>
      </c>
      <c r="B4478" s="3" t="n">
        <v>46279</v>
      </c>
      <c r="C4478" t="n">
        <v>20</v>
      </c>
      <c r="D4478" t="inlineStr">
        <is>
          <t>Monday</t>
        </is>
      </c>
      <c r="E4478" t="n">
        <v>17</v>
      </c>
      <c r="F4478" t="b">
        <v>1</v>
      </c>
      <c r="H4478" t="b">
        <v>0</v>
      </c>
    </row>
    <row r="4479">
      <c r="A4479" t="inlineStr">
        <is>
          <t>S020</t>
        </is>
      </c>
      <c r="B4479" s="3" t="n">
        <v>46279</v>
      </c>
      <c r="C4479" t="n">
        <v>21</v>
      </c>
      <c r="D4479" t="inlineStr">
        <is>
          <t>Monday</t>
        </is>
      </c>
      <c r="E4479" t="n">
        <v>21</v>
      </c>
      <c r="F4479" t="b">
        <v>1</v>
      </c>
      <c r="G4479" t="inlineStr">
        <is>
          <t>Light</t>
        </is>
      </c>
      <c r="H4479" t="b">
        <v>0</v>
      </c>
    </row>
    <row r="4480">
      <c r="A4480" t="inlineStr">
        <is>
          <t>S020</t>
        </is>
      </c>
      <c r="B4480" s="3" t="n">
        <v>46279</v>
      </c>
      <c r="C4480" t="n">
        <v>22</v>
      </c>
      <c r="D4480" t="inlineStr">
        <is>
          <t>Monday</t>
        </is>
      </c>
      <c r="E4480" t="n">
        <v>17</v>
      </c>
      <c r="F4480" t="b">
        <v>0</v>
      </c>
      <c r="H4480" t="b">
        <v>0</v>
      </c>
    </row>
    <row r="4481">
      <c r="A4481" t="inlineStr">
        <is>
          <t>S020</t>
        </is>
      </c>
      <c r="B4481" s="3" t="n">
        <v>46279</v>
      </c>
      <c r="C4481" t="n">
        <v>23</v>
      </c>
      <c r="D4481" t="inlineStr">
        <is>
          <t>Monday</t>
        </is>
      </c>
      <c r="E4481" t="n">
        <v>9</v>
      </c>
      <c r="F4481" t="b">
        <v>0</v>
      </c>
      <c r="H448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1"/>
  <sheetViews>
    <sheetView tabSelected="0"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city</t>
        </is>
      </c>
      <c r="C1" s="1" t="inlineStr">
        <is>
          <t>signup_date</t>
        </is>
      </c>
      <c r="D1" s="1" t="inlineStr">
        <is>
          <t>orders_in_dataset</t>
        </is>
      </c>
      <c r="E1" s="1" t="inlineStr">
        <is>
          <t>avg_delivery_rating_1_to_5</t>
        </is>
      </c>
      <c r="F1" s="1" t="inlineStr">
        <is>
          <t>repeat_customer_flag</t>
        </is>
      </c>
      <c r="G1" s="1" t="inlineStr">
        <is>
          <t>support_tickets_count</t>
        </is>
      </c>
      <c r="H1" s="1" t="inlineStr">
        <is>
          <t>primary_ticket_reason</t>
        </is>
      </c>
      <c r="I1" s="1" t="inlineStr">
        <is>
          <t>refunds_and_goodwill_credits_inr</t>
        </is>
      </c>
      <c r="J1" s="1" t="inlineStr">
        <is>
          <t>repeat_order_in_dataset_flag</t>
        </is>
      </c>
    </row>
    <row r="2">
      <c r="A2" t="inlineStr">
        <is>
          <t>C0001</t>
        </is>
      </c>
      <c r="B2" t="inlineStr">
        <is>
          <t>Mumbai</t>
        </is>
      </c>
      <c r="C2" s="3" t="n">
        <v>45691</v>
      </c>
      <c r="D2" t="n">
        <v>7</v>
      </c>
      <c r="E2" t="n">
        <v>4.4</v>
      </c>
      <c r="F2" t="b">
        <v>1</v>
      </c>
      <c r="G2" t="n">
        <v>0</v>
      </c>
      <c r="I2" t="n">
        <v>0</v>
      </c>
      <c r="J2" t="b">
        <v>1</v>
      </c>
    </row>
    <row r="3">
      <c r="A3" t="inlineStr">
        <is>
          <t>C0002</t>
        </is>
      </c>
      <c r="B3" t="inlineStr">
        <is>
          <t>Hyderabad</t>
        </is>
      </c>
      <c r="C3" s="3" t="n">
        <v>45429</v>
      </c>
      <c r="D3" t="n">
        <v>4</v>
      </c>
      <c r="E3" t="n">
        <v>4.5</v>
      </c>
      <c r="F3" t="b">
        <v>1</v>
      </c>
      <c r="G3" t="n">
        <v>1</v>
      </c>
      <c r="H3" t="inlineStr">
        <is>
          <t>Payment issue</t>
        </is>
      </c>
      <c r="I3" t="n">
        <v>25</v>
      </c>
      <c r="J3" t="b">
        <v>1</v>
      </c>
    </row>
    <row r="4">
      <c r="A4" t="inlineStr">
        <is>
          <t>C0003</t>
        </is>
      </c>
      <c r="B4" t="inlineStr">
        <is>
          <t>Hyderabad</t>
        </is>
      </c>
      <c r="C4" s="3" t="n">
        <v>45824</v>
      </c>
      <c r="D4" t="n">
        <v>5</v>
      </c>
      <c r="E4" t="n">
        <v>5</v>
      </c>
      <c r="F4" t="b">
        <v>1</v>
      </c>
      <c r="G4" t="n">
        <v>0</v>
      </c>
      <c r="I4" t="n">
        <v>0</v>
      </c>
      <c r="J4" t="b">
        <v>1</v>
      </c>
    </row>
    <row r="5">
      <c r="A5" t="inlineStr">
        <is>
          <t>C0004</t>
        </is>
      </c>
      <c r="B5" t="inlineStr">
        <is>
          <t>Pune</t>
        </is>
      </c>
      <c r="C5" s="3" t="n">
        <v>45747</v>
      </c>
      <c r="D5" t="n">
        <v>8</v>
      </c>
      <c r="E5" t="n">
        <v>4.6</v>
      </c>
      <c r="F5" t="b">
        <v>1</v>
      </c>
      <c r="G5" t="n">
        <v>0</v>
      </c>
      <c r="I5" t="n">
        <v>0</v>
      </c>
      <c r="J5" t="b">
        <v>1</v>
      </c>
    </row>
    <row r="6">
      <c r="A6" t="inlineStr">
        <is>
          <t>C0005</t>
        </is>
      </c>
      <c r="B6" t="inlineStr">
        <is>
          <t>Pune</t>
        </is>
      </c>
      <c r="C6" s="3" t="n">
        <v>45531</v>
      </c>
      <c r="D6" t="n">
        <v>8</v>
      </c>
      <c r="E6" t="n">
        <v>4.9</v>
      </c>
      <c r="F6" t="b">
        <v>1</v>
      </c>
      <c r="G6" t="n">
        <v>5</v>
      </c>
      <c r="H6" t="inlineStr">
        <is>
          <t>Damaged item</t>
        </is>
      </c>
      <c r="I6" t="n">
        <v>0</v>
      </c>
      <c r="J6" t="b">
        <v>1</v>
      </c>
    </row>
    <row r="7">
      <c r="A7" t="inlineStr">
        <is>
          <t>C0006</t>
        </is>
      </c>
      <c r="B7" t="inlineStr">
        <is>
          <t>Delhi</t>
        </is>
      </c>
      <c r="C7" s="3" t="n">
        <v>45876</v>
      </c>
      <c r="D7" t="n">
        <v>8</v>
      </c>
      <c r="E7" t="n">
        <v>5</v>
      </c>
      <c r="F7" t="b">
        <v>1</v>
      </c>
      <c r="G7" t="n">
        <v>1</v>
      </c>
      <c r="H7" t="inlineStr">
        <is>
          <t>Damaged item</t>
        </is>
      </c>
      <c r="I7" t="n">
        <v>50</v>
      </c>
      <c r="J7" t="b">
        <v>1</v>
      </c>
    </row>
    <row r="8">
      <c r="A8" t="inlineStr">
        <is>
          <t>C0007</t>
        </is>
      </c>
      <c r="B8" t="inlineStr">
        <is>
          <t>Bengaluru</t>
        </is>
      </c>
      <c r="C8" s="3" t="n">
        <v>46062</v>
      </c>
      <c r="D8" t="n">
        <v>7</v>
      </c>
      <c r="E8" t="n">
        <v>4.4</v>
      </c>
      <c r="F8" t="b">
        <v>1</v>
      </c>
      <c r="G8" t="n">
        <v>2</v>
      </c>
      <c r="H8" t="inlineStr">
        <is>
          <t>Late delivery</t>
        </is>
      </c>
      <c r="I8" t="n">
        <v>150</v>
      </c>
      <c r="J8" t="b">
        <v>1</v>
      </c>
    </row>
    <row r="9">
      <c r="A9" t="inlineStr">
        <is>
          <t>C0008</t>
        </is>
      </c>
      <c r="B9" t="inlineStr">
        <is>
          <t>Bengaluru</t>
        </is>
      </c>
      <c r="C9" s="3" t="n">
        <v>45920</v>
      </c>
      <c r="D9" t="n">
        <v>5</v>
      </c>
      <c r="E9" t="n">
        <v>5</v>
      </c>
      <c r="F9" t="b">
        <v>1</v>
      </c>
      <c r="G9" t="n">
        <v>1</v>
      </c>
      <c r="H9" t="inlineStr">
        <is>
          <t>Late delivery</t>
        </is>
      </c>
      <c r="I9" t="n">
        <v>75</v>
      </c>
      <c r="J9" t="b">
        <v>1</v>
      </c>
    </row>
    <row r="10">
      <c r="A10" t="inlineStr">
        <is>
          <t>C0009</t>
        </is>
      </c>
      <c r="B10" t="inlineStr">
        <is>
          <t>Bengaluru</t>
        </is>
      </c>
      <c r="C10" s="3" t="n">
        <v>45464</v>
      </c>
      <c r="D10" t="n">
        <v>5</v>
      </c>
      <c r="E10" t="n">
        <v>5</v>
      </c>
      <c r="F10" t="b">
        <v>1</v>
      </c>
      <c r="G10" t="n">
        <v>1</v>
      </c>
      <c r="H10" t="inlineStr">
        <is>
          <t>Other</t>
        </is>
      </c>
      <c r="I10" t="n">
        <v>0</v>
      </c>
      <c r="J10" t="b">
        <v>1</v>
      </c>
    </row>
    <row r="11">
      <c r="A11" t="inlineStr">
        <is>
          <t>C0010</t>
        </is>
      </c>
      <c r="B11" t="inlineStr">
        <is>
          <t>Hyderabad</t>
        </is>
      </c>
      <c r="C11" s="3" t="n">
        <v>46135</v>
      </c>
      <c r="D11" t="n">
        <v>6</v>
      </c>
      <c r="E11" t="n">
        <v>4.6</v>
      </c>
      <c r="F11" t="b">
        <v>1</v>
      </c>
      <c r="G11" t="n">
        <v>2</v>
      </c>
      <c r="H11" t="inlineStr">
        <is>
          <t>Missing item</t>
        </is>
      </c>
      <c r="I11" t="n">
        <v>100</v>
      </c>
      <c r="J11" t="b">
        <v>1</v>
      </c>
    </row>
    <row r="12">
      <c r="A12" t="inlineStr">
        <is>
          <t>C0011</t>
        </is>
      </c>
      <c r="B12" t="inlineStr">
        <is>
          <t>Hyderabad</t>
        </is>
      </c>
      <c r="C12" s="3" t="n">
        <v>45865</v>
      </c>
      <c r="D12" t="n">
        <v>5</v>
      </c>
      <c r="E12" t="n">
        <v>5</v>
      </c>
      <c r="F12" t="b">
        <v>1</v>
      </c>
      <c r="G12" t="n">
        <v>3</v>
      </c>
      <c r="H12" t="inlineStr">
        <is>
          <t>Damaged item</t>
        </is>
      </c>
      <c r="I12" t="n">
        <v>225</v>
      </c>
      <c r="J12" t="b">
        <v>1</v>
      </c>
    </row>
    <row r="13">
      <c r="A13" t="inlineStr">
        <is>
          <t>C0012</t>
        </is>
      </c>
      <c r="B13" t="inlineStr">
        <is>
          <t>Bengaluru</t>
        </is>
      </c>
      <c r="C13" s="3" t="n">
        <v>45947</v>
      </c>
      <c r="D13" t="n">
        <v>6</v>
      </c>
      <c r="E13" t="n">
        <v>5</v>
      </c>
      <c r="F13" t="b">
        <v>1</v>
      </c>
      <c r="G13" t="n">
        <v>1</v>
      </c>
      <c r="H13" t="inlineStr">
        <is>
          <t>Payment issue</t>
        </is>
      </c>
      <c r="I13" t="n">
        <v>50</v>
      </c>
      <c r="J13" t="b">
        <v>1</v>
      </c>
    </row>
    <row r="14">
      <c r="A14" t="inlineStr">
        <is>
          <t>C0013</t>
        </is>
      </c>
      <c r="B14" t="inlineStr">
        <is>
          <t>Bengaluru</t>
        </is>
      </c>
      <c r="C14" s="3" t="n">
        <v>45979</v>
      </c>
      <c r="D14" t="n">
        <v>3</v>
      </c>
      <c r="E14" t="n">
        <v>5</v>
      </c>
      <c r="F14" t="b">
        <v>1</v>
      </c>
      <c r="G14" t="n">
        <v>0</v>
      </c>
      <c r="I14" t="n">
        <v>0</v>
      </c>
      <c r="J14" t="b">
        <v>1</v>
      </c>
    </row>
    <row r="15">
      <c r="A15" t="inlineStr">
        <is>
          <t>C0014</t>
        </is>
      </c>
      <c r="B15" t="inlineStr">
        <is>
          <t>Mumbai</t>
        </is>
      </c>
      <c r="C15" s="3" t="n">
        <v>45400</v>
      </c>
      <c r="D15" t="n">
        <v>9</v>
      </c>
      <c r="E15" t="n">
        <v>5</v>
      </c>
      <c r="F15" t="b">
        <v>1</v>
      </c>
      <c r="G15" t="n">
        <v>1</v>
      </c>
      <c r="H15" t="inlineStr">
        <is>
          <t>Other</t>
        </is>
      </c>
      <c r="I15" t="n">
        <v>50</v>
      </c>
      <c r="J15" t="b">
        <v>1</v>
      </c>
    </row>
    <row r="16">
      <c r="A16" t="inlineStr">
        <is>
          <t>C0015</t>
        </is>
      </c>
      <c r="B16" t="inlineStr">
        <is>
          <t>Delhi</t>
        </is>
      </c>
      <c r="C16" s="3" t="n">
        <v>46211</v>
      </c>
      <c r="D16" t="n">
        <v>5</v>
      </c>
      <c r="E16" t="n">
        <v>4.9</v>
      </c>
      <c r="F16" t="b">
        <v>1</v>
      </c>
      <c r="G16" t="n">
        <v>3</v>
      </c>
      <c r="H16" t="inlineStr">
        <is>
          <t>Payment issue</t>
        </is>
      </c>
      <c r="I16" t="n">
        <v>225</v>
      </c>
      <c r="J16" t="b">
        <v>1</v>
      </c>
    </row>
    <row r="17">
      <c r="A17" t="inlineStr">
        <is>
          <t>C0016</t>
        </is>
      </c>
      <c r="B17" t="inlineStr">
        <is>
          <t>Hyderabad</t>
        </is>
      </c>
      <c r="C17" s="3" t="n">
        <v>45404</v>
      </c>
      <c r="D17" t="n">
        <v>4</v>
      </c>
      <c r="E17" t="n">
        <v>5</v>
      </c>
      <c r="F17" t="b">
        <v>1</v>
      </c>
      <c r="G17" t="n">
        <v>2</v>
      </c>
      <c r="H17" t="inlineStr">
        <is>
          <t>Missing item</t>
        </is>
      </c>
      <c r="I17" t="n">
        <v>0</v>
      </c>
      <c r="J17" t="b">
        <v>1</v>
      </c>
    </row>
    <row r="18">
      <c r="A18" t="inlineStr">
        <is>
          <t>C0017</t>
        </is>
      </c>
      <c r="B18" t="inlineStr">
        <is>
          <t>Hyderabad</t>
        </is>
      </c>
      <c r="C18" s="3" t="n">
        <v>45934</v>
      </c>
      <c r="D18" t="n">
        <v>6</v>
      </c>
      <c r="E18" t="n">
        <v>4.6</v>
      </c>
      <c r="F18" t="b">
        <v>1</v>
      </c>
      <c r="G18" t="n">
        <v>2</v>
      </c>
      <c r="H18" t="inlineStr">
        <is>
          <t>Other</t>
        </is>
      </c>
      <c r="I18" t="n">
        <v>150</v>
      </c>
      <c r="J18" t="b">
        <v>1</v>
      </c>
    </row>
    <row r="19">
      <c r="A19" t="inlineStr">
        <is>
          <t>C0018</t>
        </is>
      </c>
      <c r="B19" t="inlineStr">
        <is>
          <t>Pune</t>
        </is>
      </c>
      <c r="C19" s="3" t="n">
        <v>45609</v>
      </c>
      <c r="D19" t="n">
        <v>5</v>
      </c>
      <c r="E19" t="n">
        <v>4.1</v>
      </c>
      <c r="F19" t="b">
        <v>1</v>
      </c>
      <c r="G19" t="n">
        <v>0</v>
      </c>
      <c r="I19" t="n">
        <v>0</v>
      </c>
      <c r="J19" t="b">
        <v>1</v>
      </c>
    </row>
    <row r="20">
      <c r="A20" t="inlineStr">
        <is>
          <t>C0019</t>
        </is>
      </c>
      <c r="B20" t="inlineStr">
        <is>
          <t>Bengaluru</t>
        </is>
      </c>
      <c r="C20" s="3" t="n">
        <v>45998</v>
      </c>
      <c r="D20" t="n">
        <v>4</v>
      </c>
      <c r="E20" t="n">
        <v>4.6</v>
      </c>
      <c r="F20" t="b">
        <v>1</v>
      </c>
      <c r="G20" t="n">
        <v>4</v>
      </c>
      <c r="H20" t="inlineStr">
        <is>
          <t>Damaged item</t>
        </is>
      </c>
      <c r="I20" t="n">
        <v>0</v>
      </c>
      <c r="J20" t="b">
        <v>1</v>
      </c>
    </row>
    <row r="21">
      <c r="A21" t="inlineStr">
        <is>
          <t>C0020</t>
        </is>
      </c>
      <c r="B21" t="inlineStr">
        <is>
          <t>Mumbai</t>
        </is>
      </c>
      <c r="C21" s="3" t="n">
        <v>45474</v>
      </c>
      <c r="D21" t="n">
        <v>4</v>
      </c>
      <c r="E21" t="n">
        <v>4</v>
      </c>
      <c r="F21" t="b">
        <v>1</v>
      </c>
      <c r="G21" t="n">
        <v>2</v>
      </c>
      <c r="H21" t="inlineStr">
        <is>
          <t>Missing item</t>
        </is>
      </c>
      <c r="I21" t="n">
        <v>150</v>
      </c>
      <c r="J21" t="b">
        <v>1</v>
      </c>
    </row>
    <row r="22">
      <c r="A22" t="inlineStr">
        <is>
          <t>C0021</t>
        </is>
      </c>
      <c r="B22" t="inlineStr">
        <is>
          <t>Hyderabad</t>
        </is>
      </c>
      <c r="C22" s="3" t="n">
        <v>45792</v>
      </c>
      <c r="D22" t="n">
        <v>7</v>
      </c>
      <c r="E22" t="n">
        <v>4.3</v>
      </c>
      <c r="F22" t="b">
        <v>1</v>
      </c>
      <c r="G22" t="n">
        <v>2</v>
      </c>
      <c r="H22" t="inlineStr">
        <is>
          <t>Other</t>
        </is>
      </c>
      <c r="I22" t="n">
        <v>50</v>
      </c>
      <c r="J22" t="b">
        <v>1</v>
      </c>
    </row>
    <row r="23">
      <c r="A23" t="inlineStr">
        <is>
          <t>C0022</t>
        </is>
      </c>
      <c r="B23" t="inlineStr">
        <is>
          <t>Pune</t>
        </is>
      </c>
      <c r="C23" s="3" t="n">
        <v>45483</v>
      </c>
      <c r="D23" t="n">
        <v>6</v>
      </c>
      <c r="E23" t="n">
        <v>4.9</v>
      </c>
      <c r="F23" t="b">
        <v>1</v>
      </c>
      <c r="G23" t="n">
        <v>2</v>
      </c>
      <c r="H23" t="inlineStr">
        <is>
          <t>Payment issue</t>
        </is>
      </c>
      <c r="I23" t="n">
        <v>100</v>
      </c>
      <c r="J23" t="b">
        <v>1</v>
      </c>
    </row>
    <row r="24">
      <c r="A24" t="inlineStr">
        <is>
          <t>C0023</t>
        </is>
      </c>
      <c r="B24" t="inlineStr">
        <is>
          <t>Pune</t>
        </is>
      </c>
      <c r="C24" s="3" t="n">
        <v>45648</v>
      </c>
      <c r="D24" t="n">
        <v>3</v>
      </c>
      <c r="E24" t="n">
        <v>5</v>
      </c>
      <c r="F24" t="b">
        <v>1</v>
      </c>
      <c r="G24" t="n">
        <v>1</v>
      </c>
      <c r="H24" t="inlineStr">
        <is>
          <t>Damaged item</t>
        </is>
      </c>
      <c r="I24" t="n">
        <v>0</v>
      </c>
      <c r="J24" t="b">
        <v>1</v>
      </c>
    </row>
    <row r="25">
      <c r="A25" t="inlineStr">
        <is>
          <t>C0024</t>
        </is>
      </c>
      <c r="B25" t="inlineStr">
        <is>
          <t>Pune</t>
        </is>
      </c>
      <c r="C25" s="3" t="n">
        <v>45809</v>
      </c>
      <c r="D25" t="n">
        <v>8</v>
      </c>
      <c r="E25" t="n">
        <v>5</v>
      </c>
      <c r="F25" t="b">
        <v>1</v>
      </c>
      <c r="G25" t="n">
        <v>2</v>
      </c>
      <c r="H25" t="inlineStr">
        <is>
          <t>Payment issue</t>
        </is>
      </c>
      <c r="I25" t="n">
        <v>0</v>
      </c>
      <c r="J25" t="b">
        <v>1</v>
      </c>
    </row>
    <row r="26">
      <c r="A26" t="inlineStr">
        <is>
          <t>C0025</t>
        </is>
      </c>
      <c r="B26" t="inlineStr">
        <is>
          <t>Pune</t>
        </is>
      </c>
      <c r="C26" s="3" t="n">
        <v>45829</v>
      </c>
      <c r="D26" t="n">
        <v>13</v>
      </c>
      <c r="E26" t="n">
        <v>4.5</v>
      </c>
      <c r="F26" t="b">
        <v>1</v>
      </c>
      <c r="G26" t="n">
        <v>5</v>
      </c>
      <c r="H26" t="inlineStr">
        <is>
          <t>Other</t>
        </is>
      </c>
      <c r="I26" t="n">
        <v>0</v>
      </c>
      <c r="J26" t="b">
        <v>1</v>
      </c>
    </row>
    <row r="27">
      <c r="A27" t="inlineStr">
        <is>
          <t>C0026</t>
        </is>
      </c>
      <c r="B27" t="inlineStr">
        <is>
          <t>Delhi</t>
        </is>
      </c>
      <c r="C27" s="3" t="n">
        <v>45721</v>
      </c>
      <c r="D27" t="n">
        <v>6</v>
      </c>
      <c r="E27" t="n">
        <v>4.6</v>
      </c>
      <c r="F27" t="b">
        <v>1</v>
      </c>
      <c r="G27" t="n">
        <v>3</v>
      </c>
      <c r="H27" t="inlineStr">
        <is>
          <t>Payment issue</t>
        </is>
      </c>
      <c r="I27" t="n">
        <v>225</v>
      </c>
      <c r="J27" t="b">
        <v>1</v>
      </c>
    </row>
    <row r="28">
      <c r="A28" t="inlineStr">
        <is>
          <t>C0027</t>
        </is>
      </c>
      <c r="B28" t="inlineStr">
        <is>
          <t>Bengaluru</t>
        </is>
      </c>
      <c r="C28" s="3" t="n">
        <v>45939</v>
      </c>
      <c r="D28" t="n">
        <v>7</v>
      </c>
      <c r="E28" t="n">
        <v>4.1</v>
      </c>
      <c r="F28" t="b">
        <v>1</v>
      </c>
      <c r="G28" t="n">
        <v>2</v>
      </c>
      <c r="H28" t="inlineStr">
        <is>
          <t>Other</t>
        </is>
      </c>
      <c r="I28" t="n">
        <v>50</v>
      </c>
      <c r="J28" t="b">
        <v>1</v>
      </c>
    </row>
    <row r="29">
      <c r="A29" t="inlineStr">
        <is>
          <t>C0028</t>
        </is>
      </c>
      <c r="B29" t="inlineStr">
        <is>
          <t>Pune</t>
        </is>
      </c>
      <c r="C29" s="3" t="n">
        <v>45483</v>
      </c>
      <c r="D29" t="n">
        <v>7</v>
      </c>
      <c r="E29" t="n">
        <v>4.2</v>
      </c>
      <c r="F29" t="b">
        <v>1</v>
      </c>
      <c r="G29" t="n">
        <v>6</v>
      </c>
      <c r="H29" t="inlineStr">
        <is>
          <t>Damaged item</t>
        </is>
      </c>
      <c r="I29" t="n">
        <v>150</v>
      </c>
      <c r="J29" t="b">
        <v>1</v>
      </c>
    </row>
    <row r="30">
      <c r="A30" t="inlineStr">
        <is>
          <t>C0029</t>
        </is>
      </c>
      <c r="B30" t="inlineStr">
        <is>
          <t>Pune</t>
        </is>
      </c>
      <c r="C30" s="3" t="n">
        <v>46185</v>
      </c>
      <c r="D30" t="n">
        <v>4</v>
      </c>
      <c r="E30" t="n">
        <v>5</v>
      </c>
      <c r="F30" t="b">
        <v>1</v>
      </c>
      <c r="G30" t="n">
        <v>3</v>
      </c>
      <c r="H30" t="inlineStr">
        <is>
          <t>Payment issue</t>
        </is>
      </c>
      <c r="I30" t="n">
        <v>225</v>
      </c>
      <c r="J30" t="b">
        <v>1</v>
      </c>
    </row>
    <row r="31">
      <c r="A31" t="inlineStr">
        <is>
          <t>C0030</t>
        </is>
      </c>
      <c r="B31" t="inlineStr">
        <is>
          <t>Hyderabad</t>
        </is>
      </c>
      <c r="C31" s="3" t="n">
        <v>45537</v>
      </c>
      <c r="D31" t="n">
        <v>5</v>
      </c>
      <c r="E31" t="n">
        <v>4.6</v>
      </c>
      <c r="F31" t="b">
        <v>1</v>
      </c>
      <c r="G31" t="n">
        <v>0</v>
      </c>
      <c r="I31" t="n">
        <v>0</v>
      </c>
      <c r="J31" t="b">
        <v>1</v>
      </c>
    </row>
    <row r="32">
      <c r="A32" t="inlineStr">
        <is>
          <t>C0031</t>
        </is>
      </c>
      <c r="B32" t="inlineStr">
        <is>
          <t>Pune</t>
        </is>
      </c>
      <c r="C32" s="3" t="n">
        <v>45848</v>
      </c>
      <c r="D32" t="n">
        <v>6</v>
      </c>
      <c r="E32" t="n">
        <v>5</v>
      </c>
      <c r="F32" t="b">
        <v>1</v>
      </c>
      <c r="G32" t="n">
        <v>1</v>
      </c>
      <c r="H32" t="inlineStr">
        <is>
          <t>Late delivery</t>
        </is>
      </c>
      <c r="I32" t="n">
        <v>50</v>
      </c>
      <c r="J32" t="b">
        <v>1</v>
      </c>
    </row>
    <row r="33">
      <c r="A33" t="inlineStr">
        <is>
          <t>C0032</t>
        </is>
      </c>
      <c r="B33" t="inlineStr">
        <is>
          <t>Mumbai</t>
        </is>
      </c>
      <c r="C33" s="3" t="n">
        <v>45551</v>
      </c>
      <c r="D33" t="n">
        <v>7</v>
      </c>
      <c r="E33" t="n">
        <v>5</v>
      </c>
      <c r="F33" t="b">
        <v>1</v>
      </c>
      <c r="G33" t="n">
        <v>3</v>
      </c>
      <c r="H33" t="inlineStr">
        <is>
          <t>Damaged item</t>
        </is>
      </c>
      <c r="I33" t="n">
        <v>225</v>
      </c>
      <c r="J33" t="b">
        <v>1</v>
      </c>
    </row>
    <row r="34">
      <c r="A34" t="inlineStr">
        <is>
          <t>C0033</t>
        </is>
      </c>
      <c r="B34" t="inlineStr">
        <is>
          <t>Bengaluru</t>
        </is>
      </c>
      <c r="C34" s="3" t="n">
        <v>45933</v>
      </c>
      <c r="D34" t="n">
        <v>7</v>
      </c>
      <c r="E34" t="n">
        <v>4</v>
      </c>
      <c r="F34" t="b">
        <v>1</v>
      </c>
      <c r="G34" t="n">
        <v>1</v>
      </c>
      <c r="H34" t="inlineStr">
        <is>
          <t>Other</t>
        </is>
      </c>
      <c r="I34" t="n">
        <v>0</v>
      </c>
      <c r="J34" t="b">
        <v>1</v>
      </c>
    </row>
    <row r="35">
      <c r="A35" t="inlineStr">
        <is>
          <t>C0034</t>
        </is>
      </c>
      <c r="B35" t="inlineStr">
        <is>
          <t>Hyderabad</t>
        </is>
      </c>
      <c r="C35" s="3" t="n">
        <v>45901</v>
      </c>
      <c r="D35" t="n">
        <v>8</v>
      </c>
      <c r="E35" t="n">
        <v>4.4</v>
      </c>
      <c r="F35" t="b">
        <v>1</v>
      </c>
      <c r="G35" t="n">
        <v>1</v>
      </c>
      <c r="H35" t="inlineStr">
        <is>
          <t>Damaged item</t>
        </is>
      </c>
      <c r="I35" t="n">
        <v>0</v>
      </c>
      <c r="J35" t="b">
        <v>1</v>
      </c>
    </row>
    <row r="36">
      <c r="A36" t="inlineStr">
        <is>
          <t>C0035</t>
        </is>
      </c>
      <c r="B36" t="inlineStr">
        <is>
          <t>Delhi</t>
        </is>
      </c>
      <c r="C36" s="3" t="n">
        <v>46055</v>
      </c>
      <c r="D36" t="n">
        <v>9</v>
      </c>
      <c r="E36" t="n">
        <v>4.7</v>
      </c>
      <c r="F36" t="b">
        <v>1</v>
      </c>
      <c r="G36" t="n">
        <v>2</v>
      </c>
      <c r="H36" t="inlineStr">
        <is>
          <t>Missing item</t>
        </is>
      </c>
      <c r="I36" t="n">
        <v>100</v>
      </c>
      <c r="J36" t="b">
        <v>1</v>
      </c>
    </row>
    <row r="37">
      <c r="A37" t="inlineStr">
        <is>
          <t>C0036</t>
        </is>
      </c>
      <c r="B37" t="inlineStr">
        <is>
          <t>Hyderabad</t>
        </is>
      </c>
      <c r="C37" s="3" t="n">
        <v>45429</v>
      </c>
      <c r="D37" t="n">
        <v>1</v>
      </c>
      <c r="E37" t="n">
        <v>5</v>
      </c>
      <c r="F37" t="b">
        <v>0</v>
      </c>
      <c r="G37" t="n">
        <v>0</v>
      </c>
      <c r="I37" t="n">
        <v>0</v>
      </c>
      <c r="J37" t="b">
        <v>0</v>
      </c>
    </row>
    <row r="38">
      <c r="A38" t="inlineStr">
        <is>
          <t>C0037</t>
        </is>
      </c>
      <c r="B38" t="inlineStr">
        <is>
          <t>Mumbai</t>
        </is>
      </c>
      <c r="C38" s="3" t="n">
        <v>45887</v>
      </c>
      <c r="D38" t="n">
        <v>2</v>
      </c>
      <c r="E38" t="n">
        <v>3.8</v>
      </c>
      <c r="F38" t="b">
        <v>1</v>
      </c>
      <c r="G38" t="n">
        <v>2</v>
      </c>
      <c r="H38" t="inlineStr">
        <is>
          <t>Other</t>
        </is>
      </c>
      <c r="I38" t="n">
        <v>0</v>
      </c>
      <c r="J38" t="b">
        <v>1</v>
      </c>
    </row>
    <row r="39">
      <c r="A39" t="inlineStr">
        <is>
          <t>C0038</t>
        </is>
      </c>
      <c r="B39" t="inlineStr">
        <is>
          <t>Mumbai</t>
        </is>
      </c>
      <c r="C39" s="3" t="n">
        <v>45878</v>
      </c>
      <c r="D39" t="n">
        <v>3</v>
      </c>
      <c r="E39" t="n">
        <v>4.5</v>
      </c>
      <c r="F39" t="b">
        <v>1</v>
      </c>
      <c r="G39" t="n">
        <v>1</v>
      </c>
      <c r="H39" t="inlineStr">
        <is>
          <t>Damaged item</t>
        </is>
      </c>
      <c r="I39" t="n">
        <v>25</v>
      </c>
      <c r="J39" t="b">
        <v>1</v>
      </c>
    </row>
    <row r="40">
      <c r="A40" t="inlineStr">
        <is>
          <t>C0039</t>
        </is>
      </c>
      <c r="B40" t="inlineStr">
        <is>
          <t>Bengaluru</t>
        </is>
      </c>
      <c r="C40" s="3" t="n">
        <v>46128</v>
      </c>
      <c r="D40" t="n">
        <v>6</v>
      </c>
      <c r="E40" t="n">
        <v>5</v>
      </c>
      <c r="F40" t="b">
        <v>1</v>
      </c>
      <c r="G40" t="n">
        <v>3</v>
      </c>
      <c r="H40" t="inlineStr">
        <is>
          <t>Late delivery</t>
        </is>
      </c>
      <c r="I40" t="n">
        <v>0</v>
      </c>
      <c r="J40" t="b">
        <v>1</v>
      </c>
    </row>
    <row r="41">
      <c r="A41" t="inlineStr">
        <is>
          <t>C0040</t>
        </is>
      </c>
      <c r="B41" t="inlineStr">
        <is>
          <t>Bengaluru</t>
        </is>
      </c>
      <c r="C41" s="3" t="n">
        <v>46089</v>
      </c>
      <c r="D41" t="n">
        <v>6</v>
      </c>
      <c r="E41" t="n">
        <v>4.2</v>
      </c>
      <c r="F41" t="b">
        <v>1</v>
      </c>
      <c r="G41" t="n">
        <v>3</v>
      </c>
      <c r="H41" t="inlineStr">
        <is>
          <t>Missing item</t>
        </is>
      </c>
      <c r="I41" t="n">
        <v>0</v>
      </c>
      <c r="J41" t="b">
        <v>1</v>
      </c>
    </row>
    <row r="42">
      <c r="A42" t="inlineStr">
        <is>
          <t>C0041</t>
        </is>
      </c>
      <c r="B42" t="inlineStr">
        <is>
          <t>Bengaluru</t>
        </is>
      </c>
      <c r="C42" s="3" t="n">
        <v>45527</v>
      </c>
      <c r="D42" t="n">
        <v>8</v>
      </c>
      <c r="E42" t="n">
        <v>4.9</v>
      </c>
      <c r="F42" t="b">
        <v>1</v>
      </c>
      <c r="G42" t="n">
        <v>2</v>
      </c>
      <c r="H42" t="inlineStr">
        <is>
          <t>Damaged item</t>
        </is>
      </c>
      <c r="I42" t="n">
        <v>0</v>
      </c>
      <c r="J42" t="b">
        <v>1</v>
      </c>
    </row>
    <row r="43">
      <c r="A43" t="inlineStr">
        <is>
          <t>C0042</t>
        </is>
      </c>
      <c r="B43" t="inlineStr">
        <is>
          <t>Pune</t>
        </is>
      </c>
      <c r="C43" s="3" t="n">
        <v>46037</v>
      </c>
      <c r="D43" t="n">
        <v>7</v>
      </c>
      <c r="E43" t="n">
        <v>4.1</v>
      </c>
      <c r="F43" t="b">
        <v>1</v>
      </c>
      <c r="G43" t="n">
        <v>1</v>
      </c>
      <c r="H43" t="inlineStr">
        <is>
          <t>Damaged item</t>
        </is>
      </c>
      <c r="I43" t="n">
        <v>25</v>
      </c>
      <c r="J43" t="b">
        <v>1</v>
      </c>
    </row>
    <row r="44">
      <c r="A44" t="inlineStr">
        <is>
          <t>C0043</t>
        </is>
      </c>
      <c r="B44" t="inlineStr">
        <is>
          <t>Hyderabad</t>
        </is>
      </c>
      <c r="C44" s="3" t="n">
        <v>45957</v>
      </c>
      <c r="D44" t="n">
        <v>4</v>
      </c>
      <c r="E44" t="n">
        <v>4.8</v>
      </c>
      <c r="F44" t="b">
        <v>1</v>
      </c>
      <c r="G44" t="n">
        <v>3</v>
      </c>
      <c r="H44" t="inlineStr">
        <is>
          <t>Other</t>
        </is>
      </c>
      <c r="I44" t="n">
        <v>0</v>
      </c>
      <c r="J44" t="b">
        <v>1</v>
      </c>
    </row>
    <row r="45">
      <c r="A45" t="inlineStr">
        <is>
          <t>C0044</t>
        </is>
      </c>
      <c r="B45" t="inlineStr">
        <is>
          <t>Hyderabad</t>
        </is>
      </c>
      <c r="C45" s="3" t="n">
        <v>46112</v>
      </c>
      <c r="D45" t="n">
        <v>4</v>
      </c>
      <c r="E45" t="n">
        <v>5</v>
      </c>
      <c r="F45" t="b">
        <v>1</v>
      </c>
      <c r="G45" t="n">
        <v>2</v>
      </c>
      <c r="H45" t="inlineStr">
        <is>
          <t>Damaged item</t>
        </is>
      </c>
      <c r="I45" t="n">
        <v>150</v>
      </c>
      <c r="J45" t="b">
        <v>1</v>
      </c>
    </row>
    <row r="46">
      <c r="A46" t="inlineStr">
        <is>
          <t>C0045</t>
        </is>
      </c>
      <c r="B46" t="inlineStr">
        <is>
          <t>Delhi</t>
        </is>
      </c>
      <c r="C46" s="3" t="n">
        <v>45782</v>
      </c>
      <c r="D46" t="n">
        <v>5</v>
      </c>
      <c r="E46" t="n">
        <v>3.9</v>
      </c>
      <c r="F46" t="b">
        <v>1</v>
      </c>
      <c r="G46" t="n">
        <v>1</v>
      </c>
      <c r="H46" t="inlineStr">
        <is>
          <t>Late delivery</t>
        </is>
      </c>
      <c r="I46" t="n">
        <v>25</v>
      </c>
      <c r="J46" t="b">
        <v>1</v>
      </c>
    </row>
    <row r="47">
      <c r="A47" t="inlineStr">
        <is>
          <t>C0046</t>
        </is>
      </c>
      <c r="B47" t="inlineStr">
        <is>
          <t>Pune</t>
        </is>
      </c>
      <c r="C47" s="3" t="n">
        <v>46160</v>
      </c>
      <c r="D47" t="n">
        <v>3</v>
      </c>
      <c r="E47" t="n">
        <v>4.7</v>
      </c>
      <c r="F47" t="b">
        <v>1</v>
      </c>
      <c r="G47" t="n">
        <v>1</v>
      </c>
      <c r="H47" t="inlineStr">
        <is>
          <t>Damaged item</t>
        </is>
      </c>
      <c r="I47" t="n">
        <v>25</v>
      </c>
      <c r="J47" t="b">
        <v>1</v>
      </c>
    </row>
    <row r="48">
      <c r="A48" t="inlineStr">
        <is>
          <t>C0047</t>
        </is>
      </c>
      <c r="B48" t="inlineStr">
        <is>
          <t>Mumbai</t>
        </is>
      </c>
      <c r="C48" s="3" t="n">
        <v>45602</v>
      </c>
      <c r="D48" t="n">
        <v>9</v>
      </c>
      <c r="E48" t="n">
        <v>5</v>
      </c>
      <c r="F48" t="b">
        <v>1</v>
      </c>
      <c r="G48" t="n">
        <v>4</v>
      </c>
      <c r="H48" t="inlineStr">
        <is>
          <t>Damaged item</t>
        </is>
      </c>
      <c r="I48" t="n">
        <v>200</v>
      </c>
      <c r="J48" t="b">
        <v>1</v>
      </c>
    </row>
    <row r="49">
      <c r="A49" t="inlineStr">
        <is>
          <t>C0048</t>
        </is>
      </c>
      <c r="B49" t="inlineStr">
        <is>
          <t>Hyderabad</t>
        </is>
      </c>
      <c r="C49" s="3" t="n">
        <v>46213</v>
      </c>
      <c r="D49" t="n">
        <v>5</v>
      </c>
      <c r="E49" t="n">
        <v>4.2</v>
      </c>
      <c r="F49" t="b">
        <v>1</v>
      </c>
      <c r="G49" t="n">
        <v>2</v>
      </c>
      <c r="H49" t="inlineStr">
        <is>
          <t>Missing item</t>
        </is>
      </c>
      <c r="I49" t="n">
        <v>100</v>
      </c>
      <c r="J49" t="b">
        <v>1</v>
      </c>
    </row>
    <row r="50">
      <c r="A50" t="inlineStr">
        <is>
          <t>C0049</t>
        </is>
      </c>
      <c r="B50" t="inlineStr">
        <is>
          <t>Delhi</t>
        </is>
      </c>
      <c r="C50" s="3" t="n">
        <v>45369</v>
      </c>
      <c r="D50" t="n">
        <v>8</v>
      </c>
      <c r="E50" t="n">
        <v>5</v>
      </c>
      <c r="F50" t="b">
        <v>1</v>
      </c>
      <c r="G50" t="n">
        <v>2</v>
      </c>
      <c r="H50" t="inlineStr">
        <is>
          <t>Late delivery</t>
        </is>
      </c>
      <c r="I50" t="n">
        <v>150</v>
      </c>
      <c r="J50" t="b">
        <v>1</v>
      </c>
    </row>
    <row r="51">
      <c r="A51" t="inlineStr">
        <is>
          <t>C0050</t>
        </is>
      </c>
      <c r="B51" t="inlineStr">
        <is>
          <t>Bengaluru</t>
        </is>
      </c>
      <c r="C51" s="3" t="n">
        <v>45714</v>
      </c>
      <c r="D51" t="n">
        <v>4</v>
      </c>
      <c r="E51" t="n">
        <v>4.5</v>
      </c>
      <c r="F51" t="b">
        <v>1</v>
      </c>
      <c r="G51" t="n">
        <v>0</v>
      </c>
      <c r="I51" t="n">
        <v>0</v>
      </c>
      <c r="J51" t="b">
        <v>1</v>
      </c>
    </row>
    <row r="52">
      <c r="A52" t="inlineStr">
        <is>
          <t>C0051</t>
        </is>
      </c>
      <c r="B52" t="inlineStr">
        <is>
          <t>Hyderabad</t>
        </is>
      </c>
      <c r="C52" s="3" t="n">
        <v>45936</v>
      </c>
      <c r="D52" t="n">
        <v>6</v>
      </c>
      <c r="E52" t="n">
        <v>5</v>
      </c>
      <c r="F52" t="b">
        <v>1</v>
      </c>
      <c r="G52" t="n">
        <v>3</v>
      </c>
      <c r="H52" t="inlineStr">
        <is>
          <t>Late delivery</t>
        </is>
      </c>
      <c r="I52" t="n">
        <v>0</v>
      </c>
      <c r="J52" t="b">
        <v>1</v>
      </c>
    </row>
    <row r="53">
      <c r="A53" t="inlineStr">
        <is>
          <t>C0052</t>
        </is>
      </c>
      <c r="B53" t="inlineStr">
        <is>
          <t>Delhi</t>
        </is>
      </c>
      <c r="C53" s="3" t="n">
        <v>45976</v>
      </c>
      <c r="D53" t="n">
        <v>8</v>
      </c>
      <c r="E53" t="n">
        <v>5</v>
      </c>
      <c r="F53" t="b">
        <v>1</v>
      </c>
      <c r="G53" t="n">
        <v>4</v>
      </c>
      <c r="H53" t="inlineStr">
        <is>
          <t>Payment issue</t>
        </is>
      </c>
      <c r="I53" t="n">
        <v>300</v>
      </c>
      <c r="J53" t="b">
        <v>1</v>
      </c>
    </row>
    <row r="54">
      <c r="A54" t="inlineStr">
        <is>
          <t>C0053</t>
        </is>
      </c>
      <c r="B54" t="inlineStr">
        <is>
          <t>Hyderabad</t>
        </is>
      </c>
      <c r="C54" s="3" t="n">
        <v>45774</v>
      </c>
      <c r="D54" t="n">
        <v>8</v>
      </c>
      <c r="E54" t="n">
        <v>4.5</v>
      </c>
      <c r="F54" t="b">
        <v>1</v>
      </c>
      <c r="G54" t="n">
        <v>1</v>
      </c>
      <c r="H54" t="inlineStr">
        <is>
          <t>Missing item</t>
        </is>
      </c>
      <c r="I54" t="n">
        <v>25</v>
      </c>
      <c r="J54" t="b">
        <v>1</v>
      </c>
    </row>
    <row r="55">
      <c r="A55" t="inlineStr">
        <is>
          <t>C0054</t>
        </is>
      </c>
      <c r="B55" t="inlineStr">
        <is>
          <t>Pune</t>
        </is>
      </c>
      <c r="C55" s="3" t="n">
        <v>46050</v>
      </c>
      <c r="D55" t="n">
        <v>5</v>
      </c>
      <c r="E55" t="n">
        <v>5</v>
      </c>
      <c r="F55" t="b">
        <v>1</v>
      </c>
      <c r="G55" t="n">
        <v>0</v>
      </c>
      <c r="I55" t="n">
        <v>0</v>
      </c>
      <c r="J55" t="b">
        <v>1</v>
      </c>
    </row>
    <row r="56">
      <c r="A56" t="inlineStr">
        <is>
          <t>C0055</t>
        </is>
      </c>
      <c r="B56" t="inlineStr">
        <is>
          <t>Hyderabad</t>
        </is>
      </c>
      <c r="C56" s="3" t="n">
        <v>45925</v>
      </c>
      <c r="D56" t="n">
        <v>9</v>
      </c>
      <c r="E56" t="n">
        <v>5</v>
      </c>
      <c r="F56" t="b">
        <v>1</v>
      </c>
      <c r="G56" t="n">
        <v>2</v>
      </c>
      <c r="H56" t="inlineStr">
        <is>
          <t>Damaged item</t>
        </is>
      </c>
      <c r="I56" t="n">
        <v>150</v>
      </c>
      <c r="J56" t="b">
        <v>1</v>
      </c>
    </row>
    <row r="57">
      <c r="A57" t="inlineStr">
        <is>
          <t>C0056</t>
        </is>
      </c>
      <c r="B57" t="inlineStr">
        <is>
          <t>Mumbai</t>
        </is>
      </c>
      <c r="C57" s="3" t="n">
        <v>45406</v>
      </c>
      <c r="D57" t="n">
        <v>4</v>
      </c>
      <c r="E57" t="n">
        <v>4.5</v>
      </c>
      <c r="F57" t="b">
        <v>1</v>
      </c>
      <c r="G57" t="n">
        <v>1</v>
      </c>
      <c r="H57" t="inlineStr">
        <is>
          <t>Damaged item</t>
        </is>
      </c>
      <c r="I57" t="n">
        <v>25</v>
      </c>
      <c r="J57" t="b">
        <v>1</v>
      </c>
    </row>
    <row r="58">
      <c r="A58" t="inlineStr">
        <is>
          <t>C0057</t>
        </is>
      </c>
      <c r="B58" t="inlineStr">
        <is>
          <t>Hyderabad</t>
        </is>
      </c>
      <c r="C58" s="3" t="n">
        <v>45429</v>
      </c>
      <c r="D58" t="n">
        <v>6</v>
      </c>
      <c r="E58" t="n">
        <v>5</v>
      </c>
      <c r="F58" t="b">
        <v>1</v>
      </c>
      <c r="G58" t="n">
        <v>4</v>
      </c>
      <c r="H58" t="inlineStr">
        <is>
          <t>Late delivery</t>
        </is>
      </c>
      <c r="I58" t="n">
        <v>200</v>
      </c>
      <c r="J58" t="b">
        <v>1</v>
      </c>
    </row>
    <row r="59">
      <c r="A59" t="inlineStr">
        <is>
          <t>C0058</t>
        </is>
      </c>
      <c r="B59" t="inlineStr">
        <is>
          <t>Bengaluru</t>
        </is>
      </c>
      <c r="C59" s="3" t="n">
        <v>45923</v>
      </c>
      <c r="D59" t="n">
        <v>3</v>
      </c>
      <c r="E59" t="n">
        <v>4.5</v>
      </c>
      <c r="F59" t="b">
        <v>1</v>
      </c>
      <c r="G59" t="n">
        <v>3</v>
      </c>
      <c r="H59" t="inlineStr">
        <is>
          <t>Missing item</t>
        </is>
      </c>
      <c r="I59" t="n">
        <v>0</v>
      </c>
      <c r="J59" t="b">
        <v>1</v>
      </c>
    </row>
    <row r="60">
      <c r="A60" t="inlineStr">
        <is>
          <t>C0059</t>
        </is>
      </c>
      <c r="B60" t="inlineStr">
        <is>
          <t>Mumbai</t>
        </is>
      </c>
      <c r="C60" s="3" t="n">
        <v>45473</v>
      </c>
      <c r="D60" t="n">
        <v>5</v>
      </c>
      <c r="E60" t="n">
        <v>3.9</v>
      </c>
      <c r="F60" t="b">
        <v>1</v>
      </c>
      <c r="G60" t="n">
        <v>4</v>
      </c>
      <c r="H60" t="inlineStr">
        <is>
          <t>Other</t>
        </is>
      </c>
      <c r="I60" t="n">
        <v>0</v>
      </c>
      <c r="J60" t="b">
        <v>1</v>
      </c>
    </row>
    <row r="61">
      <c r="A61" t="inlineStr">
        <is>
          <t>C0060</t>
        </is>
      </c>
      <c r="B61" t="inlineStr">
        <is>
          <t>Pune</t>
        </is>
      </c>
      <c r="C61" s="3" t="n">
        <v>45761</v>
      </c>
      <c r="D61" t="n">
        <v>5</v>
      </c>
      <c r="E61" t="n">
        <v>5</v>
      </c>
      <c r="F61" t="b">
        <v>1</v>
      </c>
      <c r="G61" t="n">
        <v>2</v>
      </c>
      <c r="H61" t="inlineStr">
        <is>
          <t>Payment issue</t>
        </is>
      </c>
      <c r="I61" t="n">
        <v>100</v>
      </c>
      <c r="J61" t="b">
        <v>1</v>
      </c>
    </row>
    <row r="62">
      <c r="A62" t="inlineStr">
        <is>
          <t>C0061</t>
        </is>
      </c>
      <c r="B62" t="inlineStr">
        <is>
          <t>Delhi</t>
        </is>
      </c>
      <c r="C62" s="3" t="n">
        <v>45706</v>
      </c>
      <c r="D62" t="n">
        <v>8</v>
      </c>
      <c r="E62" t="n">
        <v>4.5</v>
      </c>
      <c r="F62" t="b">
        <v>1</v>
      </c>
      <c r="G62" t="n">
        <v>4</v>
      </c>
      <c r="H62" t="inlineStr">
        <is>
          <t>Other</t>
        </is>
      </c>
      <c r="I62" t="n">
        <v>300</v>
      </c>
      <c r="J62" t="b">
        <v>1</v>
      </c>
    </row>
    <row r="63">
      <c r="A63" t="inlineStr">
        <is>
          <t>C0062</t>
        </is>
      </c>
      <c r="B63" t="inlineStr">
        <is>
          <t>Delhi</t>
        </is>
      </c>
      <c r="C63" s="3" t="n">
        <v>45848</v>
      </c>
      <c r="D63" t="n">
        <v>9</v>
      </c>
      <c r="E63" t="n">
        <v>4.8</v>
      </c>
      <c r="F63" t="b">
        <v>1</v>
      </c>
      <c r="G63" t="n">
        <v>3</v>
      </c>
      <c r="H63" t="inlineStr">
        <is>
          <t>Missing item</t>
        </is>
      </c>
      <c r="I63" t="n">
        <v>150</v>
      </c>
      <c r="J63" t="b">
        <v>1</v>
      </c>
    </row>
    <row r="64">
      <c r="A64" t="inlineStr">
        <is>
          <t>C0063</t>
        </is>
      </c>
      <c r="B64" t="inlineStr">
        <is>
          <t>Pune</t>
        </is>
      </c>
      <c r="C64" s="3" t="n">
        <v>45698</v>
      </c>
      <c r="D64" t="n">
        <v>4</v>
      </c>
      <c r="E64" t="n">
        <v>5</v>
      </c>
      <c r="F64" t="b">
        <v>1</v>
      </c>
      <c r="G64" t="n">
        <v>1</v>
      </c>
      <c r="H64" t="inlineStr">
        <is>
          <t>Late delivery</t>
        </is>
      </c>
      <c r="I64" t="n">
        <v>0</v>
      </c>
      <c r="J64" t="b">
        <v>1</v>
      </c>
    </row>
    <row r="65">
      <c r="A65" t="inlineStr">
        <is>
          <t>C0064</t>
        </is>
      </c>
      <c r="B65" t="inlineStr">
        <is>
          <t>Pune</t>
        </is>
      </c>
      <c r="C65" s="3" t="n">
        <v>45581</v>
      </c>
      <c r="D65" t="n">
        <v>6</v>
      </c>
      <c r="E65" t="n">
        <v>5</v>
      </c>
      <c r="F65" t="b">
        <v>1</v>
      </c>
      <c r="G65" t="n">
        <v>1</v>
      </c>
      <c r="H65" t="inlineStr">
        <is>
          <t>Missing item</t>
        </is>
      </c>
      <c r="I65" t="n">
        <v>50</v>
      </c>
      <c r="J65" t="b">
        <v>1</v>
      </c>
    </row>
    <row r="66">
      <c r="A66" t="inlineStr">
        <is>
          <t>C0065</t>
        </is>
      </c>
      <c r="B66" t="inlineStr">
        <is>
          <t>Mumbai</t>
        </is>
      </c>
      <c r="C66" s="3" t="n">
        <v>45601</v>
      </c>
      <c r="D66" t="n">
        <v>5</v>
      </c>
      <c r="E66" t="n">
        <v>4</v>
      </c>
      <c r="F66" t="b">
        <v>1</v>
      </c>
      <c r="G66" t="n">
        <v>0</v>
      </c>
      <c r="I66" t="n">
        <v>0</v>
      </c>
      <c r="J66" t="b">
        <v>1</v>
      </c>
    </row>
    <row r="67">
      <c r="A67" t="inlineStr">
        <is>
          <t>C0066</t>
        </is>
      </c>
      <c r="B67" t="inlineStr">
        <is>
          <t>Pune</t>
        </is>
      </c>
      <c r="C67" s="3" t="n">
        <v>45969</v>
      </c>
      <c r="D67" t="n">
        <v>4</v>
      </c>
      <c r="E67" t="n">
        <v>4.1</v>
      </c>
      <c r="F67" t="b">
        <v>1</v>
      </c>
      <c r="G67" t="n">
        <v>3</v>
      </c>
      <c r="H67" t="inlineStr">
        <is>
          <t>Late delivery</t>
        </is>
      </c>
      <c r="I67" t="n">
        <v>225</v>
      </c>
      <c r="J67" t="b">
        <v>1</v>
      </c>
    </row>
    <row r="68">
      <c r="A68" t="inlineStr">
        <is>
          <t>C0067</t>
        </is>
      </c>
      <c r="B68" t="inlineStr">
        <is>
          <t>Hyderabad</t>
        </is>
      </c>
      <c r="C68" s="3" t="n">
        <v>46082</v>
      </c>
      <c r="D68" t="n">
        <v>7</v>
      </c>
      <c r="E68" t="n">
        <v>5</v>
      </c>
      <c r="F68" t="b">
        <v>1</v>
      </c>
      <c r="G68" t="n">
        <v>0</v>
      </c>
      <c r="I68" t="n">
        <v>0</v>
      </c>
      <c r="J68" t="b">
        <v>1</v>
      </c>
    </row>
    <row r="69">
      <c r="A69" t="inlineStr">
        <is>
          <t>C0068</t>
        </is>
      </c>
      <c r="B69" t="inlineStr">
        <is>
          <t>Delhi</t>
        </is>
      </c>
      <c r="C69" s="3" t="n">
        <v>45865</v>
      </c>
      <c r="D69" t="n">
        <v>1</v>
      </c>
      <c r="E69" t="n">
        <v>5</v>
      </c>
      <c r="F69" t="b">
        <v>0</v>
      </c>
      <c r="G69" t="n">
        <v>1</v>
      </c>
      <c r="H69" t="inlineStr">
        <is>
          <t>Payment issue</t>
        </is>
      </c>
      <c r="I69" t="n">
        <v>50</v>
      </c>
      <c r="J69" t="b">
        <v>0</v>
      </c>
    </row>
    <row r="70">
      <c r="A70" t="inlineStr">
        <is>
          <t>C0069</t>
        </is>
      </c>
      <c r="B70" t="inlineStr">
        <is>
          <t>Pune</t>
        </is>
      </c>
      <c r="C70" s="3" t="n">
        <v>46148</v>
      </c>
      <c r="D70" t="n">
        <v>4</v>
      </c>
      <c r="E70" t="n">
        <v>5</v>
      </c>
      <c r="F70" t="b">
        <v>1</v>
      </c>
      <c r="G70" t="n">
        <v>2</v>
      </c>
      <c r="H70" t="inlineStr">
        <is>
          <t>Late delivery</t>
        </is>
      </c>
      <c r="I70" t="n">
        <v>0</v>
      </c>
      <c r="J70" t="b">
        <v>1</v>
      </c>
    </row>
    <row r="71">
      <c r="A71" t="inlineStr">
        <is>
          <t>C0070</t>
        </is>
      </c>
      <c r="B71" t="inlineStr">
        <is>
          <t>Delhi</t>
        </is>
      </c>
      <c r="C71" s="3" t="n">
        <v>45960</v>
      </c>
      <c r="D71" t="n">
        <v>9</v>
      </c>
      <c r="E71" t="n">
        <v>4.9</v>
      </c>
      <c r="F71" t="b">
        <v>1</v>
      </c>
      <c r="G71" t="n">
        <v>4</v>
      </c>
      <c r="H71" t="inlineStr">
        <is>
          <t>Payment issue</t>
        </is>
      </c>
      <c r="I71" t="n">
        <v>300</v>
      </c>
      <c r="J71" t="b">
        <v>1</v>
      </c>
    </row>
    <row r="72">
      <c r="A72" t="inlineStr">
        <is>
          <t>C0071</t>
        </is>
      </c>
      <c r="B72" t="inlineStr">
        <is>
          <t>Mumbai</t>
        </is>
      </c>
      <c r="C72" s="3" t="n">
        <v>45678</v>
      </c>
      <c r="D72" t="n">
        <v>4</v>
      </c>
      <c r="E72" t="n">
        <v>4.4</v>
      </c>
      <c r="F72" t="b">
        <v>1</v>
      </c>
      <c r="G72" t="n">
        <v>1</v>
      </c>
      <c r="H72" t="inlineStr">
        <is>
          <t>Damaged item</t>
        </is>
      </c>
      <c r="I72" t="n">
        <v>75</v>
      </c>
      <c r="J72" t="b">
        <v>1</v>
      </c>
    </row>
    <row r="73">
      <c r="A73" t="inlineStr">
        <is>
          <t>C0072</t>
        </is>
      </c>
      <c r="B73" t="inlineStr">
        <is>
          <t>Bengaluru</t>
        </is>
      </c>
      <c r="C73" s="3" t="n">
        <v>45614</v>
      </c>
      <c r="D73" t="n">
        <v>10</v>
      </c>
      <c r="E73" t="n">
        <v>5</v>
      </c>
      <c r="F73" t="b">
        <v>1</v>
      </c>
      <c r="G73" t="n">
        <v>0</v>
      </c>
      <c r="I73" t="n">
        <v>0</v>
      </c>
      <c r="J73" t="b">
        <v>1</v>
      </c>
    </row>
    <row r="74">
      <c r="A74" t="inlineStr">
        <is>
          <t>C0073</t>
        </is>
      </c>
      <c r="B74" t="inlineStr">
        <is>
          <t>Mumbai</t>
        </is>
      </c>
      <c r="C74" s="3" t="n">
        <v>45731</v>
      </c>
      <c r="D74" t="n">
        <v>15</v>
      </c>
      <c r="E74" t="n">
        <v>3.7</v>
      </c>
      <c r="F74" t="b">
        <v>1</v>
      </c>
      <c r="G74" t="n">
        <v>4</v>
      </c>
      <c r="H74" t="inlineStr">
        <is>
          <t>Damaged item</t>
        </is>
      </c>
      <c r="I74" t="n">
        <v>200</v>
      </c>
      <c r="J74" t="b">
        <v>1</v>
      </c>
    </row>
    <row r="75">
      <c r="A75" t="inlineStr">
        <is>
          <t>C0074</t>
        </is>
      </c>
      <c r="B75" t="inlineStr">
        <is>
          <t>Hyderabad</t>
        </is>
      </c>
      <c r="C75" s="3" t="n">
        <v>45434</v>
      </c>
      <c r="D75" t="n">
        <v>2</v>
      </c>
      <c r="E75" t="n">
        <v>3.7</v>
      </c>
      <c r="F75" t="b">
        <v>1</v>
      </c>
      <c r="G75" t="n">
        <v>1</v>
      </c>
      <c r="H75" t="inlineStr">
        <is>
          <t>Damaged item</t>
        </is>
      </c>
      <c r="I75" t="n">
        <v>75</v>
      </c>
      <c r="J75" t="b">
        <v>1</v>
      </c>
    </row>
    <row r="76">
      <c r="A76" t="inlineStr">
        <is>
          <t>C0075</t>
        </is>
      </c>
      <c r="B76" t="inlineStr">
        <is>
          <t>Mumbai</t>
        </is>
      </c>
      <c r="C76" s="3" t="n">
        <v>45773</v>
      </c>
      <c r="D76" t="n">
        <v>5</v>
      </c>
      <c r="E76" t="n">
        <v>4</v>
      </c>
      <c r="F76" t="b">
        <v>1</v>
      </c>
      <c r="G76" t="n">
        <v>0</v>
      </c>
      <c r="I76" t="n">
        <v>0</v>
      </c>
      <c r="J76" t="b">
        <v>1</v>
      </c>
    </row>
    <row r="77">
      <c r="A77" t="inlineStr">
        <is>
          <t>C0076</t>
        </is>
      </c>
      <c r="B77" t="inlineStr">
        <is>
          <t>Pune</t>
        </is>
      </c>
      <c r="C77" s="3" t="n">
        <v>45562</v>
      </c>
      <c r="D77" t="n">
        <v>3</v>
      </c>
      <c r="E77" t="n">
        <v>4.7</v>
      </c>
      <c r="F77" t="b">
        <v>1</v>
      </c>
      <c r="G77" t="n">
        <v>0</v>
      </c>
      <c r="I77" t="n">
        <v>0</v>
      </c>
      <c r="J77" t="b">
        <v>1</v>
      </c>
    </row>
    <row r="78">
      <c r="A78" t="inlineStr">
        <is>
          <t>C0077</t>
        </is>
      </c>
      <c r="B78" t="inlineStr">
        <is>
          <t>Mumbai</t>
        </is>
      </c>
      <c r="C78" s="3" t="n">
        <v>46054</v>
      </c>
      <c r="D78" t="n">
        <v>3</v>
      </c>
      <c r="E78" t="n">
        <v>5</v>
      </c>
      <c r="F78" t="b">
        <v>1</v>
      </c>
      <c r="G78" t="n">
        <v>2</v>
      </c>
      <c r="H78" t="inlineStr">
        <is>
          <t>Payment issue</t>
        </is>
      </c>
      <c r="I78" t="n">
        <v>50</v>
      </c>
      <c r="J78" t="b">
        <v>1</v>
      </c>
    </row>
    <row r="79">
      <c r="A79" t="inlineStr">
        <is>
          <t>C0078</t>
        </is>
      </c>
      <c r="B79" t="inlineStr">
        <is>
          <t>Mumbai</t>
        </is>
      </c>
      <c r="C79" s="3" t="n">
        <v>46086</v>
      </c>
      <c r="D79" t="n">
        <v>5</v>
      </c>
      <c r="E79" t="n">
        <v>4.6</v>
      </c>
      <c r="F79" t="b">
        <v>1</v>
      </c>
      <c r="G79" t="n">
        <v>2</v>
      </c>
      <c r="H79" t="inlineStr">
        <is>
          <t>Missing item</t>
        </is>
      </c>
      <c r="I79" t="n">
        <v>0</v>
      </c>
      <c r="J79" t="b">
        <v>1</v>
      </c>
    </row>
    <row r="80">
      <c r="A80" t="inlineStr">
        <is>
          <t>C0079</t>
        </is>
      </c>
      <c r="B80" t="inlineStr">
        <is>
          <t>Pune</t>
        </is>
      </c>
      <c r="C80" s="3" t="n">
        <v>46017</v>
      </c>
      <c r="D80" t="n">
        <v>8</v>
      </c>
      <c r="E80" t="n">
        <v>4.3</v>
      </c>
      <c r="F80" t="b">
        <v>1</v>
      </c>
      <c r="G80" t="n">
        <v>0</v>
      </c>
      <c r="I80" t="n">
        <v>0</v>
      </c>
      <c r="J80" t="b">
        <v>1</v>
      </c>
    </row>
    <row r="81">
      <c r="A81" t="inlineStr">
        <is>
          <t>C0080</t>
        </is>
      </c>
      <c r="B81" t="inlineStr">
        <is>
          <t>Bengaluru</t>
        </is>
      </c>
      <c r="C81" s="3" t="n">
        <v>45815</v>
      </c>
      <c r="D81" t="n">
        <v>1</v>
      </c>
      <c r="E81" t="n">
        <v>5</v>
      </c>
      <c r="F81" t="b">
        <v>0</v>
      </c>
      <c r="G81" t="n">
        <v>0</v>
      </c>
      <c r="I81" t="n">
        <v>0</v>
      </c>
      <c r="J81" t="b">
        <v>0</v>
      </c>
    </row>
    <row r="82">
      <c r="A82" t="inlineStr">
        <is>
          <t>C0081</t>
        </is>
      </c>
      <c r="B82" t="inlineStr">
        <is>
          <t>Bengaluru</t>
        </is>
      </c>
      <c r="C82" s="3" t="n">
        <v>46026</v>
      </c>
      <c r="D82" t="n">
        <v>7</v>
      </c>
      <c r="E82" t="n">
        <v>4</v>
      </c>
      <c r="F82" t="b">
        <v>1</v>
      </c>
      <c r="G82" t="n">
        <v>5</v>
      </c>
      <c r="H82" t="inlineStr">
        <is>
          <t>Damaged item</t>
        </is>
      </c>
      <c r="I82" t="n">
        <v>375</v>
      </c>
      <c r="J82" t="b">
        <v>1</v>
      </c>
    </row>
    <row r="83">
      <c r="A83" t="inlineStr">
        <is>
          <t>C0082</t>
        </is>
      </c>
      <c r="B83" t="inlineStr">
        <is>
          <t>Bengaluru</t>
        </is>
      </c>
      <c r="C83" s="3" t="n">
        <v>46249</v>
      </c>
      <c r="D83" t="n">
        <v>5</v>
      </c>
      <c r="E83" t="n">
        <v>4</v>
      </c>
      <c r="F83" t="b">
        <v>1</v>
      </c>
      <c r="G83" t="n">
        <v>0</v>
      </c>
      <c r="I83" t="n">
        <v>0</v>
      </c>
      <c r="J83" t="b">
        <v>1</v>
      </c>
    </row>
    <row r="84">
      <c r="A84" t="inlineStr">
        <is>
          <t>C0083</t>
        </is>
      </c>
      <c r="B84" t="inlineStr">
        <is>
          <t>Bengaluru</t>
        </is>
      </c>
      <c r="C84" s="3" t="n">
        <v>46140</v>
      </c>
      <c r="D84" t="n">
        <v>2</v>
      </c>
      <c r="E84" t="n">
        <v>3.9</v>
      </c>
      <c r="F84" t="b">
        <v>1</v>
      </c>
      <c r="G84" t="n">
        <v>0</v>
      </c>
      <c r="I84" t="n">
        <v>0</v>
      </c>
      <c r="J84" t="b">
        <v>1</v>
      </c>
    </row>
    <row r="85">
      <c r="A85" t="inlineStr">
        <is>
          <t>C0084</t>
        </is>
      </c>
      <c r="B85" t="inlineStr">
        <is>
          <t>Delhi</t>
        </is>
      </c>
      <c r="C85" s="3" t="n">
        <v>45972</v>
      </c>
      <c r="D85" t="n">
        <v>6</v>
      </c>
      <c r="E85" t="n">
        <v>4.7</v>
      </c>
      <c r="F85" t="b">
        <v>1</v>
      </c>
      <c r="G85" t="n">
        <v>1</v>
      </c>
      <c r="H85" t="inlineStr">
        <is>
          <t>Missing item</t>
        </is>
      </c>
      <c r="I85" t="n">
        <v>25</v>
      </c>
      <c r="J85" t="b">
        <v>1</v>
      </c>
    </row>
    <row r="86">
      <c r="A86" t="inlineStr">
        <is>
          <t>C0085</t>
        </is>
      </c>
      <c r="B86" t="inlineStr">
        <is>
          <t>Mumbai</t>
        </is>
      </c>
      <c r="C86" s="3" t="n">
        <v>45968</v>
      </c>
      <c r="D86" t="n">
        <v>7</v>
      </c>
      <c r="E86" t="n">
        <v>4.8</v>
      </c>
      <c r="F86" t="b">
        <v>1</v>
      </c>
      <c r="G86" t="n">
        <v>3</v>
      </c>
      <c r="H86" t="inlineStr">
        <is>
          <t>Damaged item</t>
        </is>
      </c>
      <c r="I86" t="n">
        <v>75</v>
      </c>
      <c r="J86" t="b">
        <v>1</v>
      </c>
    </row>
    <row r="87">
      <c r="A87" t="inlineStr">
        <is>
          <t>C0086</t>
        </is>
      </c>
      <c r="B87" t="inlineStr">
        <is>
          <t>Mumbai</t>
        </is>
      </c>
      <c r="C87" s="3" t="n">
        <v>46166</v>
      </c>
      <c r="D87" t="n">
        <v>8</v>
      </c>
      <c r="E87" t="n">
        <v>5</v>
      </c>
      <c r="F87" t="b">
        <v>1</v>
      </c>
      <c r="G87" t="n">
        <v>6</v>
      </c>
      <c r="H87" t="inlineStr">
        <is>
          <t>Payment issue</t>
        </is>
      </c>
      <c r="I87" t="n">
        <v>300</v>
      </c>
      <c r="J87" t="b">
        <v>1</v>
      </c>
    </row>
    <row r="88">
      <c r="A88" t="inlineStr">
        <is>
          <t>C0087</t>
        </is>
      </c>
      <c r="B88" t="inlineStr">
        <is>
          <t>Delhi</t>
        </is>
      </c>
      <c r="C88" s="3" t="n">
        <v>45620</v>
      </c>
      <c r="D88" t="n">
        <v>5</v>
      </c>
      <c r="E88" t="n">
        <v>5</v>
      </c>
      <c r="F88" t="b">
        <v>1</v>
      </c>
      <c r="G88" t="n">
        <v>5</v>
      </c>
      <c r="H88" t="inlineStr">
        <is>
          <t>Late delivery</t>
        </is>
      </c>
      <c r="I88" t="n">
        <v>125</v>
      </c>
      <c r="J88" t="b">
        <v>1</v>
      </c>
    </row>
    <row r="89">
      <c r="A89" t="inlineStr">
        <is>
          <t>C0088</t>
        </is>
      </c>
      <c r="B89" t="inlineStr">
        <is>
          <t>Delhi</t>
        </is>
      </c>
      <c r="C89" s="3" t="n">
        <v>45399</v>
      </c>
      <c r="D89" t="n">
        <v>7</v>
      </c>
      <c r="E89" t="n">
        <v>5</v>
      </c>
      <c r="F89" t="b">
        <v>1</v>
      </c>
      <c r="G89" t="n">
        <v>0</v>
      </c>
      <c r="I89" t="n">
        <v>0</v>
      </c>
      <c r="J89" t="b">
        <v>1</v>
      </c>
    </row>
    <row r="90">
      <c r="A90" t="inlineStr">
        <is>
          <t>C0089</t>
        </is>
      </c>
      <c r="B90" t="inlineStr">
        <is>
          <t>Mumbai</t>
        </is>
      </c>
      <c r="C90" s="3" t="n">
        <v>45388</v>
      </c>
      <c r="D90" t="n">
        <v>5</v>
      </c>
      <c r="E90" t="n">
        <v>5</v>
      </c>
      <c r="F90" t="b">
        <v>1</v>
      </c>
      <c r="G90" t="n">
        <v>4</v>
      </c>
      <c r="H90" t="inlineStr">
        <is>
          <t>Missing item</t>
        </is>
      </c>
      <c r="I90" t="n">
        <v>300</v>
      </c>
      <c r="J90" t="b">
        <v>1</v>
      </c>
    </row>
    <row r="91">
      <c r="A91" t="inlineStr">
        <is>
          <t>C0090</t>
        </is>
      </c>
      <c r="B91" t="inlineStr">
        <is>
          <t>Delhi</t>
        </is>
      </c>
      <c r="C91" s="3" t="n">
        <v>46020</v>
      </c>
      <c r="D91" t="n">
        <v>2</v>
      </c>
      <c r="E91" t="n">
        <v>5</v>
      </c>
      <c r="F91" t="b">
        <v>1</v>
      </c>
      <c r="G91" t="n">
        <v>1</v>
      </c>
      <c r="H91" t="inlineStr">
        <is>
          <t>Missing item</t>
        </is>
      </c>
      <c r="I91" t="n">
        <v>0</v>
      </c>
      <c r="J91" t="b">
        <v>1</v>
      </c>
    </row>
    <row r="92">
      <c r="A92" t="inlineStr">
        <is>
          <t>C0091</t>
        </is>
      </c>
      <c r="B92" t="inlineStr">
        <is>
          <t>Mumbai</t>
        </is>
      </c>
      <c r="C92" s="3" t="n">
        <v>45658</v>
      </c>
      <c r="D92" t="n">
        <v>8</v>
      </c>
      <c r="E92" t="n">
        <v>5</v>
      </c>
      <c r="F92" t="b">
        <v>1</v>
      </c>
      <c r="G92" t="n">
        <v>4</v>
      </c>
      <c r="H92" t="inlineStr">
        <is>
          <t>Other</t>
        </is>
      </c>
      <c r="I92" t="n">
        <v>100</v>
      </c>
      <c r="J92" t="b">
        <v>1</v>
      </c>
    </row>
    <row r="93">
      <c r="A93" t="inlineStr">
        <is>
          <t>C0092</t>
        </is>
      </c>
      <c r="B93" t="inlineStr">
        <is>
          <t>Hyderabad</t>
        </is>
      </c>
      <c r="C93" s="3" t="n">
        <v>45748</v>
      </c>
      <c r="D93" t="n">
        <v>3</v>
      </c>
      <c r="E93" t="n">
        <v>5</v>
      </c>
      <c r="F93" t="b">
        <v>1</v>
      </c>
      <c r="G93" t="n">
        <v>2</v>
      </c>
      <c r="H93" t="inlineStr">
        <is>
          <t>Late delivery</t>
        </is>
      </c>
      <c r="I93" t="n">
        <v>50</v>
      </c>
      <c r="J93" t="b">
        <v>1</v>
      </c>
    </row>
    <row r="94">
      <c r="A94" t="inlineStr">
        <is>
          <t>C0093</t>
        </is>
      </c>
      <c r="B94" t="inlineStr">
        <is>
          <t>Delhi</t>
        </is>
      </c>
      <c r="C94" s="3" t="n">
        <v>45946</v>
      </c>
      <c r="D94" t="n">
        <v>4</v>
      </c>
      <c r="E94" t="n">
        <v>5</v>
      </c>
      <c r="F94" t="b">
        <v>1</v>
      </c>
      <c r="G94" t="n">
        <v>3</v>
      </c>
      <c r="H94" t="inlineStr">
        <is>
          <t>Payment issue</t>
        </is>
      </c>
      <c r="I94" t="n">
        <v>0</v>
      </c>
      <c r="J94" t="b">
        <v>1</v>
      </c>
    </row>
    <row r="95">
      <c r="A95" t="inlineStr">
        <is>
          <t>C0094</t>
        </is>
      </c>
      <c r="B95" t="inlineStr">
        <is>
          <t>Pune</t>
        </is>
      </c>
      <c r="C95" s="3" t="n">
        <v>45748</v>
      </c>
      <c r="D95" t="n">
        <v>4</v>
      </c>
      <c r="E95" t="n">
        <v>4.3</v>
      </c>
      <c r="F95" t="b">
        <v>1</v>
      </c>
      <c r="G95" t="n">
        <v>5</v>
      </c>
      <c r="H95" t="inlineStr">
        <is>
          <t>Payment issue</t>
        </is>
      </c>
      <c r="I95" t="n">
        <v>0</v>
      </c>
      <c r="J95" t="b">
        <v>1</v>
      </c>
    </row>
    <row r="96">
      <c r="A96" t="inlineStr">
        <is>
          <t>C0095</t>
        </is>
      </c>
      <c r="B96" t="inlineStr">
        <is>
          <t>Hyderabad</t>
        </is>
      </c>
      <c r="C96" s="3" t="n">
        <v>45512</v>
      </c>
      <c r="D96" t="n">
        <v>8</v>
      </c>
      <c r="E96" t="n">
        <v>4.8</v>
      </c>
      <c r="F96" t="b">
        <v>1</v>
      </c>
      <c r="G96" t="n">
        <v>0</v>
      </c>
      <c r="I96" t="n">
        <v>0</v>
      </c>
      <c r="J96" t="b">
        <v>1</v>
      </c>
    </row>
    <row r="97">
      <c r="A97" t="inlineStr">
        <is>
          <t>C0096</t>
        </is>
      </c>
      <c r="B97" t="inlineStr">
        <is>
          <t>Bengaluru</t>
        </is>
      </c>
      <c r="C97" s="3" t="n">
        <v>45988</v>
      </c>
      <c r="D97" t="n">
        <v>6</v>
      </c>
      <c r="E97" t="n">
        <v>5</v>
      </c>
      <c r="F97" t="b">
        <v>1</v>
      </c>
      <c r="G97" t="n">
        <v>3</v>
      </c>
      <c r="H97" t="inlineStr">
        <is>
          <t>Payment issue</t>
        </is>
      </c>
      <c r="I97" t="n">
        <v>75</v>
      </c>
      <c r="J97" t="b">
        <v>1</v>
      </c>
    </row>
    <row r="98">
      <c r="A98" t="inlineStr">
        <is>
          <t>C0097</t>
        </is>
      </c>
      <c r="B98" t="inlineStr">
        <is>
          <t>Pune</t>
        </is>
      </c>
      <c r="C98" s="3" t="n">
        <v>45470</v>
      </c>
      <c r="D98" t="n">
        <v>6</v>
      </c>
      <c r="E98" t="n">
        <v>4.2</v>
      </c>
      <c r="F98" t="b">
        <v>1</v>
      </c>
      <c r="G98" t="n">
        <v>2</v>
      </c>
      <c r="H98" t="inlineStr">
        <is>
          <t>Late delivery</t>
        </is>
      </c>
      <c r="I98" t="n">
        <v>50</v>
      </c>
      <c r="J98" t="b">
        <v>1</v>
      </c>
    </row>
    <row r="99">
      <c r="A99" t="inlineStr">
        <is>
          <t>C0098</t>
        </is>
      </c>
      <c r="B99" t="inlineStr">
        <is>
          <t>Pune</t>
        </is>
      </c>
      <c r="C99" s="3" t="n">
        <v>46018</v>
      </c>
      <c r="D99" t="n">
        <v>3</v>
      </c>
      <c r="E99" t="n">
        <v>5</v>
      </c>
      <c r="F99" t="b">
        <v>1</v>
      </c>
      <c r="G99" t="n">
        <v>0</v>
      </c>
      <c r="I99" t="n">
        <v>0</v>
      </c>
      <c r="J99" t="b">
        <v>1</v>
      </c>
    </row>
    <row r="100">
      <c r="A100" t="inlineStr">
        <is>
          <t>C0099</t>
        </is>
      </c>
      <c r="B100" t="inlineStr">
        <is>
          <t>Hyderabad</t>
        </is>
      </c>
      <c r="C100" s="3" t="n">
        <v>45667</v>
      </c>
      <c r="D100" t="n">
        <v>2</v>
      </c>
      <c r="E100" t="n">
        <v>3.6</v>
      </c>
      <c r="F100" t="b">
        <v>1</v>
      </c>
      <c r="G100" t="n">
        <v>0</v>
      </c>
      <c r="I100" t="n">
        <v>0</v>
      </c>
      <c r="J100" t="b">
        <v>1</v>
      </c>
    </row>
    <row r="101">
      <c r="A101" t="inlineStr">
        <is>
          <t>C0100</t>
        </is>
      </c>
      <c r="B101" t="inlineStr">
        <is>
          <t>Mumbai</t>
        </is>
      </c>
      <c r="C101" s="3" t="n">
        <v>46185</v>
      </c>
      <c r="D101" t="n">
        <v>1</v>
      </c>
      <c r="E101" t="n">
        <v>4.6</v>
      </c>
      <c r="F101" t="b">
        <v>0</v>
      </c>
      <c r="G101" t="n">
        <v>0</v>
      </c>
      <c r="I101" t="n">
        <v>0</v>
      </c>
      <c r="J101" t="b">
        <v>0</v>
      </c>
    </row>
    <row r="102">
      <c r="A102" t="inlineStr">
        <is>
          <t>C0101</t>
        </is>
      </c>
      <c r="B102" t="inlineStr">
        <is>
          <t>Mumbai</t>
        </is>
      </c>
      <c r="C102" s="3" t="n">
        <v>46229</v>
      </c>
      <c r="D102" t="n">
        <v>8</v>
      </c>
      <c r="E102" t="n">
        <v>5</v>
      </c>
      <c r="F102" t="b">
        <v>1</v>
      </c>
      <c r="G102" t="n">
        <v>0</v>
      </c>
      <c r="I102" t="n">
        <v>0</v>
      </c>
      <c r="J102" t="b">
        <v>1</v>
      </c>
    </row>
    <row r="103">
      <c r="A103" t="inlineStr">
        <is>
          <t>C0102</t>
        </is>
      </c>
      <c r="B103" t="inlineStr">
        <is>
          <t>Delhi</t>
        </is>
      </c>
      <c r="C103" s="3" t="n">
        <v>45698</v>
      </c>
      <c r="D103" t="n">
        <v>9</v>
      </c>
      <c r="E103" t="n">
        <v>3.5</v>
      </c>
      <c r="F103" t="b">
        <v>1</v>
      </c>
      <c r="G103" t="n">
        <v>6</v>
      </c>
      <c r="H103" t="inlineStr">
        <is>
          <t>Other</t>
        </is>
      </c>
      <c r="I103" t="n">
        <v>300</v>
      </c>
      <c r="J103" t="b">
        <v>1</v>
      </c>
    </row>
    <row r="104">
      <c r="A104" t="inlineStr">
        <is>
          <t>C0103</t>
        </is>
      </c>
      <c r="B104" t="inlineStr">
        <is>
          <t>Hyderabad</t>
        </is>
      </c>
      <c r="C104" s="3" t="n">
        <v>45878</v>
      </c>
      <c r="D104" t="n">
        <v>5</v>
      </c>
      <c r="E104" t="n">
        <v>5</v>
      </c>
      <c r="F104" t="b">
        <v>1</v>
      </c>
      <c r="G104" t="n">
        <v>2</v>
      </c>
      <c r="H104" t="inlineStr">
        <is>
          <t>Late delivery</t>
        </is>
      </c>
      <c r="I104" t="n">
        <v>0</v>
      </c>
      <c r="J104" t="b">
        <v>1</v>
      </c>
    </row>
    <row r="105">
      <c r="A105" t="inlineStr">
        <is>
          <t>C0104</t>
        </is>
      </c>
      <c r="B105" t="inlineStr">
        <is>
          <t>Bengaluru</t>
        </is>
      </c>
      <c r="C105" s="3" t="n">
        <v>46058</v>
      </c>
      <c r="D105" t="n">
        <v>5</v>
      </c>
      <c r="E105" t="n">
        <v>5</v>
      </c>
      <c r="F105" t="b">
        <v>1</v>
      </c>
      <c r="G105" t="n">
        <v>3</v>
      </c>
      <c r="H105" t="inlineStr">
        <is>
          <t>Payment issue</t>
        </is>
      </c>
      <c r="I105" t="n">
        <v>150</v>
      </c>
      <c r="J105" t="b">
        <v>1</v>
      </c>
    </row>
    <row r="106">
      <c r="A106" t="inlineStr">
        <is>
          <t>C0105</t>
        </is>
      </c>
      <c r="B106" t="inlineStr">
        <is>
          <t>Hyderabad</t>
        </is>
      </c>
      <c r="C106" s="3" t="n">
        <v>45480</v>
      </c>
      <c r="D106" t="n">
        <v>4</v>
      </c>
      <c r="E106" t="n">
        <v>4.7</v>
      </c>
      <c r="F106" t="b">
        <v>1</v>
      </c>
      <c r="G106" t="n">
        <v>0</v>
      </c>
      <c r="I106" t="n">
        <v>0</v>
      </c>
      <c r="J106" t="b">
        <v>1</v>
      </c>
    </row>
    <row r="107">
      <c r="A107" t="inlineStr">
        <is>
          <t>C0106</t>
        </is>
      </c>
      <c r="B107" t="inlineStr">
        <is>
          <t>Delhi</t>
        </is>
      </c>
      <c r="C107" s="3" t="n">
        <v>45555</v>
      </c>
      <c r="D107" t="n">
        <v>7</v>
      </c>
      <c r="E107" t="n">
        <v>5</v>
      </c>
      <c r="F107" t="b">
        <v>1</v>
      </c>
      <c r="G107" t="n">
        <v>2</v>
      </c>
      <c r="H107" t="inlineStr">
        <is>
          <t>Missing item</t>
        </is>
      </c>
      <c r="I107" t="n">
        <v>0</v>
      </c>
      <c r="J107" t="b">
        <v>1</v>
      </c>
    </row>
    <row r="108">
      <c r="A108" t="inlineStr">
        <is>
          <t>C0107</t>
        </is>
      </c>
      <c r="B108" t="inlineStr">
        <is>
          <t>Bengaluru</t>
        </is>
      </c>
      <c r="C108" s="3" t="n">
        <v>46036</v>
      </c>
      <c r="D108" t="n">
        <v>5</v>
      </c>
      <c r="E108" t="n">
        <v>5</v>
      </c>
      <c r="F108" t="b">
        <v>1</v>
      </c>
      <c r="G108" t="n">
        <v>2</v>
      </c>
      <c r="H108" t="inlineStr">
        <is>
          <t>Late delivery</t>
        </is>
      </c>
      <c r="I108" t="n">
        <v>0</v>
      </c>
      <c r="J108" t="b">
        <v>1</v>
      </c>
    </row>
    <row r="109">
      <c r="A109" t="inlineStr">
        <is>
          <t>C0108</t>
        </is>
      </c>
      <c r="B109" t="inlineStr">
        <is>
          <t>Bengaluru</t>
        </is>
      </c>
      <c r="C109" s="3" t="n">
        <v>45663</v>
      </c>
      <c r="D109" t="n">
        <v>6</v>
      </c>
      <c r="E109" t="n">
        <v>4.2</v>
      </c>
      <c r="F109" t="b">
        <v>1</v>
      </c>
      <c r="G109" t="n">
        <v>0</v>
      </c>
      <c r="I109" t="n">
        <v>0</v>
      </c>
      <c r="J109" t="b">
        <v>1</v>
      </c>
    </row>
    <row r="110">
      <c r="A110" t="inlineStr">
        <is>
          <t>C0109</t>
        </is>
      </c>
      <c r="B110" t="inlineStr">
        <is>
          <t>Bengaluru</t>
        </is>
      </c>
      <c r="C110" s="3" t="n">
        <v>46015</v>
      </c>
      <c r="D110" t="n">
        <v>5</v>
      </c>
      <c r="E110" t="n">
        <v>4.6</v>
      </c>
      <c r="F110" t="b">
        <v>1</v>
      </c>
      <c r="G110" t="n">
        <v>3</v>
      </c>
      <c r="H110" t="inlineStr">
        <is>
          <t>Late delivery</t>
        </is>
      </c>
      <c r="I110" t="n">
        <v>225</v>
      </c>
      <c r="J110" t="b">
        <v>1</v>
      </c>
    </row>
    <row r="111">
      <c r="A111" t="inlineStr">
        <is>
          <t>C0110</t>
        </is>
      </c>
      <c r="B111" t="inlineStr">
        <is>
          <t>Bengaluru</t>
        </is>
      </c>
      <c r="C111" s="3" t="n">
        <v>45945</v>
      </c>
      <c r="D111" t="n">
        <v>8</v>
      </c>
      <c r="E111" t="n">
        <v>4.7</v>
      </c>
      <c r="F111" t="b">
        <v>1</v>
      </c>
      <c r="G111" t="n">
        <v>3</v>
      </c>
      <c r="H111" t="inlineStr">
        <is>
          <t>Missing item</t>
        </is>
      </c>
      <c r="I111" t="n">
        <v>0</v>
      </c>
      <c r="J111" t="b">
        <v>1</v>
      </c>
    </row>
    <row r="112">
      <c r="A112" t="inlineStr">
        <is>
          <t>C0111</t>
        </is>
      </c>
      <c r="B112" t="inlineStr">
        <is>
          <t>Delhi</t>
        </is>
      </c>
      <c r="C112" s="3" t="n">
        <v>45502</v>
      </c>
      <c r="D112" t="n">
        <v>12</v>
      </c>
      <c r="E112" t="n">
        <v>5</v>
      </c>
      <c r="F112" t="b">
        <v>1</v>
      </c>
      <c r="G112" t="n">
        <v>1</v>
      </c>
      <c r="H112" t="inlineStr">
        <is>
          <t>Other</t>
        </is>
      </c>
      <c r="I112" t="n">
        <v>0</v>
      </c>
      <c r="J112" t="b">
        <v>1</v>
      </c>
    </row>
    <row r="113">
      <c r="A113" t="inlineStr">
        <is>
          <t>C0112</t>
        </is>
      </c>
      <c r="B113" t="inlineStr">
        <is>
          <t>Pune</t>
        </is>
      </c>
      <c r="C113" s="3" t="n">
        <v>45380</v>
      </c>
      <c r="D113" t="n">
        <v>6</v>
      </c>
      <c r="E113" t="n">
        <v>4.9</v>
      </c>
      <c r="F113" t="b">
        <v>1</v>
      </c>
      <c r="G113" t="n">
        <v>1</v>
      </c>
      <c r="H113" t="inlineStr">
        <is>
          <t>Payment issue</t>
        </is>
      </c>
      <c r="I113" t="n">
        <v>50</v>
      </c>
      <c r="J113" t="b">
        <v>1</v>
      </c>
    </row>
    <row r="114">
      <c r="A114" t="inlineStr">
        <is>
          <t>C0113</t>
        </is>
      </c>
      <c r="B114" t="inlineStr">
        <is>
          <t>Delhi</t>
        </is>
      </c>
      <c r="C114" s="3" t="n">
        <v>46179</v>
      </c>
      <c r="D114" t="n">
        <v>5</v>
      </c>
      <c r="E114" t="n">
        <v>4.5</v>
      </c>
      <c r="F114" t="b">
        <v>1</v>
      </c>
      <c r="G114" t="n">
        <v>1</v>
      </c>
      <c r="H114" t="inlineStr">
        <is>
          <t>Missing item</t>
        </is>
      </c>
      <c r="I114" t="n">
        <v>50</v>
      </c>
      <c r="J114" t="b">
        <v>1</v>
      </c>
    </row>
    <row r="115">
      <c r="A115" t="inlineStr">
        <is>
          <t>C0114</t>
        </is>
      </c>
      <c r="B115" t="inlineStr">
        <is>
          <t>Bengaluru</t>
        </is>
      </c>
      <c r="C115" s="3" t="n">
        <v>45488</v>
      </c>
      <c r="D115" t="n">
        <v>4</v>
      </c>
      <c r="E115" t="n">
        <v>5</v>
      </c>
      <c r="F115" t="b">
        <v>1</v>
      </c>
      <c r="G115" t="n">
        <v>0</v>
      </c>
      <c r="I115" t="n">
        <v>0</v>
      </c>
      <c r="J115" t="b">
        <v>1</v>
      </c>
    </row>
    <row r="116">
      <c r="A116" t="inlineStr">
        <is>
          <t>C0115</t>
        </is>
      </c>
      <c r="B116" t="inlineStr">
        <is>
          <t>Pune</t>
        </is>
      </c>
      <c r="C116" s="3" t="n">
        <v>46143</v>
      </c>
      <c r="D116" t="n">
        <v>11</v>
      </c>
      <c r="E116" t="n">
        <v>5</v>
      </c>
      <c r="F116" t="b">
        <v>1</v>
      </c>
      <c r="G116" t="n">
        <v>2</v>
      </c>
      <c r="H116" t="inlineStr">
        <is>
          <t>Payment issue</t>
        </is>
      </c>
      <c r="I116" t="n">
        <v>150</v>
      </c>
      <c r="J116" t="b">
        <v>1</v>
      </c>
    </row>
    <row r="117">
      <c r="A117" t="inlineStr">
        <is>
          <t>C0116</t>
        </is>
      </c>
      <c r="B117" t="inlineStr">
        <is>
          <t>Pune</t>
        </is>
      </c>
      <c r="C117" s="3" t="n">
        <v>46151</v>
      </c>
      <c r="D117" t="n">
        <v>8</v>
      </c>
      <c r="E117" t="n">
        <v>5</v>
      </c>
      <c r="F117" t="b">
        <v>1</v>
      </c>
      <c r="G117" t="n">
        <v>4</v>
      </c>
      <c r="H117" t="inlineStr">
        <is>
          <t>Damaged item</t>
        </is>
      </c>
      <c r="I117" t="n">
        <v>0</v>
      </c>
      <c r="J117" t="b">
        <v>1</v>
      </c>
    </row>
    <row r="118">
      <c r="A118" t="inlineStr">
        <is>
          <t>C0117</t>
        </is>
      </c>
      <c r="B118" t="inlineStr">
        <is>
          <t>Hyderabad</t>
        </is>
      </c>
      <c r="C118" s="3" t="n">
        <v>45768</v>
      </c>
      <c r="D118" t="n">
        <v>5</v>
      </c>
      <c r="E118" t="n">
        <v>4.7</v>
      </c>
      <c r="F118" t="b">
        <v>1</v>
      </c>
      <c r="G118" t="n">
        <v>1</v>
      </c>
      <c r="H118" t="inlineStr">
        <is>
          <t>Other</t>
        </is>
      </c>
      <c r="I118" t="n">
        <v>0</v>
      </c>
      <c r="J118" t="b">
        <v>1</v>
      </c>
    </row>
    <row r="119">
      <c r="A119" t="inlineStr">
        <is>
          <t>C0118</t>
        </is>
      </c>
      <c r="B119" t="inlineStr">
        <is>
          <t>Mumbai</t>
        </is>
      </c>
      <c r="C119" s="3" t="n">
        <v>46146</v>
      </c>
      <c r="D119" t="n">
        <v>2</v>
      </c>
      <c r="E119" t="n">
        <v>5</v>
      </c>
      <c r="F119" t="b">
        <v>1</v>
      </c>
      <c r="G119" t="n">
        <v>0</v>
      </c>
      <c r="I119" t="n">
        <v>0</v>
      </c>
      <c r="J119" t="b">
        <v>1</v>
      </c>
    </row>
    <row r="120">
      <c r="A120" t="inlineStr">
        <is>
          <t>C0119</t>
        </is>
      </c>
      <c r="B120" t="inlineStr">
        <is>
          <t>Delhi</t>
        </is>
      </c>
      <c r="C120" s="3" t="n">
        <v>46113</v>
      </c>
      <c r="D120" t="n">
        <v>8</v>
      </c>
      <c r="E120" t="n">
        <v>5</v>
      </c>
      <c r="F120" t="b">
        <v>1</v>
      </c>
      <c r="G120" t="n">
        <v>1</v>
      </c>
      <c r="H120" t="inlineStr">
        <is>
          <t>Damaged item</t>
        </is>
      </c>
      <c r="I120" t="n">
        <v>50</v>
      </c>
      <c r="J120" t="b">
        <v>1</v>
      </c>
    </row>
    <row r="121">
      <c r="A121" t="inlineStr">
        <is>
          <t>C0120</t>
        </is>
      </c>
      <c r="B121" t="inlineStr">
        <is>
          <t>Bengaluru</t>
        </is>
      </c>
      <c r="C121" s="3" t="n">
        <v>45732</v>
      </c>
      <c r="D121" t="n">
        <v>5</v>
      </c>
      <c r="E121" t="n">
        <v>4.7</v>
      </c>
      <c r="F121" t="b">
        <v>1</v>
      </c>
      <c r="G121" t="n">
        <v>0</v>
      </c>
      <c r="I121" t="n">
        <v>0</v>
      </c>
      <c r="J121" t="b">
        <v>1</v>
      </c>
    </row>
    <row r="122">
      <c r="A122" t="inlineStr">
        <is>
          <t>C0121</t>
        </is>
      </c>
      <c r="B122" t="inlineStr">
        <is>
          <t>Pune</t>
        </is>
      </c>
      <c r="C122" s="3" t="n">
        <v>45751</v>
      </c>
      <c r="D122" t="n">
        <v>4</v>
      </c>
      <c r="E122" t="n">
        <v>4.9</v>
      </c>
      <c r="F122" t="b">
        <v>1</v>
      </c>
      <c r="G122" t="n">
        <v>0</v>
      </c>
      <c r="I122" t="n">
        <v>0</v>
      </c>
      <c r="J122" t="b">
        <v>1</v>
      </c>
    </row>
    <row r="123">
      <c r="A123" t="inlineStr">
        <is>
          <t>C0122</t>
        </is>
      </c>
      <c r="B123" t="inlineStr">
        <is>
          <t>Delhi</t>
        </is>
      </c>
      <c r="C123" s="3" t="n">
        <v>45818</v>
      </c>
      <c r="D123" t="n">
        <v>13</v>
      </c>
      <c r="E123" t="n">
        <v>4</v>
      </c>
      <c r="F123" t="b">
        <v>1</v>
      </c>
      <c r="G123" t="n">
        <v>2</v>
      </c>
      <c r="H123" t="inlineStr">
        <is>
          <t>Payment issue</t>
        </is>
      </c>
      <c r="I123" t="n">
        <v>100</v>
      </c>
      <c r="J123" t="b">
        <v>1</v>
      </c>
    </row>
    <row r="124">
      <c r="A124" t="inlineStr">
        <is>
          <t>C0123</t>
        </is>
      </c>
      <c r="B124" t="inlineStr">
        <is>
          <t>Pune</t>
        </is>
      </c>
      <c r="C124" s="3" t="n">
        <v>45507</v>
      </c>
      <c r="D124" t="n">
        <v>7</v>
      </c>
      <c r="E124" t="n">
        <v>3.8</v>
      </c>
      <c r="F124" t="b">
        <v>1</v>
      </c>
      <c r="G124" t="n">
        <v>3</v>
      </c>
      <c r="H124" t="inlineStr">
        <is>
          <t>Missing item</t>
        </is>
      </c>
      <c r="I124" t="n">
        <v>0</v>
      </c>
      <c r="J124" t="b">
        <v>1</v>
      </c>
    </row>
    <row r="125">
      <c r="A125" t="inlineStr">
        <is>
          <t>C0124</t>
        </is>
      </c>
      <c r="B125" t="inlineStr">
        <is>
          <t>Pune</t>
        </is>
      </c>
      <c r="C125" s="3" t="n">
        <v>45709</v>
      </c>
      <c r="D125" t="n">
        <v>9</v>
      </c>
      <c r="E125" t="n">
        <v>4.9</v>
      </c>
      <c r="F125" t="b">
        <v>1</v>
      </c>
      <c r="G125" t="n">
        <v>1</v>
      </c>
      <c r="H125" t="inlineStr">
        <is>
          <t>Missing item</t>
        </is>
      </c>
      <c r="I125" t="n">
        <v>25</v>
      </c>
      <c r="J125" t="b">
        <v>1</v>
      </c>
    </row>
    <row r="126">
      <c r="A126" t="inlineStr">
        <is>
          <t>C0125</t>
        </is>
      </c>
      <c r="B126" t="inlineStr">
        <is>
          <t>Hyderabad</t>
        </is>
      </c>
      <c r="C126" s="3" t="n">
        <v>45679</v>
      </c>
      <c r="D126" t="n">
        <v>7</v>
      </c>
      <c r="E126" t="n">
        <v>4.7</v>
      </c>
      <c r="F126" t="b">
        <v>1</v>
      </c>
      <c r="G126" t="n">
        <v>5</v>
      </c>
      <c r="H126" t="inlineStr">
        <is>
          <t>Missing item</t>
        </is>
      </c>
      <c r="I126" t="n">
        <v>375</v>
      </c>
      <c r="J126" t="b">
        <v>1</v>
      </c>
    </row>
    <row r="127">
      <c r="A127" t="inlineStr">
        <is>
          <t>C0126</t>
        </is>
      </c>
      <c r="B127" t="inlineStr">
        <is>
          <t>Mumbai</t>
        </is>
      </c>
      <c r="C127" s="3" t="n">
        <v>45642</v>
      </c>
      <c r="D127" t="n">
        <v>8</v>
      </c>
      <c r="E127" t="n">
        <v>4.8</v>
      </c>
      <c r="F127" t="b">
        <v>1</v>
      </c>
      <c r="G127" t="n">
        <v>1</v>
      </c>
      <c r="H127" t="inlineStr">
        <is>
          <t>Other</t>
        </is>
      </c>
      <c r="I127" t="n">
        <v>25</v>
      </c>
      <c r="J127" t="b">
        <v>1</v>
      </c>
    </row>
    <row r="128">
      <c r="A128" t="inlineStr">
        <is>
          <t>C0127</t>
        </is>
      </c>
      <c r="B128" t="inlineStr">
        <is>
          <t>Delhi</t>
        </is>
      </c>
      <c r="C128" s="3" t="n">
        <v>45586</v>
      </c>
      <c r="D128" t="n">
        <v>12</v>
      </c>
      <c r="E128" t="n">
        <v>4.4</v>
      </c>
      <c r="F128" t="b">
        <v>1</v>
      </c>
      <c r="G128" t="n">
        <v>1</v>
      </c>
      <c r="H128" t="inlineStr">
        <is>
          <t>Payment issue</t>
        </is>
      </c>
      <c r="I128" t="n">
        <v>0</v>
      </c>
      <c r="J128" t="b">
        <v>1</v>
      </c>
    </row>
    <row r="129">
      <c r="A129" t="inlineStr">
        <is>
          <t>C0128</t>
        </is>
      </c>
      <c r="B129" t="inlineStr">
        <is>
          <t>Hyderabad</t>
        </is>
      </c>
      <c r="C129" s="3" t="n">
        <v>45427</v>
      </c>
      <c r="D129" t="n">
        <v>6</v>
      </c>
      <c r="E129" t="n">
        <v>5</v>
      </c>
      <c r="F129" t="b">
        <v>1</v>
      </c>
      <c r="G129" t="n">
        <v>4</v>
      </c>
      <c r="H129" t="inlineStr">
        <is>
          <t>Late delivery</t>
        </is>
      </c>
      <c r="I129" t="n">
        <v>300</v>
      </c>
      <c r="J129" t="b">
        <v>1</v>
      </c>
    </row>
    <row r="130">
      <c r="A130" t="inlineStr">
        <is>
          <t>C0129</t>
        </is>
      </c>
      <c r="B130" t="inlineStr">
        <is>
          <t>Mumbai</t>
        </is>
      </c>
      <c r="C130" s="3" t="n">
        <v>46199</v>
      </c>
      <c r="D130" t="n">
        <v>7</v>
      </c>
      <c r="E130" t="n">
        <v>5</v>
      </c>
      <c r="F130" t="b">
        <v>1</v>
      </c>
      <c r="G130" t="n">
        <v>3</v>
      </c>
      <c r="H130" t="inlineStr">
        <is>
          <t>Missing item</t>
        </is>
      </c>
      <c r="I130" t="n">
        <v>0</v>
      </c>
      <c r="J130" t="b">
        <v>1</v>
      </c>
    </row>
    <row r="131">
      <c r="A131" t="inlineStr">
        <is>
          <t>C0130</t>
        </is>
      </c>
      <c r="B131" t="inlineStr">
        <is>
          <t>Hyderabad</t>
        </is>
      </c>
      <c r="C131" s="3" t="n">
        <v>45597</v>
      </c>
      <c r="D131" t="n">
        <v>8</v>
      </c>
      <c r="E131" t="n">
        <v>5</v>
      </c>
      <c r="F131" t="b">
        <v>1</v>
      </c>
      <c r="G131" t="n">
        <v>0</v>
      </c>
      <c r="I131" t="n">
        <v>0</v>
      </c>
      <c r="J131" t="b">
        <v>1</v>
      </c>
    </row>
    <row r="132">
      <c r="A132" t="inlineStr">
        <is>
          <t>C0131</t>
        </is>
      </c>
      <c r="B132" t="inlineStr">
        <is>
          <t>Pune</t>
        </is>
      </c>
      <c r="C132" s="3" t="n">
        <v>45876</v>
      </c>
      <c r="D132" t="n">
        <v>8</v>
      </c>
      <c r="E132" t="n">
        <v>5</v>
      </c>
      <c r="F132" t="b">
        <v>1</v>
      </c>
      <c r="G132" t="n">
        <v>4</v>
      </c>
      <c r="H132" t="inlineStr">
        <is>
          <t>Missing item</t>
        </is>
      </c>
      <c r="I132" t="n">
        <v>300</v>
      </c>
      <c r="J132" t="b">
        <v>1</v>
      </c>
    </row>
    <row r="133">
      <c r="A133" t="inlineStr">
        <is>
          <t>C0132</t>
        </is>
      </c>
      <c r="B133" t="inlineStr">
        <is>
          <t>Pune</t>
        </is>
      </c>
      <c r="C133" s="3" t="n">
        <v>46031</v>
      </c>
      <c r="D133" t="n">
        <v>6</v>
      </c>
      <c r="E133" t="n">
        <v>5</v>
      </c>
      <c r="F133" t="b">
        <v>1</v>
      </c>
      <c r="G133" t="n">
        <v>1</v>
      </c>
      <c r="H133" t="inlineStr">
        <is>
          <t>Payment issue</t>
        </is>
      </c>
      <c r="I133" t="n">
        <v>0</v>
      </c>
      <c r="J133" t="b">
        <v>1</v>
      </c>
    </row>
    <row r="134">
      <c r="A134" t="inlineStr">
        <is>
          <t>C0133</t>
        </is>
      </c>
      <c r="B134" t="inlineStr">
        <is>
          <t>Mumbai</t>
        </is>
      </c>
      <c r="C134" s="3" t="n">
        <v>45965</v>
      </c>
      <c r="D134" t="n">
        <v>8</v>
      </c>
      <c r="E134" t="n">
        <v>5</v>
      </c>
      <c r="F134" t="b">
        <v>1</v>
      </c>
      <c r="G134" t="n">
        <v>0</v>
      </c>
      <c r="I134" t="n">
        <v>0</v>
      </c>
      <c r="J134" t="b">
        <v>1</v>
      </c>
    </row>
    <row r="135">
      <c r="A135" t="inlineStr">
        <is>
          <t>C0134</t>
        </is>
      </c>
      <c r="B135" t="inlineStr">
        <is>
          <t>Pune</t>
        </is>
      </c>
      <c r="C135" s="3" t="n">
        <v>46250</v>
      </c>
      <c r="D135" t="n">
        <v>5</v>
      </c>
      <c r="E135" t="n">
        <v>4.4</v>
      </c>
      <c r="F135" t="b">
        <v>1</v>
      </c>
      <c r="G135" t="n">
        <v>0</v>
      </c>
      <c r="I135" t="n">
        <v>0</v>
      </c>
      <c r="J135" t="b">
        <v>1</v>
      </c>
    </row>
    <row r="136">
      <c r="A136" t="inlineStr">
        <is>
          <t>C0135</t>
        </is>
      </c>
      <c r="B136" t="inlineStr">
        <is>
          <t>Pune</t>
        </is>
      </c>
      <c r="C136" s="3" t="n">
        <v>46248</v>
      </c>
      <c r="D136" t="n">
        <v>6</v>
      </c>
      <c r="E136" t="n">
        <v>4.7</v>
      </c>
      <c r="F136" t="b">
        <v>1</v>
      </c>
      <c r="G136" t="n">
        <v>4</v>
      </c>
      <c r="H136" t="inlineStr">
        <is>
          <t>Payment issue</t>
        </is>
      </c>
      <c r="I136" t="n">
        <v>300</v>
      </c>
      <c r="J136" t="b">
        <v>1</v>
      </c>
    </row>
    <row r="137">
      <c r="A137" t="inlineStr">
        <is>
          <t>C0136</t>
        </is>
      </c>
      <c r="B137" t="inlineStr">
        <is>
          <t>Pune</t>
        </is>
      </c>
      <c r="C137" s="3" t="n">
        <v>45482</v>
      </c>
      <c r="D137" t="n">
        <v>6</v>
      </c>
      <c r="E137" t="n">
        <v>5</v>
      </c>
      <c r="F137" t="b">
        <v>1</v>
      </c>
      <c r="G137" t="n">
        <v>1</v>
      </c>
      <c r="H137" t="inlineStr">
        <is>
          <t>Late delivery</t>
        </is>
      </c>
      <c r="I137" t="n">
        <v>50</v>
      </c>
      <c r="J137" t="b">
        <v>1</v>
      </c>
    </row>
    <row r="138">
      <c r="A138" t="inlineStr">
        <is>
          <t>C0137</t>
        </is>
      </c>
      <c r="B138" t="inlineStr">
        <is>
          <t>Delhi</t>
        </is>
      </c>
      <c r="C138" s="3" t="n">
        <v>45513</v>
      </c>
      <c r="D138" t="n">
        <v>8</v>
      </c>
      <c r="E138" t="n">
        <v>4</v>
      </c>
      <c r="F138" t="b">
        <v>1</v>
      </c>
      <c r="G138" t="n">
        <v>3</v>
      </c>
      <c r="H138" t="inlineStr">
        <is>
          <t>Damaged item</t>
        </is>
      </c>
      <c r="I138" t="n">
        <v>0</v>
      </c>
      <c r="J138" t="b">
        <v>1</v>
      </c>
    </row>
    <row r="139">
      <c r="A139" t="inlineStr">
        <is>
          <t>C0138</t>
        </is>
      </c>
      <c r="B139" t="inlineStr">
        <is>
          <t>Hyderabad</t>
        </is>
      </c>
      <c r="C139" s="3" t="n">
        <v>45732</v>
      </c>
      <c r="D139" t="n">
        <v>4</v>
      </c>
      <c r="E139" t="n">
        <v>4.6</v>
      </c>
      <c r="F139" t="b">
        <v>1</v>
      </c>
      <c r="G139" t="n">
        <v>1</v>
      </c>
      <c r="H139" t="inlineStr">
        <is>
          <t>Missing item</t>
        </is>
      </c>
      <c r="I139" t="n">
        <v>0</v>
      </c>
      <c r="J139" t="b">
        <v>1</v>
      </c>
    </row>
    <row r="140">
      <c r="A140" t="inlineStr">
        <is>
          <t>C0139</t>
        </is>
      </c>
      <c r="B140" t="inlineStr">
        <is>
          <t>Mumbai</t>
        </is>
      </c>
      <c r="C140" s="3" t="n">
        <v>45590</v>
      </c>
      <c r="D140" t="n">
        <v>7</v>
      </c>
      <c r="E140" t="n">
        <v>4.9</v>
      </c>
      <c r="F140" t="b">
        <v>1</v>
      </c>
      <c r="G140" t="n">
        <v>1</v>
      </c>
      <c r="H140" t="inlineStr">
        <is>
          <t>Payment issue</t>
        </is>
      </c>
      <c r="I140" t="n">
        <v>0</v>
      </c>
      <c r="J140" t="b">
        <v>1</v>
      </c>
    </row>
    <row r="141">
      <c r="A141" t="inlineStr">
        <is>
          <t>C0140</t>
        </is>
      </c>
      <c r="B141" t="inlineStr">
        <is>
          <t>Hyderabad</t>
        </is>
      </c>
      <c r="C141" s="3" t="n">
        <v>45904</v>
      </c>
      <c r="D141" t="n">
        <v>4</v>
      </c>
      <c r="E141" t="n">
        <v>4.4</v>
      </c>
      <c r="F141" t="b">
        <v>1</v>
      </c>
      <c r="G141" t="n">
        <v>0</v>
      </c>
      <c r="I141" t="n">
        <v>0</v>
      </c>
      <c r="J141" t="b">
        <v>1</v>
      </c>
    </row>
    <row r="142">
      <c r="A142" t="inlineStr">
        <is>
          <t>C0141</t>
        </is>
      </c>
      <c r="B142" t="inlineStr">
        <is>
          <t>Pune</t>
        </is>
      </c>
      <c r="C142" s="3" t="n">
        <v>45626</v>
      </c>
      <c r="D142" t="n">
        <v>7</v>
      </c>
      <c r="E142" t="n">
        <v>4.6</v>
      </c>
      <c r="F142" t="b">
        <v>1</v>
      </c>
      <c r="G142" t="n">
        <v>3</v>
      </c>
      <c r="H142" t="inlineStr">
        <is>
          <t>Damaged item</t>
        </is>
      </c>
      <c r="I142" t="n">
        <v>75</v>
      </c>
      <c r="J142" t="b">
        <v>1</v>
      </c>
    </row>
    <row r="143">
      <c r="A143" t="inlineStr">
        <is>
          <t>C0142</t>
        </is>
      </c>
      <c r="B143" t="inlineStr">
        <is>
          <t>Bengaluru</t>
        </is>
      </c>
      <c r="C143" s="3" t="n">
        <v>45946</v>
      </c>
      <c r="D143" t="n">
        <v>6</v>
      </c>
      <c r="E143" t="n">
        <v>4.2</v>
      </c>
      <c r="F143" t="b">
        <v>1</v>
      </c>
      <c r="G143" t="n">
        <v>0</v>
      </c>
      <c r="I143" t="n">
        <v>0</v>
      </c>
      <c r="J143" t="b">
        <v>1</v>
      </c>
    </row>
    <row r="144">
      <c r="A144" t="inlineStr">
        <is>
          <t>C0143</t>
        </is>
      </c>
      <c r="B144" t="inlineStr">
        <is>
          <t>Bengaluru</t>
        </is>
      </c>
      <c r="C144" s="3" t="n">
        <v>46228</v>
      </c>
      <c r="D144" t="n">
        <v>7</v>
      </c>
      <c r="E144" t="n">
        <v>5</v>
      </c>
      <c r="F144" t="b">
        <v>1</v>
      </c>
      <c r="G144" t="n">
        <v>1</v>
      </c>
      <c r="H144" t="inlineStr">
        <is>
          <t>Other</t>
        </is>
      </c>
      <c r="I144" t="n">
        <v>0</v>
      </c>
      <c r="J144" t="b">
        <v>1</v>
      </c>
    </row>
    <row r="145">
      <c r="A145" t="inlineStr">
        <is>
          <t>C0144</t>
        </is>
      </c>
      <c r="B145" t="inlineStr">
        <is>
          <t>Pune</t>
        </is>
      </c>
      <c r="C145" s="3" t="n">
        <v>45791</v>
      </c>
      <c r="D145" t="n">
        <v>3</v>
      </c>
      <c r="E145" t="n">
        <v>5</v>
      </c>
      <c r="F145" t="b">
        <v>1</v>
      </c>
      <c r="G145" t="n">
        <v>2</v>
      </c>
      <c r="H145" t="inlineStr">
        <is>
          <t>Damaged item</t>
        </is>
      </c>
      <c r="I145" t="n">
        <v>50</v>
      </c>
      <c r="J145" t="b">
        <v>1</v>
      </c>
    </row>
    <row r="146">
      <c r="A146" t="inlineStr">
        <is>
          <t>C0145</t>
        </is>
      </c>
      <c r="B146" t="inlineStr">
        <is>
          <t>Mumbai</t>
        </is>
      </c>
      <c r="C146" s="3" t="n">
        <v>46052</v>
      </c>
      <c r="D146" t="n">
        <v>7</v>
      </c>
      <c r="E146" t="n">
        <v>3.9</v>
      </c>
      <c r="F146" t="b">
        <v>1</v>
      </c>
      <c r="G146" t="n">
        <v>2</v>
      </c>
      <c r="H146" t="inlineStr">
        <is>
          <t>Other</t>
        </is>
      </c>
      <c r="I146" t="n">
        <v>150</v>
      </c>
      <c r="J146" t="b">
        <v>1</v>
      </c>
    </row>
    <row r="147">
      <c r="A147" t="inlineStr">
        <is>
          <t>C0146</t>
        </is>
      </c>
      <c r="B147" t="inlineStr">
        <is>
          <t>Hyderabad</t>
        </is>
      </c>
      <c r="C147" s="3" t="n">
        <v>45734</v>
      </c>
      <c r="D147" t="n">
        <v>8</v>
      </c>
      <c r="E147" t="n">
        <v>5</v>
      </c>
      <c r="F147" t="b">
        <v>1</v>
      </c>
      <c r="G147" t="n">
        <v>3</v>
      </c>
      <c r="H147" t="inlineStr">
        <is>
          <t>Late delivery</t>
        </is>
      </c>
      <c r="I147" t="n">
        <v>75</v>
      </c>
      <c r="J147" t="b">
        <v>1</v>
      </c>
    </row>
    <row r="148">
      <c r="A148" t="inlineStr">
        <is>
          <t>C0147</t>
        </is>
      </c>
      <c r="B148" t="inlineStr">
        <is>
          <t>Delhi</t>
        </is>
      </c>
      <c r="C148" s="3" t="n">
        <v>45752</v>
      </c>
      <c r="D148" t="n">
        <v>4</v>
      </c>
      <c r="E148" t="n">
        <v>4.3</v>
      </c>
      <c r="F148" t="b">
        <v>1</v>
      </c>
      <c r="G148" t="n">
        <v>2</v>
      </c>
      <c r="H148" t="inlineStr">
        <is>
          <t>Late delivery</t>
        </is>
      </c>
      <c r="I148" t="n">
        <v>0</v>
      </c>
      <c r="J148" t="b">
        <v>1</v>
      </c>
    </row>
    <row r="149">
      <c r="A149" t="inlineStr">
        <is>
          <t>C0148</t>
        </is>
      </c>
      <c r="B149" t="inlineStr">
        <is>
          <t>Pune</t>
        </is>
      </c>
      <c r="C149" s="3" t="n">
        <v>45755</v>
      </c>
      <c r="D149" t="n">
        <v>4</v>
      </c>
      <c r="E149" t="n">
        <v>4.8</v>
      </c>
      <c r="F149" t="b">
        <v>1</v>
      </c>
      <c r="G149" t="n">
        <v>0</v>
      </c>
      <c r="I149" t="n">
        <v>0</v>
      </c>
      <c r="J149" t="b">
        <v>1</v>
      </c>
    </row>
    <row r="150">
      <c r="A150" t="inlineStr">
        <is>
          <t>C0149</t>
        </is>
      </c>
      <c r="B150" t="inlineStr">
        <is>
          <t>Mumbai</t>
        </is>
      </c>
      <c r="C150" s="3" t="n">
        <v>45531</v>
      </c>
      <c r="D150" t="n">
        <v>7</v>
      </c>
      <c r="E150" t="n">
        <v>4.2</v>
      </c>
      <c r="F150" t="b">
        <v>1</v>
      </c>
      <c r="G150" t="n">
        <v>3</v>
      </c>
      <c r="H150" t="inlineStr">
        <is>
          <t>Payment issue</t>
        </is>
      </c>
      <c r="I150" t="n">
        <v>225</v>
      </c>
      <c r="J150" t="b">
        <v>1</v>
      </c>
    </row>
    <row r="151">
      <c r="A151" t="inlineStr">
        <is>
          <t>C0150</t>
        </is>
      </c>
      <c r="B151" t="inlineStr">
        <is>
          <t>Delhi</t>
        </is>
      </c>
      <c r="C151" s="3" t="n">
        <v>46145</v>
      </c>
      <c r="D151" t="n">
        <v>8</v>
      </c>
      <c r="E151" t="n">
        <v>5</v>
      </c>
      <c r="F151" t="b">
        <v>1</v>
      </c>
      <c r="G151" t="n">
        <v>3</v>
      </c>
      <c r="H151" t="inlineStr">
        <is>
          <t>Damaged item</t>
        </is>
      </c>
      <c r="I151" t="n">
        <v>150</v>
      </c>
      <c r="J151" t="b">
        <v>1</v>
      </c>
    </row>
    <row r="152">
      <c r="A152" t="inlineStr">
        <is>
          <t>C0151</t>
        </is>
      </c>
      <c r="B152" t="inlineStr">
        <is>
          <t>Bengaluru</t>
        </is>
      </c>
      <c r="C152" s="3" t="n">
        <v>46041</v>
      </c>
      <c r="D152" t="n">
        <v>9</v>
      </c>
      <c r="E152" t="n">
        <v>5</v>
      </c>
      <c r="F152" t="b">
        <v>1</v>
      </c>
      <c r="G152" t="n">
        <v>5</v>
      </c>
      <c r="H152" t="inlineStr">
        <is>
          <t>Missing item</t>
        </is>
      </c>
      <c r="I152" t="n">
        <v>250</v>
      </c>
      <c r="J152" t="b">
        <v>1</v>
      </c>
    </row>
    <row r="153">
      <c r="A153" t="inlineStr">
        <is>
          <t>C0152</t>
        </is>
      </c>
      <c r="B153" t="inlineStr">
        <is>
          <t>Delhi</t>
        </is>
      </c>
      <c r="C153" s="3" t="n">
        <v>45554</v>
      </c>
      <c r="D153" t="n">
        <v>4</v>
      </c>
      <c r="E153" t="n">
        <v>4.1</v>
      </c>
      <c r="F153" t="b">
        <v>1</v>
      </c>
      <c r="G153" t="n">
        <v>0</v>
      </c>
      <c r="I153" t="n">
        <v>0</v>
      </c>
      <c r="J153" t="b">
        <v>1</v>
      </c>
    </row>
    <row r="154">
      <c r="A154" t="inlineStr">
        <is>
          <t>C0153</t>
        </is>
      </c>
      <c r="B154" t="inlineStr">
        <is>
          <t>Mumbai</t>
        </is>
      </c>
      <c r="C154" s="3" t="n">
        <v>45754</v>
      </c>
      <c r="D154" t="n">
        <v>7</v>
      </c>
      <c r="E154" t="n">
        <v>4.9</v>
      </c>
      <c r="F154" t="b">
        <v>1</v>
      </c>
      <c r="G154" t="n">
        <v>4</v>
      </c>
      <c r="H154" t="inlineStr">
        <is>
          <t>Late delivery</t>
        </is>
      </c>
      <c r="I154" t="n">
        <v>0</v>
      </c>
      <c r="J154" t="b">
        <v>1</v>
      </c>
    </row>
    <row r="155">
      <c r="A155" t="inlineStr">
        <is>
          <t>C0154</t>
        </is>
      </c>
      <c r="B155" t="inlineStr">
        <is>
          <t>Delhi</t>
        </is>
      </c>
      <c r="C155" s="3" t="n">
        <v>45611</v>
      </c>
      <c r="D155" t="n">
        <v>8</v>
      </c>
      <c r="E155" t="n">
        <v>4.7</v>
      </c>
      <c r="F155" t="b">
        <v>1</v>
      </c>
      <c r="G155" t="n">
        <v>4</v>
      </c>
      <c r="H155" t="inlineStr">
        <is>
          <t>Damaged item</t>
        </is>
      </c>
      <c r="I155" t="n">
        <v>300</v>
      </c>
      <c r="J155" t="b">
        <v>1</v>
      </c>
    </row>
    <row r="156">
      <c r="A156" t="inlineStr">
        <is>
          <t>C0155</t>
        </is>
      </c>
      <c r="B156" t="inlineStr">
        <is>
          <t>Hyderabad</t>
        </is>
      </c>
      <c r="C156" s="3" t="n">
        <v>45983</v>
      </c>
      <c r="D156" t="n">
        <v>7</v>
      </c>
      <c r="E156" t="n">
        <v>3.5</v>
      </c>
      <c r="F156" t="b">
        <v>1</v>
      </c>
      <c r="G156" t="n">
        <v>2</v>
      </c>
      <c r="H156" t="inlineStr">
        <is>
          <t>Late delivery</t>
        </is>
      </c>
      <c r="I156" t="n">
        <v>0</v>
      </c>
      <c r="J156" t="b">
        <v>1</v>
      </c>
    </row>
    <row r="157">
      <c r="A157" t="inlineStr">
        <is>
          <t>C0156</t>
        </is>
      </c>
      <c r="B157" t="inlineStr">
        <is>
          <t>Delhi</t>
        </is>
      </c>
      <c r="C157" s="3" t="n">
        <v>46244</v>
      </c>
      <c r="D157" t="n">
        <v>8</v>
      </c>
      <c r="E157" t="n">
        <v>4.9</v>
      </c>
      <c r="F157" t="b">
        <v>1</v>
      </c>
      <c r="G157" t="n">
        <v>1</v>
      </c>
      <c r="H157" t="inlineStr">
        <is>
          <t>Other</t>
        </is>
      </c>
      <c r="I157" t="n">
        <v>25</v>
      </c>
      <c r="J157" t="b">
        <v>1</v>
      </c>
    </row>
    <row r="158">
      <c r="A158" t="inlineStr">
        <is>
          <t>C0157</t>
        </is>
      </c>
      <c r="B158" t="inlineStr">
        <is>
          <t>Hyderabad</t>
        </is>
      </c>
      <c r="C158" s="3" t="n">
        <v>45383</v>
      </c>
      <c r="D158" t="n">
        <v>9</v>
      </c>
      <c r="E158" t="n">
        <v>5</v>
      </c>
      <c r="F158" t="b">
        <v>1</v>
      </c>
      <c r="G158" t="n">
        <v>3</v>
      </c>
      <c r="H158" t="inlineStr">
        <is>
          <t>Missing item</t>
        </is>
      </c>
      <c r="I158" t="n">
        <v>0</v>
      </c>
      <c r="J158" t="b">
        <v>1</v>
      </c>
    </row>
    <row r="159">
      <c r="A159" t="inlineStr">
        <is>
          <t>C0158</t>
        </is>
      </c>
      <c r="B159" t="inlineStr">
        <is>
          <t>Hyderabad</t>
        </is>
      </c>
      <c r="C159" s="3" t="n">
        <v>45943</v>
      </c>
      <c r="D159" t="n">
        <v>4</v>
      </c>
      <c r="E159" t="n">
        <v>5</v>
      </c>
      <c r="F159" t="b">
        <v>1</v>
      </c>
      <c r="G159" t="n">
        <v>0</v>
      </c>
      <c r="I159" t="n">
        <v>0</v>
      </c>
      <c r="J159" t="b">
        <v>1</v>
      </c>
    </row>
    <row r="160">
      <c r="A160" t="inlineStr">
        <is>
          <t>C0159</t>
        </is>
      </c>
      <c r="B160" t="inlineStr">
        <is>
          <t>Hyderabad</t>
        </is>
      </c>
      <c r="C160" s="3" t="n">
        <v>45563</v>
      </c>
      <c r="D160" t="n">
        <v>2</v>
      </c>
      <c r="E160" t="n">
        <v>5</v>
      </c>
      <c r="F160" t="b">
        <v>1</v>
      </c>
      <c r="G160" t="n">
        <v>1</v>
      </c>
      <c r="H160" t="inlineStr">
        <is>
          <t>Late delivery</t>
        </is>
      </c>
      <c r="I160" t="n">
        <v>0</v>
      </c>
      <c r="J160" t="b">
        <v>1</v>
      </c>
    </row>
    <row r="161">
      <c r="A161" t="inlineStr">
        <is>
          <t>C0160</t>
        </is>
      </c>
      <c r="B161" t="inlineStr">
        <is>
          <t>Bengaluru</t>
        </is>
      </c>
      <c r="C161" s="3" t="n">
        <v>45420</v>
      </c>
      <c r="D161" t="n">
        <v>14</v>
      </c>
      <c r="E161" t="n">
        <v>5</v>
      </c>
      <c r="F161" t="b">
        <v>1</v>
      </c>
      <c r="G161" t="n">
        <v>1</v>
      </c>
      <c r="H161" t="inlineStr">
        <is>
          <t>Payment issue</t>
        </is>
      </c>
      <c r="I161" t="n">
        <v>50</v>
      </c>
      <c r="J161" t="b">
        <v>1</v>
      </c>
    </row>
    <row r="162">
      <c r="A162" t="inlineStr">
        <is>
          <t>C0161</t>
        </is>
      </c>
      <c r="B162" t="inlineStr">
        <is>
          <t>Delhi</t>
        </is>
      </c>
      <c r="C162" s="3" t="n">
        <v>45575</v>
      </c>
      <c r="D162" t="n">
        <v>4</v>
      </c>
      <c r="E162" t="n">
        <v>4.7</v>
      </c>
      <c r="F162" t="b">
        <v>1</v>
      </c>
      <c r="G162" t="n">
        <v>0</v>
      </c>
      <c r="I162" t="n">
        <v>0</v>
      </c>
      <c r="J162" t="b">
        <v>1</v>
      </c>
    </row>
    <row r="163">
      <c r="A163" t="inlineStr">
        <is>
          <t>C0162</t>
        </is>
      </c>
      <c r="B163" t="inlineStr">
        <is>
          <t>Bengaluru</t>
        </is>
      </c>
      <c r="C163" s="3" t="n">
        <v>45831</v>
      </c>
      <c r="D163" t="n">
        <v>3</v>
      </c>
      <c r="E163" t="n">
        <v>5</v>
      </c>
      <c r="F163" t="b">
        <v>1</v>
      </c>
      <c r="G163" t="n">
        <v>2</v>
      </c>
      <c r="H163" t="inlineStr">
        <is>
          <t>Other</t>
        </is>
      </c>
      <c r="I163" t="n">
        <v>150</v>
      </c>
      <c r="J163" t="b">
        <v>1</v>
      </c>
    </row>
    <row r="164">
      <c r="A164" t="inlineStr">
        <is>
          <t>C0163</t>
        </is>
      </c>
      <c r="B164" t="inlineStr">
        <is>
          <t>Mumbai</t>
        </is>
      </c>
      <c r="C164" s="3" t="n">
        <v>45944</v>
      </c>
      <c r="D164" t="n">
        <v>6</v>
      </c>
      <c r="E164" t="n">
        <v>5</v>
      </c>
      <c r="F164" t="b">
        <v>1</v>
      </c>
      <c r="G164" t="n">
        <v>0</v>
      </c>
      <c r="I164" t="n">
        <v>0</v>
      </c>
      <c r="J164" t="b">
        <v>1</v>
      </c>
    </row>
    <row r="165">
      <c r="A165" t="inlineStr">
        <is>
          <t>C0164</t>
        </is>
      </c>
      <c r="B165" t="inlineStr">
        <is>
          <t>Hyderabad</t>
        </is>
      </c>
      <c r="C165" s="3" t="n">
        <v>46201</v>
      </c>
      <c r="D165" t="n">
        <v>7</v>
      </c>
      <c r="E165" t="n">
        <v>4.8</v>
      </c>
      <c r="F165" t="b">
        <v>1</v>
      </c>
      <c r="G165" t="n">
        <v>0</v>
      </c>
      <c r="I165" t="n">
        <v>0</v>
      </c>
      <c r="J165" t="b">
        <v>1</v>
      </c>
    </row>
    <row r="166">
      <c r="A166" t="inlineStr">
        <is>
          <t>C0165</t>
        </is>
      </c>
      <c r="B166" t="inlineStr">
        <is>
          <t>Mumbai</t>
        </is>
      </c>
      <c r="C166" s="3" t="n">
        <v>46237</v>
      </c>
      <c r="D166" t="n">
        <v>3</v>
      </c>
      <c r="E166" t="n">
        <v>4.8</v>
      </c>
      <c r="F166" t="b">
        <v>1</v>
      </c>
      <c r="G166" t="n">
        <v>0</v>
      </c>
      <c r="I166" t="n">
        <v>0</v>
      </c>
      <c r="J166" t="b">
        <v>1</v>
      </c>
    </row>
    <row r="167">
      <c r="A167" t="inlineStr">
        <is>
          <t>C0166</t>
        </is>
      </c>
      <c r="B167" t="inlineStr">
        <is>
          <t>Hyderabad</t>
        </is>
      </c>
      <c r="C167" s="3" t="n">
        <v>45613</v>
      </c>
      <c r="D167" t="n">
        <v>4</v>
      </c>
      <c r="E167" t="n">
        <v>5</v>
      </c>
      <c r="F167" t="b">
        <v>1</v>
      </c>
      <c r="G167" t="n">
        <v>1</v>
      </c>
      <c r="H167" t="inlineStr">
        <is>
          <t>Other</t>
        </is>
      </c>
      <c r="I167" t="n">
        <v>50</v>
      </c>
      <c r="J167" t="b">
        <v>1</v>
      </c>
    </row>
    <row r="168">
      <c r="A168" t="inlineStr">
        <is>
          <t>C0167</t>
        </is>
      </c>
      <c r="B168" t="inlineStr">
        <is>
          <t>Mumbai</t>
        </is>
      </c>
      <c r="C168" s="3" t="n">
        <v>45597</v>
      </c>
      <c r="D168" t="n">
        <v>9</v>
      </c>
      <c r="E168" t="n">
        <v>5</v>
      </c>
      <c r="F168" t="b">
        <v>1</v>
      </c>
      <c r="G168" t="n">
        <v>6</v>
      </c>
      <c r="H168" t="inlineStr">
        <is>
          <t>Other</t>
        </is>
      </c>
      <c r="I168" t="n">
        <v>0</v>
      </c>
      <c r="J168" t="b">
        <v>1</v>
      </c>
    </row>
    <row r="169">
      <c r="A169" t="inlineStr">
        <is>
          <t>C0168</t>
        </is>
      </c>
      <c r="B169" t="inlineStr">
        <is>
          <t>Delhi</t>
        </is>
      </c>
      <c r="C169" s="3" t="n">
        <v>46100</v>
      </c>
      <c r="D169" t="n">
        <v>6</v>
      </c>
      <c r="E169" t="n">
        <v>4.5</v>
      </c>
      <c r="F169" t="b">
        <v>1</v>
      </c>
      <c r="G169" t="n">
        <v>1</v>
      </c>
      <c r="H169" t="inlineStr">
        <is>
          <t>Damaged item</t>
        </is>
      </c>
      <c r="I169" t="n">
        <v>0</v>
      </c>
      <c r="J169" t="b">
        <v>1</v>
      </c>
    </row>
    <row r="170">
      <c r="A170" t="inlineStr">
        <is>
          <t>C0169</t>
        </is>
      </c>
      <c r="B170" t="inlineStr">
        <is>
          <t>Mumbai</t>
        </is>
      </c>
      <c r="C170" s="3" t="n">
        <v>45547</v>
      </c>
      <c r="D170" t="n">
        <v>8</v>
      </c>
      <c r="E170" t="n">
        <v>4.9</v>
      </c>
      <c r="F170" t="b">
        <v>1</v>
      </c>
      <c r="G170" t="n">
        <v>3</v>
      </c>
      <c r="H170" t="inlineStr">
        <is>
          <t>Missing item</t>
        </is>
      </c>
      <c r="I170" t="n">
        <v>0</v>
      </c>
      <c r="J170" t="b">
        <v>1</v>
      </c>
    </row>
    <row r="171">
      <c r="A171" t="inlineStr">
        <is>
          <t>C0170</t>
        </is>
      </c>
      <c r="B171" t="inlineStr">
        <is>
          <t>Pune</t>
        </is>
      </c>
      <c r="C171" s="3" t="n">
        <v>45976</v>
      </c>
      <c r="D171" t="n">
        <v>7</v>
      </c>
      <c r="E171" t="n">
        <v>5</v>
      </c>
      <c r="F171" t="b">
        <v>1</v>
      </c>
      <c r="G171" t="n">
        <v>1</v>
      </c>
      <c r="H171" t="inlineStr">
        <is>
          <t>Payment issue</t>
        </is>
      </c>
      <c r="I171" t="n">
        <v>75</v>
      </c>
      <c r="J171" t="b">
        <v>1</v>
      </c>
    </row>
    <row r="172">
      <c r="A172" t="inlineStr">
        <is>
          <t>C0171</t>
        </is>
      </c>
      <c r="B172" t="inlineStr">
        <is>
          <t>Pune</t>
        </is>
      </c>
      <c r="C172" s="3" t="n">
        <v>45522</v>
      </c>
      <c r="D172" t="n">
        <v>7</v>
      </c>
      <c r="E172" t="n">
        <v>5</v>
      </c>
      <c r="F172" t="b">
        <v>1</v>
      </c>
      <c r="G172" t="n">
        <v>3</v>
      </c>
      <c r="H172" t="inlineStr">
        <is>
          <t>Payment issue</t>
        </is>
      </c>
      <c r="I172" t="n">
        <v>150</v>
      </c>
      <c r="J172" t="b">
        <v>1</v>
      </c>
    </row>
    <row r="173">
      <c r="A173" t="inlineStr">
        <is>
          <t>C0172</t>
        </is>
      </c>
      <c r="B173" t="inlineStr">
        <is>
          <t>Mumbai</t>
        </is>
      </c>
      <c r="C173" s="3" t="n">
        <v>45417</v>
      </c>
      <c r="D173" t="n">
        <v>5</v>
      </c>
      <c r="E173" t="n">
        <v>5</v>
      </c>
      <c r="F173" t="b">
        <v>1</v>
      </c>
      <c r="G173" t="n">
        <v>2</v>
      </c>
      <c r="H173" t="inlineStr">
        <is>
          <t>Damaged item</t>
        </is>
      </c>
      <c r="I173" t="n">
        <v>0</v>
      </c>
      <c r="J173" t="b">
        <v>1</v>
      </c>
    </row>
    <row r="174">
      <c r="A174" t="inlineStr">
        <is>
          <t>C0173</t>
        </is>
      </c>
      <c r="B174" t="inlineStr">
        <is>
          <t>Hyderabad</t>
        </is>
      </c>
      <c r="C174" s="3" t="n">
        <v>45886</v>
      </c>
      <c r="D174" t="n">
        <v>7</v>
      </c>
      <c r="E174" t="n">
        <v>5</v>
      </c>
      <c r="F174" t="b">
        <v>1</v>
      </c>
      <c r="G174" t="n">
        <v>2</v>
      </c>
      <c r="H174" t="inlineStr">
        <is>
          <t>Other</t>
        </is>
      </c>
      <c r="I174" t="n">
        <v>0</v>
      </c>
      <c r="J174" t="b">
        <v>1</v>
      </c>
    </row>
    <row r="175">
      <c r="A175" t="inlineStr">
        <is>
          <t>C0174</t>
        </is>
      </c>
      <c r="B175" t="inlineStr">
        <is>
          <t>Delhi</t>
        </is>
      </c>
      <c r="C175" s="3" t="n">
        <v>46192</v>
      </c>
      <c r="D175" t="n">
        <v>5</v>
      </c>
      <c r="E175" t="n">
        <v>5</v>
      </c>
      <c r="F175" t="b">
        <v>1</v>
      </c>
      <c r="G175" t="n">
        <v>0</v>
      </c>
      <c r="I175" t="n">
        <v>0</v>
      </c>
      <c r="J175" t="b">
        <v>1</v>
      </c>
    </row>
    <row r="176">
      <c r="A176" t="inlineStr">
        <is>
          <t>C0175</t>
        </is>
      </c>
      <c r="B176" t="inlineStr">
        <is>
          <t>Hyderabad</t>
        </is>
      </c>
      <c r="C176" s="3" t="n">
        <v>46132</v>
      </c>
      <c r="D176" t="n">
        <v>3</v>
      </c>
      <c r="E176" t="n">
        <v>5</v>
      </c>
      <c r="F176" t="b">
        <v>1</v>
      </c>
      <c r="G176" t="n">
        <v>0</v>
      </c>
      <c r="I176" t="n">
        <v>0</v>
      </c>
      <c r="J176" t="b">
        <v>1</v>
      </c>
    </row>
    <row r="177">
      <c r="A177" t="inlineStr">
        <is>
          <t>C0176</t>
        </is>
      </c>
      <c r="B177" t="inlineStr">
        <is>
          <t>Delhi</t>
        </is>
      </c>
      <c r="C177" s="3" t="n">
        <v>45853</v>
      </c>
      <c r="D177" t="n">
        <v>5</v>
      </c>
      <c r="E177" t="n">
        <v>4.6</v>
      </c>
      <c r="F177" t="b">
        <v>1</v>
      </c>
      <c r="G177" t="n">
        <v>0</v>
      </c>
      <c r="I177" t="n">
        <v>0</v>
      </c>
      <c r="J177" t="b">
        <v>1</v>
      </c>
    </row>
    <row r="178">
      <c r="A178" t="inlineStr">
        <is>
          <t>C0177</t>
        </is>
      </c>
      <c r="B178" t="inlineStr">
        <is>
          <t>Hyderabad</t>
        </is>
      </c>
      <c r="C178" s="3" t="n">
        <v>45527</v>
      </c>
      <c r="D178" t="n">
        <v>7</v>
      </c>
      <c r="E178" t="n">
        <v>4</v>
      </c>
      <c r="F178" t="b">
        <v>1</v>
      </c>
      <c r="G178" t="n">
        <v>1</v>
      </c>
      <c r="H178" t="inlineStr">
        <is>
          <t>Damaged item</t>
        </is>
      </c>
      <c r="I178" t="n">
        <v>0</v>
      </c>
      <c r="J178" t="b">
        <v>1</v>
      </c>
    </row>
    <row r="179">
      <c r="A179" t="inlineStr">
        <is>
          <t>C0178</t>
        </is>
      </c>
      <c r="B179" t="inlineStr">
        <is>
          <t>Hyderabad</t>
        </is>
      </c>
      <c r="C179" s="3" t="n">
        <v>45640</v>
      </c>
      <c r="D179" t="n">
        <v>2</v>
      </c>
      <c r="E179" t="n">
        <v>4.8</v>
      </c>
      <c r="F179" t="b">
        <v>1</v>
      </c>
      <c r="G179" t="n">
        <v>1</v>
      </c>
      <c r="H179" t="inlineStr">
        <is>
          <t>Damaged item</t>
        </is>
      </c>
      <c r="I179" t="n">
        <v>75</v>
      </c>
      <c r="J179" t="b">
        <v>1</v>
      </c>
    </row>
    <row r="180">
      <c r="A180" t="inlineStr">
        <is>
          <t>C0179</t>
        </is>
      </c>
      <c r="B180" t="inlineStr">
        <is>
          <t>Hyderabad</t>
        </is>
      </c>
      <c r="C180" s="3" t="n">
        <v>45999</v>
      </c>
      <c r="D180" t="n">
        <v>3</v>
      </c>
      <c r="E180" t="n">
        <v>3.9</v>
      </c>
      <c r="F180" t="b">
        <v>1</v>
      </c>
      <c r="G180" t="n">
        <v>2</v>
      </c>
      <c r="H180" t="inlineStr">
        <is>
          <t>Payment issue</t>
        </is>
      </c>
      <c r="I180" t="n">
        <v>100</v>
      </c>
      <c r="J180" t="b">
        <v>1</v>
      </c>
    </row>
    <row r="181">
      <c r="A181" t="inlineStr">
        <is>
          <t>C0180</t>
        </is>
      </c>
      <c r="B181" t="inlineStr">
        <is>
          <t>Bengaluru</t>
        </is>
      </c>
      <c r="C181" s="3" t="n">
        <v>45447</v>
      </c>
      <c r="D181" t="n">
        <v>3</v>
      </c>
      <c r="E181" t="n">
        <v>4.7</v>
      </c>
      <c r="F181" t="b">
        <v>1</v>
      </c>
      <c r="G181" t="n">
        <v>1</v>
      </c>
      <c r="H181" t="inlineStr">
        <is>
          <t>Payment issue</t>
        </is>
      </c>
      <c r="I181" t="n">
        <v>75</v>
      </c>
      <c r="J181" t="b">
        <v>1</v>
      </c>
    </row>
    <row r="182">
      <c r="A182" t="inlineStr">
        <is>
          <t>C0181</t>
        </is>
      </c>
      <c r="B182" t="inlineStr">
        <is>
          <t>Delhi</t>
        </is>
      </c>
      <c r="C182" s="3" t="n">
        <v>45513</v>
      </c>
      <c r="D182" t="n">
        <v>7</v>
      </c>
      <c r="E182" t="n">
        <v>4.2</v>
      </c>
      <c r="F182" t="b">
        <v>1</v>
      </c>
      <c r="G182" t="n">
        <v>0</v>
      </c>
      <c r="I182" t="n">
        <v>0</v>
      </c>
      <c r="J182" t="b">
        <v>1</v>
      </c>
    </row>
    <row r="183">
      <c r="A183" t="inlineStr">
        <is>
          <t>C0182</t>
        </is>
      </c>
      <c r="B183" t="inlineStr">
        <is>
          <t>Hyderabad</t>
        </is>
      </c>
      <c r="C183" s="3" t="n">
        <v>46097</v>
      </c>
      <c r="D183" t="n">
        <v>4</v>
      </c>
      <c r="E183" t="n">
        <v>5</v>
      </c>
      <c r="F183" t="b">
        <v>1</v>
      </c>
      <c r="G183" t="n">
        <v>1</v>
      </c>
      <c r="H183" t="inlineStr">
        <is>
          <t>Other</t>
        </is>
      </c>
      <c r="I183" t="n">
        <v>0</v>
      </c>
      <c r="J183" t="b">
        <v>1</v>
      </c>
    </row>
    <row r="184">
      <c r="A184" t="inlineStr">
        <is>
          <t>C0183</t>
        </is>
      </c>
      <c r="B184" t="inlineStr">
        <is>
          <t>Mumbai</t>
        </is>
      </c>
      <c r="C184" s="3" t="n">
        <v>45878</v>
      </c>
      <c r="D184" t="n">
        <v>8</v>
      </c>
      <c r="E184" t="n">
        <v>4.3</v>
      </c>
      <c r="F184" t="b">
        <v>1</v>
      </c>
      <c r="G184" t="n">
        <v>2</v>
      </c>
      <c r="H184" t="inlineStr">
        <is>
          <t>Damaged item</t>
        </is>
      </c>
      <c r="I184" t="n">
        <v>0</v>
      </c>
      <c r="J184" t="b">
        <v>1</v>
      </c>
    </row>
    <row r="185">
      <c r="A185" t="inlineStr">
        <is>
          <t>C0184</t>
        </is>
      </c>
      <c r="B185" t="inlineStr">
        <is>
          <t>Hyderabad</t>
        </is>
      </c>
      <c r="C185" s="3" t="n">
        <v>45739</v>
      </c>
      <c r="D185" t="n">
        <v>6</v>
      </c>
      <c r="E185" t="n">
        <v>4.9</v>
      </c>
      <c r="F185" t="b">
        <v>1</v>
      </c>
      <c r="G185" t="n">
        <v>1</v>
      </c>
      <c r="H185" t="inlineStr">
        <is>
          <t>Late delivery</t>
        </is>
      </c>
      <c r="I185" t="n">
        <v>0</v>
      </c>
      <c r="J185" t="b">
        <v>1</v>
      </c>
    </row>
    <row r="186">
      <c r="A186" t="inlineStr">
        <is>
          <t>C0185</t>
        </is>
      </c>
      <c r="B186" t="inlineStr">
        <is>
          <t>Delhi</t>
        </is>
      </c>
      <c r="C186" s="3" t="n">
        <v>45746</v>
      </c>
      <c r="D186" t="n">
        <v>6</v>
      </c>
      <c r="E186" t="n">
        <v>5</v>
      </c>
      <c r="F186" t="b">
        <v>1</v>
      </c>
      <c r="G186" t="n">
        <v>2</v>
      </c>
      <c r="H186" t="inlineStr">
        <is>
          <t>Missing item</t>
        </is>
      </c>
      <c r="I186" t="n">
        <v>0</v>
      </c>
      <c r="J186" t="b">
        <v>1</v>
      </c>
    </row>
    <row r="187">
      <c r="A187" t="inlineStr">
        <is>
          <t>C0186</t>
        </is>
      </c>
      <c r="B187" t="inlineStr">
        <is>
          <t>Bengaluru</t>
        </is>
      </c>
      <c r="C187" s="3" t="n">
        <v>45765</v>
      </c>
      <c r="D187" t="n">
        <v>5</v>
      </c>
      <c r="E187" t="n">
        <v>5</v>
      </c>
      <c r="F187" t="b">
        <v>1</v>
      </c>
      <c r="G187" t="n">
        <v>1</v>
      </c>
      <c r="H187" t="inlineStr">
        <is>
          <t>Missing item</t>
        </is>
      </c>
      <c r="I187" t="n">
        <v>0</v>
      </c>
      <c r="J187" t="b">
        <v>1</v>
      </c>
    </row>
    <row r="188">
      <c r="A188" t="inlineStr">
        <is>
          <t>C0187</t>
        </is>
      </c>
      <c r="B188" t="inlineStr">
        <is>
          <t>Pune</t>
        </is>
      </c>
      <c r="C188" s="3" t="n">
        <v>45608</v>
      </c>
      <c r="D188" t="n">
        <v>3</v>
      </c>
      <c r="E188" t="n">
        <v>4.9</v>
      </c>
      <c r="F188" t="b">
        <v>1</v>
      </c>
      <c r="G188" t="n">
        <v>0</v>
      </c>
      <c r="I188" t="n">
        <v>0</v>
      </c>
      <c r="J188" t="b">
        <v>1</v>
      </c>
    </row>
    <row r="189">
      <c r="A189" t="inlineStr">
        <is>
          <t>C0188</t>
        </is>
      </c>
      <c r="B189" t="inlineStr">
        <is>
          <t>Delhi</t>
        </is>
      </c>
      <c r="C189" s="3" t="n">
        <v>45424</v>
      </c>
      <c r="D189" t="n">
        <v>6</v>
      </c>
      <c r="E189" t="n">
        <v>4.7</v>
      </c>
      <c r="F189" t="b">
        <v>1</v>
      </c>
      <c r="G189" t="n">
        <v>0</v>
      </c>
      <c r="I189" t="n">
        <v>0</v>
      </c>
      <c r="J189" t="b">
        <v>1</v>
      </c>
    </row>
    <row r="190">
      <c r="A190" t="inlineStr">
        <is>
          <t>C0189</t>
        </is>
      </c>
      <c r="B190" t="inlineStr">
        <is>
          <t>Bengaluru</t>
        </is>
      </c>
      <c r="C190" s="3" t="n">
        <v>45889</v>
      </c>
      <c r="D190" t="n">
        <v>3</v>
      </c>
      <c r="E190" t="n">
        <v>4.6</v>
      </c>
      <c r="F190" t="b">
        <v>1</v>
      </c>
      <c r="G190" t="n">
        <v>1</v>
      </c>
      <c r="H190" t="inlineStr">
        <is>
          <t>Payment issue</t>
        </is>
      </c>
      <c r="I190" t="n">
        <v>0</v>
      </c>
      <c r="J190" t="b">
        <v>1</v>
      </c>
    </row>
    <row r="191">
      <c r="A191" t="inlineStr">
        <is>
          <t>C0190</t>
        </is>
      </c>
      <c r="B191" t="inlineStr">
        <is>
          <t>Mumbai</t>
        </is>
      </c>
      <c r="C191" s="3" t="n">
        <v>46009</v>
      </c>
      <c r="D191" t="n">
        <v>4</v>
      </c>
      <c r="E191" t="n">
        <v>5</v>
      </c>
      <c r="F191" t="b">
        <v>1</v>
      </c>
      <c r="G191" t="n">
        <v>1</v>
      </c>
      <c r="H191" t="inlineStr">
        <is>
          <t>Late delivery</t>
        </is>
      </c>
      <c r="I191" t="n">
        <v>25</v>
      </c>
      <c r="J191" t="b">
        <v>1</v>
      </c>
    </row>
    <row r="192">
      <c r="A192" t="inlineStr">
        <is>
          <t>C0191</t>
        </is>
      </c>
      <c r="B192" t="inlineStr">
        <is>
          <t>Pune</t>
        </is>
      </c>
      <c r="C192" s="3" t="n">
        <v>45786</v>
      </c>
      <c r="D192" t="n">
        <v>4</v>
      </c>
      <c r="E192" t="n">
        <v>5</v>
      </c>
      <c r="F192" t="b">
        <v>1</v>
      </c>
      <c r="G192" t="n">
        <v>2</v>
      </c>
      <c r="H192" t="inlineStr">
        <is>
          <t>Missing item</t>
        </is>
      </c>
      <c r="I192" t="n">
        <v>150</v>
      </c>
      <c r="J192" t="b">
        <v>1</v>
      </c>
    </row>
    <row r="193">
      <c r="A193" t="inlineStr">
        <is>
          <t>C0192</t>
        </is>
      </c>
      <c r="B193" t="inlineStr">
        <is>
          <t>Hyderabad</t>
        </is>
      </c>
      <c r="C193" s="3" t="n">
        <v>45525</v>
      </c>
      <c r="D193" t="n">
        <v>7</v>
      </c>
      <c r="E193" t="n">
        <v>5</v>
      </c>
      <c r="F193" t="b">
        <v>1</v>
      </c>
      <c r="G193" t="n">
        <v>1</v>
      </c>
      <c r="H193" t="inlineStr">
        <is>
          <t>Damaged item</t>
        </is>
      </c>
      <c r="I193" t="n">
        <v>25</v>
      </c>
      <c r="J193" t="b">
        <v>1</v>
      </c>
    </row>
    <row r="194">
      <c r="A194" t="inlineStr">
        <is>
          <t>C0193</t>
        </is>
      </c>
      <c r="B194" t="inlineStr">
        <is>
          <t>Mumbai</t>
        </is>
      </c>
      <c r="C194" s="3" t="n">
        <v>45729</v>
      </c>
      <c r="D194" t="n">
        <v>4</v>
      </c>
      <c r="E194" t="n">
        <v>5</v>
      </c>
      <c r="F194" t="b">
        <v>1</v>
      </c>
      <c r="G194" t="n">
        <v>2</v>
      </c>
      <c r="H194" t="inlineStr">
        <is>
          <t>Damaged item</t>
        </is>
      </c>
      <c r="I194" t="n">
        <v>100</v>
      </c>
      <c r="J194" t="b">
        <v>1</v>
      </c>
    </row>
    <row r="195">
      <c r="A195" t="inlineStr">
        <is>
          <t>C0194</t>
        </is>
      </c>
      <c r="B195" t="inlineStr">
        <is>
          <t>Pune</t>
        </is>
      </c>
      <c r="C195" s="3" t="n">
        <v>45804</v>
      </c>
      <c r="D195" t="n">
        <v>4</v>
      </c>
      <c r="E195" t="n">
        <v>5</v>
      </c>
      <c r="F195" t="b">
        <v>1</v>
      </c>
      <c r="G195" t="n">
        <v>0</v>
      </c>
      <c r="I195" t="n">
        <v>0</v>
      </c>
      <c r="J195" t="b">
        <v>1</v>
      </c>
    </row>
    <row r="196">
      <c r="A196" t="inlineStr">
        <is>
          <t>C0195</t>
        </is>
      </c>
      <c r="B196" t="inlineStr">
        <is>
          <t>Mumbai</t>
        </is>
      </c>
      <c r="C196" s="3" t="n">
        <v>45373</v>
      </c>
      <c r="D196" t="n">
        <v>8</v>
      </c>
      <c r="E196" t="n">
        <v>5</v>
      </c>
      <c r="F196" t="b">
        <v>1</v>
      </c>
      <c r="G196" t="n">
        <v>3</v>
      </c>
      <c r="H196" t="inlineStr">
        <is>
          <t>Other</t>
        </is>
      </c>
      <c r="I196" t="n">
        <v>225</v>
      </c>
      <c r="J196" t="b">
        <v>1</v>
      </c>
    </row>
    <row r="197">
      <c r="A197" t="inlineStr">
        <is>
          <t>C0196</t>
        </is>
      </c>
      <c r="B197" t="inlineStr">
        <is>
          <t>Bengaluru</t>
        </is>
      </c>
      <c r="C197" s="3" t="n">
        <v>45950</v>
      </c>
      <c r="D197" t="n">
        <v>9</v>
      </c>
      <c r="E197" t="n">
        <v>5</v>
      </c>
      <c r="F197" t="b">
        <v>1</v>
      </c>
      <c r="G197" t="n">
        <v>5</v>
      </c>
      <c r="H197" t="inlineStr">
        <is>
          <t>Other</t>
        </is>
      </c>
      <c r="I197" t="n">
        <v>125</v>
      </c>
      <c r="J197" t="b">
        <v>1</v>
      </c>
    </row>
    <row r="198">
      <c r="A198" t="inlineStr">
        <is>
          <t>C0197</t>
        </is>
      </c>
      <c r="B198" t="inlineStr">
        <is>
          <t>Bengaluru</t>
        </is>
      </c>
      <c r="C198" s="3" t="n">
        <v>46004</v>
      </c>
      <c r="D198" t="n">
        <v>12</v>
      </c>
      <c r="E198" t="n">
        <v>4</v>
      </c>
      <c r="F198" t="b">
        <v>1</v>
      </c>
      <c r="G198" t="n">
        <v>1</v>
      </c>
      <c r="H198" t="inlineStr">
        <is>
          <t>Damaged item</t>
        </is>
      </c>
      <c r="I198" t="n">
        <v>25</v>
      </c>
      <c r="J198" t="b">
        <v>1</v>
      </c>
    </row>
    <row r="199">
      <c r="A199" t="inlineStr">
        <is>
          <t>C0198</t>
        </is>
      </c>
      <c r="B199" t="inlineStr">
        <is>
          <t>Delhi</t>
        </is>
      </c>
      <c r="C199" s="3" t="n">
        <v>45556</v>
      </c>
      <c r="D199" t="n">
        <v>11</v>
      </c>
      <c r="E199" t="n">
        <v>5</v>
      </c>
      <c r="F199" t="b">
        <v>1</v>
      </c>
      <c r="G199" t="n">
        <v>3</v>
      </c>
      <c r="H199" t="inlineStr">
        <is>
          <t>Late delivery</t>
        </is>
      </c>
      <c r="I199" t="n">
        <v>75</v>
      </c>
      <c r="J199" t="b">
        <v>1</v>
      </c>
    </row>
    <row r="200">
      <c r="A200" t="inlineStr">
        <is>
          <t>C0199</t>
        </is>
      </c>
      <c r="B200" t="inlineStr">
        <is>
          <t>Delhi</t>
        </is>
      </c>
      <c r="C200" s="3" t="n">
        <v>45779</v>
      </c>
      <c r="D200" t="n">
        <v>5</v>
      </c>
      <c r="E200" t="n">
        <v>4.9</v>
      </c>
      <c r="F200" t="b">
        <v>1</v>
      </c>
      <c r="G200" t="n">
        <v>0</v>
      </c>
      <c r="I200" t="n">
        <v>0</v>
      </c>
      <c r="J200" t="b">
        <v>1</v>
      </c>
    </row>
    <row r="201">
      <c r="A201" t="inlineStr">
        <is>
          <t>C0200</t>
        </is>
      </c>
      <c r="B201" t="inlineStr">
        <is>
          <t>Hyderabad</t>
        </is>
      </c>
      <c r="C201" s="3" t="n">
        <v>45748</v>
      </c>
      <c r="D201" t="n">
        <v>6</v>
      </c>
      <c r="E201" t="n">
        <v>4.8</v>
      </c>
      <c r="F201" t="b">
        <v>1</v>
      </c>
      <c r="G201" t="n">
        <v>1</v>
      </c>
      <c r="H201" t="inlineStr">
        <is>
          <t>Payment issue</t>
        </is>
      </c>
      <c r="I201" t="n">
        <v>50</v>
      </c>
      <c r="J201" t="b">
        <v>1</v>
      </c>
    </row>
    <row r="202">
      <c r="A202" t="inlineStr">
        <is>
          <t>C0201</t>
        </is>
      </c>
      <c r="B202" t="inlineStr">
        <is>
          <t>Mumbai</t>
        </is>
      </c>
      <c r="C202" s="3" t="n">
        <v>45534</v>
      </c>
      <c r="D202" t="n">
        <v>5</v>
      </c>
      <c r="E202" t="n">
        <v>5</v>
      </c>
      <c r="F202" t="b">
        <v>1</v>
      </c>
      <c r="G202" t="n">
        <v>0</v>
      </c>
      <c r="I202" t="n">
        <v>0</v>
      </c>
      <c r="J202" t="b">
        <v>1</v>
      </c>
    </row>
    <row r="203">
      <c r="A203" t="inlineStr">
        <is>
          <t>C0202</t>
        </is>
      </c>
      <c r="B203" t="inlineStr">
        <is>
          <t>Pune</t>
        </is>
      </c>
      <c r="C203" s="3" t="n">
        <v>45998</v>
      </c>
      <c r="D203" t="n">
        <v>8</v>
      </c>
      <c r="E203" t="n">
        <v>4</v>
      </c>
      <c r="F203" t="b">
        <v>1</v>
      </c>
      <c r="G203" t="n">
        <v>1</v>
      </c>
      <c r="H203" t="inlineStr">
        <is>
          <t>Missing item</t>
        </is>
      </c>
      <c r="I203" t="n">
        <v>25</v>
      </c>
      <c r="J203" t="b">
        <v>1</v>
      </c>
    </row>
    <row r="204">
      <c r="A204" t="inlineStr">
        <is>
          <t>C0203</t>
        </is>
      </c>
      <c r="B204" t="inlineStr">
        <is>
          <t>Bengaluru</t>
        </is>
      </c>
      <c r="C204" s="3" t="n">
        <v>45867</v>
      </c>
      <c r="D204" t="n">
        <v>2</v>
      </c>
      <c r="E204" t="n">
        <v>5</v>
      </c>
      <c r="F204" t="b">
        <v>1</v>
      </c>
      <c r="G204" t="n">
        <v>1</v>
      </c>
      <c r="H204" t="inlineStr">
        <is>
          <t>Damaged item</t>
        </is>
      </c>
      <c r="I204" t="n">
        <v>75</v>
      </c>
      <c r="J204" t="b">
        <v>1</v>
      </c>
    </row>
    <row r="205">
      <c r="A205" t="inlineStr">
        <is>
          <t>C0204</t>
        </is>
      </c>
      <c r="B205" t="inlineStr">
        <is>
          <t>Bengaluru</t>
        </is>
      </c>
      <c r="C205" s="3" t="n">
        <v>45406</v>
      </c>
      <c r="D205" t="n">
        <v>10</v>
      </c>
      <c r="E205" t="n">
        <v>5</v>
      </c>
      <c r="F205" t="b">
        <v>1</v>
      </c>
      <c r="G205" t="n">
        <v>2</v>
      </c>
      <c r="H205" t="inlineStr">
        <is>
          <t>Payment issue</t>
        </is>
      </c>
      <c r="I205" t="n">
        <v>100</v>
      </c>
      <c r="J205" t="b">
        <v>1</v>
      </c>
    </row>
    <row r="206">
      <c r="A206" t="inlineStr">
        <is>
          <t>C0205</t>
        </is>
      </c>
      <c r="B206" t="inlineStr">
        <is>
          <t>Bengaluru</t>
        </is>
      </c>
      <c r="C206" s="3" t="n">
        <v>46166</v>
      </c>
      <c r="D206" t="n">
        <v>6</v>
      </c>
      <c r="E206" t="n">
        <v>4.8</v>
      </c>
      <c r="F206" t="b">
        <v>1</v>
      </c>
      <c r="G206" t="n">
        <v>0</v>
      </c>
      <c r="I206" t="n">
        <v>0</v>
      </c>
      <c r="J206" t="b">
        <v>1</v>
      </c>
    </row>
    <row r="207">
      <c r="A207" t="inlineStr">
        <is>
          <t>C0206</t>
        </is>
      </c>
      <c r="B207" t="inlineStr">
        <is>
          <t>Hyderabad</t>
        </is>
      </c>
      <c r="C207" s="3" t="n">
        <v>45924</v>
      </c>
      <c r="D207" t="n">
        <v>6</v>
      </c>
      <c r="E207" t="n">
        <v>5</v>
      </c>
      <c r="F207" t="b">
        <v>1</v>
      </c>
      <c r="G207" t="n">
        <v>1</v>
      </c>
      <c r="H207" t="inlineStr">
        <is>
          <t>Missing item</t>
        </is>
      </c>
      <c r="I207" t="n">
        <v>0</v>
      </c>
      <c r="J207" t="b">
        <v>1</v>
      </c>
    </row>
    <row r="208">
      <c r="A208" t="inlineStr">
        <is>
          <t>C0207</t>
        </is>
      </c>
      <c r="B208" t="inlineStr">
        <is>
          <t>Pune</t>
        </is>
      </c>
      <c r="C208" s="3" t="n">
        <v>45719</v>
      </c>
      <c r="D208" t="n">
        <v>3</v>
      </c>
      <c r="E208" t="n">
        <v>3.4</v>
      </c>
      <c r="F208" t="b">
        <v>1</v>
      </c>
      <c r="G208" t="n">
        <v>1</v>
      </c>
      <c r="H208" t="inlineStr">
        <is>
          <t>Payment issue</t>
        </is>
      </c>
      <c r="I208" t="n">
        <v>0</v>
      </c>
      <c r="J208" t="b">
        <v>1</v>
      </c>
    </row>
    <row r="209">
      <c r="A209" t="inlineStr">
        <is>
          <t>C0208</t>
        </is>
      </c>
      <c r="B209" t="inlineStr">
        <is>
          <t>Hyderabad</t>
        </is>
      </c>
      <c r="C209" s="3" t="n">
        <v>45439</v>
      </c>
      <c r="D209" t="n">
        <v>5</v>
      </c>
      <c r="E209" t="n">
        <v>5</v>
      </c>
      <c r="F209" t="b">
        <v>1</v>
      </c>
      <c r="G209" t="n">
        <v>0</v>
      </c>
      <c r="I209" t="n">
        <v>0</v>
      </c>
      <c r="J209" t="b">
        <v>1</v>
      </c>
    </row>
    <row r="210">
      <c r="A210" t="inlineStr">
        <is>
          <t>C0209</t>
        </is>
      </c>
      <c r="B210" t="inlineStr">
        <is>
          <t>Hyderabad</t>
        </is>
      </c>
      <c r="C210" s="3" t="n">
        <v>45826</v>
      </c>
      <c r="D210" t="n">
        <v>5</v>
      </c>
      <c r="E210" t="n">
        <v>4.2</v>
      </c>
      <c r="F210" t="b">
        <v>1</v>
      </c>
      <c r="G210" t="n">
        <v>0</v>
      </c>
      <c r="I210" t="n">
        <v>0</v>
      </c>
      <c r="J210" t="b">
        <v>1</v>
      </c>
    </row>
    <row r="211">
      <c r="A211" t="inlineStr">
        <is>
          <t>C0210</t>
        </is>
      </c>
      <c r="B211" t="inlineStr">
        <is>
          <t>Pune</t>
        </is>
      </c>
      <c r="C211" s="3" t="n">
        <v>46172</v>
      </c>
      <c r="D211" t="n">
        <v>6</v>
      </c>
      <c r="E211" t="n">
        <v>4.1</v>
      </c>
      <c r="F211" t="b">
        <v>1</v>
      </c>
      <c r="G211" t="n">
        <v>1</v>
      </c>
      <c r="H211" t="inlineStr">
        <is>
          <t>Payment issue</t>
        </is>
      </c>
      <c r="I211" t="n">
        <v>25</v>
      </c>
      <c r="J211" t="b">
        <v>1</v>
      </c>
    </row>
    <row r="212">
      <c r="A212" t="inlineStr">
        <is>
          <t>C0211</t>
        </is>
      </c>
      <c r="B212" t="inlineStr">
        <is>
          <t>Pune</t>
        </is>
      </c>
      <c r="C212" s="3" t="n">
        <v>45443</v>
      </c>
      <c r="D212" t="n">
        <v>7</v>
      </c>
      <c r="E212" t="n">
        <v>4.5</v>
      </c>
      <c r="F212" t="b">
        <v>1</v>
      </c>
      <c r="G212" t="n">
        <v>2</v>
      </c>
      <c r="H212" t="inlineStr">
        <is>
          <t>Damaged item</t>
        </is>
      </c>
      <c r="I212" t="n">
        <v>0</v>
      </c>
      <c r="J212" t="b">
        <v>1</v>
      </c>
    </row>
    <row r="213">
      <c r="A213" t="inlineStr">
        <is>
          <t>C0212</t>
        </is>
      </c>
      <c r="B213" t="inlineStr">
        <is>
          <t>Delhi</t>
        </is>
      </c>
      <c r="C213" s="3" t="n">
        <v>45525</v>
      </c>
      <c r="D213" t="n">
        <v>9</v>
      </c>
      <c r="E213" t="n">
        <v>5</v>
      </c>
      <c r="F213" t="b">
        <v>1</v>
      </c>
      <c r="G213" t="n">
        <v>4</v>
      </c>
      <c r="H213" t="inlineStr">
        <is>
          <t>Missing item</t>
        </is>
      </c>
      <c r="I213" t="n">
        <v>0</v>
      </c>
      <c r="J213" t="b">
        <v>1</v>
      </c>
    </row>
    <row r="214">
      <c r="A214" t="inlineStr">
        <is>
          <t>C0213</t>
        </is>
      </c>
      <c r="B214" t="inlineStr">
        <is>
          <t>Bengaluru</t>
        </is>
      </c>
      <c r="C214" s="3" t="n">
        <v>45579</v>
      </c>
      <c r="D214" t="n">
        <v>2</v>
      </c>
      <c r="E214" t="n">
        <v>5</v>
      </c>
      <c r="F214" t="b">
        <v>1</v>
      </c>
      <c r="G214" t="n">
        <v>0</v>
      </c>
      <c r="I214" t="n">
        <v>0</v>
      </c>
      <c r="J214" t="b">
        <v>1</v>
      </c>
    </row>
    <row r="215">
      <c r="A215" t="inlineStr">
        <is>
          <t>C0214</t>
        </is>
      </c>
      <c r="B215" t="inlineStr">
        <is>
          <t>Hyderabad</t>
        </is>
      </c>
      <c r="C215" s="3" t="n">
        <v>45964</v>
      </c>
      <c r="D215" t="n">
        <v>6</v>
      </c>
      <c r="E215" t="n">
        <v>5</v>
      </c>
      <c r="F215" t="b">
        <v>1</v>
      </c>
      <c r="G215" t="n">
        <v>1</v>
      </c>
      <c r="H215" t="inlineStr">
        <is>
          <t>Missing item</t>
        </is>
      </c>
      <c r="I215" t="n">
        <v>75</v>
      </c>
      <c r="J215" t="b">
        <v>1</v>
      </c>
    </row>
    <row r="216">
      <c r="A216" t="inlineStr">
        <is>
          <t>C0215</t>
        </is>
      </c>
      <c r="B216" t="inlineStr">
        <is>
          <t>Mumbai</t>
        </is>
      </c>
      <c r="C216" s="3" t="n">
        <v>45849</v>
      </c>
      <c r="D216" t="n">
        <v>5</v>
      </c>
      <c r="E216" t="n">
        <v>4.2</v>
      </c>
      <c r="F216" t="b">
        <v>1</v>
      </c>
      <c r="G216" t="n">
        <v>0</v>
      </c>
      <c r="I216" t="n">
        <v>0</v>
      </c>
      <c r="J216" t="b">
        <v>1</v>
      </c>
    </row>
    <row r="217">
      <c r="A217" t="inlineStr">
        <is>
          <t>C0216</t>
        </is>
      </c>
      <c r="B217" t="inlineStr">
        <is>
          <t>Bengaluru</t>
        </is>
      </c>
      <c r="C217" s="3" t="n">
        <v>45581</v>
      </c>
      <c r="D217" t="n">
        <v>4</v>
      </c>
      <c r="E217" t="n">
        <v>5</v>
      </c>
      <c r="F217" t="b">
        <v>1</v>
      </c>
      <c r="G217" t="n">
        <v>0</v>
      </c>
      <c r="I217" t="n">
        <v>0</v>
      </c>
      <c r="J217" t="b">
        <v>1</v>
      </c>
    </row>
    <row r="218">
      <c r="A218" t="inlineStr">
        <is>
          <t>C0217</t>
        </is>
      </c>
      <c r="B218" t="inlineStr">
        <is>
          <t>Hyderabad</t>
        </is>
      </c>
      <c r="C218" s="3" t="n">
        <v>46094</v>
      </c>
      <c r="D218" t="n">
        <v>3</v>
      </c>
      <c r="E218" t="n">
        <v>4.5</v>
      </c>
      <c r="F218" t="b">
        <v>1</v>
      </c>
      <c r="G218" t="n">
        <v>1</v>
      </c>
      <c r="H218" t="inlineStr">
        <is>
          <t>Other</t>
        </is>
      </c>
      <c r="I218" t="n">
        <v>0</v>
      </c>
      <c r="J218" t="b">
        <v>1</v>
      </c>
    </row>
    <row r="219">
      <c r="A219" t="inlineStr">
        <is>
          <t>C0218</t>
        </is>
      </c>
      <c r="B219" t="inlineStr">
        <is>
          <t>Mumbai</t>
        </is>
      </c>
      <c r="C219" s="3" t="n">
        <v>46223</v>
      </c>
      <c r="D219" t="n">
        <v>8</v>
      </c>
      <c r="E219" t="n">
        <v>4.8</v>
      </c>
      <c r="F219" t="b">
        <v>1</v>
      </c>
      <c r="G219" t="n">
        <v>3</v>
      </c>
      <c r="H219" t="inlineStr">
        <is>
          <t>Late delivery</t>
        </is>
      </c>
      <c r="I219" t="n">
        <v>75</v>
      </c>
      <c r="J219" t="b">
        <v>1</v>
      </c>
    </row>
    <row r="220">
      <c r="A220" t="inlineStr">
        <is>
          <t>C0219</t>
        </is>
      </c>
      <c r="B220" t="inlineStr">
        <is>
          <t>Pune</t>
        </is>
      </c>
      <c r="C220" s="3" t="n">
        <v>45982</v>
      </c>
      <c r="D220" t="n">
        <v>6</v>
      </c>
      <c r="E220" t="n">
        <v>4.7</v>
      </c>
      <c r="F220" t="b">
        <v>1</v>
      </c>
      <c r="G220" t="n">
        <v>1</v>
      </c>
      <c r="H220" t="inlineStr">
        <is>
          <t>Other</t>
        </is>
      </c>
      <c r="I220" t="n">
        <v>0</v>
      </c>
      <c r="J220" t="b">
        <v>1</v>
      </c>
    </row>
    <row r="221">
      <c r="A221" t="inlineStr">
        <is>
          <t>C0220</t>
        </is>
      </c>
      <c r="B221" t="inlineStr">
        <is>
          <t>Hyderabad</t>
        </is>
      </c>
      <c r="C221" s="3" t="n">
        <v>46016</v>
      </c>
      <c r="D221" t="n">
        <v>1</v>
      </c>
      <c r="E221" t="n">
        <v>5</v>
      </c>
      <c r="F221" t="b">
        <v>0</v>
      </c>
      <c r="G221" t="n">
        <v>0</v>
      </c>
      <c r="I221" t="n">
        <v>0</v>
      </c>
      <c r="J221" t="b">
        <v>0</v>
      </c>
    </row>
    <row r="222">
      <c r="A222" t="inlineStr">
        <is>
          <t>C0221</t>
        </is>
      </c>
      <c r="B222" t="inlineStr">
        <is>
          <t>Mumbai</t>
        </is>
      </c>
      <c r="C222" s="3" t="n">
        <v>46036</v>
      </c>
      <c r="D222" t="n">
        <v>2</v>
      </c>
      <c r="E222" t="n">
        <v>4.2</v>
      </c>
      <c r="F222" t="b">
        <v>1</v>
      </c>
      <c r="G222" t="n">
        <v>0</v>
      </c>
      <c r="I222" t="n">
        <v>0</v>
      </c>
      <c r="J222" t="b">
        <v>1</v>
      </c>
    </row>
    <row r="223">
      <c r="A223" t="inlineStr">
        <is>
          <t>C0222</t>
        </is>
      </c>
      <c r="B223" t="inlineStr">
        <is>
          <t>Delhi</t>
        </is>
      </c>
      <c r="C223" s="3" t="n">
        <v>45554</v>
      </c>
      <c r="D223" t="n">
        <v>6</v>
      </c>
      <c r="E223" t="n">
        <v>5</v>
      </c>
      <c r="F223" t="b">
        <v>1</v>
      </c>
      <c r="G223" t="n">
        <v>1</v>
      </c>
      <c r="H223" t="inlineStr">
        <is>
          <t>Late delivery</t>
        </is>
      </c>
      <c r="I223" t="n">
        <v>50</v>
      </c>
      <c r="J223" t="b">
        <v>1</v>
      </c>
    </row>
    <row r="224">
      <c r="A224" t="inlineStr">
        <is>
          <t>C0223</t>
        </is>
      </c>
      <c r="B224" t="inlineStr">
        <is>
          <t>Hyderabad</t>
        </is>
      </c>
      <c r="C224" s="3" t="n">
        <v>45809</v>
      </c>
      <c r="D224" t="n">
        <v>5</v>
      </c>
      <c r="E224" t="n">
        <v>5</v>
      </c>
      <c r="F224" t="b">
        <v>1</v>
      </c>
      <c r="G224" t="n">
        <v>0</v>
      </c>
      <c r="I224" t="n">
        <v>0</v>
      </c>
      <c r="J224" t="b">
        <v>1</v>
      </c>
    </row>
    <row r="225">
      <c r="A225" t="inlineStr">
        <is>
          <t>C0224</t>
        </is>
      </c>
      <c r="B225" t="inlineStr">
        <is>
          <t>Pune</t>
        </is>
      </c>
      <c r="C225" s="3" t="n">
        <v>45663</v>
      </c>
      <c r="D225" t="n">
        <v>6</v>
      </c>
      <c r="E225" t="n">
        <v>5</v>
      </c>
      <c r="F225" t="b">
        <v>1</v>
      </c>
      <c r="G225" t="n">
        <v>2</v>
      </c>
      <c r="H225" t="inlineStr">
        <is>
          <t>Late delivery</t>
        </is>
      </c>
      <c r="I225" t="n">
        <v>0</v>
      </c>
      <c r="J225" t="b">
        <v>1</v>
      </c>
    </row>
    <row r="226">
      <c r="A226" t="inlineStr">
        <is>
          <t>C0225</t>
        </is>
      </c>
      <c r="B226" t="inlineStr">
        <is>
          <t>Pune</t>
        </is>
      </c>
      <c r="C226" s="3" t="n">
        <v>45665</v>
      </c>
      <c r="D226" t="n">
        <v>6</v>
      </c>
      <c r="E226" t="n">
        <v>5</v>
      </c>
      <c r="F226" t="b">
        <v>1</v>
      </c>
      <c r="G226" t="n">
        <v>0</v>
      </c>
      <c r="I226" t="n">
        <v>0</v>
      </c>
      <c r="J226" t="b">
        <v>1</v>
      </c>
    </row>
    <row r="227">
      <c r="A227" t="inlineStr">
        <is>
          <t>C0226</t>
        </is>
      </c>
      <c r="B227" t="inlineStr">
        <is>
          <t>Bengaluru</t>
        </is>
      </c>
      <c r="C227" s="3" t="n">
        <v>45578</v>
      </c>
      <c r="D227" t="n">
        <v>3</v>
      </c>
      <c r="E227" t="n">
        <v>4.5</v>
      </c>
      <c r="F227" t="b">
        <v>1</v>
      </c>
      <c r="G227" t="n">
        <v>1</v>
      </c>
      <c r="H227" t="inlineStr">
        <is>
          <t>Late delivery</t>
        </is>
      </c>
      <c r="I227" t="n">
        <v>0</v>
      </c>
      <c r="J227" t="b">
        <v>1</v>
      </c>
    </row>
    <row r="228">
      <c r="A228" t="inlineStr">
        <is>
          <t>C0227</t>
        </is>
      </c>
      <c r="B228" t="inlineStr">
        <is>
          <t>Pune</t>
        </is>
      </c>
      <c r="C228" s="3" t="n">
        <v>45708</v>
      </c>
      <c r="D228" t="n">
        <v>3</v>
      </c>
      <c r="E228" t="n">
        <v>4.9</v>
      </c>
      <c r="F228" t="b">
        <v>1</v>
      </c>
      <c r="G228" t="n">
        <v>1</v>
      </c>
      <c r="H228" t="inlineStr">
        <is>
          <t>Damaged item</t>
        </is>
      </c>
      <c r="I228" t="n">
        <v>0</v>
      </c>
      <c r="J228" t="b">
        <v>1</v>
      </c>
    </row>
    <row r="229">
      <c r="A229" t="inlineStr">
        <is>
          <t>C0228</t>
        </is>
      </c>
      <c r="B229" t="inlineStr">
        <is>
          <t>Mumbai</t>
        </is>
      </c>
      <c r="C229" s="3" t="n">
        <v>45446</v>
      </c>
      <c r="D229" t="n">
        <v>5</v>
      </c>
      <c r="E229" t="n">
        <v>4.8</v>
      </c>
      <c r="F229" t="b">
        <v>1</v>
      </c>
      <c r="G229" t="n">
        <v>1</v>
      </c>
      <c r="H229" t="inlineStr">
        <is>
          <t>Other</t>
        </is>
      </c>
      <c r="I229" t="n">
        <v>0</v>
      </c>
      <c r="J229" t="b">
        <v>1</v>
      </c>
    </row>
    <row r="230">
      <c r="A230" t="inlineStr">
        <is>
          <t>C0229</t>
        </is>
      </c>
      <c r="B230" t="inlineStr">
        <is>
          <t>Pune</t>
        </is>
      </c>
      <c r="C230" s="3" t="n">
        <v>46100</v>
      </c>
      <c r="D230" t="n">
        <v>4</v>
      </c>
      <c r="E230" t="n">
        <v>5</v>
      </c>
      <c r="F230" t="b">
        <v>1</v>
      </c>
      <c r="G230" t="n">
        <v>1</v>
      </c>
      <c r="H230" t="inlineStr">
        <is>
          <t>Payment issue</t>
        </is>
      </c>
      <c r="I230" t="n">
        <v>0</v>
      </c>
      <c r="J230" t="b">
        <v>1</v>
      </c>
    </row>
    <row r="231">
      <c r="A231" t="inlineStr">
        <is>
          <t>C0230</t>
        </is>
      </c>
      <c r="B231" t="inlineStr">
        <is>
          <t>Mumbai</t>
        </is>
      </c>
      <c r="C231" s="3" t="n">
        <v>46150</v>
      </c>
      <c r="D231" t="n">
        <v>4</v>
      </c>
      <c r="E231" t="n">
        <v>5</v>
      </c>
      <c r="F231" t="b">
        <v>1</v>
      </c>
      <c r="G231" t="n">
        <v>0</v>
      </c>
      <c r="I231" t="n">
        <v>0</v>
      </c>
      <c r="J231" t="b">
        <v>1</v>
      </c>
    </row>
    <row r="232">
      <c r="A232" t="inlineStr">
        <is>
          <t>C0231</t>
        </is>
      </c>
      <c r="B232" t="inlineStr">
        <is>
          <t>Hyderabad</t>
        </is>
      </c>
      <c r="C232" s="3" t="n">
        <v>45477</v>
      </c>
      <c r="D232" t="n">
        <v>8</v>
      </c>
      <c r="E232" t="n">
        <v>4.6</v>
      </c>
      <c r="F232" t="b">
        <v>1</v>
      </c>
      <c r="G232" t="n">
        <v>1</v>
      </c>
      <c r="H232" t="inlineStr">
        <is>
          <t>Payment issue</t>
        </is>
      </c>
      <c r="I232" t="n">
        <v>25</v>
      </c>
      <c r="J232" t="b">
        <v>1</v>
      </c>
    </row>
    <row r="233">
      <c r="A233" t="inlineStr">
        <is>
          <t>C0232</t>
        </is>
      </c>
      <c r="B233" t="inlineStr">
        <is>
          <t>Pune</t>
        </is>
      </c>
      <c r="C233" s="3" t="n">
        <v>45411</v>
      </c>
      <c r="D233" t="n">
        <v>5</v>
      </c>
      <c r="E233" t="n">
        <v>5</v>
      </c>
      <c r="F233" t="b">
        <v>1</v>
      </c>
      <c r="G233" t="n">
        <v>3</v>
      </c>
      <c r="H233" t="inlineStr">
        <is>
          <t>Payment issue</t>
        </is>
      </c>
      <c r="I233" t="n">
        <v>75</v>
      </c>
      <c r="J233" t="b">
        <v>1</v>
      </c>
    </row>
    <row r="234">
      <c r="A234" t="inlineStr">
        <is>
          <t>C0233</t>
        </is>
      </c>
      <c r="B234" t="inlineStr">
        <is>
          <t>Hyderabad</t>
        </is>
      </c>
      <c r="C234" s="3" t="n">
        <v>45458</v>
      </c>
      <c r="D234" t="n">
        <v>3</v>
      </c>
      <c r="E234" t="n">
        <v>4.7</v>
      </c>
      <c r="F234" t="b">
        <v>1</v>
      </c>
      <c r="G234" t="n">
        <v>2</v>
      </c>
      <c r="H234" t="inlineStr">
        <is>
          <t>Missing item</t>
        </is>
      </c>
      <c r="I234" t="n">
        <v>0</v>
      </c>
      <c r="J234" t="b">
        <v>1</v>
      </c>
    </row>
    <row r="235">
      <c r="A235" t="inlineStr">
        <is>
          <t>C0234</t>
        </is>
      </c>
      <c r="B235" t="inlineStr">
        <is>
          <t>Mumbai</t>
        </is>
      </c>
      <c r="C235" s="3" t="n">
        <v>46194</v>
      </c>
      <c r="D235" t="n">
        <v>6</v>
      </c>
      <c r="E235" t="n">
        <v>5</v>
      </c>
      <c r="F235" t="b">
        <v>1</v>
      </c>
      <c r="G235" t="n">
        <v>3</v>
      </c>
      <c r="H235" t="inlineStr">
        <is>
          <t>Damaged item</t>
        </is>
      </c>
      <c r="I235" t="n">
        <v>0</v>
      </c>
      <c r="J235" t="b">
        <v>1</v>
      </c>
    </row>
    <row r="236">
      <c r="A236" t="inlineStr">
        <is>
          <t>C0235</t>
        </is>
      </c>
      <c r="B236" t="inlineStr">
        <is>
          <t>Hyderabad</t>
        </is>
      </c>
      <c r="C236" s="3" t="n">
        <v>45492</v>
      </c>
      <c r="D236" t="n">
        <v>5</v>
      </c>
      <c r="E236" t="n">
        <v>5</v>
      </c>
      <c r="F236" t="b">
        <v>1</v>
      </c>
      <c r="G236" t="n">
        <v>2</v>
      </c>
      <c r="H236" t="inlineStr">
        <is>
          <t>Missing item</t>
        </is>
      </c>
      <c r="I236" t="n">
        <v>150</v>
      </c>
      <c r="J236" t="b">
        <v>1</v>
      </c>
    </row>
    <row r="237">
      <c r="A237" t="inlineStr">
        <is>
          <t>C0236</t>
        </is>
      </c>
      <c r="B237" t="inlineStr">
        <is>
          <t>Bengaluru</t>
        </is>
      </c>
      <c r="C237" s="3" t="n">
        <v>45505</v>
      </c>
      <c r="D237" t="n">
        <v>5</v>
      </c>
      <c r="E237" t="n">
        <v>3.9</v>
      </c>
      <c r="F237" t="b">
        <v>1</v>
      </c>
      <c r="G237" t="n">
        <v>2</v>
      </c>
      <c r="H237" t="inlineStr">
        <is>
          <t>Damaged item</t>
        </is>
      </c>
      <c r="I237" t="n">
        <v>50</v>
      </c>
      <c r="J237" t="b">
        <v>1</v>
      </c>
    </row>
    <row r="238">
      <c r="A238" t="inlineStr">
        <is>
          <t>C0237</t>
        </is>
      </c>
      <c r="B238" t="inlineStr">
        <is>
          <t>Mumbai</t>
        </is>
      </c>
      <c r="C238" s="3" t="n">
        <v>45874</v>
      </c>
      <c r="D238" t="n">
        <v>6</v>
      </c>
      <c r="E238" t="n">
        <v>4.5</v>
      </c>
      <c r="F238" t="b">
        <v>1</v>
      </c>
      <c r="G238" t="n">
        <v>4</v>
      </c>
      <c r="H238" t="inlineStr">
        <is>
          <t>Late delivery</t>
        </is>
      </c>
      <c r="I238" t="n">
        <v>200</v>
      </c>
      <c r="J238" t="b">
        <v>1</v>
      </c>
    </row>
    <row r="239">
      <c r="A239" t="inlineStr">
        <is>
          <t>C0238</t>
        </is>
      </c>
      <c r="B239" t="inlineStr">
        <is>
          <t>Bengaluru</t>
        </is>
      </c>
      <c r="C239" s="3" t="n">
        <v>46067</v>
      </c>
      <c r="D239" t="n">
        <v>6</v>
      </c>
      <c r="E239" t="n">
        <v>4.9</v>
      </c>
      <c r="F239" t="b">
        <v>1</v>
      </c>
      <c r="G239" t="n">
        <v>5</v>
      </c>
      <c r="H239" t="inlineStr">
        <is>
          <t>Late delivery</t>
        </is>
      </c>
      <c r="I239" t="n">
        <v>250</v>
      </c>
      <c r="J239" t="b">
        <v>1</v>
      </c>
    </row>
    <row r="240">
      <c r="A240" t="inlineStr">
        <is>
          <t>C0239</t>
        </is>
      </c>
      <c r="B240" t="inlineStr">
        <is>
          <t>Pune</t>
        </is>
      </c>
      <c r="C240" s="3" t="n">
        <v>45606</v>
      </c>
      <c r="D240" t="n">
        <v>1</v>
      </c>
      <c r="E240" t="n">
        <v>5</v>
      </c>
      <c r="F240" t="b">
        <v>0</v>
      </c>
      <c r="G240" t="n">
        <v>0</v>
      </c>
      <c r="I240" t="n">
        <v>0</v>
      </c>
      <c r="J240" t="b">
        <v>0</v>
      </c>
    </row>
    <row r="241">
      <c r="A241" t="inlineStr">
        <is>
          <t>C0240</t>
        </is>
      </c>
      <c r="B241" t="inlineStr">
        <is>
          <t>Delhi</t>
        </is>
      </c>
      <c r="C241" s="3" t="n">
        <v>45385</v>
      </c>
      <c r="D241" t="n">
        <v>8</v>
      </c>
      <c r="E241" t="n">
        <v>4.6</v>
      </c>
      <c r="F241" t="b">
        <v>1</v>
      </c>
      <c r="G241" t="n">
        <v>1</v>
      </c>
      <c r="H241" t="inlineStr">
        <is>
          <t>Missing item</t>
        </is>
      </c>
      <c r="I241" t="n">
        <v>0</v>
      </c>
      <c r="J241" t="b">
        <v>1</v>
      </c>
    </row>
    <row r="242">
      <c r="A242" t="inlineStr">
        <is>
          <t>C0241</t>
        </is>
      </c>
      <c r="B242" t="inlineStr">
        <is>
          <t>Mumbai</t>
        </is>
      </c>
      <c r="C242" s="3" t="n">
        <v>45703</v>
      </c>
      <c r="D242" t="n">
        <v>7</v>
      </c>
      <c r="E242" t="n">
        <v>4.5</v>
      </c>
      <c r="F242" t="b">
        <v>1</v>
      </c>
      <c r="G242" t="n">
        <v>2</v>
      </c>
      <c r="H242" t="inlineStr">
        <is>
          <t>Damaged item</t>
        </is>
      </c>
      <c r="I242" t="n">
        <v>100</v>
      </c>
      <c r="J242" t="b">
        <v>1</v>
      </c>
    </row>
    <row r="243">
      <c r="A243" t="inlineStr">
        <is>
          <t>C0242</t>
        </is>
      </c>
      <c r="B243" t="inlineStr">
        <is>
          <t>Pune</t>
        </is>
      </c>
      <c r="C243" s="3" t="n">
        <v>45868</v>
      </c>
      <c r="D243" t="n">
        <v>5</v>
      </c>
      <c r="E243" t="n">
        <v>5</v>
      </c>
      <c r="F243" t="b">
        <v>1</v>
      </c>
      <c r="G243" t="n">
        <v>3</v>
      </c>
      <c r="H243" t="inlineStr">
        <is>
          <t>Late delivery</t>
        </is>
      </c>
      <c r="I243" t="n">
        <v>0</v>
      </c>
      <c r="J243" t="b">
        <v>1</v>
      </c>
    </row>
    <row r="244">
      <c r="A244" t="inlineStr">
        <is>
          <t>C0243</t>
        </is>
      </c>
      <c r="B244" t="inlineStr">
        <is>
          <t>Mumbai</t>
        </is>
      </c>
      <c r="C244" s="3" t="n">
        <v>45811</v>
      </c>
      <c r="D244" t="n">
        <v>7</v>
      </c>
      <c r="E244" t="n">
        <v>4.2</v>
      </c>
      <c r="F244" t="b">
        <v>1</v>
      </c>
      <c r="G244" t="n">
        <v>3</v>
      </c>
      <c r="H244" t="inlineStr">
        <is>
          <t>Missing item</t>
        </is>
      </c>
      <c r="I244" t="n">
        <v>150</v>
      </c>
      <c r="J244" t="b">
        <v>1</v>
      </c>
    </row>
    <row r="245">
      <c r="A245" t="inlineStr">
        <is>
          <t>C0244</t>
        </is>
      </c>
      <c r="B245" t="inlineStr">
        <is>
          <t>Delhi</t>
        </is>
      </c>
      <c r="C245" s="3" t="n">
        <v>45405</v>
      </c>
      <c r="D245" t="n">
        <v>8</v>
      </c>
      <c r="E245" t="n">
        <v>5</v>
      </c>
      <c r="F245" t="b">
        <v>1</v>
      </c>
      <c r="G245" t="n">
        <v>0</v>
      </c>
      <c r="I245" t="n">
        <v>0</v>
      </c>
      <c r="J245" t="b">
        <v>1</v>
      </c>
    </row>
    <row r="246">
      <c r="A246" t="inlineStr">
        <is>
          <t>C0245</t>
        </is>
      </c>
      <c r="B246" t="inlineStr">
        <is>
          <t>Delhi</t>
        </is>
      </c>
      <c r="C246" s="3" t="n">
        <v>46157</v>
      </c>
      <c r="D246" t="n">
        <v>7</v>
      </c>
      <c r="E246" t="n">
        <v>5</v>
      </c>
      <c r="F246" t="b">
        <v>1</v>
      </c>
      <c r="G246" t="n">
        <v>0</v>
      </c>
      <c r="I246" t="n">
        <v>0</v>
      </c>
      <c r="J246" t="b">
        <v>1</v>
      </c>
    </row>
    <row r="247">
      <c r="A247" t="inlineStr">
        <is>
          <t>C0246</t>
        </is>
      </c>
      <c r="B247" t="inlineStr">
        <is>
          <t>Bengaluru</t>
        </is>
      </c>
      <c r="C247" s="3" t="n">
        <v>46165</v>
      </c>
      <c r="D247" t="n">
        <v>5</v>
      </c>
      <c r="E247" t="n">
        <v>5</v>
      </c>
      <c r="F247" t="b">
        <v>1</v>
      </c>
      <c r="G247" t="n">
        <v>2</v>
      </c>
      <c r="H247" t="inlineStr">
        <is>
          <t>Missing item</t>
        </is>
      </c>
      <c r="I247" t="n">
        <v>0</v>
      </c>
      <c r="J247" t="b">
        <v>1</v>
      </c>
    </row>
    <row r="248">
      <c r="A248" t="inlineStr">
        <is>
          <t>C0247</t>
        </is>
      </c>
      <c r="B248" t="inlineStr">
        <is>
          <t>Mumbai</t>
        </is>
      </c>
      <c r="C248" s="3" t="n">
        <v>45804</v>
      </c>
      <c r="D248" t="n">
        <v>4</v>
      </c>
      <c r="E248" t="n">
        <v>4.8</v>
      </c>
      <c r="F248" t="b">
        <v>1</v>
      </c>
      <c r="G248" t="n">
        <v>0</v>
      </c>
      <c r="I248" t="n">
        <v>0</v>
      </c>
      <c r="J248" t="b">
        <v>1</v>
      </c>
    </row>
    <row r="249">
      <c r="A249" t="inlineStr">
        <is>
          <t>C0248</t>
        </is>
      </c>
      <c r="B249" t="inlineStr">
        <is>
          <t>Hyderabad</t>
        </is>
      </c>
      <c r="C249" s="3" t="n">
        <v>45999</v>
      </c>
      <c r="D249" t="n">
        <v>3</v>
      </c>
      <c r="E249" t="n">
        <v>5</v>
      </c>
      <c r="F249" t="b">
        <v>1</v>
      </c>
      <c r="G249" t="n">
        <v>2</v>
      </c>
      <c r="H249" t="inlineStr">
        <is>
          <t>Payment issue</t>
        </is>
      </c>
      <c r="I249" t="n">
        <v>0</v>
      </c>
      <c r="J249" t="b">
        <v>1</v>
      </c>
    </row>
    <row r="250">
      <c r="A250" t="inlineStr">
        <is>
          <t>C0249</t>
        </is>
      </c>
      <c r="B250" t="inlineStr">
        <is>
          <t>Bengaluru</t>
        </is>
      </c>
      <c r="C250" s="3" t="n">
        <v>46061</v>
      </c>
      <c r="D250" t="n">
        <v>6</v>
      </c>
      <c r="E250" t="n">
        <v>4.4</v>
      </c>
      <c r="F250" t="b">
        <v>1</v>
      </c>
      <c r="G250" t="n">
        <v>2</v>
      </c>
      <c r="H250" t="inlineStr">
        <is>
          <t>Other</t>
        </is>
      </c>
      <c r="I250" t="n">
        <v>0</v>
      </c>
      <c r="J250" t="b">
        <v>1</v>
      </c>
    </row>
    <row r="251">
      <c r="A251" t="inlineStr">
        <is>
          <t>C0250</t>
        </is>
      </c>
      <c r="B251" t="inlineStr">
        <is>
          <t>Mumbai</t>
        </is>
      </c>
      <c r="C251" s="3" t="n">
        <v>46183</v>
      </c>
      <c r="D251" t="n">
        <v>6</v>
      </c>
      <c r="E251" t="n">
        <v>3.7</v>
      </c>
      <c r="F251" t="b">
        <v>1</v>
      </c>
      <c r="G251" t="n">
        <v>2</v>
      </c>
      <c r="H251" t="inlineStr">
        <is>
          <t>Late delivery</t>
        </is>
      </c>
      <c r="I251" t="n">
        <v>0</v>
      </c>
      <c r="J25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8CB46"/>
    <outlinePr summaryBelow="1" summaryRight="1"/>
    <pageSetUpPr/>
  </sheetPr>
  <dimension ref="A1:C18"/>
  <sheetViews>
    <sheetView tabSelected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46" customWidth="1" min="3" max="3"/>
  </cols>
  <sheetData>
    <row r="1" ht="26" customHeight="1">
      <c r="A1" s="4" t="inlineStr">
        <is>
          <t>Guide: where to find each calculation</t>
        </is>
      </c>
    </row>
    <row r="2" ht="18" customHeight="1">
      <c r="A2" s="5" t="inlineStr">
        <is>
          <t>Blinkit Milestone 3 · Prepared by Hriday Pratim Barman · independent case-study analysis, not an official Blinkit report</t>
        </is>
      </c>
    </row>
    <row r="4" ht="32" customHeight="1">
      <c r="A4" s="6" t="inlineStr">
        <is>
          <t>Sheet</t>
        </is>
      </c>
      <c r="B4" s="6" t="inlineStr">
        <is>
          <t>What it contains</t>
        </is>
      </c>
      <c r="C4" s="6" t="inlineStr">
        <is>
          <t>Start here for</t>
        </is>
      </c>
    </row>
    <row r="5" ht="44.5" customHeight="1">
      <c r="A5" s="7" t="inlineStr">
        <is>
          <t>Orders, Stores, Riders, Demand, Customers</t>
        </is>
      </c>
      <c r="B5" s="8" t="inlineStr">
        <is>
          <t>The five original sheets, unchanged. Every new sheet links to them with formulas.</t>
        </is>
      </c>
      <c r="C5" s="8" t="inlineStr">
        <is>
          <t>Raw data</t>
        </is>
      </c>
    </row>
    <row r="6" ht="31" customHeight="1">
      <c r="A6" s="7" t="inlineStr">
        <is>
          <t>Rules</t>
        </is>
      </c>
      <c r="B6" s="8" t="inlineStr">
        <is>
          <t>The agreed rules and the assumptions still to confirm.</t>
        </is>
      </c>
      <c r="C6" s="8" t="inlineStr">
        <is>
          <t>How on time, peak, cancellations and blanks are treated</t>
        </is>
      </c>
    </row>
    <row r="7" ht="44.5" customHeight="1">
      <c r="A7" s="7" t="inlineStr">
        <is>
          <t>Metrics</t>
        </is>
      </c>
      <c r="B7" s="8" t="inlineStr">
        <is>
          <t>North Star and its range, cancellation classes, issue-tree counts and % of E, average and P90 times, promise, stage estimates, coverage of Demand.</t>
        </is>
      </c>
      <c r="C7" s="8" t="inlineStr">
        <is>
          <t>Numbers on Slides 1 and 2</t>
        </is>
      </c>
    </row>
    <row r="8" ht="17.5" customHeight="1">
      <c r="A8" s="7" t="inlineStr">
        <is>
          <t>Hypotheses</t>
        </is>
      </c>
      <c r="B8" s="8" t="inlineStr">
        <is>
          <t>H1–H6 with the status used in the submission and live evidence text.</t>
        </is>
      </c>
      <c r="C8" s="8" t="inlineStr">
        <is>
          <t>Slide 3 summary</t>
        </is>
      </c>
    </row>
    <row r="9" ht="31" customHeight="1">
      <c r="A9" s="7" t="inlineStr">
        <is>
          <t>Tests_Proportions</t>
        </is>
      </c>
      <c r="B9" s="8" t="inlineStr">
        <is>
          <t>Two-group percentage comparisons with inputs, SE and 95% CI in percentage points.</t>
        </is>
      </c>
      <c r="C9" s="8" t="inlineStr">
        <is>
          <t>H1, H2 rain, H3, H4, H6, distance, event days</t>
        </is>
      </c>
    </row>
    <row r="10" ht="31" customHeight="1">
      <c r="A10" s="7" t="inlineStr">
        <is>
          <t>Tests_Means</t>
        </is>
      </c>
      <c r="B10" s="8" t="inlineStr">
        <is>
          <t>Two-group average comparisons (estimated wait and picking, promise, actual time).</t>
        </is>
      </c>
      <c r="C10" s="8" t="inlineStr">
        <is>
          <t>H1 and H2 minutes</t>
        </is>
      </c>
    </row>
    <row r="11" ht="31" customHeight="1">
      <c r="A11" s="7" t="inlineStr">
        <is>
          <t>Tests_Correlations</t>
        </is>
      </c>
      <c r="B11" s="8" t="inlineStr">
        <is>
          <t>Correlations with Fisher-z 95% CI: stores, customers, traffic, promise vs distance, picking vs wait.</t>
        </is>
      </c>
      <c r="C11" s="8" t="inlineStr">
        <is>
          <t>H4, H5, traffic</t>
        </is>
      </c>
    </row>
    <row r="12" ht="31" customHeight="1">
      <c r="A12" s="7" t="inlineStr">
        <is>
          <t>Breakdowns</t>
        </is>
      </c>
      <c r="B12" s="8" t="inlineStr">
        <is>
          <t>Rates by distance band, cut-off, rain, load quartile and city; customer averages; quartile cut-offs.</t>
        </is>
      </c>
      <c r="C12" s="8" t="inlineStr">
        <is>
          <t>Robustness checks and chart values</t>
        </is>
      </c>
    </row>
    <row r="13" ht="44.5" customHeight="1">
      <c r="A13" s="7" t="inlineStr">
        <is>
          <t>Checks</t>
        </is>
      </c>
      <c r="B13" s="8" t="inlineStr">
        <is>
          <t>Totals, original-sheet integrity, duplicate IDs, unmatched keys, missing values, join duplication, formula errors, and agreement with the submission.</t>
        </is>
      </c>
      <c r="C13" s="8" t="inlineStr">
        <is>
          <t>Confirming every number</t>
        </is>
      </c>
    </row>
    <row r="14" ht="44.5" customHeight="1">
      <c r="A14" s="7" t="inlineStr">
        <is>
          <t>Calc_Orders</t>
        </is>
      </c>
      <c r="B14" s="8" t="inlineStr">
        <is>
          <t>One formula row per order: flags (delivered, late, severe, peak, eligible), cancellation class, rain, Demand match, load, store and rider lookups.</t>
        </is>
      </c>
      <c r="C14" s="8" t="inlineStr">
        <is>
          <t>Tracing any single order</t>
        </is>
      </c>
    </row>
    <row r="15" ht="31" customHeight="1">
      <c r="A15" s="7" t="inlineStr">
        <is>
          <t>Calc_Demand</t>
        </is>
      </c>
      <c r="B15" s="8" t="inlineStr">
        <is>
          <t>One row per Demand store-hour with the number of Orders-sheet rows in it.</t>
        </is>
      </c>
      <c r="C15" s="8" t="inlineStr">
        <is>
          <t>Coverage of the Demand population</t>
        </is>
      </c>
    </row>
    <row r="16" ht="31" customHeight="1">
      <c r="A16" s="7" t="inlineStr">
        <is>
          <t>Store_Summary</t>
        </is>
      </c>
      <c r="B16" s="8" t="inlineStr">
        <is>
          <t>Per-store delivered, late and late rate recalculated from Orders, next to Stores attributes.</t>
        </is>
      </c>
      <c r="C16" s="8" t="inlineStr">
        <is>
          <t>Store comparisons (H4, H6)</t>
        </is>
      </c>
    </row>
    <row r="17" ht="31" customHeight="1">
      <c r="A17" s="7" t="inlineStr">
        <is>
          <t>Customer_Summary</t>
        </is>
      </c>
      <c r="B17" s="8" t="inlineStr">
        <is>
          <t>Per-customer late share with tickets, refunds and rating kept at customer level.</t>
        </is>
      </c>
      <c r="C17" s="8" t="inlineStr">
        <is>
          <t>H5</t>
        </is>
      </c>
    </row>
    <row r="18" ht="58" customHeight="1">
      <c r="A18" s="7" t="inlineStr">
        <is>
          <t>Reading tips</t>
        </is>
      </c>
      <c r="B18" s="8" t="inlineStr">
        <is>
          <t>Green cells are results. Yellow headers have filters. "pts" = percentage points. Blank = missing or not applicable, never zero. Formula columns show the exact formula as text; the result column holds the live formula.</t>
        </is>
      </c>
      <c r="C18" s="8" t="inlineStr">
        <is>
          <t>Colour and format legend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8CB46"/>
    <outlinePr summaryBelow="1" summaryRight="1"/>
    <pageSetUpPr/>
  </sheetPr>
  <dimension ref="A1:D18"/>
  <sheetViews>
    <sheetView tabSelected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0" customWidth="1" min="3" max="3"/>
    <col width="22" customWidth="1" min="4" max="4"/>
  </cols>
  <sheetData>
    <row r="1" ht="26" customHeight="1">
      <c r="A1" s="4" t="inlineStr">
        <is>
          <t>Rules and assumptions used in every calculation</t>
        </is>
      </c>
    </row>
    <row r="2" ht="18" customHeight="1">
      <c r="A2" s="5" t="inlineStr">
        <is>
          <t>Rules agreed for the final submission. Items marked "Assumption to confirm" are not stated in the data.</t>
        </is>
      </c>
    </row>
    <row r="4" ht="32" customHeight="1">
      <c r="A4" s="6" t="inlineStr">
        <is>
          <t>#</t>
        </is>
      </c>
      <c r="B4" s="6" t="inlineStr">
        <is>
          <t>Rule</t>
        </is>
      </c>
      <c r="C4" s="6" t="inlineStr">
        <is>
          <t>How it is applied</t>
        </is>
      </c>
      <c r="D4" s="6" t="inlineStr">
        <is>
          <t>Type</t>
        </is>
      </c>
    </row>
    <row r="5" ht="31" customHeight="1">
      <c r="A5" s="8" t="n">
        <v>1</v>
      </c>
      <c r="B5" s="7" t="inlineStr">
        <is>
          <t>On time</t>
        </is>
      </c>
      <c r="C5" s="8" t="inlineStr">
        <is>
          <t>Delivered at or before the original checkout deadline: delay_min ≤ 0 (actual_delivery_at − promised_delivery_at).</t>
        </is>
      </c>
      <c r="D5" s="8" t="inlineStr">
        <is>
          <t>Agreed rule</t>
        </is>
      </c>
    </row>
    <row r="6" ht="31" customHeight="1">
      <c r="A6" s="8" t="n">
        <v>2</v>
      </c>
      <c r="B6" s="7" t="inlineStr">
        <is>
          <t>Timestamp meanings</t>
        </is>
      </c>
      <c r="C6" s="8" t="inlineStr">
        <is>
          <t>actual_delivery_at is taken as confirmed customer handover, and promised_delivery_at as the original checkout promise (not an updated ETA).</t>
        </is>
      </c>
      <c r="D6" s="9" t="inlineStr">
        <is>
          <t>Assumption to confirm</t>
        </is>
      </c>
    </row>
    <row r="7" ht="31" customHeight="1">
      <c r="A7" s="8" t="n">
        <v>3</v>
      </c>
      <c r="B7" s="7" t="inlineStr">
        <is>
          <t>Company-caused cancellations</t>
        </is>
      </c>
      <c r="C7" s="8" t="inlineStr">
        <is>
          <t>cancellation_reason = Rider unavailable or Item unavailable. Counted in the North Star (L1-C).</t>
        </is>
      </c>
      <c r="D7" s="8" t="inlineStr">
        <is>
          <t>Agreed rule</t>
        </is>
      </c>
    </row>
    <row r="8" ht="31" customHeight="1">
      <c r="A8" s="8" t="n">
        <v>4</v>
      </c>
      <c r="B8" s="7" t="inlineStr">
        <is>
          <t>Unresolved cancellations</t>
        </is>
      </c>
      <c r="C8" s="8" t="inlineStr">
        <is>
          <t>Payment issue and Customer cancelled stay outside E. "Customer cancelled" is a recorded category; it does not establish the cause.</t>
        </is>
      </c>
      <c r="D8" s="8" t="inlineStr">
        <is>
          <t>Agreed rule</t>
        </is>
      </c>
    </row>
    <row r="9" ht="31" customHeight="1">
      <c r="A9" s="8" t="n">
        <v>5</v>
      </c>
      <c r="B9" s="7" t="inlineStr">
        <is>
          <t>North Star</t>
        </is>
      </c>
      <c r="C9" s="8" t="inlineStr">
        <is>
          <t>On-time ÷ eligible orders (delivered + company-caused cancellations). Provisional; range shown with all orders as the denominator.</t>
        </is>
      </c>
      <c r="D9" s="8" t="inlineStr">
        <is>
          <t>Agreed rule</t>
        </is>
      </c>
    </row>
    <row r="10" ht="31" customHeight="1">
      <c r="A10" s="8" t="n">
        <v>6</v>
      </c>
      <c r="B10" s="7" t="inlineStr">
        <is>
          <t>Severely late</t>
        </is>
      </c>
      <c r="C10" s="8" t="inlineStr">
        <is>
          <t>More than 5 minutes late. Our analytical cut-off; rechecked at 3 and 7 minutes (Breakdowns).</t>
        </is>
      </c>
      <c r="D10" s="8" t="inlineStr">
        <is>
          <t>Analytical choice</t>
        </is>
      </c>
    </row>
    <row r="11" ht="31" customHeight="1">
      <c r="A11" s="8" t="n">
        <v>7</v>
      </c>
      <c r="B11" s="7" t="inlineStr">
        <is>
          <t>Peak</t>
        </is>
      </c>
      <c r="C11" s="8" t="inlineStr">
        <is>
          <t>Order placed from 19:00 up to, but not including, 22:00 (order_hour 19, 20, 21). Checked against is_peak_hour.</t>
        </is>
      </c>
      <c r="D11" s="8" t="inlineStr">
        <is>
          <t>Agreed rule</t>
        </is>
      </c>
    </row>
    <row r="12" ht="17.5" customHeight="1">
      <c r="A12" s="8" t="n">
        <v>8</v>
      </c>
      <c r="B12" s="7" t="inlineStr">
        <is>
          <t>Blank rain</t>
        </is>
      </c>
      <c r="C12" s="8" t="inlineStr">
        <is>
          <t>A blank rain_condition means no rain ("None").</t>
        </is>
      </c>
      <c r="D12" s="8" t="inlineStr">
        <is>
          <t>Agreed rule (confirmed)</t>
        </is>
      </c>
    </row>
    <row r="13" ht="31" customHeight="1">
      <c r="A13" s="8" t="n">
        <v>9</v>
      </c>
      <c r="B13" s="7" t="inlineStr">
        <is>
          <t>Stage durations</t>
        </is>
      </c>
      <c r="C13" s="8" t="inlineStr">
        <is>
          <t>picking, rider-wait and travel minutes are estimates supplied in the data, not recorded timestamps.</t>
        </is>
      </c>
      <c r="D13" s="8" t="inlineStr">
        <is>
          <t>Data limitation</t>
        </is>
      </c>
    </row>
    <row r="14" ht="31" customHeight="1">
      <c r="A14" s="8" t="n">
        <v>10</v>
      </c>
      <c r="B14" s="7" t="inlineStr">
        <is>
          <t>Customer level</t>
        </is>
      </c>
      <c r="C14" s="8" t="inlineStr">
        <is>
          <t>Tickets, refunds and ratings are analysed per customer in Customer_Summary; they are never copied onto order rows.</t>
        </is>
      </c>
      <c r="D14" s="8" t="inlineStr">
        <is>
          <t>Agreed rule</t>
        </is>
      </c>
    </row>
    <row r="15" ht="58" customHeight="1">
      <c r="A15" s="8" t="n">
        <v>11</v>
      </c>
      <c r="B15" s="7" t="inlineStr">
        <is>
          <t>Demand matching</t>
        </is>
      </c>
      <c r="C15" s="8" t="inlineStr">
        <is>
          <t>An order matches Demand on store_id + date + hour. Demand (128,528 orders) is the population; the 1,500 Orders rows are part of it. Whether these results apply more widely depends on how the sample was selected. That information is missing.</t>
        </is>
      </c>
      <c r="D15" s="8" t="inlineStr">
        <is>
          <t>Agreed rule</t>
        </is>
      </c>
    </row>
    <row r="16" ht="31" customHeight="1">
      <c r="A16" s="8" t="n">
        <v>12</v>
      </c>
      <c r="B16" s="7" t="inlineStr">
        <is>
          <t>Missing values</t>
        </is>
      </c>
      <c r="C16" s="8" t="inlineStr">
        <is>
          <t>Blank stays blank in calculations (shown as an empty cell), never zero.</t>
        </is>
      </c>
      <c r="D16" s="8" t="inlineStr">
        <is>
          <t>Agreed rule</t>
        </is>
      </c>
    </row>
    <row r="17" ht="31" customHeight="1">
      <c r="A17" s="8" t="n">
        <v>13</v>
      </c>
      <c r="B17" s="7" t="inlineStr">
        <is>
          <t>Scope</t>
        </is>
      </c>
      <c r="C17" s="8" t="inlineStr">
        <is>
          <t>Results describe these 1,500 orders (1–14 September 2026, 20 stores) only, not the whole Blinkit network. Patterns are not proof of cause.</t>
        </is>
      </c>
      <c r="D17" s="8" t="inlineStr">
        <is>
          <t>Limitation</t>
        </is>
      </c>
    </row>
    <row r="18" ht="31" customHeight="1">
      <c r="A18" s="8" t="n">
        <v>14</v>
      </c>
      <c r="B18" s="7" t="inlineStr">
        <is>
          <t>Confidence intervals</t>
        </is>
      </c>
      <c r="C18" s="8" t="inlineStr">
        <is>
          <t>Normal-approximation 95% intervals for differences and Fisher-z intervals for correlations. Less reliable for small groups.</t>
        </is>
      </c>
      <c r="D18" s="8" t="inlineStr">
        <is>
          <t>Method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8CB46"/>
    <outlinePr summaryBelow="1" summaryRight="1"/>
    <pageSetUpPr/>
  </sheetPr>
  <dimension ref="A1:I69"/>
  <sheetViews>
    <sheetView tabSelected="0" workbookViewId="0">
      <pane xSplit="3" ySplit="3" topLeftCell="D4" activePane="bottomRight" state="frozen"/>
      <selection pane="topRight" activeCell="D4" sqref="D4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26" customWidth="1" min="3" max="3"/>
    <col width="30" customWidth="1" min="4" max="4"/>
    <col width="28" customWidth="1" min="5" max="5"/>
    <col width="46" customWidth="1" min="6" max="6"/>
    <col width="12" customWidth="1" min="7" max="7"/>
    <col width="24" customWidth="1" min="8" max="8"/>
    <col width="42" customWidth="1" min="9" max="9"/>
  </cols>
  <sheetData>
    <row r="1" ht="26" customHeight="1">
      <c r="A1" s="4" t="inlineStr">
        <is>
          <t>Metrics: North Star, cancellations, issue tree, times and stages</t>
        </is>
      </c>
    </row>
    <row r="2" ht="18" customHeight="1">
      <c r="A2" s="5" t="inlineStr">
        <is>
          <t>Every result is a live formula. [M12] in the Formula column means the Result of row M12. % results are stored as fractions; the denominator is named beside each one.</t>
        </is>
      </c>
    </row>
    <row r="3" ht="32" customHeight="1">
      <c r="A3" s="6" t="inlineStr">
        <is>
          <t>ID</t>
        </is>
      </c>
      <c r="B3" s="6" t="inlineStr">
        <is>
          <t>Section</t>
        </is>
      </c>
      <c r="C3" s="6" t="inlineStr">
        <is>
          <t>Measure</t>
        </is>
      </c>
      <c r="D3" s="6" t="inlineStr">
        <is>
          <t>Purpose</t>
        </is>
      </c>
      <c r="E3" s="6" t="inlineStr">
        <is>
          <t>Source sheet: columns</t>
        </is>
      </c>
      <c r="F3" s="6" t="inlineStr">
        <is>
          <t>Formula</t>
        </is>
      </c>
      <c r="G3" s="6" t="inlineStr">
        <is>
          <t>Result</t>
        </is>
      </c>
      <c r="H3" s="6" t="inlineStr">
        <is>
          <t>Unit / denominator</t>
        </is>
      </c>
      <c r="I3" s="6" t="inlineStr">
        <is>
          <t>Explanation</t>
        </is>
      </c>
    </row>
    <row r="4" ht="31" customHeight="1">
      <c r="A4" s="8" t="inlineStr">
        <is>
          <t>M01</t>
        </is>
      </c>
      <c r="B4" s="8" t="inlineStr">
        <is>
          <t>Totals</t>
        </is>
      </c>
      <c r="C4" s="8" t="inlineStr">
        <is>
          <t>Orders placed</t>
        </is>
      </c>
      <c r="D4" s="8" t="inlineStr">
        <is>
          <t>Population of this analysis</t>
        </is>
      </c>
      <c r="E4" s="8" t="inlineStr">
        <is>
          <t>Orders: order_id</t>
        </is>
      </c>
      <c r="F4" s="10" t="inlineStr">
        <is>
          <t>=ROWS(o_order_id)</t>
        </is>
      </c>
      <c r="G4" s="11">
        <f>ROWS(o_order_id)</f>
        <v>1500</v>
      </c>
      <c r="H4" s="8" t="inlineStr">
        <is>
          <t>Orders (count)</t>
        </is>
      </c>
      <c r="I4" s="8" t="inlineStr">
        <is>
          <t>All 1,500 order rows, delivered and cancelled.</t>
        </is>
      </c>
    </row>
    <row r="5" ht="17.5" customHeight="1">
      <c r="A5" s="8" t="inlineStr">
        <is>
          <t>M02</t>
        </is>
      </c>
      <c r="B5" s="8" t="inlineStr">
        <is>
          <t>Totals</t>
        </is>
      </c>
      <c r="C5" s="8" t="inlineStr">
        <is>
          <t>Delivered orders</t>
        </is>
      </c>
      <c r="D5" s="8" t="inlineStr">
        <is>
          <t>Base for delivery rates</t>
        </is>
      </c>
      <c r="E5" s="8" t="inlineStr">
        <is>
          <t>Orders: order_status</t>
        </is>
      </c>
      <c r="F5" s="10" t="inlineStr">
        <is>
          <t>=COUNTIFS(o_status,"Delivered")</t>
        </is>
      </c>
      <c r="G5" s="11">
        <f>COUNTIFS(o_status,"Delivered")</f>
        <v>1455</v>
      </c>
      <c r="H5" s="8" t="inlineStr">
        <is>
          <t>Orders (count)</t>
        </is>
      </c>
      <c r="I5" s="8" t="inlineStr">
        <is>
          <t>order_status = Delivered.</t>
        </is>
      </c>
    </row>
    <row r="6" ht="17.5" customHeight="1">
      <c r="A6" s="8" t="inlineStr">
        <is>
          <t>M03</t>
        </is>
      </c>
      <c r="B6" s="8" t="inlineStr">
        <is>
          <t>Totals</t>
        </is>
      </c>
      <c r="C6" s="8" t="inlineStr">
        <is>
          <t>Cancelled orders</t>
        </is>
      </c>
      <c r="D6" s="8" t="inlineStr">
        <is>
          <t>Base for cancellation rules</t>
        </is>
      </c>
      <c r="E6" s="8" t="inlineStr">
        <is>
          <t>Orders: order_status</t>
        </is>
      </c>
      <c r="F6" s="10" t="inlineStr">
        <is>
          <t>=COUNTIFS(o_status,"Cancelled")</t>
        </is>
      </c>
      <c r="G6" s="11">
        <f>COUNTIFS(o_status,"Cancelled")</f>
        <v>45</v>
      </c>
      <c r="H6" s="8" t="inlineStr">
        <is>
          <t>Orders (count)</t>
        </is>
      </c>
      <c r="I6" s="8" t="inlineStr">
        <is>
          <t>order_status = Cancelled.</t>
        </is>
      </c>
    </row>
    <row r="7" ht="17.5" customHeight="1">
      <c r="A7" s="8" t="inlineStr">
        <is>
          <t>M04</t>
        </is>
      </c>
      <c r="B7" s="8" t="inlineStr">
        <is>
          <t>Cancellations</t>
        </is>
      </c>
      <c r="C7" s="8" t="inlineStr">
        <is>
          <t>Rider unavailable (C1)</t>
        </is>
      </c>
      <c r="D7" s="8" t="inlineStr">
        <is>
          <t>Company-caused cancellation</t>
        </is>
      </c>
      <c r="E7" s="8" t="inlineStr">
        <is>
          <t>Orders: cancellation_reason</t>
        </is>
      </c>
      <c r="F7" s="10" t="inlineStr">
        <is>
          <t>=COUNTIFS(o_reason,"Rider unavailable")</t>
        </is>
      </c>
      <c r="G7" s="11">
        <f>COUNTIFS(o_reason,"Rider unavailable")</f>
        <v>18</v>
      </c>
      <c r="H7" s="8" t="inlineStr">
        <is>
          <t>Orders (count)</t>
        </is>
      </c>
      <c r="I7" s="8" t="inlineStr">
        <is>
          <t>Agreed rule: company-caused.</t>
        </is>
      </c>
    </row>
    <row r="8" ht="17.5" customHeight="1">
      <c r="A8" s="8" t="inlineStr">
        <is>
          <t>M05</t>
        </is>
      </c>
      <c r="B8" s="8" t="inlineStr">
        <is>
          <t>Cancellations</t>
        </is>
      </c>
      <c r="C8" s="8" t="inlineStr">
        <is>
          <t>Item unavailable (C2)</t>
        </is>
      </c>
      <c r="D8" s="8" t="inlineStr">
        <is>
          <t>Company-caused cancellation</t>
        </is>
      </c>
      <c r="E8" s="8" t="inlineStr">
        <is>
          <t>Orders: cancellation_reason</t>
        </is>
      </c>
      <c r="F8" s="10" t="inlineStr">
        <is>
          <t>=COUNTIFS(o_reason,"Item unavailable")</t>
        </is>
      </c>
      <c r="G8" s="11">
        <f>COUNTIFS(o_reason,"Item unavailable")</f>
        <v>8</v>
      </c>
      <c r="H8" s="8" t="inlineStr">
        <is>
          <t>Orders (count)</t>
        </is>
      </c>
      <c r="I8" s="8" t="inlineStr">
        <is>
          <t>Agreed rule: company-caused.</t>
        </is>
      </c>
    </row>
    <row r="9" ht="31" customHeight="1">
      <c r="A9" s="8" t="inlineStr">
        <is>
          <t>M06</t>
        </is>
      </c>
      <c r="B9" s="8" t="inlineStr">
        <is>
          <t>Cancellations</t>
        </is>
      </c>
      <c r="C9" s="8" t="inlineStr">
        <is>
          <t>Company-caused cancellations (L1-C)</t>
        </is>
      </c>
      <c r="D9" s="8" t="inlineStr">
        <is>
          <t>Counted in the North Star</t>
        </is>
      </c>
      <c r="E9" s="8" t="inlineStr">
        <is>
          <t>Metrics: M04, M05</t>
        </is>
      </c>
      <c r="F9" s="10" t="inlineStr">
        <is>
          <t>=[M04]+[M05]
(cells: =$G$7+$G$8)</t>
        </is>
      </c>
      <c r="G9" s="11">
        <f>$G$7+$G$8</f>
        <v>26</v>
      </c>
      <c r="H9" s="8" t="inlineStr">
        <is>
          <t>Orders (count)</t>
        </is>
      </c>
      <c r="I9" s="8" t="inlineStr">
        <is>
          <t>C1 + C2.</t>
        </is>
      </c>
    </row>
    <row r="10" ht="31" customHeight="1">
      <c r="A10" s="8" t="inlineStr">
        <is>
          <t>M07</t>
        </is>
      </c>
      <c r="B10" s="8" t="inlineStr">
        <is>
          <t>Cancellations</t>
        </is>
      </c>
      <c r="C10" s="8" t="inlineStr">
        <is>
          <t>Payment issue</t>
        </is>
      </c>
      <c r="D10" s="8" t="inlineStr">
        <is>
          <t>Unresolved cancellation</t>
        </is>
      </c>
      <c r="E10" s="8" t="inlineStr">
        <is>
          <t>Orders: cancellation_reason</t>
        </is>
      </c>
      <c r="F10" s="10" t="inlineStr">
        <is>
          <t>=COUNTIFS(o_reason,"Payment issue")</t>
        </is>
      </c>
      <c r="G10" s="11">
        <f>COUNTIFS(o_reason,"Payment issue")</f>
        <v>8</v>
      </c>
      <c r="H10" s="8" t="inlineStr">
        <is>
          <t>Orders (count)</t>
        </is>
      </c>
      <c r="I10" s="8" t="inlineStr">
        <is>
          <t>Cause not confirmed; outside the North Star for now.</t>
        </is>
      </c>
    </row>
    <row r="11" ht="44.5" customHeight="1">
      <c r="A11" s="8" t="inlineStr">
        <is>
          <t>M08</t>
        </is>
      </c>
      <c r="B11" s="8" t="inlineStr">
        <is>
          <t>Cancellations</t>
        </is>
      </c>
      <c r="C11" s="8" t="inlineStr">
        <is>
          <t>Customer cancelled</t>
        </is>
      </c>
      <c r="D11" s="8" t="inlineStr">
        <is>
          <t>Unresolved cancellation</t>
        </is>
      </c>
      <c r="E11" s="8" t="inlineStr">
        <is>
          <t>Orders: cancellation_reason</t>
        </is>
      </c>
      <c r="F11" s="10" t="inlineStr">
        <is>
          <t>=COUNTIFS(o_reason,"Customer cancelled")</t>
        </is>
      </c>
      <c r="G11" s="11">
        <f>COUNTIFS(o_reason,"Customer cancelled")</f>
        <v>11</v>
      </c>
      <c r="H11" s="8" t="inlineStr">
        <is>
          <t>Orders (count)</t>
        </is>
      </c>
      <c r="I11" s="8" t="inlineStr">
        <is>
          <t>Recorded category only: it does not establish the cause, or for certain who pressed Cancel.</t>
        </is>
      </c>
    </row>
    <row r="12" ht="31" customHeight="1">
      <c r="A12" s="8" t="inlineStr">
        <is>
          <t>M09</t>
        </is>
      </c>
      <c r="B12" s="8" t="inlineStr">
        <is>
          <t>Cancellations</t>
        </is>
      </c>
      <c r="C12" s="8" t="inlineStr">
        <is>
          <t>Unresolved cancellations</t>
        </is>
      </c>
      <c r="D12" s="8" t="inlineStr">
        <is>
          <t>Kept outside E</t>
        </is>
      </c>
      <c r="E12" s="8" t="inlineStr">
        <is>
          <t>Metrics: M07, M08</t>
        </is>
      </c>
      <c r="F12" s="10" t="inlineStr">
        <is>
          <t>=[M07]+[M08]
(cells: =$G$10+$G$11)</t>
        </is>
      </c>
      <c r="G12" s="11">
        <f>$G$10+$G$11</f>
        <v>19</v>
      </c>
      <c r="H12" s="8" t="inlineStr">
        <is>
          <t>Orders (count)</t>
        </is>
      </c>
      <c r="I12" s="8" t="inlineStr">
        <is>
          <t>Payment issue + Customer cancelled.</t>
        </is>
      </c>
    </row>
    <row r="13" ht="31" customHeight="1">
      <c r="A13" s="8" t="inlineStr">
        <is>
          <t>M10</t>
        </is>
      </c>
      <c r="B13" s="8" t="inlineStr">
        <is>
          <t>Cancellations</t>
        </is>
      </c>
      <c r="C13" s="8" t="inlineStr">
        <is>
          <t>All cancellation reasons accounted for</t>
        </is>
      </c>
      <c r="D13" s="8" t="inlineStr">
        <is>
          <t>Check</t>
        </is>
      </c>
      <c r="E13" s="8" t="inlineStr">
        <is>
          <t>Metrics: M03, M06, M09</t>
        </is>
      </c>
      <c r="F13" s="10" t="inlineStr">
        <is>
          <t>=[M03]-[M06]-[M09]
(cells: =$G$6-$G$9-$G$12)</t>
        </is>
      </c>
      <c r="G13" s="11">
        <f>$G$6-$G$9-$G$12</f>
        <v>0</v>
      </c>
      <c r="H13" s="8" t="inlineStr">
        <is>
          <t>Orders (count); should be 0</t>
        </is>
      </c>
      <c r="I13" s="8" t="inlineStr">
        <is>
          <t>Cancelled orders not in either class.</t>
        </is>
      </c>
    </row>
    <row r="14" ht="31" customHeight="1">
      <c r="A14" s="8" t="inlineStr">
        <is>
          <t>M11</t>
        </is>
      </c>
      <c r="B14" s="8" t="inlineStr">
        <is>
          <t>North Star</t>
        </is>
      </c>
      <c r="C14" s="8" t="inlineStr">
        <is>
          <t>Eligible orders (E)</t>
        </is>
      </c>
      <c r="D14" s="8" t="inlineStr">
        <is>
          <t>North Star denominator</t>
        </is>
      </c>
      <c r="E14" s="8" t="inlineStr">
        <is>
          <t>Metrics: M02, M06</t>
        </is>
      </c>
      <c r="F14" s="10" t="inlineStr">
        <is>
          <t>=[M02]+[M06]
(cells: =$G$5+$G$9)</t>
        </is>
      </c>
      <c r="G14" s="11">
        <f>$G$5+$G$9</f>
        <v>1481</v>
      </c>
      <c r="H14" s="8" t="inlineStr">
        <is>
          <t>Orders (count)</t>
        </is>
      </c>
      <c r="I14" s="8" t="inlineStr">
        <is>
          <t>Delivered + company-caused cancellations.</t>
        </is>
      </c>
    </row>
    <row r="15" ht="44.5" customHeight="1">
      <c r="A15" s="8" t="inlineStr">
        <is>
          <t>M12</t>
        </is>
      </c>
      <c r="B15" s="8" t="inlineStr">
        <is>
          <t>Issue tree</t>
        </is>
      </c>
      <c r="C15" s="8" t="inlineStr">
        <is>
          <t>L1-A On time</t>
        </is>
      </c>
      <c r="D15" s="8" t="inlineStr">
        <is>
          <t>Numerator of the North Star</t>
        </is>
      </c>
      <c r="E15" s="8" t="inlineStr">
        <is>
          <t>Calc_Orders: Late</t>
        </is>
      </c>
      <c r="F15" s="10" t="inlineStr">
        <is>
          <t>=COUNTIFS(c_late,0)</t>
        </is>
      </c>
      <c r="G15" s="11">
        <f>COUNTIFS(c_late,0)</f>
        <v>1092</v>
      </c>
      <c r="H15" s="8" t="inlineStr">
        <is>
          <t>Orders (count)</t>
        </is>
      </c>
      <c r="I15" s="8" t="inlineStr">
        <is>
          <t>Delivered at or before the original checkout deadline (delay_min ≤ 0). Timestamp meanings are assumptions to confirm.</t>
        </is>
      </c>
    </row>
    <row r="16" ht="17.5" customHeight="1">
      <c r="A16" s="8" t="inlineStr">
        <is>
          <t>M13</t>
        </is>
      </c>
      <c r="B16" s="8" t="inlineStr">
        <is>
          <t>Issue tree</t>
        </is>
      </c>
      <c r="C16" s="8" t="inlineStr">
        <is>
          <t>L1-B Late</t>
        </is>
      </c>
      <c r="D16" s="8" t="inlineStr">
        <is>
          <t>Delivered after the deadline</t>
        </is>
      </c>
      <c r="E16" s="8" t="inlineStr">
        <is>
          <t>Calc_Orders: Late</t>
        </is>
      </c>
      <c r="F16" s="10" t="inlineStr">
        <is>
          <t>=COUNTIFS(c_late,1)</t>
        </is>
      </c>
      <c r="G16" s="11">
        <f>COUNTIFS(c_late,1)</f>
        <v>363</v>
      </c>
      <c r="H16" s="8" t="inlineStr">
        <is>
          <t>Orders (count)</t>
        </is>
      </c>
      <c r="I16" s="8" t="inlineStr">
        <is>
          <t>delay_min &gt; 0.</t>
        </is>
      </c>
    </row>
    <row r="17" ht="17.5" customHeight="1">
      <c r="A17" s="8" t="inlineStr">
        <is>
          <t>M14</t>
        </is>
      </c>
      <c r="B17" s="8" t="inlineStr">
        <is>
          <t>Issue tree</t>
        </is>
      </c>
      <c r="C17" s="8" t="inlineStr">
        <is>
          <t>B1 Slightly late (0–5 min)</t>
        </is>
      </c>
      <c r="D17" s="8" t="inlineStr">
        <is>
          <t>Size of small misses</t>
        </is>
      </c>
      <c r="E17" s="8" t="inlineStr">
        <is>
          <t>Calc_Orders: Late, Severe</t>
        </is>
      </c>
      <c r="F17" s="10" t="inlineStr">
        <is>
          <t>=COUNTIFS(c_late,1,c_sev,0)</t>
        </is>
      </c>
      <c r="G17" s="11">
        <f>COUNTIFS(c_late,1,c_sev,0)</f>
        <v>155</v>
      </c>
      <c r="H17" s="8" t="inlineStr">
        <is>
          <t>Orders (count)</t>
        </is>
      </c>
      <c r="I17" s="8" t="inlineStr">
        <is>
          <t>More than 0 and up to 5 minutes late.</t>
        </is>
      </c>
    </row>
    <row r="18" ht="31" customHeight="1">
      <c r="A18" s="8" t="inlineStr">
        <is>
          <t>M15</t>
        </is>
      </c>
      <c r="B18" s="8" t="inlineStr">
        <is>
          <t>Issue tree</t>
        </is>
      </c>
      <c r="C18" s="8" t="inlineStr">
        <is>
          <t>B2 Severely late (&gt;5 min)</t>
        </is>
      </c>
      <c r="D18" s="8" t="inlineStr">
        <is>
          <t>Size of large misses</t>
        </is>
      </c>
      <c r="E18" s="8" t="inlineStr">
        <is>
          <t>Calc_Orders: Severe</t>
        </is>
      </c>
      <c r="F18" s="10" t="inlineStr">
        <is>
          <t>=COUNTIFS(c_sev,1)</t>
        </is>
      </c>
      <c r="G18" s="11">
        <f>COUNTIFS(c_sev,1)</f>
        <v>208</v>
      </c>
      <c r="H18" s="8" t="inlineStr">
        <is>
          <t>Orders (count)</t>
        </is>
      </c>
      <c r="I18" s="8" t="inlineStr">
        <is>
          <t>More than 5 minutes late. 5 minutes is our analytical choice.</t>
        </is>
      </c>
    </row>
    <row r="19" ht="31" customHeight="1">
      <c r="A19" s="8" t="inlineStr">
        <is>
          <t>M16</t>
        </is>
      </c>
      <c r="B19" s="8" t="inlineStr">
        <is>
          <t>Issue tree</t>
        </is>
      </c>
      <c r="C19" s="8" t="inlineStr">
        <is>
          <t>B1a Slightly late, peak</t>
        </is>
      </c>
      <c r="D19" s="8" t="inlineStr">
        <is>
          <t>When small misses happen</t>
        </is>
      </c>
      <c r="E19" s="8" t="inlineStr">
        <is>
          <t>Calc_Orders: Late, Severe, Peak</t>
        </is>
      </c>
      <c r="F19" s="10" t="inlineStr">
        <is>
          <t>=COUNTIFS(c_late,1,c_sev,0,c_peak,1)</t>
        </is>
      </c>
      <c r="G19" s="11">
        <f>COUNTIFS(c_late,1,c_sev,0,c_peak,1)</f>
        <v>11</v>
      </c>
      <c r="H19" s="8" t="inlineStr">
        <is>
          <t>Orders (count)</t>
        </is>
      </c>
      <c r="I19" s="8" t="inlineStr">
        <is>
          <t>Peak = placed 19:00 up to 22:00.</t>
        </is>
      </c>
    </row>
    <row r="20" ht="31" customHeight="1">
      <c r="A20" s="8" t="inlineStr">
        <is>
          <t>M17</t>
        </is>
      </c>
      <c r="B20" s="8" t="inlineStr">
        <is>
          <t>Issue tree</t>
        </is>
      </c>
      <c r="C20" s="8" t="inlineStr">
        <is>
          <t>B1b Slightly late, off-peak</t>
        </is>
      </c>
      <c r="D20" s="8" t="inlineStr">
        <is>
          <t>When small misses happen</t>
        </is>
      </c>
      <c r="E20" s="8" t="inlineStr">
        <is>
          <t>Calc_Orders: Late, Severe, Peak</t>
        </is>
      </c>
      <c r="F20" s="10" t="inlineStr">
        <is>
          <t>=COUNTIFS(c_late,1,c_sev,0,c_peak,0)</t>
        </is>
      </c>
      <c r="G20" s="11">
        <f>COUNTIFS(c_late,1,c_sev,0,c_peak,0)</f>
        <v>144</v>
      </c>
      <c r="H20" s="8" t="inlineStr">
        <is>
          <t>Orders (count)</t>
        </is>
      </c>
      <c r="I20" s="8" t="inlineStr"/>
    </row>
    <row r="21" ht="17.5" customHeight="1">
      <c r="A21" s="8" t="inlineStr">
        <is>
          <t>M18</t>
        </is>
      </c>
      <c r="B21" s="8" t="inlineStr">
        <is>
          <t>Issue tree</t>
        </is>
      </c>
      <c r="C21" s="8" t="inlineStr">
        <is>
          <t>B2a Severely late, peak</t>
        </is>
      </c>
      <c r="D21" s="8" t="inlineStr">
        <is>
          <t>When large misses happen</t>
        </is>
      </c>
      <c r="E21" s="8" t="inlineStr">
        <is>
          <t>Calc_Orders: Severe, Peak</t>
        </is>
      </c>
      <c r="F21" s="10" t="inlineStr">
        <is>
          <t>=COUNTIFS(c_sev,1,c_peak,1)</t>
        </is>
      </c>
      <c r="G21" s="11">
        <f>COUNTIFS(c_sev,1,c_peak,1)</f>
        <v>69</v>
      </c>
      <c r="H21" s="8" t="inlineStr">
        <is>
          <t>Orders (count)</t>
        </is>
      </c>
      <c r="I21" s="8" t="inlineStr"/>
    </row>
    <row r="22" ht="31" customHeight="1">
      <c r="A22" s="8" t="inlineStr">
        <is>
          <t>M19</t>
        </is>
      </c>
      <c r="B22" s="8" t="inlineStr">
        <is>
          <t>Issue tree</t>
        </is>
      </c>
      <c r="C22" s="8" t="inlineStr">
        <is>
          <t>B2b Severely late, off-peak</t>
        </is>
      </c>
      <c r="D22" s="8" t="inlineStr">
        <is>
          <t>When large misses happen</t>
        </is>
      </c>
      <c r="E22" s="8" t="inlineStr">
        <is>
          <t>Calc_Orders: Severe, Peak</t>
        </is>
      </c>
      <c r="F22" s="10" t="inlineStr">
        <is>
          <t>=COUNTIFS(c_sev,1,c_peak,0)</t>
        </is>
      </c>
      <c r="G22" s="11">
        <f>COUNTIFS(c_sev,1,c_peak,0)</f>
        <v>139</v>
      </c>
      <c r="H22" s="8" t="inlineStr">
        <is>
          <t>Orders (count)</t>
        </is>
      </c>
      <c r="I22" s="8" t="inlineStr"/>
    </row>
    <row r="23" ht="44.5" customHeight="1">
      <c r="A23" s="8" t="inlineStr">
        <is>
          <t>M20</t>
        </is>
      </c>
      <c r="B23" s="8" t="inlineStr">
        <is>
          <t>North Star</t>
        </is>
      </c>
      <c r="C23" s="8" t="inlineStr">
        <is>
          <t>North Star (provisional)</t>
        </is>
      </c>
      <c r="D23" s="8" t="inlineStr">
        <is>
          <t>Headline metric</t>
        </is>
      </c>
      <c r="E23" s="8" t="inlineStr">
        <is>
          <t>Metrics: M12, M11</t>
        </is>
      </c>
      <c r="F23" s="10" t="inlineStr">
        <is>
          <t>=[M12]/[M11]
(cells: =$G$15/$G$14)</t>
        </is>
      </c>
      <c r="G23" s="12">
        <f>$G$15/$G$14</f>
        <v>0.737339635381499</v>
      </c>
      <c r="H23" s="8" t="inlineStr">
        <is>
          <t>% of E (eligible orders)</t>
        </is>
      </c>
      <c r="I23" s="8" t="inlineStr">
        <is>
          <t>On-time fulfilment = on time ÷ eligible orders. Provisional because 19 cancellations are unresolved.</t>
        </is>
      </c>
    </row>
    <row r="24" ht="31" customHeight="1">
      <c r="A24" s="8" t="inlineStr">
        <is>
          <t>M21</t>
        </is>
      </c>
      <c r="B24" s="8" t="inlineStr">
        <is>
          <t>North Star</t>
        </is>
      </c>
      <c r="C24" s="8" t="inlineStr">
        <is>
          <t>North Star, lower end of range</t>
        </is>
      </c>
      <c r="D24" s="8" t="inlineStr">
        <is>
          <t>Effect of unresolved cancellations</t>
        </is>
      </c>
      <c r="E24" s="8" t="inlineStr">
        <is>
          <t>Metrics: M12, M01</t>
        </is>
      </c>
      <c r="F24" s="10" t="inlineStr">
        <is>
          <t>=[M12]/[M01]
(cells: =$G$15/$G$4)</t>
        </is>
      </c>
      <c r="G24" s="12">
        <f>$G$15/$G$4</f>
        <v>0.728</v>
      </c>
      <c r="H24" s="8" t="inlineStr">
        <is>
          <t>% of all orders placed</t>
        </is>
      </c>
      <c r="I24" s="8" t="inlineStr">
        <is>
          <t>As if every unresolved cancellation were company-caused.</t>
        </is>
      </c>
    </row>
    <row r="25" ht="31" customHeight="1">
      <c r="A25" s="8" t="inlineStr">
        <is>
          <t>M22</t>
        </is>
      </c>
      <c r="B25" s="8" t="inlineStr">
        <is>
          <t>North Star</t>
        </is>
      </c>
      <c r="C25" s="8" t="inlineStr">
        <is>
          <t>On time among delivered</t>
        </is>
      </c>
      <c r="D25" s="8" t="inlineStr">
        <is>
          <t>Delivery performance only</t>
        </is>
      </c>
      <c r="E25" s="8" t="inlineStr">
        <is>
          <t>Metrics: M12, M02</t>
        </is>
      </c>
      <c r="F25" s="10" t="inlineStr">
        <is>
          <t>=[M12]/[M02]
(cells: =$G$15/$G$5)</t>
        </is>
      </c>
      <c r="G25" s="12">
        <f>$G$15/$G$5</f>
        <v>0.750515463917526</v>
      </c>
      <c r="H25" s="8" t="inlineStr">
        <is>
          <t>% of delivered orders</t>
        </is>
      </c>
      <c r="I25" s="8" t="inlineStr">
        <is>
          <t>Ignores cancellations.</t>
        </is>
      </c>
    </row>
    <row r="26" ht="31" customHeight="1">
      <c r="A26" s="8" t="inlineStr">
        <is>
          <t>M23</t>
        </is>
      </c>
      <c r="B26" s="8" t="inlineStr">
        <is>
          <t>North Star</t>
        </is>
      </c>
      <c r="C26" s="8" t="inlineStr">
        <is>
          <t>Cancellation rate</t>
        </is>
      </c>
      <c r="D26" s="8" t="inlineStr">
        <is>
          <t>Guardrail</t>
        </is>
      </c>
      <c r="E26" s="8" t="inlineStr">
        <is>
          <t>Metrics: M03, M01</t>
        </is>
      </c>
      <c r="F26" s="10" t="inlineStr">
        <is>
          <t>=[M03]/[M01]
(cells: =$G$6/$G$4)</t>
        </is>
      </c>
      <c r="G26" s="12">
        <f>$G$6/$G$4</f>
        <v>0.03</v>
      </c>
      <c r="H26" s="8" t="inlineStr">
        <is>
          <t>% of all orders placed</t>
        </is>
      </c>
      <c r="I26" s="8" t="inlineStr"/>
    </row>
    <row r="27" ht="44.5" customHeight="1">
      <c r="A27" s="8" t="inlineStr">
        <is>
          <t>P12</t>
        </is>
      </c>
      <c r="B27" s="8" t="inlineStr">
        <is>
          <t>Issue tree %</t>
        </is>
      </c>
      <c r="C27" s="8" t="inlineStr">
        <is>
          <t>L1-A On time, % of E</t>
        </is>
      </c>
      <c r="D27" s="8" t="inlineStr">
        <is>
          <t>Issue-tree share</t>
        </is>
      </c>
      <c r="E27" s="8" t="inlineStr">
        <is>
          <t>Metrics: M12, M11</t>
        </is>
      </c>
      <c r="F27" s="10" t="inlineStr">
        <is>
          <t>=[M12]/[M11]
(cells: =$G$15/$G$14)</t>
        </is>
      </c>
      <c r="G27" s="12">
        <f>$G$15/$G$14</f>
        <v>0.737339635381499</v>
      </c>
      <c r="H27" s="8" t="inlineStr">
        <is>
          <t>% of E (1,481 eligible orders)</t>
        </is>
      </c>
      <c r="I27" s="8" t="inlineStr">
        <is>
          <t>Group count ÷ E × 100. Child shares may differ from the parent by 0.1 because of rounding.</t>
        </is>
      </c>
    </row>
    <row r="28" ht="44.5" customHeight="1">
      <c r="A28" s="8" t="inlineStr">
        <is>
          <t>P13</t>
        </is>
      </c>
      <c r="B28" s="8" t="inlineStr">
        <is>
          <t>Issue tree %</t>
        </is>
      </c>
      <c r="C28" s="8" t="inlineStr">
        <is>
          <t>L1-B Late, % of E</t>
        </is>
      </c>
      <c r="D28" s="8" t="inlineStr">
        <is>
          <t>Issue-tree share</t>
        </is>
      </c>
      <c r="E28" s="8" t="inlineStr">
        <is>
          <t>Metrics: M13, M11</t>
        </is>
      </c>
      <c r="F28" s="10" t="inlineStr">
        <is>
          <t>=[M13]/[M11]
(cells: =$G$16/$G$14)</t>
        </is>
      </c>
      <c r="G28" s="12">
        <f>$G$16/$G$14</f>
        <v>0.24510465901418</v>
      </c>
      <c r="H28" s="8" t="inlineStr">
        <is>
          <t>% of E (1,481 eligible orders)</t>
        </is>
      </c>
      <c r="I28" s="8" t="inlineStr">
        <is>
          <t>Group count ÷ E × 100. Child shares may differ from the parent by 0.1 because of rounding.</t>
        </is>
      </c>
    </row>
    <row r="29" ht="44.5" customHeight="1">
      <c r="A29" s="8" t="inlineStr">
        <is>
          <t>P14</t>
        </is>
      </c>
      <c r="B29" s="8" t="inlineStr">
        <is>
          <t>Issue tree %</t>
        </is>
      </c>
      <c r="C29" s="8" t="inlineStr">
        <is>
          <t>B1, % of E</t>
        </is>
      </c>
      <c r="D29" s="8" t="inlineStr">
        <is>
          <t>Issue-tree share</t>
        </is>
      </c>
      <c r="E29" s="8" t="inlineStr">
        <is>
          <t>Metrics: M14, M11</t>
        </is>
      </c>
      <c r="F29" s="10" t="inlineStr">
        <is>
          <t>=[M14]/[M11]
(cells: =$G$17/$G$14)</t>
        </is>
      </c>
      <c r="G29" s="12">
        <f>$G$17/$G$14</f>
        <v>0.104659014179608</v>
      </c>
      <c r="H29" s="8" t="inlineStr">
        <is>
          <t>% of E (1,481 eligible orders)</t>
        </is>
      </c>
      <c r="I29" s="8" t="inlineStr">
        <is>
          <t>Group count ÷ E × 100. Child shares may differ from the parent by 0.1 because of rounding.</t>
        </is>
      </c>
    </row>
    <row r="30" ht="44.5" customHeight="1">
      <c r="A30" s="8" t="inlineStr">
        <is>
          <t>P15</t>
        </is>
      </c>
      <c r="B30" s="8" t="inlineStr">
        <is>
          <t>Issue tree %</t>
        </is>
      </c>
      <c r="C30" s="8" t="inlineStr">
        <is>
          <t>B2, % of E</t>
        </is>
      </c>
      <c r="D30" s="8" t="inlineStr">
        <is>
          <t>Issue-tree share</t>
        </is>
      </c>
      <c r="E30" s="8" t="inlineStr">
        <is>
          <t>Metrics: M15, M11</t>
        </is>
      </c>
      <c r="F30" s="10" t="inlineStr">
        <is>
          <t>=[M15]/[M11]
(cells: =$G$18/$G$14)</t>
        </is>
      </c>
      <c r="G30" s="12">
        <f>$G$18/$G$14</f>
        <v>0.140445644834571</v>
      </c>
      <c r="H30" s="8" t="inlineStr">
        <is>
          <t>% of E (1,481 eligible orders)</t>
        </is>
      </c>
      <c r="I30" s="8" t="inlineStr">
        <is>
          <t>Group count ÷ E × 100. Child shares may differ from the parent by 0.1 because of rounding.</t>
        </is>
      </c>
    </row>
    <row r="31" ht="44.5" customHeight="1">
      <c r="A31" s="8" t="inlineStr">
        <is>
          <t>P16</t>
        </is>
      </c>
      <c r="B31" s="8" t="inlineStr">
        <is>
          <t>Issue tree %</t>
        </is>
      </c>
      <c r="C31" s="8" t="inlineStr">
        <is>
          <t>B1a, % of E</t>
        </is>
      </c>
      <c r="D31" s="8" t="inlineStr">
        <is>
          <t>Issue-tree share</t>
        </is>
      </c>
      <c r="E31" s="8" t="inlineStr">
        <is>
          <t>Metrics: M16, M11</t>
        </is>
      </c>
      <c r="F31" s="10" t="inlineStr">
        <is>
          <t>=[M16]/[M11]
(cells: =$G$19/$G$14)</t>
        </is>
      </c>
      <c r="G31" s="12">
        <f>$G$19/$G$14</f>
        <v>0.00742741390952059</v>
      </c>
      <c r="H31" s="8" t="inlineStr">
        <is>
          <t>% of E (1,481 eligible orders)</t>
        </is>
      </c>
      <c r="I31" s="8" t="inlineStr">
        <is>
          <t>Group count ÷ E × 100. Child shares may differ from the parent by 0.1 because of rounding.</t>
        </is>
      </c>
    </row>
    <row r="32" ht="44.5" customHeight="1">
      <c r="A32" s="8" t="inlineStr">
        <is>
          <t>P17</t>
        </is>
      </c>
      <c r="B32" s="8" t="inlineStr">
        <is>
          <t>Issue tree %</t>
        </is>
      </c>
      <c r="C32" s="8" t="inlineStr">
        <is>
          <t>B1b, % of E</t>
        </is>
      </c>
      <c r="D32" s="8" t="inlineStr">
        <is>
          <t>Issue-tree share</t>
        </is>
      </c>
      <c r="E32" s="8" t="inlineStr">
        <is>
          <t>Metrics: M17, M11</t>
        </is>
      </c>
      <c r="F32" s="10" t="inlineStr">
        <is>
          <t>=[M17]/[M11]
(cells: =$G$20/$G$14)</t>
        </is>
      </c>
      <c r="G32" s="12">
        <f>$G$20/$G$14</f>
        <v>0.0972316002700878</v>
      </c>
      <c r="H32" s="8" t="inlineStr">
        <is>
          <t>% of E (1,481 eligible orders)</t>
        </is>
      </c>
      <c r="I32" s="8" t="inlineStr">
        <is>
          <t>Group count ÷ E × 100. Child shares may differ from the parent by 0.1 because of rounding.</t>
        </is>
      </c>
    </row>
    <row r="33" ht="44.5" customHeight="1">
      <c r="A33" s="8" t="inlineStr">
        <is>
          <t>P18</t>
        </is>
      </c>
      <c r="B33" s="8" t="inlineStr">
        <is>
          <t>Issue tree %</t>
        </is>
      </c>
      <c r="C33" s="8" t="inlineStr">
        <is>
          <t>B2a, % of E</t>
        </is>
      </c>
      <c r="D33" s="8" t="inlineStr">
        <is>
          <t>Issue-tree share</t>
        </is>
      </c>
      <c r="E33" s="8" t="inlineStr">
        <is>
          <t>Metrics: M18, M11</t>
        </is>
      </c>
      <c r="F33" s="10" t="inlineStr">
        <is>
          <t>=[M18]/[M11]
(cells: =$G$21/$G$14)</t>
        </is>
      </c>
      <c r="G33" s="12">
        <f>$G$21/$G$14</f>
        <v>0.0465901417960837</v>
      </c>
      <c r="H33" s="8" t="inlineStr">
        <is>
          <t>% of E (1,481 eligible orders)</t>
        </is>
      </c>
      <c r="I33" s="8" t="inlineStr">
        <is>
          <t>Group count ÷ E × 100. Child shares may differ from the parent by 0.1 because of rounding.</t>
        </is>
      </c>
    </row>
    <row r="34" ht="44.5" customHeight="1">
      <c r="A34" s="8" t="inlineStr">
        <is>
          <t>P19</t>
        </is>
      </c>
      <c r="B34" s="8" t="inlineStr">
        <is>
          <t>Issue tree %</t>
        </is>
      </c>
      <c r="C34" s="8" t="inlineStr">
        <is>
          <t>B2b, % of E</t>
        </is>
      </c>
      <c r="D34" s="8" t="inlineStr">
        <is>
          <t>Issue-tree share</t>
        </is>
      </c>
      <c r="E34" s="8" t="inlineStr">
        <is>
          <t>Metrics: M19, M11</t>
        </is>
      </c>
      <c r="F34" s="10" t="inlineStr">
        <is>
          <t>=[M19]/[M11]
(cells: =$G$22/$G$14)</t>
        </is>
      </c>
      <c r="G34" s="12">
        <f>$G$22/$G$14</f>
        <v>0.0938555030384875</v>
      </c>
      <c r="H34" s="8" t="inlineStr">
        <is>
          <t>% of E (1,481 eligible orders)</t>
        </is>
      </c>
      <c r="I34" s="8" t="inlineStr">
        <is>
          <t>Group count ÷ E × 100. Child shares may differ from the parent by 0.1 because of rounding.</t>
        </is>
      </c>
    </row>
    <row r="35" ht="44.5" customHeight="1">
      <c r="A35" s="8" t="inlineStr">
        <is>
          <t>P06</t>
        </is>
      </c>
      <c r="B35" s="8" t="inlineStr">
        <is>
          <t>Issue tree %</t>
        </is>
      </c>
      <c r="C35" s="8" t="inlineStr">
        <is>
          <t>L1-C Company-caused, % of E</t>
        </is>
      </c>
      <c r="D35" s="8" t="inlineStr">
        <is>
          <t>Issue-tree share</t>
        </is>
      </c>
      <c r="E35" s="8" t="inlineStr">
        <is>
          <t>Metrics: M06, M11</t>
        </is>
      </c>
      <c r="F35" s="10" t="inlineStr">
        <is>
          <t>=[M06]/[M11]
(cells: =$G$9/$G$14)</t>
        </is>
      </c>
      <c r="G35" s="12">
        <f>$G$9/$G$14</f>
        <v>0.0175557056043214</v>
      </c>
      <c r="H35" s="8" t="inlineStr">
        <is>
          <t>% of E (1,481 eligible orders)</t>
        </is>
      </c>
      <c r="I35" s="8" t="inlineStr">
        <is>
          <t>Group count ÷ E × 100. Child shares may differ from the parent by 0.1 because of rounding.</t>
        </is>
      </c>
    </row>
    <row r="36" ht="44.5" customHeight="1">
      <c r="A36" s="8" t="inlineStr">
        <is>
          <t>P04</t>
        </is>
      </c>
      <c r="B36" s="8" t="inlineStr">
        <is>
          <t>Issue tree %</t>
        </is>
      </c>
      <c r="C36" s="8" t="inlineStr">
        <is>
          <t>C1, % of E</t>
        </is>
      </c>
      <c r="D36" s="8" t="inlineStr">
        <is>
          <t>Issue-tree share</t>
        </is>
      </c>
      <c r="E36" s="8" t="inlineStr">
        <is>
          <t>Metrics: M04, M11</t>
        </is>
      </c>
      <c r="F36" s="10" t="inlineStr">
        <is>
          <t>=[M04]/[M11]
(cells: =$G$7/$G$14)</t>
        </is>
      </c>
      <c r="G36" s="12">
        <f>$G$7/$G$14</f>
        <v>0.012153950033761</v>
      </c>
      <c r="H36" s="8" t="inlineStr">
        <is>
          <t>% of E (1,481 eligible orders)</t>
        </is>
      </c>
      <c r="I36" s="8" t="inlineStr">
        <is>
          <t>Group count ÷ E × 100. Child shares may differ from the parent by 0.1 because of rounding.</t>
        </is>
      </c>
    </row>
    <row r="37" ht="44.5" customHeight="1">
      <c r="A37" s="8" t="inlineStr">
        <is>
          <t>P05</t>
        </is>
      </c>
      <c r="B37" s="8" t="inlineStr">
        <is>
          <t>Issue tree %</t>
        </is>
      </c>
      <c r="C37" s="8" t="inlineStr">
        <is>
          <t>C2, % of E</t>
        </is>
      </c>
      <c r="D37" s="8" t="inlineStr">
        <is>
          <t>Issue-tree share</t>
        </is>
      </c>
      <c r="E37" s="8" t="inlineStr">
        <is>
          <t>Metrics: M05, M11</t>
        </is>
      </c>
      <c r="F37" s="10" t="inlineStr">
        <is>
          <t>=[M05]/[M11]
(cells: =$G$8/$G$14)</t>
        </is>
      </c>
      <c r="G37" s="12">
        <f>$G$8/$G$14</f>
        <v>0.00540175557056043</v>
      </c>
      <c r="H37" s="8" t="inlineStr">
        <is>
          <t>% of E (1,481 eligible orders)</t>
        </is>
      </c>
      <c r="I37" s="8" t="inlineStr">
        <is>
          <t>Group count ÷ E × 100. Child shares may differ from the parent by 0.1 because of rounding.</t>
        </is>
      </c>
    </row>
    <row r="38" ht="31" customHeight="1">
      <c r="A38" s="8" t="inlineStr">
        <is>
          <t>M24</t>
        </is>
      </c>
      <c r="B38" s="8" t="inlineStr">
        <is>
          <t>Issue tree</t>
        </is>
      </c>
      <c r="C38" s="8" t="inlineStr">
        <is>
          <t>Tree counts add up (A + B + C − E)</t>
        </is>
      </c>
      <c r="D38" s="8" t="inlineStr">
        <is>
          <t>Check</t>
        </is>
      </c>
      <c r="E38" s="8" t="inlineStr">
        <is>
          <t>Metrics</t>
        </is>
      </c>
      <c r="F38" s="10" t="inlineStr">
        <is>
          <t>=[M12]+[M13]+[M06]-[M11]
(cells: =$G$15+$G$16+$G$9-$G$14)</t>
        </is>
      </c>
      <c r="G38" s="11">
        <f>$G$15+$G$16+$G$9-$G$14</f>
        <v>0</v>
      </c>
      <c r="H38" s="8" t="inlineStr">
        <is>
          <t>Orders; should be 0</t>
        </is>
      </c>
      <c r="I38" s="8" t="inlineStr">
        <is>
          <t>Each eligible order sits in exactly one final box.</t>
        </is>
      </c>
    </row>
    <row r="39" ht="31" customHeight="1">
      <c r="A39" s="8" t="inlineStr">
        <is>
          <t>M25</t>
        </is>
      </c>
      <c r="B39" s="8" t="inlineStr">
        <is>
          <t>Times</t>
        </is>
      </c>
      <c r="C39" s="8" t="inlineStr">
        <is>
          <t>Average delivery time</t>
        </is>
      </c>
      <c r="D39" s="8" t="inlineStr">
        <is>
          <t>Typical speed</t>
        </is>
      </c>
      <c r="E39" s="8" t="inlineStr">
        <is>
          <t>Orders: actual_delivery_duration_min, order_status</t>
        </is>
      </c>
      <c r="F39" s="10" t="inlineStr">
        <is>
          <t>=AVERAGEIFS(o_actual_min,o_status,"Delivered")</t>
        </is>
      </c>
      <c r="G39" s="13">
        <f>AVERAGEIFS(o_actual_min,o_status,"Delivered")</f>
        <v>11.313676975945</v>
      </c>
      <c r="H39" s="8" t="inlineStr">
        <is>
          <t>Minutes; delivered orders</t>
        </is>
      </c>
      <c r="I39" s="8" t="inlineStr">
        <is>
          <t>Placement to handover (assumed meaning of actual_delivery_at).</t>
        </is>
      </c>
    </row>
    <row r="40" ht="31" customHeight="1">
      <c r="A40" s="8" t="inlineStr">
        <is>
          <t>M26</t>
        </is>
      </c>
      <c r="B40" s="8" t="inlineStr">
        <is>
          <t>Times</t>
        </is>
      </c>
      <c r="C40" s="8" t="inlineStr">
        <is>
          <t>P90 delivery time</t>
        </is>
      </c>
      <c r="D40" s="8" t="inlineStr">
        <is>
          <t>Slow tail</t>
        </is>
      </c>
      <c r="E40" s="8" t="inlineStr">
        <is>
          <t>Calc_Orders: Actual min</t>
        </is>
      </c>
      <c r="F40" s="10" t="inlineStr">
        <is>
          <t>=PERCENTILE(c_act,0.9)</t>
        </is>
      </c>
      <c r="G40" s="14">
        <f>PERCENTILE(c_act,0.9)</f>
        <v>17.2</v>
      </c>
      <c r="H40" s="8" t="inlineStr">
        <is>
          <t>Minutes; delivered orders</t>
        </is>
      </c>
      <c r="I40" s="8" t="inlineStr">
        <is>
          <t>9 in 10 delivered orders arrive within this. PERCENTILE = PERCENTILE.INC (linear).</t>
        </is>
      </c>
    </row>
    <row r="41" ht="31" customHeight="1">
      <c r="A41" s="8" t="inlineStr">
        <is>
          <t>M27</t>
        </is>
      </c>
      <c r="B41" s="8" t="inlineStr">
        <is>
          <t>Times</t>
        </is>
      </c>
      <c r="C41" s="8" t="inlineStr">
        <is>
          <t>Average promise (delivered)</t>
        </is>
      </c>
      <c r="D41" s="8" t="inlineStr">
        <is>
          <t>Guardrail: promise length</t>
        </is>
      </c>
      <c r="E41" s="8" t="inlineStr">
        <is>
          <t>Orders: promised_eta_min, order_status</t>
        </is>
      </c>
      <c r="F41" s="10" t="inlineStr">
        <is>
          <t>=AVERAGEIFS(o_promised_eta,o_status,"Delivered")</t>
        </is>
      </c>
      <c r="G41" s="13">
        <f>AVERAGEIFS(o_promised_eta,o_status,"Delivered")</f>
        <v>10.3325085910653</v>
      </c>
      <c r="H41" s="8" t="inlineStr">
        <is>
          <t>Minutes; delivered orders</t>
        </is>
      </c>
      <c r="I41" s="8" t="inlineStr"/>
    </row>
    <row r="42" ht="31" customHeight="1">
      <c r="A42" s="8" t="inlineStr">
        <is>
          <t>M28</t>
        </is>
      </c>
      <c r="B42" s="8" t="inlineStr">
        <is>
          <t>Times</t>
        </is>
      </c>
      <c r="C42" s="8" t="inlineStr">
        <is>
          <t>Average promise (all orders)</t>
        </is>
      </c>
      <c r="D42" s="8" t="inlineStr">
        <is>
          <t>Reference</t>
        </is>
      </c>
      <c r="E42" s="8" t="inlineStr">
        <is>
          <t>Orders: promised_eta_min</t>
        </is>
      </c>
      <c r="F42" s="10" t="inlineStr">
        <is>
          <t>=AVERAGE(o_promised_eta)</t>
        </is>
      </c>
      <c r="G42" s="13">
        <f>AVERAGE(o_promised_eta)</f>
        <v>10.3240666666667</v>
      </c>
      <c r="H42" s="8" t="inlineStr">
        <is>
          <t>Minutes; all orders</t>
        </is>
      </c>
      <c r="I42" s="8" t="inlineStr"/>
    </row>
    <row r="43" ht="31" customHeight="1">
      <c r="A43" s="8" t="inlineStr">
        <is>
          <t>M29</t>
        </is>
      </c>
      <c r="B43" s="8" t="inlineStr">
        <is>
          <t>Times</t>
        </is>
      </c>
      <c r="C43" s="8" t="inlineStr">
        <is>
          <t>Average minutes late (late orders)</t>
        </is>
      </c>
      <c r="D43" s="8" t="inlineStr">
        <is>
          <t>How late late orders are</t>
        </is>
      </c>
      <c r="E43" s="8" t="inlineStr">
        <is>
          <t>Calc_Orders: Minutes late (late only)</t>
        </is>
      </c>
      <c r="F43" s="10" t="inlineStr">
        <is>
          <t>=AVERAGE(c_latedelay)</t>
        </is>
      </c>
      <c r="G43" s="13">
        <f>AVERAGE(c_latedelay)</f>
        <v>6.25867768595041</v>
      </c>
      <c r="H43" s="8" t="inlineStr">
        <is>
          <t>Minutes; late orders</t>
        </is>
      </c>
      <c r="I43" s="8" t="inlineStr"/>
    </row>
    <row r="44" ht="31" customHeight="1">
      <c r="A44" s="8" t="inlineStr">
        <is>
          <t>M30</t>
        </is>
      </c>
      <c r="B44" s="8" t="inlineStr">
        <is>
          <t>Times</t>
        </is>
      </c>
      <c r="C44" s="8" t="inlineStr">
        <is>
          <t>Median minutes late (late orders)</t>
        </is>
      </c>
      <c r="D44" s="8" t="inlineStr">
        <is>
          <t>How late late orders are</t>
        </is>
      </c>
      <c r="E44" s="8" t="inlineStr">
        <is>
          <t>Calc_Orders: Minutes late (late only)</t>
        </is>
      </c>
      <c r="F44" s="10" t="inlineStr">
        <is>
          <t>=MEDIAN(c_latedelay)</t>
        </is>
      </c>
      <c r="G44" s="14">
        <f>MEDIAN(c_latedelay)</f>
        <v>5.9</v>
      </c>
      <c r="H44" s="8" t="inlineStr">
        <is>
          <t>Minutes; late orders</t>
        </is>
      </c>
      <c r="I44" s="8" t="inlineStr"/>
    </row>
    <row r="45" ht="31" customHeight="1">
      <c r="A45" s="8" t="inlineStr">
        <is>
          <t>M31</t>
        </is>
      </c>
      <c r="B45" s="8" t="inlineStr">
        <is>
          <t>Times</t>
        </is>
      </c>
      <c r="C45" s="8" t="inlineStr">
        <is>
          <t>Severe share of late orders</t>
        </is>
      </c>
      <c r="D45" s="8" t="inlineStr">
        <is>
          <t>Mix of lateness</t>
        </is>
      </c>
      <c r="E45" s="8" t="inlineStr">
        <is>
          <t>Metrics: M15, M13</t>
        </is>
      </c>
      <c r="F45" s="10" t="inlineStr">
        <is>
          <t>=[M15]/[M13]
(cells: =$G$18/$G$16)</t>
        </is>
      </c>
      <c r="G45" s="12">
        <f>$G$18/$G$16</f>
        <v>0.573002754820937</v>
      </c>
      <c r="H45" s="8" t="inlineStr">
        <is>
          <t>% of late orders</t>
        </is>
      </c>
      <c r="I45" s="8" t="inlineStr"/>
    </row>
    <row r="46" ht="31" customHeight="1">
      <c r="A46" s="8" t="inlineStr">
        <is>
          <t>SPI1</t>
        </is>
      </c>
      <c r="B46" s="8" t="inlineStr">
        <is>
          <t>Stages (estimates)</t>
        </is>
      </c>
      <c r="C46" s="8" t="inlineStr">
        <is>
          <t>Picking, average (est.)</t>
        </is>
      </c>
      <c r="D46" s="8" t="inlineStr">
        <is>
          <t>Where time may go</t>
        </is>
      </c>
      <c r="E46" s="8" t="inlineStr">
        <is>
          <t>Calc_Orders: Picking est.</t>
        </is>
      </c>
      <c r="F46" s="10" t="inlineStr">
        <is>
          <t>=AVERAGE(c_pick)</t>
        </is>
      </c>
      <c r="G46" s="13">
        <f>AVERAGE(c_pick)</f>
        <v>3.59099656357388</v>
      </c>
      <c r="H46" s="8" t="inlineStr">
        <is>
          <t>Minutes; delivered orders</t>
        </is>
      </c>
      <c r="I46" s="8" t="inlineStr">
        <is>
          <t>Estimate supplied in the data, not a recorded timestamp.</t>
        </is>
      </c>
    </row>
    <row r="47" ht="31" customHeight="1">
      <c r="A47" s="8" t="inlineStr">
        <is>
          <t>SPI2</t>
        </is>
      </c>
      <c r="B47" s="8" t="inlineStr">
        <is>
          <t>Stages (estimates)</t>
        </is>
      </c>
      <c r="C47" s="8" t="inlineStr">
        <is>
          <t>Picking, average, late orders</t>
        </is>
      </c>
      <c r="D47" s="8" t="inlineStr">
        <is>
          <t>Compare groups</t>
        </is>
      </c>
      <c r="E47" s="8" t="inlineStr">
        <is>
          <t>Calc_Orders: Picking est., Late</t>
        </is>
      </c>
      <c r="F47" s="10" t="inlineStr">
        <is>
          <t>=AVERAGEIFS(c_pick,c_late,1)</t>
        </is>
      </c>
      <c r="G47" s="13">
        <f>AVERAGEIFS(c_pick,c_late,1)</f>
        <v>5.07906336088154</v>
      </c>
      <c r="H47" s="8" t="inlineStr">
        <is>
          <t>Minutes; late orders</t>
        </is>
      </c>
      <c r="I47" s="8" t="inlineStr"/>
    </row>
    <row r="48" ht="31" customHeight="1">
      <c r="A48" s="8" t="inlineStr">
        <is>
          <t>SPI3</t>
        </is>
      </c>
      <c r="B48" s="8" t="inlineStr">
        <is>
          <t>Stages (estimates)</t>
        </is>
      </c>
      <c r="C48" s="8" t="inlineStr">
        <is>
          <t>Picking, average, on-time orders</t>
        </is>
      </c>
      <c r="D48" s="8" t="inlineStr">
        <is>
          <t>Compare groups</t>
        </is>
      </c>
      <c r="E48" s="8" t="inlineStr">
        <is>
          <t>Calc_Orders: Picking est., Late</t>
        </is>
      </c>
      <c r="F48" s="10" t="inlineStr">
        <is>
          <t>=AVERAGEIFS(c_pick,c_late,0)</t>
        </is>
      </c>
      <c r="G48" s="13">
        <f>AVERAGEIFS(c_pick,c_late,0)</f>
        <v>3.096336996337</v>
      </c>
      <c r="H48" s="8" t="inlineStr">
        <is>
          <t>Minutes; on-time orders</t>
        </is>
      </c>
      <c r="I48" s="8" t="inlineStr"/>
    </row>
    <row r="49" ht="31" customHeight="1">
      <c r="A49" s="8" t="inlineStr">
        <is>
          <t>SWA1</t>
        </is>
      </c>
      <c r="B49" s="8" t="inlineStr">
        <is>
          <t>Stages (estimates)</t>
        </is>
      </c>
      <c r="C49" s="8" t="inlineStr">
        <is>
          <t>Rider wait, average (est.)</t>
        </is>
      </c>
      <c r="D49" s="8" t="inlineStr">
        <is>
          <t>Where time may go</t>
        </is>
      </c>
      <c r="E49" s="8" t="inlineStr">
        <is>
          <t>Calc_Orders: Rider wait est.</t>
        </is>
      </c>
      <c r="F49" s="10" t="inlineStr">
        <is>
          <t>=AVERAGE(c_wait)</t>
        </is>
      </c>
      <c r="G49" s="13">
        <f>AVERAGE(c_wait)</f>
        <v>3.58721649484536</v>
      </c>
      <c r="H49" s="8" t="inlineStr">
        <is>
          <t>Minutes; delivered orders</t>
        </is>
      </c>
      <c r="I49" s="8" t="inlineStr">
        <is>
          <t>Estimate supplied in the data, not a recorded timestamp.</t>
        </is>
      </c>
    </row>
    <row r="50" ht="31" customHeight="1">
      <c r="A50" s="8" t="inlineStr">
        <is>
          <t>SWA2</t>
        </is>
      </c>
      <c r="B50" s="8" t="inlineStr">
        <is>
          <t>Stages (estimates)</t>
        </is>
      </c>
      <c r="C50" s="8" t="inlineStr">
        <is>
          <t>Rider wait, average, late orders</t>
        </is>
      </c>
      <c r="D50" s="8" t="inlineStr">
        <is>
          <t>Compare groups</t>
        </is>
      </c>
      <c r="E50" s="8" t="inlineStr">
        <is>
          <t>Calc_Orders: Rider wait est., Late</t>
        </is>
      </c>
      <c r="F50" s="10" t="inlineStr">
        <is>
          <t>=AVERAGEIFS(c_wait,c_late,1)</t>
        </is>
      </c>
      <c r="G50" s="13">
        <f>AVERAGEIFS(c_wait,c_late,1)</f>
        <v>5.42451790633609</v>
      </c>
      <c r="H50" s="8" t="inlineStr">
        <is>
          <t>Minutes; late orders</t>
        </is>
      </c>
      <c r="I50" s="8" t="inlineStr"/>
    </row>
    <row r="51" ht="31" customHeight="1">
      <c r="A51" s="8" t="inlineStr">
        <is>
          <t>SWA3</t>
        </is>
      </c>
      <c r="B51" s="8" t="inlineStr">
        <is>
          <t>Stages (estimates)</t>
        </is>
      </c>
      <c r="C51" s="8" t="inlineStr">
        <is>
          <t>Rider wait, average, on-time orders</t>
        </is>
      </c>
      <c r="D51" s="8" t="inlineStr">
        <is>
          <t>Compare groups</t>
        </is>
      </c>
      <c r="E51" s="8" t="inlineStr">
        <is>
          <t>Calc_Orders: Rider wait est., Late</t>
        </is>
      </c>
      <c r="F51" s="10" t="inlineStr">
        <is>
          <t>=AVERAGEIFS(c_wait,c_late,0)</t>
        </is>
      </c>
      <c r="G51" s="13">
        <f>AVERAGEIFS(c_wait,c_late,0)</f>
        <v>2.9764652014652</v>
      </c>
      <c r="H51" s="8" t="inlineStr">
        <is>
          <t>Minutes; on-time orders</t>
        </is>
      </c>
      <c r="I51" s="8" t="inlineStr"/>
    </row>
    <row r="52" ht="31" customHeight="1">
      <c r="A52" s="8" t="inlineStr">
        <is>
          <t>STR1</t>
        </is>
      </c>
      <c r="B52" s="8" t="inlineStr">
        <is>
          <t>Stages (estimates)</t>
        </is>
      </c>
      <c r="C52" s="8" t="inlineStr">
        <is>
          <t>Travel, average (est.)</t>
        </is>
      </c>
      <c r="D52" s="8" t="inlineStr">
        <is>
          <t>Where time may go</t>
        </is>
      </c>
      <c r="E52" s="8" t="inlineStr">
        <is>
          <t>Calc_Orders: Travel est.</t>
        </is>
      </c>
      <c r="F52" s="10" t="inlineStr">
        <is>
          <t>=AVERAGE(c_trav)</t>
        </is>
      </c>
      <c r="G52" s="13">
        <f>AVERAGE(c_trav)</f>
        <v>4.13697594501718</v>
      </c>
      <c r="H52" s="8" t="inlineStr">
        <is>
          <t>Minutes; delivered orders</t>
        </is>
      </c>
      <c r="I52" s="8" t="inlineStr">
        <is>
          <t>Estimate supplied in the data, not a recorded timestamp.</t>
        </is>
      </c>
    </row>
    <row r="53" ht="31" customHeight="1">
      <c r="A53" s="8" t="inlineStr">
        <is>
          <t>STR2</t>
        </is>
      </c>
      <c r="B53" s="8" t="inlineStr">
        <is>
          <t>Stages (estimates)</t>
        </is>
      </c>
      <c r="C53" s="8" t="inlineStr">
        <is>
          <t>Travel, average, late orders</t>
        </is>
      </c>
      <c r="D53" s="8" t="inlineStr">
        <is>
          <t>Compare groups</t>
        </is>
      </c>
      <c r="E53" s="8" t="inlineStr">
        <is>
          <t>Calc_Orders: Travel est., Late</t>
        </is>
      </c>
      <c r="F53" s="10" t="inlineStr">
        <is>
          <t>=AVERAGEIFS(c_trav,c_late,1)</t>
        </is>
      </c>
      <c r="G53" s="13">
        <f>AVERAGEIFS(c_trav,c_late,1)</f>
        <v>6.03526170798898</v>
      </c>
      <c r="H53" s="8" t="inlineStr">
        <is>
          <t>Minutes; late orders</t>
        </is>
      </c>
      <c r="I53" s="8" t="inlineStr"/>
    </row>
    <row r="54" ht="31" customHeight="1">
      <c r="A54" s="8" t="inlineStr">
        <is>
          <t>STR3</t>
        </is>
      </c>
      <c r="B54" s="8" t="inlineStr">
        <is>
          <t>Stages (estimates)</t>
        </is>
      </c>
      <c r="C54" s="8" t="inlineStr">
        <is>
          <t>Travel, average, on-time orders</t>
        </is>
      </c>
      <c r="D54" s="8" t="inlineStr">
        <is>
          <t>Compare groups</t>
        </is>
      </c>
      <c r="E54" s="8" t="inlineStr">
        <is>
          <t>Calc_Orders: Travel est., Late</t>
        </is>
      </c>
      <c r="F54" s="10" t="inlineStr">
        <is>
          <t>=AVERAGEIFS(c_trav,c_late,0)</t>
        </is>
      </c>
      <c r="G54" s="13">
        <f>AVERAGEIFS(c_trav,c_late,0)</f>
        <v>3.50595238095238</v>
      </c>
      <c r="H54" s="8" t="inlineStr">
        <is>
          <t>Minutes; on-time orders</t>
        </is>
      </c>
      <c r="I54" s="8" t="inlineStr"/>
    </row>
    <row r="55" ht="44.5" customHeight="1">
      <c r="A55" s="8" t="inlineStr">
        <is>
          <t>SSHPL</t>
        </is>
      </c>
      <c r="B55" s="8" t="inlineStr">
        <is>
          <t>Stages (estimates)</t>
        </is>
      </c>
      <c r="C55" s="8" t="inlineStr">
        <is>
          <t>Picking share of time, late orders</t>
        </is>
      </c>
      <c r="D55" s="8" t="inlineStr">
        <is>
          <t>Can stages attribute lateness?</t>
        </is>
      </c>
      <c r="E55" s="8" t="inlineStr">
        <is>
          <t>Calc_Orders: Picking share, Late</t>
        </is>
      </c>
      <c r="F55" s="10" t="inlineStr">
        <is>
          <t>=AVERAGEIFS(c_shp,c_late,1)</t>
        </is>
      </c>
      <c r="G55" s="12">
        <f>AVERAGEIFS(c_shp,c_late,1)</f>
        <v>0.316447620952031</v>
      </c>
      <c r="H55" s="8" t="inlineStr">
        <is>
          <t>% of each order's actual minutes, averaged over late orders</t>
        </is>
      </c>
      <c r="I55" s="8" t="inlineStr">
        <is>
          <t>Shares are almost equal for late and on-time orders, so the estimates cannot single out a slow stage.</t>
        </is>
      </c>
    </row>
    <row r="56" ht="44.5" customHeight="1">
      <c r="A56" s="8" t="inlineStr">
        <is>
          <t>SSHPO</t>
        </is>
      </c>
      <c r="B56" s="8" t="inlineStr">
        <is>
          <t>Stages (estimates)</t>
        </is>
      </c>
      <c r="C56" s="8" t="inlineStr">
        <is>
          <t>Picking share of time, on-time orders</t>
        </is>
      </c>
      <c r="D56" s="8" t="inlineStr">
        <is>
          <t>Can stages attribute lateness?</t>
        </is>
      </c>
      <c r="E56" s="8" t="inlineStr">
        <is>
          <t>Calc_Orders: Picking share, Late</t>
        </is>
      </c>
      <c r="F56" s="10" t="inlineStr">
        <is>
          <t>=AVERAGEIFS(c_shp,c_late,0)</t>
        </is>
      </c>
      <c r="G56" s="12">
        <f>AVERAGEIFS(c_shp,c_late,0)</f>
        <v>0.324858931776141</v>
      </c>
      <c r="H56" s="8" t="inlineStr">
        <is>
          <t>% of each order's actual minutes, averaged over on-time orders</t>
        </is>
      </c>
      <c r="I56" s="8" t="inlineStr"/>
    </row>
    <row r="57" ht="44.5" customHeight="1">
      <c r="A57" s="8" t="inlineStr">
        <is>
          <t>SSHWL</t>
        </is>
      </c>
      <c r="B57" s="8" t="inlineStr">
        <is>
          <t>Stages (estimates)</t>
        </is>
      </c>
      <c r="C57" s="8" t="inlineStr">
        <is>
          <t>Rider wait share of time, late orders</t>
        </is>
      </c>
      <c r="D57" s="8" t="inlineStr">
        <is>
          <t>Can stages attribute lateness?</t>
        </is>
      </c>
      <c r="E57" s="8" t="inlineStr">
        <is>
          <t>Calc_Orders: Rider wait share, Late</t>
        </is>
      </c>
      <c r="F57" s="10" t="inlineStr">
        <is>
          <t>=AVERAGEIFS(c_shw,c_late,1)</t>
        </is>
      </c>
      <c r="G57" s="12">
        <f>AVERAGEIFS(c_shw,c_late,1)</f>
        <v>0.321684592908762</v>
      </c>
      <c r="H57" s="8" t="inlineStr">
        <is>
          <t>% of each order's actual minutes, averaged over late orders</t>
        </is>
      </c>
      <c r="I57" s="8" t="inlineStr">
        <is>
          <t>Shares are almost equal for late and on-time orders, so the estimates cannot single out a slow stage.</t>
        </is>
      </c>
    </row>
    <row r="58" ht="44.5" customHeight="1">
      <c r="A58" s="8" t="inlineStr">
        <is>
          <t>SSHWO</t>
        </is>
      </c>
      <c r="B58" s="8" t="inlineStr">
        <is>
          <t>Stages (estimates)</t>
        </is>
      </c>
      <c r="C58" s="8" t="inlineStr">
        <is>
          <t>Rider wait share of time, on-time orders</t>
        </is>
      </c>
      <c r="D58" s="8" t="inlineStr">
        <is>
          <t>Can stages attribute lateness?</t>
        </is>
      </c>
      <c r="E58" s="8" t="inlineStr">
        <is>
          <t>Calc_Orders: Rider wait share, Late</t>
        </is>
      </c>
      <c r="F58" s="10" t="inlineStr">
        <is>
          <t>=AVERAGEIFS(c_shw,c_late,0)</t>
        </is>
      </c>
      <c r="G58" s="12">
        <f>AVERAGEIFS(c_shw,c_late,0)</f>
        <v>0.311675016310672</v>
      </c>
      <c r="H58" s="8" t="inlineStr">
        <is>
          <t>% of each order's actual minutes, averaged over on-time orders</t>
        </is>
      </c>
      <c r="I58" s="8" t="inlineStr"/>
    </row>
    <row r="59" ht="44.5" customHeight="1">
      <c r="A59" s="8" t="inlineStr">
        <is>
          <t>SSHTL</t>
        </is>
      </c>
      <c r="B59" s="8" t="inlineStr">
        <is>
          <t>Stages (estimates)</t>
        </is>
      </c>
      <c r="C59" s="8" t="inlineStr">
        <is>
          <t>Travel share of time, late orders</t>
        </is>
      </c>
      <c r="D59" s="8" t="inlineStr">
        <is>
          <t>Can stages attribute lateness?</t>
        </is>
      </c>
      <c r="E59" s="8" t="inlineStr">
        <is>
          <t>Calc_Orders: Travel share, Late</t>
        </is>
      </c>
      <c r="F59" s="10" t="inlineStr">
        <is>
          <t>=AVERAGEIFS(c_sht,c_late,1)</t>
        </is>
      </c>
      <c r="G59" s="12">
        <f>AVERAGEIFS(c_sht,c_late,1)</f>
        <v>0.362262414229844</v>
      </c>
      <c r="H59" s="8" t="inlineStr">
        <is>
          <t>% of each order's actual minutes, averaged over late orders</t>
        </is>
      </c>
      <c r="I59" s="8" t="inlineStr">
        <is>
          <t>Shares are almost equal for late and on-time orders, so the estimates cannot single out a slow stage.</t>
        </is>
      </c>
    </row>
    <row r="60" ht="44.5" customHeight="1">
      <c r="A60" s="8" t="inlineStr">
        <is>
          <t>SSHTO</t>
        </is>
      </c>
      <c r="B60" s="8" t="inlineStr">
        <is>
          <t>Stages (estimates)</t>
        </is>
      </c>
      <c r="C60" s="8" t="inlineStr">
        <is>
          <t>Travel share of time, on-time orders</t>
        </is>
      </c>
      <c r="D60" s="8" t="inlineStr">
        <is>
          <t>Can stages attribute lateness?</t>
        </is>
      </c>
      <c r="E60" s="8" t="inlineStr">
        <is>
          <t>Calc_Orders: Travel share, Late</t>
        </is>
      </c>
      <c r="F60" s="10" t="inlineStr">
        <is>
          <t>=AVERAGEIFS(c_sht,c_late,0)</t>
        </is>
      </c>
      <c r="G60" s="12">
        <f>AVERAGEIFS(c_sht,c_late,0)</f>
        <v>0.363486412351674</v>
      </c>
      <c r="H60" s="8" t="inlineStr">
        <is>
          <t>% of each order's actual minutes, averaged over on-time orders</t>
        </is>
      </c>
      <c r="I60" s="8" t="inlineStr"/>
    </row>
    <row r="61" ht="31" customHeight="1">
      <c r="A61" s="8" t="inlineStr">
        <is>
          <t>S01</t>
        </is>
      </c>
      <c r="B61" s="8" t="inlineStr">
        <is>
          <t>Stages (estimates)</t>
        </is>
      </c>
      <c r="C61" s="8" t="inlineStr">
        <is>
          <t>Stages add up to total (within 0.1 min)</t>
        </is>
      </c>
      <c r="D61" s="8" t="inlineStr">
        <is>
          <t>Consistency of estimates</t>
        </is>
      </c>
      <c r="E61" s="8" t="inlineStr">
        <is>
          <t>Calc_Orders: Stages sum check</t>
        </is>
      </c>
      <c r="F61" s="10" t="inlineStr">
        <is>
          <t>=AVERAGE(c_sum01)</t>
        </is>
      </c>
      <c r="G61" s="12">
        <f>AVERAGE(c_sum01)</f>
        <v>1</v>
      </c>
      <c r="H61" s="8" t="inlineStr">
        <is>
          <t>% of delivered orders</t>
        </is>
      </c>
      <c r="I61" s="8" t="inlineStr"/>
    </row>
    <row r="62" ht="58" customHeight="1">
      <c r="A62" s="8" t="inlineStr">
        <is>
          <t>S02</t>
        </is>
      </c>
      <c r="B62" s="8" t="inlineStr">
        <is>
          <t>Stages (estimates)</t>
        </is>
      </c>
      <c r="C62" s="8" t="inlineStr">
        <is>
          <t>Picking vs wait correlation (r)</t>
        </is>
      </c>
      <c r="D62" s="8" t="inlineStr">
        <is>
          <t>Do riders wait for slow picking?</t>
        </is>
      </c>
      <c r="E62" s="8" t="inlineStr">
        <is>
          <t>Calc_Orders: Picking est., Wait est.</t>
        </is>
      </c>
      <c r="F62" s="10" t="inlineStr">
        <is>
          <t>=CORREL(c_pick,c_wait)</t>
        </is>
      </c>
      <c r="G62" s="15">
        <f>CORREL(c_pick,c_wait)</f>
        <v>0.151647631191937</v>
      </c>
      <c r="H62" s="8" t="inlineStr">
        <is>
          <t>r, delivered orders</t>
        </is>
      </c>
      <c r="I62" s="8" t="inlineStr">
        <is>
          <t>Picking and rider wait have a weak positive link. This does not prove that slow picking causes rider waiting. The 95% CI excludes 0 (Tests_Correlations R10).</t>
        </is>
      </c>
    </row>
    <row r="63" ht="31" customHeight="1">
      <c r="A63" s="8" t="inlineStr">
        <is>
          <t>V01</t>
        </is>
      </c>
      <c r="B63" s="8" t="inlineStr">
        <is>
          <t>Coverage</t>
        </is>
      </c>
      <c r="C63" s="8" t="inlineStr">
        <is>
          <t>Orders in Demand (all store-hours)</t>
        </is>
      </c>
      <c r="D63" s="8" t="inlineStr">
        <is>
          <t>Population size</t>
        </is>
      </c>
      <c r="E63" s="8" t="inlineStr">
        <is>
          <t>Demand: orders_placed_in_hour</t>
        </is>
      </c>
      <c r="F63" s="10" t="inlineStr">
        <is>
          <t>=SUM(Demand!$E$2:$E$4481)</t>
        </is>
      </c>
      <c r="G63" s="11">
        <f>SUM(Demand!$E$2:$E$4481)</f>
        <v>128528</v>
      </c>
      <c r="H63" s="8" t="inlineStr">
        <is>
          <t>Orders (count)</t>
        </is>
      </c>
      <c r="I63" s="8" t="inlineStr">
        <is>
          <t>Demand counts every order placed; the Orders sheet is only part of it.</t>
        </is>
      </c>
    </row>
    <row r="64" ht="31" customHeight="1">
      <c r="A64" s="8" t="inlineStr">
        <is>
          <t>V02</t>
        </is>
      </c>
      <c r="B64" s="8" t="inlineStr">
        <is>
          <t>Coverage</t>
        </is>
      </c>
      <c r="C64" s="8" t="inlineStr">
        <is>
          <t>Orders sheet as share of Demand</t>
        </is>
      </c>
      <c r="D64" s="8" t="inlineStr">
        <is>
          <t>Coverage</t>
        </is>
      </c>
      <c r="E64" s="8" t="inlineStr">
        <is>
          <t>Metrics: M01, V01</t>
        </is>
      </c>
      <c r="F64" s="10" t="inlineStr">
        <is>
          <t>=[M01]/[V01]
(cells: =$G$4/$G$63)</t>
        </is>
      </c>
      <c r="G64" s="16">
        <f>$G$4/$G$63</f>
        <v>0.0116706087389518</v>
      </c>
      <c r="H64" s="8" t="inlineStr">
        <is>
          <t>% of Demand orders</t>
        </is>
      </c>
      <c r="I64" s="8" t="inlineStr">
        <is>
          <t>The Orders sheet is not the full Demand population.</t>
        </is>
      </c>
    </row>
    <row r="65" ht="31" customHeight="1">
      <c r="A65" s="8" t="inlineStr">
        <is>
          <t>V03</t>
        </is>
      </c>
      <c r="B65" s="8" t="inlineStr">
        <is>
          <t>Coverage</t>
        </is>
      </c>
      <c r="C65" s="8" t="inlineStr">
        <is>
          <t>Store-hours with at least one Orders row</t>
        </is>
      </c>
      <c r="D65" s="8" t="inlineStr">
        <is>
          <t>Coverage</t>
        </is>
      </c>
      <c r="E65" s="8" t="inlineStr">
        <is>
          <t>Calc_Demand: Has Orders row</t>
        </is>
      </c>
      <c r="F65" s="10" t="inlineStr">
        <is>
          <t>=SUM(d_has)</t>
        </is>
      </c>
      <c r="G65" s="11">
        <f>SUM(d_has)</f>
        <v>1264</v>
      </c>
      <c r="H65" s="8" t="inlineStr">
        <is>
          <t>Store-hours (of 4,480)</t>
        </is>
      </c>
      <c r="I65" s="8" t="inlineStr"/>
    </row>
    <row r="66" ht="31" customHeight="1">
      <c r="A66" s="8" t="inlineStr">
        <is>
          <t>V04</t>
        </is>
      </c>
      <c r="B66" s="8" t="inlineStr">
        <is>
          <t>Coverage</t>
        </is>
      </c>
      <c r="C66" s="8" t="inlineStr">
        <is>
          <t>Demand vs Orders-sheet rows per store-hour (r)</t>
        </is>
      </c>
      <c r="D66" s="8" t="inlineStr">
        <is>
          <t>Is the sample proportional?</t>
        </is>
      </c>
      <c r="E66" s="8" t="inlineStr">
        <is>
          <t>Calc_Demand: Orders placed, Orders-sheet rows</t>
        </is>
      </c>
      <c r="F66" s="10" t="inlineStr">
        <is>
          <t>=CORREL(d_orders,d_sample)</t>
        </is>
      </c>
      <c r="G66" s="15">
        <f>CORREL(d_orders,d_sample)</f>
        <v>0.0189369391592789</v>
      </c>
      <c r="H66" s="8" t="inlineStr">
        <is>
          <t>r, 4,480 store-hours</t>
        </is>
      </c>
      <c r="I66" s="8" t="inlineStr">
        <is>
          <t>Near 0: busier hours do not get more sampled orders.</t>
        </is>
      </c>
    </row>
    <row r="67" ht="31" customHeight="1">
      <c r="A67" s="8" t="inlineStr">
        <is>
          <t>V05</t>
        </is>
      </c>
      <c r="B67" s="8" t="inlineStr">
        <is>
          <t>Coverage</t>
        </is>
      </c>
      <c r="C67" s="8" t="inlineStr">
        <is>
          <t>Peak share of Orders sheet</t>
        </is>
      </c>
      <c r="D67" s="8" t="inlineStr">
        <is>
          <t>Representation of peak</t>
        </is>
      </c>
      <c r="E67" s="8" t="inlineStr">
        <is>
          <t>Calc_Orders: Peak</t>
        </is>
      </c>
      <c r="F67" s="10" t="inlineStr">
        <is>
          <t>=SUM(c_peak)/[M01]
(cells: =SUM(c_peak)/$G$4)</t>
        </is>
      </c>
      <c r="G67" s="12">
        <f>SUM(c_peak)/$G$4</f>
        <v>0.188</v>
      </c>
      <c r="H67" s="8" t="inlineStr">
        <is>
          <t>% of all 1,500 orders</t>
        </is>
      </c>
      <c r="I67" s="8" t="inlineStr"/>
    </row>
    <row r="68" ht="31" customHeight="1">
      <c r="A68" s="8" t="inlineStr">
        <is>
          <t>V06</t>
        </is>
      </c>
      <c r="B68" s="8" t="inlineStr">
        <is>
          <t>Coverage</t>
        </is>
      </c>
      <c r="C68" s="8" t="inlineStr">
        <is>
          <t>Peak share of Demand</t>
        </is>
      </c>
      <c r="D68" s="8" t="inlineStr">
        <is>
          <t>Representation of peak</t>
        </is>
      </c>
      <c r="E68" s="8" t="inlineStr">
        <is>
          <t>Calc_Demand: Peak window, Orders placed</t>
        </is>
      </c>
      <c r="F68" s="10" t="inlineStr">
        <is>
          <t>=SUMPRODUCT(d_peak,d_orders)/[V01]
(cells: =SUMPRODUCT(d_peak,d_orders)/$G$63)</t>
        </is>
      </c>
      <c r="G68" s="12">
        <f>SUMPRODUCT(d_peak,d_orders)/$G$63</f>
        <v>0.278701917091996</v>
      </c>
      <c r="H68" s="8" t="inlineStr">
        <is>
          <t>% of Demand orders</t>
        </is>
      </c>
      <c r="I68" s="8" t="inlineStr">
        <is>
          <t>Peak is under-represented in the Orders sheet.</t>
        </is>
      </c>
    </row>
    <row r="69" ht="31" customHeight="1">
      <c r="A69" s="8" t="inlineStr">
        <is>
          <t>V07</t>
        </is>
      </c>
      <c r="B69" s="8" t="inlineStr">
        <is>
          <t>Coverage</t>
        </is>
      </c>
      <c r="C69" s="8" t="inlineStr">
        <is>
          <t>Rider home store matches order store</t>
        </is>
      </c>
      <c r="D69" s="8" t="inlineStr">
        <is>
          <t>Can home store show availability?</t>
        </is>
      </c>
      <c r="E69" s="8" t="inlineStr">
        <is>
          <t>Calc_Orders: home store match</t>
        </is>
      </c>
      <c r="F69" s="10" t="inlineStr">
        <is>
          <t>=AVERAGE(c_homematch)</t>
        </is>
      </c>
      <c r="G69" s="12">
        <f>AVERAGE(c_homematch)</f>
        <v>0.0529209621993127</v>
      </c>
      <c r="H69" s="8" t="inlineStr">
        <is>
          <t>% of orders with a rider</t>
        </is>
      </c>
      <c r="I69" s="8" t="inlineStr">
        <is>
          <t>Low share: home store is not where riders worked in a given hour.</t>
        </is>
      </c>
    </row>
  </sheetData>
  <autoFilter ref="A3:I6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8CB46"/>
    <outlinePr summaryBelow="1" summaryRight="1"/>
    <pageSetUpPr/>
  </sheetPr>
  <dimension ref="A1:F1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22" customWidth="1" min="3" max="3"/>
    <col width="60" customWidth="1" min="4" max="4"/>
    <col width="26" customWidth="1" min="5" max="5"/>
    <col width="46" customWidth="1" min="6" max="6"/>
  </cols>
  <sheetData>
    <row r="1" ht="26" customHeight="1">
      <c r="A1" s="4" t="inlineStr">
        <is>
          <t>Hypotheses: ranking and status used in the final submission</t>
        </is>
      </c>
    </row>
    <row r="2" ht="18" customHeight="1">
      <c r="A2" s="5" t="inlineStr">
        <is>
          <t>Each status points to the evidence rows. Patterns are not proof of cause.</t>
        </is>
      </c>
    </row>
    <row r="4" ht="32" customHeight="1">
      <c r="A4" s="6" t="inlineStr">
        <is>
          <t>Rank</t>
        </is>
      </c>
      <c r="B4" s="6" t="inlineStr">
        <is>
          <t>Hypothesis</t>
        </is>
      </c>
      <c r="C4" s="6" t="inlineStr">
        <is>
          <t>Status (as submitted)</t>
        </is>
      </c>
      <c r="D4" s="6" t="inlineStr">
        <is>
          <t>Key evidence (live values)</t>
        </is>
      </c>
      <c r="E4" s="6" t="inlineStr">
        <is>
          <t>Evidence rows</t>
        </is>
      </c>
      <c r="F4" s="6" t="inlineStr">
        <is>
          <t>Limitations</t>
        </is>
      </c>
    </row>
    <row r="5" ht="76" customHeight="1">
      <c r="A5" s="8" t="inlineStr">
        <is>
          <t>1 · H1</t>
        </is>
      </c>
      <c r="B5" s="8" t="inlineStr">
        <is>
          <t>Severe delays are more common at 7–10 PM. A store-to-rider bottleneck is one possible explanation.</t>
        </is>
      </c>
      <c r="C5" s="17" t="inlineStr">
        <is>
          <t>Supported: severe delays are more common at peak</t>
        </is>
      </c>
      <c r="D5" s="8" t="str">
        <f>"Severely late "&amp;TEXT(Tests_Proportions!$F$5,"0.0%")&amp;" peak vs "&amp;TEXT(Tests_Proportions!$J$5,"0.0%")&amp;" off-peak ("&amp;"95% CI "&amp;TEXT(Tests_Proportions!$M$5,"+0.0;-0.0")&amp;" to "&amp;TEXT(Tests_Proportions!$N$5,"+0.0;-0.0")&amp;" pts"&amp;"). Late at all "&amp;TEXT(Tests_Proportions!$F$6,"0.0%")&amp;" vs "&amp;TEXT(Tests_Proportions!$J$6,"0.0%")&amp;" ("&amp;"95% CI "&amp;TEXT(Tests_Proportions!$M$6,"+0.0;-0.0")&amp;" to "&amp;TEXT(Tests_Proportions!$N$6,"+0.0;-0.0")&amp;" pts"&amp;"). Est. wait "&amp;TEXT(Tests_Means!$K$5,"+0.00;-0.00")&amp;" min."</f>
        <v>Severely late 25.0% peak vs 11.8% off-peak (95% CI +7.8 to +18.6 pts). Late at all 29.0% vs 24.0% (95% CI -0.9 to +10.9 pts). Est. wait +1.02 min.</v>
      </c>
      <c r="E5" s="8" t="inlineStr">
        <is>
          <t>Tests_Proportions T01, T02; Tests_Means U01, U02; Breakdowns H1 rows</t>
        </is>
      </c>
      <c r="F5" s="8" t="inlineStr">
        <is>
          <t>Bottleneck is a possible explanation, not an established cause. No hourly rider availability; wait is an estimate.</t>
        </is>
      </c>
    </row>
    <row r="6" ht="76" customHeight="1">
      <c r="A6" s="8" t="inlineStr">
        <is>
          <t>2 · H2</t>
        </is>
      </c>
      <c r="B6" s="8" t="inlineStr">
        <is>
          <t>Promises do not match conditions: shorter at peak and no longer in heavy rain.</t>
        </is>
      </c>
      <c r="C6" s="17" t="inlineStr">
        <is>
          <t>Supported at peak; borderline in rain</t>
        </is>
      </c>
      <c r="D6" s="8" t="str">
        <f>"Promise "&amp;TEXT(Tests_Means!$D$7,"0.0")&amp;" vs "&amp;TEXT(Tests_Means!$H$7,"0.0")&amp;" min; actual "&amp;TEXT(Tests_Means!$D$8,"0.00")&amp;" vs "&amp;TEXT(Tests_Means!$H$8,"0.00")&amp;" min. Heavy rain late "&amp;TEXT(Tests_Proportions!$F$7,"0.0%")&amp;" vs "&amp;TEXT(Tests_Proportions!$J$7,"0.0%")&amp;" ("&amp;"95% CI "&amp;TEXT(Tests_Proportions!$M$7,"+0.0;-0.0")&amp;" to "&amp;TEXT(Tests_Proportions!$N$7,"+0.0;-0.0")&amp;" pts"&amp;")."</f>
        <v>Promise 9.6 vs 10.5 min; actual 11.78 vs 11.20 min. Heavy rain late 33.9% vs 24.8% (95% CI +0.0 to +18.3 pts).</v>
      </c>
      <c r="E6" s="8" t="inlineStr">
        <is>
          <t>Tests_Means U03, U04; Tests_Proportions T03; Breakdowns H2 rows</t>
        </is>
      </c>
      <c r="F6" s="8" t="inlineStr">
        <is>
          <t>How the promise is calculated is not in the data.</t>
        </is>
      </c>
    </row>
    <row r="7" ht="76" customHeight="1">
      <c r="A7" s="8" t="inlineStr">
        <is>
          <t>3 · H3</t>
        </is>
      </c>
      <c r="B7" s="8" t="inlineStr">
        <is>
          <t>Store-hours busier than the store's usual load run late more often.</t>
        </is>
      </c>
      <c r="C7" s="18" t="inlineStr">
        <is>
          <t>Inconclusive; overlaps with peak</t>
        </is>
      </c>
      <c r="D7" s="8" t="str">
        <f>"All hours Q4 vs Q1 "&amp;TEXT(Tests_Proportions!$F$8,"0.0%")&amp;" vs "&amp;TEXT(Tests_Proportions!$J$8,"0.0%")&amp;" ("&amp;"95% CI "&amp;TEXT(Tests_Proportions!$M$8,"+0.0;-0.0")&amp;" to "&amp;TEXT(Tests_Proportions!$N$8,"+0.0;-0.0")&amp;" pts"&amp;"). Off-peak only "&amp;TEXT(Tests_Proportions!$F$9,"0.0%")&amp;" vs "&amp;TEXT(Tests_Proportions!$J$9,"0.0%")&amp;" ("&amp;"95% CI "&amp;TEXT(Tests_Proportions!$M$9,"+0.0;-0.0")&amp;" to "&amp;TEXT(Tests_Proportions!$N$9,"+0.0;-0.0")&amp;" pts"&amp;")."</f>
        <v>All hours Q4 vs Q1 29.1% vs 21.4% (95% CI +1.4 to +14.0 pts). Off-peak only 27.1% vs 21.7% (95% CI -1.5 to +12.3 pts).</v>
      </c>
      <c r="E7" s="8" t="inlineStr">
        <is>
          <t>Tests_Proportions T04, T05; Breakdowns H3 rows</t>
        </is>
      </c>
      <c r="F7" s="8" t="inlineStr">
        <is>
          <t>Every peak hour is high-load, so load and peak cannot be separated.</t>
        </is>
      </c>
    </row>
    <row r="8" ht="76" customHeight="1">
      <c r="A8" s="8" t="inlineStr">
        <is>
          <t>4 · H4</t>
        </is>
      </c>
      <c r="B8" s="8" t="inlineStr">
        <is>
          <t>Stores with slower picking deliver late more often.</t>
        </is>
      </c>
      <c r="C8" s="18" t="inlineStr">
        <is>
          <t>No clear evidence in this analysis</t>
        </is>
      </c>
      <c r="D8" s="8" t="str">
        <f>"r = "&amp;TEXT(Tests_Correlations!$G$5,"0.00")&amp;" (95% CI "&amp;TEXT(Tests_Correlations!$J$5,"+0.00;-0.00")&amp;" to "&amp;TEXT(Tests_Correlations!$K$5,"+0.00;-0.00")&amp;", n = 20). Slower vs faster half "&amp;TEXT(Tests_Proportions!$F$10,"0.0%")&amp;" vs "&amp;TEXT(Tests_Proportions!$J$10,"0.0%")&amp;" ("&amp;"95% CI "&amp;TEXT(Tests_Proportions!$M$10,"+0.0;-0.0")&amp;" to "&amp;TEXT(Tests_Proportions!$N$10,"+0.0;-0.0")&amp;" pts"&amp;")."</f>
        <v>r = 0.43 (95% CI -0.02 to +0.73, n = 20). Slower vs faster half 26.1% vs 23.9% (95% CI -2.3 to +6.6 pts).</v>
      </c>
      <c r="E8" s="8" t="inlineStr">
        <is>
          <t>Tests_Correlations R01–R03; Tests_Proportions T06</t>
        </is>
      </c>
      <c r="F8" s="8" t="inlineStr">
        <is>
          <t>Only 20 stores; this does not show picking speed has no effect.</t>
        </is>
      </c>
    </row>
    <row r="9" ht="76" customHeight="1">
      <c r="A9" s="8" t="inlineStr">
        <is>
          <t>5 · H5</t>
        </is>
      </c>
      <c r="B9" s="8" t="inlineStr">
        <is>
          <t>Late deliveries drive support tickets and refunds.</t>
        </is>
      </c>
      <c r="C9" s="18" t="inlineStr">
        <is>
          <t>No clear evidence in this analysis</t>
        </is>
      </c>
      <c r="D9" s="8" t="str">
        <f>"Tickets r = "&amp;TEXT(Tests_Correlations!$G$9,"0.00")&amp;", refunds r = "&amp;TEXT(Tests_Correlations!$G$10,"0.00")&amp;": no clear straight-line association."</f>
        <v>Tickets r = 0.02, refunds r = 0.08: no clear straight-line association.</v>
      </c>
      <c r="E9" s="8" t="inlineStr">
        <is>
          <t>Tests_Correlations R05–R07; Breakdowns H5 rows</t>
        </is>
      </c>
      <c r="F9" s="8" t="inlineStr">
        <is>
          <t>Tickets are per customer, not per order; the test is weak.</t>
        </is>
      </c>
    </row>
    <row r="10" ht="76" customHeight="1">
      <c r="A10" s="8" t="inlineStr">
        <is>
          <t>6 · H6</t>
        </is>
      </c>
      <c r="B10" s="8" t="inlineStr">
        <is>
          <t>New stores are less reliable.</t>
        </is>
      </c>
      <c r="C10" s="18" t="inlineStr">
        <is>
          <t>Inconclusive: only two new stores</t>
        </is>
      </c>
      <c r="D10" s="8" t="str">
        <f>"New vs older stores late "&amp;TEXT(Tests_Proportions!$F$11,"0.0%")&amp;" vs "&amp;TEXT(Tests_Proportions!$J$11,"0.0%")&amp;" ("&amp;"95% CI "&amp;TEXT(Tests_Proportions!$M$11,"+0.0;-0.0")&amp;" to "&amp;TEXT(Tests_Proportions!$N$11,"+0.0;-0.0")&amp;" pts"&amp;")."</f>
        <v>New vs older stores late 25.5% vs 24.9% (95% CI -6.8 to +8.0 pts).</v>
      </c>
      <c r="E10" s="8" t="inlineStr">
        <is>
          <t>Tests_Proportions T07; Tests_Correlations R04</t>
        </is>
      </c>
      <c r="F10" s="8" t="inlineStr">
        <is>
          <t>No clear difference does not prove equal performance.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C831F"/>
    <outlinePr summaryBelow="1" summaryRight="1"/>
    <pageSetUpPr/>
  </sheetPr>
  <dimension ref="A1:P19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10" customWidth="1" min="4" max="4"/>
    <col width="10" customWidth="1" min="5" max="5"/>
    <col width="10" customWidth="1" min="6" max="6"/>
    <col width="22" customWidth="1" min="7" max="7"/>
    <col width="10" customWidth="1" min="8" max="8"/>
    <col width="10" customWidth="1" min="9" max="9"/>
    <col width="10" customWidth="1" min="10" max="10"/>
    <col width="13" customWidth="1" min="11" max="11"/>
    <col width="9" customWidth="1" min="12" max="12"/>
    <col width="11" customWidth="1" min="13" max="13"/>
    <col width="11" customWidth="1" min="14" max="14"/>
    <col width="24" customWidth="1" min="15" max="15"/>
    <col width="44" customWidth="1" min="16" max="16"/>
  </cols>
  <sheetData>
    <row r="1" ht="26" customHeight="1">
      <c r="A1" s="4" t="inlineStr">
        <is>
          <t>Tests_Proportions: differences between two percentages, with 95% confidence intervals</t>
        </is>
      </c>
    </row>
    <row r="2" ht="18" customHeight="1">
      <c r="A2" s="5" t="inlineStr">
        <is>
          <t>Method: two-proportion normal approximation. SE = √(p1(1−p1)/n1 + p2(1−p2)/n2); 95% CI = (p1 − p2) ± 1.96 × SE. Differences are in percentage points (pts).</t>
        </is>
      </c>
    </row>
    <row r="4" ht="32" customHeight="1">
      <c r="A4" s="6" t="inlineStr">
        <is>
          <t>ID</t>
        </is>
      </c>
      <c r="B4" s="6" t="inlineStr">
        <is>
          <t>Used for</t>
        </is>
      </c>
      <c r="C4" s="6" t="inlineStr">
        <is>
          <t>Group A</t>
        </is>
      </c>
      <c r="D4" s="6" t="inlineStr">
        <is>
          <t>A count (x1)</t>
        </is>
      </c>
      <c r="E4" s="6" t="inlineStr">
        <is>
          <t>A total (n1)</t>
        </is>
      </c>
      <c r="F4" s="6" t="inlineStr">
        <is>
          <t>A rate (p1)</t>
        </is>
      </c>
      <c r="G4" s="6" t="inlineStr">
        <is>
          <t>Group B</t>
        </is>
      </c>
      <c r="H4" s="6" t="inlineStr">
        <is>
          <t>B count (x2)</t>
        </is>
      </c>
      <c r="I4" s="6" t="inlineStr">
        <is>
          <t>B total (n2)</t>
        </is>
      </c>
      <c r="J4" s="6" t="inlineStr">
        <is>
          <t>B rate (p2)</t>
        </is>
      </c>
      <c r="K4" s="6" t="inlineStr">
        <is>
          <t>Difference p1 − p2 (pts)</t>
        </is>
      </c>
      <c r="L4" s="6" t="inlineStr">
        <is>
          <t>SE (pts)</t>
        </is>
      </c>
      <c r="M4" s="6" t="inlineStr">
        <is>
          <t>95% CI low (pts)</t>
        </is>
      </c>
      <c r="N4" s="6" t="inlineStr">
        <is>
          <t>95% CI high (pts)</t>
        </is>
      </c>
      <c r="O4" s="6" t="inlineStr">
        <is>
          <t>Reading</t>
        </is>
      </c>
      <c r="P4" s="6" t="inlineStr">
        <is>
          <t>Inputs (count / total)</t>
        </is>
      </c>
    </row>
    <row r="5" ht="80" customHeight="1">
      <c r="A5" s="8" t="inlineStr">
        <is>
          <t>T01</t>
        </is>
      </c>
      <c r="B5" s="8" t="inlineStr">
        <is>
          <t>H1 main result</t>
        </is>
      </c>
      <c r="C5" s="8" t="inlineStr">
        <is>
          <t>Peak delivered: severely late</t>
        </is>
      </c>
      <c r="D5" s="19">
        <f>COUNTIFS(c_sev,1,c_peak,1)</f>
        <v>69</v>
      </c>
      <c r="E5" s="19">
        <f>COUNTIFS(c_deliv,1,c_peak,1)</f>
        <v>276</v>
      </c>
      <c r="F5" s="20">
        <f>D5/E5</f>
        <v>0.25</v>
      </c>
      <c r="G5" s="8" t="inlineStr">
        <is>
          <t>Off-peak delivered: severely late</t>
        </is>
      </c>
      <c r="H5" s="19">
        <f>COUNTIFS(c_sev,1,c_peak,0)</f>
        <v>139</v>
      </c>
      <c r="I5" s="19">
        <f>COUNTIFS(c_deliv,1,c_peak,0)</f>
        <v>1179</v>
      </c>
      <c r="J5" s="20">
        <f>H5/I5</f>
        <v>0.117896522476675</v>
      </c>
      <c r="K5" s="21">
        <f>(F5-J5)*100</f>
        <v>13.2103477523325</v>
      </c>
      <c r="L5" s="22">
        <f>SQRT(F5*(1-F5)/E5+J5*(1-J5)/I5)*100</f>
        <v>2.77047933041934</v>
      </c>
      <c r="M5" s="21">
        <f>K5-1.96*L5</f>
        <v>7.78020826471058</v>
      </c>
      <c r="N5" s="21">
        <f>K5+1.96*L5</f>
        <v>18.6404872399544</v>
      </c>
      <c r="O5" s="8" t="str">
        <f>IF(OR(ABS(M5)&lt;0.05,ABS(N5)&lt;0.05),"Borderline: CI edge at about 0",IF(OR(AND(M5&gt;0,N5&gt;0),AND(M5&lt;0,N5&lt;0)),"Clear: CI excludes 0","Not clear: CI includes 0"))</f>
        <v>Clear: CI excludes 0</v>
      </c>
      <c r="P5" s="10" t="inlineStr">
        <is>
          <t>x1: =COUNTIFS(c_sev,1,c_peak,1)
n1: =COUNTIFS(c_deliv,1,c_peak,1)
x2: =COUNTIFS(c_sev,1,c_peak,0)
n2: =COUNTIFS(c_deliv,1,c_peak,0)</t>
        </is>
      </c>
    </row>
    <row r="6" ht="80" customHeight="1">
      <c r="A6" s="8" t="inlineStr">
        <is>
          <t>T02</t>
        </is>
      </c>
      <c r="B6" s="8" t="inlineStr">
        <is>
          <t>H1: late at all</t>
        </is>
      </c>
      <c r="C6" s="8" t="inlineStr">
        <is>
          <t>Peak delivered: late</t>
        </is>
      </c>
      <c r="D6" s="19">
        <f>COUNTIFS(c_late,1,c_peak,1)</f>
        <v>80</v>
      </c>
      <c r="E6" s="19">
        <f>COUNTIFS(c_deliv,1,c_peak,1)</f>
        <v>276</v>
      </c>
      <c r="F6" s="20">
        <f>D6/E6</f>
        <v>0.289855072463768</v>
      </c>
      <c r="G6" s="8" t="inlineStr">
        <is>
          <t>Off-peak delivered: late</t>
        </is>
      </c>
      <c r="H6" s="19">
        <f>COUNTIFS(c_late,1,c_peak,0)</f>
        <v>283</v>
      </c>
      <c r="I6" s="19">
        <f>COUNTIFS(c_deliv,1,c_peak,0)</f>
        <v>1179</v>
      </c>
      <c r="J6" s="20">
        <f>H6/I6</f>
        <v>0.240033927056828</v>
      </c>
      <c r="K6" s="21">
        <f>(F6-J6)*100</f>
        <v>4.98211454069403</v>
      </c>
      <c r="L6" s="22">
        <f>SQRT(F6*(1-F6)/E6+J6*(1-J6)/I6)*100</f>
        <v>3.00086023749061</v>
      </c>
      <c r="M6" s="21">
        <f>K6-1.96*L6</f>
        <v>-0.89957152478757</v>
      </c>
      <c r="N6" s="21">
        <f>K6+1.96*L6</f>
        <v>10.8638006061756</v>
      </c>
      <c r="O6" s="8" t="str">
        <f>IF(OR(ABS(M6)&lt;0.05,ABS(N6)&lt;0.05),"Borderline: CI edge at about 0",IF(OR(AND(M6&gt;0,N6&gt;0),AND(M6&lt;0,N6&lt;0)),"Clear: CI excludes 0","Not clear: CI includes 0"))</f>
        <v>Not clear: CI includes 0</v>
      </c>
      <c r="P6" s="10" t="inlineStr">
        <is>
          <t>x1: =COUNTIFS(c_late,1,c_peak,1)
n1: =COUNTIFS(c_deliv,1,c_peak,1)
x2: =COUNTIFS(c_late,1,c_peak,0)
n2: =COUNTIFS(c_deliv,1,c_peak,0)</t>
        </is>
      </c>
    </row>
    <row r="7" ht="80" customHeight="1">
      <c r="A7" s="8" t="inlineStr">
        <is>
          <t>T03</t>
        </is>
      </c>
      <c r="B7" s="8" t="inlineStr">
        <is>
          <t>H2: heavy rain</t>
        </is>
      </c>
      <c r="C7" s="8" t="inlineStr">
        <is>
          <t>Heavy rain delivered: late</t>
        </is>
      </c>
      <c r="D7" s="19">
        <f>COUNTIFS(c_rain,"Heavy",c_late,1)</f>
        <v>38</v>
      </c>
      <c r="E7" s="19">
        <f>COUNTIFS(c_rain,"Heavy",c_deliv,1)</f>
        <v>112</v>
      </c>
      <c r="F7" s="20">
        <f>D7/E7</f>
        <v>0.339285714285714</v>
      </c>
      <c r="G7" s="8" t="inlineStr">
        <is>
          <t>No rain delivered: late</t>
        </is>
      </c>
      <c r="H7" s="19">
        <f>COUNTIFS(c_rain,"None",c_late,1)</f>
        <v>257</v>
      </c>
      <c r="I7" s="19">
        <f>COUNTIFS(c_rain,"None",c_deliv,1)</f>
        <v>1038</v>
      </c>
      <c r="J7" s="20">
        <f>H7/I7</f>
        <v>0.247591522157996</v>
      </c>
      <c r="K7" s="21">
        <f>(F7-J7)*100</f>
        <v>9.16941921277182</v>
      </c>
      <c r="L7" s="22">
        <f>SQRT(F7*(1-F7)/E7+J7*(1-J7)/I7)*100</f>
        <v>4.67011365331983</v>
      </c>
      <c r="M7" s="21">
        <f>K7-1.96*L7</f>
        <v>0.0159964522649414</v>
      </c>
      <c r="N7" s="21">
        <f>K7+1.96*L7</f>
        <v>18.3228419732787</v>
      </c>
      <c r="O7" s="8" t="str">
        <f>IF(OR(ABS(M7)&lt;0.05,ABS(N7)&lt;0.05),"Borderline: CI edge at about 0",IF(OR(AND(M7&gt;0,N7&gt;0),AND(M7&lt;0,N7&lt;0)),"Clear: CI excludes 0","Not clear: CI includes 0"))</f>
        <v>Borderline: CI edge at about 0</v>
      </c>
      <c r="P7" s="10" t="inlineStr">
        <is>
          <t>x1: =COUNTIFS(c_rain,"Heavy",c_late,1)
n1: =COUNTIFS(c_rain,"Heavy",c_deliv,1)
x2: =COUNTIFS(c_rain,"None",c_late,1)
n2: =COUNTIFS(c_rain,"None",c_deliv,1)</t>
        </is>
      </c>
    </row>
    <row r="8" ht="80" customHeight="1">
      <c r="A8" s="8" t="inlineStr">
        <is>
          <t>T04</t>
        </is>
      </c>
      <c r="B8" s="8" t="inlineStr">
        <is>
          <t>H3: all hours</t>
        </is>
      </c>
      <c r="C8" s="8" t="inlineStr">
        <is>
          <t>Highest load quartile (Q4): late</t>
        </is>
      </c>
      <c r="D8" s="19">
        <f>COUNTIFS(c_qall,4,c_late,1)</f>
        <v>105</v>
      </c>
      <c r="E8" s="19">
        <f>COUNTIFS(c_qall,4)</f>
        <v>361</v>
      </c>
      <c r="F8" s="20">
        <f>D8/E8</f>
        <v>0.290858725761773</v>
      </c>
      <c r="G8" s="8" t="inlineStr">
        <is>
          <t>Lowest load quartile (Q1): late</t>
        </is>
      </c>
      <c r="H8" s="19">
        <f>COUNTIFS(c_qall,1,c_late,1)</f>
        <v>79</v>
      </c>
      <c r="I8" s="19">
        <f>COUNTIFS(c_qall,1)</f>
        <v>369</v>
      </c>
      <c r="J8" s="20">
        <f>H8/I8</f>
        <v>0.214092140921409</v>
      </c>
      <c r="K8" s="21">
        <f>(F8-J8)*100</f>
        <v>7.67665848403636</v>
      </c>
      <c r="L8" s="22">
        <f>SQRT(F8*(1-F8)/E8+J8*(1-J8)/I8)*100</f>
        <v>3.20521036114529</v>
      </c>
      <c r="M8" s="21">
        <f>K8-1.96*L8</f>
        <v>1.39444617619159</v>
      </c>
      <c r="N8" s="21">
        <f>K8+1.96*L8</f>
        <v>13.9588707918811</v>
      </c>
      <c r="O8" s="8" t="str">
        <f>IF(OR(ABS(M8)&lt;0.05,ABS(N8)&lt;0.05),"Borderline: CI edge at about 0",IF(OR(AND(M8&gt;0,N8&gt;0),AND(M8&lt;0,N8&lt;0)),"Clear: CI excludes 0","Not clear: CI includes 0"))</f>
        <v>Clear: CI excludes 0</v>
      </c>
      <c r="P8" s="10" t="inlineStr">
        <is>
          <t>x1: =COUNTIFS(c_qall,4,c_late,1)
n1: =COUNTIFS(c_qall,4)
x2: =COUNTIFS(c_qall,1,c_late,1)
n2: =COUNTIFS(c_qall,1)</t>
        </is>
      </c>
    </row>
    <row r="9" ht="80" customHeight="1">
      <c r="A9" s="8" t="inlineStr">
        <is>
          <t>T05</t>
        </is>
      </c>
      <c r="B9" s="8" t="inlineStr">
        <is>
          <t>H3: off-peak only</t>
        </is>
      </c>
      <c r="C9" s="8" t="inlineStr">
        <is>
          <t>Off-peak Q4: late</t>
        </is>
      </c>
      <c r="D9" s="19">
        <f>COUNTIFS(c_qop,4,c_late,1)</f>
        <v>79</v>
      </c>
      <c r="E9" s="19">
        <f>COUNTIFS(c_qop,4)</f>
        <v>292</v>
      </c>
      <c r="F9" s="20">
        <f>D9/E9</f>
        <v>0.27054794520548</v>
      </c>
      <c r="G9" s="8" t="inlineStr">
        <is>
          <t>Off-peak Q1: late</t>
        </is>
      </c>
      <c r="H9" s="19">
        <f>COUNTIFS(c_qop,1,c_late,1)</f>
        <v>65</v>
      </c>
      <c r="I9" s="19">
        <f>COUNTIFS(c_qop,1)</f>
        <v>300</v>
      </c>
      <c r="J9" s="20">
        <f>H9/I9</f>
        <v>0.216666666666667</v>
      </c>
      <c r="K9" s="21">
        <f>(F9-J9)*100</f>
        <v>5.38812785388128</v>
      </c>
      <c r="L9" s="22">
        <f>SQRT(F9*(1-F9)/E9+J9*(1-J9)/I9)*100</f>
        <v>3.52363862202005</v>
      </c>
      <c r="M9" s="21">
        <f>K9-1.96*L9</f>
        <v>-1.51820384527803</v>
      </c>
      <c r="N9" s="21">
        <f>K9+1.96*L9</f>
        <v>12.2944595530406</v>
      </c>
      <c r="O9" s="8" t="str">
        <f>IF(OR(ABS(M9)&lt;0.05,ABS(N9)&lt;0.05),"Borderline: CI edge at about 0",IF(OR(AND(M9&gt;0,N9&gt;0),AND(M9&lt;0,N9&lt;0)),"Clear: CI excludes 0","Not clear: CI includes 0"))</f>
        <v>Not clear: CI includes 0</v>
      </c>
      <c r="P9" s="10" t="inlineStr">
        <is>
          <t>x1: =COUNTIFS(c_qop,4,c_late,1)
n1: =COUNTIFS(c_qop,4)
x2: =COUNTIFS(c_qop,1,c_late,1)
n2: =COUNTIFS(c_qop,1)</t>
        </is>
      </c>
    </row>
    <row r="10" ht="80" customHeight="1">
      <c r="A10" s="8" t="inlineStr">
        <is>
          <t>T06</t>
        </is>
      </c>
      <c r="B10" s="8" t="inlineStr">
        <is>
          <t>H4: picking speed</t>
        </is>
      </c>
      <c r="C10" s="8" t="inlineStr">
        <is>
          <t>Slower-picking stores: late</t>
        </is>
      </c>
      <c r="D10" s="19">
        <f>COUNTIFS(c_slow,1,c_late,1)</f>
        <v>179</v>
      </c>
      <c r="E10" s="19">
        <f>COUNTIFS(c_slow,1,c_deliv,1)</f>
        <v>686</v>
      </c>
      <c r="F10" s="20">
        <f>D10/E10</f>
        <v>0.260932944606414</v>
      </c>
      <c r="G10" s="8" t="inlineStr">
        <is>
          <t>Faster-picking stores: late</t>
        </is>
      </c>
      <c r="H10" s="19">
        <f>COUNTIFS(c_slow,0,c_late,1)</f>
        <v>184</v>
      </c>
      <c r="I10" s="19">
        <f>COUNTIFS(c_slow,0,c_deliv,1)</f>
        <v>769</v>
      </c>
      <c r="J10" s="20">
        <f>H10/I10</f>
        <v>0.23927178153446</v>
      </c>
      <c r="K10" s="21">
        <f>(F10-J10)*100</f>
        <v>2.16611630719537</v>
      </c>
      <c r="L10" s="22">
        <f>SQRT(F10*(1-F10)/E10+J10*(1-J10)/I10)*100</f>
        <v>2.27555715614062</v>
      </c>
      <c r="M10" s="21">
        <f>K10-1.96*L10</f>
        <v>-2.29397571884025</v>
      </c>
      <c r="N10" s="21">
        <f>K10+1.96*L10</f>
        <v>6.62620833323098</v>
      </c>
      <c r="O10" s="8" t="str">
        <f>IF(OR(ABS(M10)&lt;0.05,ABS(N10)&lt;0.05),"Borderline: CI edge at about 0",IF(OR(AND(M10&gt;0,N10&gt;0),AND(M10&lt;0,N10&lt;0)),"Clear: CI excludes 0","Not clear: CI includes 0"))</f>
        <v>Not clear: CI includes 0</v>
      </c>
      <c r="P10" s="10" t="inlineStr">
        <is>
          <t>x1: =COUNTIFS(c_slow,1,c_late,1)
n1: =COUNTIFS(c_slow,1,c_deliv,1)
x2: =COUNTIFS(c_slow,0,c_late,1)
n2: =COUNTIFS(c_slow,0,c_deliv,1)</t>
        </is>
      </c>
    </row>
    <row r="11" ht="80" customHeight="1">
      <c r="A11" s="8" t="inlineStr">
        <is>
          <t>T07</t>
        </is>
      </c>
      <c r="B11" s="8" t="inlineStr">
        <is>
          <t>H6: new stores</t>
        </is>
      </c>
      <c r="C11" s="8" t="inlineStr">
        <is>
          <t>New stores (&lt;180 days): late</t>
        </is>
      </c>
      <c r="D11" s="19">
        <f>COUNTIFS(c_new,1,c_late,1)</f>
        <v>38</v>
      </c>
      <c r="E11" s="19">
        <f>COUNTIFS(c_new,1,c_deliv,1)</f>
        <v>149</v>
      </c>
      <c r="F11" s="20">
        <f>D11/E11</f>
        <v>0.25503355704698</v>
      </c>
      <c r="G11" s="8" t="inlineStr">
        <is>
          <t>Older stores: late</t>
        </is>
      </c>
      <c r="H11" s="19">
        <f>COUNTIFS(c_new,0,c_late,1)</f>
        <v>325</v>
      </c>
      <c r="I11" s="19">
        <f>COUNTIFS(c_new,0,c_deliv,1)</f>
        <v>1306</v>
      </c>
      <c r="J11" s="20">
        <f>H11/I11</f>
        <v>0.24885145482389</v>
      </c>
      <c r="K11" s="21">
        <f>(F11-J11)*100</f>
        <v>0.618210222309015</v>
      </c>
      <c r="L11" s="22">
        <f>SQRT(F11*(1-F11)/E11+J11*(1-J11)/I11)*100</f>
        <v>3.76594976878111</v>
      </c>
      <c r="M11" s="21">
        <f>K11-1.96*L11</f>
        <v>-6.76305132450196</v>
      </c>
      <c r="N11" s="21">
        <f>K11+1.96*L11</f>
        <v>7.99947176911999</v>
      </c>
      <c r="O11" s="8" t="str">
        <f>IF(OR(ABS(M11)&lt;0.05,ABS(N11)&lt;0.05),"Borderline: CI edge at about 0",IF(OR(AND(M11&gt;0,N11&gt;0),AND(M11&lt;0,N11&lt;0)),"Clear: CI excludes 0","Not clear: CI includes 0"))</f>
        <v>Not clear: CI includes 0</v>
      </c>
      <c r="P11" s="10" t="inlineStr">
        <is>
          <t>x1: =COUNTIFS(c_new,1,c_late,1)
n1: =COUNTIFS(c_new,1,c_deliv,1)
x2: =COUNTIFS(c_new,0,c_late,1)
n2: =COUNTIFS(c_new,0,c_deliv,1)</t>
        </is>
      </c>
    </row>
    <row r="12" ht="80" customHeight="1">
      <c r="A12" s="8" t="inlineStr">
        <is>
          <t>T08</t>
        </is>
      </c>
      <c r="B12" s="8" t="inlineStr">
        <is>
          <t>Other: distance</t>
        </is>
      </c>
      <c r="C12" s="8" t="inlineStr">
        <is>
          <t>Up to 1 km: late</t>
        </is>
      </c>
      <c r="D12" s="19">
        <f>COUNTIFS(c_dist,"&lt;=1",c_late,1)</f>
        <v>77</v>
      </c>
      <c r="E12" s="19">
        <f>COUNTIFS(c_dist,"&lt;=1")</f>
        <v>356</v>
      </c>
      <c r="F12" s="20">
        <f>D12/E12</f>
        <v>0.216292134831461</v>
      </c>
      <c r="G12" s="8" t="inlineStr">
        <is>
          <t>Over 4 km: late</t>
        </is>
      </c>
      <c r="H12" s="19">
        <f>COUNTIFS(c_dist,"&gt;4",c_late,1)</f>
        <v>21</v>
      </c>
      <c r="I12" s="19">
        <f>COUNTIFS(c_dist,"&gt;4")</f>
        <v>64</v>
      </c>
      <c r="J12" s="20">
        <f>H12/I12</f>
        <v>0.328125</v>
      </c>
      <c r="K12" s="21">
        <f>(F12-J12)*100</f>
        <v>-11.1832865168539</v>
      </c>
      <c r="L12" s="22">
        <f>SQRT(F12*(1-F12)/E12+J12*(1-J12)/I12)*100</f>
        <v>6.26164745666486</v>
      </c>
      <c r="M12" s="21">
        <f>K12-1.96*L12</f>
        <v>-23.4561155319171</v>
      </c>
      <c r="N12" s="21">
        <f>K12+1.96*L12</f>
        <v>1.08954249820919</v>
      </c>
      <c r="O12" s="8" t="str">
        <f>IF(OR(ABS(M12)&lt;0.05,ABS(N12)&lt;0.05),"Borderline: CI edge at about 0",IF(OR(AND(M12&gt;0,N12&gt;0),AND(M12&lt;0,N12&lt;0)),"Clear: CI excludes 0","Not clear: CI includes 0"))</f>
        <v>Not clear: CI includes 0</v>
      </c>
      <c r="P12" s="10" t="inlineStr">
        <is>
          <t>x1: =COUNTIFS(c_dist,"&lt;=1",c_late,1)
n1: =COUNTIFS(c_dist,"&lt;=1")
x2: =COUNTIFS(c_dist,"&gt;4",c_late,1)
n2: =COUNTIFS(c_dist,"&gt;4")</t>
        </is>
      </c>
    </row>
    <row r="13" ht="80" customHeight="1">
      <c r="A13" s="8" t="inlineStr">
        <is>
          <t>T09</t>
        </is>
      </c>
      <c r="B13" s="8" t="inlineStr">
        <is>
          <t>Other: event days</t>
        </is>
      </c>
      <c r="C13" s="8" t="inlineStr">
        <is>
          <t>Event days: late</t>
        </is>
      </c>
      <c r="D13" s="19">
        <f>COUNTIFS(c_event,1,c_late,1)</f>
        <v>9</v>
      </c>
      <c r="E13" s="19">
        <f>COUNTIFS(c_event,1,c_deliv,1)</f>
        <v>63</v>
      </c>
      <c r="F13" s="20">
        <f>D13/E13</f>
        <v>0.142857142857143</v>
      </c>
      <c r="G13" s="8" t="inlineStr">
        <is>
          <t>Other days: late</t>
        </is>
      </c>
      <c r="H13" s="19">
        <f>COUNTIFS(c_event,0,c_late,1)</f>
        <v>354</v>
      </c>
      <c r="I13" s="19">
        <f>COUNTIFS(c_event,0,c_deliv,1)</f>
        <v>1392</v>
      </c>
      <c r="J13" s="20">
        <f>H13/I13</f>
        <v>0.254310344827586</v>
      </c>
      <c r="K13" s="21">
        <f>(F13-J13)*100</f>
        <v>-11.1453201970443</v>
      </c>
      <c r="L13" s="22">
        <f>SQRT(F13*(1-F13)/E13+J13*(1-J13)/I13)*100</f>
        <v>4.56055674404717</v>
      </c>
      <c r="M13" s="21">
        <f>K13-1.96*L13</f>
        <v>-20.0840114153768</v>
      </c>
      <c r="N13" s="21">
        <f>K13+1.96*L13</f>
        <v>-2.20662897871187</v>
      </c>
      <c r="O13" s="8" t="str">
        <f>IF(OR(ABS(M13)&lt;0.05,ABS(N13)&lt;0.05),"Borderline: CI edge at about 0",IF(OR(AND(M13&gt;0,N13&gt;0),AND(M13&lt;0,N13&lt;0)),"Clear: CI excludes 0","Not clear: CI includes 0"))</f>
        <v>Clear: CI excludes 0</v>
      </c>
      <c r="P13" s="10" t="inlineStr">
        <is>
          <t>x1: =COUNTIFS(c_event,1,c_late,1)
n1: =COUNTIFS(c_event,1,c_deliv,1)
x2: =COUNTIFS(c_event,0,c_late,1)
n2: =COUNTIFS(c_event,0,c_deliv,1)</t>
        </is>
      </c>
    </row>
    <row r="14"/>
    <row r="15">
      <c r="A15" s="23" t="inlineStr">
        <is>
          <t>Note: the normal approximation is less reliable for small groups (for example 64 orders over 4 km, 63 on event days). "Not clear" means the data cannot tell the groups apart; it does not prove they are the same.</t>
        </is>
      </c>
    </row>
    <row r="16"/>
    <row r="17"/>
    <row r="18"/>
    <row r="19"/>
  </sheetData>
  <autoFilter ref="A4:P13"/>
  <conditionalFormatting sqref="O5:O20">
    <cfRule type="cellIs" priority="1" operator="equal" dxfId="0">
      <formula>"Clear: CI excludes 0"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C831F"/>
    <outlinePr summaryBelow="1" summaryRight="1"/>
    <pageSetUpPr/>
  </sheetPr>
  <dimension ref="A1:P19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20" customWidth="1" min="3" max="3"/>
    <col width="10" customWidth="1" min="4" max="4"/>
    <col width="8" customWidth="1" min="5" max="5"/>
    <col width="7" customWidth="1" min="6" max="6"/>
    <col width="20" customWidth="1" min="7" max="7"/>
    <col width="10" customWidth="1" min="8" max="8"/>
    <col width="8" customWidth="1" min="9" max="9"/>
    <col width="7" customWidth="1" min="10" max="10"/>
    <col width="12" customWidth="1" min="11" max="11"/>
    <col width="9" customWidth="1" min="12" max="12"/>
    <col width="11" customWidth="1" min="13" max="13"/>
    <col width="11" customWidth="1" min="14" max="14"/>
    <col width="24" customWidth="1" min="15" max="15"/>
    <col width="34" customWidth="1" min="16" max="16"/>
  </cols>
  <sheetData>
    <row r="1" ht="26" customHeight="1">
      <c r="A1" s="4" t="inlineStr">
        <is>
          <t>Tests_Means: differences between two averages, with 95% confidence intervals</t>
        </is>
      </c>
    </row>
    <row r="2" ht="18" customHeight="1">
      <c r="A2" s="5" t="inlineStr">
        <is>
          <t>Method: Welch-style normal approximation. SE = √(s1²/n1 + s2²/n2) using sample SD (STDEV); 95% CI = (m1 − m2) ± 1.96 × SE. Stage times are estimates.</t>
        </is>
      </c>
    </row>
    <row r="4" ht="32" customHeight="1">
      <c r="A4" s="6" t="inlineStr">
        <is>
          <t>ID</t>
        </is>
      </c>
      <c r="B4" s="6" t="inlineStr">
        <is>
          <t>Used for</t>
        </is>
      </c>
      <c r="C4" s="6" t="inlineStr">
        <is>
          <t>Group A</t>
        </is>
      </c>
      <c r="D4" s="6" t="inlineStr">
        <is>
          <t>Mean A (min)</t>
        </is>
      </c>
      <c r="E4" s="6" t="inlineStr">
        <is>
          <t>SD A</t>
        </is>
      </c>
      <c r="F4" s="6" t="inlineStr">
        <is>
          <t>n A</t>
        </is>
      </c>
      <c r="G4" s="6" t="inlineStr">
        <is>
          <t>Group B</t>
        </is>
      </c>
      <c r="H4" s="6" t="inlineStr">
        <is>
          <t>Mean B (min)</t>
        </is>
      </c>
      <c r="I4" s="6" t="inlineStr">
        <is>
          <t>SD B</t>
        </is>
      </c>
      <c r="J4" s="6" t="inlineStr">
        <is>
          <t>n B</t>
        </is>
      </c>
      <c r="K4" s="6" t="inlineStr">
        <is>
          <t>Difference A − B (min)</t>
        </is>
      </c>
      <c r="L4" s="6" t="inlineStr">
        <is>
          <t>SE (min)</t>
        </is>
      </c>
      <c r="M4" s="6" t="inlineStr">
        <is>
          <t>95% CI low (min)</t>
        </is>
      </c>
      <c r="N4" s="6" t="inlineStr">
        <is>
          <t>95% CI high (min)</t>
        </is>
      </c>
      <c r="O4" s="6" t="inlineStr">
        <is>
          <t>Reading</t>
        </is>
      </c>
      <c r="P4" s="6" t="inlineStr">
        <is>
          <t>Inputs</t>
        </is>
      </c>
    </row>
    <row r="5" ht="46" customHeight="1">
      <c r="A5" s="8" t="inlineStr">
        <is>
          <t>U01</t>
        </is>
      </c>
      <c r="B5" s="8" t="inlineStr">
        <is>
          <t>H1: estimated rider wait</t>
        </is>
      </c>
      <c r="C5" s="8" t="inlineStr">
        <is>
          <t>Peak</t>
        </is>
      </c>
      <c r="D5" s="24">
        <f>AVERAGE(c_wpk)</f>
        <v>4.41376811594203</v>
      </c>
      <c r="E5" s="22">
        <f>STDEV(c_wpk)</f>
        <v>2.31561315748662</v>
      </c>
      <c r="F5" s="19">
        <f>COUNT(c_wpk)</f>
        <v>276</v>
      </c>
      <c r="G5" s="8" t="inlineStr">
        <is>
          <t>Off-peak</t>
        </is>
      </c>
      <c r="H5" s="24">
        <f>AVERAGE(c_wop)</f>
        <v>3.39372349448685</v>
      </c>
      <c r="I5" s="22">
        <f>STDEV(c_wop)</f>
        <v>1.86339357476662</v>
      </c>
      <c r="J5" s="19">
        <f>COUNT(c_wop)</f>
        <v>1179</v>
      </c>
      <c r="K5" s="15">
        <f>D5-H5</f>
        <v>1.02004462145518</v>
      </c>
      <c r="L5" s="22">
        <f>SQRT(E5^2/F5+I5^2/J5)</f>
        <v>0.149575524603922</v>
      </c>
      <c r="M5" s="15">
        <f>K5-1.96*L5</f>
        <v>0.726876593231489</v>
      </c>
      <c r="N5" s="15">
        <f>K5+1.96*L5</f>
        <v>1.31321264967886</v>
      </c>
      <c r="O5" s="8" t="str">
        <f>IF(OR(AND(M5&gt;0,N5&gt;0),AND(M5&lt;0,N5&lt;0)),"Clear: CI excludes 0","Not clear: CI includes 0")</f>
        <v>Clear: CI excludes 0</v>
      </c>
      <c r="P5" s="10" t="inlineStr">
        <is>
          <t>Calc_Orders ranges c_wpk and c_wop (delivered orders only)</t>
        </is>
      </c>
    </row>
    <row r="6" ht="46" customHeight="1">
      <c r="A6" s="8" t="inlineStr">
        <is>
          <t>U02</t>
        </is>
      </c>
      <c r="B6" s="8" t="inlineStr">
        <is>
          <t>H1: estimated picking</t>
        </is>
      </c>
      <c r="C6" s="8" t="inlineStr">
        <is>
          <t>Peak</t>
        </is>
      </c>
      <c r="D6" s="24">
        <f>AVERAGE(c_ppk)</f>
        <v>3.16195652173913</v>
      </c>
      <c r="E6" s="22">
        <f>STDEV(c_ppk)</f>
        <v>1.52204472933707</v>
      </c>
      <c r="F6" s="19">
        <f>COUNT(c_ppk)</f>
        <v>276</v>
      </c>
      <c r="G6" s="8" t="inlineStr">
        <is>
          <t>Off-peak</t>
        </is>
      </c>
      <c r="H6" s="24">
        <f>AVERAGE(c_pop)</f>
        <v>3.69143341815098</v>
      </c>
      <c r="I6" s="22">
        <f>STDEV(c_pop)</f>
        <v>1.38578873654889</v>
      </c>
      <c r="J6" s="19">
        <f>COUNT(c_pop)</f>
        <v>1179</v>
      </c>
      <c r="K6" s="15">
        <f>D6-H6</f>
        <v>-0.529476896411845</v>
      </c>
      <c r="L6" s="22">
        <f>SQRT(E6^2/F6+I6^2/J6)</f>
        <v>0.100111928039397</v>
      </c>
      <c r="M6" s="15">
        <f>K6-1.96*L6</f>
        <v>-0.725696275369062</v>
      </c>
      <c r="N6" s="15">
        <f>K6+1.96*L6</f>
        <v>-0.333257517454627</v>
      </c>
      <c r="O6" s="8" t="str">
        <f>IF(OR(AND(M6&gt;0,N6&gt;0),AND(M6&lt;0,N6&lt;0)),"Clear: CI excludes 0","Not clear: CI includes 0")</f>
        <v>Clear: CI excludes 0</v>
      </c>
      <c r="P6" s="10" t="inlineStr">
        <is>
          <t>Calc_Orders ranges c_ppk and c_pop (delivered orders only)</t>
        </is>
      </c>
    </row>
    <row r="7" ht="46" customHeight="1">
      <c r="A7" s="8" t="inlineStr">
        <is>
          <t>U03</t>
        </is>
      </c>
      <c r="B7" s="8" t="inlineStr">
        <is>
          <t>H2: promised minutes</t>
        </is>
      </c>
      <c r="C7" s="8" t="inlineStr">
        <is>
          <t>Peak</t>
        </is>
      </c>
      <c r="D7" s="24">
        <f>AVERAGE(c_prpk)</f>
        <v>9.6018115942029</v>
      </c>
      <c r="E7" s="22">
        <f>STDEV(c_prpk)</f>
        <v>1.16280084154659</v>
      </c>
      <c r="F7" s="19">
        <f>COUNT(c_prpk)</f>
        <v>276</v>
      </c>
      <c r="G7" s="8" t="inlineStr">
        <is>
          <t>Off-peak</t>
        </is>
      </c>
      <c r="H7" s="24">
        <f>AVERAGE(c_prop)</f>
        <v>10.5035623409669</v>
      </c>
      <c r="I7" s="22">
        <f>STDEV(c_prop)</f>
        <v>1.2568201170391</v>
      </c>
      <c r="J7" s="19">
        <f>COUNT(c_prop)</f>
        <v>1179</v>
      </c>
      <c r="K7" s="15">
        <f>D7-H7</f>
        <v>-0.901750746764023</v>
      </c>
      <c r="L7" s="22">
        <f>SQRT(E7^2/F7+I7^2/J7)</f>
        <v>0.0789855101460269</v>
      </c>
      <c r="M7" s="15">
        <f>K7-1.96*L7</f>
        <v>-1.05656234665024</v>
      </c>
      <c r="N7" s="15">
        <f>K7+1.96*L7</f>
        <v>-0.74693914687781</v>
      </c>
      <c r="O7" s="8" t="str">
        <f>IF(OR(AND(M7&gt;0,N7&gt;0),AND(M7&lt;0,N7&lt;0)),"Clear: CI excludes 0","Not clear: CI includes 0")</f>
        <v>Clear: CI excludes 0</v>
      </c>
      <c r="P7" s="10" t="inlineStr">
        <is>
          <t>Calc_Orders ranges c_prpk and c_prop (delivered orders only)</t>
        </is>
      </c>
    </row>
    <row r="8" ht="46" customHeight="1">
      <c r="A8" s="8" t="inlineStr">
        <is>
          <t>U04</t>
        </is>
      </c>
      <c r="B8" s="8" t="inlineStr">
        <is>
          <t>H2: actual minutes</t>
        </is>
      </c>
      <c r="C8" s="8" t="inlineStr">
        <is>
          <t>Peak</t>
        </is>
      </c>
      <c r="D8" s="24">
        <f>AVERAGE(c_acpk)</f>
        <v>11.7782608695652</v>
      </c>
      <c r="E8" s="22">
        <f>STDEV(c_acpk)</f>
        <v>4.92658449461782</v>
      </c>
      <c r="F8" s="19">
        <f>COUNT(c_acpk)</f>
        <v>276</v>
      </c>
      <c r="G8" s="8" t="inlineStr">
        <is>
          <t>Off-peak</t>
        </is>
      </c>
      <c r="H8" s="24">
        <f>AVERAGE(c_acop)</f>
        <v>11.20491942324</v>
      </c>
      <c r="I8" s="22">
        <f>STDEV(c_acop)</f>
        <v>3.34719702153491</v>
      </c>
      <c r="J8" s="19">
        <f>COUNT(c_acop)</f>
        <v>1179</v>
      </c>
      <c r="K8" s="15">
        <f>D8-H8</f>
        <v>0.573341446325184</v>
      </c>
      <c r="L8" s="22">
        <f>SQRT(E8^2/F8+I8^2/J8)</f>
        <v>0.312157002625634</v>
      </c>
      <c r="M8" s="15">
        <f>K8-1.96*L8</f>
        <v>-0.0384862788210588</v>
      </c>
      <c r="N8" s="15">
        <f>K8+1.96*L8</f>
        <v>1.18516917147143</v>
      </c>
      <c r="O8" s="8" t="str">
        <f>IF(OR(AND(M8&gt;0,N8&gt;0),AND(M8&lt;0,N8&lt;0)),"Clear: CI excludes 0","Not clear: CI includes 0")</f>
        <v>Not clear: CI includes 0</v>
      </c>
      <c r="P8" s="10" t="inlineStr">
        <is>
          <t>Calc_Orders ranges c_acpk and c_acop (delivered orders only)</t>
        </is>
      </c>
    </row>
    <row r="9"/>
    <row r="10"/>
    <row r="11"/>
    <row r="12"/>
    <row r="13"/>
    <row r="14"/>
    <row r="15"/>
    <row r="16"/>
    <row r="17"/>
    <row r="18"/>
    <row r="19"/>
  </sheetData>
  <autoFilter ref="A4:P8"/>
  <conditionalFormatting sqref="O5:O20">
    <cfRule type="cellIs" priority="1" operator="equal" dxfId="0">
      <formula>"Clear: CI excludes 0"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C831F"/>
    <outlinePr summaryBelow="1" summaryRight="1"/>
    <pageSetUpPr/>
  </sheetPr>
  <dimension ref="A1:O19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2" customWidth="1" min="4" max="4"/>
    <col width="12" customWidth="1" min="5" max="5"/>
    <col width="8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24" customWidth="1" min="12" max="12"/>
    <col width="40" customWidth="1" min="13" max="13"/>
  </cols>
  <sheetData>
    <row r="1" ht="26" customHeight="1">
      <c r="A1" s="4" t="inlineStr">
        <is>
          <t>Tests_Correlations: straight-line association (r) with 95% confidence intervals</t>
        </is>
      </c>
    </row>
    <row r="2" ht="18" customHeight="1">
      <c r="A2" s="5" t="inlineStr">
        <is>
          <t>Method: Fisher z. z = FISHER(r); SE = 1/√(n − 3); CI = FISHERINV(z ± 1.96 × SE). r near 0 = no clear straight-line association, not proof of no relationship.</t>
        </is>
      </c>
    </row>
    <row r="4" ht="32" customHeight="1">
      <c r="A4" s="6" t="inlineStr">
        <is>
          <t>ID</t>
        </is>
      </c>
      <c r="B4" s="6" t="inlineStr">
        <is>
          <t>Used for</t>
        </is>
      </c>
      <c r="C4" s="6" t="inlineStr">
        <is>
          <t>Measure X</t>
        </is>
      </c>
      <c r="D4" s="6" t="inlineStr">
        <is>
          <t>Measure Y</t>
        </is>
      </c>
      <c r="E4" s="6" t="inlineStr">
        <is>
          <t>Level</t>
        </is>
      </c>
      <c r="F4" s="6" t="inlineStr">
        <is>
          <t>n (pairs)</t>
        </is>
      </c>
      <c r="G4" s="6" t="inlineStr">
        <is>
          <t>r</t>
        </is>
      </c>
      <c r="H4" s="6" t="inlineStr">
        <is>
          <t>z = FISHER(r)</t>
        </is>
      </c>
      <c r="I4" s="6" t="inlineStr">
        <is>
          <t>SE = 1/√(n−3)</t>
        </is>
      </c>
      <c r="J4" s="6" t="inlineStr">
        <is>
          <t>95% CI low (r)</t>
        </is>
      </c>
      <c r="K4" s="6" t="inlineStr">
        <is>
          <t>95% CI high (r)</t>
        </is>
      </c>
      <c r="L4" s="6" t="inlineStr">
        <is>
          <t>Reading</t>
        </is>
      </c>
      <c r="M4" s="6" t="inlineStr">
        <is>
          <t>Formula for r</t>
        </is>
      </c>
    </row>
    <row r="5" ht="34" customHeight="1">
      <c r="A5" s="8" t="inlineStr">
        <is>
          <t>R01</t>
        </is>
      </c>
      <c r="B5" s="8" t="inlineStr">
        <is>
          <t>H4: store picking</t>
        </is>
      </c>
      <c r="C5" s="8" t="inlineStr">
        <is>
          <t>Store avg picking (min)</t>
        </is>
      </c>
      <c r="D5" s="8" t="inlineStr">
        <is>
          <t>Store late rate</t>
        </is>
      </c>
      <c r="E5" s="8" t="inlineStr">
        <is>
          <t>Store (20)</t>
        </is>
      </c>
      <c r="F5" s="19">
        <f>SUMPRODUCT(ISNUMBER(s_pick)*ISNUMBER(s_late_rate))</f>
        <v>20</v>
      </c>
      <c r="G5" s="15">
        <f>CORREL(s_pick,s_late_rate)</f>
        <v>0.42604665793221</v>
      </c>
      <c r="H5" s="25">
        <f>FISHER(G5)</f>
        <v>0.455056606233498</v>
      </c>
      <c r="I5" s="25">
        <f>1/SQRT(F5-3)</f>
        <v>0.242535625036333</v>
      </c>
      <c r="J5" s="15">
        <f>FISHERINV(H5-1.96*I5)</f>
        <v>-0.0203104253722115</v>
      </c>
      <c r="K5" s="15">
        <f>FISHERINV(H5+1.96*I5)</f>
        <v>0.730792650320821</v>
      </c>
      <c r="L5" s="8" t="str">
        <f>IF(OR(AND(J5&gt;0,K5&gt;0),AND(J5&lt;0,K5&lt;0)),"Clear: CI excludes 0","No clear evidence: CI includes 0")</f>
        <v>No clear evidence: CI includes 0</v>
      </c>
      <c r="M5" s="10" t="inlineStr">
        <is>
          <t>=CORREL(s_pick,s_late_rate)</t>
        </is>
      </c>
    </row>
    <row r="6" ht="34" customHeight="1">
      <c r="A6" s="8" t="inlineStr">
        <is>
          <t>R02</t>
        </is>
      </c>
      <c r="B6" s="8" t="inlineStr">
        <is>
          <t>H4: staffing</t>
        </is>
      </c>
      <c r="C6" s="8" t="inlineStr">
        <is>
          <t>Staff per shift</t>
        </is>
      </c>
      <c r="D6" s="8" t="inlineStr">
        <is>
          <t>Store late rate</t>
        </is>
      </c>
      <c r="E6" s="8" t="inlineStr">
        <is>
          <t>Store (20)</t>
        </is>
      </c>
      <c r="F6" s="19">
        <f>SUMPRODUCT(ISNUMBER(s_staff)*ISNUMBER(s_late_rate))</f>
        <v>20</v>
      </c>
      <c r="G6" s="15">
        <f>CORREL(s_staff,s_late_rate)</f>
        <v>-0.0648485276661334</v>
      </c>
      <c r="H6" s="25">
        <f>FISHER(G6)</f>
        <v>-0.0649396609104394</v>
      </c>
      <c r="I6" s="25">
        <f>1/SQRT(F6-3)</f>
        <v>0.242535625036333</v>
      </c>
      <c r="J6" s="15">
        <f>FISHERINV(H6-1.96*I6)</f>
        <v>-0.493222200325407</v>
      </c>
      <c r="K6" s="15">
        <f>FISHERINV(H6+1.96*I6)</f>
        <v>0.388837866815385</v>
      </c>
      <c r="L6" s="8" t="str">
        <f>IF(OR(AND(J6&gt;0,K6&gt;0),AND(J6&lt;0,K6&lt;0)),"Clear: CI excludes 0","No clear evidence: CI includes 0")</f>
        <v>No clear evidence: CI includes 0</v>
      </c>
      <c r="M6" s="10" t="inlineStr">
        <is>
          <t>=CORREL(s_staff,s_late_rate)</t>
        </is>
      </c>
    </row>
    <row r="7" ht="34" customHeight="1">
      <c r="A7" s="8" t="inlineStr">
        <is>
          <t>R03</t>
        </is>
      </c>
      <c r="B7" s="8" t="inlineStr">
        <is>
          <t>H4: item availability</t>
        </is>
      </c>
      <c r="C7" s="8" t="inlineStr">
        <is>
          <t>Item availability</t>
        </is>
      </c>
      <c r="D7" s="8" t="inlineStr">
        <is>
          <t>Store late rate</t>
        </is>
      </c>
      <c r="E7" s="8" t="inlineStr">
        <is>
          <t>Store (20)</t>
        </is>
      </c>
      <c r="F7" s="19">
        <f>SUMPRODUCT(ISNUMBER(s_avail)*ISNUMBER(s_late_rate))</f>
        <v>20</v>
      </c>
      <c r="G7" s="15">
        <f>CORREL(s_avail,s_late_rate)</f>
        <v>0.158082305348185</v>
      </c>
      <c r="H7" s="25">
        <f>FISHER(G7)</f>
        <v>0.159419235696304</v>
      </c>
      <c r="I7" s="25">
        <f>1/SQRT(F7-3)</f>
        <v>0.242535625036333</v>
      </c>
      <c r="J7" s="15">
        <f>FISHERINV(H7-1.96*I7)</f>
        <v>-0.305840847264828</v>
      </c>
      <c r="K7" s="15">
        <f>FISHERINV(H7+1.96*I7)</f>
        <v>0.561341041444894</v>
      </c>
      <c r="L7" s="8" t="str">
        <f>IF(OR(AND(J7&gt;0,K7&gt;0),AND(J7&lt;0,K7&lt;0)),"Clear: CI excludes 0","No clear evidence: CI includes 0")</f>
        <v>No clear evidence: CI includes 0</v>
      </c>
      <c r="M7" s="10" t="inlineStr">
        <is>
          <t>=CORREL(s_avail,s_late_rate)</t>
        </is>
      </c>
    </row>
    <row r="8" ht="34" customHeight="1">
      <c r="A8" s="8" t="inlineStr">
        <is>
          <t>R04</t>
        </is>
      </c>
      <c r="B8" s="8" t="inlineStr">
        <is>
          <t>H6: store age</t>
        </is>
      </c>
      <c r="C8" s="8" t="inlineStr">
        <is>
          <t>Store age (days)</t>
        </is>
      </c>
      <c r="D8" s="8" t="inlineStr">
        <is>
          <t>Store late rate</t>
        </is>
      </c>
      <c r="E8" s="8" t="inlineStr">
        <is>
          <t>Store (20)</t>
        </is>
      </c>
      <c r="F8" s="19">
        <f>SUMPRODUCT(ISNUMBER(s_age)*ISNUMBER(s_late_rate))</f>
        <v>20</v>
      </c>
      <c r="G8" s="15">
        <f>CORREL(s_age,s_late_rate)</f>
        <v>0.108632455056752</v>
      </c>
      <c r="H8" s="25">
        <f>FISHER(G8)</f>
        <v>0.109062830752464</v>
      </c>
      <c r="I8" s="25">
        <f>1/SQRT(F8-3)</f>
        <v>0.242535625036333</v>
      </c>
      <c r="J8" s="15">
        <f>FISHERINV(H8-1.96*I8)</f>
        <v>-0.35075726415819</v>
      </c>
      <c r="K8" s="15">
        <f>FISHERINV(H8+1.96*I8)</f>
        <v>0.525879708473251</v>
      </c>
      <c r="L8" s="8" t="str">
        <f>IF(OR(AND(J8&gt;0,K8&gt;0),AND(J8&lt;0,K8&lt;0)),"Clear: CI excludes 0","No clear evidence: CI includes 0")</f>
        <v>No clear evidence: CI includes 0</v>
      </c>
      <c r="M8" s="10" t="inlineStr">
        <is>
          <t>=CORREL(s_age,s_late_rate)</t>
        </is>
      </c>
    </row>
    <row r="9" ht="34" customHeight="1">
      <c r="A9" s="8" t="inlineStr">
        <is>
          <t>R05</t>
        </is>
      </c>
      <c r="B9" s="8" t="inlineStr">
        <is>
          <t>H5: tickets</t>
        </is>
      </c>
      <c r="C9" s="8" t="inlineStr">
        <is>
          <t>Customer late share</t>
        </is>
      </c>
      <c r="D9" s="8" t="inlineStr">
        <is>
          <t>Support tickets</t>
        </is>
      </c>
      <c r="E9" s="8" t="inlineStr">
        <is>
          <t>Customer (250)</t>
        </is>
      </c>
      <c r="F9" s="19">
        <f>SUMPRODUCT(ISNUMBER(cu_late_share)*ISNUMBER(cu_tickets))</f>
        <v>250</v>
      </c>
      <c r="G9" s="15">
        <f>CORREL(cu_late_share,cu_tickets)</f>
        <v>0.0231258491474146</v>
      </c>
      <c r="H9" s="25">
        <f>FISHER(G9)</f>
        <v>0.0231299730765982</v>
      </c>
      <c r="I9" s="25">
        <f>1/SQRT(F9-3)</f>
        <v>0.0636284762975778</v>
      </c>
      <c r="J9" s="15">
        <f>FISHERINV(H9-1.96*I9)</f>
        <v>-0.101233873367763</v>
      </c>
      <c r="K9" s="15">
        <f>FISHERINV(H9+1.96*I9)</f>
        <v>0.146773985770402</v>
      </c>
      <c r="L9" s="8" t="str">
        <f>IF(OR(AND(J9&gt;0,K9&gt;0),AND(J9&lt;0,K9&lt;0)),"Clear: CI excludes 0","No clear evidence: CI includes 0")</f>
        <v>No clear evidence: CI includes 0</v>
      </c>
      <c r="M9" s="10" t="inlineStr">
        <is>
          <t>=CORREL(cu_late_share,cu_tickets)</t>
        </is>
      </c>
    </row>
    <row r="10" ht="34" customHeight="1">
      <c r="A10" s="8" t="inlineStr">
        <is>
          <t>R06</t>
        </is>
      </c>
      <c r="B10" s="8" t="inlineStr">
        <is>
          <t>H5: refunds</t>
        </is>
      </c>
      <c r="C10" s="8" t="inlineStr">
        <is>
          <t>Customer late share</t>
        </is>
      </c>
      <c r="D10" s="8" t="inlineStr">
        <is>
          <t>Refunds and credits</t>
        </is>
      </c>
      <c r="E10" s="8" t="inlineStr">
        <is>
          <t>Customer (250)</t>
        </is>
      </c>
      <c r="F10" s="19">
        <f>SUMPRODUCT(ISNUMBER(cu_late_share)*ISNUMBER(cu_refunds))</f>
        <v>250</v>
      </c>
      <c r="G10" s="15">
        <f>CORREL(cu_late_share,cu_refunds)</f>
        <v>0.0846047309847426</v>
      </c>
      <c r="H10" s="25">
        <f>FISHER(G10)</f>
        <v>0.084807468184879</v>
      </c>
      <c r="I10" s="25">
        <f>1/SQRT(F10-3)</f>
        <v>0.0636284762975778</v>
      </c>
      <c r="J10" s="15">
        <f>FISHERINV(H10-1.96*I10)</f>
        <v>-0.0398831781889381</v>
      </c>
      <c r="K10" s="15">
        <f>FISHERINV(H10+1.96*I10)</f>
        <v>0.206506327339929</v>
      </c>
      <c r="L10" s="8" t="str">
        <f>IF(OR(AND(J10&gt;0,K10&gt;0),AND(J10&lt;0,K10&lt;0)),"Clear: CI excludes 0","No clear evidence: CI includes 0")</f>
        <v>No clear evidence: CI includes 0</v>
      </c>
      <c r="M10" s="10" t="inlineStr">
        <is>
          <t>=CORREL(cu_late_share,cu_refunds)</t>
        </is>
      </c>
    </row>
    <row r="11" ht="34" customHeight="1">
      <c r="A11" s="8" t="inlineStr">
        <is>
          <t>R07</t>
        </is>
      </c>
      <c r="B11" s="8" t="inlineStr">
        <is>
          <t>H5: rating</t>
        </is>
      </c>
      <c r="C11" s="8" t="inlineStr">
        <is>
          <t>Customer late share</t>
        </is>
      </c>
      <c r="D11" s="8" t="inlineStr">
        <is>
          <t>Average rating</t>
        </is>
      </c>
      <c r="E11" s="8" t="inlineStr">
        <is>
          <t>Customer (250)</t>
        </is>
      </c>
      <c r="F11" s="19">
        <f>SUMPRODUCT(ISNUMBER(cu_late_share)*ISNUMBER(cu_rating))</f>
        <v>250</v>
      </c>
      <c r="G11" s="15">
        <f>CORREL(cu_late_share,cu_rating)</f>
        <v>0.0796528235216581</v>
      </c>
      <c r="H11" s="25">
        <f>FISHER(G11)</f>
        <v>0.0798219220704896</v>
      </c>
      <c r="I11" s="25">
        <f>1/SQRT(F11-3)</f>
        <v>0.0636284762975778</v>
      </c>
      <c r="J11" s="15">
        <f>FISHERINV(H11-1.96*I11)</f>
        <v>-0.0448597631818035</v>
      </c>
      <c r="K11" s="15">
        <f>FISHERINV(H11+1.96*I11)</f>
        <v>0.201728509756052</v>
      </c>
      <c r="L11" s="8" t="str">
        <f>IF(OR(AND(J11&gt;0,K11&gt;0),AND(J11&lt;0,K11&lt;0)),"Clear: CI excludes 0","No clear evidence: CI includes 0")</f>
        <v>No clear evidence: CI includes 0</v>
      </c>
      <c r="M11" s="10" t="inlineStr">
        <is>
          <t>=CORREL(cu_late_share,cu_rating)</t>
        </is>
      </c>
    </row>
    <row r="12" ht="34" customHeight="1">
      <c r="A12" s="8" t="inlineStr">
        <is>
          <t>R08</t>
        </is>
      </c>
      <c r="B12" s="8" t="inlineStr">
        <is>
          <t>Other: traffic</t>
        </is>
      </c>
      <c r="C12" s="8" t="inlineStr">
        <is>
          <t>Late (1/0)</t>
        </is>
      </c>
      <c r="D12" s="8" t="inlineStr">
        <is>
          <t>Traffic index</t>
        </is>
      </c>
      <c r="E12" s="8" t="inlineStr">
        <is>
          <t>Delivered order</t>
        </is>
      </c>
      <c r="F12" s="19">
        <f>SUMPRODUCT(ISNUMBER(c_late)*ISNUMBER(c_traf))</f>
        <v>1455</v>
      </c>
      <c r="G12" s="15">
        <f>CORREL(c_late,c_traf)</f>
        <v>0.0191114029002611</v>
      </c>
      <c r="H12" s="25">
        <f>FISHER(G12)</f>
        <v>0.0191137301963461</v>
      </c>
      <c r="I12" s="25">
        <f>1/SQRT(F12-3)</f>
        <v>0.0262431940540739</v>
      </c>
      <c r="J12" s="15">
        <f>FISHERINV(H12-1.96*I12)</f>
        <v>-0.0323116781564719</v>
      </c>
      <c r="K12" s="15">
        <f>FISHERINV(H12+1.96*I12)</f>
        <v>0.0704335716090123</v>
      </c>
      <c r="L12" s="8" t="str">
        <f>IF(OR(AND(J12&gt;0,K12&gt;0),AND(J12&lt;0,K12&lt;0)),"Clear: CI excludes 0","No clear evidence: CI includes 0")</f>
        <v>No clear evidence: CI includes 0</v>
      </c>
      <c r="M12" s="10" t="inlineStr">
        <is>
          <t>=CORREL(c_late,c_traf)</t>
        </is>
      </c>
    </row>
    <row r="13" ht="34" customHeight="1">
      <c r="A13" s="8" t="inlineStr">
        <is>
          <t>R09</t>
        </is>
      </c>
      <c r="B13" s="8" t="inlineStr">
        <is>
          <t>H2: promise vs distance</t>
        </is>
      </c>
      <c r="C13" s="8" t="inlineStr">
        <is>
          <t>Promised minutes</t>
        </is>
      </c>
      <c r="D13" s="8" t="inlineStr">
        <is>
          <t>Distance km</t>
        </is>
      </c>
      <c r="E13" s="8" t="inlineStr">
        <is>
          <t>Delivered order</t>
        </is>
      </c>
      <c r="F13" s="19">
        <f>SUMPRODUCT(ISNUMBER(c_prom)*ISNUMBER(c_dist))</f>
        <v>1455</v>
      </c>
      <c r="G13" s="15">
        <f>CORREL(c_prom,c_dist)</f>
        <v>0.325497194674212</v>
      </c>
      <c r="H13" s="25">
        <f>FISHER(G13)</f>
        <v>0.337783537270144</v>
      </c>
      <c r="I13" s="25">
        <f>1/SQRT(F13-3)</f>
        <v>0.0262431940540739</v>
      </c>
      <c r="J13" s="15">
        <f>FISHERINV(H13-1.96*I13)</f>
        <v>0.27876902432715</v>
      </c>
      <c r="K13" s="15">
        <f>FISHERINV(H13+1.96*I13)</f>
        <v>0.370687772207898</v>
      </c>
      <c r="L13" s="8" t="str">
        <f>IF(OR(AND(J13&gt;0,K13&gt;0),AND(J13&lt;0,K13&lt;0)),"Clear: CI excludes 0","No clear evidence: CI includes 0")</f>
        <v>Clear: CI excludes 0</v>
      </c>
      <c r="M13" s="10" t="inlineStr">
        <is>
          <t>=CORREL(c_prom,c_dist)</t>
        </is>
      </c>
    </row>
    <row r="14" ht="34" customHeight="1">
      <c r="A14" s="8" t="inlineStr">
        <is>
          <t>R10</t>
        </is>
      </c>
      <c r="B14" s="8" t="inlineStr">
        <is>
          <t>Stages: picking vs wait</t>
        </is>
      </c>
      <c r="C14" s="8" t="inlineStr">
        <is>
          <t>Picking est.</t>
        </is>
      </c>
      <c r="D14" s="8" t="inlineStr">
        <is>
          <t>Wait est.</t>
        </is>
      </c>
      <c r="E14" s="8" t="inlineStr">
        <is>
          <t>Delivered order</t>
        </is>
      </c>
      <c r="F14" s="19">
        <f>SUMPRODUCT(ISNUMBER(c_pick)*ISNUMBER(c_wait))</f>
        <v>1455</v>
      </c>
      <c r="G14" s="15">
        <f>CORREL(c_pick,c_wait)</f>
        <v>0.151647631191937</v>
      </c>
      <c r="H14" s="25">
        <f>FISHER(G14)</f>
        <v>0.152826420013278</v>
      </c>
      <c r="I14" s="25">
        <f>1/SQRT(F14-3)</f>
        <v>0.0262431940540739</v>
      </c>
      <c r="J14" s="15">
        <f>FISHERINV(H14-1.96*I14)</f>
        <v>0.101043757375021</v>
      </c>
      <c r="K14" s="15">
        <f>FISHERINV(H14+1.96*I14)</f>
        <v>0.201468854481954</v>
      </c>
      <c r="L14" s="8" t="str">
        <f>IF(OR(AND(J14&gt;0,K14&gt;0),AND(J14&lt;0,K14&lt;0)),"Clear: CI excludes 0","No clear evidence: CI includes 0")</f>
        <v>Clear: CI excludes 0</v>
      </c>
      <c r="M14" s="10" t="inlineStr">
        <is>
          <t>=CORREL(c_pick,c_wait)</t>
        </is>
      </c>
    </row>
    <row r="15"/>
    <row r="16"/>
    <row r="17"/>
    <row r="18"/>
    <row r="19"/>
  </sheetData>
  <autoFilter ref="A4:M14"/>
  <conditionalFormatting sqref="O5:O20">
    <cfRule type="cellIs" priority="1" operator="equal" dxfId="0">
      <formula>"Clear: CI excludes 0"</formula>
    </cfRule>
  </conditionalFormatting>
  <conditionalFormatting sqref="L5:L20">
    <cfRule type="cellIs" priority="2" operator="equal" dxfId="0">
      <formula>"Clear: CI excludes 0"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C831F"/>
    <outlinePr summaryBelow="1" summaryRight="1"/>
    <pageSetUpPr/>
  </sheetPr>
  <dimension ref="A1:H44"/>
  <sheetViews>
    <sheetView tabSelected="0"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36" customWidth="1" min="5" max="5"/>
    <col width="14" customWidth="1" min="6" max="6"/>
    <col width="56" customWidth="1" min="7" max="7"/>
    <col width="36" customWidth="1" min="8" max="8"/>
  </cols>
  <sheetData>
    <row r="1" ht="26" customHeight="1">
      <c r="A1" s="4" t="inlineStr">
        <is>
          <t>Breakdowns: group rates and cut-offs used in the comparisons</t>
        </is>
      </c>
    </row>
    <row r="2" ht="18" customHeight="1">
      <c r="A2" s="5" t="inlineStr">
        <is>
          <t>Each rate shows its count and its denominator. These are descriptions of the 1,500 orders, not proof of cause.</t>
        </is>
      </c>
    </row>
    <row r="4" ht="32" customHeight="1">
      <c r="A4" s="6" t="inlineStr">
        <is>
          <t>Cut-off</t>
        </is>
      </c>
      <c r="B4" s="6" t="inlineStr">
        <is>
          <t>Meaning</t>
        </is>
      </c>
      <c r="C4" s="6" t="inlineStr">
        <is>
          <t>All delivered orders</t>
        </is>
      </c>
      <c r="D4" s="6" t="inlineStr">
        <is>
          <t>Off-peak delivered orders</t>
        </is>
      </c>
      <c r="E4" s="6" t="inlineStr">
        <is>
          <t>Formulas</t>
        </is>
      </c>
    </row>
    <row r="5" ht="46" customHeight="1">
      <c r="A5" s="8" t="inlineStr">
        <is>
          <t>P25</t>
        </is>
      </c>
      <c r="B5" s="8" t="inlineStr">
        <is>
          <t>Q1 upper limit (25th percentile)</t>
        </is>
      </c>
      <c r="C5" s="26">
        <f>PERCENTILE(c_loadd,0.25)</f>
        <v>0.785714285714286</v>
      </c>
      <c r="D5" s="26">
        <f>PERCENTILE(c_loadop,0.25)</f>
        <v>0.75</v>
      </c>
      <c r="E5" s="10" t="inlineStr">
        <is>
          <t>All: =PERCENTILE(c_loadd,0.25)
Off-peak: =PERCENTILE(c_loadop,0.25)</t>
        </is>
      </c>
    </row>
    <row r="6" ht="46" customHeight="1">
      <c r="A6" s="8" t="inlineStr">
        <is>
          <t>P50</t>
        </is>
      </c>
      <c r="B6" s="8" t="inlineStr">
        <is>
          <t>Q2 upper limit (median)</t>
        </is>
      </c>
      <c r="C6" s="26">
        <f>PERCENTILE(c_loadd,0.5)</f>
        <v>1</v>
      </c>
      <c r="D6" s="26">
        <f>PERCENTILE(c_loadop,0.5)</f>
        <v>0.91304347826087</v>
      </c>
      <c r="E6" s="10" t="inlineStr">
        <is>
          <t>All: =PERCENTILE(c_loadd,0.5)
Off-peak: =PERCENTILE(c_loadop,0.5)</t>
        </is>
      </c>
    </row>
    <row r="7" ht="46" customHeight="1">
      <c r="A7" s="8" t="inlineStr">
        <is>
          <t>P75</t>
        </is>
      </c>
      <c r="B7" s="8" t="inlineStr">
        <is>
          <t>Q3 upper limit (75th percentile)</t>
        </is>
      </c>
      <c r="C7" s="26">
        <f>PERCENTILE(c_loadd,0.75)</f>
        <v>1.21739130434783</v>
      </c>
      <c r="D7" s="26">
        <f>PERCENTILE(c_loadop,0.75)</f>
        <v>1.06666666666667</v>
      </c>
      <c r="E7" s="10" t="inlineStr">
        <is>
          <t>All: =PERCENTILE(c_loadd,0.75)
Off-peak: =PERCENTILE(c_loadop,0.75)</t>
        </is>
      </c>
    </row>
    <row r="8">
      <c r="A8" s="23" t="inlineStr">
        <is>
          <t>Load ratio = orders placed in the store-hour (Demand) ÷ store typical orders per hour (Stores). Quartiles = four equal-sized groups; Q4 = load above the 75th percentile.</t>
        </is>
      </c>
    </row>
    <row r="10" ht="32" customHeight="1">
      <c r="A10" s="6" t="inlineStr">
        <is>
          <t>Table</t>
        </is>
      </c>
      <c r="B10" s="6" t="inlineStr">
        <is>
          <t>Group</t>
        </is>
      </c>
      <c r="C10" s="6" t="inlineStr">
        <is>
          <t>Count (numerator)</t>
        </is>
      </c>
      <c r="D10" s="6" t="inlineStr">
        <is>
          <t>Denominator</t>
        </is>
      </c>
      <c r="E10" s="6" t="inlineStr">
        <is>
          <t>Denominator means</t>
        </is>
      </c>
      <c r="F10" s="6" t="inlineStr">
        <is>
          <t>Rate / value</t>
        </is>
      </c>
      <c r="G10" s="6" t="inlineStr">
        <is>
          <t>Formulas (count, denominator, rate)</t>
        </is>
      </c>
      <c r="H10" s="6" t="inlineStr">
        <is>
          <t>Note</t>
        </is>
      </c>
    </row>
    <row r="11" ht="71.5" customHeight="1">
      <c r="A11" s="8" t="inlineStr">
        <is>
          <t>H1 by distance</t>
        </is>
      </c>
      <c r="B11" s="8" t="inlineStr">
        <is>
          <t>Up to 1.5 km, peak: severely late</t>
        </is>
      </c>
      <c r="C11" s="19">
        <f>COUNTIFS(c_band,"Up to 1.5 km",c_peak,1,c_sev,1)</f>
        <v>21</v>
      </c>
      <c r="D11" s="19">
        <f>COUNTIFS(c_band,"Up to 1.5 km",c_peak,1)</f>
        <v>109</v>
      </c>
      <c r="E11" s="8" t="inlineStr">
        <is>
          <t>Delivered orders, Up to 1.5 km, peak</t>
        </is>
      </c>
      <c r="F11" s="12">
        <f>C11/D11</f>
        <v>0.192660550458716</v>
      </c>
      <c r="G11" s="10" t="inlineStr">
        <is>
          <t>Count: =COUNTIFS(c_band,"Up to 1.5 km",c_peak,1,c_sev,1)
Denominator: =COUNTIFS(c_band,"Up to 1.5 km",c_peak,1)
Value: =C11/D11</t>
        </is>
      </c>
      <c r="H11" s="8" t="inlineStr"/>
    </row>
    <row r="12" ht="71.5" customHeight="1">
      <c r="A12" s="8" t="inlineStr">
        <is>
          <t>H1 by distance</t>
        </is>
      </c>
      <c r="B12" s="8" t="inlineStr">
        <is>
          <t>Up to 1.5 km, off-peak: severely late</t>
        </is>
      </c>
      <c r="C12" s="19">
        <f>COUNTIFS(c_band,"Up to 1.5 km",c_peak,0,c_sev,1)</f>
        <v>40</v>
      </c>
      <c r="D12" s="19">
        <f>COUNTIFS(c_band,"Up to 1.5 km",c_peak,0)</f>
        <v>493</v>
      </c>
      <c r="E12" s="8" t="inlineStr">
        <is>
          <t>Delivered orders, Up to 1.5 km, off-peak</t>
        </is>
      </c>
      <c r="F12" s="12">
        <f>C12/D12</f>
        <v>0.0811359026369168</v>
      </c>
      <c r="G12" s="10" t="inlineStr">
        <is>
          <t>Count: =COUNTIFS(c_band,"Up to 1.5 km",c_peak,0,c_sev,1)
Denominator: =COUNTIFS(c_band,"Up to 1.5 km",c_peak,0)
Value: =C12/D12</t>
        </is>
      </c>
      <c r="H12" s="8" t="inlineStr"/>
    </row>
    <row r="13" ht="71.5" customHeight="1">
      <c r="A13" s="8" t="inlineStr">
        <is>
          <t>H1 by distance</t>
        </is>
      </c>
      <c r="B13" s="8" t="inlineStr">
        <is>
          <t>1.5–3 km, peak: severely late</t>
        </is>
      </c>
      <c r="C13" s="19">
        <f>COUNTIFS(c_band,"1.5–3 km",c_peak,1,c_sev,1)</f>
        <v>31</v>
      </c>
      <c r="D13" s="19">
        <f>COUNTIFS(c_band,"1.5–3 km",c_peak,1)</f>
        <v>114</v>
      </c>
      <c r="E13" s="8" t="inlineStr">
        <is>
          <t>Delivered orders, 1.5–3 km, peak</t>
        </is>
      </c>
      <c r="F13" s="12">
        <f>C13/D13</f>
        <v>0.271929824561404</v>
      </c>
      <c r="G13" s="10" t="inlineStr">
        <is>
          <t>Count: =COUNTIFS(c_band,"1.5–3 km",c_peak,1,c_sev,1)
Denominator: =COUNTIFS(c_band,"1.5–3 km",c_peak,1)
Value: =C13/D13</t>
        </is>
      </c>
      <c r="H13" s="8" t="inlineStr"/>
    </row>
    <row r="14" ht="71.5" customHeight="1">
      <c r="A14" s="8" t="inlineStr">
        <is>
          <t>H1 by distance</t>
        </is>
      </c>
      <c r="B14" s="8" t="inlineStr">
        <is>
          <t>1.5–3 km, off-peak: severely late</t>
        </is>
      </c>
      <c r="C14" s="19">
        <f>COUNTIFS(c_band,"1.5–3 km",c_peak,0,c_sev,1)</f>
        <v>57</v>
      </c>
      <c r="D14" s="19">
        <f>COUNTIFS(c_band,"1.5–3 km",c_peak,0)</f>
        <v>501</v>
      </c>
      <c r="E14" s="8" t="inlineStr">
        <is>
          <t>Delivered orders, 1.5–3 km, off-peak</t>
        </is>
      </c>
      <c r="F14" s="12">
        <f>C14/D14</f>
        <v>0.11377245508982</v>
      </c>
      <c r="G14" s="10" t="inlineStr">
        <is>
          <t>Count: =COUNTIFS(c_band,"1.5–3 km",c_peak,0,c_sev,1)
Denominator: =COUNTIFS(c_band,"1.5–3 km",c_peak,0)
Value: =C14/D14</t>
        </is>
      </c>
      <c r="H14" s="8" t="inlineStr"/>
    </row>
    <row r="15" ht="71.5" customHeight="1">
      <c r="A15" s="8" t="inlineStr">
        <is>
          <t>H1 by distance</t>
        </is>
      </c>
      <c r="B15" s="8" t="inlineStr">
        <is>
          <t>Over 3 km, peak: severely late</t>
        </is>
      </c>
      <c r="C15" s="19">
        <f>COUNTIFS(c_band,"Over 3 km",c_peak,1,c_sev,1)</f>
        <v>17</v>
      </c>
      <c r="D15" s="19">
        <f>COUNTIFS(c_band,"Over 3 km",c_peak,1)</f>
        <v>53</v>
      </c>
      <c r="E15" s="8" t="inlineStr">
        <is>
          <t>Delivered orders, Over 3 km, peak</t>
        </is>
      </c>
      <c r="F15" s="12">
        <f>C15/D15</f>
        <v>0.320754716981132</v>
      </c>
      <c r="G15" s="10" t="inlineStr">
        <is>
          <t>Count: =COUNTIFS(c_band,"Over 3 km",c_peak,1,c_sev,1)
Denominator: =COUNTIFS(c_band,"Over 3 km",c_peak,1)
Value: =C15/D15</t>
        </is>
      </c>
      <c r="H15" s="8" t="inlineStr"/>
    </row>
    <row r="16" ht="71.5" customHeight="1">
      <c r="A16" s="8" t="inlineStr">
        <is>
          <t>H1 by distance</t>
        </is>
      </c>
      <c r="B16" s="8" t="inlineStr">
        <is>
          <t>Over 3 km, off-peak: severely late</t>
        </is>
      </c>
      <c r="C16" s="19">
        <f>COUNTIFS(c_band,"Over 3 km",c_peak,0,c_sev,1)</f>
        <v>42</v>
      </c>
      <c r="D16" s="19">
        <f>COUNTIFS(c_band,"Over 3 km",c_peak,0)</f>
        <v>185</v>
      </c>
      <c r="E16" s="8" t="inlineStr">
        <is>
          <t>Delivered orders, Over 3 km, off-peak</t>
        </is>
      </c>
      <c r="F16" s="12">
        <f>C16/D16</f>
        <v>0.227027027027027</v>
      </c>
      <c r="G16" s="10" t="inlineStr">
        <is>
          <t>Count: =COUNTIFS(c_band,"Over 3 km",c_peak,0,c_sev,1)
Denominator: =COUNTIFS(c_band,"Over 3 km",c_peak,0)
Value: =C16/D16</t>
        </is>
      </c>
      <c r="H16" s="8" t="inlineStr"/>
    </row>
    <row r="17" ht="44.5" customHeight="1">
      <c r="A17" s="8" t="inlineStr">
        <is>
          <t>H1 cut-off check</t>
        </is>
      </c>
      <c r="B17" s="8" t="inlineStr">
        <is>
          <t>Later than 3 min, peak</t>
        </is>
      </c>
      <c r="C17" s="19">
        <f>COUNTIFS(c_o3,1,c_peak,1)</f>
        <v>76</v>
      </c>
      <c r="D17" s="19">
        <f>COUNTIFS(c_deliv,1,c_peak,1)</f>
        <v>276</v>
      </c>
      <c r="E17" s="8" t="inlineStr">
        <is>
          <t>Delivered orders, peak</t>
        </is>
      </c>
      <c r="F17" s="12">
        <f>C17/D17</f>
        <v>0.27536231884058</v>
      </c>
      <c r="G17" s="10" t="inlineStr">
        <is>
          <t>Count: =COUNTIFS(c_o3,1,c_peak,1)
Denominator: =COUNTIFS(c_deliv,1,c_peak,1)
Value: =C17/D17</t>
        </is>
      </c>
      <c r="H17" s="8" t="inlineStr"/>
    </row>
    <row r="18" ht="44.5" customHeight="1">
      <c r="A18" s="8" t="inlineStr">
        <is>
          <t>H1 cut-off check</t>
        </is>
      </c>
      <c r="B18" s="8" t="inlineStr">
        <is>
          <t>Later than 3 min, off-peak</t>
        </is>
      </c>
      <c r="C18" s="19">
        <f>COUNTIFS(c_o3,1,c_peak,0)</f>
        <v>204</v>
      </c>
      <c r="D18" s="19">
        <f>COUNTIFS(c_deliv,1,c_peak,0)</f>
        <v>1179</v>
      </c>
      <c r="E18" s="8" t="inlineStr">
        <is>
          <t>Delivered orders, off-peak</t>
        </is>
      </c>
      <c r="F18" s="12">
        <f>C18/D18</f>
        <v>0.173027989821883</v>
      </c>
      <c r="G18" s="10" t="inlineStr">
        <is>
          <t>Count: =COUNTIFS(c_o3,1,c_peak,0)
Denominator: =COUNTIFS(c_deliv,1,c_peak,0)
Value: =C18/D18</t>
        </is>
      </c>
      <c r="H18" s="8" t="inlineStr"/>
    </row>
    <row r="19" ht="44.5" customHeight="1">
      <c r="A19" s="8" t="inlineStr">
        <is>
          <t>H1 cut-off check</t>
        </is>
      </c>
      <c r="B19" s="8" t="inlineStr">
        <is>
          <t>Later than 5 min, peak</t>
        </is>
      </c>
      <c r="C19" s="19">
        <f>COUNTIFS(c_sev,1,c_peak,1)</f>
        <v>69</v>
      </c>
      <c r="D19" s="19">
        <f>COUNTIFS(c_deliv,1,c_peak,1)</f>
        <v>276</v>
      </c>
      <c r="E19" s="8" t="inlineStr">
        <is>
          <t>Delivered orders, peak</t>
        </is>
      </c>
      <c r="F19" s="12">
        <f>C19/D19</f>
        <v>0.25</v>
      </c>
      <c r="G19" s="10" t="inlineStr">
        <is>
          <t>Count: =COUNTIFS(c_sev,1,c_peak,1)
Denominator: =COUNTIFS(c_deliv,1,c_peak,1)
Value: =C19/D19</t>
        </is>
      </c>
      <c r="H19" s="8" t="inlineStr"/>
    </row>
    <row r="20" ht="44.5" customHeight="1">
      <c r="A20" s="8" t="inlineStr">
        <is>
          <t>H1 cut-off check</t>
        </is>
      </c>
      <c r="B20" s="8" t="inlineStr">
        <is>
          <t>Later than 5 min, off-peak</t>
        </is>
      </c>
      <c r="C20" s="19">
        <f>COUNTIFS(c_sev,1,c_peak,0)</f>
        <v>139</v>
      </c>
      <c r="D20" s="19">
        <f>COUNTIFS(c_deliv,1,c_peak,0)</f>
        <v>1179</v>
      </c>
      <c r="E20" s="8" t="inlineStr">
        <is>
          <t>Delivered orders, off-peak</t>
        </is>
      </c>
      <c r="F20" s="12">
        <f>C20/D20</f>
        <v>0.117896522476675</v>
      </c>
      <c r="G20" s="10" t="inlineStr">
        <is>
          <t>Count: =COUNTIFS(c_sev,1,c_peak,0)
Denominator: =COUNTIFS(c_deliv,1,c_peak,0)
Value: =C20/D20</t>
        </is>
      </c>
      <c r="H20" s="8" t="inlineStr"/>
    </row>
    <row r="21" ht="44.5" customHeight="1">
      <c r="A21" s="8" t="inlineStr">
        <is>
          <t>H1 cut-off check</t>
        </is>
      </c>
      <c r="B21" s="8" t="inlineStr">
        <is>
          <t>Later than 7 min, peak</t>
        </is>
      </c>
      <c r="C21" s="19">
        <f>COUNTIFS(c_o7,1,c_peak,1)</f>
        <v>60</v>
      </c>
      <c r="D21" s="19">
        <f>COUNTIFS(c_deliv,1,c_peak,1)</f>
        <v>276</v>
      </c>
      <c r="E21" s="8" t="inlineStr">
        <is>
          <t>Delivered orders, peak</t>
        </is>
      </c>
      <c r="F21" s="12">
        <f>C21/D21</f>
        <v>0.217391304347826</v>
      </c>
      <c r="G21" s="10" t="inlineStr">
        <is>
          <t>Count: =COUNTIFS(c_o7,1,c_peak,1)
Denominator: =COUNTIFS(c_deliv,1,c_peak,1)
Value: =C21/D21</t>
        </is>
      </c>
      <c r="H21" s="8" t="inlineStr"/>
    </row>
    <row r="22" ht="44.5" customHeight="1">
      <c r="A22" s="8" t="inlineStr">
        <is>
          <t>H1 cut-off check</t>
        </is>
      </c>
      <c r="B22" s="8" t="inlineStr">
        <is>
          <t>Later than 7 min, off-peak</t>
        </is>
      </c>
      <c r="C22" s="19">
        <f>COUNTIFS(c_o7,1,c_peak,0)</f>
        <v>92</v>
      </c>
      <c r="D22" s="19">
        <f>COUNTIFS(c_deliv,1,c_peak,0)</f>
        <v>1179</v>
      </c>
      <c r="E22" s="8" t="inlineStr">
        <is>
          <t>Delivered orders, off-peak</t>
        </is>
      </c>
      <c r="F22" s="12">
        <f>C22/D22</f>
        <v>0.0780322307039864</v>
      </c>
      <c r="G22" s="10" t="inlineStr">
        <is>
          <t>Count: =COUNTIFS(c_o7,1,c_peak,0)
Denominator: =COUNTIFS(c_deliv,1,c_peak,0)
Value: =C22/D22</t>
        </is>
      </c>
      <c r="H22" s="8" t="inlineStr">
        <is>
          <t>Same pattern at every cut-off</t>
        </is>
      </c>
    </row>
    <row r="23" ht="31" customHeight="1">
      <c r="A23" s="8" t="inlineStr">
        <is>
          <t>H1 delay size</t>
        </is>
      </c>
      <c r="B23" s="8" t="inlineStr">
        <is>
          <t>Average minutes late, late peak orders</t>
        </is>
      </c>
      <c r="C23" s="19">
        <f>COUNT(c_ldpk)</f>
        <v>80</v>
      </c>
      <c r="D23" s="19" t="n"/>
      <c r="E23" s="8" t="inlineStr">
        <is>
          <t>Late peak orders (count in C)</t>
        </is>
      </c>
      <c r="F23" s="13">
        <f>AVERAGE(c_ldpk)</f>
        <v>9.18875</v>
      </c>
      <c r="G23" s="10" t="inlineStr">
        <is>
          <t>Count: =COUNT(c_ldpk)
Value: =AVERAGE(c_ldpk)</t>
        </is>
      </c>
      <c r="H23" s="8" t="inlineStr"/>
    </row>
    <row r="24" ht="31" customHeight="1">
      <c r="A24" s="8" t="inlineStr">
        <is>
          <t>H1 delay size</t>
        </is>
      </c>
      <c r="B24" s="8" t="inlineStr">
        <is>
          <t>Average minutes late, late off-peak orders</t>
        </is>
      </c>
      <c r="C24" s="19">
        <f>COUNT(c_ldop)</f>
        <v>283</v>
      </c>
      <c r="D24" s="19" t="n"/>
      <c r="E24" s="8" t="inlineStr">
        <is>
          <t>Late off-peak orders (count in C)</t>
        </is>
      </c>
      <c r="F24" s="13">
        <f>AVERAGE(c_ldop)</f>
        <v>5.43038869257951</v>
      </c>
      <c r="G24" s="10" t="inlineStr">
        <is>
          <t>Count: =COUNT(c_ldop)
Value: =AVERAGE(c_ldop)</t>
        </is>
      </c>
      <c r="H24" s="8" t="inlineStr"/>
    </row>
    <row r="25" ht="58" customHeight="1">
      <c r="A25" s="8" t="inlineStr">
        <is>
          <t>H2 by rain</t>
        </is>
      </c>
      <c r="B25" s="8" t="inlineStr">
        <is>
          <t>None rain: late</t>
        </is>
      </c>
      <c r="C25" s="19">
        <f>COUNTIFS(c_rain,"None",c_late,1)</f>
        <v>257</v>
      </c>
      <c r="D25" s="19">
        <f>COUNTIFS(c_rain,"None",c_deliv,1)</f>
        <v>1038</v>
      </c>
      <c r="E25" s="8" t="inlineStr">
        <is>
          <t>Delivered orders in none rain</t>
        </is>
      </c>
      <c r="F25" s="12">
        <f>C25/D25</f>
        <v>0.247591522157996</v>
      </c>
      <c r="G25" s="10" t="inlineStr">
        <is>
          <t>Count: =COUNTIFS(c_rain,"None",c_late,1)
Denominator: =COUNTIFS(c_rain,"None",c_deliv,1)
Value: =C25/D25</t>
        </is>
      </c>
      <c r="H25" s="8" t="inlineStr">
        <is>
          <t>Blank rain = None (agreed rule)</t>
        </is>
      </c>
    </row>
    <row r="26" ht="58" customHeight="1">
      <c r="A26" s="8" t="inlineStr">
        <is>
          <t>H2 by rain</t>
        </is>
      </c>
      <c r="B26" s="8" t="inlineStr">
        <is>
          <t>Light rain: late</t>
        </is>
      </c>
      <c r="C26" s="19">
        <f>COUNTIFS(c_rain,"Light",c_late,1)</f>
        <v>68</v>
      </c>
      <c r="D26" s="19">
        <f>COUNTIFS(c_rain,"Light",c_deliv,1)</f>
        <v>305</v>
      </c>
      <c r="E26" s="8" t="inlineStr">
        <is>
          <t>Delivered orders in light rain</t>
        </is>
      </c>
      <c r="F26" s="12">
        <f>C26/D26</f>
        <v>0.222950819672131</v>
      </c>
      <c r="G26" s="10" t="inlineStr">
        <is>
          <t>Count: =COUNTIFS(c_rain,"Light",c_late,1)
Denominator: =COUNTIFS(c_rain,"Light",c_deliv,1)
Value: =C26/D26</t>
        </is>
      </c>
      <c r="H26" s="8" t="inlineStr"/>
    </row>
    <row r="27" ht="58" customHeight="1">
      <c r="A27" s="8" t="inlineStr">
        <is>
          <t>H2 by rain</t>
        </is>
      </c>
      <c r="B27" s="8" t="inlineStr">
        <is>
          <t>Heavy rain: late</t>
        </is>
      </c>
      <c r="C27" s="19">
        <f>COUNTIFS(c_rain,"Heavy",c_late,1)</f>
        <v>38</v>
      </c>
      <c r="D27" s="19">
        <f>COUNTIFS(c_rain,"Heavy",c_deliv,1)</f>
        <v>112</v>
      </c>
      <c r="E27" s="8" t="inlineStr">
        <is>
          <t>Delivered orders in heavy rain</t>
        </is>
      </c>
      <c r="F27" s="12">
        <f>C27/D27</f>
        <v>0.339285714285714</v>
      </c>
      <c r="G27" s="10" t="inlineStr">
        <is>
          <t>Count: =COUNTIFS(c_rain,"Heavy",c_late,1)
Denominator: =COUNTIFS(c_rain,"Heavy",c_deliv,1)
Value: =C27/D27</t>
        </is>
      </c>
      <c r="H27" s="8" t="inlineStr"/>
    </row>
    <row r="28" ht="31" customHeight="1">
      <c r="A28" s="8" t="inlineStr">
        <is>
          <t>H2 promise by rain</t>
        </is>
      </c>
      <c r="B28" s="8" t="inlineStr">
        <is>
          <t>None rain: average promise</t>
        </is>
      </c>
      <c r="C28" s="19">
        <f>COUNTIFS(c_rain,"None",c_deliv,1)</f>
        <v>1038</v>
      </c>
      <c r="D28" s="19" t="n"/>
      <c r="E28" s="8" t="inlineStr">
        <is>
          <t>Delivered orders (count in C)</t>
        </is>
      </c>
      <c r="F28" s="13">
        <f>AVERAGEIFS(c_prom,c_rain,"None")</f>
        <v>10.3582851637765</v>
      </c>
      <c r="G28" s="10" t="inlineStr">
        <is>
          <t>Count: =COUNTIFS(c_rain,"None",c_deliv,1)
Value: =AVERAGEIFS(c_prom,c_rain,"None")</t>
        </is>
      </c>
      <c r="H28" s="8" t="inlineStr"/>
    </row>
    <row r="29" ht="31" customHeight="1">
      <c r="A29" s="8" t="inlineStr">
        <is>
          <t>H2 promise by rain</t>
        </is>
      </c>
      <c r="B29" s="8" t="inlineStr">
        <is>
          <t>Light rain: average promise</t>
        </is>
      </c>
      <c r="C29" s="19">
        <f>COUNTIFS(c_rain,"Light",c_deliv,1)</f>
        <v>305</v>
      </c>
      <c r="D29" s="19" t="n"/>
      <c r="E29" s="8" t="inlineStr">
        <is>
          <t>Delivered orders (count in C)</t>
        </is>
      </c>
      <c r="F29" s="13">
        <f>AVERAGEIFS(c_prom,c_rain,"Light")</f>
        <v>10.3190163934426</v>
      </c>
      <c r="G29" s="10" t="inlineStr">
        <is>
          <t>Count: =COUNTIFS(c_rain,"Light",c_deliv,1)
Value: =AVERAGEIFS(c_prom,c_rain,"Light")</t>
        </is>
      </c>
      <c r="H29" s="8" t="inlineStr"/>
    </row>
    <row r="30" ht="31" customHeight="1">
      <c r="A30" s="8" t="inlineStr">
        <is>
          <t>H2 promise by rain</t>
        </is>
      </c>
      <c r="B30" s="8" t="inlineStr">
        <is>
          <t>Heavy rain: average promise</t>
        </is>
      </c>
      <c r="C30" s="19">
        <f>COUNTIFS(c_rain,"Heavy",c_deliv,1)</f>
        <v>112</v>
      </c>
      <c r="D30" s="19" t="n"/>
      <c r="E30" s="8" t="inlineStr">
        <is>
          <t>Delivered orders (count in C)</t>
        </is>
      </c>
      <c r="F30" s="13">
        <f>AVERAGEIFS(c_prom,c_rain,"Heavy")</f>
        <v>10.1303571428571</v>
      </c>
      <c r="G30" s="10" t="inlineStr">
        <is>
          <t>Count: =COUNTIFS(c_rain,"Heavy",c_deliv,1)
Value: =AVERAGEIFS(c_prom,c_rain,"Heavy")</t>
        </is>
      </c>
      <c r="H30" s="8" t="inlineStr"/>
    </row>
    <row r="31" ht="44.5" customHeight="1">
      <c r="A31" s="8" t="inlineStr">
        <is>
          <t>H3 off-peak quartiles</t>
        </is>
      </c>
      <c r="B31" s="8" t="inlineStr">
        <is>
          <t>Load quartile Q1 (off-peak): late</t>
        </is>
      </c>
      <c r="C31" s="19">
        <f>COUNTIFS(c_qop,1,c_late,1)</f>
        <v>65</v>
      </c>
      <c r="D31" s="19">
        <f>COUNTIFS(c_qop,1)</f>
        <v>300</v>
      </c>
      <c r="E31" s="8" t="inlineStr">
        <is>
          <t>Off-peak delivered orders in Q1</t>
        </is>
      </c>
      <c r="F31" s="12">
        <f>C31/D31</f>
        <v>0.216666666666667</v>
      </c>
      <c r="G31" s="10" t="inlineStr">
        <is>
          <t>Count: =COUNTIFS(c_qop,1,c_late,1)
Denominator: =COUNTIFS(c_qop,1)
Value: =C31/D31</t>
        </is>
      </c>
      <c r="H31" s="8" t="inlineStr"/>
    </row>
    <row r="32" ht="44.5" customHeight="1">
      <c r="A32" s="8" t="inlineStr">
        <is>
          <t>H3 off-peak quartiles</t>
        </is>
      </c>
      <c r="B32" s="8" t="inlineStr">
        <is>
          <t>Load quartile Q2 (off-peak): late</t>
        </is>
      </c>
      <c r="C32" s="19">
        <f>COUNTIFS(c_qop,2,c_late,1)</f>
        <v>72</v>
      </c>
      <c r="D32" s="19">
        <f>COUNTIFS(c_qop,2)</f>
        <v>290</v>
      </c>
      <c r="E32" s="8" t="inlineStr">
        <is>
          <t>Off-peak delivered orders in Q2</t>
        </is>
      </c>
      <c r="F32" s="12">
        <f>C32/D32</f>
        <v>0.248275862068966</v>
      </c>
      <c r="G32" s="10" t="inlineStr">
        <is>
          <t>Count: =COUNTIFS(c_qop,2,c_late,1)
Denominator: =COUNTIFS(c_qop,2)
Value: =C32/D32</t>
        </is>
      </c>
      <c r="H32" s="8" t="inlineStr"/>
    </row>
    <row r="33" ht="44.5" customHeight="1">
      <c r="A33" s="8" t="inlineStr">
        <is>
          <t>H3 off-peak quartiles</t>
        </is>
      </c>
      <c r="B33" s="8" t="inlineStr">
        <is>
          <t>Load quartile Q3 (off-peak): late</t>
        </is>
      </c>
      <c r="C33" s="19">
        <f>COUNTIFS(c_qop,3,c_late,1)</f>
        <v>67</v>
      </c>
      <c r="D33" s="19">
        <f>COUNTIFS(c_qop,3)</f>
        <v>297</v>
      </c>
      <c r="E33" s="8" t="inlineStr">
        <is>
          <t>Off-peak delivered orders in Q3</t>
        </is>
      </c>
      <c r="F33" s="12">
        <f>C33/D33</f>
        <v>0.225589225589226</v>
      </c>
      <c r="G33" s="10" t="inlineStr">
        <is>
          <t>Count: =COUNTIFS(c_qop,3,c_late,1)
Denominator: =COUNTIFS(c_qop,3)
Value: =C33/D33</t>
        </is>
      </c>
      <c r="H33" s="8" t="inlineStr"/>
    </row>
    <row r="34" ht="44.5" customHeight="1">
      <c r="A34" s="8" t="inlineStr">
        <is>
          <t>H3 off-peak quartiles</t>
        </is>
      </c>
      <c r="B34" s="8" t="inlineStr">
        <is>
          <t>Load quartile Q4 (off-peak): late</t>
        </is>
      </c>
      <c r="C34" s="19">
        <f>COUNTIFS(c_qop,4,c_late,1)</f>
        <v>79</v>
      </c>
      <c r="D34" s="19">
        <f>COUNTIFS(c_qop,4)</f>
        <v>292</v>
      </c>
      <c r="E34" s="8" t="inlineStr">
        <is>
          <t>Off-peak delivered orders in Q4</t>
        </is>
      </c>
      <c r="F34" s="12">
        <f>C34/D34</f>
        <v>0.27054794520548</v>
      </c>
      <c r="G34" s="10" t="inlineStr">
        <is>
          <t>Count: =COUNTIFS(c_qop,4,c_late,1)
Denominator: =COUNTIFS(c_qop,4)
Value: =C34/D34</t>
        </is>
      </c>
      <c r="H34" s="8" t="inlineStr"/>
    </row>
    <row r="35" ht="31" customHeight="1">
      <c r="A35" s="8" t="inlineStr">
        <is>
          <t>H3 overlap</t>
        </is>
      </c>
      <c r="B35" s="8" t="inlineStr">
        <is>
          <t>Lowest load ratio among peak delivered orders</t>
        </is>
      </c>
      <c r="C35" s="19">
        <f>COUNTIFS(c_deliv,1,c_peak,1)</f>
        <v>276</v>
      </c>
      <c r="D35" s="19" t="n"/>
      <c r="E35" s="8" t="inlineStr">
        <is>
          <t>Peak delivered orders (count in C)</t>
        </is>
      </c>
      <c r="F35" s="26">
        <f>_xlfn.MINIFS(c_load,c_peak,1,c_deliv,1)</f>
        <v>1.04545454545455</v>
      </c>
      <c r="G35" s="10" t="inlineStr">
        <is>
          <t>Count: =COUNTIFS(c_deliv,1,c_peak,1)
Value: =MINIFS(c_load,c_peak,1,c_deliv,1)</t>
        </is>
      </c>
      <c r="H35" s="8" t="inlineStr">
        <is>
          <t>Every peak hour is a high-load hour</t>
        </is>
      </c>
    </row>
    <row r="36" ht="58" customHeight="1">
      <c r="A36" s="8" t="inlineStr">
        <is>
          <t>Late rate by city</t>
        </is>
      </c>
      <c r="B36" s="8" t="inlineStr">
        <is>
          <t>Bengaluru: late</t>
        </is>
      </c>
      <c r="C36" s="19">
        <f>COUNTIFS(c_city,"Bengaluru",c_late,1)</f>
        <v>69</v>
      </c>
      <c r="D36" s="19">
        <f>COUNTIFS(c_city,"Bengaluru",c_deliv,1)</f>
        <v>260</v>
      </c>
      <c r="E36" s="8" t="inlineStr">
        <is>
          <t>Delivered orders in Bengaluru</t>
        </is>
      </c>
      <c r="F36" s="12">
        <f>C36/D36</f>
        <v>0.265384615384615</v>
      </c>
      <c r="G36" s="10" t="inlineStr">
        <is>
          <t>Count: =COUNTIFS(c_city,"Bengaluru",c_late,1)
Denominator: =COUNTIFS(c_city,"Bengaluru",c_deliv,1)
Value: =C36/D36</t>
        </is>
      </c>
      <c r="H36" s="8" t="inlineStr"/>
    </row>
    <row r="37" ht="58" customHeight="1">
      <c r="A37" s="8" t="inlineStr">
        <is>
          <t>Late rate by city</t>
        </is>
      </c>
      <c r="B37" s="8" t="inlineStr">
        <is>
          <t>Delhi: late</t>
        </is>
      </c>
      <c r="C37" s="19">
        <f>COUNTIFS(c_city,"Delhi",c_late,1)</f>
        <v>79</v>
      </c>
      <c r="D37" s="19">
        <f>COUNTIFS(c_city,"Delhi",c_deliv,1)</f>
        <v>299</v>
      </c>
      <c r="E37" s="8" t="inlineStr">
        <is>
          <t>Delivered orders in Delhi</t>
        </is>
      </c>
      <c r="F37" s="12">
        <f>C37/D37</f>
        <v>0.264214046822742</v>
      </c>
      <c r="G37" s="10" t="inlineStr">
        <is>
          <t>Count: =COUNTIFS(c_city,"Delhi",c_late,1)
Denominator: =COUNTIFS(c_city,"Delhi",c_deliv,1)
Value: =C37/D37</t>
        </is>
      </c>
      <c r="H37" s="8" t="inlineStr"/>
    </row>
    <row r="38" ht="58" customHeight="1">
      <c r="A38" s="8" t="inlineStr">
        <is>
          <t>Late rate by city</t>
        </is>
      </c>
      <c r="B38" s="8" t="inlineStr">
        <is>
          <t>Hyderabad: late</t>
        </is>
      </c>
      <c r="C38" s="19">
        <f>COUNTIFS(c_city,"Hyderabad",c_late,1)</f>
        <v>76</v>
      </c>
      <c r="D38" s="19">
        <f>COUNTIFS(c_city,"Hyderabad",c_deliv,1)</f>
        <v>294</v>
      </c>
      <c r="E38" s="8" t="inlineStr">
        <is>
          <t>Delivered orders in Hyderabad</t>
        </is>
      </c>
      <c r="F38" s="12">
        <f>C38/D38</f>
        <v>0.258503401360544</v>
      </c>
      <c r="G38" s="10" t="inlineStr">
        <is>
          <t>Count: =COUNTIFS(c_city,"Hyderabad",c_late,1)
Denominator: =COUNTIFS(c_city,"Hyderabad",c_deliv,1)
Value: =C38/D38</t>
        </is>
      </c>
      <c r="H38" s="8" t="inlineStr"/>
    </row>
    <row r="39" ht="58" customHeight="1">
      <c r="A39" s="8" t="inlineStr">
        <is>
          <t>Late rate by city</t>
        </is>
      </c>
      <c r="B39" s="8" t="inlineStr">
        <is>
          <t>Mumbai: late</t>
        </is>
      </c>
      <c r="C39" s="19">
        <f>COUNTIFS(c_city,"Mumbai",c_late,1)</f>
        <v>80</v>
      </c>
      <c r="D39" s="19">
        <f>COUNTIFS(c_city,"Mumbai",c_deliv,1)</f>
        <v>297</v>
      </c>
      <c r="E39" s="8" t="inlineStr">
        <is>
          <t>Delivered orders in Mumbai</t>
        </is>
      </c>
      <c r="F39" s="12">
        <f>C39/D39</f>
        <v>0.269360269360269</v>
      </c>
      <c r="G39" s="10" t="inlineStr">
        <is>
          <t>Count: =COUNTIFS(c_city,"Mumbai",c_late,1)
Denominator: =COUNTIFS(c_city,"Mumbai",c_deliv,1)
Value: =C39/D39</t>
        </is>
      </c>
      <c r="H39" s="8" t="inlineStr"/>
    </row>
    <row r="40" ht="58" customHeight="1">
      <c r="A40" s="8" t="inlineStr">
        <is>
          <t>Late rate by city</t>
        </is>
      </c>
      <c r="B40" s="8" t="inlineStr">
        <is>
          <t>Pune: late</t>
        </is>
      </c>
      <c r="C40" s="19">
        <f>COUNTIFS(c_city,"Pune",c_late,1)</f>
        <v>59</v>
      </c>
      <c r="D40" s="19">
        <f>COUNTIFS(c_city,"Pune",c_deliv,1)</f>
        <v>305</v>
      </c>
      <c r="E40" s="8" t="inlineStr">
        <is>
          <t>Delivered orders in Pune</t>
        </is>
      </c>
      <c r="F40" s="12">
        <f>C40/D40</f>
        <v>0.19344262295082</v>
      </c>
      <c r="G40" s="10" t="inlineStr">
        <is>
          <t>Count: =COUNTIFS(c_city,"Pune",c_late,1)
Denominator: =COUNTIFS(c_city,"Pune",c_deliv,1)
Value: =C40/D40</t>
        </is>
      </c>
      <c r="H40" s="8" t="inlineStr"/>
    </row>
    <row r="41" ht="44.5" customHeight="1">
      <c r="A41" s="8" t="inlineStr">
        <is>
          <t>H5 customers</t>
        </is>
      </c>
      <c r="B41" s="8" t="inlineStr">
        <is>
          <t>Customers whose main ticket is late delivery: avg late share</t>
        </is>
      </c>
      <c r="C41" s="19">
        <f>SUM(cu_lateticket)</f>
        <v>35</v>
      </c>
      <c r="D41" s="19" t="n"/>
      <c r="E41" s="8" t="inlineStr">
        <is>
          <t>Customers (count in C)</t>
        </is>
      </c>
      <c r="F41" s="12">
        <f>AVERAGEIFS(cu_late_share,cu_lateticket,1)</f>
        <v>0.238574520717378</v>
      </c>
      <c r="G41" s="10" t="inlineStr">
        <is>
          <t>Count: =SUM(cu_lateticket)
Value: =AVERAGEIFS(cu_late_share,cu_lateticket,1)</t>
        </is>
      </c>
      <c r="H41" s="8" t="inlineStr">
        <is>
          <t>Average of each customer's late share</t>
        </is>
      </c>
    </row>
    <row r="42" ht="44.5" customHeight="1">
      <c r="A42" s="8" t="inlineStr">
        <is>
          <t>H5 customers</t>
        </is>
      </c>
      <c r="B42" s="8" t="inlineStr">
        <is>
          <t>Other customers: avg late share</t>
        </is>
      </c>
      <c r="C42" s="19">
        <f>COUNTIFS(cu_lateticket,0)</f>
        <v>215</v>
      </c>
      <c r="D42" s="19" t="n"/>
      <c r="E42" s="8" t="inlineStr">
        <is>
          <t>Customers (count in C)</t>
        </is>
      </c>
      <c r="F42" s="12">
        <f>AVERAGEIFS(cu_late_share,cu_lateticket,0)</f>
        <v>0.251992206759649</v>
      </c>
      <c r="G42" s="10" t="inlineStr">
        <is>
          <t>Count: =COUNTIFS(cu_lateticket,0)
Value: =AVERAGEIFS(cu_late_share,cu_lateticket,0)</t>
        </is>
      </c>
      <c r="H42" s="8" t="inlineStr"/>
    </row>
    <row r="43" ht="31" customHeight="1">
      <c r="A43" s="8" t="inlineStr">
        <is>
          <t>H5 customers</t>
        </is>
      </c>
      <c r="B43" s="8" t="inlineStr">
        <is>
          <t>Support tickets, total</t>
        </is>
      </c>
      <c r="C43" s="19" t="n"/>
      <c r="D43" s="19" t="n"/>
      <c r="E43" s="8" t="inlineStr">
        <is>
          <t>Customer level only</t>
        </is>
      </c>
      <c r="F43" s="11">
        <f>SUM(cu_tickets)</f>
        <v>414</v>
      </c>
      <c r="G43" s="10" t="inlineStr">
        <is>
          <t>Value: =SUM(cu_tickets)</t>
        </is>
      </c>
      <c r="H43" s="8" t="inlineStr">
        <is>
          <t>Not linked to orders, so not double-counted</t>
        </is>
      </c>
    </row>
    <row r="44" ht="17.5" customHeight="1">
      <c r="A44" s="8" t="inlineStr">
        <is>
          <t>H5 customers</t>
        </is>
      </c>
      <c r="B44" s="8" t="inlineStr">
        <is>
          <t>Refunds and credits, total (₹)</t>
        </is>
      </c>
      <c r="C44" s="19" t="n"/>
      <c r="D44" s="19" t="n"/>
      <c r="E44" s="8" t="inlineStr">
        <is>
          <t>Customer level only</t>
        </is>
      </c>
      <c r="F44" s="27">
        <f>SUM(cu_refunds)</f>
        <v>13575</v>
      </c>
      <c r="G44" s="10" t="inlineStr">
        <is>
          <t>Value: =SUM(cu_refunds)</t>
        </is>
      </c>
      <c r="H44" s="8" t="inlineStr"/>
    </row>
  </sheetData>
  <autoFilter ref="A10:H4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8CB46"/>
    <outlinePr summaryBelow="1" summaryRight="1"/>
    <pageSetUpPr/>
  </sheetPr>
  <dimension ref="A1:I96"/>
  <sheetViews>
    <sheetView tabSelected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40" customWidth="1" min="3" max="3"/>
    <col width="13" customWidth="1" min="4" max="4"/>
    <col width="12" customWidth="1" min="5" max="5"/>
    <col width="9" customWidth="1" min="6" max="6"/>
    <col width="12" customWidth="1" min="7" max="7"/>
    <col width="52" customWidth="1" min="8" max="8"/>
    <col width="40" customWidth="1" min="9" max="9"/>
  </cols>
  <sheetData>
    <row r="1" ht="26" customHeight="1">
      <c r="A1" s="4" t="inlineStr">
        <is>
          <t>Checks: totals, keys, missing values, joins, formula errors and agreement with the final submission</t>
        </is>
      </c>
    </row>
    <row r="2" ht="18" customHeight="1">
      <c r="A2" s="5" t="inlineStr">
        <is>
          <t>Expected values are typed from the final submission or from the data rules; results are live formulas. Status is OK only when they agree. Nothing is forced to match.</t>
        </is>
      </c>
    </row>
    <row r="3">
      <c r="A3" s="28" t="inlineStr">
        <is>
          <t>Checks passed:</t>
        </is>
      </c>
      <c r="C3" s="29" t="str">
        <f>COUNTIFS(G5:G96,"OK")&amp;" of "&amp;ROWS(G5:G96)</f>
        <v>92 of 92</v>
      </c>
    </row>
    <row r="4" ht="32" customHeight="1">
      <c r="A4" s="6" t="inlineStr">
        <is>
          <t>ID</t>
        </is>
      </c>
      <c r="B4" s="6" t="inlineStr">
        <is>
          <t>Area</t>
        </is>
      </c>
      <c r="C4" s="6" t="inlineStr">
        <is>
          <t>Check</t>
        </is>
      </c>
      <c r="D4" s="6" t="inlineStr">
        <is>
          <t>Result (formula)</t>
        </is>
      </c>
      <c r="E4" s="6" t="inlineStr">
        <is>
          <t>Expected</t>
        </is>
      </c>
      <c r="F4" s="6" t="inlineStr">
        <is>
          <t>Tolerance</t>
        </is>
      </c>
      <c r="G4" s="6" t="inlineStr">
        <is>
          <t>Status</t>
        </is>
      </c>
      <c r="H4" s="6" t="inlineStr">
        <is>
          <t>Formula</t>
        </is>
      </c>
      <c r="I4" s="6" t="inlineStr">
        <is>
          <t>Note</t>
        </is>
      </c>
    </row>
    <row r="5" ht="17.5" customHeight="1">
      <c r="A5" s="8" t="inlineStr">
        <is>
          <t>K01</t>
        </is>
      </c>
      <c r="B5" s="8" t="inlineStr">
        <is>
          <t>Submission totals</t>
        </is>
      </c>
      <c r="C5" s="8" t="inlineStr">
        <is>
          <t>Orders placed (Metrics M01)</t>
        </is>
      </c>
      <c r="D5" s="11">
        <f>Metrics!$G$4</f>
        <v>1500</v>
      </c>
      <c r="E5" s="19" t="n">
        <v>1500</v>
      </c>
      <c r="F5" s="25" t="n">
        <v>0</v>
      </c>
      <c r="G5" s="7" t="str">
        <f>IF(ISERROR(D5),"INVESTIGATE",IF(ABS(D5-E5)&lt;=F5,"OK","INVESTIGATE"))</f>
        <v>OK</v>
      </c>
      <c r="H5" s="10" t="inlineStr">
        <is>
          <t>=Metrics!$G$4</t>
        </is>
      </c>
      <c r="I5" s="8" t="inlineStr"/>
    </row>
    <row r="6" ht="17.5" customHeight="1">
      <c r="A6" s="8" t="inlineStr">
        <is>
          <t>K02</t>
        </is>
      </c>
      <c r="B6" s="8" t="inlineStr">
        <is>
          <t>Submission totals</t>
        </is>
      </c>
      <c r="C6" s="8" t="inlineStr">
        <is>
          <t>Delivered (Metrics M02)</t>
        </is>
      </c>
      <c r="D6" s="11">
        <f>Metrics!$G$5</f>
        <v>1455</v>
      </c>
      <c r="E6" s="19" t="n">
        <v>1455</v>
      </c>
      <c r="F6" s="25" t="n">
        <v>0</v>
      </c>
      <c r="G6" s="7" t="str">
        <f>IF(ISERROR(D6),"INVESTIGATE",IF(ABS(D6-E6)&lt;=F6,"OK","INVESTIGATE"))</f>
        <v>OK</v>
      </c>
      <c r="H6" s="10" t="inlineStr">
        <is>
          <t>=Metrics!$G$5</t>
        </is>
      </c>
      <c r="I6" s="8" t="inlineStr"/>
    </row>
    <row r="7" ht="17.5" customHeight="1">
      <c r="A7" s="8" t="inlineStr">
        <is>
          <t>K03</t>
        </is>
      </c>
      <c r="B7" s="8" t="inlineStr">
        <is>
          <t>Submission totals</t>
        </is>
      </c>
      <c r="C7" s="8" t="inlineStr">
        <is>
          <t>On time (Metrics M12)</t>
        </is>
      </c>
      <c r="D7" s="11">
        <f>Metrics!$G$15</f>
        <v>1092</v>
      </c>
      <c r="E7" s="19" t="n">
        <v>1092</v>
      </c>
      <c r="F7" s="25" t="n">
        <v>0</v>
      </c>
      <c r="G7" s="7" t="str">
        <f>IF(ISERROR(D7),"INVESTIGATE",IF(ABS(D7-E7)&lt;=F7,"OK","INVESTIGATE"))</f>
        <v>OK</v>
      </c>
      <c r="H7" s="10" t="inlineStr">
        <is>
          <t>=Metrics!$G$15</t>
        </is>
      </c>
      <c r="I7" s="8" t="inlineStr"/>
    </row>
    <row r="8" ht="17.5" customHeight="1">
      <c r="A8" s="8" t="inlineStr">
        <is>
          <t>K04</t>
        </is>
      </c>
      <c r="B8" s="8" t="inlineStr">
        <is>
          <t>Submission totals</t>
        </is>
      </c>
      <c r="C8" s="8" t="inlineStr">
        <is>
          <t>Late (Metrics M13)</t>
        </is>
      </c>
      <c r="D8" s="11">
        <f>Metrics!$G$16</f>
        <v>363</v>
      </c>
      <c r="E8" s="19" t="n">
        <v>363</v>
      </c>
      <c r="F8" s="25" t="n">
        <v>0</v>
      </c>
      <c r="G8" s="7" t="str">
        <f>IF(ISERROR(D8),"INVESTIGATE",IF(ABS(D8-E8)&lt;=F8,"OK","INVESTIGATE"))</f>
        <v>OK</v>
      </c>
      <c r="H8" s="10" t="inlineStr">
        <is>
          <t>=Metrics!$G$16</t>
        </is>
      </c>
      <c r="I8" s="8" t="inlineStr"/>
    </row>
    <row r="9" ht="31" customHeight="1">
      <c r="A9" s="8" t="inlineStr">
        <is>
          <t>K05</t>
        </is>
      </c>
      <c r="B9" s="8" t="inlineStr">
        <is>
          <t>Submission totals</t>
        </is>
      </c>
      <c r="C9" s="8" t="inlineStr">
        <is>
          <t>Company-caused cancellations (Metrics M06)</t>
        </is>
      </c>
      <c r="D9" s="11">
        <f>Metrics!$G$9</f>
        <v>26</v>
      </c>
      <c r="E9" s="19" t="n">
        <v>26</v>
      </c>
      <c r="F9" s="25" t="n">
        <v>0</v>
      </c>
      <c r="G9" s="7" t="str">
        <f>IF(ISERROR(D9),"INVESTIGATE",IF(ABS(D9-E9)&lt;=F9,"OK","INVESTIGATE"))</f>
        <v>OK</v>
      </c>
      <c r="H9" s="10" t="inlineStr">
        <is>
          <t>=Metrics!$G$9</t>
        </is>
      </c>
      <c r="I9" s="8" t="inlineStr"/>
    </row>
    <row r="10" ht="17.5" customHeight="1">
      <c r="A10" s="8" t="inlineStr">
        <is>
          <t>K06</t>
        </is>
      </c>
      <c r="B10" s="8" t="inlineStr">
        <is>
          <t>Submission totals</t>
        </is>
      </c>
      <c r="C10" s="8" t="inlineStr">
        <is>
          <t>Unresolved cancellations (Metrics M09)</t>
        </is>
      </c>
      <c r="D10" s="11">
        <f>Metrics!$G$12</f>
        <v>19</v>
      </c>
      <c r="E10" s="19" t="n">
        <v>19</v>
      </c>
      <c r="F10" s="25" t="n">
        <v>0</v>
      </c>
      <c r="G10" s="7" t="str">
        <f>IF(ISERROR(D10),"INVESTIGATE",IF(ABS(D10-E10)&lt;=F10,"OK","INVESTIGATE"))</f>
        <v>OK</v>
      </c>
      <c r="H10" s="10" t="inlineStr">
        <is>
          <t>=Metrics!$G$12</t>
        </is>
      </c>
      <c r="I10" s="8" t="inlineStr"/>
    </row>
    <row r="11" ht="17.5" customHeight="1">
      <c r="A11" s="8" t="inlineStr">
        <is>
          <t>K07</t>
        </is>
      </c>
      <c r="B11" s="8" t="inlineStr">
        <is>
          <t>Submission totals</t>
        </is>
      </c>
      <c r="C11" s="8" t="inlineStr">
        <is>
          <t>Eligible orders (E) (Metrics M11)</t>
        </is>
      </c>
      <c r="D11" s="11">
        <f>Metrics!$G$14</f>
        <v>1481</v>
      </c>
      <c r="E11" s="19" t="n">
        <v>1481</v>
      </c>
      <c r="F11" s="25" t="n">
        <v>0</v>
      </c>
      <c r="G11" s="7" t="str">
        <f>IF(ISERROR(D11),"INVESTIGATE",IF(ABS(D11-E11)&lt;=F11,"OK","INVESTIGATE"))</f>
        <v>OK</v>
      </c>
      <c r="H11" s="10" t="inlineStr">
        <is>
          <t>=Metrics!$G$14</t>
        </is>
      </c>
      <c r="I11" s="8" t="inlineStr"/>
    </row>
    <row r="12" ht="17.5" customHeight="1">
      <c r="A12" s="8" t="inlineStr">
        <is>
          <t>K08</t>
        </is>
      </c>
      <c r="B12" s="8" t="inlineStr">
        <is>
          <t>Submission totals</t>
        </is>
      </c>
      <c r="C12" s="8" t="inlineStr">
        <is>
          <t>B1 slightly late (Metrics M14)</t>
        </is>
      </c>
      <c r="D12" s="11">
        <f>Metrics!$G$17</f>
        <v>155</v>
      </c>
      <c r="E12" s="19" t="n">
        <v>155</v>
      </c>
      <c r="F12" s="25" t="n">
        <v>0</v>
      </c>
      <c r="G12" s="7" t="str">
        <f>IF(ISERROR(D12),"INVESTIGATE",IF(ABS(D12-E12)&lt;=F12,"OK","INVESTIGATE"))</f>
        <v>OK</v>
      </c>
      <c r="H12" s="10" t="inlineStr">
        <is>
          <t>=Metrics!$G$17</t>
        </is>
      </c>
      <c r="I12" s="8" t="inlineStr"/>
    </row>
    <row r="13" ht="17.5" customHeight="1">
      <c r="A13" s="8" t="inlineStr">
        <is>
          <t>K09</t>
        </is>
      </c>
      <c r="B13" s="8" t="inlineStr">
        <is>
          <t>Submission totals</t>
        </is>
      </c>
      <c r="C13" s="8" t="inlineStr">
        <is>
          <t>B2 severely late (Metrics M15)</t>
        </is>
      </c>
      <c r="D13" s="11">
        <f>Metrics!$G$18</f>
        <v>208</v>
      </c>
      <c r="E13" s="19" t="n">
        <v>208</v>
      </c>
      <c r="F13" s="25" t="n">
        <v>0</v>
      </c>
      <c r="G13" s="7" t="str">
        <f>IF(ISERROR(D13),"INVESTIGATE",IF(ABS(D13-E13)&lt;=F13,"OK","INVESTIGATE"))</f>
        <v>OK</v>
      </c>
      <c r="H13" s="10" t="inlineStr">
        <is>
          <t>=Metrics!$G$18</t>
        </is>
      </c>
      <c r="I13" s="8" t="inlineStr"/>
    </row>
    <row r="14" ht="17.5" customHeight="1">
      <c r="A14" s="8" t="inlineStr">
        <is>
          <t>K10</t>
        </is>
      </c>
      <c r="B14" s="8" t="inlineStr">
        <is>
          <t>Submission totals</t>
        </is>
      </c>
      <c r="C14" s="8" t="inlineStr">
        <is>
          <t>B1a (Metrics M16)</t>
        </is>
      </c>
      <c r="D14" s="11">
        <f>Metrics!$G$19</f>
        <v>11</v>
      </c>
      <c r="E14" s="19" t="n">
        <v>11</v>
      </c>
      <c r="F14" s="25" t="n">
        <v>0</v>
      </c>
      <c r="G14" s="7" t="str">
        <f>IF(ISERROR(D14),"INVESTIGATE",IF(ABS(D14-E14)&lt;=F14,"OK","INVESTIGATE"))</f>
        <v>OK</v>
      </c>
      <c r="H14" s="10" t="inlineStr">
        <is>
          <t>=Metrics!$G$19</t>
        </is>
      </c>
      <c r="I14" s="8" t="inlineStr"/>
    </row>
    <row r="15" ht="17.5" customHeight="1">
      <c r="A15" s="8" t="inlineStr">
        <is>
          <t>K11</t>
        </is>
      </c>
      <c r="B15" s="8" t="inlineStr">
        <is>
          <t>Submission totals</t>
        </is>
      </c>
      <c r="C15" s="8" t="inlineStr">
        <is>
          <t>B1b (Metrics M17)</t>
        </is>
      </c>
      <c r="D15" s="11">
        <f>Metrics!$G$20</f>
        <v>144</v>
      </c>
      <c r="E15" s="19" t="n">
        <v>144</v>
      </c>
      <c r="F15" s="25" t="n">
        <v>0</v>
      </c>
      <c r="G15" s="7" t="str">
        <f>IF(ISERROR(D15),"INVESTIGATE",IF(ABS(D15-E15)&lt;=F15,"OK","INVESTIGATE"))</f>
        <v>OK</v>
      </c>
      <c r="H15" s="10" t="inlineStr">
        <is>
          <t>=Metrics!$G$20</t>
        </is>
      </c>
      <c r="I15" s="8" t="inlineStr"/>
    </row>
    <row r="16" ht="17.5" customHeight="1">
      <c r="A16" s="8" t="inlineStr">
        <is>
          <t>K12</t>
        </is>
      </c>
      <c r="B16" s="8" t="inlineStr">
        <is>
          <t>Submission totals</t>
        </is>
      </c>
      <c r="C16" s="8" t="inlineStr">
        <is>
          <t>B2a (Metrics M18)</t>
        </is>
      </c>
      <c r="D16" s="11">
        <f>Metrics!$G$21</f>
        <v>69</v>
      </c>
      <c r="E16" s="19" t="n">
        <v>69</v>
      </c>
      <c r="F16" s="25" t="n">
        <v>0</v>
      </c>
      <c r="G16" s="7" t="str">
        <f>IF(ISERROR(D16),"INVESTIGATE",IF(ABS(D16-E16)&lt;=F16,"OK","INVESTIGATE"))</f>
        <v>OK</v>
      </c>
      <c r="H16" s="10" t="inlineStr">
        <is>
          <t>=Metrics!$G$21</t>
        </is>
      </c>
      <c r="I16" s="8" t="inlineStr"/>
    </row>
    <row r="17" ht="17.5" customHeight="1">
      <c r="A17" s="8" t="inlineStr">
        <is>
          <t>K13</t>
        </is>
      </c>
      <c r="B17" s="8" t="inlineStr">
        <is>
          <t>Submission totals</t>
        </is>
      </c>
      <c r="C17" s="8" t="inlineStr">
        <is>
          <t>B2b (Metrics M19)</t>
        </is>
      </c>
      <c r="D17" s="11">
        <f>Metrics!$G$22</f>
        <v>139</v>
      </c>
      <c r="E17" s="19" t="n">
        <v>139</v>
      </c>
      <c r="F17" s="25" t="n">
        <v>0</v>
      </c>
      <c r="G17" s="7" t="str">
        <f>IF(ISERROR(D17),"INVESTIGATE",IF(ABS(D17-E17)&lt;=F17,"OK","INVESTIGATE"))</f>
        <v>OK</v>
      </c>
      <c r="H17" s="10" t="inlineStr">
        <is>
          <t>=Metrics!$G$22</t>
        </is>
      </c>
      <c r="I17" s="8" t="inlineStr"/>
    </row>
    <row r="18" ht="17.5" customHeight="1">
      <c r="A18" s="8" t="inlineStr">
        <is>
          <t>K14</t>
        </is>
      </c>
      <c r="B18" s="8" t="inlineStr">
        <is>
          <t>Submission totals</t>
        </is>
      </c>
      <c r="C18" s="8" t="inlineStr">
        <is>
          <t>C1 rider unavailable (Metrics M04)</t>
        </is>
      </c>
      <c r="D18" s="11">
        <f>Metrics!$G$7</f>
        <v>18</v>
      </c>
      <c r="E18" s="19" t="n">
        <v>18</v>
      </c>
      <c r="F18" s="25" t="n">
        <v>0</v>
      </c>
      <c r="G18" s="7" t="str">
        <f>IF(ISERROR(D18),"INVESTIGATE",IF(ABS(D18-E18)&lt;=F18,"OK","INVESTIGATE"))</f>
        <v>OK</v>
      </c>
      <c r="H18" s="10" t="inlineStr">
        <is>
          <t>=Metrics!$G$7</t>
        </is>
      </c>
      <c r="I18" s="8" t="inlineStr"/>
    </row>
    <row r="19" ht="17.5" customHeight="1">
      <c r="A19" s="8" t="inlineStr">
        <is>
          <t>K15</t>
        </is>
      </c>
      <c r="B19" s="8" t="inlineStr">
        <is>
          <t>Submission totals</t>
        </is>
      </c>
      <c r="C19" s="8" t="inlineStr">
        <is>
          <t>C2 item unavailable (Metrics M05)</t>
        </is>
      </c>
      <c r="D19" s="11">
        <f>Metrics!$G$8</f>
        <v>8</v>
      </c>
      <c r="E19" s="19" t="n">
        <v>8</v>
      </c>
      <c r="F19" s="25" t="n">
        <v>0</v>
      </c>
      <c r="G19" s="7" t="str">
        <f>IF(ISERROR(D19),"INVESTIGATE",IF(ABS(D19-E19)&lt;=F19,"OK","INVESTIGATE"))</f>
        <v>OK</v>
      </c>
      <c r="H19" s="10" t="inlineStr">
        <is>
          <t>=Metrics!$G$8</t>
        </is>
      </c>
      <c r="I19" s="8" t="inlineStr"/>
    </row>
    <row r="20" ht="17.5" customHeight="1">
      <c r="A20" s="8" t="inlineStr">
        <is>
          <t>K16</t>
        </is>
      </c>
      <c r="B20" s="8" t="inlineStr">
        <is>
          <t>Submission totals</t>
        </is>
      </c>
      <c r="C20" s="8" t="inlineStr">
        <is>
          <t>Payment issue (Metrics M07)</t>
        </is>
      </c>
      <c r="D20" s="11">
        <f>Metrics!$G$10</f>
        <v>8</v>
      </c>
      <c r="E20" s="19" t="n">
        <v>8</v>
      </c>
      <c r="F20" s="25" t="n">
        <v>0</v>
      </c>
      <c r="G20" s="7" t="str">
        <f>IF(ISERROR(D20),"INVESTIGATE",IF(ABS(D20-E20)&lt;=F20,"OK","INVESTIGATE"))</f>
        <v>OK</v>
      </c>
      <c r="H20" s="10" t="inlineStr">
        <is>
          <t>=Metrics!$G$10</t>
        </is>
      </c>
      <c r="I20" s="8" t="inlineStr"/>
    </row>
    <row r="21" ht="17.5" customHeight="1">
      <c r="A21" s="8" t="inlineStr">
        <is>
          <t>K17</t>
        </is>
      </c>
      <c r="B21" s="8" t="inlineStr">
        <is>
          <t>Submission totals</t>
        </is>
      </c>
      <c r="C21" s="8" t="inlineStr">
        <is>
          <t>Customer cancelled (Metrics M08)</t>
        </is>
      </c>
      <c r="D21" s="11">
        <f>Metrics!$G$11</f>
        <v>11</v>
      </c>
      <c r="E21" s="19" t="n">
        <v>11</v>
      </c>
      <c r="F21" s="25" t="n">
        <v>0</v>
      </c>
      <c r="G21" s="7" t="str">
        <f>IF(ISERROR(D21),"INVESTIGATE",IF(ABS(D21-E21)&lt;=F21,"OK","INVESTIGATE"))</f>
        <v>OK</v>
      </c>
      <c r="H21" s="10" t="inlineStr">
        <is>
          <t>=Metrics!$G$11</t>
        </is>
      </c>
      <c r="I21" s="8" t="inlineStr"/>
    </row>
    <row r="22" ht="31" customHeight="1">
      <c r="A22" s="8" t="inlineStr">
        <is>
          <t>K18</t>
        </is>
      </c>
      <c r="B22" s="8" t="inlineStr">
        <is>
          <t>Submission rates</t>
        </is>
      </c>
      <c r="C22" s="8" t="inlineStr">
        <is>
          <t>North Star (provisional) (Metrics M20)</t>
        </is>
      </c>
      <c r="D22" s="12">
        <f>Metrics!$G$23</f>
        <v>0.737339635381499</v>
      </c>
      <c r="E22" s="30" t="n">
        <v>0.737</v>
      </c>
      <c r="F22" s="25" t="n">
        <v>0.0005</v>
      </c>
      <c r="G22" s="7" t="str">
        <f>IF(ISERROR(D22),"INVESTIGATE",IF(ABS(D22-E22)&lt;=F22,"OK","INVESTIGATE"))</f>
        <v>OK</v>
      </c>
      <c r="H22" s="10" t="inlineStr">
        <is>
          <t>=Metrics!$G$23</t>
        </is>
      </c>
      <c r="I22" s="8" t="inlineStr">
        <is>
          <t>Tolerance = half of the last digit shown in the submission</t>
        </is>
      </c>
    </row>
    <row r="23" ht="31" customHeight="1">
      <c r="A23" s="8" t="inlineStr">
        <is>
          <t>K19</t>
        </is>
      </c>
      <c r="B23" s="8" t="inlineStr">
        <is>
          <t>Submission rates</t>
        </is>
      </c>
      <c r="C23" s="8" t="inlineStr">
        <is>
          <t>North Star lower end (Metrics M21)</t>
        </is>
      </c>
      <c r="D23" s="12">
        <f>Metrics!$G$24</f>
        <v>0.728</v>
      </c>
      <c r="E23" s="30" t="n">
        <v>0.728</v>
      </c>
      <c r="F23" s="25" t="n">
        <v>0.0005</v>
      </c>
      <c r="G23" s="7" t="str">
        <f>IF(ISERROR(D23),"INVESTIGATE",IF(ABS(D23-E23)&lt;=F23,"OK","INVESTIGATE"))</f>
        <v>OK</v>
      </c>
      <c r="H23" s="10" t="inlineStr">
        <is>
          <t>=Metrics!$G$24</t>
        </is>
      </c>
      <c r="I23" s="8" t="inlineStr">
        <is>
          <t>Tolerance = half of the last digit shown in the submission</t>
        </is>
      </c>
    </row>
    <row r="24" ht="31" customHeight="1">
      <c r="A24" s="8" t="inlineStr">
        <is>
          <t>K20</t>
        </is>
      </c>
      <c r="B24" s="8" t="inlineStr">
        <is>
          <t>Submission rates</t>
        </is>
      </c>
      <c r="C24" s="8" t="inlineStr">
        <is>
          <t>On time among delivered (Metrics M22)</t>
        </is>
      </c>
      <c r="D24" s="12">
        <f>Metrics!$G$25</f>
        <v>0.750515463917526</v>
      </c>
      <c r="E24" s="30" t="n">
        <v>0.751</v>
      </c>
      <c r="F24" s="25" t="n">
        <v>0.0005</v>
      </c>
      <c r="G24" s="7" t="str">
        <f>IF(ISERROR(D24),"INVESTIGATE",IF(ABS(D24-E24)&lt;=F24,"OK","INVESTIGATE"))</f>
        <v>OK</v>
      </c>
      <c r="H24" s="10" t="inlineStr">
        <is>
          <t>=Metrics!$G$25</t>
        </is>
      </c>
      <c r="I24" s="8" t="inlineStr">
        <is>
          <t>Tolerance = half of the last digit shown in the submission</t>
        </is>
      </c>
    </row>
    <row r="25" ht="31" customHeight="1">
      <c r="A25" s="8" t="inlineStr">
        <is>
          <t>K21</t>
        </is>
      </c>
      <c r="B25" s="8" t="inlineStr">
        <is>
          <t>Submission rates</t>
        </is>
      </c>
      <c r="C25" s="8" t="inlineStr">
        <is>
          <t>Cancellation rate (Metrics M23)</t>
        </is>
      </c>
      <c r="D25" s="12">
        <f>Metrics!$G$26</f>
        <v>0.03</v>
      </c>
      <c r="E25" s="30" t="n">
        <v>0.03</v>
      </c>
      <c r="F25" s="25" t="n">
        <v>0.0005</v>
      </c>
      <c r="G25" s="7" t="str">
        <f>IF(ISERROR(D25),"INVESTIGATE",IF(ABS(D25-E25)&lt;=F25,"OK","INVESTIGATE"))</f>
        <v>OK</v>
      </c>
      <c r="H25" s="10" t="inlineStr">
        <is>
          <t>=Metrics!$G$26</t>
        </is>
      </c>
      <c r="I25" s="8" t="inlineStr">
        <is>
          <t>Tolerance = half of the last digit shown in the submission</t>
        </is>
      </c>
    </row>
    <row r="26" ht="31" customHeight="1">
      <c r="A26" s="8" t="inlineStr">
        <is>
          <t>K22</t>
        </is>
      </c>
      <c r="B26" s="8" t="inlineStr">
        <is>
          <t>Submission rates</t>
        </is>
      </c>
      <c r="C26" s="8" t="inlineStr">
        <is>
          <t>Average delivery time (min) (Metrics M25)</t>
        </is>
      </c>
      <c r="D26" s="26">
        <f>Metrics!$G$39</f>
        <v>11.313676975945</v>
      </c>
      <c r="E26" s="22" t="n">
        <v>11.31</v>
      </c>
      <c r="F26" s="25" t="n">
        <v>0.005</v>
      </c>
      <c r="G26" s="7" t="str">
        <f>IF(ISERROR(D26),"INVESTIGATE",IF(ABS(D26-E26)&lt;=F26,"OK","INVESTIGATE"))</f>
        <v>OK</v>
      </c>
      <c r="H26" s="10" t="inlineStr">
        <is>
          <t>=Metrics!$G$39</t>
        </is>
      </c>
      <c r="I26" s="8" t="inlineStr">
        <is>
          <t>Tolerance = half of the last digit shown in the submission</t>
        </is>
      </c>
    </row>
    <row r="27" ht="31" customHeight="1">
      <c r="A27" s="8" t="inlineStr">
        <is>
          <t>K23</t>
        </is>
      </c>
      <c r="B27" s="8" t="inlineStr">
        <is>
          <t>Submission rates</t>
        </is>
      </c>
      <c r="C27" s="8" t="inlineStr">
        <is>
          <t>P90 delivery time (min) (Metrics M26)</t>
        </is>
      </c>
      <c r="D27" s="26">
        <f>Metrics!$G$40</f>
        <v>17.2</v>
      </c>
      <c r="E27" s="22" t="n">
        <v>17.2</v>
      </c>
      <c r="F27" s="25" t="n">
        <v>0.05</v>
      </c>
      <c r="G27" s="7" t="str">
        <f>IF(ISERROR(D27),"INVESTIGATE",IF(ABS(D27-E27)&lt;=F27,"OK","INVESTIGATE"))</f>
        <v>OK</v>
      </c>
      <c r="H27" s="10" t="inlineStr">
        <is>
          <t>=Metrics!$G$40</t>
        </is>
      </c>
      <c r="I27" s="8" t="inlineStr">
        <is>
          <t>Tolerance = half of the last digit shown in the submission</t>
        </is>
      </c>
    </row>
    <row r="28" ht="31" customHeight="1">
      <c r="A28" s="8" t="inlineStr">
        <is>
          <t>K24</t>
        </is>
      </c>
      <c r="B28" s="8" t="inlineStr">
        <is>
          <t>Submission rates</t>
        </is>
      </c>
      <c r="C28" s="8" t="inlineStr">
        <is>
          <t>Average promise, delivered (min) (Metrics M27)</t>
        </is>
      </c>
      <c r="D28" s="26">
        <f>Metrics!$G$41</f>
        <v>10.3325085910653</v>
      </c>
      <c r="E28" s="22" t="n">
        <v>10.33</v>
      </c>
      <c r="F28" s="25" t="n">
        <v>0.005</v>
      </c>
      <c r="G28" s="7" t="str">
        <f>IF(ISERROR(D28),"INVESTIGATE",IF(ABS(D28-E28)&lt;=F28,"OK","INVESTIGATE"))</f>
        <v>OK</v>
      </c>
      <c r="H28" s="10" t="inlineStr">
        <is>
          <t>=Metrics!$G$41</t>
        </is>
      </c>
      <c r="I28" s="8" t="inlineStr">
        <is>
          <t>Tolerance = half of the last digit shown in the submission</t>
        </is>
      </c>
    </row>
    <row r="29" ht="31" customHeight="1">
      <c r="A29" s="8" t="inlineStr">
        <is>
          <t>K25</t>
        </is>
      </c>
      <c r="B29" s="8" t="inlineStr">
        <is>
          <t>Submission tests</t>
        </is>
      </c>
      <c r="C29" s="8" t="inlineStr">
        <is>
          <t>H1 severe, peak (Tests_Proportions row 5)</t>
        </is>
      </c>
      <c r="D29" s="12">
        <f>Tests_Proportions!$F$5</f>
        <v>0.25</v>
      </c>
      <c r="E29" s="30" t="n">
        <v>0.25</v>
      </c>
      <c r="F29" s="25" t="n">
        <v>0.0005</v>
      </c>
      <c r="G29" s="7" t="str">
        <f>IF(ISERROR(D29),"INVESTIGATE",IF(ABS(D29-E29)&lt;=F29,"OK","INVESTIGATE"))</f>
        <v>OK</v>
      </c>
      <c r="H29" s="10" t="inlineStr">
        <is>
          <t>=Tests_Proportions!$F$5</t>
        </is>
      </c>
      <c r="I29" s="8" t="inlineStr"/>
    </row>
    <row r="30" ht="31" customHeight="1">
      <c r="A30" s="8" t="inlineStr">
        <is>
          <t>K26</t>
        </is>
      </c>
      <c r="B30" s="8" t="inlineStr">
        <is>
          <t>Submission tests</t>
        </is>
      </c>
      <c r="C30" s="8" t="inlineStr">
        <is>
          <t>H1 severe, off-peak (Tests_Proportions row 5)</t>
        </is>
      </c>
      <c r="D30" s="12">
        <f>Tests_Proportions!$J$5</f>
        <v>0.117896522476675</v>
      </c>
      <c r="E30" s="30" t="n">
        <v>0.118</v>
      </c>
      <c r="F30" s="25" t="n">
        <v>0.0005</v>
      </c>
      <c r="G30" s="7" t="str">
        <f>IF(ISERROR(D30),"INVESTIGATE",IF(ABS(D30-E30)&lt;=F30,"OK","INVESTIGATE"))</f>
        <v>OK</v>
      </c>
      <c r="H30" s="10" t="inlineStr">
        <is>
          <t>=Tests_Proportions!$J$5</t>
        </is>
      </c>
      <c r="I30" s="8" t="inlineStr"/>
    </row>
    <row r="31" ht="31" customHeight="1">
      <c r="A31" s="8" t="inlineStr">
        <is>
          <t>K27</t>
        </is>
      </c>
      <c r="B31" s="8" t="inlineStr">
        <is>
          <t>Submission tests</t>
        </is>
      </c>
      <c r="C31" s="8" t="inlineStr">
        <is>
          <t>H1 CI low (pts) (Tests_Proportions row 5)</t>
        </is>
      </c>
      <c r="D31" s="26">
        <f>Tests_Proportions!$M$5</f>
        <v>7.78020826471058</v>
      </c>
      <c r="E31" s="22" t="n">
        <v>7.8</v>
      </c>
      <c r="F31" s="25" t="n">
        <v>0.05</v>
      </c>
      <c r="G31" s="7" t="str">
        <f>IF(ISERROR(D31),"INVESTIGATE",IF(ABS(D31-E31)&lt;=F31,"OK","INVESTIGATE"))</f>
        <v>OK</v>
      </c>
      <c r="H31" s="10" t="inlineStr">
        <is>
          <t>=Tests_Proportions!$M$5</t>
        </is>
      </c>
      <c r="I31" s="8" t="inlineStr"/>
    </row>
    <row r="32" ht="31" customHeight="1">
      <c r="A32" s="8" t="inlineStr">
        <is>
          <t>K28</t>
        </is>
      </c>
      <c r="B32" s="8" t="inlineStr">
        <is>
          <t>Submission tests</t>
        </is>
      </c>
      <c r="C32" s="8" t="inlineStr">
        <is>
          <t>H1 CI high (pts) (Tests_Proportions row 5)</t>
        </is>
      </c>
      <c r="D32" s="26">
        <f>Tests_Proportions!$N$5</f>
        <v>18.6404872399544</v>
      </c>
      <c r="E32" s="22" t="n">
        <v>18.6</v>
      </c>
      <c r="F32" s="25" t="n">
        <v>0.05</v>
      </c>
      <c r="G32" s="7" t="str">
        <f>IF(ISERROR(D32),"INVESTIGATE",IF(ABS(D32-E32)&lt;=F32,"OK","INVESTIGATE"))</f>
        <v>OK</v>
      </c>
      <c r="H32" s="10" t="inlineStr">
        <is>
          <t>=Tests_Proportions!$N$5</t>
        </is>
      </c>
      <c r="I32" s="8" t="inlineStr"/>
    </row>
    <row r="33" ht="31" customHeight="1">
      <c r="A33" s="8" t="inlineStr">
        <is>
          <t>K29</t>
        </is>
      </c>
      <c r="B33" s="8" t="inlineStr">
        <is>
          <t>Submission tests</t>
        </is>
      </c>
      <c r="C33" s="8" t="inlineStr">
        <is>
          <t>H2 promise peak (min) (Tests_Means row 7)</t>
        </is>
      </c>
      <c r="D33" s="26">
        <f>Tests_Means!$D$7</f>
        <v>9.6018115942029</v>
      </c>
      <c r="E33" s="22" t="n">
        <v>9.6</v>
      </c>
      <c r="F33" s="25" t="n">
        <v>0.05</v>
      </c>
      <c r="G33" s="7" t="str">
        <f>IF(ISERROR(D33),"INVESTIGATE",IF(ABS(D33-E33)&lt;=F33,"OK","INVESTIGATE"))</f>
        <v>OK</v>
      </c>
      <c r="H33" s="10" t="inlineStr">
        <is>
          <t>=Tests_Means!$D$7</t>
        </is>
      </c>
      <c r="I33" s="8" t="inlineStr"/>
    </row>
    <row r="34" ht="31" customHeight="1">
      <c r="A34" s="8" t="inlineStr">
        <is>
          <t>K30</t>
        </is>
      </c>
      <c r="B34" s="8" t="inlineStr">
        <is>
          <t>Submission tests</t>
        </is>
      </c>
      <c r="C34" s="8" t="inlineStr">
        <is>
          <t>H2 promise off-peak (min) (Tests_Means row 7)</t>
        </is>
      </c>
      <c r="D34" s="26">
        <f>Tests_Means!$H$7</f>
        <v>10.5035623409669</v>
      </c>
      <c r="E34" s="22" t="n">
        <v>10.5</v>
      </c>
      <c r="F34" s="25" t="n">
        <v>0.05</v>
      </c>
      <c r="G34" s="7" t="str">
        <f>IF(ISERROR(D34),"INVESTIGATE",IF(ABS(D34-E34)&lt;=F34,"OK","INVESTIGATE"))</f>
        <v>OK</v>
      </c>
      <c r="H34" s="10" t="inlineStr">
        <is>
          <t>=Tests_Means!$H$7</t>
        </is>
      </c>
      <c r="I34" s="8" t="inlineStr"/>
    </row>
    <row r="35" ht="31" customHeight="1">
      <c r="A35" s="8" t="inlineStr">
        <is>
          <t>K31</t>
        </is>
      </c>
      <c r="B35" s="8" t="inlineStr">
        <is>
          <t>Submission tests</t>
        </is>
      </c>
      <c r="C35" s="8" t="inlineStr">
        <is>
          <t>Est. wait difference (min) (Tests_Means row 5)</t>
        </is>
      </c>
      <c r="D35" s="26">
        <f>Tests_Means!$K$5</f>
        <v>1.02004462145518</v>
      </c>
      <c r="E35" s="22" t="n">
        <v>1.02</v>
      </c>
      <c r="F35" s="25" t="n">
        <v>0.005</v>
      </c>
      <c r="G35" s="7" t="str">
        <f>IF(ISERROR(D35),"INVESTIGATE",IF(ABS(D35-E35)&lt;=F35,"OK","INVESTIGATE"))</f>
        <v>OK</v>
      </c>
      <c r="H35" s="10" t="inlineStr">
        <is>
          <t>=Tests_Means!$K$5</t>
        </is>
      </c>
      <c r="I35" s="8" t="inlineStr"/>
    </row>
    <row r="36" ht="31" customHeight="1">
      <c r="A36" s="8" t="inlineStr">
        <is>
          <t>K32</t>
        </is>
      </c>
      <c r="B36" s="8" t="inlineStr">
        <is>
          <t>Submission tests</t>
        </is>
      </c>
      <c r="C36" s="8" t="inlineStr">
        <is>
          <t>H3 off-peak Q4 late (Tests_Proportions row 9)</t>
        </is>
      </c>
      <c r="D36" s="12">
        <f>Tests_Proportions!$F$9</f>
        <v>0.27054794520548</v>
      </c>
      <c r="E36" s="30" t="n">
        <v>0.271</v>
      </c>
      <c r="F36" s="25" t="n">
        <v>0.0005</v>
      </c>
      <c r="G36" s="7" t="str">
        <f>IF(ISERROR(D36),"INVESTIGATE",IF(ABS(D36-E36)&lt;=F36,"OK","INVESTIGATE"))</f>
        <v>OK</v>
      </c>
      <c r="H36" s="10" t="inlineStr">
        <is>
          <t>=Tests_Proportions!$F$9</t>
        </is>
      </c>
      <c r="I36" s="8" t="inlineStr"/>
    </row>
    <row r="37" ht="31" customHeight="1">
      <c r="A37" s="8" t="inlineStr">
        <is>
          <t>K33</t>
        </is>
      </c>
      <c r="B37" s="8" t="inlineStr">
        <is>
          <t>Submission tests</t>
        </is>
      </c>
      <c r="C37" s="8" t="inlineStr">
        <is>
          <t>H3 off-peak Q1 late (Tests_Proportions row 9)</t>
        </is>
      </c>
      <c r="D37" s="12">
        <f>Tests_Proportions!$J$9</f>
        <v>0.216666666666667</v>
      </c>
      <c r="E37" s="30" t="n">
        <v>0.217</v>
      </c>
      <c r="F37" s="25" t="n">
        <v>0.0005</v>
      </c>
      <c r="G37" s="7" t="str">
        <f>IF(ISERROR(D37),"INVESTIGATE",IF(ABS(D37-E37)&lt;=F37,"OK","INVESTIGATE"))</f>
        <v>OK</v>
      </c>
      <c r="H37" s="10" t="inlineStr">
        <is>
          <t>=Tests_Proportions!$J$9</t>
        </is>
      </c>
      <c r="I37" s="8" t="inlineStr"/>
    </row>
    <row r="38" ht="17.5" customHeight="1">
      <c r="A38" s="8" t="inlineStr">
        <is>
          <t>K34</t>
        </is>
      </c>
      <c r="B38" s="8" t="inlineStr">
        <is>
          <t>Submission tests</t>
        </is>
      </c>
      <c r="C38" s="8" t="inlineStr">
        <is>
          <t>H4 store r (Tests_Correlations row 5)</t>
        </is>
      </c>
      <c r="D38" s="26">
        <f>Tests_Correlations!$G$5</f>
        <v>0.42604665793221</v>
      </c>
      <c r="E38" s="22" t="n">
        <v>0.43</v>
      </c>
      <c r="F38" s="25" t="n">
        <v>0.005</v>
      </c>
      <c r="G38" s="7" t="str">
        <f>IF(ISERROR(D38),"INVESTIGATE",IF(ABS(D38-E38)&lt;=F38,"OK","INVESTIGATE"))</f>
        <v>OK</v>
      </c>
      <c r="H38" s="10" t="inlineStr">
        <is>
          <t>=Tests_Correlations!$G$5</t>
        </is>
      </c>
      <c r="I38" s="8" t="inlineStr"/>
    </row>
    <row r="39" ht="17.5" customHeight="1">
      <c r="A39" s="8" t="inlineStr">
        <is>
          <t>K35</t>
        </is>
      </c>
      <c r="B39" s="8" t="inlineStr">
        <is>
          <t>Submission tests</t>
        </is>
      </c>
      <c r="C39" s="8" t="inlineStr">
        <is>
          <t>H5 tickets r (Tests_Correlations row 9)</t>
        </is>
      </c>
      <c r="D39" s="26">
        <f>Tests_Correlations!$G$9</f>
        <v>0.0231258491474146</v>
      </c>
      <c r="E39" s="22" t="n">
        <v>0.02</v>
      </c>
      <c r="F39" s="25" t="n">
        <v>0.005</v>
      </c>
      <c r="G39" s="7" t="str">
        <f>IF(ISERROR(D39),"INVESTIGATE",IF(ABS(D39-E39)&lt;=F39,"OK","INVESTIGATE"))</f>
        <v>OK</v>
      </c>
      <c r="H39" s="10" t="inlineStr">
        <is>
          <t>=Tests_Correlations!$G$9</t>
        </is>
      </c>
      <c r="I39" s="8" t="inlineStr"/>
    </row>
    <row r="40" ht="31" customHeight="1">
      <c r="A40" s="8" t="inlineStr">
        <is>
          <t>K36</t>
        </is>
      </c>
      <c r="B40" s="8" t="inlineStr">
        <is>
          <t>Submission tests</t>
        </is>
      </c>
      <c r="C40" s="8" t="inlineStr">
        <is>
          <t>H6 new stores late (Tests_Proportions row 11)</t>
        </is>
      </c>
      <c r="D40" s="12">
        <f>Tests_Proportions!$F$11</f>
        <v>0.25503355704698</v>
      </c>
      <c r="E40" s="30" t="n">
        <v>0.255</v>
      </c>
      <c r="F40" s="25" t="n">
        <v>0.0005</v>
      </c>
      <c r="G40" s="7" t="str">
        <f>IF(ISERROR(D40),"INVESTIGATE",IF(ABS(D40-E40)&lt;=F40,"OK","INVESTIGATE"))</f>
        <v>OK</v>
      </c>
      <c r="H40" s="10" t="inlineStr">
        <is>
          <t>=Tests_Proportions!$F$11</t>
        </is>
      </c>
      <c r="I40" s="8" t="inlineStr"/>
    </row>
    <row r="41" ht="17.5" customHeight="1">
      <c r="A41" s="8" t="inlineStr">
        <is>
          <t>K37</t>
        </is>
      </c>
      <c r="B41" s="8" t="inlineStr">
        <is>
          <t>Consistency</t>
        </is>
      </c>
      <c r="C41" s="8" t="inlineStr">
        <is>
          <t>Tree counts: A + B + C − E</t>
        </is>
      </c>
      <c r="D41" s="11">
        <f>Metrics!$G$38</f>
        <v>0</v>
      </c>
      <c r="E41" s="19" t="n">
        <v>0</v>
      </c>
      <c r="F41" s="25" t="n">
        <v>0</v>
      </c>
      <c r="G41" s="7" t="str">
        <f>IF(ISERROR(D41),"INVESTIGATE",IF(ABS(D41-E41)&lt;=F41,"OK","INVESTIGATE"))</f>
        <v>OK</v>
      </c>
      <c r="H41" s="10" t="inlineStr">
        <is>
          <t>=Metrics!$G$38</t>
        </is>
      </c>
      <c r="I41" s="8" t="inlineStr"/>
    </row>
    <row r="42" ht="17.5" customHeight="1">
      <c r="A42" s="8" t="inlineStr">
        <is>
          <t>K38</t>
        </is>
      </c>
      <c r="B42" s="8" t="inlineStr">
        <is>
          <t>Consistency</t>
        </is>
      </c>
      <c r="C42" s="8" t="inlineStr">
        <is>
          <t>Cancellations not in either class</t>
        </is>
      </c>
      <c r="D42" s="11">
        <f>Metrics!$G$13</f>
        <v>0</v>
      </c>
      <c r="E42" s="19" t="n">
        <v>0</v>
      </c>
      <c r="F42" s="25" t="n">
        <v>0</v>
      </c>
      <c r="G42" s="7" t="str">
        <f>IF(ISERROR(D42),"INVESTIGATE",IF(ABS(D42-E42)&lt;=F42,"OK","INVESTIGATE"))</f>
        <v>OK</v>
      </c>
      <c r="H42" s="10" t="inlineStr">
        <is>
          <t>=Metrics!$G$13</t>
        </is>
      </c>
      <c r="I42" s="8" t="inlineStr"/>
    </row>
    <row r="43" ht="17.5" customHeight="1">
      <c r="A43" s="8" t="inlineStr">
        <is>
          <t>K39</t>
        </is>
      </c>
      <c r="B43" s="8" t="inlineStr">
        <is>
          <t>Consistency</t>
        </is>
      </c>
      <c r="C43" s="8" t="inlineStr">
        <is>
          <t>B1a + B1b − B1</t>
        </is>
      </c>
      <c r="D43" s="11">
        <f>Metrics!$G$19+Metrics!$G$20-Metrics!$G$17</f>
        <v>0</v>
      </c>
      <c r="E43" s="19" t="n">
        <v>0</v>
      </c>
      <c r="F43" s="25" t="n">
        <v>0</v>
      </c>
      <c r="G43" s="7" t="str">
        <f>IF(ISERROR(D43),"INVESTIGATE",IF(ABS(D43-E43)&lt;=F43,"OK","INVESTIGATE"))</f>
        <v>OK</v>
      </c>
      <c r="H43" s="10" t="inlineStr">
        <is>
          <t>=Metrics!$G$19+Metrics!$G$20-Metrics!$G$17</t>
        </is>
      </c>
      <c r="I43" s="8" t="inlineStr"/>
    </row>
    <row r="44" ht="17.5" customHeight="1">
      <c r="A44" s="8" t="inlineStr">
        <is>
          <t>K40</t>
        </is>
      </c>
      <c r="B44" s="8" t="inlineStr">
        <is>
          <t>Consistency</t>
        </is>
      </c>
      <c r="C44" s="8" t="inlineStr">
        <is>
          <t>B2a + B2b − B2</t>
        </is>
      </c>
      <c r="D44" s="11">
        <f>Metrics!$G$21+Metrics!$G$22-Metrics!$G$18</f>
        <v>0</v>
      </c>
      <c r="E44" s="19" t="n">
        <v>0</v>
      </c>
      <c r="F44" s="25" t="n">
        <v>0</v>
      </c>
      <c r="G44" s="7" t="str">
        <f>IF(ISERROR(D44),"INVESTIGATE",IF(ABS(D44-E44)&lt;=F44,"OK","INVESTIGATE"))</f>
        <v>OK</v>
      </c>
      <c r="H44" s="10" t="inlineStr">
        <is>
          <t>=Metrics!$G$21+Metrics!$G$22-Metrics!$G$18</t>
        </is>
      </c>
      <c r="I44" s="8" t="inlineStr"/>
    </row>
    <row r="45" ht="44.5" customHeight="1">
      <c r="A45" s="8" t="inlineStr">
        <is>
          <t>K41</t>
        </is>
      </c>
      <c r="B45" s="8" t="inlineStr">
        <is>
          <t>Consistency</t>
        </is>
      </c>
      <c r="C45" s="8" t="inlineStr">
        <is>
          <t>Delivered orders whose three stage estimates do not sum to the actual minutes within 0.1 (after rounding)</t>
        </is>
      </c>
      <c r="D45" s="11">
        <f>COUNTIFS(c_sum01,0)</f>
        <v>0</v>
      </c>
      <c r="E45" s="19" t="n">
        <v>0</v>
      </c>
      <c r="F45" s="25" t="n">
        <v>0</v>
      </c>
      <c r="G45" s="7" t="str">
        <f>IF(ISERROR(D45),"INVESTIGATE",IF(ABS(D45-E45)&lt;=F45,"OK","INVESTIGATE"))</f>
        <v>OK</v>
      </c>
      <c r="H45" s="10" t="inlineStr">
        <is>
          <t>=COUNTIFS(c_sum01,0)</t>
        </is>
      </c>
      <c r="I45" s="8" t="inlineStr">
        <is>
          <t>Tolerance applied with ROUND(…,6) so floating-point noise is not counted as a mismatch</t>
        </is>
      </c>
    </row>
    <row r="46" ht="31" customHeight="1">
      <c r="A46" s="8" t="inlineStr">
        <is>
          <t>K42</t>
        </is>
      </c>
      <c r="B46" s="8" t="inlineStr">
        <is>
          <t>Consistency</t>
        </is>
      </c>
      <c r="C46" s="8" t="inlineStr">
        <is>
          <t>Stage-sum check covers every delivered order</t>
        </is>
      </c>
      <c r="D46" s="11">
        <f>COUNT(c_sum01)-Metrics!$G$5</f>
        <v>0</v>
      </c>
      <c r="E46" s="19" t="n">
        <v>0</v>
      </c>
      <c r="F46" s="25" t="n">
        <v>0</v>
      </c>
      <c r="G46" s="7" t="str">
        <f>IF(ISERROR(D46),"INVESTIGATE",IF(ABS(D46-E46)&lt;=F46,"OK","INVESTIGATE"))</f>
        <v>OK</v>
      </c>
      <c r="H46" s="10" t="inlineStr">
        <is>
          <t>=COUNT(c_sum01)-Metrics!$G$5</t>
        </is>
      </c>
      <c r="I46" s="8" t="inlineStr"/>
    </row>
    <row r="47" ht="31" customHeight="1">
      <c r="A47" s="8" t="inlineStr">
        <is>
          <t>K43</t>
        </is>
      </c>
      <c r="B47" s="8" t="inlineStr">
        <is>
          <t>Consistency</t>
        </is>
      </c>
      <c r="C47" s="8" t="inlineStr">
        <is>
          <t>Peak rule agrees with is_peak_hour (rows that disagree)</t>
        </is>
      </c>
      <c r="D47" s="11">
        <f>ROWS(c_peakok)-SUM(c_peakok)</f>
        <v>0</v>
      </c>
      <c r="E47" s="19" t="n">
        <v>0</v>
      </c>
      <c r="F47" s="25" t="n">
        <v>0</v>
      </c>
      <c r="G47" s="7" t="str">
        <f>IF(ISERROR(D47),"INVESTIGATE",IF(ABS(D47-E47)&lt;=F47,"OK","INVESTIGATE"))</f>
        <v>OK</v>
      </c>
      <c r="H47" s="10" t="inlineStr">
        <is>
          <t>=ROWS(c_peakok)-SUM(c_peakok)</t>
        </is>
      </c>
      <c r="I47" s="8" t="inlineStr">
        <is>
          <t>Peak = 19:00 up to 22:00</t>
        </is>
      </c>
    </row>
    <row r="48" ht="31" customHeight="1">
      <c r="A48" s="8" t="inlineStr">
        <is>
          <t>K44</t>
        </is>
      </c>
      <c r="B48" s="8" t="inlineStr">
        <is>
          <t>Consistency</t>
        </is>
      </c>
      <c r="C48" s="8" t="inlineStr">
        <is>
          <t>delay_min ≠ (actual − promised) × 1440 (delivered rows)</t>
        </is>
      </c>
      <c r="D48" s="11">
        <f>COUNTIFS(c_delaychk,0)</f>
        <v>0</v>
      </c>
      <c r="E48" s="19" t="n">
        <v>0</v>
      </c>
      <c r="F48" s="25" t="n">
        <v>0</v>
      </c>
      <c r="G48" s="7" t="str">
        <f>IF(ISERROR(D48),"INVESTIGATE",IF(ABS(D48-E48)&lt;=F48,"OK","INVESTIGATE"))</f>
        <v>OK</v>
      </c>
      <c r="H48" s="10" t="inlineStr">
        <is>
          <t>=COUNTIFS(c_delaychk,0)</t>
        </is>
      </c>
      <c r="I48" s="8" t="inlineStr"/>
    </row>
    <row r="49" ht="31" customHeight="1">
      <c r="A49" s="8" t="inlineStr">
        <is>
          <t>K45</t>
        </is>
      </c>
      <c r="B49" s="8" t="inlineStr">
        <is>
          <t>Consistency</t>
        </is>
      </c>
      <c r="C49" s="8" t="inlineStr">
        <is>
          <t>promised_eta ≠ (promised − placed) × 1440 (rows)</t>
        </is>
      </c>
      <c r="D49" s="11">
        <f>COUNTIFS(c_promchk,0)</f>
        <v>0</v>
      </c>
      <c r="E49" s="19" t="n">
        <v>0</v>
      </c>
      <c r="F49" s="25" t="n">
        <v>0</v>
      </c>
      <c r="G49" s="7" t="str">
        <f>IF(ISERROR(D49),"INVESTIGATE",IF(ABS(D49-E49)&lt;=F49,"OK","INVESTIGATE"))</f>
        <v>OK</v>
      </c>
      <c r="H49" s="10" t="inlineStr">
        <is>
          <t>=COUNTIFS(c_promchk,0)</t>
        </is>
      </c>
      <c r="I49" s="8" t="inlineStr"/>
    </row>
    <row r="50" ht="31" customHeight="1">
      <c r="A50" s="8" t="inlineStr">
        <is>
          <t>K46</t>
        </is>
      </c>
      <c r="B50" s="8" t="inlineStr">
        <is>
          <t>Consistency</t>
        </is>
      </c>
      <c r="C50" s="8" t="inlineStr">
        <is>
          <t>on_time_flag disagrees with the on-time rule (rows)</t>
        </is>
      </c>
      <c r="D50" s="11">
        <f>COUNTIFS(c_flagchk,0)</f>
        <v>0</v>
      </c>
      <c r="E50" s="19" t="n">
        <v>0</v>
      </c>
      <c r="F50" s="25" t="n">
        <v>0</v>
      </c>
      <c r="G50" s="7" t="str">
        <f>IF(ISERROR(D50),"INVESTIGATE",IF(ABS(D50-E50)&lt;=F50,"OK","INVESTIGATE"))</f>
        <v>OK</v>
      </c>
      <c r="H50" s="10" t="inlineStr">
        <is>
          <t>=COUNTIFS(c_flagchk,0)</t>
        </is>
      </c>
      <c r="I50" s="8" t="inlineStr"/>
    </row>
    <row r="51" ht="31" customHeight="1">
      <c r="A51" s="8" t="inlineStr">
        <is>
          <t>K47</t>
        </is>
      </c>
      <c r="B51" s="8" t="inlineStr">
        <is>
          <t>Consistency</t>
        </is>
      </c>
      <c r="C51" s="8" t="inlineStr">
        <is>
          <t>Stores sheet summaries that differ from Orders (stores)</t>
        </is>
      </c>
      <c r="D51" s="11">
        <f>ROWS(Store_Summary!$L$4:$L$23)-SUM(Store_Summary!$L$4:$L$23)</f>
        <v>0</v>
      </c>
      <c r="E51" s="19" t="n">
        <v>0</v>
      </c>
      <c r="F51" s="25" t="n">
        <v>0</v>
      </c>
      <c r="G51" s="7" t="str">
        <f>IF(ISERROR(D51),"INVESTIGATE",IF(ABS(D51-E51)&lt;=F51,"OK","INVESTIGATE"))</f>
        <v>OK</v>
      </c>
      <c r="H51" s="10" t="inlineStr">
        <is>
          <t>=ROWS(Store_Summary!$L$4:$L$23)-SUM(Store_Summary!$L$4:$L$23)</t>
        </is>
      </c>
      <c r="I51" s="8" t="inlineStr"/>
    </row>
    <row r="52" ht="31" customHeight="1">
      <c r="A52" s="8" t="inlineStr">
        <is>
          <t>K48</t>
        </is>
      </c>
      <c r="B52" s="8" t="inlineStr">
        <is>
          <t>Consistency</t>
        </is>
      </c>
      <c r="C52" s="8" t="inlineStr">
        <is>
          <t>Customers.orders_in_dataset ≠ delivered orders (customers)</t>
        </is>
      </c>
      <c r="D52" s="11">
        <f>ROWS(Customer_Summary!$H$4:$H$253)-SUM(Customer_Summary!$H$4:$H$253)</f>
        <v>0</v>
      </c>
      <c r="E52" s="19" t="n">
        <v>0</v>
      </c>
      <c r="F52" s="25" t="n">
        <v>0</v>
      </c>
      <c r="G52" s="7" t="str">
        <f>IF(ISERROR(D52),"INVESTIGATE",IF(ABS(D52-E52)&lt;=F52,"OK","INVESTIGATE"))</f>
        <v>OK</v>
      </c>
      <c r="H52" s="10" t="inlineStr">
        <is>
          <t>=ROWS(Customer_Summary!$H$4:$H$253)-SUM(Customer_Summary!$H$4:$H$253)</t>
        </is>
      </c>
      <c r="I52" s="8" t="inlineStr">
        <is>
          <t>orders_in_dataset counts delivered orders only</t>
        </is>
      </c>
    </row>
    <row r="53" ht="31" customHeight="1">
      <c r="A53" s="8" t="inlineStr">
        <is>
          <t>K49</t>
        </is>
      </c>
      <c r="B53" s="8" t="inlineStr">
        <is>
          <t>Consistency</t>
        </is>
      </c>
      <c r="C53" s="8" t="inlineStr">
        <is>
          <t>Customer gap (all orders − orders_in_dataset) − cancelled</t>
        </is>
      </c>
      <c r="D53" s="11">
        <f>SUM(Customer_Summary!$B$4:$B$253)-SUM(Customer_Summary!$G$4:$G$253)-Metrics!$G$6</f>
        <v>0</v>
      </c>
      <c r="E53" s="19" t="n">
        <v>0</v>
      </c>
      <c r="F53" s="25" t="n">
        <v>0</v>
      </c>
      <c r="G53" s="7" t="str">
        <f>IF(ISERROR(D53),"INVESTIGATE",IF(ABS(D53-E53)&lt;=F53,"OK","INVESTIGATE"))</f>
        <v>OK</v>
      </c>
      <c r="H53" s="10" t="inlineStr">
        <is>
          <t>=SUM(Customer_Summary!$B$4:$B$253)-SUM(Customer_Summary!$G$4:$G$253)-Metrics!$G$6</t>
        </is>
      </c>
      <c r="I53" s="8" t="inlineStr"/>
    </row>
    <row r="54" ht="17.5" customHeight="1">
      <c r="A54" s="8" t="inlineStr">
        <is>
          <t>K50</t>
        </is>
      </c>
      <c r="B54" s="8" t="inlineStr">
        <is>
          <t>Original sheets</t>
        </is>
      </c>
      <c r="C54" s="8" t="inlineStr">
        <is>
          <t>Orders: data rows</t>
        </is>
      </c>
      <c r="D54" s="11">
        <f>COUNTA(Orders!$A:$A)-1</f>
        <v>1500</v>
      </c>
      <c r="E54" s="19" t="n">
        <v>1500</v>
      </c>
      <c r="F54" s="25" t="n">
        <v>0</v>
      </c>
      <c r="G54" s="7" t="str">
        <f>IF(ISERROR(D54),"INVESTIGATE",IF(ABS(D54-E54)&lt;=F54,"OK","INVESTIGATE"))</f>
        <v>OK</v>
      </c>
      <c r="H54" s="10" t="inlineStr">
        <is>
          <t>=COUNTA(Orders!$A:$A)-1</t>
        </is>
      </c>
      <c r="I54" s="8" t="inlineStr"/>
    </row>
    <row r="55" ht="17.5" customHeight="1">
      <c r="A55" s="8" t="inlineStr">
        <is>
          <t>K51</t>
        </is>
      </c>
      <c r="B55" s="8" t="inlineStr">
        <is>
          <t>Original sheets</t>
        </is>
      </c>
      <c r="C55" s="8" t="inlineStr">
        <is>
          <t>Orders: header columns</t>
        </is>
      </c>
      <c r="D55" s="11">
        <f>COUNTA(Orders!$1:$1)</f>
        <v>25</v>
      </c>
      <c r="E55" s="19" t="n">
        <v>25</v>
      </c>
      <c r="F55" s="25" t="n">
        <v>0</v>
      </c>
      <c r="G55" s="7" t="str">
        <f>IF(ISERROR(D55),"INVESTIGATE",IF(ABS(D55-E55)&lt;=F55,"OK","INVESTIGATE"))</f>
        <v>OK</v>
      </c>
      <c r="H55" s="10" t="inlineStr">
        <is>
          <t>=COUNTA(Orders!$1:$1)</t>
        </is>
      </c>
      <c r="I55" s="8" t="inlineStr"/>
    </row>
    <row r="56" ht="17.5" customHeight="1">
      <c r="A56" s="8" t="inlineStr">
        <is>
          <t>K52</t>
        </is>
      </c>
      <c r="B56" s="8" t="inlineStr">
        <is>
          <t>Original sheets</t>
        </is>
      </c>
      <c r="C56" s="8" t="inlineStr">
        <is>
          <t>Stores: data rows</t>
        </is>
      </c>
      <c r="D56" s="11">
        <f>COUNTA(Stores!$A:$A)-1</f>
        <v>20</v>
      </c>
      <c r="E56" s="19" t="n">
        <v>20</v>
      </c>
      <c r="F56" s="25" t="n">
        <v>0</v>
      </c>
      <c r="G56" s="7" t="str">
        <f>IF(ISERROR(D56),"INVESTIGATE",IF(ABS(D56-E56)&lt;=F56,"OK","INVESTIGATE"))</f>
        <v>OK</v>
      </c>
      <c r="H56" s="10" t="inlineStr">
        <is>
          <t>=COUNTA(Stores!$A:$A)-1</t>
        </is>
      </c>
      <c r="I56" s="8" t="inlineStr"/>
    </row>
    <row r="57" ht="17.5" customHeight="1">
      <c r="A57" s="8" t="inlineStr">
        <is>
          <t>K53</t>
        </is>
      </c>
      <c r="B57" s="8" t="inlineStr">
        <is>
          <t>Original sheets</t>
        </is>
      </c>
      <c r="C57" s="8" t="inlineStr">
        <is>
          <t>Stores: header columns</t>
        </is>
      </c>
      <c r="D57" s="11">
        <f>COUNTA(Stores!$1:$1)</f>
        <v>12</v>
      </c>
      <c r="E57" s="19" t="n">
        <v>12</v>
      </c>
      <c r="F57" s="25" t="n">
        <v>0</v>
      </c>
      <c r="G57" s="7" t="str">
        <f>IF(ISERROR(D57),"INVESTIGATE",IF(ABS(D57-E57)&lt;=F57,"OK","INVESTIGATE"))</f>
        <v>OK</v>
      </c>
      <c r="H57" s="10" t="inlineStr">
        <is>
          <t>=COUNTA(Stores!$1:$1)</t>
        </is>
      </c>
      <c r="I57" s="8" t="inlineStr"/>
    </row>
    <row r="58" ht="17.5" customHeight="1">
      <c r="A58" s="8" t="inlineStr">
        <is>
          <t>K54</t>
        </is>
      </c>
      <c r="B58" s="8" t="inlineStr">
        <is>
          <t>Original sheets</t>
        </is>
      </c>
      <c r="C58" s="8" t="inlineStr">
        <is>
          <t>Riders: data rows</t>
        </is>
      </c>
      <c r="D58" s="11">
        <f>COUNTA(Riders!$A:$A)-1</f>
        <v>80</v>
      </c>
      <c r="E58" s="19" t="n">
        <v>80</v>
      </c>
      <c r="F58" s="25" t="n">
        <v>0</v>
      </c>
      <c r="G58" s="7" t="str">
        <f>IF(ISERROR(D58),"INVESTIGATE",IF(ABS(D58-E58)&lt;=F58,"OK","INVESTIGATE"))</f>
        <v>OK</v>
      </c>
      <c r="H58" s="10" t="inlineStr">
        <is>
          <t>=COUNTA(Riders!$A:$A)-1</t>
        </is>
      </c>
      <c r="I58" s="8" t="inlineStr"/>
    </row>
    <row r="59" ht="17.5" customHeight="1">
      <c r="A59" s="8" t="inlineStr">
        <is>
          <t>K55</t>
        </is>
      </c>
      <c r="B59" s="8" t="inlineStr">
        <is>
          <t>Original sheets</t>
        </is>
      </c>
      <c r="C59" s="8" t="inlineStr">
        <is>
          <t>Riders: header columns</t>
        </is>
      </c>
      <c r="D59" s="11">
        <f>COUNTA(Riders!$1:$1)</f>
        <v>9</v>
      </c>
      <c r="E59" s="19" t="n">
        <v>9</v>
      </c>
      <c r="F59" s="25" t="n">
        <v>0</v>
      </c>
      <c r="G59" s="7" t="str">
        <f>IF(ISERROR(D59),"INVESTIGATE",IF(ABS(D59-E59)&lt;=F59,"OK","INVESTIGATE"))</f>
        <v>OK</v>
      </c>
      <c r="H59" s="10" t="inlineStr">
        <is>
          <t>=COUNTA(Riders!$1:$1)</t>
        </is>
      </c>
      <c r="I59" s="8" t="inlineStr"/>
    </row>
    <row r="60" ht="17.5" customHeight="1">
      <c r="A60" s="8" t="inlineStr">
        <is>
          <t>K56</t>
        </is>
      </c>
      <c r="B60" s="8" t="inlineStr">
        <is>
          <t>Original sheets</t>
        </is>
      </c>
      <c r="C60" s="8" t="inlineStr">
        <is>
          <t>Demand: data rows</t>
        </is>
      </c>
      <c r="D60" s="11">
        <f>COUNTA(Demand!$A:$A)-1</f>
        <v>4480</v>
      </c>
      <c r="E60" s="19" t="n">
        <v>4480</v>
      </c>
      <c r="F60" s="25" t="n">
        <v>0</v>
      </c>
      <c r="G60" s="7" t="str">
        <f>IF(ISERROR(D60),"INVESTIGATE",IF(ABS(D60-E60)&lt;=F60,"OK","INVESTIGATE"))</f>
        <v>OK</v>
      </c>
      <c r="H60" s="10" t="inlineStr">
        <is>
          <t>=COUNTA(Demand!$A:$A)-1</t>
        </is>
      </c>
      <c r="I60" s="8" t="inlineStr"/>
    </row>
    <row r="61" ht="17.5" customHeight="1">
      <c r="A61" s="8" t="inlineStr">
        <is>
          <t>K57</t>
        </is>
      </c>
      <c r="B61" s="8" t="inlineStr">
        <is>
          <t>Original sheets</t>
        </is>
      </c>
      <c r="C61" s="8" t="inlineStr">
        <is>
          <t>Demand: header columns</t>
        </is>
      </c>
      <c r="D61" s="11">
        <f>COUNTA(Demand!$1:$1)</f>
        <v>8</v>
      </c>
      <c r="E61" s="19" t="n">
        <v>8</v>
      </c>
      <c r="F61" s="25" t="n">
        <v>0</v>
      </c>
      <c r="G61" s="7" t="str">
        <f>IF(ISERROR(D61),"INVESTIGATE",IF(ABS(D61-E61)&lt;=F61,"OK","INVESTIGATE"))</f>
        <v>OK</v>
      </c>
      <c r="H61" s="10" t="inlineStr">
        <is>
          <t>=COUNTA(Demand!$1:$1)</t>
        </is>
      </c>
      <c r="I61" s="8" t="inlineStr"/>
    </row>
    <row r="62" ht="17.5" customHeight="1">
      <c r="A62" s="8" t="inlineStr">
        <is>
          <t>K58</t>
        </is>
      </c>
      <c r="B62" s="8" t="inlineStr">
        <is>
          <t>Original sheets</t>
        </is>
      </c>
      <c r="C62" s="8" t="inlineStr">
        <is>
          <t>Customers: data rows</t>
        </is>
      </c>
      <c r="D62" s="11">
        <f>COUNTA(Customers!$A:$A)-1</f>
        <v>250</v>
      </c>
      <c r="E62" s="19" t="n">
        <v>250</v>
      </c>
      <c r="F62" s="25" t="n">
        <v>0</v>
      </c>
      <c r="G62" s="7" t="str">
        <f>IF(ISERROR(D62),"INVESTIGATE",IF(ABS(D62-E62)&lt;=F62,"OK","INVESTIGATE"))</f>
        <v>OK</v>
      </c>
      <c r="H62" s="10" t="inlineStr">
        <is>
          <t>=COUNTA(Customers!$A:$A)-1</t>
        </is>
      </c>
      <c r="I62" s="8" t="inlineStr"/>
    </row>
    <row r="63" ht="17.5" customHeight="1">
      <c r="A63" s="8" t="inlineStr">
        <is>
          <t>K59</t>
        </is>
      </c>
      <c r="B63" s="8" t="inlineStr">
        <is>
          <t>Original sheets</t>
        </is>
      </c>
      <c r="C63" s="8" t="inlineStr">
        <is>
          <t>Customers: header columns</t>
        </is>
      </c>
      <c r="D63" s="11">
        <f>COUNTA(Customers!$1:$1)</f>
        <v>10</v>
      </c>
      <c r="E63" s="19" t="n">
        <v>10</v>
      </c>
      <c r="F63" s="25" t="n">
        <v>0</v>
      </c>
      <c r="G63" s="7" t="str">
        <f>IF(ISERROR(D63),"INVESTIGATE",IF(ABS(D63-E63)&lt;=F63,"OK","INVESTIGATE"))</f>
        <v>OK</v>
      </c>
      <c r="H63" s="10" t="inlineStr">
        <is>
          <t>=COUNTA(Customers!$1:$1)</t>
        </is>
      </c>
      <c r="I63" s="8" t="inlineStr"/>
    </row>
    <row r="64" ht="31" customHeight="1">
      <c r="A64" s="8" t="inlineStr">
        <is>
          <t>K60</t>
        </is>
      </c>
      <c r="B64" s="8" t="inlineStr">
        <is>
          <t>Duplicate IDs</t>
        </is>
      </c>
      <c r="C64" s="8" t="inlineStr">
        <is>
          <t>Orders: IDs appearing more than once</t>
        </is>
      </c>
      <c r="D64" s="11">
        <f>SUMPRODUCT(--(COUNTIF(Orders!$A$2:$A$1501,Orders!$A$2:$A$1501)&gt;1))</f>
        <v>0</v>
      </c>
      <c r="E64" s="19" t="n">
        <v>0</v>
      </c>
      <c r="F64" s="25" t="n">
        <v>0</v>
      </c>
      <c r="G64" s="7" t="str">
        <f>IF(ISERROR(D64),"INVESTIGATE",IF(ABS(D64-E64)&lt;=F64,"OK","INVESTIGATE"))</f>
        <v>OK</v>
      </c>
      <c r="H64" s="10" t="inlineStr">
        <is>
          <t>=SUMPRODUCT(--(COUNTIF(Orders!$A$2:$A$1501,Orders!$A$2:$A$1501)&gt;1))</t>
        </is>
      </c>
      <c r="I64" s="8" t="inlineStr"/>
    </row>
    <row r="65" ht="31" customHeight="1">
      <c r="A65" s="8" t="inlineStr">
        <is>
          <t>K61</t>
        </is>
      </c>
      <c r="B65" s="8" t="inlineStr">
        <is>
          <t>Duplicate IDs</t>
        </is>
      </c>
      <c r="C65" s="8" t="inlineStr">
        <is>
          <t>Stores: IDs appearing more than once</t>
        </is>
      </c>
      <c r="D65" s="11">
        <f>SUMPRODUCT(--(COUNTIF(Stores!$A$2:$A$21,Stores!$A$2:$A$21)&gt;1))</f>
        <v>0</v>
      </c>
      <c r="E65" s="19" t="n">
        <v>0</v>
      </c>
      <c r="F65" s="25" t="n">
        <v>0</v>
      </c>
      <c r="G65" s="7" t="str">
        <f>IF(ISERROR(D65),"INVESTIGATE",IF(ABS(D65-E65)&lt;=F65,"OK","INVESTIGATE"))</f>
        <v>OK</v>
      </c>
      <c r="H65" s="10" t="inlineStr">
        <is>
          <t>=SUMPRODUCT(--(COUNTIF(Stores!$A$2:$A$21,Stores!$A$2:$A$21)&gt;1))</t>
        </is>
      </c>
      <c r="I65" s="8" t="inlineStr"/>
    </row>
    <row r="66" ht="31" customHeight="1">
      <c r="A66" s="8" t="inlineStr">
        <is>
          <t>K62</t>
        </is>
      </c>
      <c r="B66" s="8" t="inlineStr">
        <is>
          <t>Duplicate IDs</t>
        </is>
      </c>
      <c r="C66" s="8" t="inlineStr">
        <is>
          <t>Riders: IDs appearing more than once</t>
        </is>
      </c>
      <c r="D66" s="11">
        <f>SUMPRODUCT(--(COUNTIF(Riders!$A$2:$A$81,Riders!$A$2:$A$81)&gt;1))</f>
        <v>0</v>
      </c>
      <c r="E66" s="19" t="n">
        <v>0</v>
      </c>
      <c r="F66" s="25" t="n">
        <v>0</v>
      </c>
      <c r="G66" s="7" t="str">
        <f>IF(ISERROR(D66),"INVESTIGATE",IF(ABS(D66-E66)&lt;=F66,"OK","INVESTIGATE"))</f>
        <v>OK</v>
      </c>
      <c r="H66" s="10" t="inlineStr">
        <is>
          <t>=SUMPRODUCT(--(COUNTIF(Riders!$A$2:$A$81,Riders!$A$2:$A$81)&gt;1))</t>
        </is>
      </c>
      <c r="I66" s="8" t="inlineStr"/>
    </row>
    <row r="67" ht="31" customHeight="1">
      <c r="A67" s="8" t="inlineStr">
        <is>
          <t>K63</t>
        </is>
      </c>
      <c r="B67" s="8" t="inlineStr">
        <is>
          <t>Duplicate IDs</t>
        </is>
      </c>
      <c r="C67" s="8" t="inlineStr">
        <is>
          <t>Customers: IDs appearing more than once</t>
        </is>
      </c>
      <c r="D67" s="11">
        <f>SUMPRODUCT(--(COUNTIF(Customers!$A$2:$A$251,Customers!$A$2:$A$251)&gt;1))</f>
        <v>0</v>
      </c>
      <c r="E67" s="19" t="n">
        <v>0</v>
      </c>
      <c r="F67" s="25" t="n">
        <v>0</v>
      </c>
      <c r="G67" s="7" t="str">
        <f>IF(ISERROR(D67),"INVESTIGATE",IF(ABS(D67-E67)&lt;=F67,"OK","INVESTIGATE"))</f>
        <v>OK</v>
      </c>
      <c r="H67" s="10" t="inlineStr">
        <is>
          <t>=SUMPRODUCT(--(COUNTIF(Customers!$A$2:$A$251,Customers!$A$2:$A$251)&gt;1))</t>
        </is>
      </c>
      <c r="I67" s="8" t="inlineStr"/>
    </row>
    <row r="68" ht="31" customHeight="1">
      <c r="A68" s="8" t="inlineStr">
        <is>
          <t>K64</t>
        </is>
      </c>
      <c r="B68" s="8" t="inlineStr">
        <is>
          <t>Duplicate IDs</t>
        </is>
      </c>
      <c r="C68" s="8" t="inlineStr">
        <is>
          <t>Demand: store + date + hour keys appearing more than once</t>
        </is>
      </c>
      <c r="D68" s="11">
        <f>COUNTIFS(d_dupkey,"&gt;1")</f>
        <v>0</v>
      </c>
      <c r="E68" s="19" t="n">
        <v>0</v>
      </c>
      <c r="F68" s="25" t="n">
        <v>0</v>
      </c>
      <c r="G68" s="7" t="str">
        <f>IF(ISERROR(D68),"INVESTIGATE",IF(ABS(D68-E68)&lt;=F68,"OK","INVESTIGATE"))</f>
        <v>OK</v>
      </c>
      <c r="H68" s="10" t="inlineStr">
        <is>
          <t>=COUNTIFS(d_dupkey,"&gt;1")</t>
        </is>
      </c>
      <c r="I68" s="8" t="inlineStr"/>
    </row>
    <row r="69" ht="31" customHeight="1">
      <c r="A69" s="8" t="inlineStr">
        <is>
          <t>K65</t>
        </is>
      </c>
      <c r="B69" s="8" t="inlineStr">
        <is>
          <t>Unmatched keys</t>
        </is>
      </c>
      <c r="C69" s="8" t="inlineStr">
        <is>
          <t>Orders.store_id not in Stores</t>
        </is>
      </c>
      <c r="D69" s="11">
        <f>SUMPRODUCT(--(COUNTIF(Stores!$A$2:$A$21,Orders!$C$2:$C$1501)=0))</f>
        <v>0</v>
      </c>
      <c r="E69" s="19" t="n">
        <v>0</v>
      </c>
      <c r="F69" s="25" t="n">
        <v>0</v>
      </c>
      <c r="G69" s="7" t="str">
        <f>IF(ISERROR(D69),"INVESTIGATE",IF(ABS(D69-E69)&lt;=F69,"OK","INVESTIGATE"))</f>
        <v>OK</v>
      </c>
      <c r="H69" s="10" t="inlineStr">
        <is>
          <t>=SUMPRODUCT(--(COUNTIF(Stores!$A$2:$A$21,Orders!$C$2:$C$1501)=0))</t>
        </is>
      </c>
      <c r="I69" s="8" t="inlineStr"/>
    </row>
    <row r="70" ht="31" customHeight="1">
      <c r="A70" s="8" t="inlineStr">
        <is>
          <t>K66</t>
        </is>
      </c>
      <c r="B70" s="8" t="inlineStr">
        <is>
          <t>Unmatched keys</t>
        </is>
      </c>
      <c r="C70" s="8" t="inlineStr">
        <is>
          <t>Orders.rider_id (non-blank) not in Riders</t>
        </is>
      </c>
      <c r="D70" s="11">
        <f>SUMPRODUCT((Orders!$D$2:$D$1501&lt;&gt;"")*(COUNTIF(Riders!$A$2:$A$81,Orders!$D$2:$D$1501)=0))</f>
        <v>0</v>
      </c>
      <c r="E70" s="19" t="n">
        <v>0</v>
      </c>
      <c r="F70" s="25" t="n">
        <v>0</v>
      </c>
      <c r="G70" s="7" t="str">
        <f>IF(ISERROR(D70),"INVESTIGATE",IF(ABS(D70-E70)&lt;=F70,"OK","INVESTIGATE"))</f>
        <v>OK</v>
      </c>
      <c r="H70" s="10" t="inlineStr">
        <is>
          <t>=SUMPRODUCT((Orders!$D$2:$D$1501&lt;&gt;"")*(COUNTIF(Riders!$A$2:$A$81,Orders!$D$2:$D$1501)=0))</t>
        </is>
      </c>
      <c r="I70" s="8" t="inlineStr"/>
    </row>
    <row r="71" ht="31" customHeight="1">
      <c r="A71" s="8" t="inlineStr">
        <is>
          <t>K67</t>
        </is>
      </c>
      <c r="B71" s="8" t="inlineStr">
        <is>
          <t>Unmatched keys</t>
        </is>
      </c>
      <c r="C71" s="8" t="inlineStr">
        <is>
          <t>Orders.customer_id not in Customers</t>
        </is>
      </c>
      <c r="D71" s="11">
        <f>SUMPRODUCT(--(COUNTIF(Customers!$A$2:$A$251,Orders!$B$2:$B$1501)=0))</f>
        <v>0</v>
      </c>
      <c r="E71" s="19" t="n">
        <v>0</v>
      </c>
      <c r="F71" s="25" t="n">
        <v>0</v>
      </c>
      <c r="G71" s="7" t="str">
        <f>IF(ISERROR(D71),"INVESTIGATE",IF(ABS(D71-E71)&lt;=F71,"OK","INVESTIGATE"))</f>
        <v>OK</v>
      </c>
      <c r="H71" s="10" t="inlineStr">
        <is>
          <t>=SUMPRODUCT(--(COUNTIF(Customers!$A$2:$A$251,Orders!$B$2:$B$1501)=0))</t>
        </is>
      </c>
      <c r="I71" s="8" t="inlineStr"/>
    </row>
    <row r="72" ht="17.5" customHeight="1">
      <c r="A72" s="8" t="inlineStr">
        <is>
          <t>K68</t>
        </is>
      </c>
      <c r="B72" s="8" t="inlineStr">
        <is>
          <t>Unmatched keys</t>
        </is>
      </c>
      <c r="C72" s="8" t="inlineStr">
        <is>
          <t>Orders without exactly one Demand row</t>
        </is>
      </c>
      <c r="D72" s="11">
        <f>COUNTIFS(c_dmatch,"&lt;&gt;1")</f>
        <v>0</v>
      </c>
      <c r="E72" s="19" t="n">
        <v>0</v>
      </c>
      <c r="F72" s="25" t="n">
        <v>0</v>
      </c>
      <c r="G72" s="7" t="str">
        <f>IF(ISERROR(D72),"INVESTIGATE",IF(ABS(D72-E72)&lt;=F72,"OK","INVESTIGATE"))</f>
        <v>OK</v>
      </c>
      <c r="H72" s="10" t="inlineStr">
        <is>
          <t>=COUNTIFS(c_dmatch,"&lt;&gt;1")</t>
        </is>
      </c>
      <c r="I72" s="8" t="inlineStr"/>
    </row>
    <row r="73" ht="31" customHeight="1">
      <c r="A73" s="8" t="inlineStr">
        <is>
          <t>K69</t>
        </is>
      </c>
      <c r="B73" s="8" t="inlineStr">
        <is>
          <t>Unmatched keys</t>
        </is>
      </c>
      <c r="C73" s="8" t="inlineStr">
        <is>
          <t>Riders.home_store_id not in Stores</t>
        </is>
      </c>
      <c r="D73" s="11">
        <f>SUMPRODUCT(--(COUNTIF(Stores!$A$2:$A$21,Riders!$B$2:$B$81)=0))</f>
        <v>0</v>
      </c>
      <c r="E73" s="19" t="n">
        <v>0</v>
      </c>
      <c r="F73" s="25" t="n">
        <v>0</v>
      </c>
      <c r="G73" s="7" t="str">
        <f>IF(ISERROR(D73),"INVESTIGATE",IF(ABS(D73-E73)&lt;=F73,"OK","INVESTIGATE"))</f>
        <v>OK</v>
      </c>
      <c r="H73" s="10" t="inlineStr">
        <is>
          <t>=SUMPRODUCT(--(COUNTIF(Stores!$A$2:$A$21,Riders!$B$2:$B$81)=0))</t>
        </is>
      </c>
      <c r="I73" s="8" t="inlineStr"/>
    </row>
    <row r="74" ht="31" customHeight="1">
      <c r="A74" s="8" t="inlineStr">
        <is>
          <t>K70</t>
        </is>
      </c>
      <c r="B74" s="8" t="inlineStr">
        <is>
          <t>Missing values</t>
        </is>
      </c>
      <c r="C74" s="8" t="inlineStr">
        <is>
          <t>Orders.rider_id blank − cancelled orders</t>
        </is>
      </c>
      <c r="D74" s="11">
        <f>COUNTBLANK(Orders!$D$2:$D$1501)-Metrics!$G$6</f>
        <v>0</v>
      </c>
      <c r="E74" s="19" t="n">
        <v>0</v>
      </c>
      <c r="F74" s="25" t="n">
        <v>0</v>
      </c>
      <c r="G74" s="7" t="str">
        <f>IF(ISERROR(D74),"INVESTIGATE",IF(ABS(D74-E74)&lt;=F74,"OK","INVESTIGATE"))</f>
        <v>OK</v>
      </c>
      <c r="H74" s="10" t="inlineStr">
        <is>
          <t>=COUNTBLANK(Orders!$D$2:$D$1501)-Metrics!$G$6</t>
        </is>
      </c>
      <c r="I74" s="8" t="inlineStr">
        <is>
          <t>No rider ID is recorded. This does not prove that a rider was never assigned.</t>
        </is>
      </c>
    </row>
    <row r="75" ht="31" customHeight="1">
      <c r="A75" s="8" t="inlineStr">
        <is>
          <t>K71</t>
        </is>
      </c>
      <c r="B75" s="8" t="inlineStr">
        <is>
          <t>Missing values</t>
        </is>
      </c>
      <c r="C75" s="8" t="inlineStr">
        <is>
          <t>Orders.actual_delivery_at blank − cancelled orders</t>
        </is>
      </c>
      <c r="D75" s="11">
        <f>COUNTBLANK(Orders!$G$2:$G$1501)-Metrics!$G$6</f>
        <v>0</v>
      </c>
      <c r="E75" s="19" t="n">
        <v>0</v>
      </c>
      <c r="F75" s="25" t="n">
        <v>0</v>
      </c>
      <c r="G75" s="7" t="str">
        <f>IF(ISERROR(D75),"INVESTIGATE",IF(ABS(D75-E75)&lt;=F75,"OK","INVESTIGATE"))</f>
        <v>OK</v>
      </c>
      <c r="H75" s="10" t="inlineStr">
        <is>
          <t>=COUNTBLANK(Orders!$G$2:$G$1501)-Metrics!$G$6</t>
        </is>
      </c>
      <c r="I75" s="8" t="inlineStr"/>
    </row>
    <row r="76" ht="31" customHeight="1">
      <c r="A76" s="8" t="inlineStr">
        <is>
          <t>K72</t>
        </is>
      </c>
      <c r="B76" s="8" t="inlineStr">
        <is>
          <t>Missing values</t>
        </is>
      </c>
      <c r="C76" s="8" t="inlineStr">
        <is>
          <t>Orders.delay_min blank − cancelled orders</t>
        </is>
      </c>
      <c r="D76" s="11">
        <f>COUNTBLANK(Orders!$R$2:$R$1501)-Metrics!$G$6</f>
        <v>0</v>
      </c>
      <c r="E76" s="19" t="n">
        <v>0</v>
      </c>
      <c r="F76" s="25" t="n">
        <v>0</v>
      </c>
      <c r="G76" s="7" t="str">
        <f>IF(ISERROR(D76),"INVESTIGATE",IF(ABS(D76-E76)&lt;=F76,"OK","INVESTIGATE"))</f>
        <v>OK</v>
      </c>
      <c r="H76" s="10" t="inlineStr">
        <is>
          <t>=COUNTBLANK(Orders!$R$2:$R$1501)-Metrics!$G$6</t>
        </is>
      </c>
      <c r="I76" s="8" t="inlineStr"/>
    </row>
    <row r="77" ht="31" customHeight="1">
      <c r="A77" s="8" t="inlineStr">
        <is>
          <t>K73</t>
        </is>
      </c>
      <c r="B77" s="8" t="inlineStr">
        <is>
          <t>Missing values</t>
        </is>
      </c>
      <c r="C77" s="8" t="inlineStr">
        <is>
          <t>Orders.cancellation_reason blank − delivered orders</t>
        </is>
      </c>
      <c r="D77" s="11">
        <f>COUNTBLANK(Orders!$T$2:$T$1501)-Metrics!$G$5</f>
        <v>0</v>
      </c>
      <c r="E77" s="19" t="n">
        <v>0</v>
      </c>
      <c r="F77" s="25" t="n">
        <v>0</v>
      </c>
      <c r="G77" s="7" t="str">
        <f>IF(ISERROR(D77),"INVESTIGATE",IF(ABS(D77-E77)&lt;=F77,"OK","INVESTIGATE"))</f>
        <v>OK</v>
      </c>
      <c r="H77" s="10" t="inlineStr">
        <is>
          <t>=COUNTBLANK(Orders!$T$2:$T$1501)-Metrics!$G$5</t>
        </is>
      </c>
      <c r="I77" s="8" t="inlineStr"/>
    </row>
    <row r="78" ht="31" customHeight="1">
      <c r="A78" s="8" t="inlineStr">
        <is>
          <t>K74</t>
        </is>
      </c>
      <c r="B78" s="8" t="inlineStr">
        <is>
          <t>Missing values</t>
        </is>
      </c>
      <c r="C78" s="8" t="inlineStr">
        <is>
          <t>Orders.rain_condition blank (treated as no rain)</t>
        </is>
      </c>
      <c r="D78" s="11">
        <f>COUNTBLANK(Orders!$W$2:$W$1501)</f>
        <v>1063</v>
      </c>
      <c r="E78" s="19" t="n">
        <v>1063</v>
      </c>
      <c r="F78" s="25" t="n">
        <v>0</v>
      </c>
      <c r="G78" s="7" t="str">
        <f>IF(ISERROR(D78),"INVESTIGATE",IF(ABS(D78-E78)&lt;=F78,"OK","INVESTIGATE"))</f>
        <v>OK</v>
      </c>
      <c r="H78" s="10" t="inlineStr">
        <is>
          <t>=COUNTBLANK(Orders!$W$2:$W$1501)</t>
        </is>
      </c>
      <c r="I78" s="8" t="inlineStr">
        <is>
          <t>Agreed rule: blank = no rain</t>
        </is>
      </c>
    </row>
    <row r="79" ht="31" customHeight="1">
      <c r="A79" s="8" t="inlineStr">
        <is>
          <t>K75</t>
        </is>
      </c>
      <c r="B79" s="8" t="inlineStr">
        <is>
          <t>Missing values</t>
        </is>
      </c>
      <c r="C79" s="8" t="inlineStr">
        <is>
          <t>Demand.rain_condition blank (treated as no rain)</t>
        </is>
      </c>
      <c r="D79" s="11">
        <f>COUNTBLANK(Demand!$G$2:$G$4481)</f>
        <v>3214</v>
      </c>
      <c r="E79" s="19" t="n">
        <v>3214</v>
      </c>
      <c r="F79" s="25" t="n">
        <v>0</v>
      </c>
      <c r="G79" s="7" t="str">
        <f>IF(ISERROR(D79),"INVESTIGATE",IF(ABS(D79-E79)&lt;=F79,"OK","INVESTIGATE"))</f>
        <v>OK</v>
      </c>
      <c r="H79" s="10" t="inlineStr">
        <is>
          <t>=COUNTBLANK(Demand!$G$2:$G$4481)</t>
        </is>
      </c>
      <c r="I79" s="8" t="inlineStr"/>
    </row>
    <row r="80" ht="31" customHeight="1">
      <c r="A80" s="8" t="inlineStr">
        <is>
          <t>K76</t>
        </is>
      </c>
      <c r="B80" s="8" t="inlineStr">
        <is>
          <t>Missing values</t>
        </is>
      </c>
      <c r="C80" s="8" t="inlineStr">
        <is>
          <t>Customers.primary_ticket_reason blank − customers with 0 tickets</t>
        </is>
      </c>
      <c r="D80" s="11">
        <f>COUNTBLANK(Customers!$H$2:$H$251)-COUNTIFS(Customers!$G$2:$G$251,0)</f>
        <v>0</v>
      </c>
      <c r="E80" s="19" t="n">
        <v>0</v>
      </c>
      <c r="F80" s="25" t="n">
        <v>0</v>
      </c>
      <c r="G80" s="7" t="str">
        <f>IF(ISERROR(D80),"INVESTIGATE",IF(ABS(D80-E80)&lt;=F80,"OK","INVESTIGATE"))</f>
        <v>OK</v>
      </c>
      <c r="H80" s="10" t="inlineStr">
        <is>
          <t>=COUNTBLANK(Customers!$H$2:$H$251)-COUNTIFS(Customers!$G$2:$G$251,0)</t>
        </is>
      </c>
      <c r="I80" s="8" t="inlineStr"/>
    </row>
    <row r="81" ht="31" customHeight="1">
      <c r="A81" s="8" t="inlineStr">
        <is>
          <t>K77</t>
        </is>
      </c>
      <c r="B81" s="8" t="inlineStr">
        <is>
          <t>Missing values</t>
        </is>
      </c>
      <c r="C81" s="8" t="inlineStr">
        <is>
          <t>Blank key cells in Orders (order, store, customer IDs)</t>
        </is>
      </c>
      <c r="D81" s="11">
        <f>COUNTBLANK(Orders!$A$2:$C$1501)</f>
        <v>0</v>
      </c>
      <c r="E81" s="19" t="n">
        <v>0</v>
      </c>
      <c r="F81" s="25" t="n">
        <v>0</v>
      </c>
      <c r="G81" s="7" t="str">
        <f>IF(ISERROR(D81),"INVESTIGATE",IF(ABS(D81-E81)&lt;=F81,"OK","INVESTIGATE"))</f>
        <v>OK</v>
      </c>
      <c r="H81" s="10" t="inlineStr">
        <is>
          <t>=COUNTBLANK(Orders!$A$2:$C$1501)</t>
        </is>
      </c>
      <c r="I81" s="8" t="inlineStr"/>
    </row>
    <row r="82" ht="17.5" customHeight="1">
      <c r="A82" s="8" t="inlineStr">
        <is>
          <t>K78</t>
        </is>
      </c>
      <c r="B82" s="8" t="inlineStr">
        <is>
          <t>Join duplication</t>
        </is>
      </c>
      <c r="C82" s="8" t="inlineStr">
        <is>
          <t>Sum of Demand matches per order − orders</t>
        </is>
      </c>
      <c r="D82" s="11">
        <f>SUM(c_dmatch)-Metrics!$G$4</f>
        <v>0</v>
      </c>
      <c r="E82" s="19" t="n">
        <v>0</v>
      </c>
      <c r="F82" s="25" t="n">
        <v>0</v>
      </c>
      <c r="G82" s="7" t="str">
        <f>IF(ISERROR(D82),"INVESTIGATE",IF(ABS(D82-E82)&lt;=F82,"OK","INVESTIGATE"))</f>
        <v>OK</v>
      </c>
      <c r="H82" s="10" t="inlineStr">
        <is>
          <t>=SUM(c_dmatch)-Metrics!$G$4</t>
        </is>
      </c>
      <c r="I82" s="8" t="inlineStr"/>
    </row>
    <row r="83" ht="31" customHeight="1">
      <c r="A83" s="8" t="inlineStr">
        <is>
          <t>K79</t>
        </is>
      </c>
      <c r="B83" s="8" t="inlineStr">
        <is>
          <t>Join duplication</t>
        </is>
      </c>
      <c r="C83" s="8" t="inlineStr">
        <is>
          <t>Orders-sheet rows counted in Calc_Demand − orders</t>
        </is>
      </c>
      <c r="D83" s="11">
        <f>SUM(d_sample)-Metrics!$G$4</f>
        <v>0</v>
      </c>
      <c r="E83" s="19" t="n">
        <v>0</v>
      </c>
      <c r="F83" s="25" t="n">
        <v>0</v>
      </c>
      <c r="G83" s="7" t="str">
        <f>IF(ISERROR(D83),"INVESTIGATE",IF(ABS(D83-E83)&lt;=F83,"OK","INVESTIGATE"))</f>
        <v>OK</v>
      </c>
      <c r="H83" s="10" t="inlineStr">
        <is>
          <t>=SUM(d_sample)-Metrics!$G$4</t>
        </is>
      </c>
      <c r="I83" s="8" t="inlineStr"/>
    </row>
    <row r="84" ht="31" customHeight="1">
      <c r="A84" s="8" t="inlineStr">
        <is>
          <t>K80</t>
        </is>
      </c>
      <c r="B84" s="8" t="inlineStr">
        <is>
          <t>Join duplication</t>
        </is>
      </c>
      <c r="C84" s="8" t="inlineStr">
        <is>
          <t>Store_Summary delivered total − delivered</t>
        </is>
      </c>
      <c r="D84" s="11">
        <f>SUM(Store_Summary!$C$4:$C$23)-Metrics!$G$5</f>
        <v>0</v>
      </c>
      <c r="E84" s="19" t="n">
        <v>0</v>
      </c>
      <c r="F84" s="25" t="n">
        <v>0</v>
      </c>
      <c r="G84" s="7" t="str">
        <f>IF(ISERROR(D84),"INVESTIGATE",IF(ABS(D84-E84)&lt;=F84,"OK","INVESTIGATE"))</f>
        <v>OK</v>
      </c>
      <c r="H84" s="10" t="inlineStr">
        <is>
          <t>=SUM(Store_Summary!$C$4:$C$23)-Metrics!$G$5</t>
        </is>
      </c>
      <c r="I84" s="8" t="inlineStr"/>
    </row>
    <row r="85" ht="31" customHeight="1">
      <c r="A85" s="8" t="inlineStr">
        <is>
          <t>K81</t>
        </is>
      </c>
      <c r="B85" s="8" t="inlineStr">
        <is>
          <t>Join duplication</t>
        </is>
      </c>
      <c r="C85" s="8" t="inlineStr">
        <is>
          <t>Customer_Summary tickets − Customers tickets</t>
        </is>
      </c>
      <c r="D85" s="11">
        <f>SUM(cu_tickets)-SUM(Customers!$G$2:$G$251)</f>
        <v>0</v>
      </c>
      <c r="E85" s="19" t="n">
        <v>0</v>
      </c>
      <c r="F85" s="25" t="n">
        <v>0</v>
      </c>
      <c r="G85" s="7" t="str">
        <f>IF(ISERROR(D85),"INVESTIGATE",IF(ABS(D85-E85)&lt;=F85,"OK","INVESTIGATE"))</f>
        <v>OK</v>
      </c>
      <c r="H85" s="10" t="inlineStr">
        <is>
          <t>=SUM(cu_tickets)-SUM(Customers!$G$2:$G$251)</t>
        </is>
      </c>
      <c r="I85" s="8" t="inlineStr">
        <is>
          <t>Tickets kept at customer level</t>
        </is>
      </c>
    </row>
    <row r="86" ht="31" customHeight="1">
      <c r="A86" s="8" t="inlineStr">
        <is>
          <t>K82</t>
        </is>
      </c>
      <c r="B86" s="8" t="inlineStr">
        <is>
          <t>Join duplication</t>
        </is>
      </c>
      <c r="C86" s="8" t="inlineStr">
        <is>
          <t>Customer_Summary refunds − Customers refunds</t>
        </is>
      </c>
      <c r="D86" s="11">
        <f>SUM(cu_refunds)-SUM(Customers!$I$2:$I$251)</f>
        <v>0</v>
      </c>
      <c r="E86" s="19" t="n">
        <v>0</v>
      </c>
      <c r="F86" s="25" t="n">
        <v>0</v>
      </c>
      <c r="G86" s="7" t="str">
        <f>IF(ISERROR(D86),"INVESTIGATE",IF(ABS(D86-E86)&lt;=F86,"OK","INVESTIGATE"))</f>
        <v>OK</v>
      </c>
      <c r="H86" s="10" t="inlineStr">
        <is>
          <t>=SUM(cu_refunds)-SUM(Customers!$I$2:$I$251)</t>
        </is>
      </c>
      <c r="I86" s="8" t="inlineStr"/>
    </row>
    <row r="87" ht="17.5" customHeight="1">
      <c r="A87" s="8" t="inlineStr">
        <is>
          <t>K83</t>
        </is>
      </c>
      <c r="B87" s="8" t="inlineStr">
        <is>
          <t>Formula errors</t>
        </is>
      </c>
      <c r="C87" s="8" t="inlineStr">
        <is>
          <t>Calc_Orders: cells with an error</t>
        </is>
      </c>
      <c r="D87" s="11">
        <f>SUMPRODUCT(--ISERROR(Calc_Orders!A5:BI1504))</f>
        <v>0</v>
      </c>
      <c r="E87" s="19" t="n">
        <v>0</v>
      </c>
      <c r="F87" s="25" t="n">
        <v>0</v>
      </c>
      <c r="G87" s="7" t="str">
        <f>IF(ISERROR(D87),"INVESTIGATE",IF(ABS(D87-E87)&lt;=F87,"OK","INVESTIGATE"))</f>
        <v>OK</v>
      </c>
      <c r="H87" s="10" t="inlineStr">
        <is>
          <t>=SUMPRODUCT(--ISERROR(Calc_Orders!A5:BI1504))</t>
        </is>
      </c>
      <c r="I87" s="8" t="inlineStr"/>
    </row>
    <row r="88" ht="17.5" customHeight="1">
      <c r="A88" s="8" t="inlineStr">
        <is>
          <t>K84</t>
        </is>
      </c>
      <c r="B88" s="8" t="inlineStr">
        <is>
          <t>Formula errors</t>
        </is>
      </c>
      <c r="C88" s="8" t="inlineStr">
        <is>
          <t>Calc_Demand: cells with an error</t>
        </is>
      </c>
      <c r="D88" s="11">
        <f>SUMPRODUCT(--ISERROR(Calc_Demand!A4:H4483))</f>
        <v>0</v>
      </c>
      <c r="E88" s="19" t="n">
        <v>0</v>
      </c>
      <c r="F88" s="25" t="n">
        <v>0</v>
      </c>
      <c r="G88" s="7" t="str">
        <f>IF(ISERROR(D88),"INVESTIGATE",IF(ABS(D88-E88)&lt;=F88,"OK","INVESTIGATE"))</f>
        <v>OK</v>
      </c>
      <c r="H88" s="10" t="inlineStr">
        <is>
          <t>=SUMPRODUCT(--ISERROR(Calc_Demand!A4:H4483))</t>
        </is>
      </c>
      <c r="I88" s="8" t="inlineStr"/>
    </row>
    <row r="89" ht="17.5" customHeight="1">
      <c r="A89" s="8" t="inlineStr">
        <is>
          <t>K85</t>
        </is>
      </c>
      <c r="B89" s="8" t="inlineStr">
        <is>
          <t>Formula errors</t>
        </is>
      </c>
      <c r="C89" s="8" t="inlineStr">
        <is>
          <t>Store_Summary: cells with an error</t>
        </is>
      </c>
      <c r="D89" s="11">
        <f>SUMPRODUCT(--ISERROR(Store_Summary!A4:M23))</f>
        <v>0</v>
      </c>
      <c r="E89" s="19" t="n">
        <v>0</v>
      </c>
      <c r="F89" s="25" t="n">
        <v>0</v>
      </c>
      <c r="G89" s="7" t="str">
        <f>IF(ISERROR(D89),"INVESTIGATE",IF(ABS(D89-E89)&lt;=F89,"OK","INVESTIGATE"))</f>
        <v>OK</v>
      </c>
      <c r="H89" s="10" t="inlineStr">
        <is>
          <t>=SUMPRODUCT(--ISERROR(Store_Summary!A4:M23))</t>
        </is>
      </c>
      <c r="I89" s="8" t="inlineStr"/>
    </row>
    <row r="90" ht="17.5" customHeight="1">
      <c r="A90" s="8" t="inlineStr">
        <is>
          <t>K86</t>
        </is>
      </c>
      <c r="B90" s="8" t="inlineStr">
        <is>
          <t>Formula errors</t>
        </is>
      </c>
      <c r="C90" s="8" t="inlineStr">
        <is>
          <t>Customer_Summary: cells with an error</t>
        </is>
      </c>
      <c r="D90" s="11">
        <f>SUMPRODUCT(--ISERROR(Customer_Summary!A4:M253))</f>
        <v>0</v>
      </c>
      <c r="E90" s="19" t="n">
        <v>0</v>
      </c>
      <c r="F90" s="25" t="n">
        <v>0</v>
      </c>
      <c r="G90" s="7" t="str">
        <f>IF(ISERROR(D90),"INVESTIGATE",IF(ABS(D90-E90)&lt;=F90,"OK","INVESTIGATE"))</f>
        <v>OK</v>
      </c>
      <c r="H90" s="10" t="inlineStr">
        <is>
          <t>=SUMPRODUCT(--ISERROR(Customer_Summary!A4:M253))</t>
        </is>
      </c>
      <c r="I90" s="8" t="inlineStr"/>
    </row>
    <row r="91" ht="17.5" customHeight="1">
      <c r="A91" s="8" t="inlineStr">
        <is>
          <t>K87</t>
        </is>
      </c>
      <c r="B91" s="8" t="inlineStr">
        <is>
          <t>Formula errors</t>
        </is>
      </c>
      <c r="C91" s="8" t="inlineStr">
        <is>
          <t>Metrics: cells with an error</t>
        </is>
      </c>
      <c r="D91" s="11">
        <f>SUMPRODUCT(--ISERROR(Metrics!G4:G69))</f>
        <v>0</v>
      </c>
      <c r="E91" s="19" t="n">
        <v>0</v>
      </c>
      <c r="F91" s="25" t="n">
        <v>0</v>
      </c>
      <c r="G91" s="7" t="str">
        <f>IF(ISERROR(D91),"INVESTIGATE",IF(ABS(D91-E91)&lt;=F91,"OK","INVESTIGATE"))</f>
        <v>OK</v>
      </c>
      <c r="H91" s="10" t="inlineStr">
        <is>
          <t>=SUMPRODUCT(--ISERROR(Metrics!G4:G69))</t>
        </is>
      </c>
      <c r="I91" s="8" t="inlineStr"/>
    </row>
    <row r="92" ht="17.5" customHeight="1">
      <c r="A92" s="8" t="inlineStr">
        <is>
          <t>K88</t>
        </is>
      </c>
      <c r="B92" s="8" t="inlineStr">
        <is>
          <t>Formula errors</t>
        </is>
      </c>
      <c r="C92" s="8" t="inlineStr">
        <is>
          <t>Breakdowns: cells with an error</t>
        </is>
      </c>
      <c r="D92" s="11">
        <f>SUMPRODUCT(--ISERROR(Breakdowns!C5:F44))</f>
        <v>0</v>
      </c>
      <c r="E92" s="19" t="n">
        <v>0</v>
      </c>
      <c r="F92" s="25" t="n">
        <v>0</v>
      </c>
      <c r="G92" s="7" t="str">
        <f>IF(ISERROR(D92),"INVESTIGATE",IF(ABS(D92-E92)&lt;=F92,"OK","INVESTIGATE"))</f>
        <v>OK</v>
      </c>
      <c r="H92" s="10" t="inlineStr">
        <is>
          <t>=SUMPRODUCT(--ISERROR(Breakdowns!C5:F44))</t>
        </is>
      </c>
      <c r="I92" s="8" t="inlineStr"/>
    </row>
    <row r="93" ht="17.5" customHeight="1">
      <c r="A93" s="8" t="inlineStr">
        <is>
          <t>K89</t>
        </is>
      </c>
      <c r="B93" s="8" t="inlineStr">
        <is>
          <t>Formula errors</t>
        </is>
      </c>
      <c r="C93" s="8" t="inlineStr">
        <is>
          <t>Tests_Proportions: cells with an error</t>
        </is>
      </c>
      <c r="D93" s="11">
        <f>SUMPRODUCT(--ISERROR(Tests_Proportions!D5:N13))</f>
        <v>0</v>
      </c>
      <c r="E93" s="19" t="n">
        <v>0</v>
      </c>
      <c r="F93" s="25" t="n">
        <v>0</v>
      </c>
      <c r="G93" s="7" t="str">
        <f>IF(ISERROR(D93),"INVESTIGATE",IF(ABS(D93-E93)&lt;=F93,"OK","INVESTIGATE"))</f>
        <v>OK</v>
      </c>
      <c r="H93" s="10" t="inlineStr">
        <is>
          <t>=SUMPRODUCT(--ISERROR(Tests_Proportions!D5:N13))</t>
        </is>
      </c>
      <c r="I93" s="8" t="inlineStr"/>
    </row>
    <row r="94" ht="17.5" customHeight="1">
      <c r="A94" s="8" t="inlineStr">
        <is>
          <t>K90</t>
        </is>
      </c>
      <c r="B94" s="8" t="inlineStr">
        <is>
          <t>Formula errors</t>
        </is>
      </c>
      <c r="C94" s="8" t="inlineStr">
        <is>
          <t>Tests_Means: cells with an error</t>
        </is>
      </c>
      <c r="D94" s="11">
        <f>SUMPRODUCT(--ISERROR(Tests_Means!D5:N8))</f>
        <v>0</v>
      </c>
      <c r="E94" s="19" t="n">
        <v>0</v>
      </c>
      <c r="F94" s="25" t="n">
        <v>0</v>
      </c>
      <c r="G94" s="7" t="str">
        <f>IF(ISERROR(D94),"INVESTIGATE",IF(ABS(D94-E94)&lt;=F94,"OK","INVESTIGATE"))</f>
        <v>OK</v>
      </c>
      <c r="H94" s="10" t="inlineStr">
        <is>
          <t>=SUMPRODUCT(--ISERROR(Tests_Means!D5:N8))</t>
        </is>
      </c>
      <c r="I94" s="8" t="inlineStr"/>
    </row>
    <row r="95" ht="31" customHeight="1">
      <c r="A95" s="8" t="inlineStr">
        <is>
          <t>K91</t>
        </is>
      </c>
      <c r="B95" s="8" t="inlineStr">
        <is>
          <t>Formula errors</t>
        </is>
      </c>
      <c r="C95" s="8" t="inlineStr">
        <is>
          <t>Tests_Correlations: cells with an error</t>
        </is>
      </c>
      <c r="D95" s="11">
        <f>SUMPRODUCT(--ISERROR(Tests_Correlations!F5:K14))</f>
        <v>0</v>
      </c>
      <c r="E95" s="19" t="n">
        <v>0</v>
      </c>
      <c r="F95" s="25" t="n">
        <v>0</v>
      </c>
      <c r="G95" s="7" t="str">
        <f>IF(ISERROR(D95),"INVESTIGATE",IF(ABS(D95-E95)&lt;=F95,"OK","INVESTIGATE"))</f>
        <v>OK</v>
      </c>
      <c r="H95" s="10" t="inlineStr">
        <is>
          <t>=SUMPRODUCT(--ISERROR(Tests_Correlations!F5:K14))</t>
        </is>
      </c>
      <c r="I95" s="8" t="inlineStr"/>
    </row>
    <row r="96" ht="17.5" customHeight="1">
      <c r="A96" s="8" t="inlineStr">
        <is>
          <t>K92</t>
        </is>
      </c>
      <c r="B96" s="8" t="inlineStr">
        <is>
          <t>Formula errors</t>
        </is>
      </c>
      <c r="C96" s="8" t="inlineStr">
        <is>
          <t>Hypotheses: cells with an error</t>
        </is>
      </c>
      <c r="D96" s="11">
        <f>SUMPRODUCT(--ISERROR(Hypotheses!D5:D10))</f>
        <v>0</v>
      </c>
      <c r="E96" s="19" t="n">
        <v>0</v>
      </c>
      <c r="F96" s="25" t="n">
        <v>0</v>
      </c>
      <c r="G96" s="7" t="str">
        <f>IF(ISERROR(D96),"INVESTIGATE",IF(ABS(D96-E96)&lt;=F96,"OK","INVESTIGATE"))</f>
        <v>OK</v>
      </c>
      <c r="H96" s="10" t="inlineStr">
        <is>
          <t>=SUMPRODUCT(--ISERROR(Hypotheses!D5:D10))</t>
        </is>
      </c>
      <c r="I96" s="8" t="inlineStr"/>
    </row>
  </sheetData>
  <autoFilter ref="A4:I96"/>
  <conditionalFormatting sqref="G5:G96">
    <cfRule type="cellIs" priority="1" operator="equal" dxfId="1">
      <formula>"OK"</formula>
    </cfRule>
    <cfRule type="cellIs" priority="2" operator="equal" dxfId="2">
      <formula>"INVESTIGATE"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I1504"/>
  <sheetViews>
    <sheetView tabSelected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4" customWidth="1" min="9" max="9"/>
    <col width="11" customWidth="1" min="10" max="10"/>
    <col width="18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2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2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</cols>
  <sheetData>
    <row r="1" ht="26" customHeight="1">
      <c r="A1" s="4" t="inlineStr">
        <is>
          <t>Calc_Orders: one helper row per order</t>
        </is>
      </c>
    </row>
    <row r="2" ht="18" customHeight="1">
      <c r="A2" s="5" t="inlineStr">
        <is>
          <t>Each row links to the same row of the Orders sheet. Blank = not applicable or missing (never zero). Row 4 explains each column.</t>
        </is>
      </c>
    </row>
    <row r="3" ht="58" customHeight="1">
      <c r="A3" s="6" t="inlineStr">
        <is>
          <t>order_id</t>
        </is>
      </c>
      <c r="B3" s="6" t="inlineStr">
        <is>
          <t>store_id</t>
        </is>
      </c>
      <c r="C3" s="6" t="inlineStr">
        <is>
          <t>customer_id</t>
        </is>
      </c>
      <c r="D3" s="6" t="inlineStr">
        <is>
          <t>order_status</t>
        </is>
      </c>
      <c r="E3" s="6" t="inlineStr">
        <is>
          <t>Delivered (1/0)</t>
        </is>
      </c>
      <c r="F3" s="6" t="inlineStr">
        <is>
          <t>Minutes late (delivered only)</t>
        </is>
      </c>
      <c r="G3" s="6" t="inlineStr">
        <is>
          <t>Late (1/0)</t>
        </is>
      </c>
      <c r="H3" s="6" t="inlineStr">
        <is>
          <t>Severely late &gt;5 min (1/0)</t>
        </is>
      </c>
      <c r="I3" s="6" t="inlineStr">
        <is>
          <t>Cancellation class</t>
        </is>
      </c>
      <c r="J3" s="6" t="inlineStr">
        <is>
          <t>Eligible (1/0)</t>
        </is>
      </c>
      <c r="K3" s="6" t="inlineStr">
        <is>
          <t>Issue-tree group</t>
        </is>
      </c>
      <c r="L3" s="6" t="inlineStr">
        <is>
          <t>Peak 7–10 PM (1/0)</t>
        </is>
      </c>
      <c r="M3" s="6" t="inlineStr">
        <is>
          <t>Peak agrees with is_peak_hour (1/0)</t>
        </is>
      </c>
      <c r="N3" s="6" t="inlineStr">
        <is>
          <t>Rain (blank = None)</t>
        </is>
      </c>
      <c r="O3" s="6" t="inlineStr">
        <is>
          <t>Order date</t>
        </is>
      </c>
      <c r="P3" s="6" t="inlineStr">
        <is>
          <t>Order hour</t>
        </is>
      </c>
      <c r="Q3" s="6" t="inlineStr">
        <is>
          <t>Demand rows matched</t>
        </is>
      </c>
      <c r="R3" s="6" t="inlineStr">
        <is>
          <t>Orders placed in that store-hour (Demand)</t>
        </is>
      </c>
      <c r="S3" s="6" t="inlineStr">
        <is>
          <t>Store typical orders per hour</t>
        </is>
      </c>
      <c r="T3" s="6" t="inlineStr">
        <is>
          <t>Load ratio</t>
        </is>
      </c>
      <c r="U3" s="6" t="inlineStr">
        <is>
          <t>Load ratio (delivered)</t>
        </is>
      </c>
      <c r="V3" s="6" t="inlineStr">
        <is>
          <t>Load ratio (delivered, off-peak)</t>
        </is>
      </c>
      <c r="W3" s="6" t="inlineStr">
        <is>
          <t>Load quartile, all hours</t>
        </is>
      </c>
      <c r="X3" s="6" t="inlineStr">
        <is>
          <t>Load quartile, off-peak</t>
        </is>
      </c>
      <c r="Y3" s="6" t="inlineStr">
        <is>
          <t>Store avg picking (min)</t>
        </is>
      </c>
      <c r="Z3" s="6" t="inlineStr">
        <is>
          <t>Slower-picking store (1/0)</t>
        </is>
      </c>
      <c r="AA3" s="6" t="inlineStr">
        <is>
          <t>Store age (days)</t>
        </is>
      </c>
      <c r="AB3" s="6" t="inlineStr">
        <is>
          <t>New store &lt;180 days (1/0)</t>
        </is>
      </c>
      <c r="AC3" s="6" t="inlineStr">
        <is>
          <t>Rider vehicle</t>
        </is>
      </c>
      <c r="AD3" s="6" t="inlineStr">
        <is>
          <t>Rider experience (months)</t>
        </is>
      </c>
      <c r="AE3" s="6" t="inlineStr">
        <is>
          <t>Rider home store = order store (1/0)</t>
        </is>
      </c>
      <c r="AF3" s="6" t="inlineStr">
        <is>
          <t>Distance km (delivered)</t>
        </is>
      </c>
      <c r="AG3" s="6" t="inlineStr">
        <is>
          <t>Promise min (delivered)</t>
        </is>
      </c>
      <c r="AH3" s="6" t="inlineStr">
        <is>
          <t>Actual min (delivered)</t>
        </is>
      </c>
      <c r="AI3" s="6" t="inlineStr">
        <is>
          <t>Picking est. (min)</t>
        </is>
      </c>
      <c r="AJ3" s="6" t="inlineStr">
        <is>
          <t>Rider wait est. (min)</t>
        </is>
      </c>
      <c r="AK3" s="6" t="inlineStr">
        <is>
          <t>Travel est. (min)</t>
        </is>
      </c>
      <c r="AL3" s="6" t="inlineStr">
        <is>
          <t>Stages sum to total within 0.1 min (1/0)</t>
        </is>
      </c>
      <c r="AM3" s="6" t="inlineStr">
        <is>
          <t>Picking share of time</t>
        </is>
      </c>
      <c r="AN3" s="6" t="inlineStr">
        <is>
          <t>Wait share of time</t>
        </is>
      </c>
      <c r="AO3" s="6" t="inlineStr">
        <is>
          <t>Travel share of time</t>
        </is>
      </c>
      <c r="AP3" s="6" t="inlineStr">
        <is>
          <t>Traffic index (delivered)</t>
        </is>
      </c>
      <c r="AQ3" s="6" t="inlineStr">
        <is>
          <t>Event day (1/0)</t>
        </is>
      </c>
      <c r="AR3" s="6" t="inlineStr">
        <is>
          <t>Wait est., peak</t>
        </is>
      </c>
      <c r="AS3" s="6" t="inlineStr">
        <is>
          <t>Wait est., off-peak</t>
        </is>
      </c>
      <c r="AT3" s="6" t="inlineStr">
        <is>
          <t>Picking est., peak</t>
        </is>
      </c>
      <c r="AU3" s="6" t="inlineStr">
        <is>
          <t>Picking est., off-peak</t>
        </is>
      </c>
      <c r="AV3" s="6" t="inlineStr">
        <is>
          <t>Promise, peak</t>
        </is>
      </c>
      <c r="AW3" s="6" t="inlineStr">
        <is>
          <t>Promise, off-peak</t>
        </is>
      </c>
      <c r="AX3" s="6" t="inlineStr">
        <is>
          <t>Actual, peak</t>
        </is>
      </c>
      <c r="AY3" s="6" t="inlineStr">
        <is>
          <t>Actual, off-peak</t>
        </is>
      </c>
      <c r="AZ3" s="6" t="inlineStr">
        <is>
          <t>Minutes late (late orders only)</t>
        </is>
      </c>
      <c r="BA3" s="6" t="inlineStr">
        <is>
          <t>Minutes late, late peak orders</t>
        </is>
      </c>
      <c r="BB3" s="6" t="inlineStr">
        <is>
          <t>Minutes late, late off-peak orders</t>
        </is>
      </c>
      <c r="BC3" s="6" t="inlineStr">
        <is>
          <t>Later than 3 min (1/0)</t>
        </is>
      </c>
      <c r="BD3" s="6" t="inlineStr">
        <is>
          <t>Later than 7 min (1/0)</t>
        </is>
      </c>
      <c r="BE3" s="6" t="inlineStr">
        <is>
          <t>Distance band (H1)</t>
        </is>
      </c>
      <c r="BF3" s="6" t="inlineStr">
        <is>
          <t>delay_min = (actual − promised) × 1440 (1/0)</t>
        </is>
      </c>
      <c r="BG3" s="6" t="inlineStr">
        <is>
          <t>promised_eta = (promised − placed) × 1440 (1/0)</t>
        </is>
      </c>
      <c r="BH3" s="6" t="inlineStr">
        <is>
          <t>on_time_flag agrees (1/0)</t>
        </is>
      </c>
      <c r="BI3" s="6" t="inlineStr">
        <is>
          <t>Store city</t>
        </is>
      </c>
    </row>
    <row r="4" ht="100" customHeight="1">
      <c r="A4" s="31" t="inlineStr">
        <is>
          <t>Copied from Orders</t>
        </is>
      </c>
      <c r="B4" s="31" t="inlineStr">
        <is>
          <t>Copied from Orders</t>
        </is>
      </c>
      <c r="C4" s="31" t="inlineStr">
        <is>
          <t>Copied from Orders</t>
        </is>
      </c>
      <c r="D4" s="31" t="inlineStr">
        <is>
          <t>Copied from Orders</t>
        </is>
      </c>
      <c r="E4" s="31" t="inlineStr">
        <is>
          <t>1 if order_status = Delivered</t>
        </is>
      </c>
      <c r="F4" s="31" t="inlineStr">
        <is>
          <t>delay_min; blank for cancelled orders (missing, not zero)</t>
        </is>
      </c>
      <c r="G4" s="31" t="inlineStr">
        <is>
          <t>Delivered after the original deadline; blank if cancelled</t>
        </is>
      </c>
      <c r="H4" s="31" t="inlineStr">
        <is>
          <t>More than 5 minutes late (analytical cut-off)</t>
        </is>
      </c>
      <c r="I4" s="31" t="inlineStr">
        <is>
          <t>Agreed rule: rider/item unavailable = company-caused; payment issue and Customer cancelled = unresolved</t>
        </is>
      </c>
      <c r="J4" s="31" t="inlineStr">
        <is>
          <t>Delivered or company-caused cancellation</t>
        </is>
      </c>
      <c r="K4" s="31" t="inlineStr">
        <is>
          <t>Final box in the issue tree</t>
        </is>
      </c>
      <c r="L4" s="31" t="inlineStr">
        <is>
          <t>Placed from 19:00 up to, not including, 22:00</t>
        </is>
      </c>
      <c r="M4" s="31" t="inlineStr">
        <is>
          <t>Check against the data flag</t>
        </is>
      </c>
      <c r="N4" s="31" t="inlineStr">
        <is>
          <t>Agreed rule: blank rain_condition means no rain</t>
        </is>
      </c>
      <c r="O4" s="31" t="inlineStr">
        <is>
          <t>Date part of placed_at, for matching Demand</t>
        </is>
      </c>
      <c r="P4" s="31" t="inlineStr">
        <is>
          <t>order_hour</t>
        </is>
      </c>
      <c r="Q4" s="31" t="inlineStr">
        <is>
          <t>Should be exactly 1 (store + date + hour)</t>
        </is>
      </c>
      <c r="R4" s="31" t="inlineStr">
        <is>
          <t>From Demand; blank if no single match</t>
        </is>
      </c>
      <c r="S4" s="31" t="inlineStr">
        <is>
          <t>From Stores</t>
        </is>
      </c>
      <c r="T4" s="31" t="inlineStr">
        <is>
          <t>Demand orders that hour ÷ typical orders per hour</t>
        </is>
      </c>
      <c r="U4" s="31" t="inlineStr">
        <is>
          <t>Used for all-hours quartiles</t>
        </is>
      </c>
      <c r="V4" s="31" t="inlineStr">
        <is>
          <t>Used for off-peak quartiles</t>
        </is>
      </c>
      <c r="W4" s="31" t="inlineStr">
        <is>
          <t>Quartile of delivered orders by load (cut-offs on Breakdowns)</t>
        </is>
      </c>
      <c r="X4" s="31" t="inlineStr">
        <is>
          <t>Quartile within off-peak delivered orders</t>
        </is>
      </c>
      <c r="Y4" s="31" t="inlineStr">
        <is>
          <t>From Stores</t>
        </is>
      </c>
      <c r="Z4" s="31" t="inlineStr">
        <is>
          <t>Store picking above the 20-store median</t>
        </is>
      </c>
      <c r="AA4" s="31" t="inlineStr">
        <is>
          <t>From Stores</t>
        </is>
      </c>
      <c r="AB4" s="31" t="inlineStr">
        <is>
          <t>Store open under 180 days</t>
        </is>
      </c>
      <c r="AC4" s="31" t="inlineStr">
        <is>
          <t>From Riders; blank when no rider recorded</t>
        </is>
      </c>
      <c r="AD4" s="31" t="inlineStr">
        <is>
          <t>From Riders</t>
        </is>
      </c>
      <c r="AE4" s="31" t="inlineStr">
        <is>
          <t>Shows home store is not where riders worked</t>
        </is>
      </c>
      <c r="AF4" s="31" t="inlineStr">
        <is>
          <t>distance_km for delivered orders</t>
        </is>
      </c>
      <c r="AG4" s="31" t="inlineStr">
        <is>
          <t>promised_eta_min</t>
        </is>
      </c>
      <c r="AH4" s="31" t="inlineStr">
        <is>
          <t>actual_delivery_duration_min</t>
        </is>
      </c>
      <c r="AI4" s="31" t="inlineStr">
        <is>
          <t>Estimate, not a timestamp</t>
        </is>
      </c>
      <c r="AJ4" s="31" t="inlineStr">
        <is>
          <t>Estimate, not a timestamp</t>
        </is>
      </c>
      <c r="AK4" s="31" t="inlineStr">
        <is>
          <t>Estimate, not a timestamp</t>
        </is>
      </c>
      <c r="AL4" s="31" t="inlineStr">
        <is>
          <t>Consistency of the estimates; rounded to 6 decimals so tiny binary decimal differences do not count</t>
        </is>
      </c>
      <c r="AM4" s="31" t="inlineStr">
        <is>
          <t>Picking est. ÷ actual minutes</t>
        </is>
      </c>
      <c r="AN4" s="31" t="inlineStr">
        <is>
          <t>Wait est. ÷ actual minutes</t>
        </is>
      </c>
      <c r="AO4" s="31" t="inlineStr">
        <is>
          <t>Travel est. ÷ actual minutes</t>
        </is>
      </c>
      <c r="AP4" s="31" t="inlineStr">
        <is>
          <t>traffic_congestion_index, 0–1</t>
        </is>
      </c>
      <c r="AQ4" s="31" t="inlineStr">
        <is>
          <t>event_day</t>
        </is>
      </c>
      <c r="AR4" s="31" t="inlineStr">
        <is>
          <t>For mean comparison</t>
        </is>
      </c>
      <c r="AS4" s="31" t="inlineStr">
        <is>
          <t>For mean comparison</t>
        </is>
      </c>
      <c r="AT4" s="31" t="inlineStr">
        <is>
          <t>For mean comparison</t>
        </is>
      </c>
      <c r="AU4" s="31" t="inlineStr">
        <is>
          <t>For mean comparison</t>
        </is>
      </c>
      <c r="AV4" s="31" t="inlineStr">
        <is>
          <t>For mean comparison</t>
        </is>
      </c>
      <c r="AW4" s="31" t="inlineStr">
        <is>
          <t>For mean comparison</t>
        </is>
      </c>
      <c r="AX4" s="31" t="inlineStr">
        <is>
          <t>For mean comparison</t>
        </is>
      </c>
      <c r="AY4" s="31" t="inlineStr">
        <is>
          <t>For mean comparison</t>
        </is>
      </c>
      <c r="AZ4" s="31" t="inlineStr">
        <is>
          <t>Used for average and median minutes late</t>
        </is>
      </c>
      <c r="BA4" s="31" t="inlineStr">
        <is>
          <t>Average delay of late orders at peak</t>
        </is>
      </c>
      <c r="BB4" s="31" t="inlineStr">
        <is>
          <t>Average delay of late orders off-peak</t>
        </is>
      </c>
      <c r="BC4" s="31" t="inlineStr">
        <is>
          <t>Sensitivity check</t>
        </is>
      </c>
      <c r="BD4" s="31" t="inlineStr">
        <is>
          <t>Sensitivity check</t>
        </is>
      </c>
      <c r="BE4" s="31" t="inlineStr">
        <is>
          <t>Bands used in the H1 robustness check</t>
        </is>
      </c>
      <c r="BF4" s="31" t="inlineStr">
        <is>
          <t>Excel times are days, so × 1,440 gives minutes</t>
        </is>
      </c>
      <c r="BG4" s="31" t="inlineStr">
        <is>
          <t>Timestamp check</t>
        </is>
      </c>
      <c r="BH4" s="31" t="inlineStr">
        <is>
          <t>on_time_flag vs our on-time rule</t>
        </is>
      </c>
      <c r="BI4" s="31" t="inlineStr">
        <is>
          <t>From Stores</t>
        </is>
      </c>
    </row>
    <row r="5">
      <c r="A5" s="32" t="str">
        <f>Orders!A2</f>
        <v>O00001</v>
      </c>
      <c r="B5" s="32" t="str">
        <f>Orders!C2</f>
        <v>S010</v>
      </c>
      <c r="C5" s="32" t="str">
        <f>Orders!B2</f>
        <v>C0113</v>
      </c>
      <c r="D5" s="32" t="str">
        <f>Orders!H2</f>
        <v>Delivered</v>
      </c>
      <c r="E5" s="33">
        <f>IF(Orders!H2="Delivered",1,0)</f>
        <v>1</v>
      </c>
      <c r="F5" s="34">
        <f>IF(E5=1,Orders!R2,"")</f>
        <v>9</v>
      </c>
      <c r="G5" s="33">
        <f>IF(E5=1,IF(Orders!R2&gt;0,1,0),"")</f>
        <v>1</v>
      </c>
      <c r="H5" s="33">
        <f>IF(E5=1,IF(Orders!R2&gt;5,1,0),"")</f>
        <v>1</v>
      </c>
      <c r="I5" s="32" t="str">
        <f>IF(E5=1,"",IF(OR(Orders!T2="Rider unavailable",Orders!T2="Item unavailable"),"Company-caused","Unresolved"))</f>
        <v/>
      </c>
      <c r="J5" s="33">
        <f>IF(OR(E5=1,I5="Company-caused"),1,0)</f>
        <v>1</v>
      </c>
      <c r="K5" s="32" t="str">
        <f>IF(E5=0,IF(I5="Company-caused",IF(Orders!T2="Rider unavailable","C1 Rider unavailable","C2 Item unavailable"),"Outside root: unresolved"),IF(G5=0,"A On time",IF(H5=1,IF(L5=1,"B2a Severe, peak","B2b Severe, off-peak"),IF(L5=1,"B1a Slight, peak","B1b Slight, off-peak"))))</f>
        <v>B2b Severe, off-peak</v>
      </c>
      <c r="L5" s="33">
        <f>IF(AND(Orders!U2&gt;=19,Orders!U2&lt;22),1,0)</f>
        <v>0</v>
      </c>
      <c r="M5" s="33">
        <f>IF(L5=IF(Orders!V2,1,0),1,0)</f>
        <v>1</v>
      </c>
      <c r="N5" s="32" t="str">
        <f>IF(Orders!W2="","None",Orders!W2)</f>
        <v>Heavy</v>
      </c>
      <c r="O5" s="35">
        <f>INT(Orders!E2)</f>
        <v>46279.0</v>
      </c>
      <c r="P5" s="33">
        <f>Orders!U2</f>
        <v>11</v>
      </c>
      <c r="Q5" s="33">
        <f>COUNTIFS(Demand!$A$2:$A$4481,B5,Demand!$B$2:$B$4481,O5,Demand!$C$2:$C$4481,P5)</f>
        <v>1</v>
      </c>
      <c r="R5" s="33">
        <f>IF(Q5=1,SUMIFS(Demand!$E$2:$E$4481,Demand!$A$2:$A$4481,B5,Demand!$B$2:$B$4481,O5,Demand!$C$2:$C$4481,P5),"")</f>
        <v>19</v>
      </c>
      <c r="S5" s="33">
        <f>INDEX(Stores!$G$2:$G$21,MATCH(B5,Stores!$A$2:$A$21,0))</f>
        <v>22</v>
      </c>
      <c r="T5" s="34">
        <f>IF(R5="","",R5/S5)</f>
        <v>0.863636363636364</v>
      </c>
      <c r="U5" s="34">
        <f>IF(E5=1,T5,"")</f>
        <v>0.863636363636364</v>
      </c>
      <c r="V5" s="34">
        <f>IF(AND(E5=1,L5=0),T5,"")</f>
        <v>0.863636363636364</v>
      </c>
      <c r="W5" s="33">
        <f>IF(U5="","",IF(U5&lt;=Breakdowns!$C$5,1,IF(U5&lt;=Breakdowns!$C$6,2,IF(U5&lt;=Breakdowns!$C$7,3,4))))</f>
        <v>2</v>
      </c>
      <c r="X5" s="33">
        <f>IF(V5="","",IF(V5&lt;=Breakdowns!$D$5,1,IF(V5&lt;=Breakdowns!$D$6,2,IF(V5&lt;=Breakdowns!$D$7,3,4))))</f>
        <v>2</v>
      </c>
      <c r="Y5" s="34">
        <f>INDEX(Stores!$F$2:$F$21,MATCH(B5,Stores!$A$2:$A$21,0))</f>
        <v>5.61</v>
      </c>
      <c r="Z5" s="33">
        <f>IF(Y5&gt;Store_Summary!$M$2,1,0)</f>
        <v>1</v>
      </c>
      <c r="AA5" s="33">
        <f>INDEX(Stores!$C$2:$C$21,MATCH(B5,Stores!$A$2:$A$21,0))</f>
        <v>744</v>
      </c>
      <c r="AB5" s="33">
        <f>IF(AA5&lt;180,1,0)</f>
        <v>0</v>
      </c>
      <c r="AC5" s="32" t="str">
        <f>IF(Orders!D2="","",INDEX(Riders!$C$2:$C$81,MATCH(Orders!D2,Riders!$A$2:$A$81,0)))</f>
        <v>EV scooter</v>
      </c>
      <c r="AD5" s="33">
        <f>IF(Orders!D2="","",INDEX(Riders!$D$2:$D$81,MATCH(Orders!D2,Riders!$A$2:$A$81,0)))</f>
        <v>40</v>
      </c>
      <c r="AE5" s="33">
        <f>IF(Orders!D2="","",IF(INDEX(Riders!$B$2:$B$81,MATCH(Orders!D2,Riders!$A$2:$A$81,0))=B5,1,0))</f>
        <v>0</v>
      </c>
      <c r="AF5" s="34">
        <f>IF(E5=1,Orders!L2,"")</f>
        <v>0.8</v>
      </c>
      <c r="AG5" s="34">
        <f>IF(E5=1,Orders!P2,"")</f>
        <v>10.7</v>
      </c>
      <c r="AH5" s="34">
        <f>IF(E5=1,Orders!Q2,"")</f>
        <v>19.7</v>
      </c>
      <c r="AI5" s="34">
        <f>IF(E5=1,Orders!M2,"")</f>
        <v>7.1</v>
      </c>
      <c r="AJ5" s="34">
        <f>IF(E5=1,Orders!N2,"")</f>
        <v>7.6</v>
      </c>
      <c r="AK5" s="34">
        <f>IF(E5=1,Orders!O2,"")</f>
        <v>5</v>
      </c>
      <c r="AL5" s="33">
        <f>IF(E5=1,IF(ROUND(ABS(AI5+AJ5+AK5-AH5),6)&lt;=0.1,1,0),"")</f>
        <v>1</v>
      </c>
      <c r="AM5" s="36">
        <f>IF(E5=1,AI5/AH5,"")</f>
        <v>0.360406091370558</v>
      </c>
      <c r="AN5" s="36">
        <f>IF(E5=1,AJ5/AH5,"")</f>
        <v>0.385786802030457</v>
      </c>
      <c r="AO5" s="36">
        <f>IF(E5=1,AK5/AH5,"")</f>
        <v>0.253807106598985</v>
      </c>
      <c r="AP5" s="34">
        <f>IF(E5=1,Orders!Y2,"")</f>
        <v>0.36</v>
      </c>
      <c r="AQ5" s="33">
        <f>IF(Orders!X2,1,0)</f>
        <v>0</v>
      </c>
      <c r="AR5" s="34" t="str">
        <f>IF(AND(E5=1,L5=1),AJ5,"")</f>
        <v/>
      </c>
      <c r="AS5" s="34">
        <f>IF(AND(E5=1,L5=0),AJ5,"")</f>
        <v>7.6</v>
      </c>
      <c r="AT5" s="34" t="str">
        <f>IF(AND(E5=1,L5=1),AI5,"")</f>
        <v/>
      </c>
      <c r="AU5" s="34">
        <f>IF(AND(E5=1,L5=0),AI5,"")</f>
        <v>7.1</v>
      </c>
      <c r="AV5" s="34" t="str">
        <f>IF(AND(E5=1,L5=1),AG5,"")</f>
        <v/>
      </c>
      <c r="AW5" s="34">
        <f>IF(AND(E5=1,L5=0),AG5,"")</f>
        <v>10.7</v>
      </c>
      <c r="AX5" s="34" t="str">
        <f>IF(AND(E5=1,L5=1),AH5,"")</f>
        <v/>
      </c>
      <c r="AY5" s="34">
        <f>IF(AND(E5=1,L5=0),AH5,"")</f>
        <v>19.7</v>
      </c>
      <c r="AZ5" s="34">
        <f>IF(G5=1,F5,"")</f>
        <v>9</v>
      </c>
      <c r="BA5" s="34" t="str">
        <f>IF(AND(G5=1,L5=1),F5,"")</f>
        <v/>
      </c>
      <c r="BB5" s="34">
        <f>IF(AND(G5=1,L5=0),F5,"")</f>
        <v>9</v>
      </c>
      <c r="BC5" s="33">
        <f>IF(E5=1,IF(Orders!R2&gt;3,1,0),"")</f>
        <v>1</v>
      </c>
      <c r="BD5" s="33">
        <f>IF(E5=1,IF(Orders!R2&gt;7,1,0),"")</f>
        <v>1</v>
      </c>
      <c r="BE5" s="32" t="str">
        <f>IF(E5=1,IF(Orders!L2&lt;=1.5,"Up to 1.5 km",IF(Orders!L2&lt;=3,"1.5–3 km","Over 3 km")),"")</f>
        <v>Up to 1.5 km</v>
      </c>
      <c r="BF5" s="33">
        <f>IF(E5=1,IF(ABS((Orders!G2-Orders!F2)*1440-Orders!R2)&lt;0.06,1,0),"")</f>
        <v>1</v>
      </c>
      <c r="BG5" s="33">
        <f>IF(ABS((Orders!F2-Orders!E2)*1440-Orders!P2)&lt;0.06,1,0)</f>
        <v>1</v>
      </c>
      <c r="BH5" s="33">
        <f>IF(E5=1,IF(IF(Orders!S2,1,0)=1-G5,1,0),"")</f>
        <v>1</v>
      </c>
      <c r="BI5" s="32" t="str">
        <f>INDEX(Stores!$B$2:$B$21,MATCH(B5,Stores!$A$2:$A$21,0))</f>
        <v>Delhi</v>
      </c>
    </row>
    <row r="6">
      <c r="A6" s="32" t="str">
        <f>Orders!A3</f>
        <v>O00002</v>
      </c>
      <c r="B6" s="32" t="str">
        <f>Orders!C3</f>
        <v>S008</v>
      </c>
      <c r="C6" s="32" t="str">
        <f>Orders!B3</f>
        <v>C0091</v>
      </c>
      <c r="D6" s="32" t="str">
        <f>Orders!H3</f>
        <v>Delivered</v>
      </c>
      <c r="E6" s="33">
        <f>IF(Orders!H3="Delivered",1,0)</f>
        <v>1</v>
      </c>
      <c r="F6" s="34">
        <f>IF(E6=1,Orders!R3,"")</f>
        <v>-1</v>
      </c>
      <c r="G6" s="33">
        <f>IF(E6=1,IF(Orders!R3&gt;0,1,0),"")</f>
        <v>0</v>
      </c>
      <c r="H6" s="33">
        <f>IF(E6=1,IF(Orders!R3&gt;5,1,0),"")</f>
        <v>0</v>
      </c>
      <c r="I6" s="32" t="str">
        <f>IF(E6=1,"",IF(OR(Orders!T3="Rider unavailable",Orders!T3="Item unavailable"),"Company-caused","Unresolved"))</f>
        <v/>
      </c>
      <c r="J6" s="33">
        <f>IF(OR(E6=1,I6="Company-caused"),1,0)</f>
        <v>1</v>
      </c>
      <c r="K6" s="32" t="str">
        <f>IF(E6=0,IF(I6="Company-caused",IF(Orders!T3="Rider unavailable","C1 Rider unavailable","C2 Item unavailable"),"Outside root: unresolved"),IF(G6=0,"A On time",IF(H6=1,IF(L6=1,"B2a Severe, peak","B2b Severe, off-peak"),IF(L6=1,"B1a Slight, peak","B1b Slight, off-peak"))))</f>
        <v>A On time</v>
      </c>
      <c r="L6" s="33">
        <f>IF(AND(Orders!U3&gt;=19,Orders!U3&lt;22),1,0)</f>
        <v>0</v>
      </c>
      <c r="M6" s="33">
        <f>IF(L6=IF(Orders!V3,1,0),1,0)</f>
        <v>1</v>
      </c>
      <c r="N6" s="32" t="str">
        <f>IF(Orders!W3="","None",Orders!W3)</f>
        <v>None</v>
      </c>
      <c r="O6" s="35">
        <f>INT(Orders!E3)</f>
        <v>46274.0</v>
      </c>
      <c r="P6" s="33">
        <f>Orders!U3</f>
        <v>18</v>
      </c>
      <c r="Q6" s="33">
        <f>COUNTIFS(Demand!$A$2:$A$4481,B6,Demand!$B$2:$B$4481,O6,Demand!$C$2:$C$4481,P6)</f>
        <v>1</v>
      </c>
      <c r="R6" s="33">
        <f>IF(Q6=1,SUMIFS(Demand!$E$2:$E$4481,Demand!$A$2:$A$4481,B6,Demand!$B$2:$B$4481,O6,Demand!$C$2:$C$4481,P6),"")</f>
        <v>18</v>
      </c>
      <c r="S6" s="33">
        <f>INDEX(Stores!$G$2:$G$21,MATCH(B6,Stores!$A$2:$A$21,0))</f>
        <v>23</v>
      </c>
      <c r="T6" s="34">
        <f>IF(R6="","",R6/S6)</f>
        <v>0.782608695652174</v>
      </c>
      <c r="U6" s="34">
        <f>IF(E6=1,T6,"")</f>
        <v>0.782608695652174</v>
      </c>
      <c r="V6" s="34">
        <f>IF(AND(E6=1,L6=0),T6,"")</f>
        <v>0.782608695652174</v>
      </c>
      <c r="W6" s="33">
        <f>IF(U6="","",IF(U6&lt;=Breakdowns!$C$5,1,IF(U6&lt;=Breakdowns!$C$6,2,IF(U6&lt;=Breakdowns!$C$7,3,4))))</f>
        <v>1</v>
      </c>
      <c r="X6" s="33">
        <f>IF(V6="","",IF(V6&lt;=Breakdowns!$D$5,1,IF(V6&lt;=Breakdowns!$D$6,2,IF(V6&lt;=Breakdowns!$D$7,3,4))))</f>
        <v>2</v>
      </c>
      <c r="Y6" s="34">
        <f>INDEX(Stores!$F$2:$F$21,MATCH(B6,Stores!$A$2:$A$21,0))</f>
        <v>3.46</v>
      </c>
      <c r="Z6" s="33">
        <f>IF(Y6&gt;Store_Summary!$M$2,1,0)</f>
        <v>0</v>
      </c>
      <c r="AA6" s="33">
        <f>INDEX(Stores!$C$2:$C$21,MATCH(B6,Stores!$A$2:$A$21,0))</f>
        <v>825</v>
      </c>
      <c r="AB6" s="33">
        <f>IF(AA6&lt;180,1,0)</f>
        <v>0</v>
      </c>
      <c r="AC6" s="32" t="str">
        <f>IF(Orders!D3="","",INDEX(Riders!$C$2:$C$81,MATCH(Orders!D3,Riders!$A$2:$A$81,0)))</f>
        <v>EV scooter</v>
      </c>
      <c r="AD6" s="33">
        <f>IF(Orders!D3="","",INDEX(Riders!$D$2:$D$81,MATCH(Orders!D3,Riders!$A$2:$A$81,0)))</f>
        <v>26</v>
      </c>
      <c r="AE6" s="33">
        <f>IF(Orders!D3="","",IF(INDEX(Riders!$B$2:$B$81,MATCH(Orders!D3,Riders!$A$2:$A$81,0))=B6,1,0))</f>
        <v>0</v>
      </c>
      <c r="AF6" s="34">
        <f>IF(E6=1,Orders!L3,"")</f>
        <v>2.77</v>
      </c>
      <c r="AG6" s="34">
        <f>IF(E6=1,Orders!P3,"")</f>
        <v>11.5</v>
      </c>
      <c r="AH6" s="34">
        <f>IF(E6=1,Orders!Q3,"")</f>
        <v>10.5</v>
      </c>
      <c r="AI6" s="34">
        <f>IF(E6=1,Orders!M3,"")</f>
        <v>2.3</v>
      </c>
      <c r="AJ6" s="34">
        <f>IF(E6=1,Orders!N3,"")</f>
        <v>4</v>
      </c>
      <c r="AK6" s="34">
        <f>IF(E6=1,Orders!O3,"")</f>
        <v>4.2</v>
      </c>
      <c r="AL6" s="33">
        <f>IF(E6=1,IF(ROUND(ABS(AI6+AJ6+AK6-AH6),6)&lt;=0.1,1,0),"")</f>
        <v>1</v>
      </c>
      <c r="AM6" s="36">
        <f>IF(E6=1,AI6/AH6,"")</f>
        <v>0.219047619047619</v>
      </c>
      <c r="AN6" s="36">
        <f>IF(E6=1,AJ6/AH6,"")</f>
        <v>0.380952380952381</v>
      </c>
      <c r="AO6" s="36">
        <f>IF(E6=1,AK6/AH6,"")</f>
        <v>0.4</v>
      </c>
      <c r="AP6" s="34">
        <f>IF(E6=1,Orders!Y3,"")</f>
        <v>0.63</v>
      </c>
      <c r="AQ6" s="33">
        <f>IF(Orders!X3,1,0)</f>
        <v>0</v>
      </c>
      <c r="AR6" s="34" t="str">
        <f>IF(AND(E6=1,L6=1),AJ6,"")</f>
        <v/>
      </c>
      <c r="AS6" s="34">
        <f>IF(AND(E6=1,L6=0),AJ6,"")</f>
        <v>4</v>
      </c>
      <c r="AT6" s="34" t="str">
        <f>IF(AND(E6=1,L6=1),AI6,"")</f>
        <v/>
      </c>
      <c r="AU6" s="34">
        <f>IF(AND(E6=1,L6=0),AI6,"")</f>
        <v>2.3</v>
      </c>
      <c r="AV6" s="34" t="str">
        <f>IF(AND(E6=1,L6=1),AG6,"")</f>
        <v/>
      </c>
      <c r="AW6" s="34">
        <f>IF(AND(E6=1,L6=0),AG6,"")</f>
        <v>11.5</v>
      </c>
      <c r="AX6" s="34" t="str">
        <f>IF(AND(E6=1,L6=1),AH6,"")</f>
        <v/>
      </c>
      <c r="AY6" s="34">
        <f>IF(AND(E6=1,L6=0),AH6,"")</f>
        <v>10.5</v>
      </c>
      <c r="AZ6" s="34" t="str">
        <f>IF(G6=1,F6,"")</f>
        <v/>
      </c>
      <c r="BA6" s="34" t="str">
        <f>IF(AND(G6=1,L6=1),F6,"")</f>
        <v/>
      </c>
      <c r="BB6" s="34" t="str">
        <f>IF(AND(G6=1,L6=0),F6,"")</f>
        <v/>
      </c>
      <c r="BC6" s="33">
        <f>IF(E6=1,IF(Orders!R3&gt;3,1,0),"")</f>
        <v>0</v>
      </c>
      <c r="BD6" s="33">
        <f>IF(E6=1,IF(Orders!R3&gt;7,1,0),"")</f>
        <v>0</v>
      </c>
      <c r="BE6" s="32" t="str">
        <f>IF(E6=1,IF(Orders!L3&lt;=1.5,"Up to 1.5 km",IF(Orders!L3&lt;=3,"1.5–3 km","Over 3 km")),"")</f>
        <v>1.5–3 km</v>
      </c>
      <c r="BF6" s="33">
        <f>IF(E6=1,IF(ABS((Orders!G3-Orders!F3)*1440-Orders!R3)&lt;0.06,1,0),"")</f>
        <v>1</v>
      </c>
      <c r="BG6" s="33">
        <f>IF(ABS((Orders!F3-Orders!E3)*1440-Orders!P3)&lt;0.06,1,0)</f>
        <v>1</v>
      </c>
      <c r="BH6" s="33">
        <f>IF(E6=1,IF(IF(Orders!S3,1,0)=1-G6,1,0),"")</f>
        <v>1</v>
      </c>
      <c r="BI6" s="32" t="str">
        <f>INDEX(Stores!$B$2:$B$21,MATCH(B6,Stores!$A$2:$A$21,0))</f>
        <v>Mumbai</v>
      </c>
    </row>
    <row r="7">
      <c r="A7" s="32" t="str">
        <f>Orders!A4</f>
        <v>O00003</v>
      </c>
      <c r="B7" s="32" t="str">
        <f>Orders!C4</f>
        <v>S003</v>
      </c>
      <c r="C7" s="32" t="str">
        <f>Orders!B4</f>
        <v>C0085</v>
      </c>
      <c r="D7" s="32" t="str">
        <f>Orders!H4</f>
        <v>Delivered</v>
      </c>
      <c r="E7" s="33">
        <f>IF(Orders!H4="Delivered",1,0)</f>
        <v>1</v>
      </c>
      <c r="F7" s="34">
        <f>IF(E7=1,Orders!R4,"")</f>
        <v>-0.9</v>
      </c>
      <c r="G7" s="33">
        <f>IF(E7=1,IF(Orders!R4&gt;0,1,0),"")</f>
        <v>0</v>
      </c>
      <c r="H7" s="33">
        <f>IF(E7=1,IF(Orders!R4&gt;5,1,0),"")</f>
        <v>0</v>
      </c>
      <c r="I7" s="32" t="str">
        <f>IF(E7=1,"",IF(OR(Orders!T4="Rider unavailable",Orders!T4="Item unavailable"),"Company-caused","Unresolved"))</f>
        <v/>
      </c>
      <c r="J7" s="33">
        <f>IF(OR(E7=1,I7="Company-caused"),1,0)</f>
        <v>1</v>
      </c>
      <c r="K7" s="32" t="str">
        <f>IF(E7=0,IF(I7="Company-caused",IF(Orders!T4="Rider unavailable","C1 Rider unavailable","C2 Item unavailable"),"Outside root: unresolved"),IF(G7=0,"A On time",IF(H7=1,IF(L7=1,"B2a Severe, peak","B2b Severe, off-peak"),IF(L7=1,"B1a Slight, peak","B1b Slight, off-peak"))))</f>
        <v>A On time</v>
      </c>
      <c r="L7" s="33">
        <f>IF(AND(Orders!U4&gt;=19,Orders!U4&lt;22),1,0)</f>
        <v>0</v>
      </c>
      <c r="M7" s="33">
        <f>IF(L7=IF(Orders!V4,1,0),1,0)</f>
        <v>1</v>
      </c>
      <c r="N7" s="32" t="str">
        <f>IF(Orders!W4="","None",Orders!W4)</f>
        <v>None</v>
      </c>
      <c r="O7" s="35">
        <f>INT(Orders!E4)</f>
        <v>46272.0</v>
      </c>
      <c r="P7" s="33">
        <f>Orders!U4</f>
        <v>17</v>
      </c>
      <c r="Q7" s="33">
        <f>COUNTIFS(Demand!$A$2:$A$4481,B7,Demand!$B$2:$B$4481,O7,Demand!$C$2:$C$4481,P7)</f>
        <v>1</v>
      </c>
      <c r="R7" s="33">
        <f>IF(Q7=1,SUMIFS(Demand!$E$2:$E$4481,Demand!$A$2:$A$4481,B7,Demand!$B$2:$B$4481,O7,Demand!$C$2:$C$4481,P7),"")</f>
        <v>42</v>
      </c>
      <c r="S7" s="33">
        <f>INDEX(Stores!$G$2:$G$21,MATCH(B7,Stores!$A$2:$A$21,0))</f>
        <v>41</v>
      </c>
      <c r="T7" s="34">
        <f>IF(R7="","",R7/S7)</f>
        <v>1.02439024390244</v>
      </c>
      <c r="U7" s="34">
        <f>IF(E7=1,T7,"")</f>
        <v>1.02439024390244</v>
      </c>
      <c r="V7" s="34">
        <f>IF(AND(E7=1,L7=0),T7,"")</f>
        <v>1.02439024390244</v>
      </c>
      <c r="W7" s="33">
        <f>IF(U7="","",IF(U7&lt;=Breakdowns!$C$5,1,IF(U7&lt;=Breakdowns!$C$6,2,IF(U7&lt;=Breakdowns!$C$7,3,4))))</f>
        <v>3</v>
      </c>
      <c r="X7" s="33">
        <f>IF(V7="","",IF(V7&lt;=Breakdowns!$D$5,1,IF(V7&lt;=Breakdowns!$D$6,2,IF(V7&lt;=Breakdowns!$D$7,3,4))))</f>
        <v>3</v>
      </c>
      <c r="Y7" s="34">
        <f>INDEX(Stores!$F$2:$F$21,MATCH(B7,Stores!$A$2:$A$21,0))</f>
        <v>3.84</v>
      </c>
      <c r="Z7" s="33">
        <f>IF(Y7&gt;Store_Summary!$M$2,1,0)</f>
        <v>0</v>
      </c>
      <c r="AA7" s="33">
        <f>INDEX(Stores!$C$2:$C$21,MATCH(B7,Stores!$A$2:$A$21,0))</f>
        <v>426</v>
      </c>
      <c r="AB7" s="33">
        <f>IF(AA7&lt;180,1,0)</f>
        <v>0</v>
      </c>
      <c r="AC7" s="32" t="str">
        <f>IF(Orders!D4="","",INDEX(Riders!$C$2:$C$81,MATCH(Orders!D4,Riders!$A$2:$A$81,0)))</f>
        <v>EV scooter</v>
      </c>
      <c r="AD7" s="33">
        <f>IF(Orders!D4="","",INDEX(Riders!$D$2:$D$81,MATCH(Orders!D4,Riders!$A$2:$A$81,0)))</f>
        <v>4</v>
      </c>
      <c r="AE7" s="33">
        <f>IF(Orders!D4="","",IF(INDEX(Riders!$B$2:$B$81,MATCH(Orders!D4,Riders!$A$2:$A$81,0))=B7,1,0))</f>
        <v>0</v>
      </c>
      <c r="AF7" s="34">
        <f>IF(E7=1,Orders!L4,"")</f>
        <v>2.1</v>
      </c>
      <c r="AG7" s="34">
        <f>IF(E7=1,Orders!P4,"")</f>
        <v>10.2</v>
      </c>
      <c r="AH7" s="34">
        <f>IF(E7=1,Orders!Q4,"")</f>
        <v>9.3</v>
      </c>
      <c r="AI7" s="34">
        <f>IF(E7=1,Orders!M4,"")</f>
        <v>2.9</v>
      </c>
      <c r="AJ7" s="34">
        <f>IF(E7=1,Orders!N4,"")</f>
        <v>2.4</v>
      </c>
      <c r="AK7" s="34">
        <f>IF(E7=1,Orders!O4,"")</f>
        <v>4</v>
      </c>
      <c r="AL7" s="33">
        <f>IF(E7=1,IF(ROUND(ABS(AI7+AJ7+AK7-AH7),6)&lt;=0.1,1,0),"")</f>
        <v>1</v>
      </c>
      <c r="AM7" s="36">
        <f>IF(E7=1,AI7/AH7,"")</f>
        <v>0.311827956989247</v>
      </c>
      <c r="AN7" s="36">
        <f>IF(E7=1,AJ7/AH7,"")</f>
        <v>0.258064516129032</v>
      </c>
      <c r="AO7" s="36">
        <f>IF(E7=1,AK7/AH7,"")</f>
        <v>0.43010752688172</v>
      </c>
      <c r="AP7" s="34">
        <f>IF(E7=1,Orders!Y4,"")</f>
        <v>0.54</v>
      </c>
      <c r="AQ7" s="33">
        <f>IF(Orders!X4,1,0)</f>
        <v>1</v>
      </c>
      <c r="AR7" s="34" t="str">
        <f>IF(AND(E7=1,L7=1),AJ7,"")</f>
        <v/>
      </c>
      <c r="AS7" s="34">
        <f>IF(AND(E7=1,L7=0),AJ7,"")</f>
        <v>2.4</v>
      </c>
      <c r="AT7" s="34" t="str">
        <f>IF(AND(E7=1,L7=1),AI7,"")</f>
        <v/>
      </c>
      <c r="AU7" s="34">
        <f>IF(AND(E7=1,L7=0),AI7,"")</f>
        <v>2.9</v>
      </c>
      <c r="AV7" s="34" t="str">
        <f>IF(AND(E7=1,L7=1),AG7,"")</f>
        <v/>
      </c>
      <c r="AW7" s="34">
        <f>IF(AND(E7=1,L7=0),AG7,"")</f>
        <v>10.2</v>
      </c>
      <c r="AX7" s="34" t="str">
        <f>IF(AND(E7=1,L7=1),AH7,"")</f>
        <v/>
      </c>
      <c r="AY7" s="34">
        <f>IF(AND(E7=1,L7=0),AH7,"")</f>
        <v>9.3</v>
      </c>
      <c r="AZ7" s="34" t="str">
        <f>IF(G7=1,F7,"")</f>
        <v/>
      </c>
      <c r="BA7" s="34" t="str">
        <f>IF(AND(G7=1,L7=1),F7,"")</f>
        <v/>
      </c>
      <c r="BB7" s="34" t="str">
        <f>IF(AND(G7=1,L7=0),F7,"")</f>
        <v/>
      </c>
      <c r="BC7" s="33">
        <f>IF(E7=1,IF(Orders!R4&gt;3,1,0),"")</f>
        <v>0</v>
      </c>
      <c r="BD7" s="33">
        <f>IF(E7=1,IF(Orders!R4&gt;7,1,0),"")</f>
        <v>0</v>
      </c>
      <c r="BE7" s="32" t="str">
        <f>IF(E7=1,IF(Orders!L4&lt;=1.5,"Up to 1.5 km",IF(Orders!L4&lt;=3,"1.5–3 km","Over 3 km")),"")</f>
        <v>1.5–3 km</v>
      </c>
      <c r="BF7" s="33">
        <f>IF(E7=1,IF(ABS((Orders!G4-Orders!F4)*1440-Orders!R4)&lt;0.06,1,0),"")</f>
        <v>1</v>
      </c>
      <c r="BG7" s="33">
        <f>IF(ABS((Orders!F4-Orders!E4)*1440-Orders!P4)&lt;0.06,1,0)</f>
        <v>1</v>
      </c>
      <c r="BH7" s="33">
        <f>IF(E7=1,IF(IF(Orders!S4,1,0)=1-G7,1,0),"")</f>
        <v>1</v>
      </c>
      <c r="BI7" s="32" t="str">
        <f>INDEX(Stores!$B$2:$B$21,MATCH(B7,Stores!$A$2:$A$21,0))</f>
        <v>Mumbai</v>
      </c>
    </row>
    <row r="8">
      <c r="A8" s="32" t="str">
        <f>Orders!A5</f>
        <v>O00004</v>
      </c>
      <c r="B8" s="32" t="str">
        <f>Orders!C5</f>
        <v>S017</v>
      </c>
      <c r="C8" s="32" t="str">
        <f>Orders!B5</f>
        <v>C0159</v>
      </c>
      <c r="D8" s="32" t="str">
        <f>Orders!H5</f>
        <v>Delivered</v>
      </c>
      <c r="E8" s="33">
        <f>IF(Orders!H5="Delivered",1,0)</f>
        <v>1</v>
      </c>
      <c r="F8" s="34">
        <f>IF(E8=1,Orders!R5,"")</f>
        <v>2</v>
      </c>
      <c r="G8" s="33">
        <f>IF(E8=1,IF(Orders!R5&gt;0,1,0),"")</f>
        <v>1</v>
      </c>
      <c r="H8" s="33">
        <f>IF(E8=1,IF(Orders!R5&gt;5,1,0),"")</f>
        <v>0</v>
      </c>
      <c r="I8" s="32" t="str">
        <f>IF(E8=1,"",IF(OR(Orders!T5="Rider unavailable",Orders!T5="Item unavailable"),"Company-caused","Unresolved"))</f>
        <v/>
      </c>
      <c r="J8" s="33">
        <f>IF(OR(E8=1,I8="Company-caused"),1,0)</f>
        <v>1</v>
      </c>
      <c r="K8" s="32" t="str">
        <f>IF(E8=0,IF(I8="Company-caused",IF(Orders!T5="Rider unavailable","C1 Rider unavailable","C2 Item unavailable"),"Outside root: unresolved"),IF(G8=0,"A On time",IF(H8=1,IF(L8=1,"B2a Severe, peak","B2b Severe, off-peak"),IF(L8=1,"B1a Slight, peak","B1b Slight, off-peak"))))</f>
        <v>B1b Slight, off-peak</v>
      </c>
      <c r="L8" s="33">
        <f>IF(AND(Orders!U5&gt;=19,Orders!U5&lt;22),1,0)</f>
        <v>0</v>
      </c>
      <c r="M8" s="33">
        <f>IF(L8=IF(Orders!V5,1,0),1,0)</f>
        <v>1</v>
      </c>
      <c r="N8" s="32" t="str">
        <f>IF(Orders!W5="","None",Orders!W5)</f>
        <v>None</v>
      </c>
      <c r="O8" s="35">
        <f>INT(Orders!E5)</f>
        <v>46276.0</v>
      </c>
      <c r="P8" s="33">
        <f>Orders!U5</f>
        <v>18</v>
      </c>
      <c r="Q8" s="33">
        <f>COUNTIFS(Demand!$A$2:$A$4481,B8,Demand!$B$2:$B$4481,O8,Demand!$C$2:$C$4481,P8)</f>
        <v>1</v>
      </c>
      <c r="R8" s="33">
        <f>IF(Q8=1,SUMIFS(Demand!$E$2:$E$4481,Demand!$A$2:$A$4481,B8,Demand!$B$2:$B$4481,O8,Demand!$C$2:$C$4481,P8),"")</f>
        <v>29</v>
      </c>
      <c r="S8" s="33">
        <f>INDEX(Stores!$G$2:$G$21,MATCH(B8,Stores!$A$2:$A$21,0))</f>
        <v>36</v>
      </c>
      <c r="T8" s="34">
        <f>IF(R8="","",R8/S8)</f>
        <v>0.805555555555556</v>
      </c>
      <c r="U8" s="34">
        <f>IF(E8=1,T8,"")</f>
        <v>0.805555555555556</v>
      </c>
      <c r="V8" s="34">
        <f>IF(AND(E8=1,L8=0),T8,"")</f>
        <v>0.805555555555556</v>
      </c>
      <c r="W8" s="33">
        <f>IF(U8="","",IF(U8&lt;=Breakdowns!$C$5,1,IF(U8&lt;=Breakdowns!$C$6,2,IF(U8&lt;=Breakdowns!$C$7,3,4))))</f>
        <v>2</v>
      </c>
      <c r="X8" s="33">
        <f>IF(V8="","",IF(V8&lt;=Breakdowns!$D$5,1,IF(V8&lt;=Breakdowns!$D$6,2,IF(V8&lt;=Breakdowns!$D$7,3,4))))</f>
        <v>2</v>
      </c>
      <c r="Y8" s="34">
        <f>INDEX(Stores!$F$2:$F$21,MATCH(B8,Stores!$A$2:$A$21,0))</f>
        <v>2.16</v>
      </c>
      <c r="Z8" s="33">
        <f>IF(Y8&gt;Store_Summary!$M$2,1,0)</f>
        <v>0</v>
      </c>
      <c r="AA8" s="33">
        <f>INDEX(Stores!$C$2:$C$21,MATCH(B8,Stores!$A$2:$A$21,0))</f>
        <v>47</v>
      </c>
      <c r="AB8" s="33">
        <f>IF(AA8&lt;180,1,0)</f>
        <v>1</v>
      </c>
      <c r="AC8" s="32" t="str">
        <f>IF(Orders!D5="","",INDEX(Riders!$C$2:$C$81,MATCH(Orders!D5,Riders!$A$2:$A$81,0)))</f>
        <v>Petrol scooter</v>
      </c>
      <c r="AD8" s="33">
        <f>IF(Orders!D5="","",INDEX(Riders!$D$2:$D$81,MATCH(Orders!D5,Riders!$A$2:$A$81,0)))</f>
        <v>42</v>
      </c>
      <c r="AE8" s="33">
        <f>IF(Orders!D5="","",IF(INDEX(Riders!$B$2:$B$81,MATCH(Orders!D5,Riders!$A$2:$A$81,0))=B8,1,0))</f>
        <v>0</v>
      </c>
      <c r="AF8" s="34">
        <f>IF(E8=1,Orders!L5,"")</f>
        <v>2.63</v>
      </c>
      <c r="AG8" s="34">
        <f>IF(E8=1,Orders!P5,"")</f>
        <v>12.2</v>
      </c>
      <c r="AH8" s="34">
        <f>IF(E8=1,Orders!Q5,"")</f>
        <v>14.2</v>
      </c>
      <c r="AI8" s="34">
        <f>IF(E8=1,Orders!M5,"")</f>
        <v>3.2</v>
      </c>
      <c r="AJ8" s="34">
        <f>IF(E8=1,Orders!N5,"")</f>
        <v>5.3</v>
      </c>
      <c r="AK8" s="34">
        <f>IF(E8=1,Orders!O5,"")</f>
        <v>5.6</v>
      </c>
      <c r="AL8" s="33">
        <f>IF(E8=1,IF(ROUND(ABS(AI8+AJ8+AK8-AH8),6)&lt;=0.1,1,0),"")</f>
        <v>1</v>
      </c>
      <c r="AM8" s="36">
        <f>IF(E8=1,AI8/AH8,"")</f>
        <v>0.225352112676056</v>
      </c>
      <c r="AN8" s="36">
        <f>IF(E8=1,AJ8/AH8,"")</f>
        <v>0.373239436619718</v>
      </c>
      <c r="AO8" s="36">
        <f>IF(E8=1,AK8/AH8,"")</f>
        <v>0.394366197183099</v>
      </c>
      <c r="AP8" s="34">
        <f>IF(E8=1,Orders!Y5,"")</f>
        <v>0.33</v>
      </c>
      <c r="AQ8" s="33">
        <f>IF(Orders!X5,1,0)</f>
        <v>0</v>
      </c>
      <c r="AR8" s="34" t="str">
        <f>IF(AND(E8=1,L8=1),AJ8,"")</f>
        <v/>
      </c>
      <c r="AS8" s="34">
        <f>IF(AND(E8=1,L8=0),AJ8,"")</f>
        <v>5.3</v>
      </c>
      <c r="AT8" s="34" t="str">
        <f>IF(AND(E8=1,L8=1),AI8,"")</f>
        <v/>
      </c>
      <c r="AU8" s="34">
        <f>IF(AND(E8=1,L8=0),AI8,"")</f>
        <v>3.2</v>
      </c>
      <c r="AV8" s="34" t="str">
        <f>IF(AND(E8=1,L8=1),AG8,"")</f>
        <v/>
      </c>
      <c r="AW8" s="34">
        <f>IF(AND(E8=1,L8=0),AG8,"")</f>
        <v>12.2</v>
      </c>
      <c r="AX8" s="34" t="str">
        <f>IF(AND(E8=1,L8=1),AH8,"")</f>
        <v/>
      </c>
      <c r="AY8" s="34">
        <f>IF(AND(E8=1,L8=0),AH8,"")</f>
        <v>14.2</v>
      </c>
      <c r="AZ8" s="34">
        <f>IF(G8=1,F8,"")</f>
        <v>2</v>
      </c>
      <c r="BA8" s="34" t="str">
        <f>IF(AND(G8=1,L8=1),F8,"")</f>
        <v/>
      </c>
      <c r="BB8" s="34">
        <f>IF(AND(G8=1,L8=0),F8,"")</f>
        <v>2</v>
      </c>
      <c r="BC8" s="33">
        <f>IF(E8=1,IF(Orders!R5&gt;3,1,0),"")</f>
        <v>0</v>
      </c>
      <c r="BD8" s="33">
        <f>IF(E8=1,IF(Orders!R5&gt;7,1,0),"")</f>
        <v>0</v>
      </c>
      <c r="BE8" s="32" t="str">
        <f>IF(E8=1,IF(Orders!L5&lt;=1.5,"Up to 1.5 km",IF(Orders!L5&lt;=3,"1.5–3 km","Over 3 km")),"")</f>
        <v>1.5–3 km</v>
      </c>
      <c r="BF8" s="33">
        <f>IF(E8=1,IF(ABS((Orders!G5-Orders!F5)*1440-Orders!R5)&lt;0.06,1,0),"")</f>
        <v>1</v>
      </c>
      <c r="BG8" s="33">
        <f>IF(ABS((Orders!F5-Orders!E5)*1440-Orders!P5)&lt;0.06,1,0)</f>
        <v>1</v>
      </c>
      <c r="BH8" s="33">
        <f>IF(E8=1,IF(IF(Orders!S5,1,0)=1-G8,1,0),"")</f>
        <v>1</v>
      </c>
      <c r="BI8" s="32" t="str">
        <f>INDEX(Stores!$B$2:$B$21,MATCH(B8,Stores!$A$2:$A$21,0))</f>
        <v>Hyderabad</v>
      </c>
    </row>
    <row r="9">
      <c r="A9" s="32" t="str">
        <f>Orders!A6</f>
        <v>O00005</v>
      </c>
      <c r="B9" s="32" t="str">
        <f>Orders!C6</f>
        <v>S012</v>
      </c>
      <c r="C9" s="32" t="str">
        <f>Orders!B6</f>
        <v>C0138</v>
      </c>
      <c r="D9" s="32" t="str">
        <f>Orders!H6</f>
        <v>Delivered</v>
      </c>
      <c r="E9" s="33">
        <f>IF(Orders!H6="Delivered",1,0)</f>
        <v>1</v>
      </c>
      <c r="F9" s="34">
        <f>IF(E9=1,Orders!R6,"")</f>
        <v>-1.2</v>
      </c>
      <c r="G9" s="33">
        <f>IF(E9=1,IF(Orders!R6&gt;0,1,0),"")</f>
        <v>0</v>
      </c>
      <c r="H9" s="33">
        <f>IF(E9=1,IF(Orders!R6&gt;5,1,0),"")</f>
        <v>0</v>
      </c>
      <c r="I9" s="32" t="str">
        <f>IF(E9=1,"",IF(OR(Orders!T6="Rider unavailable",Orders!T6="Item unavailable"),"Company-caused","Unresolved"))</f>
        <v/>
      </c>
      <c r="J9" s="33">
        <f>IF(OR(E9=1,I9="Company-caused"),1,0)</f>
        <v>1</v>
      </c>
      <c r="K9" s="32" t="str">
        <f>IF(E9=0,IF(I9="Company-caused",IF(Orders!T6="Rider unavailable","C1 Rider unavailable","C2 Item unavailable"),"Outside root: unresolved"),IF(G9=0,"A On time",IF(H9=1,IF(L9=1,"B2a Severe, peak","B2b Severe, off-peak"),IF(L9=1,"B1a Slight, peak","B1b Slight, off-peak"))))</f>
        <v>A On time</v>
      </c>
      <c r="L9" s="33">
        <f>IF(AND(Orders!U6&gt;=19,Orders!U6&lt;22),1,0)</f>
        <v>0</v>
      </c>
      <c r="M9" s="33">
        <f>IF(L9=IF(Orders!V6,1,0),1,0)</f>
        <v>1</v>
      </c>
      <c r="N9" s="32" t="str">
        <f>IF(Orders!W6="","None",Orders!W6)</f>
        <v>None</v>
      </c>
      <c r="O9" s="35">
        <f>INT(Orders!E6)</f>
        <v>46267.0</v>
      </c>
      <c r="P9" s="33">
        <f>Orders!U6</f>
        <v>15</v>
      </c>
      <c r="Q9" s="33">
        <f>COUNTIFS(Demand!$A$2:$A$4481,B9,Demand!$B$2:$B$4481,O9,Demand!$C$2:$C$4481,P9)</f>
        <v>1</v>
      </c>
      <c r="R9" s="33">
        <f>IF(Q9=1,SUMIFS(Demand!$E$2:$E$4481,Demand!$A$2:$A$4481,B9,Demand!$B$2:$B$4481,O9,Demand!$C$2:$C$4481,P9),"")</f>
        <v>7</v>
      </c>
      <c r="S9" s="33">
        <f>INDEX(Stores!$G$2:$G$21,MATCH(B9,Stores!$A$2:$A$21,0))</f>
        <v>15</v>
      </c>
      <c r="T9" s="34">
        <f>IF(R9="","",R9/S9)</f>
        <v>0.466666666666667</v>
      </c>
      <c r="U9" s="34">
        <f>IF(E9=1,T9,"")</f>
        <v>0.466666666666667</v>
      </c>
      <c r="V9" s="34">
        <f>IF(AND(E9=1,L9=0),T9,"")</f>
        <v>0.466666666666667</v>
      </c>
      <c r="W9" s="33">
        <f>IF(U9="","",IF(U9&lt;=Breakdowns!$C$5,1,IF(U9&lt;=Breakdowns!$C$6,2,IF(U9&lt;=Breakdowns!$C$7,3,4))))</f>
        <v>1</v>
      </c>
      <c r="X9" s="33">
        <f>IF(V9="","",IF(V9&lt;=Breakdowns!$D$5,1,IF(V9&lt;=Breakdowns!$D$6,2,IF(V9&lt;=Breakdowns!$D$7,3,4))))</f>
        <v>1</v>
      </c>
      <c r="Y9" s="34">
        <f>INDEX(Stores!$F$2:$F$21,MATCH(B9,Stores!$A$2:$A$21,0))</f>
        <v>5.23</v>
      </c>
      <c r="Z9" s="33">
        <f>IF(Y9&gt;Store_Summary!$M$2,1,0)</f>
        <v>1</v>
      </c>
      <c r="AA9" s="33">
        <f>INDEX(Stores!$C$2:$C$21,MATCH(B9,Stores!$A$2:$A$21,0))</f>
        <v>300</v>
      </c>
      <c r="AB9" s="33">
        <f>IF(AA9&lt;180,1,0)</f>
        <v>0</v>
      </c>
      <c r="AC9" s="32" t="str">
        <f>IF(Orders!D6="","",INDEX(Riders!$C$2:$C$81,MATCH(Orders!D6,Riders!$A$2:$A$81,0)))</f>
        <v>EV scooter</v>
      </c>
      <c r="AD9" s="33">
        <f>IF(Orders!D6="","",INDEX(Riders!$D$2:$D$81,MATCH(Orders!D6,Riders!$A$2:$A$81,0)))</f>
        <v>40</v>
      </c>
      <c r="AE9" s="33">
        <f>IF(Orders!D6="","",IF(INDEX(Riders!$B$2:$B$81,MATCH(Orders!D6,Riders!$A$2:$A$81,0))=B9,1,0))</f>
        <v>0</v>
      </c>
      <c r="AF9" s="34">
        <f>IF(E9=1,Orders!L6,"")</f>
        <v>4.18</v>
      </c>
      <c r="AG9" s="34">
        <f>IF(E9=1,Orders!P6,"")</f>
        <v>10.4</v>
      </c>
      <c r="AH9" s="34">
        <f>IF(E9=1,Orders!Q6,"")</f>
        <v>9.2</v>
      </c>
      <c r="AI9" s="34">
        <f>IF(E9=1,Orders!M6,"")</f>
        <v>2.9</v>
      </c>
      <c r="AJ9" s="34">
        <f>IF(E9=1,Orders!N6,"")</f>
        <v>1.6</v>
      </c>
      <c r="AK9" s="34">
        <f>IF(E9=1,Orders!O6,"")</f>
        <v>4.7</v>
      </c>
      <c r="AL9" s="33">
        <f>IF(E9=1,IF(ROUND(ABS(AI9+AJ9+AK9-AH9),6)&lt;=0.1,1,0),"")</f>
        <v>1</v>
      </c>
      <c r="AM9" s="36">
        <f>IF(E9=1,AI9/AH9,"")</f>
        <v>0.315217391304348</v>
      </c>
      <c r="AN9" s="36">
        <f>IF(E9=1,AJ9/AH9,"")</f>
        <v>0.173913043478261</v>
      </c>
      <c r="AO9" s="36">
        <f>IF(E9=1,AK9/AH9,"")</f>
        <v>0.510869565217391</v>
      </c>
      <c r="AP9" s="34">
        <f>IF(E9=1,Orders!Y6,"")</f>
        <v>0.44</v>
      </c>
      <c r="AQ9" s="33">
        <f>IF(Orders!X6,1,0)</f>
        <v>0</v>
      </c>
      <c r="AR9" s="34" t="str">
        <f>IF(AND(E9=1,L9=1),AJ9,"")</f>
        <v/>
      </c>
      <c r="AS9" s="34">
        <f>IF(AND(E9=1,L9=0),AJ9,"")</f>
        <v>1.6</v>
      </c>
      <c r="AT9" s="34" t="str">
        <f>IF(AND(E9=1,L9=1),AI9,"")</f>
        <v/>
      </c>
      <c r="AU9" s="34">
        <f>IF(AND(E9=1,L9=0),AI9,"")</f>
        <v>2.9</v>
      </c>
      <c r="AV9" s="34" t="str">
        <f>IF(AND(E9=1,L9=1),AG9,"")</f>
        <v/>
      </c>
      <c r="AW9" s="34">
        <f>IF(AND(E9=1,L9=0),AG9,"")</f>
        <v>10.4</v>
      </c>
      <c r="AX9" s="34" t="str">
        <f>IF(AND(E9=1,L9=1),AH9,"")</f>
        <v/>
      </c>
      <c r="AY9" s="34">
        <f>IF(AND(E9=1,L9=0),AH9,"")</f>
        <v>9.2</v>
      </c>
      <c r="AZ9" s="34" t="str">
        <f>IF(G9=1,F9,"")</f>
        <v/>
      </c>
      <c r="BA9" s="34" t="str">
        <f>IF(AND(G9=1,L9=1),F9,"")</f>
        <v/>
      </c>
      <c r="BB9" s="34" t="str">
        <f>IF(AND(G9=1,L9=0),F9,"")</f>
        <v/>
      </c>
      <c r="BC9" s="33">
        <f>IF(E9=1,IF(Orders!R6&gt;3,1,0),"")</f>
        <v>0</v>
      </c>
      <c r="BD9" s="33">
        <f>IF(E9=1,IF(Orders!R6&gt;7,1,0),"")</f>
        <v>0</v>
      </c>
      <c r="BE9" s="32" t="str">
        <f>IF(E9=1,IF(Orders!L6&lt;=1.5,"Up to 1.5 km",IF(Orders!L6&lt;=3,"1.5–3 km","Over 3 km")),"")</f>
        <v>Over 3 km</v>
      </c>
      <c r="BF9" s="33">
        <f>IF(E9=1,IF(ABS((Orders!G6-Orders!F6)*1440-Orders!R6)&lt;0.06,1,0),"")</f>
        <v>1</v>
      </c>
      <c r="BG9" s="33">
        <f>IF(ABS((Orders!F6-Orders!E6)*1440-Orders!P6)&lt;0.06,1,0)</f>
        <v>1</v>
      </c>
      <c r="BH9" s="33">
        <f>IF(E9=1,IF(IF(Orders!S6,1,0)=1-G9,1,0),"")</f>
        <v>1</v>
      </c>
      <c r="BI9" s="32" t="str">
        <f>INDEX(Stores!$B$2:$B$21,MATCH(B9,Stores!$A$2:$A$21,0))</f>
        <v>Hyderabad</v>
      </c>
    </row>
    <row r="10">
      <c r="A10" s="32" t="str">
        <f>Orders!A7</f>
        <v>O00006</v>
      </c>
      <c r="B10" s="32" t="str">
        <f>Orders!C7</f>
        <v>S003</v>
      </c>
      <c r="C10" s="32" t="str">
        <f>Orders!B7</f>
        <v>C0085</v>
      </c>
      <c r="D10" s="32" t="str">
        <f>Orders!H7</f>
        <v>Delivered</v>
      </c>
      <c r="E10" s="33">
        <f>IF(Orders!H7="Delivered",1,0)</f>
        <v>1</v>
      </c>
      <c r="F10" s="34">
        <f>IF(E10=1,Orders!R7,"")</f>
        <v>-0.3</v>
      </c>
      <c r="G10" s="33">
        <f>IF(E10=1,IF(Orders!R7&gt;0,1,0),"")</f>
        <v>0</v>
      </c>
      <c r="H10" s="33">
        <f>IF(E10=1,IF(Orders!R7&gt;5,1,0),"")</f>
        <v>0</v>
      </c>
      <c r="I10" s="32" t="str">
        <f>IF(E10=1,"",IF(OR(Orders!T7="Rider unavailable",Orders!T7="Item unavailable"),"Company-caused","Unresolved"))</f>
        <v/>
      </c>
      <c r="J10" s="33">
        <f>IF(OR(E10=1,I10="Company-caused"),1,0)</f>
        <v>1</v>
      </c>
      <c r="K10" s="32" t="str">
        <f>IF(E10=0,IF(I10="Company-caused",IF(Orders!T7="Rider unavailable","C1 Rider unavailable","C2 Item unavailable"),"Outside root: unresolved"),IF(G10=0,"A On time",IF(H10=1,IF(L10=1,"B2a Severe, peak","B2b Severe, off-peak"),IF(L10=1,"B1a Slight, peak","B1b Slight, off-peak"))))</f>
        <v>A On time</v>
      </c>
      <c r="L10" s="33">
        <f>IF(AND(Orders!U7&gt;=19,Orders!U7&lt;22),1,0)</f>
        <v>0</v>
      </c>
      <c r="M10" s="33">
        <f>IF(L10=IF(Orders!V7,1,0),1,0)</f>
        <v>1</v>
      </c>
      <c r="N10" s="32" t="str">
        <f>IF(Orders!W7="","None",Orders!W7)</f>
        <v>None</v>
      </c>
      <c r="O10" s="35">
        <f>INT(Orders!E7)</f>
        <v>46276.0</v>
      </c>
      <c r="P10" s="33">
        <f>Orders!U7</f>
        <v>23</v>
      </c>
      <c r="Q10" s="33">
        <f>COUNTIFS(Demand!$A$2:$A$4481,B10,Demand!$B$2:$B$4481,O10,Demand!$C$2:$C$4481,P10)</f>
        <v>1</v>
      </c>
      <c r="R10" s="33">
        <f>IF(Q10=1,SUMIFS(Demand!$E$2:$E$4481,Demand!$A$2:$A$4481,B10,Demand!$B$2:$B$4481,O10,Demand!$C$2:$C$4481,P10),"")</f>
        <v>36</v>
      </c>
      <c r="S10" s="33">
        <f>INDEX(Stores!$G$2:$G$21,MATCH(B10,Stores!$A$2:$A$21,0))</f>
        <v>41</v>
      </c>
      <c r="T10" s="34">
        <f>IF(R10="","",R10/S10)</f>
        <v>0.878048780487805</v>
      </c>
      <c r="U10" s="34">
        <f>IF(E10=1,T10,"")</f>
        <v>0.878048780487805</v>
      </c>
      <c r="V10" s="34">
        <f>IF(AND(E10=1,L10=0),T10,"")</f>
        <v>0.878048780487805</v>
      </c>
      <c r="W10" s="33">
        <f>IF(U10="","",IF(U10&lt;=Breakdowns!$C$5,1,IF(U10&lt;=Breakdowns!$C$6,2,IF(U10&lt;=Breakdowns!$C$7,3,4))))</f>
        <v>2</v>
      </c>
      <c r="X10" s="33">
        <f>IF(V10="","",IF(V10&lt;=Breakdowns!$D$5,1,IF(V10&lt;=Breakdowns!$D$6,2,IF(V10&lt;=Breakdowns!$D$7,3,4))))</f>
        <v>2</v>
      </c>
      <c r="Y10" s="34">
        <f>INDEX(Stores!$F$2:$F$21,MATCH(B10,Stores!$A$2:$A$21,0))</f>
        <v>3.84</v>
      </c>
      <c r="Z10" s="33">
        <f>IF(Y10&gt;Store_Summary!$M$2,1,0)</f>
        <v>0</v>
      </c>
      <c r="AA10" s="33">
        <f>INDEX(Stores!$C$2:$C$21,MATCH(B10,Stores!$A$2:$A$21,0))</f>
        <v>426</v>
      </c>
      <c r="AB10" s="33">
        <f>IF(AA10&lt;180,1,0)</f>
        <v>0</v>
      </c>
      <c r="AC10" s="32" t="str">
        <f>IF(Orders!D7="","",INDEX(Riders!$C$2:$C$81,MATCH(Orders!D7,Riders!$A$2:$A$81,0)))</f>
        <v>Petrol scooter</v>
      </c>
      <c r="AD10" s="33">
        <f>IF(Orders!D7="","",INDEX(Riders!$D$2:$D$81,MATCH(Orders!D7,Riders!$A$2:$A$81,0)))</f>
        <v>2</v>
      </c>
      <c r="AE10" s="33">
        <f>IF(Orders!D7="","",IF(INDEX(Riders!$B$2:$B$81,MATCH(Orders!D7,Riders!$A$2:$A$81,0))=B10,1,0))</f>
        <v>0</v>
      </c>
      <c r="AF10" s="34">
        <f>IF(E10=1,Orders!L7,"")</f>
        <v>1.99</v>
      </c>
      <c r="AG10" s="34">
        <f>IF(E10=1,Orders!P7,"")</f>
        <v>10.9</v>
      </c>
      <c r="AH10" s="34">
        <f>IF(E10=1,Orders!Q7,"")</f>
        <v>10.6</v>
      </c>
      <c r="AI10" s="34">
        <f>IF(E10=1,Orders!M7,"")</f>
        <v>2.7</v>
      </c>
      <c r="AJ10" s="34">
        <f>IF(E10=1,Orders!N7,"")</f>
        <v>4</v>
      </c>
      <c r="AK10" s="34">
        <f>IF(E10=1,Orders!O7,"")</f>
        <v>3.9</v>
      </c>
      <c r="AL10" s="33">
        <f>IF(E10=1,IF(ROUND(ABS(AI10+AJ10+AK10-AH10),6)&lt;=0.1,1,0),"")</f>
        <v>1</v>
      </c>
      <c r="AM10" s="36">
        <f>IF(E10=1,AI10/AH10,"")</f>
        <v>0.254716981132075</v>
      </c>
      <c r="AN10" s="36">
        <f>IF(E10=1,AJ10/AH10,"")</f>
        <v>0.377358490566038</v>
      </c>
      <c r="AO10" s="36">
        <f>IF(E10=1,AK10/AH10,"")</f>
        <v>0.367924528301887</v>
      </c>
      <c r="AP10" s="34">
        <f>IF(E10=1,Orders!Y7,"")</f>
        <v>0.59</v>
      </c>
      <c r="AQ10" s="33">
        <f>IF(Orders!X7,1,0)</f>
        <v>0</v>
      </c>
      <c r="AR10" s="34" t="str">
        <f>IF(AND(E10=1,L10=1),AJ10,"")</f>
        <v/>
      </c>
      <c r="AS10" s="34">
        <f>IF(AND(E10=1,L10=0),AJ10,"")</f>
        <v>4</v>
      </c>
      <c r="AT10" s="34" t="str">
        <f>IF(AND(E10=1,L10=1),AI10,"")</f>
        <v/>
      </c>
      <c r="AU10" s="34">
        <f>IF(AND(E10=1,L10=0),AI10,"")</f>
        <v>2.7</v>
      </c>
      <c r="AV10" s="34" t="str">
        <f>IF(AND(E10=1,L10=1),AG10,"")</f>
        <v/>
      </c>
      <c r="AW10" s="34">
        <f>IF(AND(E10=1,L10=0),AG10,"")</f>
        <v>10.9</v>
      </c>
      <c r="AX10" s="34" t="str">
        <f>IF(AND(E10=1,L10=1),AH10,"")</f>
        <v/>
      </c>
      <c r="AY10" s="34">
        <f>IF(AND(E10=1,L10=0),AH10,"")</f>
        <v>10.6</v>
      </c>
      <c r="AZ10" s="34" t="str">
        <f>IF(G10=1,F10,"")</f>
        <v/>
      </c>
      <c r="BA10" s="34" t="str">
        <f>IF(AND(G10=1,L10=1),F10,"")</f>
        <v/>
      </c>
      <c r="BB10" s="34" t="str">
        <f>IF(AND(G10=1,L10=0),F10,"")</f>
        <v/>
      </c>
      <c r="BC10" s="33">
        <f>IF(E10=1,IF(Orders!R7&gt;3,1,0),"")</f>
        <v>0</v>
      </c>
      <c r="BD10" s="33">
        <f>IF(E10=1,IF(Orders!R7&gt;7,1,0),"")</f>
        <v>0</v>
      </c>
      <c r="BE10" s="32" t="str">
        <f>IF(E10=1,IF(Orders!L7&lt;=1.5,"Up to 1.5 km",IF(Orders!L7&lt;=3,"1.5–3 km","Over 3 km")),"")</f>
        <v>1.5–3 km</v>
      </c>
      <c r="BF10" s="33">
        <f>IF(E10=1,IF(ABS((Orders!G7-Orders!F7)*1440-Orders!R7)&lt;0.06,1,0),"")</f>
        <v>1</v>
      </c>
      <c r="BG10" s="33">
        <f>IF(ABS((Orders!F7-Orders!E7)*1440-Orders!P7)&lt;0.06,1,0)</f>
        <v>1</v>
      </c>
      <c r="BH10" s="33">
        <f>IF(E10=1,IF(IF(Orders!S7,1,0)=1-G10,1,0),"")</f>
        <v>1</v>
      </c>
      <c r="BI10" s="32" t="str">
        <f>INDEX(Stores!$B$2:$B$21,MATCH(B10,Stores!$A$2:$A$21,0))</f>
        <v>Mumbai</v>
      </c>
    </row>
    <row r="11">
      <c r="A11" s="32" t="str">
        <f>Orders!A8</f>
        <v>O00007</v>
      </c>
      <c r="B11" s="32" t="str">
        <f>Orders!C8</f>
        <v>S011</v>
      </c>
      <c r="C11" s="32" t="str">
        <f>Orders!B8</f>
        <v>C0072</v>
      </c>
      <c r="D11" s="32" t="str">
        <f>Orders!H8</f>
        <v>Delivered</v>
      </c>
      <c r="E11" s="33">
        <f>IF(Orders!H8="Delivered",1,0)</f>
        <v>1</v>
      </c>
      <c r="F11" s="34">
        <f>IF(E11=1,Orders!R8,"")</f>
        <v>-0.8</v>
      </c>
      <c r="G11" s="33">
        <f>IF(E11=1,IF(Orders!R8&gt;0,1,0),"")</f>
        <v>0</v>
      </c>
      <c r="H11" s="33">
        <f>IF(E11=1,IF(Orders!R8&gt;5,1,0),"")</f>
        <v>0</v>
      </c>
      <c r="I11" s="32" t="str">
        <f>IF(E11=1,"",IF(OR(Orders!T8="Rider unavailable",Orders!T8="Item unavailable"),"Company-caused","Unresolved"))</f>
        <v/>
      </c>
      <c r="J11" s="33">
        <f>IF(OR(E11=1,I11="Company-caused"),1,0)</f>
        <v>1</v>
      </c>
      <c r="K11" s="32" t="str">
        <f>IF(E11=0,IF(I11="Company-caused",IF(Orders!T8="Rider unavailable","C1 Rider unavailable","C2 Item unavailable"),"Outside root: unresolved"),IF(G11=0,"A On time",IF(H11=1,IF(L11=1,"B2a Severe, peak","B2b Severe, off-peak"),IF(L11=1,"B1a Slight, peak","B1b Slight, off-peak"))))</f>
        <v>A On time</v>
      </c>
      <c r="L11" s="33">
        <f>IF(AND(Orders!U8&gt;=19,Orders!U8&lt;22),1,0)</f>
        <v>0</v>
      </c>
      <c r="M11" s="33">
        <f>IF(L11=IF(Orders!V8,1,0),1,0)</f>
        <v>1</v>
      </c>
      <c r="N11" s="32" t="str">
        <f>IF(Orders!W8="","None",Orders!W8)</f>
        <v>None</v>
      </c>
      <c r="O11" s="35">
        <f>INT(Orders!E8)</f>
        <v>46274.0</v>
      </c>
      <c r="P11" s="33">
        <f>Orders!U8</f>
        <v>9</v>
      </c>
      <c r="Q11" s="33">
        <f>COUNTIFS(Demand!$A$2:$A$4481,B11,Demand!$B$2:$B$4481,O11,Demand!$C$2:$C$4481,P11)</f>
        <v>1</v>
      </c>
      <c r="R11" s="33">
        <f>IF(Q11=1,SUMIFS(Demand!$E$2:$E$4481,Demand!$A$2:$A$4481,B11,Demand!$B$2:$B$4481,O11,Demand!$C$2:$C$4481,P11),"")</f>
        <v>30</v>
      </c>
      <c r="S11" s="33">
        <f>INDEX(Stores!$G$2:$G$21,MATCH(B11,Stores!$A$2:$A$21,0))</f>
        <v>31</v>
      </c>
      <c r="T11" s="34">
        <f>IF(R11="","",R11/S11)</f>
        <v>0.967741935483871</v>
      </c>
      <c r="U11" s="34">
        <f>IF(E11=1,T11,"")</f>
        <v>0.967741935483871</v>
      </c>
      <c r="V11" s="34">
        <f>IF(AND(E11=1,L11=0),T11,"")</f>
        <v>0.967741935483871</v>
      </c>
      <c r="W11" s="33">
        <f>IF(U11="","",IF(U11&lt;=Breakdowns!$C$5,1,IF(U11&lt;=Breakdowns!$C$6,2,IF(U11&lt;=Breakdowns!$C$7,3,4))))</f>
        <v>2</v>
      </c>
      <c r="X11" s="33">
        <f>IF(V11="","",IF(V11&lt;=Breakdowns!$D$5,1,IF(V11&lt;=Breakdowns!$D$6,2,IF(V11&lt;=Breakdowns!$D$7,3,4))))</f>
        <v>3</v>
      </c>
      <c r="Y11" s="34">
        <f>INDEX(Stores!$F$2:$F$21,MATCH(B11,Stores!$A$2:$A$21,0))</f>
        <v>5.67</v>
      </c>
      <c r="Z11" s="33">
        <f>IF(Y11&gt;Store_Summary!$M$2,1,0)</f>
        <v>1</v>
      </c>
      <c r="AA11" s="33">
        <f>INDEX(Stores!$C$2:$C$21,MATCH(B11,Stores!$A$2:$A$21,0))</f>
        <v>732</v>
      </c>
      <c r="AB11" s="33">
        <f>IF(AA11&lt;180,1,0)</f>
        <v>0</v>
      </c>
      <c r="AC11" s="32" t="str">
        <f>IF(Orders!D8="","",INDEX(Riders!$C$2:$C$81,MATCH(Orders!D8,Riders!$A$2:$A$81,0)))</f>
        <v>Petrol scooter</v>
      </c>
      <c r="AD11" s="33">
        <f>IF(Orders!D8="","",INDEX(Riders!$D$2:$D$81,MATCH(Orders!D8,Riders!$A$2:$A$81,0)))</f>
        <v>32</v>
      </c>
      <c r="AE11" s="33">
        <f>IF(Orders!D8="","",IF(INDEX(Riders!$B$2:$B$81,MATCH(Orders!D8,Riders!$A$2:$A$81,0))=B11,1,0))</f>
        <v>0</v>
      </c>
      <c r="AF11" s="34">
        <f>IF(E11=1,Orders!L8,"")</f>
        <v>1.61</v>
      </c>
      <c r="AG11" s="34">
        <f>IF(E11=1,Orders!P8,"")</f>
        <v>10.7</v>
      </c>
      <c r="AH11" s="34">
        <f>IF(E11=1,Orders!Q8,"")</f>
        <v>9.9</v>
      </c>
      <c r="AI11" s="34">
        <f>IF(E11=1,Orders!M8,"")</f>
        <v>3.9</v>
      </c>
      <c r="AJ11" s="34">
        <f>IF(E11=1,Orders!N8,"")</f>
        <v>3.7</v>
      </c>
      <c r="AK11" s="34">
        <f>IF(E11=1,Orders!O8,"")</f>
        <v>2.3</v>
      </c>
      <c r="AL11" s="33">
        <f>IF(E11=1,IF(ROUND(ABS(AI11+AJ11+AK11-AH11),6)&lt;=0.1,1,0),"")</f>
        <v>1</v>
      </c>
      <c r="AM11" s="36">
        <f>IF(E11=1,AI11/AH11,"")</f>
        <v>0.393939393939394</v>
      </c>
      <c r="AN11" s="36">
        <f>IF(E11=1,AJ11/AH11,"")</f>
        <v>0.373737373737374</v>
      </c>
      <c r="AO11" s="36">
        <f>IF(E11=1,AK11/AH11,"")</f>
        <v>0.232323232323232</v>
      </c>
      <c r="AP11" s="34">
        <f>IF(E11=1,Orders!Y8,"")</f>
        <v>0.38</v>
      </c>
      <c r="AQ11" s="33">
        <f>IF(Orders!X8,1,0)</f>
        <v>0</v>
      </c>
      <c r="AR11" s="34" t="str">
        <f>IF(AND(E11=1,L11=1),AJ11,"")</f>
        <v/>
      </c>
      <c r="AS11" s="34">
        <f>IF(AND(E11=1,L11=0),AJ11,"")</f>
        <v>3.7</v>
      </c>
      <c r="AT11" s="34" t="str">
        <f>IF(AND(E11=1,L11=1),AI11,"")</f>
        <v/>
      </c>
      <c r="AU11" s="34">
        <f>IF(AND(E11=1,L11=0),AI11,"")</f>
        <v>3.9</v>
      </c>
      <c r="AV11" s="34" t="str">
        <f>IF(AND(E11=1,L11=1),AG11,"")</f>
        <v/>
      </c>
      <c r="AW11" s="34">
        <f>IF(AND(E11=1,L11=0),AG11,"")</f>
        <v>10.7</v>
      </c>
      <c r="AX11" s="34" t="str">
        <f>IF(AND(E11=1,L11=1),AH11,"")</f>
        <v/>
      </c>
      <c r="AY11" s="34">
        <f>IF(AND(E11=1,L11=0),AH11,"")</f>
        <v>9.9</v>
      </c>
      <c r="AZ11" s="34" t="str">
        <f>IF(G11=1,F11,"")</f>
        <v/>
      </c>
      <c r="BA11" s="34" t="str">
        <f>IF(AND(G11=1,L11=1),F11,"")</f>
        <v/>
      </c>
      <c r="BB11" s="34" t="str">
        <f>IF(AND(G11=1,L11=0),F11,"")</f>
        <v/>
      </c>
      <c r="BC11" s="33">
        <f>IF(E11=1,IF(Orders!R8&gt;3,1,0),"")</f>
        <v>0</v>
      </c>
      <c r="BD11" s="33">
        <f>IF(E11=1,IF(Orders!R8&gt;7,1,0),"")</f>
        <v>0</v>
      </c>
      <c r="BE11" s="32" t="str">
        <f>IF(E11=1,IF(Orders!L8&lt;=1.5,"Up to 1.5 km",IF(Orders!L8&lt;=3,"1.5–3 km","Over 3 km")),"")</f>
        <v>1.5–3 km</v>
      </c>
      <c r="BF11" s="33">
        <f>IF(E11=1,IF(ABS((Orders!G8-Orders!F8)*1440-Orders!R8)&lt;0.06,1,0),"")</f>
        <v>1</v>
      </c>
      <c r="BG11" s="33">
        <f>IF(ABS((Orders!F8-Orders!E8)*1440-Orders!P8)&lt;0.06,1,0)</f>
        <v>1</v>
      </c>
      <c r="BH11" s="33">
        <f>IF(E11=1,IF(IF(Orders!S8,1,0)=1-G11,1,0),"")</f>
        <v>1</v>
      </c>
      <c r="BI11" s="32" t="str">
        <f>INDEX(Stores!$B$2:$B$21,MATCH(B11,Stores!$A$2:$A$21,0))</f>
        <v>Bengaluru</v>
      </c>
    </row>
    <row r="12">
      <c r="A12" s="32" t="str">
        <f>Orders!A9</f>
        <v>O00008</v>
      </c>
      <c r="B12" s="32" t="str">
        <f>Orders!C9</f>
        <v>S009</v>
      </c>
      <c r="C12" s="32" t="str">
        <f>Orders!B9</f>
        <v>C0171</v>
      </c>
      <c r="D12" s="32" t="str">
        <f>Orders!H9</f>
        <v>Delivered</v>
      </c>
      <c r="E12" s="33">
        <f>IF(Orders!H9="Delivered",1,0)</f>
        <v>1</v>
      </c>
      <c r="F12" s="34">
        <f>IF(E12=1,Orders!R9,"")</f>
        <v>-0.7</v>
      </c>
      <c r="G12" s="33">
        <f>IF(E12=1,IF(Orders!R9&gt;0,1,0),"")</f>
        <v>0</v>
      </c>
      <c r="H12" s="33">
        <f>IF(E12=1,IF(Orders!R9&gt;5,1,0),"")</f>
        <v>0</v>
      </c>
      <c r="I12" s="32" t="str">
        <f>IF(E12=1,"",IF(OR(Orders!T9="Rider unavailable",Orders!T9="Item unavailable"),"Company-caused","Unresolved"))</f>
        <v/>
      </c>
      <c r="J12" s="33">
        <f>IF(OR(E12=1,I12="Company-caused"),1,0)</f>
        <v>1</v>
      </c>
      <c r="K12" s="32" t="str">
        <f>IF(E12=0,IF(I12="Company-caused",IF(Orders!T9="Rider unavailable","C1 Rider unavailable","C2 Item unavailable"),"Outside root: unresolved"),IF(G12=0,"A On time",IF(H12=1,IF(L12=1,"B2a Severe, peak","B2b Severe, off-peak"),IF(L12=1,"B1a Slight, peak","B1b Slight, off-peak"))))</f>
        <v>A On time</v>
      </c>
      <c r="L12" s="33">
        <f>IF(AND(Orders!U9&gt;=19,Orders!U9&lt;22),1,0)</f>
        <v>1</v>
      </c>
      <c r="M12" s="33">
        <f>IF(L12=IF(Orders!V9,1,0),1,0)</f>
        <v>1</v>
      </c>
      <c r="N12" s="32" t="str">
        <f>IF(Orders!W9="","None",Orders!W9)</f>
        <v>None</v>
      </c>
      <c r="O12" s="35">
        <f>INT(Orders!E9)</f>
        <v>46278.0</v>
      </c>
      <c r="P12" s="33">
        <f>Orders!U9</f>
        <v>21</v>
      </c>
      <c r="Q12" s="33">
        <f>COUNTIFS(Demand!$A$2:$A$4481,B12,Demand!$B$2:$B$4481,O12,Demand!$C$2:$C$4481,P12)</f>
        <v>1</v>
      </c>
      <c r="R12" s="33">
        <f>IF(Q12=1,SUMIFS(Demand!$E$2:$E$4481,Demand!$A$2:$A$4481,B12,Demand!$B$2:$B$4481,O12,Demand!$C$2:$C$4481,P12),"")</f>
        <v>50</v>
      </c>
      <c r="S12" s="33">
        <f>INDEX(Stores!$G$2:$G$21,MATCH(B12,Stores!$A$2:$A$21,0))</f>
        <v>29</v>
      </c>
      <c r="T12" s="34">
        <f>IF(R12="","",R12/S12)</f>
        <v>1.72413793103448</v>
      </c>
      <c r="U12" s="34">
        <f>IF(E12=1,T12,"")</f>
        <v>1.72413793103448</v>
      </c>
      <c r="V12" s="34" t="str">
        <f>IF(AND(E12=1,L12=0),T12,"")</f>
        <v/>
      </c>
      <c r="W12" s="33">
        <f>IF(U12="","",IF(U12&lt;=Breakdowns!$C$5,1,IF(U12&lt;=Breakdowns!$C$6,2,IF(U12&lt;=Breakdowns!$C$7,3,4))))</f>
        <v>4</v>
      </c>
      <c r="X12" s="33" t="str">
        <f>IF(V12="","",IF(V12&lt;=Breakdowns!$D$5,1,IF(V12&lt;=Breakdowns!$D$6,2,IF(V12&lt;=Breakdowns!$D$7,3,4))))</f>
        <v/>
      </c>
      <c r="Y12" s="34">
        <f>INDEX(Stores!$F$2:$F$21,MATCH(B12,Stores!$A$2:$A$21,0))</f>
        <v>2.66</v>
      </c>
      <c r="Z12" s="33">
        <f>IF(Y12&gt;Store_Summary!$M$2,1,0)</f>
        <v>0</v>
      </c>
      <c r="AA12" s="33">
        <f>INDEX(Stores!$C$2:$C$21,MATCH(B12,Stores!$A$2:$A$21,0))</f>
        <v>645</v>
      </c>
      <c r="AB12" s="33">
        <f>IF(AA12&lt;180,1,0)</f>
        <v>0</v>
      </c>
      <c r="AC12" s="32" t="str">
        <f>IF(Orders!D9="","",INDEX(Riders!$C$2:$C$81,MATCH(Orders!D9,Riders!$A$2:$A$81,0)))</f>
        <v>Petrol scooter</v>
      </c>
      <c r="AD12" s="33">
        <f>IF(Orders!D9="","",INDEX(Riders!$D$2:$D$81,MATCH(Orders!D9,Riders!$A$2:$A$81,0)))</f>
        <v>29</v>
      </c>
      <c r="AE12" s="33">
        <f>IF(Orders!D9="","",IF(INDEX(Riders!$B$2:$B$81,MATCH(Orders!D9,Riders!$A$2:$A$81,0))=B12,1,0))</f>
        <v>0</v>
      </c>
      <c r="AF12" s="34">
        <f>IF(E12=1,Orders!L9,"")</f>
        <v>0.5</v>
      </c>
      <c r="AG12" s="34">
        <f>IF(E12=1,Orders!P9,"")</f>
        <v>9.7</v>
      </c>
      <c r="AH12" s="34">
        <f>IF(E12=1,Orders!Q9,"")</f>
        <v>9</v>
      </c>
      <c r="AI12" s="34">
        <f>IF(E12=1,Orders!M9,"")</f>
        <v>1.5</v>
      </c>
      <c r="AJ12" s="34">
        <f>IF(E12=1,Orders!N9,"")</f>
        <v>5.8</v>
      </c>
      <c r="AK12" s="34">
        <f>IF(E12=1,Orders!O9,"")</f>
        <v>1.7</v>
      </c>
      <c r="AL12" s="33">
        <f>IF(E12=1,IF(ROUND(ABS(AI12+AJ12+AK12-AH12),6)&lt;=0.1,1,0),"")</f>
        <v>1</v>
      </c>
      <c r="AM12" s="36">
        <f>IF(E12=1,AI12/AH12,"")</f>
        <v>0.166666666666667</v>
      </c>
      <c r="AN12" s="36">
        <f>IF(E12=1,AJ12/AH12,"")</f>
        <v>0.644444444444444</v>
      </c>
      <c r="AO12" s="36">
        <f>IF(E12=1,AK12/AH12,"")</f>
        <v>0.188888888888889</v>
      </c>
      <c r="AP12" s="34">
        <f>IF(E12=1,Orders!Y9,"")</f>
        <v>0.48</v>
      </c>
      <c r="AQ12" s="33">
        <f>IF(Orders!X9,1,0)</f>
        <v>0</v>
      </c>
      <c r="AR12" s="34">
        <f>IF(AND(E12=1,L12=1),AJ12,"")</f>
        <v>5.8</v>
      </c>
      <c r="AS12" s="34" t="str">
        <f>IF(AND(E12=1,L12=0),AJ12,"")</f>
        <v/>
      </c>
      <c r="AT12" s="34">
        <f>IF(AND(E12=1,L12=1),AI12,"")</f>
        <v>1.5</v>
      </c>
      <c r="AU12" s="34" t="str">
        <f>IF(AND(E12=1,L12=0),AI12,"")</f>
        <v/>
      </c>
      <c r="AV12" s="34">
        <f>IF(AND(E12=1,L12=1),AG12,"")</f>
        <v>9.7</v>
      </c>
      <c r="AW12" s="34" t="str">
        <f>IF(AND(E12=1,L12=0),AG12,"")</f>
        <v/>
      </c>
      <c r="AX12" s="34">
        <f>IF(AND(E12=1,L12=1),AH12,"")</f>
        <v>9</v>
      </c>
      <c r="AY12" s="34" t="str">
        <f>IF(AND(E12=1,L12=0),AH12,"")</f>
        <v/>
      </c>
      <c r="AZ12" s="34" t="str">
        <f>IF(G12=1,F12,"")</f>
        <v/>
      </c>
      <c r="BA12" s="34" t="str">
        <f>IF(AND(G12=1,L12=1),F12,"")</f>
        <v/>
      </c>
      <c r="BB12" s="34" t="str">
        <f>IF(AND(G12=1,L12=0),F12,"")</f>
        <v/>
      </c>
      <c r="BC12" s="33">
        <f>IF(E12=1,IF(Orders!R9&gt;3,1,0),"")</f>
        <v>0</v>
      </c>
      <c r="BD12" s="33">
        <f>IF(E12=1,IF(Orders!R9&gt;7,1,0),"")</f>
        <v>0</v>
      </c>
      <c r="BE12" s="32" t="str">
        <f>IF(E12=1,IF(Orders!L9&lt;=1.5,"Up to 1.5 km",IF(Orders!L9&lt;=3,"1.5–3 km","Over 3 km")),"")</f>
        <v>Up to 1.5 km</v>
      </c>
      <c r="BF12" s="33">
        <f>IF(E12=1,IF(ABS((Orders!G9-Orders!F9)*1440-Orders!R9)&lt;0.06,1,0),"")</f>
        <v>1</v>
      </c>
      <c r="BG12" s="33">
        <f>IF(ABS((Orders!F9-Orders!E9)*1440-Orders!P9)&lt;0.06,1,0)</f>
        <v>1</v>
      </c>
      <c r="BH12" s="33">
        <f>IF(E12=1,IF(IF(Orders!S9,1,0)=1-G12,1,0),"")</f>
        <v>1</v>
      </c>
      <c r="BI12" s="32" t="str">
        <f>INDEX(Stores!$B$2:$B$21,MATCH(B12,Stores!$A$2:$A$21,0))</f>
        <v>Pune</v>
      </c>
    </row>
    <row r="13">
      <c r="A13" s="32" t="str">
        <f>Orders!A10</f>
        <v>O00009</v>
      </c>
      <c r="B13" s="32" t="str">
        <f>Orders!C10</f>
        <v>S007</v>
      </c>
      <c r="C13" s="32" t="str">
        <f>Orders!B10</f>
        <v>C0053</v>
      </c>
      <c r="D13" s="32" t="str">
        <f>Orders!H10</f>
        <v>Delivered</v>
      </c>
      <c r="E13" s="33">
        <f>IF(Orders!H10="Delivered",1,0)</f>
        <v>1</v>
      </c>
      <c r="F13" s="34">
        <f>IF(E13=1,Orders!R10,"")</f>
        <v>-0.2</v>
      </c>
      <c r="G13" s="33">
        <f>IF(E13=1,IF(Orders!R10&gt;0,1,0),"")</f>
        <v>0</v>
      </c>
      <c r="H13" s="33">
        <f>IF(E13=1,IF(Orders!R10&gt;5,1,0),"")</f>
        <v>0</v>
      </c>
      <c r="I13" s="32" t="str">
        <f>IF(E13=1,"",IF(OR(Orders!T10="Rider unavailable",Orders!T10="Item unavailable"),"Company-caused","Unresolved"))</f>
        <v/>
      </c>
      <c r="J13" s="33">
        <f>IF(OR(E13=1,I13="Company-caused"),1,0)</f>
        <v>1</v>
      </c>
      <c r="K13" s="32" t="str">
        <f>IF(E13=0,IF(I13="Company-caused",IF(Orders!T10="Rider unavailable","C1 Rider unavailable","C2 Item unavailable"),"Outside root: unresolved"),IF(G13=0,"A On time",IF(H13=1,IF(L13=1,"B2a Severe, peak","B2b Severe, off-peak"),IF(L13=1,"B1a Slight, peak","B1b Slight, off-peak"))))</f>
        <v>A On time</v>
      </c>
      <c r="L13" s="33">
        <f>IF(AND(Orders!U10&gt;=19,Orders!U10&lt;22),1,0)</f>
        <v>0</v>
      </c>
      <c r="M13" s="33">
        <f>IF(L13=IF(Orders!V10,1,0),1,0)</f>
        <v>1</v>
      </c>
      <c r="N13" s="32" t="str">
        <f>IF(Orders!W10="","None",Orders!W10)</f>
        <v>None</v>
      </c>
      <c r="O13" s="35">
        <f>INT(Orders!E10)</f>
        <v>46276.0</v>
      </c>
      <c r="P13" s="33">
        <f>Orders!U10</f>
        <v>10</v>
      </c>
      <c r="Q13" s="33">
        <f>COUNTIFS(Demand!$A$2:$A$4481,B13,Demand!$B$2:$B$4481,O13,Demand!$C$2:$C$4481,P13)</f>
        <v>1</v>
      </c>
      <c r="R13" s="33">
        <f>IF(Q13=1,SUMIFS(Demand!$E$2:$E$4481,Demand!$A$2:$A$4481,B13,Demand!$B$2:$B$4481,O13,Demand!$C$2:$C$4481,P13),"")</f>
        <v>18</v>
      </c>
      <c r="S13" s="33">
        <f>INDEX(Stores!$G$2:$G$21,MATCH(B13,Stores!$A$2:$A$21,0))</f>
        <v>37</v>
      </c>
      <c r="T13" s="34">
        <f>IF(R13="","",R13/S13)</f>
        <v>0.486486486486487</v>
      </c>
      <c r="U13" s="34">
        <f>IF(E13=1,T13,"")</f>
        <v>0.486486486486487</v>
      </c>
      <c r="V13" s="34">
        <f>IF(AND(E13=1,L13=0),T13,"")</f>
        <v>0.486486486486487</v>
      </c>
      <c r="W13" s="33">
        <f>IF(U13="","",IF(U13&lt;=Breakdowns!$C$5,1,IF(U13&lt;=Breakdowns!$C$6,2,IF(U13&lt;=Breakdowns!$C$7,3,4))))</f>
        <v>1</v>
      </c>
      <c r="X13" s="33">
        <f>IF(V13="","",IF(V13&lt;=Breakdowns!$D$5,1,IF(V13&lt;=Breakdowns!$D$6,2,IF(V13&lt;=Breakdowns!$D$7,3,4))))</f>
        <v>1</v>
      </c>
      <c r="Y13" s="34">
        <f>INDEX(Stores!$F$2:$F$21,MATCH(B13,Stores!$A$2:$A$21,0))</f>
        <v>4.05</v>
      </c>
      <c r="Z13" s="33">
        <f>IF(Y13&gt;Store_Summary!$M$2,1,0)</f>
        <v>0</v>
      </c>
      <c r="AA13" s="33">
        <f>INDEX(Stores!$C$2:$C$21,MATCH(B13,Stores!$A$2:$A$21,0))</f>
        <v>661</v>
      </c>
      <c r="AB13" s="33">
        <f>IF(AA13&lt;180,1,0)</f>
        <v>0</v>
      </c>
      <c r="AC13" s="32" t="str">
        <f>IF(Orders!D10="","",INDEX(Riders!$C$2:$C$81,MATCH(Orders!D10,Riders!$A$2:$A$81,0)))</f>
        <v>Petrol scooter</v>
      </c>
      <c r="AD13" s="33">
        <f>IF(Orders!D10="","",INDEX(Riders!$D$2:$D$81,MATCH(Orders!D10,Riders!$A$2:$A$81,0)))</f>
        <v>32</v>
      </c>
      <c r="AE13" s="33">
        <f>IF(Orders!D10="","",IF(INDEX(Riders!$B$2:$B$81,MATCH(Orders!D10,Riders!$A$2:$A$81,0))=B13,1,0))</f>
        <v>0</v>
      </c>
      <c r="AF13" s="34">
        <f>IF(E13=1,Orders!L10,"")</f>
        <v>1.07</v>
      </c>
      <c r="AG13" s="34">
        <f>IF(E13=1,Orders!P10,"")</f>
        <v>10.8</v>
      </c>
      <c r="AH13" s="34">
        <f>IF(E13=1,Orders!Q10,"")</f>
        <v>10.6</v>
      </c>
      <c r="AI13" s="34">
        <f>IF(E13=1,Orders!M10,"")</f>
        <v>3.3</v>
      </c>
      <c r="AJ13" s="34">
        <f>IF(E13=1,Orders!N10,"")</f>
        <v>4.1</v>
      </c>
      <c r="AK13" s="34">
        <f>IF(E13=1,Orders!O10,"")</f>
        <v>3.2</v>
      </c>
      <c r="AL13" s="33">
        <f>IF(E13=1,IF(ROUND(ABS(AI13+AJ13+AK13-AH13),6)&lt;=0.1,1,0),"")</f>
        <v>1</v>
      </c>
      <c r="AM13" s="36">
        <f>IF(E13=1,AI13/AH13,"")</f>
        <v>0.311320754716981</v>
      </c>
      <c r="AN13" s="36">
        <f>IF(E13=1,AJ13/AH13,"")</f>
        <v>0.386792452830189</v>
      </c>
      <c r="AO13" s="36">
        <f>IF(E13=1,AK13/AH13,"")</f>
        <v>0.30188679245283</v>
      </c>
      <c r="AP13" s="34">
        <f>IF(E13=1,Orders!Y10,"")</f>
        <v>0.52</v>
      </c>
      <c r="AQ13" s="33">
        <f>IF(Orders!X10,1,0)</f>
        <v>0</v>
      </c>
      <c r="AR13" s="34" t="str">
        <f>IF(AND(E13=1,L13=1),AJ13,"")</f>
        <v/>
      </c>
      <c r="AS13" s="34">
        <f>IF(AND(E13=1,L13=0),AJ13,"")</f>
        <v>4.1</v>
      </c>
      <c r="AT13" s="34" t="str">
        <f>IF(AND(E13=1,L13=1),AI13,"")</f>
        <v/>
      </c>
      <c r="AU13" s="34">
        <f>IF(AND(E13=1,L13=0),AI13,"")</f>
        <v>3.3</v>
      </c>
      <c r="AV13" s="34" t="str">
        <f>IF(AND(E13=1,L13=1),AG13,"")</f>
        <v/>
      </c>
      <c r="AW13" s="34">
        <f>IF(AND(E13=1,L13=0),AG13,"")</f>
        <v>10.8</v>
      </c>
      <c r="AX13" s="34" t="str">
        <f>IF(AND(E13=1,L13=1),AH13,"")</f>
        <v/>
      </c>
      <c r="AY13" s="34">
        <f>IF(AND(E13=1,L13=0),AH13,"")</f>
        <v>10.6</v>
      </c>
      <c r="AZ13" s="34" t="str">
        <f>IF(G13=1,F13,"")</f>
        <v/>
      </c>
      <c r="BA13" s="34" t="str">
        <f>IF(AND(G13=1,L13=1),F13,"")</f>
        <v/>
      </c>
      <c r="BB13" s="34" t="str">
        <f>IF(AND(G13=1,L13=0),F13,"")</f>
        <v/>
      </c>
      <c r="BC13" s="33">
        <f>IF(E13=1,IF(Orders!R10&gt;3,1,0),"")</f>
        <v>0</v>
      </c>
      <c r="BD13" s="33">
        <f>IF(E13=1,IF(Orders!R10&gt;7,1,0),"")</f>
        <v>0</v>
      </c>
      <c r="BE13" s="32" t="str">
        <f>IF(E13=1,IF(Orders!L10&lt;=1.5,"Up to 1.5 km",IF(Orders!L10&lt;=3,"1.5–3 km","Over 3 km")),"")</f>
        <v>Up to 1.5 km</v>
      </c>
      <c r="BF13" s="33">
        <f>IF(E13=1,IF(ABS((Orders!G10-Orders!F10)*1440-Orders!R10)&lt;0.06,1,0),"")</f>
        <v>1</v>
      </c>
      <c r="BG13" s="33">
        <f>IF(ABS((Orders!F10-Orders!E10)*1440-Orders!P10)&lt;0.06,1,0)</f>
        <v>1</v>
      </c>
      <c r="BH13" s="33">
        <f>IF(E13=1,IF(IF(Orders!S10,1,0)=1-G13,1,0),"")</f>
        <v>1</v>
      </c>
      <c r="BI13" s="32" t="str">
        <f>INDEX(Stores!$B$2:$B$21,MATCH(B13,Stores!$A$2:$A$21,0))</f>
        <v>Hyderabad</v>
      </c>
    </row>
    <row r="14">
      <c r="A14" s="32" t="str">
        <f>Orders!A11</f>
        <v>O00010</v>
      </c>
      <c r="B14" s="32" t="str">
        <f>Orders!C11</f>
        <v>S005</v>
      </c>
      <c r="C14" s="32" t="str">
        <f>Orders!B11</f>
        <v>C0122</v>
      </c>
      <c r="D14" s="32" t="str">
        <f>Orders!H11</f>
        <v>Delivered</v>
      </c>
      <c r="E14" s="33">
        <f>IF(Orders!H11="Delivered",1,0)</f>
        <v>1</v>
      </c>
      <c r="F14" s="34">
        <f>IF(E14=1,Orders!R11,"")</f>
        <v>-0.6</v>
      </c>
      <c r="G14" s="33">
        <f>IF(E14=1,IF(Orders!R11&gt;0,1,0),"")</f>
        <v>0</v>
      </c>
      <c r="H14" s="33">
        <f>IF(E14=1,IF(Orders!R11&gt;5,1,0),"")</f>
        <v>0</v>
      </c>
      <c r="I14" s="32" t="str">
        <f>IF(E14=1,"",IF(OR(Orders!T11="Rider unavailable",Orders!T11="Item unavailable"),"Company-caused","Unresolved"))</f>
        <v/>
      </c>
      <c r="J14" s="33">
        <f>IF(OR(E14=1,I14="Company-caused"),1,0)</f>
        <v>1</v>
      </c>
      <c r="K14" s="32" t="str">
        <f>IF(E14=0,IF(I14="Company-caused",IF(Orders!T11="Rider unavailable","C1 Rider unavailable","C2 Item unavailable"),"Outside root: unresolved"),IF(G14=0,"A On time",IF(H14=1,IF(L14=1,"B2a Severe, peak","B2b Severe, off-peak"),IF(L14=1,"B1a Slight, peak","B1b Slight, off-peak"))))</f>
        <v>A On time</v>
      </c>
      <c r="L14" s="33">
        <f>IF(AND(Orders!U11&gt;=19,Orders!U11&lt;22),1,0)</f>
        <v>0</v>
      </c>
      <c r="M14" s="33">
        <f>IF(L14=IF(Orders!V11,1,0),1,0)</f>
        <v>1</v>
      </c>
      <c r="N14" s="32" t="str">
        <f>IF(Orders!W11="","None",Orders!W11)</f>
        <v>Light</v>
      </c>
      <c r="O14" s="35">
        <f>INT(Orders!E11)</f>
        <v>46279.0</v>
      </c>
      <c r="P14" s="33">
        <f>Orders!U11</f>
        <v>23</v>
      </c>
      <c r="Q14" s="33">
        <f>COUNTIFS(Demand!$A$2:$A$4481,B14,Demand!$B$2:$B$4481,O14,Demand!$C$2:$C$4481,P14)</f>
        <v>1</v>
      </c>
      <c r="R14" s="33">
        <f>IF(Q14=1,SUMIFS(Demand!$E$2:$E$4481,Demand!$A$2:$A$4481,B14,Demand!$B$2:$B$4481,O14,Demand!$C$2:$C$4481,P14),"")</f>
        <v>23</v>
      </c>
      <c r="S14" s="33">
        <f>INDEX(Stores!$G$2:$G$21,MATCH(B14,Stores!$A$2:$A$21,0))</f>
        <v>14</v>
      </c>
      <c r="T14" s="34">
        <f>IF(R14="","",R14/S14)</f>
        <v>1.64285714285714</v>
      </c>
      <c r="U14" s="34">
        <f>IF(E14=1,T14,"")</f>
        <v>1.64285714285714</v>
      </c>
      <c r="V14" s="34">
        <f>IF(AND(E14=1,L14=0),T14,"")</f>
        <v>1.64285714285714</v>
      </c>
      <c r="W14" s="33">
        <f>IF(U14="","",IF(U14&lt;=Breakdowns!$C$5,1,IF(U14&lt;=Breakdowns!$C$6,2,IF(U14&lt;=Breakdowns!$C$7,3,4))))</f>
        <v>4</v>
      </c>
      <c r="X14" s="33">
        <f>IF(V14="","",IF(V14&lt;=Breakdowns!$D$5,1,IF(V14&lt;=Breakdowns!$D$6,2,IF(V14&lt;=Breakdowns!$D$7,3,4))))</f>
        <v>4</v>
      </c>
      <c r="Y14" s="34">
        <f>INDEX(Stores!$F$2:$F$21,MATCH(B14,Stores!$A$2:$A$21,0))</f>
        <v>4.89</v>
      </c>
      <c r="Z14" s="33">
        <f>IF(Y14&gt;Store_Summary!$M$2,1,0)</f>
        <v>0</v>
      </c>
      <c r="AA14" s="33">
        <f>INDEX(Stores!$C$2:$C$21,MATCH(B14,Stores!$A$2:$A$21,0))</f>
        <v>138</v>
      </c>
      <c r="AB14" s="33">
        <f>IF(AA14&lt;180,1,0)</f>
        <v>1</v>
      </c>
      <c r="AC14" s="32" t="str">
        <f>IF(Orders!D11="","",INDEX(Riders!$C$2:$C$81,MATCH(Orders!D11,Riders!$A$2:$A$81,0)))</f>
        <v>EV scooter</v>
      </c>
      <c r="AD14" s="33">
        <f>IF(Orders!D11="","",INDEX(Riders!$D$2:$D$81,MATCH(Orders!D11,Riders!$A$2:$A$81,0)))</f>
        <v>38</v>
      </c>
      <c r="AE14" s="33">
        <f>IF(Orders!D11="","",IF(INDEX(Riders!$B$2:$B$81,MATCH(Orders!D11,Riders!$A$2:$A$81,0))=B14,1,0))</f>
        <v>0</v>
      </c>
      <c r="AF14" s="34">
        <f>IF(E14=1,Orders!L11,"")</f>
        <v>1.86</v>
      </c>
      <c r="AG14" s="34">
        <f>IF(E14=1,Orders!P11,"")</f>
        <v>11</v>
      </c>
      <c r="AH14" s="34">
        <f>IF(E14=1,Orders!Q11,"")</f>
        <v>10.4</v>
      </c>
      <c r="AI14" s="34">
        <f>IF(E14=1,Orders!M11,"")</f>
        <v>3.4</v>
      </c>
      <c r="AJ14" s="34">
        <f>IF(E14=1,Orders!N11,"")</f>
        <v>3.7</v>
      </c>
      <c r="AK14" s="34">
        <f>IF(E14=1,Orders!O11,"")</f>
        <v>3.3</v>
      </c>
      <c r="AL14" s="33">
        <f>IF(E14=1,IF(ROUND(ABS(AI14+AJ14+AK14-AH14),6)&lt;=0.1,1,0),"")</f>
        <v>1</v>
      </c>
      <c r="AM14" s="36">
        <f>IF(E14=1,AI14/AH14,"")</f>
        <v>0.326923076923077</v>
      </c>
      <c r="AN14" s="36">
        <f>IF(E14=1,AJ14/AH14,"")</f>
        <v>0.355769230769231</v>
      </c>
      <c r="AO14" s="36">
        <f>IF(E14=1,AK14/AH14,"")</f>
        <v>0.317307692307692</v>
      </c>
      <c r="AP14" s="34">
        <f>IF(E14=1,Orders!Y11,"")</f>
        <v>0.44</v>
      </c>
      <c r="AQ14" s="33">
        <f>IF(Orders!X11,1,0)</f>
        <v>0</v>
      </c>
      <c r="AR14" s="34" t="str">
        <f>IF(AND(E14=1,L14=1),AJ14,"")</f>
        <v/>
      </c>
      <c r="AS14" s="34">
        <f>IF(AND(E14=1,L14=0),AJ14,"")</f>
        <v>3.7</v>
      </c>
      <c r="AT14" s="34" t="str">
        <f>IF(AND(E14=1,L14=1),AI14,"")</f>
        <v/>
      </c>
      <c r="AU14" s="34">
        <f>IF(AND(E14=1,L14=0),AI14,"")</f>
        <v>3.4</v>
      </c>
      <c r="AV14" s="34" t="str">
        <f>IF(AND(E14=1,L14=1),AG14,"")</f>
        <v/>
      </c>
      <c r="AW14" s="34">
        <f>IF(AND(E14=1,L14=0),AG14,"")</f>
        <v>11</v>
      </c>
      <c r="AX14" s="34" t="str">
        <f>IF(AND(E14=1,L14=1),AH14,"")</f>
        <v/>
      </c>
      <c r="AY14" s="34">
        <f>IF(AND(E14=1,L14=0),AH14,"")</f>
        <v>10.4</v>
      </c>
      <c r="AZ14" s="34" t="str">
        <f>IF(G14=1,F14,"")</f>
        <v/>
      </c>
      <c r="BA14" s="34" t="str">
        <f>IF(AND(G14=1,L14=1),F14,"")</f>
        <v/>
      </c>
      <c r="BB14" s="34" t="str">
        <f>IF(AND(G14=1,L14=0),F14,"")</f>
        <v/>
      </c>
      <c r="BC14" s="33">
        <f>IF(E14=1,IF(Orders!R11&gt;3,1,0),"")</f>
        <v>0</v>
      </c>
      <c r="BD14" s="33">
        <f>IF(E14=1,IF(Orders!R11&gt;7,1,0),"")</f>
        <v>0</v>
      </c>
      <c r="BE14" s="32" t="str">
        <f>IF(E14=1,IF(Orders!L11&lt;=1.5,"Up to 1.5 km",IF(Orders!L11&lt;=3,"1.5–3 km","Over 3 km")),"")</f>
        <v>1.5–3 km</v>
      </c>
      <c r="BF14" s="33">
        <f>IF(E14=1,IF(ABS((Orders!G11-Orders!F11)*1440-Orders!R11)&lt;0.06,1,0),"")</f>
        <v>1</v>
      </c>
      <c r="BG14" s="33">
        <f>IF(ABS((Orders!F11-Orders!E11)*1440-Orders!P11)&lt;0.06,1,0)</f>
        <v>1</v>
      </c>
      <c r="BH14" s="33">
        <f>IF(E14=1,IF(IF(Orders!S11,1,0)=1-G14,1,0),"")</f>
        <v>1</v>
      </c>
      <c r="BI14" s="32" t="str">
        <f>INDEX(Stores!$B$2:$B$21,MATCH(B14,Stores!$A$2:$A$21,0))</f>
        <v>Delhi</v>
      </c>
    </row>
    <row r="15">
      <c r="A15" s="32" t="str">
        <f>Orders!A12</f>
        <v>O00011</v>
      </c>
      <c r="B15" s="32" t="str">
        <f>Orders!C12</f>
        <v>S003</v>
      </c>
      <c r="C15" s="32" t="str">
        <f>Orders!B12</f>
        <v>C0133</v>
      </c>
      <c r="D15" s="32" t="str">
        <f>Orders!H12</f>
        <v>Delivered</v>
      </c>
      <c r="E15" s="33">
        <f>IF(Orders!H12="Delivered",1,0)</f>
        <v>1</v>
      </c>
      <c r="F15" s="34">
        <f>IF(E15=1,Orders!R12,"")</f>
        <v>-0.4</v>
      </c>
      <c r="G15" s="33">
        <f>IF(E15=1,IF(Orders!R12&gt;0,1,0),"")</f>
        <v>0</v>
      </c>
      <c r="H15" s="33">
        <f>IF(E15=1,IF(Orders!R12&gt;5,1,0),"")</f>
        <v>0</v>
      </c>
      <c r="I15" s="32" t="str">
        <f>IF(E15=1,"",IF(OR(Orders!T12="Rider unavailable",Orders!T12="Item unavailable"),"Company-caused","Unresolved"))</f>
        <v/>
      </c>
      <c r="J15" s="33">
        <f>IF(OR(E15=1,I15="Company-caused"),1,0)</f>
        <v>1</v>
      </c>
      <c r="K15" s="32" t="str">
        <f>IF(E15=0,IF(I15="Company-caused",IF(Orders!T12="Rider unavailable","C1 Rider unavailable","C2 Item unavailable"),"Outside root: unresolved"),IF(G15=0,"A On time",IF(H15=1,IF(L15=1,"B2a Severe, peak","B2b Severe, off-peak"),IF(L15=1,"B1a Slight, peak","B1b Slight, off-peak"))))</f>
        <v>A On time</v>
      </c>
      <c r="L15" s="33">
        <f>IF(AND(Orders!U12&gt;=19,Orders!U12&lt;22),1,0)</f>
        <v>0</v>
      </c>
      <c r="M15" s="33">
        <f>IF(L15=IF(Orders!V12,1,0),1,0)</f>
        <v>1</v>
      </c>
      <c r="N15" s="32" t="str">
        <f>IF(Orders!W12="","None",Orders!W12)</f>
        <v>None</v>
      </c>
      <c r="O15" s="35">
        <f>INT(Orders!E12)</f>
        <v>46270.0</v>
      </c>
      <c r="P15" s="33">
        <f>Orders!U12</f>
        <v>12</v>
      </c>
      <c r="Q15" s="33">
        <f>COUNTIFS(Demand!$A$2:$A$4481,B15,Demand!$B$2:$B$4481,O15,Demand!$C$2:$C$4481,P15)</f>
        <v>1</v>
      </c>
      <c r="R15" s="33">
        <f>IF(Q15=1,SUMIFS(Demand!$E$2:$E$4481,Demand!$A$2:$A$4481,B15,Demand!$B$2:$B$4481,O15,Demand!$C$2:$C$4481,P15),"")</f>
        <v>37</v>
      </c>
      <c r="S15" s="33">
        <f>INDEX(Stores!$G$2:$G$21,MATCH(B15,Stores!$A$2:$A$21,0))</f>
        <v>41</v>
      </c>
      <c r="T15" s="34">
        <f>IF(R15="","",R15/S15)</f>
        <v>0.902439024390244</v>
      </c>
      <c r="U15" s="34">
        <f>IF(E15=1,T15,"")</f>
        <v>0.902439024390244</v>
      </c>
      <c r="V15" s="34">
        <f>IF(AND(E15=1,L15=0),T15,"")</f>
        <v>0.902439024390244</v>
      </c>
      <c r="W15" s="33">
        <f>IF(U15="","",IF(U15&lt;=Breakdowns!$C$5,1,IF(U15&lt;=Breakdowns!$C$6,2,IF(U15&lt;=Breakdowns!$C$7,3,4))))</f>
        <v>2</v>
      </c>
      <c r="X15" s="33">
        <f>IF(V15="","",IF(V15&lt;=Breakdowns!$D$5,1,IF(V15&lt;=Breakdowns!$D$6,2,IF(V15&lt;=Breakdowns!$D$7,3,4))))</f>
        <v>2</v>
      </c>
      <c r="Y15" s="34">
        <f>INDEX(Stores!$F$2:$F$21,MATCH(B15,Stores!$A$2:$A$21,0))</f>
        <v>3.84</v>
      </c>
      <c r="Z15" s="33">
        <f>IF(Y15&gt;Store_Summary!$M$2,1,0)</f>
        <v>0</v>
      </c>
      <c r="AA15" s="33">
        <f>INDEX(Stores!$C$2:$C$21,MATCH(B15,Stores!$A$2:$A$21,0))</f>
        <v>426</v>
      </c>
      <c r="AB15" s="33">
        <f>IF(AA15&lt;180,1,0)</f>
        <v>0</v>
      </c>
      <c r="AC15" s="32" t="str">
        <f>IF(Orders!D12="","",INDEX(Riders!$C$2:$C$81,MATCH(Orders!D12,Riders!$A$2:$A$81,0)))</f>
        <v>EV scooter</v>
      </c>
      <c r="AD15" s="33">
        <f>IF(Orders!D12="","",INDEX(Riders!$D$2:$D$81,MATCH(Orders!D12,Riders!$A$2:$A$81,0)))</f>
        <v>45</v>
      </c>
      <c r="AE15" s="33">
        <f>IF(Orders!D12="","",IF(INDEX(Riders!$B$2:$B$81,MATCH(Orders!D12,Riders!$A$2:$A$81,0))=B15,1,0))</f>
        <v>0</v>
      </c>
      <c r="AF15" s="34">
        <f>IF(E15=1,Orders!L12,"")</f>
        <v>1.3</v>
      </c>
      <c r="AG15" s="34">
        <f>IF(E15=1,Orders!P12,"")</f>
        <v>8.5</v>
      </c>
      <c r="AH15" s="34">
        <f>IF(E15=1,Orders!Q12,"")</f>
        <v>8.1</v>
      </c>
      <c r="AI15" s="34">
        <f>IF(E15=1,Orders!M12,"")</f>
        <v>2.4</v>
      </c>
      <c r="AJ15" s="34">
        <f>IF(E15=1,Orders!N12,"")</f>
        <v>3.1</v>
      </c>
      <c r="AK15" s="34">
        <f>IF(E15=1,Orders!O12,"")</f>
        <v>2.6</v>
      </c>
      <c r="AL15" s="33">
        <f>IF(E15=1,IF(ROUND(ABS(AI15+AJ15+AK15-AH15),6)&lt;=0.1,1,0),"")</f>
        <v>1</v>
      </c>
      <c r="AM15" s="36">
        <f>IF(E15=1,AI15/AH15,"")</f>
        <v>0.296296296296296</v>
      </c>
      <c r="AN15" s="36">
        <f>IF(E15=1,AJ15/AH15,"")</f>
        <v>0.382716049382716</v>
      </c>
      <c r="AO15" s="36">
        <f>IF(E15=1,AK15/AH15,"")</f>
        <v>0.320987654320988</v>
      </c>
      <c r="AP15" s="34">
        <f>IF(E15=1,Orders!Y12,"")</f>
        <v>0.77</v>
      </c>
      <c r="AQ15" s="33">
        <f>IF(Orders!X12,1,0)</f>
        <v>0</v>
      </c>
      <c r="AR15" s="34" t="str">
        <f>IF(AND(E15=1,L15=1),AJ15,"")</f>
        <v/>
      </c>
      <c r="AS15" s="34">
        <f>IF(AND(E15=1,L15=0),AJ15,"")</f>
        <v>3.1</v>
      </c>
      <c r="AT15" s="34" t="str">
        <f>IF(AND(E15=1,L15=1),AI15,"")</f>
        <v/>
      </c>
      <c r="AU15" s="34">
        <f>IF(AND(E15=1,L15=0),AI15,"")</f>
        <v>2.4</v>
      </c>
      <c r="AV15" s="34" t="str">
        <f>IF(AND(E15=1,L15=1),AG15,"")</f>
        <v/>
      </c>
      <c r="AW15" s="34">
        <f>IF(AND(E15=1,L15=0),AG15,"")</f>
        <v>8.5</v>
      </c>
      <c r="AX15" s="34" t="str">
        <f>IF(AND(E15=1,L15=1),AH15,"")</f>
        <v/>
      </c>
      <c r="AY15" s="34">
        <f>IF(AND(E15=1,L15=0),AH15,"")</f>
        <v>8.1</v>
      </c>
      <c r="AZ15" s="34" t="str">
        <f>IF(G15=1,F15,"")</f>
        <v/>
      </c>
      <c r="BA15" s="34" t="str">
        <f>IF(AND(G15=1,L15=1),F15,"")</f>
        <v/>
      </c>
      <c r="BB15" s="34" t="str">
        <f>IF(AND(G15=1,L15=0),F15,"")</f>
        <v/>
      </c>
      <c r="BC15" s="33">
        <f>IF(E15=1,IF(Orders!R12&gt;3,1,0),"")</f>
        <v>0</v>
      </c>
      <c r="BD15" s="33">
        <f>IF(E15=1,IF(Orders!R12&gt;7,1,0),"")</f>
        <v>0</v>
      </c>
      <c r="BE15" s="32" t="str">
        <f>IF(E15=1,IF(Orders!L12&lt;=1.5,"Up to 1.5 km",IF(Orders!L12&lt;=3,"1.5–3 km","Over 3 km")),"")</f>
        <v>Up to 1.5 km</v>
      </c>
      <c r="BF15" s="33">
        <f>IF(E15=1,IF(ABS((Orders!G12-Orders!F12)*1440-Orders!R12)&lt;0.06,1,0),"")</f>
        <v>1</v>
      </c>
      <c r="BG15" s="33">
        <f>IF(ABS((Orders!F12-Orders!E12)*1440-Orders!P12)&lt;0.06,1,0)</f>
        <v>1</v>
      </c>
      <c r="BH15" s="33">
        <f>IF(E15=1,IF(IF(Orders!S12,1,0)=1-G15,1,0),"")</f>
        <v>1</v>
      </c>
      <c r="BI15" s="32" t="str">
        <f>INDEX(Stores!$B$2:$B$21,MATCH(B15,Stores!$A$2:$A$21,0))</f>
        <v>Mumbai</v>
      </c>
    </row>
    <row r="16">
      <c r="A16" s="32" t="str">
        <f>Orders!A13</f>
        <v>O00012</v>
      </c>
      <c r="B16" s="32" t="str">
        <f>Orders!C13</f>
        <v>S015</v>
      </c>
      <c r="C16" s="32" t="str">
        <f>Orders!B13</f>
        <v>C0106</v>
      </c>
      <c r="D16" s="32" t="str">
        <f>Orders!H13</f>
        <v>Delivered</v>
      </c>
      <c r="E16" s="33">
        <f>IF(Orders!H13="Delivered",1,0)</f>
        <v>1</v>
      </c>
      <c r="F16" s="34">
        <f>IF(E16=1,Orders!R13,"")</f>
        <v>-0.2</v>
      </c>
      <c r="G16" s="33">
        <f>IF(E16=1,IF(Orders!R13&gt;0,1,0),"")</f>
        <v>0</v>
      </c>
      <c r="H16" s="33">
        <f>IF(E16=1,IF(Orders!R13&gt;5,1,0),"")</f>
        <v>0</v>
      </c>
      <c r="I16" s="32" t="str">
        <f>IF(E16=1,"",IF(OR(Orders!T13="Rider unavailable",Orders!T13="Item unavailable"),"Company-caused","Unresolved"))</f>
        <v/>
      </c>
      <c r="J16" s="33">
        <f>IF(OR(E16=1,I16="Company-caused"),1,0)</f>
        <v>1</v>
      </c>
      <c r="K16" s="32" t="str">
        <f>IF(E16=0,IF(I16="Company-caused",IF(Orders!T13="Rider unavailable","C1 Rider unavailable","C2 Item unavailable"),"Outside root: unresolved"),IF(G16=0,"A On time",IF(H16=1,IF(L16=1,"B2a Severe, peak","B2b Severe, off-peak"),IF(L16=1,"B1a Slight, peak","B1b Slight, off-peak"))))</f>
        <v>A On time</v>
      </c>
      <c r="L16" s="33">
        <f>IF(AND(Orders!U13&gt;=19,Orders!U13&lt;22),1,0)</f>
        <v>0</v>
      </c>
      <c r="M16" s="33">
        <f>IF(L16=IF(Orders!V13,1,0),1,0)</f>
        <v>1</v>
      </c>
      <c r="N16" s="32" t="str">
        <f>IF(Orders!W13="","None",Orders!W13)</f>
        <v>None</v>
      </c>
      <c r="O16" s="35">
        <f>INT(Orders!E13)</f>
        <v>46266.0</v>
      </c>
      <c r="P16" s="33">
        <f>Orders!U13</f>
        <v>15</v>
      </c>
      <c r="Q16" s="33">
        <f>COUNTIFS(Demand!$A$2:$A$4481,B16,Demand!$B$2:$B$4481,O16,Demand!$C$2:$C$4481,P16)</f>
        <v>1</v>
      </c>
      <c r="R16" s="33">
        <f>IF(Q16=1,SUMIFS(Demand!$E$2:$E$4481,Demand!$A$2:$A$4481,B16,Demand!$B$2:$B$4481,O16,Demand!$C$2:$C$4481,P16),"")</f>
        <v>17</v>
      </c>
      <c r="S16" s="33">
        <f>INDEX(Stores!$G$2:$G$21,MATCH(B16,Stores!$A$2:$A$21,0))</f>
        <v>23</v>
      </c>
      <c r="T16" s="34">
        <f>IF(R16="","",R16/S16)</f>
        <v>0.739130434782609</v>
      </c>
      <c r="U16" s="34">
        <f>IF(E16=1,T16,"")</f>
        <v>0.739130434782609</v>
      </c>
      <c r="V16" s="34">
        <f>IF(AND(E16=1,L16=0),T16,"")</f>
        <v>0.739130434782609</v>
      </c>
      <c r="W16" s="33">
        <f>IF(U16="","",IF(U16&lt;=Breakdowns!$C$5,1,IF(U16&lt;=Breakdowns!$C$6,2,IF(U16&lt;=Breakdowns!$C$7,3,4))))</f>
        <v>1</v>
      </c>
      <c r="X16" s="33">
        <f>IF(V16="","",IF(V16&lt;=Breakdowns!$D$5,1,IF(V16&lt;=Breakdowns!$D$6,2,IF(V16&lt;=Breakdowns!$D$7,3,4))))</f>
        <v>1</v>
      </c>
      <c r="Y16" s="34">
        <f>INDEX(Stores!$F$2:$F$21,MATCH(B16,Stores!$A$2:$A$21,0))</f>
        <v>4.66</v>
      </c>
      <c r="Z16" s="33">
        <f>IF(Y16&gt;Store_Summary!$M$2,1,0)</f>
        <v>0</v>
      </c>
      <c r="AA16" s="33">
        <f>INDEX(Stores!$C$2:$C$21,MATCH(B16,Stores!$A$2:$A$21,0))</f>
        <v>204</v>
      </c>
      <c r="AB16" s="33">
        <f>IF(AA16&lt;180,1,0)</f>
        <v>0</v>
      </c>
      <c r="AC16" s="32" t="str">
        <f>IF(Orders!D13="","",INDEX(Riders!$C$2:$C$81,MATCH(Orders!D13,Riders!$A$2:$A$81,0)))</f>
        <v>Petrol scooter</v>
      </c>
      <c r="AD16" s="33">
        <f>IF(Orders!D13="","",INDEX(Riders!$D$2:$D$81,MATCH(Orders!D13,Riders!$A$2:$A$81,0)))</f>
        <v>44</v>
      </c>
      <c r="AE16" s="33">
        <f>IF(Orders!D13="","",IF(INDEX(Riders!$B$2:$B$81,MATCH(Orders!D13,Riders!$A$2:$A$81,0))=B16,1,0))</f>
        <v>0</v>
      </c>
      <c r="AF16" s="34">
        <f>IF(E16=1,Orders!L13,"")</f>
        <v>0.68</v>
      </c>
      <c r="AG16" s="34">
        <f>IF(E16=1,Orders!P13,"")</f>
        <v>9.6</v>
      </c>
      <c r="AH16" s="34">
        <f>IF(E16=1,Orders!Q13,"")</f>
        <v>9.4</v>
      </c>
      <c r="AI16" s="34">
        <f>IF(E16=1,Orders!M13,"")</f>
        <v>4</v>
      </c>
      <c r="AJ16" s="34">
        <f>IF(E16=1,Orders!N13,"")</f>
        <v>3.6</v>
      </c>
      <c r="AK16" s="34">
        <f>IF(E16=1,Orders!O13,"")</f>
        <v>1.8</v>
      </c>
      <c r="AL16" s="33">
        <f>IF(E16=1,IF(ROUND(ABS(AI16+AJ16+AK16-AH16),6)&lt;=0.1,1,0),"")</f>
        <v>1</v>
      </c>
      <c r="AM16" s="36">
        <f>IF(E16=1,AI16/AH16,"")</f>
        <v>0.425531914893617</v>
      </c>
      <c r="AN16" s="36">
        <f>IF(E16=1,AJ16/AH16,"")</f>
        <v>0.382978723404255</v>
      </c>
      <c r="AO16" s="36">
        <f>IF(E16=1,AK16/AH16,"")</f>
        <v>0.191489361702128</v>
      </c>
      <c r="AP16" s="34">
        <f>IF(E16=1,Orders!Y13,"")</f>
        <v>0.14</v>
      </c>
      <c r="AQ16" s="33">
        <f>IF(Orders!X13,1,0)</f>
        <v>0</v>
      </c>
      <c r="AR16" s="34" t="str">
        <f>IF(AND(E16=1,L16=1),AJ16,"")</f>
        <v/>
      </c>
      <c r="AS16" s="34">
        <f>IF(AND(E16=1,L16=0),AJ16,"")</f>
        <v>3.6</v>
      </c>
      <c r="AT16" s="34" t="str">
        <f>IF(AND(E16=1,L16=1),AI16,"")</f>
        <v/>
      </c>
      <c r="AU16" s="34">
        <f>IF(AND(E16=1,L16=0),AI16,"")</f>
        <v>4</v>
      </c>
      <c r="AV16" s="34" t="str">
        <f>IF(AND(E16=1,L16=1),AG16,"")</f>
        <v/>
      </c>
      <c r="AW16" s="34">
        <f>IF(AND(E16=1,L16=0),AG16,"")</f>
        <v>9.6</v>
      </c>
      <c r="AX16" s="34" t="str">
        <f>IF(AND(E16=1,L16=1),AH16,"")</f>
        <v/>
      </c>
      <c r="AY16" s="34">
        <f>IF(AND(E16=1,L16=0),AH16,"")</f>
        <v>9.4</v>
      </c>
      <c r="AZ16" s="34" t="str">
        <f>IF(G16=1,F16,"")</f>
        <v/>
      </c>
      <c r="BA16" s="34" t="str">
        <f>IF(AND(G16=1,L16=1),F16,"")</f>
        <v/>
      </c>
      <c r="BB16" s="34" t="str">
        <f>IF(AND(G16=1,L16=0),F16,"")</f>
        <v/>
      </c>
      <c r="BC16" s="33">
        <f>IF(E16=1,IF(Orders!R13&gt;3,1,0),"")</f>
        <v>0</v>
      </c>
      <c r="BD16" s="33">
        <f>IF(E16=1,IF(Orders!R13&gt;7,1,0),"")</f>
        <v>0</v>
      </c>
      <c r="BE16" s="32" t="str">
        <f>IF(E16=1,IF(Orders!L13&lt;=1.5,"Up to 1.5 km",IF(Orders!L13&lt;=3,"1.5–3 km","Over 3 km")),"")</f>
        <v>Up to 1.5 km</v>
      </c>
      <c r="BF16" s="33">
        <f>IF(E16=1,IF(ABS((Orders!G13-Orders!F13)*1440-Orders!R13)&lt;0.06,1,0),"")</f>
        <v>1</v>
      </c>
      <c r="BG16" s="33">
        <f>IF(ABS((Orders!F13-Orders!E13)*1440-Orders!P13)&lt;0.06,1,0)</f>
        <v>1</v>
      </c>
      <c r="BH16" s="33">
        <f>IF(E16=1,IF(IF(Orders!S13,1,0)=1-G16,1,0),"")</f>
        <v>1</v>
      </c>
      <c r="BI16" s="32" t="str">
        <f>INDEX(Stores!$B$2:$B$21,MATCH(B16,Stores!$A$2:$A$21,0))</f>
        <v>Delhi</v>
      </c>
    </row>
    <row r="17">
      <c r="A17" s="32" t="str">
        <f>Orders!A14</f>
        <v>O00013</v>
      </c>
      <c r="B17" s="32" t="str">
        <f>Orders!C14</f>
        <v>S012</v>
      </c>
      <c r="C17" s="32" t="str">
        <f>Orders!B14</f>
        <v>C0173</v>
      </c>
      <c r="D17" s="32" t="str">
        <f>Orders!H14</f>
        <v>Delivered</v>
      </c>
      <c r="E17" s="33">
        <f>IF(Orders!H14="Delivered",1,0)</f>
        <v>1</v>
      </c>
      <c r="F17" s="34">
        <f>IF(E17=1,Orders!R14,"")</f>
        <v>-0.7</v>
      </c>
      <c r="G17" s="33">
        <f>IF(E17=1,IF(Orders!R14&gt;0,1,0),"")</f>
        <v>0</v>
      </c>
      <c r="H17" s="33">
        <f>IF(E17=1,IF(Orders!R14&gt;5,1,0),"")</f>
        <v>0</v>
      </c>
      <c r="I17" s="32" t="str">
        <f>IF(E17=1,"",IF(OR(Orders!T14="Rider unavailable",Orders!T14="Item unavailable"),"Company-caused","Unresolved"))</f>
        <v/>
      </c>
      <c r="J17" s="33">
        <f>IF(OR(E17=1,I17="Company-caused"),1,0)</f>
        <v>1</v>
      </c>
      <c r="K17" s="32" t="str">
        <f>IF(E17=0,IF(I17="Company-caused",IF(Orders!T14="Rider unavailable","C1 Rider unavailable","C2 Item unavailable"),"Outside root: unresolved"),IF(G17=0,"A On time",IF(H17=1,IF(L17=1,"B2a Severe, peak","B2b Severe, off-peak"),IF(L17=1,"B1a Slight, peak","B1b Slight, off-peak"))))</f>
        <v>A On time</v>
      </c>
      <c r="L17" s="33">
        <f>IF(AND(Orders!U14&gt;=19,Orders!U14&lt;22),1,0)</f>
        <v>0</v>
      </c>
      <c r="M17" s="33">
        <f>IF(L17=IF(Orders!V14,1,0),1,0)</f>
        <v>1</v>
      </c>
      <c r="N17" s="32" t="str">
        <f>IF(Orders!W14="","None",Orders!W14)</f>
        <v>Heavy</v>
      </c>
      <c r="O17" s="35">
        <f>INT(Orders!E14)</f>
        <v>46274.0</v>
      </c>
      <c r="P17" s="33">
        <f>Orders!U14</f>
        <v>11</v>
      </c>
      <c r="Q17" s="33">
        <f>COUNTIFS(Demand!$A$2:$A$4481,B17,Demand!$B$2:$B$4481,O17,Demand!$C$2:$C$4481,P17)</f>
        <v>1</v>
      </c>
      <c r="R17" s="33">
        <f>IF(Q17=1,SUMIFS(Demand!$E$2:$E$4481,Demand!$A$2:$A$4481,B17,Demand!$B$2:$B$4481,O17,Demand!$C$2:$C$4481,P17),"")</f>
        <v>21</v>
      </c>
      <c r="S17" s="33">
        <f>INDEX(Stores!$G$2:$G$21,MATCH(B17,Stores!$A$2:$A$21,0))</f>
        <v>15</v>
      </c>
      <c r="T17" s="34">
        <f>IF(R17="","",R17/S17)</f>
        <v>1.4</v>
      </c>
      <c r="U17" s="34">
        <f>IF(E17=1,T17,"")</f>
        <v>1.4</v>
      </c>
      <c r="V17" s="34">
        <f>IF(AND(E17=1,L17=0),T17,"")</f>
        <v>1.4</v>
      </c>
      <c r="W17" s="33">
        <f>IF(U17="","",IF(U17&lt;=Breakdowns!$C$5,1,IF(U17&lt;=Breakdowns!$C$6,2,IF(U17&lt;=Breakdowns!$C$7,3,4))))</f>
        <v>4</v>
      </c>
      <c r="X17" s="33">
        <f>IF(V17="","",IF(V17&lt;=Breakdowns!$D$5,1,IF(V17&lt;=Breakdowns!$D$6,2,IF(V17&lt;=Breakdowns!$D$7,3,4))))</f>
        <v>4</v>
      </c>
      <c r="Y17" s="34">
        <f>INDEX(Stores!$F$2:$F$21,MATCH(B17,Stores!$A$2:$A$21,0))</f>
        <v>5.23</v>
      </c>
      <c r="Z17" s="33">
        <f>IF(Y17&gt;Store_Summary!$M$2,1,0)</f>
        <v>1</v>
      </c>
      <c r="AA17" s="33">
        <f>INDEX(Stores!$C$2:$C$21,MATCH(B17,Stores!$A$2:$A$21,0))</f>
        <v>300</v>
      </c>
      <c r="AB17" s="33">
        <f>IF(AA17&lt;180,1,0)</f>
        <v>0</v>
      </c>
      <c r="AC17" s="32" t="str">
        <f>IF(Orders!D14="","",INDEX(Riders!$C$2:$C$81,MATCH(Orders!D14,Riders!$A$2:$A$81,0)))</f>
        <v>Bicycle</v>
      </c>
      <c r="AD17" s="33">
        <f>IF(Orders!D14="","",INDEX(Riders!$D$2:$D$81,MATCH(Orders!D14,Riders!$A$2:$A$81,0)))</f>
        <v>8</v>
      </c>
      <c r="AE17" s="33">
        <f>IF(Orders!D14="","",IF(INDEX(Riders!$B$2:$B$81,MATCH(Orders!D14,Riders!$A$2:$A$81,0))=B17,1,0))</f>
        <v>0</v>
      </c>
      <c r="AF17" s="34">
        <f>IF(E17=1,Orders!L14,"")</f>
        <v>5.25</v>
      </c>
      <c r="AG17" s="34">
        <f>IF(E17=1,Orders!P14,"")</f>
        <v>9.8</v>
      </c>
      <c r="AH17" s="34">
        <f>IF(E17=1,Orders!Q14,"")</f>
        <v>9.1</v>
      </c>
      <c r="AI17" s="34">
        <f>IF(E17=1,Orders!M14,"")</f>
        <v>2.6</v>
      </c>
      <c r="AJ17" s="34">
        <f>IF(E17=1,Orders!N14,"")</f>
        <v>1.2</v>
      </c>
      <c r="AK17" s="34">
        <f>IF(E17=1,Orders!O14,"")</f>
        <v>5.3</v>
      </c>
      <c r="AL17" s="33">
        <f>IF(E17=1,IF(ROUND(ABS(AI17+AJ17+AK17-AH17),6)&lt;=0.1,1,0),"")</f>
        <v>1</v>
      </c>
      <c r="AM17" s="36">
        <f>IF(E17=1,AI17/AH17,"")</f>
        <v>0.285714285714286</v>
      </c>
      <c r="AN17" s="36">
        <f>IF(E17=1,AJ17/AH17,"")</f>
        <v>0.131868131868132</v>
      </c>
      <c r="AO17" s="36">
        <f>IF(E17=1,AK17/AH17,"")</f>
        <v>0.582417582417583</v>
      </c>
      <c r="AP17" s="34">
        <f>IF(E17=1,Orders!Y14,"")</f>
        <v>0.31</v>
      </c>
      <c r="AQ17" s="33">
        <f>IF(Orders!X14,1,0)</f>
        <v>0</v>
      </c>
      <c r="AR17" s="34" t="str">
        <f>IF(AND(E17=1,L17=1),AJ17,"")</f>
        <v/>
      </c>
      <c r="AS17" s="34">
        <f>IF(AND(E17=1,L17=0),AJ17,"")</f>
        <v>1.2</v>
      </c>
      <c r="AT17" s="34" t="str">
        <f>IF(AND(E17=1,L17=1),AI17,"")</f>
        <v/>
      </c>
      <c r="AU17" s="34">
        <f>IF(AND(E17=1,L17=0),AI17,"")</f>
        <v>2.6</v>
      </c>
      <c r="AV17" s="34" t="str">
        <f>IF(AND(E17=1,L17=1),AG17,"")</f>
        <v/>
      </c>
      <c r="AW17" s="34">
        <f>IF(AND(E17=1,L17=0),AG17,"")</f>
        <v>9.8</v>
      </c>
      <c r="AX17" s="34" t="str">
        <f>IF(AND(E17=1,L17=1),AH17,"")</f>
        <v/>
      </c>
      <c r="AY17" s="34">
        <f>IF(AND(E17=1,L17=0),AH17,"")</f>
        <v>9.1</v>
      </c>
      <c r="AZ17" s="34" t="str">
        <f>IF(G17=1,F17,"")</f>
        <v/>
      </c>
      <c r="BA17" s="34" t="str">
        <f>IF(AND(G17=1,L17=1),F17,"")</f>
        <v/>
      </c>
      <c r="BB17" s="34" t="str">
        <f>IF(AND(G17=1,L17=0),F17,"")</f>
        <v/>
      </c>
      <c r="BC17" s="33">
        <f>IF(E17=1,IF(Orders!R14&gt;3,1,0),"")</f>
        <v>0</v>
      </c>
      <c r="BD17" s="33">
        <f>IF(E17=1,IF(Orders!R14&gt;7,1,0),"")</f>
        <v>0</v>
      </c>
      <c r="BE17" s="32" t="str">
        <f>IF(E17=1,IF(Orders!L14&lt;=1.5,"Up to 1.5 km",IF(Orders!L14&lt;=3,"1.5–3 km","Over 3 km")),"")</f>
        <v>Over 3 km</v>
      </c>
      <c r="BF17" s="33">
        <f>IF(E17=1,IF(ABS((Orders!G14-Orders!F14)*1440-Orders!R14)&lt;0.06,1,0),"")</f>
        <v>1</v>
      </c>
      <c r="BG17" s="33">
        <f>IF(ABS((Orders!F14-Orders!E14)*1440-Orders!P14)&lt;0.06,1,0)</f>
        <v>1</v>
      </c>
      <c r="BH17" s="33">
        <f>IF(E17=1,IF(IF(Orders!S14,1,0)=1-G17,1,0),"")</f>
        <v>1</v>
      </c>
      <c r="BI17" s="32" t="str">
        <f>INDEX(Stores!$B$2:$B$21,MATCH(B17,Stores!$A$2:$A$21,0))</f>
        <v>Hyderabad</v>
      </c>
    </row>
    <row r="18">
      <c r="A18" s="32" t="str">
        <f>Orders!A15</f>
        <v>O00014</v>
      </c>
      <c r="B18" s="32" t="str">
        <f>Orders!C15</f>
        <v>S011</v>
      </c>
      <c r="C18" s="32" t="str">
        <f>Orders!B15</f>
        <v>C0216</v>
      </c>
      <c r="D18" s="32" t="str">
        <f>Orders!H15</f>
        <v>Delivered</v>
      </c>
      <c r="E18" s="33">
        <f>IF(Orders!H15="Delivered",1,0)</f>
        <v>1</v>
      </c>
      <c r="F18" s="34">
        <f>IF(E18=1,Orders!R15,"")</f>
        <v>-0.9</v>
      </c>
      <c r="G18" s="33">
        <f>IF(E18=1,IF(Orders!R15&gt;0,1,0),"")</f>
        <v>0</v>
      </c>
      <c r="H18" s="33">
        <f>IF(E18=1,IF(Orders!R15&gt;5,1,0),"")</f>
        <v>0</v>
      </c>
      <c r="I18" s="32" t="str">
        <f>IF(E18=1,"",IF(OR(Orders!T15="Rider unavailable",Orders!T15="Item unavailable"),"Company-caused","Unresolved"))</f>
        <v/>
      </c>
      <c r="J18" s="33">
        <f>IF(OR(E18=1,I18="Company-caused"),1,0)</f>
        <v>1</v>
      </c>
      <c r="K18" s="32" t="str">
        <f>IF(E18=0,IF(I18="Company-caused",IF(Orders!T15="Rider unavailable","C1 Rider unavailable","C2 Item unavailable"),"Outside root: unresolved"),IF(G18=0,"A On time",IF(H18=1,IF(L18=1,"B2a Severe, peak","B2b Severe, off-peak"),IF(L18=1,"B1a Slight, peak","B1b Slight, off-peak"))))</f>
        <v>A On time</v>
      </c>
      <c r="L18" s="33">
        <f>IF(AND(Orders!U15&gt;=19,Orders!U15&lt;22),1,0)</f>
        <v>0</v>
      </c>
      <c r="M18" s="33">
        <f>IF(L18=IF(Orders!V15,1,0),1,0)</f>
        <v>1</v>
      </c>
      <c r="N18" s="32" t="str">
        <f>IF(Orders!W15="","None",Orders!W15)</f>
        <v>None</v>
      </c>
      <c r="O18" s="35">
        <f>INT(Orders!E15)</f>
        <v>46277.0</v>
      </c>
      <c r="P18" s="33">
        <f>Orders!U15</f>
        <v>8</v>
      </c>
      <c r="Q18" s="33">
        <f>COUNTIFS(Demand!$A$2:$A$4481,B18,Demand!$B$2:$B$4481,O18,Demand!$C$2:$C$4481,P18)</f>
        <v>1</v>
      </c>
      <c r="R18" s="33">
        <f>IF(Q18=1,SUMIFS(Demand!$E$2:$E$4481,Demand!$A$2:$A$4481,B18,Demand!$B$2:$B$4481,O18,Demand!$C$2:$C$4481,P18),"")</f>
        <v>23</v>
      </c>
      <c r="S18" s="33">
        <f>INDEX(Stores!$G$2:$G$21,MATCH(B18,Stores!$A$2:$A$21,0))</f>
        <v>31</v>
      </c>
      <c r="T18" s="34">
        <f>IF(R18="","",R18/S18)</f>
        <v>0.741935483870968</v>
      </c>
      <c r="U18" s="34">
        <f>IF(E18=1,T18,"")</f>
        <v>0.741935483870968</v>
      </c>
      <c r="V18" s="34">
        <f>IF(AND(E18=1,L18=0),T18,"")</f>
        <v>0.741935483870968</v>
      </c>
      <c r="W18" s="33">
        <f>IF(U18="","",IF(U18&lt;=Breakdowns!$C$5,1,IF(U18&lt;=Breakdowns!$C$6,2,IF(U18&lt;=Breakdowns!$C$7,3,4))))</f>
        <v>1</v>
      </c>
      <c r="X18" s="33">
        <f>IF(V18="","",IF(V18&lt;=Breakdowns!$D$5,1,IF(V18&lt;=Breakdowns!$D$6,2,IF(V18&lt;=Breakdowns!$D$7,3,4))))</f>
        <v>1</v>
      </c>
      <c r="Y18" s="34">
        <f>INDEX(Stores!$F$2:$F$21,MATCH(B18,Stores!$A$2:$A$21,0))</f>
        <v>5.67</v>
      </c>
      <c r="Z18" s="33">
        <f>IF(Y18&gt;Store_Summary!$M$2,1,0)</f>
        <v>1</v>
      </c>
      <c r="AA18" s="33">
        <f>INDEX(Stores!$C$2:$C$21,MATCH(B18,Stores!$A$2:$A$21,0))</f>
        <v>732</v>
      </c>
      <c r="AB18" s="33">
        <f>IF(AA18&lt;180,1,0)</f>
        <v>0</v>
      </c>
      <c r="AC18" s="32" t="str">
        <f>IF(Orders!D15="","",INDEX(Riders!$C$2:$C$81,MATCH(Orders!D15,Riders!$A$2:$A$81,0)))</f>
        <v>EV scooter</v>
      </c>
      <c r="AD18" s="33">
        <f>IF(Orders!D15="","",INDEX(Riders!$D$2:$D$81,MATCH(Orders!D15,Riders!$A$2:$A$81,0)))</f>
        <v>21</v>
      </c>
      <c r="AE18" s="33">
        <f>IF(Orders!D15="","",IF(INDEX(Riders!$B$2:$B$81,MATCH(Orders!D15,Riders!$A$2:$A$81,0))=B18,1,0))</f>
        <v>0</v>
      </c>
      <c r="AF18" s="34">
        <f>IF(E18=1,Orders!L15,"")</f>
        <v>1.52</v>
      </c>
      <c r="AG18" s="34">
        <f>IF(E18=1,Orders!P15,"")</f>
        <v>10.9</v>
      </c>
      <c r="AH18" s="34">
        <f>IF(E18=1,Orders!Q15,"")</f>
        <v>10</v>
      </c>
      <c r="AI18" s="34">
        <f>IF(E18=1,Orders!M15,"")</f>
        <v>3.1</v>
      </c>
      <c r="AJ18" s="34">
        <f>IF(E18=1,Orders!N15,"")</f>
        <v>4.3</v>
      </c>
      <c r="AK18" s="34">
        <f>IF(E18=1,Orders!O15,"")</f>
        <v>2.6</v>
      </c>
      <c r="AL18" s="33">
        <f>IF(E18=1,IF(ROUND(ABS(AI18+AJ18+AK18-AH18),6)&lt;=0.1,1,0),"")</f>
        <v>1</v>
      </c>
      <c r="AM18" s="36">
        <f>IF(E18=1,AI18/AH18,"")</f>
        <v>0.31</v>
      </c>
      <c r="AN18" s="36">
        <f>IF(E18=1,AJ18/AH18,"")</f>
        <v>0.43</v>
      </c>
      <c r="AO18" s="36">
        <f>IF(E18=1,AK18/AH18,"")</f>
        <v>0.26</v>
      </c>
      <c r="AP18" s="34">
        <f>IF(E18=1,Orders!Y15,"")</f>
        <v>0.57</v>
      </c>
      <c r="AQ18" s="33">
        <f>IF(Orders!X15,1,0)</f>
        <v>0</v>
      </c>
      <c r="AR18" s="34" t="str">
        <f>IF(AND(E18=1,L18=1),AJ18,"")</f>
        <v/>
      </c>
      <c r="AS18" s="34">
        <f>IF(AND(E18=1,L18=0),AJ18,"")</f>
        <v>4.3</v>
      </c>
      <c r="AT18" s="34" t="str">
        <f>IF(AND(E18=1,L18=1),AI18,"")</f>
        <v/>
      </c>
      <c r="AU18" s="34">
        <f>IF(AND(E18=1,L18=0),AI18,"")</f>
        <v>3.1</v>
      </c>
      <c r="AV18" s="34" t="str">
        <f>IF(AND(E18=1,L18=1),AG18,"")</f>
        <v/>
      </c>
      <c r="AW18" s="34">
        <f>IF(AND(E18=1,L18=0),AG18,"")</f>
        <v>10.9</v>
      </c>
      <c r="AX18" s="34" t="str">
        <f>IF(AND(E18=1,L18=1),AH18,"")</f>
        <v/>
      </c>
      <c r="AY18" s="34">
        <f>IF(AND(E18=1,L18=0),AH18,"")</f>
        <v>10</v>
      </c>
      <c r="AZ18" s="34" t="str">
        <f>IF(G18=1,F18,"")</f>
        <v/>
      </c>
      <c r="BA18" s="34" t="str">
        <f>IF(AND(G18=1,L18=1),F18,"")</f>
        <v/>
      </c>
      <c r="BB18" s="34" t="str">
        <f>IF(AND(G18=1,L18=0),F18,"")</f>
        <v/>
      </c>
      <c r="BC18" s="33">
        <f>IF(E18=1,IF(Orders!R15&gt;3,1,0),"")</f>
        <v>0</v>
      </c>
      <c r="BD18" s="33">
        <f>IF(E18=1,IF(Orders!R15&gt;7,1,0),"")</f>
        <v>0</v>
      </c>
      <c r="BE18" s="32" t="str">
        <f>IF(E18=1,IF(Orders!L15&lt;=1.5,"Up to 1.5 km",IF(Orders!L15&lt;=3,"1.5–3 km","Over 3 km")),"")</f>
        <v>1.5–3 km</v>
      </c>
      <c r="BF18" s="33">
        <f>IF(E18=1,IF(ABS((Orders!G15-Orders!F15)*1440-Orders!R15)&lt;0.06,1,0),"")</f>
        <v>1</v>
      </c>
      <c r="BG18" s="33">
        <f>IF(ABS((Orders!F15-Orders!E15)*1440-Orders!P15)&lt;0.06,1,0)</f>
        <v>1</v>
      </c>
      <c r="BH18" s="33">
        <f>IF(E18=1,IF(IF(Orders!S15,1,0)=1-G18,1,0),"")</f>
        <v>1</v>
      </c>
      <c r="BI18" s="32" t="str">
        <f>INDEX(Stores!$B$2:$B$21,MATCH(B18,Stores!$A$2:$A$21,0))</f>
        <v>Bengaluru</v>
      </c>
    </row>
    <row r="19">
      <c r="A19" s="32" t="str">
        <f>Orders!A16</f>
        <v>O00015</v>
      </c>
      <c r="B19" s="32" t="str">
        <f>Orders!C16</f>
        <v>S004</v>
      </c>
      <c r="C19" s="32" t="str">
        <f>Orders!B16</f>
        <v>C0170</v>
      </c>
      <c r="D19" s="32" t="str">
        <f>Orders!H16</f>
        <v>Delivered</v>
      </c>
      <c r="E19" s="33">
        <f>IF(Orders!H16="Delivered",1,0)</f>
        <v>1</v>
      </c>
      <c r="F19" s="34">
        <f>IF(E19=1,Orders!R16,"")</f>
        <v>0</v>
      </c>
      <c r="G19" s="33">
        <f>IF(E19=1,IF(Orders!R16&gt;0,1,0),"")</f>
        <v>0</v>
      </c>
      <c r="H19" s="33">
        <f>IF(E19=1,IF(Orders!R16&gt;5,1,0),"")</f>
        <v>0</v>
      </c>
      <c r="I19" s="32" t="str">
        <f>IF(E19=1,"",IF(OR(Orders!T16="Rider unavailable",Orders!T16="Item unavailable"),"Company-caused","Unresolved"))</f>
        <v/>
      </c>
      <c r="J19" s="33">
        <f>IF(OR(E19=1,I19="Company-caused"),1,0)</f>
        <v>1</v>
      </c>
      <c r="K19" s="32" t="str">
        <f>IF(E19=0,IF(I19="Company-caused",IF(Orders!T16="Rider unavailable","C1 Rider unavailable","C2 Item unavailable"),"Outside root: unresolved"),IF(G19=0,"A On time",IF(H19=1,IF(L19=1,"B2a Severe, peak","B2b Severe, off-peak"),IF(L19=1,"B1a Slight, peak","B1b Slight, off-peak"))))</f>
        <v>A On time</v>
      </c>
      <c r="L19" s="33">
        <f>IF(AND(Orders!U16&gt;=19,Orders!U16&lt;22),1,0)</f>
        <v>0</v>
      </c>
      <c r="M19" s="33">
        <f>IF(L19=IF(Orders!V16,1,0),1,0)</f>
        <v>1</v>
      </c>
      <c r="N19" s="32" t="str">
        <f>IF(Orders!W16="","None",Orders!W16)</f>
        <v>Heavy</v>
      </c>
      <c r="O19" s="35">
        <f>INT(Orders!E16)</f>
        <v>46273.0</v>
      </c>
      <c r="P19" s="33">
        <f>Orders!U16</f>
        <v>13</v>
      </c>
      <c r="Q19" s="33">
        <f>COUNTIFS(Demand!$A$2:$A$4481,B19,Demand!$B$2:$B$4481,O19,Demand!$C$2:$C$4481,P19)</f>
        <v>1</v>
      </c>
      <c r="R19" s="33">
        <f>IF(Q19=1,SUMIFS(Demand!$E$2:$E$4481,Demand!$A$2:$A$4481,B19,Demand!$B$2:$B$4481,O19,Demand!$C$2:$C$4481,P19),"")</f>
        <v>49</v>
      </c>
      <c r="S19" s="33">
        <f>INDEX(Stores!$G$2:$G$21,MATCH(B19,Stores!$A$2:$A$21,0))</f>
        <v>42</v>
      </c>
      <c r="T19" s="34">
        <f>IF(R19="","",R19/S19)</f>
        <v>1.16666666666667</v>
      </c>
      <c r="U19" s="34">
        <f>IF(E19=1,T19,"")</f>
        <v>1.16666666666667</v>
      </c>
      <c r="V19" s="34">
        <f>IF(AND(E19=1,L19=0),T19,"")</f>
        <v>1.16666666666667</v>
      </c>
      <c r="W19" s="33">
        <f>IF(U19="","",IF(U19&lt;=Breakdowns!$C$5,1,IF(U19&lt;=Breakdowns!$C$6,2,IF(U19&lt;=Breakdowns!$C$7,3,4))))</f>
        <v>3</v>
      </c>
      <c r="X19" s="33">
        <f>IF(V19="","",IF(V19&lt;=Breakdowns!$D$5,1,IF(V19&lt;=Breakdowns!$D$6,2,IF(V19&lt;=Breakdowns!$D$7,3,4))))</f>
        <v>4</v>
      </c>
      <c r="Y19" s="34">
        <f>INDEX(Stores!$F$2:$F$21,MATCH(B19,Stores!$A$2:$A$21,0))</f>
        <v>2.19</v>
      </c>
      <c r="Z19" s="33">
        <f>IF(Y19&gt;Store_Summary!$M$2,1,0)</f>
        <v>0</v>
      </c>
      <c r="AA19" s="33">
        <f>INDEX(Stores!$C$2:$C$21,MATCH(B19,Stores!$A$2:$A$21,0))</f>
        <v>850</v>
      </c>
      <c r="AB19" s="33">
        <f>IF(AA19&lt;180,1,0)</f>
        <v>0</v>
      </c>
      <c r="AC19" s="32" t="str">
        <f>IF(Orders!D16="","",INDEX(Riders!$C$2:$C$81,MATCH(Orders!D16,Riders!$A$2:$A$81,0)))</f>
        <v>EV scooter</v>
      </c>
      <c r="AD19" s="33">
        <f>IF(Orders!D16="","",INDEX(Riders!$D$2:$D$81,MATCH(Orders!D16,Riders!$A$2:$A$81,0)))</f>
        <v>44</v>
      </c>
      <c r="AE19" s="33">
        <f>IF(Orders!D16="","",IF(INDEX(Riders!$B$2:$B$81,MATCH(Orders!D16,Riders!$A$2:$A$81,0))=B19,1,0))</f>
        <v>0</v>
      </c>
      <c r="AF19" s="34">
        <f>IF(E19=1,Orders!L16,"")</f>
        <v>1.74</v>
      </c>
      <c r="AG19" s="34">
        <f>IF(E19=1,Orders!P16,"")</f>
        <v>9.3</v>
      </c>
      <c r="AH19" s="34">
        <f>IF(E19=1,Orders!Q16,"")</f>
        <v>9.3</v>
      </c>
      <c r="AI19" s="34">
        <f>IF(E19=1,Orders!M16,"")</f>
        <v>1.3</v>
      </c>
      <c r="AJ19" s="34">
        <f>IF(E19=1,Orders!N16,"")</f>
        <v>1.1</v>
      </c>
      <c r="AK19" s="34">
        <f>IF(E19=1,Orders!O16,"")</f>
        <v>6.9</v>
      </c>
      <c r="AL19" s="33">
        <f>IF(E19=1,IF(ROUND(ABS(AI19+AJ19+AK19-AH19),6)&lt;=0.1,1,0),"")</f>
        <v>1</v>
      </c>
      <c r="AM19" s="36">
        <f>IF(E19=1,AI19/AH19,"")</f>
        <v>0.139784946236559</v>
      </c>
      <c r="AN19" s="36">
        <f>IF(E19=1,AJ19/AH19,"")</f>
        <v>0.118279569892473</v>
      </c>
      <c r="AO19" s="36">
        <f>IF(E19=1,AK19/AH19,"")</f>
        <v>0.741935483870968</v>
      </c>
      <c r="AP19" s="34">
        <f>IF(E19=1,Orders!Y16,"")</f>
        <v>0.26</v>
      </c>
      <c r="AQ19" s="33">
        <f>IF(Orders!X16,1,0)</f>
        <v>0</v>
      </c>
      <c r="AR19" s="34" t="str">
        <f>IF(AND(E19=1,L19=1),AJ19,"")</f>
        <v/>
      </c>
      <c r="AS19" s="34">
        <f>IF(AND(E19=1,L19=0),AJ19,"")</f>
        <v>1.1</v>
      </c>
      <c r="AT19" s="34" t="str">
        <f>IF(AND(E19=1,L19=1),AI19,"")</f>
        <v/>
      </c>
      <c r="AU19" s="34">
        <f>IF(AND(E19=1,L19=0),AI19,"")</f>
        <v>1.3</v>
      </c>
      <c r="AV19" s="34" t="str">
        <f>IF(AND(E19=1,L19=1),AG19,"")</f>
        <v/>
      </c>
      <c r="AW19" s="34">
        <f>IF(AND(E19=1,L19=0),AG19,"")</f>
        <v>9.3</v>
      </c>
      <c r="AX19" s="34" t="str">
        <f>IF(AND(E19=1,L19=1),AH19,"")</f>
        <v/>
      </c>
      <c r="AY19" s="34">
        <f>IF(AND(E19=1,L19=0),AH19,"")</f>
        <v>9.3</v>
      </c>
      <c r="AZ19" s="34" t="str">
        <f>IF(G19=1,F19,"")</f>
        <v/>
      </c>
      <c r="BA19" s="34" t="str">
        <f>IF(AND(G19=1,L19=1),F19,"")</f>
        <v/>
      </c>
      <c r="BB19" s="34" t="str">
        <f>IF(AND(G19=1,L19=0),F19,"")</f>
        <v/>
      </c>
      <c r="BC19" s="33">
        <f>IF(E19=1,IF(Orders!R16&gt;3,1,0),"")</f>
        <v>0</v>
      </c>
      <c r="BD19" s="33">
        <f>IF(E19=1,IF(Orders!R16&gt;7,1,0),"")</f>
        <v>0</v>
      </c>
      <c r="BE19" s="32" t="str">
        <f>IF(E19=1,IF(Orders!L16&lt;=1.5,"Up to 1.5 km",IF(Orders!L16&lt;=3,"1.5–3 km","Over 3 km")),"")</f>
        <v>1.5–3 km</v>
      </c>
      <c r="BF19" s="33">
        <f>IF(E19=1,IF(ABS((Orders!G16-Orders!F16)*1440-Orders!R16)&lt;0.06,1,0),"")</f>
        <v>1</v>
      </c>
      <c r="BG19" s="33">
        <f>IF(ABS((Orders!F16-Orders!E16)*1440-Orders!P16)&lt;0.06,1,0)</f>
        <v>1</v>
      </c>
      <c r="BH19" s="33">
        <f>IF(E19=1,IF(IF(Orders!S16,1,0)=1-G19,1,0),"")</f>
        <v>1</v>
      </c>
      <c r="BI19" s="32" t="str">
        <f>INDEX(Stores!$B$2:$B$21,MATCH(B19,Stores!$A$2:$A$21,0))</f>
        <v>Pune</v>
      </c>
    </row>
    <row r="20">
      <c r="A20" s="32" t="str">
        <f>Orders!A17</f>
        <v>O00016</v>
      </c>
      <c r="B20" s="32" t="str">
        <f>Orders!C17</f>
        <v>S015</v>
      </c>
      <c r="C20" s="32" t="str">
        <f>Orders!B17</f>
        <v>C0127</v>
      </c>
      <c r="D20" s="32" t="str">
        <f>Orders!H17</f>
        <v>Delivered</v>
      </c>
      <c r="E20" s="33">
        <f>IF(Orders!H17="Delivered",1,0)</f>
        <v>1</v>
      </c>
      <c r="F20" s="34">
        <f>IF(E20=1,Orders!R17,"")</f>
        <v>-0.9</v>
      </c>
      <c r="G20" s="33">
        <f>IF(E20=1,IF(Orders!R17&gt;0,1,0),"")</f>
        <v>0</v>
      </c>
      <c r="H20" s="33">
        <f>IF(E20=1,IF(Orders!R17&gt;5,1,0),"")</f>
        <v>0</v>
      </c>
      <c r="I20" s="32" t="str">
        <f>IF(E20=1,"",IF(OR(Orders!T17="Rider unavailable",Orders!T17="Item unavailable"),"Company-caused","Unresolved"))</f>
        <v/>
      </c>
      <c r="J20" s="33">
        <f>IF(OR(E20=1,I20="Company-caused"),1,0)</f>
        <v>1</v>
      </c>
      <c r="K20" s="32" t="str">
        <f>IF(E20=0,IF(I20="Company-caused",IF(Orders!T17="Rider unavailable","C1 Rider unavailable","C2 Item unavailable"),"Outside root: unresolved"),IF(G20=0,"A On time",IF(H20=1,IF(L20=1,"B2a Severe, peak","B2b Severe, off-peak"),IF(L20=1,"B1a Slight, peak","B1b Slight, off-peak"))))</f>
        <v>A On time</v>
      </c>
      <c r="L20" s="33">
        <f>IF(AND(Orders!U17&gt;=19,Orders!U17&lt;22),1,0)</f>
        <v>0</v>
      </c>
      <c r="M20" s="33">
        <f>IF(L20=IF(Orders!V17,1,0),1,0)</f>
        <v>1</v>
      </c>
      <c r="N20" s="32" t="str">
        <f>IF(Orders!W17="","None",Orders!W17)</f>
        <v>None</v>
      </c>
      <c r="O20" s="35">
        <f>INT(Orders!E17)</f>
        <v>46269.0</v>
      </c>
      <c r="P20" s="33">
        <f>Orders!U17</f>
        <v>16</v>
      </c>
      <c r="Q20" s="33">
        <f>COUNTIFS(Demand!$A$2:$A$4481,B20,Demand!$B$2:$B$4481,O20,Demand!$C$2:$C$4481,P20)</f>
        <v>1</v>
      </c>
      <c r="R20" s="33">
        <f>IF(Q20=1,SUMIFS(Demand!$E$2:$E$4481,Demand!$A$2:$A$4481,B20,Demand!$B$2:$B$4481,O20,Demand!$C$2:$C$4481,P20),"")</f>
        <v>22</v>
      </c>
      <c r="S20" s="33">
        <f>INDEX(Stores!$G$2:$G$21,MATCH(B20,Stores!$A$2:$A$21,0))</f>
        <v>23</v>
      </c>
      <c r="T20" s="34">
        <f>IF(R20="","",R20/S20)</f>
        <v>0.956521739130435</v>
      </c>
      <c r="U20" s="34">
        <f>IF(E20=1,T20,"")</f>
        <v>0.956521739130435</v>
      </c>
      <c r="V20" s="34">
        <f>IF(AND(E20=1,L20=0),T20,"")</f>
        <v>0.956521739130435</v>
      </c>
      <c r="W20" s="33">
        <f>IF(U20="","",IF(U20&lt;=Breakdowns!$C$5,1,IF(U20&lt;=Breakdowns!$C$6,2,IF(U20&lt;=Breakdowns!$C$7,3,4))))</f>
        <v>2</v>
      </c>
      <c r="X20" s="33">
        <f>IF(V20="","",IF(V20&lt;=Breakdowns!$D$5,1,IF(V20&lt;=Breakdowns!$D$6,2,IF(V20&lt;=Breakdowns!$D$7,3,4))))</f>
        <v>3</v>
      </c>
      <c r="Y20" s="34">
        <f>INDEX(Stores!$F$2:$F$21,MATCH(B20,Stores!$A$2:$A$21,0))</f>
        <v>4.66</v>
      </c>
      <c r="Z20" s="33">
        <f>IF(Y20&gt;Store_Summary!$M$2,1,0)</f>
        <v>0</v>
      </c>
      <c r="AA20" s="33">
        <f>INDEX(Stores!$C$2:$C$21,MATCH(B20,Stores!$A$2:$A$21,0))</f>
        <v>204</v>
      </c>
      <c r="AB20" s="33">
        <f>IF(AA20&lt;180,1,0)</f>
        <v>0</v>
      </c>
      <c r="AC20" s="32" t="str">
        <f>IF(Orders!D17="","",INDEX(Riders!$C$2:$C$81,MATCH(Orders!D17,Riders!$A$2:$A$81,0)))</f>
        <v>EV scooter</v>
      </c>
      <c r="AD20" s="33">
        <f>IF(Orders!D17="","",INDEX(Riders!$D$2:$D$81,MATCH(Orders!D17,Riders!$A$2:$A$81,0)))</f>
        <v>40</v>
      </c>
      <c r="AE20" s="33">
        <f>IF(Orders!D17="","",IF(INDEX(Riders!$B$2:$B$81,MATCH(Orders!D17,Riders!$A$2:$A$81,0))=B20,1,0))</f>
        <v>0</v>
      </c>
      <c r="AF20" s="34">
        <f>IF(E20=1,Orders!L17,"")</f>
        <v>2.61</v>
      </c>
      <c r="AG20" s="34">
        <f>IF(E20=1,Orders!P17,"")</f>
        <v>11.1</v>
      </c>
      <c r="AH20" s="34">
        <f>IF(E20=1,Orders!Q17,"")</f>
        <v>10.2</v>
      </c>
      <c r="AI20" s="34">
        <f>IF(E20=1,Orders!M17,"")</f>
        <v>3.3</v>
      </c>
      <c r="AJ20" s="34">
        <f>IF(E20=1,Orders!N17,"")</f>
        <v>2.7</v>
      </c>
      <c r="AK20" s="34">
        <f>IF(E20=1,Orders!O17,"")</f>
        <v>4.2</v>
      </c>
      <c r="AL20" s="33">
        <f>IF(E20=1,IF(ROUND(ABS(AI20+AJ20+AK20-AH20),6)&lt;=0.1,1,0),"")</f>
        <v>1</v>
      </c>
      <c r="AM20" s="36">
        <f>IF(E20=1,AI20/AH20,"")</f>
        <v>0.323529411764706</v>
      </c>
      <c r="AN20" s="36">
        <f>IF(E20=1,AJ20/AH20,"")</f>
        <v>0.264705882352941</v>
      </c>
      <c r="AO20" s="36">
        <f>IF(E20=1,AK20/AH20,"")</f>
        <v>0.411764705882353</v>
      </c>
      <c r="AP20" s="34">
        <f>IF(E20=1,Orders!Y17,"")</f>
        <v>0.22</v>
      </c>
      <c r="AQ20" s="33">
        <f>IF(Orders!X17,1,0)</f>
        <v>0</v>
      </c>
      <c r="AR20" s="34" t="str">
        <f>IF(AND(E20=1,L20=1),AJ20,"")</f>
        <v/>
      </c>
      <c r="AS20" s="34">
        <f>IF(AND(E20=1,L20=0),AJ20,"")</f>
        <v>2.7</v>
      </c>
      <c r="AT20" s="34" t="str">
        <f>IF(AND(E20=1,L20=1),AI20,"")</f>
        <v/>
      </c>
      <c r="AU20" s="34">
        <f>IF(AND(E20=1,L20=0),AI20,"")</f>
        <v>3.3</v>
      </c>
      <c r="AV20" s="34" t="str">
        <f>IF(AND(E20=1,L20=1),AG20,"")</f>
        <v/>
      </c>
      <c r="AW20" s="34">
        <f>IF(AND(E20=1,L20=0),AG20,"")</f>
        <v>11.1</v>
      </c>
      <c r="AX20" s="34" t="str">
        <f>IF(AND(E20=1,L20=1),AH20,"")</f>
        <v/>
      </c>
      <c r="AY20" s="34">
        <f>IF(AND(E20=1,L20=0),AH20,"")</f>
        <v>10.2</v>
      </c>
      <c r="AZ20" s="34" t="str">
        <f>IF(G20=1,F20,"")</f>
        <v/>
      </c>
      <c r="BA20" s="34" t="str">
        <f>IF(AND(G20=1,L20=1),F20,"")</f>
        <v/>
      </c>
      <c r="BB20" s="34" t="str">
        <f>IF(AND(G20=1,L20=0),F20,"")</f>
        <v/>
      </c>
      <c r="BC20" s="33">
        <f>IF(E20=1,IF(Orders!R17&gt;3,1,0),"")</f>
        <v>0</v>
      </c>
      <c r="BD20" s="33">
        <f>IF(E20=1,IF(Orders!R17&gt;7,1,0),"")</f>
        <v>0</v>
      </c>
      <c r="BE20" s="32" t="str">
        <f>IF(E20=1,IF(Orders!L17&lt;=1.5,"Up to 1.5 km",IF(Orders!L17&lt;=3,"1.5–3 km","Over 3 km")),"")</f>
        <v>1.5–3 km</v>
      </c>
      <c r="BF20" s="33">
        <f>IF(E20=1,IF(ABS((Orders!G17-Orders!F17)*1440-Orders!R17)&lt;0.06,1,0),"")</f>
        <v>1</v>
      </c>
      <c r="BG20" s="33">
        <f>IF(ABS((Orders!F17-Orders!E17)*1440-Orders!P17)&lt;0.06,1,0)</f>
        <v>1</v>
      </c>
      <c r="BH20" s="33">
        <f>IF(E20=1,IF(IF(Orders!S17,1,0)=1-G20,1,0),"")</f>
        <v>1</v>
      </c>
      <c r="BI20" s="32" t="str">
        <f>INDEX(Stores!$B$2:$B$21,MATCH(B20,Stores!$A$2:$A$21,0))</f>
        <v>Delhi</v>
      </c>
    </row>
    <row r="21">
      <c r="A21" s="32" t="str">
        <f>Orders!A18</f>
        <v>O00017</v>
      </c>
      <c r="B21" s="32" t="str">
        <f>Orders!C18</f>
        <v>S019</v>
      </c>
      <c r="C21" s="32" t="str">
        <f>Orders!B18</f>
        <v>C0210</v>
      </c>
      <c r="D21" s="32" t="str">
        <f>Orders!H18</f>
        <v>Delivered</v>
      </c>
      <c r="E21" s="33">
        <f>IF(Orders!H18="Delivered",1,0)</f>
        <v>1</v>
      </c>
      <c r="F21" s="34">
        <f>IF(E21=1,Orders!R18,"")</f>
        <v>-0.5</v>
      </c>
      <c r="G21" s="33">
        <f>IF(E21=1,IF(Orders!R18&gt;0,1,0),"")</f>
        <v>0</v>
      </c>
      <c r="H21" s="33">
        <f>IF(E21=1,IF(Orders!R18&gt;5,1,0),"")</f>
        <v>0</v>
      </c>
      <c r="I21" s="32" t="str">
        <f>IF(E21=1,"",IF(OR(Orders!T18="Rider unavailable",Orders!T18="Item unavailable"),"Company-caused","Unresolved"))</f>
        <v/>
      </c>
      <c r="J21" s="33">
        <f>IF(OR(E21=1,I21="Company-caused"),1,0)</f>
        <v>1</v>
      </c>
      <c r="K21" s="32" t="str">
        <f>IF(E21=0,IF(I21="Company-caused",IF(Orders!T18="Rider unavailable","C1 Rider unavailable","C2 Item unavailable"),"Outside root: unresolved"),IF(G21=0,"A On time",IF(H21=1,IF(L21=1,"B2a Severe, peak","B2b Severe, off-peak"),IF(L21=1,"B1a Slight, peak","B1b Slight, off-peak"))))</f>
        <v>A On time</v>
      </c>
      <c r="L21" s="33">
        <f>IF(AND(Orders!U18&gt;=19,Orders!U18&lt;22),1,0)</f>
        <v>0</v>
      </c>
      <c r="M21" s="33">
        <f>IF(L21=IF(Orders!V18,1,0),1,0)</f>
        <v>1</v>
      </c>
      <c r="N21" s="32" t="str">
        <f>IF(Orders!W18="","None",Orders!W18)</f>
        <v>None</v>
      </c>
      <c r="O21" s="35">
        <f>INT(Orders!E18)</f>
        <v>46278.0</v>
      </c>
      <c r="P21" s="33">
        <f>Orders!U18</f>
        <v>10</v>
      </c>
      <c r="Q21" s="33">
        <f>COUNTIFS(Demand!$A$2:$A$4481,B21,Demand!$B$2:$B$4481,O21,Demand!$C$2:$C$4481,P21)</f>
        <v>1</v>
      </c>
      <c r="R21" s="33">
        <f>IF(Q21=1,SUMIFS(Demand!$E$2:$E$4481,Demand!$A$2:$A$4481,B21,Demand!$B$2:$B$4481,O21,Demand!$C$2:$C$4481,P21),"")</f>
        <v>19</v>
      </c>
      <c r="S21" s="33">
        <f>INDEX(Stores!$G$2:$G$21,MATCH(B21,Stores!$A$2:$A$21,0))</f>
        <v>22</v>
      </c>
      <c r="T21" s="34">
        <f>IF(R21="","",R21/S21)</f>
        <v>0.863636363636364</v>
      </c>
      <c r="U21" s="34">
        <f>IF(E21=1,T21,"")</f>
        <v>0.863636363636364</v>
      </c>
      <c r="V21" s="34">
        <f>IF(AND(E21=1,L21=0),T21,"")</f>
        <v>0.863636363636364</v>
      </c>
      <c r="W21" s="33">
        <f>IF(U21="","",IF(U21&lt;=Breakdowns!$C$5,1,IF(U21&lt;=Breakdowns!$C$6,2,IF(U21&lt;=Breakdowns!$C$7,3,4))))</f>
        <v>2</v>
      </c>
      <c r="X21" s="33">
        <f>IF(V21="","",IF(V21&lt;=Breakdowns!$D$5,1,IF(V21&lt;=Breakdowns!$D$6,2,IF(V21&lt;=Breakdowns!$D$7,3,4))))</f>
        <v>2</v>
      </c>
      <c r="Y21" s="34">
        <f>INDEX(Stores!$F$2:$F$21,MATCH(B21,Stores!$A$2:$A$21,0))</f>
        <v>4.99</v>
      </c>
      <c r="Z21" s="33">
        <f>IF(Y21&gt;Store_Summary!$M$2,1,0)</f>
        <v>1</v>
      </c>
      <c r="AA21" s="33">
        <f>INDEX(Stores!$C$2:$C$21,MATCH(B21,Stores!$A$2:$A$21,0))</f>
        <v>851</v>
      </c>
      <c r="AB21" s="33">
        <f>IF(AA21&lt;180,1,0)</f>
        <v>0</v>
      </c>
      <c r="AC21" s="32" t="str">
        <f>IF(Orders!D18="","",INDEX(Riders!$C$2:$C$81,MATCH(Orders!D18,Riders!$A$2:$A$81,0)))</f>
        <v>EV scooter</v>
      </c>
      <c r="AD21" s="33">
        <f>IF(Orders!D18="","",INDEX(Riders!$D$2:$D$81,MATCH(Orders!D18,Riders!$A$2:$A$81,0)))</f>
        <v>45</v>
      </c>
      <c r="AE21" s="33">
        <f>IF(Orders!D18="","",IF(INDEX(Riders!$B$2:$B$81,MATCH(Orders!D18,Riders!$A$2:$A$81,0))=B21,1,0))</f>
        <v>0</v>
      </c>
      <c r="AF21" s="34">
        <f>IF(E21=1,Orders!L18,"")</f>
        <v>2.15</v>
      </c>
      <c r="AG21" s="34">
        <f>IF(E21=1,Orders!P18,"")</f>
        <v>9.4</v>
      </c>
      <c r="AH21" s="34">
        <f>IF(E21=1,Orders!Q18,"")</f>
        <v>8.9</v>
      </c>
      <c r="AI21" s="34">
        <f>IF(E21=1,Orders!M18,"")</f>
        <v>3.8</v>
      </c>
      <c r="AJ21" s="34">
        <f>IF(E21=1,Orders!N18,"")</f>
        <v>2</v>
      </c>
      <c r="AK21" s="34">
        <f>IF(E21=1,Orders!O18,"")</f>
        <v>3.1</v>
      </c>
      <c r="AL21" s="33">
        <f>IF(E21=1,IF(ROUND(ABS(AI21+AJ21+AK21-AH21),6)&lt;=0.1,1,0),"")</f>
        <v>1</v>
      </c>
      <c r="AM21" s="36">
        <f>IF(E21=1,AI21/AH21,"")</f>
        <v>0.426966292134831</v>
      </c>
      <c r="AN21" s="36">
        <f>IF(E21=1,AJ21/AH21,"")</f>
        <v>0.224719101123596</v>
      </c>
      <c r="AO21" s="36">
        <f>IF(E21=1,AK21/AH21,"")</f>
        <v>0.348314606741573</v>
      </c>
      <c r="AP21" s="34">
        <f>IF(E21=1,Orders!Y18,"")</f>
        <v>0.44</v>
      </c>
      <c r="AQ21" s="33">
        <f>IF(Orders!X18,1,0)</f>
        <v>0</v>
      </c>
      <c r="AR21" s="34" t="str">
        <f>IF(AND(E21=1,L21=1),AJ21,"")</f>
        <v/>
      </c>
      <c r="AS21" s="34">
        <f>IF(AND(E21=1,L21=0),AJ21,"")</f>
        <v>2</v>
      </c>
      <c r="AT21" s="34" t="str">
        <f>IF(AND(E21=1,L21=1),AI21,"")</f>
        <v/>
      </c>
      <c r="AU21" s="34">
        <f>IF(AND(E21=1,L21=0),AI21,"")</f>
        <v>3.8</v>
      </c>
      <c r="AV21" s="34" t="str">
        <f>IF(AND(E21=1,L21=1),AG21,"")</f>
        <v/>
      </c>
      <c r="AW21" s="34">
        <f>IF(AND(E21=1,L21=0),AG21,"")</f>
        <v>9.4</v>
      </c>
      <c r="AX21" s="34" t="str">
        <f>IF(AND(E21=1,L21=1),AH21,"")</f>
        <v/>
      </c>
      <c r="AY21" s="34">
        <f>IF(AND(E21=1,L21=0),AH21,"")</f>
        <v>8.9</v>
      </c>
      <c r="AZ21" s="34" t="str">
        <f>IF(G21=1,F21,"")</f>
        <v/>
      </c>
      <c r="BA21" s="34" t="str">
        <f>IF(AND(G21=1,L21=1),F21,"")</f>
        <v/>
      </c>
      <c r="BB21" s="34" t="str">
        <f>IF(AND(G21=1,L21=0),F21,"")</f>
        <v/>
      </c>
      <c r="BC21" s="33">
        <f>IF(E21=1,IF(Orders!R18&gt;3,1,0),"")</f>
        <v>0</v>
      </c>
      <c r="BD21" s="33">
        <f>IF(E21=1,IF(Orders!R18&gt;7,1,0),"")</f>
        <v>0</v>
      </c>
      <c r="BE21" s="32" t="str">
        <f>IF(E21=1,IF(Orders!L18&lt;=1.5,"Up to 1.5 km",IF(Orders!L18&lt;=3,"1.5–3 km","Over 3 km")),"")</f>
        <v>1.5–3 km</v>
      </c>
      <c r="BF21" s="33">
        <f>IF(E21=1,IF(ABS((Orders!G18-Orders!F18)*1440-Orders!R18)&lt;0.06,1,0),"")</f>
        <v>1</v>
      </c>
      <c r="BG21" s="33">
        <f>IF(ABS((Orders!F18-Orders!E18)*1440-Orders!P18)&lt;0.06,1,0)</f>
        <v>1</v>
      </c>
      <c r="BH21" s="33">
        <f>IF(E21=1,IF(IF(Orders!S18,1,0)=1-G21,1,0),"")</f>
        <v>1</v>
      </c>
      <c r="BI21" s="32" t="str">
        <f>INDEX(Stores!$B$2:$B$21,MATCH(B21,Stores!$A$2:$A$21,0))</f>
        <v>Pune</v>
      </c>
    </row>
    <row r="22">
      <c r="A22" s="32" t="str">
        <f>Orders!A19</f>
        <v>O00018</v>
      </c>
      <c r="B22" s="32" t="str">
        <f>Orders!C19</f>
        <v>S012</v>
      </c>
      <c r="C22" s="32" t="str">
        <f>Orders!B19</f>
        <v>C0092</v>
      </c>
      <c r="D22" s="32" t="str">
        <f>Orders!H19</f>
        <v>Delivered</v>
      </c>
      <c r="E22" s="33">
        <f>IF(Orders!H19="Delivered",1,0)</f>
        <v>1</v>
      </c>
      <c r="F22" s="34">
        <f>IF(E22=1,Orders!R19,"")</f>
        <v>-1.1</v>
      </c>
      <c r="G22" s="33">
        <f>IF(E22=1,IF(Orders!R19&gt;0,1,0),"")</f>
        <v>0</v>
      </c>
      <c r="H22" s="33">
        <f>IF(E22=1,IF(Orders!R19&gt;5,1,0),"")</f>
        <v>0</v>
      </c>
      <c r="I22" s="32" t="str">
        <f>IF(E22=1,"",IF(OR(Orders!T19="Rider unavailable",Orders!T19="Item unavailable"),"Company-caused","Unresolved"))</f>
        <v/>
      </c>
      <c r="J22" s="33">
        <f>IF(OR(E22=1,I22="Company-caused"),1,0)</f>
        <v>1</v>
      </c>
      <c r="K22" s="32" t="str">
        <f>IF(E22=0,IF(I22="Company-caused",IF(Orders!T19="Rider unavailable","C1 Rider unavailable","C2 Item unavailable"),"Outside root: unresolved"),IF(G22=0,"A On time",IF(H22=1,IF(L22=1,"B2a Severe, peak","B2b Severe, off-peak"),IF(L22=1,"B1a Slight, peak","B1b Slight, off-peak"))))</f>
        <v>A On time</v>
      </c>
      <c r="L22" s="33">
        <f>IF(AND(Orders!U19&gt;=19,Orders!U19&lt;22),1,0)</f>
        <v>0</v>
      </c>
      <c r="M22" s="33">
        <f>IF(L22=IF(Orders!V19,1,0),1,0)</f>
        <v>1</v>
      </c>
      <c r="N22" s="32" t="str">
        <f>IF(Orders!W19="","None",Orders!W19)</f>
        <v>Light</v>
      </c>
      <c r="O22" s="35">
        <f>INT(Orders!E19)</f>
        <v>46271.0</v>
      </c>
      <c r="P22" s="33">
        <f>Orders!U19</f>
        <v>16</v>
      </c>
      <c r="Q22" s="33">
        <f>COUNTIFS(Demand!$A$2:$A$4481,B22,Demand!$B$2:$B$4481,O22,Demand!$C$2:$C$4481,P22)</f>
        <v>1</v>
      </c>
      <c r="R22" s="33">
        <f>IF(Q22=1,SUMIFS(Demand!$E$2:$E$4481,Demand!$A$2:$A$4481,B22,Demand!$B$2:$B$4481,O22,Demand!$C$2:$C$4481,P22),"")</f>
        <v>13</v>
      </c>
      <c r="S22" s="33">
        <f>INDEX(Stores!$G$2:$G$21,MATCH(B22,Stores!$A$2:$A$21,0))</f>
        <v>15</v>
      </c>
      <c r="T22" s="34">
        <f>IF(R22="","",R22/S22)</f>
        <v>0.866666666666667</v>
      </c>
      <c r="U22" s="34">
        <f>IF(E22=1,T22,"")</f>
        <v>0.866666666666667</v>
      </c>
      <c r="V22" s="34">
        <f>IF(AND(E22=1,L22=0),T22,"")</f>
        <v>0.866666666666667</v>
      </c>
      <c r="W22" s="33">
        <f>IF(U22="","",IF(U22&lt;=Breakdowns!$C$5,1,IF(U22&lt;=Breakdowns!$C$6,2,IF(U22&lt;=Breakdowns!$C$7,3,4))))</f>
        <v>2</v>
      </c>
      <c r="X22" s="33">
        <f>IF(V22="","",IF(V22&lt;=Breakdowns!$D$5,1,IF(V22&lt;=Breakdowns!$D$6,2,IF(V22&lt;=Breakdowns!$D$7,3,4))))</f>
        <v>2</v>
      </c>
      <c r="Y22" s="34">
        <f>INDEX(Stores!$F$2:$F$21,MATCH(B22,Stores!$A$2:$A$21,0))</f>
        <v>5.23</v>
      </c>
      <c r="Z22" s="33">
        <f>IF(Y22&gt;Store_Summary!$M$2,1,0)</f>
        <v>1</v>
      </c>
      <c r="AA22" s="33">
        <f>INDEX(Stores!$C$2:$C$21,MATCH(B22,Stores!$A$2:$A$21,0))</f>
        <v>300</v>
      </c>
      <c r="AB22" s="33">
        <f>IF(AA22&lt;180,1,0)</f>
        <v>0</v>
      </c>
      <c r="AC22" s="32" t="str">
        <f>IF(Orders!D19="","",INDEX(Riders!$C$2:$C$81,MATCH(Orders!D19,Riders!$A$2:$A$81,0)))</f>
        <v>Bicycle</v>
      </c>
      <c r="AD22" s="33">
        <f>IF(Orders!D19="","",INDEX(Riders!$D$2:$D$81,MATCH(Orders!D19,Riders!$A$2:$A$81,0)))</f>
        <v>8</v>
      </c>
      <c r="AE22" s="33">
        <f>IF(Orders!D19="","",IF(INDEX(Riders!$B$2:$B$81,MATCH(Orders!D19,Riders!$A$2:$A$81,0))=B22,1,0))</f>
        <v>0</v>
      </c>
      <c r="AF22" s="34">
        <f>IF(E22=1,Orders!L19,"")</f>
        <v>4.52</v>
      </c>
      <c r="AG22" s="34">
        <f>IF(E22=1,Orders!P19,"")</f>
        <v>11.1</v>
      </c>
      <c r="AH22" s="34">
        <f>IF(E22=1,Orders!Q19,"")</f>
        <v>10</v>
      </c>
      <c r="AI22" s="34">
        <f>IF(E22=1,Orders!M19,"")</f>
        <v>3.1</v>
      </c>
      <c r="AJ22" s="34">
        <f>IF(E22=1,Orders!N19,"")</f>
        <v>1.7</v>
      </c>
      <c r="AK22" s="34">
        <f>IF(E22=1,Orders!O19,"")</f>
        <v>5.2</v>
      </c>
      <c r="AL22" s="33">
        <f>IF(E22=1,IF(ROUND(ABS(AI22+AJ22+AK22-AH22),6)&lt;=0.1,1,0),"")</f>
        <v>1</v>
      </c>
      <c r="AM22" s="36">
        <f>IF(E22=1,AI22/AH22,"")</f>
        <v>0.31</v>
      </c>
      <c r="AN22" s="36">
        <f>IF(E22=1,AJ22/AH22,"")</f>
        <v>0.17</v>
      </c>
      <c r="AO22" s="36">
        <f>IF(E22=1,AK22/AH22,"")</f>
        <v>0.52</v>
      </c>
      <c r="AP22" s="34">
        <f>IF(E22=1,Orders!Y19,"")</f>
        <v>0.22</v>
      </c>
      <c r="AQ22" s="33">
        <f>IF(Orders!X19,1,0)</f>
        <v>0</v>
      </c>
      <c r="AR22" s="34" t="str">
        <f>IF(AND(E22=1,L22=1),AJ22,"")</f>
        <v/>
      </c>
      <c r="AS22" s="34">
        <f>IF(AND(E22=1,L22=0),AJ22,"")</f>
        <v>1.7</v>
      </c>
      <c r="AT22" s="34" t="str">
        <f>IF(AND(E22=1,L22=1),AI22,"")</f>
        <v/>
      </c>
      <c r="AU22" s="34">
        <f>IF(AND(E22=1,L22=0),AI22,"")</f>
        <v>3.1</v>
      </c>
      <c r="AV22" s="34" t="str">
        <f>IF(AND(E22=1,L22=1),AG22,"")</f>
        <v/>
      </c>
      <c r="AW22" s="34">
        <f>IF(AND(E22=1,L22=0),AG22,"")</f>
        <v>11.1</v>
      </c>
      <c r="AX22" s="34" t="str">
        <f>IF(AND(E22=1,L22=1),AH22,"")</f>
        <v/>
      </c>
      <c r="AY22" s="34">
        <f>IF(AND(E22=1,L22=0),AH22,"")</f>
        <v>10</v>
      </c>
      <c r="AZ22" s="34" t="str">
        <f>IF(G22=1,F22,"")</f>
        <v/>
      </c>
      <c r="BA22" s="34" t="str">
        <f>IF(AND(G22=1,L22=1),F22,"")</f>
        <v/>
      </c>
      <c r="BB22" s="34" t="str">
        <f>IF(AND(G22=1,L22=0),F22,"")</f>
        <v/>
      </c>
      <c r="BC22" s="33">
        <f>IF(E22=1,IF(Orders!R19&gt;3,1,0),"")</f>
        <v>0</v>
      </c>
      <c r="BD22" s="33">
        <f>IF(E22=1,IF(Orders!R19&gt;7,1,0),"")</f>
        <v>0</v>
      </c>
      <c r="BE22" s="32" t="str">
        <f>IF(E22=1,IF(Orders!L19&lt;=1.5,"Up to 1.5 km",IF(Orders!L19&lt;=3,"1.5–3 km","Over 3 km")),"")</f>
        <v>Over 3 km</v>
      </c>
      <c r="BF22" s="33">
        <f>IF(E22=1,IF(ABS((Orders!G19-Orders!F19)*1440-Orders!R19)&lt;0.06,1,0),"")</f>
        <v>1</v>
      </c>
      <c r="BG22" s="33">
        <f>IF(ABS((Orders!F19-Orders!E19)*1440-Orders!P19)&lt;0.06,1,0)</f>
        <v>1</v>
      </c>
      <c r="BH22" s="33">
        <f>IF(E22=1,IF(IF(Orders!S19,1,0)=1-G22,1,0),"")</f>
        <v>1</v>
      </c>
      <c r="BI22" s="32" t="str">
        <f>INDEX(Stores!$B$2:$B$21,MATCH(B22,Stores!$A$2:$A$21,0))</f>
        <v>Hyderabad</v>
      </c>
    </row>
    <row r="23">
      <c r="A23" s="32" t="str">
        <f>Orders!A20</f>
        <v>O00019</v>
      </c>
      <c r="B23" s="32" t="str">
        <f>Orders!C20</f>
        <v>S003</v>
      </c>
      <c r="C23" s="32" t="str">
        <f>Orders!B20</f>
        <v>C0101</v>
      </c>
      <c r="D23" s="32" t="str">
        <f>Orders!H20</f>
        <v>Delivered</v>
      </c>
      <c r="E23" s="33">
        <f>IF(Orders!H20="Delivered",1,0)</f>
        <v>1</v>
      </c>
      <c r="F23" s="34">
        <f>IF(E23=1,Orders!R20,"")</f>
        <v>-0.7</v>
      </c>
      <c r="G23" s="33">
        <f>IF(E23=1,IF(Orders!R20&gt;0,1,0),"")</f>
        <v>0</v>
      </c>
      <c r="H23" s="33">
        <f>IF(E23=1,IF(Orders!R20&gt;5,1,0),"")</f>
        <v>0</v>
      </c>
      <c r="I23" s="32" t="str">
        <f>IF(E23=1,"",IF(OR(Orders!T20="Rider unavailable",Orders!T20="Item unavailable"),"Company-caused","Unresolved"))</f>
        <v/>
      </c>
      <c r="J23" s="33">
        <f>IF(OR(E23=1,I23="Company-caused"),1,0)</f>
        <v>1</v>
      </c>
      <c r="K23" s="32" t="str">
        <f>IF(E23=0,IF(I23="Company-caused",IF(Orders!T20="Rider unavailable","C1 Rider unavailable","C2 Item unavailable"),"Outside root: unresolved"),IF(G23=0,"A On time",IF(H23=1,IF(L23=1,"B2a Severe, peak","B2b Severe, off-peak"),IF(L23=1,"B1a Slight, peak","B1b Slight, off-peak"))))</f>
        <v>A On time</v>
      </c>
      <c r="L23" s="33">
        <f>IF(AND(Orders!U20&gt;=19,Orders!U20&lt;22),1,0)</f>
        <v>0</v>
      </c>
      <c r="M23" s="33">
        <f>IF(L23=IF(Orders!V20,1,0),1,0)</f>
        <v>1</v>
      </c>
      <c r="N23" s="32" t="str">
        <f>IF(Orders!W20="","None",Orders!W20)</f>
        <v>None</v>
      </c>
      <c r="O23" s="35">
        <f>INT(Orders!E20)</f>
        <v>46274.0</v>
      </c>
      <c r="P23" s="33">
        <f>Orders!U20</f>
        <v>10</v>
      </c>
      <c r="Q23" s="33">
        <f>COUNTIFS(Demand!$A$2:$A$4481,B23,Demand!$B$2:$B$4481,O23,Demand!$C$2:$C$4481,P23)</f>
        <v>1</v>
      </c>
      <c r="R23" s="33">
        <f>IF(Q23=1,SUMIFS(Demand!$E$2:$E$4481,Demand!$A$2:$A$4481,B23,Demand!$B$2:$B$4481,O23,Demand!$C$2:$C$4481,P23),"")</f>
        <v>28</v>
      </c>
      <c r="S23" s="33">
        <f>INDEX(Stores!$G$2:$G$21,MATCH(B23,Stores!$A$2:$A$21,0))</f>
        <v>41</v>
      </c>
      <c r="T23" s="34">
        <f>IF(R23="","",R23/S23)</f>
        <v>0.682926829268293</v>
      </c>
      <c r="U23" s="34">
        <f>IF(E23=1,T23,"")</f>
        <v>0.682926829268293</v>
      </c>
      <c r="V23" s="34">
        <f>IF(AND(E23=1,L23=0),T23,"")</f>
        <v>0.682926829268293</v>
      </c>
      <c r="W23" s="33">
        <f>IF(U23="","",IF(U23&lt;=Breakdowns!$C$5,1,IF(U23&lt;=Breakdowns!$C$6,2,IF(U23&lt;=Breakdowns!$C$7,3,4))))</f>
        <v>1</v>
      </c>
      <c r="X23" s="33">
        <f>IF(V23="","",IF(V23&lt;=Breakdowns!$D$5,1,IF(V23&lt;=Breakdowns!$D$6,2,IF(V23&lt;=Breakdowns!$D$7,3,4))))</f>
        <v>1</v>
      </c>
      <c r="Y23" s="34">
        <f>INDEX(Stores!$F$2:$F$21,MATCH(B23,Stores!$A$2:$A$21,0))</f>
        <v>3.84</v>
      </c>
      <c r="Z23" s="33">
        <f>IF(Y23&gt;Store_Summary!$M$2,1,0)</f>
        <v>0</v>
      </c>
      <c r="AA23" s="33">
        <f>INDEX(Stores!$C$2:$C$21,MATCH(B23,Stores!$A$2:$A$21,0))</f>
        <v>426</v>
      </c>
      <c r="AB23" s="33">
        <f>IF(AA23&lt;180,1,0)</f>
        <v>0</v>
      </c>
      <c r="AC23" s="32" t="str">
        <f>IF(Orders!D20="","",INDEX(Riders!$C$2:$C$81,MATCH(Orders!D20,Riders!$A$2:$A$81,0)))</f>
        <v>EV scooter</v>
      </c>
      <c r="AD23" s="33">
        <f>IF(Orders!D20="","",INDEX(Riders!$D$2:$D$81,MATCH(Orders!D20,Riders!$A$2:$A$81,0)))</f>
        <v>27</v>
      </c>
      <c r="AE23" s="33">
        <f>IF(Orders!D20="","",IF(INDEX(Riders!$B$2:$B$81,MATCH(Orders!D20,Riders!$A$2:$A$81,0))=B23,1,0))</f>
        <v>0</v>
      </c>
      <c r="AF23" s="34">
        <f>IF(E23=1,Orders!L20,"")</f>
        <v>2.09</v>
      </c>
      <c r="AG23" s="34">
        <f>IF(E23=1,Orders!P20,"")</f>
        <v>10.2</v>
      </c>
      <c r="AH23" s="34">
        <f>IF(E23=1,Orders!Q20,"")</f>
        <v>9.5</v>
      </c>
      <c r="AI23" s="34">
        <f>IF(E23=1,Orders!M20,"")</f>
        <v>3.8</v>
      </c>
      <c r="AJ23" s="34">
        <f>IF(E23=1,Orders!N20,"")</f>
        <v>2.2</v>
      </c>
      <c r="AK23" s="34">
        <f>IF(E23=1,Orders!O20,"")</f>
        <v>3.5</v>
      </c>
      <c r="AL23" s="33">
        <f>IF(E23=1,IF(ROUND(ABS(AI23+AJ23+AK23-AH23),6)&lt;=0.1,1,0),"")</f>
        <v>1</v>
      </c>
      <c r="AM23" s="36">
        <f>IF(E23=1,AI23/AH23,"")</f>
        <v>0.4</v>
      </c>
      <c r="AN23" s="36">
        <f>IF(E23=1,AJ23/AH23,"")</f>
        <v>0.231578947368421</v>
      </c>
      <c r="AO23" s="36">
        <f>IF(E23=1,AK23/AH23,"")</f>
        <v>0.368421052631579</v>
      </c>
      <c r="AP23" s="34">
        <f>IF(E23=1,Orders!Y20,"")</f>
        <v>0.31</v>
      </c>
      <c r="AQ23" s="33">
        <f>IF(Orders!X20,1,0)</f>
        <v>0</v>
      </c>
      <c r="AR23" s="34" t="str">
        <f>IF(AND(E23=1,L23=1),AJ23,"")</f>
        <v/>
      </c>
      <c r="AS23" s="34">
        <f>IF(AND(E23=1,L23=0),AJ23,"")</f>
        <v>2.2</v>
      </c>
      <c r="AT23" s="34" t="str">
        <f>IF(AND(E23=1,L23=1),AI23,"")</f>
        <v/>
      </c>
      <c r="AU23" s="34">
        <f>IF(AND(E23=1,L23=0),AI23,"")</f>
        <v>3.8</v>
      </c>
      <c r="AV23" s="34" t="str">
        <f>IF(AND(E23=1,L23=1),AG23,"")</f>
        <v/>
      </c>
      <c r="AW23" s="34">
        <f>IF(AND(E23=1,L23=0),AG23,"")</f>
        <v>10.2</v>
      </c>
      <c r="AX23" s="34" t="str">
        <f>IF(AND(E23=1,L23=1),AH23,"")</f>
        <v/>
      </c>
      <c r="AY23" s="34">
        <f>IF(AND(E23=1,L23=0),AH23,"")</f>
        <v>9.5</v>
      </c>
      <c r="AZ23" s="34" t="str">
        <f>IF(G23=1,F23,"")</f>
        <v/>
      </c>
      <c r="BA23" s="34" t="str">
        <f>IF(AND(G23=1,L23=1),F23,"")</f>
        <v/>
      </c>
      <c r="BB23" s="34" t="str">
        <f>IF(AND(G23=1,L23=0),F23,"")</f>
        <v/>
      </c>
      <c r="BC23" s="33">
        <f>IF(E23=1,IF(Orders!R20&gt;3,1,0),"")</f>
        <v>0</v>
      </c>
      <c r="BD23" s="33">
        <f>IF(E23=1,IF(Orders!R20&gt;7,1,0),"")</f>
        <v>0</v>
      </c>
      <c r="BE23" s="32" t="str">
        <f>IF(E23=1,IF(Orders!L20&lt;=1.5,"Up to 1.5 km",IF(Orders!L20&lt;=3,"1.5–3 km","Over 3 km")),"")</f>
        <v>1.5–3 km</v>
      </c>
      <c r="BF23" s="33">
        <f>IF(E23=1,IF(ABS((Orders!G20-Orders!F20)*1440-Orders!R20)&lt;0.06,1,0),"")</f>
        <v>1</v>
      </c>
      <c r="BG23" s="33">
        <f>IF(ABS((Orders!F20-Orders!E20)*1440-Orders!P20)&lt;0.06,1,0)</f>
        <v>1</v>
      </c>
      <c r="BH23" s="33">
        <f>IF(E23=1,IF(IF(Orders!S20,1,0)=1-G23,1,0),"")</f>
        <v>1</v>
      </c>
      <c r="BI23" s="32" t="str">
        <f>INDEX(Stores!$B$2:$B$21,MATCH(B23,Stores!$A$2:$A$21,0))</f>
        <v>Mumbai</v>
      </c>
    </row>
    <row r="24">
      <c r="A24" s="32" t="str">
        <f>Orders!A21</f>
        <v>O00020</v>
      </c>
      <c r="B24" s="32" t="str">
        <f>Orders!C21</f>
        <v>S017</v>
      </c>
      <c r="C24" s="32" t="str">
        <f>Orders!B21</f>
        <v>C0208</v>
      </c>
      <c r="D24" s="32" t="str">
        <f>Orders!H21</f>
        <v>Delivered</v>
      </c>
      <c r="E24" s="33">
        <f>IF(Orders!H21="Delivered",1,0)</f>
        <v>1</v>
      </c>
      <c r="F24" s="34">
        <f>IF(E24=1,Orders!R21,"")</f>
        <v>-0.8</v>
      </c>
      <c r="G24" s="33">
        <f>IF(E24=1,IF(Orders!R21&gt;0,1,0),"")</f>
        <v>0</v>
      </c>
      <c r="H24" s="33">
        <f>IF(E24=1,IF(Orders!R21&gt;5,1,0),"")</f>
        <v>0</v>
      </c>
      <c r="I24" s="32" t="str">
        <f>IF(E24=1,"",IF(OR(Orders!T21="Rider unavailable",Orders!T21="Item unavailable"),"Company-caused","Unresolved"))</f>
        <v/>
      </c>
      <c r="J24" s="33">
        <f>IF(OR(E24=1,I24="Company-caused"),1,0)</f>
        <v>1</v>
      </c>
      <c r="K24" s="32" t="str">
        <f>IF(E24=0,IF(I24="Company-caused",IF(Orders!T21="Rider unavailable","C1 Rider unavailable","C2 Item unavailable"),"Outside root: unresolved"),IF(G24=0,"A On time",IF(H24=1,IF(L24=1,"B2a Severe, peak","B2b Severe, off-peak"),IF(L24=1,"B1a Slight, peak","B1b Slight, off-peak"))))</f>
        <v>A On time</v>
      </c>
      <c r="L24" s="33">
        <f>IF(AND(Orders!U21&gt;=19,Orders!U21&lt;22),1,0)</f>
        <v>0</v>
      </c>
      <c r="M24" s="33">
        <f>IF(L24=IF(Orders!V21,1,0),1,0)</f>
        <v>1</v>
      </c>
      <c r="N24" s="32" t="str">
        <f>IF(Orders!W21="","None",Orders!W21)</f>
        <v>None</v>
      </c>
      <c r="O24" s="35">
        <f>INT(Orders!E21)</f>
        <v>46275.0</v>
      </c>
      <c r="P24" s="33">
        <f>Orders!U21</f>
        <v>23</v>
      </c>
      <c r="Q24" s="33">
        <f>COUNTIFS(Demand!$A$2:$A$4481,B24,Demand!$B$2:$B$4481,O24,Demand!$C$2:$C$4481,P24)</f>
        <v>1</v>
      </c>
      <c r="R24" s="33">
        <f>IF(Q24=1,SUMIFS(Demand!$E$2:$E$4481,Demand!$A$2:$A$4481,B24,Demand!$B$2:$B$4481,O24,Demand!$C$2:$C$4481,P24),"")</f>
        <v>33</v>
      </c>
      <c r="S24" s="33">
        <f>INDEX(Stores!$G$2:$G$21,MATCH(B24,Stores!$A$2:$A$21,0))</f>
        <v>36</v>
      </c>
      <c r="T24" s="34">
        <f>IF(R24="","",R24/S24)</f>
        <v>0.916666666666667</v>
      </c>
      <c r="U24" s="34">
        <f>IF(E24=1,T24,"")</f>
        <v>0.916666666666667</v>
      </c>
      <c r="V24" s="34">
        <f>IF(AND(E24=1,L24=0),T24,"")</f>
        <v>0.916666666666667</v>
      </c>
      <c r="W24" s="33">
        <f>IF(U24="","",IF(U24&lt;=Breakdowns!$C$5,1,IF(U24&lt;=Breakdowns!$C$6,2,IF(U24&lt;=Breakdowns!$C$7,3,4))))</f>
        <v>2</v>
      </c>
      <c r="X24" s="33">
        <f>IF(V24="","",IF(V24&lt;=Breakdowns!$D$5,1,IF(V24&lt;=Breakdowns!$D$6,2,IF(V24&lt;=Breakdowns!$D$7,3,4))))</f>
        <v>3</v>
      </c>
      <c r="Y24" s="34">
        <f>INDEX(Stores!$F$2:$F$21,MATCH(B24,Stores!$A$2:$A$21,0))</f>
        <v>2.16</v>
      </c>
      <c r="Z24" s="33">
        <f>IF(Y24&gt;Store_Summary!$M$2,1,0)</f>
        <v>0</v>
      </c>
      <c r="AA24" s="33">
        <f>INDEX(Stores!$C$2:$C$21,MATCH(B24,Stores!$A$2:$A$21,0))</f>
        <v>47</v>
      </c>
      <c r="AB24" s="33">
        <f>IF(AA24&lt;180,1,0)</f>
        <v>1</v>
      </c>
      <c r="AC24" s="32" t="str">
        <f>IF(Orders!D21="","",INDEX(Riders!$C$2:$C$81,MATCH(Orders!D21,Riders!$A$2:$A$81,0)))</f>
        <v>EV scooter</v>
      </c>
      <c r="AD24" s="33">
        <f>IF(Orders!D21="","",INDEX(Riders!$D$2:$D$81,MATCH(Orders!D21,Riders!$A$2:$A$81,0)))</f>
        <v>11</v>
      </c>
      <c r="AE24" s="33">
        <f>IF(Orders!D21="","",IF(INDEX(Riders!$B$2:$B$81,MATCH(Orders!D21,Riders!$A$2:$A$81,0))=B24,1,0))</f>
        <v>0</v>
      </c>
      <c r="AF24" s="34">
        <f>IF(E24=1,Orders!L21,"")</f>
        <v>1.34</v>
      </c>
      <c r="AG24" s="34">
        <f>IF(E24=1,Orders!P21,"")</f>
        <v>10.5</v>
      </c>
      <c r="AH24" s="34">
        <f>IF(E24=1,Orders!Q21,"")</f>
        <v>9.7</v>
      </c>
      <c r="AI24" s="34">
        <f>IF(E24=1,Orders!M21,"")</f>
        <v>2.7</v>
      </c>
      <c r="AJ24" s="34">
        <f>IF(E24=1,Orders!N21,"")</f>
        <v>4.6</v>
      </c>
      <c r="AK24" s="34">
        <f>IF(E24=1,Orders!O21,"")</f>
        <v>2.4</v>
      </c>
      <c r="AL24" s="33">
        <f>IF(E24=1,IF(ROUND(ABS(AI24+AJ24+AK24-AH24),6)&lt;=0.1,1,0),"")</f>
        <v>1</v>
      </c>
      <c r="AM24" s="36">
        <f>IF(E24=1,AI24/AH24,"")</f>
        <v>0.278350515463918</v>
      </c>
      <c r="AN24" s="36">
        <f>IF(E24=1,AJ24/AH24,"")</f>
        <v>0.474226804123711</v>
      </c>
      <c r="AO24" s="36">
        <f>IF(E24=1,AK24/AH24,"")</f>
        <v>0.247422680412371</v>
      </c>
      <c r="AP24" s="34">
        <f>IF(E24=1,Orders!Y21,"")</f>
        <v>0.35</v>
      </c>
      <c r="AQ24" s="33">
        <f>IF(Orders!X21,1,0)</f>
        <v>0</v>
      </c>
      <c r="AR24" s="34" t="str">
        <f>IF(AND(E24=1,L24=1),AJ24,"")</f>
        <v/>
      </c>
      <c r="AS24" s="34">
        <f>IF(AND(E24=1,L24=0),AJ24,"")</f>
        <v>4.6</v>
      </c>
      <c r="AT24" s="34" t="str">
        <f>IF(AND(E24=1,L24=1),AI24,"")</f>
        <v/>
      </c>
      <c r="AU24" s="34">
        <f>IF(AND(E24=1,L24=0),AI24,"")</f>
        <v>2.7</v>
      </c>
      <c r="AV24" s="34" t="str">
        <f>IF(AND(E24=1,L24=1),AG24,"")</f>
        <v/>
      </c>
      <c r="AW24" s="34">
        <f>IF(AND(E24=1,L24=0),AG24,"")</f>
        <v>10.5</v>
      </c>
      <c r="AX24" s="34" t="str">
        <f>IF(AND(E24=1,L24=1),AH24,"")</f>
        <v/>
      </c>
      <c r="AY24" s="34">
        <f>IF(AND(E24=1,L24=0),AH24,"")</f>
        <v>9.7</v>
      </c>
      <c r="AZ24" s="34" t="str">
        <f>IF(G24=1,F24,"")</f>
        <v/>
      </c>
      <c r="BA24" s="34" t="str">
        <f>IF(AND(G24=1,L24=1),F24,"")</f>
        <v/>
      </c>
      <c r="BB24" s="34" t="str">
        <f>IF(AND(G24=1,L24=0),F24,"")</f>
        <v/>
      </c>
      <c r="BC24" s="33">
        <f>IF(E24=1,IF(Orders!R21&gt;3,1,0),"")</f>
        <v>0</v>
      </c>
      <c r="BD24" s="33">
        <f>IF(E24=1,IF(Orders!R21&gt;7,1,0),"")</f>
        <v>0</v>
      </c>
      <c r="BE24" s="32" t="str">
        <f>IF(E24=1,IF(Orders!L21&lt;=1.5,"Up to 1.5 km",IF(Orders!L21&lt;=3,"1.5–3 km","Over 3 km")),"")</f>
        <v>Up to 1.5 km</v>
      </c>
      <c r="BF24" s="33">
        <f>IF(E24=1,IF(ABS((Orders!G21-Orders!F21)*1440-Orders!R21)&lt;0.06,1,0),"")</f>
        <v>1</v>
      </c>
      <c r="BG24" s="33">
        <f>IF(ABS((Orders!F21-Orders!E21)*1440-Orders!P21)&lt;0.06,1,0)</f>
        <v>1</v>
      </c>
      <c r="BH24" s="33">
        <f>IF(E24=1,IF(IF(Orders!S21,1,0)=1-G24,1,0),"")</f>
        <v>1</v>
      </c>
      <c r="BI24" s="32" t="str">
        <f>INDEX(Stores!$B$2:$B$21,MATCH(B24,Stores!$A$2:$A$21,0))</f>
        <v>Hyderabad</v>
      </c>
    </row>
    <row r="25">
      <c r="A25" s="32" t="str">
        <f>Orders!A22</f>
        <v>O00021</v>
      </c>
      <c r="B25" s="32" t="str">
        <f>Orders!C22</f>
        <v>S003</v>
      </c>
      <c r="C25" s="32" t="str">
        <f>Orders!B22</f>
        <v>C0073</v>
      </c>
      <c r="D25" s="32" t="str">
        <f>Orders!H22</f>
        <v>Delivered</v>
      </c>
      <c r="E25" s="33">
        <f>IF(Orders!H22="Delivered",1,0)</f>
        <v>1</v>
      </c>
      <c r="F25" s="34">
        <f>IF(E25=1,Orders!R22,"")</f>
        <v>-1</v>
      </c>
      <c r="G25" s="33">
        <f>IF(E25=1,IF(Orders!R22&gt;0,1,0),"")</f>
        <v>0</v>
      </c>
      <c r="H25" s="33">
        <f>IF(E25=1,IF(Orders!R22&gt;5,1,0),"")</f>
        <v>0</v>
      </c>
      <c r="I25" s="32" t="str">
        <f>IF(E25=1,"",IF(OR(Orders!T22="Rider unavailable",Orders!T22="Item unavailable"),"Company-caused","Unresolved"))</f>
        <v/>
      </c>
      <c r="J25" s="33">
        <f>IF(OR(E25=1,I25="Company-caused"),1,0)</f>
        <v>1</v>
      </c>
      <c r="K25" s="32" t="str">
        <f>IF(E25=0,IF(I25="Company-caused",IF(Orders!T22="Rider unavailable","C1 Rider unavailable","C2 Item unavailable"),"Outside root: unresolved"),IF(G25=0,"A On time",IF(H25=1,IF(L25=1,"B2a Severe, peak","B2b Severe, off-peak"),IF(L25=1,"B1a Slight, peak","B1b Slight, off-peak"))))</f>
        <v>A On time</v>
      </c>
      <c r="L25" s="33">
        <f>IF(AND(Orders!U22&gt;=19,Orders!U22&lt;22),1,0)</f>
        <v>0</v>
      </c>
      <c r="M25" s="33">
        <f>IF(L25=IF(Orders!V22,1,0),1,0)</f>
        <v>1</v>
      </c>
      <c r="N25" s="32" t="str">
        <f>IF(Orders!W22="","None",Orders!W22)</f>
        <v>None</v>
      </c>
      <c r="O25" s="35">
        <f>INT(Orders!E22)</f>
        <v>46268.0</v>
      </c>
      <c r="P25" s="33">
        <f>Orders!U22</f>
        <v>15</v>
      </c>
      <c r="Q25" s="33">
        <f>COUNTIFS(Demand!$A$2:$A$4481,B25,Demand!$B$2:$B$4481,O25,Demand!$C$2:$C$4481,P25)</f>
        <v>1</v>
      </c>
      <c r="R25" s="33">
        <f>IF(Q25=1,SUMIFS(Demand!$E$2:$E$4481,Demand!$A$2:$A$4481,B25,Demand!$B$2:$B$4481,O25,Demand!$C$2:$C$4481,P25),"")</f>
        <v>32</v>
      </c>
      <c r="S25" s="33">
        <f>INDEX(Stores!$G$2:$G$21,MATCH(B25,Stores!$A$2:$A$21,0))</f>
        <v>41</v>
      </c>
      <c r="T25" s="34">
        <f>IF(R25="","",R25/S25)</f>
        <v>0.780487804878049</v>
      </c>
      <c r="U25" s="34">
        <f>IF(E25=1,T25,"")</f>
        <v>0.780487804878049</v>
      </c>
      <c r="V25" s="34">
        <f>IF(AND(E25=1,L25=0),T25,"")</f>
        <v>0.780487804878049</v>
      </c>
      <c r="W25" s="33">
        <f>IF(U25="","",IF(U25&lt;=Breakdowns!$C$5,1,IF(U25&lt;=Breakdowns!$C$6,2,IF(U25&lt;=Breakdowns!$C$7,3,4))))</f>
        <v>1</v>
      </c>
      <c r="X25" s="33">
        <f>IF(V25="","",IF(V25&lt;=Breakdowns!$D$5,1,IF(V25&lt;=Breakdowns!$D$6,2,IF(V25&lt;=Breakdowns!$D$7,3,4))))</f>
        <v>2</v>
      </c>
      <c r="Y25" s="34">
        <f>INDEX(Stores!$F$2:$F$21,MATCH(B25,Stores!$A$2:$A$21,0))</f>
        <v>3.84</v>
      </c>
      <c r="Z25" s="33">
        <f>IF(Y25&gt;Store_Summary!$M$2,1,0)</f>
        <v>0</v>
      </c>
      <c r="AA25" s="33">
        <f>INDEX(Stores!$C$2:$C$21,MATCH(B25,Stores!$A$2:$A$21,0))</f>
        <v>426</v>
      </c>
      <c r="AB25" s="33">
        <f>IF(AA25&lt;180,1,0)</f>
        <v>0</v>
      </c>
      <c r="AC25" s="32" t="str">
        <f>IF(Orders!D22="","",INDEX(Riders!$C$2:$C$81,MATCH(Orders!D22,Riders!$A$2:$A$81,0)))</f>
        <v>EV scooter</v>
      </c>
      <c r="AD25" s="33">
        <f>IF(Orders!D22="","",INDEX(Riders!$D$2:$D$81,MATCH(Orders!D22,Riders!$A$2:$A$81,0)))</f>
        <v>9</v>
      </c>
      <c r="AE25" s="33">
        <f>IF(Orders!D22="","",IF(INDEX(Riders!$B$2:$B$81,MATCH(Orders!D22,Riders!$A$2:$A$81,0))=B25,1,0))</f>
        <v>0</v>
      </c>
      <c r="AF25" s="34">
        <f>IF(E25=1,Orders!L22,"")</f>
        <v>2.1</v>
      </c>
      <c r="AG25" s="34">
        <f>IF(E25=1,Orders!P22,"")</f>
        <v>12.4</v>
      </c>
      <c r="AH25" s="34">
        <f>IF(E25=1,Orders!Q22,"")</f>
        <v>11.4</v>
      </c>
      <c r="AI25" s="34">
        <f>IF(E25=1,Orders!M22,"")</f>
        <v>2.7</v>
      </c>
      <c r="AJ25" s="34">
        <f>IF(E25=1,Orders!N22,"")</f>
        <v>4.8</v>
      </c>
      <c r="AK25" s="34">
        <f>IF(E25=1,Orders!O22,"")</f>
        <v>3.9</v>
      </c>
      <c r="AL25" s="33">
        <f>IF(E25=1,IF(ROUND(ABS(AI25+AJ25+AK25-AH25),6)&lt;=0.1,1,0),"")</f>
        <v>1</v>
      </c>
      <c r="AM25" s="36">
        <f>IF(E25=1,AI25/AH25,"")</f>
        <v>0.236842105263158</v>
      </c>
      <c r="AN25" s="36">
        <f>IF(E25=1,AJ25/AH25,"")</f>
        <v>0.421052631578947</v>
      </c>
      <c r="AO25" s="36">
        <f>IF(E25=1,AK25/AH25,"")</f>
        <v>0.342105263157895</v>
      </c>
      <c r="AP25" s="34">
        <f>IF(E25=1,Orders!Y22,"")</f>
        <v>0.51</v>
      </c>
      <c r="AQ25" s="33">
        <f>IF(Orders!X22,1,0)</f>
        <v>0</v>
      </c>
      <c r="AR25" s="34" t="str">
        <f>IF(AND(E25=1,L25=1),AJ25,"")</f>
        <v/>
      </c>
      <c r="AS25" s="34">
        <f>IF(AND(E25=1,L25=0),AJ25,"")</f>
        <v>4.8</v>
      </c>
      <c r="AT25" s="34" t="str">
        <f>IF(AND(E25=1,L25=1),AI25,"")</f>
        <v/>
      </c>
      <c r="AU25" s="34">
        <f>IF(AND(E25=1,L25=0),AI25,"")</f>
        <v>2.7</v>
      </c>
      <c r="AV25" s="34" t="str">
        <f>IF(AND(E25=1,L25=1),AG25,"")</f>
        <v/>
      </c>
      <c r="AW25" s="34">
        <f>IF(AND(E25=1,L25=0),AG25,"")</f>
        <v>12.4</v>
      </c>
      <c r="AX25" s="34" t="str">
        <f>IF(AND(E25=1,L25=1),AH25,"")</f>
        <v/>
      </c>
      <c r="AY25" s="34">
        <f>IF(AND(E25=1,L25=0),AH25,"")</f>
        <v>11.4</v>
      </c>
      <c r="AZ25" s="34" t="str">
        <f>IF(G25=1,F25,"")</f>
        <v/>
      </c>
      <c r="BA25" s="34" t="str">
        <f>IF(AND(G25=1,L25=1),F25,"")</f>
        <v/>
      </c>
      <c r="BB25" s="34" t="str">
        <f>IF(AND(G25=1,L25=0),F25,"")</f>
        <v/>
      </c>
      <c r="BC25" s="33">
        <f>IF(E25=1,IF(Orders!R22&gt;3,1,0),"")</f>
        <v>0</v>
      </c>
      <c r="BD25" s="33">
        <f>IF(E25=1,IF(Orders!R22&gt;7,1,0),"")</f>
        <v>0</v>
      </c>
      <c r="BE25" s="32" t="str">
        <f>IF(E25=1,IF(Orders!L22&lt;=1.5,"Up to 1.5 km",IF(Orders!L22&lt;=3,"1.5–3 km","Over 3 km")),"")</f>
        <v>1.5–3 km</v>
      </c>
      <c r="BF25" s="33">
        <f>IF(E25=1,IF(ABS((Orders!G22-Orders!F22)*1440-Orders!R22)&lt;0.06,1,0),"")</f>
        <v>1</v>
      </c>
      <c r="BG25" s="33">
        <f>IF(ABS((Orders!F22-Orders!E22)*1440-Orders!P22)&lt;0.06,1,0)</f>
        <v>1</v>
      </c>
      <c r="BH25" s="33">
        <f>IF(E25=1,IF(IF(Orders!S22,1,0)=1-G25,1,0),"")</f>
        <v>1</v>
      </c>
      <c r="BI25" s="32" t="str">
        <f>INDEX(Stores!$B$2:$B$21,MATCH(B25,Stores!$A$2:$A$21,0))</f>
        <v>Mumbai</v>
      </c>
    </row>
    <row r="26">
      <c r="A26" s="32" t="str">
        <f>Orders!A23</f>
        <v>O00022</v>
      </c>
      <c r="B26" s="32" t="str">
        <f>Orders!C23</f>
        <v>S012</v>
      </c>
      <c r="C26" s="32" t="str">
        <f>Orders!B23</f>
        <v>C0173</v>
      </c>
      <c r="D26" s="32" t="str">
        <f>Orders!H23</f>
        <v>Delivered</v>
      </c>
      <c r="E26" s="33">
        <f>IF(Orders!H23="Delivered",1,0)</f>
        <v>1</v>
      </c>
      <c r="F26" s="34">
        <f>IF(E26=1,Orders!R23,"")</f>
        <v>-0.6</v>
      </c>
      <c r="G26" s="33">
        <f>IF(E26=1,IF(Orders!R23&gt;0,1,0),"")</f>
        <v>0</v>
      </c>
      <c r="H26" s="33">
        <f>IF(E26=1,IF(Orders!R23&gt;5,1,0),"")</f>
        <v>0</v>
      </c>
      <c r="I26" s="32" t="str">
        <f>IF(E26=1,"",IF(OR(Orders!T23="Rider unavailable",Orders!T23="Item unavailable"),"Company-caused","Unresolved"))</f>
        <v/>
      </c>
      <c r="J26" s="33">
        <f>IF(OR(E26=1,I26="Company-caused"),1,0)</f>
        <v>1</v>
      </c>
      <c r="K26" s="32" t="str">
        <f>IF(E26=0,IF(I26="Company-caused",IF(Orders!T23="Rider unavailable","C1 Rider unavailable","C2 Item unavailable"),"Outside root: unresolved"),IF(G26=0,"A On time",IF(H26=1,IF(L26=1,"B2a Severe, peak","B2b Severe, off-peak"),IF(L26=1,"B1a Slight, peak","B1b Slight, off-peak"))))</f>
        <v>A On time</v>
      </c>
      <c r="L26" s="33">
        <f>IF(AND(Orders!U23&gt;=19,Orders!U23&lt;22),1,0)</f>
        <v>0</v>
      </c>
      <c r="M26" s="33">
        <f>IF(L26=IF(Orders!V23,1,0),1,0)</f>
        <v>1</v>
      </c>
      <c r="N26" s="32" t="str">
        <f>IF(Orders!W23="","None",Orders!W23)</f>
        <v>Light</v>
      </c>
      <c r="O26" s="35">
        <f>INT(Orders!E23)</f>
        <v>46279.0</v>
      </c>
      <c r="P26" s="33">
        <f>Orders!U23</f>
        <v>22</v>
      </c>
      <c r="Q26" s="33">
        <f>COUNTIFS(Demand!$A$2:$A$4481,B26,Demand!$B$2:$B$4481,O26,Demand!$C$2:$C$4481,P26)</f>
        <v>1</v>
      </c>
      <c r="R26" s="33">
        <f>IF(Q26=1,SUMIFS(Demand!$E$2:$E$4481,Demand!$A$2:$A$4481,B26,Demand!$B$2:$B$4481,O26,Demand!$C$2:$C$4481,P26),"")</f>
        <v>12</v>
      </c>
      <c r="S26" s="33">
        <f>INDEX(Stores!$G$2:$G$21,MATCH(B26,Stores!$A$2:$A$21,0))</f>
        <v>15</v>
      </c>
      <c r="T26" s="34">
        <f>IF(R26="","",R26/S26)</f>
        <v>0.8</v>
      </c>
      <c r="U26" s="34">
        <f>IF(E26=1,T26,"")</f>
        <v>0.8</v>
      </c>
      <c r="V26" s="34">
        <f>IF(AND(E26=1,L26=0),T26,"")</f>
        <v>0.8</v>
      </c>
      <c r="W26" s="33">
        <f>IF(U26="","",IF(U26&lt;=Breakdowns!$C$5,1,IF(U26&lt;=Breakdowns!$C$6,2,IF(U26&lt;=Breakdowns!$C$7,3,4))))</f>
        <v>2</v>
      </c>
      <c r="X26" s="33">
        <f>IF(V26="","",IF(V26&lt;=Breakdowns!$D$5,1,IF(V26&lt;=Breakdowns!$D$6,2,IF(V26&lt;=Breakdowns!$D$7,3,4))))</f>
        <v>2</v>
      </c>
      <c r="Y26" s="34">
        <f>INDEX(Stores!$F$2:$F$21,MATCH(B26,Stores!$A$2:$A$21,0))</f>
        <v>5.23</v>
      </c>
      <c r="Z26" s="33">
        <f>IF(Y26&gt;Store_Summary!$M$2,1,0)</f>
        <v>1</v>
      </c>
      <c r="AA26" s="33">
        <f>INDEX(Stores!$C$2:$C$21,MATCH(B26,Stores!$A$2:$A$21,0))</f>
        <v>300</v>
      </c>
      <c r="AB26" s="33">
        <f>IF(AA26&lt;180,1,0)</f>
        <v>0</v>
      </c>
      <c r="AC26" s="32" t="str">
        <f>IF(Orders!D23="","",INDEX(Riders!$C$2:$C$81,MATCH(Orders!D23,Riders!$A$2:$A$81,0)))</f>
        <v>Petrol scooter</v>
      </c>
      <c r="AD26" s="33">
        <f>IF(Orders!D23="","",INDEX(Riders!$D$2:$D$81,MATCH(Orders!D23,Riders!$A$2:$A$81,0)))</f>
        <v>40</v>
      </c>
      <c r="AE26" s="33">
        <f>IF(Orders!D23="","",IF(INDEX(Riders!$B$2:$B$81,MATCH(Orders!D23,Riders!$A$2:$A$81,0))=B26,1,0))</f>
        <v>0</v>
      </c>
      <c r="AF26" s="34">
        <f>IF(E26=1,Orders!L23,"")</f>
        <v>1.45</v>
      </c>
      <c r="AG26" s="34">
        <f>IF(E26=1,Orders!P23,"")</f>
        <v>11.4</v>
      </c>
      <c r="AH26" s="34">
        <f>IF(E26=1,Orders!Q23,"")</f>
        <v>10.8</v>
      </c>
      <c r="AI26" s="34">
        <f>IF(E26=1,Orders!M23,"")</f>
        <v>4.3</v>
      </c>
      <c r="AJ26" s="34">
        <f>IF(E26=1,Orders!N23,"")</f>
        <v>3.9</v>
      </c>
      <c r="AK26" s="34">
        <f>IF(E26=1,Orders!O23,"")</f>
        <v>2.6</v>
      </c>
      <c r="AL26" s="33">
        <f>IF(E26=1,IF(ROUND(ABS(AI26+AJ26+AK26-AH26),6)&lt;=0.1,1,0),"")</f>
        <v>1</v>
      </c>
      <c r="AM26" s="36">
        <f>IF(E26=1,AI26/AH26,"")</f>
        <v>0.398148148148148</v>
      </c>
      <c r="AN26" s="36">
        <f>IF(E26=1,AJ26/AH26,"")</f>
        <v>0.361111111111111</v>
      </c>
      <c r="AO26" s="36">
        <f>IF(E26=1,AK26/AH26,"")</f>
        <v>0.240740740740741</v>
      </c>
      <c r="AP26" s="34">
        <f>IF(E26=1,Orders!Y23,"")</f>
        <v>0.29</v>
      </c>
      <c r="AQ26" s="33">
        <f>IF(Orders!X23,1,0)</f>
        <v>0</v>
      </c>
      <c r="AR26" s="34" t="str">
        <f>IF(AND(E26=1,L26=1),AJ26,"")</f>
        <v/>
      </c>
      <c r="AS26" s="34">
        <f>IF(AND(E26=1,L26=0),AJ26,"")</f>
        <v>3.9</v>
      </c>
      <c r="AT26" s="34" t="str">
        <f>IF(AND(E26=1,L26=1),AI26,"")</f>
        <v/>
      </c>
      <c r="AU26" s="34">
        <f>IF(AND(E26=1,L26=0),AI26,"")</f>
        <v>4.3</v>
      </c>
      <c r="AV26" s="34" t="str">
        <f>IF(AND(E26=1,L26=1),AG26,"")</f>
        <v/>
      </c>
      <c r="AW26" s="34">
        <f>IF(AND(E26=1,L26=0),AG26,"")</f>
        <v>11.4</v>
      </c>
      <c r="AX26" s="34" t="str">
        <f>IF(AND(E26=1,L26=1),AH26,"")</f>
        <v/>
      </c>
      <c r="AY26" s="34">
        <f>IF(AND(E26=1,L26=0),AH26,"")</f>
        <v>10.8</v>
      </c>
      <c r="AZ26" s="34" t="str">
        <f>IF(G26=1,F26,"")</f>
        <v/>
      </c>
      <c r="BA26" s="34" t="str">
        <f>IF(AND(G26=1,L26=1),F26,"")</f>
        <v/>
      </c>
      <c r="BB26" s="34" t="str">
        <f>IF(AND(G26=1,L26=0),F26,"")</f>
        <v/>
      </c>
      <c r="BC26" s="33">
        <f>IF(E26=1,IF(Orders!R23&gt;3,1,0),"")</f>
        <v>0</v>
      </c>
      <c r="BD26" s="33">
        <f>IF(E26=1,IF(Orders!R23&gt;7,1,0),"")</f>
        <v>0</v>
      </c>
      <c r="BE26" s="32" t="str">
        <f>IF(E26=1,IF(Orders!L23&lt;=1.5,"Up to 1.5 km",IF(Orders!L23&lt;=3,"1.5–3 km","Over 3 km")),"")</f>
        <v>Up to 1.5 km</v>
      </c>
      <c r="BF26" s="33">
        <f>IF(E26=1,IF(ABS((Orders!G23-Orders!F23)*1440-Orders!R23)&lt;0.06,1,0),"")</f>
        <v>1</v>
      </c>
      <c r="BG26" s="33">
        <f>IF(ABS((Orders!F23-Orders!E23)*1440-Orders!P23)&lt;0.06,1,0)</f>
        <v>1</v>
      </c>
      <c r="BH26" s="33">
        <f>IF(E26=1,IF(IF(Orders!S23,1,0)=1-G26,1,0),"")</f>
        <v>1</v>
      </c>
      <c r="BI26" s="32" t="str">
        <f>INDEX(Stores!$B$2:$B$21,MATCH(B26,Stores!$A$2:$A$21,0))</f>
        <v>Hyderabad</v>
      </c>
    </row>
    <row r="27">
      <c r="A27" s="32" t="str">
        <f>Orders!A24</f>
        <v>O00023</v>
      </c>
      <c r="B27" s="32" t="str">
        <f>Orders!C24</f>
        <v>S020</v>
      </c>
      <c r="C27" s="32" t="str">
        <f>Orders!B24</f>
        <v>C0070</v>
      </c>
      <c r="D27" s="32" t="str">
        <f>Orders!H24</f>
        <v>Delivered</v>
      </c>
      <c r="E27" s="33">
        <f>IF(Orders!H24="Delivered",1,0)</f>
        <v>1</v>
      </c>
      <c r="F27" s="34">
        <f>IF(E27=1,Orders!R24,"")</f>
        <v>6.1</v>
      </c>
      <c r="G27" s="33">
        <f>IF(E27=1,IF(Orders!R24&gt;0,1,0),"")</f>
        <v>1</v>
      </c>
      <c r="H27" s="33">
        <f>IF(E27=1,IF(Orders!R24&gt;5,1,0),"")</f>
        <v>1</v>
      </c>
      <c r="I27" s="32" t="str">
        <f>IF(E27=1,"",IF(OR(Orders!T24="Rider unavailable",Orders!T24="Item unavailable"),"Company-caused","Unresolved"))</f>
        <v/>
      </c>
      <c r="J27" s="33">
        <f>IF(OR(E27=1,I27="Company-caused"),1,0)</f>
        <v>1</v>
      </c>
      <c r="K27" s="32" t="str">
        <f>IF(E27=0,IF(I27="Company-caused",IF(Orders!T24="Rider unavailable","C1 Rider unavailable","C2 Item unavailable"),"Outside root: unresolved"),IF(G27=0,"A On time",IF(H27=1,IF(L27=1,"B2a Severe, peak","B2b Severe, off-peak"),IF(L27=1,"B1a Slight, peak","B1b Slight, off-peak"))))</f>
        <v>B2b Severe, off-peak</v>
      </c>
      <c r="L27" s="33">
        <f>IF(AND(Orders!U24&gt;=19,Orders!U24&lt;22),1,0)</f>
        <v>0</v>
      </c>
      <c r="M27" s="33">
        <f>IF(L27=IF(Orders!V24,1,0),1,0)</f>
        <v>1</v>
      </c>
      <c r="N27" s="32" t="str">
        <f>IF(Orders!W24="","None",Orders!W24)</f>
        <v>None</v>
      </c>
      <c r="O27" s="35">
        <f>INT(Orders!E24)</f>
        <v>46274.0</v>
      </c>
      <c r="P27" s="33">
        <f>Orders!U24</f>
        <v>23</v>
      </c>
      <c r="Q27" s="33">
        <f>COUNTIFS(Demand!$A$2:$A$4481,B27,Demand!$B$2:$B$4481,O27,Demand!$C$2:$C$4481,P27)</f>
        <v>1</v>
      </c>
      <c r="R27" s="33">
        <f>IF(Q27=1,SUMIFS(Demand!$E$2:$E$4481,Demand!$A$2:$A$4481,B27,Demand!$B$2:$B$4481,O27,Demand!$C$2:$C$4481,P27),"")</f>
        <v>14</v>
      </c>
      <c r="S27" s="33">
        <f>INDEX(Stores!$G$2:$G$21,MATCH(B27,Stores!$A$2:$A$21,0))</f>
        <v>15</v>
      </c>
      <c r="T27" s="34">
        <f>IF(R27="","",R27/S27)</f>
        <v>0.933333333333333</v>
      </c>
      <c r="U27" s="34">
        <f>IF(E27=1,T27,"")</f>
        <v>0.933333333333333</v>
      </c>
      <c r="V27" s="34">
        <f>IF(AND(E27=1,L27=0),T27,"")</f>
        <v>0.933333333333333</v>
      </c>
      <c r="W27" s="33">
        <f>IF(U27="","",IF(U27&lt;=Breakdowns!$C$5,1,IF(U27&lt;=Breakdowns!$C$6,2,IF(U27&lt;=Breakdowns!$C$7,3,4))))</f>
        <v>2</v>
      </c>
      <c r="X27" s="33">
        <f>IF(V27="","",IF(V27&lt;=Breakdowns!$D$5,1,IF(V27&lt;=Breakdowns!$D$6,2,IF(V27&lt;=Breakdowns!$D$7,3,4))))</f>
        <v>3</v>
      </c>
      <c r="Y27" s="34">
        <f>INDEX(Stores!$F$2:$F$21,MATCH(B27,Stores!$A$2:$A$21,0))</f>
        <v>5.74</v>
      </c>
      <c r="Z27" s="33">
        <f>IF(Y27&gt;Store_Summary!$M$2,1,0)</f>
        <v>1</v>
      </c>
      <c r="AA27" s="33">
        <f>INDEX(Stores!$C$2:$C$21,MATCH(B27,Stores!$A$2:$A$21,0))</f>
        <v>647</v>
      </c>
      <c r="AB27" s="33">
        <f>IF(AA27&lt;180,1,0)</f>
        <v>0</v>
      </c>
      <c r="AC27" s="32" t="str">
        <f>IF(Orders!D24="","",INDEX(Riders!$C$2:$C$81,MATCH(Orders!D24,Riders!$A$2:$A$81,0)))</f>
        <v>Petrol scooter</v>
      </c>
      <c r="AD27" s="33">
        <f>IF(Orders!D24="","",INDEX(Riders!$D$2:$D$81,MATCH(Orders!D24,Riders!$A$2:$A$81,0)))</f>
        <v>24</v>
      </c>
      <c r="AE27" s="33">
        <f>IF(Orders!D24="","",IF(INDEX(Riders!$B$2:$B$81,MATCH(Orders!D24,Riders!$A$2:$A$81,0))=B27,1,0))</f>
        <v>0</v>
      </c>
      <c r="AF27" s="34">
        <f>IF(E27=1,Orders!L24,"")</f>
        <v>2.35</v>
      </c>
      <c r="AG27" s="34">
        <f>IF(E27=1,Orders!P24,"")</f>
        <v>10.7</v>
      </c>
      <c r="AH27" s="34">
        <f>IF(E27=1,Orders!Q24,"")</f>
        <v>16.8</v>
      </c>
      <c r="AI27" s="34">
        <f>IF(E27=1,Orders!M24,"")</f>
        <v>6.6</v>
      </c>
      <c r="AJ27" s="34">
        <f>IF(E27=1,Orders!N24,"")</f>
        <v>3.7</v>
      </c>
      <c r="AK27" s="34">
        <f>IF(E27=1,Orders!O24,"")</f>
        <v>6.4</v>
      </c>
      <c r="AL27" s="33">
        <f>IF(E27=1,IF(ROUND(ABS(AI27+AJ27+AK27-AH27),6)&lt;=0.1,1,0),"")</f>
        <v>1</v>
      </c>
      <c r="AM27" s="36">
        <f>IF(E27=1,AI27/AH27,"")</f>
        <v>0.392857142857143</v>
      </c>
      <c r="AN27" s="36">
        <f>IF(E27=1,AJ27/AH27,"")</f>
        <v>0.220238095238095</v>
      </c>
      <c r="AO27" s="36">
        <f>IF(E27=1,AK27/AH27,"")</f>
        <v>0.380952380952381</v>
      </c>
      <c r="AP27" s="34">
        <f>IF(E27=1,Orders!Y24,"")</f>
        <v>0.68</v>
      </c>
      <c r="AQ27" s="33">
        <f>IF(Orders!X24,1,0)</f>
        <v>0</v>
      </c>
      <c r="AR27" s="34" t="str">
        <f>IF(AND(E27=1,L27=1),AJ27,"")</f>
        <v/>
      </c>
      <c r="AS27" s="34">
        <f>IF(AND(E27=1,L27=0),AJ27,"")</f>
        <v>3.7</v>
      </c>
      <c r="AT27" s="34" t="str">
        <f>IF(AND(E27=1,L27=1),AI27,"")</f>
        <v/>
      </c>
      <c r="AU27" s="34">
        <f>IF(AND(E27=1,L27=0),AI27,"")</f>
        <v>6.6</v>
      </c>
      <c r="AV27" s="34" t="str">
        <f>IF(AND(E27=1,L27=1),AG27,"")</f>
        <v/>
      </c>
      <c r="AW27" s="34">
        <f>IF(AND(E27=1,L27=0),AG27,"")</f>
        <v>10.7</v>
      </c>
      <c r="AX27" s="34" t="str">
        <f>IF(AND(E27=1,L27=1),AH27,"")</f>
        <v/>
      </c>
      <c r="AY27" s="34">
        <f>IF(AND(E27=1,L27=0),AH27,"")</f>
        <v>16.8</v>
      </c>
      <c r="AZ27" s="34">
        <f>IF(G27=1,F27,"")</f>
        <v>6.1</v>
      </c>
      <c r="BA27" s="34" t="str">
        <f>IF(AND(G27=1,L27=1),F27,"")</f>
        <v/>
      </c>
      <c r="BB27" s="34">
        <f>IF(AND(G27=1,L27=0),F27,"")</f>
        <v>6.1</v>
      </c>
      <c r="BC27" s="33">
        <f>IF(E27=1,IF(Orders!R24&gt;3,1,0),"")</f>
        <v>1</v>
      </c>
      <c r="BD27" s="33">
        <f>IF(E27=1,IF(Orders!R24&gt;7,1,0),"")</f>
        <v>0</v>
      </c>
      <c r="BE27" s="32" t="str">
        <f>IF(E27=1,IF(Orders!L24&lt;=1.5,"Up to 1.5 km",IF(Orders!L24&lt;=3,"1.5–3 km","Over 3 km")),"")</f>
        <v>1.5–3 km</v>
      </c>
      <c r="BF27" s="33">
        <f>IF(E27=1,IF(ABS((Orders!G24-Orders!F24)*1440-Orders!R24)&lt;0.06,1,0),"")</f>
        <v>1</v>
      </c>
      <c r="BG27" s="33">
        <f>IF(ABS((Orders!F24-Orders!E24)*1440-Orders!P24)&lt;0.06,1,0)</f>
        <v>1</v>
      </c>
      <c r="BH27" s="33">
        <f>IF(E27=1,IF(IF(Orders!S24,1,0)=1-G27,1,0),"")</f>
        <v>1</v>
      </c>
      <c r="BI27" s="32" t="str">
        <f>INDEX(Stores!$B$2:$B$21,MATCH(B27,Stores!$A$2:$A$21,0))</f>
        <v>Delhi</v>
      </c>
    </row>
    <row r="28">
      <c r="A28" s="32" t="str">
        <f>Orders!A25</f>
        <v>O00024</v>
      </c>
      <c r="B28" s="32" t="str">
        <f>Orders!C25</f>
        <v>S002</v>
      </c>
      <c r="C28" s="32" t="str">
        <f>Orders!B25</f>
        <v>C0034</v>
      </c>
      <c r="D28" s="32" t="str">
        <f>Orders!H25</f>
        <v>Delivered</v>
      </c>
      <c r="E28" s="33">
        <f>IF(Orders!H25="Delivered",1,0)</f>
        <v>1</v>
      </c>
      <c r="F28" s="34">
        <f>IF(E28=1,Orders!R25,"")</f>
        <v>2.3</v>
      </c>
      <c r="G28" s="33">
        <f>IF(E28=1,IF(Orders!R25&gt;0,1,0),"")</f>
        <v>1</v>
      </c>
      <c r="H28" s="33">
        <f>IF(E28=1,IF(Orders!R25&gt;5,1,0),"")</f>
        <v>0</v>
      </c>
      <c r="I28" s="32" t="str">
        <f>IF(E28=1,"",IF(OR(Orders!T25="Rider unavailable",Orders!T25="Item unavailable"),"Company-caused","Unresolved"))</f>
        <v/>
      </c>
      <c r="J28" s="33">
        <f>IF(OR(E28=1,I28="Company-caused"),1,0)</f>
        <v>1</v>
      </c>
      <c r="K28" s="32" t="str">
        <f>IF(E28=0,IF(I28="Company-caused",IF(Orders!T25="Rider unavailable","C1 Rider unavailable","C2 Item unavailable"),"Outside root: unresolved"),IF(G28=0,"A On time",IF(H28=1,IF(L28=1,"B2a Severe, peak","B2b Severe, off-peak"),IF(L28=1,"B1a Slight, peak","B1b Slight, off-peak"))))</f>
        <v>B1a Slight, peak</v>
      </c>
      <c r="L28" s="33">
        <f>IF(AND(Orders!U25&gt;=19,Orders!U25&lt;22),1,0)</f>
        <v>1</v>
      </c>
      <c r="M28" s="33">
        <f>IF(L28=IF(Orders!V25,1,0),1,0)</f>
        <v>1</v>
      </c>
      <c r="N28" s="32" t="str">
        <f>IF(Orders!W25="","None",Orders!W25)</f>
        <v>None</v>
      </c>
      <c r="O28" s="35">
        <f>INT(Orders!E25)</f>
        <v>46273.0</v>
      </c>
      <c r="P28" s="33">
        <f>Orders!U25</f>
        <v>21</v>
      </c>
      <c r="Q28" s="33">
        <f>COUNTIFS(Demand!$A$2:$A$4481,B28,Demand!$B$2:$B$4481,O28,Demand!$C$2:$C$4481,P28)</f>
        <v>1</v>
      </c>
      <c r="R28" s="33">
        <f>IF(Q28=1,SUMIFS(Demand!$E$2:$E$4481,Demand!$A$2:$A$4481,B28,Demand!$B$2:$B$4481,O28,Demand!$C$2:$C$4481,P28),"")</f>
        <v>61</v>
      </c>
      <c r="S28" s="33">
        <f>INDEX(Stores!$G$2:$G$21,MATCH(B28,Stores!$A$2:$A$21,0))</f>
        <v>33</v>
      </c>
      <c r="T28" s="34">
        <f>IF(R28="","",R28/S28)</f>
        <v>1.84848484848485</v>
      </c>
      <c r="U28" s="34">
        <f>IF(E28=1,T28,"")</f>
        <v>1.84848484848485</v>
      </c>
      <c r="V28" s="34" t="str">
        <f>IF(AND(E28=1,L28=0),T28,"")</f>
        <v/>
      </c>
      <c r="W28" s="33">
        <f>IF(U28="","",IF(U28&lt;=Breakdowns!$C$5,1,IF(U28&lt;=Breakdowns!$C$6,2,IF(U28&lt;=Breakdowns!$C$7,3,4))))</f>
        <v>4</v>
      </c>
      <c r="X28" s="33" t="str">
        <f>IF(V28="","",IF(V28&lt;=Breakdowns!$D$5,1,IF(V28&lt;=Breakdowns!$D$6,2,IF(V28&lt;=Breakdowns!$D$7,3,4))))</f>
        <v/>
      </c>
      <c r="Y28" s="34">
        <f>INDEX(Stores!$F$2:$F$21,MATCH(B28,Stores!$A$2:$A$21,0))</f>
        <v>2.39</v>
      </c>
      <c r="Z28" s="33">
        <f>IF(Y28&gt;Store_Summary!$M$2,1,0)</f>
        <v>0</v>
      </c>
      <c r="AA28" s="33">
        <f>INDEX(Stores!$C$2:$C$21,MATCH(B28,Stores!$A$2:$A$21,0))</f>
        <v>470</v>
      </c>
      <c r="AB28" s="33">
        <f>IF(AA28&lt;180,1,0)</f>
        <v>0</v>
      </c>
      <c r="AC28" s="32" t="str">
        <f>IF(Orders!D25="","",INDEX(Riders!$C$2:$C$81,MATCH(Orders!D25,Riders!$A$2:$A$81,0)))</f>
        <v>Petrol scooter</v>
      </c>
      <c r="AD28" s="33">
        <f>IF(Orders!D25="","",INDEX(Riders!$D$2:$D$81,MATCH(Orders!D25,Riders!$A$2:$A$81,0)))</f>
        <v>29</v>
      </c>
      <c r="AE28" s="33">
        <f>IF(Orders!D25="","",IF(INDEX(Riders!$B$2:$B$81,MATCH(Orders!D25,Riders!$A$2:$A$81,0))=B28,1,0))</f>
        <v>0</v>
      </c>
      <c r="AF28" s="34">
        <f>IF(E28=1,Orders!L25,"")</f>
        <v>0.5</v>
      </c>
      <c r="AG28" s="34">
        <f>IF(E28=1,Orders!P25,"")</f>
        <v>10.6</v>
      </c>
      <c r="AH28" s="34">
        <f>IF(E28=1,Orders!Q25,"")</f>
        <v>12.9</v>
      </c>
      <c r="AI28" s="34">
        <f>IF(E28=1,Orders!M25,"")</f>
        <v>3.2</v>
      </c>
      <c r="AJ28" s="34">
        <f>IF(E28=1,Orders!N25,"")</f>
        <v>7.7</v>
      </c>
      <c r="AK28" s="34">
        <f>IF(E28=1,Orders!O25,"")</f>
        <v>2</v>
      </c>
      <c r="AL28" s="33">
        <f>IF(E28=1,IF(ROUND(ABS(AI28+AJ28+AK28-AH28),6)&lt;=0.1,1,0),"")</f>
        <v>1</v>
      </c>
      <c r="AM28" s="36">
        <f>IF(E28=1,AI28/AH28,"")</f>
        <v>0.248062015503876</v>
      </c>
      <c r="AN28" s="36">
        <f>IF(E28=1,AJ28/AH28,"")</f>
        <v>0.596899224806202</v>
      </c>
      <c r="AO28" s="36">
        <f>IF(E28=1,AK28/AH28,"")</f>
        <v>0.155038759689922</v>
      </c>
      <c r="AP28" s="34">
        <f>IF(E28=1,Orders!Y25,"")</f>
        <v>0.32</v>
      </c>
      <c r="AQ28" s="33">
        <f>IF(Orders!X25,1,0)</f>
        <v>0</v>
      </c>
      <c r="AR28" s="34">
        <f>IF(AND(E28=1,L28=1),AJ28,"")</f>
        <v>7.7</v>
      </c>
      <c r="AS28" s="34" t="str">
        <f>IF(AND(E28=1,L28=0),AJ28,"")</f>
        <v/>
      </c>
      <c r="AT28" s="34">
        <f>IF(AND(E28=1,L28=1),AI28,"")</f>
        <v>3.2</v>
      </c>
      <c r="AU28" s="34" t="str">
        <f>IF(AND(E28=1,L28=0),AI28,"")</f>
        <v/>
      </c>
      <c r="AV28" s="34">
        <f>IF(AND(E28=1,L28=1),AG28,"")</f>
        <v>10.6</v>
      </c>
      <c r="AW28" s="34" t="str">
        <f>IF(AND(E28=1,L28=0),AG28,"")</f>
        <v/>
      </c>
      <c r="AX28" s="34">
        <f>IF(AND(E28=1,L28=1),AH28,"")</f>
        <v>12.9</v>
      </c>
      <c r="AY28" s="34" t="str">
        <f>IF(AND(E28=1,L28=0),AH28,"")</f>
        <v/>
      </c>
      <c r="AZ28" s="34">
        <f>IF(G28=1,F28,"")</f>
        <v>2.3</v>
      </c>
      <c r="BA28" s="34">
        <f>IF(AND(G28=1,L28=1),F28,"")</f>
        <v>2.3</v>
      </c>
      <c r="BB28" s="34" t="str">
        <f>IF(AND(G28=1,L28=0),F28,"")</f>
        <v/>
      </c>
      <c r="BC28" s="33">
        <f>IF(E28=1,IF(Orders!R25&gt;3,1,0),"")</f>
        <v>0</v>
      </c>
      <c r="BD28" s="33">
        <f>IF(E28=1,IF(Orders!R25&gt;7,1,0),"")</f>
        <v>0</v>
      </c>
      <c r="BE28" s="32" t="str">
        <f>IF(E28=1,IF(Orders!L25&lt;=1.5,"Up to 1.5 km",IF(Orders!L25&lt;=3,"1.5–3 km","Over 3 km")),"")</f>
        <v>Up to 1.5 km</v>
      </c>
      <c r="BF28" s="33">
        <f>IF(E28=1,IF(ABS((Orders!G25-Orders!F25)*1440-Orders!R25)&lt;0.06,1,0),"")</f>
        <v>1</v>
      </c>
      <c r="BG28" s="33">
        <f>IF(ABS((Orders!F25-Orders!E25)*1440-Orders!P25)&lt;0.06,1,0)</f>
        <v>1</v>
      </c>
      <c r="BH28" s="33">
        <f>IF(E28=1,IF(IF(Orders!S25,1,0)=1-G28,1,0),"")</f>
        <v>1</v>
      </c>
      <c r="BI28" s="32" t="str">
        <f>INDEX(Stores!$B$2:$B$21,MATCH(B28,Stores!$A$2:$A$21,0))</f>
        <v>Hyderabad</v>
      </c>
    </row>
    <row r="29">
      <c r="A29" s="32" t="str">
        <f>Orders!A26</f>
        <v>O00025</v>
      </c>
      <c r="B29" s="32" t="str">
        <f>Orders!C26</f>
        <v>S009</v>
      </c>
      <c r="C29" s="32" t="str">
        <f>Orders!B26</f>
        <v>C0141</v>
      </c>
      <c r="D29" s="32" t="str">
        <f>Orders!H26</f>
        <v>Delivered</v>
      </c>
      <c r="E29" s="33">
        <f>IF(Orders!H26="Delivered",1,0)</f>
        <v>1</v>
      </c>
      <c r="F29" s="34">
        <f>IF(E29=1,Orders!R26,"")</f>
        <v>4</v>
      </c>
      <c r="G29" s="33">
        <f>IF(E29=1,IF(Orders!R26&gt;0,1,0),"")</f>
        <v>1</v>
      </c>
      <c r="H29" s="33">
        <f>IF(E29=1,IF(Orders!R26&gt;5,1,0),"")</f>
        <v>0</v>
      </c>
      <c r="I29" s="32" t="str">
        <f>IF(E29=1,"",IF(OR(Orders!T26="Rider unavailable",Orders!T26="Item unavailable"),"Company-caused","Unresolved"))</f>
        <v/>
      </c>
      <c r="J29" s="33">
        <f>IF(OR(E29=1,I29="Company-caused"),1,0)</f>
        <v>1</v>
      </c>
      <c r="K29" s="32" t="str">
        <f>IF(E29=0,IF(I29="Company-caused",IF(Orders!T26="Rider unavailable","C1 Rider unavailable","C2 Item unavailable"),"Outside root: unresolved"),IF(G29=0,"A On time",IF(H29=1,IF(L29=1,"B2a Severe, peak","B2b Severe, off-peak"),IF(L29=1,"B1a Slight, peak","B1b Slight, off-peak"))))</f>
        <v>B1b Slight, off-peak</v>
      </c>
      <c r="L29" s="33">
        <f>IF(AND(Orders!U26&gt;=19,Orders!U26&lt;22),1,0)</f>
        <v>0</v>
      </c>
      <c r="M29" s="33">
        <f>IF(L29=IF(Orders!V26,1,0),1,0)</f>
        <v>1</v>
      </c>
      <c r="N29" s="32" t="str">
        <f>IF(Orders!W26="","None",Orders!W26)</f>
        <v>None</v>
      </c>
      <c r="O29" s="35">
        <f>INT(Orders!E26)</f>
        <v>46268.0</v>
      </c>
      <c r="P29" s="33">
        <f>Orders!U26</f>
        <v>14</v>
      </c>
      <c r="Q29" s="33">
        <f>COUNTIFS(Demand!$A$2:$A$4481,B29,Demand!$B$2:$B$4481,O29,Demand!$C$2:$C$4481,P29)</f>
        <v>1</v>
      </c>
      <c r="R29" s="33">
        <f>IF(Q29=1,SUMIFS(Demand!$E$2:$E$4481,Demand!$A$2:$A$4481,B29,Demand!$B$2:$B$4481,O29,Demand!$C$2:$C$4481,P29),"")</f>
        <v>19</v>
      </c>
      <c r="S29" s="33">
        <f>INDEX(Stores!$G$2:$G$21,MATCH(B29,Stores!$A$2:$A$21,0))</f>
        <v>29</v>
      </c>
      <c r="T29" s="34">
        <f>IF(R29="","",R29/S29)</f>
        <v>0.655172413793103</v>
      </c>
      <c r="U29" s="34">
        <f>IF(E29=1,T29,"")</f>
        <v>0.655172413793103</v>
      </c>
      <c r="V29" s="34">
        <f>IF(AND(E29=1,L29=0),T29,"")</f>
        <v>0.655172413793103</v>
      </c>
      <c r="W29" s="33">
        <f>IF(U29="","",IF(U29&lt;=Breakdowns!$C$5,1,IF(U29&lt;=Breakdowns!$C$6,2,IF(U29&lt;=Breakdowns!$C$7,3,4))))</f>
        <v>1</v>
      </c>
      <c r="X29" s="33">
        <f>IF(V29="","",IF(V29&lt;=Breakdowns!$D$5,1,IF(V29&lt;=Breakdowns!$D$6,2,IF(V29&lt;=Breakdowns!$D$7,3,4))))</f>
        <v>1</v>
      </c>
      <c r="Y29" s="34">
        <f>INDEX(Stores!$F$2:$F$21,MATCH(B29,Stores!$A$2:$A$21,0))</f>
        <v>2.66</v>
      </c>
      <c r="Z29" s="33">
        <f>IF(Y29&gt;Store_Summary!$M$2,1,0)</f>
        <v>0</v>
      </c>
      <c r="AA29" s="33">
        <f>INDEX(Stores!$C$2:$C$21,MATCH(B29,Stores!$A$2:$A$21,0))</f>
        <v>645</v>
      </c>
      <c r="AB29" s="33">
        <f>IF(AA29&lt;180,1,0)</f>
        <v>0</v>
      </c>
      <c r="AC29" s="32" t="str">
        <f>IF(Orders!D26="","",INDEX(Riders!$C$2:$C$81,MATCH(Orders!D26,Riders!$A$2:$A$81,0)))</f>
        <v>Petrol scooter</v>
      </c>
      <c r="AD29" s="33">
        <f>IF(Orders!D26="","",INDEX(Riders!$D$2:$D$81,MATCH(Orders!D26,Riders!$A$2:$A$81,0)))</f>
        <v>42</v>
      </c>
      <c r="AE29" s="33">
        <f>IF(Orders!D26="","",IF(INDEX(Riders!$B$2:$B$81,MATCH(Orders!D26,Riders!$A$2:$A$81,0))=B29,1,0))</f>
        <v>0</v>
      </c>
      <c r="AF29" s="34">
        <f>IF(E29=1,Orders!L26,"")</f>
        <v>2.44</v>
      </c>
      <c r="AG29" s="34">
        <f>IF(E29=1,Orders!P26,"")</f>
        <v>9.8</v>
      </c>
      <c r="AH29" s="34">
        <f>IF(E29=1,Orders!Q26,"")</f>
        <v>13.8</v>
      </c>
      <c r="AI29" s="34">
        <f>IF(E29=1,Orders!M26,"")</f>
        <v>2.5</v>
      </c>
      <c r="AJ29" s="34">
        <f>IF(E29=1,Orders!N26,"")</f>
        <v>5.6</v>
      </c>
      <c r="AK29" s="34">
        <f>IF(E29=1,Orders!O26,"")</f>
        <v>5.7</v>
      </c>
      <c r="AL29" s="33">
        <f>IF(E29=1,IF(ROUND(ABS(AI29+AJ29+AK29-AH29),6)&lt;=0.1,1,0),"")</f>
        <v>1</v>
      </c>
      <c r="AM29" s="36">
        <f>IF(E29=1,AI29/AH29,"")</f>
        <v>0.181159420289855</v>
      </c>
      <c r="AN29" s="36">
        <f>IF(E29=1,AJ29/AH29,"")</f>
        <v>0.405797101449275</v>
      </c>
      <c r="AO29" s="36">
        <f>IF(E29=1,AK29/AH29,"")</f>
        <v>0.41304347826087</v>
      </c>
      <c r="AP29" s="34">
        <f>IF(E29=1,Orders!Y26,"")</f>
        <v>0.51</v>
      </c>
      <c r="AQ29" s="33">
        <f>IF(Orders!X26,1,0)</f>
        <v>0</v>
      </c>
      <c r="AR29" s="34" t="str">
        <f>IF(AND(E29=1,L29=1),AJ29,"")</f>
        <v/>
      </c>
      <c r="AS29" s="34">
        <f>IF(AND(E29=1,L29=0),AJ29,"")</f>
        <v>5.6</v>
      </c>
      <c r="AT29" s="34" t="str">
        <f>IF(AND(E29=1,L29=1),AI29,"")</f>
        <v/>
      </c>
      <c r="AU29" s="34">
        <f>IF(AND(E29=1,L29=0),AI29,"")</f>
        <v>2.5</v>
      </c>
      <c r="AV29" s="34" t="str">
        <f>IF(AND(E29=1,L29=1),AG29,"")</f>
        <v/>
      </c>
      <c r="AW29" s="34">
        <f>IF(AND(E29=1,L29=0),AG29,"")</f>
        <v>9.8</v>
      </c>
      <c r="AX29" s="34" t="str">
        <f>IF(AND(E29=1,L29=1),AH29,"")</f>
        <v/>
      </c>
      <c r="AY29" s="34">
        <f>IF(AND(E29=1,L29=0),AH29,"")</f>
        <v>13.8</v>
      </c>
      <c r="AZ29" s="34">
        <f>IF(G29=1,F29,"")</f>
        <v>4</v>
      </c>
      <c r="BA29" s="34" t="str">
        <f>IF(AND(G29=1,L29=1),F29,"")</f>
        <v/>
      </c>
      <c r="BB29" s="34">
        <f>IF(AND(G29=1,L29=0),F29,"")</f>
        <v>4</v>
      </c>
      <c r="BC29" s="33">
        <f>IF(E29=1,IF(Orders!R26&gt;3,1,0),"")</f>
        <v>1</v>
      </c>
      <c r="BD29" s="33">
        <f>IF(E29=1,IF(Orders!R26&gt;7,1,0),"")</f>
        <v>0</v>
      </c>
      <c r="BE29" s="32" t="str">
        <f>IF(E29=1,IF(Orders!L26&lt;=1.5,"Up to 1.5 km",IF(Orders!L26&lt;=3,"1.5–3 km","Over 3 km")),"")</f>
        <v>1.5–3 km</v>
      </c>
      <c r="BF29" s="33">
        <f>IF(E29=1,IF(ABS((Orders!G26-Orders!F26)*1440-Orders!R26)&lt;0.06,1,0),"")</f>
        <v>1</v>
      </c>
      <c r="BG29" s="33">
        <f>IF(ABS((Orders!F26-Orders!E26)*1440-Orders!P26)&lt;0.06,1,0)</f>
        <v>1</v>
      </c>
      <c r="BH29" s="33">
        <f>IF(E29=1,IF(IF(Orders!S26,1,0)=1-G29,1,0),"")</f>
        <v>1</v>
      </c>
      <c r="BI29" s="32" t="str">
        <f>INDEX(Stores!$B$2:$B$21,MATCH(B29,Stores!$A$2:$A$21,0))</f>
        <v>Pune</v>
      </c>
    </row>
    <row r="30">
      <c r="A30" s="32" t="str">
        <f>Orders!A27</f>
        <v>O00026</v>
      </c>
      <c r="B30" s="32" t="str">
        <f>Orders!C27</f>
        <v>S003</v>
      </c>
      <c r="C30" s="32" t="str">
        <f>Orders!B27</f>
        <v>C0172</v>
      </c>
      <c r="D30" s="32" t="str">
        <f>Orders!H27</f>
        <v>Delivered</v>
      </c>
      <c r="E30" s="33">
        <f>IF(Orders!H27="Delivered",1,0)</f>
        <v>1</v>
      </c>
      <c r="F30" s="34">
        <f>IF(E30=1,Orders!R27,"")</f>
        <v>-1</v>
      </c>
      <c r="G30" s="33">
        <f>IF(E30=1,IF(Orders!R27&gt;0,1,0),"")</f>
        <v>0</v>
      </c>
      <c r="H30" s="33">
        <f>IF(E30=1,IF(Orders!R27&gt;5,1,0),"")</f>
        <v>0</v>
      </c>
      <c r="I30" s="32" t="str">
        <f>IF(E30=1,"",IF(OR(Orders!T27="Rider unavailable",Orders!T27="Item unavailable"),"Company-caused","Unresolved"))</f>
        <v/>
      </c>
      <c r="J30" s="33">
        <f>IF(OR(E30=1,I30="Company-caused"),1,0)</f>
        <v>1</v>
      </c>
      <c r="K30" s="32" t="str">
        <f>IF(E30=0,IF(I30="Company-caused",IF(Orders!T27="Rider unavailable","C1 Rider unavailable","C2 Item unavailable"),"Outside root: unresolved"),IF(G30=0,"A On time",IF(H30=1,IF(L30=1,"B2a Severe, peak","B2b Severe, off-peak"),IF(L30=1,"B1a Slight, peak","B1b Slight, off-peak"))))</f>
        <v>A On time</v>
      </c>
      <c r="L30" s="33">
        <f>IF(AND(Orders!U27&gt;=19,Orders!U27&lt;22),1,0)</f>
        <v>0</v>
      </c>
      <c r="M30" s="33">
        <f>IF(L30=IF(Orders!V27,1,0),1,0)</f>
        <v>1</v>
      </c>
      <c r="N30" s="32" t="str">
        <f>IF(Orders!W27="","None",Orders!W27)</f>
        <v>Light</v>
      </c>
      <c r="O30" s="35">
        <f>INT(Orders!E27)</f>
        <v>46271.0</v>
      </c>
      <c r="P30" s="33">
        <f>Orders!U27</f>
        <v>18</v>
      </c>
      <c r="Q30" s="33">
        <f>COUNTIFS(Demand!$A$2:$A$4481,B30,Demand!$B$2:$B$4481,O30,Demand!$C$2:$C$4481,P30)</f>
        <v>1</v>
      </c>
      <c r="R30" s="33">
        <f>IF(Q30=1,SUMIFS(Demand!$E$2:$E$4481,Demand!$A$2:$A$4481,B30,Demand!$B$2:$B$4481,O30,Demand!$C$2:$C$4481,P30),"")</f>
        <v>39</v>
      </c>
      <c r="S30" s="33">
        <f>INDEX(Stores!$G$2:$G$21,MATCH(B30,Stores!$A$2:$A$21,0))</f>
        <v>41</v>
      </c>
      <c r="T30" s="34">
        <f>IF(R30="","",R30/S30)</f>
        <v>0.951219512195122</v>
      </c>
      <c r="U30" s="34">
        <f>IF(E30=1,T30,"")</f>
        <v>0.951219512195122</v>
      </c>
      <c r="V30" s="34">
        <f>IF(AND(E30=1,L30=0),T30,"")</f>
        <v>0.951219512195122</v>
      </c>
      <c r="W30" s="33">
        <f>IF(U30="","",IF(U30&lt;=Breakdowns!$C$5,1,IF(U30&lt;=Breakdowns!$C$6,2,IF(U30&lt;=Breakdowns!$C$7,3,4))))</f>
        <v>2</v>
      </c>
      <c r="X30" s="33">
        <f>IF(V30="","",IF(V30&lt;=Breakdowns!$D$5,1,IF(V30&lt;=Breakdowns!$D$6,2,IF(V30&lt;=Breakdowns!$D$7,3,4))))</f>
        <v>3</v>
      </c>
      <c r="Y30" s="34">
        <f>INDEX(Stores!$F$2:$F$21,MATCH(B30,Stores!$A$2:$A$21,0))</f>
        <v>3.84</v>
      </c>
      <c r="Z30" s="33">
        <f>IF(Y30&gt;Store_Summary!$M$2,1,0)</f>
        <v>0</v>
      </c>
      <c r="AA30" s="33">
        <f>INDEX(Stores!$C$2:$C$21,MATCH(B30,Stores!$A$2:$A$21,0))</f>
        <v>426</v>
      </c>
      <c r="AB30" s="33">
        <f>IF(AA30&lt;180,1,0)</f>
        <v>0</v>
      </c>
      <c r="AC30" s="32" t="str">
        <f>IF(Orders!D27="","",INDEX(Riders!$C$2:$C$81,MATCH(Orders!D27,Riders!$A$2:$A$81,0)))</f>
        <v>EV scooter</v>
      </c>
      <c r="AD30" s="33">
        <f>IF(Orders!D27="","",INDEX(Riders!$D$2:$D$81,MATCH(Orders!D27,Riders!$A$2:$A$81,0)))</f>
        <v>24</v>
      </c>
      <c r="AE30" s="33">
        <f>IF(Orders!D27="","",IF(INDEX(Riders!$B$2:$B$81,MATCH(Orders!D27,Riders!$A$2:$A$81,0))=B30,1,0))</f>
        <v>0</v>
      </c>
      <c r="AF30" s="34">
        <f>IF(E30=1,Orders!L27,"")</f>
        <v>1.72</v>
      </c>
      <c r="AG30" s="34">
        <f>IF(E30=1,Orders!P27,"")</f>
        <v>9.3</v>
      </c>
      <c r="AH30" s="34">
        <f>IF(E30=1,Orders!Q27,"")</f>
        <v>8.3</v>
      </c>
      <c r="AI30" s="34">
        <f>IF(E30=1,Orders!M27,"")</f>
        <v>3.3</v>
      </c>
      <c r="AJ30" s="34">
        <f>IF(E30=1,Orders!N27,"")</f>
        <v>0.7</v>
      </c>
      <c r="AK30" s="34">
        <f>IF(E30=1,Orders!O27,"")</f>
        <v>4.3</v>
      </c>
      <c r="AL30" s="33">
        <f>IF(E30=1,IF(ROUND(ABS(AI30+AJ30+AK30-AH30),6)&lt;=0.1,1,0),"")</f>
        <v>1</v>
      </c>
      <c r="AM30" s="36">
        <f>IF(E30=1,AI30/AH30,"")</f>
        <v>0.397590361445783</v>
      </c>
      <c r="AN30" s="36">
        <f>IF(E30=1,AJ30/AH30,"")</f>
        <v>0.0843373493975904</v>
      </c>
      <c r="AO30" s="36">
        <f>IF(E30=1,AK30/AH30,"")</f>
        <v>0.518072289156626</v>
      </c>
      <c r="AP30" s="34">
        <f>IF(E30=1,Orders!Y27,"")</f>
        <v>0.69</v>
      </c>
      <c r="AQ30" s="33">
        <f>IF(Orders!X27,1,0)</f>
        <v>0</v>
      </c>
      <c r="AR30" s="34" t="str">
        <f>IF(AND(E30=1,L30=1),AJ30,"")</f>
        <v/>
      </c>
      <c r="AS30" s="34">
        <f>IF(AND(E30=1,L30=0),AJ30,"")</f>
        <v>0.7</v>
      </c>
      <c r="AT30" s="34" t="str">
        <f>IF(AND(E30=1,L30=1),AI30,"")</f>
        <v/>
      </c>
      <c r="AU30" s="34">
        <f>IF(AND(E30=1,L30=0),AI30,"")</f>
        <v>3.3</v>
      </c>
      <c r="AV30" s="34" t="str">
        <f>IF(AND(E30=1,L30=1),AG30,"")</f>
        <v/>
      </c>
      <c r="AW30" s="34">
        <f>IF(AND(E30=1,L30=0),AG30,"")</f>
        <v>9.3</v>
      </c>
      <c r="AX30" s="34" t="str">
        <f>IF(AND(E30=1,L30=1),AH30,"")</f>
        <v/>
      </c>
      <c r="AY30" s="34">
        <f>IF(AND(E30=1,L30=0),AH30,"")</f>
        <v>8.3</v>
      </c>
      <c r="AZ30" s="34" t="str">
        <f>IF(G30=1,F30,"")</f>
        <v/>
      </c>
      <c r="BA30" s="34" t="str">
        <f>IF(AND(G30=1,L30=1),F30,"")</f>
        <v/>
      </c>
      <c r="BB30" s="34" t="str">
        <f>IF(AND(G30=1,L30=0),F30,"")</f>
        <v/>
      </c>
      <c r="BC30" s="33">
        <f>IF(E30=1,IF(Orders!R27&gt;3,1,0),"")</f>
        <v>0</v>
      </c>
      <c r="BD30" s="33">
        <f>IF(E30=1,IF(Orders!R27&gt;7,1,0),"")</f>
        <v>0</v>
      </c>
      <c r="BE30" s="32" t="str">
        <f>IF(E30=1,IF(Orders!L27&lt;=1.5,"Up to 1.5 km",IF(Orders!L27&lt;=3,"1.5–3 km","Over 3 km")),"")</f>
        <v>1.5–3 km</v>
      </c>
      <c r="BF30" s="33">
        <f>IF(E30=1,IF(ABS((Orders!G27-Orders!F27)*1440-Orders!R27)&lt;0.06,1,0),"")</f>
        <v>1</v>
      </c>
      <c r="BG30" s="33">
        <f>IF(ABS((Orders!F27-Orders!E27)*1440-Orders!P27)&lt;0.06,1,0)</f>
        <v>1</v>
      </c>
      <c r="BH30" s="33">
        <f>IF(E30=1,IF(IF(Orders!S27,1,0)=1-G30,1,0),"")</f>
        <v>1</v>
      </c>
      <c r="BI30" s="32" t="str">
        <f>INDEX(Stores!$B$2:$B$21,MATCH(B30,Stores!$A$2:$A$21,0))</f>
        <v>Mumbai</v>
      </c>
    </row>
    <row r="31">
      <c r="A31" s="32" t="str">
        <f>Orders!A28</f>
        <v>O00027</v>
      </c>
      <c r="B31" s="32" t="str">
        <f>Orders!C28</f>
        <v>S007</v>
      </c>
      <c r="C31" s="32" t="str">
        <f>Orders!B28</f>
        <v>C0157</v>
      </c>
      <c r="D31" s="32" t="str">
        <f>Orders!H28</f>
        <v>Delivered</v>
      </c>
      <c r="E31" s="33">
        <f>IF(Orders!H28="Delivered",1,0)</f>
        <v>1</v>
      </c>
      <c r="F31" s="34">
        <f>IF(E31=1,Orders!R28,"")</f>
        <v>-1.6</v>
      </c>
      <c r="G31" s="33">
        <f>IF(E31=1,IF(Orders!R28&gt;0,1,0),"")</f>
        <v>0</v>
      </c>
      <c r="H31" s="33">
        <f>IF(E31=1,IF(Orders!R28&gt;5,1,0),"")</f>
        <v>0</v>
      </c>
      <c r="I31" s="32" t="str">
        <f>IF(E31=1,"",IF(OR(Orders!T28="Rider unavailable",Orders!T28="Item unavailable"),"Company-caused","Unresolved"))</f>
        <v/>
      </c>
      <c r="J31" s="33">
        <f>IF(OR(E31=1,I31="Company-caused"),1,0)</f>
        <v>1</v>
      </c>
      <c r="K31" s="32" t="str">
        <f>IF(E31=0,IF(I31="Company-caused",IF(Orders!T28="Rider unavailable","C1 Rider unavailable","C2 Item unavailable"),"Outside root: unresolved"),IF(G31=0,"A On time",IF(H31=1,IF(L31=1,"B2a Severe, peak","B2b Severe, off-peak"),IF(L31=1,"B1a Slight, peak","B1b Slight, off-peak"))))</f>
        <v>A On time</v>
      </c>
      <c r="L31" s="33">
        <f>IF(AND(Orders!U28&gt;=19,Orders!U28&lt;22),1,0)</f>
        <v>0</v>
      </c>
      <c r="M31" s="33">
        <f>IF(L31=IF(Orders!V28,1,0),1,0)</f>
        <v>1</v>
      </c>
      <c r="N31" s="32" t="str">
        <f>IF(Orders!W28="","None",Orders!W28)</f>
        <v>None</v>
      </c>
      <c r="O31" s="35">
        <f>INT(Orders!E28)</f>
        <v>46278.0</v>
      </c>
      <c r="P31" s="33">
        <f>Orders!U28</f>
        <v>17</v>
      </c>
      <c r="Q31" s="33">
        <f>COUNTIFS(Demand!$A$2:$A$4481,B31,Demand!$B$2:$B$4481,O31,Demand!$C$2:$C$4481,P31)</f>
        <v>1</v>
      </c>
      <c r="R31" s="33">
        <f>IF(Q31=1,SUMIFS(Demand!$E$2:$E$4481,Demand!$A$2:$A$4481,B31,Demand!$B$2:$B$4481,O31,Demand!$C$2:$C$4481,P31),"")</f>
        <v>35</v>
      </c>
      <c r="S31" s="33">
        <f>INDEX(Stores!$G$2:$G$21,MATCH(B31,Stores!$A$2:$A$21,0))</f>
        <v>37</v>
      </c>
      <c r="T31" s="34">
        <f>IF(R31="","",R31/S31)</f>
        <v>0.945945945945946</v>
      </c>
      <c r="U31" s="34">
        <f>IF(E31=1,T31,"")</f>
        <v>0.945945945945946</v>
      </c>
      <c r="V31" s="34">
        <f>IF(AND(E31=1,L31=0),T31,"")</f>
        <v>0.945945945945946</v>
      </c>
      <c r="W31" s="33">
        <f>IF(U31="","",IF(U31&lt;=Breakdowns!$C$5,1,IF(U31&lt;=Breakdowns!$C$6,2,IF(U31&lt;=Breakdowns!$C$7,3,4))))</f>
        <v>2</v>
      </c>
      <c r="X31" s="33">
        <f>IF(V31="","",IF(V31&lt;=Breakdowns!$D$5,1,IF(V31&lt;=Breakdowns!$D$6,2,IF(V31&lt;=Breakdowns!$D$7,3,4))))</f>
        <v>3</v>
      </c>
      <c r="Y31" s="34">
        <f>INDEX(Stores!$F$2:$F$21,MATCH(B31,Stores!$A$2:$A$21,0))</f>
        <v>4.05</v>
      </c>
      <c r="Z31" s="33">
        <f>IF(Y31&gt;Store_Summary!$M$2,1,0)</f>
        <v>0</v>
      </c>
      <c r="AA31" s="33">
        <f>INDEX(Stores!$C$2:$C$21,MATCH(B31,Stores!$A$2:$A$21,0))</f>
        <v>661</v>
      </c>
      <c r="AB31" s="33">
        <f>IF(AA31&lt;180,1,0)</f>
        <v>0</v>
      </c>
      <c r="AC31" s="32" t="str">
        <f>IF(Orders!D28="","",INDEX(Riders!$C$2:$C$81,MATCH(Orders!D28,Riders!$A$2:$A$81,0)))</f>
        <v>EV scooter</v>
      </c>
      <c r="AD31" s="33">
        <f>IF(Orders!D28="","",INDEX(Riders!$D$2:$D$81,MATCH(Orders!D28,Riders!$A$2:$A$81,0)))</f>
        <v>33</v>
      </c>
      <c r="AE31" s="33">
        <f>IF(Orders!D28="","",IF(INDEX(Riders!$B$2:$B$81,MATCH(Orders!D28,Riders!$A$2:$A$81,0))=B31,1,0))</f>
        <v>0</v>
      </c>
      <c r="AF31" s="34">
        <f>IF(E31=1,Orders!L28,"")</f>
        <v>0.85</v>
      </c>
      <c r="AG31" s="34">
        <f>IF(E31=1,Orders!P28,"")</f>
        <v>12.6</v>
      </c>
      <c r="AH31" s="34">
        <f>IF(E31=1,Orders!Q28,"")</f>
        <v>11</v>
      </c>
      <c r="AI31" s="34">
        <f>IF(E31=1,Orders!M28,"")</f>
        <v>4.6</v>
      </c>
      <c r="AJ31" s="34">
        <f>IF(E31=1,Orders!N28,"")</f>
        <v>4.3</v>
      </c>
      <c r="AK31" s="34">
        <f>IF(E31=1,Orders!O28,"")</f>
        <v>2.1</v>
      </c>
      <c r="AL31" s="33">
        <f>IF(E31=1,IF(ROUND(ABS(AI31+AJ31+AK31-AH31),6)&lt;=0.1,1,0),"")</f>
        <v>1</v>
      </c>
      <c r="AM31" s="36">
        <f>IF(E31=1,AI31/AH31,"")</f>
        <v>0.418181818181818</v>
      </c>
      <c r="AN31" s="36">
        <f>IF(E31=1,AJ31/AH31,"")</f>
        <v>0.390909090909091</v>
      </c>
      <c r="AO31" s="36">
        <f>IF(E31=1,AK31/AH31,"")</f>
        <v>0.190909090909091</v>
      </c>
      <c r="AP31" s="34">
        <f>IF(E31=1,Orders!Y28,"")</f>
        <v>0.19</v>
      </c>
      <c r="AQ31" s="33">
        <f>IF(Orders!X28,1,0)</f>
        <v>0</v>
      </c>
      <c r="AR31" s="34" t="str">
        <f>IF(AND(E31=1,L31=1),AJ31,"")</f>
        <v/>
      </c>
      <c r="AS31" s="34">
        <f>IF(AND(E31=1,L31=0),AJ31,"")</f>
        <v>4.3</v>
      </c>
      <c r="AT31" s="34" t="str">
        <f>IF(AND(E31=1,L31=1),AI31,"")</f>
        <v/>
      </c>
      <c r="AU31" s="34">
        <f>IF(AND(E31=1,L31=0),AI31,"")</f>
        <v>4.6</v>
      </c>
      <c r="AV31" s="34" t="str">
        <f>IF(AND(E31=1,L31=1),AG31,"")</f>
        <v/>
      </c>
      <c r="AW31" s="34">
        <f>IF(AND(E31=1,L31=0),AG31,"")</f>
        <v>12.6</v>
      </c>
      <c r="AX31" s="34" t="str">
        <f>IF(AND(E31=1,L31=1),AH31,"")</f>
        <v/>
      </c>
      <c r="AY31" s="34">
        <f>IF(AND(E31=1,L31=0),AH31,"")</f>
        <v>11</v>
      </c>
      <c r="AZ31" s="34" t="str">
        <f>IF(G31=1,F31,"")</f>
        <v/>
      </c>
      <c r="BA31" s="34" t="str">
        <f>IF(AND(G31=1,L31=1),F31,"")</f>
        <v/>
      </c>
      <c r="BB31" s="34" t="str">
        <f>IF(AND(G31=1,L31=0),F31,"")</f>
        <v/>
      </c>
      <c r="BC31" s="33">
        <f>IF(E31=1,IF(Orders!R28&gt;3,1,0),"")</f>
        <v>0</v>
      </c>
      <c r="BD31" s="33">
        <f>IF(E31=1,IF(Orders!R28&gt;7,1,0),"")</f>
        <v>0</v>
      </c>
      <c r="BE31" s="32" t="str">
        <f>IF(E31=1,IF(Orders!L28&lt;=1.5,"Up to 1.5 km",IF(Orders!L28&lt;=3,"1.5–3 km","Over 3 km")),"")</f>
        <v>Up to 1.5 km</v>
      </c>
      <c r="BF31" s="33">
        <f>IF(E31=1,IF(ABS((Orders!G28-Orders!F28)*1440-Orders!R28)&lt;0.06,1,0),"")</f>
        <v>1</v>
      </c>
      <c r="BG31" s="33">
        <f>IF(ABS((Orders!F28-Orders!E28)*1440-Orders!P28)&lt;0.06,1,0)</f>
        <v>1</v>
      </c>
      <c r="BH31" s="33">
        <f>IF(E31=1,IF(IF(Orders!S28,1,0)=1-G31,1,0),"")</f>
        <v>1</v>
      </c>
      <c r="BI31" s="32" t="str">
        <f>INDEX(Stores!$B$2:$B$21,MATCH(B31,Stores!$A$2:$A$21,0))</f>
        <v>Hyderabad</v>
      </c>
    </row>
    <row r="32">
      <c r="A32" s="32" t="str">
        <f>Orders!A29</f>
        <v>O00028</v>
      </c>
      <c r="B32" s="32" t="str">
        <f>Orders!C29</f>
        <v>S001</v>
      </c>
      <c r="C32" s="32" t="str">
        <f>Orders!B29</f>
        <v>C0050</v>
      </c>
      <c r="D32" s="32" t="str">
        <f>Orders!H29</f>
        <v>Delivered</v>
      </c>
      <c r="E32" s="33">
        <f>IF(Orders!H29="Delivered",1,0)</f>
        <v>1</v>
      </c>
      <c r="F32" s="34">
        <f>IF(E32=1,Orders!R29,"")</f>
        <v>-0.4</v>
      </c>
      <c r="G32" s="33">
        <f>IF(E32=1,IF(Orders!R29&gt;0,1,0),"")</f>
        <v>0</v>
      </c>
      <c r="H32" s="33">
        <f>IF(E32=1,IF(Orders!R29&gt;5,1,0),"")</f>
        <v>0</v>
      </c>
      <c r="I32" s="32" t="str">
        <f>IF(E32=1,"",IF(OR(Orders!T29="Rider unavailable",Orders!T29="Item unavailable"),"Company-caused","Unresolved"))</f>
        <v/>
      </c>
      <c r="J32" s="33">
        <f>IF(OR(E32=1,I32="Company-caused"),1,0)</f>
        <v>1</v>
      </c>
      <c r="K32" s="32" t="str">
        <f>IF(E32=0,IF(I32="Company-caused",IF(Orders!T29="Rider unavailable","C1 Rider unavailable","C2 Item unavailable"),"Outside root: unresolved"),IF(G32=0,"A On time",IF(H32=1,IF(L32=1,"B2a Severe, peak","B2b Severe, off-peak"),IF(L32=1,"B1a Slight, peak","B1b Slight, off-peak"))))</f>
        <v>A On time</v>
      </c>
      <c r="L32" s="33">
        <f>IF(AND(Orders!U29&gt;=19,Orders!U29&lt;22),1,0)</f>
        <v>0</v>
      </c>
      <c r="M32" s="33">
        <f>IF(L32=IF(Orders!V29,1,0),1,0)</f>
        <v>1</v>
      </c>
      <c r="N32" s="32" t="str">
        <f>IF(Orders!W29="","None",Orders!W29)</f>
        <v>None</v>
      </c>
      <c r="O32" s="35">
        <f>INT(Orders!E29)</f>
        <v>46276.0</v>
      </c>
      <c r="P32" s="33">
        <f>Orders!U29</f>
        <v>11</v>
      </c>
      <c r="Q32" s="33">
        <f>COUNTIFS(Demand!$A$2:$A$4481,B32,Demand!$B$2:$B$4481,O32,Demand!$C$2:$C$4481,P32)</f>
        <v>1</v>
      </c>
      <c r="R32" s="33">
        <f>IF(Q32=1,SUMIFS(Demand!$E$2:$E$4481,Demand!$A$2:$A$4481,B32,Demand!$B$2:$B$4481,O32,Demand!$C$2:$C$4481,P32),"")</f>
        <v>19</v>
      </c>
      <c r="S32" s="33">
        <f>INDEX(Stores!$G$2:$G$21,MATCH(B32,Stores!$A$2:$A$21,0))</f>
        <v>16</v>
      </c>
      <c r="T32" s="34">
        <f>IF(R32="","",R32/S32)</f>
        <v>1.1875</v>
      </c>
      <c r="U32" s="34">
        <f>IF(E32=1,T32,"")</f>
        <v>1.1875</v>
      </c>
      <c r="V32" s="34">
        <f>IF(AND(E32=1,L32=0),T32,"")</f>
        <v>1.1875</v>
      </c>
      <c r="W32" s="33">
        <f>IF(U32="","",IF(U32&lt;=Breakdowns!$C$5,1,IF(U32&lt;=Breakdowns!$C$6,2,IF(U32&lt;=Breakdowns!$C$7,3,4))))</f>
        <v>3</v>
      </c>
      <c r="X32" s="33">
        <f>IF(V32="","",IF(V32&lt;=Breakdowns!$D$5,1,IF(V32&lt;=Breakdowns!$D$6,2,IF(V32&lt;=Breakdowns!$D$7,3,4))))</f>
        <v>4</v>
      </c>
      <c r="Y32" s="34">
        <f>INDEX(Stores!$F$2:$F$21,MATCH(B32,Stores!$A$2:$A$21,0))</f>
        <v>4.59</v>
      </c>
      <c r="Z32" s="33">
        <f>IF(Y32&gt;Store_Summary!$M$2,1,0)</f>
        <v>0</v>
      </c>
      <c r="AA32" s="33">
        <f>INDEX(Stores!$C$2:$C$21,MATCH(B32,Stores!$A$2:$A$21,0))</f>
        <v>362</v>
      </c>
      <c r="AB32" s="33">
        <f>IF(AA32&lt;180,1,0)</f>
        <v>0</v>
      </c>
      <c r="AC32" s="32" t="str">
        <f>IF(Orders!D29="","",INDEX(Riders!$C$2:$C$81,MATCH(Orders!D29,Riders!$A$2:$A$81,0)))</f>
        <v>Petrol scooter</v>
      </c>
      <c r="AD32" s="33">
        <f>IF(Orders!D29="","",INDEX(Riders!$D$2:$D$81,MATCH(Orders!D29,Riders!$A$2:$A$81,0)))</f>
        <v>44</v>
      </c>
      <c r="AE32" s="33">
        <f>IF(Orders!D29="","",IF(INDEX(Riders!$B$2:$B$81,MATCH(Orders!D29,Riders!$A$2:$A$81,0))=B32,1,0))</f>
        <v>0</v>
      </c>
      <c r="AF32" s="34">
        <f>IF(E32=1,Orders!L29,"")</f>
        <v>1.12</v>
      </c>
      <c r="AG32" s="34">
        <f>IF(E32=1,Orders!P29,"")</f>
        <v>10.2</v>
      </c>
      <c r="AH32" s="34">
        <f>IF(E32=1,Orders!Q29,"")</f>
        <v>9.8</v>
      </c>
      <c r="AI32" s="34">
        <f>IF(E32=1,Orders!M29,"")</f>
        <v>4.8</v>
      </c>
      <c r="AJ32" s="34">
        <f>IF(E32=1,Orders!N29,"")</f>
        <v>1.4</v>
      </c>
      <c r="AK32" s="34">
        <f>IF(E32=1,Orders!O29,"")</f>
        <v>3.6</v>
      </c>
      <c r="AL32" s="33">
        <f>IF(E32=1,IF(ROUND(ABS(AI32+AJ32+AK32-AH32),6)&lt;=0.1,1,0),"")</f>
        <v>1</v>
      </c>
      <c r="AM32" s="36">
        <f>IF(E32=1,AI32/AH32,"")</f>
        <v>0.489795918367347</v>
      </c>
      <c r="AN32" s="36">
        <f>IF(E32=1,AJ32/AH32,"")</f>
        <v>0.142857142857143</v>
      </c>
      <c r="AO32" s="36">
        <f>IF(E32=1,AK32/AH32,"")</f>
        <v>0.36734693877551</v>
      </c>
      <c r="AP32" s="34">
        <f>IF(E32=1,Orders!Y29,"")</f>
        <v>0.51</v>
      </c>
      <c r="AQ32" s="33">
        <f>IF(Orders!X29,1,0)</f>
        <v>0</v>
      </c>
      <c r="AR32" s="34" t="str">
        <f>IF(AND(E32=1,L32=1),AJ32,"")</f>
        <v/>
      </c>
      <c r="AS32" s="34">
        <f>IF(AND(E32=1,L32=0),AJ32,"")</f>
        <v>1.4</v>
      </c>
      <c r="AT32" s="34" t="str">
        <f>IF(AND(E32=1,L32=1),AI32,"")</f>
        <v/>
      </c>
      <c r="AU32" s="34">
        <f>IF(AND(E32=1,L32=0),AI32,"")</f>
        <v>4.8</v>
      </c>
      <c r="AV32" s="34" t="str">
        <f>IF(AND(E32=1,L32=1),AG32,"")</f>
        <v/>
      </c>
      <c r="AW32" s="34">
        <f>IF(AND(E32=1,L32=0),AG32,"")</f>
        <v>10.2</v>
      </c>
      <c r="AX32" s="34" t="str">
        <f>IF(AND(E32=1,L32=1),AH32,"")</f>
        <v/>
      </c>
      <c r="AY32" s="34">
        <f>IF(AND(E32=1,L32=0),AH32,"")</f>
        <v>9.8</v>
      </c>
      <c r="AZ32" s="34" t="str">
        <f>IF(G32=1,F32,"")</f>
        <v/>
      </c>
      <c r="BA32" s="34" t="str">
        <f>IF(AND(G32=1,L32=1),F32,"")</f>
        <v/>
      </c>
      <c r="BB32" s="34" t="str">
        <f>IF(AND(G32=1,L32=0),F32,"")</f>
        <v/>
      </c>
      <c r="BC32" s="33">
        <f>IF(E32=1,IF(Orders!R29&gt;3,1,0),"")</f>
        <v>0</v>
      </c>
      <c r="BD32" s="33">
        <f>IF(E32=1,IF(Orders!R29&gt;7,1,0),"")</f>
        <v>0</v>
      </c>
      <c r="BE32" s="32" t="str">
        <f>IF(E32=1,IF(Orders!L29&lt;=1.5,"Up to 1.5 km",IF(Orders!L29&lt;=3,"1.5–3 km","Over 3 km")),"")</f>
        <v>Up to 1.5 km</v>
      </c>
      <c r="BF32" s="33">
        <f>IF(E32=1,IF(ABS((Orders!G29-Orders!F29)*1440-Orders!R29)&lt;0.06,1,0),"")</f>
        <v>1</v>
      </c>
      <c r="BG32" s="33">
        <f>IF(ABS((Orders!F29-Orders!E29)*1440-Orders!P29)&lt;0.06,1,0)</f>
        <v>1</v>
      </c>
      <c r="BH32" s="33">
        <f>IF(E32=1,IF(IF(Orders!S29,1,0)=1-G32,1,0),"")</f>
        <v>1</v>
      </c>
      <c r="BI32" s="32" t="str">
        <f>INDEX(Stores!$B$2:$B$21,MATCH(B32,Stores!$A$2:$A$21,0))</f>
        <v>Bengaluru</v>
      </c>
    </row>
    <row r="33">
      <c r="A33" s="32" t="str">
        <f>Orders!A30</f>
        <v>O00029</v>
      </c>
      <c r="B33" s="32" t="str">
        <f>Orders!C30</f>
        <v>S016</v>
      </c>
      <c r="C33" s="32" t="str">
        <f>Orders!B30</f>
        <v>C0160</v>
      </c>
      <c r="D33" s="32" t="str">
        <f>Orders!H30</f>
        <v>Delivered</v>
      </c>
      <c r="E33" s="33">
        <f>IF(Orders!H30="Delivered",1,0)</f>
        <v>1</v>
      </c>
      <c r="F33" s="34">
        <f>IF(E33=1,Orders!R30,"")</f>
        <v>-0.3</v>
      </c>
      <c r="G33" s="33">
        <f>IF(E33=1,IF(Orders!R30&gt;0,1,0),"")</f>
        <v>0</v>
      </c>
      <c r="H33" s="33">
        <f>IF(E33=1,IF(Orders!R30&gt;5,1,0),"")</f>
        <v>0</v>
      </c>
      <c r="I33" s="32" t="str">
        <f>IF(E33=1,"",IF(OR(Orders!T30="Rider unavailable",Orders!T30="Item unavailable"),"Company-caused","Unresolved"))</f>
        <v/>
      </c>
      <c r="J33" s="33">
        <f>IF(OR(E33=1,I33="Company-caused"),1,0)</f>
        <v>1</v>
      </c>
      <c r="K33" s="32" t="str">
        <f>IF(E33=0,IF(I33="Company-caused",IF(Orders!T30="Rider unavailable","C1 Rider unavailable","C2 Item unavailable"),"Outside root: unresolved"),IF(G33=0,"A On time",IF(H33=1,IF(L33=1,"B2a Severe, peak","B2b Severe, off-peak"),IF(L33=1,"B1a Slight, peak","B1b Slight, off-peak"))))</f>
        <v>A On time</v>
      </c>
      <c r="L33" s="33">
        <f>IF(AND(Orders!U30&gt;=19,Orders!U30&lt;22),1,0)</f>
        <v>0</v>
      </c>
      <c r="M33" s="33">
        <f>IF(L33=IF(Orders!V30,1,0),1,0)</f>
        <v>1</v>
      </c>
      <c r="N33" s="32" t="str">
        <f>IF(Orders!W30="","None",Orders!W30)</f>
        <v>None</v>
      </c>
      <c r="O33" s="35">
        <f>INT(Orders!E30)</f>
        <v>46269.0</v>
      </c>
      <c r="P33" s="33">
        <f>Orders!U30</f>
        <v>11</v>
      </c>
      <c r="Q33" s="33">
        <f>COUNTIFS(Demand!$A$2:$A$4481,B33,Demand!$B$2:$B$4481,O33,Demand!$C$2:$C$4481,P33)</f>
        <v>1</v>
      </c>
      <c r="R33" s="33">
        <f>IF(Q33=1,SUMIFS(Demand!$E$2:$E$4481,Demand!$A$2:$A$4481,B33,Demand!$B$2:$B$4481,O33,Demand!$C$2:$C$4481,P33),"")</f>
        <v>19</v>
      </c>
      <c r="S33" s="33">
        <f>INDEX(Stores!$G$2:$G$21,MATCH(B33,Stores!$A$2:$A$21,0))</f>
        <v>25</v>
      </c>
      <c r="T33" s="34">
        <f>IF(R33="","",R33/S33)</f>
        <v>0.76</v>
      </c>
      <c r="U33" s="34">
        <f>IF(E33=1,T33,"")</f>
        <v>0.76</v>
      </c>
      <c r="V33" s="34">
        <f>IF(AND(E33=1,L33=0),T33,"")</f>
        <v>0.76</v>
      </c>
      <c r="W33" s="33">
        <f>IF(U33="","",IF(U33&lt;=Breakdowns!$C$5,1,IF(U33&lt;=Breakdowns!$C$6,2,IF(U33&lt;=Breakdowns!$C$7,3,4))))</f>
        <v>1</v>
      </c>
      <c r="X33" s="33">
        <f>IF(V33="","",IF(V33&lt;=Breakdowns!$D$5,1,IF(V33&lt;=Breakdowns!$D$6,2,IF(V33&lt;=Breakdowns!$D$7,3,4))))</f>
        <v>2</v>
      </c>
      <c r="Y33" s="34">
        <f>INDEX(Stores!$F$2:$F$21,MATCH(B33,Stores!$A$2:$A$21,0))</f>
        <v>5.51</v>
      </c>
      <c r="Z33" s="33">
        <f>IF(Y33&gt;Store_Summary!$M$2,1,0)</f>
        <v>1</v>
      </c>
      <c r="AA33" s="33">
        <f>INDEX(Stores!$C$2:$C$21,MATCH(B33,Stores!$A$2:$A$21,0))</f>
        <v>792</v>
      </c>
      <c r="AB33" s="33">
        <f>IF(AA33&lt;180,1,0)</f>
        <v>0</v>
      </c>
      <c r="AC33" s="32" t="str">
        <f>IF(Orders!D30="","",INDEX(Riders!$C$2:$C$81,MATCH(Orders!D30,Riders!$A$2:$A$81,0)))</f>
        <v>EV scooter</v>
      </c>
      <c r="AD33" s="33">
        <f>IF(Orders!D30="","",INDEX(Riders!$D$2:$D$81,MATCH(Orders!D30,Riders!$A$2:$A$81,0)))</f>
        <v>46</v>
      </c>
      <c r="AE33" s="33">
        <f>IF(Orders!D30="","",IF(INDEX(Riders!$B$2:$B$81,MATCH(Orders!D30,Riders!$A$2:$A$81,0))=B33,1,0))</f>
        <v>0</v>
      </c>
      <c r="AF33" s="34">
        <f>IF(E33=1,Orders!L30,"")</f>
        <v>0.91</v>
      </c>
      <c r="AG33" s="34">
        <f>IF(E33=1,Orders!P30,"")</f>
        <v>11.5</v>
      </c>
      <c r="AH33" s="34">
        <f>IF(E33=1,Orders!Q30,"")</f>
        <v>11.2</v>
      </c>
      <c r="AI33" s="34">
        <f>IF(E33=1,Orders!M30,"")</f>
        <v>7.3</v>
      </c>
      <c r="AJ33" s="34">
        <f>IF(E33=1,Orders!N30,"")</f>
        <v>1.2</v>
      </c>
      <c r="AK33" s="34">
        <f>IF(E33=1,Orders!O30,"")</f>
        <v>2.7</v>
      </c>
      <c r="AL33" s="33">
        <f>IF(E33=1,IF(ROUND(ABS(AI33+AJ33+AK33-AH33),6)&lt;=0.1,1,0),"")</f>
        <v>1</v>
      </c>
      <c r="AM33" s="36">
        <f>IF(E33=1,AI33/AH33,"")</f>
        <v>0.651785714285714</v>
      </c>
      <c r="AN33" s="36">
        <f>IF(E33=1,AJ33/AH33,"")</f>
        <v>0.107142857142857</v>
      </c>
      <c r="AO33" s="36">
        <f>IF(E33=1,AK33/AH33,"")</f>
        <v>0.241071428571429</v>
      </c>
      <c r="AP33" s="34">
        <f>IF(E33=1,Orders!Y30,"")</f>
        <v>0.4</v>
      </c>
      <c r="AQ33" s="33">
        <f>IF(Orders!X30,1,0)</f>
        <v>0</v>
      </c>
      <c r="AR33" s="34" t="str">
        <f>IF(AND(E33=1,L33=1),AJ33,"")</f>
        <v/>
      </c>
      <c r="AS33" s="34">
        <f>IF(AND(E33=1,L33=0),AJ33,"")</f>
        <v>1.2</v>
      </c>
      <c r="AT33" s="34" t="str">
        <f>IF(AND(E33=1,L33=1),AI33,"")</f>
        <v/>
      </c>
      <c r="AU33" s="34">
        <f>IF(AND(E33=1,L33=0),AI33,"")</f>
        <v>7.3</v>
      </c>
      <c r="AV33" s="34" t="str">
        <f>IF(AND(E33=1,L33=1),AG33,"")</f>
        <v/>
      </c>
      <c r="AW33" s="34">
        <f>IF(AND(E33=1,L33=0),AG33,"")</f>
        <v>11.5</v>
      </c>
      <c r="AX33" s="34" t="str">
        <f>IF(AND(E33=1,L33=1),AH33,"")</f>
        <v/>
      </c>
      <c r="AY33" s="34">
        <f>IF(AND(E33=1,L33=0),AH33,"")</f>
        <v>11.2</v>
      </c>
      <c r="AZ33" s="34" t="str">
        <f>IF(G33=1,F33,"")</f>
        <v/>
      </c>
      <c r="BA33" s="34" t="str">
        <f>IF(AND(G33=1,L33=1),F33,"")</f>
        <v/>
      </c>
      <c r="BB33" s="34" t="str">
        <f>IF(AND(G33=1,L33=0),F33,"")</f>
        <v/>
      </c>
      <c r="BC33" s="33">
        <f>IF(E33=1,IF(Orders!R30&gt;3,1,0),"")</f>
        <v>0</v>
      </c>
      <c r="BD33" s="33">
        <f>IF(E33=1,IF(Orders!R30&gt;7,1,0),"")</f>
        <v>0</v>
      </c>
      <c r="BE33" s="32" t="str">
        <f>IF(E33=1,IF(Orders!L30&lt;=1.5,"Up to 1.5 km",IF(Orders!L30&lt;=3,"1.5–3 km","Over 3 km")),"")</f>
        <v>Up to 1.5 km</v>
      </c>
      <c r="BF33" s="33">
        <f>IF(E33=1,IF(ABS((Orders!G30-Orders!F30)*1440-Orders!R30)&lt;0.06,1,0),"")</f>
        <v>1</v>
      </c>
      <c r="BG33" s="33">
        <f>IF(ABS((Orders!F30-Orders!E30)*1440-Orders!P30)&lt;0.06,1,0)</f>
        <v>1</v>
      </c>
      <c r="BH33" s="33">
        <f>IF(E33=1,IF(IF(Orders!S30,1,0)=1-G33,1,0),"")</f>
        <v>1</v>
      </c>
      <c r="BI33" s="32" t="str">
        <f>INDEX(Stores!$B$2:$B$21,MATCH(B33,Stores!$A$2:$A$21,0))</f>
        <v>Bengaluru</v>
      </c>
    </row>
    <row r="34">
      <c r="A34" s="32" t="str">
        <f>Orders!A31</f>
        <v>O00030</v>
      </c>
      <c r="B34" s="32" t="str">
        <f>Orders!C31</f>
        <v>S019</v>
      </c>
      <c r="C34" s="32" t="str">
        <f>Orders!B31</f>
        <v>C0115</v>
      </c>
      <c r="D34" s="32" t="str">
        <f>Orders!H31</f>
        <v>Delivered</v>
      </c>
      <c r="E34" s="33">
        <f>IF(Orders!H31="Delivered",1,0)</f>
        <v>1</v>
      </c>
      <c r="F34" s="34">
        <f>IF(E34=1,Orders!R31,"")</f>
        <v>3.5</v>
      </c>
      <c r="G34" s="33">
        <f>IF(E34=1,IF(Orders!R31&gt;0,1,0),"")</f>
        <v>1</v>
      </c>
      <c r="H34" s="33">
        <f>IF(E34=1,IF(Orders!R31&gt;5,1,0),"")</f>
        <v>0</v>
      </c>
      <c r="I34" s="32" t="str">
        <f>IF(E34=1,"",IF(OR(Orders!T31="Rider unavailable",Orders!T31="Item unavailable"),"Company-caused","Unresolved"))</f>
        <v/>
      </c>
      <c r="J34" s="33">
        <f>IF(OR(E34=1,I34="Company-caused"),1,0)</f>
        <v>1</v>
      </c>
      <c r="K34" s="32" t="str">
        <f>IF(E34=0,IF(I34="Company-caused",IF(Orders!T31="Rider unavailable","C1 Rider unavailable","C2 Item unavailable"),"Outside root: unresolved"),IF(G34=0,"A On time",IF(H34=1,IF(L34=1,"B2a Severe, peak","B2b Severe, off-peak"),IF(L34=1,"B1a Slight, peak","B1b Slight, off-peak"))))</f>
        <v>B1b Slight, off-peak</v>
      </c>
      <c r="L34" s="33">
        <f>IF(AND(Orders!U31&gt;=19,Orders!U31&lt;22),1,0)</f>
        <v>0</v>
      </c>
      <c r="M34" s="33">
        <f>IF(L34=IF(Orders!V31,1,0),1,0)</f>
        <v>1</v>
      </c>
      <c r="N34" s="32" t="str">
        <f>IF(Orders!W31="","None",Orders!W31)</f>
        <v>Light</v>
      </c>
      <c r="O34" s="35">
        <f>INT(Orders!E31)</f>
        <v>46279.0</v>
      </c>
      <c r="P34" s="33">
        <f>Orders!U31</f>
        <v>9</v>
      </c>
      <c r="Q34" s="33">
        <f>COUNTIFS(Demand!$A$2:$A$4481,B34,Demand!$B$2:$B$4481,O34,Demand!$C$2:$C$4481,P34)</f>
        <v>1</v>
      </c>
      <c r="R34" s="33">
        <f>IF(Q34=1,SUMIFS(Demand!$E$2:$E$4481,Demand!$A$2:$A$4481,B34,Demand!$B$2:$B$4481,O34,Demand!$C$2:$C$4481,P34),"")</f>
        <v>16</v>
      </c>
      <c r="S34" s="33">
        <f>INDEX(Stores!$G$2:$G$21,MATCH(B34,Stores!$A$2:$A$21,0))</f>
        <v>22</v>
      </c>
      <c r="T34" s="34">
        <f>IF(R34="","",R34/S34)</f>
        <v>0.727272727272727</v>
      </c>
      <c r="U34" s="34">
        <f>IF(E34=1,T34,"")</f>
        <v>0.727272727272727</v>
      </c>
      <c r="V34" s="34">
        <f>IF(AND(E34=1,L34=0),T34,"")</f>
        <v>0.727272727272727</v>
      </c>
      <c r="W34" s="33">
        <f>IF(U34="","",IF(U34&lt;=Breakdowns!$C$5,1,IF(U34&lt;=Breakdowns!$C$6,2,IF(U34&lt;=Breakdowns!$C$7,3,4))))</f>
        <v>1</v>
      </c>
      <c r="X34" s="33">
        <f>IF(V34="","",IF(V34&lt;=Breakdowns!$D$5,1,IF(V34&lt;=Breakdowns!$D$6,2,IF(V34&lt;=Breakdowns!$D$7,3,4))))</f>
        <v>1</v>
      </c>
      <c r="Y34" s="34">
        <f>INDEX(Stores!$F$2:$F$21,MATCH(B34,Stores!$A$2:$A$21,0))</f>
        <v>4.99</v>
      </c>
      <c r="Z34" s="33">
        <f>IF(Y34&gt;Store_Summary!$M$2,1,0)</f>
        <v>1</v>
      </c>
      <c r="AA34" s="33">
        <f>INDEX(Stores!$C$2:$C$21,MATCH(B34,Stores!$A$2:$A$21,0))</f>
        <v>851</v>
      </c>
      <c r="AB34" s="33">
        <f>IF(AA34&lt;180,1,0)</f>
        <v>0</v>
      </c>
      <c r="AC34" s="32" t="str">
        <f>IF(Orders!D31="","",INDEX(Riders!$C$2:$C$81,MATCH(Orders!D31,Riders!$A$2:$A$81,0)))</f>
        <v>EV scooter</v>
      </c>
      <c r="AD34" s="33">
        <f>IF(Orders!D31="","",INDEX(Riders!$D$2:$D$81,MATCH(Orders!D31,Riders!$A$2:$A$81,0)))</f>
        <v>9</v>
      </c>
      <c r="AE34" s="33">
        <f>IF(Orders!D31="","",IF(INDEX(Riders!$B$2:$B$81,MATCH(Orders!D31,Riders!$A$2:$A$81,0))=B34,1,0))</f>
        <v>0</v>
      </c>
      <c r="AF34" s="34">
        <f>IF(E34=1,Orders!L31,"")</f>
        <v>0.75</v>
      </c>
      <c r="AG34" s="34">
        <f>IF(E34=1,Orders!P31,"")</f>
        <v>10.8</v>
      </c>
      <c r="AH34" s="34">
        <f>IF(E34=1,Orders!Q31,"")</f>
        <v>14.3</v>
      </c>
      <c r="AI34" s="34">
        <f>IF(E34=1,Orders!M31,"")</f>
        <v>4</v>
      </c>
      <c r="AJ34" s="34">
        <f>IF(E34=1,Orders!N31,"")</f>
        <v>6.4</v>
      </c>
      <c r="AK34" s="34">
        <f>IF(E34=1,Orders!O31,"")</f>
        <v>3.8</v>
      </c>
      <c r="AL34" s="33">
        <f>IF(E34=1,IF(ROUND(ABS(AI34+AJ34+AK34-AH34),6)&lt;=0.1,1,0),"")</f>
        <v>1</v>
      </c>
      <c r="AM34" s="36">
        <f>IF(E34=1,AI34/AH34,"")</f>
        <v>0.27972027972028</v>
      </c>
      <c r="AN34" s="36">
        <f>IF(E34=1,AJ34/AH34,"")</f>
        <v>0.447552447552448</v>
      </c>
      <c r="AO34" s="36">
        <f>IF(E34=1,AK34/AH34,"")</f>
        <v>0.265734265734266</v>
      </c>
      <c r="AP34" s="34">
        <f>IF(E34=1,Orders!Y31,"")</f>
        <v>0.42</v>
      </c>
      <c r="AQ34" s="33">
        <f>IF(Orders!X31,1,0)</f>
        <v>0</v>
      </c>
      <c r="AR34" s="34" t="str">
        <f>IF(AND(E34=1,L34=1),AJ34,"")</f>
        <v/>
      </c>
      <c r="AS34" s="34">
        <f>IF(AND(E34=1,L34=0),AJ34,"")</f>
        <v>6.4</v>
      </c>
      <c r="AT34" s="34" t="str">
        <f>IF(AND(E34=1,L34=1),AI34,"")</f>
        <v/>
      </c>
      <c r="AU34" s="34">
        <f>IF(AND(E34=1,L34=0),AI34,"")</f>
        <v>4</v>
      </c>
      <c r="AV34" s="34" t="str">
        <f>IF(AND(E34=1,L34=1),AG34,"")</f>
        <v/>
      </c>
      <c r="AW34" s="34">
        <f>IF(AND(E34=1,L34=0),AG34,"")</f>
        <v>10.8</v>
      </c>
      <c r="AX34" s="34" t="str">
        <f>IF(AND(E34=1,L34=1),AH34,"")</f>
        <v/>
      </c>
      <c r="AY34" s="34">
        <f>IF(AND(E34=1,L34=0),AH34,"")</f>
        <v>14.3</v>
      </c>
      <c r="AZ34" s="34">
        <f>IF(G34=1,F34,"")</f>
        <v>3.5</v>
      </c>
      <c r="BA34" s="34" t="str">
        <f>IF(AND(G34=1,L34=1),F34,"")</f>
        <v/>
      </c>
      <c r="BB34" s="34">
        <f>IF(AND(G34=1,L34=0),F34,"")</f>
        <v>3.5</v>
      </c>
      <c r="BC34" s="33">
        <f>IF(E34=1,IF(Orders!R31&gt;3,1,0),"")</f>
        <v>1</v>
      </c>
      <c r="BD34" s="33">
        <f>IF(E34=1,IF(Orders!R31&gt;7,1,0),"")</f>
        <v>0</v>
      </c>
      <c r="BE34" s="32" t="str">
        <f>IF(E34=1,IF(Orders!L31&lt;=1.5,"Up to 1.5 km",IF(Orders!L31&lt;=3,"1.5–3 km","Over 3 km")),"")</f>
        <v>Up to 1.5 km</v>
      </c>
      <c r="BF34" s="33">
        <f>IF(E34=1,IF(ABS((Orders!G31-Orders!F31)*1440-Orders!R31)&lt;0.06,1,0),"")</f>
        <v>1</v>
      </c>
      <c r="BG34" s="33">
        <f>IF(ABS((Orders!F31-Orders!E31)*1440-Orders!P31)&lt;0.06,1,0)</f>
        <v>1</v>
      </c>
      <c r="BH34" s="33">
        <f>IF(E34=1,IF(IF(Orders!S31,1,0)=1-G34,1,0),"")</f>
        <v>1</v>
      </c>
      <c r="BI34" s="32" t="str">
        <f>INDEX(Stores!$B$2:$B$21,MATCH(B34,Stores!$A$2:$A$21,0))</f>
        <v>Pune</v>
      </c>
    </row>
    <row r="35">
      <c r="A35" s="32" t="str">
        <f>Orders!A32</f>
        <v>O00031</v>
      </c>
      <c r="B35" s="32" t="str">
        <f>Orders!C32</f>
        <v>S016</v>
      </c>
      <c r="C35" s="32" t="str">
        <f>Orders!B32</f>
        <v>C0107</v>
      </c>
      <c r="D35" s="32" t="str">
        <f>Orders!H32</f>
        <v>Delivered</v>
      </c>
      <c r="E35" s="33">
        <f>IF(Orders!H32="Delivered",1,0)</f>
        <v>1</v>
      </c>
      <c r="F35" s="34">
        <f>IF(E35=1,Orders!R32,"")</f>
        <v>-0.4</v>
      </c>
      <c r="G35" s="33">
        <f>IF(E35=1,IF(Orders!R32&gt;0,1,0),"")</f>
        <v>0</v>
      </c>
      <c r="H35" s="33">
        <f>IF(E35=1,IF(Orders!R32&gt;5,1,0),"")</f>
        <v>0</v>
      </c>
      <c r="I35" s="32" t="str">
        <f>IF(E35=1,"",IF(OR(Orders!T32="Rider unavailable",Orders!T32="Item unavailable"),"Company-caused","Unresolved"))</f>
        <v/>
      </c>
      <c r="J35" s="33">
        <f>IF(OR(E35=1,I35="Company-caused"),1,0)</f>
        <v>1</v>
      </c>
      <c r="K35" s="32" t="str">
        <f>IF(E35=0,IF(I35="Company-caused",IF(Orders!T32="Rider unavailable","C1 Rider unavailable","C2 Item unavailable"),"Outside root: unresolved"),IF(G35=0,"A On time",IF(H35=1,IF(L35=1,"B2a Severe, peak","B2b Severe, off-peak"),IF(L35=1,"B1a Slight, peak","B1b Slight, off-peak"))))</f>
        <v>A On time</v>
      </c>
      <c r="L35" s="33">
        <f>IF(AND(Orders!U32&gt;=19,Orders!U32&lt;22),1,0)</f>
        <v>0</v>
      </c>
      <c r="M35" s="33">
        <f>IF(L35=IF(Orders!V32,1,0),1,0)</f>
        <v>1</v>
      </c>
      <c r="N35" s="32" t="str">
        <f>IF(Orders!W32="","None",Orders!W32)</f>
        <v>Light</v>
      </c>
      <c r="O35" s="35">
        <f>INT(Orders!E32)</f>
        <v>46272.0</v>
      </c>
      <c r="P35" s="33">
        <f>Orders!U32</f>
        <v>17</v>
      </c>
      <c r="Q35" s="33">
        <f>COUNTIFS(Demand!$A$2:$A$4481,B35,Demand!$B$2:$B$4481,O35,Demand!$C$2:$C$4481,P35)</f>
        <v>1</v>
      </c>
      <c r="R35" s="33">
        <f>IF(Q35=1,SUMIFS(Demand!$E$2:$E$4481,Demand!$A$2:$A$4481,B35,Demand!$B$2:$B$4481,O35,Demand!$C$2:$C$4481,P35),"")</f>
        <v>19</v>
      </c>
      <c r="S35" s="33">
        <f>INDEX(Stores!$G$2:$G$21,MATCH(B35,Stores!$A$2:$A$21,0))</f>
        <v>25</v>
      </c>
      <c r="T35" s="34">
        <f>IF(R35="","",R35/S35)</f>
        <v>0.76</v>
      </c>
      <c r="U35" s="34">
        <f>IF(E35=1,T35,"")</f>
        <v>0.76</v>
      </c>
      <c r="V35" s="34">
        <f>IF(AND(E35=1,L35=0),T35,"")</f>
        <v>0.76</v>
      </c>
      <c r="W35" s="33">
        <f>IF(U35="","",IF(U35&lt;=Breakdowns!$C$5,1,IF(U35&lt;=Breakdowns!$C$6,2,IF(U35&lt;=Breakdowns!$C$7,3,4))))</f>
        <v>1</v>
      </c>
      <c r="X35" s="33">
        <f>IF(V35="","",IF(V35&lt;=Breakdowns!$D$5,1,IF(V35&lt;=Breakdowns!$D$6,2,IF(V35&lt;=Breakdowns!$D$7,3,4))))</f>
        <v>2</v>
      </c>
      <c r="Y35" s="34">
        <f>INDEX(Stores!$F$2:$F$21,MATCH(B35,Stores!$A$2:$A$21,0))</f>
        <v>5.51</v>
      </c>
      <c r="Z35" s="33">
        <f>IF(Y35&gt;Store_Summary!$M$2,1,0)</f>
        <v>1</v>
      </c>
      <c r="AA35" s="33">
        <f>INDEX(Stores!$C$2:$C$21,MATCH(B35,Stores!$A$2:$A$21,0))</f>
        <v>792</v>
      </c>
      <c r="AB35" s="33">
        <f>IF(AA35&lt;180,1,0)</f>
        <v>0</v>
      </c>
      <c r="AC35" s="32" t="str">
        <f>IF(Orders!D32="","",INDEX(Riders!$C$2:$C$81,MATCH(Orders!D32,Riders!$A$2:$A$81,0)))</f>
        <v>EV scooter</v>
      </c>
      <c r="AD35" s="33">
        <f>IF(Orders!D32="","",INDEX(Riders!$D$2:$D$81,MATCH(Orders!D32,Riders!$A$2:$A$81,0)))</f>
        <v>14</v>
      </c>
      <c r="AE35" s="33">
        <f>IF(Orders!D32="","",IF(INDEX(Riders!$B$2:$B$81,MATCH(Orders!D32,Riders!$A$2:$A$81,0))=B35,1,0))</f>
        <v>0</v>
      </c>
      <c r="AF35" s="34">
        <f>IF(E35=1,Orders!L32,"")</f>
        <v>1.66</v>
      </c>
      <c r="AG35" s="34">
        <f>IF(E35=1,Orders!P32,"")</f>
        <v>10.8</v>
      </c>
      <c r="AH35" s="34">
        <f>IF(E35=1,Orders!Q32,"")</f>
        <v>10.4</v>
      </c>
      <c r="AI35" s="34">
        <f>IF(E35=1,Orders!M32,"")</f>
        <v>3.7</v>
      </c>
      <c r="AJ35" s="34">
        <f>IF(E35=1,Orders!N32,"")</f>
        <v>3.1</v>
      </c>
      <c r="AK35" s="34">
        <f>IF(E35=1,Orders!O32,"")</f>
        <v>3.6</v>
      </c>
      <c r="AL35" s="33">
        <f>IF(E35=1,IF(ROUND(ABS(AI35+AJ35+AK35-AH35),6)&lt;=0.1,1,0),"")</f>
        <v>1</v>
      </c>
      <c r="AM35" s="36">
        <f>IF(E35=1,AI35/AH35,"")</f>
        <v>0.355769230769231</v>
      </c>
      <c r="AN35" s="36">
        <f>IF(E35=1,AJ35/AH35,"")</f>
        <v>0.298076923076923</v>
      </c>
      <c r="AO35" s="36">
        <f>IF(E35=1,AK35/AH35,"")</f>
        <v>0.346153846153846</v>
      </c>
      <c r="AP35" s="34">
        <f>IF(E35=1,Orders!Y32,"")</f>
        <v>0.3</v>
      </c>
      <c r="AQ35" s="33">
        <f>IF(Orders!X32,1,0)</f>
        <v>0</v>
      </c>
      <c r="AR35" s="34" t="str">
        <f>IF(AND(E35=1,L35=1),AJ35,"")</f>
        <v/>
      </c>
      <c r="AS35" s="34">
        <f>IF(AND(E35=1,L35=0),AJ35,"")</f>
        <v>3.1</v>
      </c>
      <c r="AT35" s="34" t="str">
        <f>IF(AND(E35=1,L35=1),AI35,"")</f>
        <v/>
      </c>
      <c r="AU35" s="34">
        <f>IF(AND(E35=1,L35=0),AI35,"")</f>
        <v>3.7</v>
      </c>
      <c r="AV35" s="34" t="str">
        <f>IF(AND(E35=1,L35=1),AG35,"")</f>
        <v/>
      </c>
      <c r="AW35" s="34">
        <f>IF(AND(E35=1,L35=0),AG35,"")</f>
        <v>10.8</v>
      </c>
      <c r="AX35" s="34" t="str">
        <f>IF(AND(E35=1,L35=1),AH35,"")</f>
        <v/>
      </c>
      <c r="AY35" s="34">
        <f>IF(AND(E35=1,L35=0),AH35,"")</f>
        <v>10.4</v>
      </c>
      <c r="AZ35" s="34" t="str">
        <f>IF(G35=1,F35,"")</f>
        <v/>
      </c>
      <c r="BA35" s="34" t="str">
        <f>IF(AND(G35=1,L35=1),F35,"")</f>
        <v/>
      </c>
      <c r="BB35" s="34" t="str">
        <f>IF(AND(G35=1,L35=0),F35,"")</f>
        <v/>
      </c>
      <c r="BC35" s="33">
        <f>IF(E35=1,IF(Orders!R32&gt;3,1,0),"")</f>
        <v>0</v>
      </c>
      <c r="BD35" s="33">
        <f>IF(E35=1,IF(Orders!R32&gt;7,1,0),"")</f>
        <v>0</v>
      </c>
      <c r="BE35" s="32" t="str">
        <f>IF(E35=1,IF(Orders!L32&lt;=1.5,"Up to 1.5 km",IF(Orders!L32&lt;=3,"1.5–3 km","Over 3 km")),"")</f>
        <v>1.5–3 km</v>
      </c>
      <c r="BF35" s="33">
        <f>IF(E35=1,IF(ABS((Orders!G32-Orders!F32)*1440-Orders!R32)&lt;0.06,1,0),"")</f>
        <v>1</v>
      </c>
      <c r="BG35" s="33">
        <f>IF(ABS((Orders!F32-Orders!E32)*1440-Orders!P32)&lt;0.06,1,0)</f>
        <v>1</v>
      </c>
      <c r="BH35" s="33">
        <f>IF(E35=1,IF(IF(Orders!S32,1,0)=1-G35,1,0),"")</f>
        <v>1</v>
      </c>
      <c r="BI35" s="32" t="str">
        <f>INDEX(Stores!$B$2:$B$21,MATCH(B35,Stores!$A$2:$A$21,0))</f>
        <v>Bengaluru</v>
      </c>
    </row>
    <row r="36">
      <c r="A36" s="32" t="str">
        <f>Orders!A33</f>
        <v>O00032</v>
      </c>
      <c r="B36" s="32" t="str">
        <f>Orders!C33</f>
        <v>S002</v>
      </c>
      <c r="C36" s="32" t="str">
        <f>Orders!B33</f>
        <v>C0048</v>
      </c>
      <c r="D36" s="32" t="str">
        <f>Orders!H33</f>
        <v>Delivered</v>
      </c>
      <c r="E36" s="33">
        <f>IF(Orders!H33="Delivered",1,0)</f>
        <v>1</v>
      </c>
      <c r="F36" s="34">
        <f>IF(E36=1,Orders!R33,"")</f>
        <v>-0.5</v>
      </c>
      <c r="G36" s="33">
        <f>IF(E36=1,IF(Orders!R33&gt;0,1,0),"")</f>
        <v>0</v>
      </c>
      <c r="H36" s="33">
        <f>IF(E36=1,IF(Orders!R33&gt;5,1,0),"")</f>
        <v>0</v>
      </c>
      <c r="I36" s="32" t="str">
        <f>IF(E36=1,"",IF(OR(Orders!T33="Rider unavailable",Orders!T33="Item unavailable"),"Company-caused","Unresolved"))</f>
        <v/>
      </c>
      <c r="J36" s="33">
        <f>IF(OR(E36=1,I36="Company-caused"),1,0)</f>
        <v>1</v>
      </c>
      <c r="K36" s="32" t="str">
        <f>IF(E36=0,IF(I36="Company-caused",IF(Orders!T33="Rider unavailable","C1 Rider unavailable","C2 Item unavailable"),"Outside root: unresolved"),IF(G36=0,"A On time",IF(H36=1,IF(L36=1,"B2a Severe, peak","B2b Severe, off-peak"),IF(L36=1,"B1a Slight, peak","B1b Slight, off-peak"))))</f>
        <v>A On time</v>
      </c>
      <c r="L36" s="33">
        <f>IF(AND(Orders!U33&gt;=19,Orders!U33&lt;22),1,0)</f>
        <v>1</v>
      </c>
      <c r="M36" s="33">
        <f>IF(L36=IF(Orders!V33,1,0),1,0)</f>
        <v>1</v>
      </c>
      <c r="N36" s="32" t="str">
        <f>IF(Orders!W33="","None",Orders!W33)</f>
        <v>None</v>
      </c>
      <c r="O36" s="35">
        <f>INT(Orders!E33)</f>
        <v>46267.0</v>
      </c>
      <c r="P36" s="33">
        <f>Orders!U33</f>
        <v>21</v>
      </c>
      <c r="Q36" s="33">
        <f>COUNTIFS(Demand!$A$2:$A$4481,B36,Demand!$B$2:$B$4481,O36,Demand!$C$2:$C$4481,P36)</f>
        <v>1</v>
      </c>
      <c r="R36" s="33">
        <f>IF(Q36=1,SUMIFS(Demand!$E$2:$E$4481,Demand!$A$2:$A$4481,B36,Demand!$B$2:$B$4481,O36,Demand!$C$2:$C$4481,P36),"")</f>
        <v>49</v>
      </c>
      <c r="S36" s="33">
        <f>INDEX(Stores!$G$2:$G$21,MATCH(B36,Stores!$A$2:$A$21,0))</f>
        <v>33</v>
      </c>
      <c r="T36" s="34">
        <f>IF(R36="","",R36/S36)</f>
        <v>1.48484848484848</v>
      </c>
      <c r="U36" s="34">
        <f>IF(E36=1,T36,"")</f>
        <v>1.48484848484848</v>
      </c>
      <c r="V36" s="34" t="str">
        <f>IF(AND(E36=1,L36=0),T36,"")</f>
        <v/>
      </c>
      <c r="W36" s="33">
        <f>IF(U36="","",IF(U36&lt;=Breakdowns!$C$5,1,IF(U36&lt;=Breakdowns!$C$6,2,IF(U36&lt;=Breakdowns!$C$7,3,4))))</f>
        <v>4</v>
      </c>
      <c r="X36" s="33" t="str">
        <f>IF(V36="","",IF(V36&lt;=Breakdowns!$D$5,1,IF(V36&lt;=Breakdowns!$D$6,2,IF(V36&lt;=Breakdowns!$D$7,3,4))))</f>
        <v/>
      </c>
      <c r="Y36" s="34">
        <f>INDEX(Stores!$F$2:$F$21,MATCH(B36,Stores!$A$2:$A$21,0))</f>
        <v>2.39</v>
      </c>
      <c r="Z36" s="33">
        <f>IF(Y36&gt;Store_Summary!$M$2,1,0)</f>
        <v>0</v>
      </c>
      <c r="AA36" s="33">
        <f>INDEX(Stores!$C$2:$C$21,MATCH(B36,Stores!$A$2:$A$21,0))</f>
        <v>470</v>
      </c>
      <c r="AB36" s="33">
        <f>IF(AA36&lt;180,1,0)</f>
        <v>0</v>
      </c>
      <c r="AC36" s="32" t="str">
        <f>IF(Orders!D33="","",INDEX(Riders!$C$2:$C$81,MATCH(Orders!D33,Riders!$A$2:$A$81,0)))</f>
        <v>Petrol scooter</v>
      </c>
      <c r="AD36" s="33">
        <f>IF(Orders!D33="","",INDEX(Riders!$D$2:$D$81,MATCH(Orders!D33,Riders!$A$2:$A$81,0)))</f>
        <v>32</v>
      </c>
      <c r="AE36" s="33">
        <f>IF(Orders!D33="","",IF(INDEX(Riders!$B$2:$B$81,MATCH(Orders!D33,Riders!$A$2:$A$81,0))=B36,1,0))</f>
        <v>0</v>
      </c>
      <c r="AF36" s="34">
        <f>IF(E36=1,Orders!L33,"")</f>
        <v>1.17</v>
      </c>
      <c r="AG36" s="34">
        <f>IF(E36=1,Orders!P33,"")</f>
        <v>9.9</v>
      </c>
      <c r="AH36" s="34">
        <f>IF(E36=1,Orders!Q33,"")</f>
        <v>9.4</v>
      </c>
      <c r="AI36" s="34">
        <f>IF(E36=1,Orders!M33,"")</f>
        <v>1.4</v>
      </c>
      <c r="AJ36" s="34">
        <f>IF(E36=1,Orders!N33,"")</f>
        <v>5.1</v>
      </c>
      <c r="AK36" s="34">
        <f>IF(E36=1,Orders!O33,"")</f>
        <v>2.9</v>
      </c>
      <c r="AL36" s="33">
        <f>IF(E36=1,IF(ROUND(ABS(AI36+AJ36+AK36-AH36),6)&lt;=0.1,1,0),"")</f>
        <v>1</v>
      </c>
      <c r="AM36" s="36">
        <f>IF(E36=1,AI36/AH36,"")</f>
        <v>0.148936170212766</v>
      </c>
      <c r="AN36" s="36">
        <f>IF(E36=1,AJ36/AH36,"")</f>
        <v>0.542553191489362</v>
      </c>
      <c r="AO36" s="36">
        <f>IF(E36=1,AK36/AH36,"")</f>
        <v>0.308510638297872</v>
      </c>
      <c r="AP36" s="34">
        <f>IF(E36=1,Orders!Y33,"")</f>
        <v>0.6</v>
      </c>
      <c r="AQ36" s="33">
        <f>IF(Orders!X33,1,0)</f>
        <v>0</v>
      </c>
      <c r="AR36" s="34">
        <f>IF(AND(E36=1,L36=1),AJ36,"")</f>
        <v>5.1</v>
      </c>
      <c r="AS36" s="34" t="str">
        <f>IF(AND(E36=1,L36=0),AJ36,"")</f>
        <v/>
      </c>
      <c r="AT36" s="34">
        <f>IF(AND(E36=1,L36=1),AI36,"")</f>
        <v>1.4</v>
      </c>
      <c r="AU36" s="34" t="str">
        <f>IF(AND(E36=1,L36=0),AI36,"")</f>
        <v/>
      </c>
      <c r="AV36" s="34">
        <f>IF(AND(E36=1,L36=1),AG36,"")</f>
        <v>9.9</v>
      </c>
      <c r="AW36" s="34" t="str">
        <f>IF(AND(E36=1,L36=0),AG36,"")</f>
        <v/>
      </c>
      <c r="AX36" s="34">
        <f>IF(AND(E36=1,L36=1),AH36,"")</f>
        <v>9.4</v>
      </c>
      <c r="AY36" s="34" t="str">
        <f>IF(AND(E36=1,L36=0),AH36,"")</f>
        <v/>
      </c>
      <c r="AZ36" s="34" t="str">
        <f>IF(G36=1,F36,"")</f>
        <v/>
      </c>
      <c r="BA36" s="34" t="str">
        <f>IF(AND(G36=1,L36=1),F36,"")</f>
        <v/>
      </c>
      <c r="BB36" s="34" t="str">
        <f>IF(AND(G36=1,L36=0),F36,"")</f>
        <v/>
      </c>
      <c r="BC36" s="33">
        <f>IF(E36=1,IF(Orders!R33&gt;3,1,0),"")</f>
        <v>0</v>
      </c>
      <c r="BD36" s="33">
        <f>IF(E36=1,IF(Orders!R33&gt;7,1,0),"")</f>
        <v>0</v>
      </c>
      <c r="BE36" s="32" t="str">
        <f>IF(E36=1,IF(Orders!L33&lt;=1.5,"Up to 1.5 km",IF(Orders!L33&lt;=3,"1.5–3 km","Over 3 km")),"")</f>
        <v>Up to 1.5 km</v>
      </c>
      <c r="BF36" s="33">
        <f>IF(E36=1,IF(ABS((Orders!G33-Orders!F33)*1440-Orders!R33)&lt;0.06,1,0),"")</f>
        <v>1</v>
      </c>
      <c r="BG36" s="33">
        <f>IF(ABS((Orders!F33-Orders!E33)*1440-Orders!P33)&lt;0.06,1,0)</f>
        <v>1</v>
      </c>
      <c r="BH36" s="33">
        <f>IF(E36=1,IF(IF(Orders!S33,1,0)=1-G36,1,0),"")</f>
        <v>1</v>
      </c>
      <c r="BI36" s="32" t="str">
        <f>INDEX(Stores!$B$2:$B$21,MATCH(B36,Stores!$A$2:$A$21,0))</f>
        <v>Hyderabad</v>
      </c>
    </row>
    <row r="37">
      <c r="A37" s="32" t="str">
        <f>Orders!A34</f>
        <v>O00033</v>
      </c>
      <c r="B37" s="32" t="str">
        <f>Orders!C34</f>
        <v>S005</v>
      </c>
      <c r="C37" s="32" t="str">
        <f>Orders!B34</f>
        <v>C0006</v>
      </c>
      <c r="D37" s="32" t="str">
        <f>Orders!H34</f>
        <v>Delivered</v>
      </c>
      <c r="E37" s="33">
        <f>IF(Orders!H34="Delivered",1,0)</f>
        <v>1</v>
      </c>
      <c r="F37" s="34">
        <f>IF(E37=1,Orders!R34,"")</f>
        <v>-0.7</v>
      </c>
      <c r="G37" s="33">
        <f>IF(E37=1,IF(Orders!R34&gt;0,1,0),"")</f>
        <v>0</v>
      </c>
      <c r="H37" s="33">
        <f>IF(E37=1,IF(Orders!R34&gt;5,1,0),"")</f>
        <v>0</v>
      </c>
      <c r="I37" s="32" t="str">
        <f>IF(E37=1,"",IF(OR(Orders!T34="Rider unavailable",Orders!T34="Item unavailable"),"Company-caused","Unresolved"))</f>
        <v/>
      </c>
      <c r="J37" s="33">
        <f>IF(OR(E37=1,I37="Company-caused"),1,0)</f>
        <v>1</v>
      </c>
      <c r="K37" s="32" t="str">
        <f>IF(E37=0,IF(I37="Company-caused",IF(Orders!T34="Rider unavailable","C1 Rider unavailable","C2 Item unavailable"),"Outside root: unresolved"),IF(G37=0,"A On time",IF(H37=1,IF(L37=1,"B2a Severe, peak","B2b Severe, off-peak"),IF(L37=1,"B1a Slight, peak","B1b Slight, off-peak"))))</f>
        <v>A On time</v>
      </c>
      <c r="L37" s="33">
        <f>IF(AND(Orders!U34&gt;=19,Orders!U34&lt;22),1,0)</f>
        <v>0</v>
      </c>
      <c r="M37" s="33">
        <f>IF(L37=IF(Orders!V34,1,0),1,0)</f>
        <v>1</v>
      </c>
      <c r="N37" s="32" t="str">
        <f>IF(Orders!W34="","None",Orders!W34)</f>
        <v>None</v>
      </c>
      <c r="O37" s="35">
        <f>INT(Orders!E34)</f>
        <v>46279.0</v>
      </c>
      <c r="P37" s="33">
        <f>Orders!U34</f>
        <v>18</v>
      </c>
      <c r="Q37" s="33">
        <f>COUNTIFS(Demand!$A$2:$A$4481,B37,Demand!$B$2:$B$4481,O37,Demand!$C$2:$C$4481,P37)</f>
        <v>1</v>
      </c>
      <c r="R37" s="33">
        <f>IF(Q37=1,SUMIFS(Demand!$E$2:$E$4481,Demand!$A$2:$A$4481,B37,Demand!$B$2:$B$4481,O37,Demand!$C$2:$C$4481,P37),"")</f>
        <v>18</v>
      </c>
      <c r="S37" s="33">
        <f>INDEX(Stores!$G$2:$G$21,MATCH(B37,Stores!$A$2:$A$21,0))</f>
        <v>14</v>
      </c>
      <c r="T37" s="34">
        <f>IF(R37="","",R37/S37)</f>
        <v>1.28571428571429</v>
      </c>
      <c r="U37" s="34">
        <f>IF(E37=1,T37,"")</f>
        <v>1.28571428571429</v>
      </c>
      <c r="V37" s="34">
        <f>IF(AND(E37=1,L37=0),T37,"")</f>
        <v>1.28571428571429</v>
      </c>
      <c r="W37" s="33">
        <f>IF(U37="","",IF(U37&lt;=Breakdowns!$C$5,1,IF(U37&lt;=Breakdowns!$C$6,2,IF(U37&lt;=Breakdowns!$C$7,3,4))))</f>
        <v>4</v>
      </c>
      <c r="X37" s="33">
        <f>IF(V37="","",IF(V37&lt;=Breakdowns!$D$5,1,IF(V37&lt;=Breakdowns!$D$6,2,IF(V37&lt;=Breakdowns!$D$7,3,4))))</f>
        <v>4</v>
      </c>
      <c r="Y37" s="34">
        <f>INDEX(Stores!$F$2:$F$21,MATCH(B37,Stores!$A$2:$A$21,0))</f>
        <v>4.89</v>
      </c>
      <c r="Z37" s="33">
        <f>IF(Y37&gt;Store_Summary!$M$2,1,0)</f>
        <v>0</v>
      </c>
      <c r="AA37" s="33">
        <f>INDEX(Stores!$C$2:$C$21,MATCH(B37,Stores!$A$2:$A$21,0))</f>
        <v>138</v>
      </c>
      <c r="AB37" s="33">
        <f>IF(AA37&lt;180,1,0)</f>
        <v>1</v>
      </c>
      <c r="AC37" s="32" t="str">
        <f>IF(Orders!D34="","",INDEX(Riders!$C$2:$C$81,MATCH(Orders!D34,Riders!$A$2:$A$81,0)))</f>
        <v>EV scooter</v>
      </c>
      <c r="AD37" s="33">
        <f>IF(Orders!D34="","",INDEX(Riders!$D$2:$D$81,MATCH(Orders!D34,Riders!$A$2:$A$81,0)))</f>
        <v>36</v>
      </c>
      <c r="AE37" s="33">
        <f>IF(Orders!D34="","",IF(INDEX(Riders!$B$2:$B$81,MATCH(Orders!D34,Riders!$A$2:$A$81,0))=B37,1,0))</f>
        <v>0</v>
      </c>
      <c r="AF37" s="34">
        <f>IF(E37=1,Orders!L34,"")</f>
        <v>2.62</v>
      </c>
      <c r="AG37" s="34">
        <f>IF(E37=1,Orders!P34,"")</f>
        <v>11.7</v>
      </c>
      <c r="AH37" s="34">
        <f>IF(E37=1,Orders!Q34,"")</f>
        <v>11</v>
      </c>
      <c r="AI37" s="34">
        <f>IF(E37=1,Orders!M34,"")</f>
        <v>2.7</v>
      </c>
      <c r="AJ37" s="34">
        <f>IF(E37=1,Orders!N34,"")</f>
        <v>4.2</v>
      </c>
      <c r="AK37" s="34">
        <f>IF(E37=1,Orders!O34,"")</f>
        <v>4.1</v>
      </c>
      <c r="AL37" s="33">
        <f>IF(E37=1,IF(ROUND(ABS(AI37+AJ37+AK37-AH37),6)&lt;=0.1,1,0),"")</f>
        <v>1</v>
      </c>
      <c r="AM37" s="36">
        <f>IF(E37=1,AI37/AH37,"")</f>
        <v>0.245454545454545</v>
      </c>
      <c r="AN37" s="36">
        <f>IF(E37=1,AJ37/AH37,"")</f>
        <v>0.381818181818182</v>
      </c>
      <c r="AO37" s="36">
        <f>IF(E37=1,AK37/AH37,"")</f>
        <v>0.372727272727273</v>
      </c>
      <c r="AP37" s="34">
        <f>IF(E37=1,Orders!Y34,"")</f>
        <v>0.27</v>
      </c>
      <c r="AQ37" s="33">
        <f>IF(Orders!X34,1,0)</f>
        <v>0</v>
      </c>
      <c r="AR37" s="34" t="str">
        <f>IF(AND(E37=1,L37=1),AJ37,"")</f>
        <v/>
      </c>
      <c r="AS37" s="34">
        <f>IF(AND(E37=1,L37=0),AJ37,"")</f>
        <v>4.2</v>
      </c>
      <c r="AT37" s="34" t="str">
        <f>IF(AND(E37=1,L37=1),AI37,"")</f>
        <v/>
      </c>
      <c r="AU37" s="34">
        <f>IF(AND(E37=1,L37=0),AI37,"")</f>
        <v>2.7</v>
      </c>
      <c r="AV37" s="34" t="str">
        <f>IF(AND(E37=1,L37=1),AG37,"")</f>
        <v/>
      </c>
      <c r="AW37" s="34">
        <f>IF(AND(E37=1,L37=0),AG37,"")</f>
        <v>11.7</v>
      </c>
      <c r="AX37" s="34" t="str">
        <f>IF(AND(E37=1,L37=1),AH37,"")</f>
        <v/>
      </c>
      <c r="AY37" s="34">
        <f>IF(AND(E37=1,L37=0),AH37,"")</f>
        <v>11</v>
      </c>
      <c r="AZ37" s="34" t="str">
        <f>IF(G37=1,F37,"")</f>
        <v/>
      </c>
      <c r="BA37" s="34" t="str">
        <f>IF(AND(G37=1,L37=1),F37,"")</f>
        <v/>
      </c>
      <c r="BB37" s="34" t="str">
        <f>IF(AND(G37=1,L37=0),F37,"")</f>
        <v/>
      </c>
      <c r="BC37" s="33">
        <f>IF(E37=1,IF(Orders!R34&gt;3,1,0),"")</f>
        <v>0</v>
      </c>
      <c r="BD37" s="33">
        <f>IF(E37=1,IF(Orders!R34&gt;7,1,0),"")</f>
        <v>0</v>
      </c>
      <c r="BE37" s="32" t="str">
        <f>IF(E37=1,IF(Orders!L34&lt;=1.5,"Up to 1.5 km",IF(Orders!L34&lt;=3,"1.5–3 km","Over 3 km")),"")</f>
        <v>1.5–3 km</v>
      </c>
      <c r="BF37" s="33">
        <f>IF(E37=1,IF(ABS((Orders!G34-Orders!F34)*1440-Orders!R34)&lt;0.06,1,0),"")</f>
        <v>1</v>
      </c>
      <c r="BG37" s="33">
        <f>IF(ABS((Orders!F34-Orders!E34)*1440-Orders!P34)&lt;0.06,1,0)</f>
        <v>1</v>
      </c>
      <c r="BH37" s="33">
        <f>IF(E37=1,IF(IF(Orders!S34,1,0)=1-G37,1,0),"")</f>
        <v>1</v>
      </c>
      <c r="BI37" s="32" t="str">
        <f>INDEX(Stores!$B$2:$B$21,MATCH(B37,Stores!$A$2:$A$21,0))</f>
        <v>Delhi</v>
      </c>
    </row>
    <row r="38">
      <c r="A38" s="32" t="str">
        <f>Orders!A35</f>
        <v>O00034</v>
      </c>
      <c r="B38" s="32" t="str">
        <f>Orders!C35</f>
        <v>S018</v>
      </c>
      <c r="C38" s="32" t="str">
        <f>Orders!B35</f>
        <v>C0126</v>
      </c>
      <c r="D38" s="32" t="str">
        <f>Orders!H35</f>
        <v>Delivered</v>
      </c>
      <c r="E38" s="33">
        <f>IF(Orders!H35="Delivered",1,0)</f>
        <v>1</v>
      </c>
      <c r="F38" s="34">
        <f>IF(E38=1,Orders!R35,"")</f>
        <v>-0.4</v>
      </c>
      <c r="G38" s="33">
        <f>IF(E38=1,IF(Orders!R35&gt;0,1,0),"")</f>
        <v>0</v>
      </c>
      <c r="H38" s="33">
        <f>IF(E38=1,IF(Orders!R35&gt;5,1,0),"")</f>
        <v>0</v>
      </c>
      <c r="I38" s="32" t="str">
        <f>IF(E38=1,"",IF(OR(Orders!T35="Rider unavailable",Orders!T35="Item unavailable"),"Company-caused","Unresolved"))</f>
        <v/>
      </c>
      <c r="J38" s="33">
        <f>IF(OR(E38=1,I38="Company-caused"),1,0)</f>
        <v>1</v>
      </c>
      <c r="K38" s="32" t="str">
        <f>IF(E38=0,IF(I38="Company-caused",IF(Orders!T35="Rider unavailable","C1 Rider unavailable","C2 Item unavailable"),"Outside root: unresolved"),IF(G38=0,"A On time",IF(H38=1,IF(L38=1,"B2a Severe, peak","B2b Severe, off-peak"),IF(L38=1,"B1a Slight, peak","B1b Slight, off-peak"))))</f>
        <v>A On time</v>
      </c>
      <c r="L38" s="33">
        <f>IF(AND(Orders!U35&gt;=19,Orders!U35&lt;22),1,0)</f>
        <v>0</v>
      </c>
      <c r="M38" s="33">
        <f>IF(L38=IF(Orders!V35,1,0),1,0)</f>
        <v>1</v>
      </c>
      <c r="N38" s="32" t="str">
        <f>IF(Orders!W35="","None",Orders!W35)</f>
        <v>None</v>
      </c>
      <c r="O38" s="35">
        <f>INT(Orders!E35)</f>
        <v>46269.0</v>
      </c>
      <c r="P38" s="33">
        <f>Orders!U35</f>
        <v>8</v>
      </c>
      <c r="Q38" s="33">
        <f>COUNTIFS(Demand!$A$2:$A$4481,B38,Demand!$B$2:$B$4481,O38,Demand!$C$2:$C$4481,P38)</f>
        <v>1</v>
      </c>
      <c r="R38" s="33">
        <f>IF(Q38=1,SUMIFS(Demand!$E$2:$E$4481,Demand!$A$2:$A$4481,B38,Demand!$B$2:$B$4481,O38,Demand!$C$2:$C$4481,P38),"")</f>
        <v>14</v>
      </c>
      <c r="S38" s="33">
        <f>INDEX(Stores!$G$2:$G$21,MATCH(B38,Stores!$A$2:$A$21,0))</f>
        <v>20</v>
      </c>
      <c r="T38" s="34">
        <f>IF(R38="","",R38/S38)</f>
        <v>0.7</v>
      </c>
      <c r="U38" s="34">
        <f>IF(E38=1,T38,"")</f>
        <v>0.7</v>
      </c>
      <c r="V38" s="34">
        <f>IF(AND(E38=1,L38=0),T38,"")</f>
        <v>0.7</v>
      </c>
      <c r="W38" s="33">
        <f>IF(U38="","",IF(U38&lt;=Breakdowns!$C$5,1,IF(U38&lt;=Breakdowns!$C$6,2,IF(U38&lt;=Breakdowns!$C$7,3,4))))</f>
        <v>1</v>
      </c>
      <c r="X38" s="33">
        <f>IF(V38="","",IF(V38&lt;=Breakdowns!$D$5,1,IF(V38&lt;=Breakdowns!$D$6,2,IF(V38&lt;=Breakdowns!$D$7,3,4))))</f>
        <v>1</v>
      </c>
      <c r="Y38" s="34">
        <f>INDEX(Stores!$F$2:$F$21,MATCH(B38,Stores!$A$2:$A$21,0))</f>
        <v>5.31</v>
      </c>
      <c r="Z38" s="33">
        <f>IF(Y38&gt;Store_Summary!$M$2,1,0)</f>
        <v>1</v>
      </c>
      <c r="AA38" s="33">
        <f>INDEX(Stores!$C$2:$C$21,MATCH(B38,Stores!$A$2:$A$21,0))</f>
        <v>214</v>
      </c>
      <c r="AB38" s="33">
        <f>IF(AA38&lt;180,1,0)</f>
        <v>0</v>
      </c>
      <c r="AC38" s="32" t="str">
        <f>IF(Orders!D35="","",INDEX(Riders!$C$2:$C$81,MATCH(Orders!D35,Riders!$A$2:$A$81,0)))</f>
        <v>Bicycle</v>
      </c>
      <c r="AD38" s="33">
        <f>IF(Orders!D35="","",INDEX(Riders!$D$2:$D$81,MATCH(Orders!D35,Riders!$A$2:$A$81,0)))</f>
        <v>8</v>
      </c>
      <c r="AE38" s="33">
        <f>IF(Orders!D35="","",IF(INDEX(Riders!$B$2:$B$81,MATCH(Orders!D35,Riders!$A$2:$A$81,0))=B38,1,0))</f>
        <v>0</v>
      </c>
      <c r="AF38" s="34">
        <f>IF(E38=1,Orders!L35,"")</f>
        <v>2.18</v>
      </c>
      <c r="AG38" s="34">
        <f>IF(E38=1,Orders!P35,"")</f>
        <v>9.6</v>
      </c>
      <c r="AH38" s="34">
        <f>IF(E38=1,Orders!Q35,"")</f>
        <v>9.2</v>
      </c>
      <c r="AI38" s="34">
        <f>IF(E38=1,Orders!M35,"")</f>
        <v>3.3</v>
      </c>
      <c r="AJ38" s="34">
        <f>IF(E38=1,Orders!N35,"")</f>
        <v>2.5</v>
      </c>
      <c r="AK38" s="34">
        <f>IF(E38=1,Orders!O35,"")</f>
        <v>3.4</v>
      </c>
      <c r="AL38" s="33">
        <f>IF(E38=1,IF(ROUND(ABS(AI38+AJ38+AK38-AH38),6)&lt;=0.1,1,0),"")</f>
        <v>1</v>
      </c>
      <c r="AM38" s="36">
        <f>IF(E38=1,AI38/AH38,"")</f>
        <v>0.358695652173913</v>
      </c>
      <c r="AN38" s="36">
        <f>IF(E38=1,AJ38/AH38,"")</f>
        <v>0.271739130434783</v>
      </c>
      <c r="AO38" s="36">
        <f>IF(E38=1,AK38/AH38,"")</f>
        <v>0.369565217391304</v>
      </c>
      <c r="AP38" s="34">
        <f>IF(E38=1,Orders!Y35,"")</f>
        <v>0.42</v>
      </c>
      <c r="AQ38" s="33">
        <f>IF(Orders!X35,1,0)</f>
        <v>0</v>
      </c>
      <c r="AR38" s="34" t="str">
        <f>IF(AND(E38=1,L38=1),AJ38,"")</f>
        <v/>
      </c>
      <c r="AS38" s="34">
        <f>IF(AND(E38=1,L38=0),AJ38,"")</f>
        <v>2.5</v>
      </c>
      <c r="AT38" s="34" t="str">
        <f>IF(AND(E38=1,L38=1),AI38,"")</f>
        <v/>
      </c>
      <c r="AU38" s="34">
        <f>IF(AND(E38=1,L38=0),AI38,"")</f>
        <v>3.3</v>
      </c>
      <c r="AV38" s="34" t="str">
        <f>IF(AND(E38=1,L38=1),AG38,"")</f>
        <v/>
      </c>
      <c r="AW38" s="34">
        <f>IF(AND(E38=1,L38=0),AG38,"")</f>
        <v>9.6</v>
      </c>
      <c r="AX38" s="34" t="str">
        <f>IF(AND(E38=1,L38=1),AH38,"")</f>
        <v/>
      </c>
      <c r="AY38" s="34">
        <f>IF(AND(E38=1,L38=0),AH38,"")</f>
        <v>9.2</v>
      </c>
      <c r="AZ38" s="34" t="str">
        <f>IF(G38=1,F38,"")</f>
        <v/>
      </c>
      <c r="BA38" s="34" t="str">
        <f>IF(AND(G38=1,L38=1),F38,"")</f>
        <v/>
      </c>
      <c r="BB38" s="34" t="str">
        <f>IF(AND(G38=1,L38=0),F38,"")</f>
        <v/>
      </c>
      <c r="BC38" s="33">
        <f>IF(E38=1,IF(Orders!R35&gt;3,1,0),"")</f>
        <v>0</v>
      </c>
      <c r="BD38" s="33">
        <f>IF(E38=1,IF(Orders!R35&gt;7,1,0),"")</f>
        <v>0</v>
      </c>
      <c r="BE38" s="32" t="str">
        <f>IF(E38=1,IF(Orders!L35&lt;=1.5,"Up to 1.5 km",IF(Orders!L35&lt;=3,"1.5–3 km","Over 3 km")),"")</f>
        <v>1.5–3 km</v>
      </c>
      <c r="BF38" s="33">
        <f>IF(E38=1,IF(ABS((Orders!G35-Orders!F35)*1440-Orders!R35)&lt;0.06,1,0),"")</f>
        <v>1</v>
      </c>
      <c r="BG38" s="33">
        <f>IF(ABS((Orders!F35-Orders!E35)*1440-Orders!P35)&lt;0.06,1,0)</f>
        <v>1</v>
      </c>
      <c r="BH38" s="33">
        <f>IF(E38=1,IF(IF(Orders!S35,1,0)=1-G38,1,0),"")</f>
        <v>1</v>
      </c>
      <c r="BI38" s="32" t="str">
        <f>INDEX(Stores!$B$2:$B$21,MATCH(B38,Stores!$A$2:$A$21,0))</f>
        <v>Mumbai</v>
      </c>
    </row>
    <row r="39">
      <c r="A39" s="32" t="str">
        <f>Orders!A36</f>
        <v>O00035</v>
      </c>
      <c r="B39" s="32" t="str">
        <f>Orders!C36</f>
        <v>S005</v>
      </c>
      <c r="C39" s="32" t="str">
        <f>Orders!B36</f>
        <v>C0154</v>
      </c>
      <c r="D39" s="32" t="str">
        <f>Orders!H36</f>
        <v>Delivered</v>
      </c>
      <c r="E39" s="33">
        <f>IF(Orders!H36="Delivered",1,0)</f>
        <v>1</v>
      </c>
      <c r="F39" s="34">
        <f>IF(E39=1,Orders!R36,"")</f>
        <v>-0.4</v>
      </c>
      <c r="G39" s="33">
        <f>IF(E39=1,IF(Orders!R36&gt;0,1,0),"")</f>
        <v>0</v>
      </c>
      <c r="H39" s="33">
        <f>IF(E39=1,IF(Orders!R36&gt;5,1,0),"")</f>
        <v>0</v>
      </c>
      <c r="I39" s="32" t="str">
        <f>IF(E39=1,"",IF(OR(Orders!T36="Rider unavailable",Orders!T36="Item unavailable"),"Company-caused","Unresolved"))</f>
        <v/>
      </c>
      <c r="J39" s="33">
        <f>IF(OR(E39=1,I39="Company-caused"),1,0)</f>
        <v>1</v>
      </c>
      <c r="K39" s="32" t="str">
        <f>IF(E39=0,IF(I39="Company-caused",IF(Orders!T36="Rider unavailable","C1 Rider unavailable","C2 Item unavailable"),"Outside root: unresolved"),IF(G39=0,"A On time",IF(H39=1,IF(L39=1,"B2a Severe, peak","B2b Severe, off-peak"),IF(L39=1,"B1a Slight, peak","B1b Slight, off-peak"))))</f>
        <v>A On time</v>
      </c>
      <c r="L39" s="33">
        <f>IF(AND(Orders!U36&gt;=19,Orders!U36&lt;22),1,0)</f>
        <v>0</v>
      </c>
      <c r="M39" s="33">
        <f>IF(L39=IF(Orders!V36,1,0),1,0)</f>
        <v>1</v>
      </c>
      <c r="N39" s="32" t="str">
        <f>IF(Orders!W36="","None",Orders!W36)</f>
        <v>Heavy</v>
      </c>
      <c r="O39" s="35">
        <f>INT(Orders!E36)</f>
        <v>46269.0</v>
      </c>
      <c r="P39" s="33">
        <f>Orders!U36</f>
        <v>13</v>
      </c>
      <c r="Q39" s="33">
        <f>COUNTIFS(Demand!$A$2:$A$4481,B39,Demand!$B$2:$B$4481,O39,Demand!$C$2:$C$4481,P39)</f>
        <v>1</v>
      </c>
      <c r="R39" s="33">
        <f>IF(Q39=1,SUMIFS(Demand!$E$2:$E$4481,Demand!$A$2:$A$4481,B39,Demand!$B$2:$B$4481,O39,Demand!$C$2:$C$4481,P39),"")</f>
        <v>19</v>
      </c>
      <c r="S39" s="33">
        <f>INDEX(Stores!$G$2:$G$21,MATCH(B39,Stores!$A$2:$A$21,0))</f>
        <v>14</v>
      </c>
      <c r="T39" s="34">
        <f>IF(R39="","",R39/S39)</f>
        <v>1.35714285714286</v>
      </c>
      <c r="U39" s="34">
        <f>IF(E39=1,T39,"")</f>
        <v>1.35714285714286</v>
      </c>
      <c r="V39" s="34">
        <f>IF(AND(E39=1,L39=0),T39,"")</f>
        <v>1.35714285714286</v>
      </c>
      <c r="W39" s="33">
        <f>IF(U39="","",IF(U39&lt;=Breakdowns!$C$5,1,IF(U39&lt;=Breakdowns!$C$6,2,IF(U39&lt;=Breakdowns!$C$7,3,4))))</f>
        <v>4</v>
      </c>
      <c r="X39" s="33">
        <f>IF(V39="","",IF(V39&lt;=Breakdowns!$D$5,1,IF(V39&lt;=Breakdowns!$D$6,2,IF(V39&lt;=Breakdowns!$D$7,3,4))))</f>
        <v>4</v>
      </c>
      <c r="Y39" s="34">
        <f>INDEX(Stores!$F$2:$F$21,MATCH(B39,Stores!$A$2:$A$21,0))</f>
        <v>4.89</v>
      </c>
      <c r="Z39" s="33">
        <f>IF(Y39&gt;Store_Summary!$M$2,1,0)</f>
        <v>0</v>
      </c>
      <c r="AA39" s="33">
        <f>INDEX(Stores!$C$2:$C$21,MATCH(B39,Stores!$A$2:$A$21,0))</f>
        <v>138</v>
      </c>
      <c r="AB39" s="33">
        <f>IF(AA39&lt;180,1,0)</f>
        <v>1</v>
      </c>
      <c r="AC39" s="32" t="str">
        <f>IF(Orders!D36="","",INDEX(Riders!$C$2:$C$81,MATCH(Orders!D36,Riders!$A$2:$A$81,0)))</f>
        <v>EV scooter</v>
      </c>
      <c r="AD39" s="33">
        <f>IF(Orders!D36="","",INDEX(Riders!$D$2:$D$81,MATCH(Orders!D36,Riders!$A$2:$A$81,0)))</f>
        <v>41</v>
      </c>
      <c r="AE39" s="33">
        <f>IF(Orders!D36="","",IF(INDEX(Riders!$B$2:$B$81,MATCH(Orders!D36,Riders!$A$2:$A$81,0))=B39,1,0))</f>
        <v>0</v>
      </c>
      <c r="AF39" s="34">
        <f>IF(E39=1,Orders!L36,"")</f>
        <v>1.82</v>
      </c>
      <c r="AG39" s="34">
        <f>IF(E39=1,Orders!P36,"")</f>
        <v>10.6</v>
      </c>
      <c r="AH39" s="34">
        <f>IF(E39=1,Orders!Q36,"")</f>
        <v>10.2</v>
      </c>
      <c r="AI39" s="34">
        <f>IF(E39=1,Orders!M36,"")</f>
        <v>3.4</v>
      </c>
      <c r="AJ39" s="34">
        <f>IF(E39=1,Orders!N36,"")</f>
        <v>0</v>
      </c>
      <c r="AK39" s="34">
        <f>IF(E39=1,Orders!O36,"")</f>
        <v>6.8</v>
      </c>
      <c r="AL39" s="33">
        <f>IF(E39=1,IF(ROUND(ABS(AI39+AJ39+AK39-AH39),6)&lt;=0.1,1,0),"")</f>
        <v>1</v>
      </c>
      <c r="AM39" s="36">
        <f>IF(E39=1,AI39/AH39,"")</f>
        <v>0.333333333333333</v>
      </c>
      <c r="AN39" s="36">
        <f>IF(E39=1,AJ39/AH39,"")</f>
        <v>0</v>
      </c>
      <c r="AO39" s="36">
        <f>IF(E39=1,AK39/AH39,"")</f>
        <v>0.666666666666667</v>
      </c>
      <c r="AP39" s="34">
        <f>IF(E39=1,Orders!Y36,"")</f>
        <v>0.97</v>
      </c>
      <c r="AQ39" s="33">
        <f>IF(Orders!X36,1,0)</f>
        <v>0</v>
      </c>
      <c r="AR39" s="34" t="str">
        <f>IF(AND(E39=1,L39=1),AJ39,"")</f>
        <v/>
      </c>
      <c r="AS39" s="34">
        <f>IF(AND(E39=1,L39=0),AJ39,"")</f>
        <v>0</v>
      </c>
      <c r="AT39" s="34" t="str">
        <f>IF(AND(E39=1,L39=1),AI39,"")</f>
        <v/>
      </c>
      <c r="AU39" s="34">
        <f>IF(AND(E39=1,L39=0),AI39,"")</f>
        <v>3.4</v>
      </c>
      <c r="AV39" s="34" t="str">
        <f>IF(AND(E39=1,L39=1),AG39,"")</f>
        <v/>
      </c>
      <c r="AW39" s="34">
        <f>IF(AND(E39=1,L39=0),AG39,"")</f>
        <v>10.6</v>
      </c>
      <c r="AX39" s="34" t="str">
        <f>IF(AND(E39=1,L39=1),AH39,"")</f>
        <v/>
      </c>
      <c r="AY39" s="34">
        <f>IF(AND(E39=1,L39=0),AH39,"")</f>
        <v>10.2</v>
      </c>
      <c r="AZ39" s="34" t="str">
        <f>IF(G39=1,F39,"")</f>
        <v/>
      </c>
      <c r="BA39" s="34" t="str">
        <f>IF(AND(G39=1,L39=1),F39,"")</f>
        <v/>
      </c>
      <c r="BB39" s="34" t="str">
        <f>IF(AND(G39=1,L39=0),F39,"")</f>
        <v/>
      </c>
      <c r="BC39" s="33">
        <f>IF(E39=1,IF(Orders!R36&gt;3,1,0),"")</f>
        <v>0</v>
      </c>
      <c r="BD39" s="33">
        <f>IF(E39=1,IF(Orders!R36&gt;7,1,0),"")</f>
        <v>0</v>
      </c>
      <c r="BE39" s="32" t="str">
        <f>IF(E39=1,IF(Orders!L36&lt;=1.5,"Up to 1.5 km",IF(Orders!L36&lt;=3,"1.5–3 km","Over 3 km")),"")</f>
        <v>1.5–3 km</v>
      </c>
      <c r="BF39" s="33">
        <f>IF(E39=1,IF(ABS((Orders!G36-Orders!F36)*1440-Orders!R36)&lt;0.06,1,0),"")</f>
        <v>1</v>
      </c>
      <c r="BG39" s="33">
        <f>IF(ABS((Orders!F36-Orders!E36)*1440-Orders!P36)&lt;0.06,1,0)</f>
        <v>1</v>
      </c>
      <c r="BH39" s="33">
        <f>IF(E39=1,IF(IF(Orders!S36,1,0)=1-G39,1,0),"")</f>
        <v>1</v>
      </c>
      <c r="BI39" s="32" t="str">
        <f>INDEX(Stores!$B$2:$B$21,MATCH(B39,Stores!$A$2:$A$21,0))</f>
        <v>Delhi</v>
      </c>
    </row>
    <row r="40">
      <c r="A40" s="32" t="str">
        <f>Orders!A37</f>
        <v>O00036</v>
      </c>
      <c r="B40" s="32" t="str">
        <f>Orders!C37</f>
        <v>S001</v>
      </c>
      <c r="C40" s="32" t="str">
        <f>Orders!B37</f>
        <v>C0246</v>
      </c>
      <c r="D40" s="32" t="str">
        <f>Orders!H37</f>
        <v>Delivered</v>
      </c>
      <c r="E40" s="33">
        <f>IF(Orders!H37="Delivered",1,0)</f>
        <v>1</v>
      </c>
      <c r="F40" s="34">
        <f>IF(E40=1,Orders!R37,"")</f>
        <v>2.6</v>
      </c>
      <c r="G40" s="33">
        <f>IF(E40=1,IF(Orders!R37&gt;0,1,0),"")</f>
        <v>1</v>
      </c>
      <c r="H40" s="33">
        <f>IF(E40=1,IF(Orders!R37&gt;5,1,0),"")</f>
        <v>0</v>
      </c>
      <c r="I40" s="32" t="str">
        <f>IF(E40=1,"",IF(OR(Orders!T37="Rider unavailable",Orders!T37="Item unavailable"),"Company-caused","Unresolved"))</f>
        <v/>
      </c>
      <c r="J40" s="33">
        <f>IF(OR(E40=1,I40="Company-caused"),1,0)</f>
        <v>1</v>
      </c>
      <c r="K40" s="32" t="str">
        <f>IF(E40=0,IF(I40="Company-caused",IF(Orders!T37="Rider unavailable","C1 Rider unavailable","C2 Item unavailable"),"Outside root: unresolved"),IF(G40=0,"A On time",IF(H40=1,IF(L40=1,"B2a Severe, peak","B2b Severe, off-peak"),IF(L40=1,"B1a Slight, peak","B1b Slight, off-peak"))))</f>
        <v>B1b Slight, off-peak</v>
      </c>
      <c r="L40" s="33">
        <f>IF(AND(Orders!U37&gt;=19,Orders!U37&lt;22),1,0)</f>
        <v>0</v>
      </c>
      <c r="M40" s="33">
        <f>IF(L40=IF(Orders!V37,1,0),1,0)</f>
        <v>1</v>
      </c>
      <c r="N40" s="32" t="str">
        <f>IF(Orders!W37="","None",Orders!W37)</f>
        <v>None</v>
      </c>
      <c r="O40" s="35">
        <f>INT(Orders!E37)</f>
        <v>46269.0</v>
      </c>
      <c r="P40" s="33">
        <f>Orders!U37</f>
        <v>13</v>
      </c>
      <c r="Q40" s="33">
        <f>COUNTIFS(Demand!$A$2:$A$4481,B40,Demand!$B$2:$B$4481,O40,Demand!$C$2:$C$4481,P40)</f>
        <v>1</v>
      </c>
      <c r="R40" s="33">
        <f>IF(Q40=1,SUMIFS(Demand!$E$2:$E$4481,Demand!$A$2:$A$4481,B40,Demand!$B$2:$B$4481,O40,Demand!$C$2:$C$4481,P40),"")</f>
        <v>13</v>
      </c>
      <c r="S40" s="33">
        <f>INDEX(Stores!$G$2:$G$21,MATCH(B40,Stores!$A$2:$A$21,0))</f>
        <v>16</v>
      </c>
      <c r="T40" s="34">
        <f>IF(R40="","",R40/S40)</f>
        <v>0.8125</v>
      </c>
      <c r="U40" s="34">
        <f>IF(E40=1,T40,"")</f>
        <v>0.8125</v>
      </c>
      <c r="V40" s="34">
        <f>IF(AND(E40=1,L40=0),T40,"")</f>
        <v>0.8125</v>
      </c>
      <c r="W40" s="33">
        <f>IF(U40="","",IF(U40&lt;=Breakdowns!$C$5,1,IF(U40&lt;=Breakdowns!$C$6,2,IF(U40&lt;=Breakdowns!$C$7,3,4))))</f>
        <v>2</v>
      </c>
      <c r="X40" s="33">
        <f>IF(V40="","",IF(V40&lt;=Breakdowns!$D$5,1,IF(V40&lt;=Breakdowns!$D$6,2,IF(V40&lt;=Breakdowns!$D$7,3,4))))</f>
        <v>2</v>
      </c>
      <c r="Y40" s="34">
        <f>INDEX(Stores!$F$2:$F$21,MATCH(B40,Stores!$A$2:$A$21,0))</f>
        <v>4.59</v>
      </c>
      <c r="Z40" s="33">
        <f>IF(Y40&gt;Store_Summary!$M$2,1,0)</f>
        <v>0</v>
      </c>
      <c r="AA40" s="33">
        <f>INDEX(Stores!$C$2:$C$21,MATCH(B40,Stores!$A$2:$A$21,0))</f>
        <v>362</v>
      </c>
      <c r="AB40" s="33">
        <f>IF(AA40&lt;180,1,0)</f>
        <v>0</v>
      </c>
      <c r="AC40" s="32" t="str">
        <f>IF(Orders!D37="","",INDEX(Riders!$C$2:$C$81,MATCH(Orders!D37,Riders!$A$2:$A$81,0)))</f>
        <v>Petrol scooter</v>
      </c>
      <c r="AD40" s="33">
        <f>IF(Orders!D37="","",INDEX(Riders!$D$2:$D$81,MATCH(Orders!D37,Riders!$A$2:$A$81,0)))</f>
        <v>15</v>
      </c>
      <c r="AE40" s="33">
        <f>IF(Orders!D37="","",IF(INDEX(Riders!$B$2:$B$81,MATCH(Orders!D37,Riders!$A$2:$A$81,0))=B40,1,0))</f>
        <v>0</v>
      </c>
      <c r="AF40" s="34">
        <f>IF(E40=1,Orders!L37,"")</f>
        <v>1.67</v>
      </c>
      <c r="AG40" s="34">
        <f>IF(E40=1,Orders!P37,"")</f>
        <v>9.3</v>
      </c>
      <c r="AH40" s="34">
        <f>IF(E40=1,Orders!Q37,"")</f>
        <v>11.9</v>
      </c>
      <c r="AI40" s="34">
        <f>IF(E40=1,Orders!M37,"")</f>
        <v>3.9</v>
      </c>
      <c r="AJ40" s="34">
        <f>IF(E40=1,Orders!N37,"")</f>
        <v>2.9</v>
      </c>
      <c r="AK40" s="34">
        <f>IF(E40=1,Orders!O37,"")</f>
        <v>5.2</v>
      </c>
      <c r="AL40" s="33">
        <f>IF(E40=1,IF(ROUND(ABS(AI40+AJ40+AK40-AH40),6)&lt;=0.1,1,0),"")</f>
        <v>1</v>
      </c>
      <c r="AM40" s="36">
        <f>IF(E40=1,AI40/AH40,"")</f>
        <v>0.327731092436975</v>
      </c>
      <c r="AN40" s="36">
        <f>IF(E40=1,AJ40/AH40,"")</f>
        <v>0.243697478991597</v>
      </c>
      <c r="AO40" s="36">
        <f>IF(E40=1,AK40/AH40,"")</f>
        <v>0.436974789915966</v>
      </c>
      <c r="AP40" s="34">
        <f>IF(E40=1,Orders!Y37,"")</f>
        <v>0.39</v>
      </c>
      <c r="AQ40" s="33">
        <f>IF(Orders!X37,1,0)</f>
        <v>0</v>
      </c>
      <c r="AR40" s="34" t="str">
        <f>IF(AND(E40=1,L40=1),AJ40,"")</f>
        <v/>
      </c>
      <c r="AS40" s="34">
        <f>IF(AND(E40=1,L40=0),AJ40,"")</f>
        <v>2.9</v>
      </c>
      <c r="AT40" s="34" t="str">
        <f>IF(AND(E40=1,L40=1),AI40,"")</f>
        <v/>
      </c>
      <c r="AU40" s="34">
        <f>IF(AND(E40=1,L40=0),AI40,"")</f>
        <v>3.9</v>
      </c>
      <c r="AV40" s="34" t="str">
        <f>IF(AND(E40=1,L40=1),AG40,"")</f>
        <v/>
      </c>
      <c r="AW40" s="34">
        <f>IF(AND(E40=1,L40=0),AG40,"")</f>
        <v>9.3</v>
      </c>
      <c r="AX40" s="34" t="str">
        <f>IF(AND(E40=1,L40=1),AH40,"")</f>
        <v/>
      </c>
      <c r="AY40" s="34">
        <f>IF(AND(E40=1,L40=0),AH40,"")</f>
        <v>11.9</v>
      </c>
      <c r="AZ40" s="34">
        <f>IF(G40=1,F40,"")</f>
        <v>2.6</v>
      </c>
      <c r="BA40" s="34" t="str">
        <f>IF(AND(G40=1,L40=1),F40,"")</f>
        <v/>
      </c>
      <c r="BB40" s="34">
        <f>IF(AND(G40=1,L40=0),F40,"")</f>
        <v>2.6</v>
      </c>
      <c r="BC40" s="33">
        <f>IF(E40=1,IF(Orders!R37&gt;3,1,0),"")</f>
        <v>0</v>
      </c>
      <c r="BD40" s="33">
        <f>IF(E40=1,IF(Orders!R37&gt;7,1,0),"")</f>
        <v>0</v>
      </c>
      <c r="BE40" s="32" t="str">
        <f>IF(E40=1,IF(Orders!L37&lt;=1.5,"Up to 1.5 km",IF(Orders!L37&lt;=3,"1.5–3 km","Over 3 km")),"")</f>
        <v>1.5–3 km</v>
      </c>
      <c r="BF40" s="33">
        <f>IF(E40=1,IF(ABS((Orders!G37-Orders!F37)*1440-Orders!R37)&lt;0.06,1,0),"")</f>
        <v>1</v>
      </c>
      <c r="BG40" s="33">
        <f>IF(ABS((Orders!F37-Orders!E37)*1440-Orders!P37)&lt;0.06,1,0)</f>
        <v>1</v>
      </c>
      <c r="BH40" s="33">
        <f>IF(E40=1,IF(IF(Orders!S37,1,0)=1-G40,1,0),"")</f>
        <v>1</v>
      </c>
      <c r="BI40" s="32" t="str">
        <f>INDEX(Stores!$B$2:$B$21,MATCH(B40,Stores!$A$2:$A$21,0))</f>
        <v>Bengaluru</v>
      </c>
    </row>
    <row r="41">
      <c r="A41" s="32" t="str">
        <f>Orders!A38</f>
        <v>O00037</v>
      </c>
      <c r="B41" s="32" t="str">
        <f>Orders!C38</f>
        <v>S016</v>
      </c>
      <c r="C41" s="32" t="str">
        <f>Orders!B38</f>
        <v>C0109</v>
      </c>
      <c r="D41" s="32" t="str">
        <f>Orders!H38</f>
        <v>Cancelled</v>
      </c>
      <c r="E41" s="33">
        <f>IF(Orders!H38="Delivered",1,0)</f>
        <v>0</v>
      </c>
      <c r="F41" s="34" t="str">
        <f>IF(E41=1,Orders!R38,"")</f>
        <v/>
      </c>
      <c r="G41" s="33" t="str">
        <f>IF(E41=1,IF(Orders!R38&gt;0,1,0),"")</f>
        <v/>
      </c>
      <c r="H41" s="33" t="str">
        <f>IF(E41=1,IF(Orders!R38&gt;5,1,0),"")</f>
        <v/>
      </c>
      <c r="I41" s="32" t="str">
        <f>IF(E41=1,"",IF(OR(Orders!T38="Rider unavailable",Orders!T38="Item unavailable"),"Company-caused","Unresolved"))</f>
        <v>Company-caused</v>
      </c>
      <c r="J41" s="33">
        <f>IF(OR(E41=1,I41="Company-caused"),1,0)</f>
        <v>1</v>
      </c>
      <c r="K41" s="32" t="str">
        <f>IF(E41=0,IF(I41="Company-caused",IF(Orders!T38="Rider unavailable","C1 Rider unavailable","C2 Item unavailable"),"Outside root: unresolved"),IF(G41=0,"A On time",IF(H41=1,IF(L41=1,"B2a Severe, peak","B2b Severe, off-peak"),IF(L41=1,"B1a Slight, peak","B1b Slight, off-peak"))))</f>
        <v>C1 Rider unavailable</v>
      </c>
      <c r="L41" s="33">
        <f>IF(AND(Orders!U38&gt;=19,Orders!U38&lt;22),1,0)</f>
        <v>0</v>
      </c>
      <c r="M41" s="33">
        <f>IF(L41=IF(Orders!V38,1,0),1,0)</f>
        <v>1</v>
      </c>
      <c r="N41" s="32" t="str">
        <f>IF(Orders!W38="","None",Orders!W38)</f>
        <v>Heavy</v>
      </c>
      <c r="O41" s="35">
        <f>INT(Orders!E38)</f>
        <v>46272.0</v>
      </c>
      <c r="P41" s="33">
        <f>Orders!U38</f>
        <v>10</v>
      </c>
      <c r="Q41" s="33">
        <f>COUNTIFS(Demand!$A$2:$A$4481,B41,Demand!$B$2:$B$4481,O41,Demand!$C$2:$C$4481,P41)</f>
        <v>1</v>
      </c>
      <c r="R41" s="33">
        <f>IF(Q41=1,SUMIFS(Demand!$E$2:$E$4481,Demand!$A$2:$A$4481,B41,Demand!$B$2:$B$4481,O41,Demand!$C$2:$C$4481,P41),"")</f>
        <v>18</v>
      </c>
      <c r="S41" s="33">
        <f>INDEX(Stores!$G$2:$G$21,MATCH(B41,Stores!$A$2:$A$21,0))</f>
        <v>25</v>
      </c>
      <c r="T41" s="34">
        <f>IF(R41="","",R41/S41)</f>
        <v>0.72</v>
      </c>
      <c r="U41" s="34" t="str">
        <f>IF(E41=1,T41,"")</f>
        <v/>
      </c>
      <c r="V41" s="34" t="str">
        <f>IF(AND(E41=1,L41=0),T41,"")</f>
        <v/>
      </c>
      <c r="W41" s="33" t="str">
        <f>IF(U41="","",IF(U41&lt;=Breakdowns!$C$5,1,IF(U41&lt;=Breakdowns!$C$6,2,IF(U41&lt;=Breakdowns!$C$7,3,4))))</f>
        <v/>
      </c>
      <c r="X41" s="33" t="str">
        <f>IF(V41="","",IF(V41&lt;=Breakdowns!$D$5,1,IF(V41&lt;=Breakdowns!$D$6,2,IF(V41&lt;=Breakdowns!$D$7,3,4))))</f>
        <v/>
      </c>
      <c r="Y41" s="34">
        <f>INDEX(Stores!$F$2:$F$21,MATCH(B41,Stores!$A$2:$A$21,0))</f>
        <v>5.51</v>
      </c>
      <c r="Z41" s="33">
        <f>IF(Y41&gt;Store_Summary!$M$2,1,0)</f>
        <v>1</v>
      </c>
      <c r="AA41" s="33">
        <f>INDEX(Stores!$C$2:$C$21,MATCH(B41,Stores!$A$2:$A$21,0))</f>
        <v>792</v>
      </c>
      <c r="AB41" s="33">
        <f>IF(AA41&lt;180,1,0)</f>
        <v>0</v>
      </c>
      <c r="AC41" s="32" t="str">
        <f>IF(Orders!D38="","",INDEX(Riders!$C$2:$C$81,MATCH(Orders!D38,Riders!$A$2:$A$81,0)))</f>
        <v/>
      </c>
      <c r="AD41" s="33" t="str">
        <f>IF(Orders!D38="","",INDEX(Riders!$D$2:$D$81,MATCH(Orders!D38,Riders!$A$2:$A$81,0)))</f>
        <v/>
      </c>
      <c r="AE41" s="33" t="str">
        <f>IF(Orders!D38="","",IF(INDEX(Riders!$B$2:$B$81,MATCH(Orders!D38,Riders!$A$2:$A$81,0))=B41,1,0))</f>
        <v/>
      </c>
      <c r="AF41" s="34" t="str">
        <f>IF(E41=1,Orders!L38,"")</f>
        <v/>
      </c>
      <c r="AG41" s="34" t="str">
        <f>IF(E41=1,Orders!P38,"")</f>
        <v/>
      </c>
      <c r="AH41" s="34" t="str">
        <f>IF(E41=1,Orders!Q38,"")</f>
        <v/>
      </c>
      <c r="AI41" s="34" t="str">
        <f>IF(E41=1,Orders!M38,"")</f>
        <v/>
      </c>
      <c r="AJ41" s="34" t="str">
        <f>IF(E41=1,Orders!N38,"")</f>
        <v/>
      </c>
      <c r="AK41" s="34" t="str">
        <f>IF(E41=1,Orders!O38,"")</f>
        <v/>
      </c>
      <c r="AL41" s="33" t="str">
        <f>IF(E41=1,IF(ROUND(ABS(AI41+AJ41+AK41-AH41),6)&lt;=0.1,1,0),"")</f>
        <v/>
      </c>
      <c r="AM41" s="36" t="str">
        <f>IF(E41=1,AI41/AH41,"")</f>
        <v/>
      </c>
      <c r="AN41" s="36" t="str">
        <f>IF(E41=1,AJ41/AH41,"")</f>
        <v/>
      </c>
      <c r="AO41" s="36" t="str">
        <f>IF(E41=1,AK41/AH41,"")</f>
        <v/>
      </c>
      <c r="AP41" s="34" t="str">
        <f>IF(E41=1,Orders!Y38,"")</f>
        <v/>
      </c>
      <c r="AQ41" s="33">
        <f>IF(Orders!X38,1,0)</f>
        <v>0</v>
      </c>
      <c r="AR41" s="34" t="str">
        <f>IF(AND(E41=1,L41=1),AJ41,"")</f>
        <v/>
      </c>
      <c r="AS41" s="34" t="str">
        <f>IF(AND(E41=1,L41=0),AJ41,"")</f>
        <v/>
      </c>
      <c r="AT41" s="34" t="str">
        <f>IF(AND(E41=1,L41=1),AI41,"")</f>
        <v/>
      </c>
      <c r="AU41" s="34" t="str">
        <f>IF(AND(E41=1,L41=0),AI41,"")</f>
        <v/>
      </c>
      <c r="AV41" s="34" t="str">
        <f>IF(AND(E41=1,L41=1),AG41,"")</f>
        <v/>
      </c>
      <c r="AW41" s="34" t="str">
        <f>IF(AND(E41=1,L41=0),AG41,"")</f>
        <v/>
      </c>
      <c r="AX41" s="34" t="str">
        <f>IF(AND(E41=1,L41=1),AH41,"")</f>
        <v/>
      </c>
      <c r="AY41" s="34" t="str">
        <f>IF(AND(E41=1,L41=0),AH41,"")</f>
        <v/>
      </c>
      <c r="AZ41" s="34" t="str">
        <f>IF(G41=1,F41,"")</f>
        <v/>
      </c>
      <c r="BA41" s="34" t="str">
        <f>IF(AND(G41=1,L41=1),F41,"")</f>
        <v/>
      </c>
      <c r="BB41" s="34" t="str">
        <f>IF(AND(G41=1,L41=0),F41,"")</f>
        <v/>
      </c>
      <c r="BC41" s="33" t="str">
        <f>IF(E41=1,IF(Orders!R38&gt;3,1,0),"")</f>
        <v/>
      </c>
      <c r="BD41" s="33" t="str">
        <f>IF(E41=1,IF(Orders!R38&gt;7,1,0),"")</f>
        <v/>
      </c>
      <c r="BE41" s="32" t="str">
        <f>IF(E41=1,IF(Orders!L38&lt;=1.5,"Up to 1.5 km",IF(Orders!L38&lt;=3,"1.5–3 km","Over 3 km")),"")</f>
        <v/>
      </c>
      <c r="BF41" s="33" t="str">
        <f>IF(E41=1,IF(ABS((Orders!G38-Orders!F38)*1440-Orders!R38)&lt;0.06,1,0),"")</f>
        <v/>
      </c>
      <c r="BG41" s="33">
        <f>IF(ABS((Orders!F38-Orders!E38)*1440-Orders!P38)&lt;0.06,1,0)</f>
        <v>1</v>
      </c>
      <c r="BH41" s="33" t="str">
        <f>IF(E41=1,IF(IF(Orders!S38,1,0)=1-G41,1,0),"")</f>
        <v/>
      </c>
      <c r="BI41" s="32" t="str">
        <f>INDEX(Stores!$B$2:$B$21,MATCH(B41,Stores!$A$2:$A$21,0))</f>
        <v>Bengaluru</v>
      </c>
    </row>
    <row r="42">
      <c r="A42" s="32" t="str">
        <f>Orders!A39</f>
        <v>O00038</v>
      </c>
      <c r="B42" s="32" t="str">
        <f>Orders!C39</f>
        <v>S016</v>
      </c>
      <c r="C42" s="32" t="str">
        <f>Orders!B39</f>
        <v>C0204</v>
      </c>
      <c r="D42" s="32" t="str">
        <f>Orders!H39</f>
        <v>Delivered</v>
      </c>
      <c r="E42" s="33">
        <f>IF(Orders!H39="Delivered",1,0)</f>
        <v>1</v>
      </c>
      <c r="F42" s="34">
        <f>IF(E42=1,Orders!R39,"")</f>
        <v>-0.8</v>
      </c>
      <c r="G42" s="33">
        <f>IF(E42=1,IF(Orders!R39&gt;0,1,0),"")</f>
        <v>0</v>
      </c>
      <c r="H42" s="33">
        <f>IF(E42=1,IF(Orders!R39&gt;5,1,0),"")</f>
        <v>0</v>
      </c>
      <c r="I42" s="32" t="str">
        <f>IF(E42=1,"",IF(OR(Orders!T39="Rider unavailable",Orders!T39="Item unavailable"),"Company-caused","Unresolved"))</f>
        <v/>
      </c>
      <c r="J42" s="33">
        <f>IF(OR(E42=1,I42="Company-caused"),1,0)</f>
        <v>1</v>
      </c>
      <c r="K42" s="32" t="str">
        <f>IF(E42=0,IF(I42="Company-caused",IF(Orders!T39="Rider unavailable","C1 Rider unavailable","C2 Item unavailable"),"Outside root: unresolved"),IF(G42=0,"A On time",IF(H42=1,IF(L42=1,"B2a Severe, peak","B2b Severe, off-peak"),IF(L42=1,"B1a Slight, peak","B1b Slight, off-peak"))))</f>
        <v>A On time</v>
      </c>
      <c r="L42" s="33">
        <f>IF(AND(Orders!U39&gt;=19,Orders!U39&lt;22),1,0)</f>
        <v>1</v>
      </c>
      <c r="M42" s="33">
        <f>IF(L42=IF(Orders!V39,1,0),1,0)</f>
        <v>1</v>
      </c>
      <c r="N42" s="32" t="str">
        <f>IF(Orders!W39="","None",Orders!W39)</f>
        <v>None</v>
      </c>
      <c r="O42" s="35">
        <f>INT(Orders!E39)</f>
        <v>46270.0</v>
      </c>
      <c r="P42" s="33">
        <f>Orders!U39</f>
        <v>21</v>
      </c>
      <c r="Q42" s="33">
        <f>COUNTIFS(Demand!$A$2:$A$4481,B42,Demand!$B$2:$B$4481,O42,Demand!$C$2:$C$4481,P42)</f>
        <v>1</v>
      </c>
      <c r="R42" s="33">
        <f>IF(Q42=1,SUMIFS(Demand!$E$2:$E$4481,Demand!$A$2:$A$4481,B42,Demand!$B$2:$B$4481,O42,Demand!$C$2:$C$4481,P42),"")</f>
        <v>40</v>
      </c>
      <c r="S42" s="33">
        <f>INDEX(Stores!$G$2:$G$21,MATCH(B42,Stores!$A$2:$A$21,0))</f>
        <v>25</v>
      </c>
      <c r="T42" s="34">
        <f>IF(R42="","",R42/S42)</f>
        <v>1.6</v>
      </c>
      <c r="U42" s="34">
        <f>IF(E42=1,T42,"")</f>
        <v>1.6</v>
      </c>
      <c r="V42" s="34" t="str">
        <f>IF(AND(E42=1,L42=0),T42,"")</f>
        <v/>
      </c>
      <c r="W42" s="33">
        <f>IF(U42="","",IF(U42&lt;=Breakdowns!$C$5,1,IF(U42&lt;=Breakdowns!$C$6,2,IF(U42&lt;=Breakdowns!$C$7,3,4))))</f>
        <v>4</v>
      </c>
      <c r="X42" s="33" t="str">
        <f>IF(V42="","",IF(V42&lt;=Breakdowns!$D$5,1,IF(V42&lt;=Breakdowns!$D$6,2,IF(V42&lt;=Breakdowns!$D$7,3,4))))</f>
        <v/>
      </c>
      <c r="Y42" s="34">
        <f>INDEX(Stores!$F$2:$F$21,MATCH(B42,Stores!$A$2:$A$21,0))</f>
        <v>5.51</v>
      </c>
      <c r="Z42" s="33">
        <f>IF(Y42&gt;Store_Summary!$M$2,1,0)</f>
        <v>1</v>
      </c>
      <c r="AA42" s="33">
        <f>INDEX(Stores!$C$2:$C$21,MATCH(B42,Stores!$A$2:$A$21,0))</f>
        <v>792</v>
      </c>
      <c r="AB42" s="33">
        <f>IF(AA42&lt;180,1,0)</f>
        <v>0</v>
      </c>
      <c r="AC42" s="32" t="str">
        <f>IF(Orders!D39="","",INDEX(Riders!$C$2:$C$81,MATCH(Orders!D39,Riders!$A$2:$A$81,0)))</f>
        <v>EV scooter</v>
      </c>
      <c r="AD42" s="33">
        <f>IF(Orders!D39="","",INDEX(Riders!$D$2:$D$81,MATCH(Orders!D39,Riders!$A$2:$A$81,0)))</f>
        <v>18</v>
      </c>
      <c r="AE42" s="33">
        <f>IF(Orders!D39="","",IF(INDEX(Riders!$B$2:$B$81,MATCH(Orders!D39,Riders!$A$2:$A$81,0))=B42,1,0))</f>
        <v>0</v>
      </c>
      <c r="AF42" s="34">
        <f>IF(E42=1,Orders!L39,"")</f>
        <v>2.6</v>
      </c>
      <c r="AG42" s="34">
        <f>IF(E42=1,Orders!P39,"")</f>
        <v>8.4</v>
      </c>
      <c r="AH42" s="34">
        <f>IF(E42=1,Orders!Q39,"")</f>
        <v>7.6</v>
      </c>
      <c r="AI42" s="34">
        <f>IF(E42=1,Orders!M39,"")</f>
        <v>2.4</v>
      </c>
      <c r="AJ42" s="34">
        <f>IF(E42=1,Orders!N39,"")</f>
        <v>2.4</v>
      </c>
      <c r="AK42" s="34">
        <f>IF(E42=1,Orders!O39,"")</f>
        <v>2.8</v>
      </c>
      <c r="AL42" s="33">
        <f>IF(E42=1,IF(ROUND(ABS(AI42+AJ42+AK42-AH42),6)&lt;=0.1,1,0),"")</f>
        <v>1</v>
      </c>
      <c r="AM42" s="36">
        <f>IF(E42=1,AI42/AH42,"")</f>
        <v>0.315789473684211</v>
      </c>
      <c r="AN42" s="36">
        <f>IF(E42=1,AJ42/AH42,"")</f>
        <v>0.315789473684211</v>
      </c>
      <c r="AO42" s="36">
        <f>IF(E42=1,AK42/AH42,"")</f>
        <v>0.368421052631579</v>
      </c>
      <c r="AP42" s="34">
        <f>IF(E42=1,Orders!Y39,"")</f>
        <v>0.85</v>
      </c>
      <c r="AQ42" s="33">
        <f>IF(Orders!X39,1,0)</f>
        <v>0</v>
      </c>
      <c r="AR42" s="34">
        <f>IF(AND(E42=1,L42=1),AJ42,"")</f>
        <v>2.4</v>
      </c>
      <c r="AS42" s="34" t="str">
        <f>IF(AND(E42=1,L42=0),AJ42,"")</f>
        <v/>
      </c>
      <c r="AT42" s="34">
        <f>IF(AND(E42=1,L42=1),AI42,"")</f>
        <v>2.4</v>
      </c>
      <c r="AU42" s="34" t="str">
        <f>IF(AND(E42=1,L42=0),AI42,"")</f>
        <v/>
      </c>
      <c r="AV42" s="34">
        <f>IF(AND(E42=1,L42=1),AG42,"")</f>
        <v>8.4</v>
      </c>
      <c r="AW42" s="34" t="str">
        <f>IF(AND(E42=1,L42=0),AG42,"")</f>
        <v/>
      </c>
      <c r="AX42" s="34">
        <f>IF(AND(E42=1,L42=1),AH42,"")</f>
        <v>7.6</v>
      </c>
      <c r="AY42" s="34" t="str">
        <f>IF(AND(E42=1,L42=0),AH42,"")</f>
        <v/>
      </c>
      <c r="AZ42" s="34" t="str">
        <f>IF(G42=1,F42,"")</f>
        <v/>
      </c>
      <c r="BA42" s="34" t="str">
        <f>IF(AND(G42=1,L42=1),F42,"")</f>
        <v/>
      </c>
      <c r="BB42" s="34" t="str">
        <f>IF(AND(G42=1,L42=0),F42,"")</f>
        <v/>
      </c>
      <c r="BC42" s="33">
        <f>IF(E42=1,IF(Orders!R39&gt;3,1,0),"")</f>
        <v>0</v>
      </c>
      <c r="BD42" s="33">
        <f>IF(E42=1,IF(Orders!R39&gt;7,1,0),"")</f>
        <v>0</v>
      </c>
      <c r="BE42" s="32" t="str">
        <f>IF(E42=1,IF(Orders!L39&lt;=1.5,"Up to 1.5 km",IF(Orders!L39&lt;=3,"1.5–3 km","Over 3 km")),"")</f>
        <v>1.5–3 km</v>
      </c>
      <c r="BF42" s="33">
        <f>IF(E42=1,IF(ABS((Orders!G39-Orders!F39)*1440-Orders!R39)&lt;0.06,1,0),"")</f>
        <v>1</v>
      </c>
      <c r="BG42" s="33">
        <f>IF(ABS((Orders!F39-Orders!E39)*1440-Orders!P39)&lt;0.06,1,0)</f>
        <v>1</v>
      </c>
      <c r="BH42" s="33">
        <f>IF(E42=1,IF(IF(Orders!S39,1,0)=1-G42,1,0),"")</f>
        <v>1</v>
      </c>
      <c r="BI42" s="32" t="str">
        <f>INDEX(Stores!$B$2:$B$21,MATCH(B42,Stores!$A$2:$A$21,0))</f>
        <v>Bengaluru</v>
      </c>
    </row>
    <row r="43">
      <c r="A43" s="32" t="str">
        <f>Orders!A40</f>
        <v>O00039</v>
      </c>
      <c r="B43" s="32" t="str">
        <f>Orders!C40</f>
        <v>S014</v>
      </c>
      <c r="C43" s="32" t="str">
        <f>Orders!B40</f>
        <v>C0076</v>
      </c>
      <c r="D43" s="32" t="str">
        <f>Orders!H40</f>
        <v>Delivered</v>
      </c>
      <c r="E43" s="33">
        <f>IF(Orders!H40="Delivered",1,0)</f>
        <v>1</v>
      </c>
      <c r="F43" s="34">
        <f>IF(E43=1,Orders!R40,"")</f>
        <v>13.7</v>
      </c>
      <c r="G43" s="33">
        <f>IF(E43=1,IF(Orders!R40&gt;0,1,0),"")</f>
        <v>1</v>
      </c>
      <c r="H43" s="33">
        <f>IF(E43=1,IF(Orders!R40&gt;5,1,0),"")</f>
        <v>1</v>
      </c>
      <c r="I43" s="32" t="str">
        <f>IF(E43=1,"",IF(OR(Orders!T40="Rider unavailable",Orders!T40="Item unavailable"),"Company-caused","Unresolved"))</f>
        <v/>
      </c>
      <c r="J43" s="33">
        <f>IF(OR(E43=1,I43="Company-caused"),1,0)</f>
        <v>1</v>
      </c>
      <c r="K43" s="32" t="str">
        <f>IF(E43=0,IF(I43="Company-caused",IF(Orders!T40="Rider unavailable","C1 Rider unavailable","C2 Item unavailable"),"Outside root: unresolved"),IF(G43=0,"A On time",IF(H43=1,IF(L43=1,"B2a Severe, peak","B2b Severe, off-peak"),IF(L43=1,"B1a Slight, peak","B1b Slight, off-peak"))))</f>
        <v>B2a Severe, peak</v>
      </c>
      <c r="L43" s="33">
        <f>IF(AND(Orders!U40&gt;=19,Orders!U40&lt;22),1,0)</f>
        <v>1</v>
      </c>
      <c r="M43" s="33">
        <f>IF(L43=IF(Orders!V40,1,0),1,0)</f>
        <v>1</v>
      </c>
      <c r="N43" s="32" t="str">
        <f>IF(Orders!W40="","None",Orders!W40)</f>
        <v>None</v>
      </c>
      <c r="O43" s="35">
        <f>INT(Orders!E40)</f>
        <v>46267.0</v>
      </c>
      <c r="P43" s="33">
        <f>Orders!U40</f>
        <v>21</v>
      </c>
      <c r="Q43" s="33">
        <f>COUNTIFS(Demand!$A$2:$A$4481,B43,Demand!$B$2:$B$4481,O43,Demand!$C$2:$C$4481,P43)</f>
        <v>1</v>
      </c>
      <c r="R43" s="33">
        <f>IF(Q43=1,SUMIFS(Demand!$E$2:$E$4481,Demand!$A$2:$A$4481,B43,Demand!$B$2:$B$4481,O43,Demand!$C$2:$C$4481,P43),"")</f>
        <v>55</v>
      </c>
      <c r="S43" s="33">
        <f>INDEX(Stores!$G$2:$G$21,MATCH(B43,Stores!$A$2:$A$21,0))</f>
        <v>37</v>
      </c>
      <c r="T43" s="34">
        <f>IF(R43="","",R43/S43)</f>
        <v>1.48648648648649</v>
      </c>
      <c r="U43" s="34">
        <f>IF(E43=1,T43,"")</f>
        <v>1.48648648648649</v>
      </c>
      <c r="V43" s="34" t="str">
        <f>IF(AND(E43=1,L43=0),T43,"")</f>
        <v/>
      </c>
      <c r="W43" s="33">
        <f>IF(U43="","",IF(U43&lt;=Breakdowns!$C$5,1,IF(U43&lt;=Breakdowns!$C$6,2,IF(U43&lt;=Breakdowns!$C$7,3,4))))</f>
        <v>4</v>
      </c>
      <c r="X43" s="33" t="str">
        <f>IF(V43="","",IF(V43&lt;=Breakdowns!$D$5,1,IF(V43&lt;=Breakdowns!$D$6,2,IF(V43&lt;=Breakdowns!$D$7,3,4))))</f>
        <v/>
      </c>
      <c r="Y43" s="34">
        <f>INDEX(Stores!$F$2:$F$21,MATCH(B43,Stores!$A$2:$A$21,0))</f>
        <v>5.55</v>
      </c>
      <c r="Z43" s="33">
        <f>IF(Y43&gt;Store_Summary!$M$2,1,0)</f>
        <v>1</v>
      </c>
      <c r="AA43" s="33">
        <f>INDEX(Stores!$C$2:$C$21,MATCH(B43,Stores!$A$2:$A$21,0))</f>
        <v>241</v>
      </c>
      <c r="AB43" s="33">
        <f>IF(AA43&lt;180,1,0)</f>
        <v>0</v>
      </c>
      <c r="AC43" s="32" t="str">
        <f>IF(Orders!D40="","",INDEX(Riders!$C$2:$C$81,MATCH(Orders!D40,Riders!$A$2:$A$81,0)))</f>
        <v>Petrol scooter</v>
      </c>
      <c r="AD43" s="33">
        <f>IF(Orders!D40="","",INDEX(Riders!$D$2:$D$81,MATCH(Orders!D40,Riders!$A$2:$A$81,0)))</f>
        <v>13</v>
      </c>
      <c r="AE43" s="33">
        <f>IF(Orders!D40="","",IF(INDEX(Riders!$B$2:$B$81,MATCH(Orders!D40,Riders!$A$2:$A$81,0))=B43,1,0))</f>
        <v>0</v>
      </c>
      <c r="AF43" s="34">
        <f>IF(E43=1,Orders!L40,"")</f>
        <v>1.67</v>
      </c>
      <c r="AG43" s="34">
        <f>IF(E43=1,Orders!P40,"")</f>
        <v>9.7</v>
      </c>
      <c r="AH43" s="34">
        <f>IF(E43=1,Orders!Q40,"")</f>
        <v>23.4</v>
      </c>
      <c r="AI43" s="34">
        <f>IF(E43=1,Orders!M40,"")</f>
        <v>6.6</v>
      </c>
      <c r="AJ43" s="34">
        <f>IF(E43=1,Orders!N40,"")</f>
        <v>10.7</v>
      </c>
      <c r="AK43" s="34">
        <f>IF(E43=1,Orders!O40,"")</f>
        <v>6.1</v>
      </c>
      <c r="AL43" s="33">
        <f>IF(E43=1,IF(ROUND(ABS(AI43+AJ43+AK43-AH43),6)&lt;=0.1,1,0),"")</f>
        <v>1</v>
      </c>
      <c r="AM43" s="36">
        <f>IF(E43=1,AI43/AH43,"")</f>
        <v>0.282051282051282</v>
      </c>
      <c r="AN43" s="36">
        <f>IF(E43=1,AJ43/AH43,"")</f>
        <v>0.457264957264957</v>
      </c>
      <c r="AO43" s="36">
        <f>IF(E43=1,AK43/AH43,"")</f>
        <v>0.260683760683761</v>
      </c>
      <c r="AP43" s="34">
        <f>IF(E43=1,Orders!Y40,"")</f>
        <v>0.81</v>
      </c>
      <c r="AQ43" s="33">
        <f>IF(Orders!X40,1,0)</f>
        <v>0</v>
      </c>
      <c r="AR43" s="34">
        <f>IF(AND(E43=1,L43=1),AJ43,"")</f>
        <v>10.7</v>
      </c>
      <c r="AS43" s="34" t="str">
        <f>IF(AND(E43=1,L43=0),AJ43,"")</f>
        <v/>
      </c>
      <c r="AT43" s="34">
        <f>IF(AND(E43=1,L43=1),AI43,"")</f>
        <v>6.6</v>
      </c>
      <c r="AU43" s="34" t="str">
        <f>IF(AND(E43=1,L43=0),AI43,"")</f>
        <v/>
      </c>
      <c r="AV43" s="34">
        <f>IF(AND(E43=1,L43=1),AG43,"")</f>
        <v>9.7</v>
      </c>
      <c r="AW43" s="34" t="str">
        <f>IF(AND(E43=1,L43=0),AG43,"")</f>
        <v/>
      </c>
      <c r="AX43" s="34">
        <f>IF(AND(E43=1,L43=1),AH43,"")</f>
        <v>23.4</v>
      </c>
      <c r="AY43" s="34" t="str">
        <f>IF(AND(E43=1,L43=0),AH43,"")</f>
        <v/>
      </c>
      <c r="AZ43" s="34">
        <f>IF(G43=1,F43,"")</f>
        <v>13.7</v>
      </c>
      <c r="BA43" s="34">
        <f>IF(AND(G43=1,L43=1),F43,"")</f>
        <v>13.7</v>
      </c>
      <c r="BB43" s="34" t="str">
        <f>IF(AND(G43=1,L43=0),F43,"")</f>
        <v/>
      </c>
      <c r="BC43" s="33">
        <f>IF(E43=1,IF(Orders!R40&gt;3,1,0),"")</f>
        <v>1</v>
      </c>
      <c r="BD43" s="33">
        <f>IF(E43=1,IF(Orders!R40&gt;7,1,0),"")</f>
        <v>1</v>
      </c>
      <c r="BE43" s="32" t="str">
        <f>IF(E43=1,IF(Orders!L40&lt;=1.5,"Up to 1.5 km",IF(Orders!L40&lt;=3,"1.5–3 km","Over 3 km")),"")</f>
        <v>1.5–3 km</v>
      </c>
      <c r="BF43" s="33">
        <f>IF(E43=1,IF(ABS((Orders!G40-Orders!F40)*1440-Orders!R40)&lt;0.06,1,0),"")</f>
        <v>1</v>
      </c>
      <c r="BG43" s="33">
        <f>IF(ABS((Orders!F40-Orders!E40)*1440-Orders!P40)&lt;0.06,1,0)</f>
        <v>1</v>
      </c>
      <c r="BH43" s="33">
        <f>IF(E43=1,IF(IF(Orders!S40,1,0)=1-G43,1,0),"")</f>
        <v>1</v>
      </c>
      <c r="BI43" s="32" t="str">
        <f>INDEX(Stores!$B$2:$B$21,MATCH(B43,Stores!$A$2:$A$21,0))</f>
        <v>Pune</v>
      </c>
    </row>
    <row r="44">
      <c r="A44" s="32" t="str">
        <f>Orders!A41</f>
        <v>O00040</v>
      </c>
      <c r="B44" s="32" t="str">
        <f>Orders!C41</f>
        <v>S014</v>
      </c>
      <c r="C44" s="32" t="str">
        <f>Orders!B41</f>
        <v>C0094</v>
      </c>
      <c r="D44" s="32" t="str">
        <f>Orders!H41</f>
        <v>Delivered</v>
      </c>
      <c r="E44" s="33">
        <f>IF(Orders!H41="Delivered",1,0)</f>
        <v>1</v>
      </c>
      <c r="F44" s="34">
        <f>IF(E44=1,Orders!R41,"")</f>
        <v>-0.8</v>
      </c>
      <c r="G44" s="33">
        <f>IF(E44=1,IF(Orders!R41&gt;0,1,0),"")</f>
        <v>0</v>
      </c>
      <c r="H44" s="33">
        <f>IF(E44=1,IF(Orders!R41&gt;5,1,0),"")</f>
        <v>0</v>
      </c>
      <c r="I44" s="32" t="str">
        <f>IF(E44=1,"",IF(OR(Orders!T41="Rider unavailable",Orders!T41="Item unavailable"),"Company-caused","Unresolved"))</f>
        <v/>
      </c>
      <c r="J44" s="33">
        <f>IF(OR(E44=1,I44="Company-caused"),1,0)</f>
        <v>1</v>
      </c>
      <c r="K44" s="32" t="str">
        <f>IF(E44=0,IF(I44="Company-caused",IF(Orders!T41="Rider unavailable","C1 Rider unavailable","C2 Item unavailable"),"Outside root: unresolved"),IF(G44=0,"A On time",IF(H44=1,IF(L44=1,"B2a Severe, peak","B2b Severe, off-peak"),IF(L44=1,"B1a Slight, peak","B1b Slight, off-peak"))))</f>
        <v>A On time</v>
      </c>
      <c r="L44" s="33">
        <f>IF(AND(Orders!U41&gt;=19,Orders!U41&lt;22),1,0)</f>
        <v>1</v>
      </c>
      <c r="M44" s="33">
        <f>IF(L44=IF(Orders!V41,1,0),1,0)</f>
        <v>1</v>
      </c>
      <c r="N44" s="32" t="str">
        <f>IF(Orders!W41="","None",Orders!W41)</f>
        <v>Heavy</v>
      </c>
      <c r="O44" s="35">
        <f>INT(Orders!E41)</f>
        <v>46274.0</v>
      </c>
      <c r="P44" s="33">
        <f>Orders!U41</f>
        <v>19</v>
      </c>
      <c r="Q44" s="33">
        <f>COUNTIFS(Demand!$A$2:$A$4481,B44,Demand!$B$2:$B$4481,O44,Demand!$C$2:$C$4481,P44)</f>
        <v>1</v>
      </c>
      <c r="R44" s="33">
        <f>IF(Q44=1,SUMIFS(Demand!$E$2:$E$4481,Demand!$A$2:$A$4481,B44,Demand!$B$2:$B$4481,O44,Demand!$C$2:$C$4481,P44),"")</f>
        <v>49</v>
      </c>
      <c r="S44" s="33">
        <f>INDEX(Stores!$G$2:$G$21,MATCH(B44,Stores!$A$2:$A$21,0))</f>
        <v>37</v>
      </c>
      <c r="T44" s="34">
        <f>IF(R44="","",R44/S44)</f>
        <v>1.32432432432432</v>
      </c>
      <c r="U44" s="34">
        <f>IF(E44=1,T44,"")</f>
        <v>1.32432432432432</v>
      </c>
      <c r="V44" s="34" t="str">
        <f>IF(AND(E44=1,L44=0),T44,"")</f>
        <v/>
      </c>
      <c r="W44" s="33">
        <f>IF(U44="","",IF(U44&lt;=Breakdowns!$C$5,1,IF(U44&lt;=Breakdowns!$C$6,2,IF(U44&lt;=Breakdowns!$C$7,3,4))))</f>
        <v>4</v>
      </c>
      <c r="X44" s="33" t="str">
        <f>IF(V44="","",IF(V44&lt;=Breakdowns!$D$5,1,IF(V44&lt;=Breakdowns!$D$6,2,IF(V44&lt;=Breakdowns!$D$7,3,4))))</f>
        <v/>
      </c>
      <c r="Y44" s="34">
        <f>INDEX(Stores!$F$2:$F$21,MATCH(B44,Stores!$A$2:$A$21,0))</f>
        <v>5.55</v>
      </c>
      <c r="Z44" s="33">
        <f>IF(Y44&gt;Store_Summary!$M$2,1,0)</f>
        <v>1</v>
      </c>
      <c r="AA44" s="33">
        <f>INDEX(Stores!$C$2:$C$21,MATCH(B44,Stores!$A$2:$A$21,0))</f>
        <v>241</v>
      </c>
      <c r="AB44" s="33">
        <f>IF(AA44&lt;180,1,0)</f>
        <v>0</v>
      </c>
      <c r="AC44" s="32" t="str">
        <f>IF(Orders!D41="","",INDEX(Riders!$C$2:$C$81,MATCH(Orders!D41,Riders!$A$2:$A$81,0)))</f>
        <v>Petrol scooter</v>
      </c>
      <c r="AD44" s="33">
        <f>IF(Orders!D41="","",INDEX(Riders!$D$2:$D$81,MATCH(Orders!D41,Riders!$A$2:$A$81,0)))</f>
        <v>2</v>
      </c>
      <c r="AE44" s="33">
        <f>IF(Orders!D41="","",IF(INDEX(Riders!$B$2:$B$81,MATCH(Orders!D41,Riders!$A$2:$A$81,0))=B44,1,0))</f>
        <v>0</v>
      </c>
      <c r="AF44" s="34">
        <f>IF(E44=1,Orders!L41,"")</f>
        <v>3.06</v>
      </c>
      <c r="AG44" s="34">
        <f>IF(E44=1,Orders!P41,"")</f>
        <v>9.8</v>
      </c>
      <c r="AH44" s="34">
        <f>IF(E44=1,Orders!Q41,"")</f>
        <v>9</v>
      </c>
      <c r="AI44" s="34">
        <f>IF(E44=1,Orders!M41,"")</f>
        <v>2.4</v>
      </c>
      <c r="AJ44" s="34">
        <f>IF(E44=1,Orders!N41,"")</f>
        <v>2.7</v>
      </c>
      <c r="AK44" s="34">
        <f>IF(E44=1,Orders!O41,"")</f>
        <v>3.9</v>
      </c>
      <c r="AL44" s="33">
        <f>IF(E44=1,IF(ROUND(ABS(AI44+AJ44+AK44-AH44),6)&lt;=0.1,1,0),"")</f>
        <v>1</v>
      </c>
      <c r="AM44" s="36">
        <f>IF(E44=1,AI44/AH44,"")</f>
        <v>0.266666666666667</v>
      </c>
      <c r="AN44" s="36">
        <f>IF(E44=1,AJ44/AH44,"")</f>
        <v>0.3</v>
      </c>
      <c r="AO44" s="36">
        <f>IF(E44=1,AK44/AH44,"")</f>
        <v>0.433333333333333</v>
      </c>
      <c r="AP44" s="34">
        <f>IF(E44=1,Orders!Y41,"")</f>
        <v>0.53</v>
      </c>
      <c r="AQ44" s="33">
        <f>IF(Orders!X41,1,0)</f>
        <v>0</v>
      </c>
      <c r="AR44" s="34">
        <f>IF(AND(E44=1,L44=1),AJ44,"")</f>
        <v>2.7</v>
      </c>
      <c r="AS44" s="34" t="str">
        <f>IF(AND(E44=1,L44=0),AJ44,"")</f>
        <v/>
      </c>
      <c r="AT44" s="34">
        <f>IF(AND(E44=1,L44=1),AI44,"")</f>
        <v>2.4</v>
      </c>
      <c r="AU44" s="34" t="str">
        <f>IF(AND(E44=1,L44=0),AI44,"")</f>
        <v/>
      </c>
      <c r="AV44" s="34">
        <f>IF(AND(E44=1,L44=1),AG44,"")</f>
        <v>9.8</v>
      </c>
      <c r="AW44" s="34" t="str">
        <f>IF(AND(E44=1,L44=0),AG44,"")</f>
        <v/>
      </c>
      <c r="AX44" s="34">
        <f>IF(AND(E44=1,L44=1),AH44,"")</f>
        <v>9</v>
      </c>
      <c r="AY44" s="34" t="str">
        <f>IF(AND(E44=1,L44=0),AH44,"")</f>
        <v/>
      </c>
      <c r="AZ44" s="34" t="str">
        <f>IF(G44=1,F44,"")</f>
        <v/>
      </c>
      <c r="BA44" s="34" t="str">
        <f>IF(AND(G44=1,L44=1),F44,"")</f>
        <v/>
      </c>
      <c r="BB44" s="34" t="str">
        <f>IF(AND(G44=1,L44=0),F44,"")</f>
        <v/>
      </c>
      <c r="BC44" s="33">
        <f>IF(E44=1,IF(Orders!R41&gt;3,1,0),"")</f>
        <v>0</v>
      </c>
      <c r="BD44" s="33">
        <f>IF(E44=1,IF(Orders!R41&gt;7,1,0),"")</f>
        <v>0</v>
      </c>
      <c r="BE44" s="32" t="str">
        <f>IF(E44=1,IF(Orders!L41&lt;=1.5,"Up to 1.5 km",IF(Orders!L41&lt;=3,"1.5–3 km","Over 3 km")),"")</f>
        <v>Over 3 km</v>
      </c>
      <c r="BF44" s="33">
        <f>IF(E44=1,IF(ABS((Orders!G41-Orders!F41)*1440-Orders!R41)&lt;0.06,1,0),"")</f>
        <v>1</v>
      </c>
      <c r="BG44" s="33">
        <f>IF(ABS((Orders!F41-Orders!E41)*1440-Orders!P41)&lt;0.06,1,0)</f>
        <v>1</v>
      </c>
      <c r="BH44" s="33">
        <f>IF(E44=1,IF(IF(Orders!S41,1,0)=1-G44,1,0),"")</f>
        <v>1</v>
      </c>
      <c r="BI44" s="32" t="str">
        <f>INDEX(Stores!$B$2:$B$21,MATCH(B44,Stores!$A$2:$A$21,0))</f>
        <v>Pune</v>
      </c>
    </row>
    <row r="45">
      <c r="A45" s="32" t="str">
        <f>Orders!A42</f>
        <v>O00041</v>
      </c>
      <c r="B45" s="32" t="str">
        <f>Orders!C42</f>
        <v>S005</v>
      </c>
      <c r="C45" s="32" t="str">
        <f>Orders!B42</f>
        <v>C0156</v>
      </c>
      <c r="D45" s="32" t="str">
        <f>Orders!H42</f>
        <v>Delivered</v>
      </c>
      <c r="E45" s="33">
        <f>IF(Orders!H42="Delivered",1,0)</f>
        <v>1</v>
      </c>
      <c r="F45" s="34">
        <f>IF(E45=1,Orders!R42,"")</f>
        <v>-0.5</v>
      </c>
      <c r="G45" s="33">
        <f>IF(E45=1,IF(Orders!R42&gt;0,1,0),"")</f>
        <v>0</v>
      </c>
      <c r="H45" s="33">
        <f>IF(E45=1,IF(Orders!R42&gt;5,1,0),"")</f>
        <v>0</v>
      </c>
      <c r="I45" s="32" t="str">
        <f>IF(E45=1,"",IF(OR(Orders!T42="Rider unavailable",Orders!T42="Item unavailable"),"Company-caused","Unresolved"))</f>
        <v/>
      </c>
      <c r="J45" s="33">
        <f>IF(OR(E45=1,I45="Company-caused"),1,0)</f>
        <v>1</v>
      </c>
      <c r="K45" s="32" t="str">
        <f>IF(E45=0,IF(I45="Company-caused",IF(Orders!T42="Rider unavailable","C1 Rider unavailable","C2 Item unavailable"),"Outside root: unresolved"),IF(G45=0,"A On time",IF(H45=1,IF(L45=1,"B2a Severe, peak","B2b Severe, off-peak"),IF(L45=1,"B1a Slight, peak","B1b Slight, off-peak"))))</f>
        <v>A On time</v>
      </c>
      <c r="L45" s="33">
        <f>IF(AND(Orders!U42&gt;=19,Orders!U42&lt;22),1,0)</f>
        <v>0</v>
      </c>
      <c r="M45" s="33">
        <f>IF(L45=IF(Orders!V42,1,0),1,0)</f>
        <v>1</v>
      </c>
      <c r="N45" s="32" t="str">
        <f>IF(Orders!W42="","None",Orders!W42)</f>
        <v>None</v>
      </c>
      <c r="O45" s="35">
        <f>INT(Orders!E42)</f>
        <v>46277.0</v>
      </c>
      <c r="P45" s="33">
        <f>Orders!U42</f>
        <v>14</v>
      </c>
      <c r="Q45" s="33">
        <f>COUNTIFS(Demand!$A$2:$A$4481,B45,Demand!$B$2:$B$4481,O45,Demand!$C$2:$C$4481,P45)</f>
        <v>1</v>
      </c>
      <c r="R45" s="33">
        <f>IF(Q45=1,SUMIFS(Demand!$E$2:$E$4481,Demand!$A$2:$A$4481,B45,Demand!$B$2:$B$4481,O45,Demand!$C$2:$C$4481,P45),"")</f>
        <v>11</v>
      </c>
      <c r="S45" s="33">
        <f>INDEX(Stores!$G$2:$G$21,MATCH(B45,Stores!$A$2:$A$21,0))</f>
        <v>14</v>
      </c>
      <c r="T45" s="34">
        <f>IF(R45="","",R45/S45)</f>
        <v>0.785714285714286</v>
      </c>
      <c r="U45" s="34">
        <f>IF(E45=1,T45,"")</f>
        <v>0.785714285714286</v>
      </c>
      <c r="V45" s="34">
        <f>IF(AND(E45=1,L45=0),T45,"")</f>
        <v>0.785714285714286</v>
      </c>
      <c r="W45" s="33">
        <f>IF(U45="","",IF(U45&lt;=Breakdowns!$C$5,1,IF(U45&lt;=Breakdowns!$C$6,2,IF(U45&lt;=Breakdowns!$C$7,3,4))))</f>
        <v>1</v>
      </c>
      <c r="X45" s="33">
        <f>IF(V45="","",IF(V45&lt;=Breakdowns!$D$5,1,IF(V45&lt;=Breakdowns!$D$6,2,IF(V45&lt;=Breakdowns!$D$7,3,4))))</f>
        <v>2</v>
      </c>
      <c r="Y45" s="34">
        <f>INDEX(Stores!$F$2:$F$21,MATCH(B45,Stores!$A$2:$A$21,0))</f>
        <v>4.89</v>
      </c>
      <c r="Z45" s="33">
        <f>IF(Y45&gt;Store_Summary!$M$2,1,0)</f>
        <v>0</v>
      </c>
      <c r="AA45" s="33">
        <f>INDEX(Stores!$C$2:$C$21,MATCH(B45,Stores!$A$2:$A$21,0))</f>
        <v>138</v>
      </c>
      <c r="AB45" s="33">
        <f>IF(AA45&lt;180,1,0)</f>
        <v>1</v>
      </c>
      <c r="AC45" s="32" t="str">
        <f>IF(Orders!D42="","",INDEX(Riders!$C$2:$C$81,MATCH(Orders!D42,Riders!$A$2:$A$81,0)))</f>
        <v>Petrol scooter</v>
      </c>
      <c r="AD45" s="33">
        <f>IF(Orders!D42="","",INDEX(Riders!$D$2:$D$81,MATCH(Orders!D42,Riders!$A$2:$A$81,0)))</f>
        <v>29</v>
      </c>
      <c r="AE45" s="33">
        <f>IF(Orders!D42="","",IF(INDEX(Riders!$B$2:$B$81,MATCH(Orders!D42,Riders!$A$2:$A$81,0))=B45,1,0))</f>
        <v>1</v>
      </c>
      <c r="AF45" s="34">
        <f>IF(E45=1,Orders!L42,"")</f>
        <v>2.35</v>
      </c>
      <c r="AG45" s="34">
        <f>IF(E45=1,Orders!P42,"")</f>
        <v>10.3</v>
      </c>
      <c r="AH45" s="34">
        <f>IF(E45=1,Orders!Q42,"")</f>
        <v>9.8</v>
      </c>
      <c r="AI45" s="34">
        <f>IF(E45=1,Orders!M42,"")</f>
        <v>3.5</v>
      </c>
      <c r="AJ45" s="34">
        <f>IF(E45=1,Orders!N42,"")</f>
        <v>2.1</v>
      </c>
      <c r="AK45" s="34">
        <f>IF(E45=1,Orders!O42,"")</f>
        <v>4.2</v>
      </c>
      <c r="AL45" s="33">
        <f>IF(E45=1,IF(ROUND(ABS(AI45+AJ45+AK45-AH45),6)&lt;=0.1,1,0),"")</f>
        <v>1</v>
      </c>
      <c r="AM45" s="36">
        <f>IF(E45=1,AI45/AH45,"")</f>
        <v>0.357142857142857</v>
      </c>
      <c r="AN45" s="36">
        <f>IF(E45=1,AJ45/AH45,"")</f>
        <v>0.214285714285714</v>
      </c>
      <c r="AO45" s="36">
        <f>IF(E45=1,AK45/AH45,"")</f>
        <v>0.428571428571429</v>
      </c>
      <c r="AP45" s="34">
        <f>IF(E45=1,Orders!Y42,"")</f>
        <v>0.56</v>
      </c>
      <c r="AQ45" s="33">
        <f>IF(Orders!X42,1,0)</f>
        <v>0</v>
      </c>
      <c r="AR45" s="34" t="str">
        <f>IF(AND(E45=1,L45=1),AJ45,"")</f>
        <v/>
      </c>
      <c r="AS45" s="34">
        <f>IF(AND(E45=1,L45=0),AJ45,"")</f>
        <v>2.1</v>
      </c>
      <c r="AT45" s="34" t="str">
        <f>IF(AND(E45=1,L45=1),AI45,"")</f>
        <v/>
      </c>
      <c r="AU45" s="34">
        <f>IF(AND(E45=1,L45=0),AI45,"")</f>
        <v>3.5</v>
      </c>
      <c r="AV45" s="34" t="str">
        <f>IF(AND(E45=1,L45=1),AG45,"")</f>
        <v/>
      </c>
      <c r="AW45" s="34">
        <f>IF(AND(E45=1,L45=0),AG45,"")</f>
        <v>10.3</v>
      </c>
      <c r="AX45" s="34" t="str">
        <f>IF(AND(E45=1,L45=1),AH45,"")</f>
        <v/>
      </c>
      <c r="AY45" s="34">
        <f>IF(AND(E45=1,L45=0),AH45,"")</f>
        <v>9.8</v>
      </c>
      <c r="AZ45" s="34" t="str">
        <f>IF(G45=1,F45,"")</f>
        <v/>
      </c>
      <c r="BA45" s="34" t="str">
        <f>IF(AND(G45=1,L45=1),F45,"")</f>
        <v/>
      </c>
      <c r="BB45" s="34" t="str">
        <f>IF(AND(G45=1,L45=0),F45,"")</f>
        <v/>
      </c>
      <c r="BC45" s="33">
        <f>IF(E45=1,IF(Orders!R42&gt;3,1,0),"")</f>
        <v>0</v>
      </c>
      <c r="BD45" s="33">
        <f>IF(E45=1,IF(Orders!R42&gt;7,1,0),"")</f>
        <v>0</v>
      </c>
      <c r="BE45" s="32" t="str">
        <f>IF(E45=1,IF(Orders!L42&lt;=1.5,"Up to 1.5 km",IF(Orders!L42&lt;=3,"1.5–3 km","Over 3 km")),"")</f>
        <v>1.5–3 km</v>
      </c>
      <c r="BF45" s="33">
        <f>IF(E45=1,IF(ABS((Orders!G42-Orders!F42)*1440-Orders!R42)&lt;0.06,1,0),"")</f>
        <v>1</v>
      </c>
      <c r="BG45" s="33">
        <f>IF(ABS((Orders!F42-Orders!E42)*1440-Orders!P42)&lt;0.06,1,0)</f>
        <v>1</v>
      </c>
      <c r="BH45" s="33">
        <f>IF(E45=1,IF(IF(Orders!S42,1,0)=1-G45,1,0),"")</f>
        <v>1</v>
      </c>
      <c r="BI45" s="32" t="str">
        <f>INDEX(Stores!$B$2:$B$21,MATCH(B45,Stores!$A$2:$A$21,0))</f>
        <v>Delhi</v>
      </c>
    </row>
    <row r="46">
      <c r="A46" s="32" t="str">
        <f>Orders!A43</f>
        <v>O00042</v>
      </c>
      <c r="B46" s="32" t="str">
        <f>Orders!C43</f>
        <v>S002</v>
      </c>
      <c r="C46" s="32" t="str">
        <f>Orders!B43</f>
        <v>C0206</v>
      </c>
      <c r="D46" s="32" t="str">
        <f>Orders!H43</f>
        <v>Delivered</v>
      </c>
      <c r="E46" s="33">
        <f>IF(Orders!H43="Delivered",1,0)</f>
        <v>1</v>
      </c>
      <c r="F46" s="34">
        <f>IF(E46=1,Orders!R43,"")</f>
        <v>-0.3</v>
      </c>
      <c r="G46" s="33">
        <f>IF(E46=1,IF(Orders!R43&gt;0,1,0),"")</f>
        <v>0</v>
      </c>
      <c r="H46" s="33">
        <f>IF(E46=1,IF(Orders!R43&gt;5,1,0),"")</f>
        <v>0</v>
      </c>
      <c r="I46" s="32" t="str">
        <f>IF(E46=1,"",IF(OR(Orders!T43="Rider unavailable",Orders!T43="Item unavailable"),"Company-caused","Unresolved"))</f>
        <v/>
      </c>
      <c r="J46" s="33">
        <f>IF(OR(E46=1,I46="Company-caused"),1,0)</f>
        <v>1</v>
      </c>
      <c r="K46" s="32" t="str">
        <f>IF(E46=0,IF(I46="Company-caused",IF(Orders!T43="Rider unavailable","C1 Rider unavailable","C2 Item unavailable"),"Outside root: unresolved"),IF(G46=0,"A On time",IF(H46=1,IF(L46=1,"B2a Severe, peak","B2b Severe, off-peak"),IF(L46=1,"B1a Slight, peak","B1b Slight, off-peak"))))</f>
        <v>A On time</v>
      </c>
      <c r="L46" s="33">
        <f>IF(AND(Orders!U43&gt;=19,Orders!U43&lt;22),1,0)</f>
        <v>0</v>
      </c>
      <c r="M46" s="33">
        <f>IF(L46=IF(Orders!V43,1,0),1,0)</f>
        <v>1</v>
      </c>
      <c r="N46" s="32" t="str">
        <f>IF(Orders!W43="","None",Orders!W43)</f>
        <v>None</v>
      </c>
      <c r="O46" s="35">
        <f>INT(Orders!E43)</f>
        <v>46269.0</v>
      </c>
      <c r="P46" s="33">
        <f>Orders!U43</f>
        <v>12</v>
      </c>
      <c r="Q46" s="33">
        <f>COUNTIFS(Demand!$A$2:$A$4481,B46,Demand!$B$2:$B$4481,O46,Demand!$C$2:$C$4481,P46)</f>
        <v>1</v>
      </c>
      <c r="R46" s="33">
        <f>IF(Q46=1,SUMIFS(Demand!$E$2:$E$4481,Demand!$A$2:$A$4481,B46,Demand!$B$2:$B$4481,O46,Demand!$C$2:$C$4481,P46),"")</f>
        <v>25</v>
      </c>
      <c r="S46" s="33">
        <f>INDEX(Stores!$G$2:$G$21,MATCH(B46,Stores!$A$2:$A$21,0))</f>
        <v>33</v>
      </c>
      <c r="T46" s="34">
        <f>IF(R46="","",R46/S46)</f>
        <v>0.757575757575758</v>
      </c>
      <c r="U46" s="34">
        <f>IF(E46=1,T46,"")</f>
        <v>0.757575757575758</v>
      </c>
      <c r="V46" s="34">
        <f>IF(AND(E46=1,L46=0),T46,"")</f>
        <v>0.757575757575758</v>
      </c>
      <c r="W46" s="33">
        <f>IF(U46="","",IF(U46&lt;=Breakdowns!$C$5,1,IF(U46&lt;=Breakdowns!$C$6,2,IF(U46&lt;=Breakdowns!$C$7,3,4))))</f>
        <v>1</v>
      </c>
      <c r="X46" s="33">
        <f>IF(V46="","",IF(V46&lt;=Breakdowns!$D$5,1,IF(V46&lt;=Breakdowns!$D$6,2,IF(V46&lt;=Breakdowns!$D$7,3,4))))</f>
        <v>2</v>
      </c>
      <c r="Y46" s="34">
        <f>INDEX(Stores!$F$2:$F$21,MATCH(B46,Stores!$A$2:$A$21,0))</f>
        <v>2.39</v>
      </c>
      <c r="Z46" s="33">
        <f>IF(Y46&gt;Store_Summary!$M$2,1,0)</f>
        <v>0</v>
      </c>
      <c r="AA46" s="33">
        <f>INDEX(Stores!$C$2:$C$21,MATCH(B46,Stores!$A$2:$A$21,0))</f>
        <v>470</v>
      </c>
      <c r="AB46" s="33">
        <f>IF(AA46&lt;180,1,0)</f>
        <v>0</v>
      </c>
      <c r="AC46" s="32" t="str">
        <f>IF(Orders!D43="","",INDEX(Riders!$C$2:$C$81,MATCH(Orders!D43,Riders!$A$2:$A$81,0)))</f>
        <v>Petrol scooter</v>
      </c>
      <c r="AD46" s="33">
        <f>IF(Orders!D43="","",INDEX(Riders!$D$2:$D$81,MATCH(Orders!D43,Riders!$A$2:$A$81,0)))</f>
        <v>24</v>
      </c>
      <c r="AE46" s="33">
        <f>IF(Orders!D43="","",IF(INDEX(Riders!$B$2:$B$81,MATCH(Orders!D43,Riders!$A$2:$A$81,0))=B46,1,0))</f>
        <v>0</v>
      </c>
      <c r="AF46" s="34">
        <f>IF(E46=1,Orders!L43,"")</f>
        <v>0.57</v>
      </c>
      <c r="AG46" s="34">
        <f>IF(E46=1,Orders!P43,"")</f>
        <v>9.6</v>
      </c>
      <c r="AH46" s="34">
        <f>IF(E46=1,Orders!Q43,"")</f>
        <v>9.3</v>
      </c>
      <c r="AI46" s="34">
        <f>IF(E46=1,Orders!M43,"")</f>
        <v>3.5</v>
      </c>
      <c r="AJ46" s="34">
        <f>IF(E46=1,Orders!N43,"")</f>
        <v>3.6</v>
      </c>
      <c r="AK46" s="34">
        <f>IF(E46=1,Orders!O43,"")</f>
        <v>2.2</v>
      </c>
      <c r="AL46" s="33">
        <f>IF(E46=1,IF(ROUND(ABS(AI46+AJ46+AK46-AH46),6)&lt;=0.1,1,0),"")</f>
        <v>1</v>
      </c>
      <c r="AM46" s="36">
        <f>IF(E46=1,AI46/AH46,"")</f>
        <v>0.376344086021505</v>
      </c>
      <c r="AN46" s="36">
        <f>IF(E46=1,AJ46/AH46,"")</f>
        <v>0.387096774193548</v>
      </c>
      <c r="AO46" s="36">
        <f>IF(E46=1,AK46/AH46,"")</f>
        <v>0.236559139784946</v>
      </c>
      <c r="AP46" s="34">
        <f>IF(E46=1,Orders!Y43,"")</f>
        <v>0.35</v>
      </c>
      <c r="AQ46" s="33">
        <f>IF(Orders!X43,1,0)</f>
        <v>0</v>
      </c>
      <c r="AR46" s="34" t="str">
        <f>IF(AND(E46=1,L46=1),AJ46,"")</f>
        <v/>
      </c>
      <c r="AS46" s="34">
        <f>IF(AND(E46=1,L46=0),AJ46,"")</f>
        <v>3.6</v>
      </c>
      <c r="AT46" s="34" t="str">
        <f>IF(AND(E46=1,L46=1),AI46,"")</f>
        <v/>
      </c>
      <c r="AU46" s="34">
        <f>IF(AND(E46=1,L46=0),AI46,"")</f>
        <v>3.5</v>
      </c>
      <c r="AV46" s="34" t="str">
        <f>IF(AND(E46=1,L46=1),AG46,"")</f>
        <v/>
      </c>
      <c r="AW46" s="34">
        <f>IF(AND(E46=1,L46=0),AG46,"")</f>
        <v>9.6</v>
      </c>
      <c r="AX46" s="34" t="str">
        <f>IF(AND(E46=1,L46=1),AH46,"")</f>
        <v/>
      </c>
      <c r="AY46" s="34">
        <f>IF(AND(E46=1,L46=0),AH46,"")</f>
        <v>9.3</v>
      </c>
      <c r="AZ46" s="34" t="str">
        <f>IF(G46=1,F46,"")</f>
        <v/>
      </c>
      <c r="BA46" s="34" t="str">
        <f>IF(AND(G46=1,L46=1),F46,"")</f>
        <v/>
      </c>
      <c r="BB46" s="34" t="str">
        <f>IF(AND(G46=1,L46=0),F46,"")</f>
        <v/>
      </c>
      <c r="BC46" s="33">
        <f>IF(E46=1,IF(Orders!R43&gt;3,1,0),"")</f>
        <v>0</v>
      </c>
      <c r="BD46" s="33">
        <f>IF(E46=1,IF(Orders!R43&gt;7,1,0),"")</f>
        <v>0</v>
      </c>
      <c r="BE46" s="32" t="str">
        <f>IF(E46=1,IF(Orders!L43&lt;=1.5,"Up to 1.5 km",IF(Orders!L43&lt;=3,"1.5–3 km","Over 3 km")),"")</f>
        <v>Up to 1.5 km</v>
      </c>
      <c r="BF46" s="33">
        <f>IF(E46=1,IF(ABS((Orders!G43-Orders!F43)*1440-Orders!R43)&lt;0.06,1,0),"")</f>
        <v>1</v>
      </c>
      <c r="BG46" s="33">
        <f>IF(ABS((Orders!F43-Orders!E43)*1440-Orders!P43)&lt;0.06,1,0)</f>
        <v>1</v>
      </c>
      <c r="BH46" s="33">
        <f>IF(E46=1,IF(IF(Orders!S43,1,0)=1-G46,1,0),"")</f>
        <v>1</v>
      </c>
      <c r="BI46" s="32" t="str">
        <f>INDEX(Stores!$B$2:$B$21,MATCH(B46,Stores!$A$2:$A$21,0))</f>
        <v>Hyderabad</v>
      </c>
    </row>
    <row r="47">
      <c r="A47" s="32" t="str">
        <f>Orders!A44</f>
        <v>O00043</v>
      </c>
      <c r="B47" s="32" t="str">
        <f>Orders!C44</f>
        <v>S017</v>
      </c>
      <c r="C47" s="32" t="str">
        <f>Orders!B44</f>
        <v>C0048</v>
      </c>
      <c r="D47" s="32" t="str">
        <f>Orders!H44</f>
        <v>Delivered</v>
      </c>
      <c r="E47" s="33">
        <f>IF(Orders!H44="Delivered",1,0)</f>
        <v>1</v>
      </c>
      <c r="F47" s="34">
        <f>IF(E47=1,Orders!R44,"")</f>
        <v>-0.3</v>
      </c>
      <c r="G47" s="33">
        <f>IF(E47=1,IF(Orders!R44&gt;0,1,0),"")</f>
        <v>0</v>
      </c>
      <c r="H47" s="33">
        <f>IF(E47=1,IF(Orders!R44&gt;5,1,0),"")</f>
        <v>0</v>
      </c>
      <c r="I47" s="32" t="str">
        <f>IF(E47=1,"",IF(OR(Orders!T44="Rider unavailable",Orders!T44="Item unavailable"),"Company-caused","Unresolved"))</f>
        <v/>
      </c>
      <c r="J47" s="33">
        <f>IF(OR(E47=1,I47="Company-caused"),1,0)</f>
        <v>1</v>
      </c>
      <c r="K47" s="32" t="str">
        <f>IF(E47=0,IF(I47="Company-caused",IF(Orders!T44="Rider unavailable","C1 Rider unavailable","C2 Item unavailable"),"Outside root: unresolved"),IF(G47=0,"A On time",IF(H47=1,IF(L47=1,"B2a Severe, peak","B2b Severe, off-peak"),IF(L47=1,"B1a Slight, peak","B1b Slight, off-peak"))))</f>
        <v>A On time</v>
      </c>
      <c r="L47" s="33">
        <f>IF(AND(Orders!U44&gt;=19,Orders!U44&lt;22),1,0)</f>
        <v>0</v>
      </c>
      <c r="M47" s="33">
        <f>IF(L47=IF(Orders!V44,1,0),1,0)</f>
        <v>1</v>
      </c>
      <c r="N47" s="32" t="str">
        <f>IF(Orders!W44="","None",Orders!W44)</f>
        <v>None</v>
      </c>
      <c r="O47" s="35">
        <f>INT(Orders!E44)</f>
        <v>46276.0</v>
      </c>
      <c r="P47" s="33">
        <f>Orders!U44</f>
        <v>12</v>
      </c>
      <c r="Q47" s="33">
        <f>COUNTIFS(Demand!$A$2:$A$4481,B47,Demand!$B$2:$B$4481,O47,Demand!$C$2:$C$4481,P47)</f>
        <v>1</v>
      </c>
      <c r="R47" s="33">
        <f>IF(Q47=1,SUMIFS(Demand!$E$2:$E$4481,Demand!$A$2:$A$4481,B47,Demand!$B$2:$B$4481,O47,Demand!$C$2:$C$4481,P47),"")</f>
        <v>38</v>
      </c>
      <c r="S47" s="33">
        <f>INDEX(Stores!$G$2:$G$21,MATCH(B47,Stores!$A$2:$A$21,0))</f>
        <v>36</v>
      </c>
      <c r="T47" s="34">
        <f>IF(R47="","",R47/S47)</f>
        <v>1.05555555555556</v>
      </c>
      <c r="U47" s="34">
        <f>IF(E47=1,T47,"")</f>
        <v>1.05555555555556</v>
      </c>
      <c r="V47" s="34">
        <f>IF(AND(E47=1,L47=0),T47,"")</f>
        <v>1.05555555555556</v>
      </c>
      <c r="W47" s="33">
        <f>IF(U47="","",IF(U47&lt;=Breakdowns!$C$5,1,IF(U47&lt;=Breakdowns!$C$6,2,IF(U47&lt;=Breakdowns!$C$7,3,4))))</f>
        <v>3</v>
      </c>
      <c r="X47" s="33">
        <f>IF(V47="","",IF(V47&lt;=Breakdowns!$D$5,1,IF(V47&lt;=Breakdowns!$D$6,2,IF(V47&lt;=Breakdowns!$D$7,3,4))))</f>
        <v>3</v>
      </c>
      <c r="Y47" s="34">
        <f>INDEX(Stores!$F$2:$F$21,MATCH(B47,Stores!$A$2:$A$21,0))</f>
        <v>2.16</v>
      </c>
      <c r="Z47" s="33">
        <f>IF(Y47&gt;Store_Summary!$M$2,1,0)</f>
        <v>0</v>
      </c>
      <c r="AA47" s="33">
        <f>INDEX(Stores!$C$2:$C$21,MATCH(B47,Stores!$A$2:$A$21,0))</f>
        <v>47</v>
      </c>
      <c r="AB47" s="33">
        <f>IF(AA47&lt;180,1,0)</f>
        <v>1</v>
      </c>
      <c r="AC47" s="32" t="str">
        <f>IF(Orders!D44="","",INDEX(Riders!$C$2:$C$81,MATCH(Orders!D44,Riders!$A$2:$A$81,0)))</f>
        <v>EV scooter</v>
      </c>
      <c r="AD47" s="33">
        <f>IF(Orders!D44="","",INDEX(Riders!$D$2:$D$81,MATCH(Orders!D44,Riders!$A$2:$A$81,0)))</f>
        <v>38</v>
      </c>
      <c r="AE47" s="33">
        <f>IF(Orders!D44="","",IF(INDEX(Riders!$B$2:$B$81,MATCH(Orders!D44,Riders!$A$2:$A$81,0))=B47,1,0))</f>
        <v>0</v>
      </c>
      <c r="AF47" s="34">
        <f>IF(E47=1,Orders!L44,"")</f>
        <v>1.91</v>
      </c>
      <c r="AG47" s="34">
        <f>IF(E47=1,Orders!P44,"")</f>
        <v>10.6</v>
      </c>
      <c r="AH47" s="34">
        <f>IF(E47=1,Orders!Q44,"")</f>
        <v>10.3</v>
      </c>
      <c r="AI47" s="34">
        <f>IF(E47=1,Orders!M44,"")</f>
        <v>1.8</v>
      </c>
      <c r="AJ47" s="34">
        <f>IF(E47=1,Orders!N44,"")</f>
        <v>4.4</v>
      </c>
      <c r="AK47" s="34">
        <f>IF(E47=1,Orders!O44,"")</f>
        <v>4.1</v>
      </c>
      <c r="AL47" s="33">
        <f>IF(E47=1,IF(ROUND(ABS(AI47+AJ47+AK47-AH47),6)&lt;=0.1,1,0),"")</f>
        <v>1</v>
      </c>
      <c r="AM47" s="36">
        <f>IF(E47=1,AI47/AH47,"")</f>
        <v>0.174757281553398</v>
      </c>
      <c r="AN47" s="36">
        <f>IF(E47=1,AJ47/AH47,"")</f>
        <v>0.427184466019418</v>
      </c>
      <c r="AO47" s="36">
        <f>IF(E47=1,AK47/AH47,"")</f>
        <v>0.398058252427184</v>
      </c>
      <c r="AP47" s="34">
        <f>IF(E47=1,Orders!Y44,"")</f>
        <v>0.8</v>
      </c>
      <c r="AQ47" s="33">
        <f>IF(Orders!X44,1,0)</f>
        <v>0</v>
      </c>
      <c r="AR47" s="34" t="str">
        <f>IF(AND(E47=1,L47=1),AJ47,"")</f>
        <v/>
      </c>
      <c r="AS47" s="34">
        <f>IF(AND(E47=1,L47=0),AJ47,"")</f>
        <v>4.4</v>
      </c>
      <c r="AT47" s="34" t="str">
        <f>IF(AND(E47=1,L47=1),AI47,"")</f>
        <v/>
      </c>
      <c r="AU47" s="34">
        <f>IF(AND(E47=1,L47=0),AI47,"")</f>
        <v>1.8</v>
      </c>
      <c r="AV47" s="34" t="str">
        <f>IF(AND(E47=1,L47=1),AG47,"")</f>
        <v/>
      </c>
      <c r="AW47" s="34">
        <f>IF(AND(E47=1,L47=0),AG47,"")</f>
        <v>10.6</v>
      </c>
      <c r="AX47" s="34" t="str">
        <f>IF(AND(E47=1,L47=1),AH47,"")</f>
        <v/>
      </c>
      <c r="AY47" s="34">
        <f>IF(AND(E47=1,L47=0),AH47,"")</f>
        <v>10.3</v>
      </c>
      <c r="AZ47" s="34" t="str">
        <f>IF(G47=1,F47,"")</f>
        <v/>
      </c>
      <c r="BA47" s="34" t="str">
        <f>IF(AND(G47=1,L47=1),F47,"")</f>
        <v/>
      </c>
      <c r="BB47" s="34" t="str">
        <f>IF(AND(G47=1,L47=0),F47,"")</f>
        <v/>
      </c>
      <c r="BC47" s="33">
        <f>IF(E47=1,IF(Orders!R44&gt;3,1,0),"")</f>
        <v>0</v>
      </c>
      <c r="BD47" s="33">
        <f>IF(E47=1,IF(Orders!R44&gt;7,1,0),"")</f>
        <v>0</v>
      </c>
      <c r="BE47" s="32" t="str">
        <f>IF(E47=1,IF(Orders!L44&lt;=1.5,"Up to 1.5 km",IF(Orders!L44&lt;=3,"1.5–3 km","Over 3 km")),"")</f>
        <v>1.5–3 km</v>
      </c>
      <c r="BF47" s="33">
        <f>IF(E47=1,IF(ABS((Orders!G44-Orders!F44)*1440-Orders!R44)&lt;0.06,1,0),"")</f>
        <v>1</v>
      </c>
      <c r="BG47" s="33">
        <f>IF(ABS((Orders!F44-Orders!E44)*1440-Orders!P44)&lt;0.06,1,0)</f>
        <v>1</v>
      </c>
      <c r="BH47" s="33">
        <f>IF(E47=1,IF(IF(Orders!S44,1,0)=1-G47,1,0),"")</f>
        <v>1</v>
      </c>
      <c r="BI47" s="32" t="str">
        <f>INDEX(Stores!$B$2:$B$21,MATCH(B47,Stores!$A$2:$A$21,0))</f>
        <v>Hyderabad</v>
      </c>
    </row>
    <row r="48">
      <c r="A48" s="32" t="str">
        <f>Orders!A45</f>
        <v>O00044</v>
      </c>
      <c r="B48" s="32" t="str">
        <f>Orders!C45</f>
        <v>S016</v>
      </c>
      <c r="C48" s="32" t="str">
        <f>Orders!B45</f>
        <v>C0236</v>
      </c>
      <c r="D48" s="32" t="str">
        <f>Orders!H45</f>
        <v>Delivered</v>
      </c>
      <c r="E48" s="33">
        <f>IF(Orders!H45="Delivered",1,0)</f>
        <v>1</v>
      </c>
      <c r="F48" s="34">
        <f>IF(E48=1,Orders!R45,"")</f>
        <v>-1</v>
      </c>
      <c r="G48" s="33">
        <f>IF(E48=1,IF(Orders!R45&gt;0,1,0),"")</f>
        <v>0</v>
      </c>
      <c r="H48" s="33">
        <f>IF(E48=1,IF(Orders!R45&gt;5,1,0),"")</f>
        <v>0</v>
      </c>
      <c r="I48" s="32" t="str">
        <f>IF(E48=1,"",IF(OR(Orders!T45="Rider unavailable",Orders!T45="Item unavailable"),"Company-caused","Unresolved"))</f>
        <v/>
      </c>
      <c r="J48" s="33">
        <f>IF(OR(E48=1,I48="Company-caused"),1,0)</f>
        <v>1</v>
      </c>
      <c r="K48" s="32" t="str">
        <f>IF(E48=0,IF(I48="Company-caused",IF(Orders!T45="Rider unavailable","C1 Rider unavailable","C2 Item unavailable"),"Outside root: unresolved"),IF(G48=0,"A On time",IF(H48=1,IF(L48=1,"B2a Severe, peak","B2b Severe, off-peak"),IF(L48=1,"B1a Slight, peak","B1b Slight, off-peak"))))</f>
        <v>A On time</v>
      </c>
      <c r="L48" s="33">
        <f>IF(AND(Orders!U45&gt;=19,Orders!U45&lt;22),1,0)</f>
        <v>1</v>
      </c>
      <c r="M48" s="33">
        <f>IF(L48=IF(Orders!V45,1,0),1,0)</f>
        <v>1</v>
      </c>
      <c r="N48" s="32" t="str">
        <f>IF(Orders!W45="","None",Orders!W45)</f>
        <v>None</v>
      </c>
      <c r="O48" s="35">
        <f>INT(Orders!E45)</f>
        <v>46278.0</v>
      </c>
      <c r="P48" s="33">
        <f>Orders!U45</f>
        <v>21</v>
      </c>
      <c r="Q48" s="33">
        <f>COUNTIFS(Demand!$A$2:$A$4481,B48,Demand!$B$2:$B$4481,O48,Demand!$C$2:$C$4481,P48)</f>
        <v>1</v>
      </c>
      <c r="R48" s="33">
        <f>IF(Q48=1,SUMIFS(Demand!$E$2:$E$4481,Demand!$A$2:$A$4481,B48,Demand!$B$2:$B$4481,O48,Demand!$C$2:$C$4481,P48),"")</f>
        <v>40</v>
      </c>
      <c r="S48" s="33">
        <f>INDEX(Stores!$G$2:$G$21,MATCH(B48,Stores!$A$2:$A$21,0))</f>
        <v>25</v>
      </c>
      <c r="T48" s="34">
        <f>IF(R48="","",R48/S48)</f>
        <v>1.6</v>
      </c>
      <c r="U48" s="34">
        <f>IF(E48=1,T48,"")</f>
        <v>1.6</v>
      </c>
      <c r="V48" s="34" t="str">
        <f>IF(AND(E48=1,L48=0),T48,"")</f>
        <v/>
      </c>
      <c r="W48" s="33">
        <f>IF(U48="","",IF(U48&lt;=Breakdowns!$C$5,1,IF(U48&lt;=Breakdowns!$C$6,2,IF(U48&lt;=Breakdowns!$C$7,3,4))))</f>
        <v>4</v>
      </c>
      <c r="X48" s="33" t="str">
        <f>IF(V48="","",IF(V48&lt;=Breakdowns!$D$5,1,IF(V48&lt;=Breakdowns!$D$6,2,IF(V48&lt;=Breakdowns!$D$7,3,4))))</f>
        <v/>
      </c>
      <c r="Y48" s="34">
        <f>INDEX(Stores!$F$2:$F$21,MATCH(B48,Stores!$A$2:$A$21,0))</f>
        <v>5.51</v>
      </c>
      <c r="Z48" s="33">
        <f>IF(Y48&gt;Store_Summary!$M$2,1,0)</f>
        <v>1</v>
      </c>
      <c r="AA48" s="33">
        <f>INDEX(Stores!$C$2:$C$21,MATCH(B48,Stores!$A$2:$A$21,0))</f>
        <v>792</v>
      </c>
      <c r="AB48" s="33">
        <f>IF(AA48&lt;180,1,0)</f>
        <v>0</v>
      </c>
      <c r="AC48" s="32" t="str">
        <f>IF(Orders!D45="","",INDEX(Riders!$C$2:$C$81,MATCH(Orders!D45,Riders!$A$2:$A$81,0)))</f>
        <v>EV scooter</v>
      </c>
      <c r="AD48" s="33">
        <f>IF(Orders!D45="","",INDEX(Riders!$D$2:$D$81,MATCH(Orders!D45,Riders!$A$2:$A$81,0)))</f>
        <v>33</v>
      </c>
      <c r="AE48" s="33">
        <f>IF(Orders!D45="","",IF(INDEX(Riders!$B$2:$B$81,MATCH(Orders!D45,Riders!$A$2:$A$81,0))=B48,1,0))</f>
        <v>0</v>
      </c>
      <c r="AF48" s="34">
        <f>IF(E48=1,Orders!L45,"")</f>
        <v>0.5</v>
      </c>
      <c r="AG48" s="34">
        <f>IF(E48=1,Orders!P45,"")</f>
        <v>8.7</v>
      </c>
      <c r="AH48" s="34">
        <f>IF(E48=1,Orders!Q45,"")</f>
        <v>7.7</v>
      </c>
      <c r="AI48" s="34">
        <f>IF(E48=1,Orders!M45,"")</f>
        <v>2.8</v>
      </c>
      <c r="AJ48" s="34">
        <f>IF(E48=1,Orders!N45,"")</f>
        <v>3.8</v>
      </c>
      <c r="AK48" s="34">
        <f>IF(E48=1,Orders!O45,"")</f>
        <v>1.1</v>
      </c>
      <c r="AL48" s="33">
        <f>IF(E48=1,IF(ROUND(ABS(AI48+AJ48+AK48-AH48),6)&lt;=0.1,1,0),"")</f>
        <v>1</v>
      </c>
      <c r="AM48" s="36">
        <f>IF(E48=1,AI48/AH48,"")</f>
        <v>0.363636363636364</v>
      </c>
      <c r="AN48" s="36">
        <f>IF(E48=1,AJ48/AH48,"")</f>
        <v>0.493506493506493</v>
      </c>
      <c r="AO48" s="36">
        <f>IF(E48=1,AK48/AH48,"")</f>
        <v>0.142857142857143</v>
      </c>
      <c r="AP48" s="34">
        <f>IF(E48=1,Orders!Y45,"")</f>
        <v>0.52</v>
      </c>
      <c r="AQ48" s="33">
        <f>IF(Orders!X45,1,0)</f>
        <v>0</v>
      </c>
      <c r="AR48" s="34">
        <f>IF(AND(E48=1,L48=1),AJ48,"")</f>
        <v>3.8</v>
      </c>
      <c r="AS48" s="34" t="str">
        <f>IF(AND(E48=1,L48=0),AJ48,"")</f>
        <v/>
      </c>
      <c r="AT48" s="34">
        <f>IF(AND(E48=1,L48=1),AI48,"")</f>
        <v>2.8</v>
      </c>
      <c r="AU48" s="34" t="str">
        <f>IF(AND(E48=1,L48=0),AI48,"")</f>
        <v/>
      </c>
      <c r="AV48" s="34">
        <f>IF(AND(E48=1,L48=1),AG48,"")</f>
        <v>8.7</v>
      </c>
      <c r="AW48" s="34" t="str">
        <f>IF(AND(E48=1,L48=0),AG48,"")</f>
        <v/>
      </c>
      <c r="AX48" s="34">
        <f>IF(AND(E48=1,L48=1),AH48,"")</f>
        <v>7.7</v>
      </c>
      <c r="AY48" s="34" t="str">
        <f>IF(AND(E48=1,L48=0),AH48,"")</f>
        <v/>
      </c>
      <c r="AZ48" s="34" t="str">
        <f>IF(G48=1,F48,"")</f>
        <v/>
      </c>
      <c r="BA48" s="34" t="str">
        <f>IF(AND(G48=1,L48=1),F48,"")</f>
        <v/>
      </c>
      <c r="BB48" s="34" t="str">
        <f>IF(AND(G48=1,L48=0),F48,"")</f>
        <v/>
      </c>
      <c r="BC48" s="33">
        <f>IF(E48=1,IF(Orders!R45&gt;3,1,0),"")</f>
        <v>0</v>
      </c>
      <c r="BD48" s="33">
        <f>IF(E48=1,IF(Orders!R45&gt;7,1,0),"")</f>
        <v>0</v>
      </c>
      <c r="BE48" s="32" t="str">
        <f>IF(E48=1,IF(Orders!L45&lt;=1.5,"Up to 1.5 km",IF(Orders!L45&lt;=3,"1.5–3 km","Over 3 km")),"")</f>
        <v>Up to 1.5 km</v>
      </c>
      <c r="BF48" s="33">
        <f>IF(E48=1,IF(ABS((Orders!G45-Orders!F45)*1440-Orders!R45)&lt;0.06,1,0),"")</f>
        <v>1</v>
      </c>
      <c r="BG48" s="33">
        <f>IF(ABS((Orders!F45-Orders!E45)*1440-Orders!P45)&lt;0.06,1,0)</f>
        <v>1</v>
      </c>
      <c r="BH48" s="33">
        <f>IF(E48=1,IF(IF(Orders!S45,1,0)=1-G48,1,0),"")</f>
        <v>1</v>
      </c>
      <c r="BI48" s="32" t="str">
        <f>INDEX(Stores!$B$2:$B$21,MATCH(B48,Stores!$A$2:$A$21,0))</f>
        <v>Bengaluru</v>
      </c>
    </row>
    <row r="49">
      <c r="A49" s="32" t="str">
        <f>Orders!A46</f>
        <v>O00045</v>
      </c>
      <c r="B49" s="32" t="str">
        <f>Orders!C46</f>
        <v>S011</v>
      </c>
      <c r="C49" s="32" t="str">
        <f>Orders!B46</f>
        <v>C0109</v>
      </c>
      <c r="D49" s="32" t="str">
        <f>Orders!H46</f>
        <v>Delivered</v>
      </c>
      <c r="E49" s="33">
        <f>IF(Orders!H46="Delivered",1,0)</f>
        <v>1</v>
      </c>
      <c r="F49" s="34">
        <f>IF(E49=1,Orders!R46,"")</f>
        <v>-0.3</v>
      </c>
      <c r="G49" s="33">
        <f>IF(E49=1,IF(Orders!R46&gt;0,1,0),"")</f>
        <v>0</v>
      </c>
      <c r="H49" s="33">
        <f>IF(E49=1,IF(Orders!R46&gt;5,1,0),"")</f>
        <v>0</v>
      </c>
      <c r="I49" s="32" t="str">
        <f>IF(E49=1,"",IF(OR(Orders!T46="Rider unavailable",Orders!T46="Item unavailable"),"Company-caused","Unresolved"))</f>
        <v/>
      </c>
      <c r="J49" s="33">
        <f>IF(OR(E49=1,I49="Company-caused"),1,0)</f>
        <v>1</v>
      </c>
      <c r="K49" s="32" t="str">
        <f>IF(E49=0,IF(I49="Company-caused",IF(Orders!T46="Rider unavailable","C1 Rider unavailable","C2 Item unavailable"),"Outside root: unresolved"),IF(G49=0,"A On time",IF(H49=1,IF(L49=1,"B2a Severe, peak","B2b Severe, off-peak"),IF(L49=1,"B1a Slight, peak","B1b Slight, off-peak"))))</f>
        <v>A On time</v>
      </c>
      <c r="L49" s="33">
        <f>IF(AND(Orders!U46&gt;=19,Orders!U46&lt;22),1,0)</f>
        <v>0</v>
      </c>
      <c r="M49" s="33">
        <f>IF(L49=IF(Orders!V46,1,0),1,0)</f>
        <v>1</v>
      </c>
      <c r="N49" s="32" t="str">
        <f>IF(Orders!W46="","None",Orders!W46)</f>
        <v>None</v>
      </c>
      <c r="O49" s="35">
        <f>INT(Orders!E46)</f>
        <v>46279.0</v>
      </c>
      <c r="P49" s="33">
        <f>Orders!U46</f>
        <v>14</v>
      </c>
      <c r="Q49" s="33">
        <f>COUNTIFS(Demand!$A$2:$A$4481,B49,Demand!$B$2:$B$4481,O49,Demand!$C$2:$C$4481,P49)</f>
        <v>1</v>
      </c>
      <c r="R49" s="33">
        <f>IF(Q49=1,SUMIFS(Demand!$E$2:$E$4481,Demand!$A$2:$A$4481,B49,Demand!$B$2:$B$4481,O49,Demand!$C$2:$C$4481,P49),"")</f>
        <v>18</v>
      </c>
      <c r="S49" s="33">
        <f>INDEX(Stores!$G$2:$G$21,MATCH(B49,Stores!$A$2:$A$21,0))</f>
        <v>31</v>
      </c>
      <c r="T49" s="34">
        <f>IF(R49="","",R49/S49)</f>
        <v>0.580645161290323</v>
      </c>
      <c r="U49" s="34">
        <f>IF(E49=1,T49,"")</f>
        <v>0.580645161290323</v>
      </c>
      <c r="V49" s="34">
        <f>IF(AND(E49=1,L49=0),T49,"")</f>
        <v>0.580645161290323</v>
      </c>
      <c r="W49" s="33">
        <f>IF(U49="","",IF(U49&lt;=Breakdowns!$C$5,1,IF(U49&lt;=Breakdowns!$C$6,2,IF(U49&lt;=Breakdowns!$C$7,3,4))))</f>
        <v>1</v>
      </c>
      <c r="X49" s="33">
        <f>IF(V49="","",IF(V49&lt;=Breakdowns!$D$5,1,IF(V49&lt;=Breakdowns!$D$6,2,IF(V49&lt;=Breakdowns!$D$7,3,4))))</f>
        <v>1</v>
      </c>
      <c r="Y49" s="34">
        <f>INDEX(Stores!$F$2:$F$21,MATCH(B49,Stores!$A$2:$A$21,0))</f>
        <v>5.67</v>
      </c>
      <c r="Z49" s="33">
        <f>IF(Y49&gt;Store_Summary!$M$2,1,0)</f>
        <v>1</v>
      </c>
      <c r="AA49" s="33">
        <f>INDEX(Stores!$C$2:$C$21,MATCH(B49,Stores!$A$2:$A$21,0))</f>
        <v>732</v>
      </c>
      <c r="AB49" s="33">
        <f>IF(AA49&lt;180,1,0)</f>
        <v>0</v>
      </c>
      <c r="AC49" s="32" t="str">
        <f>IF(Orders!D46="","",INDEX(Riders!$C$2:$C$81,MATCH(Orders!D46,Riders!$A$2:$A$81,0)))</f>
        <v>EV scooter</v>
      </c>
      <c r="AD49" s="33">
        <f>IF(Orders!D46="","",INDEX(Riders!$D$2:$D$81,MATCH(Orders!D46,Riders!$A$2:$A$81,0)))</f>
        <v>21</v>
      </c>
      <c r="AE49" s="33">
        <f>IF(Orders!D46="","",IF(INDEX(Riders!$B$2:$B$81,MATCH(Orders!D46,Riders!$A$2:$A$81,0))=B49,1,0))</f>
        <v>0</v>
      </c>
      <c r="AF49" s="34">
        <f>IF(E49=1,Orders!L46,"")</f>
        <v>3.3</v>
      </c>
      <c r="AG49" s="34">
        <f>IF(E49=1,Orders!P46,"")</f>
        <v>9.3</v>
      </c>
      <c r="AH49" s="34">
        <f>IF(E49=1,Orders!Q46,"")</f>
        <v>9</v>
      </c>
      <c r="AI49" s="34">
        <f>IF(E49=1,Orders!M46,"")</f>
        <v>2.7</v>
      </c>
      <c r="AJ49" s="34">
        <f>IF(E49=1,Orders!N46,"")</f>
        <v>2.5</v>
      </c>
      <c r="AK49" s="34">
        <f>IF(E49=1,Orders!O46,"")</f>
        <v>3.8</v>
      </c>
      <c r="AL49" s="33">
        <f>IF(E49=1,IF(ROUND(ABS(AI49+AJ49+AK49-AH49),6)&lt;=0.1,1,0),"")</f>
        <v>1</v>
      </c>
      <c r="AM49" s="36">
        <f>IF(E49=1,AI49/AH49,"")</f>
        <v>0.3</v>
      </c>
      <c r="AN49" s="36">
        <f>IF(E49=1,AJ49/AH49,"")</f>
        <v>0.277777777777778</v>
      </c>
      <c r="AO49" s="36">
        <f>IF(E49=1,AK49/AH49,"")</f>
        <v>0.422222222222222</v>
      </c>
      <c r="AP49" s="34">
        <f>IF(E49=1,Orders!Y46,"")</f>
        <v>0.53</v>
      </c>
      <c r="AQ49" s="33">
        <f>IF(Orders!X46,1,0)</f>
        <v>0</v>
      </c>
      <c r="AR49" s="34" t="str">
        <f>IF(AND(E49=1,L49=1),AJ49,"")</f>
        <v/>
      </c>
      <c r="AS49" s="34">
        <f>IF(AND(E49=1,L49=0),AJ49,"")</f>
        <v>2.5</v>
      </c>
      <c r="AT49" s="34" t="str">
        <f>IF(AND(E49=1,L49=1),AI49,"")</f>
        <v/>
      </c>
      <c r="AU49" s="34">
        <f>IF(AND(E49=1,L49=0),AI49,"")</f>
        <v>2.7</v>
      </c>
      <c r="AV49" s="34" t="str">
        <f>IF(AND(E49=1,L49=1),AG49,"")</f>
        <v/>
      </c>
      <c r="AW49" s="34">
        <f>IF(AND(E49=1,L49=0),AG49,"")</f>
        <v>9.3</v>
      </c>
      <c r="AX49" s="34" t="str">
        <f>IF(AND(E49=1,L49=1),AH49,"")</f>
        <v/>
      </c>
      <c r="AY49" s="34">
        <f>IF(AND(E49=1,L49=0),AH49,"")</f>
        <v>9</v>
      </c>
      <c r="AZ49" s="34" t="str">
        <f>IF(G49=1,F49,"")</f>
        <v/>
      </c>
      <c r="BA49" s="34" t="str">
        <f>IF(AND(G49=1,L49=1),F49,"")</f>
        <v/>
      </c>
      <c r="BB49" s="34" t="str">
        <f>IF(AND(G49=1,L49=0),F49,"")</f>
        <v/>
      </c>
      <c r="BC49" s="33">
        <f>IF(E49=1,IF(Orders!R46&gt;3,1,0),"")</f>
        <v>0</v>
      </c>
      <c r="BD49" s="33">
        <f>IF(E49=1,IF(Orders!R46&gt;7,1,0),"")</f>
        <v>0</v>
      </c>
      <c r="BE49" s="32" t="str">
        <f>IF(E49=1,IF(Orders!L46&lt;=1.5,"Up to 1.5 km",IF(Orders!L46&lt;=3,"1.5–3 km","Over 3 km")),"")</f>
        <v>Over 3 km</v>
      </c>
      <c r="BF49" s="33">
        <f>IF(E49=1,IF(ABS((Orders!G46-Orders!F46)*1440-Orders!R46)&lt;0.06,1,0),"")</f>
        <v>1</v>
      </c>
      <c r="BG49" s="33">
        <f>IF(ABS((Orders!F46-Orders!E46)*1440-Orders!P46)&lt;0.06,1,0)</f>
        <v>1</v>
      </c>
      <c r="BH49" s="33">
        <f>IF(E49=1,IF(IF(Orders!S46,1,0)=1-G49,1,0),"")</f>
        <v>1</v>
      </c>
      <c r="BI49" s="32" t="str">
        <f>INDEX(Stores!$B$2:$B$21,MATCH(B49,Stores!$A$2:$A$21,0))</f>
        <v>Bengaluru</v>
      </c>
    </row>
    <row r="50">
      <c r="A50" s="32" t="str">
        <f>Orders!A47</f>
        <v>O00046</v>
      </c>
      <c r="B50" s="32" t="str">
        <f>Orders!C47</f>
        <v>S017</v>
      </c>
      <c r="C50" s="32" t="str">
        <f>Orders!B47</f>
        <v>C0016</v>
      </c>
      <c r="D50" s="32" t="str">
        <f>Orders!H47</f>
        <v>Delivered</v>
      </c>
      <c r="E50" s="33">
        <f>IF(Orders!H47="Delivered",1,0)</f>
        <v>1</v>
      </c>
      <c r="F50" s="34">
        <f>IF(E50=1,Orders!R47,"")</f>
        <v>-0.9</v>
      </c>
      <c r="G50" s="33">
        <f>IF(E50=1,IF(Orders!R47&gt;0,1,0),"")</f>
        <v>0</v>
      </c>
      <c r="H50" s="33">
        <f>IF(E50=1,IF(Orders!R47&gt;5,1,0),"")</f>
        <v>0</v>
      </c>
      <c r="I50" s="32" t="str">
        <f>IF(E50=1,"",IF(OR(Orders!T47="Rider unavailable",Orders!T47="Item unavailable"),"Company-caused","Unresolved"))</f>
        <v/>
      </c>
      <c r="J50" s="33">
        <f>IF(OR(E50=1,I50="Company-caused"),1,0)</f>
        <v>1</v>
      </c>
      <c r="K50" s="32" t="str">
        <f>IF(E50=0,IF(I50="Company-caused",IF(Orders!T47="Rider unavailable","C1 Rider unavailable","C2 Item unavailable"),"Outside root: unresolved"),IF(G50=0,"A On time",IF(H50=1,IF(L50=1,"B2a Severe, peak","B2b Severe, off-peak"),IF(L50=1,"B1a Slight, peak","B1b Slight, off-peak"))))</f>
        <v>A On time</v>
      </c>
      <c r="L50" s="33">
        <f>IF(AND(Orders!U47&gt;=19,Orders!U47&lt;22),1,0)</f>
        <v>0</v>
      </c>
      <c r="M50" s="33">
        <f>IF(L50=IF(Orders!V47,1,0),1,0)</f>
        <v>1</v>
      </c>
      <c r="N50" s="32" t="str">
        <f>IF(Orders!W47="","None",Orders!W47)</f>
        <v>None</v>
      </c>
      <c r="O50" s="35">
        <f>INT(Orders!E47)</f>
        <v>46278.0</v>
      </c>
      <c r="P50" s="33">
        <f>Orders!U47</f>
        <v>11</v>
      </c>
      <c r="Q50" s="33">
        <f>COUNTIFS(Demand!$A$2:$A$4481,B50,Demand!$B$2:$B$4481,O50,Demand!$C$2:$C$4481,P50)</f>
        <v>1</v>
      </c>
      <c r="R50" s="33">
        <f>IF(Q50=1,SUMIFS(Demand!$E$2:$E$4481,Demand!$A$2:$A$4481,B50,Demand!$B$2:$B$4481,O50,Demand!$C$2:$C$4481,P50),"")</f>
        <v>35</v>
      </c>
      <c r="S50" s="33">
        <f>INDEX(Stores!$G$2:$G$21,MATCH(B50,Stores!$A$2:$A$21,0))</f>
        <v>36</v>
      </c>
      <c r="T50" s="34">
        <f>IF(R50="","",R50/S50)</f>
        <v>0.972222222222222</v>
      </c>
      <c r="U50" s="34">
        <f>IF(E50=1,T50,"")</f>
        <v>0.972222222222222</v>
      </c>
      <c r="V50" s="34">
        <f>IF(AND(E50=1,L50=0),T50,"")</f>
        <v>0.972222222222222</v>
      </c>
      <c r="W50" s="33">
        <f>IF(U50="","",IF(U50&lt;=Breakdowns!$C$5,1,IF(U50&lt;=Breakdowns!$C$6,2,IF(U50&lt;=Breakdowns!$C$7,3,4))))</f>
        <v>2</v>
      </c>
      <c r="X50" s="33">
        <f>IF(V50="","",IF(V50&lt;=Breakdowns!$D$5,1,IF(V50&lt;=Breakdowns!$D$6,2,IF(V50&lt;=Breakdowns!$D$7,3,4))))</f>
        <v>3</v>
      </c>
      <c r="Y50" s="34">
        <f>INDEX(Stores!$F$2:$F$21,MATCH(B50,Stores!$A$2:$A$21,0))</f>
        <v>2.16</v>
      </c>
      <c r="Z50" s="33">
        <f>IF(Y50&gt;Store_Summary!$M$2,1,0)</f>
        <v>0</v>
      </c>
      <c r="AA50" s="33">
        <f>INDEX(Stores!$C$2:$C$21,MATCH(B50,Stores!$A$2:$A$21,0))</f>
        <v>47</v>
      </c>
      <c r="AB50" s="33">
        <f>IF(AA50&lt;180,1,0)</f>
        <v>1</v>
      </c>
      <c r="AC50" s="32" t="str">
        <f>IF(Orders!D47="","",INDEX(Riders!$C$2:$C$81,MATCH(Orders!D47,Riders!$A$2:$A$81,0)))</f>
        <v>Bicycle</v>
      </c>
      <c r="AD50" s="33">
        <f>IF(Orders!D47="","",INDEX(Riders!$D$2:$D$81,MATCH(Orders!D47,Riders!$A$2:$A$81,0)))</f>
        <v>26</v>
      </c>
      <c r="AE50" s="33">
        <f>IF(Orders!D47="","",IF(INDEX(Riders!$B$2:$B$81,MATCH(Orders!D47,Riders!$A$2:$A$81,0))=B50,1,0))</f>
        <v>0</v>
      </c>
      <c r="AF50" s="34">
        <f>IF(E50=1,Orders!L47,"")</f>
        <v>3.96</v>
      </c>
      <c r="AG50" s="34">
        <f>IF(E50=1,Orders!P47,"")</f>
        <v>12.4</v>
      </c>
      <c r="AH50" s="34">
        <f>IF(E50=1,Orders!Q47,"")</f>
        <v>11.5</v>
      </c>
      <c r="AI50" s="34">
        <f>IF(E50=1,Orders!M47,"")</f>
        <v>1.6</v>
      </c>
      <c r="AJ50" s="34">
        <f>IF(E50=1,Orders!N47,"")</f>
        <v>2.5</v>
      </c>
      <c r="AK50" s="34">
        <f>IF(E50=1,Orders!O47,"")</f>
        <v>7.4</v>
      </c>
      <c r="AL50" s="33">
        <f>IF(E50=1,IF(ROUND(ABS(AI50+AJ50+AK50-AH50),6)&lt;=0.1,1,0),"")</f>
        <v>1</v>
      </c>
      <c r="AM50" s="36">
        <f>IF(E50=1,AI50/AH50,"")</f>
        <v>0.139130434782609</v>
      </c>
      <c r="AN50" s="36">
        <f>IF(E50=1,AJ50/AH50,"")</f>
        <v>0.217391304347826</v>
      </c>
      <c r="AO50" s="36">
        <f>IF(E50=1,AK50/AH50,"")</f>
        <v>0.643478260869565</v>
      </c>
      <c r="AP50" s="34">
        <f>IF(E50=1,Orders!Y47,"")</f>
        <v>0.69</v>
      </c>
      <c r="AQ50" s="33">
        <f>IF(Orders!X47,1,0)</f>
        <v>0</v>
      </c>
      <c r="AR50" s="34" t="str">
        <f>IF(AND(E50=1,L50=1),AJ50,"")</f>
        <v/>
      </c>
      <c r="AS50" s="34">
        <f>IF(AND(E50=1,L50=0),AJ50,"")</f>
        <v>2.5</v>
      </c>
      <c r="AT50" s="34" t="str">
        <f>IF(AND(E50=1,L50=1),AI50,"")</f>
        <v/>
      </c>
      <c r="AU50" s="34">
        <f>IF(AND(E50=1,L50=0),AI50,"")</f>
        <v>1.6</v>
      </c>
      <c r="AV50" s="34" t="str">
        <f>IF(AND(E50=1,L50=1),AG50,"")</f>
        <v/>
      </c>
      <c r="AW50" s="34">
        <f>IF(AND(E50=1,L50=0),AG50,"")</f>
        <v>12.4</v>
      </c>
      <c r="AX50" s="34" t="str">
        <f>IF(AND(E50=1,L50=1),AH50,"")</f>
        <v/>
      </c>
      <c r="AY50" s="34">
        <f>IF(AND(E50=1,L50=0),AH50,"")</f>
        <v>11.5</v>
      </c>
      <c r="AZ50" s="34" t="str">
        <f>IF(G50=1,F50,"")</f>
        <v/>
      </c>
      <c r="BA50" s="34" t="str">
        <f>IF(AND(G50=1,L50=1),F50,"")</f>
        <v/>
      </c>
      <c r="BB50" s="34" t="str">
        <f>IF(AND(G50=1,L50=0),F50,"")</f>
        <v/>
      </c>
      <c r="BC50" s="33">
        <f>IF(E50=1,IF(Orders!R47&gt;3,1,0),"")</f>
        <v>0</v>
      </c>
      <c r="BD50" s="33">
        <f>IF(E50=1,IF(Orders!R47&gt;7,1,0),"")</f>
        <v>0</v>
      </c>
      <c r="BE50" s="32" t="str">
        <f>IF(E50=1,IF(Orders!L47&lt;=1.5,"Up to 1.5 km",IF(Orders!L47&lt;=3,"1.5–3 km","Over 3 km")),"")</f>
        <v>Over 3 km</v>
      </c>
      <c r="BF50" s="33">
        <f>IF(E50=1,IF(ABS((Orders!G47-Orders!F47)*1440-Orders!R47)&lt;0.06,1,0),"")</f>
        <v>1</v>
      </c>
      <c r="BG50" s="33">
        <f>IF(ABS((Orders!F47-Orders!E47)*1440-Orders!P47)&lt;0.06,1,0)</f>
        <v>1</v>
      </c>
      <c r="BH50" s="33">
        <f>IF(E50=1,IF(IF(Orders!S47,1,0)=1-G50,1,0),"")</f>
        <v>1</v>
      </c>
      <c r="BI50" s="32" t="str">
        <f>INDEX(Stores!$B$2:$B$21,MATCH(B50,Stores!$A$2:$A$21,0))</f>
        <v>Hyderabad</v>
      </c>
    </row>
    <row r="51">
      <c r="A51" s="32" t="str">
        <f>Orders!A48</f>
        <v>O00047</v>
      </c>
      <c r="B51" s="32" t="str">
        <f>Orders!C48</f>
        <v>S003</v>
      </c>
      <c r="C51" s="32" t="str">
        <f>Orders!B48</f>
        <v>C0032</v>
      </c>
      <c r="D51" s="32" t="str">
        <f>Orders!H48</f>
        <v>Delivered</v>
      </c>
      <c r="E51" s="33">
        <f>IF(Orders!H48="Delivered",1,0)</f>
        <v>1</v>
      </c>
      <c r="F51" s="34">
        <f>IF(E51=1,Orders!R48,"")</f>
        <v>-1.1</v>
      </c>
      <c r="G51" s="33">
        <f>IF(E51=1,IF(Orders!R48&gt;0,1,0),"")</f>
        <v>0</v>
      </c>
      <c r="H51" s="33">
        <f>IF(E51=1,IF(Orders!R48&gt;5,1,0),"")</f>
        <v>0</v>
      </c>
      <c r="I51" s="32" t="str">
        <f>IF(E51=1,"",IF(OR(Orders!T48="Rider unavailable",Orders!T48="Item unavailable"),"Company-caused","Unresolved"))</f>
        <v/>
      </c>
      <c r="J51" s="33">
        <f>IF(OR(E51=1,I51="Company-caused"),1,0)</f>
        <v>1</v>
      </c>
      <c r="K51" s="32" t="str">
        <f>IF(E51=0,IF(I51="Company-caused",IF(Orders!T48="Rider unavailable","C1 Rider unavailable","C2 Item unavailable"),"Outside root: unresolved"),IF(G51=0,"A On time",IF(H51=1,IF(L51=1,"B2a Severe, peak","B2b Severe, off-peak"),IF(L51=1,"B1a Slight, peak","B1b Slight, off-peak"))))</f>
        <v>A On time</v>
      </c>
      <c r="L51" s="33">
        <f>IF(AND(Orders!U48&gt;=19,Orders!U48&lt;22),1,0)</f>
        <v>0</v>
      </c>
      <c r="M51" s="33">
        <f>IF(L51=IF(Orders!V48,1,0),1,0)</f>
        <v>1</v>
      </c>
      <c r="N51" s="32" t="str">
        <f>IF(Orders!W48="","None",Orders!W48)</f>
        <v>None</v>
      </c>
      <c r="O51" s="35">
        <f>INT(Orders!E48)</f>
        <v>46266.0</v>
      </c>
      <c r="P51" s="33">
        <f>Orders!U48</f>
        <v>15</v>
      </c>
      <c r="Q51" s="33">
        <f>COUNTIFS(Demand!$A$2:$A$4481,B51,Demand!$B$2:$B$4481,O51,Demand!$C$2:$C$4481,P51)</f>
        <v>1</v>
      </c>
      <c r="R51" s="33">
        <f>IF(Q51=1,SUMIFS(Demand!$E$2:$E$4481,Demand!$A$2:$A$4481,B51,Demand!$B$2:$B$4481,O51,Demand!$C$2:$C$4481,P51),"")</f>
        <v>37</v>
      </c>
      <c r="S51" s="33">
        <f>INDEX(Stores!$G$2:$G$21,MATCH(B51,Stores!$A$2:$A$21,0))</f>
        <v>41</v>
      </c>
      <c r="T51" s="34">
        <f>IF(R51="","",R51/S51)</f>
        <v>0.902439024390244</v>
      </c>
      <c r="U51" s="34">
        <f>IF(E51=1,T51,"")</f>
        <v>0.902439024390244</v>
      </c>
      <c r="V51" s="34">
        <f>IF(AND(E51=1,L51=0),T51,"")</f>
        <v>0.902439024390244</v>
      </c>
      <c r="W51" s="33">
        <f>IF(U51="","",IF(U51&lt;=Breakdowns!$C$5,1,IF(U51&lt;=Breakdowns!$C$6,2,IF(U51&lt;=Breakdowns!$C$7,3,4))))</f>
        <v>2</v>
      </c>
      <c r="X51" s="33">
        <f>IF(V51="","",IF(V51&lt;=Breakdowns!$D$5,1,IF(V51&lt;=Breakdowns!$D$6,2,IF(V51&lt;=Breakdowns!$D$7,3,4))))</f>
        <v>2</v>
      </c>
      <c r="Y51" s="34">
        <f>INDEX(Stores!$F$2:$F$21,MATCH(B51,Stores!$A$2:$A$21,0))</f>
        <v>3.84</v>
      </c>
      <c r="Z51" s="33">
        <f>IF(Y51&gt;Store_Summary!$M$2,1,0)</f>
        <v>0</v>
      </c>
      <c r="AA51" s="33">
        <f>INDEX(Stores!$C$2:$C$21,MATCH(B51,Stores!$A$2:$A$21,0))</f>
        <v>426</v>
      </c>
      <c r="AB51" s="33">
        <f>IF(AA51&lt;180,1,0)</f>
        <v>0</v>
      </c>
      <c r="AC51" s="32" t="str">
        <f>IF(Orders!D48="","",INDEX(Riders!$C$2:$C$81,MATCH(Orders!D48,Riders!$A$2:$A$81,0)))</f>
        <v>EV scooter</v>
      </c>
      <c r="AD51" s="33">
        <f>IF(Orders!D48="","",INDEX(Riders!$D$2:$D$81,MATCH(Orders!D48,Riders!$A$2:$A$81,0)))</f>
        <v>18</v>
      </c>
      <c r="AE51" s="33">
        <f>IF(Orders!D48="","",IF(INDEX(Riders!$B$2:$B$81,MATCH(Orders!D48,Riders!$A$2:$A$81,0))=B51,1,0))</f>
        <v>0</v>
      </c>
      <c r="AF51" s="34">
        <f>IF(E51=1,Orders!L48,"")</f>
        <v>0.82</v>
      </c>
      <c r="AG51" s="34">
        <f>IF(E51=1,Orders!P48,"")</f>
        <v>8.7</v>
      </c>
      <c r="AH51" s="34">
        <f>IF(E51=1,Orders!Q48,"")</f>
        <v>7.6</v>
      </c>
      <c r="AI51" s="34">
        <f>IF(E51=1,Orders!M48,"")</f>
        <v>2.2</v>
      </c>
      <c r="AJ51" s="34">
        <f>IF(E51=1,Orders!N48,"")</f>
        <v>3.2</v>
      </c>
      <c r="AK51" s="34">
        <f>IF(E51=1,Orders!O48,"")</f>
        <v>2.2</v>
      </c>
      <c r="AL51" s="33">
        <f>IF(E51=1,IF(ROUND(ABS(AI51+AJ51+AK51-AH51),6)&lt;=0.1,1,0),"")</f>
        <v>1</v>
      </c>
      <c r="AM51" s="36">
        <f>IF(E51=1,AI51/AH51,"")</f>
        <v>0.289473684210526</v>
      </c>
      <c r="AN51" s="36">
        <f>IF(E51=1,AJ51/AH51,"")</f>
        <v>0.421052631578947</v>
      </c>
      <c r="AO51" s="36">
        <f>IF(E51=1,AK51/AH51,"")</f>
        <v>0.289473684210526</v>
      </c>
      <c r="AP51" s="34">
        <f>IF(E51=1,Orders!Y48,"")</f>
        <v>0.29</v>
      </c>
      <c r="AQ51" s="33">
        <f>IF(Orders!X48,1,0)</f>
        <v>0</v>
      </c>
      <c r="AR51" s="34" t="str">
        <f>IF(AND(E51=1,L51=1),AJ51,"")</f>
        <v/>
      </c>
      <c r="AS51" s="34">
        <f>IF(AND(E51=1,L51=0),AJ51,"")</f>
        <v>3.2</v>
      </c>
      <c r="AT51" s="34" t="str">
        <f>IF(AND(E51=1,L51=1),AI51,"")</f>
        <v/>
      </c>
      <c r="AU51" s="34">
        <f>IF(AND(E51=1,L51=0),AI51,"")</f>
        <v>2.2</v>
      </c>
      <c r="AV51" s="34" t="str">
        <f>IF(AND(E51=1,L51=1),AG51,"")</f>
        <v/>
      </c>
      <c r="AW51" s="34">
        <f>IF(AND(E51=1,L51=0),AG51,"")</f>
        <v>8.7</v>
      </c>
      <c r="AX51" s="34" t="str">
        <f>IF(AND(E51=1,L51=1),AH51,"")</f>
        <v/>
      </c>
      <c r="AY51" s="34">
        <f>IF(AND(E51=1,L51=0),AH51,"")</f>
        <v>7.6</v>
      </c>
      <c r="AZ51" s="34" t="str">
        <f>IF(G51=1,F51,"")</f>
        <v/>
      </c>
      <c r="BA51" s="34" t="str">
        <f>IF(AND(G51=1,L51=1),F51,"")</f>
        <v/>
      </c>
      <c r="BB51" s="34" t="str">
        <f>IF(AND(G51=1,L51=0),F51,"")</f>
        <v/>
      </c>
      <c r="BC51" s="33">
        <f>IF(E51=1,IF(Orders!R48&gt;3,1,0),"")</f>
        <v>0</v>
      </c>
      <c r="BD51" s="33">
        <f>IF(E51=1,IF(Orders!R48&gt;7,1,0),"")</f>
        <v>0</v>
      </c>
      <c r="BE51" s="32" t="str">
        <f>IF(E51=1,IF(Orders!L48&lt;=1.5,"Up to 1.5 km",IF(Orders!L48&lt;=3,"1.5–3 km","Over 3 km")),"")</f>
        <v>Up to 1.5 km</v>
      </c>
      <c r="BF51" s="33">
        <f>IF(E51=1,IF(ABS((Orders!G48-Orders!F48)*1440-Orders!R48)&lt;0.06,1,0),"")</f>
        <v>1</v>
      </c>
      <c r="BG51" s="33">
        <f>IF(ABS((Orders!F48-Orders!E48)*1440-Orders!P48)&lt;0.06,1,0)</f>
        <v>1</v>
      </c>
      <c r="BH51" s="33">
        <f>IF(E51=1,IF(IF(Orders!S48,1,0)=1-G51,1,0),"")</f>
        <v>1</v>
      </c>
      <c r="BI51" s="32" t="str">
        <f>INDEX(Stores!$B$2:$B$21,MATCH(B51,Stores!$A$2:$A$21,0))</f>
        <v>Mumbai</v>
      </c>
    </row>
    <row r="52">
      <c r="A52" s="32" t="str">
        <f>Orders!A49</f>
        <v>O00048</v>
      </c>
      <c r="B52" s="32" t="str">
        <f>Orders!C49</f>
        <v>S007</v>
      </c>
      <c r="C52" s="32" t="str">
        <f>Orders!B49</f>
        <v>C0103</v>
      </c>
      <c r="D52" s="32" t="str">
        <f>Orders!H49</f>
        <v>Delivered</v>
      </c>
      <c r="E52" s="33">
        <f>IF(Orders!H49="Delivered",1,0)</f>
        <v>1</v>
      </c>
      <c r="F52" s="34">
        <f>IF(E52=1,Orders!R49,"")</f>
        <v>4.1</v>
      </c>
      <c r="G52" s="33">
        <f>IF(E52=1,IF(Orders!R49&gt;0,1,0),"")</f>
        <v>1</v>
      </c>
      <c r="H52" s="33">
        <f>IF(E52=1,IF(Orders!R49&gt;5,1,0),"")</f>
        <v>0</v>
      </c>
      <c r="I52" s="32" t="str">
        <f>IF(E52=1,"",IF(OR(Orders!T49="Rider unavailable",Orders!T49="Item unavailable"),"Company-caused","Unresolved"))</f>
        <v/>
      </c>
      <c r="J52" s="33">
        <f>IF(OR(E52=1,I52="Company-caused"),1,0)</f>
        <v>1</v>
      </c>
      <c r="K52" s="32" t="str">
        <f>IF(E52=0,IF(I52="Company-caused",IF(Orders!T49="Rider unavailable","C1 Rider unavailable","C2 Item unavailable"),"Outside root: unresolved"),IF(G52=0,"A On time",IF(H52=1,IF(L52=1,"B2a Severe, peak","B2b Severe, off-peak"),IF(L52=1,"B1a Slight, peak","B1b Slight, off-peak"))))</f>
        <v>B1b Slight, off-peak</v>
      </c>
      <c r="L52" s="33">
        <f>IF(AND(Orders!U49&gt;=19,Orders!U49&lt;22),1,0)</f>
        <v>0</v>
      </c>
      <c r="M52" s="33">
        <f>IF(L52=IF(Orders!V49,1,0),1,0)</f>
        <v>1</v>
      </c>
      <c r="N52" s="32" t="str">
        <f>IF(Orders!W49="","None",Orders!W49)</f>
        <v>None</v>
      </c>
      <c r="O52" s="35">
        <f>INT(Orders!E49)</f>
        <v>46266.0</v>
      </c>
      <c r="P52" s="33">
        <f>Orders!U49</f>
        <v>17</v>
      </c>
      <c r="Q52" s="33">
        <f>COUNTIFS(Demand!$A$2:$A$4481,B52,Demand!$B$2:$B$4481,O52,Demand!$C$2:$C$4481,P52)</f>
        <v>1</v>
      </c>
      <c r="R52" s="33">
        <f>IF(Q52=1,SUMIFS(Demand!$E$2:$E$4481,Demand!$A$2:$A$4481,B52,Demand!$B$2:$B$4481,O52,Demand!$C$2:$C$4481,P52),"")</f>
        <v>44</v>
      </c>
      <c r="S52" s="33">
        <f>INDEX(Stores!$G$2:$G$21,MATCH(B52,Stores!$A$2:$A$21,0))</f>
        <v>37</v>
      </c>
      <c r="T52" s="34">
        <f>IF(R52="","",R52/S52)</f>
        <v>1.18918918918919</v>
      </c>
      <c r="U52" s="34">
        <f>IF(E52=1,T52,"")</f>
        <v>1.18918918918919</v>
      </c>
      <c r="V52" s="34">
        <f>IF(AND(E52=1,L52=0),T52,"")</f>
        <v>1.18918918918919</v>
      </c>
      <c r="W52" s="33">
        <f>IF(U52="","",IF(U52&lt;=Breakdowns!$C$5,1,IF(U52&lt;=Breakdowns!$C$6,2,IF(U52&lt;=Breakdowns!$C$7,3,4))))</f>
        <v>3</v>
      </c>
      <c r="X52" s="33">
        <f>IF(V52="","",IF(V52&lt;=Breakdowns!$D$5,1,IF(V52&lt;=Breakdowns!$D$6,2,IF(V52&lt;=Breakdowns!$D$7,3,4))))</f>
        <v>4</v>
      </c>
      <c r="Y52" s="34">
        <f>INDEX(Stores!$F$2:$F$21,MATCH(B52,Stores!$A$2:$A$21,0))</f>
        <v>4.05</v>
      </c>
      <c r="Z52" s="33">
        <f>IF(Y52&gt;Store_Summary!$M$2,1,0)</f>
        <v>0</v>
      </c>
      <c r="AA52" s="33">
        <f>INDEX(Stores!$C$2:$C$21,MATCH(B52,Stores!$A$2:$A$21,0))</f>
        <v>661</v>
      </c>
      <c r="AB52" s="33">
        <f>IF(AA52&lt;180,1,0)</f>
        <v>0</v>
      </c>
      <c r="AC52" s="32" t="str">
        <f>IF(Orders!D49="","",INDEX(Riders!$C$2:$C$81,MATCH(Orders!D49,Riders!$A$2:$A$81,0)))</f>
        <v>Bicycle</v>
      </c>
      <c r="AD52" s="33">
        <f>IF(Orders!D49="","",INDEX(Riders!$D$2:$D$81,MATCH(Orders!D49,Riders!$A$2:$A$81,0)))</f>
        <v>2</v>
      </c>
      <c r="AE52" s="33">
        <f>IF(Orders!D49="","",IF(INDEX(Riders!$B$2:$B$81,MATCH(Orders!D49,Riders!$A$2:$A$81,0))=B52,1,0))</f>
        <v>0</v>
      </c>
      <c r="AF52" s="34">
        <f>IF(E52=1,Orders!L49,"")</f>
        <v>2.69</v>
      </c>
      <c r="AG52" s="34">
        <f>IF(E52=1,Orders!P49,"")</f>
        <v>10.5</v>
      </c>
      <c r="AH52" s="34">
        <f>IF(E52=1,Orders!Q49,"")</f>
        <v>14.6</v>
      </c>
      <c r="AI52" s="34">
        <f>IF(E52=1,Orders!M49,"")</f>
        <v>5.5</v>
      </c>
      <c r="AJ52" s="34">
        <f>IF(E52=1,Orders!N49,"")</f>
        <v>2.7</v>
      </c>
      <c r="AK52" s="34">
        <f>IF(E52=1,Orders!O49,"")</f>
        <v>6.4</v>
      </c>
      <c r="AL52" s="33">
        <f>IF(E52=1,IF(ROUND(ABS(AI52+AJ52+AK52-AH52),6)&lt;=0.1,1,0),"")</f>
        <v>1</v>
      </c>
      <c r="AM52" s="36">
        <f>IF(E52=1,AI52/AH52,"")</f>
        <v>0.376712328767123</v>
      </c>
      <c r="AN52" s="36">
        <f>IF(E52=1,AJ52/AH52,"")</f>
        <v>0.184931506849315</v>
      </c>
      <c r="AO52" s="36">
        <f>IF(E52=1,AK52/AH52,"")</f>
        <v>0.438356164383562</v>
      </c>
      <c r="AP52" s="34">
        <f>IF(E52=1,Orders!Y49,"")</f>
        <v>0.5</v>
      </c>
      <c r="AQ52" s="33">
        <f>IF(Orders!X49,1,0)</f>
        <v>0</v>
      </c>
      <c r="AR52" s="34" t="str">
        <f>IF(AND(E52=1,L52=1),AJ52,"")</f>
        <v/>
      </c>
      <c r="AS52" s="34">
        <f>IF(AND(E52=1,L52=0),AJ52,"")</f>
        <v>2.7</v>
      </c>
      <c r="AT52" s="34" t="str">
        <f>IF(AND(E52=1,L52=1),AI52,"")</f>
        <v/>
      </c>
      <c r="AU52" s="34">
        <f>IF(AND(E52=1,L52=0),AI52,"")</f>
        <v>5.5</v>
      </c>
      <c r="AV52" s="34" t="str">
        <f>IF(AND(E52=1,L52=1),AG52,"")</f>
        <v/>
      </c>
      <c r="AW52" s="34">
        <f>IF(AND(E52=1,L52=0),AG52,"")</f>
        <v>10.5</v>
      </c>
      <c r="AX52" s="34" t="str">
        <f>IF(AND(E52=1,L52=1),AH52,"")</f>
        <v/>
      </c>
      <c r="AY52" s="34">
        <f>IF(AND(E52=1,L52=0),AH52,"")</f>
        <v>14.6</v>
      </c>
      <c r="AZ52" s="34">
        <f>IF(G52=1,F52,"")</f>
        <v>4.1</v>
      </c>
      <c r="BA52" s="34" t="str">
        <f>IF(AND(G52=1,L52=1),F52,"")</f>
        <v/>
      </c>
      <c r="BB52" s="34">
        <f>IF(AND(G52=1,L52=0),F52,"")</f>
        <v>4.1</v>
      </c>
      <c r="BC52" s="33">
        <f>IF(E52=1,IF(Orders!R49&gt;3,1,0),"")</f>
        <v>1</v>
      </c>
      <c r="BD52" s="33">
        <f>IF(E52=1,IF(Orders!R49&gt;7,1,0),"")</f>
        <v>0</v>
      </c>
      <c r="BE52" s="32" t="str">
        <f>IF(E52=1,IF(Orders!L49&lt;=1.5,"Up to 1.5 km",IF(Orders!L49&lt;=3,"1.5–3 km","Over 3 km")),"")</f>
        <v>1.5–3 km</v>
      </c>
      <c r="BF52" s="33">
        <f>IF(E52=1,IF(ABS((Orders!G49-Orders!F49)*1440-Orders!R49)&lt;0.06,1,0),"")</f>
        <v>1</v>
      </c>
      <c r="BG52" s="33">
        <f>IF(ABS((Orders!F49-Orders!E49)*1440-Orders!P49)&lt;0.06,1,0)</f>
        <v>1</v>
      </c>
      <c r="BH52" s="33">
        <f>IF(E52=1,IF(IF(Orders!S49,1,0)=1-G52,1,0),"")</f>
        <v>1</v>
      </c>
      <c r="BI52" s="32" t="str">
        <f>INDEX(Stores!$B$2:$B$21,MATCH(B52,Stores!$A$2:$A$21,0))</f>
        <v>Hyderabad</v>
      </c>
    </row>
    <row r="53">
      <c r="A53" s="32" t="str">
        <f>Orders!A50</f>
        <v>O00049</v>
      </c>
      <c r="B53" s="32" t="str">
        <f>Orders!C50</f>
        <v>S019</v>
      </c>
      <c r="C53" s="32" t="str">
        <f>Orders!B50</f>
        <v>C0210</v>
      </c>
      <c r="D53" s="32" t="str">
        <f>Orders!H50</f>
        <v>Delivered</v>
      </c>
      <c r="E53" s="33">
        <f>IF(Orders!H50="Delivered",1,0)</f>
        <v>1</v>
      </c>
      <c r="F53" s="34">
        <f>IF(E53=1,Orders!R50,"")</f>
        <v>-0.9</v>
      </c>
      <c r="G53" s="33">
        <f>IF(E53=1,IF(Orders!R50&gt;0,1,0),"")</f>
        <v>0</v>
      </c>
      <c r="H53" s="33">
        <f>IF(E53=1,IF(Orders!R50&gt;5,1,0),"")</f>
        <v>0</v>
      </c>
      <c r="I53" s="32" t="str">
        <f>IF(E53=1,"",IF(OR(Orders!T50="Rider unavailable",Orders!T50="Item unavailable"),"Company-caused","Unresolved"))</f>
        <v/>
      </c>
      <c r="J53" s="33">
        <f>IF(OR(E53=1,I53="Company-caused"),1,0)</f>
        <v>1</v>
      </c>
      <c r="K53" s="32" t="str">
        <f>IF(E53=0,IF(I53="Company-caused",IF(Orders!T50="Rider unavailable","C1 Rider unavailable","C2 Item unavailable"),"Outside root: unresolved"),IF(G53=0,"A On time",IF(H53=1,IF(L53=1,"B2a Severe, peak","B2b Severe, off-peak"),IF(L53=1,"B1a Slight, peak","B1b Slight, off-peak"))))</f>
        <v>A On time</v>
      </c>
      <c r="L53" s="33">
        <f>IF(AND(Orders!U50&gt;=19,Orders!U50&lt;22),1,0)</f>
        <v>0</v>
      </c>
      <c r="M53" s="33">
        <f>IF(L53=IF(Orders!V50,1,0),1,0)</f>
        <v>1</v>
      </c>
      <c r="N53" s="32" t="str">
        <f>IF(Orders!W50="","None",Orders!W50)</f>
        <v>Light</v>
      </c>
      <c r="O53" s="35">
        <f>INT(Orders!E50)</f>
        <v>46272.0</v>
      </c>
      <c r="P53" s="33">
        <f>Orders!U50</f>
        <v>12</v>
      </c>
      <c r="Q53" s="33">
        <f>COUNTIFS(Demand!$A$2:$A$4481,B53,Demand!$B$2:$B$4481,O53,Demand!$C$2:$C$4481,P53)</f>
        <v>1</v>
      </c>
      <c r="R53" s="33">
        <f>IF(Q53=1,SUMIFS(Demand!$E$2:$E$4481,Demand!$A$2:$A$4481,B53,Demand!$B$2:$B$4481,O53,Demand!$C$2:$C$4481,P53),"")</f>
        <v>24</v>
      </c>
      <c r="S53" s="33">
        <f>INDEX(Stores!$G$2:$G$21,MATCH(B53,Stores!$A$2:$A$21,0))</f>
        <v>22</v>
      </c>
      <c r="T53" s="34">
        <f>IF(R53="","",R53/S53)</f>
        <v>1.09090909090909</v>
      </c>
      <c r="U53" s="34">
        <f>IF(E53=1,T53,"")</f>
        <v>1.09090909090909</v>
      </c>
      <c r="V53" s="34">
        <f>IF(AND(E53=1,L53=0),T53,"")</f>
        <v>1.09090909090909</v>
      </c>
      <c r="W53" s="33">
        <f>IF(U53="","",IF(U53&lt;=Breakdowns!$C$5,1,IF(U53&lt;=Breakdowns!$C$6,2,IF(U53&lt;=Breakdowns!$C$7,3,4))))</f>
        <v>3</v>
      </c>
      <c r="X53" s="33">
        <f>IF(V53="","",IF(V53&lt;=Breakdowns!$D$5,1,IF(V53&lt;=Breakdowns!$D$6,2,IF(V53&lt;=Breakdowns!$D$7,3,4))))</f>
        <v>4</v>
      </c>
      <c r="Y53" s="34">
        <f>INDEX(Stores!$F$2:$F$21,MATCH(B53,Stores!$A$2:$A$21,0))</f>
        <v>4.99</v>
      </c>
      <c r="Z53" s="33">
        <f>IF(Y53&gt;Store_Summary!$M$2,1,0)</f>
        <v>1</v>
      </c>
      <c r="AA53" s="33">
        <f>INDEX(Stores!$C$2:$C$21,MATCH(B53,Stores!$A$2:$A$21,0))</f>
        <v>851</v>
      </c>
      <c r="AB53" s="33">
        <f>IF(AA53&lt;180,1,0)</f>
        <v>0</v>
      </c>
      <c r="AC53" s="32" t="str">
        <f>IF(Orders!D50="","",INDEX(Riders!$C$2:$C$81,MATCH(Orders!D50,Riders!$A$2:$A$81,0)))</f>
        <v>Petrol scooter</v>
      </c>
      <c r="AD53" s="33">
        <f>IF(Orders!D50="","",INDEX(Riders!$D$2:$D$81,MATCH(Orders!D50,Riders!$A$2:$A$81,0)))</f>
        <v>10</v>
      </c>
      <c r="AE53" s="33">
        <f>IF(Orders!D50="","",IF(INDEX(Riders!$B$2:$B$81,MATCH(Orders!D50,Riders!$A$2:$A$81,0))=B53,1,0))</f>
        <v>0</v>
      </c>
      <c r="AF53" s="34">
        <f>IF(E53=1,Orders!L50,"")</f>
        <v>0.91</v>
      </c>
      <c r="AG53" s="34">
        <f>IF(E53=1,Orders!P50,"")</f>
        <v>10.9</v>
      </c>
      <c r="AH53" s="34">
        <f>IF(E53=1,Orders!Q50,"")</f>
        <v>10</v>
      </c>
      <c r="AI53" s="34">
        <f>IF(E53=1,Orders!M50,"")</f>
        <v>3.4</v>
      </c>
      <c r="AJ53" s="34">
        <f>IF(E53=1,Orders!N50,"")</f>
        <v>3.5</v>
      </c>
      <c r="AK53" s="34">
        <f>IF(E53=1,Orders!O50,"")</f>
        <v>3.1</v>
      </c>
      <c r="AL53" s="33">
        <f>IF(E53=1,IF(ROUND(ABS(AI53+AJ53+AK53-AH53),6)&lt;=0.1,1,0),"")</f>
        <v>1</v>
      </c>
      <c r="AM53" s="36">
        <f>IF(E53=1,AI53/AH53,"")</f>
        <v>0.34</v>
      </c>
      <c r="AN53" s="36">
        <f>IF(E53=1,AJ53/AH53,"")</f>
        <v>0.35</v>
      </c>
      <c r="AO53" s="36">
        <f>IF(E53=1,AK53/AH53,"")</f>
        <v>0.31</v>
      </c>
      <c r="AP53" s="34">
        <f>IF(E53=1,Orders!Y50,"")</f>
        <v>0.43</v>
      </c>
      <c r="AQ53" s="33">
        <f>IF(Orders!X50,1,0)</f>
        <v>0</v>
      </c>
      <c r="AR53" s="34" t="str">
        <f>IF(AND(E53=1,L53=1),AJ53,"")</f>
        <v/>
      </c>
      <c r="AS53" s="34">
        <f>IF(AND(E53=1,L53=0),AJ53,"")</f>
        <v>3.5</v>
      </c>
      <c r="AT53" s="34" t="str">
        <f>IF(AND(E53=1,L53=1),AI53,"")</f>
        <v/>
      </c>
      <c r="AU53" s="34">
        <f>IF(AND(E53=1,L53=0),AI53,"")</f>
        <v>3.4</v>
      </c>
      <c r="AV53" s="34" t="str">
        <f>IF(AND(E53=1,L53=1),AG53,"")</f>
        <v/>
      </c>
      <c r="AW53" s="34">
        <f>IF(AND(E53=1,L53=0),AG53,"")</f>
        <v>10.9</v>
      </c>
      <c r="AX53" s="34" t="str">
        <f>IF(AND(E53=1,L53=1),AH53,"")</f>
        <v/>
      </c>
      <c r="AY53" s="34">
        <f>IF(AND(E53=1,L53=0),AH53,"")</f>
        <v>10</v>
      </c>
      <c r="AZ53" s="34" t="str">
        <f>IF(G53=1,F53,"")</f>
        <v/>
      </c>
      <c r="BA53" s="34" t="str">
        <f>IF(AND(G53=1,L53=1),F53,"")</f>
        <v/>
      </c>
      <c r="BB53" s="34" t="str">
        <f>IF(AND(G53=1,L53=0),F53,"")</f>
        <v/>
      </c>
      <c r="BC53" s="33">
        <f>IF(E53=1,IF(Orders!R50&gt;3,1,0),"")</f>
        <v>0</v>
      </c>
      <c r="BD53" s="33">
        <f>IF(E53=1,IF(Orders!R50&gt;7,1,0),"")</f>
        <v>0</v>
      </c>
      <c r="BE53" s="32" t="str">
        <f>IF(E53=1,IF(Orders!L50&lt;=1.5,"Up to 1.5 km",IF(Orders!L50&lt;=3,"1.5–3 km","Over 3 km")),"")</f>
        <v>Up to 1.5 km</v>
      </c>
      <c r="BF53" s="33">
        <f>IF(E53=1,IF(ABS((Orders!G50-Orders!F50)*1440-Orders!R50)&lt;0.06,1,0),"")</f>
        <v>1</v>
      </c>
      <c r="BG53" s="33">
        <f>IF(ABS((Orders!F50-Orders!E50)*1440-Orders!P50)&lt;0.06,1,0)</f>
        <v>1</v>
      </c>
      <c r="BH53" s="33">
        <f>IF(E53=1,IF(IF(Orders!S50,1,0)=1-G53,1,0),"")</f>
        <v>1</v>
      </c>
      <c r="BI53" s="32" t="str">
        <f>INDEX(Stores!$B$2:$B$21,MATCH(B53,Stores!$A$2:$A$21,0))</f>
        <v>Pune</v>
      </c>
    </row>
    <row r="54">
      <c r="A54" s="32" t="str">
        <f>Orders!A51</f>
        <v>O00050</v>
      </c>
      <c r="B54" s="32" t="str">
        <f>Orders!C51</f>
        <v>S007</v>
      </c>
      <c r="C54" s="32" t="str">
        <f>Orders!B51</f>
        <v>C0146</v>
      </c>
      <c r="D54" s="32" t="str">
        <f>Orders!H51</f>
        <v>Delivered</v>
      </c>
      <c r="E54" s="33">
        <f>IF(Orders!H51="Delivered",1,0)</f>
        <v>1</v>
      </c>
      <c r="F54" s="34">
        <f>IF(E54=1,Orders!R51,"")</f>
        <v>-1</v>
      </c>
      <c r="G54" s="33">
        <f>IF(E54=1,IF(Orders!R51&gt;0,1,0),"")</f>
        <v>0</v>
      </c>
      <c r="H54" s="33">
        <f>IF(E54=1,IF(Orders!R51&gt;5,1,0),"")</f>
        <v>0</v>
      </c>
      <c r="I54" s="32" t="str">
        <f>IF(E54=1,"",IF(OR(Orders!T51="Rider unavailable",Orders!T51="Item unavailable"),"Company-caused","Unresolved"))</f>
        <v/>
      </c>
      <c r="J54" s="33">
        <f>IF(OR(E54=1,I54="Company-caused"),1,0)</f>
        <v>1</v>
      </c>
      <c r="K54" s="32" t="str">
        <f>IF(E54=0,IF(I54="Company-caused",IF(Orders!T51="Rider unavailable","C1 Rider unavailable","C2 Item unavailable"),"Outside root: unresolved"),IF(G54=0,"A On time",IF(H54=1,IF(L54=1,"B2a Severe, peak","B2b Severe, off-peak"),IF(L54=1,"B1a Slight, peak","B1b Slight, off-peak"))))</f>
        <v>A On time</v>
      </c>
      <c r="L54" s="33">
        <f>IF(AND(Orders!U51&gt;=19,Orders!U51&lt;22),1,0)</f>
        <v>0</v>
      </c>
      <c r="M54" s="33">
        <f>IF(L54=IF(Orders!V51,1,0),1,0)</f>
        <v>1</v>
      </c>
      <c r="N54" s="32" t="str">
        <f>IF(Orders!W51="","None",Orders!W51)</f>
        <v>None</v>
      </c>
      <c r="O54" s="35">
        <f>INT(Orders!E51)</f>
        <v>46266.0</v>
      </c>
      <c r="P54" s="33">
        <f>Orders!U51</f>
        <v>11</v>
      </c>
      <c r="Q54" s="33">
        <f>COUNTIFS(Demand!$A$2:$A$4481,B54,Demand!$B$2:$B$4481,O54,Demand!$C$2:$C$4481,P54)</f>
        <v>1</v>
      </c>
      <c r="R54" s="33">
        <f>IF(Q54=1,SUMIFS(Demand!$E$2:$E$4481,Demand!$A$2:$A$4481,B54,Demand!$B$2:$B$4481,O54,Demand!$C$2:$C$4481,P54),"")</f>
        <v>24</v>
      </c>
      <c r="S54" s="33">
        <f>INDEX(Stores!$G$2:$G$21,MATCH(B54,Stores!$A$2:$A$21,0))</f>
        <v>37</v>
      </c>
      <c r="T54" s="34">
        <f>IF(R54="","",R54/S54)</f>
        <v>0.648648648648649</v>
      </c>
      <c r="U54" s="34">
        <f>IF(E54=1,T54,"")</f>
        <v>0.648648648648649</v>
      </c>
      <c r="V54" s="34">
        <f>IF(AND(E54=1,L54=0),T54,"")</f>
        <v>0.648648648648649</v>
      </c>
      <c r="W54" s="33">
        <f>IF(U54="","",IF(U54&lt;=Breakdowns!$C$5,1,IF(U54&lt;=Breakdowns!$C$6,2,IF(U54&lt;=Breakdowns!$C$7,3,4))))</f>
        <v>1</v>
      </c>
      <c r="X54" s="33">
        <f>IF(V54="","",IF(V54&lt;=Breakdowns!$D$5,1,IF(V54&lt;=Breakdowns!$D$6,2,IF(V54&lt;=Breakdowns!$D$7,3,4))))</f>
        <v>1</v>
      </c>
      <c r="Y54" s="34">
        <f>INDEX(Stores!$F$2:$F$21,MATCH(B54,Stores!$A$2:$A$21,0))</f>
        <v>4.05</v>
      </c>
      <c r="Z54" s="33">
        <f>IF(Y54&gt;Store_Summary!$M$2,1,0)</f>
        <v>0</v>
      </c>
      <c r="AA54" s="33">
        <f>INDEX(Stores!$C$2:$C$21,MATCH(B54,Stores!$A$2:$A$21,0))</f>
        <v>661</v>
      </c>
      <c r="AB54" s="33">
        <f>IF(AA54&lt;180,1,0)</f>
        <v>0</v>
      </c>
      <c r="AC54" s="32" t="str">
        <f>IF(Orders!D51="","",INDEX(Riders!$C$2:$C$81,MATCH(Orders!D51,Riders!$A$2:$A$81,0)))</f>
        <v>Petrol scooter</v>
      </c>
      <c r="AD54" s="33">
        <f>IF(Orders!D51="","",INDEX(Riders!$D$2:$D$81,MATCH(Orders!D51,Riders!$A$2:$A$81,0)))</f>
        <v>29</v>
      </c>
      <c r="AE54" s="33">
        <f>IF(Orders!D51="","",IF(INDEX(Riders!$B$2:$B$81,MATCH(Orders!D51,Riders!$A$2:$A$81,0))=B54,1,0))</f>
        <v>0</v>
      </c>
      <c r="AF54" s="34">
        <f>IF(E54=1,Orders!L51,"")</f>
        <v>0.5</v>
      </c>
      <c r="AG54" s="34">
        <f>IF(E54=1,Orders!P51,"")</f>
        <v>8.3</v>
      </c>
      <c r="AH54" s="34">
        <f>IF(E54=1,Orders!Q51,"")</f>
        <v>7.3</v>
      </c>
      <c r="AI54" s="34">
        <f>IF(E54=1,Orders!M51,"")</f>
        <v>3.4</v>
      </c>
      <c r="AJ54" s="34">
        <f>IF(E54=1,Orders!N51,"")</f>
        <v>2</v>
      </c>
      <c r="AK54" s="34">
        <f>IF(E54=1,Orders!O51,"")</f>
        <v>1.9</v>
      </c>
      <c r="AL54" s="33">
        <f>IF(E54=1,IF(ROUND(ABS(AI54+AJ54+AK54-AH54),6)&lt;=0.1,1,0),"")</f>
        <v>1</v>
      </c>
      <c r="AM54" s="36">
        <f>IF(E54=1,AI54/AH54,"")</f>
        <v>0.465753424657534</v>
      </c>
      <c r="AN54" s="36">
        <f>IF(E54=1,AJ54/AH54,"")</f>
        <v>0.273972602739726</v>
      </c>
      <c r="AO54" s="36">
        <f>IF(E54=1,AK54/AH54,"")</f>
        <v>0.26027397260274</v>
      </c>
      <c r="AP54" s="34">
        <f>IF(E54=1,Orders!Y51,"")</f>
        <v>0.5</v>
      </c>
      <c r="AQ54" s="33">
        <f>IF(Orders!X51,1,0)</f>
        <v>0</v>
      </c>
      <c r="AR54" s="34" t="str">
        <f>IF(AND(E54=1,L54=1),AJ54,"")</f>
        <v/>
      </c>
      <c r="AS54" s="34">
        <f>IF(AND(E54=1,L54=0),AJ54,"")</f>
        <v>2</v>
      </c>
      <c r="AT54" s="34" t="str">
        <f>IF(AND(E54=1,L54=1),AI54,"")</f>
        <v/>
      </c>
      <c r="AU54" s="34">
        <f>IF(AND(E54=1,L54=0),AI54,"")</f>
        <v>3.4</v>
      </c>
      <c r="AV54" s="34" t="str">
        <f>IF(AND(E54=1,L54=1),AG54,"")</f>
        <v/>
      </c>
      <c r="AW54" s="34">
        <f>IF(AND(E54=1,L54=0),AG54,"")</f>
        <v>8.3</v>
      </c>
      <c r="AX54" s="34" t="str">
        <f>IF(AND(E54=1,L54=1),AH54,"")</f>
        <v/>
      </c>
      <c r="AY54" s="34">
        <f>IF(AND(E54=1,L54=0),AH54,"")</f>
        <v>7.3</v>
      </c>
      <c r="AZ54" s="34" t="str">
        <f>IF(G54=1,F54,"")</f>
        <v/>
      </c>
      <c r="BA54" s="34" t="str">
        <f>IF(AND(G54=1,L54=1),F54,"")</f>
        <v/>
      </c>
      <c r="BB54" s="34" t="str">
        <f>IF(AND(G54=1,L54=0),F54,"")</f>
        <v/>
      </c>
      <c r="BC54" s="33">
        <f>IF(E54=1,IF(Orders!R51&gt;3,1,0),"")</f>
        <v>0</v>
      </c>
      <c r="BD54" s="33">
        <f>IF(E54=1,IF(Orders!R51&gt;7,1,0),"")</f>
        <v>0</v>
      </c>
      <c r="BE54" s="32" t="str">
        <f>IF(E54=1,IF(Orders!L51&lt;=1.5,"Up to 1.5 km",IF(Orders!L51&lt;=3,"1.5–3 km","Over 3 km")),"")</f>
        <v>Up to 1.5 km</v>
      </c>
      <c r="BF54" s="33">
        <f>IF(E54=1,IF(ABS((Orders!G51-Orders!F51)*1440-Orders!R51)&lt;0.06,1,0),"")</f>
        <v>1</v>
      </c>
      <c r="BG54" s="33">
        <f>IF(ABS((Orders!F51-Orders!E51)*1440-Orders!P51)&lt;0.06,1,0)</f>
        <v>1</v>
      </c>
      <c r="BH54" s="33">
        <f>IF(E54=1,IF(IF(Orders!S51,1,0)=1-G54,1,0),"")</f>
        <v>1</v>
      </c>
      <c r="BI54" s="32" t="str">
        <f>INDEX(Stores!$B$2:$B$21,MATCH(B54,Stores!$A$2:$A$21,0))</f>
        <v>Hyderabad</v>
      </c>
    </row>
    <row r="55">
      <c r="A55" s="32" t="str">
        <f>Orders!A52</f>
        <v>O00051</v>
      </c>
      <c r="B55" s="32" t="str">
        <f>Orders!C52</f>
        <v>S004</v>
      </c>
      <c r="C55" s="32" t="str">
        <f>Orders!B52</f>
        <v>C0171</v>
      </c>
      <c r="D55" s="32" t="str">
        <f>Orders!H52</f>
        <v>Delivered</v>
      </c>
      <c r="E55" s="33">
        <f>IF(Orders!H52="Delivered",1,0)</f>
        <v>1</v>
      </c>
      <c r="F55" s="34">
        <f>IF(E55=1,Orders!R52,"")</f>
        <v>-1.1</v>
      </c>
      <c r="G55" s="33">
        <f>IF(E55=1,IF(Orders!R52&gt;0,1,0),"")</f>
        <v>0</v>
      </c>
      <c r="H55" s="33">
        <f>IF(E55=1,IF(Orders!R52&gt;5,1,0),"")</f>
        <v>0</v>
      </c>
      <c r="I55" s="32" t="str">
        <f>IF(E55=1,"",IF(OR(Orders!T52="Rider unavailable",Orders!T52="Item unavailable"),"Company-caused","Unresolved"))</f>
        <v/>
      </c>
      <c r="J55" s="33">
        <f>IF(OR(E55=1,I55="Company-caused"),1,0)</f>
        <v>1</v>
      </c>
      <c r="K55" s="32" t="str">
        <f>IF(E55=0,IF(I55="Company-caused",IF(Orders!T52="Rider unavailable","C1 Rider unavailable","C2 Item unavailable"),"Outside root: unresolved"),IF(G55=0,"A On time",IF(H55=1,IF(L55=1,"B2a Severe, peak","B2b Severe, off-peak"),IF(L55=1,"B1a Slight, peak","B1b Slight, off-peak"))))</f>
        <v>A On time</v>
      </c>
      <c r="L55" s="33">
        <f>IF(AND(Orders!U52&gt;=19,Orders!U52&lt;22),1,0)</f>
        <v>0</v>
      </c>
      <c r="M55" s="33">
        <f>IF(L55=IF(Orders!V52,1,0),1,0)</f>
        <v>1</v>
      </c>
      <c r="N55" s="32" t="str">
        <f>IF(Orders!W52="","None",Orders!W52)</f>
        <v>None</v>
      </c>
      <c r="O55" s="35">
        <f>INT(Orders!E52)</f>
        <v>46268.0</v>
      </c>
      <c r="P55" s="33">
        <f>Orders!U52</f>
        <v>14</v>
      </c>
      <c r="Q55" s="33">
        <f>COUNTIFS(Demand!$A$2:$A$4481,B55,Demand!$B$2:$B$4481,O55,Demand!$C$2:$C$4481,P55)</f>
        <v>1</v>
      </c>
      <c r="R55" s="33">
        <f>IF(Q55=1,SUMIFS(Demand!$E$2:$E$4481,Demand!$A$2:$A$4481,B55,Demand!$B$2:$B$4481,O55,Demand!$C$2:$C$4481,P55),"")</f>
        <v>34</v>
      </c>
      <c r="S55" s="33">
        <f>INDEX(Stores!$G$2:$G$21,MATCH(B55,Stores!$A$2:$A$21,0))</f>
        <v>42</v>
      </c>
      <c r="T55" s="34">
        <f>IF(R55="","",R55/S55)</f>
        <v>0.80952380952381</v>
      </c>
      <c r="U55" s="34">
        <f>IF(E55=1,T55,"")</f>
        <v>0.80952380952381</v>
      </c>
      <c r="V55" s="34">
        <f>IF(AND(E55=1,L55=0),T55,"")</f>
        <v>0.80952380952381</v>
      </c>
      <c r="W55" s="33">
        <f>IF(U55="","",IF(U55&lt;=Breakdowns!$C$5,1,IF(U55&lt;=Breakdowns!$C$6,2,IF(U55&lt;=Breakdowns!$C$7,3,4))))</f>
        <v>2</v>
      </c>
      <c r="X55" s="33">
        <f>IF(V55="","",IF(V55&lt;=Breakdowns!$D$5,1,IF(V55&lt;=Breakdowns!$D$6,2,IF(V55&lt;=Breakdowns!$D$7,3,4))))</f>
        <v>2</v>
      </c>
      <c r="Y55" s="34">
        <f>INDEX(Stores!$F$2:$F$21,MATCH(B55,Stores!$A$2:$A$21,0))</f>
        <v>2.19</v>
      </c>
      <c r="Z55" s="33">
        <f>IF(Y55&gt;Store_Summary!$M$2,1,0)</f>
        <v>0</v>
      </c>
      <c r="AA55" s="33">
        <f>INDEX(Stores!$C$2:$C$21,MATCH(B55,Stores!$A$2:$A$21,0))</f>
        <v>850</v>
      </c>
      <c r="AB55" s="33">
        <f>IF(AA55&lt;180,1,0)</f>
        <v>0</v>
      </c>
      <c r="AC55" s="32" t="str">
        <f>IF(Orders!D52="","",INDEX(Riders!$C$2:$C$81,MATCH(Orders!D52,Riders!$A$2:$A$81,0)))</f>
        <v>Petrol scooter</v>
      </c>
      <c r="AD55" s="33">
        <f>IF(Orders!D52="","",INDEX(Riders!$D$2:$D$81,MATCH(Orders!D52,Riders!$A$2:$A$81,0)))</f>
        <v>29</v>
      </c>
      <c r="AE55" s="33">
        <f>IF(Orders!D52="","",IF(INDEX(Riders!$B$2:$B$81,MATCH(Orders!D52,Riders!$A$2:$A$81,0))=B55,1,0))</f>
        <v>0</v>
      </c>
      <c r="AF55" s="34">
        <f>IF(E55=1,Orders!L52,"")</f>
        <v>0.5</v>
      </c>
      <c r="AG55" s="34">
        <f>IF(E55=1,Orders!P52,"")</f>
        <v>10.4</v>
      </c>
      <c r="AH55" s="34">
        <f>IF(E55=1,Orders!Q52,"")</f>
        <v>9.3</v>
      </c>
      <c r="AI55" s="34">
        <f>IF(E55=1,Orders!M52,"")</f>
        <v>3.2</v>
      </c>
      <c r="AJ55" s="34">
        <f>IF(E55=1,Orders!N52,"")</f>
        <v>4.7</v>
      </c>
      <c r="AK55" s="34">
        <f>IF(E55=1,Orders!O52,"")</f>
        <v>1.4</v>
      </c>
      <c r="AL55" s="33">
        <f>IF(E55=1,IF(ROUND(ABS(AI55+AJ55+AK55-AH55),6)&lt;=0.1,1,0),"")</f>
        <v>1</v>
      </c>
      <c r="AM55" s="36">
        <f>IF(E55=1,AI55/AH55,"")</f>
        <v>0.344086021505376</v>
      </c>
      <c r="AN55" s="36">
        <f>IF(E55=1,AJ55/AH55,"")</f>
        <v>0.505376344086022</v>
      </c>
      <c r="AO55" s="36">
        <f>IF(E55=1,AK55/AH55,"")</f>
        <v>0.150537634408602</v>
      </c>
      <c r="AP55" s="34">
        <f>IF(E55=1,Orders!Y52,"")</f>
        <v>0.14</v>
      </c>
      <c r="AQ55" s="33">
        <f>IF(Orders!X52,1,0)</f>
        <v>0</v>
      </c>
      <c r="AR55" s="34" t="str">
        <f>IF(AND(E55=1,L55=1),AJ55,"")</f>
        <v/>
      </c>
      <c r="AS55" s="34">
        <f>IF(AND(E55=1,L55=0),AJ55,"")</f>
        <v>4.7</v>
      </c>
      <c r="AT55" s="34" t="str">
        <f>IF(AND(E55=1,L55=1),AI55,"")</f>
        <v/>
      </c>
      <c r="AU55" s="34">
        <f>IF(AND(E55=1,L55=0),AI55,"")</f>
        <v>3.2</v>
      </c>
      <c r="AV55" s="34" t="str">
        <f>IF(AND(E55=1,L55=1),AG55,"")</f>
        <v/>
      </c>
      <c r="AW55" s="34">
        <f>IF(AND(E55=1,L55=0),AG55,"")</f>
        <v>10.4</v>
      </c>
      <c r="AX55" s="34" t="str">
        <f>IF(AND(E55=1,L55=1),AH55,"")</f>
        <v/>
      </c>
      <c r="AY55" s="34">
        <f>IF(AND(E55=1,L55=0),AH55,"")</f>
        <v>9.3</v>
      </c>
      <c r="AZ55" s="34" t="str">
        <f>IF(G55=1,F55,"")</f>
        <v/>
      </c>
      <c r="BA55" s="34" t="str">
        <f>IF(AND(G55=1,L55=1),F55,"")</f>
        <v/>
      </c>
      <c r="BB55" s="34" t="str">
        <f>IF(AND(G55=1,L55=0),F55,"")</f>
        <v/>
      </c>
      <c r="BC55" s="33">
        <f>IF(E55=1,IF(Orders!R52&gt;3,1,0),"")</f>
        <v>0</v>
      </c>
      <c r="BD55" s="33">
        <f>IF(E55=1,IF(Orders!R52&gt;7,1,0),"")</f>
        <v>0</v>
      </c>
      <c r="BE55" s="32" t="str">
        <f>IF(E55=1,IF(Orders!L52&lt;=1.5,"Up to 1.5 km",IF(Orders!L52&lt;=3,"1.5–3 km","Over 3 km")),"")</f>
        <v>Up to 1.5 km</v>
      </c>
      <c r="BF55" s="33">
        <f>IF(E55=1,IF(ABS((Orders!G52-Orders!F52)*1440-Orders!R52)&lt;0.06,1,0),"")</f>
        <v>1</v>
      </c>
      <c r="BG55" s="33">
        <f>IF(ABS((Orders!F52-Orders!E52)*1440-Orders!P52)&lt;0.06,1,0)</f>
        <v>1</v>
      </c>
      <c r="BH55" s="33">
        <f>IF(E55=1,IF(IF(Orders!S52,1,0)=1-G55,1,0),"")</f>
        <v>1</v>
      </c>
      <c r="BI55" s="32" t="str">
        <f>INDEX(Stores!$B$2:$B$21,MATCH(B55,Stores!$A$2:$A$21,0))</f>
        <v>Pune</v>
      </c>
    </row>
    <row r="56">
      <c r="A56" s="32" t="str">
        <f>Orders!A53</f>
        <v>O00052</v>
      </c>
      <c r="B56" s="32" t="str">
        <f>Orders!C53</f>
        <v>S013</v>
      </c>
      <c r="C56" s="32" t="str">
        <f>Orders!B53</f>
        <v>C0190</v>
      </c>
      <c r="D56" s="32" t="str">
        <f>Orders!H53</f>
        <v>Delivered</v>
      </c>
      <c r="E56" s="33">
        <f>IF(Orders!H53="Delivered",1,0)</f>
        <v>1</v>
      </c>
      <c r="F56" s="34">
        <f>IF(E56=1,Orders!R53,"")</f>
        <v>-0.8</v>
      </c>
      <c r="G56" s="33">
        <f>IF(E56=1,IF(Orders!R53&gt;0,1,0),"")</f>
        <v>0</v>
      </c>
      <c r="H56" s="33">
        <f>IF(E56=1,IF(Orders!R53&gt;5,1,0),"")</f>
        <v>0</v>
      </c>
      <c r="I56" s="32" t="str">
        <f>IF(E56=1,"",IF(OR(Orders!T53="Rider unavailable",Orders!T53="Item unavailable"),"Company-caused","Unresolved"))</f>
        <v/>
      </c>
      <c r="J56" s="33">
        <f>IF(OR(E56=1,I56="Company-caused"),1,0)</f>
        <v>1</v>
      </c>
      <c r="K56" s="32" t="str">
        <f>IF(E56=0,IF(I56="Company-caused",IF(Orders!T53="Rider unavailable","C1 Rider unavailable","C2 Item unavailable"),"Outside root: unresolved"),IF(G56=0,"A On time",IF(H56=1,IF(L56=1,"B2a Severe, peak","B2b Severe, off-peak"),IF(L56=1,"B1a Slight, peak","B1b Slight, off-peak"))))</f>
        <v>A On time</v>
      </c>
      <c r="L56" s="33">
        <f>IF(AND(Orders!U53&gt;=19,Orders!U53&lt;22),1,0)</f>
        <v>0</v>
      </c>
      <c r="M56" s="33">
        <f>IF(L56=IF(Orders!V53,1,0),1,0)</f>
        <v>1</v>
      </c>
      <c r="N56" s="32" t="str">
        <f>IF(Orders!W53="","None",Orders!W53)</f>
        <v>None</v>
      </c>
      <c r="O56" s="35">
        <f>INT(Orders!E53)</f>
        <v>46267.0</v>
      </c>
      <c r="P56" s="33">
        <f>Orders!U53</f>
        <v>14</v>
      </c>
      <c r="Q56" s="33">
        <f>COUNTIFS(Demand!$A$2:$A$4481,B56,Demand!$B$2:$B$4481,O56,Demand!$C$2:$C$4481,P56)</f>
        <v>1</v>
      </c>
      <c r="R56" s="33">
        <f>IF(Q56=1,SUMIFS(Demand!$E$2:$E$4481,Demand!$A$2:$A$4481,B56,Demand!$B$2:$B$4481,O56,Demand!$C$2:$C$4481,P56),"")</f>
        <v>39</v>
      </c>
      <c r="S56" s="33">
        <f>INDEX(Stores!$G$2:$G$21,MATCH(B56,Stores!$A$2:$A$21,0))</f>
        <v>49</v>
      </c>
      <c r="T56" s="34">
        <f>IF(R56="","",R56/S56)</f>
        <v>0.795918367346939</v>
      </c>
      <c r="U56" s="34">
        <f>IF(E56=1,T56,"")</f>
        <v>0.795918367346939</v>
      </c>
      <c r="V56" s="34">
        <f>IF(AND(E56=1,L56=0),T56,"")</f>
        <v>0.795918367346939</v>
      </c>
      <c r="W56" s="33">
        <f>IF(U56="","",IF(U56&lt;=Breakdowns!$C$5,1,IF(U56&lt;=Breakdowns!$C$6,2,IF(U56&lt;=Breakdowns!$C$7,3,4))))</f>
        <v>2</v>
      </c>
      <c r="X56" s="33">
        <f>IF(V56="","",IF(V56&lt;=Breakdowns!$D$5,1,IF(V56&lt;=Breakdowns!$D$6,2,IF(V56&lt;=Breakdowns!$D$7,3,4))))</f>
        <v>2</v>
      </c>
      <c r="Y56" s="34">
        <f>INDEX(Stores!$F$2:$F$21,MATCH(B56,Stores!$A$2:$A$21,0))</f>
        <v>5.82</v>
      </c>
      <c r="Z56" s="33">
        <f>IF(Y56&gt;Store_Summary!$M$2,1,0)</f>
        <v>1</v>
      </c>
      <c r="AA56" s="33">
        <f>INDEX(Stores!$C$2:$C$21,MATCH(B56,Stores!$A$2:$A$21,0))</f>
        <v>705</v>
      </c>
      <c r="AB56" s="33">
        <f>IF(AA56&lt;180,1,0)</f>
        <v>0</v>
      </c>
      <c r="AC56" s="32" t="str">
        <f>IF(Orders!D53="","",INDEX(Riders!$C$2:$C$81,MATCH(Orders!D53,Riders!$A$2:$A$81,0)))</f>
        <v>EV scooter</v>
      </c>
      <c r="AD56" s="33">
        <f>IF(Orders!D53="","",INDEX(Riders!$D$2:$D$81,MATCH(Orders!D53,Riders!$A$2:$A$81,0)))</f>
        <v>36</v>
      </c>
      <c r="AE56" s="33">
        <f>IF(Orders!D53="","",IF(INDEX(Riders!$B$2:$B$81,MATCH(Orders!D53,Riders!$A$2:$A$81,0))=B56,1,0))</f>
        <v>0</v>
      </c>
      <c r="AF56" s="34">
        <f>IF(E56=1,Orders!L53,"")</f>
        <v>2.08</v>
      </c>
      <c r="AG56" s="34">
        <f>IF(E56=1,Orders!P53,"")</f>
        <v>11.6</v>
      </c>
      <c r="AH56" s="34">
        <f>IF(E56=1,Orders!Q53,"")</f>
        <v>10.8</v>
      </c>
      <c r="AI56" s="34">
        <f>IF(E56=1,Orders!M53,"")</f>
        <v>5.4</v>
      </c>
      <c r="AJ56" s="34">
        <f>IF(E56=1,Orders!N53,"")</f>
        <v>1.3</v>
      </c>
      <c r="AK56" s="34">
        <f>IF(E56=1,Orders!O53,"")</f>
        <v>4.1</v>
      </c>
      <c r="AL56" s="33">
        <f>IF(E56=1,IF(ROUND(ABS(AI56+AJ56+AK56-AH56),6)&lt;=0.1,1,0),"")</f>
        <v>1</v>
      </c>
      <c r="AM56" s="36">
        <f>IF(E56=1,AI56/AH56,"")</f>
        <v>0.5</v>
      </c>
      <c r="AN56" s="36">
        <f>IF(E56=1,AJ56/AH56,"")</f>
        <v>0.12037037037037</v>
      </c>
      <c r="AO56" s="36">
        <f>IF(E56=1,AK56/AH56,"")</f>
        <v>0.37962962962963</v>
      </c>
      <c r="AP56" s="34">
        <f>IF(E56=1,Orders!Y53,"")</f>
        <v>0.27</v>
      </c>
      <c r="AQ56" s="33">
        <f>IF(Orders!X53,1,0)</f>
        <v>0</v>
      </c>
      <c r="AR56" s="34" t="str">
        <f>IF(AND(E56=1,L56=1),AJ56,"")</f>
        <v/>
      </c>
      <c r="AS56" s="34">
        <f>IF(AND(E56=1,L56=0),AJ56,"")</f>
        <v>1.3</v>
      </c>
      <c r="AT56" s="34" t="str">
        <f>IF(AND(E56=1,L56=1),AI56,"")</f>
        <v/>
      </c>
      <c r="AU56" s="34">
        <f>IF(AND(E56=1,L56=0),AI56,"")</f>
        <v>5.4</v>
      </c>
      <c r="AV56" s="34" t="str">
        <f>IF(AND(E56=1,L56=1),AG56,"")</f>
        <v/>
      </c>
      <c r="AW56" s="34">
        <f>IF(AND(E56=1,L56=0),AG56,"")</f>
        <v>11.6</v>
      </c>
      <c r="AX56" s="34" t="str">
        <f>IF(AND(E56=1,L56=1),AH56,"")</f>
        <v/>
      </c>
      <c r="AY56" s="34">
        <f>IF(AND(E56=1,L56=0),AH56,"")</f>
        <v>10.8</v>
      </c>
      <c r="AZ56" s="34" t="str">
        <f>IF(G56=1,F56,"")</f>
        <v/>
      </c>
      <c r="BA56" s="34" t="str">
        <f>IF(AND(G56=1,L56=1),F56,"")</f>
        <v/>
      </c>
      <c r="BB56" s="34" t="str">
        <f>IF(AND(G56=1,L56=0),F56,"")</f>
        <v/>
      </c>
      <c r="BC56" s="33">
        <f>IF(E56=1,IF(Orders!R53&gt;3,1,0),"")</f>
        <v>0</v>
      </c>
      <c r="BD56" s="33">
        <f>IF(E56=1,IF(Orders!R53&gt;7,1,0),"")</f>
        <v>0</v>
      </c>
      <c r="BE56" s="32" t="str">
        <f>IF(E56=1,IF(Orders!L53&lt;=1.5,"Up to 1.5 km",IF(Orders!L53&lt;=3,"1.5–3 km","Over 3 km")),"")</f>
        <v>1.5–3 km</v>
      </c>
      <c r="BF56" s="33">
        <f>IF(E56=1,IF(ABS((Orders!G53-Orders!F53)*1440-Orders!R53)&lt;0.06,1,0),"")</f>
        <v>1</v>
      </c>
      <c r="BG56" s="33">
        <f>IF(ABS((Orders!F53-Orders!E53)*1440-Orders!P53)&lt;0.06,1,0)</f>
        <v>1</v>
      </c>
      <c r="BH56" s="33">
        <f>IF(E56=1,IF(IF(Orders!S53,1,0)=1-G56,1,0),"")</f>
        <v>1</v>
      </c>
      <c r="BI56" s="32" t="str">
        <f>INDEX(Stores!$B$2:$B$21,MATCH(B56,Stores!$A$2:$A$21,0))</f>
        <v>Mumbai</v>
      </c>
    </row>
    <row r="57">
      <c r="A57" s="32" t="str">
        <f>Orders!A54</f>
        <v>O00053</v>
      </c>
      <c r="B57" s="32" t="str">
        <f>Orders!C54</f>
        <v>S015</v>
      </c>
      <c r="C57" s="32" t="str">
        <f>Orders!B54</f>
        <v>C0156</v>
      </c>
      <c r="D57" s="32" t="str">
        <f>Orders!H54</f>
        <v>Delivered</v>
      </c>
      <c r="E57" s="33">
        <f>IF(Orders!H54="Delivered",1,0)</f>
        <v>1</v>
      </c>
      <c r="F57" s="34">
        <f>IF(E57=1,Orders!R54,"")</f>
        <v>-0.7</v>
      </c>
      <c r="G57" s="33">
        <f>IF(E57=1,IF(Orders!R54&gt;0,1,0),"")</f>
        <v>0</v>
      </c>
      <c r="H57" s="33">
        <f>IF(E57=1,IF(Orders!R54&gt;5,1,0),"")</f>
        <v>0</v>
      </c>
      <c r="I57" s="32" t="str">
        <f>IF(E57=1,"",IF(OR(Orders!T54="Rider unavailable",Orders!T54="Item unavailable"),"Company-caused","Unresolved"))</f>
        <v/>
      </c>
      <c r="J57" s="33">
        <f>IF(OR(E57=1,I57="Company-caused"),1,0)</f>
        <v>1</v>
      </c>
      <c r="K57" s="32" t="str">
        <f>IF(E57=0,IF(I57="Company-caused",IF(Orders!T54="Rider unavailable","C1 Rider unavailable","C2 Item unavailable"),"Outside root: unresolved"),IF(G57=0,"A On time",IF(H57=1,IF(L57=1,"B2a Severe, peak","B2b Severe, off-peak"),IF(L57=1,"B1a Slight, peak","B1b Slight, off-peak"))))</f>
        <v>A On time</v>
      </c>
      <c r="L57" s="33">
        <f>IF(AND(Orders!U54&gt;=19,Orders!U54&lt;22),1,0)</f>
        <v>0</v>
      </c>
      <c r="M57" s="33">
        <f>IF(L57=IF(Orders!V54,1,0),1,0)</f>
        <v>1</v>
      </c>
      <c r="N57" s="32" t="str">
        <f>IF(Orders!W54="","None",Orders!W54)</f>
        <v>None</v>
      </c>
      <c r="O57" s="35">
        <f>INT(Orders!E54)</f>
        <v>46275.0</v>
      </c>
      <c r="P57" s="33">
        <f>Orders!U54</f>
        <v>11</v>
      </c>
      <c r="Q57" s="33">
        <f>COUNTIFS(Demand!$A$2:$A$4481,B57,Demand!$B$2:$B$4481,O57,Demand!$C$2:$C$4481,P57)</f>
        <v>1</v>
      </c>
      <c r="R57" s="33">
        <f>IF(Q57=1,SUMIFS(Demand!$E$2:$E$4481,Demand!$A$2:$A$4481,B57,Demand!$B$2:$B$4481,O57,Demand!$C$2:$C$4481,P57),"")</f>
        <v>30</v>
      </c>
      <c r="S57" s="33">
        <f>INDEX(Stores!$G$2:$G$21,MATCH(B57,Stores!$A$2:$A$21,0))</f>
        <v>23</v>
      </c>
      <c r="T57" s="34">
        <f>IF(R57="","",R57/S57)</f>
        <v>1.30434782608696</v>
      </c>
      <c r="U57" s="34">
        <f>IF(E57=1,T57,"")</f>
        <v>1.30434782608696</v>
      </c>
      <c r="V57" s="34">
        <f>IF(AND(E57=1,L57=0),T57,"")</f>
        <v>1.30434782608696</v>
      </c>
      <c r="W57" s="33">
        <f>IF(U57="","",IF(U57&lt;=Breakdowns!$C$5,1,IF(U57&lt;=Breakdowns!$C$6,2,IF(U57&lt;=Breakdowns!$C$7,3,4))))</f>
        <v>4</v>
      </c>
      <c r="X57" s="33">
        <f>IF(V57="","",IF(V57&lt;=Breakdowns!$D$5,1,IF(V57&lt;=Breakdowns!$D$6,2,IF(V57&lt;=Breakdowns!$D$7,3,4))))</f>
        <v>4</v>
      </c>
      <c r="Y57" s="34">
        <f>INDEX(Stores!$F$2:$F$21,MATCH(B57,Stores!$A$2:$A$21,0))</f>
        <v>4.66</v>
      </c>
      <c r="Z57" s="33">
        <f>IF(Y57&gt;Store_Summary!$M$2,1,0)</f>
        <v>0</v>
      </c>
      <c r="AA57" s="33">
        <f>INDEX(Stores!$C$2:$C$21,MATCH(B57,Stores!$A$2:$A$21,0))</f>
        <v>204</v>
      </c>
      <c r="AB57" s="33">
        <f>IF(AA57&lt;180,1,0)</f>
        <v>0</v>
      </c>
      <c r="AC57" s="32" t="str">
        <f>IF(Orders!D54="","",INDEX(Riders!$C$2:$C$81,MATCH(Orders!D54,Riders!$A$2:$A$81,0)))</f>
        <v>Petrol scooter</v>
      </c>
      <c r="AD57" s="33">
        <f>IF(Orders!D54="","",INDEX(Riders!$D$2:$D$81,MATCH(Orders!D54,Riders!$A$2:$A$81,0)))</f>
        <v>11</v>
      </c>
      <c r="AE57" s="33">
        <f>IF(Orders!D54="","",IF(INDEX(Riders!$B$2:$B$81,MATCH(Orders!D54,Riders!$A$2:$A$81,0))=B57,1,0))</f>
        <v>0</v>
      </c>
      <c r="AF57" s="34">
        <f>IF(E57=1,Orders!L54,"")</f>
        <v>0.9</v>
      </c>
      <c r="AG57" s="34">
        <f>IF(E57=1,Orders!P54,"")</f>
        <v>9.8</v>
      </c>
      <c r="AH57" s="34">
        <f>IF(E57=1,Orders!Q54,"")</f>
        <v>9.1</v>
      </c>
      <c r="AI57" s="34">
        <f>IF(E57=1,Orders!M54,"")</f>
        <v>4.7</v>
      </c>
      <c r="AJ57" s="34">
        <f>IF(E57=1,Orders!N54,"")</f>
        <v>1.9</v>
      </c>
      <c r="AK57" s="34">
        <f>IF(E57=1,Orders!O54,"")</f>
        <v>2.6</v>
      </c>
      <c r="AL57" s="33">
        <f>IF(E57=1,IF(ROUND(ABS(AI57+AJ57+AK57-AH57),6)&lt;=0.1,1,0),"")</f>
        <v>1</v>
      </c>
      <c r="AM57" s="36">
        <f>IF(E57=1,AI57/AH57,"")</f>
        <v>0.516483516483517</v>
      </c>
      <c r="AN57" s="36">
        <f>IF(E57=1,AJ57/AH57,"")</f>
        <v>0.208791208791209</v>
      </c>
      <c r="AO57" s="36">
        <f>IF(E57=1,AK57/AH57,"")</f>
        <v>0.285714285714286</v>
      </c>
      <c r="AP57" s="34">
        <f>IF(E57=1,Orders!Y54,"")</f>
        <v>0.25</v>
      </c>
      <c r="AQ57" s="33">
        <f>IF(Orders!X54,1,0)</f>
        <v>0</v>
      </c>
      <c r="AR57" s="34" t="str">
        <f>IF(AND(E57=1,L57=1),AJ57,"")</f>
        <v/>
      </c>
      <c r="AS57" s="34">
        <f>IF(AND(E57=1,L57=0),AJ57,"")</f>
        <v>1.9</v>
      </c>
      <c r="AT57" s="34" t="str">
        <f>IF(AND(E57=1,L57=1),AI57,"")</f>
        <v/>
      </c>
      <c r="AU57" s="34">
        <f>IF(AND(E57=1,L57=0),AI57,"")</f>
        <v>4.7</v>
      </c>
      <c r="AV57" s="34" t="str">
        <f>IF(AND(E57=1,L57=1),AG57,"")</f>
        <v/>
      </c>
      <c r="AW57" s="34">
        <f>IF(AND(E57=1,L57=0),AG57,"")</f>
        <v>9.8</v>
      </c>
      <c r="AX57" s="34" t="str">
        <f>IF(AND(E57=1,L57=1),AH57,"")</f>
        <v/>
      </c>
      <c r="AY57" s="34">
        <f>IF(AND(E57=1,L57=0),AH57,"")</f>
        <v>9.1</v>
      </c>
      <c r="AZ57" s="34" t="str">
        <f>IF(G57=1,F57,"")</f>
        <v/>
      </c>
      <c r="BA57" s="34" t="str">
        <f>IF(AND(G57=1,L57=1),F57,"")</f>
        <v/>
      </c>
      <c r="BB57" s="34" t="str">
        <f>IF(AND(G57=1,L57=0),F57,"")</f>
        <v/>
      </c>
      <c r="BC57" s="33">
        <f>IF(E57=1,IF(Orders!R54&gt;3,1,0),"")</f>
        <v>0</v>
      </c>
      <c r="BD57" s="33">
        <f>IF(E57=1,IF(Orders!R54&gt;7,1,0),"")</f>
        <v>0</v>
      </c>
      <c r="BE57" s="32" t="str">
        <f>IF(E57=1,IF(Orders!L54&lt;=1.5,"Up to 1.5 km",IF(Orders!L54&lt;=3,"1.5–3 km","Over 3 km")),"")</f>
        <v>Up to 1.5 km</v>
      </c>
      <c r="BF57" s="33">
        <f>IF(E57=1,IF(ABS((Orders!G54-Orders!F54)*1440-Orders!R54)&lt;0.06,1,0),"")</f>
        <v>1</v>
      </c>
      <c r="BG57" s="33">
        <f>IF(ABS((Orders!F54-Orders!E54)*1440-Orders!P54)&lt;0.06,1,0)</f>
        <v>1</v>
      </c>
      <c r="BH57" s="33">
        <f>IF(E57=1,IF(IF(Orders!S54,1,0)=1-G57,1,0),"")</f>
        <v>1</v>
      </c>
      <c r="BI57" s="32" t="str">
        <f>INDEX(Stores!$B$2:$B$21,MATCH(B57,Stores!$A$2:$A$21,0))</f>
        <v>Delhi</v>
      </c>
    </row>
    <row r="58">
      <c r="A58" s="32" t="str">
        <f>Orders!A55</f>
        <v>O00054</v>
      </c>
      <c r="B58" s="32" t="str">
        <f>Orders!C55</f>
        <v>S009</v>
      </c>
      <c r="C58" s="32" t="str">
        <f>Orders!B55</f>
        <v>C0227</v>
      </c>
      <c r="D58" s="32" t="str">
        <f>Orders!H55</f>
        <v>Delivered</v>
      </c>
      <c r="E58" s="33">
        <f>IF(Orders!H55="Delivered",1,0)</f>
        <v>1</v>
      </c>
      <c r="F58" s="34">
        <f>IF(E58=1,Orders!R55,"")</f>
        <v>-1</v>
      </c>
      <c r="G58" s="33">
        <f>IF(E58=1,IF(Orders!R55&gt;0,1,0),"")</f>
        <v>0</v>
      </c>
      <c r="H58" s="33">
        <f>IF(E58=1,IF(Orders!R55&gt;5,1,0),"")</f>
        <v>0</v>
      </c>
      <c r="I58" s="32" t="str">
        <f>IF(E58=1,"",IF(OR(Orders!T55="Rider unavailable",Orders!T55="Item unavailable"),"Company-caused","Unresolved"))</f>
        <v/>
      </c>
      <c r="J58" s="33">
        <f>IF(OR(E58=1,I58="Company-caused"),1,0)</f>
        <v>1</v>
      </c>
      <c r="K58" s="32" t="str">
        <f>IF(E58=0,IF(I58="Company-caused",IF(Orders!T55="Rider unavailable","C1 Rider unavailable","C2 Item unavailable"),"Outside root: unresolved"),IF(G58=0,"A On time",IF(H58=1,IF(L58=1,"B2a Severe, peak","B2b Severe, off-peak"),IF(L58=1,"B1a Slight, peak","B1b Slight, off-peak"))))</f>
        <v>A On time</v>
      </c>
      <c r="L58" s="33">
        <f>IF(AND(Orders!U55&gt;=19,Orders!U55&lt;22),1,0)</f>
        <v>0</v>
      </c>
      <c r="M58" s="33">
        <f>IF(L58=IF(Orders!V55,1,0),1,0)</f>
        <v>1</v>
      </c>
      <c r="N58" s="32" t="str">
        <f>IF(Orders!W55="","None",Orders!W55)</f>
        <v>None</v>
      </c>
      <c r="O58" s="35">
        <f>INT(Orders!E55)</f>
        <v>46268.0</v>
      </c>
      <c r="P58" s="33">
        <f>Orders!U55</f>
        <v>17</v>
      </c>
      <c r="Q58" s="33">
        <f>COUNTIFS(Demand!$A$2:$A$4481,B58,Demand!$B$2:$B$4481,O58,Demand!$C$2:$C$4481,P58)</f>
        <v>1</v>
      </c>
      <c r="R58" s="33">
        <f>IF(Q58=1,SUMIFS(Demand!$E$2:$E$4481,Demand!$A$2:$A$4481,B58,Demand!$B$2:$B$4481,O58,Demand!$C$2:$C$4481,P58),"")</f>
        <v>25</v>
      </c>
      <c r="S58" s="33">
        <f>INDEX(Stores!$G$2:$G$21,MATCH(B58,Stores!$A$2:$A$21,0))</f>
        <v>29</v>
      </c>
      <c r="T58" s="34">
        <f>IF(R58="","",R58/S58)</f>
        <v>0.862068965517241</v>
      </c>
      <c r="U58" s="34">
        <f>IF(E58=1,T58,"")</f>
        <v>0.862068965517241</v>
      </c>
      <c r="V58" s="34">
        <f>IF(AND(E58=1,L58=0),T58,"")</f>
        <v>0.862068965517241</v>
      </c>
      <c r="W58" s="33">
        <f>IF(U58="","",IF(U58&lt;=Breakdowns!$C$5,1,IF(U58&lt;=Breakdowns!$C$6,2,IF(U58&lt;=Breakdowns!$C$7,3,4))))</f>
        <v>2</v>
      </c>
      <c r="X58" s="33">
        <f>IF(V58="","",IF(V58&lt;=Breakdowns!$D$5,1,IF(V58&lt;=Breakdowns!$D$6,2,IF(V58&lt;=Breakdowns!$D$7,3,4))))</f>
        <v>2</v>
      </c>
      <c r="Y58" s="34">
        <f>INDEX(Stores!$F$2:$F$21,MATCH(B58,Stores!$A$2:$A$21,0))</f>
        <v>2.66</v>
      </c>
      <c r="Z58" s="33">
        <f>IF(Y58&gt;Store_Summary!$M$2,1,0)</f>
        <v>0</v>
      </c>
      <c r="AA58" s="33">
        <f>INDEX(Stores!$C$2:$C$21,MATCH(B58,Stores!$A$2:$A$21,0))</f>
        <v>645</v>
      </c>
      <c r="AB58" s="33">
        <f>IF(AA58&lt;180,1,0)</f>
        <v>0</v>
      </c>
      <c r="AC58" s="32" t="str">
        <f>IF(Orders!D55="","",INDEX(Riders!$C$2:$C$81,MATCH(Orders!D55,Riders!$A$2:$A$81,0)))</f>
        <v>EV scooter</v>
      </c>
      <c r="AD58" s="33">
        <f>IF(Orders!D55="","",INDEX(Riders!$D$2:$D$81,MATCH(Orders!D55,Riders!$A$2:$A$81,0)))</f>
        <v>12</v>
      </c>
      <c r="AE58" s="33">
        <f>IF(Orders!D55="","",IF(INDEX(Riders!$B$2:$B$81,MATCH(Orders!D55,Riders!$A$2:$A$81,0))=B58,1,0))</f>
        <v>0</v>
      </c>
      <c r="AF58" s="34">
        <f>IF(E58=1,Orders!L55,"")</f>
        <v>0.8</v>
      </c>
      <c r="AG58" s="34">
        <f>IF(E58=1,Orders!P55,"")</f>
        <v>10.7</v>
      </c>
      <c r="AH58" s="34">
        <f>IF(E58=1,Orders!Q55,"")</f>
        <v>9.7</v>
      </c>
      <c r="AI58" s="34">
        <f>IF(E58=1,Orders!M55,"")</f>
        <v>3.3</v>
      </c>
      <c r="AJ58" s="34">
        <f>IF(E58=1,Orders!N55,"")</f>
        <v>4.2</v>
      </c>
      <c r="AK58" s="34">
        <f>IF(E58=1,Orders!O55,"")</f>
        <v>2.2</v>
      </c>
      <c r="AL58" s="33">
        <f>IF(E58=1,IF(ROUND(ABS(AI58+AJ58+AK58-AH58),6)&lt;=0.1,1,0),"")</f>
        <v>1</v>
      </c>
      <c r="AM58" s="36">
        <f>IF(E58=1,AI58/AH58,"")</f>
        <v>0.34020618556701</v>
      </c>
      <c r="AN58" s="36">
        <f>IF(E58=1,AJ58/AH58,"")</f>
        <v>0.43298969072165</v>
      </c>
      <c r="AO58" s="36">
        <f>IF(E58=1,AK58/AH58,"")</f>
        <v>0.22680412371134</v>
      </c>
      <c r="AP58" s="34">
        <f>IF(E58=1,Orders!Y55,"")</f>
        <v>0.24</v>
      </c>
      <c r="AQ58" s="33">
        <f>IF(Orders!X55,1,0)</f>
        <v>0</v>
      </c>
      <c r="AR58" s="34" t="str">
        <f>IF(AND(E58=1,L58=1),AJ58,"")</f>
        <v/>
      </c>
      <c r="AS58" s="34">
        <f>IF(AND(E58=1,L58=0),AJ58,"")</f>
        <v>4.2</v>
      </c>
      <c r="AT58" s="34" t="str">
        <f>IF(AND(E58=1,L58=1),AI58,"")</f>
        <v/>
      </c>
      <c r="AU58" s="34">
        <f>IF(AND(E58=1,L58=0),AI58,"")</f>
        <v>3.3</v>
      </c>
      <c r="AV58" s="34" t="str">
        <f>IF(AND(E58=1,L58=1),AG58,"")</f>
        <v/>
      </c>
      <c r="AW58" s="34">
        <f>IF(AND(E58=1,L58=0),AG58,"")</f>
        <v>10.7</v>
      </c>
      <c r="AX58" s="34" t="str">
        <f>IF(AND(E58=1,L58=1),AH58,"")</f>
        <v/>
      </c>
      <c r="AY58" s="34">
        <f>IF(AND(E58=1,L58=0),AH58,"")</f>
        <v>9.7</v>
      </c>
      <c r="AZ58" s="34" t="str">
        <f>IF(G58=1,F58,"")</f>
        <v/>
      </c>
      <c r="BA58" s="34" t="str">
        <f>IF(AND(G58=1,L58=1),F58,"")</f>
        <v/>
      </c>
      <c r="BB58" s="34" t="str">
        <f>IF(AND(G58=1,L58=0),F58,"")</f>
        <v/>
      </c>
      <c r="BC58" s="33">
        <f>IF(E58=1,IF(Orders!R55&gt;3,1,0),"")</f>
        <v>0</v>
      </c>
      <c r="BD58" s="33">
        <f>IF(E58=1,IF(Orders!R55&gt;7,1,0),"")</f>
        <v>0</v>
      </c>
      <c r="BE58" s="32" t="str">
        <f>IF(E58=1,IF(Orders!L55&lt;=1.5,"Up to 1.5 km",IF(Orders!L55&lt;=3,"1.5–3 km","Over 3 km")),"")</f>
        <v>Up to 1.5 km</v>
      </c>
      <c r="BF58" s="33">
        <f>IF(E58=1,IF(ABS((Orders!G55-Orders!F55)*1440-Orders!R55)&lt;0.06,1,0),"")</f>
        <v>1</v>
      </c>
      <c r="BG58" s="33">
        <f>IF(ABS((Orders!F55-Orders!E55)*1440-Orders!P55)&lt;0.06,1,0)</f>
        <v>1</v>
      </c>
      <c r="BH58" s="33">
        <f>IF(E58=1,IF(IF(Orders!S55,1,0)=1-G58,1,0),"")</f>
        <v>1</v>
      </c>
      <c r="BI58" s="32" t="str">
        <f>INDEX(Stores!$B$2:$B$21,MATCH(B58,Stores!$A$2:$A$21,0))</f>
        <v>Pune</v>
      </c>
    </row>
    <row r="59">
      <c r="A59" s="32" t="str">
        <f>Orders!A56</f>
        <v>O00055</v>
      </c>
      <c r="B59" s="32" t="str">
        <f>Orders!C56</f>
        <v>S008</v>
      </c>
      <c r="C59" s="32" t="str">
        <f>Orders!B56</f>
        <v>C0153</v>
      </c>
      <c r="D59" s="32" t="str">
        <f>Orders!H56</f>
        <v>Delivered</v>
      </c>
      <c r="E59" s="33">
        <f>IF(Orders!H56="Delivered",1,0)</f>
        <v>1</v>
      </c>
      <c r="F59" s="34">
        <f>IF(E59=1,Orders!R56,"")</f>
        <v>-0.9</v>
      </c>
      <c r="G59" s="33">
        <f>IF(E59=1,IF(Orders!R56&gt;0,1,0),"")</f>
        <v>0</v>
      </c>
      <c r="H59" s="33">
        <f>IF(E59=1,IF(Orders!R56&gt;5,1,0),"")</f>
        <v>0</v>
      </c>
      <c r="I59" s="32" t="str">
        <f>IF(E59=1,"",IF(OR(Orders!T56="Rider unavailable",Orders!T56="Item unavailable"),"Company-caused","Unresolved"))</f>
        <v/>
      </c>
      <c r="J59" s="33">
        <f>IF(OR(E59=1,I59="Company-caused"),1,0)</f>
        <v>1</v>
      </c>
      <c r="K59" s="32" t="str">
        <f>IF(E59=0,IF(I59="Company-caused",IF(Orders!T56="Rider unavailable","C1 Rider unavailable","C2 Item unavailable"),"Outside root: unresolved"),IF(G59=0,"A On time",IF(H59=1,IF(L59=1,"B2a Severe, peak","B2b Severe, off-peak"),IF(L59=1,"B1a Slight, peak","B1b Slight, off-peak"))))</f>
        <v>A On time</v>
      </c>
      <c r="L59" s="33">
        <f>IF(AND(Orders!U56&gt;=19,Orders!U56&lt;22),1,0)</f>
        <v>0</v>
      </c>
      <c r="M59" s="33">
        <f>IF(L59=IF(Orders!V56,1,0),1,0)</f>
        <v>1</v>
      </c>
      <c r="N59" s="32" t="str">
        <f>IF(Orders!W56="","None",Orders!W56)</f>
        <v>None</v>
      </c>
      <c r="O59" s="35">
        <f>INT(Orders!E56)</f>
        <v>46271.0</v>
      </c>
      <c r="P59" s="33">
        <f>Orders!U56</f>
        <v>13</v>
      </c>
      <c r="Q59" s="33">
        <f>COUNTIFS(Demand!$A$2:$A$4481,B59,Demand!$B$2:$B$4481,O59,Demand!$C$2:$C$4481,P59)</f>
        <v>1</v>
      </c>
      <c r="R59" s="33">
        <f>IF(Q59=1,SUMIFS(Demand!$E$2:$E$4481,Demand!$A$2:$A$4481,B59,Demand!$B$2:$B$4481,O59,Demand!$C$2:$C$4481,P59),"")</f>
        <v>24</v>
      </c>
      <c r="S59" s="33">
        <f>INDEX(Stores!$G$2:$G$21,MATCH(B59,Stores!$A$2:$A$21,0))</f>
        <v>23</v>
      </c>
      <c r="T59" s="34">
        <f>IF(R59="","",R59/S59)</f>
        <v>1.04347826086957</v>
      </c>
      <c r="U59" s="34">
        <f>IF(E59=1,T59,"")</f>
        <v>1.04347826086957</v>
      </c>
      <c r="V59" s="34">
        <f>IF(AND(E59=1,L59=0),T59,"")</f>
        <v>1.04347826086957</v>
      </c>
      <c r="W59" s="33">
        <f>IF(U59="","",IF(U59&lt;=Breakdowns!$C$5,1,IF(U59&lt;=Breakdowns!$C$6,2,IF(U59&lt;=Breakdowns!$C$7,3,4))))</f>
        <v>3</v>
      </c>
      <c r="X59" s="33">
        <f>IF(V59="","",IF(V59&lt;=Breakdowns!$D$5,1,IF(V59&lt;=Breakdowns!$D$6,2,IF(V59&lt;=Breakdowns!$D$7,3,4))))</f>
        <v>3</v>
      </c>
      <c r="Y59" s="34">
        <f>INDEX(Stores!$F$2:$F$21,MATCH(B59,Stores!$A$2:$A$21,0))</f>
        <v>3.46</v>
      </c>
      <c r="Z59" s="33">
        <f>IF(Y59&gt;Store_Summary!$M$2,1,0)</f>
        <v>0</v>
      </c>
      <c r="AA59" s="33">
        <f>INDEX(Stores!$C$2:$C$21,MATCH(B59,Stores!$A$2:$A$21,0))</f>
        <v>825</v>
      </c>
      <c r="AB59" s="33">
        <f>IF(AA59&lt;180,1,0)</f>
        <v>0</v>
      </c>
      <c r="AC59" s="32" t="str">
        <f>IF(Orders!D56="","",INDEX(Riders!$C$2:$C$81,MATCH(Orders!D56,Riders!$A$2:$A$81,0)))</f>
        <v>EV scooter</v>
      </c>
      <c r="AD59" s="33">
        <f>IF(Orders!D56="","",INDEX(Riders!$D$2:$D$81,MATCH(Orders!D56,Riders!$A$2:$A$81,0)))</f>
        <v>10</v>
      </c>
      <c r="AE59" s="33">
        <f>IF(Orders!D56="","",IF(INDEX(Riders!$B$2:$B$81,MATCH(Orders!D56,Riders!$A$2:$A$81,0))=B59,1,0))</f>
        <v>0</v>
      </c>
      <c r="AF59" s="34">
        <f>IF(E59=1,Orders!L56,"")</f>
        <v>2.53</v>
      </c>
      <c r="AG59" s="34">
        <f>IF(E59=1,Orders!P56,"")</f>
        <v>10.1</v>
      </c>
      <c r="AH59" s="34">
        <f>IF(E59=1,Orders!Q56,"")</f>
        <v>9.2</v>
      </c>
      <c r="AI59" s="34">
        <f>IF(E59=1,Orders!M56,"")</f>
        <v>2.3</v>
      </c>
      <c r="AJ59" s="34">
        <f>IF(E59=1,Orders!N56,"")</f>
        <v>3.3</v>
      </c>
      <c r="AK59" s="34">
        <f>IF(E59=1,Orders!O56,"")</f>
        <v>3.6</v>
      </c>
      <c r="AL59" s="33">
        <f>IF(E59=1,IF(ROUND(ABS(AI59+AJ59+AK59-AH59),6)&lt;=0.1,1,0),"")</f>
        <v>1</v>
      </c>
      <c r="AM59" s="36">
        <f>IF(E59=1,AI59/AH59,"")</f>
        <v>0.25</v>
      </c>
      <c r="AN59" s="36">
        <f>IF(E59=1,AJ59/AH59,"")</f>
        <v>0.358695652173913</v>
      </c>
      <c r="AO59" s="36">
        <f>IF(E59=1,AK59/AH59,"")</f>
        <v>0.391304347826087</v>
      </c>
      <c r="AP59" s="34">
        <f>IF(E59=1,Orders!Y56,"")</f>
        <v>0.64</v>
      </c>
      <c r="AQ59" s="33">
        <f>IF(Orders!X56,1,0)</f>
        <v>1</v>
      </c>
      <c r="AR59" s="34" t="str">
        <f>IF(AND(E59=1,L59=1),AJ59,"")</f>
        <v/>
      </c>
      <c r="AS59" s="34">
        <f>IF(AND(E59=1,L59=0),AJ59,"")</f>
        <v>3.3</v>
      </c>
      <c r="AT59" s="34" t="str">
        <f>IF(AND(E59=1,L59=1),AI59,"")</f>
        <v/>
      </c>
      <c r="AU59" s="34">
        <f>IF(AND(E59=1,L59=0),AI59,"")</f>
        <v>2.3</v>
      </c>
      <c r="AV59" s="34" t="str">
        <f>IF(AND(E59=1,L59=1),AG59,"")</f>
        <v/>
      </c>
      <c r="AW59" s="34">
        <f>IF(AND(E59=1,L59=0),AG59,"")</f>
        <v>10.1</v>
      </c>
      <c r="AX59" s="34" t="str">
        <f>IF(AND(E59=1,L59=1),AH59,"")</f>
        <v/>
      </c>
      <c r="AY59" s="34">
        <f>IF(AND(E59=1,L59=0),AH59,"")</f>
        <v>9.2</v>
      </c>
      <c r="AZ59" s="34" t="str">
        <f>IF(G59=1,F59,"")</f>
        <v/>
      </c>
      <c r="BA59" s="34" t="str">
        <f>IF(AND(G59=1,L59=1),F59,"")</f>
        <v/>
      </c>
      <c r="BB59" s="34" t="str">
        <f>IF(AND(G59=1,L59=0),F59,"")</f>
        <v/>
      </c>
      <c r="BC59" s="33">
        <f>IF(E59=1,IF(Orders!R56&gt;3,1,0),"")</f>
        <v>0</v>
      </c>
      <c r="BD59" s="33">
        <f>IF(E59=1,IF(Orders!R56&gt;7,1,0),"")</f>
        <v>0</v>
      </c>
      <c r="BE59" s="32" t="str">
        <f>IF(E59=1,IF(Orders!L56&lt;=1.5,"Up to 1.5 km",IF(Orders!L56&lt;=3,"1.5–3 km","Over 3 km")),"")</f>
        <v>1.5–3 km</v>
      </c>
      <c r="BF59" s="33">
        <f>IF(E59=1,IF(ABS((Orders!G56-Orders!F56)*1440-Orders!R56)&lt;0.06,1,0),"")</f>
        <v>1</v>
      </c>
      <c r="BG59" s="33">
        <f>IF(ABS((Orders!F56-Orders!E56)*1440-Orders!P56)&lt;0.06,1,0)</f>
        <v>1</v>
      </c>
      <c r="BH59" s="33">
        <f>IF(E59=1,IF(IF(Orders!S56,1,0)=1-G59,1,0),"")</f>
        <v>1</v>
      </c>
      <c r="BI59" s="32" t="str">
        <f>INDEX(Stores!$B$2:$B$21,MATCH(B59,Stores!$A$2:$A$21,0))</f>
        <v>Mumbai</v>
      </c>
    </row>
    <row r="60">
      <c r="A60" s="32" t="str">
        <f>Orders!A57</f>
        <v>O00056</v>
      </c>
      <c r="B60" s="32" t="str">
        <f>Orders!C57</f>
        <v>S011</v>
      </c>
      <c r="C60" s="32" t="str">
        <f>Orders!B57</f>
        <v>C0189</v>
      </c>
      <c r="D60" s="32" t="str">
        <f>Orders!H57</f>
        <v>Delivered</v>
      </c>
      <c r="E60" s="33">
        <f>IF(Orders!H57="Delivered",1,0)</f>
        <v>1</v>
      </c>
      <c r="F60" s="34">
        <f>IF(E60=1,Orders!R57,"")</f>
        <v>-0.6</v>
      </c>
      <c r="G60" s="33">
        <f>IF(E60=1,IF(Orders!R57&gt;0,1,0),"")</f>
        <v>0</v>
      </c>
      <c r="H60" s="33">
        <f>IF(E60=1,IF(Orders!R57&gt;5,1,0),"")</f>
        <v>0</v>
      </c>
      <c r="I60" s="32" t="str">
        <f>IF(E60=1,"",IF(OR(Orders!T57="Rider unavailable",Orders!T57="Item unavailable"),"Company-caused","Unresolved"))</f>
        <v/>
      </c>
      <c r="J60" s="33">
        <f>IF(OR(E60=1,I60="Company-caused"),1,0)</f>
        <v>1</v>
      </c>
      <c r="K60" s="32" t="str">
        <f>IF(E60=0,IF(I60="Company-caused",IF(Orders!T57="Rider unavailable","C1 Rider unavailable","C2 Item unavailable"),"Outside root: unresolved"),IF(G60=0,"A On time",IF(H60=1,IF(L60=1,"B2a Severe, peak","B2b Severe, off-peak"),IF(L60=1,"B1a Slight, peak","B1b Slight, off-peak"))))</f>
        <v>A On time</v>
      </c>
      <c r="L60" s="33">
        <f>IF(AND(Orders!U57&gt;=19,Orders!U57&lt;22),1,0)</f>
        <v>0</v>
      </c>
      <c r="M60" s="33">
        <f>IF(L60=IF(Orders!V57,1,0),1,0)</f>
        <v>1</v>
      </c>
      <c r="N60" s="32" t="str">
        <f>IF(Orders!W57="","None",Orders!W57)</f>
        <v>Light</v>
      </c>
      <c r="O60" s="35">
        <f>INT(Orders!E57)</f>
        <v>46268.0</v>
      </c>
      <c r="P60" s="33">
        <f>Orders!U57</f>
        <v>16</v>
      </c>
      <c r="Q60" s="33">
        <f>COUNTIFS(Demand!$A$2:$A$4481,B60,Demand!$B$2:$B$4481,O60,Demand!$C$2:$C$4481,P60)</f>
        <v>1</v>
      </c>
      <c r="R60" s="33">
        <f>IF(Q60=1,SUMIFS(Demand!$E$2:$E$4481,Demand!$A$2:$A$4481,B60,Demand!$B$2:$B$4481,O60,Demand!$C$2:$C$4481,P60),"")</f>
        <v>31</v>
      </c>
      <c r="S60" s="33">
        <f>INDEX(Stores!$G$2:$G$21,MATCH(B60,Stores!$A$2:$A$21,0))</f>
        <v>31</v>
      </c>
      <c r="T60" s="34">
        <f>IF(R60="","",R60/S60)</f>
        <v>1</v>
      </c>
      <c r="U60" s="34">
        <f>IF(E60=1,T60,"")</f>
        <v>1</v>
      </c>
      <c r="V60" s="34">
        <f>IF(AND(E60=1,L60=0),T60,"")</f>
        <v>1</v>
      </c>
      <c r="W60" s="33">
        <f>IF(U60="","",IF(U60&lt;=Breakdowns!$C$5,1,IF(U60&lt;=Breakdowns!$C$6,2,IF(U60&lt;=Breakdowns!$C$7,3,4))))</f>
        <v>2</v>
      </c>
      <c r="X60" s="33">
        <f>IF(V60="","",IF(V60&lt;=Breakdowns!$D$5,1,IF(V60&lt;=Breakdowns!$D$6,2,IF(V60&lt;=Breakdowns!$D$7,3,4))))</f>
        <v>3</v>
      </c>
      <c r="Y60" s="34">
        <f>INDEX(Stores!$F$2:$F$21,MATCH(B60,Stores!$A$2:$A$21,0))</f>
        <v>5.67</v>
      </c>
      <c r="Z60" s="33">
        <f>IF(Y60&gt;Store_Summary!$M$2,1,0)</f>
        <v>1</v>
      </c>
      <c r="AA60" s="33">
        <f>INDEX(Stores!$C$2:$C$21,MATCH(B60,Stores!$A$2:$A$21,0))</f>
        <v>732</v>
      </c>
      <c r="AB60" s="33">
        <f>IF(AA60&lt;180,1,0)</f>
        <v>0</v>
      </c>
      <c r="AC60" s="32" t="str">
        <f>IF(Orders!D57="","",INDEX(Riders!$C$2:$C$81,MATCH(Orders!D57,Riders!$A$2:$A$81,0)))</f>
        <v>EV scooter</v>
      </c>
      <c r="AD60" s="33">
        <f>IF(Orders!D57="","",INDEX(Riders!$D$2:$D$81,MATCH(Orders!D57,Riders!$A$2:$A$81,0)))</f>
        <v>33</v>
      </c>
      <c r="AE60" s="33">
        <f>IF(Orders!D57="","",IF(INDEX(Riders!$B$2:$B$81,MATCH(Orders!D57,Riders!$A$2:$A$81,0))=B60,1,0))</f>
        <v>0</v>
      </c>
      <c r="AF60" s="34">
        <f>IF(E60=1,Orders!L57,"")</f>
        <v>3.3</v>
      </c>
      <c r="AG60" s="34">
        <f>IF(E60=1,Orders!P57,"")</f>
        <v>11.5</v>
      </c>
      <c r="AH60" s="34">
        <f>IF(E60=1,Orders!Q57,"")</f>
        <v>10.9</v>
      </c>
      <c r="AI60" s="34">
        <f>IF(E60=1,Orders!M57,"")</f>
        <v>3.1</v>
      </c>
      <c r="AJ60" s="34">
        <f>IF(E60=1,Orders!N57,"")</f>
        <v>2.9</v>
      </c>
      <c r="AK60" s="34">
        <f>IF(E60=1,Orders!O57,"")</f>
        <v>4.9</v>
      </c>
      <c r="AL60" s="33">
        <f>IF(E60=1,IF(ROUND(ABS(AI60+AJ60+AK60-AH60),6)&lt;=0.1,1,0),"")</f>
        <v>1</v>
      </c>
      <c r="AM60" s="36">
        <f>IF(E60=1,AI60/AH60,"")</f>
        <v>0.284403669724771</v>
      </c>
      <c r="AN60" s="36">
        <f>IF(E60=1,AJ60/AH60,"")</f>
        <v>0.26605504587156</v>
      </c>
      <c r="AO60" s="36">
        <f>IF(E60=1,AK60/AH60,"")</f>
        <v>0.44954128440367</v>
      </c>
      <c r="AP60" s="34">
        <f>IF(E60=1,Orders!Y57,"")</f>
        <v>0.48</v>
      </c>
      <c r="AQ60" s="33">
        <f>IF(Orders!X57,1,0)</f>
        <v>0</v>
      </c>
      <c r="AR60" s="34" t="str">
        <f>IF(AND(E60=1,L60=1),AJ60,"")</f>
        <v/>
      </c>
      <c r="AS60" s="34">
        <f>IF(AND(E60=1,L60=0),AJ60,"")</f>
        <v>2.9</v>
      </c>
      <c r="AT60" s="34" t="str">
        <f>IF(AND(E60=1,L60=1),AI60,"")</f>
        <v/>
      </c>
      <c r="AU60" s="34">
        <f>IF(AND(E60=1,L60=0),AI60,"")</f>
        <v>3.1</v>
      </c>
      <c r="AV60" s="34" t="str">
        <f>IF(AND(E60=1,L60=1),AG60,"")</f>
        <v/>
      </c>
      <c r="AW60" s="34">
        <f>IF(AND(E60=1,L60=0),AG60,"")</f>
        <v>11.5</v>
      </c>
      <c r="AX60" s="34" t="str">
        <f>IF(AND(E60=1,L60=1),AH60,"")</f>
        <v/>
      </c>
      <c r="AY60" s="34">
        <f>IF(AND(E60=1,L60=0),AH60,"")</f>
        <v>10.9</v>
      </c>
      <c r="AZ60" s="34" t="str">
        <f>IF(G60=1,F60,"")</f>
        <v/>
      </c>
      <c r="BA60" s="34" t="str">
        <f>IF(AND(G60=1,L60=1),F60,"")</f>
        <v/>
      </c>
      <c r="BB60" s="34" t="str">
        <f>IF(AND(G60=1,L60=0),F60,"")</f>
        <v/>
      </c>
      <c r="BC60" s="33">
        <f>IF(E60=1,IF(Orders!R57&gt;3,1,0),"")</f>
        <v>0</v>
      </c>
      <c r="BD60" s="33">
        <f>IF(E60=1,IF(Orders!R57&gt;7,1,0),"")</f>
        <v>0</v>
      </c>
      <c r="BE60" s="32" t="str">
        <f>IF(E60=1,IF(Orders!L57&lt;=1.5,"Up to 1.5 km",IF(Orders!L57&lt;=3,"1.5–3 km","Over 3 km")),"")</f>
        <v>Over 3 km</v>
      </c>
      <c r="BF60" s="33">
        <f>IF(E60=1,IF(ABS((Orders!G57-Orders!F57)*1440-Orders!R57)&lt;0.06,1,0),"")</f>
        <v>1</v>
      </c>
      <c r="BG60" s="33">
        <f>IF(ABS((Orders!F57-Orders!E57)*1440-Orders!P57)&lt;0.06,1,0)</f>
        <v>1</v>
      </c>
      <c r="BH60" s="33">
        <f>IF(E60=1,IF(IF(Orders!S57,1,0)=1-G60,1,0),"")</f>
        <v>1</v>
      </c>
      <c r="BI60" s="32" t="str">
        <f>INDEX(Stores!$B$2:$B$21,MATCH(B60,Stores!$A$2:$A$21,0))</f>
        <v>Bengaluru</v>
      </c>
    </row>
    <row r="61">
      <c r="A61" s="32" t="str">
        <f>Orders!A58</f>
        <v>O00057</v>
      </c>
      <c r="B61" s="32" t="str">
        <f>Orders!C58</f>
        <v>S002</v>
      </c>
      <c r="C61" s="32" t="str">
        <f>Orders!B58</f>
        <v>C0173</v>
      </c>
      <c r="D61" s="32" t="str">
        <f>Orders!H58</f>
        <v>Delivered</v>
      </c>
      <c r="E61" s="33">
        <f>IF(Orders!H58="Delivered",1,0)</f>
        <v>1</v>
      </c>
      <c r="F61" s="34">
        <f>IF(E61=1,Orders!R58,"")</f>
        <v>5.1</v>
      </c>
      <c r="G61" s="33">
        <f>IF(E61=1,IF(Orders!R58&gt;0,1,0),"")</f>
        <v>1</v>
      </c>
      <c r="H61" s="33">
        <f>IF(E61=1,IF(Orders!R58&gt;5,1,0),"")</f>
        <v>1</v>
      </c>
      <c r="I61" s="32" t="str">
        <f>IF(E61=1,"",IF(OR(Orders!T58="Rider unavailable",Orders!T58="Item unavailable"),"Company-caused","Unresolved"))</f>
        <v/>
      </c>
      <c r="J61" s="33">
        <f>IF(OR(E61=1,I61="Company-caused"),1,0)</f>
        <v>1</v>
      </c>
      <c r="K61" s="32" t="str">
        <f>IF(E61=0,IF(I61="Company-caused",IF(Orders!T58="Rider unavailable","C1 Rider unavailable","C2 Item unavailable"),"Outside root: unresolved"),IF(G61=0,"A On time",IF(H61=1,IF(L61=1,"B2a Severe, peak","B2b Severe, off-peak"),IF(L61=1,"B1a Slight, peak","B1b Slight, off-peak"))))</f>
        <v>B2b Severe, off-peak</v>
      </c>
      <c r="L61" s="33">
        <f>IF(AND(Orders!U58&gt;=19,Orders!U58&lt;22),1,0)</f>
        <v>0</v>
      </c>
      <c r="M61" s="33">
        <f>IF(L61=IF(Orders!V58,1,0),1,0)</f>
        <v>1</v>
      </c>
      <c r="N61" s="32" t="str">
        <f>IF(Orders!W58="","None",Orders!W58)</f>
        <v>Heavy</v>
      </c>
      <c r="O61" s="35">
        <f>INT(Orders!E58)</f>
        <v>46266.0</v>
      </c>
      <c r="P61" s="33">
        <f>Orders!U58</f>
        <v>8</v>
      </c>
      <c r="Q61" s="33">
        <f>COUNTIFS(Demand!$A$2:$A$4481,B61,Demand!$B$2:$B$4481,O61,Demand!$C$2:$C$4481,P61)</f>
        <v>1</v>
      </c>
      <c r="R61" s="33">
        <f>IF(Q61=1,SUMIFS(Demand!$E$2:$E$4481,Demand!$A$2:$A$4481,B61,Demand!$B$2:$B$4481,O61,Demand!$C$2:$C$4481,P61),"")</f>
        <v>25</v>
      </c>
      <c r="S61" s="33">
        <f>INDEX(Stores!$G$2:$G$21,MATCH(B61,Stores!$A$2:$A$21,0))</f>
        <v>33</v>
      </c>
      <c r="T61" s="34">
        <f>IF(R61="","",R61/S61)</f>
        <v>0.757575757575758</v>
      </c>
      <c r="U61" s="34">
        <f>IF(E61=1,T61,"")</f>
        <v>0.757575757575758</v>
      </c>
      <c r="V61" s="34">
        <f>IF(AND(E61=1,L61=0),T61,"")</f>
        <v>0.757575757575758</v>
      </c>
      <c r="W61" s="33">
        <f>IF(U61="","",IF(U61&lt;=Breakdowns!$C$5,1,IF(U61&lt;=Breakdowns!$C$6,2,IF(U61&lt;=Breakdowns!$C$7,3,4))))</f>
        <v>1</v>
      </c>
      <c r="X61" s="33">
        <f>IF(V61="","",IF(V61&lt;=Breakdowns!$D$5,1,IF(V61&lt;=Breakdowns!$D$6,2,IF(V61&lt;=Breakdowns!$D$7,3,4))))</f>
        <v>2</v>
      </c>
      <c r="Y61" s="34">
        <f>INDEX(Stores!$F$2:$F$21,MATCH(B61,Stores!$A$2:$A$21,0))</f>
        <v>2.39</v>
      </c>
      <c r="Z61" s="33">
        <f>IF(Y61&gt;Store_Summary!$M$2,1,0)</f>
        <v>0</v>
      </c>
      <c r="AA61" s="33">
        <f>INDEX(Stores!$C$2:$C$21,MATCH(B61,Stores!$A$2:$A$21,0))</f>
        <v>470</v>
      </c>
      <c r="AB61" s="33">
        <f>IF(AA61&lt;180,1,0)</f>
        <v>0</v>
      </c>
      <c r="AC61" s="32" t="str">
        <f>IF(Orders!D58="","",INDEX(Riders!$C$2:$C$81,MATCH(Orders!D58,Riders!$A$2:$A$81,0)))</f>
        <v>EV scooter</v>
      </c>
      <c r="AD61" s="33">
        <f>IF(Orders!D58="","",INDEX(Riders!$D$2:$D$81,MATCH(Orders!D58,Riders!$A$2:$A$81,0)))</f>
        <v>45</v>
      </c>
      <c r="AE61" s="33">
        <f>IF(Orders!D58="","",IF(INDEX(Riders!$B$2:$B$81,MATCH(Orders!D58,Riders!$A$2:$A$81,0))=B61,1,0))</f>
        <v>0</v>
      </c>
      <c r="AF61" s="34">
        <f>IF(E61=1,Orders!L58,"")</f>
        <v>0.89</v>
      </c>
      <c r="AG61" s="34">
        <f>IF(E61=1,Orders!P58,"")</f>
        <v>10</v>
      </c>
      <c r="AH61" s="34">
        <f>IF(E61=1,Orders!Q58,"")</f>
        <v>15.1</v>
      </c>
      <c r="AI61" s="34">
        <f>IF(E61=1,Orders!M58,"")</f>
        <v>2.6</v>
      </c>
      <c r="AJ61" s="34">
        <f>IF(E61=1,Orders!N58,"")</f>
        <v>6.9</v>
      </c>
      <c r="AK61" s="34">
        <f>IF(E61=1,Orders!O58,"")</f>
        <v>5.6</v>
      </c>
      <c r="AL61" s="33">
        <f>IF(E61=1,IF(ROUND(ABS(AI61+AJ61+AK61-AH61),6)&lt;=0.1,1,0),"")</f>
        <v>1</v>
      </c>
      <c r="AM61" s="36">
        <f>IF(E61=1,AI61/AH61,"")</f>
        <v>0.172185430463576</v>
      </c>
      <c r="AN61" s="36">
        <f>IF(E61=1,AJ61/AH61,"")</f>
        <v>0.456953642384106</v>
      </c>
      <c r="AO61" s="36">
        <f>IF(E61=1,AK61/AH61,"")</f>
        <v>0.370860927152318</v>
      </c>
      <c r="AP61" s="34">
        <f>IF(E61=1,Orders!Y58,"")</f>
        <v>0.5</v>
      </c>
      <c r="AQ61" s="33">
        <f>IF(Orders!X58,1,0)</f>
        <v>0</v>
      </c>
      <c r="AR61" s="34" t="str">
        <f>IF(AND(E61=1,L61=1),AJ61,"")</f>
        <v/>
      </c>
      <c r="AS61" s="34">
        <f>IF(AND(E61=1,L61=0),AJ61,"")</f>
        <v>6.9</v>
      </c>
      <c r="AT61" s="34" t="str">
        <f>IF(AND(E61=1,L61=1),AI61,"")</f>
        <v/>
      </c>
      <c r="AU61" s="34">
        <f>IF(AND(E61=1,L61=0),AI61,"")</f>
        <v>2.6</v>
      </c>
      <c r="AV61" s="34" t="str">
        <f>IF(AND(E61=1,L61=1),AG61,"")</f>
        <v/>
      </c>
      <c r="AW61" s="34">
        <f>IF(AND(E61=1,L61=0),AG61,"")</f>
        <v>10</v>
      </c>
      <c r="AX61" s="34" t="str">
        <f>IF(AND(E61=1,L61=1),AH61,"")</f>
        <v/>
      </c>
      <c r="AY61" s="34">
        <f>IF(AND(E61=1,L61=0),AH61,"")</f>
        <v>15.1</v>
      </c>
      <c r="AZ61" s="34">
        <f>IF(G61=1,F61,"")</f>
        <v>5.1</v>
      </c>
      <c r="BA61" s="34" t="str">
        <f>IF(AND(G61=1,L61=1),F61,"")</f>
        <v/>
      </c>
      <c r="BB61" s="34">
        <f>IF(AND(G61=1,L61=0),F61,"")</f>
        <v>5.1</v>
      </c>
      <c r="BC61" s="33">
        <f>IF(E61=1,IF(Orders!R58&gt;3,1,0),"")</f>
        <v>1</v>
      </c>
      <c r="BD61" s="33">
        <f>IF(E61=1,IF(Orders!R58&gt;7,1,0),"")</f>
        <v>0</v>
      </c>
      <c r="BE61" s="32" t="str">
        <f>IF(E61=1,IF(Orders!L58&lt;=1.5,"Up to 1.5 km",IF(Orders!L58&lt;=3,"1.5–3 km","Over 3 km")),"")</f>
        <v>Up to 1.5 km</v>
      </c>
      <c r="BF61" s="33">
        <f>IF(E61=1,IF(ABS((Orders!G58-Orders!F58)*1440-Orders!R58)&lt;0.06,1,0),"")</f>
        <v>1</v>
      </c>
      <c r="BG61" s="33">
        <f>IF(ABS((Orders!F58-Orders!E58)*1440-Orders!P58)&lt;0.06,1,0)</f>
        <v>1</v>
      </c>
      <c r="BH61" s="33">
        <f>IF(E61=1,IF(IF(Orders!S58,1,0)=1-G61,1,0),"")</f>
        <v>1</v>
      </c>
      <c r="BI61" s="32" t="str">
        <f>INDEX(Stores!$B$2:$B$21,MATCH(B61,Stores!$A$2:$A$21,0))</f>
        <v>Hyderabad</v>
      </c>
    </row>
    <row r="62">
      <c r="A62" s="32" t="str">
        <f>Orders!A59</f>
        <v>O00058</v>
      </c>
      <c r="B62" s="32" t="str">
        <f>Orders!C59</f>
        <v>S001</v>
      </c>
      <c r="C62" s="32" t="str">
        <f>Orders!B59</f>
        <v>C0142</v>
      </c>
      <c r="D62" s="32" t="str">
        <f>Orders!H59</f>
        <v>Delivered</v>
      </c>
      <c r="E62" s="33">
        <f>IF(Orders!H59="Delivered",1,0)</f>
        <v>1</v>
      </c>
      <c r="F62" s="34">
        <f>IF(E62=1,Orders!R59,"")</f>
        <v>-1</v>
      </c>
      <c r="G62" s="33">
        <f>IF(E62=1,IF(Orders!R59&gt;0,1,0),"")</f>
        <v>0</v>
      </c>
      <c r="H62" s="33">
        <f>IF(E62=1,IF(Orders!R59&gt;5,1,0),"")</f>
        <v>0</v>
      </c>
      <c r="I62" s="32" t="str">
        <f>IF(E62=1,"",IF(OR(Orders!T59="Rider unavailable",Orders!T59="Item unavailable"),"Company-caused","Unresolved"))</f>
        <v/>
      </c>
      <c r="J62" s="33">
        <f>IF(OR(E62=1,I62="Company-caused"),1,0)</f>
        <v>1</v>
      </c>
      <c r="K62" s="32" t="str">
        <f>IF(E62=0,IF(I62="Company-caused",IF(Orders!T59="Rider unavailable","C1 Rider unavailable","C2 Item unavailable"),"Outside root: unresolved"),IF(G62=0,"A On time",IF(H62=1,IF(L62=1,"B2a Severe, peak","B2b Severe, off-peak"),IF(L62=1,"B1a Slight, peak","B1b Slight, off-peak"))))</f>
        <v>A On time</v>
      </c>
      <c r="L62" s="33">
        <f>IF(AND(Orders!U59&gt;=19,Orders!U59&lt;22),1,0)</f>
        <v>0</v>
      </c>
      <c r="M62" s="33">
        <f>IF(L62=IF(Orders!V59,1,0),1,0)</f>
        <v>1</v>
      </c>
      <c r="N62" s="32" t="str">
        <f>IF(Orders!W59="","None",Orders!W59)</f>
        <v>None</v>
      </c>
      <c r="O62" s="35">
        <f>INT(Orders!E59)</f>
        <v>46268.0</v>
      </c>
      <c r="P62" s="33">
        <f>Orders!U59</f>
        <v>8</v>
      </c>
      <c r="Q62" s="33">
        <f>COUNTIFS(Demand!$A$2:$A$4481,B62,Demand!$B$2:$B$4481,O62,Demand!$C$2:$C$4481,P62)</f>
        <v>1</v>
      </c>
      <c r="R62" s="33">
        <f>IF(Q62=1,SUMIFS(Demand!$E$2:$E$4481,Demand!$A$2:$A$4481,B62,Demand!$B$2:$B$4481,O62,Demand!$C$2:$C$4481,P62),"")</f>
        <v>13</v>
      </c>
      <c r="S62" s="33">
        <f>INDEX(Stores!$G$2:$G$21,MATCH(B62,Stores!$A$2:$A$21,0))</f>
        <v>16</v>
      </c>
      <c r="T62" s="34">
        <f>IF(R62="","",R62/S62)</f>
        <v>0.8125</v>
      </c>
      <c r="U62" s="34">
        <f>IF(E62=1,T62,"")</f>
        <v>0.8125</v>
      </c>
      <c r="V62" s="34">
        <f>IF(AND(E62=1,L62=0),T62,"")</f>
        <v>0.8125</v>
      </c>
      <c r="W62" s="33">
        <f>IF(U62="","",IF(U62&lt;=Breakdowns!$C$5,1,IF(U62&lt;=Breakdowns!$C$6,2,IF(U62&lt;=Breakdowns!$C$7,3,4))))</f>
        <v>2</v>
      </c>
      <c r="X62" s="33">
        <f>IF(V62="","",IF(V62&lt;=Breakdowns!$D$5,1,IF(V62&lt;=Breakdowns!$D$6,2,IF(V62&lt;=Breakdowns!$D$7,3,4))))</f>
        <v>2</v>
      </c>
      <c r="Y62" s="34">
        <f>INDEX(Stores!$F$2:$F$21,MATCH(B62,Stores!$A$2:$A$21,0))</f>
        <v>4.59</v>
      </c>
      <c r="Z62" s="33">
        <f>IF(Y62&gt;Store_Summary!$M$2,1,0)</f>
        <v>0</v>
      </c>
      <c r="AA62" s="33">
        <f>INDEX(Stores!$C$2:$C$21,MATCH(B62,Stores!$A$2:$A$21,0))</f>
        <v>362</v>
      </c>
      <c r="AB62" s="33">
        <f>IF(AA62&lt;180,1,0)</f>
        <v>0</v>
      </c>
      <c r="AC62" s="32" t="str">
        <f>IF(Orders!D59="","",INDEX(Riders!$C$2:$C$81,MATCH(Orders!D59,Riders!$A$2:$A$81,0)))</f>
        <v>EV scooter</v>
      </c>
      <c r="AD62" s="33">
        <f>IF(Orders!D59="","",INDEX(Riders!$D$2:$D$81,MATCH(Orders!D59,Riders!$A$2:$A$81,0)))</f>
        <v>14</v>
      </c>
      <c r="AE62" s="33">
        <f>IF(Orders!D59="","",IF(INDEX(Riders!$B$2:$B$81,MATCH(Orders!D59,Riders!$A$2:$A$81,0))=B62,1,0))</f>
        <v>0</v>
      </c>
      <c r="AF62" s="34">
        <f>IF(E62=1,Orders!L59,"")</f>
        <v>4.3</v>
      </c>
      <c r="AG62" s="34">
        <f>IF(E62=1,Orders!P59,"")</f>
        <v>10.6</v>
      </c>
      <c r="AH62" s="34">
        <f>IF(E62=1,Orders!Q59,"")</f>
        <v>9.6</v>
      </c>
      <c r="AI62" s="34">
        <f>IF(E62=1,Orders!M59,"")</f>
        <v>2.4</v>
      </c>
      <c r="AJ62" s="34">
        <f>IF(E62=1,Orders!N59,"")</f>
        <v>1.9</v>
      </c>
      <c r="AK62" s="34">
        <f>IF(E62=1,Orders!O59,"")</f>
        <v>5.3</v>
      </c>
      <c r="AL62" s="33">
        <f>IF(E62=1,IF(ROUND(ABS(AI62+AJ62+AK62-AH62),6)&lt;=0.1,1,0),"")</f>
        <v>1</v>
      </c>
      <c r="AM62" s="36">
        <f>IF(E62=1,AI62/AH62,"")</f>
        <v>0.25</v>
      </c>
      <c r="AN62" s="36">
        <f>IF(E62=1,AJ62/AH62,"")</f>
        <v>0.197916666666667</v>
      </c>
      <c r="AO62" s="36">
        <f>IF(E62=1,AK62/AH62,"")</f>
        <v>0.552083333333333</v>
      </c>
      <c r="AP62" s="34">
        <f>IF(E62=1,Orders!Y59,"")</f>
        <v>0.5</v>
      </c>
      <c r="AQ62" s="33">
        <f>IF(Orders!X59,1,0)</f>
        <v>0</v>
      </c>
      <c r="AR62" s="34" t="str">
        <f>IF(AND(E62=1,L62=1),AJ62,"")</f>
        <v/>
      </c>
      <c r="AS62" s="34">
        <f>IF(AND(E62=1,L62=0),AJ62,"")</f>
        <v>1.9</v>
      </c>
      <c r="AT62" s="34" t="str">
        <f>IF(AND(E62=1,L62=1),AI62,"")</f>
        <v/>
      </c>
      <c r="AU62" s="34">
        <f>IF(AND(E62=1,L62=0),AI62,"")</f>
        <v>2.4</v>
      </c>
      <c r="AV62" s="34" t="str">
        <f>IF(AND(E62=1,L62=1),AG62,"")</f>
        <v/>
      </c>
      <c r="AW62" s="34">
        <f>IF(AND(E62=1,L62=0),AG62,"")</f>
        <v>10.6</v>
      </c>
      <c r="AX62" s="34" t="str">
        <f>IF(AND(E62=1,L62=1),AH62,"")</f>
        <v/>
      </c>
      <c r="AY62" s="34">
        <f>IF(AND(E62=1,L62=0),AH62,"")</f>
        <v>9.6</v>
      </c>
      <c r="AZ62" s="34" t="str">
        <f>IF(G62=1,F62,"")</f>
        <v/>
      </c>
      <c r="BA62" s="34" t="str">
        <f>IF(AND(G62=1,L62=1),F62,"")</f>
        <v/>
      </c>
      <c r="BB62" s="34" t="str">
        <f>IF(AND(G62=1,L62=0),F62,"")</f>
        <v/>
      </c>
      <c r="BC62" s="33">
        <f>IF(E62=1,IF(Orders!R59&gt;3,1,0),"")</f>
        <v>0</v>
      </c>
      <c r="BD62" s="33">
        <f>IF(E62=1,IF(Orders!R59&gt;7,1,0),"")</f>
        <v>0</v>
      </c>
      <c r="BE62" s="32" t="str">
        <f>IF(E62=1,IF(Orders!L59&lt;=1.5,"Up to 1.5 km",IF(Orders!L59&lt;=3,"1.5–3 km","Over 3 km")),"")</f>
        <v>Over 3 km</v>
      </c>
      <c r="BF62" s="33">
        <f>IF(E62=1,IF(ABS((Orders!G59-Orders!F59)*1440-Orders!R59)&lt;0.06,1,0),"")</f>
        <v>1</v>
      </c>
      <c r="BG62" s="33">
        <f>IF(ABS((Orders!F59-Orders!E59)*1440-Orders!P59)&lt;0.06,1,0)</f>
        <v>1</v>
      </c>
      <c r="BH62" s="33">
        <f>IF(E62=1,IF(IF(Orders!S59,1,0)=1-G62,1,0),"")</f>
        <v>1</v>
      </c>
      <c r="BI62" s="32" t="str">
        <f>INDEX(Stores!$B$2:$B$21,MATCH(B62,Stores!$A$2:$A$21,0))</f>
        <v>Bengaluru</v>
      </c>
    </row>
    <row r="63">
      <c r="A63" s="32" t="str">
        <f>Orders!A60</f>
        <v>O00059</v>
      </c>
      <c r="B63" s="32" t="str">
        <f>Orders!C60</f>
        <v>S011</v>
      </c>
      <c r="C63" s="32" t="str">
        <f>Orders!B60</f>
        <v>C0120</v>
      </c>
      <c r="D63" s="32" t="str">
        <f>Orders!H60</f>
        <v>Delivered</v>
      </c>
      <c r="E63" s="33">
        <f>IF(Orders!H60="Delivered",1,0)</f>
        <v>1</v>
      </c>
      <c r="F63" s="34">
        <f>IF(E63=1,Orders!R60,"")</f>
        <v>11.4</v>
      </c>
      <c r="G63" s="33">
        <f>IF(E63=1,IF(Orders!R60&gt;0,1,0),"")</f>
        <v>1</v>
      </c>
      <c r="H63" s="33">
        <f>IF(E63=1,IF(Orders!R60&gt;5,1,0),"")</f>
        <v>1</v>
      </c>
      <c r="I63" s="32" t="str">
        <f>IF(E63=1,"",IF(OR(Orders!T60="Rider unavailable",Orders!T60="Item unavailable"),"Company-caused","Unresolved"))</f>
        <v/>
      </c>
      <c r="J63" s="33">
        <f>IF(OR(E63=1,I63="Company-caused"),1,0)</f>
        <v>1</v>
      </c>
      <c r="K63" s="32" t="str">
        <f>IF(E63=0,IF(I63="Company-caused",IF(Orders!T60="Rider unavailable","C1 Rider unavailable","C2 Item unavailable"),"Outside root: unresolved"),IF(G63=0,"A On time",IF(H63=1,IF(L63=1,"B2a Severe, peak","B2b Severe, off-peak"),IF(L63=1,"B1a Slight, peak","B1b Slight, off-peak"))))</f>
        <v>B2b Severe, off-peak</v>
      </c>
      <c r="L63" s="33">
        <f>IF(AND(Orders!U60&gt;=19,Orders!U60&lt;22),1,0)</f>
        <v>0</v>
      </c>
      <c r="M63" s="33">
        <f>IF(L63=IF(Orders!V60,1,0),1,0)</f>
        <v>1</v>
      </c>
      <c r="N63" s="32" t="str">
        <f>IF(Orders!W60="","None",Orders!W60)</f>
        <v>Heavy</v>
      </c>
      <c r="O63" s="35">
        <f>INT(Orders!E60)</f>
        <v>46271.0</v>
      </c>
      <c r="P63" s="33">
        <f>Orders!U60</f>
        <v>11</v>
      </c>
      <c r="Q63" s="33">
        <f>COUNTIFS(Demand!$A$2:$A$4481,B63,Demand!$B$2:$B$4481,O63,Demand!$C$2:$C$4481,P63)</f>
        <v>1</v>
      </c>
      <c r="R63" s="33">
        <f>IF(Q63=1,SUMIFS(Demand!$E$2:$E$4481,Demand!$A$2:$A$4481,B63,Demand!$B$2:$B$4481,O63,Demand!$C$2:$C$4481,P63),"")</f>
        <v>38</v>
      </c>
      <c r="S63" s="33">
        <f>INDEX(Stores!$G$2:$G$21,MATCH(B63,Stores!$A$2:$A$21,0))</f>
        <v>31</v>
      </c>
      <c r="T63" s="34">
        <f>IF(R63="","",R63/S63)</f>
        <v>1.2258064516129</v>
      </c>
      <c r="U63" s="34">
        <f>IF(E63=1,T63,"")</f>
        <v>1.2258064516129</v>
      </c>
      <c r="V63" s="34">
        <f>IF(AND(E63=1,L63=0),T63,"")</f>
        <v>1.2258064516129</v>
      </c>
      <c r="W63" s="33">
        <f>IF(U63="","",IF(U63&lt;=Breakdowns!$C$5,1,IF(U63&lt;=Breakdowns!$C$6,2,IF(U63&lt;=Breakdowns!$C$7,3,4))))</f>
        <v>4</v>
      </c>
      <c r="X63" s="33">
        <f>IF(V63="","",IF(V63&lt;=Breakdowns!$D$5,1,IF(V63&lt;=Breakdowns!$D$6,2,IF(V63&lt;=Breakdowns!$D$7,3,4))))</f>
        <v>4</v>
      </c>
      <c r="Y63" s="34">
        <f>INDEX(Stores!$F$2:$F$21,MATCH(B63,Stores!$A$2:$A$21,0))</f>
        <v>5.67</v>
      </c>
      <c r="Z63" s="33">
        <f>IF(Y63&gt;Store_Summary!$M$2,1,0)</f>
        <v>1</v>
      </c>
      <c r="AA63" s="33">
        <f>INDEX(Stores!$C$2:$C$21,MATCH(B63,Stores!$A$2:$A$21,0))</f>
        <v>732</v>
      </c>
      <c r="AB63" s="33">
        <f>IF(AA63&lt;180,1,0)</f>
        <v>0</v>
      </c>
      <c r="AC63" s="32" t="str">
        <f>IF(Orders!D60="","",INDEX(Riders!$C$2:$C$81,MATCH(Orders!D60,Riders!$A$2:$A$81,0)))</f>
        <v>EV scooter</v>
      </c>
      <c r="AD63" s="33">
        <f>IF(Orders!D60="","",INDEX(Riders!$D$2:$D$81,MATCH(Orders!D60,Riders!$A$2:$A$81,0)))</f>
        <v>18</v>
      </c>
      <c r="AE63" s="33">
        <f>IF(Orders!D60="","",IF(INDEX(Riders!$B$2:$B$81,MATCH(Orders!D60,Riders!$A$2:$A$81,0))=B63,1,0))</f>
        <v>0</v>
      </c>
      <c r="AF63" s="34">
        <f>IF(E63=1,Orders!L60,"")</f>
        <v>3.3</v>
      </c>
      <c r="AG63" s="34">
        <f>IF(E63=1,Orders!P60,"")</f>
        <v>9.7</v>
      </c>
      <c r="AH63" s="34">
        <f>IF(E63=1,Orders!Q60,"")</f>
        <v>21.1</v>
      </c>
      <c r="AI63" s="34">
        <f>IF(E63=1,Orders!M60,"")</f>
        <v>6.1</v>
      </c>
      <c r="AJ63" s="34">
        <f>IF(E63=1,Orders!N60,"")</f>
        <v>4.8</v>
      </c>
      <c r="AK63" s="34">
        <f>IF(E63=1,Orders!O60,"")</f>
        <v>10.2</v>
      </c>
      <c r="AL63" s="33">
        <f>IF(E63=1,IF(ROUND(ABS(AI63+AJ63+AK63-AH63),6)&lt;=0.1,1,0),"")</f>
        <v>1</v>
      </c>
      <c r="AM63" s="36">
        <f>IF(E63=1,AI63/AH63,"")</f>
        <v>0.289099526066351</v>
      </c>
      <c r="AN63" s="36">
        <f>IF(E63=1,AJ63/AH63,"")</f>
        <v>0.227488151658768</v>
      </c>
      <c r="AO63" s="36">
        <f>IF(E63=1,AK63/AH63,"")</f>
        <v>0.483412322274881</v>
      </c>
      <c r="AP63" s="34">
        <f>IF(E63=1,Orders!Y60,"")</f>
        <v>0.52</v>
      </c>
      <c r="AQ63" s="33">
        <f>IF(Orders!X60,1,0)</f>
        <v>0</v>
      </c>
      <c r="AR63" s="34" t="str">
        <f>IF(AND(E63=1,L63=1),AJ63,"")</f>
        <v/>
      </c>
      <c r="AS63" s="34">
        <f>IF(AND(E63=1,L63=0),AJ63,"")</f>
        <v>4.8</v>
      </c>
      <c r="AT63" s="34" t="str">
        <f>IF(AND(E63=1,L63=1),AI63,"")</f>
        <v/>
      </c>
      <c r="AU63" s="34">
        <f>IF(AND(E63=1,L63=0),AI63,"")</f>
        <v>6.1</v>
      </c>
      <c r="AV63" s="34" t="str">
        <f>IF(AND(E63=1,L63=1),AG63,"")</f>
        <v/>
      </c>
      <c r="AW63" s="34">
        <f>IF(AND(E63=1,L63=0),AG63,"")</f>
        <v>9.7</v>
      </c>
      <c r="AX63" s="34" t="str">
        <f>IF(AND(E63=1,L63=1),AH63,"")</f>
        <v/>
      </c>
      <c r="AY63" s="34">
        <f>IF(AND(E63=1,L63=0),AH63,"")</f>
        <v>21.1</v>
      </c>
      <c r="AZ63" s="34">
        <f>IF(G63=1,F63,"")</f>
        <v>11.4</v>
      </c>
      <c r="BA63" s="34" t="str">
        <f>IF(AND(G63=1,L63=1),F63,"")</f>
        <v/>
      </c>
      <c r="BB63" s="34">
        <f>IF(AND(G63=1,L63=0),F63,"")</f>
        <v>11.4</v>
      </c>
      <c r="BC63" s="33">
        <f>IF(E63=1,IF(Orders!R60&gt;3,1,0),"")</f>
        <v>1</v>
      </c>
      <c r="BD63" s="33">
        <f>IF(E63=1,IF(Orders!R60&gt;7,1,0),"")</f>
        <v>1</v>
      </c>
      <c r="BE63" s="32" t="str">
        <f>IF(E63=1,IF(Orders!L60&lt;=1.5,"Up to 1.5 km",IF(Orders!L60&lt;=3,"1.5–3 km","Over 3 km")),"")</f>
        <v>Over 3 km</v>
      </c>
      <c r="BF63" s="33">
        <f>IF(E63=1,IF(ABS((Orders!G60-Orders!F60)*1440-Orders!R60)&lt;0.06,1,0),"")</f>
        <v>1</v>
      </c>
      <c r="BG63" s="33">
        <f>IF(ABS((Orders!F60-Orders!E60)*1440-Orders!P60)&lt;0.06,1,0)</f>
        <v>1</v>
      </c>
      <c r="BH63" s="33">
        <f>IF(E63=1,IF(IF(Orders!S60,1,0)=1-G63,1,0),"")</f>
        <v>1</v>
      </c>
      <c r="BI63" s="32" t="str">
        <f>INDEX(Stores!$B$2:$B$21,MATCH(B63,Stores!$A$2:$A$21,0))</f>
        <v>Bengaluru</v>
      </c>
    </row>
    <row r="64">
      <c r="A64" s="32" t="str">
        <f>Orders!A61</f>
        <v>O00060</v>
      </c>
      <c r="B64" s="32" t="str">
        <f>Orders!C61</f>
        <v>S006</v>
      </c>
      <c r="C64" s="32" t="str">
        <f>Orders!B61</f>
        <v>C0205</v>
      </c>
      <c r="D64" s="32" t="str">
        <f>Orders!H61</f>
        <v>Delivered</v>
      </c>
      <c r="E64" s="33">
        <f>IF(Orders!H61="Delivered",1,0)</f>
        <v>1</v>
      </c>
      <c r="F64" s="34">
        <f>IF(E64=1,Orders!R61,"")</f>
        <v>-0.5</v>
      </c>
      <c r="G64" s="33">
        <f>IF(E64=1,IF(Orders!R61&gt;0,1,0),"")</f>
        <v>0</v>
      </c>
      <c r="H64" s="33">
        <f>IF(E64=1,IF(Orders!R61&gt;5,1,0),"")</f>
        <v>0</v>
      </c>
      <c r="I64" s="32" t="str">
        <f>IF(E64=1,"",IF(OR(Orders!T61="Rider unavailable",Orders!T61="Item unavailable"),"Company-caused","Unresolved"))</f>
        <v/>
      </c>
      <c r="J64" s="33">
        <f>IF(OR(E64=1,I64="Company-caused"),1,0)</f>
        <v>1</v>
      </c>
      <c r="K64" s="32" t="str">
        <f>IF(E64=0,IF(I64="Company-caused",IF(Orders!T61="Rider unavailable","C1 Rider unavailable","C2 Item unavailable"),"Outside root: unresolved"),IF(G64=0,"A On time",IF(H64=1,IF(L64=1,"B2a Severe, peak","B2b Severe, off-peak"),IF(L64=1,"B1a Slight, peak","B1b Slight, off-peak"))))</f>
        <v>A On time</v>
      </c>
      <c r="L64" s="33">
        <f>IF(AND(Orders!U61&gt;=19,Orders!U61&lt;22),1,0)</f>
        <v>0</v>
      </c>
      <c r="M64" s="33">
        <f>IF(L64=IF(Orders!V61,1,0),1,0)</f>
        <v>1</v>
      </c>
      <c r="N64" s="32" t="str">
        <f>IF(Orders!W61="","None",Orders!W61)</f>
        <v>Light</v>
      </c>
      <c r="O64" s="35">
        <f>INT(Orders!E61)</f>
        <v>46275.0</v>
      </c>
      <c r="P64" s="33">
        <f>Orders!U61</f>
        <v>15</v>
      </c>
      <c r="Q64" s="33">
        <f>COUNTIFS(Demand!$A$2:$A$4481,B64,Demand!$B$2:$B$4481,O64,Demand!$C$2:$C$4481,P64)</f>
        <v>1</v>
      </c>
      <c r="R64" s="33">
        <f>IF(Q64=1,SUMIFS(Demand!$E$2:$E$4481,Demand!$A$2:$A$4481,B64,Demand!$B$2:$B$4481,O64,Demand!$C$2:$C$4481,P64),"")</f>
        <v>20</v>
      </c>
      <c r="S64" s="33">
        <f>INDEX(Stores!$G$2:$G$21,MATCH(B64,Stores!$A$2:$A$21,0))</f>
        <v>26</v>
      </c>
      <c r="T64" s="34">
        <f>IF(R64="","",R64/S64)</f>
        <v>0.769230769230769</v>
      </c>
      <c r="U64" s="34">
        <f>IF(E64=1,T64,"")</f>
        <v>0.769230769230769</v>
      </c>
      <c r="V64" s="34">
        <f>IF(AND(E64=1,L64=0),T64,"")</f>
        <v>0.769230769230769</v>
      </c>
      <c r="W64" s="33">
        <f>IF(U64="","",IF(U64&lt;=Breakdowns!$C$5,1,IF(U64&lt;=Breakdowns!$C$6,2,IF(U64&lt;=Breakdowns!$C$7,3,4))))</f>
        <v>1</v>
      </c>
      <c r="X64" s="33">
        <f>IF(V64="","",IF(V64&lt;=Breakdowns!$D$5,1,IF(V64&lt;=Breakdowns!$D$6,2,IF(V64&lt;=Breakdowns!$D$7,3,4))))</f>
        <v>2</v>
      </c>
      <c r="Y64" s="34">
        <f>INDEX(Stores!$F$2:$F$21,MATCH(B64,Stores!$A$2:$A$21,0))</f>
        <v>5.22</v>
      </c>
      <c r="Z64" s="33">
        <f>IF(Y64&gt;Store_Summary!$M$2,1,0)</f>
        <v>1</v>
      </c>
      <c r="AA64" s="33">
        <f>INDEX(Stores!$C$2:$C$21,MATCH(B64,Stores!$A$2:$A$21,0))</f>
        <v>412</v>
      </c>
      <c r="AB64" s="33">
        <f>IF(AA64&lt;180,1,0)</f>
        <v>0</v>
      </c>
      <c r="AC64" s="32" t="str">
        <f>IF(Orders!D61="","",INDEX(Riders!$C$2:$C$81,MATCH(Orders!D61,Riders!$A$2:$A$81,0)))</f>
        <v>EV scooter</v>
      </c>
      <c r="AD64" s="33">
        <f>IF(Orders!D61="","",INDEX(Riders!$D$2:$D$81,MATCH(Orders!D61,Riders!$A$2:$A$81,0)))</f>
        <v>32</v>
      </c>
      <c r="AE64" s="33">
        <f>IF(Orders!D61="","",IF(INDEX(Riders!$B$2:$B$81,MATCH(Orders!D61,Riders!$A$2:$A$81,0))=B64,1,0))</f>
        <v>0</v>
      </c>
      <c r="AF64" s="34">
        <f>IF(E64=1,Orders!L61,"")</f>
        <v>1.03</v>
      </c>
      <c r="AG64" s="34">
        <f>IF(E64=1,Orders!P61,"")</f>
        <v>10</v>
      </c>
      <c r="AH64" s="34">
        <f>IF(E64=1,Orders!Q61,"")</f>
        <v>9.5</v>
      </c>
      <c r="AI64" s="34">
        <f>IF(E64=1,Orders!M61,"")</f>
        <v>2.9</v>
      </c>
      <c r="AJ64" s="34">
        <f>IF(E64=1,Orders!N61,"")</f>
        <v>3.5</v>
      </c>
      <c r="AK64" s="34">
        <f>IF(E64=1,Orders!O61,"")</f>
        <v>3.1</v>
      </c>
      <c r="AL64" s="33">
        <f>IF(E64=1,IF(ROUND(ABS(AI64+AJ64+AK64-AH64),6)&lt;=0.1,1,0),"")</f>
        <v>1</v>
      </c>
      <c r="AM64" s="36">
        <f>IF(E64=1,AI64/AH64,"")</f>
        <v>0.305263157894737</v>
      </c>
      <c r="AN64" s="36">
        <f>IF(E64=1,AJ64/AH64,"")</f>
        <v>0.368421052631579</v>
      </c>
      <c r="AO64" s="36">
        <f>IF(E64=1,AK64/AH64,"")</f>
        <v>0.326315789473684</v>
      </c>
      <c r="AP64" s="34">
        <f>IF(E64=1,Orders!Y61,"")</f>
        <v>0.74</v>
      </c>
      <c r="AQ64" s="33">
        <f>IF(Orders!X61,1,0)</f>
        <v>0</v>
      </c>
      <c r="AR64" s="34" t="str">
        <f>IF(AND(E64=1,L64=1),AJ64,"")</f>
        <v/>
      </c>
      <c r="AS64" s="34">
        <f>IF(AND(E64=1,L64=0),AJ64,"")</f>
        <v>3.5</v>
      </c>
      <c r="AT64" s="34" t="str">
        <f>IF(AND(E64=1,L64=1),AI64,"")</f>
        <v/>
      </c>
      <c r="AU64" s="34">
        <f>IF(AND(E64=1,L64=0),AI64,"")</f>
        <v>2.9</v>
      </c>
      <c r="AV64" s="34" t="str">
        <f>IF(AND(E64=1,L64=1),AG64,"")</f>
        <v/>
      </c>
      <c r="AW64" s="34">
        <f>IF(AND(E64=1,L64=0),AG64,"")</f>
        <v>10</v>
      </c>
      <c r="AX64" s="34" t="str">
        <f>IF(AND(E64=1,L64=1),AH64,"")</f>
        <v/>
      </c>
      <c r="AY64" s="34">
        <f>IF(AND(E64=1,L64=0),AH64,"")</f>
        <v>9.5</v>
      </c>
      <c r="AZ64" s="34" t="str">
        <f>IF(G64=1,F64,"")</f>
        <v/>
      </c>
      <c r="BA64" s="34" t="str">
        <f>IF(AND(G64=1,L64=1),F64,"")</f>
        <v/>
      </c>
      <c r="BB64" s="34" t="str">
        <f>IF(AND(G64=1,L64=0),F64,"")</f>
        <v/>
      </c>
      <c r="BC64" s="33">
        <f>IF(E64=1,IF(Orders!R61&gt;3,1,0),"")</f>
        <v>0</v>
      </c>
      <c r="BD64" s="33">
        <f>IF(E64=1,IF(Orders!R61&gt;7,1,0),"")</f>
        <v>0</v>
      </c>
      <c r="BE64" s="32" t="str">
        <f>IF(E64=1,IF(Orders!L61&lt;=1.5,"Up to 1.5 km",IF(Orders!L61&lt;=3,"1.5–3 km","Over 3 km")),"")</f>
        <v>Up to 1.5 km</v>
      </c>
      <c r="BF64" s="33">
        <f>IF(E64=1,IF(ABS((Orders!G61-Orders!F61)*1440-Orders!R61)&lt;0.06,1,0),"")</f>
        <v>1</v>
      </c>
      <c r="BG64" s="33">
        <f>IF(ABS((Orders!F61-Orders!E61)*1440-Orders!P61)&lt;0.06,1,0)</f>
        <v>1</v>
      </c>
      <c r="BH64" s="33">
        <f>IF(E64=1,IF(IF(Orders!S61,1,0)=1-G64,1,0),"")</f>
        <v>1</v>
      </c>
      <c r="BI64" s="32" t="str">
        <f>INDEX(Stores!$B$2:$B$21,MATCH(B64,Stores!$A$2:$A$21,0))</f>
        <v>Bengaluru</v>
      </c>
    </row>
    <row r="65">
      <c r="A65" s="32" t="str">
        <f>Orders!A62</f>
        <v>O00061</v>
      </c>
      <c r="B65" s="32" t="str">
        <f>Orders!C62</f>
        <v>S006</v>
      </c>
      <c r="C65" s="32" t="str">
        <f>Orders!B62</f>
        <v>C0197</v>
      </c>
      <c r="D65" s="32" t="str">
        <f>Orders!H62</f>
        <v>Delivered</v>
      </c>
      <c r="E65" s="33">
        <f>IF(Orders!H62="Delivered",1,0)</f>
        <v>1</v>
      </c>
      <c r="F65" s="34">
        <f>IF(E65=1,Orders!R62,"")</f>
        <v>-0.9</v>
      </c>
      <c r="G65" s="33">
        <f>IF(E65=1,IF(Orders!R62&gt;0,1,0),"")</f>
        <v>0</v>
      </c>
      <c r="H65" s="33">
        <f>IF(E65=1,IF(Orders!R62&gt;5,1,0),"")</f>
        <v>0</v>
      </c>
      <c r="I65" s="32" t="str">
        <f>IF(E65=1,"",IF(OR(Orders!T62="Rider unavailable",Orders!T62="Item unavailable"),"Company-caused","Unresolved"))</f>
        <v/>
      </c>
      <c r="J65" s="33">
        <f>IF(OR(E65=1,I65="Company-caused"),1,0)</f>
        <v>1</v>
      </c>
      <c r="K65" s="32" t="str">
        <f>IF(E65=0,IF(I65="Company-caused",IF(Orders!T62="Rider unavailable","C1 Rider unavailable","C2 Item unavailable"),"Outside root: unresolved"),IF(G65=0,"A On time",IF(H65=1,IF(L65=1,"B2a Severe, peak","B2b Severe, off-peak"),IF(L65=1,"B1a Slight, peak","B1b Slight, off-peak"))))</f>
        <v>A On time</v>
      </c>
      <c r="L65" s="33">
        <f>IF(AND(Orders!U62&gt;=19,Orders!U62&lt;22),1,0)</f>
        <v>0</v>
      </c>
      <c r="M65" s="33">
        <f>IF(L65=IF(Orders!V62,1,0),1,0)</f>
        <v>1</v>
      </c>
      <c r="N65" s="32" t="str">
        <f>IF(Orders!W62="","None",Orders!W62)</f>
        <v>None</v>
      </c>
      <c r="O65" s="35">
        <f>INT(Orders!E62)</f>
        <v>46275.0</v>
      </c>
      <c r="P65" s="33">
        <f>Orders!U62</f>
        <v>16</v>
      </c>
      <c r="Q65" s="33">
        <f>COUNTIFS(Demand!$A$2:$A$4481,B65,Demand!$B$2:$B$4481,O65,Demand!$C$2:$C$4481,P65)</f>
        <v>1</v>
      </c>
      <c r="R65" s="33">
        <f>IF(Q65=1,SUMIFS(Demand!$E$2:$E$4481,Demand!$A$2:$A$4481,B65,Demand!$B$2:$B$4481,O65,Demand!$C$2:$C$4481,P65),"")</f>
        <v>22</v>
      </c>
      <c r="S65" s="33">
        <f>INDEX(Stores!$G$2:$G$21,MATCH(B65,Stores!$A$2:$A$21,0))</f>
        <v>26</v>
      </c>
      <c r="T65" s="34">
        <f>IF(R65="","",R65/S65)</f>
        <v>0.846153846153846</v>
      </c>
      <c r="U65" s="34">
        <f>IF(E65=1,T65,"")</f>
        <v>0.846153846153846</v>
      </c>
      <c r="V65" s="34">
        <f>IF(AND(E65=1,L65=0),T65,"")</f>
        <v>0.846153846153846</v>
      </c>
      <c r="W65" s="33">
        <f>IF(U65="","",IF(U65&lt;=Breakdowns!$C$5,1,IF(U65&lt;=Breakdowns!$C$6,2,IF(U65&lt;=Breakdowns!$C$7,3,4))))</f>
        <v>2</v>
      </c>
      <c r="X65" s="33">
        <f>IF(V65="","",IF(V65&lt;=Breakdowns!$D$5,1,IF(V65&lt;=Breakdowns!$D$6,2,IF(V65&lt;=Breakdowns!$D$7,3,4))))</f>
        <v>2</v>
      </c>
      <c r="Y65" s="34">
        <f>INDEX(Stores!$F$2:$F$21,MATCH(B65,Stores!$A$2:$A$21,0))</f>
        <v>5.22</v>
      </c>
      <c r="Z65" s="33">
        <f>IF(Y65&gt;Store_Summary!$M$2,1,0)</f>
        <v>1</v>
      </c>
      <c r="AA65" s="33">
        <f>INDEX(Stores!$C$2:$C$21,MATCH(B65,Stores!$A$2:$A$21,0))</f>
        <v>412</v>
      </c>
      <c r="AB65" s="33">
        <f>IF(AA65&lt;180,1,0)</f>
        <v>0</v>
      </c>
      <c r="AC65" s="32" t="str">
        <f>IF(Orders!D62="","",INDEX(Riders!$C$2:$C$81,MATCH(Orders!D62,Riders!$A$2:$A$81,0)))</f>
        <v>EV scooter</v>
      </c>
      <c r="AD65" s="33">
        <f>IF(Orders!D62="","",INDEX(Riders!$D$2:$D$81,MATCH(Orders!D62,Riders!$A$2:$A$81,0)))</f>
        <v>2</v>
      </c>
      <c r="AE65" s="33">
        <f>IF(Orders!D62="","",IF(INDEX(Riders!$B$2:$B$81,MATCH(Orders!D62,Riders!$A$2:$A$81,0))=B65,1,0))</f>
        <v>0</v>
      </c>
      <c r="AF65" s="34">
        <f>IF(E65=1,Orders!L62,"")</f>
        <v>3.15</v>
      </c>
      <c r="AG65" s="34">
        <f>IF(E65=1,Orders!P62,"")</f>
        <v>10.8</v>
      </c>
      <c r="AH65" s="34">
        <f>IF(E65=1,Orders!Q62,"")</f>
        <v>9.9</v>
      </c>
      <c r="AI65" s="34">
        <f>IF(E65=1,Orders!M62,"")</f>
        <v>2.8</v>
      </c>
      <c r="AJ65" s="34">
        <f>IF(E65=1,Orders!N62,"")</f>
        <v>2</v>
      </c>
      <c r="AK65" s="34">
        <f>IF(E65=1,Orders!O62,"")</f>
        <v>5.1</v>
      </c>
      <c r="AL65" s="33">
        <f>IF(E65=1,IF(ROUND(ABS(AI65+AJ65+AK65-AH65),6)&lt;=0.1,1,0),"")</f>
        <v>1</v>
      </c>
      <c r="AM65" s="36">
        <f>IF(E65=1,AI65/AH65,"")</f>
        <v>0.282828282828283</v>
      </c>
      <c r="AN65" s="36">
        <f>IF(E65=1,AJ65/AH65,"")</f>
        <v>0.202020202020202</v>
      </c>
      <c r="AO65" s="36">
        <f>IF(E65=1,AK65/AH65,"")</f>
        <v>0.515151515151515</v>
      </c>
      <c r="AP65" s="34">
        <f>IF(E65=1,Orders!Y62,"")</f>
        <v>0.52</v>
      </c>
      <c r="AQ65" s="33">
        <f>IF(Orders!X62,1,0)</f>
        <v>1</v>
      </c>
      <c r="AR65" s="34" t="str">
        <f>IF(AND(E65=1,L65=1),AJ65,"")</f>
        <v/>
      </c>
      <c r="AS65" s="34">
        <f>IF(AND(E65=1,L65=0),AJ65,"")</f>
        <v>2</v>
      </c>
      <c r="AT65" s="34" t="str">
        <f>IF(AND(E65=1,L65=1),AI65,"")</f>
        <v/>
      </c>
      <c r="AU65" s="34">
        <f>IF(AND(E65=1,L65=0),AI65,"")</f>
        <v>2.8</v>
      </c>
      <c r="AV65" s="34" t="str">
        <f>IF(AND(E65=1,L65=1),AG65,"")</f>
        <v/>
      </c>
      <c r="AW65" s="34">
        <f>IF(AND(E65=1,L65=0),AG65,"")</f>
        <v>10.8</v>
      </c>
      <c r="AX65" s="34" t="str">
        <f>IF(AND(E65=1,L65=1),AH65,"")</f>
        <v/>
      </c>
      <c r="AY65" s="34">
        <f>IF(AND(E65=1,L65=0),AH65,"")</f>
        <v>9.9</v>
      </c>
      <c r="AZ65" s="34" t="str">
        <f>IF(G65=1,F65,"")</f>
        <v/>
      </c>
      <c r="BA65" s="34" t="str">
        <f>IF(AND(G65=1,L65=1),F65,"")</f>
        <v/>
      </c>
      <c r="BB65" s="34" t="str">
        <f>IF(AND(G65=1,L65=0),F65,"")</f>
        <v/>
      </c>
      <c r="BC65" s="33">
        <f>IF(E65=1,IF(Orders!R62&gt;3,1,0),"")</f>
        <v>0</v>
      </c>
      <c r="BD65" s="33">
        <f>IF(E65=1,IF(Orders!R62&gt;7,1,0),"")</f>
        <v>0</v>
      </c>
      <c r="BE65" s="32" t="str">
        <f>IF(E65=1,IF(Orders!L62&lt;=1.5,"Up to 1.5 km",IF(Orders!L62&lt;=3,"1.5–3 km","Over 3 km")),"")</f>
        <v>Over 3 km</v>
      </c>
      <c r="BF65" s="33">
        <f>IF(E65=1,IF(ABS((Orders!G62-Orders!F62)*1440-Orders!R62)&lt;0.06,1,0),"")</f>
        <v>1</v>
      </c>
      <c r="BG65" s="33">
        <f>IF(ABS((Orders!F62-Orders!E62)*1440-Orders!P62)&lt;0.06,1,0)</f>
        <v>1</v>
      </c>
      <c r="BH65" s="33">
        <f>IF(E65=1,IF(IF(Orders!S62,1,0)=1-G65,1,0),"")</f>
        <v>1</v>
      </c>
      <c r="BI65" s="32" t="str">
        <f>INDEX(Stores!$B$2:$B$21,MATCH(B65,Stores!$A$2:$A$21,0))</f>
        <v>Bengaluru</v>
      </c>
    </row>
    <row r="66">
      <c r="A66" s="32" t="str">
        <f>Orders!A63</f>
        <v>O00062</v>
      </c>
      <c r="B66" s="32" t="str">
        <f>Orders!C63</f>
        <v>S002</v>
      </c>
      <c r="C66" s="32" t="str">
        <f>Orders!B63</f>
        <v>C0055</v>
      </c>
      <c r="D66" s="32" t="str">
        <f>Orders!H63</f>
        <v>Delivered</v>
      </c>
      <c r="E66" s="33">
        <f>IF(Orders!H63="Delivered",1,0)</f>
        <v>1</v>
      </c>
      <c r="F66" s="34">
        <f>IF(E66=1,Orders!R63,"")</f>
        <v>-6.9</v>
      </c>
      <c r="G66" s="33">
        <f>IF(E66=1,IF(Orders!R63&gt;0,1,0),"")</f>
        <v>0</v>
      </c>
      <c r="H66" s="33">
        <f>IF(E66=1,IF(Orders!R63&gt;5,1,0),"")</f>
        <v>0</v>
      </c>
      <c r="I66" s="32" t="str">
        <f>IF(E66=1,"",IF(OR(Orders!T63="Rider unavailable",Orders!T63="Item unavailable"),"Company-caused","Unresolved"))</f>
        <v/>
      </c>
      <c r="J66" s="33">
        <f>IF(OR(E66=1,I66="Company-caused"),1,0)</f>
        <v>1</v>
      </c>
      <c r="K66" s="32" t="str">
        <f>IF(E66=0,IF(I66="Company-caused",IF(Orders!T63="Rider unavailable","C1 Rider unavailable","C2 Item unavailable"),"Outside root: unresolved"),IF(G66=0,"A On time",IF(H66=1,IF(L66=1,"B2a Severe, peak","B2b Severe, off-peak"),IF(L66=1,"B1a Slight, peak","B1b Slight, off-peak"))))</f>
        <v>A On time</v>
      </c>
      <c r="L66" s="33">
        <f>IF(AND(Orders!U63&gt;=19,Orders!U63&lt;22),1,0)</f>
        <v>0</v>
      </c>
      <c r="M66" s="33">
        <f>IF(L66=IF(Orders!V63,1,0),1,0)</f>
        <v>1</v>
      </c>
      <c r="N66" s="32" t="str">
        <f>IF(Orders!W63="","None",Orders!W63)</f>
        <v>None</v>
      </c>
      <c r="O66" s="35">
        <f>INT(Orders!E63)</f>
        <v>46276.0</v>
      </c>
      <c r="P66" s="33">
        <f>Orders!U63</f>
        <v>17</v>
      </c>
      <c r="Q66" s="33">
        <f>COUNTIFS(Demand!$A$2:$A$4481,B66,Demand!$B$2:$B$4481,O66,Demand!$C$2:$C$4481,P66)</f>
        <v>1</v>
      </c>
      <c r="R66" s="33">
        <f>IF(Q66=1,SUMIFS(Demand!$E$2:$E$4481,Demand!$A$2:$A$4481,B66,Demand!$B$2:$B$4481,O66,Demand!$C$2:$C$4481,P66),"")</f>
        <v>45</v>
      </c>
      <c r="S66" s="33">
        <f>INDEX(Stores!$G$2:$G$21,MATCH(B66,Stores!$A$2:$A$21,0))</f>
        <v>33</v>
      </c>
      <c r="T66" s="34">
        <f>IF(R66="","",R66/S66)</f>
        <v>1.36363636363636</v>
      </c>
      <c r="U66" s="34">
        <f>IF(E66=1,T66,"")</f>
        <v>1.36363636363636</v>
      </c>
      <c r="V66" s="34">
        <f>IF(AND(E66=1,L66=0),T66,"")</f>
        <v>1.36363636363636</v>
      </c>
      <c r="W66" s="33">
        <f>IF(U66="","",IF(U66&lt;=Breakdowns!$C$5,1,IF(U66&lt;=Breakdowns!$C$6,2,IF(U66&lt;=Breakdowns!$C$7,3,4))))</f>
        <v>4</v>
      </c>
      <c r="X66" s="33">
        <f>IF(V66="","",IF(V66&lt;=Breakdowns!$D$5,1,IF(V66&lt;=Breakdowns!$D$6,2,IF(V66&lt;=Breakdowns!$D$7,3,4))))</f>
        <v>4</v>
      </c>
      <c r="Y66" s="34">
        <f>INDEX(Stores!$F$2:$F$21,MATCH(B66,Stores!$A$2:$A$21,0))</f>
        <v>2.39</v>
      </c>
      <c r="Z66" s="33">
        <f>IF(Y66&gt;Store_Summary!$M$2,1,0)</f>
        <v>0</v>
      </c>
      <c r="AA66" s="33">
        <f>INDEX(Stores!$C$2:$C$21,MATCH(B66,Stores!$A$2:$A$21,0))</f>
        <v>470</v>
      </c>
      <c r="AB66" s="33">
        <f>IF(AA66&lt;180,1,0)</f>
        <v>0</v>
      </c>
      <c r="AC66" s="32" t="str">
        <f>IF(Orders!D63="","",INDEX(Riders!$C$2:$C$81,MATCH(Orders!D63,Riders!$A$2:$A$81,0)))</f>
        <v>EV scooter</v>
      </c>
      <c r="AD66" s="33">
        <f>IF(Orders!D63="","",INDEX(Riders!$D$2:$D$81,MATCH(Orders!D63,Riders!$A$2:$A$81,0)))</f>
        <v>44</v>
      </c>
      <c r="AE66" s="33">
        <f>IF(Orders!D63="","",IF(INDEX(Riders!$B$2:$B$81,MATCH(Orders!D63,Riders!$A$2:$A$81,0))=B66,1,0))</f>
        <v>0</v>
      </c>
      <c r="AF66" s="34">
        <f>IF(E66=1,Orders!L63,"")</f>
        <v>1.02</v>
      </c>
      <c r="AG66" s="34">
        <f>IF(E66=1,Orders!P63,"")</f>
        <v>11.6</v>
      </c>
      <c r="AH66" s="34">
        <f>IF(E66=1,Orders!Q63,"")</f>
        <v>4.7</v>
      </c>
      <c r="AI66" s="34">
        <f>IF(E66=1,Orders!M63,"")</f>
        <v>1.5</v>
      </c>
      <c r="AJ66" s="34">
        <f>IF(E66=1,Orders!N63,"")</f>
        <v>0</v>
      </c>
      <c r="AK66" s="34">
        <f>IF(E66=1,Orders!O63,"")</f>
        <v>3.2</v>
      </c>
      <c r="AL66" s="33">
        <f>IF(E66=1,IF(ROUND(ABS(AI66+AJ66+AK66-AH66),6)&lt;=0.1,1,0),"")</f>
        <v>1</v>
      </c>
      <c r="AM66" s="36">
        <f>IF(E66=1,AI66/AH66,"")</f>
        <v>0.319148936170213</v>
      </c>
      <c r="AN66" s="36">
        <f>IF(E66=1,AJ66/AH66,"")</f>
        <v>0</v>
      </c>
      <c r="AO66" s="36">
        <f>IF(E66=1,AK66/AH66,"")</f>
        <v>0.680851063829787</v>
      </c>
      <c r="AP66" s="34">
        <f>IF(E66=1,Orders!Y63,"")</f>
        <v>0.32</v>
      </c>
      <c r="AQ66" s="33">
        <f>IF(Orders!X63,1,0)</f>
        <v>0</v>
      </c>
      <c r="AR66" s="34" t="str">
        <f>IF(AND(E66=1,L66=1),AJ66,"")</f>
        <v/>
      </c>
      <c r="AS66" s="34">
        <f>IF(AND(E66=1,L66=0),AJ66,"")</f>
        <v>0</v>
      </c>
      <c r="AT66" s="34" t="str">
        <f>IF(AND(E66=1,L66=1),AI66,"")</f>
        <v/>
      </c>
      <c r="AU66" s="34">
        <f>IF(AND(E66=1,L66=0),AI66,"")</f>
        <v>1.5</v>
      </c>
      <c r="AV66" s="34" t="str">
        <f>IF(AND(E66=1,L66=1),AG66,"")</f>
        <v/>
      </c>
      <c r="AW66" s="34">
        <f>IF(AND(E66=1,L66=0),AG66,"")</f>
        <v>11.6</v>
      </c>
      <c r="AX66" s="34" t="str">
        <f>IF(AND(E66=1,L66=1),AH66,"")</f>
        <v/>
      </c>
      <c r="AY66" s="34">
        <f>IF(AND(E66=1,L66=0),AH66,"")</f>
        <v>4.7</v>
      </c>
      <c r="AZ66" s="34" t="str">
        <f>IF(G66=1,F66,"")</f>
        <v/>
      </c>
      <c r="BA66" s="34" t="str">
        <f>IF(AND(G66=1,L66=1),F66,"")</f>
        <v/>
      </c>
      <c r="BB66" s="34" t="str">
        <f>IF(AND(G66=1,L66=0),F66,"")</f>
        <v/>
      </c>
      <c r="BC66" s="33">
        <f>IF(E66=1,IF(Orders!R63&gt;3,1,0),"")</f>
        <v>0</v>
      </c>
      <c r="BD66" s="33">
        <f>IF(E66=1,IF(Orders!R63&gt;7,1,0),"")</f>
        <v>0</v>
      </c>
      <c r="BE66" s="32" t="str">
        <f>IF(E66=1,IF(Orders!L63&lt;=1.5,"Up to 1.5 km",IF(Orders!L63&lt;=3,"1.5–3 km","Over 3 km")),"")</f>
        <v>Up to 1.5 km</v>
      </c>
      <c r="BF66" s="33">
        <f>IF(E66=1,IF(ABS((Orders!G63-Orders!F63)*1440-Orders!R63)&lt;0.06,1,0),"")</f>
        <v>1</v>
      </c>
      <c r="BG66" s="33">
        <f>IF(ABS((Orders!F63-Orders!E63)*1440-Orders!P63)&lt;0.06,1,0)</f>
        <v>1</v>
      </c>
      <c r="BH66" s="33">
        <f>IF(E66=1,IF(IF(Orders!S63,1,0)=1-G66,1,0),"")</f>
        <v>1</v>
      </c>
      <c r="BI66" s="32" t="str">
        <f>INDEX(Stores!$B$2:$B$21,MATCH(B66,Stores!$A$2:$A$21,0))</f>
        <v>Hyderabad</v>
      </c>
    </row>
    <row r="67">
      <c r="A67" s="32" t="str">
        <f>Orders!A64</f>
        <v>O00063</v>
      </c>
      <c r="B67" s="32" t="str">
        <f>Orders!C64</f>
        <v>S012</v>
      </c>
      <c r="C67" s="32" t="str">
        <f>Orders!B64</f>
        <v>C0179</v>
      </c>
      <c r="D67" s="32" t="str">
        <f>Orders!H64</f>
        <v>Delivered</v>
      </c>
      <c r="E67" s="33">
        <f>IF(Orders!H64="Delivered",1,0)</f>
        <v>1</v>
      </c>
      <c r="F67" s="34">
        <f>IF(E67=1,Orders!R64,"")</f>
        <v>-0.2</v>
      </c>
      <c r="G67" s="33">
        <f>IF(E67=1,IF(Orders!R64&gt;0,1,0),"")</f>
        <v>0</v>
      </c>
      <c r="H67" s="33">
        <f>IF(E67=1,IF(Orders!R64&gt;5,1,0),"")</f>
        <v>0</v>
      </c>
      <c r="I67" s="32" t="str">
        <f>IF(E67=1,"",IF(OR(Orders!T64="Rider unavailable",Orders!T64="Item unavailable"),"Company-caused","Unresolved"))</f>
        <v/>
      </c>
      <c r="J67" s="33">
        <f>IF(OR(E67=1,I67="Company-caused"),1,0)</f>
        <v>1</v>
      </c>
      <c r="K67" s="32" t="str">
        <f>IF(E67=0,IF(I67="Company-caused",IF(Orders!T64="Rider unavailable","C1 Rider unavailable","C2 Item unavailable"),"Outside root: unresolved"),IF(G67=0,"A On time",IF(H67=1,IF(L67=1,"B2a Severe, peak","B2b Severe, off-peak"),IF(L67=1,"B1a Slight, peak","B1b Slight, off-peak"))))</f>
        <v>A On time</v>
      </c>
      <c r="L67" s="33">
        <f>IF(AND(Orders!U64&gt;=19,Orders!U64&lt;22),1,0)</f>
        <v>0</v>
      </c>
      <c r="M67" s="33">
        <f>IF(L67=IF(Orders!V64,1,0),1,0)</f>
        <v>1</v>
      </c>
      <c r="N67" s="32" t="str">
        <f>IF(Orders!W64="","None",Orders!W64)</f>
        <v>Light</v>
      </c>
      <c r="O67" s="35">
        <f>INT(Orders!E64)</f>
        <v>46268.0</v>
      </c>
      <c r="P67" s="33">
        <f>Orders!U64</f>
        <v>9</v>
      </c>
      <c r="Q67" s="33">
        <f>COUNTIFS(Demand!$A$2:$A$4481,B67,Demand!$B$2:$B$4481,O67,Demand!$C$2:$C$4481,P67)</f>
        <v>1</v>
      </c>
      <c r="R67" s="33">
        <f>IF(Q67=1,SUMIFS(Demand!$E$2:$E$4481,Demand!$A$2:$A$4481,B67,Demand!$B$2:$B$4481,O67,Demand!$C$2:$C$4481,P67),"")</f>
        <v>11</v>
      </c>
      <c r="S67" s="33">
        <f>INDEX(Stores!$G$2:$G$21,MATCH(B67,Stores!$A$2:$A$21,0))</f>
        <v>15</v>
      </c>
      <c r="T67" s="34">
        <f>IF(R67="","",R67/S67)</f>
        <v>0.733333333333333</v>
      </c>
      <c r="U67" s="34">
        <f>IF(E67=1,T67,"")</f>
        <v>0.733333333333333</v>
      </c>
      <c r="V67" s="34">
        <f>IF(AND(E67=1,L67=0),T67,"")</f>
        <v>0.733333333333333</v>
      </c>
      <c r="W67" s="33">
        <f>IF(U67="","",IF(U67&lt;=Breakdowns!$C$5,1,IF(U67&lt;=Breakdowns!$C$6,2,IF(U67&lt;=Breakdowns!$C$7,3,4))))</f>
        <v>1</v>
      </c>
      <c r="X67" s="33">
        <f>IF(V67="","",IF(V67&lt;=Breakdowns!$D$5,1,IF(V67&lt;=Breakdowns!$D$6,2,IF(V67&lt;=Breakdowns!$D$7,3,4))))</f>
        <v>1</v>
      </c>
      <c r="Y67" s="34">
        <f>INDEX(Stores!$F$2:$F$21,MATCH(B67,Stores!$A$2:$A$21,0))</f>
        <v>5.23</v>
      </c>
      <c r="Z67" s="33">
        <f>IF(Y67&gt;Store_Summary!$M$2,1,0)</f>
        <v>1</v>
      </c>
      <c r="AA67" s="33">
        <f>INDEX(Stores!$C$2:$C$21,MATCH(B67,Stores!$A$2:$A$21,0))</f>
        <v>300</v>
      </c>
      <c r="AB67" s="33">
        <f>IF(AA67&lt;180,1,0)</f>
        <v>0</v>
      </c>
      <c r="AC67" s="32" t="str">
        <f>IF(Orders!D64="","",INDEX(Riders!$C$2:$C$81,MATCH(Orders!D64,Riders!$A$2:$A$81,0)))</f>
        <v>Petrol scooter</v>
      </c>
      <c r="AD67" s="33">
        <f>IF(Orders!D64="","",INDEX(Riders!$D$2:$D$81,MATCH(Orders!D64,Riders!$A$2:$A$81,0)))</f>
        <v>29</v>
      </c>
      <c r="AE67" s="33">
        <f>IF(Orders!D64="","",IF(INDEX(Riders!$B$2:$B$81,MATCH(Orders!D64,Riders!$A$2:$A$81,0))=B67,1,0))</f>
        <v>0</v>
      </c>
      <c r="AF67" s="34">
        <f>IF(E67=1,Orders!L64,"")</f>
        <v>0.5</v>
      </c>
      <c r="AG67" s="34">
        <f>IF(E67=1,Orders!P64,"")</f>
        <v>10</v>
      </c>
      <c r="AH67" s="34">
        <f>IF(E67=1,Orders!Q64,"")</f>
        <v>9.8</v>
      </c>
      <c r="AI67" s="34">
        <f>IF(E67=1,Orders!M64,"")</f>
        <v>3.9</v>
      </c>
      <c r="AJ67" s="34">
        <f>IF(E67=1,Orders!N64,"")</f>
        <v>3.8</v>
      </c>
      <c r="AK67" s="34">
        <f>IF(E67=1,Orders!O64,"")</f>
        <v>2.1</v>
      </c>
      <c r="AL67" s="33">
        <f>IF(E67=1,IF(ROUND(ABS(AI67+AJ67+AK67-AH67),6)&lt;=0.1,1,0),"")</f>
        <v>1</v>
      </c>
      <c r="AM67" s="36">
        <f>IF(E67=1,AI67/AH67,"")</f>
        <v>0.397959183673469</v>
      </c>
      <c r="AN67" s="36">
        <f>IF(E67=1,AJ67/AH67,"")</f>
        <v>0.387755102040816</v>
      </c>
      <c r="AO67" s="36">
        <f>IF(E67=1,AK67/AH67,"")</f>
        <v>0.214285714285714</v>
      </c>
      <c r="AP67" s="34">
        <f>IF(E67=1,Orders!Y64,"")</f>
        <v>0.47</v>
      </c>
      <c r="AQ67" s="33">
        <f>IF(Orders!X64,1,0)</f>
        <v>0</v>
      </c>
      <c r="AR67" s="34" t="str">
        <f>IF(AND(E67=1,L67=1),AJ67,"")</f>
        <v/>
      </c>
      <c r="AS67" s="34">
        <f>IF(AND(E67=1,L67=0),AJ67,"")</f>
        <v>3.8</v>
      </c>
      <c r="AT67" s="34" t="str">
        <f>IF(AND(E67=1,L67=1),AI67,"")</f>
        <v/>
      </c>
      <c r="AU67" s="34">
        <f>IF(AND(E67=1,L67=0),AI67,"")</f>
        <v>3.9</v>
      </c>
      <c r="AV67" s="34" t="str">
        <f>IF(AND(E67=1,L67=1),AG67,"")</f>
        <v/>
      </c>
      <c r="AW67" s="34">
        <f>IF(AND(E67=1,L67=0),AG67,"")</f>
        <v>10</v>
      </c>
      <c r="AX67" s="34" t="str">
        <f>IF(AND(E67=1,L67=1),AH67,"")</f>
        <v/>
      </c>
      <c r="AY67" s="34">
        <f>IF(AND(E67=1,L67=0),AH67,"")</f>
        <v>9.8</v>
      </c>
      <c r="AZ67" s="34" t="str">
        <f>IF(G67=1,F67,"")</f>
        <v/>
      </c>
      <c r="BA67" s="34" t="str">
        <f>IF(AND(G67=1,L67=1),F67,"")</f>
        <v/>
      </c>
      <c r="BB67" s="34" t="str">
        <f>IF(AND(G67=1,L67=0),F67,"")</f>
        <v/>
      </c>
      <c r="BC67" s="33">
        <f>IF(E67=1,IF(Orders!R64&gt;3,1,0),"")</f>
        <v>0</v>
      </c>
      <c r="BD67" s="33">
        <f>IF(E67=1,IF(Orders!R64&gt;7,1,0),"")</f>
        <v>0</v>
      </c>
      <c r="BE67" s="32" t="str">
        <f>IF(E67=1,IF(Orders!L64&lt;=1.5,"Up to 1.5 km",IF(Orders!L64&lt;=3,"1.5–3 km","Over 3 km")),"")</f>
        <v>Up to 1.5 km</v>
      </c>
      <c r="BF67" s="33">
        <f>IF(E67=1,IF(ABS((Orders!G64-Orders!F64)*1440-Orders!R64)&lt;0.06,1,0),"")</f>
        <v>1</v>
      </c>
      <c r="BG67" s="33">
        <f>IF(ABS((Orders!F64-Orders!E64)*1440-Orders!P64)&lt;0.06,1,0)</f>
        <v>1</v>
      </c>
      <c r="BH67" s="33">
        <f>IF(E67=1,IF(IF(Orders!S64,1,0)=1-G67,1,0),"")</f>
        <v>1</v>
      </c>
      <c r="BI67" s="32" t="str">
        <f>INDEX(Stores!$B$2:$B$21,MATCH(B67,Stores!$A$2:$A$21,0))</f>
        <v>Hyderabad</v>
      </c>
    </row>
    <row r="68">
      <c r="A68" s="32" t="str">
        <f>Orders!A65</f>
        <v>O00064</v>
      </c>
      <c r="B68" s="32" t="str">
        <f>Orders!C65</f>
        <v>S016</v>
      </c>
      <c r="C68" s="32" t="str">
        <f>Orders!B65</f>
        <v>C0114</v>
      </c>
      <c r="D68" s="32" t="str">
        <f>Orders!H65</f>
        <v>Delivered</v>
      </c>
      <c r="E68" s="33">
        <f>IF(Orders!H65="Delivered",1,0)</f>
        <v>1</v>
      </c>
      <c r="F68" s="34">
        <f>IF(E68=1,Orders!R65,"")</f>
        <v>7.6</v>
      </c>
      <c r="G68" s="33">
        <f>IF(E68=1,IF(Orders!R65&gt;0,1,0),"")</f>
        <v>1</v>
      </c>
      <c r="H68" s="33">
        <f>IF(E68=1,IF(Orders!R65&gt;5,1,0),"")</f>
        <v>1</v>
      </c>
      <c r="I68" s="32" t="str">
        <f>IF(E68=1,"",IF(OR(Orders!T65="Rider unavailable",Orders!T65="Item unavailable"),"Company-caused","Unresolved"))</f>
        <v/>
      </c>
      <c r="J68" s="33">
        <f>IF(OR(E68=1,I68="Company-caused"),1,0)</f>
        <v>1</v>
      </c>
      <c r="K68" s="32" t="str">
        <f>IF(E68=0,IF(I68="Company-caused",IF(Orders!T65="Rider unavailable","C1 Rider unavailable","C2 Item unavailable"),"Outside root: unresolved"),IF(G68=0,"A On time",IF(H68=1,IF(L68=1,"B2a Severe, peak","B2b Severe, off-peak"),IF(L68=1,"B1a Slight, peak","B1b Slight, off-peak"))))</f>
        <v>B2b Severe, off-peak</v>
      </c>
      <c r="L68" s="33">
        <f>IF(AND(Orders!U65&gt;=19,Orders!U65&lt;22),1,0)</f>
        <v>0</v>
      </c>
      <c r="M68" s="33">
        <f>IF(L68=IF(Orders!V65,1,0),1,0)</f>
        <v>1</v>
      </c>
      <c r="N68" s="32" t="str">
        <f>IF(Orders!W65="","None",Orders!W65)</f>
        <v>None</v>
      </c>
      <c r="O68" s="35">
        <f>INT(Orders!E65)</f>
        <v>46275.0</v>
      </c>
      <c r="P68" s="33">
        <f>Orders!U65</f>
        <v>11</v>
      </c>
      <c r="Q68" s="33">
        <f>COUNTIFS(Demand!$A$2:$A$4481,B68,Demand!$B$2:$B$4481,O68,Demand!$C$2:$C$4481,P68)</f>
        <v>1</v>
      </c>
      <c r="R68" s="33">
        <f>IF(Q68=1,SUMIFS(Demand!$E$2:$E$4481,Demand!$A$2:$A$4481,B68,Demand!$B$2:$B$4481,O68,Demand!$C$2:$C$4481,P68),"")</f>
        <v>20</v>
      </c>
      <c r="S68" s="33">
        <f>INDEX(Stores!$G$2:$G$21,MATCH(B68,Stores!$A$2:$A$21,0))</f>
        <v>25</v>
      </c>
      <c r="T68" s="34">
        <f>IF(R68="","",R68/S68)</f>
        <v>0.8</v>
      </c>
      <c r="U68" s="34">
        <f>IF(E68=1,T68,"")</f>
        <v>0.8</v>
      </c>
      <c r="V68" s="34">
        <f>IF(AND(E68=1,L68=0),T68,"")</f>
        <v>0.8</v>
      </c>
      <c r="W68" s="33">
        <f>IF(U68="","",IF(U68&lt;=Breakdowns!$C$5,1,IF(U68&lt;=Breakdowns!$C$6,2,IF(U68&lt;=Breakdowns!$C$7,3,4))))</f>
        <v>2</v>
      </c>
      <c r="X68" s="33">
        <f>IF(V68="","",IF(V68&lt;=Breakdowns!$D$5,1,IF(V68&lt;=Breakdowns!$D$6,2,IF(V68&lt;=Breakdowns!$D$7,3,4))))</f>
        <v>2</v>
      </c>
      <c r="Y68" s="34">
        <f>INDEX(Stores!$F$2:$F$21,MATCH(B68,Stores!$A$2:$A$21,0))</f>
        <v>5.51</v>
      </c>
      <c r="Z68" s="33">
        <f>IF(Y68&gt;Store_Summary!$M$2,1,0)</f>
        <v>1</v>
      </c>
      <c r="AA68" s="33">
        <f>INDEX(Stores!$C$2:$C$21,MATCH(B68,Stores!$A$2:$A$21,0))</f>
        <v>792</v>
      </c>
      <c r="AB68" s="33">
        <f>IF(AA68&lt;180,1,0)</f>
        <v>0</v>
      </c>
      <c r="AC68" s="32" t="str">
        <f>IF(Orders!D65="","",INDEX(Riders!$C$2:$C$81,MATCH(Orders!D65,Riders!$A$2:$A$81,0)))</f>
        <v>EV scooter</v>
      </c>
      <c r="AD68" s="33">
        <f>IF(Orders!D65="","",INDEX(Riders!$D$2:$D$81,MATCH(Orders!D65,Riders!$A$2:$A$81,0)))</f>
        <v>33</v>
      </c>
      <c r="AE68" s="33">
        <f>IF(Orders!D65="","",IF(INDEX(Riders!$B$2:$B$81,MATCH(Orders!D65,Riders!$A$2:$A$81,0))=B68,1,0))</f>
        <v>0</v>
      </c>
      <c r="AF68" s="34">
        <f>IF(E68=1,Orders!L65,"")</f>
        <v>2.6</v>
      </c>
      <c r="AG68" s="34">
        <f>IF(E68=1,Orders!P65,"")</f>
        <v>12.1</v>
      </c>
      <c r="AH68" s="34">
        <f>IF(E68=1,Orders!Q65,"")</f>
        <v>19.7</v>
      </c>
      <c r="AI68" s="34">
        <f>IF(E68=1,Orders!M65,"")</f>
        <v>5.6</v>
      </c>
      <c r="AJ68" s="34">
        <f>IF(E68=1,Orders!N65,"")</f>
        <v>8.3</v>
      </c>
      <c r="AK68" s="34">
        <f>IF(E68=1,Orders!O65,"")</f>
        <v>5.8</v>
      </c>
      <c r="AL68" s="33">
        <f>IF(E68=1,IF(ROUND(ABS(AI68+AJ68+AK68-AH68),6)&lt;=0.1,1,0),"")</f>
        <v>1</v>
      </c>
      <c r="AM68" s="36">
        <f>IF(E68=1,AI68/AH68,"")</f>
        <v>0.284263959390863</v>
      </c>
      <c r="AN68" s="36">
        <f>IF(E68=1,AJ68/AH68,"")</f>
        <v>0.421319796954315</v>
      </c>
      <c r="AO68" s="36">
        <f>IF(E68=1,AK68/AH68,"")</f>
        <v>0.294416243654822</v>
      </c>
      <c r="AP68" s="34">
        <f>IF(E68=1,Orders!Y65,"")</f>
        <v>0.22</v>
      </c>
      <c r="AQ68" s="33">
        <f>IF(Orders!X65,1,0)</f>
        <v>0</v>
      </c>
      <c r="AR68" s="34" t="str">
        <f>IF(AND(E68=1,L68=1),AJ68,"")</f>
        <v/>
      </c>
      <c r="AS68" s="34">
        <f>IF(AND(E68=1,L68=0),AJ68,"")</f>
        <v>8.3</v>
      </c>
      <c r="AT68" s="34" t="str">
        <f>IF(AND(E68=1,L68=1),AI68,"")</f>
        <v/>
      </c>
      <c r="AU68" s="34">
        <f>IF(AND(E68=1,L68=0),AI68,"")</f>
        <v>5.6</v>
      </c>
      <c r="AV68" s="34" t="str">
        <f>IF(AND(E68=1,L68=1),AG68,"")</f>
        <v/>
      </c>
      <c r="AW68" s="34">
        <f>IF(AND(E68=1,L68=0),AG68,"")</f>
        <v>12.1</v>
      </c>
      <c r="AX68" s="34" t="str">
        <f>IF(AND(E68=1,L68=1),AH68,"")</f>
        <v/>
      </c>
      <c r="AY68" s="34">
        <f>IF(AND(E68=1,L68=0),AH68,"")</f>
        <v>19.7</v>
      </c>
      <c r="AZ68" s="34">
        <f>IF(G68=1,F68,"")</f>
        <v>7.6</v>
      </c>
      <c r="BA68" s="34" t="str">
        <f>IF(AND(G68=1,L68=1),F68,"")</f>
        <v/>
      </c>
      <c r="BB68" s="34">
        <f>IF(AND(G68=1,L68=0),F68,"")</f>
        <v>7.6</v>
      </c>
      <c r="BC68" s="33">
        <f>IF(E68=1,IF(Orders!R65&gt;3,1,0),"")</f>
        <v>1</v>
      </c>
      <c r="BD68" s="33">
        <f>IF(E68=1,IF(Orders!R65&gt;7,1,0),"")</f>
        <v>1</v>
      </c>
      <c r="BE68" s="32" t="str">
        <f>IF(E68=1,IF(Orders!L65&lt;=1.5,"Up to 1.5 km",IF(Orders!L65&lt;=3,"1.5–3 km","Over 3 km")),"")</f>
        <v>1.5–3 km</v>
      </c>
      <c r="BF68" s="33">
        <f>IF(E68=1,IF(ABS((Orders!G65-Orders!F65)*1440-Orders!R65)&lt;0.06,1,0),"")</f>
        <v>1</v>
      </c>
      <c r="BG68" s="33">
        <f>IF(ABS((Orders!F65-Orders!E65)*1440-Orders!P65)&lt;0.06,1,0)</f>
        <v>1</v>
      </c>
      <c r="BH68" s="33">
        <f>IF(E68=1,IF(IF(Orders!S65,1,0)=1-G68,1,0),"")</f>
        <v>1</v>
      </c>
      <c r="BI68" s="32" t="str">
        <f>INDEX(Stores!$B$2:$B$21,MATCH(B68,Stores!$A$2:$A$21,0))</f>
        <v>Bengaluru</v>
      </c>
    </row>
    <row r="69">
      <c r="A69" s="32" t="str">
        <f>Orders!A66</f>
        <v>O00065</v>
      </c>
      <c r="B69" s="32" t="str">
        <f>Orders!C66</f>
        <v>S013</v>
      </c>
      <c r="C69" s="32" t="str">
        <f>Orders!B66</f>
        <v>C0038</v>
      </c>
      <c r="D69" s="32" t="str">
        <f>Orders!H66</f>
        <v>Delivered</v>
      </c>
      <c r="E69" s="33">
        <f>IF(Orders!H66="Delivered",1,0)</f>
        <v>1</v>
      </c>
      <c r="F69" s="34">
        <f>IF(E69=1,Orders!R66,"")</f>
        <v>-0.5</v>
      </c>
      <c r="G69" s="33">
        <f>IF(E69=1,IF(Orders!R66&gt;0,1,0),"")</f>
        <v>0</v>
      </c>
      <c r="H69" s="33">
        <f>IF(E69=1,IF(Orders!R66&gt;5,1,0),"")</f>
        <v>0</v>
      </c>
      <c r="I69" s="32" t="str">
        <f>IF(E69=1,"",IF(OR(Orders!T66="Rider unavailable",Orders!T66="Item unavailable"),"Company-caused","Unresolved"))</f>
        <v/>
      </c>
      <c r="J69" s="33">
        <f>IF(OR(E69=1,I69="Company-caused"),1,0)</f>
        <v>1</v>
      </c>
      <c r="K69" s="32" t="str">
        <f>IF(E69=0,IF(I69="Company-caused",IF(Orders!T66="Rider unavailable","C1 Rider unavailable","C2 Item unavailable"),"Outside root: unresolved"),IF(G69=0,"A On time",IF(H69=1,IF(L69=1,"B2a Severe, peak","B2b Severe, off-peak"),IF(L69=1,"B1a Slight, peak","B1b Slight, off-peak"))))</f>
        <v>A On time</v>
      </c>
      <c r="L69" s="33">
        <f>IF(AND(Orders!U66&gt;=19,Orders!U66&lt;22),1,0)</f>
        <v>0</v>
      </c>
      <c r="M69" s="33">
        <f>IF(L69=IF(Orders!V66,1,0),1,0)</f>
        <v>1</v>
      </c>
      <c r="N69" s="32" t="str">
        <f>IF(Orders!W66="","None",Orders!W66)</f>
        <v>Light</v>
      </c>
      <c r="O69" s="35">
        <f>INT(Orders!E66)</f>
        <v>46279.0</v>
      </c>
      <c r="P69" s="33">
        <f>Orders!U66</f>
        <v>13</v>
      </c>
      <c r="Q69" s="33">
        <f>COUNTIFS(Demand!$A$2:$A$4481,B69,Demand!$B$2:$B$4481,O69,Demand!$C$2:$C$4481,P69)</f>
        <v>1</v>
      </c>
      <c r="R69" s="33">
        <f>IF(Q69=1,SUMIFS(Demand!$E$2:$E$4481,Demand!$A$2:$A$4481,B69,Demand!$B$2:$B$4481,O69,Demand!$C$2:$C$4481,P69),"")</f>
        <v>41</v>
      </c>
      <c r="S69" s="33">
        <f>INDEX(Stores!$G$2:$G$21,MATCH(B69,Stores!$A$2:$A$21,0))</f>
        <v>49</v>
      </c>
      <c r="T69" s="34">
        <f>IF(R69="","",R69/S69)</f>
        <v>0.836734693877551</v>
      </c>
      <c r="U69" s="34">
        <f>IF(E69=1,T69,"")</f>
        <v>0.836734693877551</v>
      </c>
      <c r="V69" s="34">
        <f>IF(AND(E69=1,L69=0),T69,"")</f>
        <v>0.836734693877551</v>
      </c>
      <c r="W69" s="33">
        <f>IF(U69="","",IF(U69&lt;=Breakdowns!$C$5,1,IF(U69&lt;=Breakdowns!$C$6,2,IF(U69&lt;=Breakdowns!$C$7,3,4))))</f>
        <v>2</v>
      </c>
      <c r="X69" s="33">
        <f>IF(V69="","",IF(V69&lt;=Breakdowns!$D$5,1,IF(V69&lt;=Breakdowns!$D$6,2,IF(V69&lt;=Breakdowns!$D$7,3,4))))</f>
        <v>2</v>
      </c>
      <c r="Y69" s="34">
        <f>INDEX(Stores!$F$2:$F$21,MATCH(B69,Stores!$A$2:$A$21,0))</f>
        <v>5.82</v>
      </c>
      <c r="Z69" s="33">
        <f>IF(Y69&gt;Store_Summary!$M$2,1,0)</f>
        <v>1</v>
      </c>
      <c r="AA69" s="33">
        <f>INDEX(Stores!$C$2:$C$21,MATCH(B69,Stores!$A$2:$A$21,0))</f>
        <v>705</v>
      </c>
      <c r="AB69" s="33">
        <f>IF(AA69&lt;180,1,0)</f>
        <v>0</v>
      </c>
      <c r="AC69" s="32" t="str">
        <f>IF(Orders!D66="","",INDEX(Riders!$C$2:$C$81,MATCH(Orders!D66,Riders!$A$2:$A$81,0)))</f>
        <v>EV scooter</v>
      </c>
      <c r="AD69" s="33">
        <f>IF(Orders!D66="","",INDEX(Riders!$D$2:$D$81,MATCH(Orders!D66,Riders!$A$2:$A$81,0)))</f>
        <v>44</v>
      </c>
      <c r="AE69" s="33">
        <f>IF(Orders!D66="","",IF(INDEX(Riders!$B$2:$B$81,MATCH(Orders!D66,Riders!$A$2:$A$81,0))=B69,1,0))</f>
        <v>0</v>
      </c>
      <c r="AF69" s="34">
        <f>IF(E69=1,Orders!L66,"")</f>
        <v>2.53</v>
      </c>
      <c r="AG69" s="34">
        <f>IF(E69=1,Orders!P66,"")</f>
        <v>10.3</v>
      </c>
      <c r="AH69" s="34">
        <f>IF(E69=1,Orders!Q66,"")</f>
        <v>9.8</v>
      </c>
      <c r="AI69" s="34">
        <f>IF(E69=1,Orders!M66,"")</f>
        <v>3.5</v>
      </c>
      <c r="AJ69" s="34">
        <f>IF(E69=1,Orders!N66,"")</f>
        <v>1.3</v>
      </c>
      <c r="AK69" s="34">
        <f>IF(E69=1,Orders!O66,"")</f>
        <v>5</v>
      </c>
      <c r="AL69" s="33">
        <f>IF(E69=1,IF(ROUND(ABS(AI69+AJ69+AK69-AH69),6)&lt;=0.1,1,0),"")</f>
        <v>1</v>
      </c>
      <c r="AM69" s="36">
        <f>IF(E69=1,AI69/AH69,"")</f>
        <v>0.357142857142857</v>
      </c>
      <c r="AN69" s="36">
        <f>IF(E69=1,AJ69/AH69,"")</f>
        <v>0.13265306122449</v>
      </c>
      <c r="AO69" s="36">
        <f>IF(E69=1,AK69/AH69,"")</f>
        <v>0.510204081632653</v>
      </c>
      <c r="AP69" s="34">
        <f>IF(E69=1,Orders!Y66,"")</f>
        <v>0.54</v>
      </c>
      <c r="AQ69" s="33">
        <f>IF(Orders!X66,1,0)</f>
        <v>0</v>
      </c>
      <c r="AR69" s="34" t="str">
        <f>IF(AND(E69=1,L69=1),AJ69,"")</f>
        <v/>
      </c>
      <c r="AS69" s="34">
        <f>IF(AND(E69=1,L69=0),AJ69,"")</f>
        <v>1.3</v>
      </c>
      <c r="AT69" s="34" t="str">
        <f>IF(AND(E69=1,L69=1),AI69,"")</f>
        <v/>
      </c>
      <c r="AU69" s="34">
        <f>IF(AND(E69=1,L69=0),AI69,"")</f>
        <v>3.5</v>
      </c>
      <c r="AV69" s="34" t="str">
        <f>IF(AND(E69=1,L69=1),AG69,"")</f>
        <v/>
      </c>
      <c r="AW69" s="34">
        <f>IF(AND(E69=1,L69=0),AG69,"")</f>
        <v>10.3</v>
      </c>
      <c r="AX69" s="34" t="str">
        <f>IF(AND(E69=1,L69=1),AH69,"")</f>
        <v/>
      </c>
      <c r="AY69" s="34">
        <f>IF(AND(E69=1,L69=0),AH69,"")</f>
        <v>9.8</v>
      </c>
      <c r="AZ69" s="34" t="str">
        <f>IF(G69=1,F69,"")</f>
        <v/>
      </c>
      <c r="BA69" s="34" t="str">
        <f>IF(AND(G69=1,L69=1),F69,"")</f>
        <v/>
      </c>
      <c r="BB69" s="34" t="str">
        <f>IF(AND(G69=1,L69=0),F69,"")</f>
        <v/>
      </c>
      <c r="BC69" s="33">
        <f>IF(E69=1,IF(Orders!R66&gt;3,1,0),"")</f>
        <v>0</v>
      </c>
      <c r="BD69" s="33">
        <f>IF(E69=1,IF(Orders!R66&gt;7,1,0),"")</f>
        <v>0</v>
      </c>
      <c r="BE69" s="32" t="str">
        <f>IF(E69=1,IF(Orders!L66&lt;=1.5,"Up to 1.5 km",IF(Orders!L66&lt;=3,"1.5–3 km","Over 3 km")),"")</f>
        <v>1.5–3 km</v>
      </c>
      <c r="BF69" s="33">
        <f>IF(E69=1,IF(ABS((Orders!G66-Orders!F66)*1440-Orders!R66)&lt;0.06,1,0),"")</f>
        <v>1</v>
      </c>
      <c r="BG69" s="33">
        <f>IF(ABS((Orders!F66-Orders!E66)*1440-Orders!P66)&lt;0.06,1,0)</f>
        <v>1</v>
      </c>
      <c r="BH69" s="33">
        <f>IF(E69=1,IF(IF(Orders!S66,1,0)=1-G69,1,0),"")</f>
        <v>1</v>
      </c>
      <c r="BI69" s="32" t="str">
        <f>INDEX(Stores!$B$2:$B$21,MATCH(B69,Stores!$A$2:$A$21,0))</f>
        <v>Mumbai</v>
      </c>
    </row>
    <row r="70">
      <c r="A70" s="32" t="str">
        <f>Orders!A67</f>
        <v>O00066</v>
      </c>
      <c r="B70" s="32" t="str">
        <f>Orders!C67</f>
        <v>S019</v>
      </c>
      <c r="C70" s="32" t="str">
        <f>Orders!B67</f>
        <v>C0115</v>
      </c>
      <c r="D70" s="32" t="str">
        <f>Orders!H67</f>
        <v>Delivered</v>
      </c>
      <c r="E70" s="33">
        <f>IF(Orders!H67="Delivered",1,0)</f>
        <v>1</v>
      </c>
      <c r="F70" s="34">
        <f>IF(E70=1,Orders!R67,"")</f>
        <v>2.5</v>
      </c>
      <c r="G70" s="33">
        <f>IF(E70=1,IF(Orders!R67&gt;0,1,0),"")</f>
        <v>1</v>
      </c>
      <c r="H70" s="33">
        <f>IF(E70=1,IF(Orders!R67&gt;5,1,0),"")</f>
        <v>0</v>
      </c>
      <c r="I70" s="32" t="str">
        <f>IF(E70=1,"",IF(OR(Orders!T67="Rider unavailable",Orders!T67="Item unavailable"),"Company-caused","Unresolved"))</f>
        <v/>
      </c>
      <c r="J70" s="33">
        <f>IF(OR(E70=1,I70="Company-caused"),1,0)</f>
        <v>1</v>
      </c>
      <c r="K70" s="32" t="str">
        <f>IF(E70=0,IF(I70="Company-caused",IF(Orders!T67="Rider unavailable","C1 Rider unavailable","C2 Item unavailable"),"Outside root: unresolved"),IF(G70=0,"A On time",IF(H70=1,IF(L70=1,"B2a Severe, peak","B2b Severe, off-peak"),IF(L70=1,"B1a Slight, peak","B1b Slight, off-peak"))))</f>
        <v>B1b Slight, off-peak</v>
      </c>
      <c r="L70" s="33">
        <f>IF(AND(Orders!U67&gt;=19,Orders!U67&lt;22),1,0)</f>
        <v>0</v>
      </c>
      <c r="M70" s="33">
        <f>IF(L70=IF(Orders!V67,1,0),1,0)</f>
        <v>1</v>
      </c>
      <c r="N70" s="32" t="str">
        <f>IF(Orders!W67="","None",Orders!W67)</f>
        <v>Light</v>
      </c>
      <c r="O70" s="35">
        <f>INT(Orders!E67)</f>
        <v>46276.0</v>
      </c>
      <c r="P70" s="33">
        <f>Orders!U67</f>
        <v>23</v>
      </c>
      <c r="Q70" s="33">
        <f>COUNTIFS(Demand!$A$2:$A$4481,B70,Demand!$B$2:$B$4481,O70,Demand!$C$2:$C$4481,P70)</f>
        <v>1</v>
      </c>
      <c r="R70" s="33">
        <f>IF(Q70=1,SUMIFS(Demand!$E$2:$E$4481,Demand!$A$2:$A$4481,B70,Demand!$B$2:$B$4481,O70,Demand!$C$2:$C$4481,P70),"")</f>
        <v>24</v>
      </c>
      <c r="S70" s="33">
        <f>INDEX(Stores!$G$2:$G$21,MATCH(B70,Stores!$A$2:$A$21,0))</f>
        <v>22</v>
      </c>
      <c r="T70" s="34">
        <f>IF(R70="","",R70/S70)</f>
        <v>1.09090909090909</v>
      </c>
      <c r="U70" s="34">
        <f>IF(E70=1,T70,"")</f>
        <v>1.09090909090909</v>
      </c>
      <c r="V70" s="34">
        <f>IF(AND(E70=1,L70=0),T70,"")</f>
        <v>1.09090909090909</v>
      </c>
      <c r="W70" s="33">
        <f>IF(U70="","",IF(U70&lt;=Breakdowns!$C$5,1,IF(U70&lt;=Breakdowns!$C$6,2,IF(U70&lt;=Breakdowns!$C$7,3,4))))</f>
        <v>3</v>
      </c>
      <c r="X70" s="33">
        <f>IF(V70="","",IF(V70&lt;=Breakdowns!$D$5,1,IF(V70&lt;=Breakdowns!$D$6,2,IF(V70&lt;=Breakdowns!$D$7,3,4))))</f>
        <v>4</v>
      </c>
      <c r="Y70" s="34">
        <f>INDEX(Stores!$F$2:$F$21,MATCH(B70,Stores!$A$2:$A$21,0))</f>
        <v>4.99</v>
      </c>
      <c r="Z70" s="33">
        <f>IF(Y70&gt;Store_Summary!$M$2,1,0)</f>
        <v>1</v>
      </c>
      <c r="AA70" s="33">
        <f>INDEX(Stores!$C$2:$C$21,MATCH(B70,Stores!$A$2:$A$21,0))</f>
        <v>851</v>
      </c>
      <c r="AB70" s="33">
        <f>IF(AA70&lt;180,1,0)</f>
        <v>0</v>
      </c>
      <c r="AC70" s="32" t="str">
        <f>IF(Orders!D67="","",INDEX(Riders!$C$2:$C$81,MATCH(Orders!D67,Riders!$A$2:$A$81,0)))</f>
        <v>Petrol scooter</v>
      </c>
      <c r="AD70" s="33">
        <f>IF(Orders!D67="","",INDEX(Riders!$D$2:$D$81,MATCH(Orders!D67,Riders!$A$2:$A$81,0)))</f>
        <v>6</v>
      </c>
      <c r="AE70" s="33">
        <f>IF(Orders!D67="","",IF(INDEX(Riders!$B$2:$B$81,MATCH(Orders!D67,Riders!$A$2:$A$81,0))=B70,1,0))</f>
        <v>0</v>
      </c>
      <c r="AF70" s="34">
        <f>IF(E70=1,Orders!L67,"")</f>
        <v>0.81</v>
      </c>
      <c r="AG70" s="34">
        <f>IF(E70=1,Orders!P67,"")</f>
        <v>9.9</v>
      </c>
      <c r="AH70" s="34">
        <f>IF(E70=1,Orders!Q67,"")</f>
        <v>12.4</v>
      </c>
      <c r="AI70" s="34">
        <f>IF(E70=1,Orders!M67,"")</f>
        <v>4.9</v>
      </c>
      <c r="AJ70" s="34">
        <f>IF(E70=1,Orders!N67,"")</f>
        <v>3.8</v>
      </c>
      <c r="AK70" s="34">
        <f>IF(E70=1,Orders!O67,"")</f>
        <v>3.8</v>
      </c>
      <c r="AL70" s="33">
        <f>IF(E70=1,IF(ROUND(ABS(AI70+AJ70+AK70-AH70),6)&lt;=0.1,1,0),"")</f>
        <v>1</v>
      </c>
      <c r="AM70" s="36">
        <f>IF(E70=1,AI70/AH70,"")</f>
        <v>0.395161290322581</v>
      </c>
      <c r="AN70" s="36">
        <f>IF(E70=1,AJ70/AH70,"")</f>
        <v>0.306451612903226</v>
      </c>
      <c r="AO70" s="36">
        <f>IF(E70=1,AK70/AH70,"")</f>
        <v>0.306451612903226</v>
      </c>
      <c r="AP70" s="34">
        <f>IF(E70=1,Orders!Y67,"")</f>
        <v>0.52</v>
      </c>
      <c r="AQ70" s="33">
        <f>IF(Orders!X67,1,0)</f>
        <v>0</v>
      </c>
      <c r="AR70" s="34" t="str">
        <f>IF(AND(E70=1,L70=1),AJ70,"")</f>
        <v/>
      </c>
      <c r="AS70" s="34">
        <f>IF(AND(E70=1,L70=0),AJ70,"")</f>
        <v>3.8</v>
      </c>
      <c r="AT70" s="34" t="str">
        <f>IF(AND(E70=1,L70=1),AI70,"")</f>
        <v/>
      </c>
      <c r="AU70" s="34">
        <f>IF(AND(E70=1,L70=0),AI70,"")</f>
        <v>4.9</v>
      </c>
      <c r="AV70" s="34" t="str">
        <f>IF(AND(E70=1,L70=1),AG70,"")</f>
        <v/>
      </c>
      <c r="AW70" s="34">
        <f>IF(AND(E70=1,L70=0),AG70,"")</f>
        <v>9.9</v>
      </c>
      <c r="AX70" s="34" t="str">
        <f>IF(AND(E70=1,L70=1),AH70,"")</f>
        <v/>
      </c>
      <c r="AY70" s="34">
        <f>IF(AND(E70=1,L70=0),AH70,"")</f>
        <v>12.4</v>
      </c>
      <c r="AZ70" s="34">
        <f>IF(G70=1,F70,"")</f>
        <v>2.5</v>
      </c>
      <c r="BA70" s="34" t="str">
        <f>IF(AND(G70=1,L70=1),F70,"")</f>
        <v/>
      </c>
      <c r="BB70" s="34">
        <f>IF(AND(G70=1,L70=0),F70,"")</f>
        <v>2.5</v>
      </c>
      <c r="BC70" s="33">
        <f>IF(E70=1,IF(Orders!R67&gt;3,1,0),"")</f>
        <v>0</v>
      </c>
      <c r="BD70" s="33">
        <f>IF(E70=1,IF(Orders!R67&gt;7,1,0),"")</f>
        <v>0</v>
      </c>
      <c r="BE70" s="32" t="str">
        <f>IF(E70=1,IF(Orders!L67&lt;=1.5,"Up to 1.5 km",IF(Orders!L67&lt;=3,"1.5–3 km","Over 3 km")),"")</f>
        <v>Up to 1.5 km</v>
      </c>
      <c r="BF70" s="33">
        <f>IF(E70=1,IF(ABS((Orders!G67-Orders!F67)*1440-Orders!R67)&lt;0.06,1,0),"")</f>
        <v>1</v>
      </c>
      <c r="BG70" s="33">
        <f>IF(ABS((Orders!F67-Orders!E67)*1440-Orders!P67)&lt;0.06,1,0)</f>
        <v>1</v>
      </c>
      <c r="BH70" s="33">
        <f>IF(E70=1,IF(IF(Orders!S67,1,0)=1-G70,1,0),"")</f>
        <v>1</v>
      </c>
      <c r="BI70" s="32" t="str">
        <f>INDEX(Stores!$B$2:$B$21,MATCH(B70,Stores!$A$2:$A$21,0))</f>
        <v>Pune</v>
      </c>
    </row>
    <row r="71">
      <c r="A71" s="32" t="str">
        <f>Orders!A68</f>
        <v>O00067</v>
      </c>
      <c r="B71" s="32" t="str">
        <f>Orders!C68</f>
        <v>S006</v>
      </c>
      <c r="C71" s="32" t="str">
        <f>Orders!B68</f>
        <v>C0226</v>
      </c>
      <c r="D71" s="32" t="str">
        <f>Orders!H68</f>
        <v>Delivered</v>
      </c>
      <c r="E71" s="33">
        <f>IF(Orders!H68="Delivered",1,0)</f>
        <v>1</v>
      </c>
      <c r="F71" s="34">
        <f>IF(E71=1,Orders!R68,"")</f>
        <v>-1.1</v>
      </c>
      <c r="G71" s="33">
        <f>IF(E71=1,IF(Orders!R68&gt;0,1,0),"")</f>
        <v>0</v>
      </c>
      <c r="H71" s="33">
        <f>IF(E71=1,IF(Orders!R68&gt;5,1,0),"")</f>
        <v>0</v>
      </c>
      <c r="I71" s="32" t="str">
        <f>IF(E71=1,"",IF(OR(Orders!T68="Rider unavailable",Orders!T68="Item unavailable"),"Company-caused","Unresolved"))</f>
        <v/>
      </c>
      <c r="J71" s="33">
        <f>IF(OR(E71=1,I71="Company-caused"),1,0)</f>
        <v>1</v>
      </c>
      <c r="K71" s="32" t="str">
        <f>IF(E71=0,IF(I71="Company-caused",IF(Orders!T68="Rider unavailable","C1 Rider unavailable","C2 Item unavailable"),"Outside root: unresolved"),IF(G71=0,"A On time",IF(H71=1,IF(L71=1,"B2a Severe, peak","B2b Severe, off-peak"),IF(L71=1,"B1a Slight, peak","B1b Slight, off-peak"))))</f>
        <v>A On time</v>
      </c>
      <c r="L71" s="33">
        <f>IF(AND(Orders!U68&gt;=19,Orders!U68&lt;22),1,0)</f>
        <v>0</v>
      </c>
      <c r="M71" s="33">
        <f>IF(L71=IF(Orders!V68,1,0),1,0)</f>
        <v>1</v>
      </c>
      <c r="N71" s="32" t="str">
        <f>IF(Orders!W68="","None",Orders!W68)</f>
        <v>None</v>
      </c>
      <c r="O71" s="35">
        <f>INT(Orders!E68)</f>
        <v>46269.0</v>
      </c>
      <c r="P71" s="33">
        <f>Orders!U68</f>
        <v>10</v>
      </c>
      <c r="Q71" s="33">
        <f>COUNTIFS(Demand!$A$2:$A$4481,B71,Demand!$B$2:$B$4481,O71,Demand!$C$2:$C$4481,P71)</f>
        <v>1</v>
      </c>
      <c r="R71" s="33">
        <f>IF(Q71=1,SUMIFS(Demand!$E$2:$E$4481,Demand!$A$2:$A$4481,B71,Demand!$B$2:$B$4481,O71,Demand!$C$2:$C$4481,P71),"")</f>
        <v>13</v>
      </c>
      <c r="S71" s="33">
        <f>INDEX(Stores!$G$2:$G$21,MATCH(B71,Stores!$A$2:$A$21,0))</f>
        <v>26</v>
      </c>
      <c r="T71" s="34">
        <f>IF(R71="","",R71/S71)</f>
        <v>0.5</v>
      </c>
      <c r="U71" s="34">
        <f>IF(E71=1,T71,"")</f>
        <v>0.5</v>
      </c>
      <c r="V71" s="34">
        <f>IF(AND(E71=1,L71=0),T71,"")</f>
        <v>0.5</v>
      </c>
      <c r="W71" s="33">
        <f>IF(U71="","",IF(U71&lt;=Breakdowns!$C$5,1,IF(U71&lt;=Breakdowns!$C$6,2,IF(U71&lt;=Breakdowns!$C$7,3,4))))</f>
        <v>1</v>
      </c>
      <c r="X71" s="33">
        <f>IF(V71="","",IF(V71&lt;=Breakdowns!$D$5,1,IF(V71&lt;=Breakdowns!$D$6,2,IF(V71&lt;=Breakdowns!$D$7,3,4))))</f>
        <v>1</v>
      </c>
      <c r="Y71" s="34">
        <f>INDEX(Stores!$F$2:$F$21,MATCH(B71,Stores!$A$2:$A$21,0))</f>
        <v>5.22</v>
      </c>
      <c r="Z71" s="33">
        <f>IF(Y71&gt;Store_Summary!$M$2,1,0)</f>
        <v>1</v>
      </c>
      <c r="AA71" s="33">
        <f>INDEX(Stores!$C$2:$C$21,MATCH(B71,Stores!$A$2:$A$21,0))</f>
        <v>412</v>
      </c>
      <c r="AB71" s="33">
        <f>IF(AA71&lt;180,1,0)</f>
        <v>0</v>
      </c>
      <c r="AC71" s="32" t="str">
        <f>IF(Orders!D68="","",INDEX(Riders!$C$2:$C$81,MATCH(Orders!D68,Riders!$A$2:$A$81,0)))</f>
        <v>EV scooter</v>
      </c>
      <c r="AD71" s="33">
        <f>IF(Orders!D68="","",INDEX(Riders!$D$2:$D$81,MATCH(Orders!D68,Riders!$A$2:$A$81,0)))</f>
        <v>9</v>
      </c>
      <c r="AE71" s="33">
        <f>IF(Orders!D68="","",IF(INDEX(Riders!$B$2:$B$81,MATCH(Orders!D68,Riders!$A$2:$A$81,0))=B71,1,0))</f>
        <v>0</v>
      </c>
      <c r="AF71" s="34">
        <f>IF(E71=1,Orders!L68,"")</f>
        <v>4.08</v>
      </c>
      <c r="AG71" s="34">
        <f>IF(E71=1,Orders!P68,"")</f>
        <v>9.4</v>
      </c>
      <c r="AH71" s="34">
        <f>IF(E71=1,Orders!Q68,"")</f>
        <v>8.3</v>
      </c>
      <c r="AI71" s="34">
        <f>IF(E71=1,Orders!M68,"")</f>
        <v>2.4</v>
      </c>
      <c r="AJ71" s="34">
        <f>IF(E71=1,Orders!N68,"")</f>
        <v>2.2</v>
      </c>
      <c r="AK71" s="34">
        <f>IF(E71=1,Orders!O68,"")</f>
        <v>3.7</v>
      </c>
      <c r="AL71" s="33">
        <f>IF(E71=1,IF(ROUND(ABS(AI71+AJ71+AK71-AH71),6)&lt;=0.1,1,0),"")</f>
        <v>1</v>
      </c>
      <c r="AM71" s="36">
        <f>IF(E71=1,AI71/AH71,"")</f>
        <v>0.289156626506024</v>
      </c>
      <c r="AN71" s="36">
        <f>IF(E71=1,AJ71/AH71,"")</f>
        <v>0.265060240963855</v>
      </c>
      <c r="AO71" s="36">
        <f>IF(E71=1,AK71/AH71,"")</f>
        <v>0.445783132530121</v>
      </c>
      <c r="AP71" s="34">
        <f>IF(E71=1,Orders!Y68,"")</f>
        <v>0.43</v>
      </c>
      <c r="AQ71" s="33">
        <f>IF(Orders!X68,1,0)</f>
        <v>0</v>
      </c>
      <c r="AR71" s="34" t="str">
        <f>IF(AND(E71=1,L71=1),AJ71,"")</f>
        <v/>
      </c>
      <c r="AS71" s="34">
        <f>IF(AND(E71=1,L71=0),AJ71,"")</f>
        <v>2.2</v>
      </c>
      <c r="AT71" s="34" t="str">
        <f>IF(AND(E71=1,L71=1),AI71,"")</f>
        <v/>
      </c>
      <c r="AU71" s="34">
        <f>IF(AND(E71=1,L71=0),AI71,"")</f>
        <v>2.4</v>
      </c>
      <c r="AV71" s="34" t="str">
        <f>IF(AND(E71=1,L71=1),AG71,"")</f>
        <v/>
      </c>
      <c r="AW71" s="34">
        <f>IF(AND(E71=1,L71=0),AG71,"")</f>
        <v>9.4</v>
      </c>
      <c r="AX71" s="34" t="str">
        <f>IF(AND(E71=1,L71=1),AH71,"")</f>
        <v/>
      </c>
      <c r="AY71" s="34">
        <f>IF(AND(E71=1,L71=0),AH71,"")</f>
        <v>8.3</v>
      </c>
      <c r="AZ71" s="34" t="str">
        <f>IF(G71=1,F71,"")</f>
        <v/>
      </c>
      <c r="BA71" s="34" t="str">
        <f>IF(AND(G71=1,L71=1),F71,"")</f>
        <v/>
      </c>
      <c r="BB71" s="34" t="str">
        <f>IF(AND(G71=1,L71=0),F71,"")</f>
        <v/>
      </c>
      <c r="BC71" s="33">
        <f>IF(E71=1,IF(Orders!R68&gt;3,1,0),"")</f>
        <v>0</v>
      </c>
      <c r="BD71" s="33">
        <f>IF(E71=1,IF(Orders!R68&gt;7,1,0),"")</f>
        <v>0</v>
      </c>
      <c r="BE71" s="32" t="str">
        <f>IF(E71=1,IF(Orders!L68&lt;=1.5,"Up to 1.5 km",IF(Orders!L68&lt;=3,"1.5–3 km","Over 3 km")),"")</f>
        <v>Over 3 km</v>
      </c>
      <c r="BF71" s="33">
        <f>IF(E71=1,IF(ABS((Orders!G68-Orders!F68)*1440-Orders!R68)&lt;0.06,1,0),"")</f>
        <v>1</v>
      </c>
      <c r="BG71" s="33">
        <f>IF(ABS((Orders!F68-Orders!E68)*1440-Orders!P68)&lt;0.06,1,0)</f>
        <v>1</v>
      </c>
      <c r="BH71" s="33">
        <f>IF(E71=1,IF(IF(Orders!S68,1,0)=1-G71,1,0),"")</f>
        <v>1</v>
      </c>
      <c r="BI71" s="32" t="str">
        <f>INDEX(Stores!$B$2:$B$21,MATCH(B71,Stores!$A$2:$A$21,0))</f>
        <v>Bengaluru</v>
      </c>
    </row>
    <row r="72">
      <c r="A72" s="32" t="str">
        <f>Orders!A69</f>
        <v>O00068</v>
      </c>
      <c r="B72" s="32" t="str">
        <f>Orders!C69</f>
        <v>S011</v>
      </c>
      <c r="C72" s="32" t="str">
        <f>Orders!B69</f>
        <v>C0197</v>
      </c>
      <c r="D72" s="32" t="str">
        <f>Orders!H69</f>
        <v>Delivered</v>
      </c>
      <c r="E72" s="33">
        <f>IF(Orders!H69="Delivered",1,0)</f>
        <v>1</v>
      </c>
      <c r="F72" s="34">
        <f>IF(E72=1,Orders!R69,"")</f>
        <v>-0.4</v>
      </c>
      <c r="G72" s="33">
        <f>IF(E72=1,IF(Orders!R69&gt;0,1,0),"")</f>
        <v>0</v>
      </c>
      <c r="H72" s="33">
        <f>IF(E72=1,IF(Orders!R69&gt;5,1,0),"")</f>
        <v>0</v>
      </c>
      <c r="I72" s="32" t="str">
        <f>IF(E72=1,"",IF(OR(Orders!T69="Rider unavailable",Orders!T69="Item unavailable"),"Company-caused","Unresolved"))</f>
        <v/>
      </c>
      <c r="J72" s="33">
        <f>IF(OR(E72=1,I72="Company-caused"),1,0)</f>
        <v>1</v>
      </c>
      <c r="K72" s="32" t="str">
        <f>IF(E72=0,IF(I72="Company-caused",IF(Orders!T69="Rider unavailable","C1 Rider unavailable","C2 Item unavailable"),"Outside root: unresolved"),IF(G72=0,"A On time",IF(H72=1,IF(L72=1,"B2a Severe, peak","B2b Severe, off-peak"),IF(L72=1,"B1a Slight, peak","B1b Slight, off-peak"))))</f>
        <v>A On time</v>
      </c>
      <c r="L72" s="33">
        <f>IF(AND(Orders!U69&gt;=19,Orders!U69&lt;22),1,0)</f>
        <v>0</v>
      </c>
      <c r="M72" s="33">
        <f>IF(L72=IF(Orders!V69,1,0),1,0)</f>
        <v>1</v>
      </c>
      <c r="N72" s="32" t="str">
        <f>IF(Orders!W69="","None",Orders!W69)</f>
        <v>Light</v>
      </c>
      <c r="O72" s="35">
        <f>INT(Orders!E69)</f>
        <v>46273.0</v>
      </c>
      <c r="P72" s="33">
        <f>Orders!U69</f>
        <v>18</v>
      </c>
      <c r="Q72" s="33">
        <f>COUNTIFS(Demand!$A$2:$A$4481,B72,Demand!$B$2:$B$4481,O72,Demand!$C$2:$C$4481,P72)</f>
        <v>1</v>
      </c>
      <c r="R72" s="33">
        <f>IF(Q72=1,SUMIFS(Demand!$E$2:$E$4481,Demand!$A$2:$A$4481,B72,Demand!$B$2:$B$4481,O72,Demand!$C$2:$C$4481,P72),"")</f>
        <v>32</v>
      </c>
      <c r="S72" s="33">
        <f>INDEX(Stores!$G$2:$G$21,MATCH(B72,Stores!$A$2:$A$21,0))</f>
        <v>31</v>
      </c>
      <c r="T72" s="34">
        <f>IF(R72="","",R72/S72)</f>
        <v>1.03225806451613</v>
      </c>
      <c r="U72" s="34">
        <f>IF(E72=1,T72,"")</f>
        <v>1.03225806451613</v>
      </c>
      <c r="V72" s="34">
        <f>IF(AND(E72=1,L72=0),T72,"")</f>
        <v>1.03225806451613</v>
      </c>
      <c r="W72" s="33">
        <f>IF(U72="","",IF(U72&lt;=Breakdowns!$C$5,1,IF(U72&lt;=Breakdowns!$C$6,2,IF(U72&lt;=Breakdowns!$C$7,3,4))))</f>
        <v>3</v>
      </c>
      <c r="X72" s="33">
        <f>IF(V72="","",IF(V72&lt;=Breakdowns!$D$5,1,IF(V72&lt;=Breakdowns!$D$6,2,IF(V72&lt;=Breakdowns!$D$7,3,4))))</f>
        <v>3</v>
      </c>
      <c r="Y72" s="34">
        <f>INDEX(Stores!$F$2:$F$21,MATCH(B72,Stores!$A$2:$A$21,0))</f>
        <v>5.67</v>
      </c>
      <c r="Z72" s="33">
        <f>IF(Y72&gt;Store_Summary!$M$2,1,0)</f>
        <v>1</v>
      </c>
      <c r="AA72" s="33">
        <f>INDEX(Stores!$C$2:$C$21,MATCH(B72,Stores!$A$2:$A$21,0))</f>
        <v>732</v>
      </c>
      <c r="AB72" s="33">
        <f>IF(AA72&lt;180,1,0)</f>
        <v>0</v>
      </c>
      <c r="AC72" s="32" t="str">
        <f>IF(Orders!D69="","",INDEX(Riders!$C$2:$C$81,MATCH(Orders!D69,Riders!$A$2:$A$81,0)))</f>
        <v>EV scooter</v>
      </c>
      <c r="AD72" s="33">
        <f>IF(Orders!D69="","",INDEX(Riders!$D$2:$D$81,MATCH(Orders!D69,Riders!$A$2:$A$81,0)))</f>
        <v>36</v>
      </c>
      <c r="AE72" s="33">
        <f>IF(Orders!D69="","",IF(INDEX(Riders!$B$2:$B$81,MATCH(Orders!D69,Riders!$A$2:$A$81,0))=B72,1,0))</f>
        <v>0</v>
      </c>
      <c r="AF72" s="34">
        <f>IF(E72=1,Orders!L69,"")</f>
        <v>0.5</v>
      </c>
      <c r="AG72" s="34">
        <f>IF(E72=1,Orders!P69,"")</f>
        <v>9.6</v>
      </c>
      <c r="AH72" s="34">
        <f>IF(E72=1,Orders!Q69,"")</f>
        <v>9.2</v>
      </c>
      <c r="AI72" s="34">
        <f>IF(E72=1,Orders!M69,"")</f>
        <v>4.5</v>
      </c>
      <c r="AJ72" s="34">
        <f>IF(E72=1,Orders!N69,"")</f>
        <v>3</v>
      </c>
      <c r="AK72" s="34">
        <f>IF(E72=1,Orders!O69,"")</f>
        <v>1.7</v>
      </c>
      <c r="AL72" s="33">
        <f>IF(E72=1,IF(ROUND(ABS(AI72+AJ72+AK72-AH72),6)&lt;=0.1,1,0),"")</f>
        <v>1</v>
      </c>
      <c r="AM72" s="36">
        <f>IF(E72=1,AI72/AH72,"")</f>
        <v>0.489130434782609</v>
      </c>
      <c r="AN72" s="36">
        <f>IF(E72=1,AJ72/AH72,"")</f>
        <v>0.326086956521739</v>
      </c>
      <c r="AO72" s="36">
        <f>IF(E72=1,AK72/AH72,"")</f>
        <v>0.184782608695652</v>
      </c>
      <c r="AP72" s="34">
        <f>IF(E72=1,Orders!Y69,"")</f>
        <v>0.39</v>
      </c>
      <c r="AQ72" s="33">
        <f>IF(Orders!X69,1,0)</f>
        <v>0</v>
      </c>
      <c r="AR72" s="34" t="str">
        <f>IF(AND(E72=1,L72=1),AJ72,"")</f>
        <v/>
      </c>
      <c r="AS72" s="34">
        <f>IF(AND(E72=1,L72=0),AJ72,"")</f>
        <v>3</v>
      </c>
      <c r="AT72" s="34" t="str">
        <f>IF(AND(E72=1,L72=1),AI72,"")</f>
        <v/>
      </c>
      <c r="AU72" s="34">
        <f>IF(AND(E72=1,L72=0),AI72,"")</f>
        <v>4.5</v>
      </c>
      <c r="AV72" s="34" t="str">
        <f>IF(AND(E72=1,L72=1),AG72,"")</f>
        <v/>
      </c>
      <c r="AW72" s="34">
        <f>IF(AND(E72=1,L72=0),AG72,"")</f>
        <v>9.6</v>
      </c>
      <c r="AX72" s="34" t="str">
        <f>IF(AND(E72=1,L72=1),AH72,"")</f>
        <v/>
      </c>
      <c r="AY72" s="34">
        <f>IF(AND(E72=1,L72=0),AH72,"")</f>
        <v>9.2</v>
      </c>
      <c r="AZ72" s="34" t="str">
        <f>IF(G72=1,F72,"")</f>
        <v/>
      </c>
      <c r="BA72" s="34" t="str">
        <f>IF(AND(G72=1,L72=1),F72,"")</f>
        <v/>
      </c>
      <c r="BB72" s="34" t="str">
        <f>IF(AND(G72=1,L72=0),F72,"")</f>
        <v/>
      </c>
      <c r="BC72" s="33">
        <f>IF(E72=1,IF(Orders!R69&gt;3,1,0),"")</f>
        <v>0</v>
      </c>
      <c r="BD72" s="33">
        <f>IF(E72=1,IF(Orders!R69&gt;7,1,0),"")</f>
        <v>0</v>
      </c>
      <c r="BE72" s="32" t="str">
        <f>IF(E72=1,IF(Orders!L69&lt;=1.5,"Up to 1.5 km",IF(Orders!L69&lt;=3,"1.5–3 km","Over 3 km")),"")</f>
        <v>Up to 1.5 km</v>
      </c>
      <c r="BF72" s="33">
        <f>IF(E72=1,IF(ABS((Orders!G69-Orders!F69)*1440-Orders!R69)&lt;0.06,1,0),"")</f>
        <v>1</v>
      </c>
      <c r="BG72" s="33">
        <f>IF(ABS((Orders!F69-Orders!E69)*1440-Orders!P69)&lt;0.06,1,0)</f>
        <v>1</v>
      </c>
      <c r="BH72" s="33">
        <f>IF(E72=1,IF(IF(Orders!S69,1,0)=1-G72,1,0),"")</f>
        <v>1</v>
      </c>
      <c r="BI72" s="32" t="str">
        <f>INDEX(Stores!$B$2:$B$21,MATCH(B72,Stores!$A$2:$A$21,0))</f>
        <v>Bengaluru</v>
      </c>
    </row>
    <row r="73">
      <c r="A73" s="32" t="str">
        <f>Orders!A70</f>
        <v>O00069</v>
      </c>
      <c r="B73" s="32" t="str">
        <f>Orders!C70</f>
        <v>S010</v>
      </c>
      <c r="C73" s="32" t="str">
        <f>Orders!B70</f>
        <v>C0174</v>
      </c>
      <c r="D73" s="32" t="str">
        <f>Orders!H70</f>
        <v>Delivered</v>
      </c>
      <c r="E73" s="33">
        <f>IF(Orders!H70="Delivered",1,0)</f>
        <v>1</v>
      </c>
      <c r="F73" s="34">
        <f>IF(E73=1,Orders!R70,"")</f>
        <v>-0.2</v>
      </c>
      <c r="G73" s="33">
        <f>IF(E73=1,IF(Orders!R70&gt;0,1,0),"")</f>
        <v>0</v>
      </c>
      <c r="H73" s="33">
        <f>IF(E73=1,IF(Orders!R70&gt;5,1,0),"")</f>
        <v>0</v>
      </c>
      <c r="I73" s="32" t="str">
        <f>IF(E73=1,"",IF(OR(Orders!T70="Rider unavailable",Orders!T70="Item unavailable"),"Company-caused","Unresolved"))</f>
        <v/>
      </c>
      <c r="J73" s="33">
        <f>IF(OR(E73=1,I73="Company-caused"),1,0)</f>
        <v>1</v>
      </c>
      <c r="K73" s="32" t="str">
        <f>IF(E73=0,IF(I73="Company-caused",IF(Orders!T70="Rider unavailable","C1 Rider unavailable","C2 Item unavailable"),"Outside root: unresolved"),IF(G73=0,"A On time",IF(H73=1,IF(L73=1,"B2a Severe, peak","B2b Severe, off-peak"),IF(L73=1,"B1a Slight, peak","B1b Slight, off-peak"))))</f>
        <v>A On time</v>
      </c>
      <c r="L73" s="33">
        <f>IF(AND(Orders!U70&gt;=19,Orders!U70&lt;22),1,0)</f>
        <v>0</v>
      </c>
      <c r="M73" s="33">
        <f>IF(L73=IF(Orders!V70,1,0),1,0)</f>
        <v>1</v>
      </c>
      <c r="N73" s="32" t="str">
        <f>IF(Orders!W70="","None",Orders!W70)</f>
        <v>None</v>
      </c>
      <c r="O73" s="35">
        <f>INT(Orders!E70)</f>
        <v>46271.0</v>
      </c>
      <c r="P73" s="33">
        <f>Orders!U70</f>
        <v>12</v>
      </c>
      <c r="Q73" s="33">
        <f>COUNTIFS(Demand!$A$2:$A$4481,B73,Demand!$B$2:$B$4481,O73,Demand!$C$2:$C$4481,P73)</f>
        <v>1</v>
      </c>
      <c r="R73" s="33">
        <f>IF(Q73=1,SUMIFS(Demand!$E$2:$E$4481,Demand!$A$2:$A$4481,B73,Demand!$B$2:$B$4481,O73,Demand!$C$2:$C$4481,P73),"")</f>
        <v>31</v>
      </c>
      <c r="S73" s="33">
        <f>INDEX(Stores!$G$2:$G$21,MATCH(B73,Stores!$A$2:$A$21,0))</f>
        <v>22</v>
      </c>
      <c r="T73" s="34">
        <f>IF(R73="","",R73/S73)</f>
        <v>1.40909090909091</v>
      </c>
      <c r="U73" s="34">
        <f>IF(E73=1,T73,"")</f>
        <v>1.40909090909091</v>
      </c>
      <c r="V73" s="34">
        <f>IF(AND(E73=1,L73=0),T73,"")</f>
        <v>1.40909090909091</v>
      </c>
      <c r="W73" s="33">
        <f>IF(U73="","",IF(U73&lt;=Breakdowns!$C$5,1,IF(U73&lt;=Breakdowns!$C$6,2,IF(U73&lt;=Breakdowns!$C$7,3,4))))</f>
        <v>4</v>
      </c>
      <c r="X73" s="33">
        <f>IF(V73="","",IF(V73&lt;=Breakdowns!$D$5,1,IF(V73&lt;=Breakdowns!$D$6,2,IF(V73&lt;=Breakdowns!$D$7,3,4))))</f>
        <v>4</v>
      </c>
      <c r="Y73" s="34">
        <f>INDEX(Stores!$F$2:$F$21,MATCH(B73,Stores!$A$2:$A$21,0))</f>
        <v>5.61</v>
      </c>
      <c r="Z73" s="33">
        <f>IF(Y73&gt;Store_Summary!$M$2,1,0)</f>
        <v>1</v>
      </c>
      <c r="AA73" s="33">
        <f>INDEX(Stores!$C$2:$C$21,MATCH(B73,Stores!$A$2:$A$21,0))</f>
        <v>744</v>
      </c>
      <c r="AB73" s="33">
        <f>IF(AA73&lt;180,1,0)</f>
        <v>0</v>
      </c>
      <c r="AC73" s="32" t="str">
        <f>IF(Orders!D70="","",INDEX(Riders!$C$2:$C$81,MATCH(Orders!D70,Riders!$A$2:$A$81,0)))</f>
        <v>EV scooter</v>
      </c>
      <c r="AD73" s="33">
        <f>IF(Orders!D70="","",INDEX(Riders!$D$2:$D$81,MATCH(Orders!D70,Riders!$A$2:$A$81,0)))</f>
        <v>21</v>
      </c>
      <c r="AE73" s="33">
        <f>IF(Orders!D70="","",IF(INDEX(Riders!$B$2:$B$81,MATCH(Orders!D70,Riders!$A$2:$A$81,0))=B73,1,0))</f>
        <v>0</v>
      </c>
      <c r="AF73" s="34">
        <f>IF(E73=1,Orders!L70,"")</f>
        <v>3.17</v>
      </c>
      <c r="AG73" s="34">
        <f>IF(E73=1,Orders!P70,"")</f>
        <v>10.9</v>
      </c>
      <c r="AH73" s="34">
        <f>IF(E73=1,Orders!Q70,"")</f>
        <v>10.7</v>
      </c>
      <c r="AI73" s="34">
        <f>IF(E73=1,Orders!M70,"")</f>
        <v>2.7</v>
      </c>
      <c r="AJ73" s="34">
        <f>IF(E73=1,Orders!N70,"")</f>
        <v>3.8</v>
      </c>
      <c r="AK73" s="34">
        <f>IF(E73=1,Orders!O70,"")</f>
        <v>4.2</v>
      </c>
      <c r="AL73" s="33">
        <f>IF(E73=1,IF(ROUND(ABS(AI73+AJ73+AK73-AH73),6)&lt;=0.1,1,0),"")</f>
        <v>1</v>
      </c>
      <c r="AM73" s="36">
        <f>IF(E73=1,AI73/AH73,"")</f>
        <v>0.252336448598131</v>
      </c>
      <c r="AN73" s="36">
        <f>IF(E73=1,AJ73/AH73,"")</f>
        <v>0.355140186915888</v>
      </c>
      <c r="AO73" s="36">
        <f>IF(E73=1,AK73/AH73,"")</f>
        <v>0.392523364485981</v>
      </c>
      <c r="AP73" s="34">
        <f>IF(E73=1,Orders!Y70,"")</f>
        <v>0.69</v>
      </c>
      <c r="AQ73" s="33">
        <f>IF(Orders!X70,1,0)</f>
        <v>0</v>
      </c>
      <c r="AR73" s="34" t="str">
        <f>IF(AND(E73=1,L73=1),AJ73,"")</f>
        <v/>
      </c>
      <c r="AS73" s="34">
        <f>IF(AND(E73=1,L73=0),AJ73,"")</f>
        <v>3.8</v>
      </c>
      <c r="AT73" s="34" t="str">
        <f>IF(AND(E73=1,L73=1),AI73,"")</f>
        <v/>
      </c>
      <c r="AU73" s="34">
        <f>IF(AND(E73=1,L73=0),AI73,"")</f>
        <v>2.7</v>
      </c>
      <c r="AV73" s="34" t="str">
        <f>IF(AND(E73=1,L73=1),AG73,"")</f>
        <v/>
      </c>
      <c r="AW73" s="34">
        <f>IF(AND(E73=1,L73=0),AG73,"")</f>
        <v>10.9</v>
      </c>
      <c r="AX73" s="34" t="str">
        <f>IF(AND(E73=1,L73=1),AH73,"")</f>
        <v/>
      </c>
      <c r="AY73" s="34">
        <f>IF(AND(E73=1,L73=0),AH73,"")</f>
        <v>10.7</v>
      </c>
      <c r="AZ73" s="34" t="str">
        <f>IF(G73=1,F73,"")</f>
        <v/>
      </c>
      <c r="BA73" s="34" t="str">
        <f>IF(AND(G73=1,L73=1),F73,"")</f>
        <v/>
      </c>
      <c r="BB73" s="34" t="str">
        <f>IF(AND(G73=1,L73=0),F73,"")</f>
        <v/>
      </c>
      <c r="BC73" s="33">
        <f>IF(E73=1,IF(Orders!R70&gt;3,1,0),"")</f>
        <v>0</v>
      </c>
      <c r="BD73" s="33">
        <f>IF(E73=1,IF(Orders!R70&gt;7,1,0),"")</f>
        <v>0</v>
      </c>
      <c r="BE73" s="32" t="str">
        <f>IF(E73=1,IF(Orders!L70&lt;=1.5,"Up to 1.5 km",IF(Orders!L70&lt;=3,"1.5–3 km","Over 3 km")),"")</f>
        <v>Over 3 km</v>
      </c>
      <c r="BF73" s="33">
        <f>IF(E73=1,IF(ABS((Orders!G70-Orders!F70)*1440-Orders!R70)&lt;0.06,1,0),"")</f>
        <v>1</v>
      </c>
      <c r="BG73" s="33">
        <f>IF(ABS((Orders!F70-Orders!E70)*1440-Orders!P70)&lt;0.06,1,0)</f>
        <v>1</v>
      </c>
      <c r="BH73" s="33">
        <f>IF(E73=1,IF(IF(Orders!S70,1,0)=1-G73,1,0),"")</f>
        <v>1</v>
      </c>
      <c r="BI73" s="32" t="str">
        <f>INDEX(Stores!$B$2:$B$21,MATCH(B73,Stores!$A$2:$A$21,0))</f>
        <v>Delhi</v>
      </c>
    </row>
    <row r="74">
      <c r="A74" s="32" t="str">
        <f>Orders!A71</f>
        <v>O00070</v>
      </c>
      <c r="B74" s="32" t="str">
        <f>Orders!C71</f>
        <v>S016</v>
      </c>
      <c r="C74" s="32" t="str">
        <f>Orders!B71</f>
        <v>C0033</v>
      </c>
      <c r="D74" s="32" t="str">
        <f>Orders!H71</f>
        <v>Delivered</v>
      </c>
      <c r="E74" s="33">
        <f>IF(Orders!H71="Delivered",1,0)</f>
        <v>1</v>
      </c>
      <c r="F74" s="34">
        <f>IF(E74=1,Orders!R71,"")</f>
        <v>-1</v>
      </c>
      <c r="G74" s="33">
        <f>IF(E74=1,IF(Orders!R71&gt;0,1,0),"")</f>
        <v>0</v>
      </c>
      <c r="H74" s="33">
        <f>IF(E74=1,IF(Orders!R71&gt;5,1,0),"")</f>
        <v>0</v>
      </c>
      <c r="I74" s="32" t="str">
        <f>IF(E74=1,"",IF(OR(Orders!T71="Rider unavailable",Orders!T71="Item unavailable"),"Company-caused","Unresolved"))</f>
        <v/>
      </c>
      <c r="J74" s="33">
        <f>IF(OR(E74=1,I74="Company-caused"),1,0)</f>
        <v>1</v>
      </c>
      <c r="K74" s="32" t="str">
        <f>IF(E74=0,IF(I74="Company-caused",IF(Orders!T71="Rider unavailable","C1 Rider unavailable","C2 Item unavailable"),"Outside root: unresolved"),IF(G74=0,"A On time",IF(H74=1,IF(L74=1,"B2a Severe, peak","B2b Severe, off-peak"),IF(L74=1,"B1a Slight, peak","B1b Slight, off-peak"))))</f>
        <v>A On time</v>
      </c>
      <c r="L74" s="33">
        <f>IF(AND(Orders!U71&gt;=19,Orders!U71&lt;22),1,0)</f>
        <v>0</v>
      </c>
      <c r="M74" s="33">
        <f>IF(L74=IF(Orders!V71,1,0),1,0)</f>
        <v>1</v>
      </c>
      <c r="N74" s="32" t="str">
        <f>IF(Orders!W71="","None",Orders!W71)</f>
        <v>None</v>
      </c>
      <c r="O74" s="35">
        <f>INT(Orders!E71)</f>
        <v>46271.0</v>
      </c>
      <c r="P74" s="33">
        <f>Orders!U71</f>
        <v>17</v>
      </c>
      <c r="Q74" s="33">
        <f>COUNTIFS(Demand!$A$2:$A$4481,B74,Demand!$B$2:$B$4481,O74,Demand!$C$2:$C$4481,P74)</f>
        <v>1</v>
      </c>
      <c r="R74" s="33">
        <f>IF(Q74=1,SUMIFS(Demand!$E$2:$E$4481,Demand!$A$2:$A$4481,B74,Demand!$B$2:$B$4481,O74,Demand!$C$2:$C$4481,P74),"")</f>
        <v>27</v>
      </c>
      <c r="S74" s="33">
        <f>INDEX(Stores!$G$2:$G$21,MATCH(B74,Stores!$A$2:$A$21,0))</f>
        <v>25</v>
      </c>
      <c r="T74" s="34">
        <f>IF(R74="","",R74/S74)</f>
        <v>1.08</v>
      </c>
      <c r="U74" s="34">
        <f>IF(E74=1,T74,"")</f>
        <v>1.08</v>
      </c>
      <c r="V74" s="34">
        <f>IF(AND(E74=1,L74=0),T74,"")</f>
        <v>1.08</v>
      </c>
      <c r="W74" s="33">
        <f>IF(U74="","",IF(U74&lt;=Breakdowns!$C$5,1,IF(U74&lt;=Breakdowns!$C$6,2,IF(U74&lt;=Breakdowns!$C$7,3,4))))</f>
        <v>3</v>
      </c>
      <c r="X74" s="33">
        <f>IF(V74="","",IF(V74&lt;=Breakdowns!$D$5,1,IF(V74&lt;=Breakdowns!$D$6,2,IF(V74&lt;=Breakdowns!$D$7,3,4))))</f>
        <v>4</v>
      </c>
      <c r="Y74" s="34">
        <f>INDEX(Stores!$F$2:$F$21,MATCH(B74,Stores!$A$2:$A$21,0))</f>
        <v>5.51</v>
      </c>
      <c r="Z74" s="33">
        <f>IF(Y74&gt;Store_Summary!$M$2,1,0)</f>
        <v>1</v>
      </c>
      <c r="AA74" s="33">
        <f>INDEX(Stores!$C$2:$C$21,MATCH(B74,Stores!$A$2:$A$21,0))</f>
        <v>792</v>
      </c>
      <c r="AB74" s="33">
        <f>IF(AA74&lt;180,1,0)</f>
        <v>0</v>
      </c>
      <c r="AC74" s="32" t="str">
        <f>IF(Orders!D71="","",INDEX(Riders!$C$2:$C$81,MATCH(Orders!D71,Riders!$A$2:$A$81,0)))</f>
        <v>EV scooter</v>
      </c>
      <c r="AD74" s="33">
        <f>IF(Orders!D71="","",INDEX(Riders!$D$2:$D$81,MATCH(Orders!D71,Riders!$A$2:$A$81,0)))</f>
        <v>24</v>
      </c>
      <c r="AE74" s="33">
        <f>IF(Orders!D71="","",IF(INDEX(Riders!$B$2:$B$81,MATCH(Orders!D71,Riders!$A$2:$A$81,0))=B74,1,0))</f>
        <v>0</v>
      </c>
      <c r="AF74" s="34">
        <f>IF(E74=1,Orders!L71,"")</f>
        <v>2.11</v>
      </c>
      <c r="AG74" s="34">
        <f>IF(E74=1,Orders!P71,"")</f>
        <v>9.7</v>
      </c>
      <c r="AH74" s="34">
        <f>IF(E74=1,Orders!Q71,"")</f>
        <v>8.7</v>
      </c>
      <c r="AI74" s="34">
        <f>IF(E74=1,Orders!M71,"")</f>
        <v>4</v>
      </c>
      <c r="AJ74" s="34">
        <f>IF(E74=1,Orders!N71,"")</f>
        <v>0.7</v>
      </c>
      <c r="AK74" s="34">
        <f>IF(E74=1,Orders!O71,"")</f>
        <v>4</v>
      </c>
      <c r="AL74" s="33">
        <f>IF(E74=1,IF(ROUND(ABS(AI74+AJ74+AK74-AH74),6)&lt;=0.1,1,0),"")</f>
        <v>1</v>
      </c>
      <c r="AM74" s="36">
        <f>IF(E74=1,AI74/AH74,"")</f>
        <v>0.459770114942529</v>
      </c>
      <c r="AN74" s="36">
        <f>IF(E74=1,AJ74/AH74,"")</f>
        <v>0.0804597701149425</v>
      </c>
      <c r="AO74" s="36">
        <f>IF(E74=1,AK74/AH74,"")</f>
        <v>0.459770114942529</v>
      </c>
      <c r="AP74" s="34">
        <f>IF(E74=1,Orders!Y71,"")</f>
        <v>0.44</v>
      </c>
      <c r="AQ74" s="33">
        <f>IF(Orders!X71,1,0)</f>
        <v>0</v>
      </c>
      <c r="AR74" s="34" t="str">
        <f>IF(AND(E74=1,L74=1),AJ74,"")</f>
        <v/>
      </c>
      <c r="AS74" s="34">
        <f>IF(AND(E74=1,L74=0),AJ74,"")</f>
        <v>0.7</v>
      </c>
      <c r="AT74" s="34" t="str">
        <f>IF(AND(E74=1,L74=1),AI74,"")</f>
        <v/>
      </c>
      <c r="AU74" s="34">
        <f>IF(AND(E74=1,L74=0),AI74,"")</f>
        <v>4</v>
      </c>
      <c r="AV74" s="34" t="str">
        <f>IF(AND(E74=1,L74=1),AG74,"")</f>
        <v/>
      </c>
      <c r="AW74" s="34">
        <f>IF(AND(E74=1,L74=0),AG74,"")</f>
        <v>9.7</v>
      </c>
      <c r="AX74" s="34" t="str">
        <f>IF(AND(E74=1,L74=1),AH74,"")</f>
        <v/>
      </c>
      <c r="AY74" s="34">
        <f>IF(AND(E74=1,L74=0),AH74,"")</f>
        <v>8.7</v>
      </c>
      <c r="AZ74" s="34" t="str">
        <f>IF(G74=1,F74,"")</f>
        <v/>
      </c>
      <c r="BA74" s="34" t="str">
        <f>IF(AND(G74=1,L74=1),F74,"")</f>
        <v/>
      </c>
      <c r="BB74" s="34" t="str">
        <f>IF(AND(G74=1,L74=0),F74,"")</f>
        <v/>
      </c>
      <c r="BC74" s="33">
        <f>IF(E74=1,IF(Orders!R71&gt;3,1,0),"")</f>
        <v>0</v>
      </c>
      <c r="BD74" s="33">
        <f>IF(E74=1,IF(Orders!R71&gt;7,1,0),"")</f>
        <v>0</v>
      </c>
      <c r="BE74" s="32" t="str">
        <f>IF(E74=1,IF(Orders!L71&lt;=1.5,"Up to 1.5 km",IF(Orders!L71&lt;=3,"1.5–3 km","Over 3 km")),"")</f>
        <v>1.5–3 km</v>
      </c>
      <c r="BF74" s="33">
        <f>IF(E74=1,IF(ABS((Orders!G71-Orders!F71)*1440-Orders!R71)&lt;0.06,1,0),"")</f>
        <v>1</v>
      </c>
      <c r="BG74" s="33">
        <f>IF(ABS((Orders!F71-Orders!E71)*1440-Orders!P71)&lt;0.06,1,0)</f>
        <v>1</v>
      </c>
      <c r="BH74" s="33">
        <f>IF(E74=1,IF(IF(Orders!S71,1,0)=1-G74,1,0),"")</f>
        <v>1</v>
      </c>
      <c r="BI74" s="32" t="str">
        <f>INDEX(Stores!$B$2:$B$21,MATCH(B74,Stores!$A$2:$A$21,0))</f>
        <v>Bengaluru</v>
      </c>
    </row>
    <row r="75">
      <c r="A75" s="32" t="str">
        <f>Orders!A72</f>
        <v>O00071</v>
      </c>
      <c r="B75" s="32" t="str">
        <f>Orders!C72</f>
        <v>S020</v>
      </c>
      <c r="C75" s="32" t="str">
        <f>Orders!B72</f>
        <v>C0102</v>
      </c>
      <c r="D75" s="32" t="str">
        <f>Orders!H72</f>
        <v>Delivered</v>
      </c>
      <c r="E75" s="33">
        <f>IF(Orders!H72="Delivered",1,0)</f>
        <v>1</v>
      </c>
      <c r="F75" s="34">
        <f>IF(E75=1,Orders!R72,"")</f>
        <v>8.1</v>
      </c>
      <c r="G75" s="33">
        <f>IF(E75=1,IF(Orders!R72&gt;0,1,0),"")</f>
        <v>1</v>
      </c>
      <c r="H75" s="33">
        <f>IF(E75=1,IF(Orders!R72&gt;5,1,0),"")</f>
        <v>1</v>
      </c>
      <c r="I75" s="32" t="str">
        <f>IF(E75=1,"",IF(OR(Orders!T72="Rider unavailable",Orders!T72="Item unavailable"),"Company-caused","Unresolved"))</f>
        <v/>
      </c>
      <c r="J75" s="33">
        <f>IF(OR(E75=1,I75="Company-caused"),1,0)</f>
        <v>1</v>
      </c>
      <c r="K75" s="32" t="str">
        <f>IF(E75=0,IF(I75="Company-caused",IF(Orders!T72="Rider unavailable","C1 Rider unavailable","C2 Item unavailable"),"Outside root: unresolved"),IF(G75=0,"A On time",IF(H75=1,IF(L75=1,"B2a Severe, peak","B2b Severe, off-peak"),IF(L75=1,"B1a Slight, peak","B1b Slight, off-peak"))))</f>
        <v>B2b Severe, off-peak</v>
      </c>
      <c r="L75" s="33">
        <f>IF(AND(Orders!U72&gt;=19,Orders!U72&lt;22),1,0)</f>
        <v>0</v>
      </c>
      <c r="M75" s="33">
        <f>IF(L75=IF(Orders!V72,1,0),1,0)</f>
        <v>1</v>
      </c>
      <c r="N75" s="32" t="str">
        <f>IF(Orders!W72="","None",Orders!W72)</f>
        <v>None</v>
      </c>
      <c r="O75" s="35">
        <f>INT(Orders!E72)</f>
        <v>46279.0</v>
      </c>
      <c r="P75" s="33">
        <f>Orders!U72</f>
        <v>17</v>
      </c>
      <c r="Q75" s="33">
        <f>COUNTIFS(Demand!$A$2:$A$4481,B75,Demand!$B$2:$B$4481,O75,Demand!$C$2:$C$4481,P75)</f>
        <v>1</v>
      </c>
      <c r="R75" s="33">
        <f>IF(Q75=1,SUMIFS(Demand!$E$2:$E$4481,Demand!$A$2:$A$4481,B75,Demand!$B$2:$B$4481,O75,Demand!$C$2:$C$4481,P75),"")</f>
        <v>15</v>
      </c>
      <c r="S75" s="33">
        <f>INDEX(Stores!$G$2:$G$21,MATCH(B75,Stores!$A$2:$A$21,0))</f>
        <v>15</v>
      </c>
      <c r="T75" s="34">
        <f>IF(R75="","",R75/S75)</f>
        <v>1</v>
      </c>
      <c r="U75" s="34">
        <f>IF(E75=1,T75,"")</f>
        <v>1</v>
      </c>
      <c r="V75" s="34">
        <f>IF(AND(E75=1,L75=0),T75,"")</f>
        <v>1</v>
      </c>
      <c r="W75" s="33">
        <f>IF(U75="","",IF(U75&lt;=Breakdowns!$C$5,1,IF(U75&lt;=Breakdowns!$C$6,2,IF(U75&lt;=Breakdowns!$C$7,3,4))))</f>
        <v>2</v>
      </c>
      <c r="X75" s="33">
        <f>IF(V75="","",IF(V75&lt;=Breakdowns!$D$5,1,IF(V75&lt;=Breakdowns!$D$6,2,IF(V75&lt;=Breakdowns!$D$7,3,4))))</f>
        <v>3</v>
      </c>
      <c r="Y75" s="34">
        <f>INDEX(Stores!$F$2:$F$21,MATCH(B75,Stores!$A$2:$A$21,0))</f>
        <v>5.74</v>
      </c>
      <c r="Z75" s="33">
        <f>IF(Y75&gt;Store_Summary!$M$2,1,0)</f>
        <v>1</v>
      </c>
      <c r="AA75" s="33">
        <f>INDEX(Stores!$C$2:$C$21,MATCH(B75,Stores!$A$2:$A$21,0))</f>
        <v>647</v>
      </c>
      <c r="AB75" s="33">
        <f>IF(AA75&lt;180,1,0)</f>
        <v>0</v>
      </c>
      <c r="AC75" s="32" t="str">
        <f>IF(Orders!D72="","",INDEX(Riders!$C$2:$C$81,MATCH(Orders!D72,Riders!$A$2:$A$81,0)))</f>
        <v>Petrol scooter</v>
      </c>
      <c r="AD75" s="33">
        <f>IF(Orders!D72="","",INDEX(Riders!$D$2:$D$81,MATCH(Orders!D72,Riders!$A$2:$A$81,0)))</f>
        <v>19</v>
      </c>
      <c r="AE75" s="33">
        <f>IF(Orders!D72="","",IF(INDEX(Riders!$B$2:$B$81,MATCH(Orders!D72,Riders!$A$2:$A$81,0))=B75,1,0))</f>
        <v>0</v>
      </c>
      <c r="AF75" s="34">
        <f>IF(E75=1,Orders!L72,"")</f>
        <v>1.94</v>
      </c>
      <c r="AG75" s="34">
        <f>IF(E75=1,Orders!P72,"")</f>
        <v>9.8</v>
      </c>
      <c r="AH75" s="34">
        <f>IF(E75=1,Orders!Q72,"")</f>
        <v>17.9</v>
      </c>
      <c r="AI75" s="34">
        <f>IF(E75=1,Orders!M72,"")</f>
        <v>7</v>
      </c>
      <c r="AJ75" s="34">
        <f>IF(E75=1,Orders!N72,"")</f>
        <v>5.9</v>
      </c>
      <c r="AK75" s="34">
        <f>IF(E75=1,Orders!O72,"")</f>
        <v>5</v>
      </c>
      <c r="AL75" s="33">
        <f>IF(E75=1,IF(ROUND(ABS(AI75+AJ75+AK75-AH75),6)&lt;=0.1,1,0),"")</f>
        <v>1</v>
      </c>
      <c r="AM75" s="36">
        <f>IF(E75=1,AI75/AH75,"")</f>
        <v>0.391061452513967</v>
      </c>
      <c r="AN75" s="36">
        <f>IF(E75=1,AJ75/AH75,"")</f>
        <v>0.329608938547486</v>
      </c>
      <c r="AO75" s="36">
        <f>IF(E75=1,AK75/AH75,"")</f>
        <v>0.279329608938548</v>
      </c>
      <c r="AP75" s="34">
        <f>IF(E75=1,Orders!Y72,"")</f>
        <v>0.5</v>
      </c>
      <c r="AQ75" s="33">
        <f>IF(Orders!X72,1,0)</f>
        <v>0</v>
      </c>
      <c r="AR75" s="34" t="str">
        <f>IF(AND(E75=1,L75=1),AJ75,"")</f>
        <v/>
      </c>
      <c r="AS75" s="34">
        <f>IF(AND(E75=1,L75=0),AJ75,"")</f>
        <v>5.9</v>
      </c>
      <c r="AT75" s="34" t="str">
        <f>IF(AND(E75=1,L75=1),AI75,"")</f>
        <v/>
      </c>
      <c r="AU75" s="34">
        <f>IF(AND(E75=1,L75=0),AI75,"")</f>
        <v>7</v>
      </c>
      <c r="AV75" s="34" t="str">
        <f>IF(AND(E75=1,L75=1),AG75,"")</f>
        <v/>
      </c>
      <c r="AW75" s="34">
        <f>IF(AND(E75=1,L75=0),AG75,"")</f>
        <v>9.8</v>
      </c>
      <c r="AX75" s="34" t="str">
        <f>IF(AND(E75=1,L75=1),AH75,"")</f>
        <v/>
      </c>
      <c r="AY75" s="34">
        <f>IF(AND(E75=1,L75=0),AH75,"")</f>
        <v>17.9</v>
      </c>
      <c r="AZ75" s="34">
        <f>IF(G75=1,F75,"")</f>
        <v>8.1</v>
      </c>
      <c r="BA75" s="34" t="str">
        <f>IF(AND(G75=1,L75=1),F75,"")</f>
        <v/>
      </c>
      <c r="BB75" s="34">
        <f>IF(AND(G75=1,L75=0),F75,"")</f>
        <v>8.1</v>
      </c>
      <c r="BC75" s="33">
        <f>IF(E75=1,IF(Orders!R72&gt;3,1,0),"")</f>
        <v>1</v>
      </c>
      <c r="BD75" s="33">
        <f>IF(E75=1,IF(Orders!R72&gt;7,1,0),"")</f>
        <v>1</v>
      </c>
      <c r="BE75" s="32" t="str">
        <f>IF(E75=1,IF(Orders!L72&lt;=1.5,"Up to 1.5 km",IF(Orders!L72&lt;=3,"1.5–3 km","Over 3 km")),"")</f>
        <v>1.5–3 km</v>
      </c>
      <c r="BF75" s="33">
        <f>IF(E75=1,IF(ABS((Orders!G72-Orders!F72)*1440-Orders!R72)&lt;0.06,1,0),"")</f>
        <v>1</v>
      </c>
      <c r="BG75" s="33">
        <f>IF(ABS((Orders!F72-Orders!E72)*1440-Orders!P72)&lt;0.06,1,0)</f>
        <v>1</v>
      </c>
      <c r="BH75" s="33">
        <f>IF(E75=1,IF(IF(Orders!S72,1,0)=1-G75,1,0),"")</f>
        <v>1</v>
      </c>
      <c r="BI75" s="32" t="str">
        <f>INDEX(Stores!$B$2:$B$21,MATCH(B75,Stores!$A$2:$A$21,0))</f>
        <v>Delhi</v>
      </c>
    </row>
    <row r="76">
      <c r="A76" s="32" t="str">
        <f>Orders!A73</f>
        <v>O00072</v>
      </c>
      <c r="B76" s="32" t="str">
        <f>Orders!C73</f>
        <v>S015</v>
      </c>
      <c r="C76" s="32" t="str">
        <f>Orders!B73</f>
        <v>C0156</v>
      </c>
      <c r="D76" s="32" t="str">
        <f>Orders!H73</f>
        <v>Delivered</v>
      </c>
      <c r="E76" s="33">
        <f>IF(Orders!H73="Delivered",1,0)</f>
        <v>1</v>
      </c>
      <c r="F76" s="34">
        <f>IF(E76=1,Orders!R73,"")</f>
        <v>-0.2</v>
      </c>
      <c r="G76" s="33">
        <f>IF(E76=1,IF(Orders!R73&gt;0,1,0),"")</f>
        <v>0</v>
      </c>
      <c r="H76" s="33">
        <f>IF(E76=1,IF(Orders!R73&gt;5,1,0),"")</f>
        <v>0</v>
      </c>
      <c r="I76" s="32" t="str">
        <f>IF(E76=1,"",IF(OR(Orders!T73="Rider unavailable",Orders!T73="Item unavailable"),"Company-caused","Unresolved"))</f>
        <v/>
      </c>
      <c r="J76" s="33">
        <f>IF(OR(E76=1,I76="Company-caused"),1,0)</f>
        <v>1</v>
      </c>
      <c r="K76" s="32" t="str">
        <f>IF(E76=0,IF(I76="Company-caused",IF(Orders!T73="Rider unavailable","C1 Rider unavailable","C2 Item unavailable"),"Outside root: unresolved"),IF(G76=0,"A On time",IF(H76=1,IF(L76=1,"B2a Severe, peak","B2b Severe, off-peak"),IF(L76=1,"B1a Slight, peak","B1b Slight, off-peak"))))</f>
        <v>A On time</v>
      </c>
      <c r="L76" s="33">
        <f>IF(AND(Orders!U73&gt;=19,Orders!U73&lt;22),1,0)</f>
        <v>0</v>
      </c>
      <c r="M76" s="33">
        <f>IF(L76=IF(Orders!V73,1,0),1,0)</f>
        <v>1</v>
      </c>
      <c r="N76" s="32" t="str">
        <f>IF(Orders!W73="","None",Orders!W73)</f>
        <v>Light</v>
      </c>
      <c r="O76" s="35">
        <f>INT(Orders!E73)</f>
        <v>46277.0</v>
      </c>
      <c r="P76" s="33">
        <f>Orders!U73</f>
        <v>22</v>
      </c>
      <c r="Q76" s="33">
        <f>COUNTIFS(Demand!$A$2:$A$4481,B76,Demand!$B$2:$B$4481,O76,Demand!$C$2:$C$4481,P76)</f>
        <v>1</v>
      </c>
      <c r="R76" s="33">
        <f>IF(Q76=1,SUMIFS(Demand!$E$2:$E$4481,Demand!$A$2:$A$4481,B76,Demand!$B$2:$B$4481,O76,Demand!$C$2:$C$4481,P76),"")</f>
        <v>32</v>
      </c>
      <c r="S76" s="33">
        <f>INDEX(Stores!$G$2:$G$21,MATCH(B76,Stores!$A$2:$A$21,0))</f>
        <v>23</v>
      </c>
      <c r="T76" s="34">
        <f>IF(R76="","",R76/S76)</f>
        <v>1.39130434782609</v>
      </c>
      <c r="U76" s="34">
        <f>IF(E76=1,T76,"")</f>
        <v>1.39130434782609</v>
      </c>
      <c r="V76" s="34">
        <f>IF(AND(E76=1,L76=0),T76,"")</f>
        <v>1.39130434782609</v>
      </c>
      <c r="W76" s="33">
        <f>IF(U76="","",IF(U76&lt;=Breakdowns!$C$5,1,IF(U76&lt;=Breakdowns!$C$6,2,IF(U76&lt;=Breakdowns!$C$7,3,4))))</f>
        <v>4</v>
      </c>
      <c r="X76" s="33">
        <f>IF(V76="","",IF(V76&lt;=Breakdowns!$D$5,1,IF(V76&lt;=Breakdowns!$D$6,2,IF(V76&lt;=Breakdowns!$D$7,3,4))))</f>
        <v>4</v>
      </c>
      <c r="Y76" s="34">
        <f>INDEX(Stores!$F$2:$F$21,MATCH(B76,Stores!$A$2:$A$21,0))</f>
        <v>4.66</v>
      </c>
      <c r="Z76" s="33">
        <f>IF(Y76&gt;Store_Summary!$M$2,1,0)</f>
        <v>0</v>
      </c>
      <c r="AA76" s="33">
        <f>INDEX(Stores!$C$2:$C$21,MATCH(B76,Stores!$A$2:$A$21,0))</f>
        <v>204</v>
      </c>
      <c r="AB76" s="33">
        <f>IF(AA76&lt;180,1,0)</f>
        <v>0</v>
      </c>
      <c r="AC76" s="32" t="str">
        <f>IF(Orders!D73="","",INDEX(Riders!$C$2:$C$81,MATCH(Orders!D73,Riders!$A$2:$A$81,0)))</f>
        <v>EV scooter</v>
      </c>
      <c r="AD76" s="33">
        <f>IF(Orders!D73="","",INDEX(Riders!$D$2:$D$81,MATCH(Orders!D73,Riders!$A$2:$A$81,0)))</f>
        <v>36</v>
      </c>
      <c r="AE76" s="33">
        <f>IF(Orders!D73="","",IF(INDEX(Riders!$B$2:$B$81,MATCH(Orders!D73,Riders!$A$2:$A$81,0))=B76,1,0))</f>
        <v>0</v>
      </c>
      <c r="AF76" s="34">
        <f>IF(E76=1,Orders!L73,"")</f>
        <v>3.47</v>
      </c>
      <c r="AG76" s="34">
        <f>IF(E76=1,Orders!P73,"")</f>
        <v>11.9</v>
      </c>
      <c r="AH76" s="34">
        <f>IF(E76=1,Orders!Q73,"")</f>
        <v>11.7</v>
      </c>
      <c r="AI76" s="34">
        <f>IF(E76=1,Orders!M73,"")</f>
        <v>2.5</v>
      </c>
      <c r="AJ76" s="34">
        <f>IF(E76=1,Orders!N73,"")</f>
        <v>3.6</v>
      </c>
      <c r="AK76" s="34">
        <f>IF(E76=1,Orders!O73,"")</f>
        <v>5.6</v>
      </c>
      <c r="AL76" s="33">
        <f>IF(E76=1,IF(ROUND(ABS(AI76+AJ76+AK76-AH76),6)&lt;=0.1,1,0),"")</f>
        <v>1</v>
      </c>
      <c r="AM76" s="36">
        <f>IF(E76=1,AI76/AH76,"")</f>
        <v>0.213675213675214</v>
      </c>
      <c r="AN76" s="36">
        <f>IF(E76=1,AJ76/AH76,"")</f>
        <v>0.307692307692308</v>
      </c>
      <c r="AO76" s="36">
        <f>IF(E76=1,AK76/AH76,"")</f>
        <v>0.478632478632479</v>
      </c>
      <c r="AP76" s="34">
        <f>IF(E76=1,Orders!Y73,"")</f>
        <v>0.46</v>
      </c>
      <c r="AQ76" s="33">
        <f>IF(Orders!X73,1,0)</f>
        <v>0</v>
      </c>
      <c r="AR76" s="34" t="str">
        <f>IF(AND(E76=1,L76=1),AJ76,"")</f>
        <v/>
      </c>
      <c r="AS76" s="34">
        <f>IF(AND(E76=1,L76=0),AJ76,"")</f>
        <v>3.6</v>
      </c>
      <c r="AT76" s="34" t="str">
        <f>IF(AND(E76=1,L76=1),AI76,"")</f>
        <v/>
      </c>
      <c r="AU76" s="34">
        <f>IF(AND(E76=1,L76=0),AI76,"")</f>
        <v>2.5</v>
      </c>
      <c r="AV76" s="34" t="str">
        <f>IF(AND(E76=1,L76=1),AG76,"")</f>
        <v/>
      </c>
      <c r="AW76" s="34">
        <f>IF(AND(E76=1,L76=0),AG76,"")</f>
        <v>11.9</v>
      </c>
      <c r="AX76" s="34" t="str">
        <f>IF(AND(E76=1,L76=1),AH76,"")</f>
        <v/>
      </c>
      <c r="AY76" s="34">
        <f>IF(AND(E76=1,L76=0),AH76,"")</f>
        <v>11.7</v>
      </c>
      <c r="AZ76" s="34" t="str">
        <f>IF(G76=1,F76,"")</f>
        <v/>
      </c>
      <c r="BA76" s="34" t="str">
        <f>IF(AND(G76=1,L76=1),F76,"")</f>
        <v/>
      </c>
      <c r="BB76" s="34" t="str">
        <f>IF(AND(G76=1,L76=0),F76,"")</f>
        <v/>
      </c>
      <c r="BC76" s="33">
        <f>IF(E76=1,IF(Orders!R73&gt;3,1,0),"")</f>
        <v>0</v>
      </c>
      <c r="BD76" s="33">
        <f>IF(E76=1,IF(Orders!R73&gt;7,1,0),"")</f>
        <v>0</v>
      </c>
      <c r="BE76" s="32" t="str">
        <f>IF(E76=1,IF(Orders!L73&lt;=1.5,"Up to 1.5 km",IF(Orders!L73&lt;=3,"1.5–3 km","Over 3 km")),"")</f>
        <v>Over 3 km</v>
      </c>
      <c r="BF76" s="33">
        <f>IF(E76=1,IF(ABS((Orders!G73-Orders!F73)*1440-Orders!R73)&lt;0.06,1,0),"")</f>
        <v>1</v>
      </c>
      <c r="BG76" s="33">
        <f>IF(ABS((Orders!F73-Orders!E73)*1440-Orders!P73)&lt;0.06,1,0)</f>
        <v>1</v>
      </c>
      <c r="BH76" s="33">
        <f>IF(E76=1,IF(IF(Orders!S73,1,0)=1-G76,1,0),"")</f>
        <v>1</v>
      </c>
      <c r="BI76" s="32" t="str">
        <f>INDEX(Stores!$B$2:$B$21,MATCH(B76,Stores!$A$2:$A$21,0))</f>
        <v>Delhi</v>
      </c>
    </row>
    <row r="77">
      <c r="A77" s="32" t="str">
        <f>Orders!A74</f>
        <v>O00073</v>
      </c>
      <c r="B77" s="32" t="str">
        <f>Orders!C74</f>
        <v>S003</v>
      </c>
      <c r="C77" s="32" t="str">
        <f>Orders!B74</f>
        <v>C0014</v>
      </c>
      <c r="D77" s="32" t="str">
        <f>Orders!H74</f>
        <v>Delivered</v>
      </c>
      <c r="E77" s="33">
        <f>IF(Orders!H74="Delivered",1,0)</f>
        <v>1</v>
      </c>
      <c r="F77" s="34">
        <f>IF(E77=1,Orders!R74,"")</f>
        <v>-0.4</v>
      </c>
      <c r="G77" s="33">
        <f>IF(E77=1,IF(Orders!R74&gt;0,1,0),"")</f>
        <v>0</v>
      </c>
      <c r="H77" s="33">
        <f>IF(E77=1,IF(Orders!R74&gt;5,1,0),"")</f>
        <v>0</v>
      </c>
      <c r="I77" s="32" t="str">
        <f>IF(E77=1,"",IF(OR(Orders!T74="Rider unavailable",Orders!T74="Item unavailable"),"Company-caused","Unresolved"))</f>
        <v/>
      </c>
      <c r="J77" s="33">
        <f>IF(OR(E77=1,I77="Company-caused"),1,0)</f>
        <v>1</v>
      </c>
      <c r="K77" s="32" t="str">
        <f>IF(E77=0,IF(I77="Company-caused",IF(Orders!T74="Rider unavailable","C1 Rider unavailable","C2 Item unavailable"),"Outside root: unresolved"),IF(G77=0,"A On time",IF(H77=1,IF(L77=1,"B2a Severe, peak","B2b Severe, off-peak"),IF(L77=1,"B1a Slight, peak","B1b Slight, off-peak"))))</f>
        <v>A On time</v>
      </c>
      <c r="L77" s="33">
        <f>IF(AND(Orders!U74&gt;=19,Orders!U74&lt;22),1,0)</f>
        <v>0</v>
      </c>
      <c r="M77" s="33">
        <f>IF(L77=IF(Orders!V74,1,0),1,0)</f>
        <v>1</v>
      </c>
      <c r="N77" s="32" t="str">
        <f>IF(Orders!W74="","None",Orders!W74)</f>
        <v>None</v>
      </c>
      <c r="O77" s="35">
        <f>INT(Orders!E74)</f>
        <v>46276.0</v>
      </c>
      <c r="P77" s="33">
        <f>Orders!U74</f>
        <v>16</v>
      </c>
      <c r="Q77" s="33">
        <f>COUNTIFS(Demand!$A$2:$A$4481,B77,Demand!$B$2:$B$4481,O77,Demand!$C$2:$C$4481,P77)</f>
        <v>1</v>
      </c>
      <c r="R77" s="33">
        <f>IF(Q77=1,SUMIFS(Demand!$E$2:$E$4481,Demand!$A$2:$A$4481,B77,Demand!$B$2:$B$4481,O77,Demand!$C$2:$C$4481,P77),"")</f>
        <v>40</v>
      </c>
      <c r="S77" s="33">
        <f>INDEX(Stores!$G$2:$G$21,MATCH(B77,Stores!$A$2:$A$21,0))</f>
        <v>41</v>
      </c>
      <c r="T77" s="34">
        <f>IF(R77="","",R77/S77)</f>
        <v>0.975609756097561</v>
      </c>
      <c r="U77" s="34">
        <f>IF(E77=1,T77,"")</f>
        <v>0.975609756097561</v>
      </c>
      <c r="V77" s="34">
        <f>IF(AND(E77=1,L77=0),T77,"")</f>
        <v>0.975609756097561</v>
      </c>
      <c r="W77" s="33">
        <f>IF(U77="","",IF(U77&lt;=Breakdowns!$C$5,1,IF(U77&lt;=Breakdowns!$C$6,2,IF(U77&lt;=Breakdowns!$C$7,3,4))))</f>
        <v>2</v>
      </c>
      <c r="X77" s="33">
        <f>IF(V77="","",IF(V77&lt;=Breakdowns!$D$5,1,IF(V77&lt;=Breakdowns!$D$6,2,IF(V77&lt;=Breakdowns!$D$7,3,4))))</f>
        <v>3</v>
      </c>
      <c r="Y77" s="34">
        <f>INDEX(Stores!$F$2:$F$21,MATCH(B77,Stores!$A$2:$A$21,0))</f>
        <v>3.84</v>
      </c>
      <c r="Z77" s="33">
        <f>IF(Y77&gt;Store_Summary!$M$2,1,0)</f>
        <v>0</v>
      </c>
      <c r="AA77" s="33">
        <f>INDEX(Stores!$C$2:$C$21,MATCH(B77,Stores!$A$2:$A$21,0))</f>
        <v>426</v>
      </c>
      <c r="AB77" s="33">
        <f>IF(AA77&lt;180,1,0)</f>
        <v>0</v>
      </c>
      <c r="AC77" s="32" t="str">
        <f>IF(Orders!D74="","",INDEX(Riders!$C$2:$C$81,MATCH(Orders!D74,Riders!$A$2:$A$81,0)))</f>
        <v>EV scooter</v>
      </c>
      <c r="AD77" s="33">
        <f>IF(Orders!D74="","",INDEX(Riders!$D$2:$D$81,MATCH(Orders!D74,Riders!$A$2:$A$81,0)))</f>
        <v>21</v>
      </c>
      <c r="AE77" s="33">
        <f>IF(Orders!D74="","",IF(INDEX(Riders!$B$2:$B$81,MATCH(Orders!D74,Riders!$A$2:$A$81,0))=B77,1,0))</f>
        <v>0</v>
      </c>
      <c r="AF77" s="34">
        <f>IF(E77=1,Orders!L74,"")</f>
        <v>1.01</v>
      </c>
      <c r="AG77" s="34">
        <f>IF(E77=1,Orders!P74,"")</f>
        <v>10.9</v>
      </c>
      <c r="AH77" s="34">
        <f>IF(E77=1,Orders!Q74,"")</f>
        <v>10.5</v>
      </c>
      <c r="AI77" s="34">
        <f>IF(E77=1,Orders!M74,"")</f>
        <v>2.6</v>
      </c>
      <c r="AJ77" s="34">
        <f>IF(E77=1,Orders!N74,"")</f>
        <v>5.4</v>
      </c>
      <c r="AK77" s="34">
        <f>IF(E77=1,Orders!O74,"")</f>
        <v>2.5</v>
      </c>
      <c r="AL77" s="33">
        <f>IF(E77=1,IF(ROUND(ABS(AI77+AJ77+AK77-AH77),6)&lt;=0.1,1,0),"")</f>
        <v>1</v>
      </c>
      <c r="AM77" s="36">
        <f>IF(E77=1,AI77/AH77,"")</f>
        <v>0.247619047619048</v>
      </c>
      <c r="AN77" s="36">
        <f>IF(E77=1,AJ77/AH77,"")</f>
        <v>0.514285714285714</v>
      </c>
      <c r="AO77" s="36">
        <f>IF(E77=1,AK77/AH77,"")</f>
        <v>0.238095238095238</v>
      </c>
      <c r="AP77" s="34">
        <f>IF(E77=1,Orders!Y74,"")</f>
        <v>0.46</v>
      </c>
      <c r="AQ77" s="33">
        <f>IF(Orders!X74,1,0)</f>
        <v>0</v>
      </c>
      <c r="AR77" s="34" t="str">
        <f>IF(AND(E77=1,L77=1),AJ77,"")</f>
        <v/>
      </c>
      <c r="AS77" s="34">
        <f>IF(AND(E77=1,L77=0),AJ77,"")</f>
        <v>5.4</v>
      </c>
      <c r="AT77" s="34" t="str">
        <f>IF(AND(E77=1,L77=1),AI77,"")</f>
        <v/>
      </c>
      <c r="AU77" s="34">
        <f>IF(AND(E77=1,L77=0),AI77,"")</f>
        <v>2.6</v>
      </c>
      <c r="AV77" s="34" t="str">
        <f>IF(AND(E77=1,L77=1),AG77,"")</f>
        <v/>
      </c>
      <c r="AW77" s="34">
        <f>IF(AND(E77=1,L77=0),AG77,"")</f>
        <v>10.9</v>
      </c>
      <c r="AX77" s="34" t="str">
        <f>IF(AND(E77=1,L77=1),AH77,"")</f>
        <v/>
      </c>
      <c r="AY77" s="34">
        <f>IF(AND(E77=1,L77=0),AH77,"")</f>
        <v>10.5</v>
      </c>
      <c r="AZ77" s="34" t="str">
        <f>IF(G77=1,F77,"")</f>
        <v/>
      </c>
      <c r="BA77" s="34" t="str">
        <f>IF(AND(G77=1,L77=1),F77,"")</f>
        <v/>
      </c>
      <c r="BB77" s="34" t="str">
        <f>IF(AND(G77=1,L77=0),F77,"")</f>
        <v/>
      </c>
      <c r="BC77" s="33">
        <f>IF(E77=1,IF(Orders!R74&gt;3,1,0),"")</f>
        <v>0</v>
      </c>
      <c r="BD77" s="33">
        <f>IF(E77=1,IF(Orders!R74&gt;7,1,0),"")</f>
        <v>0</v>
      </c>
      <c r="BE77" s="32" t="str">
        <f>IF(E77=1,IF(Orders!L74&lt;=1.5,"Up to 1.5 km",IF(Orders!L74&lt;=3,"1.5–3 km","Over 3 km")),"")</f>
        <v>Up to 1.5 km</v>
      </c>
      <c r="BF77" s="33">
        <f>IF(E77=1,IF(ABS((Orders!G74-Orders!F74)*1440-Orders!R74)&lt;0.06,1,0),"")</f>
        <v>1</v>
      </c>
      <c r="BG77" s="33">
        <f>IF(ABS((Orders!F74-Orders!E74)*1440-Orders!P74)&lt;0.06,1,0)</f>
        <v>1</v>
      </c>
      <c r="BH77" s="33">
        <f>IF(E77=1,IF(IF(Orders!S74,1,0)=1-G77,1,0),"")</f>
        <v>1</v>
      </c>
      <c r="BI77" s="32" t="str">
        <f>INDEX(Stores!$B$2:$B$21,MATCH(B77,Stores!$A$2:$A$21,0))</f>
        <v>Mumbai</v>
      </c>
    </row>
    <row r="78">
      <c r="A78" s="32" t="str">
        <f>Orders!A75</f>
        <v>O00074</v>
      </c>
      <c r="B78" s="32" t="str">
        <f>Orders!C75</f>
        <v>S010</v>
      </c>
      <c r="C78" s="32" t="str">
        <f>Orders!B75</f>
        <v>C0087</v>
      </c>
      <c r="D78" s="32" t="str">
        <f>Orders!H75</f>
        <v>Delivered</v>
      </c>
      <c r="E78" s="33">
        <f>IF(Orders!H75="Delivered",1,0)</f>
        <v>1</v>
      </c>
      <c r="F78" s="34">
        <f>IF(E78=1,Orders!R75,"")</f>
        <v>-0.9</v>
      </c>
      <c r="G78" s="33">
        <f>IF(E78=1,IF(Orders!R75&gt;0,1,0),"")</f>
        <v>0</v>
      </c>
      <c r="H78" s="33">
        <f>IF(E78=1,IF(Orders!R75&gt;5,1,0),"")</f>
        <v>0</v>
      </c>
      <c r="I78" s="32" t="str">
        <f>IF(E78=1,"",IF(OR(Orders!T75="Rider unavailable",Orders!T75="Item unavailable"),"Company-caused","Unresolved"))</f>
        <v/>
      </c>
      <c r="J78" s="33">
        <f>IF(OR(E78=1,I78="Company-caused"),1,0)</f>
        <v>1</v>
      </c>
      <c r="K78" s="32" t="str">
        <f>IF(E78=0,IF(I78="Company-caused",IF(Orders!T75="Rider unavailable","C1 Rider unavailable","C2 Item unavailable"),"Outside root: unresolved"),IF(G78=0,"A On time",IF(H78=1,IF(L78=1,"B2a Severe, peak","B2b Severe, off-peak"),IF(L78=1,"B1a Slight, peak","B1b Slight, off-peak"))))</f>
        <v>A On time</v>
      </c>
      <c r="L78" s="33">
        <f>IF(AND(Orders!U75&gt;=19,Orders!U75&lt;22),1,0)</f>
        <v>0</v>
      </c>
      <c r="M78" s="33">
        <f>IF(L78=IF(Orders!V75,1,0),1,0)</f>
        <v>1</v>
      </c>
      <c r="N78" s="32" t="str">
        <f>IF(Orders!W75="","None",Orders!W75)</f>
        <v>None</v>
      </c>
      <c r="O78" s="35">
        <f>INT(Orders!E75)</f>
        <v>46278.0</v>
      </c>
      <c r="P78" s="33">
        <f>Orders!U75</f>
        <v>8</v>
      </c>
      <c r="Q78" s="33">
        <f>COUNTIFS(Demand!$A$2:$A$4481,B78,Demand!$B$2:$B$4481,O78,Demand!$C$2:$C$4481,P78)</f>
        <v>1</v>
      </c>
      <c r="R78" s="33">
        <f>IF(Q78=1,SUMIFS(Demand!$E$2:$E$4481,Demand!$A$2:$A$4481,B78,Demand!$B$2:$B$4481,O78,Demand!$C$2:$C$4481,P78),"")</f>
        <v>11</v>
      </c>
      <c r="S78" s="33">
        <f>INDEX(Stores!$G$2:$G$21,MATCH(B78,Stores!$A$2:$A$21,0))</f>
        <v>22</v>
      </c>
      <c r="T78" s="34">
        <f>IF(R78="","",R78/S78)</f>
        <v>0.5</v>
      </c>
      <c r="U78" s="34">
        <f>IF(E78=1,T78,"")</f>
        <v>0.5</v>
      </c>
      <c r="V78" s="34">
        <f>IF(AND(E78=1,L78=0),T78,"")</f>
        <v>0.5</v>
      </c>
      <c r="W78" s="33">
        <f>IF(U78="","",IF(U78&lt;=Breakdowns!$C$5,1,IF(U78&lt;=Breakdowns!$C$6,2,IF(U78&lt;=Breakdowns!$C$7,3,4))))</f>
        <v>1</v>
      </c>
      <c r="X78" s="33">
        <f>IF(V78="","",IF(V78&lt;=Breakdowns!$D$5,1,IF(V78&lt;=Breakdowns!$D$6,2,IF(V78&lt;=Breakdowns!$D$7,3,4))))</f>
        <v>1</v>
      </c>
      <c r="Y78" s="34">
        <f>INDEX(Stores!$F$2:$F$21,MATCH(B78,Stores!$A$2:$A$21,0))</f>
        <v>5.61</v>
      </c>
      <c r="Z78" s="33">
        <f>IF(Y78&gt;Store_Summary!$M$2,1,0)</f>
        <v>1</v>
      </c>
      <c r="AA78" s="33">
        <f>INDEX(Stores!$C$2:$C$21,MATCH(B78,Stores!$A$2:$A$21,0))</f>
        <v>744</v>
      </c>
      <c r="AB78" s="33">
        <f>IF(AA78&lt;180,1,0)</f>
        <v>0</v>
      </c>
      <c r="AC78" s="32" t="str">
        <f>IF(Orders!D75="","",INDEX(Riders!$C$2:$C$81,MATCH(Orders!D75,Riders!$A$2:$A$81,0)))</f>
        <v>EV scooter</v>
      </c>
      <c r="AD78" s="33">
        <f>IF(Orders!D75="","",INDEX(Riders!$D$2:$D$81,MATCH(Orders!D75,Riders!$A$2:$A$81,0)))</f>
        <v>11</v>
      </c>
      <c r="AE78" s="33">
        <f>IF(Orders!D75="","",IF(INDEX(Riders!$B$2:$B$81,MATCH(Orders!D75,Riders!$A$2:$A$81,0))=B78,1,0))</f>
        <v>0</v>
      </c>
      <c r="AF78" s="34">
        <f>IF(E78=1,Orders!L75,"")</f>
        <v>1.22</v>
      </c>
      <c r="AG78" s="34">
        <f>IF(E78=1,Orders!P75,"")</f>
        <v>8.7</v>
      </c>
      <c r="AH78" s="34">
        <f>IF(E78=1,Orders!Q75,"")</f>
        <v>7.8</v>
      </c>
      <c r="AI78" s="34">
        <f>IF(E78=1,Orders!M75,"")</f>
        <v>4.5</v>
      </c>
      <c r="AJ78" s="34">
        <f>IF(E78=1,Orders!N75,"")</f>
        <v>0.4</v>
      </c>
      <c r="AK78" s="34">
        <f>IF(E78=1,Orders!O75,"")</f>
        <v>2.9</v>
      </c>
      <c r="AL78" s="33">
        <f>IF(E78=1,IF(ROUND(ABS(AI78+AJ78+AK78-AH78),6)&lt;=0.1,1,0),"")</f>
        <v>1</v>
      </c>
      <c r="AM78" s="36">
        <f>IF(E78=1,AI78/AH78,"")</f>
        <v>0.576923076923077</v>
      </c>
      <c r="AN78" s="36">
        <f>IF(E78=1,AJ78/AH78,"")</f>
        <v>0.0512820512820513</v>
      </c>
      <c r="AO78" s="36">
        <f>IF(E78=1,AK78/AH78,"")</f>
        <v>0.371794871794872</v>
      </c>
      <c r="AP78" s="34">
        <f>IF(E78=1,Orders!Y75,"")</f>
        <v>0.6</v>
      </c>
      <c r="AQ78" s="33">
        <f>IF(Orders!X75,1,0)</f>
        <v>0</v>
      </c>
      <c r="AR78" s="34" t="str">
        <f>IF(AND(E78=1,L78=1),AJ78,"")</f>
        <v/>
      </c>
      <c r="AS78" s="34">
        <f>IF(AND(E78=1,L78=0),AJ78,"")</f>
        <v>0.4</v>
      </c>
      <c r="AT78" s="34" t="str">
        <f>IF(AND(E78=1,L78=1),AI78,"")</f>
        <v/>
      </c>
      <c r="AU78" s="34">
        <f>IF(AND(E78=1,L78=0),AI78,"")</f>
        <v>4.5</v>
      </c>
      <c r="AV78" s="34" t="str">
        <f>IF(AND(E78=1,L78=1),AG78,"")</f>
        <v/>
      </c>
      <c r="AW78" s="34">
        <f>IF(AND(E78=1,L78=0),AG78,"")</f>
        <v>8.7</v>
      </c>
      <c r="AX78" s="34" t="str">
        <f>IF(AND(E78=1,L78=1),AH78,"")</f>
        <v/>
      </c>
      <c r="AY78" s="34">
        <f>IF(AND(E78=1,L78=0),AH78,"")</f>
        <v>7.8</v>
      </c>
      <c r="AZ78" s="34" t="str">
        <f>IF(G78=1,F78,"")</f>
        <v/>
      </c>
      <c r="BA78" s="34" t="str">
        <f>IF(AND(G78=1,L78=1),F78,"")</f>
        <v/>
      </c>
      <c r="BB78" s="34" t="str">
        <f>IF(AND(G78=1,L78=0),F78,"")</f>
        <v/>
      </c>
      <c r="BC78" s="33">
        <f>IF(E78=1,IF(Orders!R75&gt;3,1,0),"")</f>
        <v>0</v>
      </c>
      <c r="BD78" s="33">
        <f>IF(E78=1,IF(Orders!R75&gt;7,1,0),"")</f>
        <v>0</v>
      </c>
      <c r="BE78" s="32" t="str">
        <f>IF(E78=1,IF(Orders!L75&lt;=1.5,"Up to 1.5 km",IF(Orders!L75&lt;=3,"1.5–3 km","Over 3 km")),"")</f>
        <v>Up to 1.5 km</v>
      </c>
      <c r="BF78" s="33">
        <f>IF(E78=1,IF(ABS((Orders!G75-Orders!F75)*1440-Orders!R75)&lt;0.06,1,0),"")</f>
        <v>1</v>
      </c>
      <c r="BG78" s="33">
        <f>IF(ABS((Orders!F75-Orders!E75)*1440-Orders!P75)&lt;0.06,1,0)</f>
        <v>1</v>
      </c>
      <c r="BH78" s="33">
        <f>IF(E78=1,IF(IF(Orders!S75,1,0)=1-G78,1,0),"")</f>
        <v>1</v>
      </c>
      <c r="BI78" s="32" t="str">
        <f>INDEX(Stores!$B$2:$B$21,MATCH(B78,Stores!$A$2:$A$21,0))</f>
        <v>Delhi</v>
      </c>
    </row>
    <row r="79">
      <c r="A79" s="32" t="str">
        <f>Orders!A76</f>
        <v>O00075</v>
      </c>
      <c r="B79" s="32" t="str">
        <f>Orders!C76</f>
        <v>S017</v>
      </c>
      <c r="C79" s="32" t="str">
        <f>Orders!B76</f>
        <v>C0055</v>
      </c>
      <c r="D79" s="32" t="str">
        <f>Orders!H76</f>
        <v>Delivered</v>
      </c>
      <c r="E79" s="33">
        <f>IF(Orders!H76="Delivered",1,0)</f>
        <v>1</v>
      </c>
      <c r="F79" s="34">
        <f>IF(E79=1,Orders!R76,"")</f>
        <v>-0.4</v>
      </c>
      <c r="G79" s="33">
        <f>IF(E79=1,IF(Orders!R76&gt;0,1,0),"")</f>
        <v>0</v>
      </c>
      <c r="H79" s="33">
        <f>IF(E79=1,IF(Orders!R76&gt;5,1,0),"")</f>
        <v>0</v>
      </c>
      <c r="I79" s="32" t="str">
        <f>IF(E79=1,"",IF(OR(Orders!T76="Rider unavailable",Orders!T76="Item unavailable"),"Company-caused","Unresolved"))</f>
        <v/>
      </c>
      <c r="J79" s="33">
        <f>IF(OR(E79=1,I79="Company-caused"),1,0)</f>
        <v>1</v>
      </c>
      <c r="K79" s="32" t="str">
        <f>IF(E79=0,IF(I79="Company-caused",IF(Orders!T76="Rider unavailable","C1 Rider unavailable","C2 Item unavailable"),"Outside root: unresolved"),IF(G79=0,"A On time",IF(H79=1,IF(L79=1,"B2a Severe, peak","B2b Severe, off-peak"),IF(L79=1,"B1a Slight, peak","B1b Slight, off-peak"))))</f>
        <v>A On time</v>
      </c>
      <c r="L79" s="33">
        <f>IF(AND(Orders!U76&gt;=19,Orders!U76&lt;22),1,0)</f>
        <v>0</v>
      </c>
      <c r="M79" s="33">
        <f>IF(L79=IF(Orders!V76,1,0),1,0)</f>
        <v>1</v>
      </c>
      <c r="N79" s="32" t="str">
        <f>IF(Orders!W76="","None",Orders!W76)</f>
        <v>None</v>
      </c>
      <c r="O79" s="35">
        <f>INT(Orders!E76)</f>
        <v>46270.0</v>
      </c>
      <c r="P79" s="33">
        <f>Orders!U76</f>
        <v>22</v>
      </c>
      <c r="Q79" s="33">
        <f>COUNTIFS(Demand!$A$2:$A$4481,B79,Demand!$B$2:$B$4481,O79,Demand!$C$2:$C$4481,P79)</f>
        <v>1</v>
      </c>
      <c r="R79" s="33">
        <f>IF(Q79=1,SUMIFS(Demand!$E$2:$E$4481,Demand!$A$2:$A$4481,B79,Demand!$B$2:$B$4481,O79,Demand!$C$2:$C$4481,P79),"")</f>
        <v>42</v>
      </c>
      <c r="S79" s="33">
        <f>INDEX(Stores!$G$2:$G$21,MATCH(B79,Stores!$A$2:$A$21,0))</f>
        <v>36</v>
      </c>
      <c r="T79" s="34">
        <f>IF(R79="","",R79/S79)</f>
        <v>1.16666666666667</v>
      </c>
      <c r="U79" s="34">
        <f>IF(E79=1,T79,"")</f>
        <v>1.16666666666667</v>
      </c>
      <c r="V79" s="34">
        <f>IF(AND(E79=1,L79=0),T79,"")</f>
        <v>1.16666666666667</v>
      </c>
      <c r="W79" s="33">
        <f>IF(U79="","",IF(U79&lt;=Breakdowns!$C$5,1,IF(U79&lt;=Breakdowns!$C$6,2,IF(U79&lt;=Breakdowns!$C$7,3,4))))</f>
        <v>3</v>
      </c>
      <c r="X79" s="33">
        <f>IF(V79="","",IF(V79&lt;=Breakdowns!$D$5,1,IF(V79&lt;=Breakdowns!$D$6,2,IF(V79&lt;=Breakdowns!$D$7,3,4))))</f>
        <v>4</v>
      </c>
      <c r="Y79" s="34">
        <f>INDEX(Stores!$F$2:$F$21,MATCH(B79,Stores!$A$2:$A$21,0))</f>
        <v>2.16</v>
      </c>
      <c r="Z79" s="33">
        <f>IF(Y79&gt;Store_Summary!$M$2,1,0)</f>
        <v>0</v>
      </c>
      <c r="AA79" s="33">
        <f>INDEX(Stores!$C$2:$C$21,MATCH(B79,Stores!$A$2:$A$21,0))</f>
        <v>47</v>
      </c>
      <c r="AB79" s="33">
        <f>IF(AA79&lt;180,1,0)</f>
        <v>1</v>
      </c>
      <c r="AC79" s="32" t="str">
        <f>IF(Orders!D76="","",INDEX(Riders!$C$2:$C$81,MATCH(Orders!D76,Riders!$A$2:$A$81,0)))</f>
        <v>Petrol scooter</v>
      </c>
      <c r="AD79" s="33">
        <f>IF(Orders!D76="","",INDEX(Riders!$D$2:$D$81,MATCH(Orders!D76,Riders!$A$2:$A$81,0)))</f>
        <v>44</v>
      </c>
      <c r="AE79" s="33">
        <f>IF(Orders!D76="","",IF(INDEX(Riders!$B$2:$B$81,MATCH(Orders!D76,Riders!$A$2:$A$81,0))=B79,1,0))</f>
        <v>0</v>
      </c>
      <c r="AF79" s="34">
        <f>IF(E79=1,Orders!L76,"")</f>
        <v>0.72</v>
      </c>
      <c r="AG79" s="34">
        <f>IF(E79=1,Orders!P76,"")</f>
        <v>10.7</v>
      </c>
      <c r="AH79" s="34">
        <f>IF(E79=1,Orders!Q76,"")</f>
        <v>10.3</v>
      </c>
      <c r="AI79" s="34">
        <f>IF(E79=1,Orders!M76,"")</f>
        <v>4</v>
      </c>
      <c r="AJ79" s="34">
        <f>IF(E79=1,Orders!N76,"")</f>
        <v>3.8</v>
      </c>
      <c r="AK79" s="34">
        <f>IF(E79=1,Orders!O76,"")</f>
        <v>2.4</v>
      </c>
      <c r="AL79" s="33">
        <f>IF(E79=1,IF(ROUND(ABS(AI79+AJ79+AK79-AH79),6)&lt;=0.1,1,0),"")</f>
        <v>1</v>
      </c>
      <c r="AM79" s="36">
        <f>IF(E79=1,AI79/AH79,"")</f>
        <v>0.388349514563107</v>
      </c>
      <c r="AN79" s="36">
        <f>IF(E79=1,AJ79/AH79,"")</f>
        <v>0.368932038834951</v>
      </c>
      <c r="AO79" s="36">
        <f>IF(E79=1,AK79/AH79,"")</f>
        <v>0.233009708737864</v>
      </c>
      <c r="AP79" s="34">
        <f>IF(E79=1,Orders!Y76,"")</f>
        <v>0.37</v>
      </c>
      <c r="AQ79" s="33">
        <f>IF(Orders!X76,1,0)</f>
        <v>0</v>
      </c>
      <c r="AR79" s="34" t="str">
        <f>IF(AND(E79=1,L79=1),AJ79,"")</f>
        <v/>
      </c>
      <c r="AS79" s="34">
        <f>IF(AND(E79=1,L79=0),AJ79,"")</f>
        <v>3.8</v>
      </c>
      <c r="AT79" s="34" t="str">
        <f>IF(AND(E79=1,L79=1),AI79,"")</f>
        <v/>
      </c>
      <c r="AU79" s="34">
        <f>IF(AND(E79=1,L79=0),AI79,"")</f>
        <v>4</v>
      </c>
      <c r="AV79" s="34" t="str">
        <f>IF(AND(E79=1,L79=1),AG79,"")</f>
        <v/>
      </c>
      <c r="AW79" s="34">
        <f>IF(AND(E79=1,L79=0),AG79,"")</f>
        <v>10.7</v>
      </c>
      <c r="AX79" s="34" t="str">
        <f>IF(AND(E79=1,L79=1),AH79,"")</f>
        <v/>
      </c>
      <c r="AY79" s="34">
        <f>IF(AND(E79=1,L79=0),AH79,"")</f>
        <v>10.3</v>
      </c>
      <c r="AZ79" s="34" t="str">
        <f>IF(G79=1,F79,"")</f>
        <v/>
      </c>
      <c r="BA79" s="34" t="str">
        <f>IF(AND(G79=1,L79=1),F79,"")</f>
        <v/>
      </c>
      <c r="BB79" s="34" t="str">
        <f>IF(AND(G79=1,L79=0),F79,"")</f>
        <v/>
      </c>
      <c r="BC79" s="33">
        <f>IF(E79=1,IF(Orders!R76&gt;3,1,0),"")</f>
        <v>0</v>
      </c>
      <c r="BD79" s="33">
        <f>IF(E79=1,IF(Orders!R76&gt;7,1,0),"")</f>
        <v>0</v>
      </c>
      <c r="BE79" s="32" t="str">
        <f>IF(E79=1,IF(Orders!L76&lt;=1.5,"Up to 1.5 km",IF(Orders!L76&lt;=3,"1.5–3 km","Over 3 km")),"")</f>
        <v>Up to 1.5 km</v>
      </c>
      <c r="BF79" s="33">
        <f>IF(E79=1,IF(ABS((Orders!G76-Orders!F76)*1440-Orders!R76)&lt;0.06,1,0),"")</f>
        <v>1</v>
      </c>
      <c r="BG79" s="33">
        <f>IF(ABS((Orders!F76-Orders!E76)*1440-Orders!P76)&lt;0.06,1,0)</f>
        <v>1</v>
      </c>
      <c r="BH79" s="33">
        <f>IF(E79=1,IF(IF(Orders!S76,1,0)=1-G79,1,0),"")</f>
        <v>1</v>
      </c>
      <c r="BI79" s="32" t="str">
        <f>INDEX(Stores!$B$2:$B$21,MATCH(B79,Stores!$A$2:$A$21,0))</f>
        <v>Hyderabad</v>
      </c>
    </row>
    <row r="80">
      <c r="A80" s="32" t="str">
        <f>Orders!A77</f>
        <v>O00076</v>
      </c>
      <c r="B80" s="32" t="str">
        <f>Orders!C77</f>
        <v>S020</v>
      </c>
      <c r="C80" s="32" t="str">
        <f>Orders!B77</f>
        <v>C0061</v>
      </c>
      <c r="D80" s="32" t="str">
        <f>Orders!H77</f>
        <v>Delivered</v>
      </c>
      <c r="E80" s="33">
        <f>IF(Orders!H77="Delivered",1,0)</f>
        <v>1</v>
      </c>
      <c r="F80" s="34">
        <f>IF(E80=1,Orders!R77,"")</f>
        <v>12.7</v>
      </c>
      <c r="G80" s="33">
        <f>IF(E80=1,IF(Orders!R77&gt;0,1,0),"")</f>
        <v>1</v>
      </c>
      <c r="H80" s="33">
        <f>IF(E80=1,IF(Orders!R77&gt;5,1,0),"")</f>
        <v>1</v>
      </c>
      <c r="I80" s="32" t="str">
        <f>IF(E80=1,"",IF(OR(Orders!T77="Rider unavailable",Orders!T77="Item unavailable"),"Company-caused","Unresolved"))</f>
        <v/>
      </c>
      <c r="J80" s="33">
        <f>IF(OR(E80=1,I80="Company-caused"),1,0)</f>
        <v>1</v>
      </c>
      <c r="K80" s="32" t="str">
        <f>IF(E80=0,IF(I80="Company-caused",IF(Orders!T77="Rider unavailable","C1 Rider unavailable","C2 Item unavailable"),"Outside root: unresolved"),IF(G80=0,"A On time",IF(H80=1,IF(L80=1,"B2a Severe, peak","B2b Severe, off-peak"),IF(L80=1,"B1a Slight, peak","B1b Slight, off-peak"))))</f>
        <v>B2a Severe, peak</v>
      </c>
      <c r="L80" s="33">
        <f>IF(AND(Orders!U77&gt;=19,Orders!U77&lt;22),1,0)</f>
        <v>1</v>
      </c>
      <c r="M80" s="33">
        <f>IF(L80=IF(Orders!V77,1,0),1,0)</f>
        <v>1</v>
      </c>
      <c r="N80" s="32" t="str">
        <f>IF(Orders!W77="","None",Orders!W77)</f>
        <v>None</v>
      </c>
      <c r="O80" s="35">
        <f>INT(Orders!E77)</f>
        <v>46271.0</v>
      </c>
      <c r="P80" s="33">
        <f>Orders!U77</f>
        <v>20</v>
      </c>
      <c r="Q80" s="33">
        <f>COUNTIFS(Demand!$A$2:$A$4481,B80,Demand!$B$2:$B$4481,O80,Demand!$C$2:$C$4481,P80)</f>
        <v>1</v>
      </c>
      <c r="R80" s="33">
        <f>IF(Q80=1,SUMIFS(Demand!$E$2:$E$4481,Demand!$A$2:$A$4481,B80,Demand!$B$2:$B$4481,O80,Demand!$C$2:$C$4481,P80),"")</f>
        <v>22</v>
      </c>
      <c r="S80" s="33">
        <f>INDEX(Stores!$G$2:$G$21,MATCH(B80,Stores!$A$2:$A$21,0))</f>
        <v>15</v>
      </c>
      <c r="T80" s="34">
        <f>IF(R80="","",R80/S80)</f>
        <v>1.46666666666667</v>
      </c>
      <c r="U80" s="34">
        <f>IF(E80=1,T80,"")</f>
        <v>1.46666666666667</v>
      </c>
      <c r="V80" s="34" t="str">
        <f>IF(AND(E80=1,L80=0),T80,"")</f>
        <v/>
      </c>
      <c r="W80" s="33">
        <f>IF(U80="","",IF(U80&lt;=Breakdowns!$C$5,1,IF(U80&lt;=Breakdowns!$C$6,2,IF(U80&lt;=Breakdowns!$C$7,3,4))))</f>
        <v>4</v>
      </c>
      <c r="X80" s="33" t="str">
        <f>IF(V80="","",IF(V80&lt;=Breakdowns!$D$5,1,IF(V80&lt;=Breakdowns!$D$6,2,IF(V80&lt;=Breakdowns!$D$7,3,4))))</f>
        <v/>
      </c>
      <c r="Y80" s="34">
        <f>INDEX(Stores!$F$2:$F$21,MATCH(B80,Stores!$A$2:$A$21,0))</f>
        <v>5.74</v>
      </c>
      <c r="Z80" s="33">
        <f>IF(Y80&gt;Store_Summary!$M$2,1,0)</f>
        <v>1</v>
      </c>
      <c r="AA80" s="33">
        <f>INDEX(Stores!$C$2:$C$21,MATCH(B80,Stores!$A$2:$A$21,0))</f>
        <v>647</v>
      </c>
      <c r="AB80" s="33">
        <f>IF(AA80&lt;180,1,0)</f>
        <v>0</v>
      </c>
      <c r="AC80" s="32" t="str">
        <f>IF(Orders!D77="","",INDEX(Riders!$C$2:$C$81,MATCH(Orders!D77,Riders!$A$2:$A$81,0)))</f>
        <v>Petrol scooter</v>
      </c>
      <c r="AD80" s="33">
        <f>IF(Orders!D77="","",INDEX(Riders!$D$2:$D$81,MATCH(Orders!D77,Riders!$A$2:$A$81,0)))</f>
        <v>40</v>
      </c>
      <c r="AE80" s="33">
        <f>IF(Orders!D77="","",IF(INDEX(Riders!$B$2:$B$81,MATCH(Orders!D77,Riders!$A$2:$A$81,0))=B80,1,0))</f>
        <v>0</v>
      </c>
      <c r="AF80" s="34">
        <f>IF(E80=1,Orders!L77,"")</f>
        <v>3.04</v>
      </c>
      <c r="AG80" s="34">
        <f>IF(E80=1,Orders!P77,"")</f>
        <v>10</v>
      </c>
      <c r="AH80" s="34">
        <f>IF(E80=1,Orders!Q77,"")</f>
        <v>22.7</v>
      </c>
      <c r="AI80" s="34">
        <f>IF(E80=1,Orders!M77,"")</f>
        <v>6.6</v>
      </c>
      <c r="AJ80" s="34">
        <f>IF(E80=1,Orders!N77,"")</f>
        <v>7.6</v>
      </c>
      <c r="AK80" s="34">
        <f>IF(E80=1,Orders!O77,"")</f>
        <v>8.4</v>
      </c>
      <c r="AL80" s="33">
        <f>IF(E80=1,IF(ROUND(ABS(AI80+AJ80+AK80-AH80),6)&lt;=0.1,1,0),"")</f>
        <v>1</v>
      </c>
      <c r="AM80" s="36">
        <f>IF(E80=1,AI80/AH80,"")</f>
        <v>0.290748898678414</v>
      </c>
      <c r="AN80" s="36">
        <f>IF(E80=1,AJ80/AH80,"")</f>
        <v>0.334801762114537</v>
      </c>
      <c r="AO80" s="36">
        <f>IF(E80=1,AK80/AH80,"")</f>
        <v>0.370044052863436</v>
      </c>
      <c r="AP80" s="34">
        <f>IF(E80=1,Orders!Y77,"")</f>
        <v>0.45</v>
      </c>
      <c r="AQ80" s="33">
        <f>IF(Orders!X77,1,0)</f>
        <v>0</v>
      </c>
      <c r="AR80" s="34">
        <f>IF(AND(E80=1,L80=1),AJ80,"")</f>
        <v>7.6</v>
      </c>
      <c r="AS80" s="34" t="str">
        <f>IF(AND(E80=1,L80=0),AJ80,"")</f>
        <v/>
      </c>
      <c r="AT80" s="34">
        <f>IF(AND(E80=1,L80=1),AI80,"")</f>
        <v>6.6</v>
      </c>
      <c r="AU80" s="34" t="str">
        <f>IF(AND(E80=1,L80=0),AI80,"")</f>
        <v/>
      </c>
      <c r="AV80" s="34">
        <f>IF(AND(E80=1,L80=1),AG80,"")</f>
        <v>10</v>
      </c>
      <c r="AW80" s="34" t="str">
        <f>IF(AND(E80=1,L80=0),AG80,"")</f>
        <v/>
      </c>
      <c r="AX80" s="34">
        <f>IF(AND(E80=1,L80=1),AH80,"")</f>
        <v>22.7</v>
      </c>
      <c r="AY80" s="34" t="str">
        <f>IF(AND(E80=1,L80=0),AH80,"")</f>
        <v/>
      </c>
      <c r="AZ80" s="34">
        <f>IF(G80=1,F80,"")</f>
        <v>12.7</v>
      </c>
      <c r="BA80" s="34">
        <f>IF(AND(G80=1,L80=1),F80,"")</f>
        <v>12.7</v>
      </c>
      <c r="BB80" s="34" t="str">
        <f>IF(AND(G80=1,L80=0),F80,"")</f>
        <v/>
      </c>
      <c r="BC80" s="33">
        <f>IF(E80=1,IF(Orders!R77&gt;3,1,0),"")</f>
        <v>1</v>
      </c>
      <c r="BD80" s="33">
        <f>IF(E80=1,IF(Orders!R77&gt;7,1,0),"")</f>
        <v>1</v>
      </c>
      <c r="BE80" s="32" t="str">
        <f>IF(E80=1,IF(Orders!L77&lt;=1.5,"Up to 1.5 km",IF(Orders!L77&lt;=3,"1.5–3 km","Over 3 km")),"")</f>
        <v>Over 3 km</v>
      </c>
      <c r="BF80" s="33">
        <f>IF(E80=1,IF(ABS((Orders!G77-Orders!F77)*1440-Orders!R77)&lt;0.06,1,0),"")</f>
        <v>1</v>
      </c>
      <c r="BG80" s="33">
        <f>IF(ABS((Orders!F77-Orders!E77)*1440-Orders!P77)&lt;0.06,1,0)</f>
        <v>1</v>
      </c>
      <c r="BH80" s="33">
        <f>IF(E80=1,IF(IF(Orders!S77,1,0)=1-G80,1,0),"")</f>
        <v>1</v>
      </c>
      <c r="BI80" s="32" t="str">
        <f>INDEX(Stores!$B$2:$B$21,MATCH(B80,Stores!$A$2:$A$21,0))</f>
        <v>Delhi</v>
      </c>
    </row>
    <row r="81">
      <c r="A81" s="32" t="str">
        <f>Orders!A78</f>
        <v>O00077</v>
      </c>
      <c r="B81" s="32" t="str">
        <f>Orders!C78</f>
        <v>S019</v>
      </c>
      <c r="C81" s="32" t="str">
        <f>Orders!B78</f>
        <v>C0064</v>
      </c>
      <c r="D81" s="32" t="str">
        <f>Orders!H78</f>
        <v>Delivered</v>
      </c>
      <c r="E81" s="33">
        <f>IF(Orders!H78="Delivered",1,0)</f>
        <v>1</v>
      </c>
      <c r="F81" s="34">
        <f>IF(E81=1,Orders!R78,"")</f>
        <v>-0.9</v>
      </c>
      <c r="G81" s="33">
        <f>IF(E81=1,IF(Orders!R78&gt;0,1,0),"")</f>
        <v>0</v>
      </c>
      <c r="H81" s="33">
        <f>IF(E81=1,IF(Orders!R78&gt;5,1,0),"")</f>
        <v>0</v>
      </c>
      <c r="I81" s="32" t="str">
        <f>IF(E81=1,"",IF(OR(Orders!T78="Rider unavailable",Orders!T78="Item unavailable"),"Company-caused","Unresolved"))</f>
        <v/>
      </c>
      <c r="J81" s="33">
        <f>IF(OR(E81=1,I81="Company-caused"),1,0)</f>
        <v>1</v>
      </c>
      <c r="K81" s="32" t="str">
        <f>IF(E81=0,IF(I81="Company-caused",IF(Orders!T78="Rider unavailable","C1 Rider unavailable","C2 Item unavailable"),"Outside root: unresolved"),IF(G81=0,"A On time",IF(H81=1,IF(L81=1,"B2a Severe, peak","B2b Severe, off-peak"),IF(L81=1,"B1a Slight, peak","B1b Slight, off-peak"))))</f>
        <v>A On time</v>
      </c>
      <c r="L81" s="33">
        <f>IF(AND(Orders!U78&gt;=19,Orders!U78&lt;22),1,0)</f>
        <v>1</v>
      </c>
      <c r="M81" s="33">
        <f>IF(L81=IF(Orders!V78,1,0),1,0)</f>
        <v>1</v>
      </c>
      <c r="N81" s="32" t="str">
        <f>IF(Orders!W78="","None",Orders!W78)</f>
        <v>None</v>
      </c>
      <c r="O81" s="35">
        <f>INT(Orders!E78)</f>
        <v>46266.0</v>
      </c>
      <c r="P81" s="33">
        <f>Orders!U78</f>
        <v>20</v>
      </c>
      <c r="Q81" s="33">
        <f>COUNTIFS(Demand!$A$2:$A$4481,B81,Demand!$B$2:$B$4481,O81,Demand!$C$2:$C$4481,P81)</f>
        <v>1</v>
      </c>
      <c r="R81" s="33">
        <f>IF(Q81=1,SUMIFS(Demand!$E$2:$E$4481,Demand!$A$2:$A$4481,B81,Demand!$B$2:$B$4481,O81,Demand!$C$2:$C$4481,P81),"")</f>
        <v>26</v>
      </c>
      <c r="S81" s="33">
        <f>INDEX(Stores!$G$2:$G$21,MATCH(B81,Stores!$A$2:$A$21,0))</f>
        <v>22</v>
      </c>
      <c r="T81" s="34">
        <f>IF(R81="","",R81/S81)</f>
        <v>1.18181818181818</v>
      </c>
      <c r="U81" s="34">
        <f>IF(E81=1,T81,"")</f>
        <v>1.18181818181818</v>
      </c>
      <c r="V81" s="34" t="str">
        <f>IF(AND(E81=1,L81=0),T81,"")</f>
        <v/>
      </c>
      <c r="W81" s="33">
        <f>IF(U81="","",IF(U81&lt;=Breakdowns!$C$5,1,IF(U81&lt;=Breakdowns!$C$6,2,IF(U81&lt;=Breakdowns!$C$7,3,4))))</f>
        <v>3</v>
      </c>
      <c r="X81" s="33" t="str">
        <f>IF(V81="","",IF(V81&lt;=Breakdowns!$D$5,1,IF(V81&lt;=Breakdowns!$D$6,2,IF(V81&lt;=Breakdowns!$D$7,3,4))))</f>
        <v/>
      </c>
      <c r="Y81" s="34">
        <f>INDEX(Stores!$F$2:$F$21,MATCH(B81,Stores!$A$2:$A$21,0))</f>
        <v>4.99</v>
      </c>
      <c r="Z81" s="33">
        <f>IF(Y81&gt;Store_Summary!$M$2,1,0)</f>
        <v>1</v>
      </c>
      <c r="AA81" s="33">
        <f>INDEX(Stores!$C$2:$C$21,MATCH(B81,Stores!$A$2:$A$21,0))</f>
        <v>851</v>
      </c>
      <c r="AB81" s="33">
        <f>IF(AA81&lt;180,1,0)</f>
        <v>0</v>
      </c>
      <c r="AC81" s="32" t="str">
        <f>IF(Orders!D78="","",INDEX(Riders!$C$2:$C$81,MATCH(Orders!D78,Riders!$A$2:$A$81,0)))</f>
        <v>Petrol scooter</v>
      </c>
      <c r="AD81" s="33">
        <f>IF(Orders!D78="","",INDEX(Riders!$D$2:$D$81,MATCH(Orders!D78,Riders!$A$2:$A$81,0)))</f>
        <v>44</v>
      </c>
      <c r="AE81" s="33">
        <f>IF(Orders!D78="","",IF(INDEX(Riders!$B$2:$B$81,MATCH(Orders!D78,Riders!$A$2:$A$81,0))=B81,1,0))</f>
        <v>0</v>
      </c>
      <c r="AF81" s="34">
        <f>IF(E81=1,Orders!L78,"")</f>
        <v>1.51</v>
      </c>
      <c r="AG81" s="34">
        <f>IF(E81=1,Orders!P78,"")</f>
        <v>9.1</v>
      </c>
      <c r="AH81" s="34">
        <f>IF(E81=1,Orders!Q78,"")</f>
        <v>8.2</v>
      </c>
      <c r="AI81" s="34">
        <f>IF(E81=1,Orders!M78,"")</f>
        <v>2.7</v>
      </c>
      <c r="AJ81" s="34">
        <f>IF(E81=1,Orders!N78,"")</f>
        <v>2.9</v>
      </c>
      <c r="AK81" s="34">
        <f>IF(E81=1,Orders!O78,"")</f>
        <v>2.6</v>
      </c>
      <c r="AL81" s="33">
        <f>IF(E81=1,IF(ROUND(ABS(AI81+AJ81+AK81-AH81),6)&lt;=0.1,1,0),"")</f>
        <v>1</v>
      </c>
      <c r="AM81" s="36">
        <f>IF(E81=1,AI81/AH81,"")</f>
        <v>0.329268292682927</v>
      </c>
      <c r="AN81" s="36">
        <f>IF(E81=1,AJ81/AH81,"")</f>
        <v>0.353658536585366</v>
      </c>
      <c r="AO81" s="36">
        <f>IF(E81=1,AK81/AH81,"")</f>
        <v>0.317073170731707</v>
      </c>
      <c r="AP81" s="34">
        <f>IF(E81=1,Orders!Y78,"")</f>
        <v>0.65</v>
      </c>
      <c r="AQ81" s="33">
        <f>IF(Orders!X78,1,0)</f>
        <v>0</v>
      </c>
      <c r="AR81" s="34">
        <f>IF(AND(E81=1,L81=1),AJ81,"")</f>
        <v>2.9</v>
      </c>
      <c r="AS81" s="34" t="str">
        <f>IF(AND(E81=1,L81=0),AJ81,"")</f>
        <v/>
      </c>
      <c r="AT81" s="34">
        <f>IF(AND(E81=1,L81=1),AI81,"")</f>
        <v>2.7</v>
      </c>
      <c r="AU81" s="34" t="str">
        <f>IF(AND(E81=1,L81=0),AI81,"")</f>
        <v/>
      </c>
      <c r="AV81" s="34">
        <f>IF(AND(E81=1,L81=1),AG81,"")</f>
        <v>9.1</v>
      </c>
      <c r="AW81" s="34" t="str">
        <f>IF(AND(E81=1,L81=0),AG81,"")</f>
        <v/>
      </c>
      <c r="AX81" s="34">
        <f>IF(AND(E81=1,L81=1),AH81,"")</f>
        <v>8.2</v>
      </c>
      <c r="AY81" s="34" t="str">
        <f>IF(AND(E81=1,L81=0),AH81,"")</f>
        <v/>
      </c>
      <c r="AZ81" s="34" t="str">
        <f>IF(G81=1,F81,"")</f>
        <v/>
      </c>
      <c r="BA81" s="34" t="str">
        <f>IF(AND(G81=1,L81=1),F81,"")</f>
        <v/>
      </c>
      <c r="BB81" s="34" t="str">
        <f>IF(AND(G81=1,L81=0),F81,"")</f>
        <v/>
      </c>
      <c r="BC81" s="33">
        <f>IF(E81=1,IF(Orders!R78&gt;3,1,0),"")</f>
        <v>0</v>
      </c>
      <c r="BD81" s="33">
        <f>IF(E81=1,IF(Orders!R78&gt;7,1,0),"")</f>
        <v>0</v>
      </c>
      <c r="BE81" s="32" t="str">
        <f>IF(E81=1,IF(Orders!L78&lt;=1.5,"Up to 1.5 km",IF(Orders!L78&lt;=3,"1.5–3 km","Over 3 km")),"")</f>
        <v>1.5–3 km</v>
      </c>
      <c r="BF81" s="33">
        <f>IF(E81=1,IF(ABS((Orders!G78-Orders!F78)*1440-Orders!R78)&lt;0.06,1,0),"")</f>
        <v>1</v>
      </c>
      <c r="BG81" s="33">
        <f>IF(ABS((Orders!F78-Orders!E78)*1440-Orders!P78)&lt;0.06,1,0)</f>
        <v>1</v>
      </c>
      <c r="BH81" s="33">
        <f>IF(E81=1,IF(IF(Orders!S78,1,0)=1-G81,1,0),"")</f>
        <v>1</v>
      </c>
      <c r="BI81" s="32" t="str">
        <f>INDEX(Stores!$B$2:$B$21,MATCH(B81,Stores!$A$2:$A$21,0))</f>
        <v>Pune</v>
      </c>
    </row>
    <row r="82">
      <c r="A82" s="32" t="str">
        <f>Orders!A79</f>
        <v>O00078</v>
      </c>
      <c r="B82" s="32" t="str">
        <f>Orders!C79</f>
        <v>S005</v>
      </c>
      <c r="C82" s="32" t="str">
        <f>Orders!B79</f>
        <v>C0035</v>
      </c>
      <c r="D82" s="32" t="str">
        <f>Orders!H79</f>
        <v>Delivered</v>
      </c>
      <c r="E82" s="33">
        <f>IF(Orders!H79="Delivered",1,0)</f>
        <v>1</v>
      </c>
      <c r="F82" s="34">
        <f>IF(E82=1,Orders!R79,"")</f>
        <v>-0.6</v>
      </c>
      <c r="G82" s="33">
        <f>IF(E82=1,IF(Orders!R79&gt;0,1,0),"")</f>
        <v>0</v>
      </c>
      <c r="H82" s="33">
        <f>IF(E82=1,IF(Orders!R79&gt;5,1,0),"")</f>
        <v>0</v>
      </c>
      <c r="I82" s="32" t="str">
        <f>IF(E82=1,"",IF(OR(Orders!T79="Rider unavailable",Orders!T79="Item unavailable"),"Company-caused","Unresolved"))</f>
        <v/>
      </c>
      <c r="J82" s="33">
        <f>IF(OR(E82=1,I82="Company-caused"),1,0)</f>
        <v>1</v>
      </c>
      <c r="K82" s="32" t="str">
        <f>IF(E82=0,IF(I82="Company-caused",IF(Orders!T79="Rider unavailable","C1 Rider unavailable","C2 Item unavailable"),"Outside root: unresolved"),IF(G82=0,"A On time",IF(H82=1,IF(L82=1,"B2a Severe, peak","B2b Severe, off-peak"),IF(L82=1,"B1a Slight, peak","B1b Slight, off-peak"))))</f>
        <v>A On time</v>
      </c>
      <c r="L82" s="33">
        <f>IF(AND(Orders!U79&gt;=19,Orders!U79&lt;22),1,0)</f>
        <v>0</v>
      </c>
      <c r="M82" s="33">
        <f>IF(L82=IF(Orders!V79,1,0),1,0)</f>
        <v>1</v>
      </c>
      <c r="N82" s="32" t="str">
        <f>IF(Orders!W79="","None",Orders!W79)</f>
        <v>Heavy</v>
      </c>
      <c r="O82" s="35">
        <f>INT(Orders!E79)</f>
        <v>46269.0</v>
      </c>
      <c r="P82" s="33">
        <f>Orders!U79</f>
        <v>8</v>
      </c>
      <c r="Q82" s="33">
        <f>COUNTIFS(Demand!$A$2:$A$4481,B82,Demand!$B$2:$B$4481,O82,Demand!$C$2:$C$4481,P82)</f>
        <v>1</v>
      </c>
      <c r="R82" s="33">
        <f>IF(Q82=1,SUMIFS(Demand!$E$2:$E$4481,Demand!$A$2:$A$4481,B82,Demand!$B$2:$B$4481,O82,Demand!$C$2:$C$4481,P82),"")</f>
        <v>10</v>
      </c>
      <c r="S82" s="33">
        <f>INDEX(Stores!$G$2:$G$21,MATCH(B82,Stores!$A$2:$A$21,0))</f>
        <v>14</v>
      </c>
      <c r="T82" s="34">
        <f>IF(R82="","",R82/S82)</f>
        <v>0.714285714285714</v>
      </c>
      <c r="U82" s="34">
        <f>IF(E82=1,T82,"")</f>
        <v>0.714285714285714</v>
      </c>
      <c r="V82" s="34">
        <f>IF(AND(E82=1,L82=0),T82,"")</f>
        <v>0.714285714285714</v>
      </c>
      <c r="W82" s="33">
        <f>IF(U82="","",IF(U82&lt;=Breakdowns!$C$5,1,IF(U82&lt;=Breakdowns!$C$6,2,IF(U82&lt;=Breakdowns!$C$7,3,4))))</f>
        <v>1</v>
      </c>
      <c r="X82" s="33">
        <f>IF(V82="","",IF(V82&lt;=Breakdowns!$D$5,1,IF(V82&lt;=Breakdowns!$D$6,2,IF(V82&lt;=Breakdowns!$D$7,3,4))))</f>
        <v>1</v>
      </c>
      <c r="Y82" s="34">
        <f>INDEX(Stores!$F$2:$F$21,MATCH(B82,Stores!$A$2:$A$21,0))</f>
        <v>4.89</v>
      </c>
      <c r="Z82" s="33">
        <f>IF(Y82&gt;Store_Summary!$M$2,1,0)</f>
        <v>0</v>
      </c>
      <c r="AA82" s="33">
        <f>INDEX(Stores!$C$2:$C$21,MATCH(B82,Stores!$A$2:$A$21,0))</f>
        <v>138</v>
      </c>
      <c r="AB82" s="33">
        <f>IF(AA82&lt;180,1,0)</f>
        <v>1</v>
      </c>
      <c r="AC82" s="32" t="str">
        <f>IF(Orders!D79="","",INDEX(Riders!$C$2:$C$81,MATCH(Orders!D79,Riders!$A$2:$A$81,0)))</f>
        <v>Petrol scooter</v>
      </c>
      <c r="AD82" s="33">
        <f>IF(Orders!D79="","",INDEX(Riders!$D$2:$D$81,MATCH(Orders!D79,Riders!$A$2:$A$81,0)))</f>
        <v>2</v>
      </c>
      <c r="AE82" s="33">
        <f>IF(Orders!D79="","",IF(INDEX(Riders!$B$2:$B$81,MATCH(Orders!D79,Riders!$A$2:$A$81,0))=B82,1,0))</f>
        <v>0</v>
      </c>
      <c r="AF82" s="34">
        <f>IF(E82=1,Orders!L79,"")</f>
        <v>4.9</v>
      </c>
      <c r="AG82" s="34">
        <f>IF(E82=1,Orders!P79,"")</f>
        <v>12.3</v>
      </c>
      <c r="AH82" s="34">
        <f>IF(E82=1,Orders!Q79,"")</f>
        <v>11.7</v>
      </c>
      <c r="AI82" s="34">
        <f>IF(E82=1,Orders!M79,"")</f>
        <v>2.7</v>
      </c>
      <c r="AJ82" s="34">
        <f>IF(E82=1,Orders!N79,"")</f>
        <v>2.6</v>
      </c>
      <c r="AK82" s="34">
        <f>IF(E82=1,Orders!O79,"")</f>
        <v>6.4</v>
      </c>
      <c r="AL82" s="33">
        <f>IF(E82=1,IF(ROUND(ABS(AI82+AJ82+AK82-AH82),6)&lt;=0.1,1,0),"")</f>
        <v>1</v>
      </c>
      <c r="AM82" s="36">
        <f>IF(E82=1,AI82/AH82,"")</f>
        <v>0.230769230769231</v>
      </c>
      <c r="AN82" s="36">
        <f>IF(E82=1,AJ82/AH82,"")</f>
        <v>0.222222222222222</v>
      </c>
      <c r="AO82" s="36">
        <f>IF(E82=1,AK82/AH82,"")</f>
        <v>0.547008547008547</v>
      </c>
      <c r="AP82" s="34">
        <f>IF(E82=1,Orders!Y79,"")</f>
        <v>0.48</v>
      </c>
      <c r="AQ82" s="33">
        <f>IF(Orders!X79,1,0)</f>
        <v>1</v>
      </c>
      <c r="AR82" s="34" t="str">
        <f>IF(AND(E82=1,L82=1),AJ82,"")</f>
        <v/>
      </c>
      <c r="AS82" s="34">
        <f>IF(AND(E82=1,L82=0),AJ82,"")</f>
        <v>2.6</v>
      </c>
      <c r="AT82" s="34" t="str">
        <f>IF(AND(E82=1,L82=1),AI82,"")</f>
        <v/>
      </c>
      <c r="AU82" s="34">
        <f>IF(AND(E82=1,L82=0),AI82,"")</f>
        <v>2.7</v>
      </c>
      <c r="AV82" s="34" t="str">
        <f>IF(AND(E82=1,L82=1),AG82,"")</f>
        <v/>
      </c>
      <c r="AW82" s="34">
        <f>IF(AND(E82=1,L82=0),AG82,"")</f>
        <v>12.3</v>
      </c>
      <c r="AX82" s="34" t="str">
        <f>IF(AND(E82=1,L82=1),AH82,"")</f>
        <v/>
      </c>
      <c r="AY82" s="34">
        <f>IF(AND(E82=1,L82=0),AH82,"")</f>
        <v>11.7</v>
      </c>
      <c r="AZ82" s="34" t="str">
        <f>IF(G82=1,F82,"")</f>
        <v/>
      </c>
      <c r="BA82" s="34" t="str">
        <f>IF(AND(G82=1,L82=1),F82,"")</f>
        <v/>
      </c>
      <c r="BB82" s="34" t="str">
        <f>IF(AND(G82=1,L82=0),F82,"")</f>
        <v/>
      </c>
      <c r="BC82" s="33">
        <f>IF(E82=1,IF(Orders!R79&gt;3,1,0),"")</f>
        <v>0</v>
      </c>
      <c r="BD82" s="33">
        <f>IF(E82=1,IF(Orders!R79&gt;7,1,0),"")</f>
        <v>0</v>
      </c>
      <c r="BE82" s="32" t="str">
        <f>IF(E82=1,IF(Orders!L79&lt;=1.5,"Up to 1.5 km",IF(Orders!L79&lt;=3,"1.5–3 km","Over 3 km")),"")</f>
        <v>Over 3 km</v>
      </c>
      <c r="BF82" s="33">
        <f>IF(E82=1,IF(ABS((Orders!G79-Orders!F79)*1440-Orders!R79)&lt;0.06,1,0),"")</f>
        <v>1</v>
      </c>
      <c r="BG82" s="33">
        <f>IF(ABS((Orders!F79-Orders!E79)*1440-Orders!P79)&lt;0.06,1,0)</f>
        <v>1</v>
      </c>
      <c r="BH82" s="33">
        <f>IF(E82=1,IF(IF(Orders!S79,1,0)=1-G82,1,0),"")</f>
        <v>1</v>
      </c>
      <c r="BI82" s="32" t="str">
        <f>INDEX(Stores!$B$2:$B$21,MATCH(B82,Stores!$A$2:$A$21,0))</f>
        <v>Delhi</v>
      </c>
    </row>
    <row r="83">
      <c r="A83" s="32" t="str">
        <f>Orders!A80</f>
        <v>O00079</v>
      </c>
      <c r="B83" s="32" t="str">
        <f>Orders!C80</f>
        <v>S008</v>
      </c>
      <c r="C83" s="32" t="str">
        <f>Orders!B80</f>
        <v>C0091</v>
      </c>
      <c r="D83" s="32" t="str">
        <f>Orders!H80</f>
        <v>Delivered</v>
      </c>
      <c r="E83" s="33">
        <f>IF(Orders!H80="Delivered",1,0)</f>
        <v>1</v>
      </c>
      <c r="F83" s="34">
        <f>IF(E83=1,Orders!R80,"")</f>
        <v>-1.1</v>
      </c>
      <c r="G83" s="33">
        <f>IF(E83=1,IF(Orders!R80&gt;0,1,0),"")</f>
        <v>0</v>
      </c>
      <c r="H83" s="33">
        <f>IF(E83=1,IF(Orders!R80&gt;5,1,0),"")</f>
        <v>0</v>
      </c>
      <c r="I83" s="32" t="str">
        <f>IF(E83=1,"",IF(OR(Orders!T80="Rider unavailable",Orders!T80="Item unavailable"),"Company-caused","Unresolved"))</f>
        <v/>
      </c>
      <c r="J83" s="33">
        <f>IF(OR(E83=1,I83="Company-caused"),1,0)</f>
        <v>1</v>
      </c>
      <c r="K83" s="32" t="str">
        <f>IF(E83=0,IF(I83="Company-caused",IF(Orders!T80="Rider unavailable","C1 Rider unavailable","C2 Item unavailable"),"Outside root: unresolved"),IF(G83=0,"A On time",IF(H83=1,IF(L83=1,"B2a Severe, peak","B2b Severe, off-peak"),IF(L83=1,"B1a Slight, peak","B1b Slight, off-peak"))))</f>
        <v>A On time</v>
      </c>
      <c r="L83" s="33">
        <f>IF(AND(Orders!U80&gt;=19,Orders!U80&lt;22),1,0)</f>
        <v>0</v>
      </c>
      <c r="M83" s="33">
        <f>IF(L83=IF(Orders!V80,1,0),1,0)</f>
        <v>1</v>
      </c>
      <c r="N83" s="32" t="str">
        <f>IF(Orders!W80="","None",Orders!W80)</f>
        <v>None</v>
      </c>
      <c r="O83" s="35">
        <f>INT(Orders!E80)</f>
        <v>46266.0</v>
      </c>
      <c r="P83" s="33">
        <f>Orders!U80</f>
        <v>22</v>
      </c>
      <c r="Q83" s="33">
        <f>COUNTIFS(Demand!$A$2:$A$4481,B83,Demand!$B$2:$B$4481,O83,Demand!$C$2:$C$4481,P83)</f>
        <v>1</v>
      </c>
      <c r="R83" s="33">
        <f>IF(Q83=1,SUMIFS(Demand!$E$2:$E$4481,Demand!$A$2:$A$4481,B83,Demand!$B$2:$B$4481,O83,Demand!$C$2:$C$4481,P83),"")</f>
        <v>10</v>
      </c>
      <c r="S83" s="33">
        <f>INDEX(Stores!$G$2:$G$21,MATCH(B83,Stores!$A$2:$A$21,0))</f>
        <v>23</v>
      </c>
      <c r="T83" s="34">
        <f>IF(R83="","",R83/S83)</f>
        <v>0.434782608695652</v>
      </c>
      <c r="U83" s="34">
        <f>IF(E83=1,T83,"")</f>
        <v>0.434782608695652</v>
      </c>
      <c r="V83" s="34">
        <f>IF(AND(E83=1,L83=0),T83,"")</f>
        <v>0.434782608695652</v>
      </c>
      <c r="W83" s="33">
        <f>IF(U83="","",IF(U83&lt;=Breakdowns!$C$5,1,IF(U83&lt;=Breakdowns!$C$6,2,IF(U83&lt;=Breakdowns!$C$7,3,4))))</f>
        <v>1</v>
      </c>
      <c r="X83" s="33">
        <f>IF(V83="","",IF(V83&lt;=Breakdowns!$D$5,1,IF(V83&lt;=Breakdowns!$D$6,2,IF(V83&lt;=Breakdowns!$D$7,3,4))))</f>
        <v>1</v>
      </c>
      <c r="Y83" s="34">
        <f>INDEX(Stores!$F$2:$F$21,MATCH(B83,Stores!$A$2:$A$21,0))</f>
        <v>3.46</v>
      </c>
      <c r="Z83" s="33">
        <f>IF(Y83&gt;Store_Summary!$M$2,1,0)</f>
        <v>0</v>
      </c>
      <c r="AA83" s="33">
        <f>INDEX(Stores!$C$2:$C$21,MATCH(B83,Stores!$A$2:$A$21,0))</f>
        <v>825</v>
      </c>
      <c r="AB83" s="33">
        <f>IF(AA83&lt;180,1,0)</f>
        <v>0</v>
      </c>
      <c r="AC83" s="32" t="str">
        <f>IF(Orders!D80="","",INDEX(Riders!$C$2:$C$81,MATCH(Orders!D80,Riders!$A$2:$A$81,0)))</f>
        <v>EV scooter</v>
      </c>
      <c r="AD83" s="33">
        <f>IF(Orders!D80="","",INDEX(Riders!$D$2:$D$81,MATCH(Orders!D80,Riders!$A$2:$A$81,0)))</f>
        <v>4</v>
      </c>
      <c r="AE83" s="33">
        <f>IF(Orders!D80="","",IF(INDEX(Riders!$B$2:$B$81,MATCH(Orders!D80,Riders!$A$2:$A$81,0))=B83,1,0))</f>
        <v>0</v>
      </c>
      <c r="AF83" s="34">
        <f>IF(E83=1,Orders!L80,"")</f>
        <v>1.51</v>
      </c>
      <c r="AG83" s="34">
        <f>IF(E83=1,Orders!P80,"")</f>
        <v>10</v>
      </c>
      <c r="AH83" s="34">
        <f>IF(E83=1,Orders!Q80,"")</f>
        <v>8.9</v>
      </c>
      <c r="AI83" s="34">
        <f>IF(E83=1,Orders!M80,"")</f>
        <v>2.8</v>
      </c>
      <c r="AJ83" s="34">
        <f>IF(E83=1,Orders!N80,"")</f>
        <v>2.8</v>
      </c>
      <c r="AK83" s="34">
        <f>IF(E83=1,Orders!O80,"")</f>
        <v>3.3</v>
      </c>
      <c r="AL83" s="33">
        <f>IF(E83=1,IF(ROUND(ABS(AI83+AJ83+AK83-AH83),6)&lt;=0.1,1,0),"")</f>
        <v>1</v>
      </c>
      <c r="AM83" s="36">
        <f>IF(E83=1,AI83/AH83,"")</f>
        <v>0.314606741573034</v>
      </c>
      <c r="AN83" s="36">
        <f>IF(E83=1,AJ83/AH83,"")</f>
        <v>0.314606741573034</v>
      </c>
      <c r="AO83" s="36">
        <f>IF(E83=1,AK83/AH83,"")</f>
        <v>0.370786516853933</v>
      </c>
      <c r="AP83" s="34">
        <f>IF(E83=1,Orders!Y80,"")</f>
        <v>0.33</v>
      </c>
      <c r="AQ83" s="33">
        <f>IF(Orders!X80,1,0)</f>
        <v>0</v>
      </c>
      <c r="AR83" s="34" t="str">
        <f>IF(AND(E83=1,L83=1),AJ83,"")</f>
        <v/>
      </c>
      <c r="AS83" s="34">
        <f>IF(AND(E83=1,L83=0),AJ83,"")</f>
        <v>2.8</v>
      </c>
      <c r="AT83" s="34" t="str">
        <f>IF(AND(E83=1,L83=1),AI83,"")</f>
        <v/>
      </c>
      <c r="AU83" s="34">
        <f>IF(AND(E83=1,L83=0),AI83,"")</f>
        <v>2.8</v>
      </c>
      <c r="AV83" s="34" t="str">
        <f>IF(AND(E83=1,L83=1),AG83,"")</f>
        <v/>
      </c>
      <c r="AW83" s="34">
        <f>IF(AND(E83=1,L83=0),AG83,"")</f>
        <v>10</v>
      </c>
      <c r="AX83" s="34" t="str">
        <f>IF(AND(E83=1,L83=1),AH83,"")</f>
        <v/>
      </c>
      <c r="AY83" s="34">
        <f>IF(AND(E83=1,L83=0),AH83,"")</f>
        <v>8.9</v>
      </c>
      <c r="AZ83" s="34" t="str">
        <f>IF(G83=1,F83,"")</f>
        <v/>
      </c>
      <c r="BA83" s="34" t="str">
        <f>IF(AND(G83=1,L83=1),F83,"")</f>
        <v/>
      </c>
      <c r="BB83" s="34" t="str">
        <f>IF(AND(G83=1,L83=0),F83,"")</f>
        <v/>
      </c>
      <c r="BC83" s="33">
        <f>IF(E83=1,IF(Orders!R80&gt;3,1,0),"")</f>
        <v>0</v>
      </c>
      <c r="BD83" s="33">
        <f>IF(E83=1,IF(Orders!R80&gt;7,1,0),"")</f>
        <v>0</v>
      </c>
      <c r="BE83" s="32" t="str">
        <f>IF(E83=1,IF(Orders!L80&lt;=1.5,"Up to 1.5 km",IF(Orders!L80&lt;=3,"1.5–3 km","Over 3 km")),"")</f>
        <v>1.5–3 km</v>
      </c>
      <c r="BF83" s="33">
        <f>IF(E83=1,IF(ABS((Orders!G80-Orders!F80)*1440-Orders!R80)&lt;0.06,1,0),"")</f>
        <v>1</v>
      </c>
      <c r="BG83" s="33">
        <f>IF(ABS((Orders!F80-Orders!E80)*1440-Orders!P80)&lt;0.06,1,0)</f>
        <v>1</v>
      </c>
      <c r="BH83" s="33">
        <f>IF(E83=1,IF(IF(Orders!S80,1,0)=1-G83,1,0),"")</f>
        <v>1</v>
      </c>
      <c r="BI83" s="32" t="str">
        <f>INDEX(Stores!$B$2:$B$21,MATCH(B83,Stores!$A$2:$A$21,0))</f>
        <v>Mumbai</v>
      </c>
    </row>
    <row r="84">
      <c r="A84" s="32" t="str">
        <f>Orders!A81</f>
        <v>O00080</v>
      </c>
      <c r="B84" s="32" t="str">
        <f>Orders!C81</f>
        <v>S018</v>
      </c>
      <c r="C84" s="32" t="str">
        <f>Orders!B81</f>
        <v>C0101</v>
      </c>
      <c r="D84" s="32" t="str">
        <f>Orders!H81</f>
        <v>Delivered</v>
      </c>
      <c r="E84" s="33">
        <f>IF(Orders!H81="Delivered",1,0)</f>
        <v>1</v>
      </c>
      <c r="F84" s="34">
        <f>IF(E84=1,Orders!R81,"")</f>
        <v>7.4</v>
      </c>
      <c r="G84" s="33">
        <f>IF(E84=1,IF(Orders!R81&gt;0,1,0),"")</f>
        <v>1</v>
      </c>
      <c r="H84" s="33">
        <f>IF(E84=1,IF(Orders!R81&gt;5,1,0),"")</f>
        <v>1</v>
      </c>
      <c r="I84" s="32" t="str">
        <f>IF(E84=1,"",IF(OR(Orders!T81="Rider unavailable",Orders!T81="Item unavailable"),"Company-caused","Unresolved"))</f>
        <v/>
      </c>
      <c r="J84" s="33">
        <f>IF(OR(E84=1,I84="Company-caused"),1,0)</f>
        <v>1</v>
      </c>
      <c r="K84" s="32" t="str">
        <f>IF(E84=0,IF(I84="Company-caused",IF(Orders!T81="Rider unavailable","C1 Rider unavailable","C2 Item unavailable"),"Outside root: unresolved"),IF(G84=0,"A On time",IF(H84=1,IF(L84=1,"B2a Severe, peak","B2b Severe, off-peak"),IF(L84=1,"B1a Slight, peak","B1b Slight, off-peak"))))</f>
        <v>B2b Severe, off-peak</v>
      </c>
      <c r="L84" s="33">
        <f>IF(AND(Orders!U81&gt;=19,Orders!U81&lt;22),1,0)</f>
        <v>0</v>
      </c>
      <c r="M84" s="33">
        <f>IF(L84=IF(Orders!V81,1,0),1,0)</f>
        <v>1</v>
      </c>
      <c r="N84" s="32" t="str">
        <f>IF(Orders!W81="","None",Orders!W81)</f>
        <v>None</v>
      </c>
      <c r="O84" s="35">
        <f>INT(Orders!E81)</f>
        <v>46270.0</v>
      </c>
      <c r="P84" s="33">
        <f>Orders!U81</f>
        <v>16</v>
      </c>
      <c r="Q84" s="33">
        <f>COUNTIFS(Demand!$A$2:$A$4481,B84,Demand!$B$2:$B$4481,O84,Demand!$C$2:$C$4481,P84)</f>
        <v>1</v>
      </c>
      <c r="R84" s="33">
        <f>IF(Q84=1,SUMIFS(Demand!$E$2:$E$4481,Demand!$A$2:$A$4481,B84,Demand!$B$2:$B$4481,O84,Demand!$C$2:$C$4481,P84),"")</f>
        <v>19</v>
      </c>
      <c r="S84" s="33">
        <f>INDEX(Stores!$G$2:$G$21,MATCH(B84,Stores!$A$2:$A$21,0))</f>
        <v>20</v>
      </c>
      <c r="T84" s="34">
        <f>IF(R84="","",R84/S84)</f>
        <v>0.95</v>
      </c>
      <c r="U84" s="34">
        <f>IF(E84=1,T84,"")</f>
        <v>0.95</v>
      </c>
      <c r="V84" s="34">
        <f>IF(AND(E84=1,L84=0),T84,"")</f>
        <v>0.95</v>
      </c>
      <c r="W84" s="33">
        <f>IF(U84="","",IF(U84&lt;=Breakdowns!$C$5,1,IF(U84&lt;=Breakdowns!$C$6,2,IF(U84&lt;=Breakdowns!$C$7,3,4))))</f>
        <v>2</v>
      </c>
      <c r="X84" s="33">
        <f>IF(V84="","",IF(V84&lt;=Breakdowns!$D$5,1,IF(V84&lt;=Breakdowns!$D$6,2,IF(V84&lt;=Breakdowns!$D$7,3,4))))</f>
        <v>3</v>
      </c>
      <c r="Y84" s="34">
        <f>INDEX(Stores!$F$2:$F$21,MATCH(B84,Stores!$A$2:$A$21,0))</f>
        <v>5.31</v>
      </c>
      <c r="Z84" s="33">
        <f>IF(Y84&gt;Store_Summary!$M$2,1,0)</f>
        <v>1</v>
      </c>
      <c r="AA84" s="33">
        <f>INDEX(Stores!$C$2:$C$21,MATCH(B84,Stores!$A$2:$A$21,0))</f>
        <v>214</v>
      </c>
      <c r="AB84" s="33">
        <f>IF(AA84&lt;180,1,0)</f>
        <v>0</v>
      </c>
      <c r="AC84" s="32" t="str">
        <f>IF(Orders!D81="","",INDEX(Riders!$C$2:$C$81,MATCH(Orders!D81,Riders!$A$2:$A$81,0)))</f>
        <v>EV scooter</v>
      </c>
      <c r="AD84" s="33">
        <f>IF(Orders!D81="","",INDEX(Riders!$D$2:$D$81,MATCH(Orders!D81,Riders!$A$2:$A$81,0)))</f>
        <v>30</v>
      </c>
      <c r="AE84" s="33">
        <f>IF(Orders!D81="","",IF(INDEX(Riders!$B$2:$B$81,MATCH(Orders!D81,Riders!$A$2:$A$81,0))=B84,1,0))</f>
        <v>0</v>
      </c>
      <c r="AF84" s="34">
        <f>IF(E84=1,Orders!L81,"")</f>
        <v>1.6</v>
      </c>
      <c r="AG84" s="34">
        <f>IF(E84=1,Orders!P81,"")</f>
        <v>9.8</v>
      </c>
      <c r="AH84" s="34">
        <f>IF(E84=1,Orders!Q81,"")</f>
        <v>17.2</v>
      </c>
      <c r="AI84" s="34">
        <f>IF(E84=1,Orders!M81,"")</f>
        <v>4.1</v>
      </c>
      <c r="AJ84" s="34">
        <f>IF(E84=1,Orders!N81,"")</f>
        <v>8.5</v>
      </c>
      <c r="AK84" s="34">
        <f>IF(E84=1,Orders!O81,"")</f>
        <v>4.6</v>
      </c>
      <c r="AL84" s="33">
        <f>IF(E84=1,IF(ROUND(ABS(AI84+AJ84+AK84-AH84),6)&lt;=0.1,1,0),"")</f>
        <v>1</v>
      </c>
      <c r="AM84" s="36">
        <f>IF(E84=1,AI84/AH84,"")</f>
        <v>0.238372093023256</v>
      </c>
      <c r="AN84" s="36">
        <f>IF(E84=1,AJ84/AH84,"")</f>
        <v>0.494186046511628</v>
      </c>
      <c r="AO84" s="36">
        <f>IF(E84=1,AK84/AH84,"")</f>
        <v>0.267441860465116</v>
      </c>
      <c r="AP84" s="34">
        <f>IF(E84=1,Orders!Y81,"")</f>
        <v>0.59</v>
      </c>
      <c r="AQ84" s="33">
        <f>IF(Orders!X81,1,0)</f>
        <v>0</v>
      </c>
      <c r="AR84" s="34" t="str">
        <f>IF(AND(E84=1,L84=1),AJ84,"")</f>
        <v/>
      </c>
      <c r="AS84" s="34">
        <f>IF(AND(E84=1,L84=0),AJ84,"")</f>
        <v>8.5</v>
      </c>
      <c r="AT84" s="34" t="str">
        <f>IF(AND(E84=1,L84=1),AI84,"")</f>
        <v/>
      </c>
      <c r="AU84" s="34">
        <f>IF(AND(E84=1,L84=0),AI84,"")</f>
        <v>4.1</v>
      </c>
      <c r="AV84" s="34" t="str">
        <f>IF(AND(E84=1,L84=1),AG84,"")</f>
        <v/>
      </c>
      <c r="AW84" s="34">
        <f>IF(AND(E84=1,L84=0),AG84,"")</f>
        <v>9.8</v>
      </c>
      <c r="AX84" s="34" t="str">
        <f>IF(AND(E84=1,L84=1),AH84,"")</f>
        <v/>
      </c>
      <c r="AY84" s="34">
        <f>IF(AND(E84=1,L84=0),AH84,"")</f>
        <v>17.2</v>
      </c>
      <c r="AZ84" s="34">
        <f>IF(G84=1,F84,"")</f>
        <v>7.4</v>
      </c>
      <c r="BA84" s="34" t="str">
        <f>IF(AND(G84=1,L84=1),F84,"")</f>
        <v/>
      </c>
      <c r="BB84" s="34">
        <f>IF(AND(G84=1,L84=0),F84,"")</f>
        <v>7.4</v>
      </c>
      <c r="BC84" s="33">
        <f>IF(E84=1,IF(Orders!R81&gt;3,1,0),"")</f>
        <v>1</v>
      </c>
      <c r="BD84" s="33">
        <f>IF(E84=1,IF(Orders!R81&gt;7,1,0),"")</f>
        <v>1</v>
      </c>
      <c r="BE84" s="32" t="str">
        <f>IF(E84=1,IF(Orders!L81&lt;=1.5,"Up to 1.5 km",IF(Orders!L81&lt;=3,"1.5–3 km","Over 3 km")),"")</f>
        <v>1.5–3 km</v>
      </c>
      <c r="BF84" s="33">
        <f>IF(E84=1,IF(ABS((Orders!G81-Orders!F81)*1440-Orders!R81)&lt;0.06,1,0),"")</f>
        <v>1</v>
      </c>
      <c r="BG84" s="33">
        <f>IF(ABS((Orders!F81-Orders!E81)*1440-Orders!P81)&lt;0.06,1,0)</f>
        <v>1</v>
      </c>
      <c r="BH84" s="33">
        <f>IF(E84=1,IF(IF(Orders!S81,1,0)=1-G84,1,0),"")</f>
        <v>1</v>
      </c>
      <c r="BI84" s="32" t="str">
        <f>INDEX(Stores!$B$2:$B$21,MATCH(B84,Stores!$A$2:$A$21,0))</f>
        <v>Mumbai</v>
      </c>
    </row>
    <row r="85">
      <c r="A85" s="32" t="str">
        <f>Orders!A82</f>
        <v>O00081</v>
      </c>
      <c r="B85" s="32" t="str">
        <f>Orders!C82</f>
        <v>S016</v>
      </c>
      <c r="C85" s="32" t="str">
        <f>Orders!B82</f>
        <v>C0108</v>
      </c>
      <c r="D85" s="32" t="str">
        <f>Orders!H82</f>
        <v>Delivered</v>
      </c>
      <c r="E85" s="33">
        <f>IF(Orders!H82="Delivered",1,0)</f>
        <v>1</v>
      </c>
      <c r="F85" s="34">
        <f>IF(E85=1,Orders!R82,"")</f>
        <v>-0.3</v>
      </c>
      <c r="G85" s="33">
        <f>IF(E85=1,IF(Orders!R82&gt;0,1,0),"")</f>
        <v>0</v>
      </c>
      <c r="H85" s="33">
        <f>IF(E85=1,IF(Orders!R82&gt;5,1,0),"")</f>
        <v>0</v>
      </c>
      <c r="I85" s="32" t="str">
        <f>IF(E85=1,"",IF(OR(Orders!T82="Rider unavailable",Orders!T82="Item unavailable"),"Company-caused","Unresolved"))</f>
        <v/>
      </c>
      <c r="J85" s="33">
        <f>IF(OR(E85=1,I85="Company-caused"),1,0)</f>
        <v>1</v>
      </c>
      <c r="K85" s="32" t="str">
        <f>IF(E85=0,IF(I85="Company-caused",IF(Orders!T82="Rider unavailable","C1 Rider unavailable","C2 Item unavailable"),"Outside root: unresolved"),IF(G85=0,"A On time",IF(H85=1,IF(L85=1,"B2a Severe, peak","B2b Severe, off-peak"),IF(L85=1,"B1a Slight, peak","B1b Slight, off-peak"))))</f>
        <v>A On time</v>
      </c>
      <c r="L85" s="33">
        <f>IF(AND(Orders!U82&gt;=19,Orders!U82&lt;22),1,0)</f>
        <v>0</v>
      </c>
      <c r="M85" s="33">
        <f>IF(L85=IF(Orders!V82,1,0),1,0)</f>
        <v>1</v>
      </c>
      <c r="N85" s="32" t="str">
        <f>IF(Orders!W82="","None",Orders!W82)</f>
        <v>Heavy</v>
      </c>
      <c r="O85" s="35">
        <f>INT(Orders!E82)</f>
        <v>46272.0</v>
      </c>
      <c r="P85" s="33">
        <f>Orders!U82</f>
        <v>10</v>
      </c>
      <c r="Q85" s="33">
        <f>COUNTIFS(Demand!$A$2:$A$4481,B85,Demand!$B$2:$B$4481,O85,Demand!$C$2:$C$4481,P85)</f>
        <v>1</v>
      </c>
      <c r="R85" s="33">
        <f>IF(Q85=1,SUMIFS(Demand!$E$2:$E$4481,Demand!$A$2:$A$4481,B85,Demand!$B$2:$B$4481,O85,Demand!$C$2:$C$4481,P85),"")</f>
        <v>18</v>
      </c>
      <c r="S85" s="33">
        <f>INDEX(Stores!$G$2:$G$21,MATCH(B85,Stores!$A$2:$A$21,0))</f>
        <v>25</v>
      </c>
      <c r="T85" s="34">
        <f>IF(R85="","",R85/S85)</f>
        <v>0.72</v>
      </c>
      <c r="U85" s="34">
        <f>IF(E85=1,T85,"")</f>
        <v>0.72</v>
      </c>
      <c r="V85" s="34">
        <f>IF(AND(E85=1,L85=0),T85,"")</f>
        <v>0.72</v>
      </c>
      <c r="W85" s="33">
        <f>IF(U85="","",IF(U85&lt;=Breakdowns!$C$5,1,IF(U85&lt;=Breakdowns!$C$6,2,IF(U85&lt;=Breakdowns!$C$7,3,4))))</f>
        <v>1</v>
      </c>
      <c r="X85" s="33">
        <f>IF(V85="","",IF(V85&lt;=Breakdowns!$D$5,1,IF(V85&lt;=Breakdowns!$D$6,2,IF(V85&lt;=Breakdowns!$D$7,3,4))))</f>
        <v>1</v>
      </c>
      <c r="Y85" s="34">
        <f>INDEX(Stores!$F$2:$F$21,MATCH(B85,Stores!$A$2:$A$21,0))</f>
        <v>5.51</v>
      </c>
      <c r="Z85" s="33">
        <f>IF(Y85&gt;Store_Summary!$M$2,1,0)</f>
        <v>1</v>
      </c>
      <c r="AA85" s="33">
        <f>INDEX(Stores!$C$2:$C$21,MATCH(B85,Stores!$A$2:$A$21,0))</f>
        <v>792</v>
      </c>
      <c r="AB85" s="33">
        <f>IF(AA85&lt;180,1,0)</f>
        <v>0</v>
      </c>
      <c r="AC85" s="32" t="str">
        <f>IF(Orders!D82="","",INDEX(Riders!$C$2:$C$81,MATCH(Orders!D82,Riders!$A$2:$A$81,0)))</f>
        <v>Petrol scooter</v>
      </c>
      <c r="AD85" s="33">
        <f>IF(Orders!D82="","",INDEX(Riders!$D$2:$D$81,MATCH(Orders!D82,Riders!$A$2:$A$81,0)))</f>
        <v>20</v>
      </c>
      <c r="AE85" s="33">
        <f>IF(Orders!D82="","",IF(INDEX(Riders!$B$2:$B$81,MATCH(Orders!D82,Riders!$A$2:$A$81,0))=B85,1,0))</f>
        <v>1</v>
      </c>
      <c r="AF85" s="34">
        <f>IF(E85=1,Orders!L82,"")</f>
        <v>2.6</v>
      </c>
      <c r="AG85" s="34">
        <f>IF(E85=1,Orders!P82,"")</f>
        <v>11.5</v>
      </c>
      <c r="AH85" s="34">
        <f>IF(E85=1,Orders!Q82,"")</f>
        <v>11.2</v>
      </c>
      <c r="AI85" s="34">
        <f>IF(E85=1,Orders!M82,"")</f>
        <v>2.4</v>
      </c>
      <c r="AJ85" s="34">
        <f>IF(E85=1,Orders!N82,"")</f>
        <v>3.9</v>
      </c>
      <c r="AK85" s="34">
        <f>IF(E85=1,Orders!O82,"")</f>
        <v>4.9</v>
      </c>
      <c r="AL85" s="33">
        <f>IF(E85=1,IF(ROUND(ABS(AI85+AJ85+AK85-AH85),6)&lt;=0.1,1,0),"")</f>
        <v>1</v>
      </c>
      <c r="AM85" s="36">
        <f>IF(E85=1,AI85/AH85,"")</f>
        <v>0.214285714285714</v>
      </c>
      <c r="AN85" s="36">
        <f>IF(E85=1,AJ85/AH85,"")</f>
        <v>0.348214285714286</v>
      </c>
      <c r="AO85" s="36">
        <f>IF(E85=1,AK85/AH85,"")</f>
        <v>0.4375</v>
      </c>
      <c r="AP85" s="34">
        <f>IF(E85=1,Orders!Y82,"")</f>
        <v>0.53</v>
      </c>
      <c r="AQ85" s="33">
        <f>IF(Orders!X82,1,0)</f>
        <v>0</v>
      </c>
      <c r="AR85" s="34" t="str">
        <f>IF(AND(E85=1,L85=1),AJ85,"")</f>
        <v/>
      </c>
      <c r="AS85" s="34">
        <f>IF(AND(E85=1,L85=0),AJ85,"")</f>
        <v>3.9</v>
      </c>
      <c r="AT85" s="34" t="str">
        <f>IF(AND(E85=1,L85=1),AI85,"")</f>
        <v/>
      </c>
      <c r="AU85" s="34">
        <f>IF(AND(E85=1,L85=0),AI85,"")</f>
        <v>2.4</v>
      </c>
      <c r="AV85" s="34" t="str">
        <f>IF(AND(E85=1,L85=1),AG85,"")</f>
        <v/>
      </c>
      <c r="AW85" s="34">
        <f>IF(AND(E85=1,L85=0),AG85,"")</f>
        <v>11.5</v>
      </c>
      <c r="AX85" s="34" t="str">
        <f>IF(AND(E85=1,L85=1),AH85,"")</f>
        <v/>
      </c>
      <c r="AY85" s="34">
        <f>IF(AND(E85=1,L85=0),AH85,"")</f>
        <v>11.2</v>
      </c>
      <c r="AZ85" s="34" t="str">
        <f>IF(G85=1,F85,"")</f>
        <v/>
      </c>
      <c r="BA85" s="34" t="str">
        <f>IF(AND(G85=1,L85=1),F85,"")</f>
        <v/>
      </c>
      <c r="BB85" s="34" t="str">
        <f>IF(AND(G85=1,L85=0),F85,"")</f>
        <v/>
      </c>
      <c r="BC85" s="33">
        <f>IF(E85=1,IF(Orders!R82&gt;3,1,0),"")</f>
        <v>0</v>
      </c>
      <c r="BD85" s="33">
        <f>IF(E85=1,IF(Orders!R82&gt;7,1,0),"")</f>
        <v>0</v>
      </c>
      <c r="BE85" s="32" t="str">
        <f>IF(E85=1,IF(Orders!L82&lt;=1.5,"Up to 1.5 km",IF(Orders!L82&lt;=3,"1.5–3 km","Over 3 km")),"")</f>
        <v>1.5–3 km</v>
      </c>
      <c r="BF85" s="33">
        <f>IF(E85=1,IF(ABS((Orders!G82-Orders!F82)*1440-Orders!R82)&lt;0.06,1,0),"")</f>
        <v>1</v>
      </c>
      <c r="BG85" s="33">
        <f>IF(ABS((Orders!F82-Orders!E82)*1440-Orders!P82)&lt;0.06,1,0)</f>
        <v>1</v>
      </c>
      <c r="BH85" s="33">
        <f>IF(E85=1,IF(IF(Orders!S82,1,0)=1-G85,1,0),"")</f>
        <v>1</v>
      </c>
      <c r="BI85" s="32" t="str">
        <f>INDEX(Stores!$B$2:$B$21,MATCH(B85,Stores!$A$2:$A$21,0))</f>
        <v>Bengaluru</v>
      </c>
    </row>
    <row r="86">
      <c r="A86" s="32" t="str">
        <f>Orders!A83</f>
        <v>O00082</v>
      </c>
      <c r="B86" s="32" t="str">
        <f>Orders!C83</f>
        <v>S018</v>
      </c>
      <c r="C86" s="32" t="str">
        <f>Orders!B83</f>
        <v>C0221</v>
      </c>
      <c r="D86" s="32" t="str">
        <f>Orders!H83</f>
        <v>Delivered</v>
      </c>
      <c r="E86" s="33">
        <f>IF(Orders!H83="Delivered",1,0)</f>
        <v>1</v>
      </c>
      <c r="F86" s="34">
        <f>IF(E86=1,Orders!R83,"")</f>
        <v>-0.7</v>
      </c>
      <c r="G86" s="33">
        <f>IF(E86=1,IF(Orders!R83&gt;0,1,0),"")</f>
        <v>0</v>
      </c>
      <c r="H86" s="33">
        <f>IF(E86=1,IF(Orders!R83&gt;5,1,0),"")</f>
        <v>0</v>
      </c>
      <c r="I86" s="32" t="str">
        <f>IF(E86=1,"",IF(OR(Orders!T83="Rider unavailable",Orders!T83="Item unavailable"),"Company-caused","Unresolved"))</f>
        <v/>
      </c>
      <c r="J86" s="33">
        <f>IF(OR(E86=1,I86="Company-caused"),1,0)</f>
        <v>1</v>
      </c>
      <c r="K86" s="32" t="str">
        <f>IF(E86=0,IF(I86="Company-caused",IF(Orders!T83="Rider unavailable","C1 Rider unavailable","C2 Item unavailable"),"Outside root: unresolved"),IF(G86=0,"A On time",IF(H86=1,IF(L86=1,"B2a Severe, peak","B2b Severe, off-peak"),IF(L86=1,"B1a Slight, peak","B1b Slight, off-peak"))))</f>
        <v>A On time</v>
      </c>
      <c r="L86" s="33">
        <f>IF(AND(Orders!U83&gt;=19,Orders!U83&lt;22),1,0)</f>
        <v>0</v>
      </c>
      <c r="M86" s="33">
        <f>IF(L86=IF(Orders!V83,1,0),1,0)</f>
        <v>1</v>
      </c>
      <c r="N86" s="32" t="str">
        <f>IF(Orders!W83="","None",Orders!W83)</f>
        <v>Light</v>
      </c>
      <c r="O86" s="35">
        <f>INT(Orders!E83)</f>
        <v>46275.0</v>
      </c>
      <c r="P86" s="33">
        <f>Orders!U83</f>
        <v>15</v>
      </c>
      <c r="Q86" s="33">
        <f>COUNTIFS(Demand!$A$2:$A$4481,B86,Demand!$B$2:$B$4481,O86,Demand!$C$2:$C$4481,P86)</f>
        <v>1</v>
      </c>
      <c r="R86" s="33">
        <f>IF(Q86=1,SUMIFS(Demand!$E$2:$E$4481,Demand!$A$2:$A$4481,B86,Demand!$B$2:$B$4481,O86,Demand!$C$2:$C$4481,P86),"")</f>
        <v>11</v>
      </c>
      <c r="S86" s="33">
        <f>INDEX(Stores!$G$2:$G$21,MATCH(B86,Stores!$A$2:$A$21,0))</f>
        <v>20</v>
      </c>
      <c r="T86" s="34">
        <f>IF(R86="","",R86/S86)</f>
        <v>0.55</v>
      </c>
      <c r="U86" s="34">
        <f>IF(E86=1,T86,"")</f>
        <v>0.55</v>
      </c>
      <c r="V86" s="34">
        <f>IF(AND(E86=1,L86=0),T86,"")</f>
        <v>0.55</v>
      </c>
      <c r="W86" s="33">
        <f>IF(U86="","",IF(U86&lt;=Breakdowns!$C$5,1,IF(U86&lt;=Breakdowns!$C$6,2,IF(U86&lt;=Breakdowns!$C$7,3,4))))</f>
        <v>1</v>
      </c>
      <c r="X86" s="33">
        <f>IF(V86="","",IF(V86&lt;=Breakdowns!$D$5,1,IF(V86&lt;=Breakdowns!$D$6,2,IF(V86&lt;=Breakdowns!$D$7,3,4))))</f>
        <v>1</v>
      </c>
      <c r="Y86" s="34">
        <f>INDEX(Stores!$F$2:$F$21,MATCH(B86,Stores!$A$2:$A$21,0))</f>
        <v>5.31</v>
      </c>
      <c r="Z86" s="33">
        <f>IF(Y86&gt;Store_Summary!$M$2,1,0)</f>
        <v>1</v>
      </c>
      <c r="AA86" s="33">
        <f>INDEX(Stores!$C$2:$C$21,MATCH(B86,Stores!$A$2:$A$21,0))</f>
        <v>214</v>
      </c>
      <c r="AB86" s="33">
        <f>IF(AA86&lt;180,1,0)</f>
        <v>0</v>
      </c>
      <c r="AC86" s="32" t="str">
        <f>IF(Orders!D83="","",INDEX(Riders!$C$2:$C$81,MATCH(Orders!D83,Riders!$A$2:$A$81,0)))</f>
        <v>EV scooter</v>
      </c>
      <c r="AD86" s="33">
        <f>IF(Orders!D83="","",INDEX(Riders!$D$2:$D$81,MATCH(Orders!D83,Riders!$A$2:$A$81,0)))</f>
        <v>45</v>
      </c>
      <c r="AE86" s="33">
        <f>IF(Orders!D83="","",IF(INDEX(Riders!$B$2:$B$81,MATCH(Orders!D83,Riders!$A$2:$A$81,0))=B86,1,0))</f>
        <v>0</v>
      </c>
      <c r="AF86" s="34">
        <f>IF(E86=1,Orders!L83,"")</f>
        <v>1.95</v>
      </c>
      <c r="AG86" s="34">
        <f>IF(E86=1,Orders!P83,"")</f>
        <v>9.7</v>
      </c>
      <c r="AH86" s="34">
        <f>IF(E86=1,Orders!Q83,"")</f>
        <v>9</v>
      </c>
      <c r="AI86" s="34">
        <f>IF(E86=1,Orders!M83,"")</f>
        <v>2.9</v>
      </c>
      <c r="AJ86" s="34">
        <f>IF(E86=1,Orders!N83,"")</f>
        <v>2.7</v>
      </c>
      <c r="AK86" s="34">
        <f>IF(E86=1,Orders!O83,"")</f>
        <v>3.4</v>
      </c>
      <c r="AL86" s="33">
        <f>IF(E86=1,IF(ROUND(ABS(AI86+AJ86+AK86-AH86),6)&lt;=0.1,1,0),"")</f>
        <v>1</v>
      </c>
      <c r="AM86" s="36">
        <f>IF(E86=1,AI86/AH86,"")</f>
        <v>0.322222222222222</v>
      </c>
      <c r="AN86" s="36">
        <f>IF(E86=1,AJ86/AH86,"")</f>
        <v>0.3</v>
      </c>
      <c r="AO86" s="36">
        <f>IF(E86=1,AK86/AH86,"")</f>
        <v>0.377777777777778</v>
      </c>
      <c r="AP86" s="34">
        <f>IF(E86=1,Orders!Y83,"")</f>
        <v>0.49</v>
      </c>
      <c r="AQ86" s="33">
        <f>IF(Orders!X83,1,0)</f>
        <v>0</v>
      </c>
      <c r="AR86" s="34" t="str">
        <f>IF(AND(E86=1,L86=1),AJ86,"")</f>
        <v/>
      </c>
      <c r="AS86" s="34">
        <f>IF(AND(E86=1,L86=0),AJ86,"")</f>
        <v>2.7</v>
      </c>
      <c r="AT86" s="34" t="str">
        <f>IF(AND(E86=1,L86=1),AI86,"")</f>
        <v/>
      </c>
      <c r="AU86" s="34">
        <f>IF(AND(E86=1,L86=0),AI86,"")</f>
        <v>2.9</v>
      </c>
      <c r="AV86" s="34" t="str">
        <f>IF(AND(E86=1,L86=1),AG86,"")</f>
        <v/>
      </c>
      <c r="AW86" s="34">
        <f>IF(AND(E86=1,L86=0),AG86,"")</f>
        <v>9.7</v>
      </c>
      <c r="AX86" s="34" t="str">
        <f>IF(AND(E86=1,L86=1),AH86,"")</f>
        <v/>
      </c>
      <c r="AY86" s="34">
        <f>IF(AND(E86=1,L86=0),AH86,"")</f>
        <v>9</v>
      </c>
      <c r="AZ86" s="34" t="str">
        <f>IF(G86=1,F86,"")</f>
        <v/>
      </c>
      <c r="BA86" s="34" t="str">
        <f>IF(AND(G86=1,L86=1),F86,"")</f>
        <v/>
      </c>
      <c r="BB86" s="34" t="str">
        <f>IF(AND(G86=1,L86=0),F86,"")</f>
        <v/>
      </c>
      <c r="BC86" s="33">
        <f>IF(E86=1,IF(Orders!R83&gt;3,1,0),"")</f>
        <v>0</v>
      </c>
      <c r="BD86" s="33">
        <f>IF(E86=1,IF(Orders!R83&gt;7,1,0),"")</f>
        <v>0</v>
      </c>
      <c r="BE86" s="32" t="str">
        <f>IF(E86=1,IF(Orders!L83&lt;=1.5,"Up to 1.5 km",IF(Orders!L83&lt;=3,"1.5–3 km","Over 3 km")),"")</f>
        <v>1.5–3 km</v>
      </c>
      <c r="BF86" s="33">
        <f>IF(E86=1,IF(ABS((Orders!G83-Orders!F83)*1440-Orders!R83)&lt;0.06,1,0),"")</f>
        <v>1</v>
      </c>
      <c r="BG86" s="33">
        <f>IF(ABS((Orders!F83-Orders!E83)*1440-Orders!P83)&lt;0.06,1,0)</f>
        <v>1</v>
      </c>
      <c r="BH86" s="33">
        <f>IF(E86=1,IF(IF(Orders!S83,1,0)=1-G86,1,0),"")</f>
        <v>1</v>
      </c>
      <c r="BI86" s="32" t="str">
        <f>INDEX(Stores!$B$2:$B$21,MATCH(B86,Stores!$A$2:$A$21,0))</f>
        <v>Mumbai</v>
      </c>
    </row>
    <row r="87">
      <c r="A87" s="32" t="str">
        <f>Orders!A84</f>
        <v>O00083</v>
      </c>
      <c r="B87" s="32" t="str">
        <f>Orders!C84</f>
        <v>S011</v>
      </c>
      <c r="C87" s="32" t="str">
        <f>Orders!B84</f>
        <v>C0151</v>
      </c>
      <c r="D87" s="32" t="str">
        <f>Orders!H84</f>
        <v>Delivered</v>
      </c>
      <c r="E87" s="33">
        <f>IF(Orders!H84="Delivered",1,0)</f>
        <v>1</v>
      </c>
      <c r="F87" s="34">
        <f>IF(E87=1,Orders!R84,"")</f>
        <v>-0.9</v>
      </c>
      <c r="G87" s="33">
        <f>IF(E87=1,IF(Orders!R84&gt;0,1,0),"")</f>
        <v>0</v>
      </c>
      <c r="H87" s="33">
        <f>IF(E87=1,IF(Orders!R84&gt;5,1,0),"")</f>
        <v>0</v>
      </c>
      <c r="I87" s="32" t="str">
        <f>IF(E87=1,"",IF(OR(Orders!T84="Rider unavailable",Orders!T84="Item unavailable"),"Company-caused","Unresolved"))</f>
        <v/>
      </c>
      <c r="J87" s="33">
        <f>IF(OR(E87=1,I87="Company-caused"),1,0)</f>
        <v>1</v>
      </c>
      <c r="K87" s="32" t="str">
        <f>IF(E87=0,IF(I87="Company-caused",IF(Orders!T84="Rider unavailable","C1 Rider unavailable","C2 Item unavailable"),"Outside root: unresolved"),IF(G87=0,"A On time",IF(H87=1,IF(L87=1,"B2a Severe, peak","B2b Severe, off-peak"),IF(L87=1,"B1a Slight, peak","B1b Slight, off-peak"))))</f>
        <v>A On time</v>
      </c>
      <c r="L87" s="33">
        <f>IF(AND(Orders!U84&gt;=19,Orders!U84&lt;22),1,0)</f>
        <v>0</v>
      </c>
      <c r="M87" s="33">
        <f>IF(L87=IF(Orders!V84,1,0),1,0)</f>
        <v>1</v>
      </c>
      <c r="N87" s="32" t="str">
        <f>IF(Orders!W84="","None",Orders!W84)</f>
        <v>None</v>
      </c>
      <c r="O87" s="35">
        <f>INT(Orders!E84)</f>
        <v>46268.0</v>
      </c>
      <c r="P87" s="33">
        <f>Orders!U84</f>
        <v>13</v>
      </c>
      <c r="Q87" s="33">
        <f>COUNTIFS(Demand!$A$2:$A$4481,B87,Demand!$B$2:$B$4481,O87,Demand!$C$2:$C$4481,P87)</f>
        <v>1</v>
      </c>
      <c r="R87" s="33">
        <f>IF(Q87=1,SUMIFS(Demand!$E$2:$E$4481,Demand!$A$2:$A$4481,B87,Demand!$B$2:$B$4481,O87,Demand!$C$2:$C$4481,P87),"")</f>
        <v>29</v>
      </c>
      <c r="S87" s="33">
        <f>INDEX(Stores!$G$2:$G$21,MATCH(B87,Stores!$A$2:$A$21,0))</f>
        <v>31</v>
      </c>
      <c r="T87" s="34">
        <f>IF(R87="","",R87/S87)</f>
        <v>0.935483870967742</v>
      </c>
      <c r="U87" s="34">
        <f>IF(E87=1,T87,"")</f>
        <v>0.935483870967742</v>
      </c>
      <c r="V87" s="34">
        <f>IF(AND(E87=1,L87=0),T87,"")</f>
        <v>0.935483870967742</v>
      </c>
      <c r="W87" s="33">
        <f>IF(U87="","",IF(U87&lt;=Breakdowns!$C$5,1,IF(U87&lt;=Breakdowns!$C$6,2,IF(U87&lt;=Breakdowns!$C$7,3,4))))</f>
        <v>2</v>
      </c>
      <c r="X87" s="33">
        <f>IF(V87="","",IF(V87&lt;=Breakdowns!$D$5,1,IF(V87&lt;=Breakdowns!$D$6,2,IF(V87&lt;=Breakdowns!$D$7,3,4))))</f>
        <v>3</v>
      </c>
      <c r="Y87" s="34">
        <f>INDEX(Stores!$F$2:$F$21,MATCH(B87,Stores!$A$2:$A$21,0))</f>
        <v>5.67</v>
      </c>
      <c r="Z87" s="33">
        <f>IF(Y87&gt;Store_Summary!$M$2,1,0)</f>
        <v>1</v>
      </c>
      <c r="AA87" s="33">
        <f>INDEX(Stores!$C$2:$C$21,MATCH(B87,Stores!$A$2:$A$21,0))</f>
        <v>732</v>
      </c>
      <c r="AB87" s="33">
        <f>IF(AA87&lt;180,1,0)</f>
        <v>0</v>
      </c>
      <c r="AC87" s="32" t="str">
        <f>IF(Orders!D84="","",INDEX(Riders!$C$2:$C$81,MATCH(Orders!D84,Riders!$A$2:$A$81,0)))</f>
        <v>EV scooter</v>
      </c>
      <c r="AD87" s="33">
        <f>IF(Orders!D84="","",INDEX(Riders!$D$2:$D$81,MATCH(Orders!D84,Riders!$A$2:$A$81,0)))</f>
        <v>33</v>
      </c>
      <c r="AE87" s="33">
        <f>IF(Orders!D84="","",IF(INDEX(Riders!$B$2:$B$81,MATCH(Orders!D84,Riders!$A$2:$A$81,0))=B87,1,0))</f>
        <v>0</v>
      </c>
      <c r="AF87" s="34">
        <f>IF(E87=1,Orders!L84,"")</f>
        <v>3.3</v>
      </c>
      <c r="AG87" s="34">
        <f>IF(E87=1,Orders!P84,"")</f>
        <v>11</v>
      </c>
      <c r="AH87" s="34">
        <f>IF(E87=1,Orders!Q84,"")</f>
        <v>10.1</v>
      </c>
      <c r="AI87" s="34">
        <f>IF(E87=1,Orders!M84,"")</f>
        <v>2.3</v>
      </c>
      <c r="AJ87" s="34">
        <f>IF(E87=1,Orders!N84,"")</f>
        <v>4</v>
      </c>
      <c r="AK87" s="34">
        <f>IF(E87=1,Orders!O84,"")</f>
        <v>3.8</v>
      </c>
      <c r="AL87" s="33">
        <f>IF(E87=1,IF(ROUND(ABS(AI87+AJ87+AK87-AH87),6)&lt;=0.1,1,0),"")</f>
        <v>1</v>
      </c>
      <c r="AM87" s="36">
        <f>IF(E87=1,AI87/AH87,"")</f>
        <v>0.227722772277228</v>
      </c>
      <c r="AN87" s="36">
        <f>IF(E87=1,AJ87/AH87,"")</f>
        <v>0.396039603960396</v>
      </c>
      <c r="AO87" s="36">
        <f>IF(E87=1,AK87/AH87,"")</f>
        <v>0.376237623762376</v>
      </c>
      <c r="AP87" s="34">
        <f>IF(E87=1,Orders!Y84,"")</f>
        <v>0.51</v>
      </c>
      <c r="AQ87" s="33">
        <f>IF(Orders!X84,1,0)</f>
        <v>0</v>
      </c>
      <c r="AR87" s="34" t="str">
        <f>IF(AND(E87=1,L87=1),AJ87,"")</f>
        <v/>
      </c>
      <c r="AS87" s="34">
        <f>IF(AND(E87=1,L87=0),AJ87,"")</f>
        <v>4</v>
      </c>
      <c r="AT87" s="34" t="str">
        <f>IF(AND(E87=1,L87=1),AI87,"")</f>
        <v/>
      </c>
      <c r="AU87" s="34">
        <f>IF(AND(E87=1,L87=0),AI87,"")</f>
        <v>2.3</v>
      </c>
      <c r="AV87" s="34" t="str">
        <f>IF(AND(E87=1,L87=1),AG87,"")</f>
        <v/>
      </c>
      <c r="AW87" s="34">
        <f>IF(AND(E87=1,L87=0),AG87,"")</f>
        <v>11</v>
      </c>
      <c r="AX87" s="34" t="str">
        <f>IF(AND(E87=1,L87=1),AH87,"")</f>
        <v/>
      </c>
      <c r="AY87" s="34">
        <f>IF(AND(E87=1,L87=0),AH87,"")</f>
        <v>10.1</v>
      </c>
      <c r="AZ87" s="34" t="str">
        <f>IF(G87=1,F87,"")</f>
        <v/>
      </c>
      <c r="BA87" s="34" t="str">
        <f>IF(AND(G87=1,L87=1),F87,"")</f>
        <v/>
      </c>
      <c r="BB87" s="34" t="str">
        <f>IF(AND(G87=1,L87=0),F87,"")</f>
        <v/>
      </c>
      <c r="BC87" s="33">
        <f>IF(E87=1,IF(Orders!R84&gt;3,1,0),"")</f>
        <v>0</v>
      </c>
      <c r="BD87" s="33">
        <f>IF(E87=1,IF(Orders!R84&gt;7,1,0),"")</f>
        <v>0</v>
      </c>
      <c r="BE87" s="32" t="str">
        <f>IF(E87=1,IF(Orders!L84&lt;=1.5,"Up to 1.5 km",IF(Orders!L84&lt;=3,"1.5–3 km","Over 3 km")),"")</f>
        <v>Over 3 km</v>
      </c>
      <c r="BF87" s="33">
        <f>IF(E87=1,IF(ABS((Orders!G84-Orders!F84)*1440-Orders!R84)&lt;0.06,1,0),"")</f>
        <v>1</v>
      </c>
      <c r="BG87" s="33">
        <f>IF(ABS((Orders!F84-Orders!E84)*1440-Orders!P84)&lt;0.06,1,0)</f>
        <v>1</v>
      </c>
      <c r="BH87" s="33">
        <f>IF(E87=1,IF(IF(Orders!S84,1,0)=1-G87,1,0),"")</f>
        <v>1</v>
      </c>
      <c r="BI87" s="32" t="str">
        <f>INDEX(Stores!$B$2:$B$21,MATCH(B87,Stores!$A$2:$A$21,0))</f>
        <v>Bengaluru</v>
      </c>
    </row>
    <row r="88">
      <c r="A88" s="32" t="str">
        <f>Orders!A85</f>
        <v>O00084</v>
      </c>
      <c r="B88" s="32" t="str">
        <f>Orders!C85</f>
        <v>S017</v>
      </c>
      <c r="C88" s="32" t="str">
        <f>Orders!B85</f>
        <v>C0030</v>
      </c>
      <c r="D88" s="32" t="str">
        <f>Orders!H85</f>
        <v>Delivered</v>
      </c>
      <c r="E88" s="33">
        <f>IF(Orders!H85="Delivered",1,0)</f>
        <v>1</v>
      </c>
      <c r="F88" s="34">
        <f>IF(E88=1,Orders!R85,"")</f>
        <v>-0.9</v>
      </c>
      <c r="G88" s="33">
        <f>IF(E88=1,IF(Orders!R85&gt;0,1,0),"")</f>
        <v>0</v>
      </c>
      <c r="H88" s="33">
        <f>IF(E88=1,IF(Orders!R85&gt;5,1,0),"")</f>
        <v>0</v>
      </c>
      <c r="I88" s="32" t="str">
        <f>IF(E88=1,"",IF(OR(Orders!T85="Rider unavailable",Orders!T85="Item unavailable"),"Company-caused","Unresolved"))</f>
        <v/>
      </c>
      <c r="J88" s="33">
        <f>IF(OR(E88=1,I88="Company-caused"),1,0)</f>
        <v>1</v>
      </c>
      <c r="K88" s="32" t="str">
        <f>IF(E88=0,IF(I88="Company-caused",IF(Orders!T85="Rider unavailable","C1 Rider unavailable","C2 Item unavailable"),"Outside root: unresolved"),IF(G88=0,"A On time",IF(H88=1,IF(L88=1,"B2a Severe, peak","B2b Severe, off-peak"),IF(L88=1,"B1a Slight, peak","B1b Slight, off-peak"))))</f>
        <v>A On time</v>
      </c>
      <c r="L88" s="33">
        <f>IF(AND(Orders!U85&gt;=19,Orders!U85&lt;22),1,0)</f>
        <v>0</v>
      </c>
      <c r="M88" s="33">
        <f>IF(L88=IF(Orders!V85,1,0),1,0)</f>
        <v>1</v>
      </c>
      <c r="N88" s="32" t="str">
        <f>IF(Orders!W85="","None",Orders!W85)</f>
        <v>None</v>
      </c>
      <c r="O88" s="35">
        <f>INT(Orders!E85)</f>
        <v>46277.0</v>
      </c>
      <c r="P88" s="33">
        <f>Orders!U85</f>
        <v>14</v>
      </c>
      <c r="Q88" s="33">
        <f>COUNTIFS(Demand!$A$2:$A$4481,B88,Demand!$B$2:$B$4481,O88,Demand!$C$2:$C$4481,P88)</f>
        <v>1</v>
      </c>
      <c r="R88" s="33">
        <f>IF(Q88=1,SUMIFS(Demand!$E$2:$E$4481,Demand!$A$2:$A$4481,B88,Demand!$B$2:$B$4481,O88,Demand!$C$2:$C$4481,P88),"")</f>
        <v>26</v>
      </c>
      <c r="S88" s="33">
        <f>INDEX(Stores!$G$2:$G$21,MATCH(B88,Stores!$A$2:$A$21,0))</f>
        <v>36</v>
      </c>
      <c r="T88" s="34">
        <f>IF(R88="","",R88/S88)</f>
        <v>0.722222222222222</v>
      </c>
      <c r="U88" s="34">
        <f>IF(E88=1,T88,"")</f>
        <v>0.722222222222222</v>
      </c>
      <c r="V88" s="34">
        <f>IF(AND(E88=1,L88=0),T88,"")</f>
        <v>0.722222222222222</v>
      </c>
      <c r="W88" s="33">
        <f>IF(U88="","",IF(U88&lt;=Breakdowns!$C$5,1,IF(U88&lt;=Breakdowns!$C$6,2,IF(U88&lt;=Breakdowns!$C$7,3,4))))</f>
        <v>1</v>
      </c>
      <c r="X88" s="33">
        <f>IF(V88="","",IF(V88&lt;=Breakdowns!$D$5,1,IF(V88&lt;=Breakdowns!$D$6,2,IF(V88&lt;=Breakdowns!$D$7,3,4))))</f>
        <v>1</v>
      </c>
      <c r="Y88" s="34">
        <f>INDEX(Stores!$F$2:$F$21,MATCH(B88,Stores!$A$2:$A$21,0))</f>
        <v>2.16</v>
      </c>
      <c r="Z88" s="33">
        <f>IF(Y88&gt;Store_Summary!$M$2,1,0)</f>
        <v>0</v>
      </c>
      <c r="AA88" s="33">
        <f>INDEX(Stores!$C$2:$C$21,MATCH(B88,Stores!$A$2:$A$21,0))</f>
        <v>47</v>
      </c>
      <c r="AB88" s="33">
        <f>IF(AA88&lt;180,1,0)</f>
        <v>1</v>
      </c>
      <c r="AC88" s="32" t="str">
        <f>IF(Orders!D85="","",INDEX(Riders!$C$2:$C$81,MATCH(Orders!D85,Riders!$A$2:$A$81,0)))</f>
        <v>Bicycle</v>
      </c>
      <c r="AD88" s="33">
        <f>IF(Orders!D85="","",INDEX(Riders!$D$2:$D$81,MATCH(Orders!D85,Riders!$A$2:$A$81,0)))</f>
        <v>44</v>
      </c>
      <c r="AE88" s="33">
        <f>IF(Orders!D85="","",IF(INDEX(Riders!$B$2:$B$81,MATCH(Orders!D85,Riders!$A$2:$A$81,0))=B88,1,0))</f>
        <v>0</v>
      </c>
      <c r="AF88" s="34">
        <f>IF(E88=1,Orders!L85,"")</f>
        <v>1.21</v>
      </c>
      <c r="AG88" s="34">
        <f>IF(E88=1,Orders!P85,"")</f>
        <v>10.5</v>
      </c>
      <c r="AH88" s="34">
        <f>IF(E88=1,Orders!Q85,"")</f>
        <v>9.6</v>
      </c>
      <c r="AI88" s="34">
        <f>IF(E88=1,Orders!M85,"")</f>
        <v>2.1</v>
      </c>
      <c r="AJ88" s="34">
        <f>IF(E88=1,Orders!N85,"")</f>
        <v>5</v>
      </c>
      <c r="AK88" s="34">
        <f>IF(E88=1,Orders!O85,"")</f>
        <v>2.5</v>
      </c>
      <c r="AL88" s="33">
        <f>IF(E88=1,IF(ROUND(ABS(AI88+AJ88+AK88-AH88),6)&lt;=0.1,1,0),"")</f>
        <v>1</v>
      </c>
      <c r="AM88" s="36">
        <f>IF(E88=1,AI88/AH88,"")</f>
        <v>0.21875</v>
      </c>
      <c r="AN88" s="36">
        <f>IF(E88=1,AJ88/AH88,"")</f>
        <v>0.520833333333333</v>
      </c>
      <c r="AO88" s="36">
        <f>IF(E88=1,AK88/AH88,"")</f>
        <v>0.260416666666667</v>
      </c>
      <c r="AP88" s="34">
        <f>IF(E88=1,Orders!Y85,"")</f>
        <v>0.4</v>
      </c>
      <c r="AQ88" s="33">
        <f>IF(Orders!X85,1,0)</f>
        <v>1</v>
      </c>
      <c r="AR88" s="34" t="str">
        <f>IF(AND(E88=1,L88=1),AJ88,"")</f>
        <v/>
      </c>
      <c r="AS88" s="34">
        <f>IF(AND(E88=1,L88=0),AJ88,"")</f>
        <v>5</v>
      </c>
      <c r="AT88" s="34" t="str">
        <f>IF(AND(E88=1,L88=1),AI88,"")</f>
        <v/>
      </c>
      <c r="AU88" s="34">
        <f>IF(AND(E88=1,L88=0),AI88,"")</f>
        <v>2.1</v>
      </c>
      <c r="AV88" s="34" t="str">
        <f>IF(AND(E88=1,L88=1),AG88,"")</f>
        <v/>
      </c>
      <c r="AW88" s="34">
        <f>IF(AND(E88=1,L88=0),AG88,"")</f>
        <v>10.5</v>
      </c>
      <c r="AX88" s="34" t="str">
        <f>IF(AND(E88=1,L88=1),AH88,"")</f>
        <v/>
      </c>
      <c r="AY88" s="34">
        <f>IF(AND(E88=1,L88=0),AH88,"")</f>
        <v>9.6</v>
      </c>
      <c r="AZ88" s="34" t="str">
        <f>IF(G88=1,F88,"")</f>
        <v/>
      </c>
      <c r="BA88" s="34" t="str">
        <f>IF(AND(G88=1,L88=1),F88,"")</f>
        <v/>
      </c>
      <c r="BB88" s="34" t="str">
        <f>IF(AND(G88=1,L88=0),F88,"")</f>
        <v/>
      </c>
      <c r="BC88" s="33">
        <f>IF(E88=1,IF(Orders!R85&gt;3,1,0),"")</f>
        <v>0</v>
      </c>
      <c r="BD88" s="33">
        <f>IF(E88=1,IF(Orders!R85&gt;7,1,0),"")</f>
        <v>0</v>
      </c>
      <c r="BE88" s="32" t="str">
        <f>IF(E88=1,IF(Orders!L85&lt;=1.5,"Up to 1.5 km",IF(Orders!L85&lt;=3,"1.5–3 km","Over 3 km")),"")</f>
        <v>Up to 1.5 km</v>
      </c>
      <c r="BF88" s="33">
        <f>IF(E88=1,IF(ABS((Orders!G85-Orders!F85)*1440-Orders!R85)&lt;0.06,1,0),"")</f>
        <v>1</v>
      </c>
      <c r="BG88" s="33">
        <f>IF(ABS((Orders!F85-Orders!E85)*1440-Orders!P85)&lt;0.06,1,0)</f>
        <v>1</v>
      </c>
      <c r="BH88" s="33">
        <f>IF(E88=1,IF(IF(Orders!S85,1,0)=1-G88,1,0),"")</f>
        <v>1</v>
      </c>
      <c r="BI88" s="32" t="str">
        <f>INDEX(Stores!$B$2:$B$21,MATCH(B88,Stores!$A$2:$A$21,0))</f>
        <v>Hyderabad</v>
      </c>
    </row>
    <row r="89">
      <c r="A89" s="32" t="str">
        <f>Orders!A86</f>
        <v>O00085</v>
      </c>
      <c r="B89" s="32" t="str">
        <f>Orders!C86</f>
        <v>S016</v>
      </c>
      <c r="C89" s="32" t="str">
        <f>Orders!B86</f>
        <v>C0008</v>
      </c>
      <c r="D89" s="32" t="str">
        <f>Orders!H86</f>
        <v>Delivered</v>
      </c>
      <c r="E89" s="33">
        <f>IF(Orders!H86="Delivered",1,0)</f>
        <v>1</v>
      </c>
      <c r="F89" s="34">
        <f>IF(E89=1,Orders!R86,"")</f>
        <v>3.1</v>
      </c>
      <c r="G89" s="33">
        <f>IF(E89=1,IF(Orders!R86&gt;0,1,0),"")</f>
        <v>1</v>
      </c>
      <c r="H89" s="33">
        <f>IF(E89=1,IF(Orders!R86&gt;5,1,0),"")</f>
        <v>0</v>
      </c>
      <c r="I89" s="32" t="str">
        <f>IF(E89=1,"",IF(OR(Orders!T86="Rider unavailable",Orders!T86="Item unavailable"),"Company-caused","Unresolved"))</f>
        <v/>
      </c>
      <c r="J89" s="33">
        <f>IF(OR(E89=1,I89="Company-caused"),1,0)</f>
        <v>1</v>
      </c>
      <c r="K89" s="32" t="str">
        <f>IF(E89=0,IF(I89="Company-caused",IF(Orders!T86="Rider unavailable","C1 Rider unavailable","C2 Item unavailable"),"Outside root: unresolved"),IF(G89=0,"A On time",IF(H89=1,IF(L89=1,"B2a Severe, peak","B2b Severe, off-peak"),IF(L89=1,"B1a Slight, peak","B1b Slight, off-peak"))))</f>
        <v>B1b Slight, off-peak</v>
      </c>
      <c r="L89" s="33">
        <f>IF(AND(Orders!U86&gt;=19,Orders!U86&lt;22),1,0)</f>
        <v>0</v>
      </c>
      <c r="M89" s="33">
        <f>IF(L89=IF(Orders!V86,1,0),1,0)</f>
        <v>1</v>
      </c>
      <c r="N89" s="32" t="str">
        <f>IF(Orders!W86="","None",Orders!W86)</f>
        <v>None</v>
      </c>
      <c r="O89" s="35">
        <f>INT(Orders!E86)</f>
        <v>46266.0</v>
      </c>
      <c r="P89" s="33">
        <f>Orders!U86</f>
        <v>16</v>
      </c>
      <c r="Q89" s="33">
        <f>COUNTIFS(Demand!$A$2:$A$4481,B89,Demand!$B$2:$B$4481,O89,Demand!$C$2:$C$4481,P89)</f>
        <v>1</v>
      </c>
      <c r="R89" s="33">
        <f>IF(Q89=1,SUMIFS(Demand!$E$2:$E$4481,Demand!$A$2:$A$4481,B89,Demand!$B$2:$B$4481,O89,Demand!$C$2:$C$4481,P89),"")</f>
        <v>18</v>
      </c>
      <c r="S89" s="33">
        <f>INDEX(Stores!$G$2:$G$21,MATCH(B89,Stores!$A$2:$A$21,0))</f>
        <v>25</v>
      </c>
      <c r="T89" s="34">
        <f>IF(R89="","",R89/S89)</f>
        <v>0.72</v>
      </c>
      <c r="U89" s="34">
        <f>IF(E89=1,T89,"")</f>
        <v>0.72</v>
      </c>
      <c r="V89" s="34">
        <f>IF(AND(E89=1,L89=0),T89,"")</f>
        <v>0.72</v>
      </c>
      <c r="W89" s="33">
        <f>IF(U89="","",IF(U89&lt;=Breakdowns!$C$5,1,IF(U89&lt;=Breakdowns!$C$6,2,IF(U89&lt;=Breakdowns!$C$7,3,4))))</f>
        <v>1</v>
      </c>
      <c r="X89" s="33">
        <f>IF(V89="","",IF(V89&lt;=Breakdowns!$D$5,1,IF(V89&lt;=Breakdowns!$D$6,2,IF(V89&lt;=Breakdowns!$D$7,3,4))))</f>
        <v>1</v>
      </c>
      <c r="Y89" s="34">
        <f>INDEX(Stores!$F$2:$F$21,MATCH(B89,Stores!$A$2:$A$21,0))</f>
        <v>5.51</v>
      </c>
      <c r="Z89" s="33">
        <f>IF(Y89&gt;Store_Summary!$M$2,1,0)</f>
        <v>1</v>
      </c>
      <c r="AA89" s="33">
        <f>INDEX(Stores!$C$2:$C$21,MATCH(B89,Stores!$A$2:$A$21,0))</f>
        <v>792</v>
      </c>
      <c r="AB89" s="33">
        <f>IF(AA89&lt;180,1,0)</f>
        <v>0</v>
      </c>
      <c r="AC89" s="32" t="str">
        <f>IF(Orders!D86="","",INDEX(Riders!$C$2:$C$81,MATCH(Orders!D86,Riders!$A$2:$A$81,0)))</f>
        <v>Petrol scooter</v>
      </c>
      <c r="AD89" s="33">
        <f>IF(Orders!D86="","",INDEX(Riders!$D$2:$D$81,MATCH(Orders!D86,Riders!$A$2:$A$81,0)))</f>
        <v>30</v>
      </c>
      <c r="AE89" s="33">
        <f>IF(Orders!D86="","",IF(INDEX(Riders!$B$2:$B$81,MATCH(Orders!D86,Riders!$A$2:$A$81,0))=B89,1,0))</f>
        <v>0</v>
      </c>
      <c r="AF89" s="34">
        <f>IF(E89=1,Orders!L86,"")</f>
        <v>2.25</v>
      </c>
      <c r="AG89" s="34">
        <f>IF(E89=1,Orders!P86,"")</f>
        <v>10.5</v>
      </c>
      <c r="AH89" s="34">
        <f>IF(E89=1,Orders!Q86,"")</f>
        <v>13.6</v>
      </c>
      <c r="AI89" s="34">
        <f>IF(E89=1,Orders!M86,"")</f>
        <v>6.3</v>
      </c>
      <c r="AJ89" s="34">
        <f>IF(E89=1,Orders!N86,"")</f>
        <v>1.4</v>
      </c>
      <c r="AK89" s="34">
        <f>IF(E89=1,Orders!O86,"")</f>
        <v>5.9</v>
      </c>
      <c r="AL89" s="33">
        <f>IF(E89=1,IF(ROUND(ABS(AI89+AJ89+AK89-AH89),6)&lt;=0.1,1,0),"")</f>
        <v>1</v>
      </c>
      <c r="AM89" s="36">
        <f>IF(E89=1,AI89/AH89,"")</f>
        <v>0.463235294117647</v>
      </c>
      <c r="AN89" s="36">
        <f>IF(E89=1,AJ89/AH89,"")</f>
        <v>0.102941176470588</v>
      </c>
      <c r="AO89" s="36">
        <f>IF(E89=1,AK89/AH89,"")</f>
        <v>0.433823529411765</v>
      </c>
      <c r="AP89" s="34">
        <f>IF(E89=1,Orders!Y86,"")</f>
        <v>0.51</v>
      </c>
      <c r="AQ89" s="33">
        <f>IF(Orders!X86,1,0)</f>
        <v>0</v>
      </c>
      <c r="AR89" s="34" t="str">
        <f>IF(AND(E89=1,L89=1),AJ89,"")</f>
        <v/>
      </c>
      <c r="AS89" s="34">
        <f>IF(AND(E89=1,L89=0),AJ89,"")</f>
        <v>1.4</v>
      </c>
      <c r="AT89" s="34" t="str">
        <f>IF(AND(E89=1,L89=1),AI89,"")</f>
        <v/>
      </c>
      <c r="AU89" s="34">
        <f>IF(AND(E89=1,L89=0),AI89,"")</f>
        <v>6.3</v>
      </c>
      <c r="AV89" s="34" t="str">
        <f>IF(AND(E89=1,L89=1),AG89,"")</f>
        <v/>
      </c>
      <c r="AW89" s="34">
        <f>IF(AND(E89=1,L89=0),AG89,"")</f>
        <v>10.5</v>
      </c>
      <c r="AX89" s="34" t="str">
        <f>IF(AND(E89=1,L89=1),AH89,"")</f>
        <v/>
      </c>
      <c r="AY89" s="34">
        <f>IF(AND(E89=1,L89=0),AH89,"")</f>
        <v>13.6</v>
      </c>
      <c r="AZ89" s="34">
        <f>IF(G89=1,F89,"")</f>
        <v>3.1</v>
      </c>
      <c r="BA89" s="34" t="str">
        <f>IF(AND(G89=1,L89=1),F89,"")</f>
        <v/>
      </c>
      <c r="BB89" s="34">
        <f>IF(AND(G89=1,L89=0),F89,"")</f>
        <v>3.1</v>
      </c>
      <c r="BC89" s="33">
        <f>IF(E89=1,IF(Orders!R86&gt;3,1,0),"")</f>
        <v>1</v>
      </c>
      <c r="BD89" s="33">
        <f>IF(E89=1,IF(Orders!R86&gt;7,1,0),"")</f>
        <v>0</v>
      </c>
      <c r="BE89" s="32" t="str">
        <f>IF(E89=1,IF(Orders!L86&lt;=1.5,"Up to 1.5 km",IF(Orders!L86&lt;=3,"1.5–3 km","Over 3 km")),"")</f>
        <v>1.5–3 km</v>
      </c>
      <c r="BF89" s="33">
        <f>IF(E89=1,IF(ABS((Orders!G86-Orders!F86)*1440-Orders!R86)&lt;0.06,1,0),"")</f>
        <v>1</v>
      </c>
      <c r="BG89" s="33">
        <f>IF(ABS((Orders!F86-Orders!E86)*1440-Orders!P86)&lt;0.06,1,0)</f>
        <v>1</v>
      </c>
      <c r="BH89" s="33">
        <f>IF(E89=1,IF(IF(Orders!S86,1,0)=1-G89,1,0),"")</f>
        <v>1</v>
      </c>
      <c r="BI89" s="32" t="str">
        <f>INDEX(Stores!$B$2:$B$21,MATCH(B89,Stores!$A$2:$A$21,0))</f>
        <v>Bengaluru</v>
      </c>
    </row>
    <row r="90">
      <c r="A90" s="32" t="str">
        <f>Orders!A87</f>
        <v>O00086</v>
      </c>
      <c r="B90" s="32" t="str">
        <f>Orders!C87</f>
        <v>S003</v>
      </c>
      <c r="C90" s="32" t="str">
        <f>Orders!B87</f>
        <v>C0153</v>
      </c>
      <c r="D90" s="32" t="str">
        <f>Orders!H87</f>
        <v>Delivered</v>
      </c>
      <c r="E90" s="33">
        <f>IF(Orders!H87="Delivered",1,0)</f>
        <v>1</v>
      </c>
      <c r="F90" s="34">
        <f>IF(E90=1,Orders!R87,"")</f>
        <v>-0.5</v>
      </c>
      <c r="G90" s="33">
        <f>IF(E90=1,IF(Orders!R87&gt;0,1,0),"")</f>
        <v>0</v>
      </c>
      <c r="H90" s="33">
        <f>IF(E90=1,IF(Orders!R87&gt;5,1,0),"")</f>
        <v>0</v>
      </c>
      <c r="I90" s="32" t="str">
        <f>IF(E90=1,"",IF(OR(Orders!T87="Rider unavailable",Orders!T87="Item unavailable"),"Company-caused","Unresolved"))</f>
        <v/>
      </c>
      <c r="J90" s="33">
        <f>IF(OR(E90=1,I90="Company-caused"),1,0)</f>
        <v>1</v>
      </c>
      <c r="K90" s="32" t="str">
        <f>IF(E90=0,IF(I90="Company-caused",IF(Orders!T87="Rider unavailable","C1 Rider unavailable","C2 Item unavailable"),"Outside root: unresolved"),IF(G90=0,"A On time",IF(H90=1,IF(L90=1,"B2a Severe, peak","B2b Severe, off-peak"),IF(L90=1,"B1a Slight, peak","B1b Slight, off-peak"))))</f>
        <v>A On time</v>
      </c>
      <c r="L90" s="33">
        <f>IF(AND(Orders!U87&gt;=19,Orders!U87&lt;22),1,0)</f>
        <v>0</v>
      </c>
      <c r="M90" s="33">
        <f>IF(L90=IF(Orders!V87,1,0),1,0)</f>
        <v>1</v>
      </c>
      <c r="N90" s="32" t="str">
        <f>IF(Orders!W87="","None",Orders!W87)</f>
        <v>None</v>
      </c>
      <c r="O90" s="35">
        <f>INT(Orders!E87)</f>
        <v>46275.0</v>
      </c>
      <c r="P90" s="33">
        <f>Orders!U87</f>
        <v>23</v>
      </c>
      <c r="Q90" s="33">
        <f>COUNTIFS(Demand!$A$2:$A$4481,B90,Demand!$B$2:$B$4481,O90,Demand!$C$2:$C$4481,P90)</f>
        <v>1</v>
      </c>
      <c r="R90" s="33">
        <f>IF(Q90=1,SUMIFS(Demand!$E$2:$E$4481,Demand!$A$2:$A$4481,B90,Demand!$B$2:$B$4481,O90,Demand!$C$2:$C$4481,P90),"")</f>
        <v>39</v>
      </c>
      <c r="S90" s="33">
        <f>INDEX(Stores!$G$2:$G$21,MATCH(B90,Stores!$A$2:$A$21,0))</f>
        <v>41</v>
      </c>
      <c r="T90" s="34">
        <f>IF(R90="","",R90/S90)</f>
        <v>0.951219512195122</v>
      </c>
      <c r="U90" s="34">
        <f>IF(E90=1,T90,"")</f>
        <v>0.951219512195122</v>
      </c>
      <c r="V90" s="34">
        <f>IF(AND(E90=1,L90=0),T90,"")</f>
        <v>0.951219512195122</v>
      </c>
      <c r="W90" s="33">
        <f>IF(U90="","",IF(U90&lt;=Breakdowns!$C$5,1,IF(U90&lt;=Breakdowns!$C$6,2,IF(U90&lt;=Breakdowns!$C$7,3,4))))</f>
        <v>2</v>
      </c>
      <c r="X90" s="33">
        <f>IF(V90="","",IF(V90&lt;=Breakdowns!$D$5,1,IF(V90&lt;=Breakdowns!$D$6,2,IF(V90&lt;=Breakdowns!$D$7,3,4))))</f>
        <v>3</v>
      </c>
      <c r="Y90" s="34">
        <f>INDEX(Stores!$F$2:$F$21,MATCH(B90,Stores!$A$2:$A$21,0))</f>
        <v>3.84</v>
      </c>
      <c r="Z90" s="33">
        <f>IF(Y90&gt;Store_Summary!$M$2,1,0)</f>
        <v>0</v>
      </c>
      <c r="AA90" s="33">
        <f>INDEX(Stores!$C$2:$C$21,MATCH(B90,Stores!$A$2:$A$21,0))</f>
        <v>426</v>
      </c>
      <c r="AB90" s="33">
        <f>IF(AA90&lt;180,1,0)</f>
        <v>0</v>
      </c>
      <c r="AC90" s="32" t="str">
        <f>IF(Orders!D87="","",INDEX(Riders!$C$2:$C$81,MATCH(Orders!D87,Riders!$A$2:$A$81,0)))</f>
        <v>EV scooter</v>
      </c>
      <c r="AD90" s="33">
        <f>IF(Orders!D87="","",INDEX(Riders!$D$2:$D$81,MATCH(Orders!D87,Riders!$A$2:$A$81,0)))</f>
        <v>14</v>
      </c>
      <c r="AE90" s="33">
        <f>IF(Orders!D87="","",IF(INDEX(Riders!$B$2:$B$81,MATCH(Orders!D87,Riders!$A$2:$A$81,0))=B90,1,0))</f>
        <v>0</v>
      </c>
      <c r="AF90" s="34">
        <f>IF(E90=1,Orders!L87,"")</f>
        <v>2.1</v>
      </c>
      <c r="AG90" s="34">
        <f>IF(E90=1,Orders!P87,"")</f>
        <v>11.7</v>
      </c>
      <c r="AH90" s="34">
        <f>IF(E90=1,Orders!Q87,"")</f>
        <v>11.2</v>
      </c>
      <c r="AI90" s="34">
        <f>IF(E90=1,Orders!M87,"")</f>
        <v>3.4</v>
      </c>
      <c r="AJ90" s="34">
        <f>IF(E90=1,Orders!N87,"")</f>
        <v>2.6</v>
      </c>
      <c r="AK90" s="34">
        <f>IF(E90=1,Orders!O87,"")</f>
        <v>5.2</v>
      </c>
      <c r="AL90" s="33">
        <f>IF(E90=1,IF(ROUND(ABS(AI90+AJ90+AK90-AH90),6)&lt;=0.1,1,0),"")</f>
        <v>1</v>
      </c>
      <c r="AM90" s="36">
        <f>IF(E90=1,AI90/AH90,"")</f>
        <v>0.303571428571429</v>
      </c>
      <c r="AN90" s="36">
        <f>IF(E90=1,AJ90/AH90,"")</f>
        <v>0.232142857142857</v>
      </c>
      <c r="AO90" s="36">
        <f>IF(E90=1,AK90/AH90,"")</f>
        <v>0.464285714285714</v>
      </c>
      <c r="AP90" s="34">
        <f>IF(E90=1,Orders!Y87,"")</f>
        <v>0.34</v>
      </c>
      <c r="AQ90" s="33">
        <f>IF(Orders!X87,1,0)</f>
        <v>0</v>
      </c>
      <c r="AR90" s="34" t="str">
        <f>IF(AND(E90=1,L90=1),AJ90,"")</f>
        <v/>
      </c>
      <c r="AS90" s="34">
        <f>IF(AND(E90=1,L90=0),AJ90,"")</f>
        <v>2.6</v>
      </c>
      <c r="AT90" s="34" t="str">
        <f>IF(AND(E90=1,L90=1),AI90,"")</f>
        <v/>
      </c>
      <c r="AU90" s="34">
        <f>IF(AND(E90=1,L90=0),AI90,"")</f>
        <v>3.4</v>
      </c>
      <c r="AV90" s="34" t="str">
        <f>IF(AND(E90=1,L90=1),AG90,"")</f>
        <v/>
      </c>
      <c r="AW90" s="34">
        <f>IF(AND(E90=1,L90=0),AG90,"")</f>
        <v>11.7</v>
      </c>
      <c r="AX90" s="34" t="str">
        <f>IF(AND(E90=1,L90=1),AH90,"")</f>
        <v/>
      </c>
      <c r="AY90" s="34">
        <f>IF(AND(E90=1,L90=0),AH90,"")</f>
        <v>11.2</v>
      </c>
      <c r="AZ90" s="34" t="str">
        <f>IF(G90=1,F90,"")</f>
        <v/>
      </c>
      <c r="BA90" s="34" t="str">
        <f>IF(AND(G90=1,L90=1),F90,"")</f>
        <v/>
      </c>
      <c r="BB90" s="34" t="str">
        <f>IF(AND(G90=1,L90=0),F90,"")</f>
        <v/>
      </c>
      <c r="BC90" s="33">
        <f>IF(E90=1,IF(Orders!R87&gt;3,1,0),"")</f>
        <v>0</v>
      </c>
      <c r="BD90" s="33">
        <f>IF(E90=1,IF(Orders!R87&gt;7,1,0),"")</f>
        <v>0</v>
      </c>
      <c r="BE90" s="32" t="str">
        <f>IF(E90=1,IF(Orders!L87&lt;=1.5,"Up to 1.5 km",IF(Orders!L87&lt;=3,"1.5–3 km","Over 3 km")),"")</f>
        <v>1.5–3 km</v>
      </c>
      <c r="BF90" s="33">
        <f>IF(E90=1,IF(ABS((Orders!G87-Orders!F87)*1440-Orders!R87)&lt;0.06,1,0),"")</f>
        <v>1</v>
      </c>
      <c r="BG90" s="33">
        <f>IF(ABS((Orders!F87-Orders!E87)*1440-Orders!P87)&lt;0.06,1,0)</f>
        <v>1</v>
      </c>
      <c r="BH90" s="33">
        <f>IF(E90=1,IF(IF(Orders!S87,1,0)=1-G90,1,0),"")</f>
        <v>1</v>
      </c>
      <c r="BI90" s="32" t="str">
        <f>INDEX(Stores!$B$2:$B$21,MATCH(B90,Stores!$A$2:$A$21,0))</f>
        <v>Mumbai</v>
      </c>
    </row>
    <row r="91">
      <c r="A91" s="32" t="str">
        <f>Orders!A88</f>
        <v>O00087</v>
      </c>
      <c r="B91" s="32" t="str">
        <f>Orders!C88</f>
        <v>S013</v>
      </c>
      <c r="C91" s="32" t="str">
        <f>Orders!B88</f>
        <v>C0139</v>
      </c>
      <c r="D91" s="32" t="str">
        <f>Orders!H88</f>
        <v>Delivered</v>
      </c>
      <c r="E91" s="33">
        <f>IF(Orders!H88="Delivered",1,0)</f>
        <v>1</v>
      </c>
      <c r="F91" s="34">
        <f>IF(E91=1,Orders!R88,"")</f>
        <v>5.3</v>
      </c>
      <c r="G91" s="33">
        <f>IF(E91=1,IF(Orders!R88&gt;0,1,0),"")</f>
        <v>1</v>
      </c>
      <c r="H91" s="33">
        <f>IF(E91=1,IF(Orders!R88&gt;5,1,0),"")</f>
        <v>1</v>
      </c>
      <c r="I91" s="32" t="str">
        <f>IF(E91=1,"",IF(OR(Orders!T88="Rider unavailable",Orders!T88="Item unavailable"),"Company-caused","Unresolved"))</f>
        <v/>
      </c>
      <c r="J91" s="33">
        <f>IF(OR(E91=1,I91="Company-caused"),1,0)</f>
        <v>1</v>
      </c>
      <c r="K91" s="32" t="str">
        <f>IF(E91=0,IF(I91="Company-caused",IF(Orders!T88="Rider unavailable","C1 Rider unavailable","C2 Item unavailable"),"Outside root: unresolved"),IF(G91=0,"A On time",IF(H91=1,IF(L91=1,"B2a Severe, peak","B2b Severe, off-peak"),IF(L91=1,"B1a Slight, peak","B1b Slight, off-peak"))))</f>
        <v>B2a Severe, peak</v>
      </c>
      <c r="L91" s="33">
        <f>IF(AND(Orders!U88&gt;=19,Orders!U88&lt;22),1,0)</f>
        <v>1</v>
      </c>
      <c r="M91" s="33">
        <f>IF(L91=IF(Orders!V88,1,0),1,0)</f>
        <v>1</v>
      </c>
      <c r="N91" s="32" t="str">
        <f>IF(Orders!W88="","None",Orders!W88)</f>
        <v>None</v>
      </c>
      <c r="O91" s="35">
        <f>INT(Orders!E88)</f>
        <v>46272.0</v>
      </c>
      <c r="P91" s="33">
        <f>Orders!U88</f>
        <v>20</v>
      </c>
      <c r="Q91" s="33">
        <f>COUNTIFS(Demand!$A$2:$A$4481,B91,Demand!$B$2:$B$4481,O91,Demand!$C$2:$C$4481,P91)</f>
        <v>1</v>
      </c>
      <c r="R91" s="33">
        <f>IF(Q91=1,SUMIFS(Demand!$E$2:$E$4481,Demand!$A$2:$A$4481,B91,Demand!$B$2:$B$4481,O91,Demand!$C$2:$C$4481,P91),"")</f>
        <v>86</v>
      </c>
      <c r="S91" s="33">
        <f>INDEX(Stores!$G$2:$G$21,MATCH(B91,Stores!$A$2:$A$21,0))</f>
        <v>49</v>
      </c>
      <c r="T91" s="34">
        <f>IF(R91="","",R91/S91)</f>
        <v>1.75510204081633</v>
      </c>
      <c r="U91" s="34">
        <f>IF(E91=1,T91,"")</f>
        <v>1.75510204081633</v>
      </c>
      <c r="V91" s="34" t="str">
        <f>IF(AND(E91=1,L91=0),T91,"")</f>
        <v/>
      </c>
      <c r="W91" s="33">
        <f>IF(U91="","",IF(U91&lt;=Breakdowns!$C$5,1,IF(U91&lt;=Breakdowns!$C$6,2,IF(U91&lt;=Breakdowns!$C$7,3,4))))</f>
        <v>4</v>
      </c>
      <c r="X91" s="33" t="str">
        <f>IF(V91="","",IF(V91&lt;=Breakdowns!$D$5,1,IF(V91&lt;=Breakdowns!$D$6,2,IF(V91&lt;=Breakdowns!$D$7,3,4))))</f>
        <v/>
      </c>
      <c r="Y91" s="34">
        <f>INDEX(Stores!$F$2:$F$21,MATCH(B91,Stores!$A$2:$A$21,0))</f>
        <v>5.82</v>
      </c>
      <c r="Z91" s="33">
        <f>IF(Y91&gt;Store_Summary!$M$2,1,0)</f>
        <v>1</v>
      </c>
      <c r="AA91" s="33">
        <f>INDEX(Stores!$C$2:$C$21,MATCH(B91,Stores!$A$2:$A$21,0))</f>
        <v>705</v>
      </c>
      <c r="AB91" s="33">
        <f>IF(AA91&lt;180,1,0)</f>
        <v>0</v>
      </c>
      <c r="AC91" s="32" t="str">
        <f>IF(Orders!D88="","",INDEX(Riders!$C$2:$C$81,MATCH(Orders!D88,Riders!$A$2:$A$81,0)))</f>
        <v>EV scooter</v>
      </c>
      <c r="AD91" s="33">
        <f>IF(Orders!D88="","",INDEX(Riders!$D$2:$D$81,MATCH(Orders!D88,Riders!$A$2:$A$81,0)))</f>
        <v>2</v>
      </c>
      <c r="AE91" s="33">
        <f>IF(Orders!D88="","",IF(INDEX(Riders!$B$2:$B$81,MATCH(Orders!D88,Riders!$A$2:$A$81,0))=B91,1,0))</f>
        <v>0</v>
      </c>
      <c r="AF91" s="34">
        <f>IF(E91=1,Orders!L88,"")</f>
        <v>1.58</v>
      </c>
      <c r="AG91" s="34">
        <f>IF(E91=1,Orders!P88,"")</f>
        <v>9.2</v>
      </c>
      <c r="AH91" s="34">
        <f>IF(E91=1,Orders!Q88,"")</f>
        <v>14.5</v>
      </c>
      <c r="AI91" s="34">
        <f>IF(E91=1,Orders!M88,"")</f>
        <v>5.2</v>
      </c>
      <c r="AJ91" s="34">
        <f>IF(E91=1,Orders!N88,"")</f>
        <v>4.1</v>
      </c>
      <c r="AK91" s="34">
        <f>IF(E91=1,Orders!O88,"")</f>
        <v>5.2</v>
      </c>
      <c r="AL91" s="33">
        <f>IF(E91=1,IF(ROUND(ABS(AI91+AJ91+AK91-AH91),6)&lt;=0.1,1,0),"")</f>
        <v>1</v>
      </c>
      <c r="AM91" s="36">
        <f>IF(E91=1,AI91/AH91,"")</f>
        <v>0.358620689655172</v>
      </c>
      <c r="AN91" s="36">
        <f>IF(E91=1,AJ91/AH91,"")</f>
        <v>0.282758620689655</v>
      </c>
      <c r="AO91" s="36">
        <f>IF(E91=1,AK91/AH91,"")</f>
        <v>0.358620689655172</v>
      </c>
      <c r="AP91" s="34">
        <f>IF(E91=1,Orders!Y88,"")</f>
        <v>0.5</v>
      </c>
      <c r="AQ91" s="33">
        <f>IF(Orders!X88,1,0)</f>
        <v>0</v>
      </c>
      <c r="AR91" s="34">
        <f>IF(AND(E91=1,L91=1),AJ91,"")</f>
        <v>4.1</v>
      </c>
      <c r="AS91" s="34" t="str">
        <f>IF(AND(E91=1,L91=0),AJ91,"")</f>
        <v/>
      </c>
      <c r="AT91" s="34">
        <f>IF(AND(E91=1,L91=1),AI91,"")</f>
        <v>5.2</v>
      </c>
      <c r="AU91" s="34" t="str">
        <f>IF(AND(E91=1,L91=0),AI91,"")</f>
        <v/>
      </c>
      <c r="AV91" s="34">
        <f>IF(AND(E91=1,L91=1),AG91,"")</f>
        <v>9.2</v>
      </c>
      <c r="AW91" s="34" t="str">
        <f>IF(AND(E91=1,L91=0),AG91,"")</f>
        <v/>
      </c>
      <c r="AX91" s="34">
        <f>IF(AND(E91=1,L91=1),AH91,"")</f>
        <v>14.5</v>
      </c>
      <c r="AY91" s="34" t="str">
        <f>IF(AND(E91=1,L91=0),AH91,"")</f>
        <v/>
      </c>
      <c r="AZ91" s="34">
        <f>IF(G91=1,F91,"")</f>
        <v>5.3</v>
      </c>
      <c r="BA91" s="34">
        <f>IF(AND(G91=1,L91=1),F91,"")</f>
        <v>5.3</v>
      </c>
      <c r="BB91" s="34" t="str">
        <f>IF(AND(G91=1,L91=0),F91,"")</f>
        <v/>
      </c>
      <c r="BC91" s="33">
        <f>IF(E91=1,IF(Orders!R88&gt;3,1,0),"")</f>
        <v>1</v>
      </c>
      <c r="BD91" s="33">
        <f>IF(E91=1,IF(Orders!R88&gt;7,1,0),"")</f>
        <v>0</v>
      </c>
      <c r="BE91" s="32" t="str">
        <f>IF(E91=1,IF(Orders!L88&lt;=1.5,"Up to 1.5 km",IF(Orders!L88&lt;=3,"1.5–3 km","Over 3 km")),"")</f>
        <v>1.5–3 km</v>
      </c>
      <c r="BF91" s="33">
        <f>IF(E91=1,IF(ABS((Orders!G88-Orders!F88)*1440-Orders!R88)&lt;0.06,1,0),"")</f>
        <v>1</v>
      </c>
      <c r="BG91" s="33">
        <f>IF(ABS((Orders!F88-Orders!E88)*1440-Orders!P88)&lt;0.06,1,0)</f>
        <v>1</v>
      </c>
      <c r="BH91" s="33">
        <f>IF(E91=1,IF(IF(Orders!S88,1,0)=1-G91,1,0),"")</f>
        <v>1</v>
      </c>
      <c r="BI91" s="32" t="str">
        <f>INDEX(Stores!$B$2:$B$21,MATCH(B91,Stores!$A$2:$A$21,0))</f>
        <v>Mumbai</v>
      </c>
    </row>
    <row r="92">
      <c r="A92" s="32" t="str">
        <f>Orders!A89</f>
        <v>O00088</v>
      </c>
      <c r="B92" s="32" t="str">
        <f>Orders!C89</f>
        <v>S003</v>
      </c>
      <c r="C92" s="32" t="str">
        <f>Orders!B89</f>
        <v>C0218</v>
      </c>
      <c r="D92" s="32" t="str">
        <f>Orders!H89</f>
        <v>Delivered</v>
      </c>
      <c r="E92" s="33">
        <f>IF(Orders!H89="Delivered",1,0)</f>
        <v>1</v>
      </c>
      <c r="F92" s="34">
        <f>IF(E92=1,Orders!R89,"")</f>
        <v>-0.2</v>
      </c>
      <c r="G92" s="33">
        <f>IF(E92=1,IF(Orders!R89&gt;0,1,0),"")</f>
        <v>0</v>
      </c>
      <c r="H92" s="33">
        <f>IF(E92=1,IF(Orders!R89&gt;5,1,0),"")</f>
        <v>0</v>
      </c>
      <c r="I92" s="32" t="str">
        <f>IF(E92=1,"",IF(OR(Orders!T89="Rider unavailable",Orders!T89="Item unavailable"),"Company-caused","Unresolved"))</f>
        <v/>
      </c>
      <c r="J92" s="33">
        <f>IF(OR(E92=1,I92="Company-caused"),1,0)</f>
        <v>1</v>
      </c>
      <c r="K92" s="32" t="str">
        <f>IF(E92=0,IF(I92="Company-caused",IF(Orders!T89="Rider unavailable","C1 Rider unavailable","C2 Item unavailable"),"Outside root: unresolved"),IF(G92=0,"A On time",IF(H92=1,IF(L92=1,"B2a Severe, peak","B2b Severe, off-peak"),IF(L92=1,"B1a Slight, peak","B1b Slight, off-peak"))))</f>
        <v>A On time</v>
      </c>
      <c r="L92" s="33">
        <f>IF(AND(Orders!U89&gt;=19,Orders!U89&lt;22),1,0)</f>
        <v>0</v>
      </c>
      <c r="M92" s="33">
        <f>IF(L92=IF(Orders!V89,1,0),1,0)</f>
        <v>1</v>
      </c>
      <c r="N92" s="32" t="str">
        <f>IF(Orders!W89="","None",Orders!W89)</f>
        <v>Light</v>
      </c>
      <c r="O92" s="35">
        <f>INT(Orders!E89)</f>
        <v>46267.0</v>
      </c>
      <c r="P92" s="33">
        <f>Orders!U89</f>
        <v>18</v>
      </c>
      <c r="Q92" s="33">
        <f>COUNTIFS(Demand!$A$2:$A$4481,B92,Demand!$B$2:$B$4481,O92,Demand!$C$2:$C$4481,P92)</f>
        <v>1</v>
      </c>
      <c r="R92" s="33">
        <f>IF(Q92=1,SUMIFS(Demand!$E$2:$E$4481,Demand!$A$2:$A$4481,B92,Demand!$B$2:$B$4481,O92,Demand!$C$2:$C$4481,P92),"")</f>
        <v>50</v>
      </c>
      <c r="S92" s="33">
        <f>INDEX(Stores!$G$2:$G$21,MATCH(B92,Stores!$A$2:$A$21,0))</f>
        <v>41</v>
      </c>
      <c r="T92" s="34">
        <f>IF(R92="","",R92/S92)</f>
        <v>1.21951219512195</v>
      </c>
      <c r="U92" s="34">
        <f>IF(E92=1,T92,"")</f>
        <v>1.21951219512195</v>
      </c>
      <c r="V92" s="34">
        <f>IF(AND(E92=1,L92=0),T92,"")</f>
        <v>1.21951219512195</v>
      </c>
      <c r="W92" s="33">
        <f>IF(U92="","",IF(U92&lt;=Breakdowns!$C$5,1,IF(U92&lt;=Breakdowns!$C$6,2,IF(U92&lt;=Breakdowns!$C$7,3,4))))</f>
        <v>4</v>
      </c>
      <c r="X92" s="33">
        <f>IF(V92="","",IF(V92&lt;=Breakdowns!$D$5,1,IF(V92&lt;=Breakdowns!$D$6,2,IF(V92&lt;=Breakdowns!$D$7,3,4))))</f>
        <v>4</v>
      </c>
      <c r="Y92" s="34">
        <f>INDEX(Stores!$F$2:$F$21,MATCH(B92,Stores!$A$2:$A$21,0))</f>
        <v>3.84</v>
      </c>
      <c r="Z92" s="33">
        <f>IF(Y92&gt;Store_Summary!$M$2,1,0)</f>
        <v>0</v>
      </c>
      <c r="AA92" s="33">
        <f>INDEX(Stores!$C$2:$C$21,MATCH(B92,Stores!$A$2:$A$21,0))</f>
        <v>426</v>
      </c>
      <c r="AB92" s="33">
        <f>IF(AA92&lt;180,1,0)</f>
        <v>0</v>
      </c>
      <c r="AC92" s="32" t="str">
        <f>IF(Orders!D89="","",INDEX(Riders!$C$2:$C$81,MATCH(Orders!D89,Riders!$A$2:$A$81,0)))</f>
        <v>EV scooter</v>
      </c>
      <c r="AD92" s="33">
        <f>IF(Orders!D89="","",INDEX(Riders!$D$2:$D$81,MATCH(Orders!D89,Riders!$A$2:$A$81,0)))</f>
        <v>36</v>
      </c>
      <c r="AE92" s="33">
        <f>IF(Orders!D89="","",IF(INDEX(Riders!$B$2:$B$81,MATCH(Orders!D89,Riders!$A$2:$A$81,0))=B92,1,0))</f>
        <v>0</v>
      </c>
      <c r="AF92" s="34">
        <f>IF(E92=1,Orders!L89,"")</f>
        <v>1.49</v>
      </c>
      <c r="AG92" s="34">
        <f>IF(E92=1,Orders!P89,"")</f>
        <v>9.8</v>
      </c>
      <c r="AH92" s="34">
        <f>IF(E92=1,Orders!Q89,"")</f>
        <v>9.6</v>
      </c>
      <c r="AI92" s="34">
        <f>IF(E92=1,Orders!M89,"")</f>
        <v>2.7</v>
      </c>
      <c r="AJ92" s="34">
        <f>IF(E92=1,Orders!N89,"")</f>
        <v>2.4</v>
      </c>
      <c r="AK92" s="34">
        <f>IF(E92=1,Orders!O89,"")</f>
        <v>4.5</v>
      </c>
      <c r="AL92" s="33">
        <f>IF(E92=1,IF(ROUND(ABS(AI92+AJ92+AK92-AH92),6)&lt;=0.1,1,0),"")</f>
        <v>1</v>
      </c>
      <c r="AM92" s="36">
        <f>IF(E92=1,AI92/AH92,"")</f>
        <v>0.28125</v>
      </c>
      <c r="AN92" s="36">
        <f>IF(E92=1,AJ92/AH92,"")</f>
        <v>0.25</v>
      </c>
      <c r="AO92" s="36">
        <f>IF(E92=1,AK92/AH92,"")</f>
        <v>0.46875</v>
      </c>
      <c r="AP92" s="34">
        <f>IF(E92=1,Orders!Y89,"")</f>
        <v>0.47</v>
      </c>
      <c r="AQ92" s="33">
        <f>IF(Orders!X89,1,0)</f>
        <v>0</v>
      </c>
      <c r="AR92" s="34" t="str">
        <f>IF(AND(E92=1,L92=1),AJ92,"")</f>
        <v/>
      </c>
      <c r="AS92" s="34">
        <f>IF(AND(E92=1,L92=0),AJ92,"")</f>
        <v>2.4</v>
      </c>
      <c r="AT92" s="34" t="str">
        <f>IF(AND(E92=1,L92=1),AI92,"")</f>
        <v/>
      </c>
      <c r="AU92" s="34">
        <f>IF(AND(E92=1,L92=0),AI92,"")</f>
        <v>2.7</v>
      </c>
      <c r="AV92" s="34" t="str">
        <f>IF(AND(E92=1,L92=1),AG92,"")</f>
        <v/>
      </c>
      <c r="AW92" s="34">
        <f>IF(AND(E92=1,L92=0),AG92,"")</f>
        <v>9.8</v>
      </c>
      <c r="AX92" s="34" t="str">
        <f>IF(AND(E92=1,L92=1),AH92,"")</f>
        <v/>
      </c>
      <c r="AY92" s="34">
        <f>IF(AND(E92=1,L92=0),AH92,"")</f>
        <v>9.6</v>
      </c>
      <c r="AZ92" s="34" t="str">
        <f>IF(G92=1,F92,"")</f>
        <v/>
      </c>
      <c r="BA92" s="34" t="str">
        <f>IF(AND(G92=1,L92=1),F92,"")</f>
        <v/>
      </c>
      <c r="BB92" s="34" t="str">
        <f>IF(AND(G92=1,L92=0),F92,"")</f>
        <v/>
      </c>
      <c r="BC92" s="33">
        <f>IF(E92=1,IF(Orders!R89&gt;3,1,0),"")</f>
        <v>0</v>
      </c>
      <c r="BD92" s="33">
        <f>IF(E92=1,IF(Orders!R89&gt;7,1,0),"")</f>
        <v>0</v>
      </c>
      <c r="BE92" s="32" t="str">
        <f>IF(E92=1,IF(Orders!L89&lt;=1.5,"Up to 1.5 km",IF(Orders!L89&lt;=3,"1.5–3 km","Over 3 km")),"")</f>
        <v>Up to 1.5 km</v>
      </c>
      <c r="BF92" s="33">
        <f>IF(E92=1,IF(ABS((Orders!G89-Orders!F89)*1440-Orders!R89)&lt;0.06,1,0),"")</f>
        <v>1</v>
      </c>
      <c r="BG92" s="33">
        <f>IF(ABS((Orders!F89-Orders!E89)*1440-Orders!P89)&lt;0.06,1,0)</f>
        <v>1</v>
      </c>
      <c r="BH92" s="33">
        <f>IF(E92=1,IF(IF(Orders!S89,1,0)=1-G92,1,0),"")</f>
        <v>1</v>
      </c>
      <c r="BI92" s="32" t="str">
        <f>INDEX(Stores!$B$2:$B$21,MATCH(B92,Stores!$A$2:$A$21,0))</f>
        <v>Mumbai</v>
      </c>
    </row>
    <row r="93">
      <c r="A93" s="32" t="str">
        <f>Orders!A90</f>
        <v>O00089</v>
      </c>
      <c r="B93" s="32" t="str">
        <f>Orders!C90</f>
        <v>S004</v>
      </c>
      <c r="C93" s="32" t="str">
        <f>Orders!B90</f>
        <v>C0097</v>
      </c>
      <c r="D93" s="32" t="str">
        <f>Orders!H90</f>
        <v>Delivered</v>
      </c>
      <c r="E93" s="33">
        <f>IF(Orders!H90="Delivered",1,0)</f>
        <v>1</v>
      </c>
      <c r="F93" s="34">
        <f>IF(E93=1,Orders!R90,"")</f>
        <v>-0.8</v>
      </c>
      <c r="G93" s="33">
        <f>IF(E93=1,IF(Orders!R90&gt;0,1,0),"")</f>
        <v>0</v>
      </c>
      <c r="H93" s="33">
        <f>IF(E93=1,IF(Orders!R90&gt;5,1,0),"")</f>
        <v>0</v>
      </c>
      <c r="I93" s="32" t="str">
        <f>IF(E93=1,"",IF(OR(Orders!T90="Rider unavailable",Orders!T90="Item unavailable"),"Company-caused","Unresolved"))</f>
        <v/>
      </c>
      <c r="J93" s="33">
        <f>IF(OR(E93=1,I93="Company-caused"),1,0)</f>
        <v>1</v>
      </c>
      <c r="K93" s="32" t="str">
        <f>IF(E93=0,IF(I93="Company-caused",IF(Orders!T90="Rider unavailable","C1 Rider unavailable","C2 Item unavailable"),"Outside root: unresolved"),IF(G93=0,"A On time",IF(H93=1,IF(L93=1,"B2a Severe, peak","B2b Severe, off-peak"),IF(L93=1,"B1a Slight, peak","B1b Slight, off-peak"))))</f>
        <v>A On time</v>
      </c>
      <c r="L93" s="33">
        <f>IF(AND(Orders!U90&gt;=19,Orders!U90&lt;22),1,0)</f>
        <v>0</v>
      </c>
      <c r="M93" s="33">
        <f>IF(L93=IF(Orders!V90,1,0),1,0)</f>
        <v>1</v>
      </c>
      <c r="N93" s="32" t="str">
        <f>IF(Orders!W90="","None",Orders!W90)</f>
        <v>None</v>
      </c>
      <c r="O93" s="35">
        <f>INT(Orders!E90)</f>
        <v>46267.0</v>
      </c>
      <c r="P93" s="33">
        <f>Orders!U90</f>
        <v>17</v>
      </c>
      <c r="Q93" s="33">
        <f>COUNTIFS(Demand!$A$2:$A$4481,B93,Demand!$B$2:$B$4481,O93,Demand!$C$2:$C$4481,P93)</f>
        <v>1</v>
      </c>
      <c r="R93" s="33">
        <f>IF(Q93=1,SUMIFS(Demand!$E$2:$E$4481,Demand!$A$2:$A$4481,B93,Demand!$B$2:$B$4481,O93,Demand!$C$2:$C$4481,P93),"")</f>
        <v>42</v>
      </c>
      <c r="S93" s="33">
        <f>INDEX(Stores!$G$2:$G$21,MATCH(B93,Stores!$A$2:$A$21,0))</f>
        <v>42</v>
      </c>
      <c r="T93" s="34">
        <f>IF(R93="","",R93/S93)</f>
        <v>1</v>
      </c>
      <c r="U93" s="34">
        <f>IF(E93=1,T93,"")</f>
        <v>1</v>
      </c>
      <c r="V93" s="34">
        <f>IF(AND(E93=1,L93=0),T93,"")</f>
        <v>1</v>
      </c>
      <c r="W93" s="33">
        <f>IF(U93="","",IF(U93&lt;=Breakdowns!$C$5,1,IF(U93&lt;=Breakdowns!$C$6,2,IF(U93&lt;=Breakdowns!$C$7,3,4))))</f>
        <v>2</v>
      </c>
      <c r="X93" s="33">
        <f>IF(V93="","",IF(V93&lt;=Breakdowns!$D$5,1,IF(V93&lt;=Breakdowns!$D$6,2,IF(V93&lt;=Breakdowns!$D$7,3,4))))</f>
        <v>3</v>
      </c>
      <c r="Y93" s="34">
        <f>INDEX(Stores!$F$2:$F$21,MATCH(B93,Stores!$A$2:$A$21,0))</f>
        <v>2.19</v>
      </c>
      <c r="Z93" s="33">
        <f>IF(Y93&gt;Store_Summary!$M$2,1,0)</f>
        <v>0</v>
      </c>
      <c r="AA93" s="33">
        <f>INDEX(Stores!$C$2:$C$21,MATCH(B93,Stores!$A$2:$A$21,0))</f>
        <v>850</v>
      </c>
      <c r="AB93" s="33">
        <f>IF(AA93&lt;180,1,0)</f>
        <v>0</v>
      </c>
      <c r="AC93" s="32" t="str">
        <f>IF(Orders!D90="","",INDEX(Riders!$C$2:$C$81,MATCH(Orders!D90,Riders!$A$2:$A$81,0)))</f>
        <v>EV scooter</v>
      </c>
      <c r="AD93" s="33">
        <f>IF(Orders!D90="","",INDEX(Riders!$D$2:$D$81,MATCH(Orders!D90,Riders!$A$2:$A$81,0)))</f>
        <v>24</v>
      </c>
      <c r="AE93" s="33">
        <f>IF(Orders!D90="","",IF(INDEX(Riders!$B$2:$B$81,MATCH(Orders!D90,Riders!$A$2:$A$81,0))=B93,1,0))</f>
        <v>0</v>
      </c>
      <c r="AF93" s="34">
        <f>IF(E93=1,Orders!L90,"")</f>
        <v>1.51</v>
      </c>
      <c r="AG93" s="34">
        <f>IF(E93=1,Orders!P90,"")</f>
        <v>9.9</v>
      </c>
      <c r="AH93" s="34">
        <f>IF(E93=1,Orders!Q90,"")</f>
        <v>9.1</v>
      </c>
      <c r="AI93" s="34">
        <f>IF(E93=1,Orders!M90,"")</f>
        <v>2.5</v>
      </c>
      <c r="AJ93" s="34">
        <f>IF(E93=1,Orders!N90,"")</f>
        <v>2.3</v>
      </c>
      <c r="AK93" s="34">
        <f>IF(E93=1,Orders!O90,"")</f>
        <v>4.3</v>
      </c>
      <c r="AL93" s="33">
        <f>IF(E93=1,IF(ROUND(ABS(AI93+AJ93+AK93-AH93),6)&lt;=0.1,1,0),"")</f>
        <v>1</v>
      </c>
      <c r="AM93" s="36">
        <f>IF(E93=1,AI93/AH93,"")</f>
        <v>0.274725274725275</v>
      </c>
      <c r="AN93" s="36">
        <f>IF(E93=1,AJ93/AH93,"")</f>
        <v>0.252747252747253</v>
      </c>
      <c r="AO93" s="36">
        <f>IF(E93=1,AK93/AH93,"")</f>
        <v>0.472527472527473</v>
      </c>
      <c r="AP93" s="34">
        <f>IF(E93=1,Orders!Y90,"")</f>
        <v>0.5</v>
      </c>
      <c r="AQ93" s="33">
        <f>IF(Orders!X90,1,0)</f>
        <v>0</v>
      </c>
      <c r="AR93" s="34" t="str">
        <f>IF(AND(E93=1,L93=1),AJ93,"")</f>
        <v/>
      </c>
      <c r="AS93" s="34">
        <f>IF(AND(E93=1,L93=0),AJ93,"")</f>
        <v>2.3</v>
      </c>
      <c r="AT93" s="34" t="str">
        <f>IF(AND(E93=1,L93=1),AI93,"")</f>
        <v/>
      </c>
      <c r="AU93" s="34">
        <f>IF(AND(E93=1,L93=0),AI93,"")</f>
        <v>2.5</v>
      </c>
      <c r="AV93" s="34" t="str">
        <f>IF(AND(E93=1,L93=1),AG93,"")</f>
        <v/>
      </c>
      <c r="AW93" s="34">
        <f>IF(AND(E93=1,L93=0),AG93,"")</f>
        <v>9.9</v>
      </c>
      <c r="AX93" s="34" t="str">
        <f>IF(AND(E93=1,L93=1),AH93,"")</f>
        <v/>
      </c>
      <c r="AY93" s="34">
        <f>IF(AND(E93=1,L93=0),AH93,"")</f>
        <v>9.1</v>
      </c>
      <c r="AZ93" s="34" t="str">
        <f>IF(G93=1,F93,"")</f>
        <v/>
      </c>
      <c r="BA93" s="34" t="str">
        <f>IF(AND(G93=1,L93=1),F93,"")</f>
        <v/>
      </c>
      <c r="BB93" s="34" t="str">
        <f>IF(AND(G93=1,L93=0),F93,"")</f>
        <v/>
      </c>
      <c r="BC93" s="33">
        <f>IF(E93=1,IF(Orders!R90&gt;3,1,0),"")</f>
        <v>0</v>
      </c>
      <c r="BD93" s="33">
        <f>IF(E93=1,IF(Orders!R90&gt;7,1,0),"")</f>
        <v>0</v>
      </c>
      <c r="BE93" s="32" t="str">
        <f>IF(E93=1,IF(Orders!L90&lt;=1.5,"Up to 1.5 km",IF(Orders!L90&lt;=3,"1.5–3 km","Over 3 km")),"")</f>
        <v>1.5–3 km</v>
      </c>
      <c r="BF93" s="33">
        <f>IF(E93=1,IF(ABS((Orders!G90-Orders!F90)*1440-Orders!R90)&lt;0.06,1,0),"")</f>
        <v>1</v>
      </c>
      <c r="BG93" s="33">
        <f>IF(ABS((Orders!F90-Orders!E90)*1440-Orders!P90)&lt;0.06,1,0)</f>
        <v>1</v>
      </c>
      <c r="BH93" s="33">
        <f>IF(E93=1,IF(IF(Orders!S90,1,0)=1-G93,1,0),"")</f>
        <v>1</v>
      </c>
      <c r="BI93" s="32" t="str">
        <f>INDEX(Stores!$B$2:$B$21,MATCH(B93,Stores!$A$2:$A$21,0))</f>
        <v>Pune</v>
      </c>
    </row>
    <row r="94">
      <c r="A94" s="32" t="str">
        <f>Orders!A91</f>
        <v>O00090</v>
      </c>
      <c r="B94" s="32" t="str">
        <f>Orders!C91</f>
        <v>S017</v>
      </c>
      <c r="C94" s="32" t="str">
        <f>Orders!B91</f>
        <v>C0158</v>
      </c>
      <c r="D94" s="32" t="str">
        <f>Orders!H91</f>
        <v>Delivered</v>
      </c>
      <c r="E94" s="33">
        <f>IF(Orders!H91="Delivered",1,0)</f>
        <v>1</v>
      </c>
      <c r="F94" s="34">
        <f>IF(E94=1,Orders!R91,"")</f>
        <v>-0.4</v>
      </c>
      <c r="G94" s="33">
        <f>IF(E94=1,IF(Orders!R91&gt;0,1,0),"")</f>
        <v>0</v>
      </c>
      <c r="H94" s="33">
        <f>IF(E94=1,IF(Orders!R91&gt;5,1,0),"")</f>
        <v>0</v>
      </c>
      <c r="I94" s="32" t="str">
        <f>IF(E94=1,"",IF(OR(Orders!T91="Rider unavailable",Orders!T91="Item unavailable"),"Company-caused","Unresolved"))</f>
        <v/>
      </c>
      <c r="J94" s="33">
        <f>IF(OR(E94=1,I94="Company-caused"),1,0)</f>
        <v>1</v>
      </c>
      <c r="K94" s="32" t="str">
        <f>IF(E94=0,IF(I94="Company-caused",IF(Orders!T91="Rider unavailable","C1 Rider unavailable","C2 Item unavailable"),"Outside root: unresolved"),IF(G94=0,"A On time",IF(H94=1,IF(L94=1,"B2a Severe, peak","B2b Severe, off-peak"),IF(L94=1,"B1a Slight, peak","B1b Slight, off-peak"))))</f>
        <v>A On time</v>
      </c>
      <c r="L94" s="33">
        <f>IF(AND(Orders!U91&gt;=19,Orders!U91&lt;22),1,0)</f>
        <v>0</v>
      </c>
      <c r="M94" s="33">
        <f>IF(L94=IF(Orders!V91,1,0),1,0)</f>
        <v>1</v>
      </c>
      <c r="N94" s="32" t="str">
        <f>IF(Orders!W91="","None",Orders!W91)</f>
        <v>None</v>
      </c>
      <c r="O94" s="35">
        <f>INT(Orders!E91)</f>
        <v>46269.0</v>
      </c>
      <c r="P94" s="33">
        <f>Orders!U91</f>
        <v>10</v>
      </c>
      <c r="Q94" s="33">
        <f>COUNTIFS(Demand!$A$2:$A$4481,B94,Demand!$B$2:$B$4481,O94,Demand!$C$2:$C$4481,P94)</f>
        <v>1</v>
      </c>
      <c r="R94" s="33">
        <f>IF(Q94=1,SUMIFS(Demand!$E$2:$E$4481,Demand!$A$2:$A$4481,B94,Demand!$B$2:$B$4481,O94,Demand!$C$2:$C$4481,P94),"")</f>
        <v>29</v>
      </c>
      <c r="S94" s="33">
        <f>INDEX(Stores!$G$2:$G$21,MATCH(B94,Stores!$A$2:$A$21,0))</f>
        <v>36</v>
      </c>
      <c r="T94" s="34">
        <f>IF(R94="","",R94/S94)</f>
        <v>0.805555555555556</v>
      </c>
      <c r="U94" s="34">
        <f>IF(E94=1,T94,"")</f>
        <v>0.805555555555556</v>
      </c>
      <c r="V94" s="34">
        <f>IF(AND(E94=1,L94=0),T94,"")</f>
        <v>0.805555555555556</v>
      </c>
      <c r="W94" s="33">
        <f>IF(U94="","",IF(U94&lt;=Breakdowns!$C$5,1,IF(U94&lt;=Breakdowns!$C$6,2,IF(U94&lt;=Breakdowns!$C$7,3,4))))</f>
        <v>2</v>
      </c>
      <c r="X94" s="33">
        <f>IF(V94="","",IF(V94&lt;=Breakdowns!$D$5,1,IF(V94&lt;=Breakdowns!$D$6,2,IF(V94&lt;=Breakdowns!$D$7,3,4))))</f>
        <v>2</v>
      </c>
      <c r="Y94" s="34">
        <f>INDEX(Stores!$F$2:$F$21,MATCH(B94,Stores!$A$2:$A$21,0))</f>
        <v>2.16</v>
      </c>
      <c r="Z94" s="33">
        <f>IF(Y94&gt;Store_Summary!$M$2,1,0)</f>
        <v>0</v>
      </c>
      <c r="AA94" s="33">
        <f>INDEX(Stores!$C$2:$C$21,MATCH(B94,Stores!$A$2:$A$21,0))</f>
        <v>47</v>
      </c>
      <c r="AB94" s="33">
        <f>IF(AA94&lt;180,1,0)</f>
        <v>1</v>
      </c>
      <c r="AC94" s="32" t="str">
        <f>IF(Orders!D91="","",INDEX(Riders!$C$2:$C$81,MATCH(Orders!D91,Riders!$A$2:$A$81,0)))</f>
        <v>EV scooter</v>
      </c>
      <c r="AD94" s="33">
        <f>IF(Orders!D91="","",INDEX(Riders!$D$2:$D$81,MATCH(Orders!D91,Riders!$A$2:$A$81,0)))</f>
        <v>3</v>
      </c>
      <c r="AE94" s="33">
        <f>IF(Orders!D91="","",IF(INDEX(Riders!$B$2:$B$81,MATCH(Orders!D91,Riders!$A$2:$A$81,0))=B94,1,0))</f>
        <v>0</v>
      </c>
      <c r="AF94" s="34">
        <f>IF(E94=1,Orders!L91,"")</f>
        <v>2.98</v>
      </c>
      <c r="AG94" s="34">
        <f>IF(E94=1,Orders!P91,"")</f>
        <v>11.4</v>
      </c>
      <c r="AH94" s="34">
        <f>IF(E94=1,Orders!Q91,"")</f>
        <v>11</v>
      </c>
      <c r="AI94" s="34">
        <f>IF(E94=1,Orders!M91,"")</f>
        <v>0.8</v>
      </c>
      <c r="AJ94" s="34">
        <f>IF(E94=1,Orders!N91,"")</f>
        <v>4.8</v>
      </c>
      <c r="AK94" s="34">
        <f>IF(E94=1,Orders!O91,"")</f>
        <v>5.4</v>
      </c>
      <c r="AL94" s="33">
        <f>IF(E94=1,IF(ROUND(ABS(AI94+AJ94+AK94-AH94),6)&lt;=0.1,1,0),"")</f>
        <v>1</v>
      </c>
      <c r="AM94" s="36">
        <f>IF(E94=1,AI94/AH94,"")</f>
        <v>0.0727272727272727</v>
      </c>
      <c r="AN94" s="36">
        <f>IF(E94=1,AJ94/AH94,"")</f>
        <v>0.436363636363636</v>
      </c>
      <c r="AO94" s="36">
        <f>IF(E94=1,AK94/AH94,"")</f>
        <v>0.490909090909091</v>
      </c>
      <c r="AP94" s="34">
        <f>IF(E94=1,Orders!Y91,"")</f>
        <v>0.58</v>
      </c>
      <c r="AQ94" s="33">
        <f>IF(Orders!X91,1,0)</f>
        <v>0</v>
      </c>
      <c r="AR94" s="34" t="str">
        <f>IF(AND(E94=1,L94=1),AJ94,"")</f>
        <v/>
      </c>
      <c r="AS94" s="34">
        <f>IF(AND(E94=1,L94=0),AJ94,"")</f>
        <v>4.8</v>
      </c>
      <c r="AT94" s="34" t="str">
        <f>IF(AND(E94=1,L94=1),AI94,"")</f>
        <v/>
      </c>
      <c r="AU94" s="34">
        <f>IF(AND(E94=1,L94=0),AI94,"")</f>
        <v>0.8</v>
      </c>
      <c r="AV94" s="34" t="str">
        <f>IF(AND(E94=1,L94=1),AG94,"")</f>
        <v/>
      </c>
      <c r="AW94" s="34">
        <f>IF(AND(E94=1,L94=0),AG94,"")</f>
        <v>11.4</v>
      </c>
      <c r="AX94" s="34" t="str">
        <f>IF(AND(E94=1,L94=1),AH94,"")</f>
        <v/>
      </c>
      <c r="AY94" s="34">
        <f>IF(AND(E94=1,L94=0),AH94,"")</f>
        <v>11</v>
      </c>
      <c r="AZ94" s="34" t="str">
        <f>IF(G94=1,F94,"")</f>
        <v/>
      </c>
      <c r="BA94" s="34" t="str">
        <f>IF(AND(G94=1,L94=1),F94,"")</f>
        <v/>
      </c>
      <c r="BB94" s="34" t="str">
        <f>IF(AND(G94=1,L94=0),F94,"")</f>
        <v/>
      </c>
      <c r="BC94" s="33">
        <f>IF(E94=1,IF(Orders!R91&gt;3,1,0),"")</f>
        <v>0</v>
      </c>
      <c r="BD94" s="33">
        <f>IF(E94=1,IF(Orders!R91&gt;7,1,0),"")</f>
        <v>0</v>
      </c>
      <c r="BE94" s="32" t="str">
        <f>IF(E94=1,IF(Orders!L91&lt;=1.5,"Up to 1.5 km",IF(Orders!L91&lt;=3,"1.5–3 km","Over 3 km")),"")</f>
        <v>1.5–3 km</v>
      </c>
      <c r="BF94" s="33">
        <f>IF(E94=1,IF(ABS((Orders!G91-Orders!F91)*1440-Orders!R91)&lt;0.06,1,0),"")</f>
        <v>1</v>
      </c>
      <c r="BG94" s="33">
        <f>IF(ABS((Orders!F91-Orders!E91)*1440-Orders!P91)&lt;0.06,1,0)</f>
        <v>1</v>
      </c>
      <c r="BH94" s="33">
        <f>IF(E94=1,IF(IF(Orders!S91,1,0)=1-G94,1,0),"")</f>
        <v>1</v>
      </c>
      <c r="BI94" s="32" t="str">
        <f>INDEX(Stores!$B$2:$B$21,MATCH(B94,Stores!$A$2:$A$21,0))</f>
        <v>Hyderabad</v>
      </c>
    </row>
    <row r="95">
      <c r="A95" s="32" t="str">
        <f>Orders!A92</f>
        <v>O00091</v>
      </c>
      <c r="B95" s="32" t="str">
        <f>Orders!C92</f>
        <v>S014</v>
      </c>
      <c r="C95" s="32" t="str">
        <f>Orders!B92</f>
        <v>C0131</v>
      </c>
      <c r="D95" s="32" t="str">
        <f>Orders!H92</f>
        <v>Delivered</v>
      </c>
      <c r="E95" s="33">
        <f>IF(Orders!H92="Delivered",1,0)</f>
        <v>1</v>
      </c>
      <c r="F95" s="34">
        <f>IF(E95=1,Orders!R92,"")</f>
        <v>-0.6</v>
      </c>
      <c r="G95" s="33">
        <f>IF(E95=1,IF(Orders!R92&gt;0,1,0),"")</f>
        <v>0</v>
      </c>
      <c r="H95" s="33">
        <f>IF(E95=1,IF(Orders!R92&gt;5,1,0),"")</f>
        <v>0</v>
      </c>
      <c r="I95" s="32" t="str">
        <f>IF(E95=1,"",IF(OR(Orders!T92="Rider unavailable",Orders!T92="Item unavailable"),"Company-caused","Unresolved"))</f>
        <v/>
      </c>
      <c r="J95" s="33">
        <f>IF(OR(E95=1,I95="Company-caused"),1,0)</f>
        <v>1</v>
      </c>
      <c r="K95" s="32" t="str">
        <f>IF(E95=0,IF(I95="Company-caused",IF(Orders!T92="Rider unavailable","C1 Rider unavailable","C2 Item unavailable"),"Outside root: unresolved"),IF(G95=0,"A On time",IF(H95=1,IF(L95=1,"B2a Severe, peak","B2b Severe, off-peak"),IF(L95=1,"B1a Slight, peak","B1b Slight, off-peak"))))</f>
        <v>A On time</v>
      </c>
      <c r="L95" s="33">
        <f>IF(AND(Orders!U92&gt;=19,Orders!U92&lt;22),1,0)</f>
        <v>1</v>
      </c>
      <c r="M95" s="33">
        <f>IF(L95=IF(Orders!V92,1,0),1,0)</f>
        <v>1</v>
      </c>
      <c r="N95" s="32" t="str">
        <f>IF(Orders!W92="","None",Orders!W92)</f>
        <v>None</v>
      </c>
      <c r="O95" s="35">
        <f>INT(Orders!E92)</f>
        <v>46268.0</v>
      </c>
      <c r="P95" s="33">
        <f>Orders!U92</f>
        <v>21</v>
      </c>
      <c r="Q95" s="33">
        <f>COUNTIFS(Demand!$A$2:$A$4481,B95,Demand!$B$2:$B$4481,O95,Demand!$C$2:$C$4481,P95)</f>
        <v>1</v>
      </c>
      <c r="R95" s="33">
        <f>IF(Q95=1,SUMIFS(Demand!$E$2:$E$4481,Demand!$A$2:$A$4481,B95,Demand!$B$2:$B$4481,O95,Demand!$C$2:$C$4481,P95),"")</f>
        <v>52</v>
      </c>
      <c r="S95" s="33">
        <f>INDEX(Stores!$G$2:$G$21,MATCH(B95,Stores!$A$2:$A$21,0))</f>
        <v>37</v>
      </c>
      <c r="T95" s="34">
        <f>IF(R95="","",R95/S95)</f>
        <v>1.40540540540541</v>
      </c>
      <c r="U95" s="34">
        <f>IF(E95=1,T95,"")</f>
        <v>1.40540540540541</v>
      </c>
      <c r="V95" s="34" t="str">
        <f>IF(AND(E95=1,L95=0),T95,"")</f>
        <v/>
      </c>
      <c r="W95" s="33">
        <f>IF(U95="","",IF(U95&lt;=Breakdowns!$C$5,1,IF(U95&lt;=Breakdowns!$C$6,2,IF(U95&lt;=Breakdowns!$C$7,3,4))))</f>
        <v>4</v>
      </c>
      <c r="X95" s="33" t="str">
        <f>IF(V95="","",IF(V95&lt;=Breakdowns!$D$5,1,IF(V95&lt;=Breakdowns!$D$6,2,IF(V95&lt;=Breakdowns!$D$7,3,4))))</f>
        <v/>
      </c>
      <c r="Y95" s="34">
        <f>INDEX(Stores!$F$2:$F$21,MATCH(B95,Stores!$A$2:$A$21,0))</f>
        <v>5.55</v>
      </c>
      <c r="Z95" s="33">
        <f>IF(Y95&gt;Store_Summary!$M$2,1,0)</f>
        <v>1</v>
      </c>
      <c r="AA95" s="33">
        <f>INDEX(Stores!$C$2:$C$21,MATCH(B95,Stores!$A$2:$A$21,0))</f>
        <v>241</v>
      </c>
      <c r="AB95" s="33">
        <f>IF(AA95&lt;180,1,0)</f>
        <v>0</v>
      </c>
      <c r="AC95" s="32" t="str">
        <f>IF(Orders!D92="","",INDEX(Riders!$C$2:$C$81,MATCH(Orders!D92,Riders!$A$2:$A$81,0)))</f>
        <v>EV scooter</v>
      </c>
      <c r="AD95" s="33">
        <f>IF(Orders!D92="","",INDEX(Riders!$D$2:$D$81,MATCH(Orders!D92,Riders!$A$2:$A$81,0)))</f>
        <v>38</v>
      </c>
      <c r="AE95" s="33">
        <f>IF(Orders!D92="","",IF(INDEX(Riders!$B$2:$B$81,MATCH(Orders!D92,Riders!$A$2:$A$81,0))=B95,1,0))</f>
        <v>0</v>
      </c>
      <c r="AF95" s="34">
        <f>IF(E95=1,Orders!L92,"")</f>
        <v>3.3</v>
      </c>
      <c r="AG95" s="34">
        <f>IF(E95=1,Orders!P92,"")</f>
        <v>11.3</v>
      </c>
      <c r="AH95" s="34">
        <f>IF(E95=1,Orders!Q92,"")</f>
        <v>10.7</v>
      </c>
      <c r="AI95" s="34">
        <f>IF(E95=1,Orders!M92,"")</f>
        <v>3</v>
      </c>
      <c r="AJ95" s="34">
        <f>IF(E95=1,Orders!N92,"")</f>
        <v>3.7</v>
      </c>
      <c r="AK95" s="34">
        <f>IF(E95=1,Orders!O92,"")</f>
        <v>4</v>
      </c>
      <c r="AL95" s="33">
        <f>IF(E95=1,IF(ROUND(ABS(AI95+AJ95+AK95-AH95),6)&lt;=0.1,1,0),"")</f>
        <v>1</v>
      </c>
      <c r="AM95" s="36">
        <f>IF(E95=1,AI95/AH95,"")</f>
        <v>0.280373831775701</v>
      </c>
      <c r="AN95" s="36">
        <f>IF(E95=1,AJ95/AH95,"")</f>
        <v>0.345794392523365</v>
      </c>
      <c r="AO95" s="36">
        <f>IF(E95=1,AK95/AH95,"")</f>
        <v>0.373831775700935</v>
      </c>
      <c r="AP95" s="34">
        <f>IF(E95=1,Orders!Y92,"")</f>
        <v>0.67</v>
      </c>
      <c r="AQ95" s="33">
        <f>IF(Orders!X92,1,0)</f>
        <v>0</v>
      </c>
      <c r="AR95" s="34">
        <f>IF(AND(E95=1,L95=1),AJ95,"")</f>
        <v>3.7</v>
      </c>
      <c r="AS95" s="34" t="str">
        <f>IF(AND(E95=1,L95=0),AJ95,"")</f>
        <v/>
      </c>
      <c r="AT95" s="34">
        <f>IF(AND(E95=1,L95=1),AI95,"")</f>
        <v>3</v>
      </c>
      <c r="AU95" s="34" t="str">
        <f>IF(AND(E95=1,L95=0),AI95,"")</f>
        <v/>
      </c>
      <c r="AV95" s="34">
        <f>IF(AND(E95=1,L95=1),AG95,"")</f>
        <v>11.3</v>
      </c>
      <c r="AW95" s="34" t="str">
        <f>IF(AND(E95=1,L95=0),AG95,"")</f>
        <v/>
      </c>
      <c r="AX95" s="34">
        <f>IF(AND(E95=1,L95=1),AH95,"")</f>
        <v>10.7</v>
      </c>
      <c r="AY95" s="34" t="str">
        <f>IF(AND(E95=1,L95=0),AH95,"")</f>
        <v/>
      </c>
      <c r="AZ95" s="34" t="str">
        <f>IF(G95=1,F95,"")</f>
        <v/>
      </c>
      <c r="BA95" s="34" t="str">
        <f>IF(AND(G95=1,L95=1),F95,"")</f>
        <v/>
      </c>
      <c r="BB95" s="34" t="str">
        <f>IF(AND(G95=1,L95=0),F95,"")</f>
        <v/>
      </c>
      <c r="BC95" s="33">
        <f>IF(E95=1,IF(Orders!R92&gt;3,1,0),"")</f>
        <v>0</v>
      </c>
      <c r="BD95" s="33">
        <f>IF(E95=1,IF(Orders!R92&gt;7,1,0),"")</f>
        <v>0</v>
      </c>
      <c r="BE95" s="32" t="str">
        <f>IF(E95=1,IF(Orders!L92&lt;=1.5,"Up to 1.5 km",IF(Orders!L92&lt;=3,"1.5–3 km","Over 3 km")),"")</f>
        <v>Over 3 km</v>
      </c>
      <c r="BF95" s="33">
        <f>IF(E95=1,IF(ABS((Orders!G92-Orders!F92)*1440-Orders!R92)&lt;0.06,1,0),"")</f>
        <v>1</v>
      </c>
      <c r="BG95" s="33">
        <f>IF(ABS((Orders!F92-Orders!E92)*1440-Orders!P92)&lt;0.06,1,0)</f>
        <v>1</v>
      </c>
      <c r="BH95" s="33">
        <f>IF(E95=1,IF(IF(Orders!S92,1,0)=1-G95,1,0),"")</f>
        <v>1</v>
      </c>
      <c r="BI95" s="32" t="str">
        <f>INDEX(Stores!$B$2:$B$21,MATCH(B95,Stores!$A$2:$A$21,0))</f>
        <v>Pune</v>
      </c>
    </row>
    <row r="96">
      <c r="A96" s="32" t="str">
        <f>Orders!A93</f>
        <v>O00092</v>
      </c>
      <c r="B96" s="32" t="str">
        <f>Orders!C93</f>
        <v>S009</v>
      </c>
      <c r="C96" s="32" t="str">
        <f>Orders!B93</f>
        <v>C0024</v>
      </c>
      <c r="D96" s="32" t="str">
        <f>Orders!H93</f>
        <v>Delivered</v>
      </c>
      <c r="E96" s="33">
        <f>IF(Orders!H93="Delivered",1,0)</f>
        <v>1</v>
      </c>
      <c r="F96" s="34">
        <f>IF(E96=1,Orders!R93,"")</f>
        <v>-0.6</v>
      </c>
      <c r="G96" s="33">
        <f>IF(E96=1,IF(Orders!R93&gt;0,1,0),"")</f>
        <v>0</v>
      </c>
      <c r="H96" s="33">
        <f>IF(E96=1,IF(Orders!R93&gt;5,1,0),"")</f>
        <v>0</v>
      </c>
      <c r="I96" s="32" t="str">
        <f>IF(E96=1,"",IF(OR(Orders!T93="Rider unavailable",Orders!T93="Item unavailable"),"Company-caused","Unresolved"))</f>
        <v/>
      </c>
      <c r="J96" s="33">
        <f>IF(OR(E96=1,I96="Company-caused"),1,0)</f>
        <v>1</v>
      </c>
      <c r="K96" s="32" t="str">
        <f>IF(E96=0,IF(I96="Company-caused",IF(Orders!T93="Rider unavailable","C1 Rider unavailable","C2 Item unavailable"),"Outside root: unresolved"),IF(G96=0,"A On time",IF(H96=1,IF(L96=1,"B2a Severe, peak","B2b Severe, off-peak"),IF(L96=1,"B1a Slight, peak","B1b Slight, off-peak"))))</f>
        <v>A On time</v>
      </c>
      <c r="L96" s="33">
        <f>IF(AND(Orders!U93&gt;=19,Orders!U93&lt;22),1,0)</f>
        <v>0</v>
      </c>
      <c r="M96" s="33">
        <f>IF(L96=IF(Orders!V93,1,0),1,0)</f>
        <v>1</v>
      </c>
      <c r="N96" s="32" t="str">
        <f>IF(Orders!W93="","None",Orders!W93)</f>
        <v>Light</v>
      </c>
      <c r="O96" s="35">
        <f>INT(Orders!E93)</f>
        <v>46278.0</v>
      </c>
      <c r="P96" s="33">
        <f>Orders!U93</f>
        <v>15</v>
      </c>
      <c r="Q96" s="33">
        <f>COUNTIFS(Demand!$A$2:$A$4481,B96,Demand!$B$2:$B$4481,O96,Demand!$C$2:$C$4481,P96)</f>
        <v>1</v>
      </c>
      <c r="R96" s="33">
        <f>IF(Q96=1,SUMIFS(Demand!$E$2:$E$4481,Demand!$A$2:$A$4481,B96,Demand!$B$2:$B$4481,O96,Demand!$C$2:$C$4481,P96),"")</f>
        <v>16</v>
      </c>
      <c r="S96" s="33">
        <f>INDEX(Stores!$G$2:$G$21,MATCH(B96,Stores!$A$2:$A$21,0))</f>
        <v>29</v>
      </c>
      <c r="T96" s="34">
        <f>IF(R96="","",R96/S96)</f>
        <v>0.551724137931035</v>
      </c>
      <c r="U96" s="34">
        <f>IF(E96=1,T96,"")</f>
        <v>0.551724137931035</v>
      </c>
      <c r="V96" s="34">
        <f>IF(AND(E96=1,L96=0),T96,"")</f>
        <v>0.551724137931035</v>
      </c>
      <c r="W96" s="33">
        <f>IF(U96="","",IF(U96&lt;=Breakdowns!$C$5,1,IF(U96&lt;=Breakdowns!$C$6,2,IF(U96&lt;=Breakdowns!$C$7,3,4))))</f>
        <v>1</v>
      </c>
      <c r="X96" s="33">
        <f>IF(V96="","",IF(V96&lt;=Breakdowns!$D$5,1,IF(V96&lt;=Breakdowns!$D$6,2,IF(V96&lt;=Breakdowns!$D$7,3,4))))</f>
        <v>1</v>
      </c>
      <c r="Y96" s="34">
        <f>INDEX(Stores!$F$2:$F$21,MATCH(B96,Stores!$A$2:$A$21,0))</f>
        <v>2.66</v>
      </c>
      <c r="Z96" s="33">
        <f>IF(Y96&gt;Store_Summary!$M$2,1,0)</f>
        <v>0</v>
      </c>
      <c r="AA96" s="33">
        <f>INDEX(Stores!$C$2:$C$21,MATCH(B96,Stores!$A$2:$A$21,0))</f>
        <v>645</v>
      </c>
      <c r="AB96" s="33">
        <f>IF(AA96&lt;180,1,0)</f>
        <v>0</v>
      </c>
      <c r="AC96" s="32" t="str">
        <f>IF(Orders!D93="","",INDEX(Riders!$C$2:$C$81,MATCH(Orders!D93,Riders!$A$2:$A$81,0)))</f>
        <v>EV scooter</v>
      </c>
      <c r="AD96" s="33">
        <f>IF(Orders!D93="","",INDEX(Riders!$D$2:$D$81,MATCH(Orders!D93,Riders!$A$2:$A$81,0)))</f>
        <v>4</v>
      </c>
      <c r="AE96" s="33">
        <f>IF(Orders!D93="","",IF(INDEX(Riders!$B$2:$B$81,MATCH(Orders!D93,Riders!$A$2:$A$81,0))=B96,1,0))</f>
        <v>0</v>
      </c>
      <c r="AF96" s="34">
        <f>IF(E96=1,Orders!L93,"")</f>
        <v>2.1</v>
      </c>
      <c r="AG96" s="34">
        <f>IF(E96=1,Orders!P93,"")</f>
        <v>11.4</v>
      </c>
      <c r="AH96" s="34">
        <f>IF(E96=1,Orders!Q93,"")</f>
        <v>10.8</v>
      </c>
      <c r="AI96" s="34">
        <f>IF(E96=1,Orders!M93,"")</f>
        <v>2.9</v>
      </c>
      <c r="AJ96" s="34">
        <f>IF(E96=1,Orders!N93,"")</f>
        <v>2.8</v>
      </c>
      <c r="AK96" s="34">
        <f>IF(E96=1,Orders!O93,"")</f>
        <v>5.1</v>
      </c>
      <c r="AL96" s="33">
        <f>IF(E96=1,IF(ROUND(ABS(AI96+AJ96+AK96-AH96),6)&lt;=0.1,1,0),"")</f>
        <v>1</v>
      </c>
      <c r="AM96" s="36">
        <f>IF(E96=1,AI96/AH96,"")</f>
        <v>0.268518518518519</v>
      </c>
      <c r="AN96" s="36">
        <f>IF(E96=1,AJ96/AH96,"")</f>
        <v>0.259259259259259</v>
      </c>
      <c r="AO96" s="36">
        <f>IF(E96=1,AK96/AH96,"")</f>
        <v>0.472222222222222</v>
      </c>
      <c r="AP96" s="34">
        <f>IF(E96=1,Orders!Y93,"")</f>
        <v>0.61</v>
      </c>
      <c r="AQ96" s="33">
        <f>IF(Orders!X93,1,0)</f>
        <v>0</v>
      </c>
      <c r="AR96" s="34" t="str">
        <f>IF(AND(E96=1,L96=1),AJ96,"")</f>
        <v/>
      </c>
      <c r="AS96" s="34">
        <f>IF(AND(E96=1,L96=0),AJ96,"")</f>
        <v>2.8</v>
      </c>
      <c r="AT96" s="34" t="str">
        <f>IF(AND(E96=1,L96=1),AI96,"")</f>
        <v/>
      </c>
      <c r="AU96" s="34">
        <f>IF(AND(E96=1,L96=0),AI96,"")</f>
        <v>2.9</v>
      </c>
      <c r="AV96" s="34" t="str">
        <f>IF(AND(E96=1,L96=1),AG96,"")</f>
        <v/>
      </c>
      <c r="AW96" s="34">
        <f>IF(AND(E96=1,L96=0),AG96,"")</f>
        <v>11.4</v>
      </c>
      <c r="AX96" s="34" t="str">
        <f>IF(AND(E96=1,L96=1),AH96,"")</f>
        <v/>
      </c>
      <c r="AY96" s="34">
        <f>IF(AND(E96=1,L96=0),AH96,"")</f>
        <v>10.8</v>
      </c>
      <c r="AZ96" s="34" t="str">
        <f>IF(G96=1,F96,"")</f>
        <v/>
      </c>
      <c r="BA96" s="34" t="str">
        <f>IF(AND(G96=1,L96=1),F96,"")</f>
        <v/>
      </c>
      <c r="BB96" s="34" t="str">
        <f>IF(AND(G96=1,L96=0),F96,"")</f>
        <v/>
      </c>
      <c r="BC96" s="33">
        <f>IF(E96=1,IF(Orders!R93&gt;3,1,0),"")</f>
        <v>0</v>
      </c>
      <c r="BD96" s="33">
        <f>IF(E96=1,IF(Orders!R93&gt;7,1,0),"")</f>
        <v>0</v>
      </c>
      <c r="BE96" s="32" t="str">
        <f>IF(E96=1,IF(Orders!L93&lt;=1.5,"Up to 1.5 km",IF(Orders!L93&lt;=3,"1.5–3 km","Over 3 km")),"")</f>
        <v>1.5–3 km</v>
      </c>
      <c r="BF96" s="33">
        <f>IF(E96=1,IF(ABS((Orders!G93-Orders!F93)*1440-Orders!R93)&lt;0.06,1,0),"")</f>
        <v>1</v>
      </c>
      <c r="BG96" s="33">
        <f>IF(ABS((Orders!F93-Orders!E93)*1440-Orders!P93)&lt;0.06,1,0)</f>
        <v>1</v>
      </c>
      <c r="BH96" s="33">
        <f>IF(E96=1,IF(IF(Orders!S93,1,0)=1-G96,1,0),"")</f>
        <v>1</v>
      </c>
      <c r="BI96" s="32" t="str">
        <f>INDEX(Stores!$B$2:$B$21,MATCH(B96,Stores!$A$2:$A$21,0))</f>
        <v>Pune</v>
      </c>
    </row>
    <row r="97">
      <c r="A97" s="32" t="str">
        <f>Orders!A94</f>
        <v>O00093</v>
      </c>
      <c r="B97" s="32" t="str">
        <f>Orders!C94</f>
        <v>S002</v>
      </c>
      <c r="C97" s="32" t="str">
        <f>Orders!B94</f>
        <v>C0105</v>
      </c>
      <c r="D97" s="32" t="str">
        <f>Orders!H94</f>
        <v>Delivered</v>
      </c>
      <c r="E97" s="33">
        <f>IF(Orders!H94="Delivered",1,0)</f>
        <v>1</v>
      </c>
      <c r="F97" s="34">
        <f>IF(E97=1,Orders!R94,"")</f>
        <v>12.2</v>
      </c>
      <c r="G97" s="33">
        <f>IF(E97=1,IF(Orders!R94&gt;0,1,0),"")</f>
        <v>1</v>
      </c>
      <c r="H97" s="33">
        <f>IF(E97=1,IF(Orders!R94&gt;5,1,0),"")</f>
        <v>1</v>
      </c>
      <c r="I97" s="32" t="str">
        <f>IF(E97=1,"",IF(OR(Orders!T94="Rider unavailable",Orders!T94="Item unavailable"),"Company-caused","Unresolved"))</f>
        <v/>
      </c>
      <c r="J97" s="33">
        <f>IF(OR(E97=1,I97="Company-caused"),1,0)</f>
        <v>1</v>
      </c>
      <c r="K97" s="32" t="str">
        <f>IF(E97=0,IF(I97="Company-caused",IF(Orders!T94="Rider unavailable","C1 Rider unavailable","C2 Item unavailable"),"Outside root: unresolved"),IF(G97=0,"A On time",IF(H97=1,IF(L97=1,"B2a Severe, peak","B2b Severe, off-peak"),IF(L97=1,"B1a Slight, peak","B1b Slight, off-peak"))))</f>
        <v>B2b Severe, off-peak</v>
      </c>
      <c r="L97" s="33">
        <f>IF(AND(Orders!U94&gt;=19,Orders!U94&lt;22),1,0)</f>
        <v>0</v>
      </c>
      <c r="M97" s="33">
        <f>IF(L97=IF(Orders!V94,1,0),1,0)</f>
        <v>1</v>
      </c>
      <c r="N97" s="32" t="str">
        <f>IF(Orders!W94="","None",Orders!W94)</f>
        <v>None</v>
      </c>
      <c r="O97" s="35">
        <f>INT(Orders!E94)</f>
        <v>46273.0</v>
      </c>
      <c r="P97" s="33">
        <f>Orders!U94</f>
        <v>9</v>
      </c>
      <c r="Q97" s="33">
        <f>COUNTIFS(Demand!$A$2:$A$4481,B97,Demand!$B$2:$B$4481,O97,Demand!$C$2:$C$4481,P97)</f>
        <v>1</v>
      </c>
      <c r="R97" s="33">
        <f>IF(Q97=1,SUMIFS(Demand!$E$2:$E$4481,Demand!$A$2:$A$4481,B97,Demand!$B$2:$B$4481,O97,Demand!$C$2:$C$4481,P97),"")</f>
        <v>28</v>
      </c>
      <c r="S97" s="33">
        <f>INDEX(Stores!$G$2:$G$21,MATCH(B97,Stores!$A$2:$A$21,0))</f>
        <v>33</v>
      </c>
      <c r="T97" s="34">
        <f>IF(R97="","",R97/S97)</f>
        <v>0.848484848484849</v>
      </c>
      <c r="U97" s="34">
        <f>IF(E97=1,T97,"")</f>
        <v>0.848484848484849</v>
      </c>
      <c r="V97" s="34">
        <f>IF(AND(E97=1,L97=0),T97,"")</f>
        <v>0.848484848484849</v>
      </c>
      <c r="W97" s="33">
        <f>IF(U97="","",IF(U97&lt;=Breakdowns!$C$5,1,IF(U97&lt;=Breakdowns!$C$6,2,IF(U97&lt;=Breakdowns!$C$7,3,4))))</f>
        <v>2</v>
      </c>
      <c r="X97" s="33">
        <f>IF(V97="","",IF(V97&lt;=Breakdowns!$D$5,1,IF(V97&lt;=Breakdowns!$D$6,2,IF(V97&lt;=Breakdowns!$D$7,3,4))))</f>
        <v>2</v>
      </c>
      <c r="Y97" s="34">
        <f>INDEX(Stores!$F$2:$F$21,MATCH(B97,Stores!$A$2:$A$21,0))</f>
        <v>2.39</v>
      </c>
      <c r="Z97" s="33">
        <f>IF(Y97&gt;Store_Summary!$M$2,1,0)</f>
        <v>0</v>
      </c>
      <c r="AA97" s="33">
        <f>INDEX(Stores!$C$2:$C$21,MATCH(B97,Stores!$A$2:$A$21,0))</f>
        <v>470</v>
      </c>
      <c r="AB97" s="33">
        <f>IF(AA97&lt;180,1,0)</f>
        <v>0</v>
      </c>
      <c r="AC97" s="32" t="str">
        <f>IF(Orders!D94="","",INDEX(Riders!$C$2:$C$81,MATCH(Orders!D94,Riders!$A$2:$A$81,0)))</f>
        <v>Petrol scooter</v>
      </c>
      <c r="AD97" s="33">
        <f>IF(Orders!D94="","",INDEX(Riders!$D$2:$D$81,MATCH(Orders!D94,Riders!$A$2:$A$81,0)))</f>
        <v>20</v>
      </c>
      <c r="AE97" s="33">
        <f>IF(Orders!D94="","",IF(INDEX(Riders!$B$2:$B$81,MATCH(Orders!D94,Riders!$A$2:$A$81,0))=B97,1,0))</f>
        <v>0</v>
      </c>
      <c r="AF97" s="34">
        <f>IF(E97=1,Orders!L94,"")</f>
        <v>4.13</v>
      </c>
      <c r="AG97" s="34">
        <f>IF(E97=1,Orders!P94,"")</f>
        <v>8.4</v>
      </c>
      <c r="AH97" s="34">
        <f>IF(E97=1,Orders!Q94,"")</f>
        <v>20.6</v>
      </c>
      <c r="AI97" s="34">
        <f>IF(E97=1,Orders!M94,"")</f>
        <v>3.3</v>
      </c>
      <c r="AJ97" s="34">
        <f>IF(E97=1,Orders!N94,"")</f>
        <v>6.2</v>
      </c>
      <c r="AK97" s="34">
        <f>IF(E97=1,Orders!O94,"")</f>
        <v>11.1</v>
      </c>
      <c r="AL97" s="33">
        <f>IF(E97=1,IF(ROUND(ABS(AI97+AJ97+AK97-AH97),6)&lt;=0.1,1,0),"")</f>
        <v>1</v>
      </c>
      <c r="AM97" s="36">
        <f>IF(E97=1,AI97/AH97,"")</f>
        <v>0.160194174757282</v>
      </c>
      <c r="AN97" s="36">
        <f>IF(E97=1,AJ97/AH97,"")</f>
        <v>0.300970873786408</v>
      </c>
      <c r="AO97" s="36">
        <f>IF(E97=1,AK97/AH97,"")</f>
        <v>0.538834951456311</v>
      </c>
      <c r="AP97" s="34">
        <f>IF(E97=1,Orders!Y94,"")</f>
        <v>0.69</v>
      </c>
      <c r="AQ97" s="33">
        <f>IF(Orders!X94,1,0)</f>
        <v>0</v>
      </c>
      <c r="AR97" s="34" t="str">
        <f>IF(AND(E97=1,L97=1),AJ97,"")</f>
        <v/>
      </c>
      <c r="AS97" s="34">
        <f>IF(AND(E97=1,L97=0),AJ97,"")</f>
        <v>6.2</v>
      </c>
      <c r="AT97" s="34" t="str">
        <f>IF(AND(E97=1,L97=1),AI97,"")</f>
        <v/>
      </c>
      <c r="AU97" s="34">
        <f>IF(AND(E97=1,L97=0),AI97,"")</f>
        <v>3.3</v>
      </c>
      <c r="AV97" s="34" t="str">
        <f>IF(AND(E97=1,L97=1),AG97,"")</f>
        <v/>
      </c>
      <c r="AW97" s="34">
        <f>IF(AND(E97=1,L97=0),AG97,"")</f>
        <v>8.4</v>
      </c>
      <c r="AX97" s="34" t="str">
        <f>IF(AND(E97=1,L97=1),AH97,"")</f>
        <v/>
      </c>
      <c r="AY97" s="34">
        <f>IF(AND(E97=1,L97=0),AH97,"")</f>
        <v>20.6</v>
      </c>
      <c r="AZ97" s="34">
        <f>IF(G97=1,F97,"")</f>
        <v>12.2</v>
      </c>
      <c r="BA97" s="34" t="str">
        <f>IF(AND(G97=1,L97=1),F97,"")</f>
        <v/>
      </c>
      <c r="BB97" s="34">
        <f>IF(AND(G97=1,L97=0),F97,"")</f>
        <v>12.2</v>
      </c>
      <c r="BC97" s="33">
        <f>IF(E97=1,IF(Orders!R94&gt;3,1,0),"")</f>
        <v>1</v>
      </c>
      <c r="BD97" s="33">
        <f>IF(E97=1,IF(Orders!R94&gt;7,1,0),"")</f>
        <v>1</v>
      </c>
      <c r="BE97" s="32" t="str">
        <f>IF(E97=1,IF(Orders!L94&lt;=1.5,"Up to 1.5 km",IF(Orders!L94&lt;=3,"1.5–3 km","Over 3 km")),"")</f>
        <v>Over 3 km</v>
      </c>
      <c r="BF97" s="33">
        <f>IF(E97=1,IF(ABS((Orders!G94-Orders!F94)*1440-Orders!R94)&lt;0.06,1,0),"")</f>
        <v>1</v>
      </c>
      <c r="BG97" s="33">
        <f>IF(ABS((Orders!F94-Orders!E94)*1440-Orders!P94)&lt;0.06,1,0)</f>
        <v>1</v>
      </c>
      <c r="BH97" s="33">
        <f>IF(E97=1,IF(IF(Orders!S94,1,0)=1-G97,1,0),"")</f>
        <v>1</v>
      </c>
      <c r="BI97" s="32" t="str">
        <f>INDEX(Stores!$B$2:$B$21,MATCH(B97,Stores!$A$2:$A$21,0))</f>
        <v>Hyderabad</v>
      </c>
    </row>
    <row r="98">
      <c r="A98" s="32" t="str">
        <f>Orders!A95</f>
        <v>O00094</v>
      </c>
      <c r="B98" s="32" t="str">
        <f>Orders!C95</f>
        <v>S004</v>
      </c>
      <c r="C98" s="32" t="str">
        <f>Orders!B95</f>
        <v>C0194</v>
      </c>
      <c r="D98" s="32" t="str">
        <f>Orders!H95</f>
        <v>Delivered</v>
      </c>
      <c r="E98" s="33">
        <f>IF(Orders!H95="Delivered",1,0)</f>
        <v>1</v>
      </c>
      <c r="F98" s="34">
        <f>IF(E98=1,Orders!R95,"")</f>
        <v>-0.8</v>
      </c>
      <c r="G98" s="33">
        <f>IF(E98=1,IF(Orders!R95&gt;0,1,0),"")</f>
        <v>0</v>
      </c>
      <c r="H98" s="33">
        <f>IF(E98=1,IF(Orders!R95&gt;5,1,0),"")</f>
        <v>0</v>
      </c>
      <c r="I98" s="32" t="str">
        <f>IF(E98=1,"",IF(OR(Orders!T95="Rider unavailable",Orders!T95="Item unavailable"),"Company-caused","Unresolved"))</f>
        <v/>
      </c>
      <c r="J98" s="33">
        <f>IF(OR(E98=1,I98="Company-caused"),1,0)</f>
        <v>1</v>
      </c>
      <c r="K98" s="32" t="str">
        <f>IF(E98=0,IF(I98="Company-caused",IF(Orders!T95="Rider unavailable","C1 Rider unavailable","C2 Item unavailable"),"Outside root: unresolved"),IF(G98=0,"A On time",IF(H98=1,IF(L98=1,"B2a Severe, peak","B2b Severe, off-peak"),IF(L98=1,"B1a Slight, peak","B1b Slight, off-peak"))))</f>
        <v>A On time</v>
      </c>
      <c r="L98" s="33">
        <f>IF(AND(Orders!U95&gt;=19,Orders!U95&lt;22),1,0)</f>
        <v>0</v>
      </c>
      <c r="M98" s="33">
        <f>IF(L98=IF(Orders!V95,1,0),1,0)</f>
        <v>1</v>
      </c>
      <c r="N98" s="32" t="str">
        <f>IF(Orders!W95="","None",Orders!W95)</f>
        <v>None</v>
      </c>
      <c r="O98" s="35">
        <f>INT(Orders!E95)</f>
        <v>46269.0</v>
      </c>
      <c r="P98" s="33">
        <f>Orders!U95</f>
        <v>22</v>
      </c>
      <c r="Q98" s="33">
        <f>COUNTIFS(Demand!$A$2:$A$4481,B98,Demand!$B$2:$B$4481,O98,Demand!$C$2:$C$4481,P98)</f>
        <v>1</v>
      </c>
      <c r="R98" s="33">
        <f>IF(Q98=1,SUMIFS(Demand!$E$2:$E$4481,Demand!$A$2:$A$4481,B98,Demand!$B$2:$B$4481,O98,Demand!$C$2:$C$4481,P98),"")</f>
        <v>48</v>
      </c>
      <c r="S98" s="33">
        <f>INDEX(Stores!$G$2:$G$21,MATCH(B98,Stores!$A$2:$A$21,0))</f>
        <v>42</v>
      </c>
      <c r="T98" s="34">
        <f>IF(R98="","",R98/S98)</f>
        <v>1.14285714285714</v>
      </c>
      <c r="U98" s="34">
        <f>IF(E98=1,T98,"")</f>
        <v>1.14285714285714</v>
      </c>
      <c r="V98" s="34">
        <f>IF(AND(E98=1,L98=0),T98,"")</f>
        <v>1.14285714285714</v>
      </c>
      <c r="W98" s="33">
        <f>IF(U98="","",IF(U98&lt;=Breakdowns!$C$5,1,IF(U98&lt;=Breakdowns!$C$6,2,IF(U98&lt;=Breakdowns!$C$7,3,4))))</f>
        <v>3</v>
      </c>
      <c r="X98" s="33">
        <f>IF(V98="","",IF(V98&lt;=Breakdowns!$D$5,1,IF(V98&lt;=Breakdowns!$D$6,2,IF(V98&lt;=Breakdowns!$D$7,3,4))))</f>
        <v>4</v>
      </c>
      <c r="Y98" s="34">
        <f>INDEX(Stores!$F$2:$F$21,MATCH(B98,Stores!$A$2:$A$21,0))</f>
        <v>2.19</v>
      </c>
      <c r="Z98" s="33">
        <f>IF(Y98&gt;Store_Summary!$M$2,1,0)</f>
        <v>0</v>
      </c>
      <c r="AA98" s="33">
        <f>INDEX(Stores!$C$2:$C$21,MATCH(B98,Stores!$A$2:$A$21,0))</f>
        <v>850</v>
      </c>
      <c r="AB98" s="33">
        <f>IF(AA98&lt;180,1,0)</f>
        <v>0</v>
      </c>
      <c r="AC98" s="32" t="str">
        <f>IF(Orders!D95="","",INDEX(Riders!$C$2:$C$81,MATCH(Orders!D95,Riders!$A$2:$A$81,0)))</f>
        <v>EV scooter</v>
      </c>
      <c r="AD98" s="33">
        <f>IF(Orders!D95="","",INDEX(Riders!$D$2:$D$81,MATCH(Orders!D95,Riders!$A$2:$A$81,0)))</f>
        <v>33</v>
      </c>
      <c r="AE98" s="33">
        <f>IF(Orders!D95="","",IF(INDEX(Riders!$B$2:$B$81,MATCH(Orders!D95,Riders!$A$2:$A$81,0))=B98,1,0))</f>
        <v>0</v>
      </c>
      <c r="AF98" s="34">
        <f>IF(E98=1,Orders!L95,"")</f>
        <v>2.83</v>
      </c>
      <c r="AG98" s="34">
        <f>IF(E98=1,Orders!P95,"")</f>
        <v>10.2</v>
      </c>
      <c r="AH98" s="34">
        <f>IF(E98=1,Orders!Q95,"")</f>
        <v>9.4</v>
      </c>
      <c r="AI98" s="34">
        <f>IF(E98=1,Orders!M95,"")</f>
        <v>1.4</v>
      </c>
      <c r="AJ98" s="34">
        <f>IF(E98=1,Orders!N95,"")</f>
        <v>4.2</v>
      </c>
      <c r="AK98" s="34">
        <f>IF(E98=1,Orders!O95,"")</f>
        <v>3.8</v>
      </c>
      <c r="AL98" s="33">
        <f>IF(E98=1,IF(ROUND(ABS(AI98+AJ98+AK98-AH98),6)&lt;=0.1,1,0),"")</f>
        <v>1</v>
      </c>
      <c r="AM98" s="36">
        <f>IF(E98=1,AI98/AH98,"")</f>
        <v>0.148936170212766</v>
      </c>
      <c r="AN98" s="36">
        <f>IF(E98=1,AJ98/AH98,"")</f>
        <v>0.446808510638298</v>
      </c>
      <c r="AO98" s="36">
        <f>IF(E98=1,AK98/AH98,"")</f>
        <v>0.404255319148936</v>
      </c>
      <c r="AP98" s="34">
        <f>IF(E98=1,Orders!Y95,"")</f>
        <v>0.56</v>
      </c>
      <c r="AQ98" s="33">
        <f>IF(Orders!X95,1,0)</f>
        <v>0</v>
      </c>
      <c r="AR98" s="34" t="str">
        <f>IF(AND(E98=1,L98=1),AJ98,"")</f>
        <v/>
      </c>
      <c r="AS98" s="34">
        <f>IF(AND(E98=1,L98=0),AJ98,"")</f>
        <v>4.2</v>
      </c>
      <c r="AT98" s="34" t="str">
        <f>IF(AND(E98=1,L98=1),AI98,"")</f>
        <v/>
      </c>
      <c r="AU98" s="34">
        <f>IF(AND(E98=1,L98=0),AI98,"")</f>
        <v>1.4</v>
      </c>
      <c r="AV98" s="34" t="str">
        <f>IF(AND(E98=1,L98=1),AG98,"")</f>
        <v/>
      </c>
      <c r="AW98" s="34">
        <f>IF(AND(E98=1,L98=0),AG98,"")</f>
        <v>10.2</v>
      </c>
      <c r="AX98" s="34" t="str">
        <f>IF(AND(E98=1,L98=1),AH98,"")</f>
        <v/>
      </c>
      <c r="AY98" s="34">
        <f>IF(AND(E98=1,L98=0),AH98,"")</f>
        <v>9.4</v>
      </c>
      <c r="AZ98" s="34" t="str">
        <f>IF(G98=1,F98,"")</f>
        <v/>
      </c>
      <c r="BA98" s="34" t="str">
        <f>IF(AND(G98=1,L98=1),F98,"")</f>
        <v/>
      </c>
      <c r="BB98" s="34" t="str">
        <f>IF(AND(G98=1,L98=0),F98,"")</f>
        <v/>
      </c>
      <c r="BC98" s="33">
        <f>IF(E98=1,IF(Orders!R95&gt;3,1,0),"")</f>
        <v>0</v>
      </c>
      <c r="BD98" s="33">
        <f>IF(E98=1,IF(Orders!R95&gt;7,1,0),"")</f>
        <v>0</v>
      </c>
      <c r="BE98" s="32" t="str">
        <f>IF(E98=1,IF(Orders!L95&lt;=1.5,"Up to 1.5 km",IF(Orders!L95&lt;=3,"1.5–3 km","Over 3 km")),"")</f>
        <v>1.5–3 km</v>
      </c>
      <c r="BF98" s="33">
        <f>IF(E98=1,IF(ABS((Orders!G95-Orders!F95)*1440-Orders!R95)&lt;0.06,1,0),"")</f>
        <v>1</v>
      </c>
      <c r="BG98" s="33">
        <f>IF(ABS((Orders!F95-Orders!E95)*1440-Orders!P95)&lt;0.06,1,0)</f>
        <v>1</v>
      </c>
      <c r="BH98" s="33">
        <f>IF(E98=1,IF(IF(Orders!S95,1,0)=1-G98,1,0),"")</f>
        <v>1</v>
      </c>
      <c r="BI98" s="32" t="str">
        <f>INDEX(Stores!$B$2:$B$21,MATCH(B98,Stores!$A$2:$A$21,0))</f>
        <v>Pune</v>
      </c>
    </row>
    <row r="99">
      <c r="A99" s="32" t="str">
        <f>Orders!A96</f>
        <v>O00095</v>
      </c>
      <c r="B99" s="32" t="str">
        <f>Orders!C96</f>
        <v>S002</v>
      </c>
      <c r="C99" s="32" t="str">
        <f>Orders!B96</f>
        <v>C0138</v>
      </c>
      <c r="D99" s="32" t="str">
        <f>Orders!H96</f>
        <v>Delivered</v>
      </c>
      <c r="E99" s="33">
        <f>IF(Orders!H96="Delivered",1,0)</f>
        <v>1</v>
      </c>
      <c r="F99" s="34">
        <f>IF(E99=1,Orders!R96,"")</f>
        <v>-0.6</v>
      </c>
      <c r="G99" s="33">
        <f>IF(E99=1,IF(Orders!R96&gt;0,1,0),"")</f>
        <v>0</v>
      </c>
      <c r="H99" s="33">
        <f>IF(E99=1,IF(Orders!R96&gt;5,1,0),"")</f>
        <v>0</v>
      </c>
      <c r="I99" s="32" t="str">
        <f>IF(E99=1,"",IF(OR(Orders!T96="Rider unavailable",Orders!T96="Item unavailable"),"Company-caused","Unresolved"))</f>
        <v/>
      </c>
      <c r="J99" s="33">
        <f>IF(OR(E99=1,I99="Company-caused"),1,0)</f>
        <v>1</v>
      </c>
      <c r="K99" s="32" t="str">
        <f>IF(E99=0,IF(I99="Company-caused",IF(Orders!T96="Rider unavailable","C1 Rider unavailable","C2 Item unavailable"),"Outside root: unresolved"),IF(G99=0,"A On time",IF(H99=1,IF(L99=1,"B2a Severe, peak","B2b Severe, off-peak"),IF(L99=1,"B1a Slight, peak","B1b Slight, off-peak"))))</f>
        <v>A On time</v>
      </c>
      <c r="L99" s="33">
        <f>IF(AND(Orders!U96&gt;=19,Orders!U96&lt;22),1,0)</f>
        <v>0</v>
      </c>
      <c r="M99" s="33">
        <f>IF(L99=IF(Orders!V96,1,0),1,0)</f>
        <v>1</v>
      </c>
      <c r="N99" s="32" t="str">
        <f>IF(Orders!W96="","None",Orders!W96)</f>
        <v>Light</v>
      </c>
      <c r="O99" s="35">
        <f>INT(Orders!E96)</f>
        <v>46266.0</v>
      </c>
      <c r="P99" s="33">
        <f>Orders!U96</f>
        <v>18</v>
      </c>
      <c r="Q99" s="33">
        <f>COUNTIFS(Demand!$A$2:$A$4481,B99,Demand!$B$2:$B$4481,O99,Demand!$C$2:$C$4481,P99)</f>
        <v>1</v>
      </c>
      <c r="R99" s="33">
        <f>IF(Q99=1,SUMIFS(Demand!$E$2:$E$4481,Demand!$A$2:$A$4481,B99,Demand!$B$2:$B$4481,O99,Demand!$C$2:$C$4481,P99),"")</f>
        <v>33</v>
      </c>
      <c r="S99" s="33">
        <f>INDEX(Stores!$G$2:$G$21,MATCH(B99,Stores!$A$2:$A$21,0))</f>
        <v>33</v>
      </c>
      <c r="T99" s="34">
        <f>IF(R99="","",R99/S99)</f>
        <v>1</v>
      </c>
      <c r="U99" s="34">
        <f>IF(E99=1,T99,"")</f>
        <v>1</v>
      </c>
      <c r="V99" s="34">
        <f>IF(AND(E99=1,L99=0),T99,"")</f>
        <v>1</v>
      </c>
      <c r="W99" s="33">
        <f>IF(U99="","",IF(U99&lt;=Breakdowns!$C$5,1,IF(U99&lt;=Breakdowns!$C$6,2,IF(U99&lt;=Breakdowns!$C$7,3,4))))</f>
        <v>2</v>
      </c>
      <c r="X99" s="33">
        <f>IF(V99="","",IF(V99&lt;=Breakdowns!$D$5,1,IF(V99&lt;=Breakdowns!$D$6,2,IF(V99&lt;=Breakdowns!$D$7,3,4))))</f>
        <v>3</v>
      </c>
      <c r="Y99" s="34">
        <f>INDEX(Stores!$F$2:$F$21,MATCH(B99,Stores!$A$2:$A$21,0))</f>
        <v>2.39</v>
      </c>
      <c r="Z99" s="33">
        <f>IF(Y99&gt;Store_Summary!$M$2,1,0)</f>
        <v>0</v>
      </c>
      <c r="AA99" s="33">
        <f>INDEX(Stores!$C$2:$C$21,MATCH(B99,Stores!$A$2:$A$21,0))</f>
        <v>470</v>
      </c>
      <c r="AB99" s="33">
        <f>IF(AA99&lt;180,1,0)</f>
        <v>0</v>
      </c>
      <c r="AC99" s="32" t="str">
        <f>IF(Orders!D96="","",INDEX(Riders!$C$2:$C$81,MATCH(Orders!D96,Riders!$A$2:$A$81,0)))</f>
        <v>Bicycle</v>
      </c>
      <c r="AD99" s="33">
        <f>IF(Orders!D96="","",INDEX(Riders!$D$2:$D$81,MATCH(Orders!D96,Riders!$A$2:$A$81,0)))</f>
        <v>40</v>
      </c>
      <c r="AE99" s="33">
        <f>IF(Orders!D96="","",IF(INDEX(Riders!$B$2:$B$81,MATCH(Orders!D96,Riders!$A$2:$A$81,0))=B99,1,0))</f>
        <v>0</v>
      </c>
      <c r="AF99" s="34">
        <f>IF(E99=1,Orders!L96,"")</f>
        <v>0.5</v>
      </c>
      <c r="AG99" s="34">
        <f>IF(E99=1,Orders!P96,"")</f>
        <v>9.3</v>
      </c>
      <c r="AH99" s="34">
        <f>IF(E99=1,Orders!Q96,"")</f>
        <v>8.7</v>
      </c>
      <c r="AI99" s="34">
        <f>IF(E99=1,Orders!M96,"")</f>
        <v>2.3</v>
      </c>
      <c r="AJ99" s="34">
        <f>IF(E99=1,Orders!N96,"")</f>
        <v>2.7</v>
      </c>
      <c r="AK99" s="34">
        <f>IF(E99=1,Orders!O96,"")</f>
        <v>3.7</v>
      </c>
      <c r="AL99" s="33">
        <f>IF(E99=1,IF(ROUND(ABS(AI99+AJ99+AK99-AH99),6)&lt;=0.1,1,0),"")</f>
        <v>1</v>
      </c>
      <c r="AM99" s="36">
        <f>IF(E99=1,AI99/AH99,"")</f>
        <v>0.264367816091954</v>
      </c>
      <c r="AN99" s="36">
        <f>IF(E99=1,AJ99/AH99,"")</f>
        <v>0.310344827586207</v>
      </c>
      <c r="AO99" s="36">
        <f>IF(E99=1,AK99/AH99,"")</f>
        <v>0.425287356321839</v>
      </c>
      <c r="AP99" s="34">
        <f>IF(E99=1,Orders!Y96,"")</f>
        <v>0.6</v>
      </c>
      <c r="AQ99" s="33">
        <f>IF(Orders!X96,1,0)</f>
        <v>1</v>
      </c>
      <c r="AR99" s="34" t="str">
        <f>IF(AND(E99=1,L99=1),AJ99,"")</f>
        <v/>
      </c>
      <c r="AS99" s="34">
        <f>IF(AND(E99=1,L99=0),AJ99,"")</f>
        <v>2.7</v>
      </c>
      <c r="AT99" s="34" t="str">
        <f>IF(AND(E99=1,L99=1),AI99,"")</f>
        <v/>
      </c>
      <c r="AU99" s="34">
        <f>IF(AND(E99=1,L99=0),AI99,"")</f>
        <v>2.3</v>
      </c>
      <c r="AV99" s="34" t="str">
        <f>IF(AND(E99=1,L99=1),AG99,"")</f>
        <v/>
      </c>
      <c r="AW99" s="34">
        <f>IF(AND(E99=1,L99=0),AG99,"")</f>
        <v>9.3</v>
      </c>
      <c r="AX99" s="34" t="str">
        <f>IF(AND(E99=1,L99=1),AH99,"")</f>
        <v/>
      </c>
      <c r="AY99" s="34">
        <f>IF(AND(E99=1,L99=0),AH99,"")</f>
        <v>8.7</v>
      </c>
      <c r="AZ99" s="34" t="str">
        <f>IF(G99=1,F99,"")</f>
        <v/>
      </c>
      <c r="BA99" s="34" t="str">
        <f>IF(AND(G99=1,L99=1),F99,"")</f>
        <v/>
      </c>
      <c r="BB99" s="34" t="str">
        <f>IF(AND(G99=1,L99=0),F99,"")</f>
        <v/>
      </c>
      <c r="BC99" s="33">
        <f>IF(E99=1,IF(Orders!R96&gt;3,1,0),"")</f>
        <v>0</v>
      </c>
      <c r="BD99" s="33">
        <f>IF(E99=1,IF(Orders!R96&gt;7,1,0),"")</f>
        <v>0</v>
      </c>
      <c r="BE99" s="32" t="str">
        <f>IF(E99=1,IF(Orders!L96&lt;=1.5,"Up to 1.5 km",IF(Orders!L96&lt;=3,"1.5–3 km","Over 3 km")),"")</f>
        <v>Up to 1.5 km</v>
      </c>
      <c r="BF99" s="33">
        <f>IF(E99=1,IF(ABS((Orders!G96-Orders!F96)*1440-Orders!R96)&lt;0.06,1,0),"")</f>
        <v>1</v>
      </c>
      <c r="BG99" s="33">
        <f>IF(ABS((Orders!F96-Orders!E96)*1440-Orders!P96)&lt;0.06,1,0)</f>
        <v>1</v>
      </c>
      <c r="BH99" s="33">
        <f>IF(E99=1,IF(IF(Orders!S96,1,0)=1-G99,1,0),"")</f>
        <v>1</v>
      </c>
      <c r="BI99" s="32" t="str">
        <f>INDEX(Stores!$B$2:$B$21,MATCH(B99,Stores!$A$2:$A$21,0))</f>
        <v>Hyderabad</v>
      </c>
    </row>
    <row r="100">
      <c r="A100" s="32" t="str">
        <f>Orders!A97</f>
        <v>O00096</v>
      </c>
      <c r="B100" s="32" t="str">
        <f>Orders!C97</f>
        <v>S007</v>
      </c>
      <c r="C100" s="32" t="str">
        <f>Orders!B97</f>
        <v>C0034</v>
      </c>
      <c r="D100" s="32" t="str">
        <f>Orders!H97</f>
        <v>Delivered</v>
      </c>
      <c r="E100" s="33">
        <f>IF(Orders!H97="Delivered",1,0)</f>
        <v>1</v>
      </c>
      <c r="F100" s="34">
        <f>IF(E100=1,Orders!R97,"")</f>
        <v>11.5</v>
      </c>
      <c r="G100" s="33">
        <f>IF(E100=1,IF(Orders!R97&gt;0,1,0),"")</f>
        <v>1</v>
      </c>
      <c r="H100" s="33">
        <f>IF(E100=1,IF(Orders!R97&gt;5,1,0),"")</f>
        <v>1</v>
      </c>
      <c r="I100" s="32" t="str">
        <f>IF(E100=1,"",IF(OR(Orders!T97="Rider unavailable",Orders!T97="Item unavailable"),"Company-caused","Unresolved"))</f>
        <v/>
      </c>
      <c r="J100" s="33">
        <f>IF(OR(E100=1,I100="Company-caused"),1,0)</f>
        <v>1</v>
      </c>
      <c r="K100" s="32" t="str">
        <f>IF(E100=0,IF(I100="Company-caused",IF(Orders!T97="Rider unavailable","C1 Rider unavailable","C2 Item unavailable"),"Outside root: unresolved"),IF(G100=0,"A On time",IF(H100=1,IF(L100=1,"B2a Severe, peak","B2b Severe, off-peak"),IF(L100=1,"B1a Slight, peak","B1b Slight, off-peak"))))</f>
        <v>B2a Severe, peak</v>
      </c>
      <c r="L100" s="33">
        <f>IF(AND(Orders!U97&gt;=19,Orders!U97&lt;22),1,0)</f>
        <v>1</v>
      </c>
      <c r="M100" s="33">
        <f>IF(L100=IF(Orders!V97,1,0),1,0)</f>
        <v>1</v>
      </c>
      <c r="N100" s="32" t="str">
        <f>IF(Orders!W97="","None",Orders!W97)</f>
        <v>None</v>
      </c>
      <c r="O100" s="35">
        <f>INT(Orders!E97)</f>
        <v>46275.0</v>
      </c>
      <c r="P100" s="33">
        <f>Orders!U97</f>
        <v>21</v>
      </c>
      <c r="Q100" s="33">
        <f>COUNTIFS(Demand!$A$2:$A$4481,B100,Demand!$B$2:$B$4481,O100,Demand!$C$2:$C$4481,P100)</f>
        <v>1</v>
      </c>
      <c r="R100" s="33">
        <f>IF(Q100=1,SUMIFS(Demand!$E$2:$E$4481,Demand!$A$2:$A$4481,B100,Demand!$B$2:$B$4481,O100,Demand!$C$2:$C$4481,P100),"")</f>
        <v>59</v>
      </c>
      <c r="S100" s="33">
        <f>INDEX(Stores!$G$2:$G$21,MATCH(B100,Stores!$A$2:$A$21,0))</f>
        <v>37</v>
      </c>
      <c r="T100" s="34">
        <f>IF(R100="","",R100/S100)</f>
        <v>1.59459459459459</v>
      </c>
      <c r="U100" s="34">
        <f>IF(E100=1,T100,"")</f>
        <v>1.59459459459459</v>
      </c>
      <c r="V100" s="34" t="str">
        <f>IF(AND(E100=1,L100=0),T100,"")</f>
        <v/>
      </c>
      <c r="W100" s="33">
        <f>IF(U100="","",IF(U100&lt;=Breakdowns!$C$5,1,IF(U100&lt;=Breakdowns!$C$6,2,IF(U100&lt;=Breakdowns!$C$7,3,4))))</f>
        <v>4</v>
      </c>
      <c r="X100" s="33" t="str">
        <f>IF(V100="","",IF(V100&lt;=Breakdowns!$D$5,1,IF(V100&lt;=Breakdowns!$D$6,2,IF(V100&lt;=Breakdowns!$D$7,3,4))))</f>
        <v/>
      </c>
      <c r="Y100" s="34">
        <f>INDEX(Stores!$F$2:$F$21,MATCH(B100,Stores!$A$2:$A$21,0))</f>
        <v>4.05</v>
      </c>
      <c r="Z100" s="33">
        <f>IF(Y100&gt;Store_Summary!$M$2,1,0)</f>
        <v>0</v>
      </c>
      <c r="AA100" s="33">
        <f>INDEX(Stores!$C$2:$C$21,MATCH(B100,Stores!$A$2:$A$21,0))</f>
        <v>661</v>
      </c>
      <c r="AB100" s="33">
        <f>IF(AA100&lt;180,1,0)</f>
        <v>0</v>
      </c>
      <c r="AC100" s="32" t="str">
        <f>IF(Orders!D97="","",INDEX(Riders!$C$2:$C$81,MATCH(Orders!D97,Riders!$A$2:$A$81,0)))</f>
        <v>Bicycle</v>
      </c>
      <c r="AD100" s="33">
        <f>IF(Orders!D97="","",INDEX(Riders!$D$2:$D$81,MATCH(Orders!D97,Riders!$A$2:$A$81,0)))</f>
        <v>2</v>
      </c>
      <c r="AE100" s="33">
        <f>IF(Orders!D97="","",IF(INDEX(Riders!$B$2:$B$81,MATCH(Orders!D97,Riders!$A$2:$A$81,0))=B100,1,0))</f>
        <v>0</v>
      </c>
      <c r="AF100" s="34">
        <f>IF(E100=1,Orders!L97,"")</f>
        <v>3.1</v>
      </c>
      <c r="AG100" s="34">
        <f>IF(E100=1,Orders!P97,"")</f>
        <v>8.9</v>
      </c>
      <c r="AH100" s="34">
        <f>IF(E100=1,Orders!Q97,"")</f>
        <v>20.4</v>
      </c>
      <c r="AI100" s="34">
        <f>IF(E100=1,Orders!M97,"")</f>
        <v>4.9</v>
      </c>
      <c r="AJ100" s="34">
        <f>IF(E100=1,Orders!N97,"")</f>
        <v>8.1</v>
      </c>
      <c r="AK100" s="34">
        <f>IF(E100=1,Orders!O97,"")</f>
        <v>7.5</v>
      </c>
      <c r="AL100" s="33">
        <f>IF(E100=1,IF(ROUND(ABS(AI100+AJ100+AK100-AH100),6)&lt;=0.1,1,0),"")</f>
        <v>1</v>
      </c>
      <c r="AM100" s="36">
        <f>IF(E100=1,AI100/AH100,"")</f>
        <v>0.240196078431373</v>
      </c>
      <c r="AN100" s="36">
        <f>IF(E100=1,AJ100/AH100,"")</f>
        <v>0.397058823529412</v>
      </c>
      <c r="AO100" s="36">
        <f>IF(E100=1,AK100/AH100,"")</f>
        <v>0.367647058823529</v>
      </c>
      <c r="AP100" s="34">
        <f>IF(E100=1,Orders!Y97,"")</f>
        <v>0.71</v>
      </c>
      <c r="AQ100" s="33">
        <f>IF(Orders!X97,1,0)</f>
        <v>0</v>
      </c>
      <c r="AR100" s="34">
        <f>IF(AND(E100=1,L100=1),AJ100,"")</f>
        <v>8.1</v>
      </c>
      <c r="AS100" s="34" t="str">
        <f>IF(AND(E100=1,L100=0),AJ100,"")</f>
        <v/>
      </c>
      <c r="AT100" s="34">
        <f>IF(AND(E100=1,L100=1),AI100,"")</f>
        <v>4.9</v>
      </c>
      <c r="AU100" s="34" t="str">
        <f>IF(AND(E100=1,L100=0),AI100,"")</f>
        <v/>
      </c>
      <c r="AV100" s="34">
        <f>IF(AND(E100=1,L100=1),AG100,"")</f>
        <v>8.9</v>
      </c>
      <c r="AW100" s="34" t="str">
        <f>IF(AND(E100=1,L100=0),AG100,"")</f>
        <v/>
      </c>
      <c r="AX100" s="34">
        <f>IF(AND(E100=1,L100=1),AH100,"")</f>
        <v>20.4</v>
      </c>
      <c r="AY100" s="34" t="str">
        <f>IF(AND(E100=1,L100=0),AH100,"")</f>
        <v/>
      </c>
      <c r="AZ100" s="34">
        <f>IF(G100=1,F100,"")</f>
        <v>11.5</v>
      </c>
      <c r="BA100" s="34">
        <f>IF(AND(G100=1,L100=1),F100,"")</f>
        <v>11.5</v>
      </c>
      <c r="BB100" s="34" t="str">
        <f>IF(AND(G100=1,L100=0),F100,"")</f>
        <v/>
      </c>
      <c r="BC100" s="33">
        <f>IF(E100=1,IF(Orders!R97&gt;3,1,0),"")</f>
        <v>1</v>
      </c>
      <c r="BD100" s="33">
        <f>IF(E100=1,IF(Orders!R97&gt;7,1,0),"")</f>
        <v>1</v>
      </c>
      <c r="BE100" s="32" t="str">
        <f>IF(E100=1,IF(Orders!L97&lt;=1.5,"Up to 1.5 km",IF(Orders!L97&lt;=3,"1.5–3 km","Over 3 km")),"")</f>
        <v>Over 3 km</v>
      </c>
      <c r="BF100" s="33">
        <f>IF(E100=1,IF(ABS((Orders!G97-Orders!F97)*1440-Orders!R97)&lt;0.06,1,0),"")</f>
        <v>1</v>
      </c>
      <c r="BG100" s="33">
        <f>IF(ABS((Orders!F97-Orders!E97)*1440-Orders!P97)&lt;0.06,1,0)</f>
        <v>1</v>
      </c>
      <c r="BH100" s="33">
        <f>IF(E100=1,IF(IF(Orders!S97,1,0)=1-G100,1,0),"")</f>
        <v>1</v>
      </c>
      <c r="BI100" s="32" t="str">
        <f>INDEX(Stores!$B$2:$B$21,MATCH(B100,Stores!$A$2:$A$21,0))</f>
        <v>Hyderabad</v>
      </c>
    </row>
    <row r="101">
      <c r="A101" s="32" t="str">
        <f>Orders!A98</f>
        <v>O00097</v>
      </c>
      <c r="B101" s="32" t="str">
        <f>Orders!C98</f>
        <v>S001</v>
      </c>
      <c r="C101" s="32" t="str">
        <f>Orders!B98</f>
        <v>C0110</v>
      </c>
      <c r="D101" s="32" t="str">
        <f>Orders!H98</f>
        <v>Delivered</v>
      </c>
      <c r="E101" s="33">
        <f>IF(Orders!H98="Delivered",1,0)</f>
        <v>1</v>
      </c>
      <c r="F101" s="34">
        <f>IF(E101=1,Orders!R98,"")</f>
        <v>-0.5</v>
      </c>
      <c r="G101" s="33">
        <f>IF(E101=1,IF(Orders!R98&gt;0,1,0),"")</f>
        <v>0</v>
      </c>
      <c r="H101" s="33">
        <f>IF(E101=1,IF(Orders!R98&gt;5,1,0),"")</f>
        <v>0</v>
      </c>
      <c r="I101" s="32" t="str">
        <f>IF(E101=1,"",IF(OR(Orders!T98="Rider unavailable",Orders!T98="Item unavailable"),"Company-caused","Unresolved"))</f>
        <v/>
      </c>
      <c r="J101" s="33">
        <f>IF(OR(E101=1,I101="Company-caused"),1,0)</f>
        <v>1</v>
      </c>
      <c r="K101" s="32" t="str">
        <f>IF(E101=0,IF(I101="Company-caused",IF(Orders!T98="Rider unavailable","C1 Rider unavailable","C2 Item unavailable"),"Outside root: unresolved"),IF(G101=0,"A On time",IF(H101=1,IF(L101=1,"B2a Severe, peak","B2b Severe, off-peak"),IF(L101=1,"B1a Slight, peak","B1b Slight, off-peak"))))</f>
        <v>A On time</v>
      </c>
      <c r="L101" s="33">
        <f>IF(AND(Orders!U98&gt;=19,Orders!U98&lt;22),1,0)</f>
        <v>0</v>
      </c>
      <c r="M101" s="33">
        <f>IF(L101=IF(Orders!V98,1,0),1,0)</f>
        <v>1</v>
      </c>
      <c r="N101" s="32" t="str">
        <f>IF(Orders!W98="","None",Orders!W98)</f>
        <v>None</v>
      </c>
      <c r="O101" s="35">
        <f>INT(Orders!E98)</f>
        <v>46279.0</v>
      </c>
      <c r="P101" s="33">
        <f>Orders!U98</f>
        <v>18</v>
      </c>
      <c r="Q101" s="33">
        <f>COUNTIFS(Demand!$A$2:$A$4481,B101,Demand!$B$2:$B$4481,O101,Demand!$C$2:$C$4481,P101)</f>
        <v>1</v>
      </c>
      <c r="R101" s="33">
        <f>IF(Q101=1,SUMIFS(Demand!$E$2:$E$4481,Demand!$A$2:$A$4481,B101,Demand!$B$2:$B$4481,O101,Demand!$C$2:$C$4481,P101),"")</f>
        <v>21</v>
      </c>
      <c r="S101" s="33">
        <f>INDEX(Stores!$G$2:$G$21,MATCH(B101,Stores!$A$2:$A$21,0))</f>
        <v>16</v>
      </c>
      <c r="T101" s="34">
        <f>IF(R101="","",R101/S101)</f>
        <v>1.3125</v>
      </c>
      <c r="U101" s="34">
        <f>IF(E101=1,T101,"")</f>
        <v>1.3125</v>
      </c>
      <c r="V101" s="34">
        <f>IF(AND(E101=1,L101=0),T101,"")</f>
        <v>1.3125</v>
      </c>
      <c r="W101" s="33">
        <f>IF(U101="","",IF(U101&lt;=Breakdowns!$C$5,1,IF(U101&lt;=Breakdowns!$C$6,2,IF(U101&lt;=Breakdowns!$C$7,3,4))))</f>
        <v>4</v>
      </c>
      <c r="X101" s="33">
        <f>IF(V101="","",IF(V101&lt;=Breakdowns!$D$5,1,IF(V101&lt;=Breakdowns!$D$6,2,IF(V101&lt;=Breakdowns!$D$7,3,4))))</f>
        <v>4</v>
      </c>
      <c r="Y101" s="34">
        <f>INDEX(Stores!$F$2:$F$21,MATCH(B101,Stores!$A$2:$A$21,0))</f>
        <v>4.59</v>
      </c>
      <c r="Z101" s="33">
        <f>IF(Y101&gt;Store_Summary!$M$2,1,0)</f>
        <v>0</v>
      </c>
      <c r="AA101" s="33">
        <f>INDEX(Stores!$C$2:$C$21,MATCH(B101,Stores!$A$2:$A$21,0))</f>
        <v>362</v>
      </c>
      <c r="AB101" s="33">
        <f>IF(AA101&lt;180,1,0)</f>
        <v>0</v>
      </c>
      <c r="AC101" s="32" t="str">
        <f>IF(Orders!D98="","",INDEX(Riders!$C$2:$C$81,MATCH(Orders!D98,Riders!$A$2:$A$81,0)))</f>
        <v>EV scooter</v>
      </c>
      <c r="AD101" s="33">
        <f>IF(Orders!D98="","",INDEX(Riders!$D$2:$D$81,MATCH(Orders!D98,Riders!$A$2:$A$81,0)))</f>
        <v>45</v>
      </c>
      <c r="AE101" s="33">
        <f>IF(Orders!D98="","",IF(INDEX(Riders!$B$2:$B$81,MATCH(Orders!D98,Riders!$A$2:$A$81,0))=B101,1,0))</f>
        <v>0</v>
      </c>
      <c r="AF101" s="34">
        <f>IF(E101=1,Orders!L98,"")</f>
        <v>1.22</v>
      </c>
      <c r="AG101" s="34">
        <f>IF(E101=1,Orders!P98,"")</f>
        <v>10.4</v>
      </c>
      <c r="AH101" s="34">
        <f>IF(E101=1,Orders!Q98,"")</f>
        <v>9.9</v>
      </c>
      <c r="AI101" s="34">
        <f>IF(E101=1,Orders!M98,"")</f>
        <v>3.6</v>
      </c>
      <c r="AJ101" s="34">
        <f>IF(E101=1,Orders!N98,"")</f>
        <v>3.6</v>
      </c>
      <c r="AK101" s="34">
        <f>IF(E101=1,Orders!O98,"")</f>
        <v>2.7</v>
      </c>
      <c r="AL101" s="33">
        <f>IF(E101=1,IF(ROUND(ABS(AI101+AJ101+AK101-AH101),6)&lt;=0.1,1,0),"")</f>
        <v>1</v>
      </c>
      <c r="AM101" s="36">
        <f>IF(E101=1,AI101/AH101,"")</f>
        <v>0.363636363636364</v>
      </c>
      <c r="AN101" s="36">
        <f>IF(E101=1,AJ101/AH101,"")</f>
        <v>0.363636363636364</v>
      </c>
      <c r="AO101" s="36">
        <f>IF(E101=1,AK101/AH101,"")</f>
        <v>0.272727272727273</v>
      </c>
      <c r="AP101" s="34">
        <f>IF(E101=1,Orders!Y98,"")</f>
        <v>0.3</v>
      </c>
      <c r="AQ101" s="33">
        <f>IF(Orders!X98,1,0)</f>
        <v>0</v>
      </c>
      <c r="AR101" s="34" t="str">
        <f>IF(AND(E101=1,L101=1),AJ101,"")</f>
        <v/>
      </c>
      <c r="AS101" s="34">
        <f>IF(AND(E101=1,L101=0),AJ101,"")</f>
        <v>3.6</v>
      </c>
      <c r="AT101" s="34" t="str">
        <f>IF(AND(E101=1,L101=1),AI101,"")</f>
        <v/>
      </c>
      <c r="AU101" s="34">
        <f>IF(AND(E101=1,L101=0),AI101,"")</f>
        <v>3.6</v>
      </c>
      <c r="AV101" s="34" t="str">
        <f>IF(AND(E101=1,L101=1),AG101,"")</f>
        <v/>
      </c>
      <c r="AW101" s="34">
        <f>IF(AND(E101=1,L101=0),AG101,"")</f>
        <v>10.4</v>
      </c>
      <c r="AX101" s="34" t="str">
        <f>IF(AND(E101=1,L101=1),AH101,"")</f>
        <v/>
      </c>
      <c r="AY101" s="34">
        <f>IF(AND(E101=1,L101=0),AH101,"")</f>
        <v>9.9</v>
      </c>
      <c r="AZ101" s="34" t="str">
        <f>IF(G101=1,F101,"")</f>
        <v/>
      </c>
      <c r="BA101" s="34" t="str">
        <f>IF(AND(G101=1,L101=1),F101,"")</f>
        <v/>
      </c>
      <c r="BB101" s="34" t="str">
        <f>IF(AND(G101=1,L101=0),F101,"")</f>
        <v/>
      </c>
      <c r="BC101" s="33">
        <f>IF(E101=1,IF(Orders!R98&gt;3,1,0),"")</f>
        <v>0</v>
      </c>
      <c r="BD101" s="33">
        <f>IF(E101=1,IF(Orders!R98&gt;7,1,0),"")</f>
        <v>0</v>
      </c>
      <c r="BE101" s="32" t="str">
        <f>IF(E101=1,IF(Orders!L98&lt;=1.5,"Up to 1.5 km",IF(Orders!L98&lt;=3,"1.5–3 km","Over 3 km")),"")</f>
        <v>Up to 1.5 km</v>
      </c>
      <c r="BF101" s="33">
        <f>IF(E101=1,IF(ABS((Orders!G98-Orders!F98)*1440-Orders!R98)&lt;0.06,1,0),"")</f>
        <v>1</v>
      </c>
      <c r="BG101" s="33">
        <f>IF(ABS((Orders!F98-Orders!E98)*1440-Orders!P98)&lt;0.06,1,0)</f>
        <v>1</v>
      </c>
      <c r="BH101" s="33">
        <f>IF(E101=1,IF(IF(Orders!S98,1,0)=1-G101,1,0),"")</f>
        <v>1</v>
      </c>
      <c r="BI101" s="32" t="str">
        <f>INDEX(Stores!$B$2:$B$21,MATCH(B101,Stores!$A$2:$A$21,0))</f>
        <v>Bengaluru</v>
      </c>
    </row>
    <row r="102">
      <c r="A102" s="32" t="str">
        <f>Orders!A99</f>
        <v>O00098</v>
      </c>
      <c r="B102" s="32" t="str">
        <f>Orders!C99</f>
        <v>S017</v>
      </c>
      <c r="C102" s="32" t="str">
        <f>Orders!B99</f>
        <v>C0166</v>
      </c>
      <c r="D102" s="32" t="str">
        <f>Orders!H99</f>
        <v>Delivered</v>
      </c>
      <c r="E102" s="33">
        <f>IF(Orders!H99="Delivered",1,0)</f>
        <v>1</v>
      </c>
      <c r="F102" s="34">
        <f>IF(E102=1,Orders!R99,"")</f>
        <v>2.6</v>
      </c>
      <c r="G102" s="33">
        <f>IF(E102=1,IF(Orders!R99&gt;0,1,0),"")</f>
        <v>1</v>
      </c>
      <c r="H102" s="33">
        <f>IF(E102=1,IF(Orders!R99&gt;5,1,0),"")</f>
        <v>0</v>
      </c>
      <c r="I102" s="32" t="str">
        <f>IF(E102=1,"",IF(OR(Orders!T99="Rider unavailable",Orders!T99="Item unavailable"),"Company-caused","Unresolved"))</f>
        <v/>
      </c>
      <c r="J102" s="33">
        <f>IF(OR(E102=1,I102="Company-caused"),1,0)</f>
        <v>1</v>
      </c>
      <c r="K102" s="32" t="str">
        <f>IF(E102=0,IF(I102="Company-caused",IF(Orders!T99="Rider unavailable","C1 Rider unavailable","C2 Item unavailable"),"Outside root: unresolved"),IF(G102=0,"A On time",IF(H102=1,IF(L102=1,"B2a Severe, peak","B2b Severe, off-peak"),IF(L102=1,"B1a Slight, peak","B1b Slight, off-peak"))))</f>
        <v>B1b Slight, off-peak</v>
      </c>
      <c r="L102" s="33">
        <f>IF(AND(Orders!U99&gt;=19,Orders!U99&lt;22),1,0)</f>
        <v>0</v>
      </c>
      <c r="M102" s="33">
        <f>IF(L102=IF(Orders!V99,1,0),1,0)</f>
        <v>1</v>
      </c>
      <c r="N102" s="32" t="str">
        <f>IF(Orders!W99="","None",Orders!W99)</f>
        <v>None</v>
      </c>
      <c r="O102" s="35">
        <f>INT(Orders!E99)</f>
        <v>46266.0</v>
      </c>
      <c r="P102" s="33">
        <f>Orders!U99</f>
        <v>17</v>
      </c>
      <c r="Q102" s="33">
        <f>COUNTIFS(Demand!$A$2:$A$4481,B102,Demand!$B$2:$B$4481,O102,Demand!$C$2:$C$4481,P102)</f>
        <v>1</v>
      </c>
      <c r="R102" s="33">
        <f>IF(Q102=1,SUMIFS(Demand!$E$2:$E$4481,Demand!$A$2:$A$4481,B102,Demand!$B$2:$B$4481,O102,Demand!$C$2:$C$4481,P102),"")</f>
        <v>35</v>
      </c>
      <c r="S102" s="33">
        <f>INDEX(Stores!$G$2:$G$21,MATCH(B102,Stores!$A$2:$A$21,0))</f>
        <v>36</v>
      </c>
      <c r="T102" s="34">
        <f>IF(R102="","",R102/S102)</f>
        <v>0.972222222222222</v>
      </c>
      <c r="U102" s="34">
        <f>IF(E102=1,T102,"")</f>
        <v>0.972222222222222</v>
      </c>
      <c r="V102" s="34">
        <f>IF(AND(E102=1,L102=0),T102,"")</f>
        <v>0.972222222222222</v>
      </c>
      <c r="W102" s="33">
        <f>IF(U102="","",IF(U102&lt;=Breakdowns!$C$5,1,IF(U102&lt;=Breakdowns!$C$6,2,IF(U102&lt;=Breakdowns!$C$7,3,4))))</f>
        <v>2</v>
      </c>
      <c r="X102" s="33">
        <f>IF(V102="","",IF(V102&lt;=Breakdowns!$D$5,1,IF(V102&lt;=Breakdowns!$D$6,2,IF(V102&lt;=Breakdowns!$D$7,3,4))))</f>
        <v>3</v>
      </c>
      <c r="Y102" s="34">
        <f>INDEX(Stores!$F$2:$F$21,MATCH(B102,Stores!$A$2:$A$21,0))</f>
        <v>2.16</v>
      </c>
      <c r="Z102" s="33">
        <f>IF(Y102&gt;Store_Summary!$M$2,1,0)</f>
        <v>0</v>
      </c>
      <c r="AA102" s="33">
        <f>INDEX(Stores!$C$2:$C$21,MATCH(B102,Stores!$A$2:$A$21,0))</f>
        <v>47</v>
      </c>
      <c r="AB102" s="33">
        <f>IF(AA102&lt;180,1,0)</f>
        <v>1</v>
      </c>
      <c r="AC102" s="32" t="str">
        <f>IF(Orders!D99="","",INDEX(Riders!$C$2:$C$81,MATCH(Orders!D99,Riders!$A$2:$A$81,0)))</f>
        <v>Petrol scooter</v>
      </c>
      <c r="AD102" s="33">
        <f>IF(Orders!D99="","",INDEX(Riders!$D$2:$D$81,MATCH(Orders!D99,Riders!$A$2:$A$81,0)))</f>
        <v>44</v>
      </c>
      <c r="AE102" s="33">
        <f>IF(Orders!D99="","",IF(INDEX(Riders!$B$2:$B$81,MATCH(Orders!D99,Riders!$A$2:$A$81,0))=B102,1,0))</f>
        <v>0</v>
      </c>
      <c r="AF102" s="34">
        <f>IF(E102=1,Orders!L99,"")</f>
        <v>0.5</v>
      </c>
      <c r="AG102" s="34">
        <f>IF(E102=1,Orders!P99,"")</f>
        <v>9.7</v>
      </c>
      <c r="AH102" s="34">
        <f>IF(E102=1,Orders!Q99,"")</f>
        <v>12.3</v>
      </c>
      <c r="AI102" s="34">
        <f>IF(E102=1,Orders!M99,"")</f>
        <v>2.2</v>
      </c>
      <c r="AJ102" s="34">
        <f>IF(E102=1,Orders!N99,"")</f>
        <v>7.7</v>
      </c>
      <c r="AK102" s="34">
        <f>IF(E102=1,Orders!O99,"")</f>
        <v>2.4</v>
      </c>
      <c r="AL102" s="33">
        <f>IF(E102=1,IF(ROUND(ABS(AI102+AJ102+AK102-AH102),6)&lt;=0.1,1,0),"")</f>
        <v>1</v>
      </c>
      <c r="AM102" s="36">
        <f>IF(E102=1,AI102/AH102,"")</f>
        <v>0.178861788617886</v>
      </c>
      <c r="AN102" s="36">
        <f>IF(E102=1,AJ102/AH102,"")</f>
        <v>0.626016260162602</v>
      </c>
      <c r="AO102" s="36">
        <f>IF(E102=1,AK102/AH102,"")</f>
        <v>0.195121951219512</v>
      </c>
      <c r="AP102" s="34">
        <f>IF(E102=1,Orders!Y99,"")</f>
        <v>0.5</v>
      </c>
      <c r="AQ102" s="33">
        <f>IF(Orders!X99,1,0)</f>
        <v>0</v>
      </c>
      <c r="AR102" s="34" t="str">
        <f>IF(AND(E102=1,L102=1),AJ102,"")</f>
        <v/>
      </c>
      <c r="AS102" s="34">
        <f>IF(AND(E102=1,L102=0),AJ102,"")</f>
        <v>7.7</v>
      </c>
      <c r="AT102" s="34" t="str">
        <f>IF(AND(E102=1,L102=1),AI102,"")</f>
        <v/>
      </c>
      <c r="AU102" s="34">
        <f>IF(AND(E102=1,L102=0),AI102,"")</f>
        <v>2.2</v>
      </c>
      <c r="AV102" s="34" t="str">
        <f>IF(AND(E102=1,L102=1),AG102,"")</f>
        <v/>
      </c>
      <c r="AW102" s="34">
        <f>IF(AND(E102=1,L102=0),AG102,"")</f>
        <v>9.7</v>
      </c>
      <c r="AX102" s="34" t="str">
        <f>IF(AND(E102=1,L102=1),AH102,"")</f>
        <v/>
      </c>
      <c r="AY102" s="34">
        <f>IF(AND(E102=1,L102=0),AH102,"")</f>
        <v>12.3</v>
      </c>
      <c r="AZ102" s="34">
        <f>IF(G102=1,F102,"")</f>
        <v>2.6</v>
      </c>
      <c r="BA102" s="34" t="str">
        <f>IF(AND(G102=1,L102=1),F102,"")</f>
        <v/>
      </c>
      <c r="BB102" s="34">
        <f>IF(AND(G102=1,L102=0),F102,"")</f>
        <v>2.6</v>
      </c>
      <c r="BC102" s="33">
        <f>IF(E102=1,IF(Orders!R99&gt;3,1,0),"")</f>
        <v>0</v>
      </c>
      <c r="BD102" s="33">
        <f>IF(E102=1,IF(Orders!R99&gt;7,1,0),"")</f>
        <v>0</v>
      </c>
      <c r="BE102" s="32" t="str">
        <f>IF(E102=1,IF(Orders!L99&lt;=1.5,"Up to 1.5 km",IF(Orders!L99&lt;=3,"1.5–3 km","Over 3 km")),"")</f>
        <v>Up to 1.5 km</v>
      </c>
      <c r="BF102" s="33">
        <f>IF(E102=1,IF(ABS((Orders!G99-Orders!F99)*1440-Orders!R99)&lt;0.06,1,0),"")</f>
        <v>1</v>
      </c>
      <c r="BG102" s="33">
        <f>IF(ABS((Orders!F99-Orders!E99)*1440-Orders!P99)&lt;0.06,1,0)</f>
        <v>1</v>
      </c>
      <c r="BH102" s="33">
        <f>IF(E102=1,IF(IF(Orders!S99,1,0)=1-G102,1,0),"")</f>
        <v>1</v>
      </c>
      <c r="BI102" s="32" t="str">
        <f>INDEX(Stores!$B$2:$B$21,MATCH(B102,Stores!$A$2:$A$21,0))</f>
        <v>Hyderabad</v>
      </c>
    </row>
    <row r="103">
      <c r="A103" s="32" t="str">
        <f>Orders!A100</f>
        <v>O00099</v>
      </c>
      <c r="B103" s="32" t="str">
        <f>Orders!C100</f>
        <v>S011</v>
      </c>
      <c r="C103" s="32" t="str">
        <f>Orders!B100</f>
        <v>C0027</v>
      </c>
      <c r="D103" s="32" t="str">
        <f>Orders!H100</f>
        <v>Delivered</v>
      </c>
      <c r="E103" s="33">
        <f>IF(Orders!H100="Delivered",1,0)</f>
        <v>1</v>
      </c>
      <c r="F103" s="34">
        <f>IF(E103=1,Orders!R100,"")</f>
        <v>0.9</v>
      </c>
      <c r="G103" s="33">
        <f>IF(E103=1,IF(Orders!R100&gt;0,1,0),"")</f>
        <v>1</v>
      </c>
      <c r="H103" s="33">
        <f>IF(E103=1,IF(Orders!R100&gt;5,1,0),"")</f>
        <v>0</v>
      </c>
      <c r="I103" s="32" t="str">
        <f>IF(E103=1,"",IF(OR(Orders!T100="Rider unavailable",Orders!T100="Item unavailable"),"Company-caused","Unresolved"))</f>
        <v/>
      </c>
      <c r="J103" s="33">
        <f>IF(OR(E103=1,I103="Company-caused"),1,0)</f>
        <v>1</v>
      </c>
      <c r="K103" s="32" t="str">
        <f>IF(E103=0,IF(I103="Company-caused",IF(Orders!T100="Rider unavailable","C1 Rider unavailable","C2 Item unavailable"),"Outside root: unresolved"),IF(G103=0,"A On time",IF(H103=1,IF(L103=1,"B2a Severe, peak","B2b Severe, off-peak"),IF(L103=1,"B1a Slight, peak","B1b Slight, off-peak"))))</f>
        <v>B1b Slight, off-peak</v>
      </c>
      <c r="L103" s="33">
        <f>IF(AND(Orders!U100&gt;=19,Orders!U100&lt;22),1,0)</f>
        <v>0</v>
      </c>
      <c r="M103" s="33">
        <f>IF(L103=IF(Orders!V100,1,0),1,0)</f>
        <v>1</v>
      </c>
      <c r="N103" s="32" t="str">
        <f>IF(Orders!W100="","None",Orders!W100)</f>
        <v>None</v>
      </c>
      <c r="O103" s="35">
        <f>INT(Orders!E100)</f>
        <v>46270.0</v>
      </c>
      <c r="P103" s="33">
        <f>Orders!U100</f>
        <v>8</v>
      </c>
      <c r="Q103" s="33">
        <f>COUNTIFS(Demand!$A$2:$A$4481,B103,Demand!$B$2:$B$4481,O103,Demand!$C$2:$C$4481,P103)</f>
        <v>1</v>
      </c>
      <c r="R103" s="33">
        <f>IF(Q103=1,SUMIFS(Demand!$E$2:$E$4481,Demand!$A$2:$A$4481,B103,Demand!$B$2:$B$4481,O103,Demand!$C$2:$C$4481,P103),"")</f>
        <v>30</v>
      </c>
      <c r="S103" s="33">
        <f>INDEX(Stores!$G$2:$G$21,MATCH(B103,Stores!$A$2:$A$21,0))</f>
        <v>31</v>
      </c>
      <c r="T103" s="34">
        <f>IF(R103="","",R103/S103)</f>
        <v>0.967741935483871</v>
      </c>
      <c r="U103" s="34">
        <f>IF(E103=1,T103,"")</f>
        <v>0.967741935483871</v>
      </c>
      <c r="V103" s="34">
        <f>IF(AND(E103=1,L103=0),T103,"")</f>
        <v>0.967741935483871</v>
      </c>
      <c r="W103" s="33">
        <f>IF(U103="","",IF(U103&lt;=Breakdowns!$C$5,1,IF(U103&lt;=Breakdowns!$C$6,2,IF(U103&lt;=Breakdowns!$C$7,3,4))))</f>
        <v>2</v>
      </c>
      <c r="X103" s="33">
        <f>IF(V103="","",IF(V103&lt;=Breakdowns!$D$5,1,IF(V103&lt;=Breakdowns!$D$6,2,IF(V103&lt;=Breakdowns!$D$7,3,4))))</f>
        <v>3</v>
      </c>
      <c r="Y103" s="34">
        <f>INDEX(Stores!$F$2:$F$21,MATCH(B103,Stores!$A$2:$A$21,0))</f>
        <v>5.67</v>
      </c>
      <c r="Z103" s="33">
        <f>IF(Y103&gt;Store_Summary!$M$2,1,0)</f>
        <v>1</v>
      </c>
      <c r="AA103" s="33">
        <f>INDEX(Stores!$C$2:$C$21,MATCH(B103,Stores!$A$2:$A$21,0))</f>
        <v>732</v>
      </c>
      <c r="AB103" s="33">
        <f>IF(AA103&lt;180,1,0)</f>
        <v>0</v>
      </c>
      <c r="AC103" s="32" t="str">
        <f>IF(Orders!D100="","",INDEX(Riders!$C$2:$C$81,MATCH(Orders!D100,Riders!$A$2:$A$81,0)))</f>
        <v>EV scooter</v>
      </c>
      <c r="AD103" s="33">
        <f>IF(Orders!D100="","",INDEX(Riders!$D$2:$D$81,MATCH(Orders!D100,Riders!$A$2:$A$81,0)))</f>
        <v>41</v>
      </c>
      <c r="AE103" s="33">
        <f>IF(Orders!D100="","",IF(INDEX(Riders!$B$2:$B$81,MATCH(Orders!D100,Riders!$A$2:$A$81,0))=B103,1,0))</f>
        <v>0</v>
      </c>
      <c r="AF103" s="34">
        <f>IF(E103=1,Orders!L100,"")</f>
        <v>2.2</v>
      </c>
      <c r="AG103" s="34">
        <f>IF(E103=1,Orders!P100,"")</f>
        <v>10.8</v>
      </c>
      <c r="AH103" s="34">
        <f>IF(E103=1,Orders!Q100,"")</f>
        <v>11.7</v>
      </c>
      <c r="AI103" s="34">
        <f>IF(E103=1,Orders!M100,"")</f>
        <v>5.3</v>
      </c>
      <c r="AJ103" s="34">
        <f>IF(E103=1,Orders!N100,"")</f>
        <v>0.4</v>
      </c>
      <c r="AK103" s="34">
        <f>IF(E103=1,Orders!O100,"")</f>
        <v>6</v>
      </c>
      <c r="AL103" s="33">
        <f>IF(E103=1,IF(ROUND(ABS(AI103+AJ103+AK103-AH103),6)&lt;=0.1,1,0),"")</f>
        <v>1</v>
      </c>
      <c r="AM103" s="36">
        <f>IF(E103=1,AI103/AH103,"")</f>
        <v>0.452991452991453</v>
      </c>
      <c r="AN103" s="36">
        <f>IF(E103=1,AJ103/AH103,"")</f>
        <v>0.0341880341880342</v>
      </c>
      <c r="AO103" s="36">
        <f>IF(E103=1,AK103/AH103,"")</f>
        <v>0.512820512820513</v>
      </c>
      <c r="AP103" s="34">
        <f>IF(E103=1,Orders!Y100,"")</f>
        <v>0.35</v>
      </c>
      <c r="AQ103" s="33">
        <f>IF(Orders!X100,1,0)</f>
        <v>0</v>
      </c>
      <c r="AR103" s="34" t="str">
        <f>IF(AND(E103=1,L103=1),AJ103,"")</f>
        <v/>
      </c>
      <c r="AS103" s="34">
        <f>IF(AND(E103=1,L103=0),AJ103,"")</f>
        <v>0.4</v>
      </c>
      <c r="AT103" s="34" t="str">
        <f>IF(AND(E103=1,L103=1),AI103,"")</f>
        <v/>
      </c>
      <c r="AU103" s="34">
        <f>IF(AND(E103=1,L103=0),AI103,"")</f>
        <v>5.3</v>
      </c>
      <c r="AV103" s="34" t="str">
        <f>IF(AND(E103=1,L103=1),AG103,"")</f>
        <v/>
      </c>
      <c r="AW103" s="34">
        <f>IF(AND(E103=1,L103=0),AG103,"")</f>
        <v>10.8</v>
      </c>
      <c r="AX103" s="34" t="str">
        <f>IF(AND(E103=1,L103=1),AH103,"")</f>
        <v/>
      </c>
      <c r="AY103" s="34">
        <f>IF(AND(E103=1,L103=0),AH103,"")</f>
        <v>11.7</v>
      </c>
      <c r="AZ103" s="34">
        <f>IF(G103=1,F103,"")</f>
        <v>0.9</v>
      </c>
      <c r="BA103" s="34" t="str">
        <f>IF(AND(G103=1,L103=1),F103,"")</f>
        <v/>
      </c>
      <c r="BB103" s="34">
        <f>IF(AND(G103=1,L103=0),F103,"")</f>
        <v>0.9</v>
      </c>
      <c r="BC103" s="33">
        <f>IF(E103=1,IF(Orders!R100&gt;3,1,0),"")</f>
        <v>0</v>
      </c>
      <c r="BD103" s="33">
        <f>IF(E103=1,IF(Orders!R100&gt;7,1,0),"")</f>
        <v>0</v>
      </c>
      <c r="BE103" s="32" t="str">
        <f>IF(E103=1,IF(Orders!L100&lt;=1.5,"Up to 1.5 km",IF(Orders!L100&lt;=3,"1.5–3 km","Over 3 km")),"")</f>
        <v>1.5–3 km</v>
      </c>
      <c r="BF103" s="33">
        <f>IF(E103=1,IF(ABS((Orders!G100-Orders!F100)*1440-Orders!R100)&lt;0.06,1,0),"")</f>
        <v>1</v>
      </c>
      <c r="BG103" s="33">
        <f>IF(ABS((Orders!F100-Orders!E100)*1440-Orders!P100)&lt;0.06,1,0)</f>
        <v>1</v>
      </c>
      <c r="BH103" s="33">
        <f>IF(E103=1,IF(IF(Orders!S100,1,0)=1-G103,1,0),"")</f>
        <v>1</v>
      </c>
      <c r="BI103" s="32" t="str">
        <f>INDEX(Stores!$B$2:$B$21,MATCH(B103,Stores!$A$2:$A$21,0))</f>
        <v>Bengaluru</v>
      </c>
    </row>
    <row r="104">
      <c r="A104" s="32" t="str">
        <f>Orders!A101</f>
        <v>O00100</v>
      </c>
      <c r="B104" s="32" t="str">
        <f>Orders!C101</f>
        <v>S013</v>
      </c>
      <c r="C104" s="32" t="str">
        <f>Orders!B101</f>
        <v>C0129</v>
      </c>
      <c r="D104" s="32" t="str">
        <f>Orders!H101</f>
        <v>Delivered</v>
      </c>
      <c r="E104" s="33">
        <f>IF(Orders!H101="Delivered",1,0)</f>
        <v>1</v>
      </c>
      <c r="F104" s="34">
        <f>IF(E104=1,Orders!R101,"")</f>
        <v>-0.4</v>
      </c>
      <c r="G104" s="33">
        <f>IF(E104=1,IF(Orders!R101&gt;0,1,0),"")</f>
        <v>0</v>
      </c>
      <c r="H104" s="33">
        <f>IF(E104=1,IF(Orders!R101&gt;5,1,0),"")</f>
        <v>0</v>
      </c>
      <c r="I104" s="32" t="str">
        <f>IF(E104=1,"",IF(OR(Orders!T101="Rider unavailable",Orders!T101="Item unavailable"),"Company-caused","Unresolved"))</f>
        <v/>
      </c>
      <c r="J104" s="33">
        <f>IF(OR(E104=1,I104="Company-caused"),1,0)</f>
        <v>1</v>
      </c>
      <c r="K104" s="32" t="str">
        <f>IF(E104=0,IF(I104="Company-caused",IF(Orders!T101="Rider unavailable","C1 Rider unavailable","C2 Item unavailable"),"Outside root: unresolved"),IF(G104=0,"A On time",IF(H104=1,IF(L104=1,"B2a Severe, peak","B2b Severe, off-peak"),IF(L104=1,"B1a Slight, peak","B1b Slight, off-peak"))))</f>
        <v>A On time</v>
      </c>
      <c r="L104" s="33">
        <f>IF(AND(Orders!U101&gt;=19,Orders!U101&lt;22),1,0)</f>
        <v>0</v>
      </c>
      <c r="M104" s="33">
        <f>IF(L104=IF(Orders!V101,1,0),1,0)</f>
        <v>1</v>
      </c>
      <c r="N104" s="32" t="str">
        <f>IF(Orders!W101="","None",Orders!W101)</f>
        <v>None</v>
      </c>
      <c r="O104" s="35">
        <f>INT(Orders!E101)</f>
        <v>46274.0</v>
      </c>
      <c r="P104" s="33">
        <f>Orders!U101</f>
        <v>10</v>
      </c>
      <c r="Q104" s="33">
        <f>COUNTIFS(Demand!$A$2:$A$4481,B104,Demand!$B$2:$B$4481,O104,Demand!$C$2:$C$4481,P104)</f>
        <v>1</v>
      </c>
      <c r="R104" s="33">
        <f>IF(Q104=1,SUMIFS(Demand!$E$2:$E$4481,Demand!$A$2:$A$4481,B104,Demand!$B$2:$B$4481,O104,Demand!$C$2:$C$4481,P104),"")</f>
        <v>25</v>
      </c>
      <c r="S104" s="33">
        <f>INDEX(Stores!$G$2:$G$21,MATCH(B104,Stores!$A$2:$A$21,0))</f>
        <v>49</v>
      </c>
      <c r="T104" s="34">
        <f>IF(R104="","",R104/S104)</f>
        <v>0.510204081632653</v>
      </c>
      <c r="U104" s="34">
        <f>IF(E104=1,T104,"")</f>
        <v>0.510204081632653</v>
      </c>
      <c r="V104" s="34">
        <f>IF(AND(E104=1,L104=0),T104,"")</f>
        <v>0.510204081632653</v>
      </c>
      <c r="W104" s="33">
        <f>IF(U104="","",IF(U104&lt;=Breakdowns!$C$5,1,IF(U104&lt;=Breakdowns!$C$6,2,IF(U104&lt;=Breakdowns!$C$7,3,4))))</f>
        <v>1</v>
      </c>
      <c r="X104" s="33">
        <f>IF(V104="","",IF(V104&lt;=Breakdowns!$D$5,1,IF(V104&lt;=Breakdowns!$D$6,2,IF(V104&lt;=Breakdowns!$D$7,3,4))))</f>
        <v>1</v>
      </c>
      <c r="Y104" s="34">
        <f>INDEX(Stores!$F$2:$F$21,MATCH(B104,Stores!$A$2:$A$21,0))</f>
        <v>5.82</v>
      </c>
      <c r="Z104" s="33">
        <f>IF(Y104&gt;Store_Summary!$M$2,1,0)</f>
        <v>1</v>
      </c>
      <c r="AA104" s="33">
        <f>INDEX(Stores!$C$2:$C$21,MATCH(B104,Stores!$A$2:$A$21,0))</f>
        <v>705</v>
      </c>
      <c r="AB104" s="33">
        <f>IF(AA104&lt;180,1,0)</f>
        <v>0</v>
      </c>
      <c r="AC104" s="32" t="str">
        <f>IF(Orders!D101="","",INDEX(Riders!$C$2:$C$81,MATCH(Orders!D101,Riders!$A$2:$A$81,0)))</f>
        <v>Petrol scooter</v>
      </c>
      <c r="AD104" s="33">
        <f>IF(Orders!D101="","",INDEX(Riders!$D$2:$D$81,MATCH(Orders!D101,Riders!$A$2:$A$81,0)))</f>
        <v>24</v>
      </c>
      <c r="AE104" s="33">
        <f>IF(Orders!D101="","",IF(INDEX(Riders!$B$2:$B$81,MATCH(Orders!D101,Riders!$A$2:$A$81,0))=B104,1,0))</f>
        <v>0</v>
      </c>
      <c r="AF104" s="34">
        <f>IF(E104=1,Orders!L101,"")</f>
        <v>3</v>
      </c>
      <c r="AG104" s="34">
        <f>IF(E104=1,Orders!P101,"")</f>
        <v>11.7</v>
      </c>
      <c r="AH104" s="34">
        <f>IF(E104=1,Orders!Q101,"")</f>
        <v>11.3</v>
      </c>
      <c r="AI104" s="34">
        <f>IF(E104=1,Orders!M101,"")</f>
        <v>4.4</v>
      </c>
      <c r="AJ104" s="34">
        <f>IF(E104=1,Orders!N101,"")</f>
        <v>1.8</v>
      </c>
      <c r="AK104" s="34">
        <f>IF(E104=1,Orders!O101,"")</f>
        <v>5.1</v>
      </c>
      <c r="AL104" s="33">
        <f>IF(E104=1,IF(ROUND(ABS(AI104+AJ104+AK104-AH104),6)&lt;=0.1,1,0),"")</f>
        <v>1</v>
      </c>
      <c r="AM104" s="36">
        <f>IF(E104=1,AI104/AH104,"")</f>
        <v>0.389380530973451</v>
      </c>
      <c r="AN104" s="36">
        <f>IF(E104=1,AJ104/AH104,"")</f>
        <v>0.15929203539823</v>
      </c>
      <c r="AO104" s="36">
        <f>IF(E104=1,AK104/AH104,"")</f>
        <v>0.451327433628319</v>
      </c>
      <c r="AP104" s="34">
        <f>IF(E104=1,Orders!Y101,"")</f>
        <v>0.48</v>
      </c>
      <c r="AQ104" s="33">
        <f>IF(Orders!X101,1,0)</f>
        <v>0</v>
      </c>
      <c r="AR104" s="34" t="str">
        <f>IF(AND(E104=1,L104=1),AJ104,"")</f>
        <v/>
      </c>
      <c r="AS104" s="34">
        <f>IF(AND(E104=1,L104=0),AJ104,"")</f>
        <v>1.8</v>
      </c>
      <c r="AT104" s="34" t="str">
        <f>IF(AND(E104=1,L104=1),AI104,"")</f>
        <v/>
      </c>
      <c r="AU104" s="34">
        <f>IF(AND(E104=1,L104=0),AI104,"")</f>
        <v>4.4</v>
      </c>
      <c r="AV104" s="34" t="str">
        <f>IF(AND(E104=1,L104=1),AG104,"")</f>
        <v/>
      </c>
      <c r="AW104" s="34">
        <f>IF(AND(E104=1,L104=0),AG104,"")</f>
        <v>11.7</v>
      </c>
      <c r="AX104" s="34" t="str">
        <f>IF(AND(E104=1,L104=1),AH104,"")</f>
        <v/>
      </c>
      <c r="AY104" s="34">
        <f>IF(AND(E104=1,L104=0),AH104,"")</f>
        <v>11.3</v>
      </c>
      <c r="AZ104" s="34" t="str">
        <f>IF(G104=1,F104,"")</f>
        <v/>
      </c>
      <c r="BA104" s="34" t="str">
        <f>IF(AND(G104=1,L104=1),F104,"")</f>
        <v/>
      </c>
      <c r="BB104" s="34" t="str">
        <f>IF(AND(G104=1,L104=0),F104,"")</f>
        <v/>
      </c>
      <c r="BC104" s="33">
        <f>IF(E104=1,IF(Orders!R101&gt;3,1,0),"")</f>
        <v>0</v>
      </c>
      <c r="BD104" s="33">
        <f>IF(E104=1,IF(Orders!R101&gt;7,1,0),"")</f>
        <v>0</v>
      </c>
      <c r="BE104" s="32" t="str">
        <f>IF(E104=1,IF(Orders!L101&lt;=1.5,"Up to 1.5 km",IF(Orders!L101&lt;=3,"1.5–3 km","Over 3 km")),"")</f>
        <v>1.5–3 km</v>
      </c>
      <c r="BF104" s="33">
        <f>IF(E104=1,IF(ABS((Orders!G101-Orders!F101)*1440-Orders!R101)&lt;0.06,1,0),"")</f>
        <v>1</v>
      </c>
      <c r="BG104" s="33">
        <f>IF(ABS((Orders!F101-Orders!E101)*1440-Orders!P101)&lt;0.06,1,0)</f>
        <v>1</v>
      </c>
      <c r="BH104" s="33">
        <f>IF(E104=1,IF(IF(Orders!S101,1,0)=1-G104,1,0),"")</f>
        <v>1</v>
      </c>
      <c r="BI104" s="32" t="str">
        <f>INDEX(Stores!$B$2:$B$21,MATCH(B104,Stores!$A$2:$A$21,0))</f>
        <v>Mumbai</v>
      </c>
    </row>
    <row r="105">
      <c r="A105" s="32" t="str">
        <f>Orders!A102</f>
        <v>O00101</v>
      </c>
      <c r="B105" s="32" t="str">
        <f>Orders!C102</f>
        <v>S019</v>
      </c>
      <c r="C105" s="32" t="str">
        <f>Orders!B102</f>
        <v>C0141</v>
      </c>
      <c r="D105" s="32" t="str">
        <f>Orders!H102</f>
        <v>Delivered</v>
      </c>
      <c r="E105" s="33">
        <f>IF(Orders!H102="Delivered",1,0)</f>
        <v>1</v>
      </c>
      <c r="F105" s="34">
        <f>IF(E105=1,Orders!R102,"")</f>
        <v>-0.9</v>
      </c>
      <c r="G105" s="33">
        <f>IF(E105=1,IF(Orders!R102&gt;0,1,0),"")</f>
        <v>0</v>
      </c>
      <c r="H105" s="33">
        <f>IF(E105=1,IF(Orders!R102&gt;5,1,0),"")</f>
        <v>0</v>
      </c>
      <c r="I105" s="32" t="str">
        <f>IF(E105=1,"",IF(OR(Orders!T102="Rider unavailable",Orders!T102="Item unavailable"),"Company-caused","Unresolved"))</f>
        <v/>
      </c>
      <c r="J105" s="33">
        <f>IF(OR(E105=1,I105="Company-caused"),1,0)</f>
        <v>1</v>
      </c>
      <c r="K105" s="32" t="str">
        <f>IF(E105=0,IF(I105="Company-caused",IF(Orders!T102="Rider unavailable","C1 Rider unavailable","C2 Item unavailable"),"Outside root: unresolved"),IF(G105=0,"A On time",IF(H105=1,IF(L105=1,"B2a Severe, peak","B2b Severe, off-peak"),IF(L105=1,"B1a Slight, peak","B1b Slight, off-peak"))))</f>
        <v>A On time</v>
      </c>
      <c r="L105" s="33">
        <f>IF(AND(Orders!U102&gt;=19,Orders!U102&lt;22),1,0)</f>
        <v>0</v>
      </c>
      <c r="M105" s="33">
        <f>IF(L105=IF(Orders!V102,1,0),1,0)</f>
        <v>1</v>
      </c>
      <c r="N105" s="32" t="str">
        <f>IF(Orders!W102="","None",Orders!W102)</f>
        <v>None</v>
      </c>
      <c r="O105" s="35">
        <f>INT(Orders!E102)</f>
        <v>46271.0</v>
      </c>
      <c r="P105" s="33">
        <f>Orders!U102</f>
        <v>23</v>
      </c>
      <c r="Q105" s="33">
        <f>COUNTIFS(Demand!$A$2:$A$4481,B105,Demand!$B$2:$B$4481,O105,Demand!$C$2:$C$4481,P105)</f>
        <v>1</v>
      </c>
      <c r="R105" s="33">
        <f>IF(Q105=1,SUMIFS(Demand!$E$2:$E$4481,Demand!$A$2:$A$4481,B105,Demand!$B$2:$B$4481,O105,Demand!$C$2:$C$4481,P105),"")</f>
        <v>20</v>
      </c>
      <c r="S105" s="33">
        <f>INDEX(Stores!$G$2:$G$21,MATCH(B105,Stores!$A$2:$A$21,0))</f>
        <v>22</v>
      </c>
      <c r="T105" s="34">
        <f>IF(R105="","",R105/S105)</f>
        <v>0.909090909090909</v>
      </c>
      <c r="U105" s="34">
        <f>IF(E105=1,T105,"")</f>
        <v>0.909090909090909</v>
      </c>
      <c r="V105" s="34">
        <f>IF(AND(E105=1,L105=0),T105,"")</f>
        <v>0.909090909090909</v>
      </c>
      <c r="W105" s="33">
        <f>IF(U105="","",IF(U105&lt;=Breakdowns!$C$5,1,IF(U105&lt;=Breakdowns!$C$6,2,IF(U105&lt;=Breakdowns!$C$7,3,4))))</f>
        <v>2</v>
      </c>
      <c r="X105" s="33">
        <f>IF(V105="","",IF(V105&lt;=Breakdowns!$D$5,1,IF(V105&lt;=Breakdowns!$D$6,2,IF(V105&lt;=Breakdowns!$D$7,3,4))))</f>
        <v>2</v>
      </c>
      <c r="Y105" s="34">
        <f>INDEX(Stores!$F$2:$F$21,MATCH(B105,Stores!$A$2:$A$21,0))</f>
        <v>4.99</v>
      </c>
      <c r="Z105" s="33">
        <f>IF(Y105&gt;Store_Summary!$M$2,1,0)</f>
        <v>1</v>
      </c>
      <c r="AA105" s="33">
        <f>INDEX(Stores!$C$2:$C$21,MATCH(B105,Stores!$A$2:$A$21,0))</f>
        <v>851</v>
      </c>
      <c r="AB105" s="33">
        <f>IF(AA105&lt;180,1,0)</f>
        <v>0</v>
      </c>
      <c r="AC105" s="32" t="str">
        <f>IF(Orders!D102="","",INDEX(Riders!$C$2:$C$81,MATCH(Orders!D102,Riders!$A$2:$A$81,0)))</f>
        <v>EV scooter</v>
      </c>
      <c r="AD105" s="33">
        <f>IF(Orders!D102="","",INDEX(Riders!$D$2:$D$81,MATCH(Orders!D102,Riders!$A$2:$A$81,0)))</f>
        <v>36</v>
      </c>
      <c r="AE105" s="33">
        <f>IF(Orders!D102="","",IF(INDEX(Riders!$B$2:$B$81,MATCH(Orders!D102,Riders!$A$2:$A$81,0))=B105,1,0))</f>
        <v>1</v>
      </c>
      <c r="AF105" s="34">
        <f>IF(E105=1,Orders!L102,"")</f>
        <v>2.5</v>
      </c>
      <c r="AG105" s="34">
        <f>IF(E105=1,Orders!P102,"")</f>
        <v>9.7</v>
      </c>
      <c r="AH105" s="34">
        <f>IF(E105=1,Orders!Q102,"")</f>
        <v>8.8</v>
      </c>
      <c r="AI105" s="34">
        <f>IF(E105=1,Orders!M102,"")</f>
        <v>3.6</v>
      </c>
      <c r="AJ105" s="34">
        <f>IF(E105=1,Orders!N102,"")</f>
        <v>1.1</v>
      </c>
      <c r="AK105" s="34">
        <f>IF(E105=1,Orders!O102,"")</f>
        <v>4.1</v>
      </c>
      <c r="AL105" s="33">
        <f>IF(E105=1,IF(ROUND(ABS(AI105+AJ105+AK105-AH105),6)&lt;=0.1,1,0),"")</f>
        <v>1</v>
      </c>
      <c r="AM105" s="36">
        <f>IF(E105=1,AI105/AH105,"")</f>
        <v>0.409090909090909</v>
      </c>
      <c r="AN105" s="36">
        <f>IF(E105=1,AJ105/AH105,"")</f>
        <v>0.125</v>
      </c>
      <c r="AO105" s="36">
        <f>IF(E105=1,AK105/AH105,"")</f>
        <v>0.465909090909091</v>
      </c>
      <c r="AP105" s="34">
        <f>IF(E105=1,Orders!Y102,"")</f>
        <v>0.58</v>
      </c>
      <c r="AQ105" s="33">
        <f>IF(Orders!X102,1,0)</f>
        <v>0</v>
      </c>
      <c r="AR105" s="34" t="str">
        <f>IF(AND(E105=1,L105=1),AJ105,"")</f>
        <v/>
      </c>
      <c r="AS105" s="34">
        <f>IF(AND(E105=1,L105=0),AJ105,"")</f>
        <v>1.1</v>
      </c>
      <c r="AT105" s="34" t="str">
        <f>IF(AND(E105=1,L105=1),AI105,"")</f>
        <v/>
      </c>
      <c r="AU105" s="34">
        <f>IF(AND(E105=1,L105=0),AI105,"")</f>
        <v>3.6</v>
      </c>
      <c r="AV105" s="34" t="str">
        <f>IF(AND(E105=1,L105=1),AG105,"")</f>
        <v/>
      </c>
      <c r="AW105" s="34">
        <f>IF(AND(E105=1,L105=0),AG105,"")</f>
        <v>9.7</v>
      </c>
      <c r="AX105" s="34" t="str">
        <f>IF(AND(E105=1,L105=1),AH105,"")</f>
        <v/>
      </c>
      <c r="AY105" s="34">
        <f>IF(AND(E105=1,L105=0),AH105,"")</f>
        <v>8.8</v>
      </c>
      <c r="AZ105" s="34" t="str">
        <f>IF(G105=1,F105,"")</f>
        <v/>
      </c>
      <c r="BA105" s="34" t="str">
        <f>IF(AND(G105=1,L105=1),F105,"")</f>
        <v/>
      </c>
      <c r="BB105" s="34" t="str">
        <f>IF(AND(G105=1,L105=0),F105,"")</f>
        <v/>
      </c>
      <c r="BC105" s="33">
        <f>IF(E105=1,IF(Orders!R102&gt;3,1,0),"")</f>
        <v>0</v>
      </c>
      <c r="BD105" s="33">
        <f>IF(E105=1,IF(Orders!R102&gt;7,1,0),"")</f>
        <v>0</v>
      </c>
      <c r="BE105" s="32" t="str">
        <f>IF(E105=1,IF(Orders!L102&lt;=1.5,"Up to 1.5 km",IF(Orders!L102&lt;=3,"1.5–3 km","Over 3 km")),"")</f>
        <v>1.5–3 km</v>
      </c>
      <c r="BF105" s="33">
        <f>IF(E105=1,IF(ABS((Orders!G102-Orders!F102)*1440-Orders!R102)&lt;0.06,1,0),"")</f>
        <v>1</v>
      </c>
      <c r="BG105" s="33">
        <f>IF(ABS((Orders!F102-Orders!E102)*1440-Orders!P102)&lt;0.06,1,0)</f>
        <v>1</v>
      </c>
      <c r="BH105" s="33">
        <f>IF(E105=1,IF(IF(Orders!S102,1,0)=1-G105,1,0),"")</f>
        <v>1</v>
      </c>
      <c r="BI105" s="32" t="str">
        <f>INDEX(Stores!$B$2:$B$21,MATCH(B105,Stores!$A$2:$A$21,0))</f>
        <v>Pune</v>
      </c>
    </row>
    <row r="106">
      <c r="A106" s="32" t="str">
        <f>Orders!A103</f>
        <v>O00102</v>
      </c>
      <c r="B106" s="32" t="str">
        <f>Orders!C103</f>
        <v>S004</v>
      </c>
      <c r="C106" s="32" t="str">
        <f>Orders!B103</f>
        <v>C0225</v>
      </c>
      <c r="D106" s="32" t="str">
        <f>Orders!H103</f>
        <v>Delivered</v>
      </c>
      <c r="E106" s="33">
        <f>IF(Orders!H103="Delivered",1,0)</f>
        <v>1</v>
      </c>
      <c r="F106" s="34">
        <f>IF(E106=1,Orders!R103,"")</f>
        <v>-0.8</v>
      </c>
      <c r="G106" s="33">
        <f>IF(E106=1,IF(Orders!R103&gt;0,1,0),"")</f>
        <v>0</v>
      </c>
      <c r="H106" s="33">
        <f>IF(E106=1,IF(Orders!R103&gt;5,1,0),"")</f>
        <v>0</v>
      </c>
      <c r="I106" s="32" t="str">
        <f>IF(E106=1,"",IF(OR(Orders!T103="Rider unavailable",Orders!T103="Item unavailable"),"Company-caused","Unresolved"))</f>
        <v/>
      </c>
      <c r="J106" s="33">
        <f>IF(OR(E106=1,I106="Company-caused"),1,0)</f>
        <v>1</v>
      </c>
      <c r="K106" s="32" t="str">
        <f>IF(E106=0,IF(I106="Company-caused",IF(Orders!T103="Rider unavailable","C1 Rider unavailable","C2 Item unavailable"),"Outside root: unresolved"),IF(G106=0,"A On time",IF(H106=1,IF(L106=1,"B2a Severe, peak","B2b Severe, off-peak"),IF(L106=1,"B1a Slight, peak","B1b Slight, off-peak"))))</f>
        <v>A On time</v>
      </c>
      <c r="L106" s="33">
        <f>IF(AND(Orders!U103&gt;=19,Orders!U103&lt;22),1,0)</f>
        <v>1</v>
      </c>
      <c r="M106" s="33">
        <f>IF(L106=IF(Orders!V103,1,0),1,0)</f>
        <v>1</v>
      </c>
      <c r="N106" s="32" t="str">
        <f>IF(Orders!W103="","None",Orders!W103)</f>
        <v>None</v>
      </c>
      <c r="O106" s="35">
        <f>INT(Orders!E103)</f>
        <v>46274.0</v>
      </c>
      <c r="P106" s="33">
        <f>Orders!U103</f>
        <v>19</v>
      </c>
      <c r="Q106" s="33">
        <f>COUNTIFS(Demand!$A$2:$A$4481,B106,Demand!$B$2:$B$4481,O106,Demand!$C$2:$C$4481,P106)</f>
        <v>1</v>
      </c>
      <c r="R106" s="33">
        <f>IF(Q106=1,SUMIFS(Demand!$E$2:$E$4481,Demand!$A$2:$A$4481,B106,Demand!$B$2:$B$4481,O106,Demand!$C$2:$C$4481,P106),"")</f>
        <v>46</v>
      </c>
      <c r="S106" s="33">
        <f>INDEX(Stores!$G$2:$G$21,MATCH(B106,Stores!$A$2:$A$21,0))</f>
        <v>42</v>
      </c>
      <c r="T106" s="34">
        <f>IF(R106="","",R106/S106)</f>
        <v>1.0952380952381</v>
      </c>
      <c r="U106" s="34">
        <f>IF(E106=1,T106,"")</f>
        <v>1.0952380952381</v>
      </c>
      <c r="V106" s="34" t="str">
        <f>IF(AND(E106=1,L106=0),T106,"")</f>
        <v/>
      </c>
      <c r="W106" s="33">
        <f>IF(U106="","",IF(U106&lt;=Breakdowns!$C$5,1,IF(U106&lt;=Breakdowns!$C$6,2,IF(U106&lt;=Breakdowns!$C$7,3,4))))</f>
        <v>3</v>
      </c>
      <c r="X106" s="33" t="str">
        <f>IF(V106="","",IF(V106&lt;=Breakdowns!$D$5,1,IF(V106&lt;=Breakdowns!$D$6,2,IF(V106&lt;=Breakdowns!$D$7,3,4))))</f>
        <v/>
      </c>
      <c r="Y106" s="34">
        <f>INDEX(Stores!$F$2:$F$21,MATCH(B106,Stores!$A$2:$A$21,0))</f>
        <v>2.19</v>
      </c>
      <c r="Z106" s="33">
        <f>IF(Y106&gt;Store_Summary!$M$2,1,0)</f>
        <v>0</v>
      </c>
      <c r="AA106" s="33">
        <f>INDEX(Stores!$C$2:$C$21,MATCH(B106,Stores!$A$2:$A$21,0))</f>
        <v>850</v>
      </c>
      <c r="AB106" s="33">
        <f>IF(AA106&lt;180,1,0)</f>
        <v>0</v>
      </c>
      <c r="AC106" s="32" t="str">
        <f>IF(Orders!D103="","",INDEX(Riders!$C$2:$C$81,MATCH(Orders!D103,Riders!$A$2:$A$81,0)))</f>
        <v>EV scooter</v>
      </c>
      <c r="AD106" s="33">
        <f>IF(Orders!D103="","",INDEX(Riders!$D$2:$D$81,MATCH(Orders!D103,Riders!$A$2:$A$81,0)))</f>
        <v>36</v>
      </c>
      <c r="AE106" s="33">
        <f>IF(Orders!D103="","",IF(INDEX(Riders!$B$2:$B$81,MATCH(Orders!D103,Riders!$A$2:$A$81,0))=B106,1,0))</f>
        <v>0</v>
      </c>
      <c r="AF106" s="34">
        <f>IF(E106=1,Orders!L103,"")</f>
        <v>0.98</v>
      </c>
      <c r="AG106" s="34">
        <f>IF(E106=1,Orders!P103,"")</f>
        <v>7.6</v>
      </c>
      <c r="AH106" s="34">
        <f>IF(E106=1,Orders!Q103,"")</f>
        <v>6.8</v>
      </c>
      <c r="AI106" s="34">
        <f>IF(E106=1,Orders!M103,"")</f>
        <v>1.6</v>
      </c>
      <c r="AJ106" s="34">
        <f>IF(E106=1,Orders!N103,"")</f>
        <v>3.4</v>
      </c>
      <c r="AK106" s="34">
        <f>IF(E106=1,Orders!O103,"")</f>
        <v>1.8</v>
      </c>
      <c r="AL106" s="33">
        <f>IF(E106=1,IF(ROUND(ABS(AI106+AJ106+AK106-AH106),6)&lt;=0.1,1,0),"")</f>
        <v>1</v>
      </c>
      <c r="AM106" s="36">
        <f>IF(E106=1,AI106/AH106,"")</f>
        <v>0.235294117647059</v>
      </c>
      <c r="AN106" s="36">
        <f>IF(E106=1,AJ106/AH106,"")</f>
        <v>0.5</v>
      </c>
      <c r="AO106" s="36">
        <f>IF(E106=1,AK106/AH106,"")</f>
        <v>0.264705882352941</v>
      </c>
      <c r="AP106" s="34">
        <f>IF(E106=1,Orders!Y103,"")</f>
        <v>0.56</v>
      </c>
      <c r="AQ106" s="33">
        <f>IF(Orders!X103,1,0)</f>
        <v>0</v>
      </c>
      <c r="AR106" s="34">
        <f>IF(AND(E106=1,L106=1),AJ106,"")</f>
        <v>3.4</v>
      </c>
      <c r="AS106" s="34" t="str">
        <f>IF(AND(E106=1,L106=0),AJ106,"")</f>
        <v/>
      </c>
      <c r="AT106" s="34">
        <f>IF(AND(E106=1,L106=1),AI106,"")</f>
        <v>1.6</v>
      </c>
      <c r="AU106" s="34" t="str">
        <f>IF(AND(E106=1,L106=0),AI106,"")</f>
        <v/>
      </c>
      <c r="AV106" s="34">
        <f>IF(AND(E106=1,L106=1),AG106,"")</f>
        <v>7.6</v>
      </c>
      <c r="AW106" s="34" t="str">
        <f>IF(AND(E106=1,L106=0),AG106,"")</f>
        <v/>
      </c>
      <c r="AX106" s="34">
        <f>IF(AND(E106=1,L106=1),AH106,"")</f>
        <v>6.8</v>
      </c>
      <c r="AY106" s="34" t="str">
        <f>IF(AND(E106=1,L106=0),AH106,"")</f>
        <v/>
      </c>
      <c r="AZ106" s="34" t="str">
        <f>IF(G106=1,F106,"")</f>
        <v/>
      </c>
      <c r="BA106" s="34" t="str">
        <f>IF(AND(G106=1,L106=1),F106,"")</f>
        <v/>
      </c>
      <c r="BB106" s="34" t="str">
        <f>IF(AND(G106=1,L106=0),F106,"")</f>
        <v/>
      </c>
      <c r="BC106" s="33">
        <f>IF(E106=1,IF(Orders!R103&gt;3,1,0),"")</f>
        <v>0</v>
      </c>
      <c r="BD106" s="33">
        <f>IF(E106=1,IF(Orders!R103&gt;7,1,0),"")</f>
        <v>0</v>
      </c>
      <c r="BE106" s="32" t="str">
        <f>IF(E106=1,IF(Orders!L103&lt;=1.5,"Up to 1.5 km",IF(Orders!L103&lt;=3,"1.5–3 km","Over 3 km")),"")</f>
        <v>Up to 1.5 km</v>
      </c>
      <c r="BF106" s="33">
        <f>IF(E106=1,IF(ABS((Orders!G103-Orders!F103)*1440-Orders!R103)&lt;0.06,1,0),"")</f>
        <v>1</v>
      </c>
      <c r="BG106" s="33">
        <f>IF(ABS((Orders!F103-Orders!E103)*1440-Orders!P103)&lt;0.06,1,0)</f>
        <v>1</v>
      </c>
      <c r="BH106" s="33">
        <f>IF(E106=1,IF(IF(Orders!S103,1,0)=1-G106,1,0),"")</f>
        <v>1</v>
      </c>
      <c r="BI106" s="32" t="str">
        <f>INDEX(Stores!$B$2:$B$21,MATCH(B106,Stores!$A$2:$A$21,0))</f>
        <v>Pune</v>
      </c>
    </row>
    <row r="107">
      <c r="A107" s="32" t="str">
        <f>Orders!A104</f>
        <v>O00103</v>
      </c>
      <c r="B107" s="32" t="str">
        <f>Orders!C104</f>
        <v>S010</v>
      </c>
      <c r="C107" s="32" t="str">
        <f>Orders!B104</f>
        <v>C0006</v>
      </c>
      <c r="D107" s="32" t="str">
        <f>Orders!H104</f>
        <v>Delivered</v>
      </c>
      <c r="E107" s="33">
        <f>IF(Orders!H104="Delivered",1,0)</f>
        <v>1</v>
      </c>
      <c r="F107" s="34">
        <f>IF(E107=1,Orders!R104,"")</f>
        <v>-1.1</v>
      </c>
      <c r="G107" s="33">
        <f>IF(E107=1,IF(Orders!R104&gt;0,1,0),"")</f>
        <v>0</v>
      </c>
      <c r="H107" s="33">
        <f>IF(E107=1,IF(Orders!R104&gt;5,1,0),"")</f>
        <v>0</v>
      </c>
      <c r="I107" s="32" t="str">
        <f>IF(E107=1,"",IF(OR(Orders!T104="Rider unavailable",Orders!T104="Item unavailable"),"Company-caused","Unresolved"))</f>
        <v/>
      </c>
      <c r="J107" s="33">
        <f>IF(OR(E107=1,I107="Company-caused"),1,0)</f>
        <v>1</v>
      </c>
      <c r="K107" s="32" t="str">
        <f>IF(E107=0,IF(I107="Company-caused",IF(Orders!T104="Rider unavailable","C1 Rider unavailable","C2 Item unavailable"),"Outside root: unresolved"),IF(G107=0,"A On time",IF(H107=1,IF(L107=1,"B2a Severe, peak","B2b Severe, off-peak"),IF(L107=1,"B1a Slight, peak","B1b Slight, off-peak"))))</f>
        <v>A On time</v>
      </c>
      <c r="L107" s="33">
        <f>IF(AND(Orders!U104&gt;=19,Orders!U104&lt;22),1,0)</f>
        <v>0</v>
      </c>
      <c r="M107" s="33">
        <f>IF(L107=IF(Orders!V104,1,0),1,0)</f>
        <v>1</v>
      </c>
      <c r="N107" s="32" t="str">
        <f>IF(Orders!W104="","None",Orders!W104)</f>
        <v>Light</v>
      </c>
      <c r="O107" s="35">
        <f>INT(Orders!E104)</f>
        <v>46276.0</v>
      </c>
      <c r="P107" s="33">
        <f>Orders!U104</f>
        <v>18</v>
      </c>
      <c r="Q107" s="33">
        <f>COUNTIFS(Demand!$A$2:$A$4481,B107,Demand!$B$2:$B$4481,O107,Demand!$C$2:$C$4481,P107)</f>
        <v>1</v>
      </c>
      <c r="R107" s="33">
        <f>IF(Q107=1,SUMIFS(Demand!$E$2:$E$4481,Demand!$A$2:$A$4481,B107,Demand!$B$2:$B$4481,O107,Demand!$C$2:$C$4481,P107),"")</f>
        <v>26</v>
      </c>
      <c r="S107" s="33">
        <f>INDEX(Stores!$G$2:$G$21,MATCH(B107,Stores!$A$2:$A$21,0))</f>
        <v>22</v>
      </c>
      <c r="T107" s="34">
        <f>IF(R107="","",R107/S107)</f>
        <v>1.18181818181818</v>
      </c>
      <c r="U107" s="34">
        <f>IF(E107=1,T107,"")</f>
        <v>1.18181818181818</v>
      </c>
      <c r="V107" s="34">
        <f>IF(AND(E107=1,L107=0),T107,"")</f>
        <v>1.18181818181818</v>
      </c>
      <c r="W107" s="33">
        <f>IF(U107="","",IF(U107&lt;=Breakdowns!$C$5,1,IF(U107&lt;=Breakdowns!$C$6,2,IF(U107&lt;=Breakdowns!$C$7,3,4))))</f>
        <v>3</v>
      </c>
      <c r="X107" s="33">
        <f>IF(V107="","",IF(V107&lt;=Breakdowns!$D$5,1,IF(V107&lt;=Breakdowns!$D$6,2,IF(V107&lt;=Breakdowns!$D$7,3,4))))</f>
        <v>4</v>
      </c>
      <c r="Y107" s="34">
        <f>INDEX(Stores!$F$2:$F$21,MATCH(B107,Stores!$A$2:$A$21,0))</f>
        <v>5.61</v>
      </c>
      <c r="Z107" s="33">
        <f>IF(Y107&gt;Store_Summary!$M$2,1,0)</f>
        <v>1</v>
      </c>
      <c r="AA107" s="33">
        <f>INDEX(Stores!$C$2:$C$21,MATCH(B107,Stores!$A$2:$A$21,0))</f>
        <v>744</v>
      </c>
      <c r="AB107" s="33">
        <f>IF(AA107&lt;180,1,0)</f>
        <v>0</v>
      </c>
      <c r="AC107" s="32" t="str">
        <f>IF(Orders!D104="","",INDEX(Riders!$C$2:$C$81,MATCH(Orders!D104,Riders!$A$2:$A$81,0)))</f>
        <v>EV scooter</v>
      </c>
      <c r="AD107" s="33">
        <f>IF(Orders!D104="","",INDEX(Riders!$D$2:$D$81,MATCH(Orders!D104,Riders!$A$2:$A$81,0)))</f>
        <v>11</v>
      </c>
      <c r="AE107" s="33">
        <f>IF(Orders!D104="","",IF(INDEX(Riders!$B$2:$B$81,MATCH(Orders!D104,Riders!$A$2:$A$81,0))=B107,1,0))</f>
        <v>0</v>
      </c>
      <c r="AF107" s="34">
        <f>IF(E107=1,Orders!L104,"")</f>
        <v>0.67</v>
      </c>
      <c r="AG107" s="34">
        <f>IF(E107=1,Orders!P104,"")</f>
        <v>10.9</v>
      </c>
      <c r="AH107" s="34">
        <f>IF(E107=1,Orders!Q104,"")</f>
        <v>9.8</v>
      </c>
      <c r="AI107" s="34">
        <f>IF(E107=1,Orders!M104,"")</f>
        <v>3.7</v>
      </c>
      <c r="AJ107" s="34">
        <f>IF(E107=1,Orders!N104,"")</f>
        <v>4.3</v>
      </c>
      <c r="AK107" s="34">
        <f>IF(E107=1,Orders!O104,"")</f>
        <v>1.8</v>
      </c>
      <c r="AL107" s="33">
        <f>IF(E107=1,IF(ROUND(ABS(AI107+AJ107+AK107-AH107),6)&lt;=0.1,1,0),"")</f>
        <v>1</v>
      </c>
      <c r="AM107" s="36">
        <f>IF(E107=1,AI107/AH107,"")</f>
        <v>0.377551020408163</v>
      </c>
      <c r="AN107" s="36">
        <f>IF(E107=1,AJ107/AH107,"")</f>
        <v>0.438775510204082</v>
      </c>
      <c r="AO107" s="36">
        <f>IF(E107=1,AK107/AH107,"")</f>
        <v>0.183673469387755</v>
      </c>
      <c r="AP107" s="34">
        <f>IF(E107=1,Orders!Y104,"")</f>
        <v>0.37</v>
      </c>
      <c r="AQ107" s="33">
        <f>IF(Orders!X104,1,0)</f>
        <v>0</v>
      </c>
      <c r="AR107" s="34" t="str">
        <f>IF(AND(E107=1,L107=1),AJ107,"")</f>
        <v/>
      </c>
      <c r="AS107" s="34">
        <f>IF(AND(E107=1,L107=0),AJ107,"")</f>
        <v>4.3</v>
      </c>
      <c r="AT107" s="34" t="str">
        <f>IF(AND(E107=1,L107=1),AI107,"")</f>
        <v/>
      </c>
      <c r="AU107" s="34">
        <f>IF(AND(E107=1,L107=0),AI107,"")</f>
        <v>3.7</v>
      </c>
      <c r="AV107" s="34" t="str">
        <f>IF(AND(E107=1,L107=1),AG107,"")</f>
        <v/>
      </c>
      <c r="AW107" s="34">
        <f>IF(AND(E107=1,L107=0),AG107,"")</f>
        <v>10.9</v>
      </c>
      <c r="AX107" s="34" t="str">
        <f>IF(AND(E107=1,L107=1),AH107,"")</f>
        <v/>
      </c>
      <c r="AY107" s="34">
        <f>IF(AND(E107=1,L107=0),AH107,"")</f>
        <v>9.8</v>
      </c>
      <c r="AZ107" s="34" t="str">
        <f>IF(G107=1,F107,"")</f>
        <v/>
      </c>
      <c r="BA107" s="34" t="str">
        <f>IF(AND(G107=1,L107=1),F107,"")</f>
        <v/>
      </c>
      <c r="BB107" s="34" t="str">
        <f>IF(AND(G107=1,L107=0),F107,"")</f>
        <v/>
      </c>
      <c r="BC107" s="33">
        <f>IF(E107=1,IF(Orders!R104&gt;3,1,0),"")</f>
        <v>0</v>
      </c>
      <c r="BD107" s="33">
        <f>IF(E107=1,IF(Orders!R104&gt;7,1,0),"")</f>
        <v>0</v>
      </c>
      <c r="BE107" s="32" t="str">
        <f>IF(E107=1,IF(Orders!L104&lt;=1.5,"Up to 1.5 km",IF(Orders!L104&lt;=3,"1.5–3 km","Over 3 km")),"")</f>
        <v>Up to 1.5 km</v>
      </c>
      <c r="BF107" s="33">
        <f>IF(E107=1,IF(ABS((Orders!G104-Orders!F104)*1440-Orders!R104)&lt;0.06,1,0),"")</f>
        <v>1</v>
      </c>
      <c r="BG107" s="33">
        <f>IF(ABS((Orders!F104-Orders!E104)*1440-Orders!P104)&lt;0.06,1,0)</f>
        <v>1</v>
      </c>
      <c r="BH107" s="33">
        <f>IF(E107=1,IF(IF(Orders!S104,1,0)=1-G107,1,0),"")</f>
        <v>1</v>
      </c>
      <c r="BI107" s="32" t="str">
        <f>INDEX(Stores!$B$2:$B$21,MATCH(B107,Stores!$A$2:$A$21,0))</f>
        <v>Delhi</v>
      </c>
    </row>
    <row r="108">
      <c r="A108" s="32" t="str">
        <f>Orders!A105</f>
        <v>O00104</v>
      </c>
      <c r="B108" s="32" t="str">
        <f>Orders!C105</f>
        <v>S006</v>
      </c>
      <c r="C108" s="32" t="str">
        <f>Orders!B105</f>
        <v>C0104</v>
      </c>
      <c r="D108" s="32" t="str">
        <f>Orders!H105</f>
        <v>Delivered</v>
      </c>
      <c r="E108" s="33">
        <f>IF(Orders!H105="Delivered",1,0)</f>
        <v>1</v>
      </c>
      <c r="F108" s="34">
        <f>IF(E108=1,Orders!R105,"")</f>
        <v>2.5</v>
      </c>
      <c r="G108" s="33">
        <f>IF(E108=1,IF(Orders!R105&gt;0,1,0),"")</f>
        <v>1</v>
      </c>
      <c r="H108" s="33">
        <f>IF(E108=1,IF(Orders!R105&gt;5,1,0),"")</f>
        <v>0</v>
      </c>
      <c r="I108" s="32" t="str">
        <f>IF(E108=1,"",IF(OR(Orders!T105="Rider unavailable",Orders!T105="Item unavailable"),"Company-caused","Unresolved"))</f>
        <v/>
      </c>
      <c r="J108" s="33">
        <f>IF(OR(E108=1,I108="Company-caused"),1,0)</f>
        <v>1</v>
      </c>
      <c r="K108" s="32" t="str">
        <f>IF(E108=0,IF(I108="Company-caused",IF(Orders!T105="Rider unavailable","C1 Rider unavailable","C2 Item unavailable"),"Outside root: unresolved"),IF(G108=0,"A On time",IF(H108=1,IF(L108=1,"B2a Severe, peak","B2b Severe, off-peak"),IF(L108=1,"B1a Slight, peak","B1b Slight, off-peak"))))</f>
        <v>B1b Slight, off-peak</v>
      </c>
      <c r="L108" s="33">
        <f>IF(AND(Orders!U105&gt;=19,Orders!U105&lt;22),1,0)</f>
        <v>0</v>
      </c>
      <c r="M108" s="33">
        <f>IF(L108=IF(Orders!V105,1,0),1,0)</f>
        <v>1</v>
      </c>
      <c r="N108" s="32" t="str">
        <f>IF(Orders!W105="","None",Orders!W105)</f>
        <v>None</v>
      </c>
      <c r="O108" s="35">
        <f>INT(Orders!E105)</f>
        <v>46269.0</v>
      </c>
      <c r="P108" s="33">
        <f>Orders!U105</f>
        <v>11</v>
      </c>
      <c r="Q108" s="33">
        <f>COUNTIFS(Demand!$A$2:$A$4481,B108,Demand!$B$2:$B$4481,O108,Demand!$C$2:$C$4481,P108)</f>
        <v>1</v>
      </c>
      <c r="R108" s="33">
        <f>IF(Q108=1,SUMIFS(Demand!$E$2:$E$4481,Demand!$A$2:$A$4481,B108,Demand!$B$2:$B$4481,O108,Demand!$C$2:$C$4481,P108),"")</f>
        <v>31</v>
      </c>
      <c r="S108" s="33">
        <f>INDEX(Stores!$G$2:$G$21,MATCH(B108,Stores!$A$2:$A$21,0))</f>
        <v>26</v>
      </c>
      <c r="T108" s="34">
        <f>IF(R108="","",R108/S108)</f>
        <v>1.19230769230769</v>
      </c>
      <c r="U108" s="34">
        <f>IF(E108=1,T108,"")</f>
        <v>1.19230769230769</v>
      </c>
      <c r="V108" s="34">
        <f>IF(AND(E108=1,L108=0),T108,"")</f>
        <v>1.19230769230769</v>
      </c>
      <c r="W108" s="33">
        <f>IF(U108="","",IF(U108&lt;=Breakdowns!$C$5,1,IF(U108&lt;=Breakdowns!$C$6,2,IF(U108&lt;=Breakdowns!$C$7,3,4))))</f>
        <v>3</v>
      </c>
      <c r="X108" s="33">
        <f>IF(V108="","",IF(V108&lt;=Breakdowns!$D$5,1,IF(V108&lt;=Breakdowns!$D$6,2,IF(V108&lt;=Breakdowns!$D$7,3,4))))</f>
        <v>4</v>
      </c>
      <c r="Y108" s="34">
        <f>INDEX(Stores!$F$2:$F$21,MATCH(B108,Stores!$A$2:$A$21,0))</f>
        <v>5.22</v>
      </c>
      <c r="Z108" s="33">
        <f>IF(Y108&gt;Store_Summary!$M$2,1,0)</f>
        <v>1</v>
      </c>
      <c r="AA108" s="33">
        <f>INDEX(Stores!$C$2:$C$21,MATCH(B108,Stores!$A$2:$A$21,0))</f>
        <v>412</v>
      </c>
      <c r="AB108" s="33">
        <f>IF(AA108&lt;180,1,0)</f>
        <v>0</v>
      </c>
      <c r="AC108" s="32" t="str">
        <f>IF(Orders!D105="","",INDEX(Riders!$C$2:$C$81,MATCH(Orders!D105,Riders!$A$2:$A$81,0)))</f>
        <v>EV scooter</v>
      </c>
      <c r="AD108" s="33">
        <f>IF(Orders!D105="","",INDEX(Riders!$D$2:$D$81,MATCH(Orders!D105,Riders!$A$2:$A$81,0)))</f>
        <v>46</v>
      </c>
      <c r="AE108" s="33">
        <f>IF(Orders!D105="","",IF(INDEX(Riders!$B$2:$B$81,MATCH(Orders!D105,Riders!$A$2:$A$81,0))=B108,1,0))</f>
        <v>0</v>
      </c>
      <c r="AF108" s="34">
        <f>IF(E108=1,Orders!L105,"")</f>
        <v>1.54</v>
      </c>
      <c r="AG108" s="34">
        <f>IF(E108=1,Orders!P105,"")</f>
        <v>14.4</v>
      </c>
      <c r="AH108" s="34">
        <f>IF(E108=1,Orders!Q105,"")</f>
        <v>16.9</v>
      </c>
      <c r="AI108" s="34">
        <f>IF(E108=1,Orders!M105,"")</f>
        <v>6.2</v>
      </c>
      <c r="AJ108" s="34">
        <f>IF(E108=1,Orders!N105,"")</f>
        <v>5.9</v>
      </c>
      <c r="AK108" s="34">
        <f>IF(E108=1,Orders!O105,"")</f>
        <v>4.8</v>
      </c>
      <c r="AL108" s="33">
        <f>IF(E108=1,IF(ROUND(ABS(AI108+AJ108+AK108-AH108),6)&lt;=0.1,1,0),"")</f>
        <v>1</v>
      </c>
      <c r="AM108" s="36">
        <f>IF(E108=1,AI108/AH108,"")</f>
        <v>0.366863905325444</v>
      </c>
      <c r="AN108" s="36">
        <f>IF(E108=1,AJ108/AH108,"")</f>
        <v>0.349112426035503</v>
      </c>
      <c r="AO108" s="36">
        <f>IF(E108=1,AK108/AH108,"")</f>
        <v>0.284023668639053</v>
      </c>
      <c r="AP108" s="34">
        <f>IF(E108=1,Orders!Y105,"")</f>
        <v>0.54</v>
      </c>
      <c r="AQ108" s="33">
        <f>IF(Orders!X105,1,0)</f>
        <v>0</v>
      </c>
      <c r="AR108" s="34" t="str">
        <f>IF(AND(E108=1,L108=1),AJ108,"")</f>
        <v/>
      </c>
      <c r="AS108" s="34">
        <f>IF(AND(E108=1,L108=0),AJ108,"")</f>
        <v>5.9</v>
      </c>
      <c r="AT108" s="34" t="str">
        <f>IF(AND(E108=1,L108=1),AI108,"")</f>
        <v/>
      </c>
      <c r="AU108" s="34">
        <f>IF(AND(E108=1,L108=0),AI108,"")</f>
        <v>6.2</v>
      </c>
      <c r="AV108" s="34" t="str">
        <f>IF(AND(E108=1,L108=1),AG108,"")</f>
        <v/>
      </c>
      <c r="AW108" s="34">
        <f>IF(AND(E108=1,L108=0),AG108,"")</f>
        <v>14.4</v>
      </c>
      <c r="AX108" s="34" t="str">
        <f>IF(AND(E108=1,L108=1),AH108,"")</f>
        <v/>
      </c>
      <c r="AY108" s="34">
        <f>IF(AND(E108=1,L108=0),AH108,"")</f>
        <v>16.9</v>
      </c>
      <c r="AZ108" s="34">
        <f>IF(G108=1,F108,"")</f>
        <v>2.5</v>
      </c>
      <c r="BA108" s="34" t="str">
        <f>IF(AND(G108=1,L108=1),F108,"")</f>
        <v/>
      </c>
      <c r="BB108" s="34">
        <f>IF(AND(G108=1,L108=0),F108,"")</f>
        <v>2.5</v>
      </c>
      <c r="BC108" s="33">
        <f>IF(E108=1,IF(Orders!R105&gt;3,1,0),"")</f>
        <v>0</v>
      </c>
      <c r="BD108" s="33">
        <f>IF(E108=1,IF(Orders!R105&gt;7,1,0),"")</f>
        <v>0</v>
      </c>
      <c r="BE108" s="32" t="str">
        <f>IF(E108=1,IF(Orders!L105&lt;=1.5,"Up to 1.5 km",IF(Orders!L105&lt;=3,"1.5–3 km","Over 3 km")),"")</f>
        <v>1.5–3 km</v>
      </c>
      <c r="BF108" s="33">
        <f>IF(E108=1,IF(ABS((Orders!G105-Orders!F105)*1440-Orders!R105)&lt;0.06,1,0),"")</f>
        <v>1</v>
      </c>
      <c r="BG108" s="33">
        <f>IF(ABS((Orders!F105-Orders!E105)*1440-Orders!P105)&lt;0.06,1,0)</f>
        <v>1</v>
      </c>
      <c r="BH108" s="33">
        <f>IF(E108=1,IF(IF(Orders!S105,1,0)=1-G108,1,0),"")</f>
        <v>1</v>
      </c>
      <c r="BI108" s="32" t="str">
        <f>INDEX(Stores!$B$2:$B$21,MATCH(B108,Stores!$A$2:$A$21,0))</f>
        <v>Bengaluru</v>
      </c>
    </row>
    <row r="109">
      <c r="A109" s="32" t="str">
        <f>Orders!A106</f>
        <v>O00105</v>
      </c>
      <c r="B109" s="32" t="str">
        <f>Orders!C106</f>
        <v>S003</v>
      </c>
      <c r="C109" s="32" t="str">
        <f>Orders!B106</f>
        <v>C0163</v>
      </c>
      <c r="D109" s="32" t="str">
        <f>Orders!H106</f>
        <v>Delivered</v>
      </c>
      <c r="E109" s="33">
        <f>IF(Orders!H106="Delivered",1,0)</f>
        <v>1</v>
      </c>
      <c r="F109" s="34">
        <f>IF(E109=1,Orders!R106,"")</f>
        <v>9.9</v>
      </c>
      <c r="G109" s="33">
        <f>IF(E109=1,IF(Orders!R106&gt;0,1,0),"")</f>
        <v>1</v>
      </c>
      <c r="H109" s="33">
        <f>IF(E109=1,IF(Orders!R106&gt;5,1,0),"")</f>
        <v>1</v>
      </c>
      <c r="I109" s="32" t="str">
        <f>IF(E109=1,"",IF(OR(Orders!T106="Rider unavailable",Orders!T106="Item unavailable"),"Company-caused","Unresolved"))</f>
        <v/>
      </c>
      <c r="J109" s="33">
        <f>IF(OR(E109=1,I109="Company-caused"),1,0)</f>
        <v>1</v>
      </c>
      <c r="K109" s="32" t="str">
        <f>IF(E109=0,IF(I109="Company-caused",IF(Orders!T106="Rider unavailable","C1 Rider unavailable","C2 Item unavailable"),"Outside root: unresolved"),IF(G109=0,"A On time",IF(H109=1,IF(L109=1,"B2a Severe, peak","B2b Severe, off-peak"),IF(L109=1,"B1a Slight, peak","B1b Slight, off-peak"))))</f>
        <v>B2b Severe, off-peak</v>
      </c>
      <c r="L109" s="33">
        <f>IF(AND(Orders!U106&gt;=19,Orders!U106&lt;22),1,0)</f>
        <v>0</v>
      </c>
      <c r="M109" s="33">
        <f>IF(L109=IF(Orders!V106,1,0),1,0)</f>
        <v>1</v>
      </c>
      <c r="N109" s="32" t="str">
        <f>IF(Orders!W106="","None",Orders!W106)</f>
        <v>None</v>
      </c>
      <c r="O109" s="35">
        <f>INT(Orders!E106)</f>
        <v>46272.0</v>
      </c>
      <c r="P109" s="33">
        <f>Orders!U106</f>
        <v>18</v>
      </c>
      <c r="Q109" s="33">
        <f>COUNTIFS(Demand!$A$2:$A$4481,B109,Demand!$B$2:$B$4481,O109,Demand!$C$2:$C$4481,P109)</f>
        <v>1</v>
      </c>
      <c r="R109" s="33">
        <f>IF(Q109=1,SUMIFS(Demand!$E$2:$E$4481,Demand!$A$2:$A$4481,B109,Demand!$B$2:$B$4481,O109,Demand!$C$2:$C$4481,P109),"")</f>
        <v>31</v>
      </c>
      <c r="S109" s="33">
        <f>INDEX(Stores!$G$2:$G$21,MATCH(B109,Stores!$A$2:$A$21,0))</f>
        <v>41</v>
      </c>
      <c r="T109" s="34">
        <f>IF(R109="","",R109/S109)</f>
        <v>0.75609756097561</v>
      </c>
      <c r="U109" s="34">
        <f>IF(E109=1,T109,"")</f>
        <v>0.75609756097561</v>
      </c>
      <c r="V109" s="34">
        <f>IF(AND(E109=1,L109=0),T109,"")</f>
        <v>0.75609756097561</v>
      </c>
      <c r="W109" s="33">
        <f>IF(U109="","",IF(U109&lt;=Breakdowns!$C$5,1,IF(U109&lt;=Breakdowns!$C$6,2,IF(U109&lt;=Breakdowns!$C$7,3,4))))</f>
        <v>1</v>
      </c>
      <c r="X109" s="33">
        <f>IF(V109="","",IF(V109&lt;=Breakdowns!$D$5,1,IF(V109&lt;=Breakdowns!$D$6,2,IF(V109&lt;=Breakdowns!$D$7,3,4))))</f>
        <v>2</v>
      </c>
      <c r="Y109" s="34">
        <f>INDEX(Stores!$F$2:$F$21,MATCH(B109,Stores!$A$2:$A$21,0))</f>
        <v>3.84</v>
      </c>
      <c r="Z109" s="33">
        <f>IF(Y109&gt;Store_Summary!$M$2,1,0)</f>
        <v>0</v>
      </c>
      <c r="AA109" s="33">
        <f>INDEX(Stores!$C$2:$C$21,MATCH(B109,Stores!$A$2:$A$21,0))</f>
        <v>426</v>
      </c>
      <c r="AB109" s="33">
        <f>IF(AA109&lt;180,1,0)</f>
        <v>0</v>
      </c>
      <c r="AC109" s="32" t="str">
        <f>IF(Orders!D106="","",INDEX(Riders!$C$2:$C$81,MATCH(Orders!D106,Riders!$A$2:$A$81,0)))</f>
        <v>EV scooter</v>
      </c>
      <c r="AD109" s="33">
        <f>IF(Orders!D106="","",INDEX(Riders!$D$2:$D$81,MATCH(Orders!D106,Riders!$A$2:$A$81,0)))</f>
        <v>1</v>
      </c>
      <c r="AE109" s="33">
        <f>IF(Orders!D106="","",IF(INDEX(Riders!$B$2:$B$81,MATCH(Orders!D106,Riders!$A$2:$A$81,0))=B109,1,0))</f>
        <v>0</v>
      </c>
      <c r="AF109" s="34">
        <f>IF(E109=1,Orders!L106,"")</f>
        <v>2.1</v>
      </c>
      <c r="AG109" s="34">
        <f>IF(E109=1,Orders!P106,"")</f>
        <v>9.7</v>
      </c>
      <c r="AH109" s="34">
        <f>IF(E109=1,Orders!Q106,"")</f>
        <v>19.6</v>
      </c>
      <c r="AI109" s="34">
        <f>IF(E109=1,Orders!M106,"")</f>
        <v>5.4</v>
      </c>
      <c r="AJ109" s="34">
        <f>IF(E109=1,Orders!N106,"")</f>
        <v>9.1</v>
      </c>
      <c r="AK109" s="34">
        <f>IF(E109=1,Orders!O106,"")</f>
        <v>5.1</v>
      </c>
      <c r="AL109" s="33">
        <f>IF(E109=1,IF(ROUND(ABS(AI109+AJ109+AK109-AH109),6)&lt;=0.1,1,0),"")</f>
        <v>1</v>
      </c>
      <c r="AM109" s="36">
        <f>IF(E109=1,AI109/AH109,"")</f>
        <v>0.275510204081633</v>
      </c>
      <c r="AN109" s="36">
        <f>IF(E109=1,AJ109/AH109,"")</f>
        <v>0.464285714285714</v>
      </c>
      <c r="AO109" s="36">
        <f>IF(E109=1,AK109/AH109,"")</f>
        <v>0.260204081632653</v>
      </c>
      <c r="AP109" s="34">
        <f>IF(E109=1,Orders!Y106,"")</f>
        <v>0.23</v>
      </c>
      <c r="AQ109" s="33">
        <f>IF(Orders!X106,1,0)</f>
        <v>0</v>
      </c>
      <c r="AR109" s="34" t="str">
        <f>IF(AND(E109=1,L109=1),AJ109,"")</f>
        <v/>
      </c>
      <c r="AS109" s="34">
        <f>IF(AND(E109=1,L109=0),AJ109,"")</f>
        <v>9.1</v>
      </c>
      <c r="AT109" s="34" t="str">
        <f>IF(AND(E109=1,L109=1),AI109,"")</f>
        <v/>
      </c>
      <c r="AU109" s="34">
        <f>IF(AND(E109=1,L109=0),AI109,"")</f>
        <v>5.4</v>
      </c>
      <c r="AV109" s="34" t="str">
        <f>IF(AND(E109=1,L109=1),AG109,"")</f>
        <v/>
      </c>
      <c r="AW109" s="34">
        <f>IF(AND(E109=1,L109=0),AG109,"")</f>
        <v>9.7</v>
      </c>
      <c r="AX109" s="34" t="str">
        <f>IF(AND(E109=1,L109=1),AH109,"")</f>
        <v/>
      </c>
      <c r="AY109" s="34">
        <f>IF(AND(E109=1,L109=0),AH109,"")</f>
        <v>19.6</v>
      </c>
      <c r="AZ109" s="34">
        <f>IF(G109=1,F109,"")</f>
        <v>9.9</v>
      </c>
      <c r="BA109" s="34" t="str">
        <f>IF(AND(G109=1,L109=1),F109,"")</f>
        <v/>
      </c>
      <c r="BB109" s="34">
        <f>IF(AND(G109=1,L109=0),F109,"")</f>
        <v>9.9</v>
      </c>
      <c r="BC109" s="33">
        <f>IF(E109=1,IF(Orders!R106&gt;3,1,0),"")</f>
        <v>1</v>
      </c>
      <c r="BD109" s="33">
        <f>IF(E109=1,IF(Orders!R106&gt;7,1,0),"")</f>
        <v>1</v>
      </c>
      <c r="BE109" s="32" t="str">
        <f>IF(E109=1,IF(Orders!L106&lt;=1.5,"Up to 1.5 km",IF(Orders!L106&lt;=3,"1.5–3 km","Over 3 km")),"")</f>
        <v>1.5–3 km</v>
      </c>
      <c r="BF109" s="33">
        <f>IF(E109=1,IF(ABS((Orders!G106-Orders!F106)*1440-Orders!R106)&lt;0.06,1,0),"")</f>
        <v>1</v>
      </c>
      <c r="BG109" s="33">
        <f>IF(ABS((Orders!F106-Orders!E106)*1440-Orders!P106)&lt;0.06,1,0)</f>
        <v>1</v>
      </c>
      <c r="BH109" s="33">
        <f>IF(E109=1,IF(IF(Orders!S106,1,0)=1-G109,1,0),"")</f>
        <v>1</v>
      </c>
      <c r="BI109" s="32" t="str">
        <f>INDEX(Stores!$B$2:$B$21,MATCH(B109,Stores!$A$2:$A$21,0))</f>
        <v>Mumbai</v>
      </c>
    </row>
    <row r="110">
      <c r="A110" s="32" t="str">
        <f>Orders!A107</f>
        <v>O00106</v>
      </c>
      <c r="B110" s="32" t="str">
        <f>Orders!C107</f>
        <v>S007</v>
      </c>
      <c r="C110" s="32" t="str">
        <f>Orders!B107</f>
        <v>C0051</v>
      </c>
      <c r="D110" s="32" t="str">
        <f>Orders!H107</f>
        <v>Delivered</v>
      </c>
      <c r="E110" s="33">
        <f>IF(Orders!H107="Delivered",1,0)</f>
        <v>1</v>
      </c>
      <c r="F110" s="34">
        <f>IF(E110=1,Orders!R107,"")</f>
        <v>-0.2</v>
      </c>
      <c r="G110" s="33">
        <f>IF(E110=1,IF(Orders!R107&gt;0,1,0),"")</f>
        <v>0</v>
      </c>
      <c r="H110" s="33">
        <f>IF(E110=1,IF(Orders!R107&gt;5,1,0),"")</f>
        <v>0</v>
      </c>
      <c r="I110" s="32" t="str">
        <f>IF(E110=1,"",IF(OR(Orders!T107="Rider unavailable",Orders!T107="Item unavailable"),"Company-caused","Unresolved"))</f>
        <v/>
      </c>
      <c r="J110" s="33">
        <f>IF(OR(E110=1,I110="Company-caused"),1,0)</f>
        <v>1</v>
      </c>
      <c r="K110" s="32" t="str">
        <f>IF(E110=0,IF(I110="Company-caused",IF(Orders!T107="Rider unavailable","C1 Rider unavailable","C2 Item unavailable"),"Outside root: unresolved"),IF(G110=0,"A On time",IF(H110=1,IF(L110=1,"B2a Severe, peak","B2b Severe, off-peak"),IF(L110=1,"B1a Slight, peak","B1b Slight, off-peak"))))</f>
        <v>A On time</v>
      </c>
      <c r="L110" s="33">
        <f>IF(AND(Orders!U107&gt;=19,Orders!U107&lt;22),1,0)</f>
        <v>0</v>
      </c>
      <c r="M110" s="33">
        <f>IF(L110=IF(Orders!V107,1,0),1,0)</f>
        <v>1</v>
      </c>
      <c r="N110" s="32" t="str">
        <f>IF(Orders!W107="","None",Orders!W107)</f>
        <v>Heavy</v>
      </c>
      <c r="O110" s="35">
        <f>INT(Orders!E107)</f>
        <v>46279.0</v>
      </c>
      <c r="P110" s="33">
        <f>Orders!U107</f>
        <v>14</v>
      </c>
      <c r="Q110" s="33">
        <f>COUNTIFS(Demand!$A$2:$A$4481,B110,Demand!$B$2:$B$4481,O110,Demand!$C$2:$C$4481,P110)</f>
        <v>1</v>
      </c>
      <c r="R110" s="33">
        <f>IF(Q110=1,SUMIFS(Demand!$E$2:$E$4481,Demand!$A$2:$A$4481,B110,Demand!$B$2:$B$4481,O110,Demand!$C$2:$C$4481,P110),"")</f>
        <v>25</v>
      </c>
      <c r="S110" s="33">
        <f>INDEX(Stores!$G$2:$G$21,MATCH(B110,Stores!$A$2:$A$21,0))</f>
        <v>37</v>
      </c>
      <c r="T110" s="34">
        <f>IF(R110="","",R110/S110)</f>
        <v>0.675675675675676</v>
      </c>
      <c r="U110" s="34">
        <f>IF(E110=1,T110,"")</f>
        <v>0.675675675675676</v>
      </c>
      <c r="V110" s="34">
        <f>IF(AND(E110=1,L110=0),T110,"")</f>
        <v>0.675675675675676</v>
      </c>
      <c r="W110" s="33">
        <f>IF(U110="","",IF(U110&lt;=Breakdowns!$C$5,1,IF(U110&lt;=Breakdowns!$C$6,2,IF(U110&lt;=Breakdowns!$C$7,3,4))))</f>
        <v>1</v>
      </c>
      <c r="X110" s="33">
        <f>IF(V110="","",IF(V110&lt;=Breakdowns!$D$5,1,IF(V110&lt;=Breakdowns!$D$6,2,IF(V110&lt;=Breakdowns!$D$7,3,4))))</f>
        <v>1</v>
      </c>
      <c r="Y110" s="34">
        <f>INDEX(Stores!$F$2:$F$21,MATCH(B110,Stores!$A$2:$A$21,0))</f>
        <v>4.05</v>
      </c>
      <c r="Z110" s="33">
        <f>IF(Y110&gt;Store_Summary!$M$2,1,0)</f>
        <v>0</v>
      </c>
      <c r="AA110" s="33">
        <f>INDEX(Stores!$C$2:$C$21,MATCH(B110,Stores!$A$2:$A$21,0))</f>
        <v>661</v>
      </c>
      <c r="AB110" s="33">
        <f>IF(AA110&lt;180,1,0)</f>
        <v>0</v>
      </c>
      <c r="AC110" s="32" t="str">
        <f>IF(Orders!D107="","",INDEX(Riders!$C$2:$C$81,MATCH(Orders!D107,Riders!$A$2:$A$81,0)))</f>
        <v>EV scooter</v>
      </c>
      <c r="AD110" s="33">
        <f>IF(Orders!D107="","",INDEX(Riders!$D$2:$D$81,MATCH(Orders!D107,Riders!$A$2:$A$81,0)))</f>
        <v>38</v>
      </c>
      <c r="AE110" s="33">
        <f>IF(Orders!D107="","",IF(INDEX(Riders!$B$2:$B$81,MATCH(Orders!D107,Riders!$A$2:$A$81,0))=B110,1,0))</f>
        <v>0</v>
      </c>
      <c r="AF110" s="34">
        <f>IF(E110=1,Orders!L107,"")</f>
        <v>2.36</v>
      </c>
      <c r="AG110" s="34">
        <f>IF(E110=1,Orders!P107,"")</f>
        <v>11</v>
      </c>
      <c r="AH110" s="34">
        <f>IF(E110=1,Orders!Q107,"")</f>
        <v>10.8</v>
      </c>
      <c r="AI110" s="34">
        <f>IF(E110=1,Orders!M107,"")</f>
        <v>1.8</v>
      </c>
      <c r="AJ110" s="34">
        <f>IF(E110=1,Orders!N107,"")</f>
        <v>4.8</v>
      </c>
      <c r="AK110" s="34">
        <f>IF(E110=1,Orders!O107,"")</f>
        <v>4.2</v>
      </c>
      <c r="AL110" s="33">
        <f>IF(E110=1,IF(ROUND(ABS(AI110+AJ110+AK110-AH110),6)&lt;=0.1,1,0),"")</f>
        <v>1</v>
      </c>
      <c r="AM110" s="36">
        <f>IF(E110=1,AI110/AH110,"")</f>
        <v>0.166666666666667</v>
      </c>
      <c r="AN110" s="36">
        <f>IF(E110=1,AJ110/AH110,"")</f>
        <v>0.444444444444444</v>
      </c>
      <c r="AO110" s="36">
        <f>IF(E110=1,AK110/AH110,"")</f>
        <v>0.388888888888889</v>
      </c>
      <c r="AP110" s="34">
        <f>IF(E110=1,Orders!Y107,"")</f>
        <v>0.39</v>
      </c>
      <c r="AQ110" s="33">
        <f>IF(Orders!X107,1,0)</f>
        <v>0</v>
      </c>
      <c r="AR110" s="34" t="str">
        <f>IF(AND(E110=1,L110=1),AJ110,"")</f>
        <v/>
      </c>
      <c r="AS110" s="34">
        <f>IF(AND(E110=1,L110=0),AJ110,"")</f>
        <v>4.8</v>
      </c>
      <c r="AT110" s="34" t="str">
        <f>IF(AND(E110=1,L110=1),AI110,"")</f>
        <v/>
      </c>
      <c r="AU110" s="34">
        <f>IF(AND(E110=1,L110=0),AI110,"")</f>
        <v>1.8</v>
      </c>
      <c r="AV110" s="34" t="str">
        <f>IF(AND(E110=1,L110=1),AG110,"")</f>
        <v/>
      </c>
      <c r="AW110" s="34">
        <f>IF(AND(E110=1,L110=0),AG110,"")</f>
        <v>11</v>
      </c>
      <c r="AX110" s="34" t="str">
        <f>IF(AND(E110=1,L110=1),AH110,"")</f>
        <v/>
      </c>
      <c r="AY110" s="34">
        <f>IF(AND(E110=1,L110=0),AH110,"")</f>
        <v>10.8</v>
      </c>
      <c r="AZ110" s="34" t="str">
        <f>IF(G110=1,F110,"")</f>
        <v/>
      </c>
      <c r="BA110" s="34" t="str">
        <f>IF(AND(G110=1,L110=1),F110,"")</f>
        <v/>
      </c>
      <c r="BB110" s="34" t="str">
        <f>IF(AND(G110=1,L110=0),F110,"")</f>
        <v/>
      </c>
      <c r="BC110" s="33">
        <f>IF(E110=1,IF(Orders!R107&gt;3,1,0),"")</f>
        <v>0</v>
      </c>
      <c r="BD110" s="33">
        <f>IF(E110=1,IF(Orders!R107&gt;7,1,0),"")</f>
        <v>0</v>
      </c>
      <c r="BE110" s="32" t="str">
        <f>IF(E110=1,IF(Orders!L107&lt;=1.5,"Up to 1.5 km",IF(Orders!L107&lt;=3,"1.5–3 km","Over 3 km")),"")</f>
        <v>1.5–3 km</v>
      </c>
      <c r="BF110" s="33">
        <f>IF(E110=1,IF(ABS((Orders!G107-Orders!F107)*1440-Orders!R107)&lt;0.06,1,0),"")</f>
        <v>1</v>
      </c>
      <c r="BG110" s="33">
        <f>IF(ABS((Orders!F107-Orders!E107)*1440-Orders!P107)&lt;0.06,1,0)</f>
        <v>1</v>
      </c>
      <c r="BH110" s="33">
        <f>IF(E110=1,IF(IF(Orders!S107,1,0)=1-G110,1,0),"")</f>
        <v>1</v>
      </c>
      <c r="BI110" s="32" t="str">
        <f>INDEX(Stores!$B$2:$B$21,MATCH(B110,Stores!$A$2:$A$21,0))</f>
        <v>Hyderabad</v>
      </c>
    </row>
    <row r="111">
      <c r="A111" s="32" t="str">
        <f>Orders!A108</f>
        <v>O00107</v>
      </c>
      <c r="B111" s="32" t="str">
        <f>Orders!C108</f>
        <v>S006</v>
      </c>
      <c r="C111" s="32" t="str">
        <f>Orders!B108</f>
        <v>C0041</v>
      </c>
      <c r="D111" s="32" t="str">
        <f>Orders!H108</f>
        <v>Delivered</v>
      </c>
      <c r="E111" s="33">
        <f>IF(Orders!H108="Delivered",1,0)</f>
        <v>1</v>
      </c>
      <c r="F111" s="34">
        <f>IF(E111=1,Orders!R108,"")</f>
        <v>-0.7</v>
      </c>
      <c r="G111" s="33">
        <f>IF(E111=1,IF(Orders!R108&gt;0,1,0),"")</f>
        <v>0</v>
      </c>
      <c r="H111" s="33">
        <f>IF(E111=1,IF(Orders!R108&gt;5,1,0),"")</f>
        <v>0</v>
      </c>
      <c r="I111" s="32" t="str">
        <f>IF(E111=1,"",IF(OR(Orders!T108="Rider unavailable",Orders!T108="Item unavailable"),"Company-caused","Unresolved"))</f>
        <v/>
      </c>
      <c r="J111" s="33">
        <f>IF(OR(E111=1,I111="Company-caused"),1,0)</f>
        <v>1</v>
      </c>
      <c r="K111" s="32" t="str">
        <f>IF(E111=0,IF(I111="Company-caused",IF(Orders!T108="Rider unavailable","C1 Rider unavailable","C2 Item unavailable"),"Outside root: unresolved"),IF(G111=0,"A On time",IF(H111=1,IF(L111=1,"B2a Severe, peak","B2b Severe, off-peak"),IF(L111=1,"B1a Slight, peak","B1b Slight, off-peak"))))</f>
        <v>A On time</v>
      </c>
      <c r="L111" s="33">
        <f>IF(AND(Orders!U108&gt;=19,Orders!U108&lt;22),1,0)</f>
        <v>1</v>
      </c>
      <c r="M111" s="33">
        <f>IF(L111=IF(Orders!V108,1,0),1,0)</f>
        <v>1</v>
      </c>
      <c r="N111" s="32" t="str">
        <f>IF(Orders!W108="","None",Orders!W108)</f>
        <v>Heavy</v>
      </c>
      <c r="O111" s="35">
        <f>INT(Orders!E108)</f>
        <v>46271.0</v>
      </c>
      <c r="P111" s="33">
        <f>Orders!U108</f>
        <v>20</v>
      </c>
      <c r="Q111" s="33">
        <f>COUNTIFS(Demand!$A$2:$A$4481,B111,Demand!$B$2:$B$4481,O111,Demand!$C$2:$C$4481,P111)</f>
        <v>1</v>
      </c>
      <c r="R111" s="33">
        <f>IF(Q111=1,SUMIFS(Demand!$E$2:$E$4481,Demand!$A$2:$A$4481,B111,Demand!$B$2:$B$4481,O111,Demand!$C$2:$C$4481,P111),"")</f>
        <v>41</v>
      </c>
      <c r="S111" s="33">
        <f>INDEX(Stores!$G$2:$G$21,MATCH(B111,Stores!$A$2:$A$21,0))</f>
        <v>26</v>
      </c>
      <c r="T111" s="34">
        <f>IF(R111="","",R111/S111)</f>
        <v>1.57692307692308</v>
      </c>
      <c r="U111" s="34">
        <f>IF(E111=1,T111,"")</f>
        <v>1.57692307692308</v>
      </c>
      <c r="V111" s="34" t="str">
        <f>IF(AND(E111=1,L111=0),T111,"")</f>
        <v/>
      </c>
      <c r="W111" s="33">
        <f>IF(U111="","",IF(U111&lt;=Breakdowns!$C$5,1,IF(U111&lt;=Breakdowns!$C$6,2,IF(U111&lt;=Breakdowns!$C$7,3,4))))</f>
        <v>4</v>
      </c>
      <c r="X111" s="33" t="str">
        <f>IF(V111="","",IF(V111&lt;=Breakdowns!$D$5,1,IF(V111&lt;=Breakdowns!$D$6,2,IF(V111&lt;=Breakdowns!$D$7,3,4))))</f>
        <v/>
      </c>
      <c r="Y111" s="34">
        <f>INDEX(Stores!$F$2:$F$21,MATCH(B111,Stores!$A$2:$A$21,0))</f>
        <v>5.22</v>
      </c>
      <c r="Z111" s="33">
        <f>IF(Y111&gt;Store_Summary!$M$2,1,0)</f>
        <v>1</v>
      </c>
      <c r="AA111" s="33">
        <f>INDEX(Stores!$C$2:$C$21,MATCH(B111,Stores!$A$2:$A$21,0))</f>
        <v>412</v>
      </c>
      <c r="AB111" s="33">
        <f>IF(AA111&lt;180,1,0)</f>
        <v>0</v>
      </c>
      <c r="AC111" s="32" t="str">
        <f>IF(Orders!D108="","",INDEX(Riders!$C$2:$C$81,MATCH(Orders!D108,Riders!$A$2:$A$81,0)))</f>
        <v>Petrol scooter</v>
      </c>
      <c r="AD111" s="33">
        <f>IF(Orders!D108="","",INDEX(Riders!$D$2:$D$81,MATCH(Orders!D108,Riders!$A$2:$A$81,0)))</f>
        <v>19</v>
      </c>
      <c r="AE111" s="33">
        <f>IF(Orders!D108="","",IF(INDEX(Riders!$B$2:$B$81,MATCH(Orders!D108,Riders!$A$2:$A$81,0))=B111,1,0))</f>
        <v>0</v>
      </c>
      <c r="AF111" s="34">
        <f>IF(E111=1,Orders!L108,"")</f>
        <v>4.9</v>
      </c>
      <c r="AG111" s="34">
        <f>IF(E111=1,Orders!P108,"")</f>
        <v>11.1</v>
      </c>
      <c r="AH111" s="34">
        <f>IF(E111=1,Orders!Q108,"")</f>
        <v>10.4</v>
      </c>
      <c r="AI111" s="34">
        <f>IF(E111=1,Orders!M108,"")</f>
        <v>1.8</v>
      </c>
      <c r="AJ111" s="34">
        <f>IF(E111=1,Orders!N108,"")</f>
        <v>3.5</v>
      </c>
      <c r="AK111" s="34">
        <f>IF(E111=1,Orders!O108,"")</f>
        <v>5.1</v>
      </c>
      <c r="AL111" s="33">
        <f>IF(E111=1,IF(ROUND(ABS(AI111+AJ111+AK111-AH111),6)&lt;=0.1,1,0),"")</f>
        <v>1</v>
      </c>
      <c r="AM111" s="36">
        <f>IF(E111=1,AI111/AH111,"")</f>
        <v>0.173076923076923</v>
      </c>
      <c r="AN111" s="36">
        <f>IF(E111=1,AJ111/AH111,"")</f>
        <v>0.336538461538462</v>
      </c>
      <c r="AO111" s="36">
        <f>IF(E111=1,AK111/AH111,"")</f>
        <v>0.490384615384615</v>
      </c>
      <c r="AP111" s="34">
        <f>IF(E111=1,Orders!Y108,"")</f>
        <v>0.55</v>
      </c>
      <c r="AQ111" s="33">
        <f>IF(Orders!X108,1,0)</f>
        <v>0</v>
      </c>
      <c r="AR111" s="34">
        <f>IF(AND(E111=1,L111=1),AJ111,"")</f>
        <v>3.5</v>
      </c>
      <c r="AS111" s="34" t="str">
        <f>IF(AND(E111=1,L111=0),AJ111,"")</f>
        <v/>
      </c>
      <c r="AT111" s="34">
        <f>IF(AND(E111=1,L111=1),AI111,"")</f>
        <v>1.8</v>
      </c>
      <c r="AU111" s="34" t="str">
        <f>IF(AND(E111=1,L111=0),AI111,"")</f>
        <v/>
      </c>
      <c r="AV111" s="34">
        <f>IF(AND(E111=1,L111=1),AG111,"")</f>
        <v>11.1</v>
      </c>
      <c r="AW111" s="34" t="str">
        <f>IF(AND(E111=1,L111=0),AG111,"")</f>
        <v/>
      </c>
      <c r="AX111" s="34">
        <f>IF(AND(E111=1,L111=1),AH111,"")</f>
        <v>10.4</v>
      </c>
      <c r="AY111" s="34" t="str">
        <f>IF(AND(E111=1,L111=0),AH111,"")</f>
        <v/>
      </c>
      <c r="AZ111" s="34" t="str">
        <f>IF(G111=1,F111,"")</f>
        <v/>
      </c>
      <c r="BA111" s="34" t="str">
        <f>IF(AND(G111=1,L111=1),F111,"")</f>
        <v/>
      </c>
      <c r="BB111" s="34" t="str">
        <f>IF(AND(G111=1,L111=0),F111,"")</f>
        <v/>
      </c>
      <c r="BC111" s="33">
        <f>IF(E111=1,IF(Orders!R108&gt;3,1,0),"")</f>
        <v>0</v>
      </c>
      <c r="BD111" s="33">
        <f>IF(E111=1,IF(Orders!R108&gt;7,1,0),"")</f>
        <v>0</v>
      </c>
      <c r="BE111" s="32" t="str">
        <f>IF(E111=1,IF(Orders!L108&lt;=1.5,"Up to 1.5 km",IF(Orders!L108&lt;=3,"1.5–3 km","Over 3 km")),"")</f>
        <v>Over 3 km</v>
      </c>
      <c r="BF111" s="33">
        <f>IF(E111=1,IF(ABS((Orders!G108-Orders!F108)*1440-Orders!R108)&lt;0.06,1,0),"")</f>
        <v>1</v>
      </c>
      <c r="BG111" s="33">
        <f>IF(ABS((Orders!F108-Orders!E108)*1440-Orders!P108)&lt;0.06,1,0)</f>
        <v>1</v>
      </c>
      <c r="BH111" s="33">
        <f>IF(E111=1,IF(IF(Orders!S108,1,0)=1-G111,1,0),"")</f>
        <v>1</v>
      </c>
      <c r="BI111" s="32" t="str">
        <f>INDEX(Stores!$B$2:$B$21,MATCH(B111,Stores!$A$2:$A$21,0))</f>
        <v>Bengaluru</v>
      </c>
    </row>
    <row r="112">
      <c r="A112" s="32" t="str">
        <f>Orders!A109</f>
        <v>O00108</v>
      </c>
      <c r="B112" s="32" t="str">
        <f>Orders!C109</f>
        <v>S012</v>
      </c>
      <c r="C112" s="32" t="str">
        <f>Orders!B109</f>
        <v>C0146</v>
      </c>
      <c r="D112" s="32" t="str">
        <f>Orders!H109</f>
        <v>Delivered</v>
      </c>
      <c r="E112" s="33">
        <f>IF(Orders!H109="Delivered",1,0)</f>
        <v>1</v>
      </c>
      <c r="F112" s="34">
        <f>IF(E112=1,Orders!R109,"")</f>
        <v>-0.7</v>
      </c>
      <c r="G112" s="33">
        <f>IF(E112=1,IF(Orders!R109&gt;0,1,0),"")</f>
        <v>0</v>
      </c>
      <c r="H112" s="33">
        <f>IF(E112=1,IF(Orders!R109&gt;5,1,0),"")</f>
        <v>0</v>
      </c>
      <c r="I112" s="32" t="str">
        <f>IF(E112=1,"",IF(OR(Orders!T109="Rider unavailable",Orders!T109="Item unavailable"),"Company-caused","Unresolved"))</f>
        <v/>
      </c>
      <c r="J112" s="33">
        <f>IF(OR(E112=1,I112="Company-caused"),1,0)</f>
        <v>1</v>
      </c>
      <c r="K112" s="32" t="str">
        <f>IF(E112=0,IF(I112="Company-caused",IF(Orders!T109="Rider unavailable","C1 Rider unavailable","C2 Item unavailable"),"Outside root: unresolved"),IF(G112=0,"A On time",IF(H112=1,IF(L112=1,"B2a Severe, peak","B2b Severe, off-peak"),IF(L112=1,"B1a Slight, peak","B1b Slight, off-peak"))))</f>
        <v>A On time</v>
      </c>
      <c r="L112" s="33">
        <f>IF(AND(Orders!U109&gt;=19,Orders!U109&lt;22),1,0)</f>
        <v>0</v>
      </c>
      <c r="M112" s="33">
        <f>IF(L112=IF(Orders!V109,1,0),1,0)</f>
        <v>1</v>
      </c>
      <c r="N112" s="32" t="str">
        <f>IF(Orders!W109="","None",Orders!W109)</f>
        <v>None</v>
      </c>
      <c r="O112" s="35">
        <f>INT(Orders!E109)</f>
        <v>46278.0</v>
      </c>
      <c r="P112" s="33">
        <f>Orders!U109</f>
        <v>9</v>
      </c>
      <c r="Q112" s="33">
        <f>COUNTIFS(Demand!$A$2:$A$4481,B112,Demand!$B$2:$B$4481,O112,Demand!$C$2:$C$4481,P112)</f>
        <v>1</v>
      </c>
      <c r="R112" s="33">
        <f>IF(Q112=1,SUMIFS(Demand!$E$2:$E$4481,Demand!$A$2:$A$4481,B112,Demand!$B$2:$B$4481,O112,Demand!$C$2:$C$4481,P112),"")</f>
        <v>13</v>
      </c>
      <c r="S112" s="33">
        <f>INDEX(Stores!$G$2:$G$21,MATCH(B112,Stores!$A$2:$A$21,0))</f>
        <v>15</v>
      </c>
      <c r="T112" s="34">
        <f>IF(R112="","",R112/S112)</f>
        <v>0.866666666666667</v>
      </c>
      <c r="U112" s="34">
        <f>IF(E112=1,T112,"")</f>
        <v>0.866666666666667</v>
      </c>
      <c r="V112" s="34">
        <f>IF(AND(E112=1,L112=0),T112,"")</f>
        <v>0.866666666666667</v>
      </c>
      <c r="W112" s="33">
        <f>IF(U112="","",IF(U112&lt;=Breakdowns!$C$5,1,IF(U112&lt;=Breakdowns!$C$6,2,IF(U112&lt;=Breakdowns!$C$7,3,4))))</f>
        <v>2</v>
      </c>
      <c r="X112" s="33">
        <f>IF(V112="","",IF(V112&lt;=Breakdowns!$D$5,1,IF(V112&lt;=Breakdowns!$D$6,2,IF(V112&lt;=Breakdowns!$D$7,3,4))))</f>
        <v>2</v>
      </c>
      <c r="Y112" s="34">
        <f>INDEX(Stores!$F$2:$F$21,MATCH(B112,Stores!$A$2:$A$21,0))</f>
        <v>5.23</v>
      </c>
      <c r="Z112" s="33">
        <f>IF(Y112&gt;Store_Summary!$M$2,1,0)</f>
        <v>1</v>
      </c>
      <c r="AA112" s="33">
        <f>INDEX(Stores!$C$2:$C$21,MATCH(B112,Stores!$A$2:$A$21,0))</f>
        <v>300</v>
      </c>
      <c r="AB112" s="33">
        <f>IF(AA112&lt;180,1,0)</f>
        <v>0</v>
      </c>
      <c r="AC112" s="32" t="str">
        <f>IF(Orders!D109="","",INDEX(Riders!$C$2:$C$81,MATCH(Orders!D109,Riders!$A$2:$A$81,0)))</f>
        <v>Petrol scooter</v>
      </c>
      <c r="AD112" s="33">
        <f>IF(Orders!D109="","",INDEX(Riders!$D$2:$D$81,MATCH(Orders!D109,Riders!$A$2:$A$81,0)))</f>
        <v>30</v>
      </c>
      <c r="AE112" s="33">
        <f>IF(Orders!D109="","",IF(INDEX(Riders!$B$2:$B$81,MATCH(Orders!D109,Riders!$A$2:$A$81,0))=B112,1,0))</f>
        <v>0</v>
      </c>
      <c r="AF112" s="34">
        <f>IF(E112=1,Orders!L109,"")</f>
        <v>0.5</v>
      </c>
      <c r="AG112" s="34">
        <f>IF(E112=1,Orders!P109,"")</f>
        <v>10.4</v>
      </c>
      <c r="AH112" s="34">
        <f>IF(E112=1,Orders!Q109,"")</f>
        <v>9.7</v>
      </c>
      <c r="AI112" s="34">
        <f>IF(E112=1,Orders!M109,"")</f>
        <v>4.8</v>
      </c>
      <c r="AJ112" s="34">
        <f>IF(E112=1,Orders!N109,"")</f>
        <v>3.1</v>
      </c>
      <c r="AK112" s="34">
        <f>IF(E112=1,Orders!O109,"")</f>
        <v>1.8</v>
      </c>
      <c r="AL112" s="33">
        <f>IF(E112=1,IF(ROUND(ABS(AI112+AJ112+AK112-AH112),6)&lt;=0.1,1,0),"")</f>
        <v>1</v>
      </c>
      <c r="AM112" s="36">
        <f>IF(E112=1,AI112/AH112,"")</f>
        <v>0.494845360824742</v>
      </c>
      <c r="AN112" s="36">
        <f>IF(E112=1,AJ112/AH112,"")</f>
        <v>0.319587628865979</v>
      </c>
      <c r="AO112" s="36">
        <f>IF(E112=1,AK112/AH112,"")</f>
        <v>0.185567010309278</v>
      </c>
      <c r="AP112" s="34">
        <f>IF(E112=1,Orders!Y109,"")</f>
        <v>0.49</v>
      </c>
      <c r="AQ112" s="33">
        <f>IF(Orders!X109,1,0)</f>
        <v>0</v>
      </c>
      <c r="AR112" s="34" t="str">
        <f>IF(AND(E112=1,L112=1),AJ112,"")</f>
        <v/>
      </c>
      <c r="AS112" s="34">
        <f>IF(AND(E112=1,L112=0),AJ112,"")</f>
        <v>3.1</v>
      </c>
      <c r="AT112" s="34" t="str">
        <f>IF(AND(E112=1,L112=1),AI112,"")</f>
        <v/>
      </c>
      <c r="AU112" s="34">
        <f>IF(AND(E112=1,L112=0),AI112,"")</f>
        <v>4.8</v>
      </c>
      <c r="AV112" s="34" t="str">
        <f>IF(AND(E112=1,L112=1),AG112,"")</f>
        <v/>
      </c>
      <c r="AW112" s="34">
        <f>IF(AND(E112=1,L112=0),AG112,"")</f>
        <v>10.4</v>
      </c>
      <c r="AX112" s="34" t="str">
        <f>IF(AND(E112=1,L112=1),AH112,"")</f>
        <v/>
      </c>
      <c r="AY112" s="34">
        <f>IF(AND(E112=1,L112=0),AH112,"")</f>
        <v>9.7</v>
      </c>
      <c r="AZ112" s="34" t="str">
        <f>IF(G112=1,F112,"")</f>
        <v/>
      </c>
      <c r="BA112" s="34" t="str">
        <f>IF(AND(G112=1,L112=1),F112,"")</f>
        <v/>
      </c>
      <c r="BB112" s="34" t="str">
        <f>IF(AND(G112=1,L112=0),F112,"")</f>
        <v/>
      </c>
      <c r="BC112" s="33">
        <f>IF(E112=1,IF(Orders!R109&gt;3,1,0),"")</f>
        <v>0</v>
      </c>
      <c r="BD112" s="33">
        <f>IF(E112=1,IF(Orders!R109&gt;7,1,0),"")</f>
        <v>0</v>
      </c>
      <c r="BE112" s="32" t="str">
        <f>IF(E112=1,IF(Orders!L109&lt;=1.5,"Up to 1.5 km",IF(Orders!L109&lt;=3,"1.5–3 km","Over 3 km")),"")</f>
        <v>Up to 1.5 km</v>
      </c>
      <c r="BF112" s="33">
        <f>IF(E112=1,IF(ABS((Orders!G109-Orders!F109)*1440-Orders!R109)&lt;0.06,1,0),"")</f>
        <v>1</v>
      </c>
      <c r="BG112" s="33">
        <f>IF(ABS((Orders!F109-Orders!E109)*1440-Orders!P109)&lt;0.06,1,0)</f>
        <v>1</v>
      </c>
      <c r="BH112" s="33">
        <f>IF(E112=1,IF(IF(Orders!S109,1,0)=1-G112,1,0),"")</f>
        <v>1</v>
      </c>
      <c r="BI112" s="32" t="str">
        <f>INDEX(Stores!$B$2:$B$21,MATCH(B112,Stores!$A$2:$A$21,0))</f>
        <v>Hyderabad</v>
      </c>
    </row>
    <row r="113">
      <c r="A113" s="32" t="str">
        <f>Orders!A110</f>
        <v>O00109</v>
      </c>
      <c r="B113" s="32" t="str">
        <f>Orders!C110</f>
        <v>S005</v>
      </c>
      <c r="C113" s="32" t="str">
        <f>Orders!B110</f>
        <v>C0240</v>
      </c>
      <c r="D113" s="32" t="str">
        <f>Orders!H110</f>
        <v>Delivered</v>
      </c>
      <c r="E113" s="33">
        <f>IF(Orders!H110="Delivered",1,0)</f>
        <v>1</v>
      </c>
      <c r="F113" s="34">
        <f>IF(E113=1,Orders!R110,"")</f>
        <v>4.3</v>
      </c>
      <c r="G113" s="33">
        <f>IF(E113=1,IF(Orders!R110&gt;0,1,0),"")</f>
        <v>1</v>
      </c>
      <c r="H113" s="33">
        <f>IF(E113=1,IF(Orders!R110&gt;5,1,0),"")</f>
        <v>0</v>
      </c>
      <c r="I113" s="32" t="str">
        <f>IF(E113=1,"",IF(OR(Orders!T110="Rider unavailable",Orders!T110="Item unavailable"),"Company-caused","Unresolved"))</f>
        <v/>
      </c>
      <c r="J113" s="33">
        <f>IF(OR(E113=1,I113="Company-caused"),1,0)</f>
        <v>1</v>
      </c>
      <c r="K113" s="32" t="str">
        <f>IF(E113=0,IF(I113="Company-caused",IF(Orders!T110="Rider unavailable","C1 Rider unavailable","C2 Item unavailable"),"Outside root: unresolved"),IF(G113=0,"A On time",IF(H113=1,IF(L113=1,"B2a Severe, peak","B2b Severe, off-peak"),IF(L113=1,"B1a Slight, peak","B1b Slight, off-peak"))))</f>
        <v>B1b Slight, off-peak</v>
      </c>
      <c r="L113" s="33">
        <f>IF(AND(Orders!U110&gt;=19,Orders!U110&lt;22),1,0)</f>
        <v>0</v>
      </c>
      <c r="M113" s="33">
        <f>IF(L113=IF(Orders!V110,1,0),1,0)</f>
        <v>1</v>
      </c>
      <c r="N113" s="32" t="str">
        <f>IF(Orders!W110="","None",Orders!W110)</f>
        <v>None</v>
      </c>
      <c r="O113" s="35">
        <f>INT(Orders!E110)</f>
        <v>46273.0</v>
      </c>
      <c r="P113" s="33">
        <f>Orders!U110</f>
        <v>23</v>
      </c>
      <c r="Q113" s="33">
        <f>COUNTIFS(Demand!$A$2:$A$4481,B113,Demand!$B$2:$B$4481,O113,Demand!$C$2:$C$4481,P113)</f>
        <v>1</v>
      </c>
      <c r="R113" s="33">
        <f>IF(Q113=1,SUMIFS(Demand!$E$2:$E$4481,Demand!$A$2:$A$4481,B113,Demand!$B$2:$B$4481,O113,Demand!$C$2:$C$4481,P113),"")</f>
        <v>17</v>
      </c>
      <c r="S113" s="33">
        <f>INDEX(Stores!$G$2:$G$21,MATCH(B113,Stores!$A$2:$A$21,0))</f>
        <v>14</v>
      </c>
      <c r="T113" s="34">
        <f>IF(R113="","",R113/S113)</f>
        <v>1.21428571428571</v>
      </c>
      <c r="U113" s="34">
        <f>IF(E113=1,T113,"")</f>
        <v>1.21428571428571</v>
      </c>
      <c r="V113" s="34">
        <f>IF(AND(E113=1,L113=0),T113,"")</f>
        <v>1.21428571428571</v>
      </c>
      <c r="W113" s="33">
        <f>IF(U113="","",IF(U113&lt;=Breakdowns!$C$5,1,IF(U113&lt;=Breakdowns!$C$6,2,IF(U113&lt;=Breakdowns!$C$7,3,4))))</f>
        <v>3</v>
      </c>
      <c r="X113" s="33">
        <f>IF(V113="","",IF(V113&lt;=Breakdowns!$D$5,1,IF(V113&lt;=Breakdowns!$D$6,2,IF(V113&lt;=Breakdowns!$D$7,3,4))))</f>
        <v>4</v>
      </c>
      <c r="Y113" s="34">
        <f>INDEX(Stores!$F$2:$F$21,MATCH(B113,Stores!$A$2:$A$21,0))</f>
        <v>4.89</v>
      </c>
      <c r="Z113" s="33">
        <f>IF(Y113&gt;Store_Summary!$M$2,1,0)</f>
        <v>0</v>
      </c>
      <c r="AA113" s="33">
        <f>INDEX(Stores!$C$2:$C$21,MATCH(B113,Stores!$A$2:$A$21,0))</f>
        <v>138</v>
      </c>
      <c r="AB113" s="33">
        <f>IF(AA113&lt;180,1,0)</f>
        <v>1</v>
      </c>
      <c r="AC113" s="32" t="str">
        <f>IF(Orders!D110="","",INDEX(Riders!$C$2:$C$81,MATCH(Orders!D110,Riders!$A$2:$A$81,0)))</f>
        <v>Petrol scooter</v>
      </c>
      <c r="AD113" s="33">
        <f>IF(Orders!D110="","",INDEX(Riders!$D$2:$D$81,MATCH(Orders!D110,Riders!$A$2:$A$81,0)))</f>
        <v>19</v>
      </c>
      <c r="AE113" s="33">
        <f>IF(Orders!D110="","",IF(INDEX(Riders!$B$2:$B$81,MATCH(Orders!D110,Riders!$A$2:$A$81,0))=B113,1,0))</f>
        <v>0</v>
      </c>
      <c r="AF113" s="34">
        <f>IF(E113=1,Orders!L110,"")</f>
        <v>0.89</v>
      </c>
      <c r="AG113" s="34">
        <f>IF(E113=1,Orders!P110,"")</f>
        <v>9.7</v>
      </c>
      <c r="AH113" s="34">
        <f>IF(E113=1,Orders!Q110,"")</f>
        <v>14</v>
      </c>
      <c r="AI113" s="34">
        <f>IF(E113=1,Orders!M110,"")</f>
        <v>4.3</v>
      </c>
      <c r="AJ113" s="34">
        <f>IF(E113=1,Orders!N110,"")</f>
        <v>6.8</v>
      </c>
      <c r="AK113" s="34">
        <f>IF(E113=1,Orders!O110,"")</f>
        <v>2.8</v>
      </c>
      <c r="AL113" s="33">
        <f>IF(E113=1,IF(ROUND(ABS(AI113+AJ113+AK113-AH113),6)&lt;=0.1,1,0),"")</f>
        <v>1</v>
      </c>
      <c r="AM113" s="36">
        <f>IF(E113=1,AI113/AH113,"")</f>
        <v>0.307142857142857</v>
      </c>
      <c r="AN113" s="36">
        <f>IF(E113=1,AJ113/AH113,"")</f>
        <v>0.485714285714286</v>
      </c>
      <c r="AO113" s="36">
        <f>IF(E113=1,AK113/AH113,"")</f>
        <v>0.2</v>
      </c>
      <c r="AP113" s="34">
        <f>IF(E113=1,Orders!Y110,"")</f>
        <v>0.4</v>
      </c>
      <c r="AQ113" s="33">
        <f>IF(Orders!X110,1,0)</f>
        <v>0</v>
      </c>
      <c r="AR113" s="34" t="str">
        <f>IF(AND(E113=1,L113=1),AJ113,"")</f>
        <v/>
      </c>
      <c r="AS113" s="34">
        <f>IF(AND(E113=1,L113=0),AJ113,"")</f>
        <v>6.8</v>
      </c>
      <c r="AT113" s="34" t="str">
        <f>IF(AND(E113=1,L113=1),AI113,"")</f>
        <v/>
      </c>
      <c r="AU113" s="34">
        <f>IF(AND(E113=1,L113=0),AI113,"")</f>
        <v>4.3</v>
      </c>
      <c r="AV113" s="34" t="str">
        <f>IF(AND(E113=1,L113=1),AG113,"")</f>
        <v/>
      </c>
      <c r="AW113" s="34">
        <f>IF(AND(E113=1,L113=0),AG113,"")</f>
        <v>9.7</v>
      </c>
      <c r="AX113" s="34" t="str">
        <f>IF(AND(E113=1,L113=1),AH113,"")</f>
        <v/>
      </c>
      <c r="AY113" s="34">
        <f>IF(AND(E113=1,L113=0),AH113,"")</f>
        <v>14</v>
      </c>
      <c r="AZ113" s="34">
        <f>IF(G113=1,F113,"")</f>
        <v>4.3</v>
      </c>
      <c r="BA113" s="34" t="str">
        <f>IF(AND(G113=1,L113=1),F113,"")</f>
        <v/>
      </c>
      <c r="BB113" s="34">
        <f>IF(AND(G113=1,L113=0),F113,"")</f>
        <v>4.3</v>
      </c>
      <c r="BC113" s="33">
        <f>IF(E113=1,IF(Orders!R110&gt;3,1,0),"")</f>
        <v>1</v>
      </c>
      <c r="BD113" s="33">
        <f>IF(E113=1,IF(Orders!R110&gt;7,1,0),"")</f>
        <v>0</v>
      </c>
      <c r="BE113" s="32" t="str">
        <f>IF(E113=1,IF(Orders!L110&lt;=1.5,"Up to 1.5 km",IF(Orders!L110&lt;=3,"1.5–3 km","Over 3 km")),"")</f>
        <v>Up to 1.5 km</v>
      </c>
      <c r="BF113" s="33">
        <f>IF(E113=1,IF(ABS((Orders!G110-Orders!F110)*1440-Orders!R110)&lt;0.06,1,0),"")</f>
        <v>1</v>
      </c>
      <c r="BG113" s="33">
        <f>IF(ABS((Orders!F110-Orders!E110)*1440-Orders!P110)&lt;0.06,1,0)</f>
        <v>1</v>
      </c>
      <c r="BH113" s="33">
        <f>IF(E113=1,IF(IF(Orders!S110,1,0)=1-G113,1,0),"")</f>
        <v>1</v>
      </c>
      <c r="BI113" s="32" t="str">
        <f>INDEX(Stores!$B$2:$B$21,MATCH(B113,Stores!$A$2:$A$21,0))</f>
        <v>Delhi</v>
      </c>
    </row>
    <row r="114">
      <c r="A114" s="32" t="str">
        <f>Orders!A111</f>
        <v>O00110</v>
      </c>
      <c r="B114" s="32" t="str">
        <f>Orders!C111</f>
        <v>S002</v>
      </c>
      <c r="C114" s="32" t="str">
        <f>Orders!B111</f>
        <v>C0053</v>
      </c>
      <c r="D114" s="32" t="str">
        <f>Orders!H111</f>
        <v>Delivered</v>
      </c>
      <c r="E114" s="33">
        <f>IF(Orders!H111="Delivered",1,0)</f>
        <v>1</v>
      </c>
      <c r="F114" s="34">
        <f>IF(E114=1,Orders!R111,"")</f>
        <v>-1.1</v>
      </c>
      <c r="G114" s="33">
        <f>IF(E114=1,IF(Orders!R111&gt;0,1,0),"")</f>
        <v>0</v>
      </c>
      <c r="H114" s="33">
        <f>IF(E114=1,IF(Orders!R111&gt;5,1,0),"")</f>
        <v>0</v>
      </c>
      <c r="I114" s="32" t="str">
        <f>IF(E114=1,"",IF(OR(Orders!T111="Rider unavailable",Orders!T111="Item unavailable"),"Company-caused","Unresolved"))</f>
        <v/>
      </c>
      <c r="J114" s="33">
        <f>IF(OR(E114=1,I114="Company-caused"),1,0)</f>
        <v>1</v>
      </c>
      <c r="K114" s="32" t="str">
        <f>IF(E114=0,IF(I114="Company-caused",IF(Orders!T111="Rider unavailable","C1 Rider unavailable","C2 Item unavailable"),"Outside root: unresolved"),IF(G114=0,"A On time",IF(H114=1,IF(L114=1,"B2a Severe, peak","B2b Severe, off-peak"),IF(L114=1,"B1a Slight, peak","B1b Slight, off-peak"))))</f>
        <v>A On time</v>
      </c>
      <c r="L114" s="33">
        <f>IF(AND(Orders!U111&gt;=19,Orders!U111&lt;22),1,0)</f>
        <v>0</v>
      </c>
      <c r="M114" s="33">
        <f>IF(L114=IF(Orders!V111,1,0),1,0)</f>
        <v>1</v>
      </c>
      <c r="N114" s="32" t="str">
        <f>IF(Orders!W111="","None",Orders!W111)</f>
        <v>None</v>
      </c>
      <c r="O114" s="35">
        <f>INT(Orders!E111)</f>
        <v>46271.0</v>
      </c>
      <c r="P114" s="33">
        <f>Orders!U111</f>
        <v>14</v>
      </c>
      <c r="Q114" s="33">
        <f>COUNTIFS(Demand!$A$2:$A$4481,B114,Demand!$B$2:$B$4481,O114,Demand!$C$2:$C$4481,P114)</f>
        <v>1</v>
      </c>
      <c r="R114" s="33">
        <f>IF(Q114=1,SUMIFS(Demand!$E$2:$E$4481,Demand!$A$2:$A$4481,B114,Demand!$B$2:$B$4481,O114,Demand!$C$2:$C$4481,P114),"")</f>
        <v>25</v>
      </c>
      <c r="S114" s="33">
        <f>INDEX(Stores!$G$2:$G$21,MATCH(B114,Stores!$A$2:$A$21,0))</f>
        <v>33</v>
      </c>
      <c r="T114" s="34">
        <f>IF(R114="","",R114/S114)</f>
        <v>0.757575757575758</v>
      </c>
      <c r="U114" s="34">
        <f>IF(E114=1,T114,"")</f>
        <v>0.757575757575758</v>
      </c>
      <c r="V114" s="34">
        <f>IF(AND(E114=1,L114=0),T114,"")</f>
        <v>0.757575757575758</v>
      </c>
      <c r="W114" s="33">
        <f>IF(U114="","",IF(U114&lt;=Breakdowns!$C$5,1,IF(U114&lt;=Breakdowns!$C$6,2,IF(U114&lt;=Breakdowns!$C$7,3,4))))</f>
        <v>1</v>
      </c>
      <c r="X114" s="33">
        <f>IF(V114="","",IF(V114&lt;=Breakdowns!$D$5,1,IF(V114&lt;=Breakdowns!$D$6,2,IF(V114&lt;=Breakdowns!$D$7,3,4))))</f>
        <v>2</v>
      </c>
      <c r="Y114" s="34">
        <f>INDEX(Stores!$F$2:$F$21,MATCH(B114,Stores!$A$2:$A$21,0))</f>
        <v>2.39</v>
      </c>
      <c r="Z114" s="33">
        <f>IF(Y114&gt;Store_Summary!$M$2,1,0)</f>
        <v>0</v>
      </c>
      <c r="AA114" s="33">
        <f>INDEX(Stores!$C$2:$C$21,MATCH(B114,Stores!$A$2:$A$21,0))</f>
        <v>470</v>
      </c>
      <c r="AB114" s="33">
        <f>IF(AA114&lt;180,1,0)</f>
        <v>0</v>
      </c>
      <c r="AC114" s="32" t="str">
        <f>IF(Orders!D111="","",INDEX(Riders!$C$2:$C$81,MATCH(Orders!D111,Riders!$A$2:$A$81,0)))</f>
        <v>Petrol scooter</v>
      </c>
      <c r="AD114" s="33">
        <f>IF(Orders!D111="","",INDEX(Riders!$D$2:$D$81,MATCH(Orders!D111,Riders!$A$2:$A$81,0)))</f>
        <v>29</v>
      </c>
      <c r="AE114" s="33">
        <f>IF(Orders!D111="","",IF(INDEX(Riders!$B$2:$B$81,MATCH(Orders!D111,Riders!$A$2:$A$81,0))=B114,1,0))</f>
        <v>0</v>
      </c>
      <c r="AF114" s="34">
        <f>IF(E114=1,Orders!L111,"")</f>
        <v>2.04</v>
      </c>
      <c r="AG114" s="34">
        <f>IF(E114=1,Orders!P111,"")</f>
        <v>10.1</v>
      </c>
      <c r="AH114" s="34">
        <f>IF(E114=1,Orders!Q111,"")</f>
        <v>9</v>
      </c>
      <c r="AI114" s="34">
        <f>IF(E114=1,Orders!M111,"")</f>
        <v>1.8</v>
      </c>
      <c r="AJ114" s="34">
        <f>IF(E114=1,Orders!N111,"")</f>
        <v>3.6</v>
      </c>
      <c r="AK114" s="34">
        <f>IF(E114=1,Orders!O111,"")</f>
        <v>3.6</v>
      </c>
      <c r="AL114" s="33">
        <f>IF(E114=1,IF(ROUND(ABS(AI114+AJ114+AK114-AH114),6)&lt;=0.1,1,0),"")</f>
        <v>1</v>
      </c>
      <c r="AM114" s="36">
        <f>IF(E114=1,AI114/AH114,"")</f>
        <v>0.2</v>
      </c>
      <c r="AN114" s="36">
        <f>IF(E114=1,AJ114/AH114,"")</f>
        <v>0.4</v>
      </c>
      <c r="AO114" s="36">
        <f>IF(E114=1,AK114/AH114,"")</f>
        <v>0.4</v>
      </c>
      <c r="AP114" s="34">
        <f>IF(E114=1,Orders!Y111,"")</f>
        <v>0.46</v>
      </c>
      <c r="AQ114" s="33">
        <f>IF(Orders!X111,1,0)</f>
        <v>0</v>
      </c>
      <c r="AR114" s="34" t="str">
        <f>IF(AND(E114=1,L114=1),AJ114,"")</f>
        <v/>
      </c>
      <c r="AS114" s="34">
        <f>IF(AND(E114=1,L114=0),AJ114,"")</f>
        <v>3.6</v>
      </c>
      <c r="AT114" s="34" t="str">
        <f>IF(AND(E114=1,L114=1),AI114,"")</f>
        <v/>
      </c>
      <c r="AU114" s="34">
        <f>IF(AND(E114=1,L114=0),AI114,"")</f>
        <v>1.8</v>
      </c>
      <c r="AV114" s="34" t="str">
        <f>IF(AND(E114=1,L114=1),AG114,"")</f>
        <v/>
      </c>
      <c r="AW114" s="34">
        <f>IF(AND(E114=1,L114=0),AG114,"")</f>
        <v>10.1</v>
      </c>
      <c r="AX114" s="34" t="str">
        <f>IF(AND(E114=1,L114=1),AH114,"")</f>
        <v/>
      </c>
      <c r="AY114" s="34">
        <f>IF(AND(E114=1,L114=0),AH114,"")</f>
        <v>9</v>
      </c>
      <c r="AZ114" s="34" t="str">
        <f>IF(G114=1,F114,"")</f>
        <v/>
      </c>
      <c r="BA114" s="34" t="str">
        <f>IF(AND(G114=1,L114=1),F114,"")</f>
        <v/>
      </c>
      <c r="BB114" s="34" t="str">
        <f>IF(AND(G114=1,L114=0),F114,"")</f>
        <v/>
      </c>
      <c r="BC114" s="33">
        <f>IF(E114=1,IF(Orders!R111&gt;3,1,0),"")</f>
        <v>0</v>
      </c>
      <c r="BD114" s="33">
        <f>IF(E114=1,IF(Orders!R111&gt;7,1,0),"")</f>
        <v>0</v>
      </c>
      <c r="BE114" s="32" t="str">
        <f>IF(E114=1,IF(Orders!L111&lt;=1.5,"Up to 1.5 km",IF(Orders!L111&lt;=3,"1.5–3 km","Over 3 km")),"")</f>
        <v>1.5–3 km</v>
      </c>
      <c r="BF114" s="33">
        <f>IF(E114=1,IF(ABS((Orders!G111-Orders!F111)*1440-Orders!R111)&lt;0.06,1,0),"")</f>
        <v>1</v>
      </c>
      <c r="BG114" s="33">
        <f>IF(ABS((Orders!F111-Orders!E111)*1440-Orders!P111)&lt;0.06,1,0)</f>
        <v>1</v>
      </c>
      <c r="BH114" s="33">
        <f>IF(E114=1,IF(IF(Orders!S111,1,0)=1-G114,1,0),"")</f>
        <v>1</v>
      </c>
      <c r="BI114" s="32" t="str">
        <f>INDEX(Stores!$B$2:$B$21,MATCH(B114,Stores!$A$2:$A$21,0))</f>
        <v>Hyderabad</v>
      </c>
    </row>
    <row r="115">
      <c r="A115" s="32" t="str">
        <f>Orders!A112</f>
        <v>O00111</v>
      </c>
      <c r="B115" s="32" t="str">
        <f>Orders!C112</f>
        <v>S002</v>
      </c>
      <c r="C115" s="32" t="str">
        <f>Orders!B112</f>
        <v>C0095</v>
      </c>
      <c r="D115" s="32" t="str">
        <f>Orders!H112</f>
        <v>Delivered</v>
      </c>
      <c r="E115" s="33">
        <f>IF(Orders!H112="Delivered",1,0)</f>
        <v>1</v>
      </c>
      <c r="F115" s="34">
        <f>IF(E115=1,Orders!R112,"")</f>
        <v>-0.8</v>
      </c>
      <c r="G115" s="33">
        <f>IF(E115=1,IF(Orders!R112&gt;0,1,0),"")</f>
        <v>0</v>
      </c>
      <c r="H115" s="33">
        <f>IF(E115=1,IF(Orders!R112&gt;5,1,0),"")</f>
        <v>0</v>
      </c>
      <c r="I115" s="32" t="str">
        <f>IF(E115=1,"",IF(OR(Orders!T112="Rider unavailable",Orders!T112="Item unavailable"),"Company-caused","Unresolved"))</f>
        <v/>
      </c>
      <c r="J115" s="33">
        <f>IF(OR(E115=1,I115="Company-caused"),1,0)</f>
        <v>1</v>
      </c>
      <c r="K115" s="32" t="str">
        <f>IF(E115=0,IF(I115="Company-caused",IF(Orders!T112="Rider unavailable","C1 Rider unavailable","C2 Item unavailable"),"Outside root: unresolved"),IF(G115=0,"A On time",IF(H115=1,IF(L115=1,"B2a Severe, peak","B2b Severe, off-peak"),IF(L115=1,"B1a Slight, peak","B1b Slight, off-peak"))))</f>
        <v>A On time</v>
      </c>
      <c r="L115" s="33">
        <f>IF(AND(Orders!U112&gt;=19,Orders!U112&lt;22),1,0)</f>
        <v>0</v>
      </c>
      <c r="M115" s="33">
        <f>IF(L115=IF(Orders!V112,1,0),1,0)</f>
        <v>1</v>
      </c>
      <c r="N115" s="32" t="str">
        <f>IF(Orders!W112="","None",Orders!W112)</f>
        <v>None</v>
      </c>
      <c r="O115" s="35">
        <f>INT(Orders!E112)</f>
        <v>46277.0</v>
      </c>
      <c r="P115" s="33">
        <f>Orders!U112</f>
        <v>15</v>
      </c>
      <c r="Q115" s="33">
        <f>COUNTIFS(Demand!$A$2:$A$4481,B115,Demand!$B$2:$B$4481,O115,Demand!$C$2:$C$4481,P115)</f>
        <v>1</v>
      </c>
      <c r="R115" s="33">
        <f>IF(Q115=1,SUMIFS(Demand!$E$2:$E$4481,Demand!$A$2:$A$4481,B115,Demand!$B$2:$B$4481,O115,Demand!$C$2:$C$4481,P115),"")</f>
        <v>28</v>
      </c>
      <c r="S115" s="33">
        <f>INDEX(Stores!$G$2:$G$21,MATCH(B115,Stores!$A$2:$A$21,0))</f>
        <v>33</v>
      </c>
      <c r="T115" s="34">
        <f>IF(R115="","",R115/S115)</f>
        <v>0.848484848484849</v>
      </c>
      <c r="U115" s="34">
        <f>IF(E115=1,T115,"")</f>
        <v>0.848484848484849</v>
      </c>
      <c r="V115" s="34">
        <f>IF(AND(E115=1,L115=0),T115,"")</f>
        <v>0.848484848484849</v>
      </c>
      <c r="W115" s="33">
        <f>IF(U115="","",IF(U115&lt;=Breakdowns!$C$5,1,IF(U115&lt;=Breakdowns!$C$6,2,IF(U115&lt;=Breakdowns!$C$7,3,4))))</f>
        <v>2</v>
      </c>
      <c r="X115" s="33">
        <f>IF(V115="","",IF(V115&lt;=Breakdowns!$D$5,1,IF(V115&lt;=Breakdowns!$D$6,2,IF(V115&lt;=Breakdowns!$D$7,3,4))))</f>
        <v>2</v>
      </c>
      <c r="Y115" s="34">
        <f>INDEX(Stores!$F$2:$F$21,MATCH(B115,Stores!$A$2:$A$21,0))</f>
        <v>2.39</v>
      </c>
      <c r="Z115" s="33">
        <f>IF(Y115&gt;Store_Summary!$M$2,1,0)</f>
        <v>0</v>
      </c>
      <c r="AA115" s="33">
        <f>INDEX(Stores!$C$2:$C$21,MATCH(B115,Stores!$A$2:$A$21,0))</f>
        <v>470</v>
      </c>
      <c r="AB115" s="33">
        <f>IF(AA115&lt;180,1,0)</f>
        <v>0</v>
      </c>
      <c r="AC115" s="32" t="str">
        <f>IF(Orders!D112="","",INDEX(Riders!$C$2:$C$81,MATCH(Orders!D112,Riders!$A$2:$A$81,0)))</f>
        <v>Petrol scooter</v>
      </c>
      <c r="AD115" s="33">
        <f>IF(Orders!D112="","",INDEX(Riders!$D$2:$D$81,MATCH(Orders!D112,Riders!$A$2:$A$81,0)))</f>
        <v>32</v>
      </c>
      <c r="AE115" s="33">
        <f>IF(Orders!D112="","",IF(INDEX(Riders!$B$2:$B$81,MATCH(Orders!D112,Riders!$A$2:$A$81,0))=B115,1,0))</f>
        <v>0</v>
      </c>
      <c r="AF115" s="34">
        <f>IF(E115=1,Orders!L112,"")</f>
        <v>1.22</v>
      </c>
      <c r="AG115" s="34">
        <f>IF(E115=1,Orders!P112,"")</f>
        <v>8.8</v>
      </c>
      <c r="AH115" s="34">
        <f>IF(E115=1,Orders!Q112,"")</f>
        <v>8</v>
      </c>
      <c r="AI115" s="34">
        <f>IF(E115=1,Orders!M112,"")</f>
        <v>1.9</v>
      </c>
      <c r="AJ115" s="34">
        <f>IF(E115=1,Orders!N112,"")</f>
        <v>2.7</v>
      </c>
      <c r="AK115" s="34">
        <f>IF(E115=1,Orders!O112,"")</f>
        <v>3.4</v>
      </c>
      <c r="AL115" s="33">
        <f>IF(E115=1,IF(ROUND(ABS(AI115+AJ115+AK115-AH115),6)&lt;=0.1,1,0),"")</f>
        <v>1</v>
      </c>
      <c r="AM115" s="36">
        <f>IF(E115=1,AI115/AH115,"")</f>
        <v>0.2375</v>
      </c>
      <c r="AN115" s="36">
        <f>IF(E115=1,AJ115/AH115,"")</f>
        <v>0.3375</v>
      </c>
      <c r="AO115" s="36">
        <f>IF(E115=1,AK115/AH115,"")</f>
        <v>0.425</v>
      </c>
      <c r="AP115" s="34">
        <f>IF(E115=1,Orders!Y112,"")</f>
        <v>0.68</v>
      </c>
      <c r="AQ115" s="33">
        <f>IF(Orders!X112,1,0)</f>
        <v>0</v>
      </c>
      <c r="AR115" s="34" t="str">
        <f>IF(AND(E115=1,L115=1),AJ115,"")</f>
        <v/>
      </c>
      <c r="AS115" s="34">
        <f>IF(AND(E115=1,L115=0),AJ115,"")</f>
        <v>2.7</v>
      </c>
      <c r="AT115" s="34" t="str">
        <f>IF(AND(E115=1,L115=1),AI115,"")</f>
        <v/>
      </c>
      <c r="AU115" s="34">
        <f>IF(AND(E115=1,L115=0),AI115,"")</f>
        <v>1.9</v>
      </c>
      <c r="AV115" s="34" t="str">
        <f>IF(AND(E115=1,L115=1),AG115,"")</f>
        <v/>
      </c>
      <c r="AW115" s="34">
        <f>IF(AND(E115=1,L115=0),AG115,"")</f>
        <v>8.8</v>
      </c>
      <c r="AX115" s="34" t="str">
        <f>IF(AND(E115=1,L115=1),AH115,"")</f>
        <v/>
      </c>
      <c r="AY115" s="34">
        <f>IF(AND(E115=1,L115=0),AH115,"")</f>
        <v>8</v>
      </c>
      <c r="AZ115" s="34" t="str">
        <f>IF(G115=1,F115,"")</f>
        <v/>
      </c>
      <c r="BA115" s="34" t="str">
        <f>IF(AND(G115=1,L115=1),F115,"")</f>
        <v/>
      </c>
      <c r="BB115" s="34" t="str">
        <f>IF(AND(G115=1,L115=0),F115,"")</f>
        <v/>
      </c>
      <c r="BC115" s="33">
        <f>IF(E115=1,IF(Orders!R112&gt;3,1,0),"")</f>
        <v>0</v>
      </c>
      <c r="BD115" s="33">
        <f>IF(E115=1,IF(Orders!R112&gt;7,1,0),"")</f>
        <v>0</v>
      </c>
      <c r="BE115" s="32" t="str">
        <f>IF(E115=1,IF(Orders!L112&lt;=1.5,"Up to 1.5 km",IF(Orders!L112&lt;=3,"1.5–3 km","Over 3 km")),"")</f>
        <v>Up to 1.5 km</v>
      </c>
      <c r="BF115" s="33">
        <f>IF(E115=1,IF(ABS((Orders!G112-Orders!F112)*1440-Orders!R112)&lt;0.06,1,0),"")</f>
        <v>1</v>
      </c>
      <c r="BG115" s="33">
        <f>IF(ABS((Orders!F112-Orders!E112)*1440-Orders!P112)&lt;0.06,1,0)</f>
        <v>1</v>
      </c>
      <c r="BH115" s="33">
        <f>IF(E115=1,IF(IF(Orders!S112,1,0)=1-G115,1,0),"")</f>
        <v>1</v>
      </c>
      <c r="BI115" s="32" t="str">
        <f>INDEX(Stores!$B$2:$B$21,MATCH(B115,Stores!$A$2:$A$21,0))</f>
        <v>Hyderabad</v>
      </c>
    </row>
    <row r="116">
      <c r="A116" s="32" t="str">
        <f>Orders!A113</f>
        <v>O00112</v>
      </c>
      <c r="B116" s="32" t="str">
        <f>Orders!C113</f>
        <v>S020</v>
      </c>
      <c r="C116" s="32" t="str">
        <f>Orders!B113</f>
        <v>C0119</v>
      </c>
      <c r="D116" s="32" t="str">
        <f>Orders!H113</f>
        <v>Delivered</v>
      </c>
      <c r="E116" s="33">
        <f>IF(Orders!H113="Delivered",1,0)</f>
        <v>1</v>
      </c>
      <c r="F116" s="34">
        <f>IF(E116=1,Orders!R113,"")</f>
        <v>-0.3</v>
      </c>
      <c r="G116" s="33">
        <f>IF(E116=1,IF(Orders!R113&gt;0,1,0),"")</f>
        <v>0</v>
      </c>
      <c r="H116" s="33">
        <f>IF(E116=1,IF(Orders!R113&gt;5,1,0),"")</f>
        <v>0</v>
      </c>
      <c r="I116" s="32" t="str">
        <f>IF(E116=1,"",IF(OR(Orders!T113="Rider unavailable",Orders!T113="Item unavailable"),"Company-caused","Unresolved"))</f>
        <v/>
      </c>
      <c r="J116" s="33">
        <f>IF(OR(E116=1,I116="Company-caused"),1,0)</f>
        <v>1</v>
      </c>
      <c r="K116" s="32" t="str">
        <f>IF(E116=0,IF(I116="Company-caused",IF(Orders!T113="Rider unavailable","C1 Rider unavailable","C2 Item unavailable"),"Outside root: unresolved"),IF(G116=0,"A On time",IF(H116=1,IF(L116=1,"B2a Severe, peak","B2b Severe, off-peak"),IF(L116=1,"B1a Slight, peak","B1b Slight, off-peak"))))</f>
        <v>A On time</v>
      </c>
      <c r="L116" s="33">
        <f>IF(AND(Orders!U113&gt;=19,Orders!U113&lt;22),1,0)</f>
        <v>0</v>
      </c>
      <c r="M116" s="33">
        <f>IF(L116=IF(Orders!V113,1,0),1,0)</f>
        <v>1</v>
      </c>
      <c r="N116" s="32" t="str">
        <f>IF(Orders!W113="","None",Orders!W113)</f>
        <v>None</v>
      </c>
      <c r="O116" s="35">
        <f>INT(Orders!E113)</f>
        <v>46278.0</v>
      </c>
      <c r="P116" s="33">
        <f>Orders!U113</f>
        <v>12</v>
      </c>
      <c r="Q116" s="33">
        <f>COUNTIFS(Demand!$A$2:$A$4481,B116,Demand!$B$2:$B$4481,O116,Demand!$C$2:$C$4481,P116)</f>
        <v>1</v>
      </c>
      <c r="R116" s="33">
        <f>IF(Q116=1,SUMIFS(Demand!$E$2:$E$4481,Demand!$A$2:$A$4481,B116,Demand!$B$2:$B$4481,O116,Demand!$C$2:$C$4481,P116),"")</f>
        <v>20</v>
      </c>
      <c r="S116" s="33">
        <f>INDEX(Stores!$G$2:$G$21,MATCH(B116,Stores!$A$2:$A$21,0))</f>
        <v>15</v>
      </c>
      <c r="T116" s="34">
        <f>IF(R116="","",R116/S116)</f>
        <v>1.33333333333333</v>
      </c>
      <c r="U116" s="34">
        <f>IF(E116=1,T116,"")</f>
        <v>1.33333333333333</v>
      </c>
      <c r="V116" s="34">
        <f>IF(AND(E116=1,L116=0),T116,"")</f>
        <v>1.33333333333333</v>
      </c>
      <c r="W116" s="33">
        <f>IF(U116="","",IF(U116&lt;=Breakdowns!$C$5,1,IF(U116&lt;=Breakdowns!$C$6,2,IF(U116&lt;=Breakdowns!$C$7,3,4))))</f>
        <v>4</v>
      </c>
      <c r="X116" s="33">
        <f>IF(V116="","",IF(V116&lt;=Breakdowns!$D$5,1,IF(V116&lt;=Breakdowns!$D$6,2,IF(V116&lt;=Breakdowns!$D$7,3,4))))</f>
        <v>4</v>
      </c>
      <c r="Y116" s="34">
        <f>INDEX(Stores!$F$2:$F$21,MATCH(B116,Stores!$A$2:$A$21,0))</f>
        <v>5.74</v>
      </c>
      <c r="Z116" s="33">
        <f>IF(Y116&gt;Store_Summary!$M$2,1,0)</f>
        <v>1</v>
      </c>
      <c r="AA116" s="33">
        <f>INDEX(Stores!$C$2:$C$21,MATCH(B116,Stores!$A$2:$A$21,0))</f>
        <v>647</v>
      </c>
      <c r="AB116" s="33">
        <f>IF(AA116&lt;180,1,0)</f>
        <v>0</v>
      </c>
      <c r="AC116" s="32" t="str">
        <f>IF(Orders!D113="","",INDEX(Riders!$C$2:$C$81,MATCH(Orders!D113,Riders!$A$2:$A$81,0)))</f>
        <v>EV scooter</v>
      </c>
      <c r="AD116" s="33">
        <f>IF(Orders!D113="","",INDEX(Riders!$D$2:$D$81,MATCH(Orders!D113,Riders!$A$2:$A$81,0)))</f>
        <v>2</v>
      </c>
      <c r="AE116" s="33">
        <f>IF(Orders!D113="","",IF(INDEX(Riders!$B$2:$B$81,MATCH(Orders!D113,Riders!$A$2:$A$81,0))=B116,1,0))</f>
        <v>0</v>
      </c>
      <c r="AF116" s="34">
        <f>IF(E116=1,Orders!L113,"")</f>
        <v>1.27</v>
      </c>
      <c r="AG116" s="34">
        <f>IF(E116=1,Orders!P113,"")</f>
        <v>11.9</v>
      </c>
      <c r="AH116" s="34">
        <f>IF(E116=1,Orders!Q113,"")</f>
        <v>11.6</v>
      </c>
      <c r="AI116" s="34">
        <f>IF(E116=1,Orders!M113,"")</f>
        <v>6.3</v>
      </c>
      <c r="AJ116" s="34">
        <f>IF(E116=1,Orders!N113,"")</f>
        <v>2.5</v>
      </c>
      <c r="AK116" s="34">
        <f>IF(E116=1,Orders!O113,"")</f>
        <v>2.8</v>
      </c>
      <c r="AL116" s="33">
        <f>IF(E116=1,IF(ROUND(ABS(AI116+AJ116+AK116-AH116),6)&lt;=0.1,1,0),"")</f>
        <v>1</v>
      </c>
      <c r="AM116" s="36">
        <f>IF(E116=1,AI116/AH116,"")</f>
        <v>0.543103448275862</v>
      </c>
      <c r="AN116" s="36">
        <f>IF(E116=1,AJ116/AH116,"")</f>
        <v>0.21551724137931</v>
      </c>
      <c r="AO116" s="36">
        <f>IF(E116=1,AK116/AH116,"")</f>
        <v>0.241379310344828</v>
      </c>
      <c r="AP116" s="34">
        <f>IF(E116=1,Orders!Y113,"")</f>
        <v>0.22</v>
      </c>
      <c r="AQ116" s="33">
        <f>IF(Orders!X113,1,0)</f>
        <v>0</v>
      </c>
      <c r="AR116" s="34" t="str">
        <f>IF(AND(E116=1,L116=1),AJ116,"")</f>
        <v/>
      </c>
      <c r="AS116" s="34">
        <f>IF(AND(E116=1,L116=0),AJ116,"")</f>
        <v>2.5</v>
      </c>
      <c r="AT116" s="34" t="str">
        <f>IF(AND(E116=1,L116=1),AI116,"")</f>
        <v/>
      </c>
      <c r="AU116" s="34">
        <f>IF(AND(E116=1,L116=0),AI116,"")</f>
        <v>6.3</v>
      </c>
      <c r="AV116" s="34" t="str">
        <f>IF(AND(E116=1,L116=1),AG116,"")</f>
        <v/>
      </c>
      <c r="AW116" s="34">
        <f>IF(AND(E116=1,L116=0),AG116,"")</f>
        <v>11.9</v>
      </c>
      <c r="AX116" s="34" t="str">
        <f>IF(AND(E116=1,L116=1),AH116,"")</f>
        <v/>
      </c>
      <c r="AY116" s="34">
        <f>IF(AND(E116=1,L116=0),AH116,"")</f>
        <v>11.6</v>
      </c>
      <c r="AZ116" s="34" t="str">
        <f>IF(G116=1,F116,"")</f>
        <v/>
      </c>
      <c r="BA116" s="34" t="str">
        <f>IF(AND(G116=1,L116=1),F116,"")</f>
        <v/>
      </c>
      <c r="BB116" s="34" t="str">
        <f>IF(AND(G116=1,L116=0),F116,"")</f>
        <v/>
      </c>
      <c r="BC116" s="33">
        <f>IF(E116=1,IF(Orders!R113&gt;3,1,0),"")</f>
        <v>0</v>
      </c>
      <c r="BD116" s="33">
        <f>IF(E116=1,IF(Orders!R113&gt;7,1,0),"")</f>
        <v>0</v>
      </c>
      <c r="BE116" s="32" t="str">
        <f>IF(E116=1,IF(Orders!L113&lt;=1.5,"Up to 1.5 km",IF(Orders!L113&lt;=3,"1.5–3 km","Over 3 km")),"")</f>
        <v>Up to 1.5 km</v>
      </c>
      <c r="BF116" s="33">
        <f>IF(E116=1,IF(ABS((Orders!G113-Orders!F113)*1440-Orders!R113)&lt;0.06,1,0),"")</f>
        <v>1</v>
      </c>
      <c r="BG116" s="33">
        <f>IF(ABS((Orders!F113-Orders!E113)*1440-Orders!P113)&lt;0.06,1,0)</f>
        <v>1</v>
      </c>
      <c r="BH116" s="33">
        <f>IF(E116=1,IF(IF(Orders!S113,1,0)=1-G116,1,0),"")</f>
        <v>1</v>
      </c>
      <c r="BI116" s="32" t="str">
        <f>INDEX(Stores!$B$2:$B$21,MATCH(B116,Stores!$A$2:$A$21,0))</f>
        <v>Delhi</v>
      </c>
    </row>
    <row r="117">
      <c r="A117" s="32" t="str">
        <f>Orders!A114</f>
        <v>O00113</v>
      </c>
      <c r="B117" s="32" t="str">
        <f>Orders!C114</f>
        <v>S006</v>
      </c>
      <c r="C117" s="32" t="str">
        <f>Orders!B114</f>
        <v>C0027</v>
      </c>
      <c r="D117" s="32" t="str">
        <f>Orders!H114</f>
        <v>Delivered</v>
      </c>
      <c r="E117" s="33">
        <f>IF(Orders!H114="Delivered",1,0)</f>
        <v>1</v>
      </c>
      <c r="F117" s="34">
        <f>IF(E117=1,Orders!R114,"")</f>
        <v>-0.6</v>
      </c>
      <c r="G117" s="33">
        <f>IF(E117=1,IF(Orders!R114&gt;0,1,0),"")</f>
        <v>0</v>
      </c>
      <c r="H117" s="33">
        <f>IF(E117=1,IF(Orders!R114&gt;5,1,0),"")</f>
        <v>0</v>
      </c>
      <c r="I117" s="32" t="str">
        <f>IF(E117=1,"",IF(OR(Orders!T114="Rider unavailable",Orders!T114="Item unavailable"),"Company-caused","Unresolved"))</f>
        <v/>
      </c>
      <c r="J117" s="33">
        <f>IF(OR(E117=1,I117="Company-caused"),1,0)</f>
        <v>1</v>
      </c>
      <c r="K117" s="32" t="str">
        <f>IF(E117=0,IF(I117="Company-caused",IF(Orders!T114="Rider unavailable","C1 Rider unavailable","C2 Item unavailable"),"Outside root: unresolved"),IF(G117=0,"A On time",IF(H117=1,IF(L117=1,"B2a Severe, peak","B2b Severe, off-peak"),IF(L117=1,"B1a Slight, peak","B1b Slight, off-peak"))))</f>
        <v>A On time</v>
      </c>
      <c r="L117" s="33">
        <f>IF(AND(Orders!U114&gt;=19,Orders!U114&lt;22),1,0)</f>
        <v>0</v>
      </c>
      <c r="M117" s="33">
        <f>IF(L117=IF(Orders!V114,1,0),1,0)</f>
        <v>1</v>
      </c>
      <c r="N117" s="32" t="str">
        <f>IF(Orders!W114="","None",Orders!W114)</f>
        <v>None</v>
      </c>
      <c r="O117" s="35">
        <f>INT(Orders!E114)</f>
        <v>46269.0</v>
      </c>
      <c r="P117" s="33">
        <f>Orders!U114</f>
        <v>10</v>
      </c>
      <c r="Q117" s="33">
        <f>COUNTIFS(Demand!$A$2:$A$4481,B117,Demand!$B$2:$B$4481,O117,Demand!$C$2:$C$4481,P117)</f>
        <v>1</v>
      </c>
      <c r="R117" s="33">
        <f>IF(Q117=1,SUMIFS(Demand!$E$2:$E$4481,Demand!$A$2:$A$4481,B117,Demand!$B$2:$B$4481,O117,Demand!$C$2:$C$4481,P117),"")</f>
        <v>13</v>
      </c>
      <c r="S117" s="33">
        <f>INDEX(Stores!$G$2:$G$21,MATCH(B117,Stores!$A$2:$A$21,0))</f>
        <v>26</v>
      </c>
      <c r="T117" s="34">
        <f>IF(R117="","",R117/S117)</f>
        <v>0.5</v>
      </c>
      <c r="U117" s="34">
        <f>IF(E117=1,T117,"")</f>
        <v>0.5</v>
      </c>
      <c r="V117" s="34">
        <f>IF(AND(E117=1,L117=0),T117,"")</f>
        <v>0.5</v>
      </c>
      <c r="W117" s="33">
        <f>IF(U117="","",IF(U117&lt;=Breakdowns!$C$5,1,IF(U117&lt;=Breakdowns!$C$6,2,IF(U117&lt;=Breakdowns!$C$7,3,4))))</f>
        <v>1</v>
      </c>
      <c r="X117" s="33">
        <f>IF(V117="","",IF(V117&lt;=Breakdowns!$D$5,1,IF(V117&lt;=Breakdowns!$D$6,2,IF(V117&lt;=Breakdowns!$D$7,3,4))))</f>
        <v>1</v>
      </c>
      <c r="Y117" s="34">
        <f>INDEX(Stores!$F$2:$F$21,MATCH(B117,Stores!$A$2:$A$21,0))</f>
        <v>5.22</v>
      </c>
      <c r="Z117" s="33">
        <f>IF(Y117&gt;Store_Summary!$M$2,1,0)</f>
        <v>1</v>
      </c>
      <c r="AA117" s="33">
        <f>INDEX(Stores!$C$2:$C$21,MATCH(B117,Stores!$A$2:$A$21,0))</f>
        <v>412</v>
      </c>
      <c r="AB117" s="33">
        <f>IF(AA117&lt;180,1,0)</f>
        <v>0</v>
      </c>
      <c r="AC117" s="32" t="str">
        <f>IF(Orders!D114="","",INDEX(Riders!$C$2:$C$81,MATCH(Orders!D114,Riders!$A$2:$A$81,0)))</f>
        <v>EV scooter</v>
      </c>
      <c r="AD117" s="33">
        <f>IF(Orders!D114="","",INDEX(Riders!$D$2:$D$81,MATCH(Orders!D114,Riders!$A$2:$A$81,0)))</f>
        <v>12</v>
      </c>
      <c r="AE117" s="33">
        <f>IF(Orders!D114="","",IF(INDEX(Riders!$B$2:$B$81,MATCH(Orders!D114,Riders!$A$2:$A$81,0))=B117,1,0))</f>
        <v>0</v>
      </c>
      <c r="AF117" s="34">
        <f>IF(E117=1,Orders!L114,"")</f>
        <v>0.79</v>
      </c>
      <c r="AG117" s="34">
        <f>IF(E117=1,Orders!P114,"")</f>
        <v>11.2</v>
      </c>
      <c r="AH117" s="34">
        <f>IF(E117=1,Orders!Q114,"")</f>
        <v>10.6</v>
      </c>
      <c r="AI117" s="34">
        <f>IF(E117=1,Orders!M114,"")</f>
        <v>3.7</v>
      </c>
      <c r="AJ117" s="34">
        <f>IF(E117=1,Orders!N114,"")</f>
        <v>4.8</v>
      </c>
      <c r="AK117" s="34">
        <f>IF(E117=1,Orders!O114,"")</f>
        <v>2.1</v>
      </c>
      <c r="AL117" s="33">
        <f>IF(E117=1,IF(ROUND(ABS(AI117+AJ117+AK117-AH117),6)&lt;=0.1,1,0),"")</f>
        <v>1</v>
      </c>
      <c r="AM117" s="36">
        <f>IF(E117=1,AI117/AH117,"")</f>
        <v>0.349056603773585</v>
      </c>
      <c r="AN117" s="36">
        <f>IF(E117=1,AJ117/AH117,"")</f>
        <v>0.452830188679245</v>
      </c>
      <c r="AO117" s="36">
        <f>IF(E117=1,AK117/AH117,"")</f>
        <v>0.19811320754717</v>
      </c>
      <c r="AP117" s="34">
        <f>IF(E117=1,Orders!Y114,"")</f>
        <v>0.46</v>
      </c>
      <c r="AQ117" s="33">
        <f>IF(Orders!X114,1,0)</f>
        <v>0</v>
      </c>
      <c r="AR117" s="34" t="str">
        <f>IF(AND(E117=1,L117=1),AJ117,"")</f>
        <v/>
      </c>
      <c r="AS117" s="34">
        <f>IF(AND(E117=1,L117=0),AJ117,"")</f>
        <v>4.8</v>
      </c>
      <c r="AT117" s="34" t="str">
        <f>IF(AND(E117=1,L117=1),AI117,"")</f>
        <v/>
      </c>
      <c r="AU117" s="34">
        <f>IF(AND(E117=1,L117=0),AI117,"")</f>
        <v>3.7</v>
      </c>
      <c r="AV117" s="34" t="str">
        <f>IF(AND(E117=1,L117=1),AG117,"")</f>
        <v/>
      </c>
      <c r="AW117" s="34">
        <f>IF(AND(E117=1,L117=0),AG117,"")</f>
        <v>11.2</v>
      </c>
      <c r="AX117" s="34" t="str">
        <f>IF(AND(E117=1,L117=1),AH117,"")</f>
        <v/>
      </c>
      <c r="AY117" s="34">
        <f>IF(AND(E117=1,L117=0),AH117,"")</f>
        <v>10.6</v>
      </c>
      <c r="AZ117" s="34" t="str">
        <f>IF(G117=1,F117,"")</f>
        <v/>
      </c>
      <c r="BA117" s="34" t="str">
        <f>IF(AND(G117=1,L117=1),F117,"")</f>
        <v/>
      </c>
      <c r="BB117" s="34" t="str">
        <f>IF(AND(G117=1,L117=0),F117,"")</f>
        <v/>
      </c>
      <c r="BC117" s="33">
        <f>IF(E117=1,IF(Orders!R114&gt;3,1,0),"")</f>
        <v>0</v>
      </c>
      <c r="BD117" s="33">
        <f>IF(E117=1,IF(Orders!R114&gt;7,1,0),"")</f>
        <v>0</v>
      </c>
      <c r="BE117" s="32" t="str">
        <f>IF(E117=1,IF(Orders!L114&lt;=1.5,"Up to 1.5 km",IF(Orders!L114&lt;=3,"1.5–3 km","Over 3 km")),"")</f>
        <v>Up to 1.5 km</v>
      </c>
      <c r="BF117" s="33">
        <f>IF(E117=1,IF(ABS((Orders!G114-Orders!F114)*1440-Orders!R114)&lt;0.06,1,0),"")</f>
        <v>1</v>
      </c>
      <c r="BG117" s="33">
        <f>IF(ABS((Orders!F114-Orders!E114)*1440-Orders!P114)&lt;0.06,1,0)</f>
        <v>1</v>
      </c>
      <c r="BH117" s="33">
        <f>IF(E117=1,IF(IF(Orders!S114,1,0)=1-G117,1,0),"")</f>
        <v>1</v>
      </c>
      <c r="BI117" s="32" t="str">
        <f>INDEX(Stores!$B$2:$B$21,MATCH(B117,Stores!$A$2:$A$21,0))</f>
        <v>Bengaluru</v>
      </c>
    </row>
    <row r="118">
      <c r="A118" s="32" t="str">
        <f>Orders!A115</f>
        <v>O00114</v>
      </c>
      <c r="B118" s="32" t="str">
        <f>Orders!C115</f>
        <v>S011</v>
      </c>
      <c r="C118" s="32" t="str">
        <f>Orders!B115</f>
        <v>C0160</v>
      </c>
      <c r="D118" s="32" t="str">
        <f>Orders!H115</f>
        <v>Delivered</v>
      </c>
      <c r="E118" s="33">
        <f>IF(Orders!H115="Delivered",1,0)</f>
        <v>1</v>
      </c>
      <c r="F118" s="34">
        <f>IF(E118=1,Orders!R115,"")</f>
        <v>-0.3</v>
      </c>
      <c r="G118" s="33">
        <f>IF(E118=1,IF(Orders!R115&gt;0,1,0),"")</f>
        <v>0</v>
      </c>
      <c r="H118" s="33">
        <f>IF(E118=1,IF(Orders!R115&gt;5,1,0),"")</f>
        <v>0</v>
      </c>
      <c r="I118" s="32" t="str">
        <f>IF(E118=1,"",IF(OR(Orders!T115="Rider unavailable",Orders!T115="Item unavailable"),"Company-caused","Unresolved"))</f>
        <v/>
      </c>
      <c r="J118" s="33">
        <f>IF(OR(E118=1,I118="Company-caused"),1,0)</f>
        <v>1</v>
      </c>
      <c r="K118" s="32" t="str">
        <f>IF(E118=0,IF(I118="Company-caused",IF(Orders!T115="Rider unavailable","C1 Rider unavailable","C2 Item unavailable"),"Outside root: unresolved"),IF(G118=0,"A On time",IF(H118=1,IF(L118=1,"B2a Severe, peak","B2b Severe, off-peak"),IF(L118=1,"B1a Slight, peak","B1b Slight, off-peak"))))</f>
        <v>A On time</v>
      </c>
      <c r="L118" s="33">
        <f>IF(AND(Orders!U115&gt;=19,Orders!U115&lt;22),1,0)</f>
        <v>0</v>
      </c>
      <c r="M118" s="33">
        <f>IF(L118=IF(Orders!V115,1,0),1,0)</f>
        <v>1</v>
      </c>
      <c r="N118" s="32" t="str">
        <f>IF(Orders!W115="","None",Orders!W115)</f>
        <v>None</v>
      </c>
      <c r="O118" s="35">
        <f>INT(Orders!E115)</f>
        <v>46273.0</v>
      </c>
      <c r="P118" s="33">
        <f>Orders!U115</f>
        <v>23</v>
      </c>
      <c r="Q118" s="33">
        <f>COUNTIFS(Demand!$A$2:$A$4481,B118,Demand!$B$2:$B$4481,O118,Demand!$C$2:$C$4481,P118)</f>
        <v>1</v>
      </c>
      <c r="R118" s="33">
        <f>IF(Q118=1,SUMIFS(Demand!$E$2:$E$4481,Demand!$A$2:$A$4481,B118,Demand!$B$2:$B$4481,O118,Demand!$C$2:$C$4481,P118),"")</f>
        <v>22</v>
      </c>
      <c r="S118" s="33">
        <f>INDEX(Stores!$G$2:$G$21,MATCH(B118,Stores!$A$2:$A$21,0))</f>
        <v>31</v>
      </c>
      <c r="T118" s="34">
        <f>IF(R118="","",R118/S118)</f>
        <v>0.709677419354839</v>
      </c>
      <c r="U118" s="34">
        <f>IF(E118=1,T118,"")</f>
        <v>0.709677419354839</v>
      </c>
      <c r="V118" s="34">
        <f>IF(AND(E118=1,L118=0),T118,"")</f>
        <v>0.709677419354839</v>
      </c>
      <c r="W118" s="33">
        <f>IF(U118="","",IF(U118&lt;=Breakdowns!$C$5,1,IF(U118&lt;=Breakdowns!$C$6,2,IF(U118&lt;=Breakdowns!$C$7,3,4))))</f>
        <v>1</v>
      </c>
      <c r="X118" s="33">
        <f>IF(V118="","",IF(V118&lt;=Breakdowns!$D$5,1,IF(V118&lt;=Breakdowns!$D$6,2,IF(V118&lt;=Breakdowns!$D$7,3,4))))</f>
        <v>1</v>
      </c>
      <c r="Y118" s="34">
        <f>INDEX(Stores!$F$2:$F$21,MATCH(B118,Stores!$A$2:$A$21,0))</f>
        <v>5.67</v>
      </c>
      <c r="Z118" s="33">
        <f>IF(Y118&gt;Store_Summary!$M$2,1,0)</f>
        <v>1</v>
      </c>
      <c r="AA118" s="33">
        <f>INDEX(Stores!$C$2:$C$21,MATCH(B118,Stores!$A$2:$A$21,0))</f>
        <v>732</v>
      </c>
      <c r="AB118" s="33">
        <f>IF(AA118&lt;180,1,0)</f>
        <v>0</v>
      </c>
      <c r="AC118" s="32" t="str">
        <f>IF(Orders!D115="","",INDEX(Riders!$C$2:$C$81,MATCH(Orders!D115,Riders!$A$2:$A$81,0)))</f>
        <v>Petrol scooter</v>
      </c>
      <c r="AD118" s="33">
        <f>IF(Orders!D115="","",INDEX(Riders!$D$2:$D$81,MATCH(Orders!D115,Riders!$A$2:$A$81,0)))</f>
        <v>15</v>
      </c>
      <c r="AE118" s="33">
        <f>IF(Orders!D115="","",IF(INDEX(Riders!$B$2:$B$81,MATCH(Orders!D115,Riders!$A$2:$A$81,0))=B118,1,0))</f>
        <v>0</v>
      </c>
      <c r="AF118" s="34">
        <f>IF(E118=1,Orders!L115,"")</f>
        <v>1.06</v>
      </c>
      <c r="AG118" s="34">
        <f>IF(E118=1,Orders!P115,"")</f>
        <v>10.4</v>
      </c>
      <c r="AH118" s="34">
        <f>IF(E118=1,Orders!Q115,"")</f>
        <v>10.1</v>
      </c>
      <c r="AI118" s="34">
        <f>IF(E118=1,Orders!M115,"")</f>
        <v>4.3</v>
      </c>
      <c r="AJ118" s="34">
        <f>IF(E118=1,Orders!N115,"")</f>
        <v>2.7</v>
      </c>
      <c r="AK118" s="34">
        <f>IF(E118=1,Orders!O115,"")</f>
        <v>3.1</v>
      </c>
      <c r="AL118" s="33">
        <f>IF(E118=1,IF(ROUND(ABS(AI118+AJ118+AK118-AH118),6)&lt;=0.1,1,0),"")</f>
        <v>1</v>
      </c>
      <c r="AM118" s="36">
        <f>IF(E118=1,AI118/AH118,"")</f>
        <v>0.425742574257426</v>
      </c>
      <c r="AN118" s="36">
        <f>IF(E118=1,AJ118/AH118,"")</f>
        <v>0.267326732673267</v>
      </c>
      <c r="AO118" s="36">
        <f>IF(E118=1,AK118/AH118,"")</f>
        <v>0.306930693069307</v>
      </c>
      <c r="AP118" s="34">
        <f>IF(E118=1,Orders!Y115,"")</f>
        <v>0.81</v>
      </c>
      <c r="AQ118" s="33">
        <f>IF(Orders!X115,1,0)</f>
        <v>0</v>
      </c>
      <c r="AR118" s="34" t="str">
        <f>IF(AND(E118=1,L118=1),AJ118,"")</f>
        <v/>
      </c>
      <c r="AS118" s="34">
        <f>IF(AND(E118=1,L118=0),AJ118,"")</f>
        <v>2.7</v>
      </c>
      <c r="AT118" s="34" t="str">
        <f>IF(AND(E118=1,L118=1),AI118,"")</f>
        <v/>
      </c>
      <c r="AU118" s="34">
        <f>IF(AND(E118=1,L118=0),AI118,"")</f>
        <v>4.3</v>
      </c>
      <c r="AV118" s="34" t="str">
        <f>IF(AND(E118=1,L118=1),AG118,"")</f>
        <v/>
      </c>
      <c r="AW118" s="34">
        <f>IF(AND(E118=1,L118=0),AG118,"")</f>
        <v>10.4</v>
      </c>
      <c r="AX118" s="34" t="str">
        <f>IF(AND(E118=1,L118=1),AH118,"")</f>
        <v/>
      </c>
      <c r="AY118" s="34">
        <f>IF(AND(E118=1,L118=0),AH118,"")</f>
        <v>10.1</v>
      </c>
      <c r="AZ118" s="34" t="str">
        <f>IF(G118=1,F118,"")</f>
        <v/>
      </c>
      <c r="BA118" s="34" t="str">
        <f>IF(AND(G118=1,L118=1),F118,"")</f>
        <v/>
      </c>
      <c r="BB118" s="34" t="str">
        <f>IF(AND(G118=1,L118=0),F118,"")</f>
        <v/>
      </c>
      <c r="BC118" s="33">
        <f>IF(E118=1,IF(Orders!R115&gt;3,1,0),"")</f>
        <v>0</v>
      </c>
      <c r="BD118" s="33">
        <f>IF(E118=1,IF(Orders!R115&gt;7,1,0),"")</f>
        <v>0</v>
      </c>
      <c r="BE118" s="32" t="str">
        <f>IF(E118=1,IF(Orders!L115&lt;=1.5,"Up to 1.5 km",IF(Orders!L115&lt;=3,"1.5–3 km","Over 3 km")),"")</f>
        <v>Up to 1.5 km</v>
      </c>
      <c r="BF118" s="33">
        <f>IF(E118=1,IF(ABS((Orders!G115-Orders!F115)*1440-Orders!R115)&lt;0.06,1,0),"")</f>
        <v>1</v>
      </c>
      <c r="BG118" s="33">
        <f>IF(ABS((Orders!F115-Orders!E115)*1440-Orders!P115)&lt;0.06,1,0)</f>
        <v>1</v>
      </c>
      <c r="BH118" s="33">
        <f>IF(E118=1,IF(IF(Orders!S115,1,0)=1-G118,1,0),"")</f>
        <v>1</v>
      </c>
      <c r="BI118" s="32" t="str">
        <f>INDEX(Stores!$B$2:$B$21,MATCH(B118,Stores!$A$2:$A$21,0))</f>
        <v>Bengaluru</v>
      </c>
    </row>
    <row r="119">
      <c r="A119" s="32" t="str">
        <f>Orders!A116</f>
        <v>O00115</v>
      </c>
      <c r="B119" s="32" t="str">
        <f>Orders!C116</f>
        <v>S015</v>
      </c>
      <c r="C119" s="32" t="str">
        <f>Orders!B116</f>
        <v>C0176</v>
      </c>
      <c r="D119" s="32" t="str">
        <f>Orders!H116</f>
        <v>Delivered</v>
      </c>
      <c r="E119" s="33">
        <f>IF(Orders!H116="Delivered",1,0)</f>
        <v>1</v>
      </c>
      <c r="F119" s="34">
        <f>IF(E119=1,Orders!R116,"")</f>
        <v>-0.9</v>
      </c>
      <c r="G119" s="33">
        <f>IF(E119=1,IF(Orders!R116&gt;0,1,0),"")</f>
        <v>0</v>
      </c>
      <c r="H119" s="33">
        <f>IF(E119=1,IF(Orders!R116&gt;5,1,0),"")</f>
        <v>0</v>
      </c>
      <c r="I119" s="32" t="str">
        <f>IF(E119=1,"",IF(OR(Orders!T116="Rider unavailable",Orders!T116="Item unavailable"),"Company-caused","Unresolved"))</f>
        <v/>
      </c>
      <c r="J119" s="33">
        <f>IF(OR(E119=1,I119="Company-caused"),1,0)</f>
        <v>1</v>
      </c>
      <c r="K119" s="32" t="str">
        <f>IF(E119=0,IF(I119="Company-caused",IF(Orders!T116="Rider unavailable","C1 Rider unavailable","C2 Item unavailable"),"Outside root: unresolved"),IF(G119=0,"A On time",IF(H119=1,IF(L119=1,"B2a Severe, peak","B2b Severe, off-peak"),IF(L119=1,"B1a Slight, peak","B1b Slight, off-peak"))))</f>
        <v>A On time</v>
      </c>
      <c r="L119" s="33">
        <f>IF(AND(Orders!U116&gt;=19,Orders!U116&lt;22),1,0)</f>
        <v>0</v>
      </c>
      <c r="M119" s="33">
        <f>IF(L119=IF(Orders!V116,1,0),1,0)</f>
        <v>1</v>
      </c>
      <c r="N119" s="32" t="str">
        <f>IF(Orders!W116="","None",Orders!W116)</f>
        <v>None</v>
      </c>
      <c r="O119" s="35">
        <f>INT(Orders!E116)</f>
        <v>46269.0</v>
      </c>
      <c r="P119" s="33">
        <f>Orders!U116</f>
        <v>15</v>
      </c>
      <c r="Q119" s="33">
        <f>COUNTIFS(Demand!$A$2:$A$4481,B119,Demand!$B$2:$B$4481,O119,Demand!$C$2:$C$4481,P119)</f>
        <v>1</v>
      </c>
      <c r="R119" s="33">
        <f>IF(Q119=1,SUMIFS(Demand!$E$2:$E$4481,Demand!$A$2:$A$4481,B119,Demand!$B$2:$B$4481,O119,Demand!$C$2:$C$4481,P119),"")</f>
        <v>24</v>
      </c>
      <c r="S119" s="33">
        <f>INDEX(Stores!$G$2:$G$21,MATCH(B119,Stores!$A$2:$A$21,0))</f>
        <v>23</v>
      </c>
      <c r="T119" s="34">
        <f>IF(R119="","",R119/S119)</f>
        <v>1.04347826086957</v>
      </c>
      <c r="U119" s="34">
        <f>IF(E119=1,T119,"")</f>
        <v>1.04347826086957</v>
      </c>
      <c r="V119" s="34">
        <f>IF(AND(E119=1,L119=0),T119,"")</f>
        <v>1.04347826086957</v>
      </c>
      <c r="W119" s="33">
        <f>IF(U119="","",IF(U119&lt;=Breakdowns!$C$5,1,IF(U119&lt;=Breakdowns!$C$6,2,IF(U119&lt;=Breakdowns!$C$7,3,4))))</f>
        <v>3</v>
      </c>
      <c r="X119" s="33">
        <f>IF(V119="","",IF(V119&lt;=Breakdowns!$D$5,1,IF(V119&lt;=Breakdowns!$D$6,2,IF(V119&lt;=Breakdowns!$D$7,3,4))))</f>
        <v>3</v>
      </c>
      <c r="Y119" s="34">
        <f>INDEX(Stores!$F$2:$F$21,MATCH(B119,Stores!$A$2:$A$21,0))</f>
        <v>4.66</v>
      </c>
      <c r="Z119" s="33">
        <f>IF(Y119&gt;Store_Summary!$M$2,1,0)</f>
        <v>0</v>
      </c>
      <c r="AA119" s="33">
        <f>INDEX(Stores!$C$2:$C$21,MATCH(B119,Stores!$A$2:$A$21,0))</f>
        <v>204</v>
      </c>
      <c r="AB119" s="33">
        <f>IF(AA119&lt;180,1,0)</f>
        <v>0</v>
      </c>
      <c r="AC119" s="32" t="str">
        <f>IF(Orders!D116="","",INDEX(Riders!$C$2:$C$81,MATCH(Orders!D116,Riders!$A$2:$A$81,0)))</f>
        <v>Petrol scooter</v>
      </c>
      <c r="AD119" s="33">
        <f>IF(Orders!D116="","",INDEX(Riders!$D$2:$D$81,MATCH(Orders!D116,Riders!$A$2:$A$81,0)))</f>
        <v>37</v>
      </c>
      <c r="AE119" s="33">
        <f>IF(Orders!D116="","",IF(INDEX(Riders!$B$2:$B$81,MATCH(Orders!D116,Riders!$A$2:$A$81,0))=B119,1,0))</f>
        <v>0</v>
      </c>
      <c r="AF119" s="34">
        <f>IF(E119=1,Orders!L116,"")</f>
        <v>1.18</v>
      </c>
      <c r="AG119" s="34">
        <f>IF(E119=1,Orders!P116,"")</f>
        <v>8.4</v>
      </c>
      <c r="AH119" s="34">
        <f>IF(E119=1,Orders!Q116,"")</f>
        <v>7.5</v>
      </c>
      <c r="AI119" s="34">
        <f>IF(E119=1,Orders!M116,"")</f>
        <v>2.9</v>
      </c>
      <c r="AJ119" s="34">
        <f>IF(E119=1,Orders!N116,"")</f>
        <v>2.3</v>
      </c>
      <c r="AK119" s="34">
        <f>IF(E119=1,Orders!O116,"")</f>
        <v>2.3</v>
      </c>
      <c r="AL119" s="33">
        <f>IF(E119=1,IF(ROUND(ABS(AI119+AJ119+AK119-AH119),6)&lt;=0.1,1,0),"")</f>
        <v>1</v>
      </c>
      <c r="AM119" s="36">
        <f>IF(E119=1,AI119/AH119,"")</f>
        <v>0.386666666666667</v>
      </c>
      <c r="AN119" s="36">
        <f>IF(E119=1,AJ119/AH119,"")</f>
        <v>0.306666666666667</v>
      </c>
      <c r="AO119" s="36">
        <f>IF(E119=1,AK119/AH119,"")</f>
        <v>0.306666666666667</v>
      </c>
      <c r="AP119" s="34">
        <f>IF(E119=1,Orders!Y116,"")</f>
        <v>0.41</v>
      </c>
      <c r="AQ119" s="33">
        <f>IF(Orders!X116,1,0)</f>
        <v>1</v>
      </c>
      <c r="AR119" s="34" t="str">
        <f>IF(AND(E119=1,L119=1),AJ119,"")</f>
        <v/>
      </c>
      <c r="AS119" s="34">
        <f>IF(AND(E119=1,L119=0),AJ119,"")</f>
        <v>2.3</v>
      </c>
      <c r="AT119" s="34" t="str">
        <f>IF(AND(E119=1,L119=1),AI119,"")</f>
        <v/>
      </c>
      <c r="AU119" s="34">
        <f>IF(AND(E119=1,L119=0),AI119,"")</f>
        <v>2.9</v>
      </c>
      <c r="AV119" s="34" t="str">
        <f>IF(AND(E119=1,L119=1),AG119,"")</f>
        <v/>
      </c>
      <c r="AW119" s="34">
        <f>IF(AND(E119=1,L119=0),AG119,"")</f>
        <v>8.4</v>
      </c>
      <c r="AX119" s="34" t="str">
        <f>IF(AND(E119=1,L119=1),AH119,"")</f>
        <v/>
      </c>
      <c r="AY119" s="34">
        <f>IF(AND(E119=1,L119=0),AH119,"")</f>
        <v>7.5</v>
      </c>
      <c r="AZ119" s="34" t="str">
        <f>IF(G119=1,F119,"")</f>
        <v/>
      </c>
      <c r="BA119" s="34" t="str">
        <f>IF(AND(G119=1,L119=1),F119,"")</f>
        <v/>
      </c>
      <c r="BB119" s="34" t="str">
        <f>IF(AND(G119=1,L119=0),F119,"")</f>
        <v/>
      </c>
      <c r="BC119" s="33">
        <f>IF(E119=1,IF(Orders!R116&gt;3,1,0),"")</f>
        <v>0</v>
      </c>
      <c r="BD119" s="33">
        <f>IF(E119=1,IF(Orders!R116&gt;7,1,0),"")</f>
        <v>0</v>
      </c>
      <c r="BE119" s="32" t="str">
        <f>IF(E119=1,IF(Orders!L116&lt;=1.5,"Up to 1.5 km",IF(Orders!L116&lt;=3,"1.5–3 km","Over 3 km")),"")</f>
        <v>Up to 1.5 km</v>
      </c>
      <c r="BF119" s="33">
        <f>IF(E119=1,IF(ABS((Orders!G116-Orders!F116)*1440-Orders!R116)&lt;0.06,1,0),"")</f>
        <v>1</v>
      </c>
      <c r="BG119" s="33">
        <f>IF(ABS((Orders!F116-Orders!E116)*1440-Orders!P116)&lt;0.06,1,0)</f>
        <v>1</v>
      </c>
      <c r="BH119" s="33">
        <f>IF(E119=1,IF(IF(Orders!S116,1,0)=1-G119,1,0),"")</f>
        <v>1</v>
      </c>
      <c r="BI119" s="32" t="str">
        <f>INDEX(Stores!$B$2:$B$21,MATCH(B119,Stores!$A$2:$A$21,0))</f>
        <v>Delhi</v>
      </c>
    </row>
    <row r="120">
      <c r="A120" s="32" t="str">
        <f>Orders!A117</f>
        <v>O00116</v>
      </c>
      <c r="B120" s="32" t="str">
        <f>Orders!C117</f>
        <v>S009</v>
      </c>
      <c r="C120" s="32" t="str">
        <f>Orders!B117</f>
        <v>C0229</v>
      </c>
      <c r="D120" s="32" t="str">
        <f>Orders!H117</f>
        <v>Delivered</v>
      </c>
      <c r="E120" s="33">
        <f>IF(Orders!H117="Delivered",1,0)</f>
        <v>1</v>
      </c>
      <c r="F120" s="34">
        <f>IF(E120=1,Orders!R117,"")</f>
        <v>1.3</v>
      </c>
      <c r="G120" s="33">
        <f>IF(E120=1,IF(Orders!R117&gt;0,1,0),"")</f>
        <v>1</v>
      </c>
      <c r="H120" s="33">
        <f>IF(E120=1,IF(Orders!R117&gt;5,1,0),"")</f>
        <v>0</v>
      </c>
      <c r="I120" s="32" t="str">
        <f>IF(E120=1,"",IF(OR(Orders!T117="Rider unavailable",Orders!T117="Item unavailable"),"Company-caused","Unresolved"))</f>
        <v/>
      </c>
      <c r="J120" s="33">
        <f>IF(OR(E120=1,I120="Company-caused"),1,0)</f>
        <v>1</v>
      </c>
      <c r="K120" s="32" t="str">
        <f>IF(E120=0,IF(I120="Company-caused",IF(Orders!T117="Rider unavailable","C1 Rider unavailable","C2 Item unavailable"),"Outside root: unresolved"),IF(G120=0,"A On time",IF(H120=1,IF(L120=1,"B2a Severe, peak","B2b Severe, off-peak"),IF(L120=1,"B1a Slight, peak","B1b Slight, off-peak"))))</f>
        <v>B1b Slight, off-peak</v>
      </c>
      <c r="L120" s="33">
        <f>IF(AND(Orders!U117&gt;=19,Orders!U117&lt;22),1,0)</f>
        <v>0</v>
      </c>
      <c r="M120" s="33">
        <f>IF(L120=IF(Orders!V117,1,0),1,0)</f>
        <v>1</v>
      </c>
      <c r="N120" s="32" t="str">
        <f>IF(Orders!W117="","None",Orders!W117)</f>
        <v>None</v>
      </c>
      <c r="O120" s="35">
        <f>INT(Orders!E117)</f>
        <v>46278.0</v>
      </c>
      <c r="P120" s="33">
        <f>Orders!U117</f>
        <v>17</v>
      </c>
      <c r="Q120" s="33">
        <f>COUNTIFS(Demand!$A$2:$A$4481,B120,Demand!$B$2:$B$4481,O120,Demand!$C$2:$C$4481,P120)</f>
        <v>1</v>
      </c>
      <c r="R120" s="33">
        <f>IF(Q120=1,SUMIFS(Demand!$E$2:$E$4481,Demand!$A$2:$A$4481,B120,Demand!$B$2:$B$4481,O120,Demand!$C$2:$C$4481,P120),"")</f>
        <v>36</v>
      </c>
      <c r="S120" s="33">
        <f>INDEX(Stores!$G$2:$G$21,MATCH(B120,Stores!$A$2:$A$21,0))</f>
        <v>29</v>
      </c>
      <c r="T120" s="34">
        <f>IF(R120="","",R120/S120)</f>
        <v>1.24137931034483</v>
      </c>
      <c r="U120" s="34">
        <f>IF(E120=1,T120,"")</f>
        <v>1.24137931034483</v>
      </c>
      <c r="V120" s="34">
        <f>IF(AND(E120=1,L120=0),T120,"")</f>
        <v>1.24137931034483</v>
      </c>
      <c r="W120" s="33">
        <f>IF(U120="","",IF(U120&lt;=Breakdowns!$C$5,1,IF(U120&lt;=Breakdowns!$C$6,2,IF(U120&lt;=Breakdowns!$C$7,3,4))))</f>
        <v>4</v>
      </c>
      <c r="X120" s="33">
        <f>IF(V120="","",IF(V120&lt;=Breakdowns!$D$5,1,IF(V120&lt;=Breakdowns!$D$6,2,IF(V120&lt;=Breakdowns!$D$7,3,4))))</f>
        <v>4</v>
      </c>
      <c r="Y120" s="34">
        <f>INDEX(Stores!$F$2:$F$21,MATCH(B120,Stores!$A$2:$A$21,0))</f>
        <v>2.66</v>
      </c>
      <c r="Z120" s="33">
        <f>IF(Y120&gt;Store_Summary!$M$2,1,0)</f>
        <v>0</v>
      </c>
      <c r="AA120" s="33">
        <f>INDEX(Stores!$C$2:$C$21,MATCH(B120,Stores!$A$2:$A$21,0))</f>
        <v>645</v>
      </c>
      <c r="AB120" s="33">
        <f>IF(AA120&lt;180,1,0)</f>
        <v>0</v>
      </c>
      <c r="AC120" s="32" t="str">
        <f>IF(Orders!D117="","",INDEX(Riders!$C$2:$C$81,MATCH(Orders!D117,Riders!$A$2:$A$81,0)))</f>
        <v>Petrol scooter</v>
      </c>
      <c r="AD120" s="33">
        <f>IF(Orders!D117="","",INDEX(Riders!$D$2:$D$81,MATCH(Orders!D117,Riders!$A$2:$A$81,0)))</f>
        <v>48</v>
      </c>
      <c r="AE120" s="33">
        <f>IF(Orders!D117="","",IF(INDEX(Riders!$B$2:$B$81,MATCH(Orders!D117,Riders!$A$2:$A$81,0))=B120,1,0))</f>
        <v>0</v>
      </c>
      <c r="AF120" s="34">
        <f>IF(E120=1,Orders!L117,"")</f>
        <v>0.74</v>
      </c>
      <c r="AG120" s="34">
        <f>IF(E120=1,Orders!P117,"")</f>
        <v>9.1</v>
      </c>
      <c r="AH120" s="34">
        <f>IF(E120=1,Orders!Q117,"")</f>
        <v>10.4</v>
      </c>
      <c r="AI120" s="34">
        <f>IF(E120=1,Orders!M117,"")</f>
        <v>1.6</v>
      </c>
      <c r="AJ120" s="34">
        <f>IF(E120=1,Orders!N117,"")</f>
        <v>5.3</v>
      </c>
      <c r="AK120" s="34">
        <f>IF(E120=1,Orders!O117,"")</f>
        <v>3.5</v>
      </c>
      <c r="AL120" s="33">
        <f>IF(E120=1,IF(ROUND(ABS(AI120+AJ120+AK120-AH120),6)&lt;=0.1,1,0),"")</f>
        <v>1</v>
      </c>
      <c r="AM120" s="36">
        <f>IF(E120=1,AI120/AH120,"")</f>
        <v>0.153846153846154</v>
      </c>
      <c r="AN120" s="36">
        <f>IF(E120=1,AJ120/AH120,"")</f>
        <v>0.509615384615385</v>
      </c>
      <c r="AO120" s="36">
        <f>IF(E120=1,AK120/AH120,"")</f>
        <v>0.336538461538462</v>
      </c>
      <c r="AP120" s="34">
        <f>IF(E120=1,Orders!Y117,"")</f>
        <v>0.6</v>
      </c>
      <c r="AQ120" s="33">
        <f>IF(Orders!X117,1,0)</f>
        <v>0</v>
      </c>
      <c r="AR120" s="34" t="str">
        <f>IF(AND(E120=1,L120=1),AJ120,"")</f>
        <v/>
      </c>
      <c r="AS120" s="34">
        <f>IF(AND(E120=1,L120=0),AJ120,"")</f>
        <v>5.3</v>
      </c>
      <c r="AT120" s="34" t="str">
        <f>IF(AND(E120=1,L120=1),AI120,"")</f>
        <v/>
      </c>
      <c r="AU120" s="34">
        <f>IF(AND(E120=1,L120=0),AI120,"")</f>
        <v>1.6</v>
      </c>
      <c r="AV120" s="34" t="str">
        <f>IF(AND(E120=1,L120=1),AG120,"")</f>
        <v/>
      </c>
      <c r="AW120" s="34">
        <f>IF(AND(E120=1,L120=0),AG120,"")</f>
        <v>9.1</v>
      </c>
      <c r="AX120" s="34" t="str">
        <f>IF(AND(E120=1,L120=1),AH120,"")</f>
        <v/>
      </c>
      <c r="AY120" s="34">
        <f>IF(AND(E120=1,L120=0),AH120,"")</f>
        <v>10.4</v>
      </c>
      <c r="AZ120" s="34">
        <f>IF(G120=1,F120,"")</f>
        <v>1.3</v>
      </c>
      <c r="BA120" s="34" t="str">
        <f>IF(AND(G120=1,L120=1),F120,"")</f>
        <v/>
      </c>
      <c r="BB120" s="34">
        <f>IF(AND(G120=1,L120=0),F120,"")</f>
        <v>1.3</v>
      </c>
      <c r="BC120" s="33">
        <f>IF(E120=1,IF(Orders!R117&gt;3,1,0),"")</f>
        <v>0</v>
      </c>
      <c r="BD120" s="33">
        <f>IF(E120=1,IF(Orders!R117&gt;7,1,0),"")</f>
        <v>0</v>
      </c>
      <c r="BE120" s="32" t="str">
        <f>IF(E120=1,IF(Orders!L117&lt;=1.5,"Up to 1.5 km",IF(Orders!L117&lt;=3,"1.5–3 km","Over 3 km")),"")</f>
        <v>Up to 1.5 km</v>
      </c>
      <c r="BF120" s="33">
        <f>IF(E120=1,IF(ABS((Orders!G117-Orders!F117)*1440-Orders!R117)&lt;0.06,1,0),"")</f>
        <v>1</v>
      </c>
      <c r="BG120" s="33">
        <f>IF(ABS((Orders!F117-Orders!E117)*1440-Orders!P117)&lt;0.06,1,0)</f>
        <v>1</v>
      </c>
      <c r="BH120" s="33">
        <f>IF(E120=1,IF(IF(Orders!S117,1,0)=1-G120,1,0),"")</f>
        <v>1</v>
      </c>
      <c r="BI120" s="32" t="str">
        <f>INDEX(Stores!$B$2:$B$21,MATCH(B120,Stores!$A$2:$A$21,0))</f>
        <v>Pune</v>
      </c>
    </row>
    <row r="121">
      <c r="A121" s="32" t="str">
        <f>Orders!A118</f>
        <v>O00117</v>
      </c>
      <c r="B121" s="32" t="str">
        <f>Orders!C118</f>
        <v>S008</v>
      </c>
      <c r="C121" s="32" t="str">
        <f>Orders!B118</f>
        <v>C0195</v>
      </c>
      <c r="D121" s="32" t="str">
        <f>Orders!H118</f>
        <v>Delivered</v>
      </c>
      <c r="E121" s="33">
        <f>IF(Orders!H118="Delivered",1,0)</f>
        <v>1</v>
      </c>
      <c r="F121" s="34">
        <f>IF(E121=1,Orders!R118,"")</f>
        <v>-0.3</v>
      </c>
      <c r="G121" s="33">
        <f>IF(E121=1,IF(Orders!R118&gt;0,1,0),"")</f>
        <v>0</v>
      </c>
      <c r="H121" s="33">
        <f>IF(E121=1,IF(Orders!R118&gt;5,1,0),"")</f>
        <v>0</v>
      </c>
      <c r="I121" s="32" t="str">
        <f>IF(E121=1,"",IF(OR(Orders!T118="Rider unavailable",Orders!T118="Item unavailable"),"Company-caused","Unresolved"))</f>
        <v/>
      </c>
      <c r="J121" s="33">
        <f>IF(OR(E121=1,I121="Company-caused"),1,0)</f>
        <v>1</v>
      </c>
      <c r="K121" s="32" t="str">
        <f>IF(E121=0,IF(I121="Company-caused",IF(Orders!T118="Rider unavailable","C1 Rider unavailable","C2 Item unavailable"),"Outside root: unresolved"),IF(G121=0,"A On time",IF(H121=1,IF(L121=1,"B2a Severe, peak","B2b Severe, off-peak"),IF(L121=1,"B1a Slight, peak","B1b Slight, off-peak"))))</f>
        <v>A On time</v>
      </c>
      <c r="L121" s="33">
        <f>IF(AND(Orders!U118&gt;=19,Orders!U118&lt;22),1,0)</f>
        <v>1</v>
      </c>
      <c r="M121" s="33">
        <f>IF(L121=IF(Orders!V118,1,0),1,0)</f>
        <v>1</v>
      </c>
      <c r="N121" s="32" t="str">
        <f>IF(Orders!W118="","None",Orders!W118)</f>
        <v>None</v>
      </c>
      <c r="O121" s="35">
        <f>INT(Orders!E118)</f>
        <v>46278.0</v>
      </c>
      <c r="P121" s="33">
        <f>Orders!U118</f>
        <v>21</v>
      </c>
      <c r="Q121" s="33">
        <f>COUNTIFS(Demand!$A$2:$A$4481,B121,Demand!$B$2:$B$4481,O121,Demand!$C$2:$C$4481,P121)</f>
        <v>1</v>
      </c>
      <c r="R121" s="33">
        <f>IF(Q121=1,SUMIFS(Demand!$E$2:$E$4481,Demand!$A$2:$A$4481,B121,Demand!$B$2:$B$4481,O121,Demand!$C$2:$C$4481,P121),"")</f>
        <v>44</v>
      </c>
      <c r="S121" s="33">
        <f>INDEX(Stores!$G$2:$G$21,MATCH(B121,Stores!$A$2:$A$21,0))</f>
        <v>23</v>
      </c>
      <c r="T121" s="34">
        <f>IF(R121="","",R121/S121)</f>
        <v>1.91304347826087</v>
      </c>
      <c r="U121" s="34">
        <f>IF(E121=1,T121,"")</f>
        <v>1.91304347826087</v>
      </c>
      <c r="V121" s="34" t="str">
        <f>IF(AND(E121=1,L121=0),T121,"")</f>
        <v/>
      </c>
      <c r="W121" s="33">
        <f>IF(U121="","",IF(U121&lt;=Breakdowns!$C$5,1,IF(U121&lt;=Breakdowns!$C$6,2,IF(U121&lt;=Breakdowns!$C$7,3,4))))</f>
        <v>4</v>
      </c>
      <c r="X121" s="33" t="str">
        <f>IF(V121="","",IF(V121&lt;=Breakdowns!$D$5,1,IF(V121&lt;=Breakdowns!$D$6,2,IF(V121&lt;=Breakdowns!$D$7,3,4))))</f>
        <v/>
      </c>
      <c r="Y121" s="34">
        <f>INDEX(Stores!$F$2:$F$21,MATCH(B121,Stores!$A$2:$A$21,0))</f>
        <v>3.46</v>
      </c>
      <c r="Z121" s="33">
        <f>IF(Y121&gt;Store_Summary!$M$2,1,0)</f>
        <v>0</v>
      </c>
      <c r="AA121" s="33">
        <f>INDEX(Stores!$C$2:$C$21,MATCH(B121,Stores!$A$2:$A$21,0))</f>
        <v>825</v>
      </c>
      <c r="AB121" s="33">
        <f>IF(AA121&lt;180,1,0)</f>
        <v>0</v>
      </c>
      <c r="AC121" s="32" t="str">
        <f>IF(Orders!D118="","",INDEX(Riders!$C$2:$C$81,MATCH(Orders!D118,Riders!$A$2:$A$81,0)))</f>
        <v>EV scooter</v>
      </c>
      <c r="AD121" s="33">
        <f>IF(Orders!D118="","",INDEX(Riders!$D$2:$D$81,MATCH(Orders!D118,Riders!$A$2:$A$81,0)))</f>
        <v>18</v>
      </c>
      <c r="AE121" s="33">
        <f>IF(Orders!D118="","",IF(INDEX(Riders!$B$2:$B$81,MATCH(Orders!D118,Riders!$A$2:$A$81,0))=B121,1,0))</f>
        <v>0</v>
      </c>
      <c r="AF121" s="34">
        <f>IF(E121=1,Orders!L118,"")</f>
        <v>1.48</v>
      </c>
      <c r="AG121" s="34">
        <f>IF(E121=1,Orders!P118,"")</f>
        <v>10.1</v>
      </c>
      <c r="AH121" s="34">
        <f>IF(E121=1,Orders!Q118,"")</f>
        <v>9.8</v>
      </c>
      <c r="AI121" s="34">
        <f>IF(E121=1,Orders!M118,"")</f>
        <v>1.6</v>
      </c>
      <c r="AJ121" s="34">
        <f>IF(E121=1,Orders!N118,"")</f>
        <v>3.8</v>
      </c>
      <c r="AK121" s="34">
        <f>IF(E121=1,Orders!O118,"")</f>
        <v>4.4</v>
      </c>
      <c r="AL121" s="33">
        <f>IF(E121=1,IF(ROUND(ABS(AI121+AJ121+AK121-AH121),6)&lt;=0.1,1,0),"")</f>
        <v>1</v>
      </c>
      <c r="AM121" s="36">
        <f>IF(E121=1,AI121/AH121,"")</f>
        <v>0.163265306122449</v>
      </c>
      <c r="AN121" s="36">
        <f>IF(E121=1,AJ121/AH121,"")</f>
        <v>0.387755102040816</v>
      </c>
      <c r="AO121" s="36">
        <f>IF(E121=1,AK121/AH121,"")</f>
        <v>0.448979591836735</v>
      </c>
      <c r="AP121" s="34">
        <f>IF(E121=1,Orders!Y118,"")</f>
        <v>0.85</v>
      </c>
      <c r="AQ121" s="33">
        <f>IF(Orders!X118,1,0)</f>
        <v>0</v>
      </c>
      <c r="AR121" s="34">
        <f>IF(AND(E121=1,L121=1),AJ121,"")</f>
        <v>3.8</v>
      </c>
      <c r="AS121" s="34" t="str">
        <f>IF(AND(E121=1,L121=0),AJ121,"")</f>
        <v/>
      </c>
      <c r="AT121" s="34">
        <f>IF(AND(E121=1,L121=1),AI121,"")</f>
        <v>1.6</v>
      </c>
      <c r="AU121" s="34" t="str">
        <f>IF(AND(E121=1,L121=0),AI121,"")</f>
        <v/>
      </c>
      <c r="AV121" s="34">
        <f>IF(AND(E121=1,L121=1),AG121,"")</f>
        <v>10.1</v>
      </c>
      <c r="AW121" s="34" t="str">
        <f>IF(AND(E121=1,L121=0),AG121,"")</f>
        <v/>
      </c>
      <c r="AX121" s="34">
        <f>IF(AND(E121=1,L121=1),AH121,"")</f>
        <v>9.8</v>
      </c>
      <c r="AY121" s="34" t="str">
        <f>IF(AND(E121=1,L121=0),AH121,"")</f>
        <v/>
      </c>
      <c r="AZ121" s="34" t="str">
        <f>IF(G121=1,F121,"")</f>
        <v/>
      </c>
      <c r="BA121" s="34" t="str">
        <f>IF(AND(G121=1,L121=1),F121,"")</f>
        <v/>
      </c>
      <c r="BB121" s="34" t="str">
        <f>IF(AND(G121=1,L121=0),F121,"")</f>
        <v/>
      </c>
      <c r="BC121" s="33">
        <f>IF(E121=1,IF(Orders!R118&gt;3,1,0),"")</f>
        <v>0</v>
      </c>
      <c r="BD121" s="33">
        <f>IF(E121=1,IF(Orders!R118&gt;7,1,0),"")</f>
        <v>0</v>
      </c>
      <c r="BE121" s="32" t="str">
        <f>IF(E121=1,IF(Orders!L118&lt;=1.5,"Up to 1.5 km",IF(Orders!L118&lt;=3,"1.5–3 km","Over 3 km")),"")</f>
        <v>Up to 1.5 km</v>
      </c>
      <c r="BF121" s="33">
        <f>IF(E121=1,IF(ABS((Orders!G118-Orders!F118)*1440-Orders!R118)&lt;0.06,1,0),"")</f>
        <v>1</v>
      </c>
      <c r="BG121" s="33">
        <f>IF(ABS((Orders!F118-Orders!E118)*1440-Orders!P118)&lt;0.06,1,0)</f>
        <v>1</v>
      </c>
      <c r="BH121" s="33">
        <f>IF(E121=1,IF(IF(Orders!S118,1,0)=1-G121,1,0),"")</f>
        <v>1</v>
      </c>
      <c r="BI121" s="32" t="str">
        <f>INDEX(Stores!$B$2:$B$21,MATCH(B121,Stores!$A$2:$A$21,0))</f>
        <v>Mumbai</v>
      </c>
    </row>
    <row r="122">
      <c r="A122" s="32" t="str">
        <f>Orders!A119</f>
        <v>O00118</v>
      </c>
      <c r="B122" s="32" t="str">
        <f>Orders!C119</f>
        <v>S009</v>
      </c>
      <c r="C122" s="32" t="str">
        <f>Orders!B119</f>
        <v>C0132</v>
      </c>
      <c r="D122" s="32" t="str">
        <f>Orders!H119</f>
        <v>Delivered</v>
      </c>
      <c r="E122" s="33">
        <f>IF(Orders!H119="Delivered",1,0)</f>
        <v>1</v>
      </c>
      <c r="F122" s="34">
        <f>IF(E122=1,Orders!R119,"")</f>
        <v>-0.5</v>
      </c>
      <c r="G122" s="33">
        <f>IF(E122=1,IF(Orders!R119&gt;0,1,0),"")</f>
        <v>0</v>
      </c>
      <c r="H122" s="33">
        <f>IF(E122=1,IF(Orders!R119&gt;5,1,0),"")</f>
        <v>0</v>
      </c>
      <c r="I122" s="32" t="str">
        <f>IF(E122=1,"",IF(OR(Orders!T119="Rider unavailable",Orders!T119="Item unavailable"),"Company-caused","Unresolved"))</f>
        <v/>
      </c>
      <c r="J122" s="33">
        <f>IF(OR(E122=1,I122="Company-caused"),1,0)</f>
        <v>1</v>
      </c>
      <c r="K122" s="32" t="str">
        <f>IF(E122=0,IF(I122="Company-caused",IF(Orders!T119="Rider unavailable","C1 Rider unavailable","C2 Item unavailable"),"Outside root: unresolved"),IF(G122=0,"A On time",IF(H122=1,IF(L122=1,"B2a Severe, peak","B2b Severe, off-peak"),IF(L122=1,"B1a Slight, peak","B1b Slight, off-peak"))))</f>
        <v>A On time</v>
      </c>
      <c r="L122" s="33">
        <f>IF(AND(Orders!U119&gt;=19,Orders!U119&lt;22),1,0)</f>
        <v>0</v>
      </c>
      <c r="M122" s="33">
        <f>IF(L122=IF(Orders!V119,1,0),1,0)</f>
        <v>1</v>
      </c>
      <c r="N122" s="32" t="str">
        <f>IF(Orders!W119="","None",Orders!W119)</f>
        <v>None</v>
      </c>
      <c r="O122" s="35">
        <f>INT(Orders!E119)</f>
        <v>46273.0</v>
      </c>
      <c r="P122" s="33">
        <f>Orders!U119</f>
        <v>10</v>
      </c>
      <c r="Q122" s="33">
        <f>COUNTIFS(Demand!$A$2:$A$4481,B122,Demand!$B$2:$B$4481,O122,Demand!$C$2:$C$4481,P122)</f>
        <v>1</v>
      </c>
      <c r="R122" s="33">
        <f>IF(Q122=1,SUMIFS(Demand!$E$2:$E$4481,Demand!$A$2:$A$4481,B122,Demand!$B$2:$B$4481,O122,Demand!$C$2:$C$4481,P122),"")</f>
        <v>29</v>
      </c>
      <c r="S122" s="33">
        <f>INDEX(Stores!$G$2:$G$21,MATCH(B122,Stores!$A$2:$A$21,0))</f>
        <v>29</v>
      </c>
      <c r="T122" s="34">
        <f>IF(R122="","",R122/S122)</f>
        <v>1</v>
      </c>
      <c r="U122" s="34">
        <f>IF(E122=1,T122,"")</f>
        <v>1</v>
      </c>
      <c r="V122" s="34">
        <f>IF(AND(E122=1,L122=0),T122,"")</f>
        <v>1</v>
      </c>
      <c r="W122" s="33">
        <f>IF(U122="","",IF(U122&lt;=Breakdowns!$C$5,1,IF(U122&lt;=Breakdowns!$C$6,2,IF(U122&lt;=Breakdowns!$C$7,3,4))))</f>
        <v>2</v>
      </c>
      <c r="X122" s="33">
        <f>IF(V122="","",IF(V122&lt;=Breakdowns!$D$5,1,IF(V122&lt;=Breakdowns!$D$6,2,IF(V122&lt;=Breakdowns!$D$7,3,4))))</f>
        <v>3</v>
      </c>
      <c r="Y122" s="34">
        <f>INDEX(Stores!$F$2:$F$21,MATCH(B122,Stores!$A$2:$A$21,0))</f>
        <v>2.66</v>
      </c>
      <c r="Z122" s="33">
        <f>IF(Y122&gt;Store_Summary!$M$2,1,0)</f>
        <v>0</v>
      </c>
      <c r="AA122" s="33">
        <f>INDEX(Stores!$C$2:$C$21,MATCH(B122,Stores!$A$2:$A$21,0))</f>
        <v>645</v>
      </c>
      <c r="AB122" s="33">
        <f>IF(AA122&lt;180,1,0)</f>
        <v>0</v>
      </c>
      <c r="AC122" s="32" t="str">
        <f>IF(Orders!D119="","",INDEX(Riders!$C$2:$C$81,MATCH(Orders!D119,Riders!$A$2:$A$81,0)))</f>
        <v>EV scooter</v>
      </c>
      <c r="AD122" s="33">
        <f>IF(Orders!D119="","",INDEX(Riders!$D$2:$D$81,MATCH(Orders!D119,Riders!$A$2:$A$81,0)))</f>
        <v>32</v>
      </c>
      <c r="AE122" s="33">
        <f>IF(Orders!D119="","",IF(INDEX(Riders!$B$2:$B$81,MATCH(Orders!D119,Riders!$A$2:$A$81,0))=B122,1,0))</f>
        <v>0</v>
      </c>
      <c r="AF122" s="34">
        <f>IF(E122=1,Orders!L119,"")</f>
        <v>2.8</v>
      </c>
      <c r="AG122" s="34">
        <f>IF(E122=1,Orders!P119,"")</f>
        <v>10.9</v>
      </c>
      <c r="AH122" s="34">
        <f>IF(E122=1,Orders!Q119,"")</f>
        <v>10.4</v>
      </c>
      <c r="AI122" s="34">
        <f>IF(E122=1,Orders!M119,"")</f>
        <v>1.7</v>
      </c>
      <c r="AJ122" s="34">
        <f>IF(E122=1,Orders!N119,"")</f>
        <v>3.2</v>
      </c>
      <c r="AK122" s="34">
        <f>IF(E122=1,Orders!O119,"")</f>
        <v>5.5</v>
      </c>
      <c r="AL122" s="33">
        <f>IF(E122=1,IF(ROUND(ABS(AI122+AJ122+AK122-AH122),6)&lt;=0.1,1,0),"")</f>
        <v>1</v>
      </c>
      <c r="AM122" s="36">
        <f>IF(E122=1,AI122/AH122,"")</f>
        <v>0.163461538461538</v>
      </c>
      <c r="AN122" s="36">
        <f>IF(E122=1,AJ122/AH122,"")</f>
        <v>0.307692307692308</v>
      </c>
      <c r="AO122" s="36">
        <f>IF(E122=1,AK122/AH122,"")</f>
        <v>0.528846153846154</v>
      </c>
      <c r="AP122" s="34">
        <f>IF(E122=1,Orders!Y119,"")</f>
        <v>0.42</v>
      </c>
      <c r="AQ122" s="33">
        <f>IF(Orders!X119,1,0)</f>
        <v>0</v>
      </c>
      <c r="AR122" s="34" t="str">
        <f>IF(AND(E122=1,L122=1),AJ122,"")</f>
        <v/>
      </c>
      <c r="AS122" s="34">
        <f>IF(AND(E122=1,L122=0),AJ122,"")</f>
        <v>3.2</v>
      </c>
      <c r="AT122" s="34" t="str">
        <f>IF(AND(E122=1,L122=1),AI122,"")</f>
        <v/>
      </c>
      <c r="AU122" s="34">
        <f>IF(AND(E122=1,L122=0),AI122,"")</f>
        <v>1.7</v>
      </c>
      <c r="AV122" s="34" t="str">
        <f>IF(AND(E122=1,L122=1),AG122,"")</f>
        <v/>
      </c>
      <c r="AW122" s="34">
        <f>IF(AND(E122=1,L122=0),AG122,"")</f>
        <v>10.9</v>
      </c>
      <c r="AX122" s="34" t="str">
        <f>IF(AND(E122=1,L122=1),AH122,"")</f>
        <v/>
      </c>
      <c r="AY122" s="34">
        <f>IF(AND(E122=1,L122=0),AH122,"")</f>
        <v>10.4</v>
      </c>
      <c r="AZ122" s="34" t="str">
        <f>IF(G122=1,F122,"")</f>
        <v/>
      </c>
      <c r="BA122" s="34" t="str">
        <f>IF(AND(G122=1,L122=1),F122,"")</f>
        <v/>
      </c>
      <c r="BB122" s="34" t="str">
        <f>IF(AND(G122=1,L122=0),F122,"")</f>
        <v/>
      </c>
      <c r="BC122" s="33">
        <f>IF(E122=1,IF(Orders!R119&gt;3,1,0),"")</f>
        <v>0</v>
      </c>
      <c r="BD122" s="33">
        <f>IF(E122=1,IF(Orders!R119&gt;7,1,0),"")</f>
        <v>0</v>
      </c>
      <c r="BE122" s="32" t="str">
        <f>IF(E122=1,IF(Orders!L119&lt;=1.5,"Up to 1.5 km",IF(Orders!L119&lt;=3,"1.5–3 km","Over 3 km")),"")</f>
        <v>1.5–3 km</v>
      </c>
      <c r="BF122" s="33">
        <f>IF(E122=1,IF(ABS((Orders!G119-Orders!F119)*1440-Orders!R119)&lt;0.06,1,0),"")</f>
        <v>1</v>
      </c>
      <c r="BG122" s="33">
        <f>IF(ABS((Orders!F119-Orders!E119)*1440-Orders!P119)&lt;0.06,1,0)</f>
        <v>1</v>
      </c>
      <c r="BH122" s="33">
        <f>IF(E122=1,IF(IF(Orders!S119,1,0)=1-G122,1,0),"")</f>
        <v>1</v>
      </c>
      <c r="BI122" s="32" t="str">
        <f>INDEX(Stores!$B$2:$B$21,MATCH(B122,Stores!$A$2:$A$21,0))</f>
        <v>Pune</v>
      </c>
    </row>
    <row r="123">
      <c r="A123" s="32" t="str">
        <f>Orders!A120</f>
        <v>O00119</v>
      </c>
      <c r="B123" s="32" t="str">
        <f>Orders!C120</f>
        <v>S013</v>
      </c>
      <c r="C123" s="32" t="str">
        <f>Orders!B120</f>
        <v>C0145</v>
      </c>
      <c r="D123" s="32" t="str">
        <f>Orders!H120</f>
        <v>Delivered</v>
      </c>
      <c r="E123" s="33">
        <f>IF(Orders!H120="Delivered",1,0)</f>
        <v>1</v>
      </c>
      <c r="F123" s="34">
        <f>IF(E123=1,Orders!R120,"")</f>
        <v>-1</v>
      </c>
      <c r="G123" s="33">
        <f>IF(E123=1,IF(Orders!R120&gt;0,1,0),"")</f>
        <v>0</v>
      </c>
      <c r="H123" s="33">
        <f>IF(E123=1,IF(Orders!R120&gt;5,1,0),"")</f>
        <v>0</v>
      </c>
      <c r="I123" s="32" t="str">
        <f>IF(E123=1,"",IF(OR(Orders!T120="Rider unavailable",Orders!T120="Item unavailable"),"Company-caused","Unresolved"))</f>
        <v/>
      </c>
      <c r="J123" s="33">
        <f>IF(OR(E123=1,I123="Company-caused"),1,0)</f>
        <v>1</v>
      </c>
      <c r="K123" s="32" t="str">
        <f>IF(E123=0,IF(I123="Company-caused",IF(Orders!T120="Rider unavailable","C1 Rider unavailable","C2 Item unavailable"),"Outside root: unresolved"),IF(G123=0,"A On time",IF(H123=1,IF(L123=1,"B2a Severe, peak","B2b Severe, off-peak"),IF(L123=1,"B1a Slight, peak","B1b Slight, off-peak"))))</f>
        <v>A On time</v>
      </c>
      <c r="L123" s="33">
        <f>IF(AND(Orders!U120&gt;=19,Orders!U120&lt;22),1,0)</f>
        <v>0</v>
      </c>
      <c r="M123" s="33">
        <f>IF(L123=IF(Orders!V120,1,0),1,0)</f>
        <v>1</v>
      </c>
      <c r="N123" s="32" t="str">
        <f>IF(Orders!W120="","None",Orders!W120)</f>
        <v>Light</v>
      </c>
      <c r="O123" s="35">
        <f>INT(Orders!E120)</f>
        <v>46273.0</v>
      </c>
      <c r="P123" s="33">
        <f>Orders!U120</f>
        <v>18</v>
      </c>
      <c r="Q123" s="33">
        <f>COUNTIFS(Demand!$A$2:$A$4481,B123,Demand!$B$2:$B$4481,O123,Demand!$C$2:$C$4481,P123)</f>
        <v>1</v>
      </c>
      <c r="R123" s="33">
        <f>IF(Q123=1,SUMIFS(Demand!$E$2:$E$4481,Demand!$A$2:$A$4481,B123,Demand!$B$2:$B$4481,O123,Demand!$C$2:$C$4481,P123),"")</f>
        <v>42</v>
      </c>
      <c r="S123" s="33">
        <f>INDEX(Stores!$G$2:$G$21,MATCH(B123,Stores!$A$2:$A$21,0))</f>
        <v>49</v>
      </c>
      <c r="T123" s="34">
        <f>IF(R123="","",R123/S123)</f>
        <v>0.857142857142857</v>
      </c>
      <c r="U123" s="34">
        <f>IF(E123=1,T123,"")</f>
        <v>0.857142857142857</v>
      </c>
      <c r="V123" s="34">
        <f>IF(AND(E123=1,L123=0),T123,"")</f>
        <v>0.857142857142857</v>
      </c>
      <c r="W123" s="33">
        <f>IF(U123="","",IF(U123&lt;=Breakdowns!$C$5,1,IF(U123&lt;=Breakdowns!$C$6,2,IF(U123&lt;=Breakdowns!$C$7,3,4))))</f>
        <v>2</v>
      </c>
      <c r="X123" s="33">
        <f>IF(V123="","",IF(V123&lt;=Breakdowns!$D$5,1,IF(V123&lt;=Breakdowns!$D$6,2,IF(V123&lt;=Breakdowns!$D$7,3,4))))</f>
        <v>2</v>
      </c>
      <c r="Y123" s="34">
        <f>INDEX(Stores!$F$2:$F$21,MATCH(B123,Stores!$A$2:$A$21,0))</f>
        <v>5.82</v>
      </c>
      <c r="Z123" s="33">
        <f>IF(Y123&gt;Store_Summary!$M$2,1,0)</f>
        <v>1</v>
      </c>
      <c r="AA123" s="33">
        <f>INDEX(Stores!$C$2:$C$21,MATCH(B123,Stores!$A$2:$A$21,0))</f>
        <v>705</v>
      </c>
      <c r="AB123" s="33">
        <f>IF(AA123&lt;180,1,0)</f>
        <v>0</v>
      </c>
      <c r="AC123" s="32" t="str">
        <f>IF(Orders!D120="","",INDEX(Riders!$C$2:$C$81,MATCH(Orders!D120,Riders!$A$2:$A$81,0)))</f>
        <v>EV scooter</v>
      </c>
      <c r="AD123" s="33">
        <f>IF(Orders!D120="","",INDEX(Riders!$D$2:$D$81,MATCH(Orders!D120,Riders!$A$2:$A$81,0)))</f>
        <v>24</v>
      </c>
      <c r="AE123" s="33">
        <f>IF(Orders!D120="","",IF(INDEX(Riders!$B$2:$B$81,MATCH(Orders!D120,Riders!$A$2:$A$81,0))=B123,1,0))</f>
        <v>0</v>
      </c>
      <c r="AF123" s="34">
        <f>IF(E123=1,Orders!L120,"")</f>
        <v>0.86</v>
      </c>
      <c r="AG123" s="34">
        <f>IF(E123=1,Orders!P120,"")</f>
        <v>9.1</v>
      </c>
      <c r="AH123" s="34">
        <f>IF(E123=1,Orders!Q120,"")</f>
        <v>8.1</v>
      </c>
      <c r="AI123" s="34">
        <f>IF(E123=1,Orders!M120,"")</f>
        <v>4.3</v>
      </c>
      <c r="AJ123" s="34">
        <f>IF(E123=1,Orders!N120,"")</f>
        <v>0.7</v>
      </c>
      <c r="AK123" s="34">
        <f>IF(E123=1,Orders!O120,"")</f>
        <v>3.1</v>
      </c>
      <c r="AL123" s="33">
        <f>IF(E123=1,IF(ROUND(ABS(AI123+AJ123+AK123-AH123),6)&lt;=0.1,1,0),"")</f>
        <v>1</v>
      </c>
      <c r="AM123" s="36">
        <f>IF(E123=1,AI123/AH123,"")</f>
        <v>0.530864197530864</v>
      </c>
      <c r="AN123" s="36">
        <f>IF(E123=1,AJ123/AH123,"")</f>
        <v>0.0864197530864198</v>
      </c>
      <c r="AO123" s="36">
        <f>IF(E123=1,AK123/AH123,"")</f>
        <v>0.382716049382716</v>
      </c>
      <c r="AP123" s="34">
        <f>IF(E123=1,Orders!Y120,"")</f>
        <v>0.75</v>
      </c>
      <c r="AQ123" s="33">
        <f>IF(Orders!X120,1,0)</f>
        <v>0</v>
      </c>
      <c r="AR123" s="34" t="str">
        <f>IF(AND(E123=1,L123=1),AJ123,"")</f>
        <v/>
      </c>
      <c r="AS123" s="34">
        <f>IF(AND(E123=1,L123=0),AJ123,"")</f>
        <v>0.7</v>
      </c>
      <c r="AT123" s="34" t="str">
        <f>IF(AND(E123=1,L123=1),AI123,"")</f>
        <v/>
      </c>
      <c r="AU123" s="34">
        <f>IF(AND(E123=1,L123=0),AI123,"")</f>
        <v>4.3</v>
      </c>
      <c r="AV123" s="34" t="str">
        <f>IF(AND(E123=1,L123=1),AG123,"")</f>
        <v/>
      </c>
      <c r="AW123" s="34">
        <f>IF(AND(E123=1,L123=0),AG123,"")</f>
        <v>9.1</v>
      </c>
      <c r="AX123" s="34" t="str">
        <f>IF(AND(E123=1,L123=1),AH123,"")</f>
        <v/>
      </c>
      <c r="AY123" s="34">
        <f>IF(AND(E123=1,L123=0),AH123,"")</f>
        <v>8.1</v>
      </c>
      <c r="AZ123" s="34" t="str">
        <f>IF(G123=1,F123,"")</f>
        <v/>
      </c>
      <c r="BA123" s="34" t="str">
        <f>IF(AND(G123=1,L123=1),F123,"")</f>
        <v/>
      </c>
      <c r="BB123" s="34" t="str">
        <f>IF(AND(G123=1,L123=0),F123,"")</f>
        <v/>
      </c>
      <c r="BC123" s="33">
        <f>IF(E123=1,IF(Orders!R120&gt;3,1,0),"")</f>
        <v>0</v>
      </c>
      <c r="BD123" s="33">
        <f>IF(E123=1,IF(Orders!R120&gt;7,1,0),"")</f>
        <v>0</v>
      </c>
      <c r="BE123" s="32" t="str">
        <f>IF(E123=1,IF(Orders!L120&lt;=1.5,"Up to 1.5 km",IF(Orders!L120&lt;=3,"1.5–3 km","Over 3 km")),"")</f>
        <v>Up to 1.5 km</v>
      </c>
      <c r="BF123" s="33">
        <f>IF(E123=1,IF(ABS((Orders!G120-Orders!F120)*1440-Orders!R120)&lt;0.06,1,0),"")</f>
        <v>1</v>
      </c>
      <c r="BG123" s="33">
        <f>IF(ABS((Orders!F120-Orders!E120)*1440-Orders!P120)&lt;0.06,1,0)</f>
        <v>1</v>
      </c>
      <c r="BH123" s="33">
        <f>IF(E123=1,IF(IF(Orders!S120,1,0)=1-G123,1,0),"")</f>
        <v>1</v>
      </c>
      <c r="BI123" s="32" t="str">
        <f>INDEX(Stores!$B$2:$B$21,MATCH(B123,Stores!$A$2:$A$21,0))</f>
        <v>Mumbai</v>
      </c>
    </row>
    <row r="124">
      <c r="A124" s="32" t="str">
        <f>Orders!A121</f>
        <v>O00120</v>
      </c>
      <c r="B124" s="32" t="str">
        <f>Orders!C121</f>
        <v>S001</v>
      </c>
      <c r="C124" s="32" t="str">
        <f>Orders!B121</f>
        <v>C0041</v>
      </c>
      <c r="D124" s="32" t="str">
        <f>Orders!H121</f>
        <v>Delivered</v>
      </c>
      <c r="E124" s="33">
        <f>IF(Orders!H121="Delivered",1,0)</f>
        <v>1</v>
      </c>
      <c r="F124" s="34">
        <f>IF(E124=1,Orders!R121,"")</f>
        <v>0.8</v>
      </c>
      <c r="G124" s="33">
        <f>IF(E124=1,IF(Orders!R121&gt;0,1,0),"")</f>
        <v>1</v>
      </c>
      <c r="H124" s="33">
        <f>IF(E124=1,IF(Orders!R121&gt;5,1,0),"")</f>
        <v>0</v>
      </c>
      <c r="I124" s="32" t="str">
        <f>IF(E124=1,"",IF(OR(Orders!T121="Rider unavailable",Orders!T121="Item unavailable"),"Company-caused","Unresolved"))</f>
        <v/>
      </c>
      <c r="J124" s="33">
        <f>IF(OR(E124=1,I124="Company-caused"),1,0)</f>
        <v>1</v>
      </c>
      <c r="K124" s="32" t="str">
        <f>IF(E124=0,IF(I124="Company-caused",IF(Orders!T121="Rider unavailable","C1 Rider unavailable","C2 Item unavailable"),"Outside root: unresolved"),IF(G124=0,"A On time",IF(H124=1,IF(L124=1,"B2a Severe, peak","B2b Severe, off-peak"),IF(L124=1,"B1a Slight, peak","B1b Slight, off-peak"))))</f>
        <v>B1b Slight, off-peak</v>
      </c>
      <c r="L124" s="33">
        <f>IF(AND(Orders!U121&gt;=19,Orders!U121&lt;22),1,0)</f>
        <v>0</v>
      </c>
      <c r="M124" s="33">
        <f>IF(L124=IF(Orders!V121,1,0),1,0)</f>
        <v>1</v>
      </c>
      <c r="N124" s="32" t="str">
        <f>IF(Orders!W121="","None",Orders!W121)</f>
        <v>Heavy</v>
      </c>
      <c r="O124" s="35">
        <f>INT(Orders!E121)</f>
        <v>46271.0</v>
      </c>
      <c r="P124" s="33">
        <f>Orders!U121</f>
        <v>9</v>
      </c>
      <c r="Q124" s="33">
        <f>COUNTIFS(Demand!$A$2:$A$4481,B124,Demand!$B$2:$B$4481,O124,Demand!$C$2:$C$4481,P124)</f>
        <v>1</v>
      </c>
      <c r="R124" s="33">
        <f>IF(Q124=1,SUMIFS(Demand!$E$2:$E$4481,Demand!$A$2:$A$4481,B124,Demand!$B$2:$B$4481,O124,Demand!$C$2:$C$4481,P124),"")</f>
        <v>14</v>
      </c>
      <c r="S124" s="33">
        <f>INDEX(Stores!$G$2:$G$21,MATCH(B124,Stores!$A$2:$A$21,0))</f>
        <v>16</v>
      </c>
      <c r="T124" s="34">
        <f>IF(R124="","",R124/S124)</f>
        <v>0.875</v>
      </c>
      <c r="U124" s="34">
        <f>IF(E124=1,T124,"")</f>
        <v>0.875</v>
      </c>
      <c r="V124" s="34">
        <f>IF(AND(E124=1,L124=0),T124,"")</f>
        <v>0.875</v>
      </c>
      <c r="W124" s="33">
        <f>IF(U124="","",IF(U124&lt;=Breakdowns!$C$5,1,IF(U124&lt;=Breakdowns!$C$6,2,IF(U124&lt;=Breakdowns!$C$7,3,4))))</f>
        <v>2</v>
      </c>
      <c r="X124" s="33">
        <f>IF(V124="","",IF(V124&lt;=Breakdowns!$D$5,1,IF(V124&lt;=Breakdowns!$D$6,2,IF(V124&lt;=Breakdowns!$D$7,3,4))))</f>
        <v>2</v>
      </c>
      <c r="Y124" s="34">
        <f>INDEX(Stores!$F$2:$F$21,MATCH(B124,Stores!$A$2:$A$21,0))</f>
        <v>4.59</v>
      </c>
      <c r="Z124" s="33">
        <f>IF(Y124&gt;Store_Summary!$M$2,1,0)</f>
        <v>0</v>
      </c>
      <c r="AA124" s="33">
        <f>INDEX(Stores!$C$2:$C$21,MATCH(B124,Stores!$A$2:$A$21,0))</f>
        <v>362</v>
      </c>
      <c r="AB124" s="33">
        <f>IF(AA124&lt;180,1,0)</f>
        <v>0</v>
      </c>
      <c r="AC124" s="32" t="str">
        <f>IF(Orders!D121="","",INDEX(Riders!$C$2:$C$81,MATCH(Orders!D121,Riders!$A$2:$A$81,0)))</f>
        <v>EV scooter</v>
      </c>
      <c r="AD124" s="33">
        <f>IF(Orders!D121="","",INDEX(Riders!$D$2:$D$81,MATCH(Orders!D121,Riders!$A$2:$A$81,0)))</f>
        <v>36</v>
      </c>
      <c r="AE124" s="33">
        <f>IF(Orders!D121="","",IF(INDEX(Riders!$B$2:$B$81,MATCH(Orders!D121,Riders!$A$2:$A$81,0))=B124,1,0))</f>
        <v>0</v>
      </c>
      <c r="AF124" s="34">
        <f>IF(E124=1,Orders!L121,"")</f>
        <v>0.91</v>
      </c>
      <c r="AG124" s="34">
        <f>IF(E124=1,Orders!P121,"")</f>
        <v>10</v>
      </c>
      <c r="AH124" s="34">
        <f>IF(E124=1,Orders!Q121,"")</f>
        <v>10.8</v>
      </c>
      <c r="AI124" s="34">
        <f>IF(E124=1,Orders!M121,"")</f>
        <v>4.4</v>
      </c>
      <c r="AJ124" s="34">
        <f>IF(E124=1,Orders!N121,"")</f>
        <v>0.9</v>
      </c>
      <c r="AK124" s="34">
        <f>IF(E124=1,Orders!O121,"")</f>
        <v>5.5</v>
      </c>
      <c r="AL124" s="33">
        <f>IF(E124=1,IF(ROUND(ABS(AI124+AJ124+AK124-AH124),6)&lt;=0.1,1,0),"")</f>
        <v>1</v>
      </c>
      <c r="AM124" s="36">
        <f>IF(E124=1,AI124/AH124,"")</f>
        <v>0.407407407407407</v>
      </c>
      <c r="AN124" s="36">
        <f>IF(E124=1,AJ124/AH124,"")</f>
        <v>0.0833333333333333</v>
      </c>
      <c r="AO124" s="36">
        <f>IF(E124=1,AK124/AH124,"")</f>
        <v>0.509259259259259</v>
      </c>
      <c r="AP124" s="34">
        <f>IF(E124=1,Orders!Y121,"")</f>
        <v>0.56</v>
      </c>
      <c r="AQ124" s="33">
        <f>IF(Orders!X121,1,0)</f>
        <v>0</v>
      </c>
      <c r="AR124" s="34" t="str">
        <f>IF(AND(E124=1,L124=1),AJ124,"")</f>
        <v/>
      </c>
      <c r="AS124" s="34">
        <f>IF(AND(E124=1,L124=0),AJ124,"")</f>
        <v>0.9</v>
      </c>
      <c r="AT124" s="34" t="str">
        <f>IF(AND(E124=1,L124=1),AI124,"")</f>
        <v/>
      </c>
      <c r="AU124" s="34">
        <f>IF(AND(E124=1,L124=0),AI124,"")</f>
        <v>4.4</v>
      </c>
      <c r="AV124" s="34" t="str">
        <f>IF(AND(E124=1,L124=1),AG124,"")</f>
        <v/>
      </c>
      <c r="AW124" s="34">
        <f>IF(AND(E124=1,L124=0),AG124,"")</f>
        <v>10</v>
      </c>
      <c r="AX124" s="34" t="str">
        <f>IF(AND(E124=1,L124=1),AH124,"")</f>
        <v/>
      </c>
      <c r="AY124" s="34">
        <f>IF(AND(E124=1,L124=0),AH124,"")</f>
        <v>10.8</v>
      </c>
      <c r="AZ124" s="34">
        <f>IF(G124=1,F124,"")</f>
        <v>0.8</v>
      </c>
      <c r="BA124" s="34" t="str">
        <f>IF(AND(G124=1,L124=1),F124,"")</f>
        <v/>
      </c>
      <c r="BB124" s="34">
        <f>IF(AND(G124=1,L124=0),F124,"")</f>
        <v>0.8</v>
      </c>
      <c r="BC124" s="33">
        <f>IF(E124=1,IF(Orders!R121&gt;3,1,0),"")</f>
        <v>0</v>
      </c>
      <c r="BD124" s="33">
        <f>IF(E124=1,IF(Orders!R121&gt;7,1,0),"")</f>
        <v>0</v>
      </c>
      <c r="BE124" s="32" t="str">
        <f>IF(E124=1,IF(Orders!L121&lt;=1.5,"Up to 1.5 km",IF(Orders!L121&lt;=3,"1.5–3 km","Over 3 km")),"")</f>
        <v>Up to 1.5 km</v>
      </c>
      <c r="BF124" s="33">
        <f>IF(E124=1,IF(ABS((Orders!G121-Orders!F121)*1440-Orders!R121)&lt;0.06,1,0),"")</f>
        <v>1</v>
      </c>
      <c r="BG124" s="33">
        <f>IF(ABS((Orders!F121-Orders!E121)*1440-Orders!P121)&lt;0.06,1,0)</f>
        <v>1</v>
      </c>
      <c r="BH124" s="33">
        <f>IF(E124=1,IF(IF(Orders!S121,1,0)=1-G124,1,0),"")</f>
        <v>1</v>
      </c>
      <c r="BI124" s="32" t="str">
        <f>INDEX(Stores!$B$2:$B$21,MATCH(B124,Stores!$A$2:$A$21,0))</f>
        <v>Bengaluru</v>
      </c>
    </row>
    <row r="125">
      <c r="A125" s="32" t="str">
        <f>Orders!A122</f>
        <v>O00121</v>
      </c>
      <c r="B125" s="32" t="str">
        <f>Orders!C122</f>
        <v>S008</v>
      </c>
      <c r="C125" s="32" t="str">
        <f>Orders!B122</f>
        <v>C0153</v>
      </c>
      <c r="D125" s="32" t="str">
        <f>Orders!H122</f>
        <v>Delivered</v>
      </c>
      <c r="E125" s="33">
        <f>IF(Orders!H122="Delivered",1,0)</f>
        <v>1</v>
      </c>
      <c r="F125" s="34">
        <f>IF(E125=1,Orders!R122,"")</f>
        <v>9.3</v>
      </c>
      <c r="G125" s="33">
        <f>IF(E125=1,IF(Orders!R122&gt;0,1,0),"")</f>
        <v>1</v>
      </c>
      <c r="H125" s="33">
        <f>IF(E125=1,IF(Orders!R122&gt;5,1,0),"")</f>
        <v>1</v>
      </c>
      <c r="I125" s="32" t="str">
        <f>IF(E125=1,"",IF(OR(Orders!T122="Rider unavailable",Orders!T122="Item unavailable"),"Company-caused","Unresolved"))</f>
        <v/>
      </c>
      <c r="J125" s="33">
        <f>IF(OR(E125=1,I125="Company-caused"),1,0)</f>
        <v>1</v>
      </c>
      <c r="K125" s="32" t="str">
        <f>IF(E125=0,IF(I125="Company-caused",IF(Orders!T122="Rider unavailable","C1 Rider unavailable","C2 Item unavailable"),"Outside root: unresolved"),IF(G125=0,"A On time",IF(H125=1,IF(L125=1,"B2a Severe, peak","B2b Severe, off-peak"),IF(L125=1,"B1a Slight, peak","B1b Slight, off-peak"))))</f>
        <v>B2b Severe, off-peak</v>
      </c>
      <c r="L125" s="33">
        <f>IF(AND(Orders!U122&gt;=19,Orders!U122&lt;22),1,0)</f>
        <v>0</v>
      </c>
      <c r="M125" s="33">
        <f>IF(L125=IF(Orders!V122,1,0),1,0)</f>
        <v>1</v>
      </c>
      <c r="N125" s="32" t="str">
        <f>IF(Orders!W122="","None",Orders!W122)</f>
        <v>None</v>
      </c>
      <c r="O125" s="35">
        <f>INT(Orders!E122)</f>
        <v>46271.0</v>
      </c>
      <c r="P125" s="33">
        <f>Orders!U122</f>
        <v>17</v>
      </c>
      <c r="Q125" s="33">
        <f>COUNTIFS(Demand!$A$2:$A$4481,B125,Demand!$B$2:$B$4481,O125,Demand!$C$2:$C$4481,P125)</f>
        <v>1</v>
      </c>
      <c r="R125" s="33">
        <f>IF(Q125=1,SUMIFS(Demand!$E$2:$E$4481,Demand!$A$2:$A$4481,B125,Demand!$B$2:$B$4481,O125,Demand!$C$2:$C$4481,P125),"")</f>
        <v>29</v>
      </c>
      <c r="S125" s="33">
        <f>INDEX(Stores!$G$2:$G$21,MATCH(B125,Stores!$A$2:$A$21,0))</f>
        <v>23</v>
      </c>
      <c r="T125" s="34">
        <f>IF(R125="","",R125/S125)</f>
        <v>1.26086956521739</v>
      </c>
      <c r="U125" s="34">
        <f>IF(E125=1,T125,"")</f>
        <v>1.26086956521739</v>
      </c>
      <c r="V125" s="34">
        <f>IF(AND(E125=1,L125=0),T125,"")</f>
        <v>1.26086956521739</v>
      </c>
      <c r="W125" s="33">
        <f>IF(U125="","",IF(U125&lt;=Breakdowns!$C$5,1,IF(U125&lt;=Breakdowns!$C$6,2,IF(U125&lt;=Breakdowns!$C$7,3,4))))</f>
        <v>4</v>
      </c>
      <c r="X125" s="33">
        <f>IF(V125="","",IF(V125&lt;=Breakdowns!$D$5,1,IF(V125&lt;=Breakdowns!$D$6,2,IF(V125&lt;=Breakdowns!$D$7,3,4))))</f>
        <v>4</v>
      </c>
      <c r="Y125" s="34">
        <f>INDEX(Stores!$F$2:$F$21,MATCH(B125,Stores!$A$2:$A$21,0))</f>
        <v>3.46</v>
      </c>
      <c r="Z125" s="33">
        <f>IF(Y125&gt;Store_Summary!$M$2,1,0)</f>
        <v>0</v>
      </c>
      <c r="AA125" s="33">
        <f>INDEX(Stores!$C$2:$C$21,MATCH(B125,Stores!$A$2:$A$21,0))</f>
        <v>825</v>
      </c>
      <c r="AB125" s="33">
        <f>IF(AA125&lt;180,1,0)</f>
        <v>0</v>
      </c>
      <c r="AC125" s="32" t="str">
        <f>IF(Orders!D122="","",INDEX(Riders!$C$2:$C$81,MATCH(Orders!D122,Riders!$A$2:$A$81,0)))</f>
        <v>EV scooter</v>
      </c>
      <c r="AD125" s="33">
        <f>IF(Orders!D122="","",INDEX(Riders!$D$2:$D$81,MATCH(Orders!D122,Riders!$A$2:$A$81,0)))</f>
        <v>30</v>
      </c>
      <c r="AE125" s="33">
        <f>IF(Orders!D122="","",IF(INDEX(Riders!$B$2:$B$81,MATCH(Orders!D122,Riders!$A$2:$A$81,0))=B125,1,0))</f>
        <v>0</v>
      </c>
      <c r="AF125" s="34">
        <f>IF(E125=1,Orders!L122,"")</f>
        <v>1.15</v>
      </c>
      <c r="AG125" s="34">
        <f>IF(E125=1,Orders!P122,"")</f>
        <v>9</v>
      </c>
      <c r="AH125" s="34">
        <f>IF(E125=1,Orders!Q122,"")</f>
        <v>18.3</v>
      </c>
      <c r="AI125" s="34">
        <f>IF(E125=1,Orders!M122,"")</f>
        <v>3.8</v>
      </c>
      <c r="AJ125" s="34">
        <f>IF(E125=1,Orders!N122,"")</f>
        <v>10.1</v>
      </c>
      <c r="AK125" s="34">
        <f>IF(E125=1,Orders!O122,"")</f>
        <v>4.3</v>
      </c>
      <c r="AL125" s="33">
        <f>IF(E125=1,IF(ROUND(ABS(AI125+AJ125+AK125-AH125),6)&lt;=0.1,1,0),"")</f>
        <v>1</v>
      </c>
      <c r="AM125" s="36">
        <f>IF(E125=1,AI125/AH125,"")</f>
        <v>0.207650273224044</v>
      </c>
      <c r="AN125" s="36">
        <f>IF(E125=1,AJ125/AH125,"")</f>
        <v>0.551912568306011</v>
      </c>
      <c r="AO125" s="36">
        <f>IF(E125=1,AK125/AH125,"")</f>
        <v>0.234972677595628</v>
      </c>
      <c r="AP125" s="34">
        <f>IF(E125=1,Orders!Y122,"")</f>
        <v>0.58</v>
      </c>
      <c r="AQ125" s="33">
        <f>IF(Orders!X122,1,0)</f>
        <v>0</v>
      </c>
      <c r="AR125" s="34" t="str">
        <f>IF(AND(E125=1,L125=1),AJ125,"")</f>
        <v/>
      </c>
      <c r="AS125" s="34">
        <f>IF(AND(E125=1,L125=0),AJ125,"")</f>
        <v>10.1</v>
      </c>
      <c r="AT125" s="34" t="str">
        <f>IF(AND(E125=1,L125=1),AI125,"")</f>
        <v/>
      </c>
      <c r="AU125" s="34">
        <f>IF(AND(E125=1,L125=0),AI125,"")</f>
        <v>3.8</v>
      </c>
      <c r="AV125" s="34" t="str">
        <f>IF(AND(E125=1,L125=1),AG125,"")</f>
        <v/>
      </c>
      <c r="AW125" s="34">
        <f>IF(AND(E125=1,L125=0),AG125,"")</f>
        <v>9</v>
      </c>
      <c r="AX125" s="34" t="str">
        <f>IF(AND(E125=1,L125=1),AH125,"")</f>
        <v/>
      </c>
      <c r="AY125" s="34">
        <f>IF(AND(E125=1,L125=0),AH125,"")</f>
        <v>18.3</v>
      </c>
      <c r="AZ125" s="34">
        <f>IF(G125=1,F125,"")</f>
        <v>9.3</v>
      </c>
      <c r="BA125" s="34" t="str">
        <f>IF(AND(G125=1,L125=1),F125,"")</f>
        <v/>
      </c>
      <c r="BB125" s="34">
        <f>IF(AND(G125=1,L125=0),F125,"")</f>
        <v>9.3</v>
      </c>
      <c r="BC125" s="33">
        <f>IF(E125=1,IF(Orders!R122&gt;3,1,0),"")</f>
        <v>1</v>
      </c>
      <c r="BD125" s="33">
        <f>IF(E125=1,IF(Orders!R122&gt;7,1,0),"")</f>
        <v>1</v>
      </c>
      <c r="BE125" s="32" t="str">
        <f>IF(E125=1,IF(Orders!L122&lt;=1.5,"Up to 1.5 km",IF(Orders!L122&lt;=3,"1.5–3 km","Over 3 km")),"")</f>
        <v>Up to 1.5 km</v>
      </c>
      <c r="BF125" s="33">
        <f>IF(E125=1,IF(ABS((Orders!G122-Orders!F122)*1440-Orders!R122)&lt;0.06,1,0),"")</f>
        <v>1</v>
      </c>
      <c r="BG125" s="33">
        <f>IF(ABS((Orders!F122-Orders!E122)*1440-Orders!P122)&lt;0.06,1,0)</f>
        <v>1</v>
      </c>
      <c r="BH125" s="33">
        <f>IF(E125=1,IF(IF(Orders!S122,1,0)=1-G125,1,0),"")</f>
        <v>1</v>
      </c>
      <c r="BI125" s="32" t="str">
        <f>INDEX(Stores!$B$2:$B$21,MATCH(B125,Stores!$A$2:$A$21,0))</f>
        <v>Mumbai</v>
      </c>
    </row>
    <row r="126">
      <c r="A126" s="32" t="str">
        <f>Orders!A123</f>
        <v>O00122</v>
      </c>
      <c r="B126" s="32" t="str">
        <f>Orders!C123</f>
        <v>S007</v>
      </c>
      <c r="C126" s="32" t="str">
        <f>Orders!B123</f>
        <v>C0125</v>
      </c>
      <c r="D126" s="32" t="str">
        <f>Orders!H123</f>
        <v>Delivered</v>
      </c>
      <c r="E126" s="33">
        <f>IF(Orders!H123="Delivered",1,0)</f>
        <v>1</v>
      </c>
      <c r="F126" s="34">
        <f>IF(E126=1,Orders!R123,"")</f>
        <v>2.5</v>
      </c>
      <c r="G126" s="33">
        <f>IF(E126=1,IF(Orders!R123&gt;0,1,0),"")</f>
        <v>1</v>
      </c>
      <c r="H126" s="33">
        <f>IF(E126=1,IF(Orders!R123&gt;5,1,0),"")</f>
        <v>0</v>
      </c>
      <c r="I126" s="32" t="str">
        <f>IF(E126=1,"",IF(OR(Orders!T123="Rider unavailable",Orders!T123="Item unavailable"),"Company-caused","Unresolved"))</f>
        <v/>
      </c>
      <c r="J126" s="33">
        <f>IF(OR(E126=1,I126="Company-caused"),1,0)</f>
        <v>1</v>
      </c>
      <c r="K126" s="32" t="str">
        <f>IF(E126=0,IF(I126="Company-caused",IF(Orders!T123="Rider unavailable","C1 Rider unavailable","C2 Item unavailable"),"Outside root: unresolved"),IF(G126=0,"A On time",IF(H126=1,IF(L126=1,"B2a Severe, peak","B2b Severe, off-peak"),IF(L126=1,"B1a Slight, peak","B1b Slight, off-peak"))))</f>
        <v>B1b Slight, off-peak</v>
      </c>
      <c r="L126" s="33">
        <f>IF(AND(Orders!U123&gt;=19,Orders!U123&lt;22),1,0)</f>
        <v>0</v>
      </c>
      <c r="M126" s="33">
        <f>IF(L126=IF(Orders!V123,1,0),1,0)</f>
        <v>1</v>
      </c>
      <c r="N126" s="32" t="str">
        <f>IF(Orders!W123="","None",Orders!W123)</f>
        <v>None</v>
      </c>
      <c r="O126" s="35">
        <f>INT(Orders!E123)</f>
        <v>46269.0</v>
      </c>
      <c r="P126" s="33">
        <f>Orders!U123</f>
        <v>14</v>
      </c>
      <c r="Q126" s="33">
        <f>COUNTIFS(Demand!$A$2:$A$4481,B126,Demand!$B$2:$B$4481,O126,Demand!$C$2:$C$4481,P126)</f>
        <v>1</v>
      </c>
      <c r="R126" s="33">
        <f>IF(Q126=1,SUMIFS(Demand!$E$2:$E$4481,Demand!$A$2:$A$4481,B126,Demand!$B$2:$B$4481,O126,Demand!$C$2:$C$4481,P126),"")</f>
        <v>30</v>
      </c>
      <c r="S126" s="33">
        <f>INDEX(Stores!$G$2:$G$21,MATCH(B126,Stores!$A$2:$A$21,0))</f>
        <v>37</v>
      </c>
      <c r="T126" s="34">
        <f>IF(R126="","",R126/S126)</f>
        <v>0.810810810810811</v>
      </c>
      <c r="U126" s="34">
        <f>IF(E126=1,T126,"")</f>
        <v>0.810810810810811</v>
      </c>
      <c r="V126" s="34">
        <f>IF(AND(E126=1,L126=0),T126,"")</f>
        <v>0.810810810810811</v>
      </c>
      <c r="W126" s="33">
        <f>IF(U126="","",IF(U126&lt;=Breakdowns!$C$5,1,IF(U126&lt;=Breakdowns!$C$6,2,IF(U126&lt;=Breakdowns!$C$7,3,4))))</f>
        <v>2</v>
      </c>
      <c r="X126" s="33">
        <f>IF(V126="","",IF(V126&lt;=Breakdowns!$D$5,1,IF(V126&lt;=Breakdowns!$D$6,2,IF(V126&lt;=Breakdowns!$D$7,3,4))))</f>
        <v>2</v>
      </c>
      <c r="Y126" s="34">
        <f>INDEX(Stores!$F$2:$F$21,MATCH(B126,Stores!$A$2:$A$21,0))</f>
        <v>4.05</v>
      </c>
      <c r="Z126" s="33">
        <f>IF(Y126&gt;Store_Summary!$M$2,1,0)</f>
        <v>0</v>
      </c>
      <c r="AA126" s="33">
        <f>INDEX(Stores!$C$2:$C$21,MATCH(B126,Stores!$A$2:$A$21,0))</f>
        <v>661</v>
      </c>
      <c r="AB126" s="33">
        <f>IF(AA126&lt;180,1,0)</f>
        <v>0</v>
      </c>
      <c r="AC126" s="32" t="str">
        <f>IF(Orders!D123="","",INDEX(Riders!$C$2:$C$81,MATCH(Orders!D123,Riders!$A$2:$A$81,0)))</f>
        <v>EV scooter</v>
      </c>
      <c r="AD126" s="33">
        <f>IF(Orders!D123="","",INDEX(Riders!$D$2:$D$81,MATCH(Orders!D123,Riders!$A$2:$A$81,0)))</f>
        <v>37</v>
      </c>
      <c r="AE126" s="33">
        <f>IF(Orders!D123="","",IF(INDEX(Riders!$B$2:$B$81,MATCH(Orders!D123,Riders!$A$2:$A$81,0))=B126,1,0))</f>
        <v>0</v>
      </c>
      <c r="AF126" s="34">
        <f>IF(E126=1,Orders!L123,"")</f>
        <v>1.2</v>
      </c>
      <c r="AG126" s="34">
        <f>IF(E126=1,Orders!P123,"")</f>
        <v>9.9</v>
      </c>
      <c r="AH126" s="34">
        <f>IF(E126=1,Orders!Q123,"")</f>
        <v>12.4</v>
      </c>
      <c r="AI126" s="34">
        <f>IF(E126=1,Orders!M123,"")</f>
        <v>5.6</v>
      </c>
      <c r="AJ126" s="34">
        <f>IF(E126=1,Orders!N123,"")</f>
        <v>4</v>
      </c>
      <c r="AK126" s="34">
        <f>IF(E126=1,Orders!O123,"")</f>
        <v>2.9</v>
      </c>
      <c r="AL126" s="33">
        <f>IF(E126=1,IF(ROUND(ABS(AI126+AJ126+AK126-AH126),6)&lt;=0.1,1,0),"")</f>
        <v>1</v>
      </c>
      <c r="AM126" s="36">
        <f>IF(E126=1,AI126/AH126,"")</f>
        <v>0.451612903225806</v>
      </c>
      <c r="AN126" s="36">
        <f>IF(E126=1,AJ126/AH126,"")</f>
        <v>0.32258064516129</v>
      </c>
      <c r="AO126" s="36">
        <f>IF(E126=1,AK126/AH126,"")</f>
        <v>0.233870967741935</v>
      </c>
      <c r="AP126" s="34">
        <f>IF(E126=1,Orders!Y123,"")</f>
        <v>0.17</v>
      </c>
      <c r="AQ126" s="33">
        <f>IF(Orders!X123,1,0)</f>
        <v>0</v>
      </c>
      <c r="AR126" s="34" t="str">
        <f>IF(AND(E126=1,L126=1),AJ126,"")</f>
        <v/>
      </c>
      <c r="AS126" s="34">
        <f>IF(AND(E126=1,L126=0),AJ126,"")</f>
        <v>4</v>
      </c>
      <c r="AT126" s="34" t="str">
        <f>IF(AND(E126=1,L126=1),AI126,"")</f>
        <v/>
      </c>
      <c r="AU126" s="34">
        <f>IF(AND(E126=1,L126=0),AI126,"")</f>
        <v>5.6</v>
      </c>
      <c r="AV126" s="34" t="str">
        <f>IF(AND(E126=1,L126=1),AG126,"")</f>
        <v/>
      </c>
      <c r="AW126" s="34">
        <f>IF(AND(E126=1,L126=0),AG126,"")</f>
        <v>9.9</v>
      </c>
      <c r="AX126" s="34" t="str">
        <f>IF(AND(E126=1,L126=1),AH126,"")</f>
        <v/>
      </c>
      <c r="AY126" s="34">
        <f>IF(AND(E126=1,L126=0),AH126,"")</f>
        <v>12.4</v>
      </c>
      <c r="AZ126" s="34">
        <f>IF(G126=1,F126,"")</f>
        <v>2.5</v>
      </c>
      <c r="BA126" s="34" t="str">
        <f>IF(AND(G126=1,L126=1),F126,"")</f>
        <v/>
      </c>
      <c r="BB126" s="34">
        <f>IF(AND(G126=1,L126=0),F126,"")</f>
        <v>2.5</v>
      </c>
      <c r="BC126" s="33">
        <f>IF(E126=1,IF(Orders!R123&gt;3,1,0),"")</f>
        <v>0</v>
      </c>
      <c r="BD126" s="33">
        <f>IF(E126=1,IF(Orders!R123&gt;7,1,0),"")</f>
        <v>0</v>
      </c>
      <c r="BE126" s="32" t="str">
        <f>IF(E126=1,IF(Orders!L123&lt;=1.5,"Up to 1.5 km",IF(Orders!L123&lt;=3,"1.5–3 km","Over 3 km")),"")</f>
        <v>Up to 1.5 km</v>
      </c>
      <c r="BF126" s="33">
        <f>IF(E126=1,IF(ABS((Orders!G123-Orders!F123)*1440-Orders!R123)&lt;0.06,1,0),"")</f>
        <v>1</v>
      </c>
      <c r="BG126" s="33">
        <f>IF(ABS((Orders!F123-Orders!E123)*1440-Orders!P123)&lt;0.06,1,0)</f>
        <v>1</v>
      </c>
      <c r="BH126" s="33">
        <f>IF(E126=1,IF(IF(Orders!S123,1,0)=1-G126,1,0),"")</f>
        <v>1</v>
      </c>
      <c r="BI126" s="32" t="str">
        <f>INDEX(Stores!$B$2:$B$21,MATCH(B126,Stores!$A$2:$A$21,0))</f>
        <v>Hyderabad</v>
      </c>
    </row>
    <row r="127">
      <c r="A127" s="32" t="str">
        <f>Orders!A124</f>
        <v>O00123</v>
      </c>
      <c r="B127" s="32" t="str">
        <f>Orders!C124</f>
        <v>S007</v>
      </c>
      <c r="C127" s="32" t="str">
        <f>Orders!B124</f>
        <v>C0043</v>
      </c>
      <c r="D127" s="32" t="str">
        <f>Orders!H124</f>
        <v>Delivered</v>
      </c>
      <c r="E127" s="33">
        <f>IF(Orders!H124="Delivered",1,0)</f>
        <v>1</v>
      </c>
      <c r="F127" s="34">
        <f>IF(E127=1,Orders!R124,"")</f>
        <v>3.9</v>
      </c>
      <c r="G127" s="33">
        <f>IF(E127=1,IF(Orders!R124&gt;0,1,0),"")</f>
        <v>1</v>
      </c>
      <c r="H127" s="33">
        <f>IF(E127=1,IF(Orders!R124&gt;5,1,0),"")</f>
        <v>0</v>
      </c>
      <c r="I127" s="32" t="str">
        <f>IF(E127=1,"",IF(OR(Orders!T124="Rider unavailable",Orders!T124="Item unavailable"),"Company-caused","Unresolved"))</f>
        <v/>
      </c>
      <c r="J127" s="33">
        <f>IF(OR(E127=1,I127="Company-caused"),1,0)</f>
        <v>1</v>
      </c>
      <c r="K127" s="32" t="str">
        <f>IF(E127=0,IF(I127="Company-caused",IF(Orders!T124="Rider unavailable","C1 Rider unavailable","C2 Item unavailable"),"Outside root: unresolved"),IF(G127=0,"A On time",IF(H127=1,IF(L127=1,"B2a Severe, peak","B2b Severe, off-peak"),IF(L127=1,"B1a Slight, peak","B1b Slight, off-peak"))))</f>
        <v>B1a Slight, peak</v>
      </c>
      <c r="L127" s="33">
        <f>IF(AND(Orders!U124&gt;=19,Orders!U124&lt;22),1,0)</f>
        <v>1</v>
      </c>
      <c r="M127" s="33">
        <f>IF(L127=IF(Orders!V124,1,0),1,0)</f>
        <v>1</v>
      </c>
      <c r="N127" s="32" t="str">
        <f>IF(Orders!W124="","None",Orders!W124)</f>
        <v>None</v>
      </c>
      <c r="O127" s="35">
        <f>INT(Orders!E124)</f>
        <v>46270.0</v>
      </c>
      <c r="P127" s="33">
        <f>Orders!U124</f>
        <v>20</v>
      </c>
      <c r="Q127" s="33">
        <f>COUNTIFS(Demand!$A$2:$A$4481,B127,Demand!$B$2:$B$4481,O127,Demand!$C$2:$C$4481,P127)</f>
        <v>1</v>
      </c>
      <c r="R127" s="33">
        <f>IF(Q127=1,SUMIFS(Demand!$E$2:$E$4481,Demand!$A$2:$A$4481,B127,Demand!$B$2:$B$4481,O127,Demand!$C$2:$C$4481,P127),"")</f>
        <v>45</v>
      </c>
      <c r="S127" s="33">
        <f>INDEX(Stores!$G$2:$G$21,MATCH(B127,Stores!$A$2:$A$21,0))</f>
        <v>37</v>
      </c>
      <c r="T127" s="34">
        <f>IF(R127="","",R127/S127)</f>
        <v>1.21621621621622</v>
      </c>
      <c r="U127" s="34">
        <f>IF(E127=1,T127,"")</f>
        <v>1.21621621621622</v>
      </c>
      <c r="V127" s="34" t="str">
        <f>IF(AND(E127=1,L127=0),T127,"")</f>
        <v/>
      </c>
      <c r="W127" s="33">
        <f>IF(U127="","",IF(U127&lt;=Breakdowns!$C$5,1,IF(U127&lt;=Breakdowns!$C$6,2,IF(U127&lt;=Breakdowns!$C$7,3,4))))</f>
        <v>3</v>
      </c>
      <c r="X127" s="33" t="str">
        <f>IF(V127="","",IF(V127&lt;=Breakdowns!$D$5,1,IF(V127&lt;=Breakdowns!$D$6,2,IF(V127&lt;=Breakdowns!$D$7,3,4))))</f>
        <v/>
      </c>
      <c r="Y127" s="34">
        <f>INDEX(Stores!$F$2:$F$21,MATCH(B127,Stores!$A$2:$A$21,0))</f>
        <v>4.05</v>
      </c>
      <c r="Z127" s="33">
        <f>IF(Y127&gt;Store_Summary!$M$2,1,0)</f>
        <v>0</v>
      </c>
      <c r="AA127" s="33">
        <f>INDEX(Stores!$C$2:$C$21,MATCH(B127,Stores!$A$2:$A$21,0))</f>
        <v>661</v>
      </c>
      <c r="AB127" s="33">
        <f>IF(AA127&lt;180,1,0)</f>
        <v>0</v>
      </c>
      <c r="AC127" s="32" t="str">
        <f>IF(Orders!D124="","",INDEX(Riders!$C$2:$C$81,MATCH(Orders!D124,Riders!$A$2:$A$81,0)))</f>
        <v>EV scooter</v>
      </c>
      <c r="AD127" s="33">
        <f>IF(Orders!D124="","",INDEX(Riders!$D$2:$D$81,MATCH(Orders!D124,Riders!$A$2:$A$81,0)))</f>
        <v>46</v>
      </c>
      <c r="AE127" s="33">
        <f>IF(Orders!D124="","",IF(INDEX(Riders!$B$2:$B$81,MATCH(Orders!D124,Riders!$A$2:$A$81,0))=B127,1,0))</f>
        <v>1</v>
      </c>
      <c r="AF127" s="34">
        <f>IF(E127=1,Orders!L124,"")</f>
        <v>1.65</v>
      </c>
      <c r="AG127" s="34">
        <f>IF(E127=1,Orders!P124,"")</f>
        <v>9.8</v>
      </c>
      <c r="AH127" s="34">
        <f>IF(E127=1,Orders!Q124,"")</f>
        <v>13.7</v>
      </c>
      <c r="AI127" s="34">
        <f>IF(E127=1,Orders!M124,"")</f>
        <v>4.1</v>
      </c>
      <c r="AJ127" s="34">
        <f>IF(E127=1,Orders!N124,"")</f>
        <v>4.6</v>
      </c>
      <c r="AK127" s="34">
        <f>IF(E127=1,Orders!O124,"")</f>
        <v>5</v>
      </c>
      <c r="AL127" s="33">
        <f>IF(E127=1,IF(ROUND(ABS(AI127+AJ127+AK127-AH127),6)&lt;=0.1,1,0),"")</f>
        <v>1</v>
      </c>
      <c r="AM127" s="36">
        <f>IF(E127=1,AI127/AH127,"")</f>
        <v>0.299270072992701</v>
      </c>
      <c r="AN127" s="36">
        <f>IF(E127=1,AJ127/AH127,"")</f>
        <v>0.335766423357664</v>
      </c>
      <c r="AO127" s="36">
        <f>IF(E127=1,AK127/AH127,"")</f>
        <v>0.364963503649635</v>
      </c>
      <c r="AP127" s="34">
        <f>IF(E127=1,Orders!Y124,"")</f>
        <v>0.5</v>
      </c>
      <c r="AQ127" s="33">
        <f>IF(Orders!X124,1,0)</f>
        <v>0</v>
      </c>
      <c r="AR127" s="34">
        <f>IF(AND(E127=1,L127=1),AJ127,"")</f>
        <v>4.6</v>
      </c>
      <c r="AS127" s="34" t="str">
        <f>IF(AND(E127=1,L127=0),AJ127,"")</f>
        <v/>
      </c>
      <c r="AT127" s="34">
        <f>IF(AND(E127=1,L127=1),AI127,"")</f>
        <v>4.1</v>
      </c>
      <c r="AU127" s="34" t="str">
        <f>IF(AND(E127=1,L127=0),AI127,"")</f>
        <v/>
      </c>
      <c r="AV127" s="34">
        <f>IF(AND(E127=1,L127=1),AG127,"")</f>
        <v>9.8</v>
      </c>
      <c r="AW127" s="34" t="str">
        <f>IF(AND(E127=1,L127=0),AG127,"")</f>
        <v/>
      </c>
      <c r="AX127" s="34">
        <f>IF(AND(E127=1,L127=1),AH127,"")</f>
        <v>13.7</v>
      </c>
      <c r="AY127" s="34" t="str">
        <f>IF(AND(E127=1,L127=0),AH127,"")</f>
        <v/>
      </c>
      <c r="AZ127" s="34">
        <f>IF(G127=1,F127,"")</f>
        <v>3.9</v>
      </c>
      <c r="BA127" s="34">
        <f>IF(AND(G127=1,L127=1),F127,"")</f>
        <v>3.9</v>
      </c>
      <c r="BB127" s="34" t="str">
        <f>IF(AND(G127=1,L127=0),F127,"")</f>
        <v/>
      </c>
      <c r="BC127" s="33">
        <f>IF(E127=1,IF(Orders!R124&gt;3,1,0),"")</f>
        <v>1</v>
      </c>
      <c r="BD127" s="33">
        <f>IF(E127=1,IF(Orders!R124&gt;7,1,0),"")</f>
        <v>0</v>
      </c>
      <c r="BE127" s="32" t="str">
        <f>IF(E127=1,IF(Orders!L124&lt;=1.5,"Up to 1.5 km",IF(Orders!L124&lt;=3,"1.5–3 km","Over 3 km")),"")</f>
        <v>1.5–3 km</v>
      </c>
      <c r="BF127" s="33">
        <f>IF(E127=1,IF(ABS((Orders!G124-Orders!F124)*1440-Orders!R124)&lt;0.06,1,0),"")</f>
        <v>1</v>
      </c>
      <c r="BG127" s="33">
        <f>IF(ABS((Orders!F124-Orders!E124)*1440-Orders!P124)&lt;0.06,1,0)</f>
        <v>1</v>
      </c>
      <c r="BH127" s="33">
        <f>IF(E127=1,IF(IF(Orders!S124,1,0)=1-G127,1,0),"")</f>
        <v>1</v>
      </c>
      <c r="BI127" s="32" t="str">
        <f>INDEX(Stores!$B$2:$B$21,MATCH(B127,Stores!$A$2:$A$21,0))</f>
        <v>Hyderabad</v>
      </c>
    </row>
    <row r="128">
      <c r="A128" s="32" t="str">
        <f>Orders!A125</f>
        <v>O00124</v>
      </c>
      <c r="B128" s="32" t="str">
        <f>Orders!C125</f>
        <v>S002</v>
      </c>
      <c r="C128" s="32" t="str">
        <f>Orders!B125</f>
        <v>C0010</v>
      </c>
      <c r="D128" s="32" t="str">
        <f>Orders!H125</f>
        <v>Delivered</v>
      </c>
      <c r="E128" s="33">
        <f>IF(Orders!H125="Delivered",1,0)</f>
        <v>1</v>
      </c>
      <c r="F128" s="34">
        <f>IF(E128=1,Orders!R125,"")</f>
        <v>-1.1</v>
      </c>
      <c r="G128" s="33">
        <f>IF(E128=1,IF(Orders!R125&gt;0,1,0),"")</f>
        <v>0</v>
      </c>
      <c r="H128" s="33">
        <f>IF(E128=1,IF(Orders!R125&gt;5,1,0),"")</f>
        <v>0</v>
      </c>
      <c r="I128" s="32" t="str">
        <f>IF(E128=1,"",IF(OR(Orders!T125="Rider unavailable",Orders!T125="Item unavailable"),"Company-caused","Unresolved"))</f>
        <v/>
      </c>
      <c r="J128" s="33">
        <f>IF(OR(E128=1,I128="Company-caused"),1,0)</f>
        <v>1</v>
      </c>
      <c r="K128" s="32" t="str">
        <f>IF(E128=0,IF(I128="Company-caused",IF(Orders!T125="Rider unavailable","C1 Rider unavailable","C2 Item unavailable"),"Outside root: unresolved"),IF(G128=0,"A On time",IF(H128=1,IF(L128=1,"B2a Severe, peak","B2b Severe, off-peak"),IF(L128=1,"B1a Slight, peak","B1b Slight, off-peak"))))</f>
        <v>A On time</v>
      </c>
      <c r="L128" s="33">
        <f>IF(AND(Orders!U125&gt;=19,Orders!U125&lt;22),1,0)</f>
        <v>0</v>
      </c>
      <c r="M128" s="33">
        <f>IF(L128=IF(Orders!V125,1,0),1,0)</f>
        <v>1</v>
      </c>
      <c r="N128" s="32" t="str">
        <f>IF(Orders!W125="","None",Orders!W125)</f>
        <v>Light</v>
      </c>
      <c r="O128" s="35">
        <f>INT(Orders!E125)</f>
        <v>46274.0</v>
      </c>
      <c r="P128" s="33">
        <f>Orders!U125</f>
        <v>17</v>
      </c>
      <c r="Q128" s="33">
        <f>COUNTIFS(Demand!$A$2:$A$4481,B128,Demand!$B$2:$B$4481,O128,Demand!$C$2:$C$4481,P128)</f>
        <v>1</v>
      </c>
      <c r="R128" s="33">
        <f>IF(Q128=1,SUMIFS(Demand!$E$2:$E$4481,Demand!$A$2:$A$4481,B128,Demand!$B$2:$B$4481,O128,Demand!$C$2:$C$4481,P128),"")</f>
        <v>33</v>
      </c>
      <c r="S128" s="33">
        <f>INDEX(Stores!$G$2:$G$21,MATCH(B128,Stores!$A$2:$A$21,0))</f>
        <v>33</v>
      </c>
      <c r="T128" s="34">
        <f>IF(R128="","",R128/S128)</f>
        <v>1</v>
      </c>
      <c r="U128" s="34">
        <f>IF(E128=1,T128,"")</f>
        <v>1</v>
      </c>
      <c r="V128" s="34">
        <f>IF(AND(E128=1,L128=0),T128,"")</f>
        <v>1</v>
      </c>
      <c r="W128" s="33">
        <f>IF(U128="","",IF(U128&lt;=Breakdowns!$C$5,1,IF(U128&lt;=Breakdowns!$C$6,2,IF(U128&lt;=Breakdowns!$C$7,3,4))))</f>
        <v>2</v>
      </c>
      <c r="X128" s="33">
        <f>IF(V128="","",IF(V128&lt;=Breakdowns!$D$5,1,IF(V128&lt;=Breakdowns!$D$6,2,IF(V128&lt;=Breakdowns!$D$7,3,4))))</f>
        <v>3</v>
      </c>
      <c r="Y128" s="34">
        <f>INDEX(Stores!$F$2:$F$21,MATCH(B128,Stores!$A$2:$A$21,0))</f>
        <v>2.39</v>
      </c>
      <c r="Z128" s="33">
        <f>IF(Y128&gt;Store_Summary!$M$2,1,0)</f>
        <v>0</v>
      </c>
      <c r="AA128" s="33">
        <f>INDEX(Stores!$C$2:$C$21,MATCH(B128,Stores!$A$2:$A$21,0))</f>
        <v>470</v>
      </c>
      <c r="AB128" s="33">
        <f>IF(AA128&lt;180,1,0)</f>
        <v>0</v>
      </c>
      <c r="AC128" s="32" t="str">
        <f>IF(Orders!D125="","",INDEX(Riders!$C$2:$C$81,MATCH(Orders!D125,Riders!$A$2:$A$81,0)))</f>
        <v>Petrol scooter</v>
      </c>
      <c r="AD128" s="33">
        <f>IF(Orders!D125="","",INDEX(Riders!$D$2:$D$81,MATCH(Orders!D125,Riders!$A$2:$A$81,0)))</f>
        <v>15</v>
      </c>
      <c r="AE128" s="33">
        <f>IF(Orders!D125="","",IF(INDEX(Riders!$B$2:$B$81,MATCH(Orders!D125,Riders!$A$2:$A$81,0))=B128,1,0))</f>
        <v>0</v>
      </c>
      <c r="AF128" s="34">
        <f>IF(E128=1,Orders!L125,"")</f>
        <v>1.67</v>
      </c>
      <c r="AG128" s="34">
        <f>IF(E128=1,Orders!P125,"")</f>
        <v>11.5</v>
      </c>
      <c r="AH128" s="34">
        <f>IF(E128=1,Orders!Q125,"")</f>
        <v>10.4</v>
      </c>
      <c r="AI128" s="34">
        <f>IF(E128=1,Orders!M125,"")</f>
        <v>2.4</v>
      </c>
      <c r="AJ128" s="34">
        <f>IF(E128=1,Orders!N125,"")</f>
        <v>3.5</v>
      </c>
      <c r="AK128" s="34">
        <f>IF(E128=1,Orders!O125,"")</f>
        <v>4.5</v>
      </c>
      <c r="AL128" s="33">
        <f>IF(E128=1,IF(ROUND(ABS(AI128+AJ128+AK128-AH128),6)&lt;=0.1,1,0),"")</f>
        <v>1</v>
      </c>
      <c r="AM128" s="36">
        <f>IF(E128=1,AI128/AH128,"")</f>
        <v>0.230769230769231</v>
      </c>
      <c r="AN128" s="36">
        <f>IF(E128=1,AJ128/AH128,"")</f>
        <v>0.336538461538462</v>
      </c>
      <c r="AO128" s="36">
        <f>IF(E128=1,AK128/AH128,"")</f>
        <v>0.432692307692308</v>
      </c>
      <c r="AP128" s="34">
        <f>IF(E128=1,Orders!Y125,"")</f>
        <v>0.42</v>
      </c>
      <c r="AQ128" s="33">
        <f>IF(Orders!X125,1,0)</f>
        <v>0</v>
      </c>
      <c r="AR128" s="34" t="str">
        <f>IF(AND(E128=1,L128=1),AJ128,"")</f>
        <v/>
      </c>
      <c r="AS128" s="34">
        <f>IF(AND(E128=1,L128=0),AJ128,"")</f>
        <v>3.5</v>
      </c>
      <c r="AT128" s="34" t="str">
        <f>IF(AND(E128=1,L128=1),AI128,"")</f>
        <v/>
      </c>
      <c r="AU128" s="34">
        <f>IF(AND(E128=1,L128=0),AI128,"")</f>
        <v>2.4</v>
      </c>
      <c r="AV128" s="34" t="str">
        <f>IF(AND(E128=1,L128=1),AG128,"")</f>
        <v/>
      </c>
      <c r="AW128" s="34">
        <f>IF(AND(E128=1,L128=0),AG128,"")</f>
        <v>11.5</v>
      </c>
      <c r="AX128" s="34" t="str">
        <f>IF(AND(E128=1,L128=1),AH128,"")</f>
        <v/>
      </c>
      <c r="AY128" s="34">
        <f>IF(AND(E128=1,L128=0),AH128,"")</f>
        <v>10.4</v>
      </c>
      <c r="AZ128" s="34" t="str">
        <f>IF(G128=1,F128,"")</f>
        <v/>
      </c>
      <c r="BA128" s="34" t="str">
        <f>IF(AND(G128=1,L128=1),F128,"")</f>
        <v/>
      </c>
      <c r="BB128" s="34" t="str">
        <f>IF(AND(G128=1,L128=0),F128,"")</f>
        <v/>
      </c>
      <c r="BC128" s="33">
        <f>IF(E128=1,IF(Orders!R125&gt;3,1,0),"")</f>
        <v>0</v>
      </c>
      <c r="BD128" s="33">
        <f>IF(E128=1,IF(Orders!R125&gt;7,1,0),"")</f>
        <v>0</v>
      </c>
      <c r="BE128" s="32" t="str">
        <f>IF(E128=1,IF(Orders!L125&lt;=1.5,"Up to 1.5 km",IF(Orders!L125&lt;=3,"1.5–3 km","Over 3 km")),"")</f>
        <v>1.5–3 km</v>
      </c>
      <c r="BF128" s="33">
        <f>IF(E128=1,IF(ABS((Orders!G125-Orders!F125)*1440-Orders!R125)&lt;0.06,1,0),"")</f>
        <v>1</v>
      </c>
      <c r="BG128" s="33">
        <f>IF(ABS((Orders!F125-Orders!E125)*1440-Orders!P125)&lt;0.06,1,0)</f>
        <v>1</v>
      </c>
      <c r="BH128" s="33">
        <f>IF(E128=1,IF(IF(Orders!S125,1,0)=1-G128,1,0),"")</f>
        <v>1</v>
      </c>
      <c r="BI128" s="32" t="str">
        <f>INDEX(Stores!$B$2:$B$21,MATCH(B128,Stores!$A$2:$A$21,0))</f>
        <v>Hyderabad</v>
      </c>
    </row>
    <row r="129">
      <c r="A129" s="32" t="str">
        <f>Orders!A126</f>
        <v>O00125</v>
      </c>
      <c r="B129" s="32" t="str">
        <f>Orders!C126</f>
        <v>S007</v>
      </c>
      <c r="C129" s="32" t="str">
        <f>Orders!B126</f>
        <v>C0105</v>
      </c>
      <c r="D129" s="32" t="str">
        <f>Orders!H126</f>
        <v>Delivered</v>
      </c>
      <c r="E129" s="33">
        <f>IF(Orders!H126="Delivered",1,0)</f>
        <v>1</v>
      </c>
      <c r="F129" s="34">
        <f>IF(E129=1,Orders!R126,"")</f>
        <v>-2.9</v>
      </c>
      <c r="G129" s="33">
        <f>IF(E129=1,IF(Orders!R126&gt;0,1,0),"")</f>
        <v>0</v>
      </c>
      <c r="H129" s="33">
        <f>IF(E129=1,IF(Orders!R126&gt;5,1,0),"")</f>
        <v>0</v>
      </c>
      <c r="I129" s="32" t="str">
        <f>IF(E129=1,"",IF(OR(Orders!T126="Rider unavailable",Orders!T126="Item unavailable"),"Company-caused","Unresolved"))</f>
        <v/>
      </c>
      <c r="J129" s="33">
        <f>IF(OR(E129=1,I129="Company-caused"),1,0)</f>
        <v>1</v>
      </c>
      <c r="K129" s="32" t="str">
        <f>IF(E129=0,IF(I129="Company-caused",IF(Orders!T126="Rider unavailable","C1 Rider unavailable","C2 Item unavailable"),"Outside root: unresolved"),IF(G129=0,"A On time",IF(H129=1,IF(L129=1,"B2a Severe, peak","B2b Severe, off-peak"),IF(L129=1,"B1a Slight, peak","B1b Slight, off-peak"))))</f>
        <v>A On time</v>
      </c>
      <c r="L129" s="33">
        <f>IF(AND(Orders!U126&gt;=19,Orders!U126&lt;22),1,0)</f>
        <v>0</v>
      </c>
      <c r="M129" s="33">
        <f>IF(L129=IF(Orders!V126,1,0),1,0)</f>
        <v>1</v>
      </c>
      <c r="N129" s="32" t="str">
        <f>IF(Orders!W126="","None",Orders!W126)</f>
        <v>None</v>
      </c>
      <c r="O129" s="35">
        <f>INT(Orders!E126)</f>
        <v>46268.0</v>
      </c>
      <c r="P129" s="33">
        <f>Orders!U126</f>
        <v>22</v>
      </c>
      <c r="Q129" s="33">
        <f>COUNTIFS(Demand!$A$2:$A$4481,B129,Demand!$B$2:$B$4481,O129,Demand!$C$2:$C$4481,P129)</f>
        <v>1</v>
      </c>
      <c r="R129" s="33">
        <f>IF(Q129=1,SUMIFS(Demand!$E$2:$E$4481,Demand!$A$2:$A$4481,B129,Demand!$B$2:$B$4481,O129,Demand!$C$2:$C$4481,P129),"")</f>
        <v>42</v>
      </c>
      <c r="S129" s="33">
        <f>INDEX(Stores!$G$2:$G$21,MATCH(B129,Stores!$A$2:$A$21,0))</f>
        <v>37</v>
      </c>
      <c r="T129" s="34">
        <f>IF(R129="","",R129/S129)</f>
        <v>1.13513513513514</v>
      </c>
      <c r="U129" s="34">
        <f>IF(E129=1,T129,"")</f>
        <v>1.13513513513514</v>
      </c>
      <c r="V129" s="34">
        <f>IF(AND(E129=1,L129=0),T129,"")</f>
        <v>1.13513513513514</v>
      </c>
      <c r="W129" s="33">
        <f>IF(U129="","",IF(U129&lt;=Breakdowns!$C$5,1,IF(U129&lt;=Breakdowns!$C$6,2,IF(U129&lt;=Breakdowns!$C$7,3,4))))</f>
        <v>3</v>
      </c>
      <c r="X129" s="33">
        <f>IF(V129="","",IF(V129&lt;=Breakdowns!$D$5,1,IF(V129&lt;=Breakdowns!$D$6,2,IF(V129&lt;=Breakdowns!$D$7,3,4))))</f>
        <v>4</v>
      </c>
      <c r="Y129" s="34">
        <f>INDEX(Stores!$F$2:$F$21,MATCH(B129,Stores!$A$2:$A$21,0))</f>
        <v>4.05</v>
      </c>
      <c r="Z129" s="33">
        <f>IF(Y129&gt;Store_Summary!$M$2,1,0)</f>
        <v>0</v>
      </c>
      <c r="AA129" s="33">
        <f>INDEX(Stores!$C$2:$C$21,MATCH(B129,Stores!$A$2:$A$21,0))</f>
        <v>661</v>
      </c>
      <c r="AB129" s="33">
        <f>IF(AA129&lt;180,1,0)</f>
        <v>0</v>
      </c>
      <c r="AC129" s="32" t="str">
        <f>IF(Orders!D126="","",INDEX(Riders!$C$2:$C$81,MATCH(Orders!D126,Riders!$A$2:$A$81,0)))</f>
        <v>EV scooter</v>
      </c>
      <c r="AD129" s="33">
        <f>IF(Orders!D126="","",INDEX(Riders!$D$2:$D$81,MATCH(Orders!D126,Riders!$A$2:$A$81,0)))</f>
        <v>46</v>
      </c>
      <c r="AE129" s="33">
        <f>IF(Orders!D126="","",IF(INDEX(Riders!$B$2:$B$81,MATCH(Orders!D126,Riders!$A$2:$A$81,0))=B129,1,0))</f>
        <v>0</v>
      </c>
      <c r="AF129" s="34">
        <f>IF(E129=1,Orders!L126,"")</f>
        <v>0.5</v>
      </c>
      <c r="AG129" s="34">
        <f>IF(E129=1,Orders!P126,"")</f>
        <v>10.8</v>
      </c>
      <c r="AH129" s="34">
        <f>IF(E129=1,Orders!Q126,"")</f>
        <v>7.9</v>
      </c>
      <c r="AI129" s="34">
        <f>IF(E129=1,Orders!M126,"")</f>
        <v>4.8</v>
      </c>
      <c r="AJ129" s="34">
        <f>IF(E129=1,Orders!N126,"")</f>
        <v>0.1</v>
      </c>
      <c r="AK129" s="34">
        <f>IF(E129=1,Orders!O126,"")</f>
        <v>3</v>
      </c>
      <c r="AL129" s="33">
        <f>IF(E129=1,IF(ROUND(ABS(AI129+AJ129+AK129-AH129),6)&lt;=0.1,1,0),"")</f>
        <v>1</v>
      </c>
      <c r="AM129" s="36">
        <f>IF(E129=1,AI129/AH129,"")</f>
        <v>0.607594936708861</v>
      </c>
      <c r="AN129" s="36">
        <f>IF(E129=1,AJ129/AH129,"")</f>
        <v>0.0126582278481013</v>
      </c>
      <c r="AO129" s="36">
        <f>IF(E129=1,AK129/AH129,"")</f>
        <v>0.379746835443038</v>
      </c>
      <c r="AP129" s="34">
        <f>IF(E129=1,Orders!Y126,"")</f>
        <v>0.63</v>
      </c>
      <c r="AQ129" s="33">
        <f>IF(Orders!X126,1,0)</f>
        <v>0</v>
      </c>
      <c r="AR129" s="34" t="str">
        <f>IF(AND(E129=1,L129=1),AJ129,"")</f>
        <v/>
      </c>
      <c r="AS129" s="34">
        <f>IF(AND(E129=1,L129=0),AJ129,"")</f>
        <v>0.1</v>
      </c>
      <c r="AT129" s="34" t="str">
        <f>IF(AND(E129=1,L129=1),AI129,"")</f>
        <v/>
      </c>
      <c r="AU129" s="34">
        <f>IF(AND(E129=1,L129=0),AI129,"")</f>
        <v>4.8</v>
      </c>
      <c r="AV129" s="34" t="str">
        <f>IF(AND(E129=1,L129=1),AG129,"")</f>
        <v/>
      </c>
      <c r="AW129" s="34">
        <f>IF(AND(E129=1,L129=0),AG129,"")</f>
        <v>10.8</v>
      </c>
      <c r="AX129" s="34" t="str">
        <f>IF(AND(E129=1,L129=1),AH129,"")</f>
        <v/>
      </c>
      <c r="AY129" s="34">
        <f>IF(AND(E129=1,L129=0),AH129,"")</f>
        <v>7.9</v>
      </c>
      <c r="AZ129" s="34" t="str">
        <f>IF(G129=1,F129,"")</f>
        <v/>
      </c>
      <c r="BA129" s="34" t="str">
        <f>IF(AND(G129=1,L129=1),F129,"")</f>
        <v/>
      </c>
      <c r="BB129" s="34" t="str">
        <f>IF(AND(G129=1,L129=0),F129,"")</f>
        <v/>
      </c>
      <c r="BC129" s="33">
        <f>IF(E129=1,IF(Orders!R126&gt;3,1,0),"")</f>
        <v>0</v>
      </c>
      <c r="BD129" s="33">
        <f>IF(E129=1,IF(Orders!R126&gt;7,1,0),"")</f>
        <v>0</v>
      </c>
      <c r="BE129" s="32" t="str">
        <f>IF(E129=1,IF(Orders!L126&lt;=1.5,"Up to 1.5 km",IF(Orders!L126&lt;=3,"1.5–3 km","Over 3 km")),"")</f>
        <v>Up to 1.5 km</v>
      </c>
      <c r="BF129" s="33">
        <f>IF(E129=1,IF(ABS((Orders!G126-Orders!F126)*1440-Orders!R126)&lt;0.06,1,0),"")</f>
        <v>1</v>
      </c>
      <c r="BG129" s="33">
        <f>IF(ABS((Orders!F126-Orders!E126)*1440-Orders!P126)&lt;0.06,1,0)</f>
        <v>1</v>
      </c>
      <c r="BH129" s="33">
        <f>IF(E129=1,IF(IF(Orders!S126,1,0)=1-G129,1,0),"")</f>
        <v>1</v>
      </c>
      <c r="BI129" s="32" t="str">
        <f>INDEX(Stores!$B$2:$B$21,MATCH(B129,Stores!$A$2:$A$21,0))</f>
        <v>Hyderabad</v>
      </c>
    </row>
    <row r="130">
      <c r="A130" s="32" t="str">
        <f>Orders!A127</f>
        <v>O00126</v>
      </c>
      <c r="B130" s="32" t="str">
        <f>Orders!C127</f>
        <v>S007</v>
      </c>
      <c r="C130" s="32" t="str">
        <f>Orders!B127</f>
        <v>C0017</v>
      </c>
      <c r="D130" s="32" t="str">
        <f>Orders!H127</f>
        <v>Delivered</v>
      </c>
      <c r="E130" s="33">
        <f>IF(Orders!H127="Delivered",1,0)</f>
        <v>1</v>
      </c>
      <c r="F130" s="34">
        <f>IF(E130=1,Orders!R127,"")</f>
        <v>-0.6</v>
      </c>
      <c r="G130" s="33">
        <f>IF(E130=1,IF(Orders!R127&gt;0,1,0),"")</f>
        <v>0</v>
      </c>
      <c r="H130" s="33">
        <f>IF(E130=1,IF(Orders!R127&gt;5,1,0),"")</f>
        <v>0</v>
      </c>
      <c r="I130" s="32" t="str">
        <f>IF(E130=1,"",IF(OR(Orders!T127="Rider unavailable",Orders!T127="Item unavailable"),"Company-caused","Unresolved"))</f>
        <v/>
      </c>
      <c r="J130" s="33">
        <f>IF(OR(E130=1,I130="Company-caused"),1,0)</f>
        <v>1</v>
      </c>
      <c r="K130" s="32" t="str">
        <f>IF(E130=0,IF(I130="Company-caused",IF(Orders!T127="Rider unavailable","C1 Rider unavailable","C2 Item unavailable"),"Outside root: unresolved"),IF(G130=0,"A On time",IF(H130=1,IF(L130=1,"B2a Severe, peak","B2b Severe, off-peak"),IF(L130=1,"B1a Slight, peak","B1b Slight, off-peak"))))</f>
        <v>A On time</v>
      </c>
      <c r="L130" s="33">
        <f>IF(AND(Orders!U127&gt;=19,Orders!U127&lt;22),1,0)</f>
        <v>0</v>
      </c>
      <c r="M130" s="33">
        <f>IF(L130=IF(Orders!V127,1,0),1,0)</f>
        <v>1</v>
      </c>
      <c r="N130" s="32" t="str">
        <f>IF(Orders!W127="","None",Orders!W127)</f>
        <v>None</v>
      </c>
      <c r="O130" s="35">
        <f>INT(Orders!E127)</f>
        <v>46279.0</v>
      </c>
      <c r="P130" s="33">
        <f>Orders!U127</f>
        <v>18</v>
      </c>
      <c r="Q130" s="33">
        <f>COUNTIFS(Demand!$A$2:$A$4481,B130,Demand!$B$2:$B$4481,O130,Demand!$C$2:$C$4481,P130)</f>
        <v>1</v>
      </c>
      <c r="R130" s="33">
        <f>IF(Q130=1,SUMIFS(Demand!$E$2:$E$4481,Demand!$A$2:$A$4481,B130,Demand!$B$2:$B$4481,O130,Demand!$C$2:$C$4481,P130),"")</f>
        <v>31</v>
      </c>
      <c r="S130" s="33">
        <f>INDEX(Stores!$G$2:$G$21,MATCH(B130,Stores!$A$2:$A$21,0))</f>
        <v>37</v>
      </c>
      <c r="T130" s="34">
        <f>IF(R130="","",R130/S130)</f>
        <v>0.837837837837838</v>
      </c>
      <c r="U130" s="34">
        <f>IF(E130=1,T130,"")</f>
        <v>0.837837837837838</v>
      </c>
      <c r="V130" s="34">
        <f>IF(AND(E130=1,L130=0),T130,"")</f>
        <v>0.837837837837838</v>
      </c>
      <c r="W130" s="33">
        <f>IF(U130="","",IF(U130&lt;=Breakdowns!$C$5,1,IF(U130&lt;=Breakdowns!$C$6,2,IF(U130&lt;=Breakdowns!$C$7,3,4))))</f>
        <v>2</v>
      </c>
      <c r="X130" s="33">
        <f>IF(V130="","",IF(V130&lt;=Breakdowns!$D$5,1,IF(V130&lt;=Breakdowns!$D$6,2,IF(V130&lt;=Breakdowns!$D$7,3,4))))</f>
        <v>2</v>
      </c>
      <c r="Y130" s="34">
        <f>INDEX(Stores!$F$2:$F$21,MATCH(B130,Stores!$A$2:$A$21,0))</f>
        <v>4.05</v>
      </c>
      <c r="Z130" s="33">
        <f>IF(Y130&gt;Store_Summary!$M$2,1,0)</f>
        <v>0</v>
      </c>
      <c r="AA130" s="33">
        <f>INDEX(Stores!$C$2:$C$21,MATCH(B130,Stores!$A$2:$A$21,0))</f>
        <v>661</v>
      </c>
      <c r="AB130" s="33">
        <f>IF(AA130&lt;180,1,0)</f>
        <v>0</v>
      </c>
      <c r="AC130" s="32" t="str">
        <f>IF(Orders!D127="","",INDEX(Riders!$C$2:$C$81,MATCH(Orders!D127,Riders!$A$2:$A$81,0)))</f>
        <v>Bicycle</v>
      </c>
      <c r="AD130" s="33">
        <f>IF(Orders!D127="","",INDEX(Riders!$D$2:$D$81,MATCH(Orders!D127,Riders!$A$2:$A$81,0)))</f>
        <v>40</v>
      </c>
      <c r="AE130" s="33">
        <f>IF(Orders!D127="","",IF(INDEX(Riders!$B$2:$B$81,MATCH(Orders!D127,Riders!$A$2:$A$81,0))=B130,1,0))</f>
        <v>0</v>
      </c>
      <c r="AF130" s="34">
        <f>IF(E130=1,Orders!L127,"")</f>
        <v>4.4</v>
      </c>
      <c r="AG130" s="34">
        <f>IF(E130=1,Orders!P127,"")</f>
        <v>11.8</v>
      </c>
      <c r="AH130" s="34">
        <f>IF(E130=1,Orders!Q127,"")</f>
        <v>11.2</v>
      </c>
      <c r="AI130" s="34">
        <f>IF(E130=1,Orders!M127,"")</f>
        <v>3.3</v>
      </c>
      <c r="AJ130" s="34">
        <f>IF(E130=1,Orders!N127,"")</f>
        <v>1.9</v>
      </c>
      <c r="AK130" s="34">
        <f>IF(E130=1,Orders!O127,"")</f>
        <v>6</v>
      </c>
      <c r="AL130" s="33">
        <f>IF(E130=1,IF(ROUND(ABS(AI130+AJ130+AK130-AH130),6)&lt;=0.1,1,0),"")</f>
        <v>1</v>
      </c>
      <c r="AM130" s="36">
        <f>IF(E130=1,AI130/AH130,"")</f>
        <v>0.294642857142857</v>
      </c>
      <c r="AN130" s="36">
        <f>IF(E130=1,AJ130/AH130,"")</f>
        <v>0.169642857142857</v>
      </c>
      <c r="AO130" s="36">
        <f>IF(E130=1,AK130/AH130,"")</f>
        <v>0.535714285714286</v>
      </c>
      <c r="AP130" s="34">
        <f>IF(E130=1,Orders!Y127,"")</f>
        <v>0.58</v>
      </c>
      <c r="AQ130" s="33">
        <f>IF(Orders!X127,1,0)</f>
        <v>0</v>
      </c>
      <c r="AR130" s="34" t="str">
        <f>IF(AND(E130=1,L130=1),AJ130,"")</f>
        <v/>
      </c>
      <c r="AS130" s="34">
        <f>IF(AND(E130=1,L130=0),AJ130,"")</f>
        <v>1.9</v>
      </c>
      <c r="AT130" s="34" t="str">
        <f>IF(AND(E130=1,L130=1),AI130,"")</f>
        <v/>
      </c>
      <c r="AU130" s="34">
        <f>IF(AND(E130=1,L130=0),AI130,"")</f>
        <v>3.3</v>
      </c>
      <c r="AV130" s="34" t="str">
        <f>IF(AND(E130=1,L130=1),AG130,"")</f>
        <v/>
      </c>
      <c r="AW130" s="34">
        <f>IF(AND(E130=1,L130=0),AG130,"")</f>
        <v>11.8</v>
      </c>
      <c r="AX130" s="34" t="str">
        <f>IF(AND(E130=1,L130=1),AH130,"")</f>
        <v/>
      </c>
      <c r="AY130" s="34">
        <f>IF(AND(E130=1,L130=0),AH130,"")</f>
        <v>11.2</v>
      </c>
      <c r="AZ130" s="34" t="str">
        <f>IF(G130=1,F130,"")</f>
        <v/>
      </c>
      <c r="BA130" s="34" t="str">
        <f>IF(AND(G130=1,L130=1),F130,"")</f>
        <v/>
      </c>
      <c r="BB130" s="34" t="str">
        <f>IF(AND(G130=1,L130=0),F130,"")</f>
        <v/>
      </c>
      <c r="BC130" s="33">
        <f>IF(E130=1,IF(Orders!R127&gt;3,1,0),"")</f>
        <v>0</v>
      </c>
      <c r="BD130" s="33">
        <f>IF(E130=1,IF(Orders!R127&gt;7,1,0),"")</f>
        <v>0</v>
      </c>
      <c r="BE130" s="32" t="str">
        <f>IF(E130=1,IF(Orders!L127&lt;=1.5,"Up to 1.5 km",IF(Orders!L127&lt;=3,"1.5–3 km","Over 3 km")),"")</f>
        <v>Over 3 km</v>
      </c>
      <c r="BF130" s="33">
        <f>IF(E130=1,IF(ABS((Orders!G127-Orders!F127)*1440-Orders!R127)&lt;0.06,1,0),"")</f>
        <v>1</v>
      </c>
      <c r="BG130" s="33">
        <f>IF(ABS((Orders!F127-Orders!E127)*1440-Orders!P127)&lt;0.06,1,0)</f>
        <v>1</v>
      </c>
      <c r="BH130" s="33">
        <f>IF(E130=1,IF(IF(Orders!S127,1,0)=1-G130,1,0),"")</f>
        <v>1</v>
      </c>
      <c r="BI130" s="32" t="str">
        <f>INDEX(Stores!$B$2:$B$21,MATCH(B130,Stores!$A$2:$A$21,0))</f>
        <v>Hyderabad</v>
      </c>
    </row>
    <row r="131">
      <c r="A131" s="32" t="str">
        <f>Orders!A128</f>
        <v>O00127</v>
      </c>
      <c r="B131" s="32" t="str">
        <f>Orders!C128</f>
        <v>S014</v>
      </c>
      <c r="C131" s="32" t="str">
        <f>Orders!B128</f>
        <v>C0116</v>
      </c>
      <c r="D131" s="32" t="str">
        <f>Orders!H128</f>
        <v>Delivered</v>
      </c>
      <c r="E131" s="33">
        <f>IF(Orders!H128="Delivered",1,0)</f>
        <v>1</v>
      </c>
      <c r="F131" s="34">
        <f>IF(E131=1,Orders!R128,"")</f>
        <v>10.6</v>
      </c>
      <c r="G131" s="33">
        <f>IF(E131=1,IF(Orders!R128&gt;0,1,0),"")</f>
        <v>1</v>
      </c>
      <c r="H131" s="33">
        <f>IF(E131=1,IF(Orders!R128&gt;5,1,0),"")</f>
        <v>1</v>
      </c>
      <c r="I131" s="32" t="str">
        <f>IF(E131=1,"",IF(OR(Orders!T128="Rider unavailable",Orders!T128="Item unavailable"),"Company-caused","Unresolved"))</f>
        <v/>
      </c>
      <c r="J131" s="33">
        <f>IF(OR(E131=1,I131="Company-caused"),1,0)</f>
        <v>1</v>
      </c>
      <c r="K131" s="32" t="str">
        <f>IF(E131=0,IF(I131="Company-caused",IF(Orders!T128="Rider unavailable","C1 Rider unavailable","C2 Item unavailable"),"Outside root: unresolved"),IF(G131=0,"A On time",IF(H131=1,IF(L131=1,"B2a Severe, peak","B2b Severe, off-peak"),IF(L131=1,"B1a Slight, peak","B1b Slight, off-peak"))))</f>
        <v>B2a Severe, peak</v>
      </c>
      <c r="L131" s="33">
        <f>IF(AND(Orders!U128&gt;=19,Orders!U128&lt;22),1,0)</f>
        <v>1</v>
      </c>
      <c r="M131" s="33">
        <f>IF(L131=IF(Orders!V128,1,0),1,0)</f>
        <v>1</v>
      </c>
      <c r="N131" s="32" t="str">
        <f>IF(Orders!W128="","None",Orders!W128)</f>
        <v>None</v>
      </c>
      <c r="O131" s="35">
        <f>INT(Orders!E128)</f>
        <v>46278.0</v>
      </c>
      <c r="P131" s="33">
        <f>Orders!U128</f>
        <v>19</v>
      </c>
      <c r="Q131" s="33">
        <f>COUNTIFS(Demand!$A$2:$A$4481,B131,Demand!$B$2:$B$4481,O131,Demand!$C$2:$C$4481,P131)</f>
        <v>1</v>
      </c>
      <c r="R131" s="33">
        <f>IF(Q131=1,SUMIFS(Demand!$E$2:$E$4481,Demand!$A$2:$A$4481,B131,Demand!$B$2:$B$4481,O131,Demand!$C$2:$C$4481,P131),"")</f>
        <v>61</v>
      </c>
      <c r="S131" s="33">
        <f>INDEX(Stores!$G$2:$G$21,MATCH(B131,Stores!$A$2:$A$21,0))</f>
        <v>37</v>
      </c>
      <c r="T131" s="34">
        <f>IF(R131="","",R131/S131)</f>
        <v>1.64864864864865</v>
      </c>
      <c r="U131" s="34">
        <f>IF(E131=1,T131,"")</f>
        <v>1.64864864864865</v>
      </c>
      <c r="V131" s="34" t="str">
        <f>IF(AND(E131=1,L131=0),T131,"")</f>
        <v/>
      </c>
      <c r="W131" s="33">
        <f>IF(U131="","",IF(U131&lt;=Breakdowns!$C$5,1,IF(U131&lt;=Breakdowns!$C$6,2,IF(U131&lt;=Breakdowns!$C$7,3,4))))</f>
        <v>4</v>
      </c>
      <c r="X131" s="33" t="str">
        <f>IF(V131="","",IF(V131&lt;=Breakdowns!$D$5,1,IF(V131&lt;=Breakdowns!$D$6,2,IF(V131&lt;=Breakdowns!$D$7,3,4))))</f>
        <v/>
      </c>
      <c r="Y131" s="34">
        <f>INDEX(Stores!$F$2:$F$21,MATCH(B131,Stores!$A$2:$A$21,0))</f>
        <v>5.55</v>
      </c>
      <c r="Z131" s="33">
        <f>IF(Y131&gt;Store_Summary!$M$2,1,0)</f>
        <v>1</v>
      </c>
      <c r="AA131" s="33">
        <f>INDEX(Stores!$C$2:$C$21,MATCH(B131,Stores!$A$2:$A$21,0))</f>
        <v>241</v>
      </c>
      <c r="AB131" s="33">
        <f>IF(AA131&lt;180,1,0)</f>
        <v>0</v>
      </c>
      <c r="AC131" s="32" t="str">
        <f>IF(Orders!D128="","",INDEX(Riders!$C$2:$C$81,MATCH(Orders!D128,Riders!$A$2:$A$81,0)))</f>
        <v>Petrol scooter</v>
      </c>
      <c r="AD131" s="33">
        <f>IF(Orders!D128="","",INDEX(Riders!$D$2:$D$81,MATCH(Orders!D128,Riders!$A$2:$A$81,0)))</f>
        <v>42</v>
      </c>
      <c r="AE131" s="33">
        <f>IF(Orders!D128="","",IF(INDEX(Riders!$B$2:$B$81,MATCH(Orders!D128,Riders!$A$2:$A$81,0))=B131,1,0))</f>
        <v>0</v>
      </c>
      <c r="AF131" s="34">
        <f>IF(E131=1,Orders!L128,"")</f>
        <v>3.3</v>
      </c>
      <c r="AG131" s="34">
        <f>IF(E131=1,Orders!P128,"")</f>
        <v>10.3</v>
      </c>
      <c r="AH131" s="34">
        <f>IF(E131=1,Orders!Q128,"")</f>
        <v>20.9</v>
      </c>
      <c r="AI131" s="34">
        <f>IF(E131=1,Orders!M128,"")</f>
        <v>5.9</v>
      </c>
      <c r="AJ131" s="34">
        <f>IF(E131=1,Orders!N128,"")</f>
        <v>6.6</v>
      </c>
      <c r="AK131" s="34">
        <f>IF(E131=1,Orders!O128,"")</f>
        <v>8.4</v>
      </c>
      <c r="AL131" s="33">
        <f>IF(E131=1,IF(ROUND(ABS(AI131+AJ131+AK131-AH131),6)&lt;=0.1,1,0),"")</f>
        <v>1</v>
      </c>
      <c r="AM131" s="36">
        <f>IF(E131=1,AI131/AH131,"")</f>
        <v>0.282296650717703</v>
      </c>
      <c r="AN131" s="36">
        <f>IF(E131=1,AJ131/AH131,"")</f>
        <v>0.315789473684211</v>
      </c>
      <c r="AO131" s="36">
        <f>IF(E131=1,AK131/AH131,"")</f>
        <v>0.401913875598086</v>
      </c>
      <c r="AP131" s="34">
        <f>IF(E131=1,Orders!Y128,"")</f>
        <v>0.68</v>
      </c>
      <c r="AQ131" s="33">
        <f>IF(Orders!X128,1,0)</f>
        <v>0</v>
      </c>
      <c r="AR131" s="34">
        <f>IF(AND(E131=1,L131=1),AJ131,"")</f>
        <v>6.6</v>
      </c>
      <c r="AS131" s="34" t="str">
        <f>IF(AND(E131=1,L131=0),AJ131,"")</f>
        <v/>
      </c>
      <c r="AT131" s="34">
        <f>IF(AND(E131=1,L131=1),AI131,"")</f>
        <v>5.9</v>
      </c>
      <c r="AU131" s="34" t="str">
        <f>IF(AND(E131=1,L131=0),AI131,"")</f>
        <v/>
      </c>
      <c r="AV131" s="34">
        <f>IF(AND(E131=1,L131=1),AG131,"")</f>
        <v>10.3</v>
      </c>
      <c r="AW131" s="34" t="str">
        <f>IF(AND(E131=1,L131=0),AG131,"")</f>
        <v/>
      </c>
      <c r="AX131" s="34">
        <f>IF(AND(E131=1,L131=1),AH131,"")</f>
        <v>20.9</v>
      </c>
      <c r="AY131" s="34" t="str">
        <f>IF(AND(E131=1,L131=0),AH131,"")</f>
        <v/>
      </c>
      <c r="AZ131" s="34">
        <f>IF(G131=1,F131,"")</f>
        <v>10.6</v>
      </c>
      <c r="BA131" s="34">
        <f>IF(AND(G131=1,L131=1),F131,"")</f>
        <v>10.6</v>
      </c>
      <c r="BB131" s="34" t="str">
        <f>IF(AND(G131=1,L131=0),F131,"")</f>
        <v/>
      </c>
      <c r="BC131" s="33">
        <f>IF(E131=1,IF(Orders!R128&gt;3,1,0),"")</f>
        <v>1</v>
      </c>
      <c r="BD131" s="33">
        <f>IF(E131=1,IF(Orders!R128&gt;7,1,0),"")</f>
        <v>1</v>
      </c>
      <c r="BE131" s="32" t="str">
        <f>IF(E131=1,IF(Orders!L128&lt;=1.5,"Up to 1.5 km",IF(Orders!L128&lt;=3,"1.5–3 km","Over 3 km")),"")</f>
        <v>Over 3 km</v>
      </c>
      <c r="BF131" s="33">
        <f>IF(E131=1,IF(ABS((Orders!G128-Orders!F128)*1440-Orders!R128)&lt;0.06,1,0),"")</f>
        <v>1</v>
      </c>
      <c r="BG131" s="33">
        <f>IF(ABS((Orders!F128-Orders!E128)*1440-Orders!P128)&lt;0.06,1,0)</f>
        <v>1</v>
      </c>
      <c r="BH131" s="33">
        <f>IF(E131=1,IF(IF(Orders!S128,1,0)=1-G131,1,0),"")</f>
        <v>1</v>
      </c>
      <c r="BI131" s="32" t="str">
        <f>INDEX(Stores!$B$2:$B$21,MATCH(B131,Stores!$A$2:$A$21,0))</f>
        <v>Pune</v>
      </c>
    </row>
    <row r="132">
      <c r="A132" s="32" t="str">
        <f>Orders!A129</f>
        <v>O00128</v>
      </c>
      <c r="B132" s="32" t="str">
        <f>Orders!C129</f>
        <v>S020</v>
      </c>
      <c r="C132" s="32" t="str">
        <f>Orders!B129</f>
        <v>C0154</v>
      </c>
      <c r="D132" s="32" t="str">
        <f>Orders!H129</f>
        <v>Delivered</v>
      </c>
      <c r="E132" s="33">
        <f>IF(Orders!H129="Delivered",1,0)</f>
        <v>1</v>
      </c>
      <c r="F132" s="34">
        <f>IF(E132=1,Orders!R129,"")</f>
        <v>-0.4</v>
      </c>
      <c r="G132" s="33">
        <f>IF(E132=1,IF(Orders!R129&gt;0,1,0),"")</f>
        <v>0</v>
      </c>
      <c r="H132" s="33">
        <f>IF(E132=1,IF(Orders!R129&gt;5,1,0),"")</f>
        <v>0</v>
      </c>
      <c r="I132" s="32" t="str">
        <f>IF(E132=1,"",IF(OR(Orders!T129="Rider unavailable",Orders!T129="Item unavailable"),"Company-caused","Unresolved"))</f>
        <v/>
      </c>
      <c r="J132" s="33">
        <f>IF(OR(E132=1,I132="Company-caused"),1,0)</f>
        <v>1</v>
      </c>
      <c r="K132" s="32" t="str">
        <f>IF(E132=0,IF(I132="Company-caused",IF(Orders!T129="Rider unavailable","C1 Rider unavailable","C2 Item unavailable"),"Outside root: unresolved"),IF(G132=0,"A On time",IF(H132=1,IF(L132=1,"B2a Severe, peak","B2b Severe, off-peak"),IF(L132=1,"B1a Slight, peak","B1b Slight, off-peak"))))</f>
        <v>A On time</v>
      </c>
      <c r="L132" s="33">
        <f>IF(AND(Orders!U129&gt;=19,Orders!U129&lt;22),1,0)</f>
        <v>0</v>
      </c>
      <c r="M132" s="33">
        <f>IF(L132=IF(Orders!V129,1,0),1,0)</f>
        <v>1</v>
      </c>
      <c r="N132" s="32" t="str">
        <f>IF(Orders!W129="","None",Orders!W129)</f>
        <v>None</v>
      </c>
      <c r="O132" s="35">
        <f>INT(Orders!E129)</f>
        <v>46273.0</v>
      </c>
      <c r="P132" s="33">
        <f>Orders!U129</f>
        <v>15</v>
      </c>
      <c r="Q132" s="33">
        <f>COUNTIFS(Demand!$A$2:$A$4481,B132,Demand!$B$2:$B$4481,O132,Demand!$C$2:$C$4481,P132)</f>
        <v>1</v>
      </c>
      <c r="R132" s="33">
        <f>IF(Q132=1,SUMIFS(Demand!$E$2:$E$4481,Demand!$A$2:$A$4481,B132,Demand!$B$2:$B$4481,O132,Demand!$C$2:$C$4481,P132),"")</f>
        <v>9</v>
      </c>
      <c r="S132" s="33">
        <f>INDEX(Stores!$G$2:$G$21,MATCH(B132,Stores!$A$2:$A$21,0))</f>
        <v>15</v>
      </c>
      <c r="T132" s="34">
        <f>IF(R132="","",R132/S132)</f>
        <v>0.6</v>
      </c>
      <c r="U132" s="34">
        <f>IF(E132=1,T132,"")</f>
        <v>0.6</v>
      </c>
      <c r="V132" s="34">
        <f>IF(AND(E132=1,L132=0),T132,"")</f>
        <v>0.6</v>
      </c>
      <c r="W132" s="33">
        <f>IF(U132="","",IF(U132&lt;=Breakdowns!$C$5,1,IF(U132&lt;=Breakdowns!$C$6,2,IF(U132&lt;=Breakdowns!$C$7,3,4))))</f>
        <v>1</v>
      </c>
      <c r="X132" s="33">
        <f>IF(V132="","",IF(V132&lt;=Breakdowns!$D$5,1,IF(V132&lt;=Breakdowns!$D$6,2,IF(V132&lt;=Breakdowns!$D$7,3,4))))</f>
        <v>1</v>
      </c>
      <c r="Y132" s="34">
        <f>INDEX(Stores!$F$2:$F$21,MATCH(B132,Stores!$A$2:$A$21,0))</f>
        <v>5.74</v>
      </c>
      <c r="Z132" s="33">
        <f>IF(Y132&gt;Store_Summary!$M$2,1,0)</f>
        <v>1</v>
      </c>
      <c r="AA132" s="33">
        <f>INDEX(Stores!$C$2:$C$21,MATCH(B132,Stores!$A$2:$A$21,0))</f>
        <v>647</v>
      </c>
      <c r="AB132" s="33">
        <f>IF(AA132&lt;180,1,0)</f>
        <v>0</v>
      </c>
      <c r="AC132" s="32" t="str">
        <f>IF(Orders!D129="","",INDEX(Riders!$C$2:$C$81,MATCH(Orders!D129,Riders!$A$2:$A$81,0)))</f>
        <v>Petrol scooter</v>
      </c>
      <c r="AD132" s="33">
        <f>IF(Orders!D129="","",INDEX(Riders!$D$2:$D$81,MATCH(Orders!D129,Riders!$A$2:$A$81,0)))</f>
        <v>40</v>
      </c>
      <c r="AE132" s="33">
        <f>IF(Orders!D129="","",IF(INDEX(Riders!$B$2:$B$81,MATCH(Orders!D129,Riders!$A$2:$A$81,0))=B132,1,0))</f>
        <v>0</v>
      </c>
      <c r="AF132" s="34">
        <f>IF(E132=1,Orders!L129,"")</f>
        <v>0.55</v>
      </c>
      <c r="AG132" s="34">
        <f>IF(E132=1,Orders!P129,"")</f>
        <v>7.4</v>
      </c>
      <c r="AH132" s="34">
        <f>IF(E132=1,Orders!Q129,"")</f>
        <v>7</v>
      </c>
      <c r="AI132" s="34">
        <f>IF(E132=1,Orders!M129,"")</f>
        <v>3.1</v>
      </c>
      <c r="AJ132" s="34">
        <f>IF(E132=1,Orders!N129,"")</f>
        <v>2.1</v>
      </c>
      <c r="AK132" s="34">
        <f>IF(E132=1,Orders!O129,"")</f>
        <v>1.8</v>
      </c>
      <c r="AL132" s="33">
        <f>IF(E132=1,IF(ROUND(ABS(AI132+AJ132+AK132-AH132),6)&lt;=0.1,1,0),"")</f>
        <v>1</v>
      </c>
      <c r="AM132" s="36">
        <f>IF(E132=1,AI132/AH132,"")</f>
        <v>0.442857142857143</v>
      </c>
      <c r="AN132" s="36">
        <f>IF(E132=1,AJ132/AH132,"")</f>
        <v>0.3</v>
      </c>
      <c r="AO132" s="36">
        <f>IF(E132=1,AK132/AH132,"")</f>
        <v>0.257142857142857</v>
      </c>
      <c r="AP132" s="34">
        <f>IF(E132=1,Orders!Y129,"")</f>
        <v>0.44</v>
      </c>
      <c r="AQ132" s="33">
        <f>IF(Orders!X129,1,0)</f>
        <v>0</v>
      </c>
      <c r="AR132" s="34" t="str">
        <f>IF(AND(E132=1,L132=1),AJ132,"")</f>
        <v/>
      </c>
      <c r="AS132" s="34">
        <f>IF(AND(E132=1,L132=0),AJ132,"")</f>
        <v>2.1</v>
      </c>
      <c r="AT132" s="34" t="str">
        <f>IF(AND(E132=1,L132=1),AI132,"")</f>
        <v/>
      </c>
      <c r="AU132" s="34">
        <f>IF(AND(E132=1,L132=0),AI132,"")</f>
        <v>3.1</v>
      </c>
      <c r="AV132" s="34" t="str">
        <f>IF(AND(E132=1,L132=1),AG132,"")</f>
        <v/>
      </c>
      <c r="AW132" s="34">
        <f>IF(AND(E132=1,L132=0),AG132,"")</f>
        <v>7.4</v>
      </c>
      <c r="AX132" s="34" t="str">
        <f>IF(AND(E132=1,L132=1),AH132,"")</f>
        <v/>
      </c>
      <c r="AY132" s="34">
        <f>IF(AND(E132=1,L132=0),AH132,"")</f>
        <v>7</v>
      </c>
      <c r="AZ132" s="34" t="str">
        <f>IF(G132=1,F132,"")</f>
        <v/>
      </c>
      <c r="BA132" s="34" t="str">
        <f>IF(AND(G132=1,L132=1),F132,"")</f>
        <v/>
      </c>
      <c r="BB132" s="34" t="str">
        <f>IF(AND(G132=1,L132=0),F132,"")</f>
        <v/>
      </c>
      <c r="BC132" s="33">
        <f>IF(E132=1,IF(Orders!R129&gt;3,1,0),"")</f>
        <v>0</v>
      </c>
      <c r="BD132" s="33">
        <f>IF(E132=1,IF(Orders!R129&gt;7,1,0),"")</f>
        <v>0</v>
      </c>
      <c r="BE132" s="32" t="str">
        <f>IF(E132=1,IF(Orders!L129&lt;=1.5,"Up to 1.5 km",IF(Orders!L129&lt;=3,"1.5–3 km","Over 3 km")),"")</f>
        <v>Up to 1.5 km</v>
      </c>
      <c r="BF132" s="33">
        <f>IF(E132=1,IF(ABS((Orders!G129-Orders!F129)*1440-Orders!R129)&lt;0.06,1,0),"")</f>
        <v>1</v>
      </c>
      <c r="BG132" s="33">
        <f>IF(ABS((Orders!F129-Orders!E129)*1440-Orders!P129)&lt;0.06,1,0)</f>
        <v>1</v>
      </c>
      <c r="BH132" s="33">
        <f>IF(E132=1,IF(IF(Orders!S129,1,0)=1-G132,1,0),"")</f>
        <v>1</v>
      </c>
      <c r="BI132" s="32" t="str">
        <f>INDEX(Stores!$B$2:$B$21,MATCH(B132,Stores!$A$2:$A$21,0))</f>
        <v>Delhi</v>
      </c>
    </row>
    <row r="133">
      <c r="A133" s="32" t="str">
        <f>Orders!A130</f>
        <v>O00129</v>
      </c>
      <c r="B133" s="32" t="str">
        <f>Orders!C130</f>
        <v>S016</v>
      </c>
      <c r="C133" s="32" t="str">
        <f>Orders!B130</f>
        <v>C0197</v>
      </c>
      <c r="D133" s="32" t="str">
        <f>Orders!H130</f>
        <v>Delivered</v>
      </c>
      <c r="E133" s="33">
        <f>IF(Orders!H130="Delivered",1,0)</f>
        <v>1</v>
      </c>
      <c r="F133" s="34">
        <f>IF(E133=1,Orders!R130,"")</f>
        <v>-0.6</v>
      </c>
      <c r="G133" s="33">
        <f>IF(E133=1,IF(Orders!R130&gt;0,1,0),"")</f>
        <v>0</v>
      </c>
      <c r="H133" s="33">
        <f>IF(E133=1,IF(Orders!R130&gt;5,1,0),"")</f>
        <v>0</v>
      </c>
      <c r="I133" s="32" t="str">
        <f>IF(E133=1,"",IF(OR(Orders!T130="Rider unavailable",Orders!T130="Item unavailable"),"Company-caused","Unresolved"))</f>
        <v/>
      </c>
      <c r="J133" s="33">
        <f>IF(OR(E133=1,I133="Company-caused"),1,0)</f>
        <v>1</v>
      </c>
      <c r="K133" s="32" t="str">
        <f>IF(E133=0,IF(I133="Company-caused",IF(Orders!T130="Rider unavailable","C1 Rider unavailable","C2 Item unavailable"),"Outside root: unresolved"),IF(G133=0,"A On time",IF(H133=1,IF(L133=1,"B2a Severe, peak","B2b Severe, off-peak"),IF(L133=1,"B1a Slight, peak","B1b Slight, off-peak"))))</f>
        <v>A On time</v>
      </c>
      <c r="L133" s="33">
        <f>IF(AND(Orders!U130&gt;=19,Orders!U130&lt;22),1,0)</f>
        <v>0</v>
      </c>
      <c r="M133" s="33">
        <f>IF(L133=IF(Orders!V130,1,0),1,0)</f>
        <v>1</v>
      </c>
      <c r="N133" s="32" t="str">
        <f>IF(Orders!W130="","None",Orders!W130)</f>
        <v>None</v>
      </c>
      <c r="O133" s="35">
        <f>INT(Orders!E130)</f>
        <v>46272.0</v>
      </c>
      <c r="P133" s="33">
        <f>Orders!U130</f>
        <v>12</v>
      </c>
      <c r="Q133" s="33">
        <f>COUNTIFS(Demand!$A$2:$A$4481,B133,Demand!$B$2:$B$4481,O133,Demand!$C$2:$C$4481,P133)</f>
        <v>1</v>
      </c>
      <c r="R133" s="33">
        <f>IF(Q133=1,SUMIFS(Demand!$E$2:$E$4481,Demand!$A$2:$A$4481,B133,Demand!$B$2:$B$4481,O133,Demand!$C$2:$C$4481,P133),"")</f>
        <v>28</v>
      </c>
      <c r="S133" s="33">
        <f>INDEX(Stores!$G$2:$G$21,MATCH(B133,Stores!$A$2:$A$21,0))</f>
        <v>25</v>
      </c>
      <c r="T133" s="34">
        <f>IF(R133="","",R133/S133)</f>
        <v>1.12</v>
      </c>
      <c r="U133" s="34">
        <f>IF(E133=1,T133,"")</f>
        <v>1.12</v>
      </c>
      <c r="V133" s="34">
        <f>IF(AND(E133=1,L133=0),T133,"")</f>
        <v>1.12</v>
      </c>
      <c r="W133" s="33">
        <f>IF(U133="","",IF(U133&lt;=Breakdowns!$C$5,1,IF(U133&lt;=Breakdowns!$C$6,2,IF(U133&lt;=Breakdowns!$C$7,3,4))))</f>
        <v>3</v>
      </c>
      <c r="X133" s="33">
        <f>IF(V133="","",IF(V133&lt;=Breakdowns!$D$5,1,IF(V133&lt;=Breakdowns!$D$6,2,IF(V133&lt;=Breakdowns!$D$7,3,4))))</f>
        <v>4</v>
      </c>
      <c r="Y133" s="34">
        <f>INDEX(Stores!$F$2:$F$21,MATCH(B133,Stores!$A$2:$A$21,0))</f>
        <v>5.51</v>
      </c>
      <c r="Z133" s="33">
        <f>IF(Y133&gt;Store_Summary!$M$2,1,0)</f>
        <v>1</v>
      </c>
      <c r="AA133" s="33">
        <f>INDEX(Stores!$C$2:$C$21,MATCH(B133,Stores!$A$2:$A$21,0))</f>
        <v>792</v>
      </c>
      <c r="AB133" s="33">
        <f>IF(AA133&lt;180,1,0)</f>
        <v>0</v>
      </c>
      <c r="AC133" s="32" t="str">
        <f>IF(Orders!D130="","",INDEX(Riders!$C$2:$C$81,MATCH(Orders!D130,Riders!$A$2:$A$81,0)))</f>
        <v>EV scooter</v>
      </c>
      <c r="AD133" s="33">
        <f>IF(Orders!D130="","",INDEX(Riders!$D$2:$D$81,MATCH(Orders!D130,Riders!$A$2:$A$81,0)))</f>
        <v>40</v>
      </c>
      <c r="AE133" s="33">
        <f>IF(Orders!D130="","",IF(INDEX(Riders!$B$2:$B$81,MATCH(Orders!D130,Riders!$A$2:$A$81,0))=B133,1,0))</f>
        <v>1</v>
      </c>
      <c r="AF133" s="34">
        <f>IF(E133=1,Orders!L130,"")</f>
        <v>0.5</v>
      </c>
      <c r="AG133" s="34">
        <f>IF(E133=1,Orders!P130,"")</f>
        <v>8.9</v>
      </c>
      <c r="AH133" s="34">
        <f>IF(E133=1,Orders!Q130,"")</f>
        <v>8.3</v>
      </c>
      <c r="AI133" s="34">
        <f>IF(E133=1,Orders!M130,"")</f>
        <v>2.7</v>
      </c>
      <c r="AJ133" s="34">
        <f>IF(E133=1,Orders!N130,"")</f>
        <v>3.4</v>
      </c>
      <c r="AK133" s="34">
        <f>IF(E133=1,Orders!O130,"")</f>
        <v>2.2</v>
      </c>
      <c r="AL133" s="33">
        <f>IF(E133=1,IF(ROUND(ABS(AI133+AJ133+AK133-AH133),6)&lt;=0.1,1,0),"")</f>
        <v>1</v>
      </c>
      <c r="AM133" s="36">
        <f>IF(E133=1,AI133/AH133,"")</f>
        <v>0.325301204819277</v>
      </c>
      <c r="AN133" s="36">
        <f>IF(E133=1,AJ133/AH133,"")</f>
        <v>0.409638554216867</v>
      </c>
      <c r="AO133" s="36">
        <f>IF(E133=1,AK133/AH133,"")</f>
        <v>0.265060240963855</v>
      </c>
      <c r="AP133" s="34">
        <f>IF(E133=1,Orders!Y130,"")</f>
        <v>0.75</v>
      </c>
      <c r="AQ133" s="33">
        <f>IF(Orders!X130,1,0)</f>
        <v>0</v>
      </c>
      <c r="AR133" s="34" t="str">
        <f>IF(AND(E133=1,L133=1),AJ133,"")</f>
        <v/>
      </c>
      <c r="AS133" s="34">
        <f>IF(AND(E133=1,L133=0),AJ133,"")</f>
        <v>3.4</v>
      </c>
      <c r="AT133" s="34" t="str">
        <f>IF(AND(E133=1,L133=1),AI133,"")</f>
        <v/>
      </c>
      <c r="AU133" s="34">
        <f>IF(AND(E133=1,L133=0),AI133,"")</f>
        <v>2.7</v>
      </c>
      <c r="AV133" s="34" t="str">
        <f>IF(AND(E133=1,L133=1),AG133,"")</f>
        <v/>
      </c>
      <c r="AW133" s="34">
        <f>IF(AND(E133=1,L133=0),AG133,"")</f>
        <v>8.9</v>
      </c>
      <c r="AX133" s="34" t="str">
        <f>IF(AND(E133=1,L133=1),AH133,"")</f>
        <v/>
      </c>
      <c r="AY133" s="34">
        <f>IF(AND(E133=1,L133=0),AH133,"")</f>
        <v>8.3</v>
      </c>
      <c r="AZ133" s="34" t="str">
        <f>IF(G133=1,F133,"")</f>
        <v/>
      </c>
      <c r="BA133" s="34" t="str">
        <f>IF(AND(G133=1,L133=1),F133,"")</f>
        <v/>
      </c>
      <c r="BB133" s="34" t="str">
        <f>IF(AND(G133=1,L133=0),F133,"")</f>
        <v/>
      </c>
      <c r="BC133" s="33">
        <f>IF(E133=1,IF(Orders!R130&gt;3,1,0),"")</f>
        <v>0</v>
      </c>
      <c r="BD133" s="33">
        <f>IF(E133=1,IF(Orders!R130&gt;7,1,0),"")</f>
        <v>0</v>
      </c>
      <c r="BE133" s="32" t="str">
        <f>IF(E133=1,IF(Orders!L130&lt;=1.5,"Up to 1.5 km",IF(Orders!L130&lt;=3,"1.5–3 km","Over 3 km")),"")</f>
        <v>Up to 1.5 km</v>
      </c>
      <c r="BF133" s="33">
        <f>IF(E133=1,IF(ABS((Orders!G130-Orders!F130)*1440-Orders!R130)&lt;0.06,1,0),"")</f>
        <v>1</v>
      </c>
      <c r="BG133" s="33">
        <f>IF(ABS((Orders!F130-Orders!E130)*1440-Orders!P130)&lt;0.06,1,0)</f>
        <v>1</v>
      </c>
      <c r="BH133" s="33">
        <f>IF(E133=1,IF(IF(Orders!S130,1,0)=1-G133,1,0),"")</f>
        <v>1</v>
      </c>
      <c r="BI133" s="32" t="str">
        <f>INDEX(Stores!$B$2:$B$21,MATCH(B133,Stores!$A$2:$A$21,0))</f>
        <v>Bengaluru</v>
      </c>
    </row>
    <row r="134">
      <c r="A134" s="32" t="str">
        <f>Orders!A131</f>
        <v>O00130</v>
      </c>
      <c r="B134" s="32" t="str">
        <f>Orders!C131</f>
        <v>S019</v>
      </c>
      <c r="C134" s="32" t="str">
        <f>Orders!B131</f>
        <v>C0131</v>
      </c>
      <c r="D134" s="32" t="str">
        <f>Orders!H131</f>
        <v>Delivered</v>
      </c>
      <c r="E134" s="33">
        <f>IF(Orders!H131="Delivered",1,0)</f>
        <v>1</v>
      </c>
      <c r="F134" s="34">
        <f>IF(E134=1,Orders!R131,"")</f>
        <v>-1</v>
      </c>
      <c r="G134" s="33">
        <f>IF(E134=1,IF(Orders!R131&gt;0,1,0),"")</f>
        <v>0</v>
      </c>
      <c r="H134" s="33">
        <f>IF(E134=1,IF(Orders!R131&gt;5,1,0),"")</f>
        <v>0</v>
      </c>
      <c r="I134" s="32" t="str">
        <f>IF(E134=1,"",IF(OR(Orders!T131="Rider unavailable",Orders!T131="Item unavailable"),"Company-caused","Unresolved"))</f>
        <v/>
      </c>
      <c r="J134" s="33">
        <f>IF(OR(E134=1,I134="Company-caused"),1,0)</f>
        <v>1</v>
      </c>
      <c r="K134" s="32" t="str">
        <f>IF(E134=0,IF(I134="Company-caused",IF(Orders!T131="Rider unavailable","C1 Rider unavailable","C2 Item unavailable"),"Outside root: unresolved"),IF(G134=0,"A On time",IF(H134=1,IF(L134=1,"B2a Severe, peak","B2b Severe, off-peak"),IF(L134=1,"B1a Slight, peak","B1b Slight, off-peak"))))</f>
        <v>A On time</v>
      </c>
      <c r="L134" s="33">
        <f>IF(AND(Orders!U131&gt;=19,Orders!U131&lt;22),1,0)</f>
        <v>0</v>
      </c>
      <c r="M134" s="33">
        <f>IF(L134=IF(Orders!V131,1,0),1,0)</f>
        <v>1</v>
      </c>
      <c r="N134" s="32" t="str">
        <f>IF(Orders!W131="","None",Orders!W131)</f>
        <v>None</v>
      </c>
      <c r="O134" s="35">
        <f>INT(Orders!E131)</f>
        <v>46266.0</v>
      </c>
      <c r="P134" s="33">
        <f>Orders!U131</f>
        <v>8</v>
      </c>
      <c r="Q134" s="33">
        <f>COUNTIFS(Demand!$A$2:$A$4481,B134,Demand!$B$2:$B$4481,O134,Demand!$C$2:$C$4481,P134)</f>
        <v>1</v>
      </c>
      <c r="R134" s="33">
        <f>IF(Q134=1,SUMIFS(Demand!$E$2:$E$4481,Demand!$A$2:$A$4481,B134,Demand!$B$2:$B$4481,O134,Demand!$C$2:$C$4481,P134),"")</f>
        <v>17</v>
      </c>
      <c r="S134" s="33">
        <f>INDEX(Stores!$G$2:$G$21,MATCH(B134,Stores!$A$2:$A$21,0))</f>
        <v>22</v>
      </c>
      <c r="T134" s="34">
        <f>IF(R134="","",R134/S134)</f>
        <v>0.772727272727273</v>
      </c>
      <c r="U134" s="34">
        <f>IF(E134=1,T134,"")</f>
        <v>0.772727272727273</v>
      </c>
      <c r="V134" s="34">
        <f>IF(AND(E134=1,L134=0),T134,"")</f>
        <v>0.772727272727273</v>
      </c>
      <c r="W134" s="33">
        <f>IF(U134="","",IF(U134&lt;=Breakdowns!$C$5,1,IF(U134&lt;=Breakdowns!$C$6,2,IF(U134&lt;=Breakdowns!$C$7,3,4))))</f>
        <v>1</v>
      </c>
      <c r="X134" s="33">
        <f>IF(V134="","",IF(V134&lt;=Breakdowns!$D$5,1,IF(V134&lt;=Breakdowns!$D$6,2,IF(V134&lt;=Breakdowns!$D$7,3,4))))</f>
        <v>2</v>
      </c>
      <c r="Y134" s="34">
        <f>INDEX(Stores!$F$2:$F$21,MATCH(B134,Stores!$A$2:$A$21,0))</f>
        <v>4.99</v>
      </c>
      <c r="Z134" s="33">
        <f>IF(Y134&gt;Store_Summary!$M$2,1,0)</f>
        <v>1</v>
      </c>
      <c r="AA134" s="33">
        <f>INDEX(Stores!$C$2:$C$21,MATCH(B134,Stores!$A$2:$A$21,0))</f>
        <v>851</v>
      </c>
      <c r="AB134" s="33">
        <f>IF(AA134&lt;180,1,0)</f>
        <v>0</v>
      </c>
      <c r="AC134" s="32" t="str">
        <f>IF(Orders!D131="","",INDEX(Riders!$C$2:$C$81,MATCH(Orders!D131,Riders!$A$2:$A$81,0)))</f>
        <v>EV scooter</v>
      </c>
      <c r="AD134" s="33">
        <f>IF(Orders!D131="","",INDEX(Riders!$D$2:$D$81,MATCH(Orders!D131,Riders!$A$2:$A$81,0)))</f>
        <v>30</v>
      </c>
      <c r="AE134" s="33">
        <f>IF(Orders!D131="","",IF(INDEX(Riders!$B$2:$B$81,MATCH(Orders!D131,Riders!$A$2:$A$81,0))=B134,1,0))</f>
        <v>0</v>
      </c>
      <c r="AF134" s="34">
        <f>IF(E134=1,Orders!L131,"")</f>
        <v>1.92</v>
      </c>
      <c r="AG134" s="34">
        <f>IF(E134=1,Orders!P131,"")</f>
        <v>11.3</v>
      </c>
      <c r="AH134" s="34">
        <f>IF(E134=1,Orders!Q131,"")</f>
        <v>10.3</v>
      </c>
      <c r="AI134" s="34">
        <f>IF(E134=1,Orders!M131,"")</f>
        <v>3.3</v>
      </c>
      <c r="AJ134" s="34">
        <f>IF(E134=1,Orders!N131,"")</f>
        <v>4.3</v>
      </c>
      <c r="AK134" s="34">
        <f>IF(E134=1,Orders!O131,"")</f>
        <v>2.7</v>
      </c>
      <c r="AL134" s="33">
        <f>IF(E134=1,IF(ROUND(ABS(AI134+AJ134+AK134-AH134),6)&lt;=0.1,1,0),"")</f>
        <v>1</v>
      </c>
      <c r="AM134" s="36">
        <f>IF(E134=1,AI134/AH134,"")</f>
        <v>0.320388349514563</v>
      </c>
      <c r="AN134" s="36">
        <f>IF(E134=1,AJ134/AH134,"")</f>
        <v>0.41747572815534</v>
      </c>
      <c r="AO134" s="36">
        <f>IF(E134=1,AK134/AH134,"")</f>
        <v>0.262135922330097</v>
      </c>
      <c r="AP134" s="34">
        <f>IF(E134=1,Orders!Y131,"")</f>
        <v>0.44</v>
      </c>
      <c r="AQ134" s="33">
        <f>IF(Orders!X131,1,0)</f>
        <v>0</v>
      </c>
      <c r="AR134" s="34" t="str">
        <f>IF(AND(E134=1,L134=1),AJ134,"")</f>
        <v/>
      </c>
      <c r="AS134" s="34">
        <f>IF(AND(E134=1,L134=0),AJ134,"")</f>
        <v>4.3</v>
      </c>
      <c r="AT134" s="34" t="str">
        <f>IF(AND(E134=1,L134=1),AI134,"")</f>
        <v/>
      </c>
      <c r="AU134" s="34">
        <f>IF(AND(E134=1,L134=0),AI134,"")</f>
        <v>3.3</v>
      </c>
      <c r="AV134" s="34" t="str">
        <f>IF(AND(E134=1,L134=1),AG134,"")</f>
        <v/>
      </c>
      <c r="AW134" s="34">
        <f>IF(AND(E134=1,L134=0),AG134,"")</f>
        <v>11.3</v>
      </c>
      <c r="AX134" s="34" t="str">
        <f>IF(AND(E134=1,L134=1),AH134,"")</f>
        <v/>
      </c>
      <c r="AY134" s="34">
        <f>IF(AND(E134=1,L134=0),AH134,"")</f>
        <v>10.3</v>
      </c>
      <c r="AZ134" s="34" t="str">
        <f>IF(G134=1,F134,"")</f>
        <v/>
      </c>
      <c r="BA134" s="34" t="str">
        <f>IF(AND(G134=1,L134=1),F134,"")</f>
        <v/>
      </c>
      <c r="BB134" s="34" t="str">
        <f>IF(AND(G134=1,L134=0),F134,"")</f>
        <v/>
      </c>
      <c r="BC134" s="33">
        <f>IF(E134=1,IF(Orders!R131&gt;3,1,0),"")</f>
        <v>0</v>
      </c>
      <c r="BD134" s="33">
        <f>IF(E134=1,IF(Orders!R131&gt;7,1,0),"")</f>
        <v>0</v>
      </c>
      <c r="BE134" s="32" t="str">
        <f>IF(E134=1,IF(Orders!L131&lt;=1.5,"Up to 1.5 km",IF(Orders!L131&lt;=3,"1.5–3 km","Over 3 km")),"")</f>
        <v>1.5–3 km</v>
      </c>
      <c r="BF134" s="33">
        <f>IF(E134=1,IF(ABS((Orders!G131-Orders!F131)*1440-Orders!R131)&lt;0.06,1,0),"")</f>
        <v>1</v>
      </c>
      <c r="BG134" s="33">
        <f>IF(ABS((Orders!F131-Orders!E131)*1440-Orders!P131)&lt;0.06,1,0)</f>
        <v>1</v>
      </c>
      <c r="BH134" s="33">
        <f>IF(E134=1,IF(IF(Orders!S131,1,0)=1-G134,1,0),"")</f>
        <v>1</v>
      </c>
      <c r="BI134" s="32" t="str">
        <f>INDEX(Stores!$B$2:$B$21,MATCH(B134,Stores!$A$2:$A$21,0))</f>
        <v>Pune</v>
      </c>
    </row>
    <row r="135">
      <c r="A135" s="32" t="str">
        <f>Orders!A132</f>
        <v>O00131</v>
      </c>
      <c r="B135" s="32" t="str">
        <f>Orders!C132</f>
        <v>S015</v>
      </c>
      <c r="C135" s="32" t="str">
        <f>Orders!B132</f>
        <v>C0240</v>
      </c>
      <c r="D135" s="32" t="str">
        <f>Orders!H132</f>
        <v>Delivered</v>
      </c>
      <c r="E135" s="33">
        <f>IF(Orders!H132="Delivered",1,0)</f>
        <v>1</v>
      </c>
      <c r="F135" s="34">
        <f>IF(E135=1,Orders!R132,"")</f>
        <v>-0.7</v>
      </c>
      <c r="G135" s="33">
        <f>IF(E135=1,IF(Orders!R132&gt;0,1,0),"")</f>
        <v>0</v>
      </c>
      <c r="H135" s="33">
        <f>IF(E135=1,IF(Orders!R132&gt;5,1,0),"")</f>
        <v>0</v>
      </c>
      <c r="I135" s="32" t="str">
        <f>IF(E135=1,"",IF(OR(Orders!T132="Rider unavailable",Orders!T132="Item unavailable"),"Company-caused","Unresolved"))</f>
        <v/>
      </c>
      <c r="J135" s="33">
        <f>IF(OR(E135=1,I135="Company-caused"),1,0)</f>
        <v>1</v>
      </c>
      <c r="K135" s="32" t="str">
        <f>IF(E135=0,IF(I135="Company-caused",IF(Orders!T132="Rider unavailable","C1 Rider unavailable","C2 Item unavailable"),"Outside root: unresolved"),IF(G135=0,"A On time",IF(H135=1,IF(L135=1,"B2a Severe, peak","B2b Severe, off-peak"),IF(L135=1,"B1a Slight, peak","B1b Slight, off-peak"))))</f>
        <v>A On time</v>
      </c>
      <c r="L135" s="33">
        <f>IF(AND(Orders!U132&gt;=19,Orders!U132&lt;22),1,0)</f>
        <v>0</v>
      </c>
      <c r="M135" s="33">
        <f>IF(L135=IF(Orders!V132,1,0),1,0)</f>
        <v>1</v>
      </c>
      <c r="N135" s="32" t="str">
        <f>IF(Orders!W132="","None",Orders!W132)</f>
        <v>None</v>
      </c>
      <c r="O135" s="35">
        <f>INT(Orders!E132)</f>
        <v>46270.0</v>
      </c>
      <c r="P135" s="33">
        <f>Orders!U132</f>
        <v>9</v>
      </c>
      <c r="Q135" s="33">
        <f>COUNTIFS(Demand!$A$2:$A$4481,B135,Demand!$B$2:$B$4481,O135,Demand!$C$2:$C$4481,P135)</f>
        <v>1</v>
      </c>
      <c r="R135" s="33">
        <f>IF(Q135=1,SUMIFS(Demand!$E$2:$E$4481,Demand!$A$2:$A$4481,B135,Demand!$B$2:$B$4481,O135,Demand!$C$2:$C$4481,P135),"")</f>
        <v>13</v>
      </c>
      <c r="S135" s="33">
        <f>INDEX(Stores!$G$2:$G$21,MATCH(B135,Stores!$A$2:$A$21,0))</f>
        <v>23</v>
      </c>
      <c r="T135" s="34">
        <f>IF(R135="","",R135/S135)</f>
        <v>0.565217391304348</v>
      </c>
      <c r="U135" s="34">
        <f>IF(E135=1,T135,"")</f>
        <v>0.565217391304348</v>
      </c>
      <c r="V135" s="34">
        <f>IF(AND(E135=1,L135=0),T135,"")</f>
        <v>0.565217391304348</v>
      </c>
      <c r="W135" s="33">
        <f>IF(U135="","",IF(U135&lt;=Breakdowns!$C$5,1,IF(U135&lt;=Breakdowns!$C$6,2,IF(U135&lt;=Breakdowns!$C$7,3,4))))</f>
        <v>1</v>
      </c>
      <c r="X135" s="33">
        <f>IF(V135="","",IF(V135&lt;=Breakdowns!$D$5,1,IF(V135&lt;=Breakdowns!$D$6,2,IF(V135&lt;=Breakdowns!$D$7,3,4))))</f>
        <v>1</v>
      </c>
      <c r="Y135" s="34">
        <f>INDEX(Stores!$F$2:$F$21,MATCH(B135,Stores!$A$2:$A$21,0))</f>
        <v>4.66</v>
      </c>
      <c r="Z135" s="33">
        <f>IF(Y135&gt;Store_Summary!$M$2,1,0)</f>
        <v>0</v>
      </c>
      <c r="AA135" s="33">
        <f>INDEX(Stores!$C$2:$C$21,MATCH(B135,Stores!$A$2:$A$21,0))</f>
        <v>204</v>
      </c>
      <c r="AB135" s="33">
        <f>IF(AA135&lt;180,1,0)</f>
        <v>0</v>
      </c>
      <c r="AC135" s="32" t="str">
        <f>IF(Orders!D132="","",INDEX(Riders!$C$2:$C$81,MATCH(Orders!D132,Riders!$A$2:$A$81,0)))</f>
        <v>EV scooter</v>
      </c>
      <c r="AD135" s="33">
        <f>IF(Orders!D132="","",INDEX(Riders!$D$2:$D$81,MATCH(Orders!D132,Riders!$A$2:$A$81,0)))</f>
        <v>1</v>
      </c>
      <c r="AE135" s="33">
        <f>IF(Orders!D132="","",IF(INDEX(Riders!$B$2:$B$81,MATCH(Orders!D132,Riders!$A$2:$A$81,0))=B135,1,0))</f>
        <v>0</v>
      </c>
      <c r="AF135" s="34">
        <f>IF(E135=1,Orders!L132,"")</f>
        <v>2.31</v>
      </c>
      <c r="AG135" s="34">
        <f>IF(E135=1,Orders!P132,"")</f>
        <v>9.5</v>
      </c>
      <c r="AH135" s="34">
        <f>IF(E135=1,Orders!Q132,"")</f>
        <v>8.8</v>
      </c>
      <c r="AI135" s="34">
        <f>IF(E135=1,Orders!M132,"")</f>
        <v>2.2</v>
      </c>
      <c r="AJ135" s="34">
        <f>IF(E135=1,Orders!N132,"")</f>
        <v>3.9</v>
      </c>
      <c r="AK135" s="34">
        <f>IF(E135=1,Orders!O132,"")</f>
        <v>2.7</v>
      </c>
      <c r="AL135" s="33">
        <f>IF(E135=1,IF(ROUND(ABS(AI135+AJ135+AK135-AH135),6)&lt;=0.1,1,0),"")</f>
        <v>1</v>
      </c>
      <c r="AM135" s="36">
        <f>IF(E135=1,AI135/AH135,"")</f>
        <v>0.25</v>
      </c>
      <c r="AN135" s="36">
        <f>IF(E135=1,AJ135/AH135,"")</f>
        <v>0.443181818181818</v>
      </c>
      <c r="AO135" s="36">
        <f>IF(E135=1,AK135/AH135,"")</f>
        <v>0.306818181818182</v>
      </c>
      <c r="AP135" s="34">
        <f>IF(E135=1,Orders!Y132,"")</f>
        <v>0.61</v>
      </c>
      <c r="AQ135" s="33">
        <f>IF(Orders!X132,1,0)</f>
        <v>0</v>
      </c>
      <c r="AR135" s="34" t="str">
        <f>IF(AND(E135=1,L135=1),AJ135,"")</f>
        <v/>
      </c>
      <c r="AS135" s="34">
        <f>IF(AND(E135=1,L135=0),AJ135,"")</f>
        <v>3.9</v>
      </c>
      <c r="AT135" s="34" t="str">
        <f>IF(AND(E135=1,L135=1),AI135,"")</f>
        <v/>
      </c>
      <c r="AU135" s="34">
        <f>IF(AND(E135=1,L135=0),AI135,"")</f>
        <v>2.2</v>
      </c>
      <c r="AV135" s="34" t="str">
        <f>IF(AND(E135=1,L135=1),AG135,"")</f>
        <v/>
      </c>
      <c r="AW135" s="34">
        <f>IF(AND(E135=1,L135=0),AG135,"")</f>
        <v>9.5</v>
      </c>
      <c r="AX135" s="34" t="str">
        <f>IF(AND(E135=1,L135=1),AH135,"")</f>
        <v/>
      </c>
      <c r="AY135" s="34">
        <f>IF(AND(E135=1,L135=0),AH135,"")</f>
        <v>8.8</v>
      </c>
      <c r="AZ135" s="34" t="str">
        <f>IF(G135=1,F135,"")</f>
        <v/>
      </c>
      <c r="BA135" s="34" t="str">
        <f>IF(AND(G135=1,L135=1),F135,"")</f>
        <v/>
      </c>
      <c r="BB135" s="34" t="str">
        <f>IF(AND(G135=1,L135=0),F135,"")</f>
        <v/>
      </c>
      <c r="BC135" s="33">
        <f>IF(E135=1,IF(Orders!R132&gt;3,1,0),"")</f>
        <v>0</v>
      </c>
      <c r="BD135" s="33">
        <f>IF(E135=1,IF(Orders!R132&gt;7,1,0),"")</f>
        <v>0</v>
      </c>
      <c r="BE135" s="32" t="str">
        <f>IF(E135=1,IF(Orders!L132&lt;=1.5,"Up to 1.5 km",IF(Orders!L132&lt;=3,"1.5–3 km","Over 3 km")),"")</f>
        <v>1.5–3 km</v>
      </c>
      <c r="BF135" s="33">
        <f>IF(E135=1,IF(ABS((Orders!G132-Orders!F132)*1440-Orders!R132)&lt;0.06,1,0),"")</f>
        <v>1</v>
      </c>
      <c r="BG135" s="33">
        <f>IF(ABS((Orders!F132-Orders!E132)*1440-Orders!P132)&lt;0.06,1,0)</f>
        <v>1</v>
      </c>
      <c r="BH135" s="33">
        <f>IF(E135=1,IF(IF(Orders!S132,1,0)=1-G135,1,0),"")</f>
        <v>1</v>
      </c>
      <c r="BI135" s="32" t="str">
        <f>INDEX(Stores!$B$2:$B$21,MATCH(B135,Stores!$A$2:$A$21,0))</f>
        <v>Delhi</v>
      </c>
    </row>
    <row r="136">
      <c r="A136" s="32" t="str">
        <f>Orders!A133</f>
        <v>O00132</v>
      </c>
      <c r="B136" s="32" t="str">
        <f>Orders!C133</f>
        <v>S017</v>
      </c>
      <c r="C136" s="32" t="str">
        <f>Orders!B133</f>
        <v>C0055</v>
      </c>
      <c r="D136" s="32" t="str">
        <f>Orders!H133</f>
        <v>Delivered</v>
      </c>
      <c r="E136" s="33">
        <f>IF(Orders!H133="Delivered",1,0)</f>
        <v>1</v>
      </c>
      <c r="F136" s="34">
        <f>IF(E136=1,Orders!R133,"")</f>
        <v>-0.8</v>
      </c>
      <c r="G136" s="33">
        <f>IF(E136=1,IF(Orders!R133&gt;0,1,0),"")</f>
        <v>0</v>
      </c>
      <c r="H136" s="33">
        <f>IF(E136=1,IF(Orders!R133&gt;5,1,0),"")</f>
        <v>0</v>
      </c>
      <c r="I136" s="32" t="str">
        <f>IF(E136=1,"",IF(OR(Orders!T133="Rider unavailable",Orders!T133="Item unavailable"),"Company-caused","Unresolved"))</f>
        <v/>
      </c>
      <c r="J136" s="33">
        <f>IF(OR(E136=1,I136="Company-caused"),1,0)</f>
        <v>1</v>
      </c>
      <c r="K136" s="32" t="str">
        <f>IF(E136=0,IF(I136="Company-caused",IF(Orders!T133="Rider unavailable","C1 Rider unavailable","C2 Item unavailable"),"Outside root: unresolved"),IF(G136=0,"A On time",IF(H136=1,IF(L136=1,"B2a Severe, peak","B2b Severe, off-peak"),IF(L136=1,"B1a Slight, peak","B1b Slight, off-peak"))))</f>
        <v>A On time</v>
      </c>
      <c r="L136" s="33">
        <f>IF(AND(Orders!U133&gt;=19,Orders!U133&lt;22),1,0)</f>
        <v>0</v>
      </c>
      <c r="M136" s="33">
        <f>IF(L136=IF(Orders!V133,1,0),1,0)</f>
        <v>1</v>
      </c>
      <c r="N136" s="32" t="str">
        <f>IF(Orders!W133="","None",Orders!W133)</f>
        <v>Light</v>
      </c>
      <c r="O136" s="35">
        <f>INT(Orders!E133)</f>
        <v>46276.0</v>
      </c>
      <c r="P136" s="33">
        <f>Orders!U133</f>
        <v>11</v>
      </c>
      <c r="Q136" s="33">
        <f>COUNTIFS(Demand!$A$2:$A$4481,B136,Demand!$B$2:$B$4481,O136,Demand!$C$2:$C$4481,P136)</f>
        <v>1</v>
      </c>
      <c r="R136" s="33">
        <f>IF(Q136=1,SUMIFS(Demand!$E$2:$E$4481,Demand!$A$2:$A$4481,B136,Demand!$B$2:$B$4481,O136,Demand!$C$2:$C$4481,P136),"")</f>
        <v>45</v>
      </c>
      <c r="S136" s="33">
        <f>INDEX(Stores!$G$2:$G$21,MATCH(B136,Stores!$A$2:$A$21,0))</f>
        <v>36</v>
      </c>
      <c r="T136" s="34">
        <f>IF(R136="","",R136/S136)</f>
        <v>1.25</v>
      </c>
      <c r="U136" s="34">
        <f>IF(E136=1,T136,"")</f>
        <v>1.25</v>
      </c>
      <c r="V136" s="34">
        <f>IF(AND(E136=1,L136=0),T136,"")</f>
        <v>1.25</v>
      </c>
      <c r="W136" s="33">
        <f>IF(U136="","",IF(U136&lt;=Breakdowns!$C$5,1,IF(U136&lt;=Breakdowns!$C$6,2,IF(U136&lt;=Breakdowns!$C$7,3,4))))</f>
        <v>4</v>
      </c>
      <c r="X136" s="33">
        <f>IF(V136="","",IF(V136&lt;=Breakdowns!$D$5,1,IF(V136&lt;=Breakdowns!$D$6,2,IF(V136&lt;=Breakdowns!$D$7,3,4))))</f>
        <v>4</v>
      </c>
      <c r="Y136" s="34">
        <f>INDEX(Stores!$F$2:$F$21,MATCH(B136,Stores!$A$2:$A$21,0))</f>
        <v>2.16</v>
      </c>
      <c r="Z136" s="33">
        <f>IF(Y136&gt;Store_Summary!$M$2,1,0)</f>
        <v>0</v>
      </c>
      <c r="AA136" s="33">
        <f>INDEX(Stores!$C$2:$C$21,MATCH(B136,Stores!$A$2:$A$21,0))</f>
        <v>47</v>
      </c>
      <c r="AB136" s="33">
        <f>IF(AA136&lt;180,1,0)</f>
        <v>1</v>
      </c>
      <c r="AC136" s="32" t="str">
        <f>IF(Orders!D133="","",INDEX(Riders!$C$2:$C$81,MATCH(Orders!D133,Riders!$A$2:$A$81,0)))</f>
        <v>EV scooter</v>
      </c>
      <c r="AD136" s="33">
        <f>IF(Orders!D133="","",INDEX(Riders!$D$2:$D$81,MATCH(Orders!D133,Riders!$A$2:$A$81,0)))</f>
        <v>46</v>
      </c>
      <c r="AE136" s="33">
        <f>IF(Orders!D133="","",IF(INDEX(Riders!$B$2:$B$81,MATCH(Orders!D133,Riders!$A$2:$A$81,0))=B136,1,0))</f>
        <v>0</v>
      </c>
      <c r="AF136" s="34">
        <f>IF(E136=1,Orders!L133,"")</f>
        <v>1.71</v>
      </c>
      <c r="AG136" s="34">
        <f>IF(E136=1,Orders!P133,"")</f>
        <v>9.8</v>
      </c>
      <c r="AH136" s="34">
        <f>IF(E136=1,Orders!Q133,"")</f>
        <v>9</v>
      </c>
      <c r="AI136" s="34">
        <f>IF(E136=1,Orders!M133,"")</f>
        <v>2.5</v>
      </c>
      <c r="AJ136" s="34">
        <f>IF(E136=1,Orders!N133,"")</f>
        <v>2.1</v>
      </c>
      <c r="AK136" s="34">
        <f>IF(E136=1,Orders!O133,"")</f>
        <v>4.4</v>
      </c>
      <c r="AL136" s="33">
        <f>IF(E136=1,IF(ROUND(ABS(AI136+AJ136+AK136-AH136),6)&lt;=0.1,1,0),"")</f>
        <v>1</v>
      </c>
      <c r="AM136" s="36">
        <f>IF(E136=1,AI136/AH136,"")</f>
        <v>0.277777777777778</v>
      </c>
      <c r="AN136" s="36">
        <f>IF(E136=1,AJ136/AH136,"")</f>
        <v>0.233333333333333</v>
      </c>
      <c r="AO136" s="36">
        <f>IF(E136=1,AK136/AH136,"")</f>
        <v>0.488888888888889</v>
      </c>
      <c r="AP136" s="34">
        <f>IF(E136=1,Orders!Y133,"")</f>
        <v>0.4</v>
      </c>
      <c r="AQ136" s="33">
        <f>IF(Orders!X133,1,0)</f>
        <v>0</v>
      </c>
      <c r="AR136" s="34" t="str">
        <f>IF(AND(E136=1,L136=1),AJ136,"")</f>
        <v/>
      </c>
      <c r="AS136" s="34">
        <f>IF(AND(E136=1,L136=0),AJ136,"")</f>
        <v>2.1</v>
      </c>
      <c r="AT136" s="34" t="str">
        <f>IF(AND(E136=1,L136=1),AI136,"")</f>
        <v/>
      </c>
      <c r="AU136" s="34">
        <f>IF(AND(E136=1,L136=0),AI136,"")</f>
        <v>2.5</v>
      </c>
      <c r="AV136" s="34" t="str">
        <f>IF(AND(E136=1,L136=1),AG136,"")</f>
        <v/>
      </c>
      <c r="AW136" s="34">
        <f>IF(AND(E136=1,L136=0),AG136,"")</f>
        <v>9.8</v>
      </c>
      <c r="AX136" s="34" t="str">
        <f>IF(AND(E136=1,L136=1),AH136,"")</f>
        <v/>
      </c>
      <c r="AY136" s="34">
        <f>IF(AND(E136=1,L136=0),AH136,"")</f>
        <v>9</v>
      </c>
      <c r="AZ136" s="34" t="str">
        <f>IF(G136=1,F136,"")</f>
        <v/>
      </c>
      <c r="BA136" s="34" t="str">
        <f>IF(AND(G136=1,L136=1),F136,"")</f>
        <v/>
      </c>
      <c r="BB136" s="34" t="str">
        <f>IF(AND(G136=1,L136=0),F136,"")</f>
        <v/>
      </c>
      <c r="BC136" s="33">
        <f>IF(E136=1,IF(Orders!R133&gt;3,1,0),"")</f>
        <v>0</v>
      </c>
      <c r="BD136" s="33">
        <f>IF(E136=1,IF(Orders!R133&gt;7,1,0),"")</f>
        <v>0</v>
      </c>
      <c r="BE136" s="32" t="str">
        <f>IF(E136=1,IF(Orders!L133&lt;=1.5,"Up to 1.5 km",IF(Orders!L133&lt;=3,"1.5–3 km","Over 3 km")),"")</f>
        <v>1.5–3 km</v>
      </c>
      <c r="BF136" s="33">
        <f>IF(E136=1,IF(ABS((Orders!G133-Orders!F133)*1440-Orders!R133)&lt;0.06,1,0),"")</f>
        <v>1</v>
      </c>
      <c r="BG136" s="33">
        <f>IF(ABS((Orders!F133-Orders!E133)*1440-Orders!P133)&lt;0.06,1,0)</f>
        <v>1</v>
      </c>
      <c r="BH136" s="33">
        <f>IF(E136=1,IF(IF(Orders!S133,1,0)=1-G136,1,0),"")</f>
        <v>1</v>
      </c>
      <c r="BI136" s="32" t="str">
        <f>INDEX(Stores!$B$2:$B$21,MATCH(B136,Stores!$A$2:$A$21,0))</f>
        <v>Hyderabad</v>
      </c>
    </row>
    <row r="137">
      <c r="A137" s="32" t="str">
        <f>Orders!A134</f>
        <v>O00133</v>
      </c>
      <c r="B137" s="32" t="str">
        <f>Orders!C134</f>
        <v>S012</v>
      </c>
      <c r="C137" s="32" t="str">
        <f>Orders!B134</f>
        <v>C0206</v>
      </c>
      <c r="D137" s="32" t="str">
        <f>Orders!H134</f>
        <v>Delivered</v>
      </c>
      <c r="E137" s="33">
        <f>IF(Orders!H134="Delivered",1,0)</f>
        <v>1</v>
      </c>
      <c r="F137" s="34">
        <f>IF(E137=1,Orders!R134,"")</f>
        <v>-0.3</v>
      </c>
      <c r="G137" s="33">
        <f>IF(E137=1,IF(Orders!R134&gt;0,1,0),"")</f>
        <v>0</v>
      </c>
      <c r="H137" s="33">
        <f>IF(E137=1,IF(Orders!R134&gt;5,1,0),"")</f>
        <v>0</v>
      </c>
      <c r="I137" s="32" t="str">
        <f>IF(E137=1,"",IF(OR(Orders!T134="Rider unavailable",Orders!T134="Item unavailable"),"Company-caused","Unresolved"))</f>
        <v/>
      </c>
      <c r="J137" s="33">
        <f>IF(OR(E137=1,I137="Company-caused"),1,0)</f>
        <v>1</v>
      </c>
      <c r="K137" s="32" t="str">
        <f>IF(E137=0,IF(I137="Company-caused",IF(Orders!T134="Rider unavailable","C1 Rider unavailable","C2 Item unavailable"),"Outside root: unresolved"),IF(G137=0,"A On time",IF(H137=1,IF(L137=1,"B2a Severe, peak","B2b Severe, off-peak"),IF(L137=1,"B1a Slight, peak","B1b Slight, off-peak"))))</f>
        <v>A On time</v>
      </c>
      <c r="L137" s="33">
        <f>IF(AND(Orders!U134&gt;=19,Orders!U134&lt;22),1,0)</f>
        <v>0</v>
      </c>
      <c r="M137" s="33">
        <f>IF(L137=IF(Orders!V134,1,0),1,0)</f>
        <v>1</v>
      </c>
      <c r="N137" s="32" t="str">
        <f>IF(Orders!W134="","None",Orders!W134)</f>
        <v>None</v>
      </c>
      <c r="O137" s="35">
        <f>INT(Orders!E134)</f>
        <v>46270.0</v>
      </c>
      <c r="P137" s="33">
        <f>Orders!U134</f>
        <v>9</v>
      </c>
      <c r="Q137" s="33">
        <f>COUNTIFS(Demand!$A$2:$A$4481,B137,Demand!$B$2:$B$4481,O137,Demand!$C$2:$C$4481,P137)</f>
        <v>1</v>
      </c>
      <c r="R137" s="33">
        <f>IF(Q137=1,SUMIFS(Demand!$E$2:$E$4481,Demand!$A$2:$A$4481,B137,Demand!$B$2:$B$4481,O137,Demand!$C$2:$C$4481,P137),"")</f>
        <v>4</v>
      </c>
      <c r="S137" s="33">
        <f>INDEX(Stores!$G$2:$G$21,MATCH(B137,Stores!$A$2:$A$21,0))</f>
        <v>15</v>
      </c>
      <c r="T137" s="34">
        <f>IF(R137="","",R137/S137)</f>
        <v>0.266666666666667</v>
      </c>
      <c r="U137" s="34">
        <f>IF(E137=1,T137,"")</f>
        <v>0.266666666666667</v>
      </c>
      <c r="V137" s="34">
        <f>IF(AND(E137=1,L137=0),T137,"")</f>
        <v>0.266666666666667</v>
      </c>
      <c r="W137" s="33">
        <f>IF(U137="","",IF(U137&lt;=Breakdowns!$C$5,1,IF(U137&lt;=Breakdowns!$C$6,2,IF(U137&lt;=Breakdowns!$C$7,3,4))))</f>
        <v>1</v>
      </c>
      <c r="X137" s="33">
        <f>IF(V137="","",IF(V137&lt;=Breakdowns!$D$5,1,IF(V137&lt;=Breakdowns!$D$6,2,IF(V137&lt;=Breakdowns!$D$7,3,4))))</f>
        <v>1</v>
      </c>
      <c r="Y137" s="34">
        <f>INDEX(Stores!$F$2:$F$21,MATCH(B137,Stores!$A$2:$A$21,0))</f>
        <v>5.23</v>
      </c>
      <c r="Z137" s="33">
        <f>IF(Y137&gt;Store_Summary!$M$2,1,0)</f>
        <v>1</v>
      </c>
      <c r="AA137" s="33">
        <f>INDEX(Stores!$C$2:$C$21,MATCH(B137,Stores!$A$2:$A$21,0))</f>
        <v>300</v>
      </c>
      <c r="AB137" s="33">
        <f>IF(AA137&lt;180,1,0)</f>
        <v>0</v>
      </c>
      <c r="AC137" s="32" t="str">
        <f>IF(Orders!D134="","",INDEX(Riders!$C$2:$C$81,MATCH(Orders!D134,Riders!$A$2:$A$81,0)))</f>
        <v>EV scooter</v>
      </c>
      <c r="AD137" s="33">
        <f>IF(Orders!D134="","",INDEX(Riders!$D$2:$D$81,MATCH(Orders!D134,Riders!$A$2:$A$81,0)))</f>
        <v>9</v>
      </c>
      <c r="AE137" s="33">
        <f>IF(Orders!D134="","",IF(INDEX(Riders!$B$2:$B$81,MATCH(Orders!D134,Riders!$A$2:$A$81,0))=B137,1,0))</f>
        <v>1</v>
      </c>
      <c r="AF137" s="34">
        <f>IF(E137=1,Orders!L134,"")</f>
        <v>5.3</v>
      </c>
      <c r="AG137" s="34">
        <f>IF(E137=1,Orders!P134,"")</f>
        <v>12.3</v>
      </c>
      <c r="AH137" s="34">
        <f>IF(E137=1,Orders!Q134,"")</f>
        <v>12</v>
      </c>
      <c r="AI137" s="34">
        <f>IF(E137=1,Orders!M134,"")</f>
        <v>3.2</v>
      </c>
      <c r="AJ137" s="34">
        <f>IF(E137=1,Orders!N134,"")</f>
        <v>2.3</v>
      </c>
      <c r="AK137" s="34">
        <f>IF(E137=1,Orders!O134,"")</f>
        <v>6.5</v>
      </c>
      <c r="AL137" s="33">
        <f>IF(E137=1,IF(ROUND(ABS(AI137+AJ137+AK137-AH137),6)&lt;=0.1,1,0),"")</f>
        <v>1</v>
      </c>
      <c r="AM137" s="36">
        <f>IF(E137=1,AI137/AH137,"")</f>
        <v>0.266666666666667</v>
      </c>
      <c r="AN137" s="36">
        <f>IF(E137=1,AJ137/AH137,"")</f>
        <v>0.191666666666667</v>
      </c>
      <c r="AO137" s="36">
        <f>IF(E137=1,AK137/AH137,"")</f>
        <v>0.541666666666667</v>
      </c>
      <c r="AP137" s="34">
        <f>IF(E137=1,Orders!Y134,"")</f>
        <v>0.44</v>
      </c>
      <c r="AQ137" s="33">
        <f>IF(Orders!X134,1,0)</f>
        <v>0</v>
      </c>
      <c r="AR137" s="34" t="str">
        <f>IF(AND(E137=1,L137=1),AJ137,"")</f>
        <v/>
      </c>
      <c r="AS137" s="34">
        <f>IF(AND(E137=1,L137=0),AJ137,"")</f>
        <v>2.3</v>
      </c>
      <c r="AT137" s="34" t="str">
        <f>IF(AND(E137=1,L137=1),AI137,"")</f>
        <v/>
      </c>
      <c r="AU137" s="34">
        <f>IF(AND(E137=1,L137=0),AI137,"")</f>
        <v>3.2</v>
      </c>
      <c r="AV137" s="34" t="str">
        <f>IF(AND(E137=1,L137=1),AG137,"")</f>
        <v/>
      </c>
      <c r="AW137" s="34">
        <f>IF(AND(E137=1,L137=0),AG137,"")</f>
        <v>12.3</v>
      </c>
      <c r="AX137" s="34" t="str">
        <f>IF(AND(E137=1,L137=1),AH137,"")</f>
        <v/>
      </c>
      <c r="AY137" s="34">
        <f>IF(AND(E137=1,L137=0),AH137,"")</f>
        <v>12</v>
      </c>
      <c r="AZ137" s="34" t="str">
        <f>IF(G137=1,F137,"")</f>
        <v/>
      </c>
      <c r="BA137" s="34" t="str">
        <f>IF(AND(G137=1,L137=1),F137,"")</f>
        <v/>
      </c>
      <c r="BB137" s="34" t="str">
        <f>IF(AND(G137=1,L137=0),F137,"")</f>
        <v/>
      </c>
      <c r="BC137" s="33">
        <f>IF(E137=1,IF(Orders!R134&gt;3,1,0),"")</f>
        <v>0</v>
      </c>
      <c r="BD137" s="33">
        <f>IF(E137=1,IF(Orders!R134&gt;7,1,0),"")</f>
        <v>0</v>
      </c>
      <c r="BE137" s="32" t="str">
        <f>IF(E137=1,IF(Orders!L134&lt;=1.5,"Up to 1.5 km",IF(Orders!L134&lt;=3,"1.5–3 km","Over 3 km")),"")</f>
        <v>Over 3 km</v>
      </c>
      <c r="BF137" s="33">
        <f>IF(E137=1,IF(ABS((Orders!G134-Orders!F134)*1440-Orders!R134)&lt;0.06,1,0),"")</f>
        <v>1</v>
      </c>
      <c r="BG137" s="33">
        <f>IF(ABS((Orders!F134-Orders!E134)*1440-Orders!P134)&lt;0.06,1,0)</f>
        <v>1</v>
      </c>
      <c r="BH137" s="33">
        <f>IF(E137=1,IF(IF(Orders!S134,1,0)=1-G137,1,0),"")</f>
        <v>1</v>
      </c>
      <c r="BI137" s="32" t="str">
        <f>INDEX(Stores!$B$2:$B$21,MATCH(B137,Stores!$A$2:$A$21,0))</f>
        <v>Hyderabad</v>
      </c>
    </row>
    <row r="138">
      <c r="A138" s="32" t="str">
        <f>Orders!A135</f>
        <v>O00134</v>
      </c>
      <c r="B138" s="32" t="str">
        <f>Orders!C135</f>
        <v>S012</v>
      </c>
      <c r="C138" s="32" t="str">
        <f>Orders!B135</f>
        <v>C0128</v>
      </c>
      <c r="D138" s="32" t="str">
        <f>Orders!H135</f>
        <v>Delivered</v>
      </c>
      <c r="E138" s="33">
        <f>IF(Orders!H135="Delivered",1,0)</f>
        <v>1</v>
      </c>
      <c r="F138" s="34">
        <f>IF(E138=1,Orders!R135,"")</f>
        <v>-0.3</v>
      </c>
      <c r="G138" s="33">
        <f>IF(E138=1,IF(Orders!R135&gt;0,1,0),"")</f>
        <v>0</v>
      </c>
      <c r="H138" s="33">
        <f>IF(E138=1,IF(Orders!R135&gt;5,1,0),"")</f>
        <v>0</v>
      </c>
      <c r="I138" s="32" t="str">
        <f>IF(E138=1,"",IF(OR(Orders!T135="Rider unavailable",Orders!T135="Item unavailable"),"Company-caused","Unresolved"))</f>
        <v/>
      </c>
      <c r="J138" s="33">
        <f>IF(OR(E138=1,I138="Company-caused"),1,0)</f>
        <v>1</v>
      </c>
      <c r="K138" s="32" t="str">
        <f>IF(E138=0,IF(I138="Company-caused",IF(Orders!T135="Rider unavailable","C1 Rider unavailable","C2 Item unavailable"),"Outside root: unresolved"),IF(G138=0,"A On time",IF(H138=1,IF(L138=1,"B2a Severe, peak","B2b Severe, off-peak"),IF(L138=1,"B1a Slight, peak","B1b Slight, off-peak"))))</f>
        <v>A On time</v>
      </c>
      <c r="L138" s="33">
        <f>IF(AND(Orders!U135&gt;=19,Orders!U135&lt;22),1,0)</f>
        <v>0</v>
      </c>
      <c r="M138" s="33">
        <f>IF(L138=IF(Orders!V135,1,0),1,0)</f>
        <v>1</v>
      </c>
      <c r="N138" s="32" t="str">
        <f>IF(Orders!W135="","None",Orders!W135)</f>
        <v>Light</v>
      </c>
      <c r="O138" s="35">
        <f>INT(Orders!E135)</f>
        <v>46273.0</v>
      </c>
      <c r="P138" s="33">
        <f>Orders!U135</f>
        <v>18</v>
      </c>
      <c r="Q138" s="33">
        <f>COUNTIFS(Demand!$A$2:$A$4481,B138,Demand!$B$2:$B$4481,O138,Demand!$C$2:$C$4481,P138)</f>
        <v>1</v>
      </c>
      <c r="R138" s="33">
        <f>IF(Q138=1,SUMIFS(Demand!$E$2:$E$4481,Demand!$A$2:$A$4481,B138,Demand!$B$2:$B$4481,O138,Demand!$C$2:$C$4481,P138),"")</f>
        <v>17</v>
      </c>
      <c r="S138" s="33">
        <f>INDEX(Stores!$G$2:$G$21,MATCH(B138,Stores!$A$2:$A$21,0))</f>
        <v>15</v>
      </c>
      <c r="T138" s="34">
        <f>IF(R138="","",R138/S138)</f>
        <v>1.13333333333333</v>
      </c>
      <c r="U138" s="34">
        <f>IF(E138=1,T138,"")</f>
        <v>1.13333333333333</v>
      </c>
      <c r="V138" s="34">
        <f>IF(AND(E138=1,L138=0),T138,"")</f>
        <v>1.13333333333333</v>
      </c>
      <c r="W138" s="33">
        <f>IF(U138="","",IF(U138&lt;=Breakdowns!$C$5,1,IF(U138&lt;=Breakdowns!$C$6,2,IF(U138&lt;=Breakdowns!$C$7,3,4))))</f>
        <v>3</v>
      </c>
      <c r="X138" s="33">
        <f>IF(V138="","",IF(V138&lt;=Breakdowns!$D$5,1,IF(V138&lt;=Breakdowns!$D$6,2,IF(V138&lt;=Breakdowns!$D$7,3,4))))</f>
        <v>4</v>
      </c>
      <c r="Y138" s="34">
        <f>INDEX(Stores!$F$2:$F$21,MATCH(B138,Stores!$A$2:$A$21,0))</f>
        <v>5.23</v>
      </c>
      <c r="Z138" s="33">
        <f>IF(Y138&gt;Store_Summary!$M$2,1,0)</f>
        <v>1</v>
      </c>
      <c r="AA138" s="33">
        <f>INDEX(Stores!$C$2:$C$21,MATCH(B138,Stores!$A$2:$A$21,0))</f>
        <v>300</v>
      </c>
      <c r="AB138" s="33">
        <f>IF(AA138&lt;180,1,0)</f>
        <v>0</v>
      </c>
      <c r="AC138" s="32" t="str">
        <f>IF(Orders!D135="","",INDEX(Riders!$C$2:$C$81,MATCH(Orders!D135,Riders!$A$2:$A$81,0)))</f>
        <v>EV scooter</v>
      </c>
      <c r="AD138" s="33">
        <f>IF(Orders!D135="","",INDEX(Riders!$D$2:$D$81,MATCH(Orders!D135,Riders!$A$2:$A$81,0)))</f>
        <v>33</v>
      </c>
      <c r="AE138" s="33">
        <f>IF(Orders!D135="","",IF(INDEX(Riders!$B$2:$B$81,MATCH(Orders!D135,Riders!$A$2:$A$81,0))=B138,1,0))</f>
        <v>0</v>
      </c>
      <c r="AF138" s="34">
        <f>IF(E138=1,Orders!L135,"")</f>
        <v>0.5</v>
      </c>
      <c r="AG138" s="34">
        <f>IF(E138=1,Orders!P135,"")</f>
        <v>9.2</v>
      </c>
      <c r="AH138" s="34">
        <f>IF(E138=1,Orders!Q135,"")</f>
        <v>8.9</v>
      </c>
      <c r="AI138" s="34">
        <f>IF(E138=1,Orders!M135,"")</f>
        <v>3.1</v>
      </c>
      <c r="AJ138" s="34">
        <f>IF(E138=1,Orders!N135,"")</f>
        <v>4.1</v>
      </c>
      <c r="AK138" s="34">
        <f>IF(E138=1,Orders!O135,"")</f>
        <v>1.7</v>
      </c>
      <c r="AL138" s="33">
        <f>IF(E138=1,IF(ROUND(ABS(AI138+AJ138+AK138-AH138),6)&lt;=0.1,1,0),"")</f>
        <v>1</v>
      </c>
      <c r="AM138" s="36">
        <f>IF(E138=1,AI138/AH138,"")</f>
        <v>0.348314606741573</v>
      </c>
      <c r="AN138" s="36">
        <f>IF(E138=1,AJ138/AH138,"")</f>
        <v>0.460674157303371</v>
      </c>
      <c r="AO138" s="36">
        <f>IF(E138=1,AK138/AH138,"")</f>
        <v>0.191011235955056</v>
      </c>
      <c r="AP138" s="34">
        <f>IF(E138=1,Orders!Y135,"")</f>
        <v>0.47</v>
      </c>
      <c r="AQ138" s="33">
        <f>IF(Orders!X135,1,0)</f>
        <v>0</v>
      </c>
      <c r="AR138" s="34" t="str">
        <f>IF(AND(E138=1,L138=1),AJ138,"")</f>
        <v/>
      </c>
      <c r="AS138" s="34">
        <f>IF(AND(E138=1,L138=0),AJ138,"")</f>
        <v>4.1</v>
      </c>
      <c r="AT138" s="34" t="str">
        <f>IF(AND(E138=1,L138=1),AI138,"")</f>
        <v/>
      </c>
      <c r="AU138" s="34">
        <f>IF(AND(E138=1,L138=0),AI138,"")</f>
        <v>3.1</v>
      </c>
      <c r="AV138" s="34" t="str">
        <f>IF(AND(E138=1,L138=1),AG138,"")</f>
        <v/>
      </c>
      <c r="AW138" s="34">
        <f>IF(AND(E138=1,L138=0),AG138,"")</f>
        <v>9.2</v>
      </c>
      <c r="AX138" s="34" t="str">
        <f>IF(AND(E138=1,L138=1),AH138,"")</f>
        <v/>
      </c>
      <c r="AY138" s="34">
        <f>IF(AND(E138=1,L138=0),AH138,"")</f>
        <v>8.9</v>
      </c>
      <c r="AZ138" s="34" t="str">
        <f>IF(G138=1,F138,"")</f>
        <v/>
      </c>
      <c r="BA138" s="34" t="str">
        <f>IF(AND(G138=1,L138=1),F138,"")</f>
        <v/>
      </c>
      <c r="BB138" s="34" t="str">
        <f>IF(AND(G138=1,L138=0),F138,"")</f>
        <v/>
      </c>
      <c r="BC138" s="33">
        <f>IF(E138=1,IF(Orders!R135&gt;3,1,0),"")</f>
        <v>0</v>
      </c>
      <c r="BD138" s="33">
        <f>IF(E138=1,IF(Orders!R135&gt;7,1,0),"")</f>
        <v>0</v>
      </c>
      <c r="BE138" s="32" t="str">
        <f>IF(E138=1,IF(Orders!L135&lt;=1.5,"Up to 1.5 km",IF(Orders!L135&lt;=3,"1.5–3 km","Over 3 km")),"")</f>
        <v>Up to 1.5 km</v>
      </c>
      <c r="BF138" s="33">
        <f>IF(E138=1,IF(ABS((Orders!G135-Orders!F135)*1440-Orders!R135)&lt;0.06,1,0),"")</f>
        <v>1</v>
      </c>
      <c r="BG138" s="33">
        <f>IF(ABS((Orders!F135-Orders!E135)*1440-Orders!P135)&lt;0.06,1,0)</f>
        <v>1</v>
      </c>
      <c r="BH138" s="33">
        <f>IF(E138=1,IF(IF(Orders!S135,1,0)=1-G138,1,0),"")</f>
        <v>1</v>
      </c>
      <c r="BI138" s="32" t="str">
        <f>INDEX(Stores!$B$2:$B$21,MATCH(B138,Stores!$A$2:$A$21,0))</f>
        <v>Hyderabad</v>
      </c>
    </row>
    <row r="139">
      <c r="A139" s="32" t="str">
        <f>Orders!A136</f>
        <v>O00135</v>
      </c>
      <c r="B139" s="32" t="str">
        <f>Orders!C136</f>
        <v>S009</v>
      </c>
      <c r="C139" s="32" t="str">
        <f>Orders!B136</f>
        <v>C0025</v>
      </c>
      <c r="D139" s="32" t="str">
        <f>Orders!H136</f>
        <v>Delivered</v>
      </c>
      <c r="E139" s="33">
        <f>IF(Orders!H136="Delivered",1,0)</f>
        <v>1</v>
      </c>
      <c r="F139" s="34">
        <f>IF(E139=1,Orders!R136,"")</f>
        <v>-0.6</v>
      </c>
      <c r="G139" s="33">
        <f>IF(E139=1,IF(Orders!R136&gt;0,1,0),"")</f>
        <v>0</v>
      </c>
      <c r="H139" s="33">
        <f>IF(E139=1,IF(Orders!R136&gt;5,1,0),"")</f>
        <v>0</v>
      </c>
      <c r="I139" s="32" t="str">
        <f>IF(E139=1,"",IF(OR(Orders!T136="Rider unavailable",Orders!T136="Item unavailable"),"Company-caused","Unresolved"))</f>
        <v/>
      </c>
      <c r="J139" s="33">
        <f>IF(OR(E139=1,I139="Company-caused"),1,0)</f>
        <v>1</v>
      </c>
      <c r="K139" s="32" t="str">
        <f>IF(E139=0,IF(I139="Company-caused",IF(Orders!T136="Rider unavailable","C1 Rider unavailable","C2 Item unavailable"),"Outside root: unresolved"),IF(G139=0,"A On time",IF(H139=1,IF(L139=1,"B2a Severe, peak","B2b Severe, off-peak"),IF(L139=1,"B1a Slight, peak","B1b Slight, off-peak"))))</f>
        <v>A On time</v>
      </c>
      <c r="L139" s="33">
        <f>IF(AND(Orders!U136&gt;=19,Orders!U136&lt;22),1,0)</f>
        <v>1</v>
      </c>
      <c r="M139" s="33">
        <f>IF(L139=IF(Orders!V136,1,0),1,0)</f>
        <v>1</v>
      </c>
      <c r="N139" s="32" t="str">
        <f>IF(Orders!W136="","None",Orders!W136)</f>
        <v>None</v>
      </c>
      <c r="O139" s="35">
        <f>INT(Orders!E136)</f>
        <v>46272.0</v>
      </c>
      <c r="P139" s="33">
        <f>Orders!U136</f>
        <v>20</v>
      </c>
      <c r="Q139" s="33">
        <f>COUNTIFS(Demand!$A$2:$A$4481,B139,Demand!$B$2:$B$4481,O139,Demand!$C$2:$C$4481,P139)</f>
        <v>1</v>
      </c>
      <c r="R139" s="33">
        <f>IF(Q139=1,SUMIFS(Demand!$E$2:$E$4481,Demand!$A$2:$A$4481,B139,Demand!$B$2:$B$4481,O139,Demand!$C$2:$C$4481,P139),"")</f>
        <v>41</v>
      </c>
      <c r="S139" s="33">
        <f>INDEX(Stores!$G$2:$G$21,MATCH(B139,Stores!$A$2:$A$21,0))</f>
        <v>29</v>
      </c>
      <c r="T139" s="34">
        <f>IF(R139="","",R139/S139)</f>
        <v>1.41379310344828</v>
      </c>
      <c r="U139" s="34">
        <f>IF(E139=1,T139,"")</f>
        <v>1.41379310344828</v>
      </c>
      <c r="V139" s="34" t="str">
        <f>IF(AND(E139=1,L139=0),T139,"")</f>
        <v/>
      </c>
      <c r="W139" s="33">
        <f>IF(U139="","",IF(U139&lt;=Breakdowns!$C$5,1,IF(U139&lt;=Breakdowns!$C$6,2,IF(U139&lt;=Breakdowns!$C$7,3,4))))</f>
        <v>4</v>
      </c>
      <c r="X139" s="33" t="str">
        <f>IF(V139="","",IF(V139&lt;=Breakdowns!$D$5,1,IF(V139&lt;=Breakdowns!$D$6,2,IF(V139&lt;=Breakdowns!$D$7,3,4))))</f>
        <v/>
      </c>
      <c r="Y139" s="34">
        <f>INDEX(Stores!$F$2:$F$21,MATCH(B139,Stores!$A$2:$A$21,0))</f>
        <v>2.66</v>
      </c>
      <c r="Z139" s="33">
        <f>IF(Y139&gt;Store_Summary!$M$2,1,0)</f>
        <v>0</v>
      </c>
      <c r="AA139" s="33">
        <f>INDEX(Stores!$C$2:$C$21,MATCH(B139,Stores!$A$2:$A$21,0))</f>
        <v>645</v>
      </c>
      <c r="AB139" s="33">
        <f>IF(AA139&lt;180,1,0)</f>
        <v>0</v>
      </c>
      <c r="AC139" s="32" t="str">
        <f>IF(Orders!D136="","",INDEX(Riders!$C$2:$C$81,MATCH(Orders!D136,Riders!$A$2:$A$81,0)))</f>
        <v>EV scooter</v>
      </c>
      <c r="AD139" s="33">
        <f>IF(Orders!D136="","",INDEX(Riders!$D$2:$D$81,MATCH(Orders!D136,Riders!$A$2:$A$81,0)))</f>
        <v>36</v>
      </c>
      <c r="AE139" s="33">
        <f>IF(Orders!D136="","",IF(INDEX(Riders!$B$2:$B$81,MATCH(Orders!D136,Riders!$A$2:$A$81,0))=B139,1,0))</f>
        <v>0</v>
      </c>
      <c r="AF139" s="34">
        <f>IF(E139=1,Orders!L136,"")</f>
        <v>2.8</v>
      </c>
      <c r="AG139" s="34">
        <f>IF(E139=1,Orders!P136,"")</f>
        <v>7.8</v>
      </c>
      <c r="AH139" s="34">
        <f>IF(E139=1,Orders!Q136,"")</f>
        <v>7.2</v>
      </c>
      <c r="AI139" s="34">
        <f>IF(E139=1,Orders!M136,"")</f>
        <v>1.4</v>
      </c>
      <c r="AJ139" s="34">
        <f>IF(E139=1,Orders!N136,"")</f>
        <v>2.9</v>
      </c>
      <c r="AK139" s="34">
        <f>IF(E139=1,Orders!O136,"")</f>
        <v>2.9</v>
      </c>
      <c r="AL139" s="33">
        <f>IF(E139=1,IF(ROUND(ABS(AI139+AJ139+AK139-AH139),6)&lt;=0.1,1,0),"")</f>
        <v>1</v>
      </c>
      <c r="AM139" s="36">
        <f>IF(E139=1,AI139/AH139,"")</f>
        <v>0.194444444444444</v>
      </c>
      <c r="AN139" s="36">
        <f>IF(E139=1,AJ139/AH139,"")</f>
        <v>0.402777777777778</v>
      </c>
      <c r="AO139" s="36">
        <f>IF(E139=1,AK139/AH139,"")</f>
        <v>0.402777777777778</v>
      </c>
      <c r="AP139" s="34">
        <f>IF(E139=1,Orders!Y136,"")</f>
        <v>0.56</v>
      </c>
      <c r="AQ139" s="33">
        <f>IF(Orders!X136,1,0)</f>
        <v>0</v>
      </c>
      <c r="AR139" s="34">
        <f>IF(AND(E139=1,L139=1),AJ139,"")</f>
        <v>2.9</v>
      </c>
      <c r="AS139" s="34" t="str">
        <f>IF(AND(E139=1,L139=0),AJ139,"")</f>
        <v/>
      </c>
      <c r="AT139" s="34">
        <f>IF(AND(E139=1,L139=1),AI139,"")</f>
        <v>1.4</v>
      </c>
      <c r="AU139" s="34" t="str">
        <f>IF(AND(E139=1,L139=0),AI139,"")</f>
        <v/>
      </c>
      <c r="AV139" s="34">
        <f>IF(AND(E139=1,L139=1),AG139,"")</f>
        <v>7.8</v>
      </c>
      <c r="AW139" s="34" t="str">
        <f>IF(AND(E139=1,L139=0),AG139,"")</f>
        <v/>
      </c>
      <c r="AX139" s="34">
        <f>IF(AND(E139=1,L139=1),AH139,"")</f>
        <v>7.2</v>
      </c>
      <c r="AY139" s="34" t="str">
        <f>IF(AND(E139=1,L139=0),AH139,"")</f>
        <v/>
      </c>
      <c r="AZ139" s="34" t="str">
        <f>IF(G139=1,F139,"")</f>
        <v/>
      </c>
      <c r="BA139" s="34" t="str">
        <f>IF(AND(G139=1,L139=1),F139,"")</f>
        <v/>
      </c>
      <c r="BB139" s="34" t="str">
        <f>IF(AND(G139=1,L139=0),F139,"")</f>
        <v/>
      </c>
      <c r="BC139" s="33">
        <f>IF(E139=1,IF(Orders!R136&gt;3,1,0),"")</f>
        <v>0</v>
      </c>
      <c r="BD139" s="33">
        <f>IF(E139=1,IF(Orders!R136&gt;7,1,0),"")</f>
        <v>0</v>
      </c>
      <c r="BE139" s="32" t="str">
        <f>IF(E139=1,IF(Orders!L136&lt;=1.5,"Up to 1.5 km",IF(Orders!L136&lt;=3,"1.5–3 km","Over 3 km")),"")</f>
        <v>1.5–3 km</v>
      </c>
      <c r="BF139" s="33">
        <f>IF(E139=1,IF(ABS((Orders!G136-Orders!F136)*1440-Orders!R136)&lt;0.06,1,0),"")</f>
        <v>1</v>
      </c>
      <c r="BG139" s="33">
        <f>IF(ABS((Orders!F136-Orders!E136)*1440-Orders!P136)&lt;0.06,1,0)</f>
        <v>1</v>
      </c>
      <c r="BH139" s="33">
        <f>IF(E139=1,IF(IF(Orders!S136,1,0)=1-G139,1,0),"")</f>
        <v>1</v>
      </c>
      <c r="BI139" s="32" t="str">
        <f>INDEX(Stores!$B$2:$B$21,MATCH(B139,Stores!$A$2:$A$21,0))</f>
        <v>Pune</v>
      </c>
    </row>
    <row r="140">
      <c r="A140" s="32" t="str">
        <f>Orders!A137</f>
        <v>O00136</v>
      </c>
      <c r="B140" s="32" t="str">
        <f>Orders!C137</f>
        <v>S019</v>
      </c>
      <c r="C140" s="32" t="str">
        <f>Orders!B137</f>
        <v>C0115</v>
      </c>
      <c r="D140" s="32" t="str">
        <f>Orders!H137</f>
        <v>Delivered</v>
      </c>
      <c r="E140" s="33">
        <f>IF(Orders!H137="Delivered",1,0)</f>
        <v>1</v>
      </c>
      <c r="F140" s="34">
        <f>IF(E140=1,Orders!R137,"")</f>
        <v>4.9</v>
      </c>
      <c r="G140" s="33">
        <f>IF(E140=1,IF(Orders!R137&gt;0,1,0),"")</f>
        <v>1</v>
      </c>
      <c r="H140" s="33">
        <f>IF(E140=1,IF(Orders!R137&gt;5,1,0),"")</f>
        <v>0</v>
      </c>
      <c r="I140" s="32" t="str">
        <f>IF(E140=1,"",IF(OR(Orders!T137="Rider unavailable",Orders!T137="Item unavailable"),"Company-caused","Unresolved"))</f>
        <v/>
      </c>
      <c r="J140" s="33">
        <f>IF(OR(E140=1,I140="Company-caused"),1,0)</f>
        <v>1</v>
      </c>
      <c r="K140" s="32" t="str">
        <f>IF(E140=0,IF(I140="Company-caused",IF(Orders!T137="Rider unavailable","C1 Rider unavailable","C2 Item unavailable"),"Outside root: unresolved"),IF(G140=0,"A On time",IF(H140=1,IF(L140=1,"B2a Severe, peak","B2b Severe, off-peak"),IF(L140=1,"B1a Slight, peak","B1b Slight, off-peak"))))</f>
        <v>B1b Slight, off-peak</v>
      </c>
      <c r="L140" s="33">
        <f>IF(AND(Orders!U137&gt;=19,Orders!U137&lt;22),1,0)</f>
        <v>0</v>
      </c>
      <c r="M140" s="33">
        <f>IF(L140=IF(Orders!V137,1,0),1,0)</f>
        <v>1</v>
      </c>
      <c r="N140" s="32" t="str">
        <f>IF(Orders!W137="","None",Orders!W137)</f>
        <v>None</v>
      </c>
      <c r="O140" s="35">
        <f>INT(Orders!E137)</f>
        <v>46268.0</v>
      </c>
      <c r="P140" s="33">
        <f>Orders!U137</f>
        <v>16</v>
      </c>
      <c r="Q140" s="33">
        <f>COUNTIFS(Demand!$A$2:$A$4481,B140,Demand!$B$2:$B$4481,O140,Demand!$C$2:$C$4481,P140)</f>
        <v>1</v>
      </c>
      <c r="R140" s="33">
        <f>IF(Q140=1,SUMIFS(Demand!$E$2:$E$4481,Demand!$A$2:$A$4481,B140,Demand!$B$2:$B$4481,O140,Demand!$C$2:$C$4481,P140),"")</f>
        <v>26</v>
      </c>
      <c r="S140" s="33">
        <f>INDEX(Stores!$G$2:$G$21,MATCH(B140,Stores!$A$2:$A$21,0))</f>
        <v>22</v>
      </c>
      <c r="T140" s="34">
        <f>IF(R140="","",R140/S140)</f>
        <v>1.18181818181818</v>
      </c>
      <c r="U140" s="34">
        <f>IF(E140=1,T140,"")</f>
        <v>1.18181818181818</v>
      </c>
      <c r="V140" s="34">
        <f>IF(AND(E140=1,L140=0),T140,"")</f>
        <v>1.18181818181818</v>
      </c>
      <c r="W140" s="33">
        <f>IF(U140="","",IF(U140&lt;=Breakdowns!$C$5,1,IF(U140&lt;=Breakdowns!$C$6,2,IF(U140&lt;=Breakdowns!$C$7,3,4))))</f>
        <v>3</v>
      </c>
      <c r="X140" s="33">
        <f>IF(V140="","",IF(V140&lt;=Breakdowns!$D$5,1,IF(V140&lt;=Breakdowns!$D$6,2,IF(V140&lt;=Breakdowns!$D$7,3,4))))</f>
        <v>4</v>
      </c>
      <c r="Y140" s="34">
        <f>INDEX(Stores!$F$2:$F$21,MATCH(B140,Stores!$A$2:$A$21,0))</f>
        <v>4.99</v>
      </c>
      <c r="Z140" s="33">
        <f>IF(Y140&gt;Store_Summary!$M$2,1,0)</f>
        <v>1</v>
      </c>
      <c r="AA140" s="33">
        <f>INDEX(Stores!$C$2:$C$21,MATCH(B140,Stores!$A$2:$A$21,0))</f>
        <v>851</v>
      </c>
      <c r="AB140" s="33">
        <f>IF(AA140&lt;180,1,0)</f>
        <v>0</v>
      </c>
      <c r="AC140" s="32" t="str">
        <f>IF(Orders!D137="","",INDEX(Riders!$C$2:$C$81,MATCH(Orders!D137,Riders!$A$2:$A$81,0)))</f>
        <v>Petrol scooter</v>
      </c>
      <c r="AD140" s="33">
        <f>IF(Orders!D137="","",INDEX(Riders!$D$2:$D$81,MATCH(Orders!D137,Riders!$A$2:$A$81,0)))</f>
        <v>43</v>
      </c>
      <c r="AE140" s="33">
        <f>IF(Orders!D137="","",IF(INDEX(Riders!$B$2:$B$81,MATCH(Orders!D137,Riders!$A$2:$A$81,0))=B140,1,0))</f>
        <v>0</v>
      </c>
      <c r="AF140" s="34">
        <f>IF(E140=1,Orders!L137,"")</f>
        <v>2.5</v>
      </c>
      <c r="AG140" s="34">
        <f>IF(E140=1,Orders!P137,"")</f>
        <v>10.6</v>
      </c>
      <c r="AH140" s="34">
        <f>IF(E140=1,Orders!Q137,"")</f>
        <v>15.5</v>
      </c>
      <c r="AI140" s="34">
        <f>IF(E140=1,Orders!M137,"")</f>
        <v>5.8</v>
      </c>
      <c r="AJ140" s="34">
        <f>IF(E140=1,Orders!N137,"")</f>
        <v>2.3</v>
      </c>
      <c r="AK140" s="34">
        <f>IF(E140=1,Orders!O137,"")</f>
        <v>7.4</v>
      </c>
      <c r="AL140" s="33">
        <f>IF(E140=1,IF(ROUND(ABS(AI140+AJ140+AK140-AH140),6)&lt;=0.1,1,0),"")</f>
        <v>1</v>
      </c>
      <c r="AM140" s="36">
        <f>IF(E140=1,AI140/AH140,"")</f>
        <v>0.374193548387097</v>
      </c>
      <c r="AN140" s="36">
        <f>IF(E140=1,AJ140/AH140,"")</f>
        <v>0.148387096774194</v>
      </c>
      <c r="AO140" s="36">
        <f>IF(E140=1,AK140/AH140,"")</f>
        <v>0.47741935483871</v>
      </c>
      <c r="AP140" s="34">
        <f>IF(E140=1,Orders!Y137,"")</f>
        <v>0.73</v>
      </c>
      <c r="AQ140" s="33">
        <f>IF(Orders!X137,1,0)</f>
        <v>0</v>
      </c>
      <c r="AR140" s="34" t="str">
        <f>IF(AND(E140=1,L140=1),AJ140,"")</f>
        <v/>
      </c>
      <c r="AS140" s="34">
        <f>IF(AND(E140=1,L140=0),AJ140,"")</f>
        <v>2.3</v>
      </c>
      <c r="AT140" s="34" t="str">
        <f>IF(AND(E140=1,L140=1),AI140,"")</f>
        <v/>
      </c>
      <c r="AU140" s="34">
        <f>IF(AND(E140=1,L140=0),AI140,"")</f>
        <v>5.8</v>
      </c>
      <c r="AV140" s="34" t="str">
        <f>IF(AND(E140=1,L140=1),AG140,"")</f>
        <v/>
      </c>
      <c r="AW140" s="34">
        <f>IF(AND(E140=1,L140=0),AG140,"")</f>
        <v>10.6</v>
      </c>
      <c r="AX140" s="34" t="str">
        <f>IF(AND(E140=1,L140=1),AH140,"")</f>
        <v/>
      </c>
      <c r="AY140" s="34">
        <f>IF(AND(E140=1,L140=0),AH140,"")</f>
        <v>15.5</v>
      </c>
      <c r="AZ140" s="34">
        <f>IF(G140=1,F140,"")</f>
        <v>4.9</v>
      </c>
      <c r="BA140" s="34" t="str">
        <f>IF(AND(G140=1,L140=1),F140,"")</f>
        <v/>
      </c>
      <c r="BB140" s="34">
        <f>IF(AND(G140=1,L140=0),F140,"")</f>
        <v>4.9</v>
      </c>
      <c r="BC140" s="33">
        <f>IF(E140=1,IF(Orders!R137&gt;3,1,0),"")</f>
        <v>1</v>
      </c>
      <c r="BD140" s="33">
        <f>IF(E140=1,IF(Orders!R137&gt;7,1,0),"")</f>
        <v>0</v>
      </c>
      <c r="BE140" s="32" t="str">
        <f>IF(E140=1,IF(Orders!L137&lt;=1.5,"Up to 1.5 km",IF(Orders!L137&lt;=3,"1.5–3 km","Over 3 km")),"")</f>
        <v>1.5–3 km</v>
      </c>
      <c r="BF140" s="33">
        <f>IF(E140=1,IF(ABS((Orders!G137-Orders!F137)*1440-Orders!R137)&lt;0.06,1,0),"")</f>
        <v>1</v>
      </c>
      <c r="BG140" s="33">
        <f>IF(ABS((Orders!F137-Orders!E137)*1440-Orders!P137)&lt;0.06,1,0)</f>
        <v>1</v>
      </c>
      <c r="BH140" s="33">
        <f>IF(E140=1,IF(IF(Orders!S137,1,0)=1-G140,1,0),"")</f>
        <v>1</v>
      </c>
      <c r="BI140" s="32" t="str">
        <f>INDEX(Stores!$B$2:$B$21,MATCH(B140,Stores!$A$2:$A$21,0))</f>
        <v>Pune</v>
      </c>
    </row>
    <row r="141">
      <c r="A141" s="32" t="str">
        <f>Orders!A138</f>
        <v>O00137</v>
      </c>
      <c r="B141" s="32" t="str">
        <f>Orders!C138</f>
        <v>S003</v>
      </c>
      <c r="C141" s="32" t="str">
        <f>Orders!B138</f>
        <v>C0091</v>
      </c>
      <c r="D141" s="32" t="str">
        <f>Orders!H138</f>
        <v>Delivered</v>
      </c>
      <c r="E141" s="33">
        <f>IF(Orders!H138="Delivered",1,0)</f>
        <v>1</v>
      </c>
      <c r="F141" s="34">
        <f>IF(E141=1,Orders!R138,"")</f>
        <v>-0.3</v>
      </c>
      <c r="G141" s="33">
        <f>IF(E141=1,IF(Orders!R138&gt;0,1,0),"")</f>
        <v>0</v>
      </c>
      <c r="H141" s="33">
        <f>IF(E141=1,IF(Orders!R138&gt;5,1,0),"")</f>
        <v>0</v>
      </c>
      <c r="I141" s="32" t="str">
        <f>IF(E141=1,"",IF(OR(Orders!T138="Rider unavailable",Orders!T138="Item unavailable"),"Company-caused","Unresolved"))</f>
        <v/>
      </c>
      <c r="J141" s="33">
        <f>IF(OR(E141=1,I141="Company-caused"),1,0)</f>
        <v>1</v>
      </c>
      <c r="K141" s="32" t="str">
        <f>IF(E141=0,IF(I141="Company-caused",IF(Orders!T138="Rider unavailable","C1 Rider unavailable","C2 Item unavailable"),"Outside root: unresolved"),IF(G141=0,"A On time",IF(H141=1,IF(L141=1,"B2a Severe, peak","B2b Severe, off-peak"),IF(L141=1,"B1a Slight, peak","B1b Slight, off-peak"))))</f>
        <v>A On time</v>
      </c>
      <c r="L141" s="33">
        <f>IF(AND(Orders!U138&gt;=19,Orders!U138&lt;22),1,0)</f>
        <v>0</v>
      </c>
      <c r="M141" s="33">
        <f>IF(L141=IF(Orders!V138,1,0),1,0)</f>
        <v>1</v>
      </c>
      <c r="N141" s="32" t="str">
        <f>IF(Orders!W138="","None",Orders!W138)</f>
        <v>None</v>
      </c>
      <c r="O141" s="35">
        <f>INT(Orders!E138)</f>
        <v>46266.0</v>
      </c>
      <c r="P141" s="33">
        <f>Orders!U138</f>
        <v>8</v>
      </c>
      <c r="Q141" s="33">
        <f>COUNTIFS(Demand!$A$2:$A$4481,B141,Demand!$B$2:$B$4481,O141,Demand!$C$2:$C$4481,P141)</f>
        <v>1</v>
      </c>
      <c r="R141" s="33">
        <f>IF(Q141=1,SUMIFS(Demand!$E$2:$E$4481,Demand!$A$2:$A$4481,B141,Demand!$B$2:$B$4481,O141,Demand!$C$2:$C$4481,P141),"")</f>
        <v>30</v>
      </c>
      <c r="S141" s="33">
        <f>INDEX(Stores!$G$2:$G$21,MATCH(B141,Stores!$A$2:$A$21,0))</f>
        <v>41</v>
      </c>
      <c r="T141" s="34">
        <f>IF(R141="","",R141/S141)</f>
        <v>0.731707317073171</v>
      </c>
      <c r="U141" s="34">
        <f>IF(E141=1,T141,"")</f>
        <v>0.731707317073171</v>
      </c>
      <c r="V141" s="34">
        <f>IF(AND(E141=1,L141=0),T141,"")</f>
        <v>0.731707317073171</v>
      </c>
      <c r="W141" s="33">
        <f>IF(U141="","",IF(U141&lt;=Breakdowns!$C$5,1,IF(U141&lt;=Breakdowns!$C$6,2,IF(U141&lt;=Breakdowns!$C$7,3,4))))</f>
        <v>1</v>
      </c>
      <c r="X141" s="33">
        <f>IF(V141="","",IF(V141&lt;=Breakdowns!$D$5,1,IF(V141&lt;=Breakdowns!$D$6,2,IF(V141&lt;=Breakdowns!$D$7,3,4))))</f>
        <v>1</v>
      </c>
      <c r="Y141" s="34">
        <f>INDEX(Stores!$F$2:$F$21,MATCH(B141,Stores!$A$2:$A$21,0))</f>
        <v>3.84</v>
      </c>
      <c r="Z141" s="33">
        <f>IF(Y141&gt;Store_Summary!$M$2,1,0)</f>
        <v>0</v>
      </c>
      <c r="AA141" s="33">
        <f>INDEX(Stores!$C$2:$C$21,MATCH(B141,Stores!$A$2:$A$21,0))</f>
        <v>426</v>
      </c>
      <c r="AB141" s="33">
        <f>IF(AA141&lt;180,1,0)</f>
        <v>0</v>
      </c>
      <c r="AC141" s="32" t="str">
        <f>IF(Orders!D138="","",INDEX(Riders!$C$2:$C$81,MATCH(Orders!D138,Riders!$A$2:$A$81,0)))</f>
        <v>Petrol scooter</v>
      </c>
      <c r="AD141" s="33">
        <f>IF(Orders!D138="","",INDEX(Riders!$D$2:$D$81,MATCH(Orders!D138,Riders!$A$2:$A$81,0)))</f>
        <v>44</v>
      </c>
      <c r="AE141" s="33">
        <f>IF(Orders!D138="","",IF(INDEX(Riders!$B$2:$B$81,MATCH(Orders!D138,Riders!$A$2:$A$81,0))=B141,1,0))</f>
        <v>0</v>
      </c>
      <c r="AF141" s="34">
        <f>IF(E141=1,Orders!L138,"")</f>
        <v>2.1</v>
      </c>
      <c r="AG141" s="34">
        <f>IF(E141=1,Orders!P138,"")</f>
        <v>9.1</v>
      </c>
      <c r="AH141" s="34">
        <f>IF(E141=1,Orders!Q138,"")</f>
        <v>8.8</v>
      </c>
      <c r="AI141" s="34">
        <f>IF(E141=1,Orders!M138,"")</f>
        <v>2.3</v>
      </c>
      <c r="AJ141" s="34">
        <f>IF(E141=1,Orders!N138,"")</f>
        <v>2.4</v>
      </c>
      <c r="AK141" s="34">
        <f>IF(E141=1,Orders!O138,"")</f>
        <v>4.1</v>
      </c>
      <c r="AL141" s="33">
        <f>IF(E141=1,IF(ROUND(ABS(AI141+AJ141+AK141-AH141),6)&lt;=0.1,1,0),"")</f>
        <v>1</v>
      </c>
      <c r="AM141" s="36">
        <f>IF(E141=1,AI141/AH141,"")</f>
        <v>0.261363636363636</v>
      </c>
      <c r="AN141" s="36">
        <f>IF(E141=1,AJ141/AH141,"")</f>
        <v>0.272727272727273</v>
      </c>
      <c r="AO141" s="36">
        <f>IF(E141=1,AK141/AH141,"")</f>
        <v>0.465909090909091</v>
      </c>
      <c r="AP141" s="34">
        <f>IF(E141=1,Orders!Y138,"")</f>
        <v>0.43</v>
      </c>
      <c r="AQ141" s="33">
        <f>IF(Orders!X138,1,0)</f>
        <v>0</v>
      </c>
      <c r="AR141" s="34" t="str">
        <f>IF(AND(E141=1,L141=1),AJ141,"")</f>
        <v/>
      </c>
      <c r="AS141" s="34">
        <f>IF(AND(E141=1,L141=0),AJ141,"")</f>
        <v>2.4</v>
      </c>
      <c r="AT141" s="34" t="str">
        <f>IF(AND(E141=1,L141=1),AI141,"")</f>
        <v/>
      </c>
      <c r="AU141" s="34">
        <f>IF(AND(E141=1,L141=0),AI141,"")</f>
        <v>2.3</v>
      </c>
      <c r="AV141" s="34" t="str">
        <f>IF(AND(E141=1,L141=1),AG141,"")</f>
        <v/>
      </c>
      <c r="AW141" s="34">
        <f>IF(AND(E141=1,L141=0),AG141,"")</f>
        <v>9.1</v>
      </c>
      <c r="AX141" s="34" t="str">
        <f>IF(AND(E141=1,L141=1),AH141,"")</f>
        <v/>
      </c>
      <c r="AY141" s="34">
        <f>IF(AND(E141=1,L141=0),AH141,"")</f>
        <v>8.8</v>
      </c>
      <c r="AZ141" s="34" t="str">
        <f>IF(G141=1,F141,"")</f>
        <v/>
      </c>
      <c r="BA141" s="34" t="str">
        <f>IF(AND(G141=1,L141=1),F141,"")</f>
        <v/>
      </c>
      <c r="BB141" s="34" t="str">
        <f>IF(AND(G141=1,L141=0),F141,"")</f>
        <v/>
      </c>
      <c r="BC141" s="33">
        <f>IF(E141=1,IF(Orders!R138&gt;3,1,0),"")</f>
        <v>0</v>
      </c>
      <c r="BD141" s="33">
        <f>IF(E141=1,IF(Orders!R138&gt;7,1,0),"")</f>
        <v>0</v>
      </c>
      <c r="BE141" s="32" t="str">
        <f>IF(E141=1,IF(Orders!L138&lt;=1.5,"Up to 1.5 km",IF(Orders!L138&lt;=3,"1.5–3 km","Over 3 km")),"")</f>
        <v>1.5–3 km</v>
      </c>
      <c r="BF141" s="33">
        <f>IF(E141=1,IF(ABS((Orders!G138-Orders!F138)*1440-Orders!R138)&lt;0.06,1,0),"")</f>
        <v>1</v>
      </c>
      <c r="BG141" s="33">
        <f>IF(ABS((Orders!F138-Orders!E138)*1440-Orders!P138)&lt;0.06,1,0)</f>
        <v>1</v>
      </c>
      <c r="BH141" s="33">
        <f>IF(E141=1,IF(IF(Orders!S138,1,0)=1-G141,1,0),"")</f>
        <v>1</v>
      </c>
      <c r="BI141" s="32" t="str">
        <f>INDEX(Stores!$B$2:$B$21,MATCH(B141,Stores!$A$2:$A$21,0))</f>
        <v>Mumbai</v>
      </c>
    </row>
    <row r="142">
      <c r="A142" s="32" t="str">
        <f>Orders!A139</f>
        <v>O00138</v>
      </c>
      <c r="B142" s="32" t="str">
        <f>Orders!C139</f>
        <v>S010</v>
      </c>
      <c r="C142" s="32" t="str">
        <f>Orders!B139</f>
        <v>C0244</v>
      </c>
      <c r="D142" s="32" t="str">
        <f>Orders!H139</f>
        <v>Delivered</v>
      </c>
      <c r="E142" s="33">
        <f>IF(Orders!H139="Delivered",1,0)</f>
        <v>1</v>
      </c>
      <c r="F142" s="34">
        <f>IF(E142=1,Orders!R139,"")</f>
        <v>-1.1</v>
      </c>
      <c r="G142" s="33">
        <f>IF(E142=1,IF(Orders!R139&gt;0,1,0),"")</f>
        <v>0</v>
      </c>
      <c r="H142" s="33">
        <f>IF(E142=1,IF(Orders!R139&gt;5,1,0),"")</f>
        <v>0</v>
      </c>
      <c r="I142" s="32" t="str">
        <f>IF(E142=1,"",IF(OR(Orders!T139="Rider unavailable",Orders!T139="Item unavailable"),"Company-caused","Unresolved"))</f>
        <v/>
      </c>
      <c r="J142" s="33">
        <f>IF(OR(E142=1,I142="Company-caused"),1,0)</f>
        <v>1</v>
      </c>
      <c r="K142" s="32" t="str">
        <f>IF(E142=0,IF(I142="Company-caused",IF(Orders!T139="Rider unavailable","C1 Rider unavailable","C2 Item unavailable"),"Outside root: unresolved"),IF(G142=0,"A On time",IF(H142=1,IF(L142=1,"B2a Severe, peak","B2b Severe, off-peak"),IF(L142=1,"B1a Slight, peak","B1b Slight, off-peak"))))</f>
        <v>A On time</v>
      </c>
      <c r="L142" s="33">
        <f>IF(AND(Orders!U139&gt;=19,Orders!U139&lt;22),1,0)</f>
        <v>0</v>
      </c>
      <c r="M142" s="33">
        <f>IF(L142=IF(Orders!V139,1,0),1,0)</f>
        <v>1</v>
      </c>
      <c r="N142" s="32" t="str">
        <f>IF(Orders!W139="","None",Orders!W139)</f>
        <v>None</v>
      </c>
      <c r="O142" s="35">
        <f>INT(Orders!E139)</f>
        <v>46270.0</v>
      </c>
      <c r="P142" s="33">
        <f>Orders!U139</f>
        <v>23</v>
      </c>
      <c r="Q142" s="33">
        <f>COUNTIFS(Demand!$A$2:$A$4481,B142,Demand!$B$2:$B$4481,O142,Demand!$C$2:$C$4481,P142)</f>
        <v>1</v>
      </c>
      <c r="R142" s="33">
        <f>IF(Q142=1,SUMIFS(Demand!$E$2:$E$4481,Demand!$A$2:$A$4481,B142,Demand!$B$2:$B$4481,O142,Demand!$C$2:$C$4481,P142),"")</f>
        <v>29</v>
      </c>
      <c r="S142" s="33">
        <f>INDEX(Stores!$G$2:$G$21,MATCH(B142,Stores!$A$2:$A$21,0))</f>
        <v>22</v>
      </c>
      <c r="T142" s="34">
        <f>IF(R142="","",R142/S142)</f>
        <v>1.31818181818182</v>
      </c>
      <c r="U142" s="34">
        <f>IF(E142=1,T142,"")</f>
        <v>1.31818181818182</v>
      </c>
      <c r="V142" s="34">
        <f>IF(AND(E142=1,L142=0),T142,"")</f>
        <v>1.31818181818182</v>
      </c>
      <c r="W142" s="33">
        <f>IF(U142="","",IF(U142&lt;=Breakdowns!$C$5,1,IF(U142&lt;=Breakdowns!$C$6,2,IF(U142&lt;=Breakdowns!$C$7,3,4))))</f>
        <v>4</v>
      </c>
      <c r="X142" s="33">
        <f>IF(V142="","",IF(V142&lt;=Breakdowns!$D$5,1,IF(V142&lt;=Breakdowns!$D$6,2,IF(V142&lt;=Breakdowns!$D$7,3,4))))</f>
        <v>4</v>
      </c>
      <c r="Y142" s="34">
        <f>INDEX(Stores!$F$2:$F$21,MATCH(B142,Stores!$A$2:$A$21,0))</f>
        <v>5.61</v>
      </c>
      <c r="Z142" s="33">
        <f>IF(Y142&gt;Store_Summary!$M$2,1,0)</f>
        <v>1</v>
      </c>
      <c r="AA142" s="33">
        <f>INDEX(Stores!$C$2:$C$21,MATCH(B142,Stores!$A$2:$A$21,0))</f>
        <v>744</v>
      </c>
      <c r="AB142" s="33">
        <f>IF(AA142&lt;180,1,0)</f>
        <v>0</v>
      </c>
      <c r="AC142" s="32" t="str">
        <f>IF(Orders!D139="","",INDEX(Riders!$C$2:$C$81,MATCH(Orders!D139,Riders!$A$2:$A$81,0)))</f>
        <v>Petrol scooter</v>
      </c>
      <c r="AD142" s="33">
        <f>IF(Orders!D139="","",INDEX(Riders!$D$2:$D$81,MATCH(Orders!D139,Riders!$A$2:$A$81,0)))</f>
        <v>37</v>
      </c>
      <c r="AE142" s="33">
        <f>IF(Orders!D139="","",IF(INDEX(Riders!$B$2:$B$81,MATCH(Orders!D139,Riders!$A$2:$A$81,0))=B142,1,0))</f>
        <v>0</v>
      </c>
      <c r="AF142" s="34">
        <f>IF(E142=1,Orders!L139,"")</f>
        <v>2.53</v>
      </c>
      <c r="AG142" s="34">
        <f>IF(E142=1,Orders!P139,"")</f>
        <v>11.9</v>
      </c>
      <c r="AH142" s="34">
        <f>IF(E142=1,Orders!Q139,"")</f>
        <v>10.8</v>
      </c>
      <c r="AI142" s="34">
        <f>IF(E142=1,Orders!M139,"")</f>
        <v>4.1</v>
      </c>
      <c r="AJ142" s="34">
        <f>IF(E142=1,Orders!N139,"")</f>
        <v>2.4</v>
      </c>
      <c r="AK142" s="34">
        <f>IF(E142=1,Orders!O139,"")</f>
        <v>4.3</v>
      </c>
      <c r="AL142" s="33">
        <f>IF(E142=1,IF(ROUND(ABS(AI142+AJ142+AK142-AH142),6)&lt;=0.1,1,0),"")</f>
        <v>1</v>
      </c>
      <c r="AM142" s="36">
        <f>IF(E142=1,AI142/AH142,"")</f>
        <v>0.37962962962963</v>
      </c>
      <c r="AN142" s="36">
        <f>IF(E142=1,AJ142/AH142,"")</f>
        <v>0.222222222222222</v>
      </c>
      <c r="AO142" s="36">
        <f>IF(E142=1,AK142/AH142,"")</f>
        <v>0.398148148148148</v>
      </c>
      <c r="AP142" s="34">
        <f>IF(E142=1,Orders!Y139,"")</f>
        <v>0.45</v>
      </c>
      <c r="AQ142" s="33">
        <f>IF(Orders!X139,1,0)</f>
        <v>0</v>
      </c>
      <c r="AR142" s="34" t="str">
        <f>IF(AND(E142=1,L142=1),AJ142,"")</f>
        <v/>
      </c>
      <c r="AS142" s="34">
        <f>IF(AND(E142=1,L142=0),AJ142,"")</f>
        <v>2.4</v>
      </c>
      <c r="AT142" s="34" t="str">
        <f>IF(AND(E142=1,L142=1),AI142,"")</f>
        <v/>
      </c>
      <c r="AU142" s="34">
        <f>IF(AND(E142=1,L142=0),AI142,"")</f>
        <v>4.1</v>
      </c>
      <c r="AV142" s="34" t="str">
        <f>IF(AND(E142=1,L142=1),AG142,"")</f>
        <v/>
      </c>
      <c r="AW142" s="34">
        <f>IF(AND(E142=1,L142=0),AG142,"")</f>
        <v>11.9</v>
      </c>
      <c r="AX142" s="34" t="str">
        <f>IF(AND(E142=1,L142=1),AH142,"")</f>
        <v/>
      </c>
      <c r="AY142" s="34">
        <f>IF(AND(E142=1,L142=0),AH142,"")</f>
        <v>10.8</v>
      </c>
      <c r="AZ142" s="34" t="str">
        <f>IF(G142=1,F142,"")</f>
        <v/>
      </c>
      <c r="BA142" s="34" t="str">
        <f>IF(AND(G142=1,L142=1),F142,"")</f>
        <v/>
      </c>
      <c r="BB142" s="34" t="str">
        <f>IF(AND(G142=1,L142=0),F142,"")</f>
        <v/>
      </c>
      <c r="BC142" s="33">
        <f>IF(E142=1,IF(Orders!R139&gt;3,1,0),"")</f>
        <v>0</v>
      </c>
      <c r="BD142" s="33">
        <f>IF(E142=1,IF(Orders!R139&gt;7,1,0),"")</f>
        <v>0</v>
      </c>
      <c r="BE142" s="32" t="str">
        <f>IF(E142=1,IF(Orders!L139&lt;=1.5,"Up to 1.5 km",IF(Orders!L139&lt;=3,"1.5–3 km","Over 3 km")),"")</f>
        <v>1.5–3 km</v>
      </c>
      <c r="BF142" s="33">
        <f>IF(E142=1,IF(ABS((Orders!G139-Orders!F139)*1440-Orders!R139)&lt;0.06,1,0),"")</f>
        <v>1</v>
      </c>
      <c r="BG142" s="33">
        <f>IF(ABS((Orders!F139-Orders!E139)*1440-Orders!P139)&lt;0.06,1,0)</f>
        <v>1</v>
      </c>
      <c r="BH142" s="33">
        <f>IF(E142=1,IF(IF(Orders!S139,1,0)=1-G142,1,0),"")</f>
        <v>1</v>
      </c>
      <c r="BI142" s="32" t="str">
        <f>INDEX(Stores!$B$2:$B$21,MATCH(B142,Stores!$A$2:$A$21,0))</f>
        <v>Delhi</v>
      </c>
    </row>
    <row r="143">
      <c r="A143" s="32" t="str">
        <f>Orders!A140</f>
        <v>O00139</v>
      </c>
      <c r="B143" s="32" t="str">
        <f>Orders!C140</f>
        <v>S016</v>
      </c>
      <c r="C143" s="32" t="str">
        <f>Orders!B140</f>
        <v>C0027</v>
      </c>
      <c r="D143" s="32" t="str">
        <f>Orders!H140</f>
        <v>Delivered</v>
      </c>
      <c r="E143" s="33">
        <f>IF(Orders!H140="Delivered",1,0)</f>
        <v>1</v>
      </c>
      <c r="F143" s="34">
        <f>IF(E143=1,Orders!R140,"")</f>
        <v>-0.5</v>
      </c>
      <c r="G143" s="33">
        <f>IF(E143=1,IF(Orders!R140&gt;0,1,0),"")</f>
        <v>0</v>
      </c>
      <c r="H143" s="33">
        <f>IF(E143=1,IF(Orders!R140&gt;5,1,0),"")</f>
        <v>0</v>
      </c>
      <c r="I143" s="32" t="str">
        <f>IF(E143=1,"",IF(OR(Orders!T140="Rider unavailable",Orders!T140="Item unavailable"),"Company-caused","Unresolved"))</f>
        <v/>
      </c>
      <c r="J143" s="33">
        <f>IF(OR(E143=1,I143="Company-caused"),1,0)</f>
        <v>1</v>
      </c>
      <c r="K143" s="32" t="str">
        <f>IF(E143=0,IF(I143="Company-caused",IF(Orders!T140="Rider unavailable","C1 Rider unavailable","C2 Item unavailable"),"Outside root: unresolved"),IF(G143=0,"A On time",IF(H143=1,IF(L143=1,"B2a Severe, peak","B2b Severe, off-peak"),IF(L143=1,"B1a Slight, peak","B1b Slight, off-peak"))))</f>
        <v>A On time</v>
      </c>
      <c r="L143" s="33">
        <f>IF(AND(Orders!U140&gt;=19,Orders!U140&lt;22),1,0)</f>
        <v>0</v>
      </c>
      <c r="M143" s="33">
        <f>IF(L143=IF(Orders!V140,1,0),1,0)</f>
        <v>1</v>
      </c>
      <c r="N143" s="32" t="str">
        <f>IF(Orders!W140="","None",Orders!W140)</f>
        <v>None</v>
      </c>
      <c r="O143" s="35">
        <f>INT(Orders!E140)</f>
        <v>46269.0</v>
      </c>
      <c r="P143" s="33">
        <f>Orders!U140</f>
        <v>23</v>
      </c>
      <c r="Q143" s="33">
        <f>COUNTIFS(Demand!$A$2:$A$4481,B143,Demand!$B$2:$B$4481,O143,Demand!$C$2:$C$4481,P143)</f>
        <v>1</v>
      </c>
      <c r="R143" s="33">
        <f>IF(Q143=1,SUMIFS(Demand!$E$2:$E$4481,Demand!$A$2:$A$4481,B143,Demand!$B$2:$B$4481,O143,Demand!$C$2:$C$4481,P143),"")</f>
        <v>26</v>
      </c>
      <c r="S143" s="33">
        <f>INDEX(Stores!$G$2:$G$21,MATCH(B143,Stores!$A$2:$A$21,0))</f>
        <v>25</v>
      </c>
      <c r="T143" s="34">
        <f>IF(R143="","",R143/S143)</f>
        <v>1.04</v>
      </c>
      <c r="U143" s="34">
        <f>IF(E143=1,T143,"")</f>
        <v>1.04</v>
      </c>
      <c r="V143" s="34">
        <f>IF(AND(E143=1,L143=0),T143,"")</f>
        <v>1.04</v>
      </c>
      <c r="W143" s="33">
        <f>IF(U143="","",IF(U143&lt;=Breakdowns!$C$5,1,IF(U143&lt;=Breakdowns!$C$6,2,IF(U143&lt;=Breakdowns!$C$7,3,4))))</f>
        <v>3</v>
      </c>
      <c r="X143" s="33">
        <f>IF(V143="","",IF(V143&lt;=Breakdowns!$D$5,1,IF(V143&lt;=Breakdowns!$D$6,2,IF(V143&lt;=Breakdowns!$D$7,3,4))))</f>
        <v>3</v>
      </c>
      <c r="Y143" s="34">
        <f>INDEX(Stores!$F$2:$F$21,MATCH(B143,Stores!$A$2:$A$21,0))</f>
        <v>5.51</v>
      </c>
      <c r="Z143" s="33">
        <f>IF(Y143&gt;Store_Summary!$M$2,1,0)</f>
        <v>1</v>
      </c>
      <c r="AA143" s="33">
        <f>INDEX(Stores!$C$2:$C$21,MATCH(B143,Stores!$A$2:$A$21,0))</f>
        <v>792</v>
      </c>
      <c r="AB143" s="33">
        <f>IF(AA143&lt;180,1,0)</f>
        <v>0</v>
      </c>
      <c r="AC143" s="32" t="str">
        <f>IF(Orders!D140="","",INDEX(Riders!$C$2:$C$81,MATCH(Orders!D140,Riders!$A$2:$A$81,0)))</f>
        <v>EV scooter</v>
      </c>
      <c r="AD143" s="33">
        <f>IF(Orders!D140="","",INDEX(Riders!$D$2:$D$81,MATCH(Orders!D140,Riders!$A$2:$A$81,0)))</f>
        <v>2</v>
      </c>
      <c r="AE143" s="33">
        <f>IF(Orders!D140="","",IF(INDEX(Riders!$B$2:$B$81,MATCH(Orders!D140,Riders!$A$2:$A$81,0))=B143,1,0))</f>
        <v>0</v>
      </c>
      <c r="AF143" s="34">
        <f>IF(E143=1,Orders!L140,"")</f>
        <v>2.1</v>
      </c>
      <c r="AG143" s="34">
        <f>IF(E143=1,Orders!P140,"")</f>
        <v>11.2</v>
      </c>
      <c r="AH143" s="34">
        <f>IF(E143=1,Orders!Q140,"")</f>
        <v>10.7</v>
      </c>
      <c r="AI143" s="34">
        <f>IF(E143=1,Orders!M140,"")</f>
        <v>5</v>
      </c>
      <c r="AJ143" s="34">
        <f>IF(E143=1,Orders!N140,"")</f>
        <v>1.7</v>
      </c>
      <c r="AK143" s="34">
        <f>IF(E143=1,Orders!O140,"")</f>
        <v>4</v>
      </c>
      <c r="AL143" s="33">
        <f>IF(E143=1,IF(ROUND(ABS(AI143+AJ143+AK143-AH143),6)&lt;=0.1,1,0),"")</f>
        <v>1</v>
      </c>
      <c r="AM143" s="36">
        <f>IF(E143=1,AI143/AH143,"")</f>
        <v>0.467289719626168</v>
      </c>
      <c r="AN143" s="36">
        <f>IF(E143=1,AJ143/AH143,"")</f>
        <v>0.158878504672897</v>
      </c>
      <c r="AO143" s="36">
        <f>IF(E143=1,AK143/AH143,"")</f>
        <v>0.373831775700935</v>
      </c>
      <c r="AP143" s="34">
        <f>IF(E143=1,Orders!Y140,"")</f>
        <v>0.23</v>
      </c>
      <c r="AQ143" s="33">
        <f>IF(Orders!X140,1,0)</f>
        <v>0</v>
      </c>
      <c r="AR143" s="34" t="str">
        <f>IF(AND(E143=1,L143=1),AJ143,"")</f>
        <v/>
      </c>
      <c r="AS143" s="34">
        <f>IF(AND(E143=1,L143=0),AJ143,"")</f>
        <v>1.7</v>
      </c>
      <c r="AT143" s="34" t="str">
        <f>IF(AND(E143=1,L143=1),AI143,"")</f>
        <v/>
      </c>
      <c r="AU143" s="34">
        <f>IF(AND(E143=1,L143=0),AI143,"")</f>
        <v>5</v>
      </c>
      <c r="AV143" s="34" t="str">
        <f>IF(AND(E143=1,L143=1),AG143,"")</f>
        <v/>
      </c>
      <c r="AW143" s="34">
        <f>IF(AND(E143=1,L143=0),AG143,"")</f>
        <v>11.2</v>
      </c>
      <c r="AX143" s="34" t="str">
        <f>IF(AND(E143=1,L143=1),AH143,"")</f>
        <v/>
      </c>
      <c r="AY143" s="34">
        <f>IF(AND(E143=1,L143=0),AH143,"")</f>
        <v>10.7</v>
      </c>
      <c r="AZ143" s="34" t="str">
        <f>IF(G143=1,F143,"")</f>
        <v/>
      </c>
      <c r="BA143" s="34" t="str">
        <f>IF(AND(G143=1,L143=1),F143,"")</f>
        <v/>
      </c>
      <c r="BB143" s="34" t="str">
        <f>IF(AND(G143=1,L143=0),F143,"")</f>
        <v/>
      </c>
      <c r="BC143" s="33">
        <f>IF(E143=1,IF(Orders!R140&gt;3,1,0),"")</f>
        <v>0</v>
      </c>
      <c r="BD143" s="33">
        <f>IF(E143=1,IF(Orders!R140&gt;7,1,0),"")</f>
        <v>0</v>
      </c>
      <c r="BE143" s="32" t="str">
        <f>IF(E143=1,IF(Orders!L140&lt;=1.5,"Up to 1.5 km",IF(Orders!L140&lt;=3,"1.5–3 km","Over 3 km")),"")</f>
        <v>1.5–3 km</v>
      </c>
      <c r="BF143" s="33">
        <f>IF(E143=1,IF(ABS((Orders!G140-Orders!F140)*1440-Orders!R140)&lt;0.06,1,0),"")</f>
        <v>1</v>
      </c>
      <c r="BG143" s="33">
        <f>IF(ABS((Orders!F140-Orders!E140)*1440-Orders!P140)&lt;0.06,1,0)</f>
        <v>1</v>
      </c>
      <c r="BH143" s="33">
        <f>IF(E143=1,IF(IF(Orders!S140,1,0)=1-G143,1,0),"")</f>
        <v>1</v>
      </c>
      <c r="BI143" s="32" t="str">
        <f>INDEX(Stores!$B$2:$B$21,MATCH(B143,Stores!$A$2:$A$21,0))</f>
        <v>Bengaluru</v>
      </c>
    </row>
    <row r="144">
      <c r="A144" s="32" t="str">
        <f>Orders!A141</f>
        <v>O00140</v>
      </c>
      <c r="B144" s="32" t="str">
        <f>Orders!C141</f>
        <v>S005</v>
      </c>
      <c r="C144" s="32" t="str">
        <f>Orders!B141</f>
        <v>C0137</v>
      </c>
      <c r="D144" s="32" t="str">
        <f>Orders!H141</f>
        <v>Delivered</v>
      </c>
      <c r="E144" s="33">
        <f>IF(Orders!H141="Delivered",1,0)</f>
        <v>1</v>
      </c>
      <c r="F144" s="34">
        <f>IF(E144=1,Orders!R141,"")</f>
        <v>-0.6</v>
      </c>
      <c r="G144" s="33">
        <f>IF(E144=1,IF(Orders!R141&gt;0,1,0),"")</f>
        <v>0</v>
      </c>
      <c r="H144" s="33">
        <f>IF(E144=1,IF(Orders!R141&gt;5,1,0),"")</f>
        <v>0</v>
      </c>
      <c r="I144" s="32" t="str">
        <f>IF(E144=1,"",IF(OR(Orders!T141="Rider unavailable",Orders!T141="Item unavailable"),"Company-caused","Unresolved"))</f>
        <v/>
      </c>
      <c r="J144" s="33">
        <f>IF(OR(E144=1,I144="Company-caused"),1,0)</f>
        <v>1</v>
      </c>
      <c r="K144" s="32" t="str">
        <f>IF(E144=0,IF(I144="Company-caused",IF(Orders!T141="Rider unavailable","C1 Rider unavailable","C2 Item unavailable"),"Outside root: unresolved"),IF(G144=0,"A On time",IF(H144=1,IF(L144=1,"B2a Severe, peak","B2b Severe, off-peak"),IF(L144=1,"B1a Slight, peak","B1b Slight, off-peak"))))</f>
        <v>A On time</v>
      </c>
      <c r="L144" s="33">
        <f>IF(AND(Orders!U141&gt;=19,Orders!U141&lt;22),1,0)</f>
        <v>0</v>
      </c>
      <c r="M144" s="33">
        <f>IF(L144=IF(Orders!V141,1,0),1,0)</f>
        <v>1</v>
      </c>
      <c r="N144" s="32" t="str">
        <f>IF(Orders!W141="","None",Orders!W141)</f>
        <v>Light</v>
      </c>
      <c r="O144" s="35">
        <f>INT(Orders!E141)</f>
        <v>46274.0</v>
      </c>
      <c r="P144" s="33">
        <f>Orders!U141</f>
        <v>8</v>
      </c>
      <c r="Q144" s="33">
        <f>COUNTIFS(Demand!$A$2:$A$4481,B144,Demand!$B$2:$B$4481,O144,Demand!$C$2:$C$4481,P144)</f>
        <v>1</v>
      </c>
      <c r="R144" s="33">
        <f>IF(Q144=1,SUMIFS(Demand!$E$2:$E$4481,Demand!$A$2:$A$4481,B144,Demand!$B$2:$B$4481,O144,Demand!$C$2:$C$4481,P144),"")</f>
        <v>10</v>
      </c>
      <c r="S144" s="33">
        <f>INDEX(Stores!$G$2:$G$21,MATCH(B144,Stores!$A$2:$A$21,0))</f>
        <v>14</v>
      </c>
      <c r="T144" s="34">
        <f>IF(R144="","",R144/S144)</f>
        <v>0.714285714285714</v>
      </c>
      <c r="U144" s="34">
        <f>IF(E144=1,T144,"")</f>
        <v>0.714285714285714</v>
      </c>
      <c r="V144" s="34">
        <f>IF(AND(E144=1,L144=0),T144,"")</f>
        <v>0.714285714285714</v>
      </c>
      <c r="W144" s="33">
        <f>IF(U144="","",IF(U144&lt;=Breakdowns!$C$5,1,IF(U144&lt;=Breakdowns!$C$6,2,IF(U144&lt;=Breakdowns!$C$7,3,4))))</f>
        <v>1</v>
      </c>
      <c r="X144" s="33">
        <f>IF(V144="","",IF(V144&lt;=Breakdowns!$D$5,1,IF(V144&lt;=Breakdowns!$D$6,2,IF(V144&lt;=Breakdowns!$D$7,3,4))))</f>
        <v>1</v>
      </c>
      <c r="Y144" s="34">
        <f>INDEX(Stores!$F$2:$F$21,MATCH(B144,Stores!$A$2:$A$21,0))</f>
        <v>4.89</v>
      </c>
      <c r="Z144" s="33">
        <f>IF(Y144&gt;Store_Summary!$M$2,1,0)</f>
        <v>0</v>
      </c>
      <c r="AA144" s="33">
        <f>INDEX(Stores!$C$2:$C$21,MATCH(B144,Stores!$A$2:$A$21,0))</f>
        <v>138</v>
      </c>
      <c r="AB144" s="33">
        <f>IF(AA144&lt;180,1,0)</f>
        <v>1</v>
      </c>
      <c r="AC144" s="32" t="str">
        <f>IF(Orders!D141="","",INDEX(Riders!$C$2:$C$81,MATCH(Orders!D141,Riders!$A$2:$A$81,0)))</f>
        <v>EV scooter</v>
      </c>
      <c r="AD144" s="33">
        <f>IF(Orders!D141="","",INDEX(Riders!$D$2:$D$81,MATCH(Orders!D141,Riders!$A$2:$A$81,0)))</f>
        <v>9</v>
      </c>
      <c r="AE144" s="33">
        <f>IF(Orders!D141="","",IF(INDEX(Riders!$B$2:$B$81,MATCH(Orders!D141,Riders!$A$2:$A$81,0))=B144,1,0))</f>
        <v>0</v>
      </c>
      <c r="AF144" s="34">
        <f>IF(E144=1,Orders!L141,"")</f>
        <v>0.87</v>
      </c>
      <c r="AG144" s="34">
        <f>IF(E144=1,Orders!P141,"")</f>
        <v>8.6</v>
      </c>
      <c r="AH144" s="34">
        <f>IF(E144=1,Orders!Q141,"")</f>
        <v>8</v>
      </c>
      <c r="AI144" s="34">
        <f>IF(E144=1,Orders!M141,"")</f>
        <v>2.6</v>
      </c>
      <c r="AJ144" s="34">
        <f>IF(E144=1,Orders!N141,"")</f>
        <v>3.2</v>
      </c>
      <c r="AK144" s="34">
        <f>IF(E144=1,Orders!O141,"")</f>
        <v>2.2</v>
      </c>
      <c r="AL144" s="33">
        <f>IF(E144=1,IF(ROUND(ABS(AI144+AJ144+AK144-AH144),6)&lt;=0.1,1,0),"")</f>
        <v>1</v>
      </c>
      <c r="AM144" s="36">
        <f>IF(E144=1,AI144/AH144,"")</f>
        <v>0.325</v>
      </c>
      <c r="AN144" s="36">
        <f>IF(E144=1,AJ144/AH144,"")</f>
        <v>0.4</v>
      </c>
      <c r="AO144" s="36">
        <f>IF(E144=1,AK144/AH144,"")</f>
        <v>0.275</v>
      </c>
      <c r="AP144" s="34">
        <f>IF(E144=1,Orders!Y141,"")</f>
        <v>0.51</v>
      </c>
      <c r="AQ144" s="33">
        <f>IF(Orders!X141,1,0)</f>
        <v>0</v>
      </c>
      <c r="AR144" s="34" t="str">
        <f>IF(AND(E144=1,L144=1),AJ144,"")</f>
        <v/>
      </c>
      <c r="AS144" s="34">
        <f>IF(AND(E144=1,L144=0),AJ144,"")</f>
        <v>3.2</v>
      </c>
      <c r="AT144" s="34" t="str">
        <f>IF(AND(E144=1,L144=1),AI144,"")</f>
        <v/>
      </c>
      <c r="AU144" s="34">
        <f>IF(AND(E144=1,L144=0),AI144,"")</f>
        <v>2.6</v>
      </c>
      <c r="AV144" s="34" t="str">
        <f>IF(AND(E144=1,L144=1),AG144,"")</f>
        <v/>
      </c>
      <c r="AW144" s="34">
        <f>IF(AND(E144=1,L144=0),AG144,"")</f>
        <v>8.6</v>
      </c>
      <c r="AX144" s="34" t="str">
        <f>IF(AND(E144=1,L144=1),AH144,"")</f>
        <v/>
      </c>
      <c r="AY144" s="34">
        <f>IF(AND(E144=1,L144=0),AH144,"")</f>
        <v>8</v>
      </c>
      <c r="AZ144" s="34" t="str">
        <f>IF(G144=1,F144,"")</f>
        <v/>
      </c>
      <c r="BA144" s="34" t="str">
        <f>IF(AND(G144=1,L144=1),F144,"")</f>
        <v/>
      </c>
      <c r="BB144" s="34" t="str">
        <f>IF(AND(G144=1,L144=0),F144,"")</f>
        <v/>
      </c>
      <c r="BC144" s="33">
        <f>IF(E144=1,IF(Orders!R141&gt;3,1,0),"")</f>
        <v>0</v>
      </c>
      <c r="BD144" s="33">
        <f>IF(E144=1,IF(Orders!R141&gt;7,1,0),"")</f>
        <v>0</v>
      </c>
      <c r="BE144" s="32" t="str">
        <f>IF(E144=1,IF(Orders!L141&lt;=1.5,"Up to 1.5 km",IF(Orders!L141&lt;=3,"1.5–3 km","Over 3 km")),"")</f>
        <v>Up to 1.5 km</v>
      </c>
      <c r="BF144" s="33">
        <f>IF(E144=1,IF(ABS((Orders!G141-Orders!F141)*1440-Orders!R141)&lt;0.06,1,0),"")</f>
        <v>1</v>
      </c>
      <c r="BG144" s="33">
        <f>IF(ABS((Orders!F141-Orders!E141)*1440-Orders!P141)&lt;0.06,1,0)</f>
        <v>1</v>
      </c>
      <c r="BH144" s="33">
        <f>IF(E144=1,IF(IF(Orders!S141,1,0)=1-G144,1,0),"")</f>
        <v>1</v>
      </c>
      <c r="BI144" s="32" t="str">
        <f>INDEX(Stores!$B$2:$B$21,MATCH(B144,Stores!$A$2:$A$21,0))</f>
        <v>Delhi</v>
      </c>
    </row>
    <row r="145">
      <c r="A145" s="32" t="str">
        <f>Orders!A142</f>
        <v>O00141</v>
      </c>
      <c r="B145" s="32" t="str">
        <f>Orders!C142</f>
        <v>S013</v>
      </c>
      <c r="C145" s="32" t="str">
        <f>Orders!B142</f>
        <v>C0101</v>
      </c>
      <c r="D145" s="32" t="str">
        <f>Orders!H142</f>
        <v>Delivered</v>
      </c>
      <c r="E145" s="33">
        <f>IF(Orders!H142="Delivered",1,0)</f>
        <v>1</v>
      </c>
      <c r="F145" s="34">
        <f>IF(E145=1,Orders!R142,"")</f>
        <v>-0.7</v>
      </c>
      <c r="G145" s="33">
        <f>IF(E145=1,IF(Orders!R142&gt;0,1,0),"")</f>
        <v>0</v>
      </c>
      <c r="H145" s="33">
        <f>IF(E145=1,IF(Orders!R142&gt;5,1,0),"")</f>
        <v>0</v>
      </c>
      <c r="I145" s="32" t="str">
        <f>IF(E145=1,"",IF(OR(Orders!T142="Rider unavailable",Orders!T142="Item unavailable"),"Company-caused","Unresolved"))</f>
        <v/>
      </c>
      <c r="J145" s="33">
        <f>IF(OR(E145=1,I145="Company-caused"),1,0)</f>
        <v>1</v>
      </c>
      <c r="K145" s="32" t="str">
        <f>IF(E145=0,IF(I145="Company-caused",IF(Orders!T142="Rider unavailable","C1 Rider unavailable","C2 Item unavailable"),"Outside root: unresolved"),IF(G145=0,"A On time",IF(H145=1,IF(L145=1,"B2a Severe, peak","B2b Severe, off-peak"),IF(L145=1,"B1a Slight, peak","B1b Slight, off-peak"))))</f>
        <v>A On time</v>
      </c>
      <c r="L145" s="33">
        <f>IF(AND(Orders!U142&gt;=19,Orders!U142&lt;22),1,0)</f>
        <v>0</v>
      </c>
      <c r="M145" s="33">
        <f>IF(L145=IF(Orders!V142,1,0),1,0)</f>
        <v>1</v>
      </c>
      <c r="N145" s="32" t="str">
        <f>IF(Orders!W142="","None",Orders!W142)</f>
        <v>None</v>
      </c>
      <c r="O145" s="35">
        <f>INT(Orders!E142)</f>
        <v>46278.0</v>
      </c>
      <c r="P145" s="33">
        <f>Orders!U142</f>
        <v>9</v>
      </c>
      <c r="Q145" s="33">
        <f>COUNTIFS(Demand!$A$2:$A$4481,B145,Demand!$B$2:$B$4481,O145,Demand!$C$2:$C$4481,P145)</f>
        <v>1</v>
      </c>
      <c r="R145" s="33">
        <f>IF(Q145=1,SUMIFS(Demand!$E$2:$E$4481,Demand!$A$2:$A$4481,B145,Demand!$B$2:$B$4481,O145,Demand!$C$2:$C$4481,P145),"")</f>
        <v>30</v>
      </c>
      <c r="S145" s="33">
        <f>INDEX(Stores!$G$2:$G$21,MATCH(B145,Stores!$A$2:$A$21,0))</f>
        <v>49</v>
      </c>
      <c r="T145" s="34">
        <f>IF(R145="","",R145/S145)</f>
        <v>0.612244897959184</v>
      </c>
      <c r="U145" s="34">
        <f>IF(E145=1,T145,"")</f>
        <v>0.612244897959184</v>
      </c>
      <c r="V145" s="34">
        <f>IF(AND(E145=1,L145=0),T145,"")</f>
        <v>0.612244897959184</v>
      </c>
      <c r="W145" s="33">
        <f>IF(U145="","",IF(U145&lt;=Breakdowns!$C$5,1,IF(U145&lt;=Breakdowns!$C$6,2,IF(U145&lt;=Breakdowns!$C$7,3,4))))</f>
        <v>1</v>
      </c>
      <c r="X145" s="33">
        <f>IF(V145="","",IF(V145&lt;=Breakdowns!$D$5,1,IF(V145&lt;=Breakdowns!$D$6,2,IF(V145&lt;=Breakdowns!$D$7,3,4))))</f>
        <v>1</v>
      </c>
      <c r="Y145" s="34">
        <f>INDEX(Stores!$F$2:$F$21,MATCH(B145,Stores!$A$2:$A$21,0))</f>
        <v>5.82</v>
      </c>
      <c r="Z145" s="33">
        <f>IF(Y145&gt;Store_Summary!$M$2,1,0)</f>
        <v>1</v>
      </c>
      <c r="AA145" s="33">
        <f>INDEX(Stores!$C$2:$C$21,MATCH(B145,Stores!$A$2:$A$21,0))</f>
        <v>705</v>
      </c>
      <c r="AB145" s="33">
        <f>IF(AA145&lt;180,1,0)</f>
        <v>0</v>
      </c>
      <c r="AC145" s="32" t="str">
        <f>IF(Orders!D142="","",INDEX(Riders!$C$2:$C$81,MATCH(Orders!D142,Riders!$A$2:$A$81,0)))</f>
        <v>EV scooter</v>
      </c>
      <c r="AD145" s="33">
        <f>IF(Orders!D142="","",INDEX(Riders!$D$2:$D$81,MATCH(Orders!D142,Riders!$A$2:$A$81,0)))</f>
        <v>2</v>
      </c>
      <c r="AE145" s="33">
        <f>IF(Orders!D142="","",IF(INDEX(Riders!$B$2:$B$81,MATCH(Orders!D142,Riders!$A$2:$A$81,0))=B145,1,0))</f>
        <v>0</v>
      </c>
      <c r="AF145" s="34">
        <f>IF(E145=1,Orders!L142,"")</f>
        <v>0.5</v>
      </c>
      <c r="AG145" s="34">
        <f>IF(E145=1,Orders!P142,"")</f>
        <v>12.1</v>
      </c>
      <c r="AH145" s="34">
        <f>IF(E145=1,Orders!Q142,"")</f>
        <v>11.4</v>
      </c>
      <c r="AI145" s="34">
        <f>IF(E145=1,Orders!M142,"")</f>
        <v>5.8</v>
      </c>
      <c r="AJ145" s="34">
        <f>IF(E145=1,Orders!N142,"")</f>
        <v>3.6</v>
      </c>
      <c r="AK145" s="34">
        <f>IF(E145=1,Orders!O142,"")</f>
        <v>2</v>
      </c>
      <c r="AL145" s="33">
        <f>IF(E145=1,IF(ROUND(ABS(AI145+AJ145+AK145-AH145),6)&lt;=0.1,1,0),"")</f>
        <v>1</v>
      </c>
      <c r="AM145" s="36">
        <f>IF(E145=1,AI145/AH145,"")</f>
        <v>0.508771929824561</v>
      </c>
      <c r="AN145" s="36">
        <f>IF(E145=1,AJ145/AH145,"")</f>
        <v>0.315789473684211</v>
      </c>
      <c r="AO145" s="36">
        <f>IF(E145=1,AK145/AH145,"")</f>
        <v>0.175438596491228</v>
      </c>
      <c r="AP145" s="34">
        <f>IF(E145=1,Orders!Y142,"")</f>
        <v>0.22</v>
      </c>
      <c r="AQ145" s="33">
        <f>IF(Orders!X142,1,0)</f>
        <v>0</v>
      </c>
      <c r="AR145" s="34" t="str">
        <f>IF(AND(E145=1,L145=1),AJ145,"")</f>
        <v/>
      </c>
      <c r="AS145" s="34">
        <f>IF(AND(E145=1,L145=0),AJ145,"")</f>
        <v>3.6</v>
      </c>
      <c r="AT145" s="34" t="str">
        <f>IF(AND(E145=1,L145=1),AI145,"")</f>
        <v/>
      </c>
      <c r="AU145" s="34">
        <f>IF(AND(E145=1,L145=0),AI145,"")</f>
        <v>5.8</v>
      </c>
      <c r="AV145" s="34" t="str">
        <f>IF(AND(E145=1,L145=1),AG145,"")</f>
        <v/>
      </c>
      <c r="AW145" s="34">
        <f>IF(AND(E145=1,L145=0),AG145,"")</f>
        <v>12.1</v>
      </c>
      <c r="AX145" s="34" t="str">
        <f>IF(AND(E145=1,L145=1),AH145,"")</f>
        <v/>
      </c>
      <c r="AY145" s="34">
        <f>IF(AND(E145=1,L145=0),AH145,"")</f>
        <v>11.4</v>
      </c>
      <c r="AZ145" s="34" t="str">
        <f>IF(G145=1,F145,"")</f>
        <v/>
      </c>
      <c r="BA145" s="34" t="str">
        <f>IF(AND(G145=1,L145=1),F145,"")</f>
        <v/>
      </c>
      <c r="BB145" s="34" t="str">
        <f>IF(AND(G145=1,L145=0),F145,"")</f>
        <v/>
      </c>
      <c r="BC145" s="33">
        <f>IF(E145=1,IF(Orders!R142&gt;3,1,0),"")</f>
        <v>0</v>
      </c>
      <c r="BD145" s="33">
        <f>IF(E145=1,IF(Orders!R142&gt;7,1,0),"")</f>
        <v>0</v>
      </c>
      <c r="BE145" s="32" t="str">
        <f>IF(E145=1,IF(Orders!L142&lt;=1.5,"Up to 1.5 km",IF(Orders!L142&lt;=3,"1.5–3 km","Over 3 km")),"")</f>
        <v>Up to 1.5 km</v>
      </c>
      <c r="BF145" s="33">
        <f>IF(E145=1,IF(ABS((Orders!G142-Orders!F142)*1440-Orders!R142)&lt;0.06,1,0),"")</f>
        <v>1</v>
      </c>
      <c r="BG145" s="33">
        <f>IF(ABS((Orders!F142-Orders!E142)*1440-Orders!P142)&lt;0.06,1,0)</f>
        <v>1</v>
      </c>
      <c r="BH145" s="33">
        <f>IF(E145=1,IF(IF(Orders!S142,1,0)=1-G145,1,0),"")</f>
        <v>1</v>
      </c>
      <c r="BI145" s="32" t="str">
        <f>INDEX(Stores!$B$2:$B$21,MATCH(B145,Stores!$A$2:$A$21,0))</f>
        <v>Mumbai</v>
      </c>
    </row>
    <row r="146">
      <c r="A146" s="32" t="str">
        <f>Orders!A143</f>
        <v>O00142</v>
      </c>
      <c r="B146" s="32" t="str">
        <f>Orders!C143</f>
        <v>S017</v>
      </c>
      <c r="C146" s="32" t="str">
        <f>Orders!B143</f>
        <v>C0030</v>
      </c>
      <c r="D146" s="32" t="str">
        <f>Orders!H143</f>
        <v>Delivered</v>
      </c>
      <c r="E146" s="33">
        <f>IF(Orders!H143="Delivered",1,0)</f>
        <v>1</v>
      </c>
      <c r="F146" s="34">
        <f>IF(E146=1,Orders!R143,"")</f>
        <v>2.9</v>
      </c>
      <c r="G146" s="33">
        <f>IF(E146=1,IF(Orders!R143&gt;0,1,0),"")</f>
        <v>1</v>
      </c>
      <c r="H146" s="33">
        <f>IF(E146=1,IF(Orders!R143&gt;5,1,0),"")</f>
        <v>0</v>
      </c>
      <c r="I146" s="32" t="str">
        <f>IF(E146=1,"",IF(OR(Orders!T143="Rider unavailable",Orders!T143="Item unavailable"),"Company-caused","Unresolved"))</f>
        <v/>
      </c>
      <c r="J146" s="33">
        <f>IF(OR(E146=1,I146="Company-caused"),1,0)</f>
        <v>1</v>
      </c>
      <c r="K146" s="32" t="str">
        <f>IF(E146=0,IF(I146="Company-caused",IF(Orders!T143="Rider unavailable","C1 Rider unavailable","C2 Item unavailable"),"Outside root: unresolved"),IF(G146=0,"A On time",IF(H146=1,IF(L146=1,"B2a Severe, peak","B2b Severe, off-peak"),IF(L146=1,"B1a Slight, peak","B1b Slight, off-peak"))))</f>
        <v>B1b Slight, off-peak</v>
      </c>
      <c r="L146" s="33">
        <f>IF(AND(Orders!U143&gt;=19,Orders!U143&lt;22),1,0)</f>
        <v>0</v>
      </c>
      <c r="M146" s="33">
        <f>IF(L146=IF(Orders!V143,1,0),1,0)</f>
        <v>1</v>
      </c>
      <c r="N146" s="32" t="str">
        <f>IF(Orders!W143="","None",Orders!W143)</f>
        <v>None</v>
      </c>
      <c r="O146" s="35">
        <f>INT(Orders!E143)</f>
        <v>46274.0</v>
      </c>
      <c r="P146" s="33">
        <f>Orders!U143</f>
        <v>22</v>
      </c>
      <c r="Q146" s="33">
        <f>COUNTIFS(Demand!$A$2:$A$4481,B146,Demand!$B$2:$B$4481,O146,Demand!$C$2:$C$4481,P146)</f>
        <v>1</v>
      </c>
      <c r="R146" s="33">
        <f>IF(Q146=1,SUMIFS(Demand!$E$2:$E$4481,Demand!$A$2:$A$4481,B146,Demand!$B$2:$B$4481,O146,Demand!$C$2:$C$4481,P146),"")</f>
        <v>44</v>
      </c>
      <c r="S146" s="33">
        <f>INDEX(Stores!$G$2:$G$21,MATCH(B146,Stores!$A$2:$A$21,0))</f>
        <v>36</v>
      </c>
      <c r="T146" s="34">
        <f>IF(R146="","",R146/S146)</f>
        <v>1.22222222222222</v>
      </c>
      <c r="U146" s="34">
        <f>IF(E146=1,T146,"")</f>
        <v>1.22222222222222</v>
      </c>
      <c r="V146" s="34">
        <f>IF(AND(E146=1,L146=0),T146,"")</f>
        <v>1.22222222222222</v>
      </c>
      <c r="W146" s="33">
        <f>IF(U146="","",IF(U146&lt;=Breakdowns!$C$5,1,IF(U146&lt;=Breakdowns!$C$6,2,IF(U146&lt;=Breakdowns!$C$7,3,4))))</f>
        <v>4</v>
      </c>
      <c r="X146" s="33">
        <f>IF(V146="","",IF(V146&lt;=Breakdowns!$D$5,1,IF(V146&lt;=Breakdowns!$D$6,2,IF(V146&lt;=Breakdowns!$D$7,3,4))))</f>
        <v>4</v>
      </c>
      <c r="Y146" s="34">
        <f>INDEX(Stores!$F$2:$F$21,MATCH(B146,Stores!$A$2:$A$21,0))</f>
        <v>2.16</v>
      </c>
      <c r="Z146" s="33">
        <f>IF(Y146&gt;Store_Summary!$M$2,1,0)</f>
        <v>0</v>
      </c>
      <c r="AA146" s="33">
        <f>INDEX(Stores!$C$2:$C$21,MATCH(B146,Stores!$A$2:$A$21,0))</f>
        <v>47</v>
      </c>
      <c r="AB146" s="33">
        <f>IF(AA146&lt;180,1,0)</f>
        <v>1</v>
      </c>
      <c r="AC146" s="32" t="str">
        <f>IF(Orders!D143="","",INDEX(Riders!$C$2:$C$81,MATCH(Orders!D143,Riders!$A$2:$A$81,0)))</f>
        <v>Petrol scooter</v>
      </c>
      <c r="AD146" s="33">
        <f>IF(Orders!D143="","",INDEX(Riders!$D$2:$D$81,MATCH(Orders!D143,Riders!$A$2:$A$81,0)))</f>
        <v>44</v>
      </c>
      <c r="AE146" s="33">
        <f>IF(Orders!D143="","",IF(INDEX(Riders!$B$2:$B$81,MATCH(Orders!D143,Riders!$A$2:$A$81,0))=B146,1,0))</f>
        <v>0</v>
      </c>
      <c r="AF146" s="34">
        <f>IF(E146=1,Orders!L143,"")</f>
        <v>3.23</v>
      </c>
      <c r="AG146" s="34">
        <f>IF(E146=1,Orders!P143,"")</f>
        <v>11.7</v>
      </c>
      <c r="AH146" s="34">
        <f>IF(E146=1,Orders!Q143,"")</f>
        <v>14.6</v>
      </c>
      <c r="AI146" s="34">
        <f>IF(E146=1,Orders!M143,"")</f>
        <v>3.3</v>
      </c>
      <c r="AJ146" s="34">
        <f>IF(E146=1,Orders!N143,"")</f>
        <v>4.1</v>
      </c>
      <c r="AK146" s="34">
        <f>IF(E146=1,Orders!O143,"")</f>
        <v>7.3</v>
      </c>
      <c r="AL146" s="33">
        <f>IF(E146=1,IF(ROUND(ABS(AI146+AJ146+AK146-AH146),6)&lt;=0.1,1,0),"")</f>
        <v>1</v>
      </c>
      <c r="AM146" s="36">
        <f>IF(E146=1,AI146/AH146,"")</f>
        <v>0.226027397260274</v>
      </c>
      <c r="AN146" s="36">
        <f>IF(E146=1,AJ146/AH146,"")</f>
        <v>0.280821917808219</v>
      </c>
      <c r="AO146" s="36">
        <f>IF(E146=1,AK146/AH146,"")</f>
        <v>0.5</v>
      </c>
      <c r="AP146" s="34">
        <f>IF(E146=1,Orders!Y143,"")</f>
        <v>0.3</v>
      </c>
      <c r="AQ146" s="33">
        <f>IF(Orders!X143,1,0)</f>
        <v>0</v>
      </c>
      <c r="AR146" s="34" t="str">
        <f>IF(AND(E146=1,L146=1),AJ146,"")</f>
        <v/>
      </c>
      <c r="AS146" s="34">
        <f>IF(AND(E146=1,L146=0),AJ146,"")</f>
        <v>4.1</v>
      </c>
      <c r="AT146" s="34" t="str">
        <f>IF(AND(E146=1,L146=1),AI146,"")</f>
        <v/>
      </c>
      <c r="AU146" s="34">
        <f>IF(AND(E146=1,L146=0),AI146,"")</f>
        <v>3.3</v>
      </c>
      <c r="AV146" s="34" t="str">
        <f>IF(AND(E146=1,L146=1),AG146,"")</f>
        <v/>
      </c>
      <c r="AW146" s="34">
        <f>IF(AND(E146=1,L146=0),AG146,"")</f>
        <v>11.7</v>
      </c>
      <c r="AX146" s="34" t="str">
        <f>IF(AND(E146=1,L146=1),AH146,"")</f>
        <v/>
      </c>
      <c r="AY146" s="34">
        <f>IF(AND(E146=1,L146=0),AH146,"")</f>
        <v>14.6</v>
      </c>
      <c r="AZ146" s="34">
        <f>IF(G146=1,F146,"")</f>
        <v>2.9</v>
      </c>
      <c r="BA146" s="34" t="str">
        <f>IF(AND(G146=1,L146=1),F146,"")</f>
        <v/>
      </c>
      <c r="BB146" s="34">
        <f>IF(AND(G146=1,L146=0),F146,"")</f>
        <v>2.9</v>
      </c>
      <c r="BC146" s="33">
        <f>IF(E146=1,IF(Orders!R143&gt;3,1,0),"")</f>
        <v>0</v>
      </c>
      <c r="BD146" s="33">
        <f>IF(E146=1,IF(Orders!R143&gt;7,1,0),"")</f>
        <v>0</v>
      </c>
      <c r="BE146" s="32" t="str">
        <f>IF(E146=1,IF(Orders!L143&lt;=1.5,"Up to 1.5 km",IF(Orders!L143&lt;=3,"1.5–3 km","Over 3 km")),"")</f>
        <v>Over 3 km</v>
      </c>
      <c r="BF146" s="33">
        <f>IF(E146=1,IF(ABS((Orders!G143-Orders!F143)*1440-Orders!R143)&lt;0.06,1,0),"")</f>
        <v>1</v>
      </c>
      <c r="BG146" s="33">
        <f>IF(ABS((Orders!F143-Orders!E143)*1440-Orders!P143)&lt;0.06,1,0)</f>
        <v>1</v>
      </c>
      <c r="BH146" s="33">
        <f>IF(E146=1,IF(IF(Orders!S143,1,0)=1-G146,1,0),"")</f>
        <v>1</v>
      </c>
      <c r="BI146" s="32" t="str">
        <f>INDEX(Stores!$B$2:$B$21,MATCH(B146,Stores!$A$2:$A$21,0))</f>
        <v>Hyderabad</v>
      </c>
    </row>
    <row r="147">
      <c r="A147" s="32" t="str">
        <f>Orders!A144</f>
        <v>O00143</v>
      </c>
      <c r="B147" s="32" t="str">
        <f>Orders!C144</f>
        <v>S005</v>
      </c>
      <c r="C147" s="32" t="str">
        <f>Orders!B144</f>
        <v>C0088</v>
      </c>
      <c r="D147" s="32" t="str">
        <f>Orders!H144</f>
        <v>Delivered</v>
      </c>
      <c r="E147" s="33">
        <f>IF(Orders!H144="Delivered",1,0)</f>
        <v>1</v>
      </c>
      <c r="F147" s="34">
        <f>IF(E147=1,Orders!R144,"")</f>
        <v>-1.2</v>
      </c>
      <c r="G147" s="33">
        <f>IF(E147=1,IF(Orders!R144&gt;0,1,0),"")</f>
        <v>0</v>
      </c>
      <c r="H147" s="33">
        <f>IF(E147=1,IF(Orders!R144&gt;5,1,0),"")</f>
        <v>0</v>
      </c>
      <c r="I147" s="32" t="str">
        <f>IF(E147=1,"",IF(OR(Orders!T144="Rider unavailable",Orders!T144="Item unavailable"),"Company-caused","Unresolved"))</f>
        <v/>
      </c>
      <c r="J147" s="33">
        <f>IF(OR(E147=1,I147="Company-caused"),1,0)</f>
        <v>1</v>
      </c>
      <c r="K147" s="32" t="str">
        <f>IF(E147=0,IF(I147="Company-caused",IF(Orders!T144="Rider unavailable","C1 Rider unavailable","C2 Item unavailable"),"Outside root: unresolved"),IF(G147=0,"A On time",IF(H147=1,IF(L147=1,"B2a Severe, peak","B2b Severe, off-peak"),IF(L147=1,"B1a Slight, peak","B1b Slight, off-peak"))))</f>
        <v>A On time</v>
      </c>
      <c r="L147" s="33">
        <f>IF(AND(Orders!U144&gt;=19,Orders!U144&lt;22),1,0)</f>
        <v>0</v>
      </c>
      <c r="M147" s="33">
        <f>IF(L147=IF(Orders!V144,1,0),1,0)</f>
        <v>1</v>
      </c>
      <c r="N147" s="32" t="str">
        <f>IF(Orders!W144="","None",Orders!W144)</f>
        <v>None</v>
      </c>
      <c r="O147" s="35">
        <f>INT(Orders!E144)</f>
        <v>46270.0</v>
      </c>
      <c r="P147" s="33">
        <f>Orders!U144</f>
        <v>13</v>
      </c>
      <c r="Q147" s="33">
        <f>COUNTIFS(Demand!$A$2:$A$4481,B147,Demand!$B$2:$B$4481,O147,Demand!$C$2:$C$4481,P147)</f>
        <v>1</v>
      </c>
      <c r="R147" s="33">
        <f>IF(Q147=1,SUMIFS(Demand!$E$2:$E$4481,Demand!$A$2:$A$4481,B147,Demand!$B$2:$B$4481,O147,Demand!$C$2:$C$4481,P147),"")</f>
        <v>19</v>
      </c>
      <c r="S147" s="33">
        <f>INDEX(Stores!$G$2:$G$21,MATCH(B147,Stores!$A$2:$A$21,0))</f>
        <v>14</v>
      </c>
      <c r="T147" s="34">
        <f>IF(R147="","",R147/S147)</f>
        <v>1.35714285714286</v>
      </c>
      <c r="U147" s="34">
        <f>IF(E147=1,T147,"")</f>
        <v>1.35714285714286</v>
      </c>
      <c r="V147" s="34">
        <f>IF(AND(E147=1,L147=0),T147,"")</f>
        <v>1.35714285714286</v>
      </c>
      <c r="W147" s="33">
        <f>IF(U147="","",IF(U147&lt;=Breakdowns!$C$5,1,IF(U147&lt;=Breakdowns!$C$6,2,IF(U147&lt;=Breakdowns!$C$7,3,4))))</f>
        <v>4</v>
      </c>
      <c r="X147" s="33">
        <f>IF(V147="","",IF(V147&lt;=Breakdowns!$D$5,1,IF(V147&lt;=Breakdowns!$D$6,2,IF(V147&lt;=Breakdowns!$D$7,3,4))))</f>
        <v>4</v>
      </c>
      <c r="Y147" s="34">
        <f>INDEX(Stores!$F$2:$F$21,MATCH(B147,Stores!$A$2:$A$21,0))</f>
        <v>4.89</v>
      </c>
      <c r="Z147" s="33">
        <f>IF(Y147&gt;Store_Summary!$M$2,1,0)</f>
        <v>0</v>
      </c>
      <c r="AA147" s="33">
        <f>INDEX(Stores!$C$2:$C$21,MATCH(B147,Stores!$A$2:$A$21,0))</f>
        <v>138</v>
      </c>
      <c r="AB147" s="33">
        <f>IF(AA147&lt;180,1,0)</f>
        <v>1</v>
      </c>
      <c r="AC147" s="32" t="str">
        <f>IF(Orders!D144="","",INDEX(Riders!$C$2:$C$81,MATCH(Orders!D144,Riders!$A$2:$A$81,0)))</f>
        <v>Petrol scooter</v>
      </c>
      <c r="AD147" s="33">
        <f>IF(Orders!D144="","",INDEX(Riders!$D$2:$D$81,MATCH(Orders!D144,Riders!$A$2:$A$81,0)))</f>
        <v>44</v>
      </c>
      <c r="AE147" s="33">
        <f>IF(Orders!D144="","",IF(INDEX(Riders!$B$2:$B$81,MATCH(Orders!D144,Riders!$A$2:$A$81,0))=B147,1,0))</f>
        <v>0</v>
      </c>
      <c r="AF147" s="34">
        <f>IF(E147=1,Orders!L144,"")</f>
        <v>1.87</v>
      </c>
      <c r="AG147" s="34">
        <f>IF(E147=1,Orders!P144,"")</f>
        <v>11.2</v>
      </c>
      <c r="AH147" s="34">
        <f>IF(E147=1,Orders!Q144,"")</f>
        <v>10</v>
      </c>
      <c r="AI147" s="34">
        <f>IF(E147=1,Orders!M144,"")</f>
        <v>4.1</v>
      </c>
      <c r="AJ147" s="34">
        <f>IF(E147=1,Orders!N144,"")</f>
        <v>2.7</v>
      </c>
      <c r="AK147" s="34">
        <f>IF(E147=1,Orders!O144,"")</f>
        <v>3.2</v>
      </c>
      <c r="AL147" s="33">
        <f>IF(E147=1,IF(ROUND(ABS(AI147+AJ147+AK147-AH147),6)&lt;=0.1,1,0),"")</f>
        <v>1</v>
      </c>
      <c r="AM147" s="36">
        <f>IF(E147=1,AI147/AH147,"")</f>
        <v>0.41</v>
      </c>
      <c r="AN147" s="36">
        <f>IF(E147=1,AJ147/AH147,"")</f>
        <v>0.27</v>
      </c>
      <c r="AO147" s="36">
        <f>IF(E147=1,AK147/AH147,"")</f>
        <v>0.32</v>
      </c>
      <c r="AP147" s="34">
        <f>IF(E147=1,Orders!Y144,"")</f>
        <v>0.33</v>
      </c>
      <c r="AQ147" s="33">
        <f>IF(Orders!X144,1,0)</f>
        <v>0</v>
      </c>
      <c r="AR147" s="34" t="str">
        <f>IF(AND(E147=1,L147=1),AJ147,"")</f>
        <v/>
      </c>
      <c r="AS147" s="34">
        <f>IF(AND(E147=1,L147=0),AJ147,"")</f>
        <v>2.7</v>
      </c>
      <c r="AT147" s="34" t="str">
        <f>IF(AND(E147=1,L147=1),AI147,"")</f>
        <v/>
      </c>
      <c r="AU147" s="34">
        <f>IF(AND(E147=1,L147=0),AI147,"")</f>
        <v>4.1</v>
      </c>
      <c r="AV147" s="34" t="str">
        <f>IF(AND(E147=1,L147=1),AG147,"")</f>
        <v/>
      </c>
      <c r="AW147" s="34">
        <f>IF(AND(E147=1,L147=0),AG147,"")</f>
        <v>11.2</v>
      </c>
      <c r="AX147" s="34" t="str">
        <f>IF(AND(E147=1,L147=1),AH147,"")</f>
        <v/>
      </c>
      <c r="AY147" s="34">
        <f>IF(AND(E147=1,L147=0),AH147,"")</f>
        <v>10</v>
      </c>
      <c r="AZ147" s="34" t="str">
        <f>IF(G147=1,F147,"")</f>
        <v/>
      </c>
      <c r="BA147" s="34" t="str">
        <f>IF(AND(G147=1,L147=1),F147,"")</f>
        <v/>
      </c>
      <c r="BB147" s="34" t="str">
        <f>IF(AND(G147=1,L147=0),F147,"")</f>
        <v/>
      </c>
      <c r="BC147" s="33">
        <f>IF(E147=1,IF(Orders!R144&gt;3,1,0),"")</f>
        <v>0</v>
      </c>
      <c r="BD147" s="33">
        <f>IF(E147=1,IF(Orders!R144&gt;7,1,0),"")</f>
        <v>0</v>
      </c>
      <c r="BE147" s="32" t="str">
        <f>IF(E147=1,IF(Orders!L144&lt;=1.5,"Up to 1.5 km",IF(Orders!L144&lt;=3,"1.5–3 km","Over 3 km")),"")</f>
        <v>1.5–3 km</v>
      </c>
      <c r="BF147" s="33">
        <f>IF(E147=1,IF(ABS((Orders!G144-Orders!F144)*1440-Orders!R144)&lt;0.06,1,0),"")</f>
        <v>1</v>
      </c>
      <c r="BG147" s="33">
        <f>IF(ABS((Orders!F144-Orders!E144)*1440-Orders!P144)&lt;0.06,1,0)</f>
        <v>1</v>
      </c>
      <c r="BH147" s="33">
        <f>IF(E147=1,IF(IF(Orders!S144,1,0)=1-G147,1,0),"")</f>
        <v>1</v>
      </c>
      <c r="BI147" s="32" t="str">
        <f>INDEX(Stores!$B$2:$B$21,MATCH(B147,Stores!$A$2:$A$21,0))</f>
        <v>Delhi</v>
      </c>
    </row>
    <row r="148">
      <c r="A148" s="32" t="str">
        <f>Orders!A145</f>
        <v>O00144</v>
      </c>
      <c r="B148" s="32" t="str">
        <f>Orders!C145</f>
        <v>S011</v>
      </c>
      <c r="C148" s="32" t="str">
        <f>Orders!B145</f>
        <v>C0180</v>
      </c>
      <c r="D148" s="32" t="str">
        <f>Orders!H145</f>
        <v>Delivered</v>
      </c>
      <c r="E148" s="33">
        <f>IF(Orders!H145="Delivered",1,0)</f>
        <v>1</v>
      </c>
      <c r="F148" s="34">
        <f>IF(E148=1,Orders!R145,"")</f>
        <v>13.9</v>
      </c>
      <c r="G148" s="33">
        <f>IF(E148=1,IF(Orders!R145&gt;0,1,0),"")</f>
        <v>1</v>
      </c>
      <c r="H148" s="33">
        <f>IF(E148=1,IF(Orders!R145&gt;5,1,0),"")</f>
        <v>1</v>
      </c>
      <c r="I148" s="32" t="str">
        <f>IF(E148=1,"",IF(OR(Orders!T145="Rider unavailable",Orders!T145="Item unavailable"),"Company-caused","Unresolved"))</f>
        <v/>
      </c>
      <c r="J148" s="33">
        <f>IF(OR(E148=1,I148="Company-caused"),1,0)</f>
        <v>1</v>
      </c>
      <c r="K148" s="32" t="str">
        <f>IF(E148=0,IF(I148="Company-caused",IF(Orders!T145="Rider unavailable","C1 Rider unavailable","C2 Item unavailable"),"Outside root: unresolved"),IF(G148=0,"A On time",IF(H148=1,IF(L148=1,"B2a Severe, peak","B2b Severe, off-peak"),IF(L148=1,"B1a Slight, peak","B1b Slight, off-peak"))))</f>
        <v>B2b Severe, off-peak</v>
      </c>
      <c r="L148" s="33">
        <f>IF(AND(Orders!U145&gt;=19,Orders!U145&lt;22),1,0)</f>
        <v>0</v>
      </c>
      <c r="M148" s="33">
        <f>IF(L148=IF(Orders!V145,1,0),1,0)</f>
        <v>1</v>
      </c>
      <c r="N148" s="32" t="str">
        <f>IF(Orders!W145="","None",Orders!W145)</f>
        <v>Light</v>
      </c>
      <c r="O148" s="35">
        <f>INT(Orders!E145)</f>
        <v>46269.0</v>
      </c>
      <c r="P148" s="33">
        <f>Orders!U145</f>
        <v>14</v>
      </c>
      <c r="Q148" s="33">
        <f>COUNTIFS(Demand!$A$2:$A$4481,B148,Demand!$B$2:$B$4481,O148,Demand!$C$2:$C$4481,P148)</f>
        <v>1</v>
      </c>
      <c r="R148" s="33">
        <f>IF(Q148=1,SUMIFS(Demand!$E$2:$E$4481,Demand!$A$2:$A$4481,B148,Demand!$B$2:$B$4481,O148,Demand!$C$2:$C$4481,P148),"")</f>
        <v>24</v>
      </c>
      <c r="S148" s="33">
        <f>INDEX(Stores!$G$2:$G$21,MATCH(B148,Stores!$A$2:$A$21,0))</f>
        <v>31</v>
      </c>
      <c r="T148" s="34">
        <f>IF(R148="","",R148/S148)</f>
        <v>0.774193548387097</v>
      </c>
      <c r="U148" s="34">
        <f>IF(E148=1,T148,"")</f>
        <v>0.774193548387097</v>
      </c>
      <c r="V148" s="34">
        <f>IF(AND(E148=1,L148=0),T148,"")</f>
        <v>0.774193548387097</v>
      </c>
      <c r="W148" s="33">
        <f>IF(U148="","",IF(U148&lt;=Breakdowns!$C$5,1,IF(U148&lt;=Breakdowns!$C$6,2,IF(U148&lt;=Breakdowns!$C$7,3,4))))</f>
        <v>1</v>
      </c>
      <c r="X148" s="33">
        <f>IF(V148="","",IF(V148&lt;=Breakdowns!$D$5,1,IF(V148&lt;=Breakdowns!$D$6,2,IF(V148&lt;=Breakdowns!$D$7,3,4))))</f>
        <v>2</v>
      </c>
      <c r="Y148" s="34">
        <f>INDEX(Stores!$F$2:$F$21,MATCH(B148,Stores!$A$2:$A$21,0))</f>
        <v>5.67</v>
      </c>
      <c r="Z148" s="33">
        <f>IF(Y148&gt;Store_Summary!$M$2,1,0)</f>
        <v>1</v>
      </c>
      <c r="AA148" s="33">
        <f>INDEX(Stores!$C$2:$C$21,MATCH(B148,Stores!$A$2:$A$21,0))</f>
        <v>732</v>
      </c>
      <c r="AB148" s="33">
        <f>IF(AA148&lt;180,1,0)</f>
        <v>0</v>
      </c>
      <c r="AC148" s="32" t="str">
        <f>IF(Orders!D145="","",INDEX(Riders!$C$2:$C$81,MATCH(Orders!D145,Riders!$A$2:$A$81,0)))</f>
        <v>EV scooter</v>
      </c>
      <c r="AD148" s="33">
        <f>IF(Orders!D145="","",INDEX(Riders!$D$2:$D$81,MATCH(Orders!D145,Riders!$A$2:$A$81,0)))</f>
        <v>10</v>
      </c>
      <c r="AE148" s="33">
        <f>IF(Orders!D145="","",IF(INDEX(Riders!$B$2:$B$81,MATCH(Orders!D145,Riders!$A$2:$A$81,0))=B148,1,0))</f>
        <v>0</v>
      </c>
      <c r="AF148" s="34">
        <f>IF(E148=1,Orders!L145,"")</f>
        <v>1.01</v>
      </c>
      <c r="AG148" s="34">
        <f>IF(E148=1,Orders!P145,"")</f>
        <v>8.5</v>
      </c>
      <c r="AH148" s="34">
        <f>IF(E148=1,Orders!Q145,"")</f>
        <v>22.4</v>
      </c>
      <c r="AI148" s="34">
        <f>IF(E148=1,Orders!M145,"")</f>
        <v>7.1</v>
      </c>
      <c r="AJ148" s="34">
        <f>IF(E148=1,Orders!N145,"")</f>
        <v>10.9</v>
      </c>
      <c r="AK148" s="34">
        <f>IF(E148=1,Orders!O145,"")</f>
        <v>4.3</v>
      </c>
      <c r="AL148" s="33">
        <f>IF(E148=1,IF(ROUND(ABS(AI148+AJ148+AK148-AH148),6)&lt;=0.1,1,0),"")</f>
        <v>1</v>
      </c>
      <c r="AM148" s="36">
        <f>IF(E148=1,AI148/AH148,"")</f>
        <v>0.316964285714286</v>
      </c>
      <c r="AN148" s="36">
        <f>IF(E148=1,AJ148/AH148,"")</f>
        <v>0.486607142857143</v>
      </c>
      <c r="AO148" s="36">
        <f>IF(E148=1,AK148/AH148,"")</f>
        <v>0.191964285714286</v>
      </c>
      <c r="AP148" s="34">
        <f>IF(E148=1,Orders!Y145,"")</f>
        <v>0.37</v>
      </c>
      <c r="AQ148" s="33">
        <f>IF(Orders!X145,1,0)</f>
        <v>0</v>
      </c>
      <c r="AR148" s="34" t="str">
        <f>IF(AND(E148=1,L148=1),AJ148,"")</f>
        <v/>
      </c>
      <c r="AS148" s="34">
        <f>IF(AND(E148=1,L148=0),AJ148,"")</f>
        <v>10.9</v>
      </c>
      <c r="AT148" s="34" t="str">
        <f>IF(AND(E148=1,L148=1),AI148,"")</f>
        <v/>
      </c>
      <c r="AU148" s="34">
        <f>IF(AND(E148=1,L148=0),AI148,"")</f>
        <v>7.1</v>
      </c>
      <c r="AV148" s="34" t="str">
        <f>IF(AND(E148=1,L148=1),AG148,"")</f>
        <v/>
      </c>
      <c r="AW148" s="34">
        <f>IF(AND(E148=1,L148=0),AG148,"")</f>
        <v>8.5</v>
      </c>
      <c r="AX148" s="34" t="str">
        <f>IF(AND(E148=1,L148=1),AH148,"")</f>
        <v/>
      </c>
      <c r="AY148" s="34">
        <f>IF(AND(E148=1,L148=0),AH148,"")</f>
        <v>22.4</v>
      </c>
      <c r="AZ148" s="34">
        <f>IF(G148=1,F148,"")</f>
        <v>13.9</v>
      </c>
      <c r="BA148" s="34" t="str">
        <f>IF(AND(G148=1,L148=1),F148,"")</f>
        <v/>
      </c>
      <c r="BB148" s="34">
        <f>IF(AND(G148=1,L148=0),F148,"")</f>
        <v>13.9</v>
      </c>
      <c r="BC148" s="33">
        <f>IF(E148=1,IF(Orders!R145&gt;3,1,0),"")</f>
        <v>1</v>
      </c>
      <c r="BD148" s="33">
        <f>IF(E148=1,IF(Orders!R145&gt;7,1,0),"")</f>
        <v>1</v>
      </c>
      <c r="BE148" s="32" t="str">
        <f>IF(E148=1,IF(Orders!L145&lt;=1.5,"Up to 1.5 km",IF(Orders!L145&lt;=3,"1.5–3 km","Over 3 km")),"")</f>
        <v>Up to 1.5 km</v>
      </c>
      <c r="BF148" s="33">
        <f>IF(E148=1,IF(ABS((Orders!G145-Orders!F145)*1440-Orders!R145)&lt;0.06,1,0),"")</f>
        <v>1</v>
      </c>
      <c r="BG148" s="33">
        <f>IF(ABS((Orders!F145-Orders!E145)*1440-Orders!P145)&lt;0.06,1,0)</f>
        <v>1</v>
      </c>
      <c r="BH148" s="33">
        <f>IF(E148=1,IF(IF(Orders!S145,1,0)=1-G148,1,0),"")</f>
        <v>1</v>
      </c>
      <c r="BI148" s="32" t="str">
        <f>INDEX(Stores!$B$2:$B$21,MATCH(B148,Stores!$A$2:$A$21,0))</f>
        <v>Bengaluru</v>
      </c>
    </row>
    <row r="149">
      <c r="A149" s="32" t="str">
        <f>Orders!A146</f>
        <v>O00145</v>
      </c>
      <c r="B149" s="32" t="str">
        <f>Orders!C146</f>
        <v>S015</v>
      </c>
      <c r="C149" s="32" t="str">
        <f>Orders!B146</f>
        <v>C0137</v>
      </c>
      <c r="D149" s="32" t="str">
        <f>Orders!H146</f>
        <v>Delivered</v>
      </c>
      <c r="E149" s="33">
        <f>IF(Orders!H146="Delivered",1,0)</f>
        <v>1</v>
      </c>
      <c r="F149" s="34">
        <f>IF(E149=1,Orders!R146,"")</f>
        <v>-0.3</v>
      </c>
      <c r="G149" s="33">
        <f>IF(E149=1,IF(Orders!R146&gt;0,1,0),"")</f>
        <v>0</v>
      </c>
      <c r="H149" s="33">
        <f>IF(E149=1,IF(Orders!R146&gt;5,1,0),"")</f>
        <v>0</v>
      </c>
      <c r="I149" s="32" t="str">
        <f>IF(E149=1,"",IF(OR(Orders!T146="Rider unavailable",Orders!T146="Item unavailable"),"Company-caused","Unresolved"))</f>
        <v/>
      </c>
      <c r="J149" s="33">
        <f>IF(OR(E149=1,I149="Company-caused"),1,0)</f>
        <v>1</v>
      </c>
      <c r="K149" s="32" t="str">
        <f>IF(E149=0,IF(I149="Company-caused",IF(Orders!T146="Rider unavailable","C1 Rider unavailable","C2 Item unavailable"),"Outside root: unresolved"),IF(G149=0,"A On time",IF(H149=1,IF(L149=1,"B2a Severe, peak","B2b Severe, off-peak"),IF(L149=1,"B1a Slight, peak","B1b Slight, off-peak"))))</f>
        <v>A On time</v>
      </c>
      <c r="L149" s="33">
        <f>IF(AND(Orders!U146&gt;=19,Orders!U146&lt;22),1,0)</f>
        <v>0</v>
      </c>
      <c r="M149" s="33">
        <f>IF(L149=IF(Orders!V146,1,0),1,0)</f>
        <v>1</v>
      </c>
      <c r="N149" s="32" t="str">
        <f>IF(Orders!W146="","None",Orders!W146)</f>
        <v>None</v>
      </c>
      <c r="O149" s="35">
        <f>INT(Orders!E146)</f>
        <v>46276.0</v>
      </c>
      <c r="P149" s="33">
        <f>Orders!U146</f>
        <v>18</v>
      </c>
      <c r="Q149" s="33">
        <f>COUNTIFS(Demand!$A$2:$A$4481,B149,Demand!$B$2:$B$4481,O149,Demand!$C$2:$C$4481,P149)</f>
        <v>1</v>
      </c>
      <c r="R149" s="33">
        <f>IF(Q149=1,SUMIFS(Demand!$E$2:$E$4481,Demand!$A$2:$A$4481,B149,Demand!$B$2:$B$4481,O149,Demand!$C$2:$C$4481,P149),"")</f>
        <v>19</v>
      </c>
      <c r="S149" s="33">
        <f>INDEX(Stores!$G$2:$G$21,MATCH(B149,Stores!$A$2:$A$21,0))</f>
        <v>23</v>
      </c>
      <c r="T149" s="34">
        <f>IF(R149="","",R149/S149)</f>
        <v>0.826086956521739</v>
      </c>
      <c r="U149" s="34">
        <f>IF(E149=1,T149,"")</f>
        <v>0.826086956521739</v>
      </c>
      <c r="V149" s="34">
        <f>IF(AND(E149=1,L149=0),T149,"")</f>
        <v>0.826086956521739</v>
      </c>
      <c r="W149" s="33">
        <f>IF(U149="","",IF(U149&lt;=Breakdowns!$C$5,1,IF(U149&lt;=Breakdowns!$C$6,2,IF(U149&lt;=Breakdowns!$C$7,3,4))))</f>
        <v>2</v>
      </c>
      <c r="X149" s="33">
        <f>IF(V149="","",IF(V149&lt;=Breakdowns!$D$5,1,IF(V149&lt;=Breakdowns!$D$6,2,IF(V149&lt;=Breakdowns!$D$7,3,4))))</f>
        <v>2</v>
      </c>
      <c r="Y149" s="34">
        <f>INDEX(Stores!$F$2:$F$21,MATCH(B149,Stores!$A$2:$A$21,0))</f>
        <v>4.66</v>
      </c>
      <c r="Z149" s="33">
        <f>IF(Y149&gt;Store_Summary!$M$2,1,0)</f>
        <v>0</v>
      </c>
      <c r="AA149" s="33">
        <f>INDEX(Stores!$C$2:$C$21,MATCH(B149,Stores!$A$2:$A$21,0))</f>
        <v>204</v>
      </c>
      <c r="AB149" s="33">
        <f>IF(AA149&lt;180,1,0)</f>
        <v>0</v>
      </c>
      <c r="AC149" s="32" t="str">
        <f>IF(Orders!D146="","",INDEX(Riders!$C$2:$C$81,MATCH(Orders!D146,Riders!$A$2:$A$81,0)))</f>
        <v>Petrol scooter</v>
      </c>
      <c r="AD149" s="33">
        <f>IF(Orders!D146="","",INDEX(Riders!$D$2:$D$81,MATCH(Orders!D146,Riders!$A$2:$A$81,0)))</f>
        <v>29</v>
      </c>
      <c r="AE149" s="33">
        <f>IF(Orders!D146="","",IF(INDEX(Riders!$B$2:$B$81,MATCH(Orders!D146,Riders!$A$2:$A$81,0))=B149,1,0))</f>
        <v>0</v>
      </c>
      <c r="AF149" s="34">
        <f>IF(E149=1,Orders!L146,"")</f>
        <v>0.99</v>
      </c>
      <c r="AG149" s="34">
        <f>IF(E149=1,Orders!P146,"")</f>
        <v>7.7</v>
      </c>
      <c r="AH149" s="34">
        <f>IF(E149=1,Orders!Q146,"")</f>
        <v>7.4</v>
      </c>
      <c r="AI149" s="34">
        <f>IF(E149=1,Orders!M146,"")</f>
        <v>2.5</v>
      </c>
      <c r="AJ149" s="34">
        <f>IF(E149=1,Orders!N146,"")</f>
        <v>3.6</v>
      </c>
      <c r="AK149" s="34">
        <f>IF(E149=1,Orders!O146,"")</f>
        <v>1.3</v>
      </c>
      <c r="AL149" s="33">
        <f>IF(E149=1,IF(ROUND(ABS(AI149+AJ149+AK149-AH149),6)&lt;=0.1,1,0),"")</f>
        <v>1</v>
      </c>
      <c r="AM149" s="36">
        <f>IF(E149=1,AI149/AH149,"")</f>
        <v>0.337837837837838</v>
      </c>
      <c r="AN149" s="36">
        <f>IF(E149=1,AJ149/AH149,"")</f>
        <v>0.486486486486486</v>
      </c>
      <c r="AO149" s="36">
        <f>IF(E149=1,AK149/AH149,"")</f>
        <v>0.175675675675676</v>
      </c>
      <c r="AP149" s="34">
        <f>IF(E149=1,Orders!Y146,"")</f>
        <v>0.28</v>
      </c>
      <c r="AQ149" s="33">
        <f>IF(Orders!X146,1,0)</f>
        <v>0</v>
      </c>
      <c r="AR149" s="34" t="str">
        <f>IF(AND(E149=1,L149=1),AJ149,"")</f>
        <v/>
      </c>
      <c r="AS149" s="34">
        <f>IF(AND(E149=1,L149=0),AJ149,"")</f>
        <v>3.6</v>
      </c>
      <c r="AT149" s="34" t="str">
        <f>IF(AND(E149=1,L149=1),AI149,"")</f>
        <v/>
      </c>
      <c r="AU149" s="34">
        <f>IF(AND(E149=1,L149=0),AI149,"")</f>
        <v>2.5</v>
      </c>
      <c r="AV149" s="34" t="str">
        <f>IF(AND(E149=1,L149=1),AG149,"")</f>
        <v/>
      </c>
      <c r="AW149" s="34">
        <f>IF(AND(E149=1,L149=0),AG149,"")</f>
        <v>7.7</v>
      </c>
      <c r="AX149" s="34" t="str">
        <f>IF(AND(E149=1,L149=1),AH149,"")</f>
        <v/>
      </c>
      <c r="AY149" s="34">
        <f>IF(AND(E149=1,L149=0),AH149,"")</f>
        <v>7.4</v>
      </c>
      <c r="AZ149" s="34" t="str">
        <f>IF(G149=1,F149,"")</f>
        <v/>
      </c>
      <c r="BA149" s="34" t="str">
        <f>IF(AND(G149=1,L149=1),F149,"")</f>
        <v/>
      </c>
      <c r="BB149" s="34" t="str">
        <f>IF(AND(G149=1,L149=0),F149,"")</f>
        <v/>
      </c>
      <c r="BC149" s="33">
        <f>IF(E149=1,IF(Orders!R146&gt;3,1,0),"")</f>
        <v>0</v>
      </c>
      <c r="BD149" s="33">
        <f>IF(E149=1,IF(Orders!R146&gt;7,1,0),"")</f>
        <v>0</v>
      </c>
      <c r="BE149" s="32" t="str">
        <f>IF(E149=1,IF(Orders!L146&lt;=1.5,"Up to 1.5 km",IF(Orders!L146&lt;=3,"1.5–3 km","Over 3 km")),"")</f>
        <v>Up to 1.5 km</v>
      </c>
      <c r="BF149" s="33">
        <f>IF(E149=1,IF(ABS((Orders!G146-Orders!F146)*1440-Orders!R146)&lt;0.06,1,0),"")</f>
        <v>1</v>
      </c>
      <c r="BG149" s="33">
        <f>IF(ABS((Orders!F146-Orders!E146)*1440-Orders!P146)&lt;0.06,1,0)</f>
        <v>1</v>
      </c>
      <c r="BH149" s="33">
        <f>IF(E149=1,IF(IF(Orders!S146,1,0)=1-G149,1,0),"")</f>
        <v>1</v>
      </c>
      <c r="BI149" s="32" t="str">
        <f>INDEX(Stores!$B$2:$B$21,MATCH(B149,Stores!$A$2:$A$21,0))</f>
        <v>Delhi</v>
      </c>
    </row>
    <row r="150">
      <c r="A150" s="32" t="str">
        <f>Orders!A147</f>
        <v>O00146</v>
      </c>
      <c r="B150" s="32" t="str">
        <f>Orders!C147</f>
        <v>S001</v>
      </c>
      <c r="C150" s="32" t="str">
        <f>Orders!B147</f>
        <v>C0019</v>
      </c>
      <c r="D150" s="32" t="str">
        <f>Orders!H147</f>
        <v>Delivered</v>
      </c>
      <c r="E150" s="33">
        <f>IF(Orders!H147="Delivered",1,0)</f>
        <v>1</v>
      </c>
      <c r="F150" s="34">
        <f>IF(E150=1,Orders!R147,"")</f>
        <v>-0.9</v>
      </c>
      <c r="G150" s="33">
        <f>IF(E150=1,IF(Orders!R147&gt;0,1,0),"")</f>
        <v>0</v>
      </c>
      <c r="H150" s="33">
        <f>IF(E150=1,IF(Orders!R147&gt;5,1,0),"")</f>
        <v>0</v>
      </c>
      <c r="I150" s="32" t="str">
        <f>IF(E150=1,"",IF(OR(Orders!T147="Rider unavailable",Orders!T147="Item unavailable"),"Company-caused","Unresolved"))</f>
        <v/>
      </c>
      <c r="J150" s="33">
        <f>IF(OR(E150=1,I150="Company-caused"),1,0)</f>
        <v>1</v>
      </c>
      <c r="K150" s="32" t="str">
        <f>IF(E150=0,IF(I150="Company-caused",IF(Orders!T147="Rider unavailable","C1 Rider unavailable","C2 Item unavailable"),"Outside root: unresolved"),IF(G150=0,"A On time",IF(H150=1,IF(L150=1,"B2a Severe, peak","B2b Severe, off-peak"),IF(L150=1,"B1a Slight, peak","B1b Slight, off-peak"))))</f>
        <v>A On time</v>
      </c>
      <c r="L150" s="33">
        <f>IF(AND(Orders!U147&gt;=19,Orders!U147&lt;22),1,0)</f>
        <v>0</v>
      </c>
      <c r="M150" s="33">
        <f>IF(L150=IF(Orders!V147,1,0),1,0)</f>
        <v>1</v>
      </c>
      <c r="N150" s="32" t="str">
        <f>IF(Orders!W147="","None",Orders!W147)</f>
        <v>None</v>
      </c>
      <c r="O150" s="35">
        <f>INT(Orders!E147)</f>
        <v>46272.0</v>
      </c>
      <c r="P150" s="33">
        <f>Orders!U147</f>
        <v>13</v>
      </c>
      <c r="Q150" s="33">
        <f>COUNTIFS(Demand!$A$2:$A$4481,B150,Demand!$B$2:$B$4481,O150,Demand!$C$2:$C$4481,P150)</f>
        <v>1</v>
      </c>
      <c r="R150" s="33">
        <f>IF(Q150=1,SUMIFS(Demand!$E$2:$E$4481,Demand!$A$2:$A$4481,B150,Demand!$B$2:$B$4481,O150,Demand!$C$2:$C$4481,P150),"")</f>
        <v>24</v>
      </c>
      <c r="S150" s="33">
        <f>INDEX(Stores!$G$2:$G$21,MATCH(B150,Stores!$A$2:$A$21,0))</f>
        <v>16</v>
      </c>
      <c r="T150" s="34">
        <f>IF(R150="","",R150/S150)</f>
        <v>1.5</v>
      </c>
      <c r="U150" s="34">
        <f>IF(E150=1,T150,"")</f>
        <v>1.5</v>
      </c>
      <c r="V150" s="34">
        <f>IF(AND(E150=1,L150=0),T150,"")</f>
        <v>1.5</v>
      </c>
      <c r="W150" s="33">
        <f>IF(U150="","",IF(U150&lt;=Breakdowns!$C$5,1,IF(U150&lt;=Breakdowns!$C$6,2,IF(U150&lt;=Breakdowns!$C$7,3,4))))</f>
        <v>4</v>
      </c>
      <c r="X150" s="33">
        <f>IF(V150="","",IF(V150&lt;=Breakdowns!$D$5,1,IF(V150&lt;=Breakdowns!$D$6,2,IF(V150&lt;=Breakdowns!$D$7,3,4))))</f>
        <v>4</v>
      </c>
      <c r="Y150" s="34">
        <f>INDEX(Stores!$F$2:$F$21,MATCH(B150,Stores!$A$2:$A$21,0))</f>
        <v>4.59</v>
      </c>
      <c r="Z150" s="33">
        <f>IF(Y150&gt;Store_Summary!$M$2,1,0)</f>
        <v>0</v>
      </c>
      <c r="AA150" s="33">
        <f>INDEX(Stores!$C$2:$C$21,MATCH(B150,Stores!$A$2:$A$21,0))</f>
        <v>362</v>
      </c>
      <c r="AB150" s="33">
        <f>IF(AA150&lt;180,1,0)</f>
        <v>0</v>
      </c>
      <c r="AC150" s="32" t="str">
        <f>IF(Orders!D147="","",INDEX(Riders!$C$2:$C$81,MATCH(Orders!D147,Riders!$A$2:$A$81,0)))</f>
        <v>EV scooter</v>
      </c>
      <c r="AD150" s="33">
        <f>IF(Orders!D147="","",INDEX(Riders!$D$2:$D$81,MATCH(Orders!D147,Riders!$A$2:$A$81,0)))</f>
        <v>12</v>
      </c>
      <c r="AE150" s="33">
        <f>IF(Orders!D147="","",IF(INDEX(Riders!$B$2:$B$81,MATCH(Orders!D147,Riders!$A$2:$A$81,0))=B150,1,0))</f>
        <v>0</v>
      </c>
      <c r="AF150" s="34">
        <f>IF(E150=1,Orders!L147,"")</f>
        <v>3.46</v>
      </c>
      <c r="AG150" s="34">
        <f>IF(E150=1,Orders!P147,"")</f>
        <v>12.1</v>
      </c>
      <c r="AH150" s="34">
        <f>IF(E150=1,Orders!Q147,"")</f>
        <v>11.2</v>
      </c>
      <c r="AI150" s="34">
        <f>IF(E150=1,Orders!M147,"")</f>
        <v>2.5</v>
      </c>
      <c r="AJ150" s="34">
        <f>IF(E150=1,Orders!N147,"")</f>
        <v>4.4</v>
      </c>
      <c r="AK150" s="34">
        <f>IF(E150=1,Orders!O147,"")</f>
        <v>4.3</v>
      </c>
      <c r="AL150" s="33">
        <f>IF(E150=1,IF(ROUND(ABS(AI150+AJ150+AK150-AH150),6)&lt;=0.1,1,0),"")</f>
        <v>1</v>
      </c>
      <c r="AM150" s="36">
        <f>IF(E150=1,AI150/AH150,"")</f>
        <v>0.223214285714286</v>
      </c>
      <c r="AN150" s="36">
        <f>IF(E150=1,AJ150/AH150,"")</f>
        <v>0.392857142857143</v>
      </c>
      <c r="AO150" s="36">
        <f>IF(E150=1,AK150/AH150,"")</f>
        <v>0.383928571428571</v>
      </c>
      <c r="AP150" s="34">
        <f>IF(E150=1,Orders!Y147,"")</f>
        <v>0.43</v>
      </c>
      <c r="AQ150" s="33">
        <f>IF(Orders!X147,1,0)</f>
        <v>0</v>
      </c>
      <c r="AR150" s="34" t="str">
        <f>IF(AND(E150=1,L150=1),AJ150,"")</f>
        <v/>
      </c>
      <c r="AS150" s="34">
        <f>IF(AND(E150=1,L150=0),AJ150,"")</f>
        <v>4.4</v>
      </c>
      <c r="AT150" s="34" t="str">
        <f>IF(AND(E150=1,L150=1),AI150,"")</f>
        <v/>
      </c>
      <c r="AU150" s="34">
        <f>IF(AND(E150=1,L150=0),AI150,"")</f>
        <v>2.5</v>
      </c>
      <c r="AV150" s="34" t="str">
        <f>IF(AND(E150=1,L150=1),AG150,"")</f>
        <v/>
      </c>
      <c r="AW150" s="34">
        <f>IF(AND(E150=1,L150=0),AG150,"")</f>
        <v>12.1</v>
      </c>
      <c r="AX150" s="34" t="str">
        <f>IF(AND(E150=1,L150=1),AH150,"")</f>
        <v/>
      </c>
      <c r="AY150" s="34">
        <f>IF(AND(E150=1,L150=0),AH150,"")</f>
        <v>11.2</v>
      </c>
      <c r="AZ150" s="34" t="str">
        <f>IF(G150=1,F150,"")</f>
        <v/>
      </c>
      <c r="BA150" s="34" t="str">
        <f>IF(AND(G150=1,L150=1),F150,"")</f>
        <v/>
      </c>
      <c r="BB150" s="34" t="str">
        <f>IF(AND(G150=1,L150=0),F150,"")</f>
        <v/>
      </c>
      <c r="BC150" s="33">
        <f>IF(E150=1,IF(Orders!R147&gt;3,1,0),"")</f>
        <v>0</v>
      </c>
      <c r="BD150" s="33">
        <f>IF(E150=1,IF(Orders!R147&gt;7,1,0),"")</f>
        <v>0</v>
      </c>
      <c r="BE150" s="32" t="str">
        <f>IF(E150=1,IF(Orders!L147&lt;=1.5,"Up to 1.5 km",IF(Orders!L147&lt;=3,"1.5–3 km","Over 3 km")),"")</f>
        <v>Over 3 km</v>
      </c>
      <c r="BF150" s="33">
        <f>IF(E150=1,IF(ABS((Orders!G147-Orders!F147)*1440-Orders!R147)&lt;0.06,1,0),"")</f>
        <v>1</v>
      </c>
      <c r="BG150" s="33">
        <f>IF(ABS((Orders!F147-Orders!E147)*1440-Orders!P147)&lt;0.06,1,0)</f>
        <v>1</v>
      </c>
      <c r="BH150" s="33">
        <f>IF(E150=1,IF(IF(Orders!S147,1,0)=1-G150,1,0),"")</f>
        <v>1</v>
      </c>
      <c r="BI150" s="32" t="str">
        <f>INDEX(Stores!$B$2:$B$21,MATCH(B150,Stores!$A$2:$A$21,0))</f>
        <v>Bengaluru</v>
      </c>
    </row>
    <row r="151">
      <c r="A151" s="32" t="str">
        <f>Orders!A148</f>
        <v>O00147</v>
      </c>
      <c r="B151" s="32" t="str">
        <f>Orders!C148</f>
        <v>S017</v>
      </c>
      <c r="C151" s="32" t="str">
        <f>Orders!B148</f>
        <v>C0067</v>
      </c>
      <c r="D151" s="32" t="str">
        <f>Orders!H148</f>
        <v>Delivered</v>
      </c>
      <c r="E151" s="33">
        <f>IF(Orders!H148="Delivered",1,0)</f>
        <v>1</v>
      </c>
      <c r="F151" s="34">
        <f>IF(E151=1,Orders!R148,"")</f>
        <v>-0.5</v>
      </c>
      <c r="G151" s="33">
        <f>IF(E151=1,IF(Orders!R148&gt;0,1,0),"")</f>
        <v>0</v>
      </c>
      <c r="H151" s="33">
        <f>IF(E151=1,IF(Orders!R148&gt;5,1,0),"")</f>
        <v>0</v>
      </c>
      <c r="I151" s="32" t="str">
        <f>IF(E151=1,"",IF(OR(Orders!T148="Rider unavailable",Orders!T148="Item unavailable"),"Company-caused","Unresolved"))</f>
        <v/>
      </c>
      <c r="J151" s="33">
        <f>IF(OR(E151=1,I151="Company-caused"),1,0)</f>
        <v>1</v>
      </c>
      <c r="K151" s="32" t="str">
        <f>IF(E151=0,IF(I151="Company-caused",IF(Orders!T148="Rider unavailable","C1 Rider unavailable","C2 Item unavailable"),"Outside root: unresolved"),IF(G151=0,"A On time",IF(H151=1,IF(L151=1,"B2a Severe, peak","B2b Severe, off-peak"),IF(L151=1,"B1a Slight, peak","B1b Slight, off-peak"))))</f>
        <v>A On time</v>
      </c>
      <c r="L151" s="33">
        <f>IF(AND(Orders!U148&gt;=19,Orders!U148&lt;22),1,0)</f>
        <v>1</v>
      </c>
      <c r="M151" s="33">
        <f>IF(L151=IF(Orders!V148,1,0),1,0)</f>
        <v>1</v>
      </c>
      <c r="N151" s="32" t="str">
        <f>IF(Orders!W148="","None",Orders!W148)</f>
        <v>None</v>
      </c>
      <c r="O151" s="35">
        <f>INT(Orders!E148)</f>
        <v>46274.0</v>
      </c>
      <c r="P151" s="33">
        <f>Orders!U148</f>
        <v>19</v>
      </c>
      <c r="Q151" s="33">
        <f>COUNTIFS(Demand!$A$2:$A$4481,B151,Demand!$B$2:$B$4481,O151,Demand!$C$2:$C$4481,P151)</f>
        <v>1</v>
      </c>
      <c r="R151" s="33">
        <f>IF(Q151=1,SUMIFS(Demand!$E$2:$E$4481,Demand!$A$2:$A$4481,B151,Demand!$B$2:$B$4481,O151,Demand!$C$2:$C$4481,P151),"")</f>
        <v>42</v>
      </c>
      <c r="S151" s="33">
        <f>INDEX(Stores!$G$2:$G$21,MATCH(B151,Stores!$A$2:$A$21,0))</f>
        <v>36</v>
      </c>
      <c r="T151" s="34">
        <f>IF(R151="","",R151/S151)</f>
        <v>1.16666666666667</v>
      </c>
      <c r="U151" s="34">
        <f>IF(E151=1,T151,"")</f>
        <v>1.16666666666667</v>
      </c>
      <c r="V151" s="34" t="str">
        <f>IF(AND(E151=1,L151=0),T151,"")</f>
        <v/>
      </c>
      <c r="W151" s="33">
        <f>IF(U151="","",IF(U151&lt;=Breakdowns!$C$5,1,IF(U151&lt;=Breakdowns!$C$6,2,IF(U151&lt;=Breakdowns!$C$7,3,4))))</f>
        <v>3</v>
      </c>
      <c r="X151" s="33" t="str">
        <f>IF(V151="","",IF(V151&lt;=Breakdowns!$D$5,1,IF(V151&lt;=Breakdowns!$D$6,2,IF(V151&lt;=Breakdowns!$D$7,3,4))))</f>
        <v/>
      </c>
      <c r="Y151" s="34">
        <f>INDEX(Stores!$F$2:$F$21,MATCH(B151,Stores!$A$2:$A$21,0))</f>
        <v>2.16</v>
      </c>
      <c r="Z151" s="33">
        <f>IF(Y151&gt;Store_Summary!$M$2,1,0)</f>
        <v>0</v>
      </c>
      <c r="AA151" s="33">
        <f>INDEX(Stores!$C$2:$C$21,MATCH(B151,Stores!$A$2:$A$21,0))</f>
        <v>47</v>
      </c>
      <c r="AB151" s="33">
        <f>IF(AA151&lt;180,1,0)</f>
        <v>1</v>
      </c>
      <c r="AC151" s="32" t="str">
        <f>IF(Orders!D148="","",INDEX(Riders!$C$2:$C$81,MATCH(Orders!D148,Riders!$A$2:$A$81,0)))</f>
        <v>Petrol scooter</v>
      </c>
      <c r="AD151" s="33">
        <f>IF(Orders!D148="","",INDEX(Riders!$D$2:$D$81,MATCH(Orders!D148,Riders!$A$2:$A$81,0)))</f>
        <v>13</v>
      </c>
      <c r="AE151" s="33">
        <f>IF(Orders!D148="","",IF(INDEX(Riders!$B$2:$B$81,MATCH(Orders!D148,Riders!$A$2:$A$81,0))=B151,1,0))</f>
        <v>0</v>
      </c>
      <c r="AF151" s="34">
        <f>IF(E151=1,Orders!L148,"")</f>
        <v>0.93</v>
      </c>
      <c r="AG151" s="34">
        <f>IF(E151=1,Orders!P148,"")</f>
        <v>8.9</v>
      </c>
      <c r="AH151" s="34">
        <f>IF(E151=1,Orders!Q148,"")</f>
        <v>8.4</v>
      </c>
      <c r="AI151" s="34">
        <f>IF(E151=1,Orders!M148,"")</f>
        <v>1.5</v>
      </c>
      <c r="AJ151" s="34">
        <f>IF(E151=1,Orders!N148,"")</f>
        <v>5</v>
      </c>
      <c r="AK151" s="34">
        <f>IF(E151=1,Orders!O148,"")</f>
        <v>1.9</v>
      </c>
      <c r="AL151" s="33">
        <f>IF(E151=1,IF(ROUND(ABS(AI151+AJ151+AK151-AH151),6)&lt;=0.1,1,0),"")</f>
        <v>1</v>
      </c>
      <c r="AM151" s="36">
        <f>IF(E151=1,AI151/AH151,"")</f>
        <v>0.178571428571429</v>
      </c>
      <c r="AN151" s="36">
        <f>IF(E151=1,AJ151/AH151,"")</f>
        <v>0.595238095238095</v>
      </c>
      <c r="AO151" s="36">
        <f>IF(E151=1,AK151/AH151,"")</f>
        <v>0.226190476190476</v>
      </c>
      <c r="AP151" s="34">
        <f>IF(E151=1,Orders!Y148,"")</f>
        <v>0.62</v>
      </c>
      <c r="AQ151" s="33">
        <f>IF(Orders!X148,1,0)</f>
        <v>0</v>
      </c>
      <c r="AR151" s="34">
        <f>IF(AND(E151=1,L151=1),AJ151,"")</f>
        <v>5</v>
      </c>
      <c r="AS151" s="34" t="str">
        <f>IF(AND(E151=1,L151=0),AJ151,"")</f>
        <v/>
      </c>
      <c r="AT151" s="34">
        <f>IF(AND(E151=1,L151=1),AI151,"")</f>
        <v>1.5</v>
      </c>
      <c r="AU151" s="34" t="str">
        <f>IF(AND(E151=1,L151=0),AI151,"")</f>
        <v/>
      </c>
      <c r="AV151" s="34">
        <f>IF(AND(E151=1,L151=1),AG151,"")</f>
        <v>8.9</v>
      </c>
      <c r="AW151" s="34" t="str">
        <f>IF(AND(E151=1,L151=0),AG151,"")</f>
        <v/>
      </c>
      <c r="AX151" s="34">
        <f>IF(AND(E151=1,L151=1),AH151,"")</f>
        <v>8.4</v>
      </c>
      <c r="AY151" s="34" t="str">
        <f>IF(AND(E151=1,L151=0),AH151,"")</f>
        <v/>
      </c>
      <c r="AZ151" s="34" t="str">
        <f>IF(G151=1,F151,"")</f>
        <v/>
      </c>
      <c r="BA151" s="34" t="str">
        <f>IF(AND(G151=1,L151=1),F151,"")</f>
        <v/>
      </c>
      <c r="BB151" s="34" t="str">
        <f>IF(AND(G151=1,L151=0),F151,"")</f>
        <v/>
      </c>
      <c r="BC151" s="33">
        <f>IF(E151=1,IF(Orders!R148&gt;3,1,0),"")</f>
        <v>0</v>
      </c>
      <c r="BD151" s="33">
        <f>IF(E151=1,IF(Orders!R148&gt;7,1,0),"")</f>
        <v>0</v>
      </c>
      <c r="BE151" s="32" t="str">
        <f>IF(E151=1,IF(Orders!L148&lt;=1.5,"Up to 1.5 km",IF(Orders!L148&lt;=3,"1.5–3 km","Over 3 km")),"")</f>
        <v>Up to 1.5 km</v>
      </c>
      <c r="BF151" s="33">
        <f>IF(E151=1,IF(ABS((Orders!G148-Orders!F148)*1440-Orders!R148)&lt;0.06,1,0),"")</f>
        <v>1</v>
      </c>
      <c r="BG151" s="33">
        <f>IF(ABS((Orders!F148-Orders!E148)*1440-Orders!P148)&lt;0.06,1,0)</f>
        <v>1</v>
      </c>
      <c r="BH151" s="33">
        <f>IF(E151=1,IF(IF(Orders!S148,1,0)=1-G151,1,0),"")</f>
        <v>1</v>
      </c>
      <c r="BI151" s="32" t="str">
        <f>INDEX(Stores!$B$2:$B$21,MATCH(B151,Stores!$A$2:$A$21,0))</f>
        <v>Hyderabad</v>
      </c>
    </row>
    <row r="152">
      <c r="A152" s="32" t="str">
        <f>Orders!A149</f>
        <v>O00148</v>
      </c>
      <c r="B152" s="32" t="str">
        <f>Orders!C149</f>
        <v>S011</v>
      </c>
      <c r="C152" s="32" t="str">
        <f>Orders!B149</f>
        <v>C0186</v>
      </c>
      <c r="D152" s="32" t="str">
        <f>Orders!H149</f>
        <v>Delivered</v>
      </c>
      <c r="E152" s="33">
        <f>IF(Orders!H149="Delivered",1,0)</f>
        <v>1</v>
      </c>
      <c r="F152" s="34">
        <f>IF(E152=1,Orders!R149,"")</f>
        <v>-1.2</v>
      </c>
      <c r="G152" s="33">
        <f>IF(E152=1,IF(Orders!R149&gt;0,1,0),"")</f>
        <v>0</v>
      </c>
      <c r="H152" s="33">
        <f>IF(E152=1,IF(Orders!R149&gt;5,1,0),"")</f>
        <v>0</v>
      </c>
      <c r="I152" s="32" t="str">
        <f>IF(E152=1,"",IF(OR(Orders!T149="Rider unavailable",Orders!T149="Item unavailable"),"Company-caused","Unresolved"))</f>
        <v/>
      </c>
      <c r="J152" s="33">
        <f>IF(OR(E152=1,I152="Company-caused"),1,0)</f>
        <v>1</v>
      </c>
      <c r="K152" s="32" t="str">
        <f>IF(E152=0,IF(I152="Company-caused",IF(Orders!T149="Rider unavailable","C1 Rider unavailable","C2 Item unavailable"),"Outside root: unresolved"),IF(G152=0,"A On time",IF(H152=1,IF(L152=1,"B2a Severe, peak","B2b Severe, off-peak"),IF(L152=1,"B1a Slight, peak","B1b Slight, off-peak"))))</f>
        <v>A On time</v>
      </c>
      <c r="L152" s="33">
        <f>IF(AND(Orders!U149&gt;=19,Orders!U149&lt;22),1,0)</f>
        <v>0</v>
      </c>
      <c r="M152" s="33">
        <f>IF(L152=IF(Orders!V149,1,0),1,0)</f>
        <v>1</v>
      </c>
      <c r="N152" s="32" t="str">
        <f>IF(Orders!W149="","None",Orders!W149)</f>
        <v>None</v>
      </c>
      <c r="O152" s="35">
        <f>INT(Orders!E149)</f>
        <v>46270.0</v>
      </c>
      <c r="P152" s="33">
        <f>Orders!U149</f>
        <v>11</v>
      </c>
      <c r="Q152" s="33">
        <f>COUNTIFS(Demand!$A$2:$A$4481,B152,Demand!$B$2:$B$4481,O152,Demand!$C$2:$C$4481,P152)</f>
        <v>1</v>
      </c>
      <c r="R152" s="33">
        <f>IF(Q152=1,SUMIFS(Demand!$E$2:$E$4481,Demand!$A$2:$A$4481,B152,Demand!$B$2:$B$4481,O152,Demand!$C$2:$C$4481,P152),"")</f>
        <v>33</v>
      </c>
      <c r="S152" s="33">
        <f>INDEX(Stores!$G$2:$G$21,MATCH(B152,Stores!$A$2:$A$21,0))</f>
        <v>31</v>
      </c>
      <c r="T152" s="34">
        <f>IF(R152="","",R152/S152)</f>
        <v>1.06451612903226</v>
      </c>
      <c r="U152" s="34">
        <f>IF(E152=1,T152,"")</f>
        <v>1.06451612903226</v>
      </c>
      <c r="V152" s="34">
        <f>IF(AND(E152=1,L152=0),T152,"")</f>
        <v>1.06451612903226</v>
      </c>
      <c r="W152" s="33">
        <f>IF(U152="","",IF(U152&lt;=Breakdowns!$C$5,1,IF(U152&lt;=Breakdowns!$C$6,2,IF(U152&lt;=Breakdowns!$C$7,3,4))))</f>
        <v>3</v>
      </c>
      <c r="X152" s="33">
        <f>IF(V152="","",IF(V152&lt;=Breakdowns!$D$5,1,IF(V152&lt;=Breakdowns!$D$6,2,IF(V152&lt;=Breakdowns!$D$7,3,4))))</f>
        <v>3</v>
      </c>
      <c r="Y152" s="34">
        <f>INDEX(Stores!$F$2:$F$21,MATCH(B152,Stores!$A$2:$A$21,0))</f>
        <v>5.67</v>
      </c>
      <c r="Z152" s="33">
        <f>IF(Y152&gt;Store_Summary!$M$2,1,0)</f>
        <v>1</v>
      </c>
      <c r="AA152" s="33">
        <f>INDEX(Stores!$C$2:$C$21,MATCH(B152,Stores!$A$2:$A$21,0))</f>
        <v>732</v>
      </c>
      <c r="AB152" s="33">
        <f>IF(AA152&lt;180,1,0)</f>
        <v>0</v>
      </c>
      <c r="AC152" s="32" t="str">
        <f>IF(Orders!D149="","",INDEX(Riders!$C$2:$C$81,MATCH(Orders!D149,Riders!$A$2:$A$81,0)))</f>
        <v>EV scooter</v>
      </c>
      <c r="AD152" s="33">
        <f>IF(Orders!D149="","",INDEX(Riders!$D$2:$D$81,MATCH(Orders!D149,Riders!$A$2:$A$81,0)))</f>
        <v>1</v>
      </c>
      <c r="AE152" s="33">
        <f>IF(Orders!D149="","",IF(INDEX(Riders!$B$2:$B$81,MATCH(Orders!D149,Riders!$A$2:$A$81,0))=B152,1,0))</f>
        <v>0</v>
      </c>
      <c r="AF152" s="34">
        <f>IF(E152=1,Orders!L149,"")</f>
        <v>1.07</v>
      </c>
      <c r="AG152" s="34">
        <f>IF(E152=1,Orders!P149,"")</f>
        <v>9.8</v>
      </c>
      <c r="AH152" s="34">
        <f>IF(E152=1,Orders!Q149,"")</f>
        <v>8.6</v>
      </c>
      <c r="AI152" s="34">
        <f>IF(E152=1,Orders!M149,"")</f>
        <v>3.1</v>
      </c>
      <c r="AJ152" s="34">
        <f>IF(E152=1,Orders!N149,"")</f>
        <v>3.7</v>
      </c>
      <c r="AK152" s="34">
        <f>IF(E152=1,Orders!O149,"")</f>
        <v>1.8</v>
      </c>
      <c r="AL152" s="33">
        <f>IF(E152=1,IF(ROUND(ABS(AI152+AJ152+AK152-AH152),6)&lt;=0.1,1,0),"")</f>
        <v>1</v>
      </c>
      <c r="AM152" s="36">
        <f>IF(E152=1,AI152/AH152,"")</f>
        <v>0.36046511627907</v>
      </c>
      <c r="AN152" s="36">
        <f>IF(E152=1,AJ152/AH152,"")</f>
        <v>0.430232558139535</v>
      </c>
      <c r="AO152" s="36">
        <f>IF(E152=1,AK152/AH152,"")</f>
        <v>0.209302325581395</v>
      </c>
      <c r="AP152" s="34">
        <f>IF(E152=1,Orders!Y149,"")</f>
        <v>0.59</v>
      </c>
      <c r="AQ152" s="33">
        <f>IF(Orders!X149,1,0)</f>
        <v>0</v>
      </c>
      <c r="AR152" s="34" t="str">
        <f>IF(AND(E152=1,L152=1),AJ152,"")</f>
        <v/>
      </c>
      <c r="AS152" s="34">
        <f>IF(AND(E152=1,L152=0),AJ152,"")</f>
        <v>3.7</v>
      </c>
      <c r="AT152" s="34" t="str">
        <f>IF(AND(E152=1,L152=1),AI152,"")</f>
        <v/>
      </c>
      <c r="AU152" s="34">
        <f>IF(AND(E152=1,L152=0),AI152,"")</f>
        <v>3.1</v>
      </c>
      <c r="AV152" s="34" t="str">
        <f>IF(AND(E152=1,L152=1),AG152,"")</f>
        <v/>
      </c>
      <c r="AW152" s="34">
        <f>IF(AND(E152=1,L152=0),AG152,"")</f>
        <v>9.8</v>
      </c>
      <c r="AX152" s="34" t="str">
        <f>IF(AND(E152=1,L152=1),AH152,"")</f>
        <v/>
      </c>
      <c r="AY152" s="34">
        <f>IF(AND(E152=1,L152=0),AH152,"")</f>
        <v>8.6</v>
      </c>
      <c r="AZ152" s="34" t="str">
        <f>IF(G152=1,F152,"")</f>
        <v/>
      </c>
      <c r="BA152" s="34" t="str">
        <f>IF(AND(G152=1,L152=1),F152,"")</f>
        <v/>
      </c>
      <c r="BB152" s="34" t="str">
        <f>IF(AND(G152=1,L152=0),F152,"")</f>
        <v/>
      </c>
      <c r="BC152" s="33">
        <f>IF(E152=1,IF(Orders!R149&gt;3,1,0),"")</f>
        <v>0</v>
      </c>
      <c r="BD152" s="33">
        <f>IF(E152=1,IF(Orders!R149&gt;7,1,0),"")</f>
        <v>0</v>
      </c>
      <c r="BE152" s="32" t="str">
        <f>IF(E152=1,IF(Orders!L149&lt;=1.5,"Up to 1.5 km",IF(Orders!L149&lt;=3,"1.5–3 km","Over 3 km")),"")</f>
        <v>Up to 1.5 km</v>
      </c>
      <c r="BF152" s="33">
        <f>IF(E152=1,IF(ABS((Orders!G149-Orders!F149)*1440-Orders!R149)&lt;0.06,1,0),"")</f>
        <v>1</v>
      </c>
      <c r="BG152" s="33">
        <f>IF(ABS((Orders!F149-Orders!E149)*1440-Orders!P149)&lt;0.06,1,0)</f>
        <v>1</v>
      </c>
      <c r="BH152" s="33">
        <f>IF(E152=1,IF(IF(Orders!S149,1,0)=1-G152,1,0),"")</f>
        <v>1</v>
      </c>
      <c r="BI152" s="32" t="str">
        <f>INDEX(Stores!$B$2:$B$21,MATCH(B152,Stores!$A$2:$A$21,0))</f>
        <v>Bengaluru</v>
      </c>
    </row>
    <row r="153">
      <c r="A153" s="32" t="str">
        <f>Orders!A150</f>
        <v>O00149</v>
      </c>
      <c r="B153" s="32" t="str">
        <f>Orders!C150</f>
        <v>S005</v>
      </c>
      <c r="C153" s="32" t="str">
        <f>Orders!B150</f>
        <v>C0119</v>
      </c>
      <c r="D153" s="32" t="str">
        <f>Orders!H150</f>
        <v>Delivered</v>
      </c>
      <c r="E153" s="33">
        <f>IF(Orders!H150="Delivered",1,0)</f>
        <v>1</v>
      </c>
      <c r="F153" s="34">
        <f>IF(E153=1,Orders!R150,"")</f>
        <v>9.3</v>
      </c>
      <c r="G153" s="33">
        <f>IF(E153=1,IF(Orders!R150&gt;0,1,0),"")</f>
        <v>1</v>
      </c>
      <c r="H153" s="33">
        <f>IF(E153=1,IF(Orders!R150&gt;5,1,0),"")</f>
        <v>1</v>
      </c>
      <c r="I153" s="32" t="str">
        <f>IF(E153=1,"",IF(OR(Orders!T150="Rider unavailable",Orders!T150="Item unavailable"),"Company-caused","Unresolved"))</f>
        <v/>
      </c>
      <c r="J153" s="33">
        <f>IF(OR(E153=1,I153="Company-caused"),1,0)</f>
        <v>1</v>
      </c>
      <c r="K153" s="32" t="str">
        <f>IF(E153=0,IF(I153="Company-caused",IF(Orders!T150="Rider unavailable","C1 Rider unavailable","C2 Item unavailable"),"Outside root: unresolved"),IF(G153=0,"A On time",IF(H153=1,IF(L153=1,"B2a Severe, peak","B2b Severe, off-peak"),IF(L153=1,"B1a Slight, peak","B1b Slight, off-peak"))))</f>
        <v>B2a Severe, peak</v>
      </c>
      <c r="L153" s="33">
        <f>IF(AND(Orders!U150&gt;=19,Orders!U150&lt;22),1,0)</f>
        <v>1</v>
      </c>
      <c r="M153" s="33">
        <f>IF(L153=IF(Orders!V150,1,0),1,0)</f>
        <v>1</v>
      </c>
      <c r="N153" s="32" t="str">
        <f>IF(Orders!W150="","None",Orders!W150)</f>
        <v>Light</v>
      </c>
      <c r="O153" s="35">
        <f>INT(Orders!E150)</f>
        <v>46270.0</v>
      </c>
      <c r="P153" s="33">
        <f>Orders!U150</f>
        <v>21</v>
      </c>
      <c r="Q153" s="33">
        <f>COUNTIFS(Demand!$A$2:$A$4481,B153,Demand!$B$2:$B$4481,O153,Demand!$C$2:$C$4481,P153)</f>
        <v>1</v>
      </c>
      <c r="R153" s="33">
        <f>IF(Q153=1,SUMIFS(Demand!$E$2:$E$4481,Demand!$A$2:$A$4481,B153,Demand!$B$2:$B$4481,O153,Demand!$C$2:$C$4481,P153),"")</f>
        <v>19</v>
      </c>
      <c r="S153" s="33">
        <f>INDEX(Stores!$G$2:$G$21,MATCH(B153,Stores!$A$2:$A$21,0))</f>
        <v>14</v>
      </c>
      <c r="T153" s="34">
        <f>IF(R153="","",R153/S153)</f>
        <v>1.35714285714286</v>
      </c>
      <c r="U153" s="34">
        <f>IF(E153=1,T153,"")</f>
        <v>1.35714285714286</v>
      </c>
      <c r="V153" s="34" t="str">
        <f>IF(AND(E153=1,L153=0),T153,"")</f>
        <v/>
      </c>
      <c r="W153" s="33">
        <f>IF(U153="","",IF(U153&lt;=Breakdowns!$C$5,1,IF(U153&lt;=Breakdowns!$C$6,2,IF(U153&lt;=Breakdowns!$C$7,3,4))))</f>
        <v>4</v>
      </c>
      <c r="X153" s="33" t="str">
        <f>IF(V153="","",IF(V153&lt;=Breakdowns!$D$5,1,IF(V153&lt;=Breakdowns!$D$6,2,IF(V153&lt;=Breakdowns!$D$7,3,4))))</f>
        <v/>
      </c>
      <c r="Y153" s="34">
        <f>INDEX(Stores!$F$2:$F$21,MATCH(B153,Stores!$A$2:$A$21,0))</f>
        <v>4.89</v>
      </c>
      <c r="Z153" s="33">
        <f>IF(Y153&gt;Store_Summary!$M$2,1,0)</f>
        <v>0</v>
      </c>
      <c r="AA153" s="33">
        <f>INDEX(Stores!$C$2:$C$21,MATCH(B153,Stores!$A$2:$A$21,0))</f>
        <v>138</v>
      </c>
      <c r="AB153" s="33">
        <f>IF(AA153&lt;180,1,0)</f>
        <v>1</v>
      </c>
      <c r="AC153" s="32" t="str">
        <f>IF(Orders!D150="","",INDEX(Riders!$C$2:$C$81,MATCH(Orders!D150,Riders!$A$2:$A$81,0)))</f>
        <v>EV scooter</v>
      </c>
      <c r="AD153" s="33">
        <f>IF(Orders!D150="","",INDEX(Riders!$D$2:$D$81,MATCH(Orders!D150,Riders!$A$2:$A$81,0)))</f>
        <v>18</v>
      </c>
      <c r="AE153" s="33">
        <f>IF(Orders!D150="","",IF(INDEX(Riders!$B$2:$B$81,MATCH(Orders!D150,Riders!$A$2:$A$81,0))=B153,1,0))</f>
        <v>1</v>
      </c>
      <c r="AF153" s="34">
        <f>IF(E153=1,Orders!L150,"")</f>
        <v>2.5</v>
      </c>
      <c r="AG153" s="34">
        <f>IF(E153=1,Orders!P150,"")</f>
        <v>9.6</v>
      </c>
      <c r="AH153" s="34">
        <f>IF(E153=1,Orders!Q150,"")</f>
        <v>18.9</v>
      </c>
      <c r="AI153" s="34">
        <f>IF(E153=1,Orders!M150,"")</f>
        <v>4.6</v>
      </c>
      <c r="AJ153" s="34">
        <f>IF(E153=1,Orders!N150,"")</f>
        <v>6</v>
      </c>
      <c r="AK153" s="34">
        <f>IF(E153=1,Orders!O150,"")</f>
        <v>8.4</v>
      </c>
      <c r="AL153" s="33">
        <f>IF(E153=1,IF(ROUND(ABS(AI153+AJ153+AK153-AH153),6)&lt;=0.1,1,0),"")</f>
        <v>1</v>
      </c>
      <c r="AM153" s="36">
        <f>IF(E153=1,AI153/AH153,"")</f>
        <v>0.243386243386243</v>
      </c>
      <c r="AN153" s="36">
        <f>IF(E153=1,AJ153/AH153,"")</f>
        <v>0.317460317460318</v>
      </c>
      <c r="AO153" s="36">
        <f>IF(E153=1,AK153/AH153,"")</f>
        <v>0.444444444444445</v>
      </c>
      <c r="AP153" s="34">
        <f>IF(E153=1,Orders!Y150,"")</f>
        <v>0.73</v>
      </c>
      <c r="AQ153" s="33">
        <f>IF(Orders!X150,1,0)</f>
        <v>0</v>
      </c>
      <c r="AR153" s="34">
        <f>IF(AND(E153=1,L153=1),AJ153,"")</f>
        <v>6</v>
      </c>
      <c r="AS153" s="34" t="str">
        <f>IF(AND(E153=1,L153=0),AJ153,"")</f>
        <v/>
      </c>
      <c r="AT153" s="34">
        <f>IF(AND(E153=1,L153=1),AI153,"")</f>
        <v>4.6</v>
      </c>
      <c r="AU153" s="34" t="str">
        <f>IF(AND(E153=1,L153=0),AI153,"")</f>
        <v/>
      </c>
      <c r="AV153" s="34">
        <f>IF(AND(E153=1,L153=1),AG153,"")</f>
        <v>9.6</v>
      </c>
      <c r="AW153" s="34" t="str">
        <f>IF(AND(E153=1,L153=0),AG153,"")</f>
        <v/>
      </c>
      <c r="AX153" s="34">
        <f>IF(AND(E153=1,L153=1),AH153,"")</f>
        <v>18.9</v>
      </c>
      <c r="AY153" s="34" t="str">
        <f>IF(AND(E153=1,L153=0),AH153,"")</f>
        <v/>
      </c>
      <c r="AZ153" s="34">
        <f>IF(G153=1,F153,"")</f>
        <v>9.3</v>
      </c>
      <c r="BA153" s="34">
        <f>IF(AND(G153=1,L153=1),F153,"")</f>
        <v>9.3</v>
      </c>
      <c r="BB153" s="34" t="str">
        <f>IF(AND(G153=1,L153=0),F153,"")</f>
        <v/>
      </c>
      <c r="BC153" s="33">
        <f>IF(E153=1,IF(Orders!R150&gt;3,1,0),"")</f>
        <v>1</v>
      </c>
      <c r="BD153" s="33">
        <f>IF(E153=1,IF(Orders!R150&gt;7,1,0),"")</f>
        <v>1</v>
      </c>
      <c r="BE153" s="32" t="str">
        <f>IF(E153=1,IF(Orders!L150&lt;=1.5,"Up to 1.5 km",IF(Orders!L150&lt;=3,"1.5–3 km","Over 3 km")),"")</f>
        <v>1.5–3 km</v>
      </c>
      <c r="BF153" s="33">
        <f>IF(E153=1,IF(ABS((Orders!G150-Orders!F150)*1440-Orders!R150)&lt;0.06,1,0),"")</f>
        <v>1</v>
      </c>
      <c r="BG153" s="33">
        <f>IF(ABS((Orders!F150-Orders!E150)*1440-Orders!P150)&lt;0.06,1,0)</f>
        <v>1</v>
      </c>
      <c r="BH153" s="33">
        <f>IF(E153=1,IF(IF(Orders!S150,1,0)=1-G153,1,0),"")</f>
        <v>1</v>
      </c>
      <c r="BI153" s="32" t="str">
        <f>INDEX(Stores!$B$2:$B$21,MATCH(B153,Stores!$A$2:$A$21,0))</f>
        <v>Delhi</v>
      </c>
    </row>
    <row r="154">
      <c r="A154" s="32" t="str">
        <f>Orders!A151</f>
        <v>O00150</v>
      </c>
      <c r="B154" s="32" t="str">
        <f>Orders!C151</f>
        <v>S003</v>
      </c>
      <c r="C154" s="32" t="str">
        <f>Orders!B151</f>
        <v>C0183</v>
      </c>
      <c r="D154" s="32" t="str">
        <f>Orders!H151</f>
        <v>Delivered</v>
      </c>
      <c r="E154" s="33">
        <f>IF(Orders!H151="Delivered",1,0)</f>
        <v>1</v>
      </c>
      <c r="F154" s="34">
        <f>IF(E154=1,Orders!R151,"")</f>
        <v>5.2</v>
      </c>
      <c r="G154" s="33">
        <f>IF(E154=1,IF(Orders!R151&gt;0,1,0),"")</f>
        <v>1</v>
      </c>
      <c r="H154" s="33">
        <f>IF(E154=1,IF(Orders!R151&gt;5,1,0),"")</f>
        <v>1</v>
      </c>
      <c r="I154" s="32" t="str">
        <f>IF(E154=1,"",IF(OR(Orders!T151="Rider unavailable",Orders!T151="Item unavailable"),"Company-caused","Unresolved"))</f>
        <v/>
      </c>
      <c r="J154" s="33">
        <f>IF(OR(E154=1,I154="Company-caused"),1,0)</f>
        <v>1</v>
      </c>
      <c r="K154" s="32" t="str">
        <f>IF(E154=0,IF(I154="Company-caused",IF(Orders!T151="Rider unavailable","C1 Rider unavailable","C2 Item unavailable"),"Outside root: unresolved"),IF(G154=0,"A On time",IF(H154=1,IF(L154=1,"B2a Severe, peak","B2b Severe, off-peak"),IF(L154=1,"B1a Slight, peak","B1b Slight, off-peak"))))</f>
        <v>B2b Severe, off-peak</v>
      </c>
      <c r="L154" s="33">
        <f>IF(AND(Orders!U151&gt;=19,Orders!U151&lt;22),1,0)</f>
        <v>0</v>
      </c>
      <c r="M154" s="33">
        <f>IF(L154=IF(Orders!V151,1,0),1,0)</f>
        <v>1</v>
      </c>
      <c r="N154" s="32" t="str">
        <f>IF(Orders!W151="","None",Orders!W151)</f>
        <v>None</v>
      </c>
      <c r="O154" s="35">
        <f>INT(Orders!E151)</f>
        <v>46269.0</v>
      </c>
      <c r="P154" s="33">
        <f>Orders!U151</f>
        <v>10</v>
      </c>
      <c r="Q154" s="33">
        <f>COUNTIFS(Demand!$A$2:$A$4481,B154,Demand!$B$2:$B$4481,O154,Demand!$C$2:$C$4481,P154)</f>
        <v>1</v>
      </c>
      <c r="R154" s="33">
        <f>IF(Q154=1,SUMIFS(Demand!$E$2:$E$4481,Demand!$A$2:$A$4481,B154,Demand!$B$2:$B$4481,O154,Demand!$C$2:$C$4481,P154),"")</f>
        <v>41</v>
      </c>
      <c r="S154" s="33">
        <f>INDEX(Stores!$G$2:$G$21,MATCH(B154,Stores!$A$2:$A$21,0))</f>
        <v>41</v>
      </c>
      <c r="T154" s="34">
        <f>IF(R154="","",R154/S154)</f>
        <v>1</v>
      </c>
      <c r="U154" s="34">
        <f>IF(E154=1,T154,"")</f>
        <v>1</v>
      </c>
      <c r="V154" s="34">
        <f>IF(AND(E154=1,L154=0),T154,"")</f>
        <v>1</v>
      </c>
      <c r="W154" s="33">
        <f>IF(U154="","",IF(U154&lt;=Breakdowns!$C$5,1,IF(U154&lt;=Breakdowns!$C$6,2,IF(U154&lt;=Breakdowns!$C$7,3,4))))</f>
        <v>2</v>
      </c>
      <c r="X154" s="33">
        <f>IF(V154="","",IF(V154&lt;=Breakdowns!$D$5,1,IF(V154&lt;=Breakdowns!$D$6,2,IF(V154&lt;=Breakdowns!$D$7,3,4))))</f>
        <v>3</v>
      </c>
      <c r="Y154" s="34">
        <f>INDEX(Stores!$F$2:$F$21,MATCH(B154,Stores!$A$2:$A$21,0))</f>
        <v>3.84</v>
      </c>
      <c r="Z154" s="33">
        <f>IF(Y154&gt;Store_Summary!$M$2,1,0)</f>
        <v>0</v>
      </c>
      <c r="AA154" s="33">
        <f>INDEX(Stores!$C$2:$C$21,MATCH(B154,Stores!$A$2:$A$21,0))</f>
        <v>426</v>
      </c>
      <c r="AB154" s="33">
        <f>IF(AA154&lt;180,1,0)</f>
        <v>0</v>
      </c>
      <c r="AC154" s="32" t="str">
        <f>IF(Orders!D151="","",INDEX(Riders!$C$2:$C$81,MATCH(Orders!D151,Riders!$A$2:$A$81,0)))</f>
        <v>Petrol scooter</v>
      </c>
      <c r="AD154" s="33">
        <f>IF(Orders!D151="","",INDEX(Riders!$D$2:$D$81,MATCH(Orders!D151,Riders!$A$2:$A$81,0)))</f>
        <v>48</v>
      </c>
      <c r="AE154" s="33">
        <f>IF(Orders!D151="","",IF(INDEX(Riders!$B$2:$B$81,MATCH(Orders!D151,Riders!$A$2:$A$81,0))=B154,1,0))</f>
        <v>0</v>
      </c>
      <c r="AF154" s="34">
        <f>IF(E154=1,Orders!L151,"")</f>
        <v>1.41</v>
      </c>
      <c r="AG154" s="34">
        <f>IF(E154=1,Orders!P151,"")</f>
        <v>11.3</v>
      </c>
      <c r="AH154" s="34">
        <f>IF(E154=1,Orders!Q151,"")</f>
        <v>16.5</v>
      </c>
      <c r="AI154" s="34">
        <f>IF(E154=1,Orders!M151,"")</f>
        <v>4.8</v>
      </c>
      <c r="AJ154" s="34">
        <f>IF(E154=1,Orders!N151,"")</f>
        <v>8.2</v>
      </c>
      <c r="AK154" s="34">
        <f>IF(E154=1,Orders!O151,"")</f>
        <v>3.5</v>
      </c>
      <c r="AL154" s="33">
        <f>IF(E154=1,IF(ROUND(ABS(AI154+AJ154+AK154-AH154),6)&lt;=0.1,1,0),"")</f>
        <v>1</v>
      </c>
      <c r="AM154" s="36">
        <f>IF(E154=1,AI154/AH154,"")</f>
        <v>0.290909090909091</v>
      </c>
      <c r="AN154" s="36">
        <f>IF(E154=1,AJ154/AH154,"")</f>
        <v>0.496969696969697</v>
      </c>
      <c r="AO154" s="36">
        <f>IF(E154=1,AK154/AH154,"")</f>
        <v>0.212121212121212</v>
      </c>
      <c r="AP154" s="34">
        <f>IF(E154=1,Orders!Y151,"")</f>
        <v>0.24</v>
      </c>
      <c r="AQ154" s="33">
        <f>IF(Orders!X151,1,0)</f>
        <v>0</v>
      </c>
      <c r="AR154" s="34" t="str">
        <f>IF(AND(E154=1,L154=1),AJ154,"")</f>
        <v/>
      </c>
      <c r="AS154" s="34">
        <f>IF(AND(E154=1,L154=0),AJ154,"")</f>
        <v>8.2</v>
      </c>
      <c r="AT154" s="34" t="str">
        <f>IF(AND(E154=1,L154=1),AI154,"")</f>
        <v/>
      </c>
      <c r="AU154" s="34">
        <f>IF(AND(E154=1,L154=0),AI154,"")</f>
        <v>4.8</v>
      </c>
      <c r="AV154" s="34" t="str">
        <f>IF(AND(E154=1,L154=1),AG154,"")</f>
        <v/>
      </c>
      <c r="AW154" s="34">
        <f>IF(AND(E154=1,L154=0),AG154,"")</f>
        <v>11.3</v>
      </c>
      <c r="AX154" s="34" t="str">
        <f>IF(AND(E154=1,L154=1),AH154,"")</f>
        <v/>
      </c>
      <c r="AY154" s="34">
        <f>IF(AND(E154=1,L154=0),AH154,"")</f>
        <v>16.5</v>
      </c>
      <c r="AZ154" s="34">
        <f>IF(G154=1,F154,"")</f>
        <v>5.2</v>
      </c>
      <c r="BA154" s="34" t="str">
        <f>IF(AND(G154=1,L154=1),F154,"")</f>
        <v/>
      </c>
      <c r="BB154" s="34">
        <f>IF(AND(G154=1,L154=0),F154,"")</f>
        <v>5.2</v>
      </c>
      <c r="BC154" s="33">
        <f>IF(E154=1,IF(Orders!R151&gt;3,1,0),"")</f>
        <v>1</v>
      </c>
      <c r="BD154" s="33">
        <f>IF(E154=1,IF(Orders!R151&gt;7,1,0),"")</f>
        <v>0</v>
      </c>
      <c r="BE154" s="32" t="str">
        <f>IF(E154=1,IF(Orders!L151&lt;=1.5,"Up to 1.5 km",IF(Orders!L151&lt;=3,"1.5–3 km","Over 3 km")),"")</f>
        <v>Up to 1.5 km</v>
      </c>
      <c r="BF154" s="33">
        <f>IF(E154=1,IF(ABS((Orders!G151-Orders!F151)*1440-Orders!R151)&lt;0.06,1,0),"")</f>
        <v>1</v>
      </c>
      <c r="BG154" s="33">
        <f>IF(ABS((Orders!F151-Orders!E151)*1440-Orders!P151)&lt;0.06,1,0)</f>
        <v>1</v>
      </c>
      <c r="BH154" s="33">
        <f>IF(E154=1,IF(IF(Orders!S151,1,0)=1-G154,1,0),"")</f>
        <v>1</v>
      </c>
      <c r="BI154" s="32" t="str">
        <f>INDEX(Stores!$B$2:$B$21,MATCH(B154,Stores!$A$2:$A$21,0))</f>
        <v>Mumbai</v>
      </c>
    </row>
    <row r="155">
      <c r="A155" s="32" t="str">
        <f>Orders!A152</f>
        <v>O00151</v>
      </c>
      <c r="B155" s="32" t="str">
        <f>Orders!C152</f>
        <v>S016</v>
      </c>
      <c r="C155" s="32" t="str">
        <f>Orders!B152</f>
        <v>C0008</v>
      </c>
      <c r="D155" s="32" t="str">
        <f>Orders!H152</f>
        <v>Delivered</v>
      </c>
      <c r="E155" s="33">
        <f>IF(Orders!H152="Delivered",1,0)</f>
        <v>1</v>
      </c>
      <c r="F155" s="34">
        <f>IF(E155=1,Orders!R152,"")</f>
        <v>-0.4</v>
      </c>
      <c r="G155" s="33">
        <f>IF(E155=1,IF(Orders!R152&gt;0,1,0),"")</f>
        <v>0</v>
      </c>
      <c r="H155" s="33">
        <f>IF(E155=1,IF(Orders!R152&gt;5,1,0),"")</f>
        <v>0</v>
      </c>
      <c r="I155" s="32" t="str">
        <f>IF(E155=1,"",IF(OR(Orders!T152="Rider unavailable",Orders!T152="Item unavailable"),"Company-caused","Unresolved"))</f>
        <v/>
      </c>
      <c r="J155" s="33">
        <f>IF(OR(E155=1,I155="Company-caused"),1,0)</f>
        <v>1</v>
      </c>
      <c r="K155" s="32" t="str">
        <f>IF(E155=0,IF(I155="Company-caused",IF(Orders!T152="Rider unavailable","C1 Rider unavailable","C2 Item unavailable"),"Outside root: unresolved"),IF(G155=0,"A On time",IF(H155=1,IF(L155=1,"B2a Severe, peak","B2b Severe, off-peak"),IF(L155=1,"B1a Slight, peak","B1b Slight, off-peak"))))</f>
        <v>A On time</v>
      </c>
      <c r="L155" s="33">
        <f>IF(AND(Orders!U152&gt;=19,Orders!U152&lt;22),1,0)</f>
        <v>0</v>
      </c>
      <c r="M155" s="33">
        <f>IF(L155=IF(Orders!V152,1,0),1,0)</f>
        <v>1</v>
      </c>
      <c r="N155" s="32" t="str">
        <f>IF(Orders!W152="","None",Orders!W152)</f>
        <v>None</v>
      </c>
      <c r="O155" s="35">
        <f>INT(Orders!E152)</f>
        <v>46274.0</v>
      </c>
      <c r="P155" s="33">
        <f>Orders!U152</f>
        <v>11</v>
      </c>
      <c r="Q155" s="33">
        <f>COUNTIFS(Demand!$A$2:$A$4481,B155,Demand!$B$2:$B$4481,O155,Demand!$C$2:$C$4481,P155)</f>
        <v>1</v>
      </c>
      <c r="R155" s="33">
        <f>IF(Q155=1,SUMIFS(Demand!$E$2:$E$4481,Demand!$A$2:$A$4481,B155,Demand!$B$2:$B$4481,O155,Demand!$C$2:$C$4481,P155),"")</f>
        <v>19</v>
      </c>
      <c r="S155" s="33">
        <f>INDEX(Stores!$G$2:$G$21,MATCH(B155,Stores!$A$2:$A$21,0))</f>
        <v>25</v>
      </c>
      <c r="T155" s="34">
        <f>IF(R155="","",R155/S155)</f>
        <v>0.76</v>
      </c>
      <c r="U155" s="34">
        <f>IF(E155=1,T155,"")</f>
        <v>0.76</v>
      </c>
      <c r="V155" s="34">
        <f>IF(AND(E155=1,L155=0),T155,"")</f>
        <v>0.76</v>
      </c>
      <c r="W155" s="33">
        <f>IF(U155="","",IF(U155&lt;=Breakdowns!$C$5,1,IF(U155&lt;=Breakdowns!$C$6,2,IF(U155&lt;=Breakdowns!$C$7,3,4))))</f>
        <v>1</v>
      </c>
      <c r="X155" s="33">
        <f>IF(V155="","",IF(V155&lt;=Breakdowns!$D$5,1,IF(V155&lt;=Breakdowns!$D$6,2,IF(V155&lt;=Breakdowns!$D$7,3,4))))</f>
        <v>2</v>
      </c>
      <c r="Y155" s="34">
        <f>INDEX(Stores!$F$2:$F$21,MATCH(B155,Stores!$A$2:$A$21,0))</f>
        <v>5.51</v>
      </c>
      <c r="Z155" s="33">
        <f>IF(Y155&gt;Store_Summary!$M$2,1,0)</f>
        <v>1</v>
      </c>
      <c r="AA155" s="33">
        <f>INDEX(Stores!$C$2:$C$21,MATCH(B155,Stores!$A$2:$A$21,0))</f>
        <v>792</v>
      </c>
      <c r="AB155" s="33">
        <f>IF(AA155&lt;180,1,0)</f>
        <v>0</v>
      </c>
      <c r="AC155" s="32" t="str">
        <f>IF(Orders!D152="","",INDEX(Riders!$C$2:$C$81,MATCH(Orders!D152,Riders!$A$2:$A$81,0)))</f>
        <v>Petrol scooter</v>
      </c>
      <c r="AD155" s="33">
        <f>IF(Orders!D152="","",INDEX(Riders!$D$2:$D$81,MATCH(Orders!D152,Riders!$A$2:$A$81,0)))</f>
        <v>29</v>
      </c>
      <c r="AE155" s="33">
        <f>IF(Orders!D152="","",IF(INDEX(Riders!$B$2:$B$81,MATCH(Orders!D152,Riders!$A$2:$A$81,0))=B155,1,0))</f>
        <v>0</v>
      </c>
      <c r="AF155" s="34">
        <f>IF(E155=1,Orders!L152,"")</f>
        <v>2.03</v>
      </c>
      <c r="AG155" s="34">
        <f>IF(E155=1,Orders!P152,"")</f>
        <v>9.9</v>
      </c>
      <c r="AH155" s="34">
        <f>IF(E155=1,Orders!Q152,"")</f>
        <v>9.5</v>
      </c>
      <c r="AI155" s="34">
        <f>IF(E155=1,Orders!M152,"")</f>
        <v>2.9</v>
      </c>
      <c r="AJ155" s="34">
        <f>IF(E155=1,Orders!N152,"")</f>
        <v>3.9</v>
      </c>
      <c r="AK155" s="34">
        <f>IF(E155=1,Orders!O152,"")</f>
        <v>2.7</v>
      </c>
      <c r="AL155" s="33">
        <f>IF(E155=1,IF(ROUND(ABS(AI155+AJ155+AK155-AH155),6)&lt;=0.1,1,0),"")</f>
        <v>1</v>
      </c>
      <c r="AM155" s="36">
        <f>IF(E155=1,AI155/AH155,"")</f>
        <v>0.305263157894737</v>
      </c>
      <c r="AN155" s="36">
        <f>IF(E155=1,AJ155/AH155,"")</f>
        <v>0.410526315789474</v>
      </c>
      <c r="AO155" s="36">
        <f>IF(E155=1,AK155/AH155,"")</f>
        <v>0.284210526315789</v>
      </c>
      <c r="AP155" s="34">
        <f>IF(E155=1,Orders!Y152,"")</f>
        <v>0.47</v>
      </c>
      <c r="AQ155" s="33">
        <f>IF(Orders!X152,1,0)</f>
        <v>0</v>
      </c>
      <c r="AR155" s="34" t="str">
        <f>IF(AND(E155=1,L155=1),AJ155,"")</f>
        <v/>
      </c>
      <c r="AS155" s="34">
        <f>IF(AND(E155=1,L155=0),AJ155,"")</f>
        <v>3.9</v>
      </c>
      <c r="AT155" s="34" t="str">
        <f>IF(AND(E155=1,L155=1),AI155,"")</f>
        <v/>
      </c>
      <c r="AU155" s="34">
        <f>IF(AND(E155=1,L155=0),AI155,"")</f>
        <v>2.9</v>
      </c>
      <c r="AV155" s="34" t="str">
        <f>IF(AND(E155=1,L155=1),AG155,"")</f>
        <v/>
      </c>
      <c r="AW155" s="34">
        <f>IF(AND(E155=1,L155=0),AG155,"")</f>
        <v>9.9</v>
      </c>
      <c r="AX155" s="34" t="str">
        <f>IF(AND(E155=1,L155=1),AH155,"")</f>
        <v/>
      </c>
      <c r="AY155" s="34">
        <f>IF(AND(E155=1,L155=0),AH155,"")</f>
        <v>9.5</v>
      </c>
      <c r="AZ155" s="34" t="str">
        <f>IF(G155=1,F155,"")</f>
        <v/>
      </c>
      <c r="BA155" s="34" t="str">
        <f>IF(AND(G155=1,L155=1),F155,"")</f>
        <v/>
      </c>
      <c r="BB155" s="34" t="str">
        <f>IF(AND(G155=1,L155=0),F155,"")</f>
        <v/>
      </c>
      <c r="BC155" s="33">
        <f>IF(E155=1,IF(Orders!R152&gt;3,1,0),"")</f>
        <v>0</v>
      </c>
      <c r="BD155" s="33">
        <f>IF(E155=1,IF(Orders!R152&gt;7,1,0),"")</f>
        <v>0</v>
      </c>
      <c r="BE155" s="32" t="str">
        <f>IF(E155=1,IF(Orders!L152&lt;=1.5,"Up to 1.5 km",IF(Orders!L152&lt;=3,"1.5–3 km","Over 3 km")),"")</f>
        <v>1.5–3 km</v>
      </c>
      <c r="BF155" s="33">
        <f>IF(E155=1,IF(ABS((Orders!G152-Orders!F152)*1440-Orders!R152)&lt;0.06,1,0),"")</f>
        <v>1</v>
      </c>
      <c r="BG155" s="33">
        <f>IF(ABS((Orders!F152-Orders!E152)*1440-Orders!P152)&lt;0.06,1,0)</f>
        <v>1</v>
      </c>
      <c r="BH155" s="33">
        <f>IF(E155=1,IF(IF(Orders!S152,1,0)=1-G155,1,0),"")</f>
        <v>1</v>
      </c>
      <c r="BI155" s="32" t="str">
        <f>INDEX(Stores!$B$2:$B$21,MATCH(B155,Stores!$A$2:$A$21,0))</f>
        <v>Bengaluru</v>
      </c>
    </row>
    <row r="156">
      <c r="A156" s="32" t="str">
        <f>Orders!A153</f>
        <v>O00152</v>
      </c>
      <c r="B156" s="32" t="str">
        <f>Orders!C153</f>
        <v>S017</v>
      </c>
      <c r="C156" s="32" t="str">
        <f>Orders!B153</f>
        <v>C0214</v>
      </c>
      <c r="D156" s="32" t="str">
        <f>Orders!H153</f>
        <v>Delivered</v>
      </c>
      <c r="E156" s="33">
        <f>IF(Orders!H153="Delivered",1,0)</f>
        <v>1</v>
      </c>
      <c r="F156" s="34">
        <f>IF(E156=1,Orders!R153,"")</f>
        <v>-0.5</v>
      </c>
      <c r="G156" s="33">
        <f>IF(E156=1,IF(Orders!R153&gt;0,1,0),"")</f>
        <v>0</v>
      </c>
      <c r="H156" s="33">
        <f>IF(E156=1,IF(Orders!R153&gt;5,1,0),"")</f>
        <v>0</v>
      </c>
      <c r="I156" s="32" t="str">
        <f>IF(E156=1,"",IF(OR(Orders!T153="Rider unavailable",Orders!T153="Item unavailable"),"Company-caused","Unresolved"))</f>
        <v/>
      </c>
      <c r="J156" s="33">
        <f>IF(OR(E156=1,I156="Company-caused"),1,0)</f>
        <v>1</v>
      </c>
      <c r="K156" s="32" t="str">
        <f>IF(E156=0,IF(I156="Company-caused",IF(Orders!T153="Rider unavailable","C1 Rider unavailable","C2 Item unavailable"),"Outside root: unresolved"),IF(G156=0,"A On time",IF(H156=1,IF(L156=1,"B2a Severe, peak","B2b Severe, off-peak"),IF(L156=1,"B1a Slight, peak","B1b Slight, off-peak"))))</f>
        <v>A On time</v>
      </c>
      <c r="L156" s="33">
        <f>IF(AND(Orders!U153&gt;=19,Orders!U153&lt;22),1,0)</f>
        <v>0</v>
      </c>
      <c r="M156" s="33">
        <f>IF(L156=IF(Orders!V153,1,0),1,0)</f>
        <v>1</v>
      </c>
      <c r="N156" s="32" t="str">
        <f>IF(Orders!W153="","None",Orders!W153)</f>
        <v>Light</v>
      </c>
      <c r="O156" s="35">
        <f>INT(Orders!E153)</f>
        <v>46273.0</v>
      </c>
      <c r="P156" s="33">
        <f>Orders!U153</f>
        <v>12</v>
      </c>
      <c r="Q156" s="33">
        <f>COUNTIFS(Demand!$A$2:$A$4481,B156,Demand!$B$2:$B$4481,O156,Demand!$C$2:$C$4481,P156)</f>
        <v>1</v>
      </c>
      <c r="R156" s="33">
        <f>IF(Q156=1,SUMIFS(Demand!$E$2:$E$4481,Demand!$A$2:$A$4481,B156,Demand!$B$2:$B$4481,O156,Demand!$C$2:$C$4481,P156),"")</f>
        <v>36</v>
      </c>
      <c r="S156" s="33">
        <f>INDEX(Stores!$G$2:$G$21,MATCH(B156,Stores!$A$2:$A$21,0))</f>
        <v>36</v>
      </c>
      <c r="T156" s="34">
        <f>IF(R156="","",R156/S156)</f>
        <v>1</v>
      </c>
      <c r="U156" s="34">
        <f>IF(E156=1,T156,"")</f>
        <v>1</v>
      </c>
      <c r="V156" s="34">
        <f>IF(AND(E156=1,L156=0),T156,"")</f>
        <v>1</v>
      </c>
      <c r="W156" s="33">
        <f>IF(U156="","",IF(U156&lt;=Breakdowns!$C$5,1,IF(U156&lt;=Breakdowns!$C$6,2,IF(U156&lt;=Breakdowns!$C$7,3,4))))</f>
        <v>2</v>
      </c>
      <c r="X156" s="33">
        <f>IF(V156="","",IF(V156&lt;=Breakdowns!$D$5,1,IF(V156&lt;=Breakdowns!$D$6,2,IF(V156&lt;=Breakdowns!$D$7,3,4))))</f>
        <v>3</v>
      </c>
      <c r="Y156" s="34">
        <f>INDEX(Stores!$F$2:$F$21,MATCH(B156,Stores!$A$2:$A$21,0))</f>
        <v>2.16</v>
      </c>
      <c r="Z156" s="33">
        <f>IF(Y156&gt;Store_Summary!$M$2,1,0)</f>
        <v>0</v>
      </c>
      <c r="AA156" s="33">
        <f>INDEX(Stores!$C$2:$C$21,MATCH(B156,Stores!$A$2:$A$21,0))</f>
        <v>47</v>
      </c>
      <c r="AB156" s="33">
        <f>IF(AA156&lt;180,1,0)</f>
        <v>1</v>
      </c>
      <c r="AC156" s="32" t="str">
        <f>IF(Orders!D153="","",INDEX(Riders!$C$2:$C$81,MATCH(Orders!D153,Riders!$A$2:$A$81,0)))</f>
        <v>EV scooter</v>
      </c>
      <c r="AD156" s="33">
        <f>IF(Orders!D153="","",INDEX(Riders!$D$2:$D$81,MATCH(Orders!D153,Riders!$A$2:$A$81,0)))</f>
        <v>36</v>
      </c>
      <c r="AE156" s="33">
        <f>IF(Orders!D153="","",IF(INDEX(Riders!$B$2:$B$81,MATCH(Orders!D153,Riders!$A$2:$A$81,0))=B156,1,0))</f>
        <v>0</v>
      </c>
      <c r="AF156" s="34">
        <f>IF(E156=1,Orders!L153,"")</f>
        <v>1.12</v>
      </c>
      <c r="AG156" s="34">
        <f>IF(E156=1,Orders!P153,"")</f>
        <v>9.7</v>
      </c>
      <c r="AH156" s="34">
        <f>IF(E156=1,Orders!Q153,"")</f>
        <v>9.2</v>
      </c>
      <c r="AI156" s="34">
        <f>IF(E156=1,Orders!M153,"")</f>
        <v>2.7</v>
      </c>
      <c r="AJ156" s="34">
        <f>IF(E156=1,Orders!N153,"")</f>
        <v>4.1</v>
      </c>
      <c r="AK156" s="34">
        <f>IF(E156=1,Orders!O153,"")</f>
        <v>2.4</v>
      </c>
      <c r="AL156" s="33">
        <f>IF(E156=1,IF(ROUND(ABS(AI156+AJ156+AK156-AH156),6)&lt;=0.1,1,0),"")</f>
        <v>1</v>
      </c>
      <c r="AM156" s="36">
        <f>IF(E156=1,AI156/AH156,"")</f>
        <v>0.293478260869565</v>
      </c>
      <c r="AN156" s="36">
        <f>IF(E156=1,AJ156/AH156,"")</f>
        <v>0.445652173913043</v>
      </c>
      <c r="AO156" s="36">
        <f>IF(E156=1,AK156/AH156,"")</f>
        <v>0.260869565217391</v>
      </c>
      <c r="AP156" s="34">
        <f>IF(E156=1,Orders!Y153,"")</f>
        <v>0.37</v>
      </c>
      <c r="AQ156" s="33">
        <f>IF(Orders!X153,1,0)</f>
        <v>0</v>
      </c>
      <c r="AR156" s="34" t="str">
        <f>IF(AND(E156=1,L156=1),AJ156,"")</f>
        <v/>
      </c>
      <c r="AS156" s="34">
        <f>IF(AND(E156=1,L156=0),AJ156,"")</f>
        <v>4.1</v>
      </c>
      <c r="AT156" s="34" t="str">
        <f>IF(AND(E156=1,L156=1),AI156,"")</f>
        <v/>
      </c>
      <c r="AU156" s="34">
        <f>IF(AND(E156=1,L156=0),AI156,"")</f>
        <v>2.7</v>
      </c>
      <c r="AV156" s="34" t="str">
        <f>IF(AND(E156=1,L156=1),AG156,"")</f>
        <v/>
      </c>
      <c r="AW156" s="34">
        <f>IF(AND(E156=1,L156=0),AG156,"")</f>
        <v>9.7</v>
      </c>
      <c r="AX156" s="34" t="str">
        <f>IF(AND(E156=1,L156=1),AH156,"")</f>
        <v/>
      </c>
      <c r="AY156" s="34">
        <f>IF(AND(E156=1,L156=0),AH156,"")</f>
        <v>9.2</v>
      </c>
      <c r="AZ156" s="34" t="str">
        <f>IF(G156=1,F156,"")</f>
        <v/>
      </c>
      <c r="BA156" s="34" t="str">
        <f>IF(AND(G156=1,L156=1),F156,"")</f>
        <v/>
      </c>
      <c r="BB156" s="34" t="str">
        <f>IF(AND(G156=1,L156=0),F156,"")</f>
        <v/>
      </c>
      <c r="BC156" s="33">
        <f>IF(E156=1,IF(Orders!R153&gt;3,1,0),"")</f>
        <v>0</v>
      </c>
      <c r="BD156" s="33">
        <f>IF(E156=1,IF(Orders!R153&gt;7,1,0),"")</f>
        <v>0</v>
      </c>
      <c r="BE156" s="32" t="str">
        <f>IF(E156=1,IF(Orders!L153&lt;=1.5,"Up to 1.5 km",IF(Orders!L153&lt;=3,"1.5–3 km","Over 3 km")),"")</f>
        <v>Up to 1.5 km</v>
      </c>
      <c r="BF156" s="33">
        <f>IF(E156=1,IF(ABS((Orders!G153-Orders!F153)*1440-Orders!R153)&lt;0.06,1,0),"")</f>
        <v>1</v>
      </c>
      <c r="BG156" s="33">
        <f>IF(ABS((Orders!F153-Orders!E153)*1440-Orders!P153)&lt;0.06,1,0)</f>
        <v>1</v>
      </c>
      <c r="BH156" s="33">
        <f>IF(E156=1,IF(IF(Orders!S153,1,0)=1-G156,1,0),"")</f>
        <v>1</v>
      </c>
      <c r="BI156" s="32" t="str">
        <f>INDEX(Stores!$B$2:$B$21,MATCH(B156,Stores!$A$2:$A$21,0))</f>
        <v>Hyderabad</v>
      </c>
    </row>
    <row r="157">
      <c r="A157" s="32" t="str">
        <f>Orders!A154</f>
        <v>O00153</v>
      </c>
      <c r="B157" s="32" t="str">
        <f>Orders!C154</f>
        <v>S015</v>
      </c>
      <c r="C157" s="32" t="str">
        <f>Orders!B154</f>
        <v>C0119</v>
      </c>
      <c r="D157" s="32" t="str">
        <f>Orders!H154</f>
        <v>Delivered</v>
      </c>
      <c r="E157" s="33">
        <f>IF(Orders!H154="Delivered",1,0)</f>
        <v>1</v>
      </c>
      <c r="F157" s="34">
        <f>IF(E157=1,Orders!R154,"")</f>
        <v>6.3</v>
      </c>
      <c r="G157" s="33">
        <f>IF(E157=1,IF(Orders!R154&gt;0,1,0),"")</f>
        <v>1</v>
      </c>
      <c r="H157" s="33">
        <f>IF(E157=1,IF(Orders!R154&gt;5,1,0),"")</f>
        <v>1</v>
      </c>
      <c r="I157" s="32" t="str">
        <f>IF(E157=1,"",IF(OR(Orders!T154="Rider unavailable",Orders!T154="Item unavailable"),"Company-caused","Unresolved"))</f>
        <v/>
      </c>
      <c r="J157" s="33">
        <f>IF(OR(E157=1,I157="Company-caused"),1,0)</f>
        <v>1</v>
      </c>
      <c r="K157" s="32" t="str">
        <f>IF(E157=0,IF(I157="Company-caused",IF(Orders!T154="Rider unavailable","C1 Rider unavailable","C2 Item unavailable"),"Outside root: unresolved"),IF(G157=0,"A On time",IF(H157=1,IF(L157=1,"B2a Severe, peak","B2b Severe, off-peak"),IF(L157=1,"B1a Slight, peak","B1b Slight, off-peak"))))</f>
        <v>B2a Severe, peak</v>
      </c>
      <c r="L157" s="33">
        <f>IF(AND(Orders!U154&gt;=19,Orders!U154&lt;22),1,0)</f>
        <v>1</v>
      </c>
      <c r="M157" s="33">
        <f>IF(L157=IF(Orders!V154,1,0),1,0)</f>
        <v>1</v>
      </c>
      <c r="N157" s="32" t="str">
        <f>IF(Orders!W154="","None",Orders!W154)</f>
        <v>None</v>
      </c>
      <c r="O157" s="35">
        <f>INT(Orders!E154)</f>
        <v>46275.0</v>
      </c>
      <c r="P157" s="33">
        <f>Orders!U154</f>
        <v>21</v>
      </c>
      <c r="Q157" s="33">
        <f>COUNTIFS(Demand!$A$2:$A$4481,B157,Demand!$B$2:$B$4481,O157,Demand!$C$2:$C$4481,P157)</f>
        <v>1</v>
      </c>
      <c r="R157" s="33">
        <f>IF(Q157=1,SUMIFS(Demand!$E$2:$E$4481,Demand!$A$2:$A$4481,B157,Demand!$B$2:$B$4481,O157,Demand!$C$2:$C$4481,P157),"")</f>
        <v>36</v>
      </c>
      <c r="S157" s="33">
        <f>INDEX(Stores!$G$2:$G$21,MATCH(B157,Stores!$A$2:$A$21,0))</f>
        <v>23</v>
      </c>
      <c r="T157" s="34">
        <f>IF(R157="","",R157/S157)</f>
        <v>1.56521739130435</v>
      </c>
      <c r="U157" s="34">
        <f>IF(E157=1,T157,"")</f>
        <v>1.56521739130435</v>
      </c>
      <c r="V157" s="34" t="str">
        <f>IF(AND(E157=1,L157=0),T157,"")</f>
        <v/>
      </c>
      <c r="W157" s="33">
        <f>IF(U157="","",IF(U157&lt;=Breakdowns!$C$5,1,IF(U157&lt;=Breakdowns!$C$6,2,IF(U157&lt;=Breakdowns!$C$7,3,4))))</f>
        <v>4</v>
      </c>
      <c r="X157" s="33" t="str">
        <f>IF(V157="","",IF(V157&lt;=Breakdowns!$D$5,1,IF(V157&lt;=Breakdowns!$D$6,2,IF(V157&lt;=Breakdowns!$D$7,3,4))))</f>
        <v/>
      </c>
      <c r="Y157" s="34">
        <f>INDEX(Stores!$F$2:$F$21,MATCH(B157,Stores!$A$2:$A$21,0))</f>
        <v>4.66</v>
      </c>
      <c r="Z157" s="33">
        <f>IF(Y157&gt;Store_Summary!$M$2,1,0)</f>
        <v>0</v>
      </c>
      <c r="AA157" s="33">
        <f>INDEX(Stores!$C$2:$C$21,MATCH(B157,Stores!$A$2:$A$21,0))</f>
        <v>204</v>
      </c>
      <c r="AB157" s="33">
        <f>IF(AA157&lt;180,1,0)</f>
        <v>0</v>
      </c>
      <c r="AC157" s="32" t="str">
        <f>IF(Orders!D154="","",INDEX(Riders!$C$2:$C$81,MATCH(Orders!D154,Riders!$A$2:$A$81,0)))</f>
        <v>Petrol scooter</v>
      </c>
      <c r="AD157" s="33">
        <f>IF(Orders!D154="","",INDEX(Riders!$D$2:$D$81,MATCH(Orders!D154,Riders!$A$2:$A$81,0)))</f>
        <v>29</v>
      </c>
      <c r="AE157" s="33">
        <f>IF(Orders!D154="","",IF(INDEX(Riders!$B$2:$B$81,MATCH(Orders!D154,Riders!$A$2:$A$81,0))=B157,1,0))</f>
        <v>0</v>
      </c>
      <c r="AF157" s="34">
        <f>IF(E157=1,Orders!L154,"")</f>
        <v>1.57</v>
      </c>
      <c r="AG157" s="34">
        <f>IF(E157=1,Orders!P154,"")</f>
        <v>9.1</v>
      </c>
      <c r="AH157" s="34">
        <f>IF(E157=1,Orders!Q154,"")</f>
        <v>15.4</v>
      </c>
      <c r="AI157" s="34">
        <f>IF(E157=1,Orders!M154,"")</f>
        <v>4.7</v>
      </c>
      <c r="AJ157" s="34">
        <f>IF(E157=1,Orders!N154,"")</f>
        <v>6.4</v>
      </c>
      <c r="AK157" s="34">
        <f>IF(E157=1,Orders!O154,"")</f>
        <v>4.3</v>
      </c>
      <c r="AL157" s="33">
        <f>IF(E157=1,IF(ROUND(ABS(AI157+AJ157+AK157-AH157),6)&lt;=0.1,1,0),"")</f>
        <v>1</v>
      </c>
      <c r="AM157" s="36">
        <f>IF(E157=1,AI157/AH157,"")</f>
        <v>0.305194805194805</v>
      </c>
      <c r="AN157" s="36">
        <f>IF(E157=1,AJ157/AH157,"")</f>
        <v>0.415584415584416</v>
      </c>
      <c r="AO157" s="36">
        <f>IF(E157=1,AK157/AH157,"")</f>
        <v>0.279220779220779</v>
      </c>
      <c r="AP157" s="34">
        <f>IF(E157=1,Orders!Y154,"")</f>
        <v>0.36</v>
      </c>
      <c r="AQ157" s="33">
        <f>IF(Orders!X154,1,0)</f>
        <v>0</v>
      </c>
      <c r="AR157" s="34">
        <f>IF(AND(E157=1,L157=1),AJ157,"")</f>
        <v>6.4</v>
      </c>
      <c r="AS157" s="34" t="str">
        <f>IF(AND(E157=1,L157=0),AJ157,"")</f>
        <v/>
      </c>
      <c r="AT157" s="34">
        <f>IF(AND(E157=1,L157=1),AI157,"")</f>
        <v>4.7</v>
      </c>
      <c r="AU157" s="34" t="str">
        <f>IF(AND(E157=1,L157=0),AI157,"")</f>
        <v/>
      </c>
      <c r="AV157" s="34">
        <f>IF(AND(E157=1,L157=1),AG157,"")</f>
        <v>9.1</v>
      </c>
      <c r="AW157" s="34" t="str">
        <f>IF(AND(E157=1,L157=0),AG157,"")</f>
        <v/>
      </c>
      <c r="AX157" s="34">
        <f>IF(AND(E157=1,L157=1),AH157,"")</f>
        <v>15.4</v>
      </c>
      <c r="AY157" s="34" t="str">
        <f>IF(AND(E157=1,L157=0),AH157,"")</f>
        <v/>
      </c>
      <c r="AZ157" s="34">
        <f>IF(G157=1,F157,"")</f>
        <v>6.3</v>
      </c>
      <c r="BA157" s="34">
        <f>IF(AND(G157=1,L157=1),F157,"")</f>
        <v>6.3</v>
      </c>
      <c r="BB157" s="34" t="str">
        <f>IF(AND(G157=1,L157=0),F157,"")</f>
        <v/>
      </c>
      <c r="BC157" s="33">
        <f>IF(E157=1,IF(Orders!R154&gt;3,1,0),"")</f>
        <v>1</v>
      </c>
      <c r="BD157" s="33">
        <f>IF(E157=1,IF(Orders!R154&gt;7,1,0),"")</f>
        <v>0</v>
      </c>
      <c r="BE157" s="32" t="str">
        <f>IF(E157=1,IF(Orders!L154&lt;=1.5,"Up to 1.5 km",IF(Orders!L154&lt;=3,"1.5–3 km","Over 3 km")),"")</f>
        <v>1.5–3 km</v>
      </c>
      <c r="BF157" s="33">
        <f>IF(E157=1,IF(ABS((Orders!G154-Orders!F154)*1440-Orders!R154)&lt;0.06,1,0),"")</f>
        <v>1</v>
      </c>
      <c r="BG157" s="33">
        <f>IF(ABS((Orders!F154-Orders!E154)*1440-Orders!P154)&lt;0.06,1,0)</f>
        <v>1</v>
      </c>
      <c r="BH157" s="33">
        <f>IF(E157=1,IF(IF(Orders!S154,1,0)=1-G157,1,0),"")</f>
        <v>1</v>
      </c>
      <c r="BI157" s="32" t="str">
        <f>INDEX(Stores!$B$2:$B$21,MATCH(B157,Stores!$A$2:$A$21,0))</f>
        <v>Delhi</v>
      </c>
    </row>
    <row r="158">
      <c r="A158" s="32" t="str">
        <f>Orders!A155</f>
        <v>O00154</v>
      </c>
      <c r="B158" s="32" t="str">
        <f>Orders!C155</f>
        <v>S014</v>
      </c>
      <c r="C158" s="32" t="str">
        <f>Orders!B155</f>
        <v>C0170</v>
      </c>
      <c r="D158" s="32" t="str">
        <f>Orders!H155</f>
        <v>Delivered</v>
      </c>
      <c r="E158" s="33">
        <f>IF(Orders!H155="Delivered",1,0)</f>
        <v>1</v>
      </c>
      <c r="F158" s="34">
        <f>IF(E158=1,Orders!R155,"")</f>
        <v>7.7</v>
      </c>
      <c r="G158" s="33">
        <f>IF(E158=1,IF(Orders!R155&gt;0,1,0),"")</f>
        <v>1</v>
      </c>
      <c r="H158" s="33">
        <f>IF(E158=1,IF(Orders!R155&gt;5,1,0),"")</f>
        <v>1</v>
      </c>
      <c r="I158" s="32" t="str">
        <f>IF(E158=1,"",IF(OR(Orders!T155="Rider unavailable",Orders!T155="Item unavailable"),"Company-caused","Unresolved"))</f>
        <v/>
      </c>
      <c r="J158" s="33">
        <f>IF(OR(E158=1,I158="Company-caused"),1,0)</f>
        <v>1</v>
      </c>
      <c r="K158" s="32" t="str">
        <f>IF(E158=0,IF(I158="Company-caused",IF(Orders!T155="Rider unavailable","C1 Rider unavailable","C2 Item unavailable"),"Outside root: unresolved"),IF(G158=0,"A On time",IF(H158=1,IF(L158=1,"B2a Severe, peak","B2b Severe, off-peak"),IF(L158=1,"B1a Slight, peak","B1b Slight, off-peak"))))</f>
        <v>B2b Severe, off-peak</v>
      </c>
      <c r="L158" s="33">
        <f>IF(AND(Orders!U155&gt;=19,Orders!U155&lt;22),1,0)</f>
        <v>0</v>
      </c>
      <c r="M158" s="33">
        <f>IF(L158=IF(Orders!V155,1,0),1,0)</f>
        <v>1</v>
      </c>
      <c r="N158" s="32" t="str">
        <f>IF(Orders!W155="","None",Orders!W155)</f>
        <v>Light</v>
      </c>
      <c r="O158" s="35">
        <f>INT(Orders!E155)</f>
        <v>46270.0</v>
      </c>
      <c r="P158" s="33">
        <f>Orders!U155</f>
        <v>14</v>
      </c>
      <c r="Q158" s="33">
        <f>COUNTIFS(Demand!$A$2:$A$4481,B158,Demand!$B$2:$B$4481,O158,Demand!$C$2:$C$4481,P158)</f>
        <v>1</v>
      </c>
      <c r="R158" s="33">
        <f>IF(Q158=1,SUMIFS(Demand!$E$2:$E$4481,Demand!$A$2:$A$4481,B158,Demand!$B$2:$B$4481,O158,Demand!$C$2:$C$4481,P158),"")</f>
        <v>21</v>
      </c>
      <c r="S158" s="33">
        <f>INDEX(Stores!$G$2:$G$21,MATCH(B158,Stores!$A$2:$A$21,0))</f>
        <v>37</v>
      </c>
      <c r="T158" s="34">
        <f>IF(R158="","",R158/S158)</f>
        <v>0.567567567567568</v>
      </c>
      <c r="U158" s="34">
        <f>IF(E158=1,T158,"")</f>
        <v>0.567567567567568</v>
      </c>
      <c r="V158" s="34">
        <f>IF(AND(E158=1,L158=0),T158,"")</f>
        <v>0.567567567567568</v>
      </c>
      <c r="W158" s="33">
        <f>IF(U158="","",IF(U158&lt;=Breakdowns!$C$5,1,IF(U158&lt;=Breakdowns!$C$6,2,IF(U158&lt;=Breakdowns!$C$7,3,4))))</f>
        <v>1</v>
      </c>
      <c r="X158" s="33">
        <f>IF(V158="","",IF(V158&lt;=Breakdowns!$D$5,1,IF(V158&lt;=Breakdowns!$D$6,2,IF(V158&lt;=Breakdowns!$D$7,3,4))))</f>
        <v>1</v>
      </c>
      <c r="Y158" s="34">
        <f>INDEX(Stores!$F$2:$F$21,MATCH(B158,Stores!$A$2:$A$21,0))</f>
        <v>5.55</v>
      </c>
      <c r="Z158" s="33">
        <f>IF(Y158&gt;Store_Summary!$M$2,1,0)</f>
        <v>1</v>
      </c>
      <c r="AA158" s="33">
        <f>INDEX(Stores!$C$2:$C$21,MATCH(B158,Stores!$A$2:$A$21,0))</f>
        <v>241</v>
      </c>
      <c r="AB158" s="33">
        <f>IF(AA158&lt;180,1,0)</f>
        <v>0</v>
      </c>
      <c r="AC158" s="32" t="str">
        <f>IF(Orders!D155="","",INDEX(Riders!$C$2:$C$81,MATCH(Orders!D155,Riders!$A$2:$A$81,0)))</f>
        <v>Petrol scooter</v>
      </c>
      <c r="AD158" s="33">
        <f>IF(Orders!D155="","",INDEX(Riders!$D$2:$D$81,MATCH(Orders!D155,Riders!$A$2:$A$81,0)))</f>
        <v>10</v>
      </c>
      <c r="AE158" s="33">
        <f>IF(Orders!D155="","",IF(INDEX(Riders!$B$2:$B$81,MATCH(Orders!D155,Riders!$A$2:$A$81,0))=B158,1,0))</f>
        <v>0</v>
      </c>
      <c r="AF158" s="34">
        <f>IF(E158=1,Orders!L155,"")</f>
        <v>1.45</v>
      </c>
      <c r="AG158" s="34">
        <f>IF(E158=1,Orders!P155,"")</f>
        <v>7</v>
      </c>
      <c r="AH158" s="34">
        <f>IF(E158=1,Orders!Q155,"")</f>
        <v>14.7</v>
      </c>
      <c r="AI158" s="34">
        <f>IF(E158=1,Orders!M155,"")</f>
        <v>5.8</v>
      </c>
      <c r="AJ158" s="34">
        <f>IF(E158=1,Orders!N155,"")</f>
        <v>5</v>
      </c>
      <c r="AK158" s="34">
        <f>IF(E158=1,Orders!O155,"")</f>
        <v>3.9</v>
      </c>
      <c r="AL158" s="33">
        <f>IF(E158=1,IF(ROUND(ABS(AI158+AJ158+AK158-AH158),6)&lt;=0.1,1,0),"")</f>
        <v>1</v>
      </c>
      <c r="AM158" s="36">
        <f>IF(E158=1,AI158/AH158,"")</f>
        <v>0.394557823129252</v>
      </c>
      <c r="AN158" s="36">
        <f>IF(E158=1,AJ158/AH158,"")</f>
        <v>0.340136054421769</v>
      </c>
      <c r="AO158" s="36">
        <f>IF(E158=1,AK158/AH158,"")</f>
        <v>0.26530612244898</v>
      </c>
      <c r="AP158" s="34">
        <f>IF(E158=1,Orders!Y155,"")</f>
        <v>0.09</v>
      </c>
      <c r="AQ158" s="33">
        <f>IF(Orders!X155,1,0)</f>
        <v>0</v>
      </c>
      <c r="AR158" s="34" t="str">
        <f>IF(AND(E158=1,L158=1),AJ158,"")</f>
        <v/>
      </c>
      <c r="AS158" s="34">
        <f>IF(AND(E158=1,L158=0),AJ158,"")</f>
        <v>5</v>
      </c>
      <c r="AT158" s="34" t="str">
        <f>IF(AND(E158=1,L158=1),AI158,"")</f>
        <v/>
      </c>
      <c r="AU158" s="34">
        <f>IF(AND(E158=1,L158=0),AI158,"")</f>
        <v>5.8</v>
      </c>
      <c r="AV158" s="34" t="str">
        <f>IF(AND(E158=1,L158=1),AG158,"")</f>
        <v/>
      </c>
      <c r="AW158" s="34">
        <f>IF(AND(E158=1,L158=0),AG158,"")</f>
        <v>7</v>
      </c>
      <c r="AX158" s="34" t="str">
        <f>IF(AND(E158=1,L158=1),AH158,"")</f>
        <v/>
      </c>
      <c r="AY158" s="34">
        <f>IF(AND(E158=1,L158=0),AH158,"")</f>
        <v>14.7</v>
      </c>
      <c r="AZ158" s="34">
        <f>IF(G158=1,F158,"")</f>
        <v>7.7</v>
      </c>
      <c r="BA158" s="34" t="str">
        <f>IF(AND(G158=1,L158=1),F158,"")</f>
        <v/>
      </c>
      <c r="BB158" s="34">
        <f>IF(AND(G158=1,L158=0),F158,"")</f>
        <v>7.7</v>
      </c>
      <c r="BC158" s="33">
        <f>IF(E158=1,IF(Orders!R155&gt;3,1,0),"")</f>
        <v>1</v>
      </c>
      <c r="BD158" s="33">
        <f>IF(E158=1,IF(Orders!R155&gt;7,1,0),"")</f>
        <v>1</v>
      </c>
      <c r="BE158" s="32" t="str">
        <f>IF(E158=1,IF(Orders!L155&lt;=1.5,"Up to 1.5 km",IF(Orders!L155&lt;=3,"1.5–3 km","Over 3 km")),"")</f>
        <v>Up to 1.5 km</v>
      </c>
      <c r="BF158" s="33">
        <f>IF(E158=1,IF(ABS((Orders!G155-Orders!F155)*1440-Orders!R155)&lt;0.06,1,0),"")</f>
        <v>1</v>
      </c>
      <c r="BG158" s="33">
        <f>IF(ABS((Orders!F155-Orders!E155)*1440-Orders!P155)&lt;0.06,1,0)</f>
        <v>1</v>
      </c>
      <c r="BH158" s="33">
        <f>IF(E158=1,IF(IF(Orders!S155,1,0)=1-G158,1,0),"")</f>
        <v>1</v>
      </c>
      <c r="BI158" s="32" t="str">
        <f>INDEX(Stores!$B$2:$B$21,MATCH(B158,Stores!$A$2:$A$21,0))</f>
        <v>Pune</v>
      </c>
    </row>
    <row r="159">
      <c r="A159" s="32" t="str">
        <f>Orders!A156</f>
        <v>O00155</v>
      </c>
      <c r="B159" s="32" t="str">
        <f>Orders!C156</f>
        <v>S009</v>
      </c>
      <c r="C159" s="32" t="str">
        <f>Orders!B156</f>
        <v>C0187</v>
      </c>
      <c r="D159" s="32" t="str">
        <f>Orders!H156</f>
        <v>Delivered</v>
      </c>
      <c r="E159" s="33">
        <f>IF(Orders!H156="Delivered",1,0)</f>
        <v>1</v>
      </c>
      <c r="F159" s="34">
        <f>IF(E159=1,Orders!R156,"")</f>
        <v>-1.3</v>
      </c>
      <c r="G159" s="33">
        <f>IF(E159=1,IF(Orders!R156&gt;0,1,0),"")</f>
        <v>0</v>
      </c>
      <c r="H159" s="33">
        <f>IF(E159=1,IF(Orders!R156&gt;5,1,0),"")</f>
        <v>0</v>
      </c>
      <c r="I159" s="32" t="str">
        <f>IF(E159=1,"",IF(OR(Orders!T156="Rider unavailable",Orders!T156="Item unavailable"),"Company-caused","Unresolved"))</f>
        <v/>
      </c>
      <c r="J159" s="33">
        <f>IF(OR(E159=1,I159="Company-caused"),1,0)</f>
        <v>1</v>
      </c>
      <c r="K159" s="32" t="str">
        <f>IF(E159=0,IF(I159="Company-caused",IF(Orders!T156="Rider unavailable","C1 Rider unavailable","C2 Item unavailable"),"Outside root: unresolved"),IF(G159=0,"A On time",IF(H159=1,IF(L159=1,"B2a Severe, peak","B2b Severe, off-peak"),IF(L159=1,"B1a Slight, peak","B1b Slight, off-peak"))))</f>
        <v>A On time</v>
      </c>
      <c r="L159" s="33">
        <f>IF(AND(Orders!U156&gt;=19,Orders!U156&lt;22),1,0)</f>
        <v>0</v>
      </c>
      <c r="M159" s="33">
        <f>IF(L159=IF(Orders!V156,1,0),1,0)</f>
        <v>1</v>
      </c>
      <c r="N159" s="32" t="str">
        <f>IF(Orders!W156="","None",Orders!W156)</f>
        <v>None</v>
      </c>
      <c r="O159" s="35">
        <f>INT(Orders!E156)</f>
        <v>46271.0</v>
      </c>
      <c r="P159" s="33">
        <f>Orders!U156</f>
        <v>15</v>
      </c>
      <c r="Q159" s="33">
        <f>COUNTIFS(Demand!$A$2:$A$4481,B159,Demand!$B$2:$B$4481,O159,Demand!$C$2:$C$4481,P159)</f>
        <v>1</v>
      </c>
      <c r="R159" s="33">
        <f>IF(Q159=1,SUMIFS(Demand!$E$2:$E$4481,Demand!$A$2:$A$4481,B159,Demand!$B$2:$B$4481,O159,Demand!$C$2:$C$4481,P159),"")</f>
        <v>21</v>
      </c>
      <c r="S159" s="33">
        <f>INDEX(Stores!$G$2:$G$21,MATCH(B159,Stores!$A$2:$A$21,0))</f>
        <v>29</v>
      </c>
      <c r="T159" s="34">
        <f>IF(R159="","",R159/S159)</f>
        <v>0.724137931034483</v>
      </c>
      <c r="U159" s="34">
        <f>IF(E159=1,T159,"")</f>
        <v>0.724137931034483</v>
      </c>
      <c r="V159" s="34">
        <f>IF(AND(E159=1,L159=0),T159,"")</f>
        <v>0.724137931034483</v>
      </c>
      <c r="W159" s="33">
        <f>IF(U159="","",IF(U159&lt;=Breakdowns!$C$5,1,IF(U159&lt;=Breakdowns!$C$6,2,IF(U159&lt;=Breakdowns!$C$7,3,4))))</f>
        <v>1</v>
      </c>
      <c r="X159" s="33">
        <f>IF(V159="","",IF(V159&lt;=Breakdowns!$D$5,1,IF(V159&lt;=Breakdowns!$D$6,2,IF(V159&lt;=Breakdowns!$D$7,3,4))))</f>
        <v>1</v>
      </c>
      <c r="Y159" s="34">
        <f>INDEX(Stores!$F$2:$F$21,MATCH(B159,Stores!$A$2:$A$21,0))</f>
        <v>2.66</v>
      </c>
      <c r="Z159" s="33">
        <f>IF(Y159&gt;Store_Summary!$M$2,1,0)</f>
        <v>0</v>
      </c>
      <c r="AA159" s="33">
        <f>INDEX(Stores!$C$2:$C$21,MATCH(B159,Stores!$A$2:$A$21,0))</f>
        <v>645</v>
      </c>
      <c r="AB159" s="33">
        <f>IF(AA159&lt;180,1,0)</f>
        <v>0</v>
      </c>
      <c r="AC159" s="32" t="str">
        <f>IF(Orders!D156="","",INDEX(Riders!$C$2:$C$81,MATCH(Orders!D156,Riders!$A$2:$A$81,0)))</f>
        <v>EV scooter</v>
      </c>
      <c r="AD159" s="33">
        <f>IF(Orders!D156="","",INDEX(Riders!$D$2:$D$81,MATCH(Orders!D156,Riders!$A$2:$A$81,0)))</f>
        <v>22</v>
      </c>
      <c r="AE159" s="33">
        <f>IF(Orders!D156="","",IF(INDEX(Riders!$B$2:$B$81,MATCH(Orders!D156,Riders!$A$2:$A$81,0))=B159,1,0))</f>
        <v>0</v>
      </c>
      <c r="AF159" s="34">
        <f>IF(E159=1,Orders!L156,"")</f>
        <v>2.68</v>
      </c>
      <c r="AG159" s="34">
        <f>IF(E159=1,Orders!P156,"")</f>
        <v>12.3</v>
      </c>
      <c r="AH159" s="34">
        <f>IF(E159=1,Orders!Q156,"")</f>
        <v>11</v>
      </c>
      <c r="AI159" s="34">
        <f>IF(E159=1,Orders!M156,"")</f>
        <v>3.1</v>
      </c>
      <c r="AJ159" s="34">
        <f>IF(E159=1,Orders!N156,"")</f>
        <v>2.2</v>
      </c>
      <c r="AK159" s="34">
        <f>IF(E159=1,Orders!O156,"")</f>
        <v>5.6</v>
      </c>
      <c r="AL159" s="33">
        <f>IF(E159=1,IF(ROUND(ABS(AI159+AJ159+AK159-AH159),6)&lt;=0.1,1,0),"")</f>
        <v>1</v>
      </c>
      <c r="AM159" s="36">
        <f>IF(E159=1,AI159/AH159,"")</f>
        <v>0.281818181818182</v>
      </c>
      <c r="AN159" s="36">
        <f>IF(E159=1,AJ159/AH159,"")</f>
        <v>0.2</v>
      </c>
      <c r="AO159" s="36">
        <f>IF(E159=1,AK159/AH159,"")</f>
        <v>0.509090909090909</v>
      </c>
      <c r="AP159" s="34">
        <f>IF(E159=1,Orders!Y156,"")</f>
        <v>0.32</v>
      </c>
      <c r="AQ159" s="33">
        <f>IF(Orders!X156,1,0)</f>
        <v>0</v>
      </c>
      <c r="AR159" s="34" t="str">
        <f>IF(AND(E159=1,L159=1),AJ159,"")</f>
        <v/>
      </c>
      <c r="AS159" s="34">
        <f>IF(AND(E159=1,L159=0),AJ159,"")</f>
        <v>2.2</v>
      </c>
      <c r="AT159" s="34" t="str">
        <f>IF(AND(E159=1,L159=1),AI159,"")</f>
        <v/>
      </c>
      <c r="AU159" s="34">
        <f>IF(AND(E159=1,L159=0),AI159,"")</f>
        <v>3.1</v>
      </c>
      <c r="AV159" s="34" t="str">
        <f>IF(AND(E159=1,L159=1),AG159,"")</f>
        <v/>
      </c>
      <c r="AW159" s="34">
        <f>IF(AND(E159=1,L159=0),AG159,"")</f>
        <v>12.3</v>
      </c>
      <c r="AX159" s="34" t="str">
        <f>IF(AND(E159=1,L159=1),AH159,"")</f>
        <v/>
      </c>
      <c r="AY159" s="34">
        <f>IF(AND(E159=1,L159=0),AH159,"")</f>
        <v>11</v>
      </c>
      <c r="AZ159" s="34" t="str">
        <f>IF(G159=1,F159,"")</f>
        <v/>
      </c>
      <c r="BA159" s="34" t="str">
        <f>IF(AND(G159=1,L159=1),F159,"")</f>
        <v/>
      </c>
      <c r="BB159" s="34" t="str">
        <f>IF(AND(G159=1,L159=0),F159,"")</f>
        <v/>
      </c>
      <c r="BC159" s="33">
        <f>IF(E159=1,IF(Orders!R156&gt;3,1,0),"")</f>
        <v>0</v>
      </c>
      <c r="BD159" s="33">
        <f>IF(E159=1,IF(Orders!R156&gt;7,1,0),"")</f>
        <v>0</v>
      </c>
      <c r="BE159" s="32" t="str">
        <f>IF(E159=1,IF(Orders!L156&lt;=1.5,"Up to 1.5 km",IF(Orders!L156&lt;=3,"1.5–3 km","Over 3 km")),"")</f>
        <v>1.5–3 km</v>
      </c>
      <c r="BF159" s="33">
        <f>IF(E159=1,IF(ABS((Orders!G156-Orders!F156)*1440-Orders!R156)&lt;0.06,1,0),"")</f>
        <v>1</v>
      </c>
      <c r="BG159" s="33">
        <f>IF(ABS((Orders!F156-Orders!E156)*1440-Orders!P156)&lt;0.06,1,0)</f>
        <v>1</v>
      </c>
      <c r="BH159" s="33">
        <f>IF(E159=1,IF(IF(Orders!S156,1,0)=1-G159,1,0),"")</f>
        <v>1</v>
      </c>
      <c r="BI159" s="32" t="str">
        <f>INDEX(Stores!$B$2:$B$21,MATCH(B159,Stores!$A$2:$A$21,0))</f>
        <v>Pune</v>
      </c>
    </row>
    <row r="160">
      <c r="A160" s="32" t="str">
        <f>Orders!A157</f>
        <v>O00156</v>
      </c>
      <c r="B160" s="32" t="str">
        <f>Orders!C157</f>
        <v>S015</v>
      </c>
      <c r="C160" s="32" t="str">
        <f>Orders!B157</f>
        <v>C0062</v>
      </c>
      <c r="D160" s="32" t="str">
        <f>Orders!H157</f>
        <v>Delivered</v>
      </c>
      <c r="E160" s="33">
        <f>IF(Orders!H157="Delivered",1,0)</f>
        <v>1</v>
      </c>
      <c r="F160" s="34">
        <f>IF(E160=1,Orders!R157,"")</f>
        <v>-0.9</v>
      </c>
      <c r="G160" s="33">
        <f>IF(E160=1,IF(Orders!R157&gt;0,1,0),"")</f>
        <v>0</v>
      </c>
      <c r="H160" s="33">
        <f>IF(E160=1,IF(Orders!R157&gt;5,1,0),"")</f>
        <v>0</v>
      </c>
      <c r="I160" s="32" t="str">
        <f>IF(E160=1,"",IF(OR(Orders!T157="Rider unavailable",Orders!T157="Item unavailable"),"Company-caused","Unresolved"))</f>
        <v/>
      </c>
      <c r="J160" s="33">
        <f>IF(OR(E160=1,I160="Company-caused"),1,0)</f>
        <v>1</v>
      </c>
      <c r="K160" s="32" t="str">
        <f>IF(E160=0,IF(I160="Company-caused",IF(Orders!T157="Rider unavailable","C1 Rider unavailable","C2 Item unavailable"),"Outside root: unresolved"),IF(G160=0,"A On time",IF(H160=1,IF(L160=1,"B2a Severe, peak","B2b Severe, off-peak"),IF(L160=1,"B1a Slight, peak","B1b Slight, off-peak"))))</f>
        <v>A On time</v>
      </c>
      <c r="L160" s="33">
        <f>IF(AND(Orders!U157&gt;=19,Orders!U157&lt;22),1,0)</f>
        <v>0</v>
      </c>
      <c r="M160" s="33">
        <f>IF(L160=IF(Orders!V157,1,0),1,0)</f>
        <v>1</v>
      </c>
      <c r="N160" s="32" t="str">
        <f>IF(Orders!W157="","None",Orders!W157)</f>
        <v>None</v>
      </c>
      <c r="O160" s="35">
        <f>INT(Orders!E157)</f>
        <v>46275.0</v>
      </c>
      <c r="P160" s="33">
        <f>Orders!U157</f>
        <v>18</v>
      </c>
      <c r="Q160" s="33">
        <f>COUNTIFS(Demand!$A$2:$A$4481,B160,Demand!$B$2:$B$4481,O160,Demand!$C$2:$C$4481,P160)</f>
        <v>1</v>
      </c>
      <c r="R160" s="33">
        <f>IF(Q160=1,SUMIFS(Demand!$E$2:$E$4481,Demand!$A$2:$A$4481,B160,Demand!$B$2:$B$4481,O160,Demand!$C$2:$C$4481,P160),"")</f>
        <v>30</v>
      </c>
      <c r="S160" s="33">
        <f>INDEX(Stores!$G$2:$G$21,MATCH(B160,Stores!$A$2:$A$21,0))</f>
        <v>23</v>
      </c>
      <c r="T160" s="34">
        <f>IF(R160="","",R160/S160)</f>
        <v>1.30434782608696</v>
      </c>
      <c r="U160" s="34">
        <f>IF(E160=1,T160,"")</f>
        <v>1.30434782608696</v>
      </c>
      <c r="V160" s="34">
        <f>IF(AND(E160=1,L160=0),T160,"")</f>
        <v>1.30434782608696</v>
      </c>
      <c r="W160" s="33">
        <f>IF(U160="","",IF(U160&lt;=Breakdowns!$C$5,1,IF(U160&lt;=Breakdowns!$C$6,2,IF(U160&lt;=Breakdowns!$C$7,3,4))))</f>
        <v>4</v>
      </c>
      <c r="X160" s="33">
        <f>IF(V160="","",IF(V160&lt;=Breakdowns!$D$5,1,IF(V160&lt;=Breakdowns!$D$6,2,IF(V160&lt;=Breakdowns!$D$7,3,4))))</f>
        <v>4</v>
      </c>
      <c r="Y160" s="34">
        <f>INDEX(Stores!$F$2:$F$21,MATCH(B160,Stores!$A$2:$A$21,0))</f>
        <v>4.66</v>
      </c>
      <c r="Z160" s="33">
        <f>IF(Y160&gt;Store_Summary!$M$2,1,0)</f>
        <v>0</v>
      </c>
      <c r="AA160" s="33">
        <f>INDEX(Stores!$C$2:$C$21,MATCH(B160,Stores!$A$2:$A$21,0))</f>
        <v>204</v>
      </c>
      <c r="AB160" s="33">
        <f>IF(AA160&lt;180,1,0)</f>
        <v>0</v>
      </c>
      <c r="AC160" s="32" t="str">
        <f>IF(Orders!D157="","",INDEX(Riders!$C$2:$C$81,MATCH(Orders!D157,Riders!$A$2:$A$81,0)))</f>
        <v>Bicycle</v>
      </c>
      <c r="AD160" s="33">
        <f>IF(Orders!D157="","",INDEX(Riders!$D$2:$D$81,MATCH(Orders!D157,Riders!$A$2:$A$81,0)))</f>
        <v>40</v>
      </c>
      <c r="AE160" s="33">
        <f>IF(Orders!D157="","",IF(INDEX(Riders!$B$2:$B$81,MATCH(Orders!D157,Riders!$A$2:$A$81,0))=B160,1,0))</f>
        <v>0</v>
      </c>
      <c r="AF160" s="34">
        <f>IF(E160=1,Orders!L157,"")</f>
        <v>1.44</v>
      </c>
      <c r="AG160" s="34">
        <f>IF(E160=1,Orders!P157,"")</f>
        <v>7.6</v>
      </c>
      <c r="AH160" s="34">
        <f>IF(E160=1,Orders!Q157,"")</f>
        <v>6.7</v>
      </c>
      <c r="AI160" s="34">
        <f>IF(E160=1,Orders!M157,"")</f>
        <v>2.8</v>
      </c>
      <c r="AJ160" s="34">
        <f>IF(E160=1,Orders!N157,"")</f>
        <v>1.2</v>
      </c>
      <c r="AK160" s="34">
        <f>IF(E160=1,Orders!O157,"")</f>
        <v>2.7</v>
      </c>
      <c r="AL160" s="33">
        <f>IF(E160=1,IF(ROUND(ABS(AI160+AJ160+AK160-AH160),6)&lt;=0.1,1,0),"")</f>
        <v>1</v>
      </c>
      <c r="AM160" s="36">
        <f>IF(E160=1,AI160/AH160,"")</f>
        <v>0.417910447761194</v>
      </c>
      <c r="AN160" s="36">
        <f>IF(E160=1,AJ160/AH160,"")</f>
        <v>0.17910447761194</v>
      </c>
      <c r="AO160" s="36">
        <f>IF(E160=1,AK160/AH160,"")</f>
        <v>0.402985074626866</v>
      </c>
      <c r="AP160" s="34">
        <f>IF(E160=1,Orders!Y157,"")</f>
        <v>0.53</v>
      </c>
      <c r="AQ160" s="33">
        <f>IF(Orders!X157,1,0)</f>
        <v>0</v>
      </c>
      <c r="AR160" s="34" t="str">
        <f>IF(AND(E160=1,L160=1),AJ160,"")</f>
        <v/>
      </c>
      <c r="AS160" s="34">
        <f>IF(AND(E160=1,L160=0),AJ160,"")</f>
        <v>1.2</v>
      </c>
      <c r="AT160" s="34" t="str">
        <f>IF(AND(E160=1,L160=1),AI160,"")</f>
        <v/>
      </c>
      <c r="AU160" s="34">
        <f>IF(AND(E160=1,L160=0),AI160,"")</f>
        <v>2.8</v>
      </c>
      <c r="AV160" s="34" t="str">
        <f>IF(AND(E160=1,L160=1),AG160,"")</f>
        <v/>
      </c>
      <c r="AW160" s="34">
        <f>IF(AND(E160=1,L160=0),AG160,"")</f>
        <v>7.6</v>
      </c>
      <c r="AX160" s="34" t="str">
        <f>IF(AND(E160=1,L160=1),AH160,"")</f>
        <v/>
      </c>
      <c r="AY160" s="34">
        <f>IF(AND(E160=1,L160=0),AH160,"")</f>
        <v>6.7</v>
      </c>
      <c r="AZ160" s="34" t="str">
        <f>IF(G160=1,F160,"")</f>
        <v/>
      </c>
      <c r="BA160" s="34" t="str">
        <f>IF(AND(G160=1,L160=1),F160,"")</f>
        <v/>
      </c>
      <c r="BB160" s="34" t="str">
        <f>IF(AND(G160=1,L160=0),F160,"")</f>
        <v/>
      </c>
      <c r="BC160" s="33">
        <f>IF(E160=1,IF(Orders!R157&gt;3,1,0),"")</f>
        <v>0</v>
      </c>
      <c r="BD160" s="33">
        <f>IF(E160=1,IF(Orders!R157&gt;7,1,0),"")</f>
        <v>0</v>
      </c>
      <c r="BE160" s="32" t="str">
        <f>IF(E160=1,IF(Orders!L157&lt;=1.5,"Up to 1.5 km",IF(Orders!L157&lt;=3,"1.5–3 km","Over 3 km")),"")</f>
        <v>Up to 1.5 km</v>
      </c>
      <c r="BF160" s="33">
        <f>IF(E160=1,IF(ABS((Orders!G157-Orders!F157)*1440-Orders!R157)&lt;0.06,1,0),"")</f>
        <v>1</v>
      </c>
      <c r="BG160" s="33">
        <f>IF(ABS((Orders!F157-Orders!E157)*1440-Orders!P157)&lt;0.06,1,0)</f>
        <v>1</v>
      </c>
      <c r="BH160" s="33">
        <f>IF(E160=1,IF(IF(Orders!S157,1,0)=1-G160,1,0),"")</f>
        <v>1</v>
      </c>
      <c r="BI160" s="32" t="str">
        <f>INDEX(Stores!$B$2:$B$21,MATCH(B160,Stores!$A$2:$A$21,0))</f>
        <v>Delhi</v>
      </c>
    </row>
    <row r="161">
      <c r="A161" s="32" t="str">
        <f>Orders!A158</f>
        <v>O00157</v>
      </c>
      <c r="B161" s="32" t="str">
        <f>Orders!C158</f>
        <v>S013</v>
      </c>
      <c r="C161" s="32" t="str">
        <f>Orders!B158</f>
        <v>C0056</v>
      </c>
      <c r="D161" s="32" t="str">
        <f>Orders!H158</f>
        <v>Delivered</v>
      </c>
      <c r="E161" s="33">
        <f>IF(Orders!H158="Delivered",1,0)</f>
        <v>1</v>
      </c>
      <c r="F161" s="34">
        <f>IF(E161=1,Orders!R158,"")</f>
        <v>-1</v>
      </c>
      <c r="G161" s="33">
        <f>IF(E161=1,IF(Orders!R158&gt;0,1,0),"")</f>
        <v>0</v>
      </c>
      <c r="H161" s="33">
        <f>IF(E161=1,IF(Orders!R158&gt;5,1,0),"")</f>
        <v>0</v>
      </c>
      <c r="I161" s="32" t="str">
        <f>IF(E161=1,"",IF(OR(Orders!T158="Rider unavailable",Orders!T158="Item unavailable"),"Company-caused","Unresolved"))</f>
        <v/>
      </c>
      <c r="J161" s="33">
        <f>IF(OR(E161=1,I161="Company-caused"),1,0)</f>
        <v>1</v>
      </c>
      <c r="K161" s="32" t="str">
        <f>IF(E161=0,IF(I161="Company-caused",IF(Orders!T158="Rider unavailable","C1 Rider unavailable","C2 Item unavailable"),"Outside root: unresolved"),IF(G161=0,"A On time",IF(H161=1,IF(L161=1,"B2a Severe, peak","B2b Severe, off-peak"),IF(L161=1,"B1a Slight, peak","B1b Slight, off-peak"))))</f>
        <v>A On time</v>
      </c>
      <c r="L161" s="33">
        <f>IF(AND(Orders!U158&gt;=19,Orders!U158&lt;22),1,0)</f>
        <v>0</v>
      </c>
      <c r="M161" s="33">
        <f>IF(L161=IF(Orders!V158,1,0),1,0)</f>
        <v>1</v>
      </c>
      <c r="N161" s="32" t="str">
        <f>IF(Orders!W158="","None",Orders!W158)</f>
        <v>None</v>
      </c>
      <c r="O161" s="35">
        <f>INT(Orders!E158)</f>
        <v>46267.0</v>
      </c>
      <c r="P161" s="33">
        <f>Orders!U158</f>
        <v>13</v>
      </c>
      <c r="Q161" s="33">
        <f>COUNTIFS(Demand!$A$2:$A$4481,B161,Demand!$B$2:$B$4481,O161,Demand!$C$2:$C$4481,P161)</f>
        <v>1</v>
      </c>
      <c r="R161" s="33">
        <f>IF(Q161=1,SUMIFS(Demand!$E$2:$E$4481,Demand!$A$2:$A$4481,B161,Demand!$B$2:$B$4481,O161,Demand!$C$2:$C$4481,P161),"")</f>
        <v>49</v>
      </c>
      <c r="S161" s="33">
        <f>INDEX(Stores!$G$2:$G$21,MATCH(B161,Stores!$A$2:$A$21,0))</f>
        <v>49</v>
      </c>
      <c r="T161" s="34">
        <f>IF(R161="","",R161/S161)</f>
        <v>1</v>
      </c>
      <c r="U161" s="34">
        <f>IF(E161=1,T161,"")</f>
        <v>1</v>
      </c>
      <c r="V161" s="34">
        <f>IF(AND(E161=1,L161=0),T161,"")</f>
        <v>1</v>
      </c>
      <c r="W161" s="33">
        <f>IF(U161="","",IF(U161&lt;=Breakdowns!$C$5,1,IF(U161&lt;=Breakdowns!$C$6,2,IF(U161&lt;=Breakdowns!$C$7,3,4))))</f>
        <v>2</v>
      </c>
      <c r="X161" s="33">
        <f>IF(V161="","",IF(V161&lt;=Breakdowns!$D$5,1,IF(V161&lt;=Breakdowns!$D$6,2,IF(V161&lt;=Breakdowns!$D$7,3,4))))</f>
        <v>3</v>
      </c>
      <c r="Y161" s="34">
        <f>INDEX(Stores!$F$2:$F$21,MATCH(B161,Stores!$A$2:$A$21,0))</f>
        <v>5.82</v>
      </c>
      <c r="Z161" s="33">
        <f>IF(Y161&gt;Store_Summary!$M$2,1,0)</f>
        <v>1</v>
      </c>
      <c r="AA161" s="33">
        <f>INDEX(Stores!$C$2:$C$21,MATCH(B161,Stores!$A$2:$A$21,0))</f>
        <v>705</v>
      </c>
      <c r="AB161" s="33">
        <f>IF(AA161&lt;180,1,0)</f>
        <v>0</v>
      </c>
      <c r="AC161" s="32" t="str">
        <f>IF(Orders!D158="","",INDEX(Riders!$C$2:$C$81,MATCH(Orders!D158,Riders!$A$2:$A$81,0)))</f>
        <v>EV scooter</v>
      </c>
      <c r="AD161" s="33">
        <f>IF(Orders!D158="","",INDEX(Riders!$D$2:$D$81,MATCH(Orders!D158,Riders!$A$2:$A$81,0)))</f>
        <v>36</v>
      </c>
      <c r="AE161" s="33">
        <f>IF(Orders!D158="","",IF(INDEX(Riders!$B$2:$B$81,MATCH(Orders!D158,Riders!$A$2:$A$81,0))=B161,1,0))</f>
        <v>0</v>
      </c>
      <c r="AF161" s="34">
        <f>IF(E161=1,Orders!L158,"")</f>
        <v>3</v>
      </c>
      <c r="AG161" s="34">
        <f>IF(E161=1,Orders!P158,"")</f>
        <v>11.9</v>
      </c>
      <c r="AH161" s="34">
        <f>IF(E161=1,Orders!Q158,"")</f>
        <v>10.9</v>
      </c>
      <c r="AI161" s="34">
        <f>IF(E161=1,Orders!M158,"")</f>
        <v>3.6</v>
      </c>
      <c r="AJ161" s="34">
        <f>IF(E161=1,Orders!N158,"")</f>
        <v>2.1</v>
      </c>
      <c r="AK161" s="34">
        <f>IF(E161=1,Orders!O158,"")</f>
        <v>5.2</v>
      </c>
      <c r="AL161" s="33">
        <f>IF(E161=1,IF(ROUND(ABS(AI161+AJ161+AK161-AH161),6)&lt;=0.1,1,0),"")</f>
        <v>1</v>
      </c>
      <c r="AM161" s="36">
        <f>IF(E161=1,AI161/AH161,"")</f>
        <v>0.330275229357798</v>
      </c>
      <c r="AN161" s="36">
        <f>IF(E161=1,AJ161/AH161,"")</f>
        <v>0.192660550458716</v>
      </c>
      <c r="AO161" s="36">
        <f>IF(E161=1,AK161/AH161,"")</f>
        <v>0.477064220183486</v>
      </c>
      <c r="AP161" s="34">
        <f>IF(E161=1,Orders!Y158,"")</f>
        <v>0.54</v>
      </c>
      <c r="AQ161" s="33">
        <f>IF(Orders!X158,1,0)</f>
        <v>0</v>
      </c>
      <c r="AR161" s="34" t="str">
        <f>IF(AND(E161=1,L161=1),AJ161,"")</f>
        <v/>
      </c>
      <c r="AS161" s="34">
        <f>IF(AND(E161=1,L161=0),AJ161,"")</f>
        <v>2.1</v>
      </c>
      <c r="AT161" s="34" t="str">
        <f>IF(AND(E161=1,L161=1),AI161,"")</f>
        <v/>
      </c>
      <c r="AU161" s="34">
        <f>IF(AND(E161=1,L161=0),AI161,"")</f>
        <v>3.6</v>
      </c>
      <c r="AV161" s="34" t="str">
        <f>IF(AND(E161=1,L161=1),AG161,"")</f>
        <v/>
      </c>
      <c r="AW161" s="34">
        <f>IF(AND(E161=1,L161=0),AG161,"")</f>
        <v>11.9</v>
      </c>
      <c r="AX161" s="34" t="str">
        <f>IF(AND(E161=1,L161=1),AH161,"")</f>
        <v/>
      </c>
      <c r="AY161" s="34">
        <f>IF(AND(E161=1,L161=0),AH161,"")</f>
        <v>10.9</v>
      </c>
      <c r="AZ161" s="34" t="str">
        <f>IF(G161=1,F161,"")</f>
        <v/>
      </c>
      <c r="BA161" s="34" t="str">
        <f>IF(AND(G161=1,L161=1),F161,"")</f>
        <v/>
      </c>
      <c r="BB161" s="34" t="str">
        <f>IF(AND(G161=1,L161=0),F161,"")</f>
        <v/>
      </c>
      <c r="BC161" s="33">
        <f>IF(E161=1,IF(Orders!R158&gt;3,1,0),"")</f>
        <v>0</v>
      </c>
      <c r="BD161" s="33">
        <f>IF(E161=1,IF(Orders!R158&gt;7,1,0),"")</f>
        <v>0</v>
      </c>
      <c r="BE161" s="32" t="str">
        <f>IF(E161=1,IF(Orders!L158&lt;=1.5,"Up to 1.5 km",IF(Orders!L158&lt;=3,"1.5–3 km","Over 3 km")),"")</f>
        <v>1.5–3 km</v>
      </c>
      <c r="BF161" s="33">
        <f>IF(E161=1,IF(ABS((Orders!G158-Orders!F158)*1440-Orders!R158)&lt;0.06,1,0),"")</f>
        <v>1</v>
      </c>
      <c r="BG161" s="33">
        <f>IF(ABS((Orders!F158-Orders!E158)*1440-Orders!P158)&lt;0.06,1,0)</f>
        <v>1</v>
      </c>
      <c r="BH161" s="33">
        <f>IF(E161=1,IF(IF(Orders!S158,1,0)=1-G161,1,0),"")</f>
        <v>1</v>
      </c>
      <c r="BI161" s="32" t="str">
        <f>INDEX(Stores!$B$2:$B$21,MATCH(B161,Stores!$A$2:$A$21,0))</f>
        <v>Mumbai</v>
      </c>
    </row>
    <row r="162">
      <c r="A162" s="32" t="str">
        <f>Orders!A159</f>
        <v>O00158</v>
      </c>
      <c r="B162" s="32" t="str">
        <f>Orders!C159</f>
        <v>S008</v>
      </c>
      <c r="C162" s="32" t="str">
        <f>Orders!B159</f>
        <v>C0167</v>
      </c>
      <c r="D162" s="32" t="str">
        <f>Orders!H159</f>
        <v>Delivered</v>
      </c>
      <c r="E162" s="33">
        <f>IF(Orders!H159="Delivered",1,0)</f>
        <v>1</v>
      </c>
      <c r="F162" s="34">
        <f>IF(E162=1,Orders!R159,"")</f>
        <v>-2.6</v>
      </c>
      <c r="G162" s="33">
        <f>IF(E162=1,IF(Orders!R159&gt;0,1,0),"")</f>
        <v>0</v>
      </c>
      <c r="H162" s="33">
        <f>IF(E162=1,IF(Orders!R159&gt;5,1,0),"")</f>
        <v>0</v>
      </c>
      <c r="I162" s="32" t="str">
        <f>IF(E162=1,"",IF(OR(Orders!T159="Rider unavailable",Orders!T159="Item unavailable"),"Company-caused","Unresolved"))</f>
        <v/>
      </c>
      <c r="J162" s="33">
        <f>IF(OR(E162=1,I162="Company-caused"),1,0)</f>
        <v>1</v>
      </c>
      <c r="K162" s="32" t="str">
        <f>IF(E162=0,IF(I162="Company-caused",IF(Orders!T159="Rider unavailable","C1 Rider unavailable","C2 Item unavailable"),"Outside root: unresolved"),IF(G162=0,"A On time",IF(H162=1,IF(L162=1,"B2a Severe, peak","B2b Severe, off-peak"),IF(L162=1,"B1a Slight, peak","B1b Slight, off-peak"))))</f>
        <v>A On time</v>
      </c>
      <c r="L162" s="33">
        <f>IF(AND(Orders!U159&gt;=19,Orders!U159&lt;22),1,0)</f>
        <v>0</v>
      </c>
      <c r="M162" s="33">
        <f>IF(L162=IF(Orders!V159,1,0),1,0)</f>
        <v>1</v>
      </c>
      <c r="N162" s="32" t="str">
        <f>IF(Orders!W159="","None",Orders!W159)</f>
        <v>None</v>
      </c>
      <c r="O162" s="35">
        <f>INT(Orders!E159)</f>
        <v>46268.0</v>
      </c>
      <c r="P162" s="33">
        <f>Orders!U159</f>
        <v>8</v>
      </c>
      <c r="Q162" s="33">
        <f>COUNTIFS(Demand!$A$2:$A$4481,B162,Demand!$B$2:$B$4481,O162,Demand!$C$2:$C$4481,P162)</f>
        <v>1</v>
      </c>
      <c r="R162" s="33">
        <f>IF(Q162=1,SUMIFS(Demand!$E$2:$E$4481,Demand!$A$2:$A$4481,B162,Demand!$B$2:$B$4481,O162,Demand!$C$2:$C$4481,P162),"")</f>
        <v>13</v>
      </c>
      <c r="S162" s="33">
        <f>INDEX(Stores!$G$2:$G$21,MATCH(B162,Stores!$A$2:$A$21,0))</f>
        <v>23</v>
      </c>
      <c r="T162" s="34">
        <f>IF(R162="","",R162/S162)</f>
        <v>0.565217391304348</v>
      </c>
      <c r="U162" s="34">
        <f>IF(E162=1,T162,"")</f>
        <v>0.565217391304348</v>
      </c>
      <c r="V162" s="34">
        <f>IF(AND(E162=1,L162=0),T162,"")</f>
        <v>0.565217391304348</v>
      </c>
      <c r="W162" s="33">
        <f>IF(U162="","",IF(U162&lt;=Breakdowns!$C$5,1,IF(U162&lt;=Breakdowns!$C$6,2,IF(U162&lt;=Breakdowns!$C$7,3,4))))</f>
        <v>1</v>
      </c>
      <c r="X162" s="33">
        <f>IF(V162="","",IF(V162&lt;=Breakdowns!$D$5,1,IF(V162&lt;=Breakdowns!$D$6,2,IF(V162&lt;=Breakdowns!$D$7,3,4))))</f>
        <v>1</v>
      </c>
      <c r="Y162" s="34">
        <f>INDEX(Stores!$F$2:$F$21,MATCH(B162,Stores!$A$2:$A$21,0))</f>
        <v>3.46</v>
      </c>
      <c r="Z162" s="33">
        <f>IF(Y162&gt;Store_Summary!$M$2,1,0)</f>
        <v>0</v>
      </c>
      <c r="AA162" s="33">
        <f>INDEX(Stores!$C$2:$C$21,MATCH(B162,Stores!$A$2:$A$21,0))</f>
        <v>825</v>
      </c>
      <c r="AB162" s="33">
        <f>IF(AA162&lt;180,1,0)</f>
        <v>0</v>
      </c>
      <c r="AC162" s="32" t="str">
        <f>IF(Orders!D159="","",INDEX(Riders!$C$2:$C$81,MATCH(Orders!D159,Riders!$A$2:$A$81,0)))</f>
        <v>EV scooter</v>
      </c>
      <c r="AD162" s="33">
        <f>IF(Orders!D159="","",INDEX(Riders!$D$2:$D$81,MATCH(Orders!D159,Riders!$A$2:$A$81,0)))</f>
        <v>1</v>
      </c>
      <c r="AE162" s="33">
        <f>IF(Orders!D159="","",IF(INDEX(Riders!$B$2:$B$81,MATCH(Orders!D159,Riders!$A$2:$A$81,0))=B162,1,0))</f>
        <v>0</v>
      </c>
      <c r="AF162" s="34">
        <f>IF(E162=1,Orders!L159,"")</f>
        <v>1.84</v>
      </c>
      <c r="AG162" s="34">
        <f>IF(E162=1,Orders!P159,"")</f>
        <v>10.5</v>
      </c>
      <c r="AH162" s="34">
        <f>IF(E162=1,Orders!Q159,"")</f>
        <v>7.9</v>
      </c>
      <c r="AI162" s="34">
        <f>IF(E162=1,Orders!M159,"")</f>
        <v>3.5</v>
      </c>
      <c r="AJ162" s="34">
        <f>IF(E162=1,Orders!N159,"")</f>
        <v>0.8</v>
      </c>
      <c r="AK162" s="34">
        <f>IF(E162=1,Orders!O159,"")</f>
        <v>3.5</v>
      </c>
      <c r="AL162" s="33">
        <f>IF(E162=1,IF(ROUND(ABS(AI162+AJ162+AK162-AH162),6)&lt;=0.1,1,0),"")</f>
        <v>1</v>
      </c>
      <c r="AM162" s="36">
        <f>IF(E162=1,AI162/AH162,"")</f>
        <v>0.443037974683544</v>
      </c>
      <c r="AN162" s="36">
        <f>IF(E162=1,AJ162/AH162,"")</f>
        <v>0.10126582278481</v>
      </c>
      <c r="AO162" s="36">
        <f>IF(E162=1,AK162/AH162,"")</f>
        <v>0.443037974683544</v>
      </c>
      <c r="AP162" s="34">
        <f>IF(E162=1,Orders!Y159,"")</f>
        <v>0.01</v>
      </c>
      <c r="AQ162" s="33">
        <f>IF(Orders!X159,1,0)</f>
        <v>0</v>
      </c>
      <c r="AR162" s="34" t="str">
        <f>IF(AND(E162=1,L162=1),AJ162,"")</f>
        <v/>
      </c>
      <c r="AS162" s="34">
        <f>IF(AND(E162=1,L162=0),AJ162,"")</f>
        <v>0.8</v>
      </c>
      <c r="AT162" s="34" t="str">
        <f>IF(AND(E162=1,L162=1),AI162,"")</f>
        <v/>
      </c>
      <c r="AU162" s="34">
        <f>IF(AND(E162=1,L162=0),AI162,"")</f>
        <v>3.5</v>
      </c>
      <c r="AV162" s="34" t="str">
        <f>IF(AND(E162=1,L162=1),AG162,"")</f>
        <v/>
      </c>
      <c r="AW162" s="34">
        <f>IF(AND(E162=1,L162=0),AG162,"")</f>
        <v>10.5</v>
      </c>
      <c r="AX162" s="34" t="str">
        <f>IF(AND(E162=1,L162=1),AH162,"")</f>
        <v/>
      </c>
      <c r="AY162" s="34">
        <f>IF(AND(E162=1,L162=0),AH162,"")</f>
        <v>7.9</v>
      </c>
      <c r="AZ162" s="34" t="str">
        <f>IF(G162=1,F162,"")</f>
        <v/>
      </c>
      <c r="BA162" s="34" t="str">
        <f>IF(AND(G162=1,L162=1),F162,"")</f>
        <v/>
      </c>
      <c r="BB162" s="34" t="str">
        <f>IF(AND(G162=1,L162=0),F162,"")</f>
        <v/>
      </c>
      <c r="BC162" s="33">
        <f>IF(E162=1,IF(Orders!R159&gt;3,1,0),"")</f>
        <v>0</v>
      </c>
      <c r="BD162" s="33">
        <f>IF(E162=1,IF(Orders!R159&gt;7,1,0),"")</f>
        <v>0</v>
      </c>
      <c r="BE162" s="32" t="str">
        <f>IF(E162=1,IF(Orders!L159&lt;=1.5,"Up to 1.5 km",IF(Orders!L159&lt;=3,"1.5–3 km","Over 3 km")),"")</f>
        <v>1.5–3 km</v>
      </c>
      <c r="BF162" s="33">
        <f>IF(E162=1,IF(ABS((Orders!G159-Orders!F159)*1440-Orders!R159)&lt;0.06,1,0),"")</f>
        <v>1</v>
      </c>
      <c r="BG162" s="33">
        <f>IF(ABS((Orders!F159-Orders!E159)*1440-Orders!P159)&lt;0.06,1,0)</f>
        <v>1</v>
      </c>
      <c r="BH162" s="33">
        <f>IF(E162=1,IF(IF(Orders!S159,1,0)=1-G162,1,0),"")</f>
        <v>1</v>
      </c>
      <c r="BI162" s="32" t="str">
        <f>INDEX(Stores!$B$2:$B$21,MATCH(B162,Stores!$A$2:$A$21,0))</f>
        <v>Mumbai</v>
      </c>
    </row>
    <row r="163">
      <c r="A163" s="32" t="str">
        <f>Orders!A160</f>
        <v>O00159</v>
      </c>
      <c r="B163" s="32" t="str">
        <f>Orders!C160</f>
        <v>S003</v>
      </c>
      <c r="C163" s="32" t="str">
        <f>Orders!B160</f>
        <v>C0065</v>
      </c>
      <c r="D163" s="32" t="str">
        <f>Orders!H160</f>
        <v>Delivered</v>
      </c>
      <c r="E163" s="33">
        <f>IF(Orders!H160="Delivered",1,0)</f>
        <v>1</v>
      </c>
      <c r="F163" s="34">
        <f>IF(E163=1,Orders!R160,"")</f>
        <v>-0.3</v>
      </c>
      <c r="G163" s="33">
        <f>IF(E163=1,IF(Orders!R160&gt;0,1,0),"")</f>
        <v>0</v>
      </c>
      <c r="H163" s="33">
        <f>IF(E163=1,IF(Orders!R160&gt;5,1,0),"")</f>
        <v>0</v>
      </c>
      <c r="I163" s="32" t="str">
        <f>IF(E163=1,"",IF(OR(Orders!T160="Rider unavailable",Orders!T160="Item unavailable"),"Company-caused","Unresolved"))</f>
        <v/>
      </c>
      <c r="J163" s="33">
        <f>IF(OR(E163=1,I163="Company-caused"),1,0)</f>
        <v>1</v>
      </c>
      <c r="K163" s="32" t="str">
        <f>IF(E163=0,IF(I163="Company-caused",IF(Orders!T160="Rider unavailable","C1 Rider unavailable","C2 Item unavailable"),"Outside root: unresolved"),IF(G163=0,"A On time",IF(H163=1,IF(L163=1,"B2a Severe, peak","B2b Severe, off-peak"),IF(L163=1,"B1a Slight, peak","B1b Slight, off-peak"))))</f>
        <v>A On time</v>
      </c>
      <c r="L163" s="33">
        <f>IF(AND(Orders!U160&gt;=19,Orders!U160&lt;22),1,0)</f>
        <v>0</v>
      </c>
      <c r="M163" s="33">
        <f>IF(L163=IF(Orders!V160,1,0),1,0)</f>
        <v>1</v>
      </c>
      <c r="N163" s="32" t="str">
        <f>IF(Orders!W160="","None",Orders!W160)</f>
        <v>Light</v>
      </c>
      <c r="O163" s="35">
        <f>INT(Orders!E160)</f>
        <v>46275.0</v>
      </c>
      <c r="P163" s="33">
        <f>Orders!U160</f>
        <v>13</v>
      </c>
      <c r="Q163" s="33">
        <f>COUNTIFS(Demand!$A$2:$A$4481,B163,Demand!$B$2:$B$4481,O163,Demand!$C$2:$C$4481,P163)</f>
        <v>1</v>
      </c>
      <c r="R163" s="33">
        <f>IF(Q163=1,SUMIFS(Demand!$E$2:$E$4481,Demand!$A$2:$A$4481,B163,Demand!$B$2:$B$4481,O163,Demand!$C$2:$C$4481,P163),"")</f>
        <v>37</v>
      </c>
      <c r="S163" s="33">
        <f>INDEX(Stores!$G$2:$G$21,MATCH(B163,Stores!$A$2:$A$21,0))</f>
        <v>41</v>
      </c>
      <c r="T163" s="34">
        <f>IF(R163="","",R163/S163)</f>
        <v>0.902439024390244</v>
      </c>
      <c r="U163" s="34">
        <f>IF(E163=1,T163,"")</f>
        <v>0.902439024390244</v>
      </c>
      <c r="V163" s="34">
        <f>IF(AND(E163=1,L163=0),T163,"")</f>
        <v>0.902439024390244</v>
      </c>
      <c r="W163" s="33">
        <f>IF(U163="","",IF(U163&lt;=Breakdowns!$C$5,1,IF(U163&lt;=Breakdowns!$C$6,2,IF(U163&lt;=Breakdowns!$C$7,3,4))))</f>
        <v>2</v>
      </c>
      <c r="X163" s="33">
        <f>IF(V163="","",IF(V163&lt;=Breakdowns!$D$5,1,IF(V163&lt;=Breakdowns!$D$6,2,IF(V163&lt;=Breakdowns!$D$7,3,4))))</f>
        <v>2</v>
      </c>
      <c r="Y163" s="34">
        <f>INDEX(Stores!$F$2:$F$21,MATCH(B163,Stores!$A$2:$A$21,0))</f>
        <v>3.84</v>
      </c>
      <c r="Z163" s="33">
        <f>IF(Y163&gt;Store_Summary!$M$2,1,0)</f>
        <v>0</v>
      </c>
      <c r="AA163" s="33">
        <f>INDEX(Stores!$C$2:$C$21,MATCH(B163,Stores!$A$2:$A$21,0))</f>
        <v>426</v>
      </c>
      <c r="AB163" s="33">
        <f>IF(AA163&lt;180,1,0)</f>
        <v>0</v>
      </c>
      <c r="AC163" s="32" t="str">
        <f>IF(Orders!D160="","",INDEX(Riders!$C$2:$C$81,MATCH(Orders!D160,Riders!$A$2:$A$81,0)))</f>
        <v>Bicycle</v>
      </c>
      <c r="AD163" s="33">
        <f>IF(Orders!D160="","",INDEX(Riders!$D$2:$D$81,MATCH(Orders!D160,Riders!$A$2:$A$81,0)))</f>
        <v>26</v>
      </c>
      <c r="AE163" s="33">
        <f>IF(Orders!D160="","",IF(INDEX(Riders!$B$2:$B$81,MATCH(Orders!D160,Riders!$A$2:$A$81,0))=B163,1,0))</f>
        <v>0</v>
      </c>
      <c r="AF163" s="34">
        <f>IF(E163=1,Orders!L160,"")</f>
        <v>2.1</v>
      </c>
      <c r="AG163" s="34">
        <f>IF(E163=1,Orders!P160,"")</f>
        <v>11.1</v>
      </c>
      <c r="AH163" s="34">
        <f>IF(E163=1,Orders!Q160,"")</f>
        <v>10.8</v>
      </c>
      <c r="AI163" s="34">
        <f>IF(E163=1,Orders!M160,"")</f>
        <v>3.9</v>
      </c>
      <c r="AJ163" s="34">
        <f>IF(E163=1,Orders!N160,"")</f>
        <v>3.1</v>
      </c>
      <c r="AK163" s="34">
        <f>IF(E163=1,Orders!O160,"")</f>
        <v>3.8</v>
      </c>
      <c r="AL163" s="33">
        <f>IF(E163=1,IF(ROUND(ABS(AI163+AJ163+AK163-AH163),6)&lt;=0.1,1,0),"")</f>
        <v>1</v>
      </c>
      <c r="AM163" s="36">
        <f>IF(E163=1,AI163/AH163,"")</f>
        <v>0.361111111111111</v>
      </c>
      <c r="AN163" s="36">
        <f>IF(E163=1,AJ163/AH163,"")</f>
        <v>0.287037037037037</v>
      </c>
      <c r="AO163" s="36">
        <f>IF(E163=1,AK163/AH163,"")</f>
        <v>0.351851851851852</v>
      </c>
      <c r="AP163" s="34">
        <f>IF(E163=1,Orders!Y160,"")</f>
        <v>0.23</v>
      </c>
      <c r="AQ163" s="33">
        <f>IF(Orders!X160,1,0)</f>
        <v>0</v>
      </c>
      <c r="AR163" s="34" t="str">
        <f>IF(AND(E163=1,L163=1),AJ163,"")</f>
        <v/>
      </c>
      <c r="AS163" s="34">
        <f>IF(AND(E163=1,L163=0),AJ163,"")</f>
        <v>3.1</v>
      </c>
      <c r="AT163" s="34" t="str">
        <f>IF(AND(E163=1,L163=1),AI163,"")</f>
        <v/>
      </c>
      <c r="AU163" s="34">
        <f>IF(AND(E163=1,L163=0),AI163,"")</f>
        <v>3.9</v>
      </c>
      <c r="AV163" s="34" t="str">
        <f>IF(AND(E163=1,L163=1),AG163,"")</f>
        <v/>
      </c>
      <c r="AW163" s="34">
        <f>IF(AND(E163=1,L163=0),AG163,"")</f>
        <v>11.1</v>
      </c>
      <c r="AX163" s="34" t="str">
        <f>IF(AND(E163=1,L163=1),AH163,"")</f>
        <v/>
      </c>
      <c r="AY163" s="34">
        <f>IF(AND(E163=1,L163=0),AH163,"")</f>
        <v>10.8</v>
      </c>
      <c r="AZ163" s="34" t="str">
        <f>IF(G163=1,F163,"")</f>
        <v/>
      </c>
      <c r="BA163" s="34" t="str">
        <f>IF(AND(G163=1,L163=1),F163,"")</f>
        <v/>
      </c>
      <c r="BB163" s="34" t="str">
        <f>IF(AND(G163=1,L163=0),F163,"")</f>
        <v/>
      </c>
      <c r="BC163" s="33">
        <f>IF(E163=1,IF(Orders!R160&gt;3,1,0),"")</f>
        <v>0</v>
      </c>
      <c r="BD163" s="33">
        <f>IF(E163=1,IF(Orders!R160&gt;7,1,0),"")</f>
        <v>0</v>
      </c>
      <c r="BE163" s="32" t="str">
        <f>IF(E163=1,IF(Orders!L160&lt;=1.5,"Up to 1.5 km",IF(Orders!L160&lt;=3,"1.5–3 km","Over 3 km")),"")</f>
        <v>1.5–3 km</v>
      </c>
      <c r="BF163" s="33">
        <f>IF(E163=1,IF(ABS((Orders!G160-Orders!F160)*1440-Orders!R160)&lt;0.06,1,0),"")</f>
        <v>1</v>
      </c>
      <c r="BG163" s="33">
        <f>IF(ABS((Orders!F160-Orders!E160)*1440-Orders!P160)&lt;0.06,1,0)</f>
        <v>1</v>
      </c>
      <c r="BH163" s="33">
        <f>IF(E163=1,IF(IF(Orders!S160,1,0)=1-G163,1,0),"")</f>
        <v>1</v>
      </c>
      <c r="BI163" s="32" t="str">
        <f>INDEX(Stores!$B$2:$B$21,MATCH(B163,Stores!$A$2:$A$21,0))</f>
        <v>Mumbai</v>
      </c>
    </row>
    <row r="164">
      <c r="A164" s="32" t="str">
        <f>Orders!A161</f>
        <v>O00160</v>
      </c>
      <c r="B164" s="32" t="str">
        <f>Orders!C161</f>
        <v>S019</v>
      </c>
      <c r="C164" s="32" t="str">
        <f>Orders!B161</f>
        <v>C0116</v>
      </c>
      <c r="D164" s="32" t="str">
        <f>Orders!H161</f>
        <v>Delivered</v>
      </c>
      <c r="E164" s="33">
        <f>IF(Orders!H161="Delivered",1,0)</f>
        <v>1</v>
      </c>
      <c r="F164" s="34">
        <f>IF(E164=1,Orders!R161,"")</f>
        <v>5.7</v>
      </c>
      <c r="G164" s="33">
        <f>IF(E164=1,IF(Orders!R161&gt;0,1,0),"")</f>
        <v>1</v>
      </c>
      <c r="H164" s="33">
        <f>IF(E164=1,IF(Orders!R161&gt;5,1,0),"")</f>
        <v>1</v>
      </c>
      <c r="I164" s="32" t="str">
        <f>IF(E164=1,"",IF(OR(Orders!T161="Rider unavailable",Orders!T161="Item unavailable"),"Company-caused","Unresolved"))</f>
        <v/>
      </c>
      <c r="J164" s="33">
        <f>IF(OR(E164=1,I164="Company-caused"),1,0)</f>
        <v>1</v>
      </c>
      <c r="K164" s="32" t="str">
        <f>IF(E164=0,IF(I164="Company-caused",IF(Orders!T161="Rider unavailable","C1 Rider unavailable","C2 Item unavailable"),"Outside root: unresolved"),IF(G164=0,"A On time",IF(H164=1,IF(L164=1,"B2a Severe, peak","B2b Severe, off-peak"),IF(L164=1,"B1a Slight, peak","B1b Slight, off-peak"))))</f>
        <v>B2b Severe, off-peak</v>
      </c>
      <c r="L164" s="33">
        <f>IF(AND(Orders!U161&gt;=19,Orders!U161&lt;22),1,0)</f>
        <v>0</v>
      </c>
      <c r="M164" s="33">
        <f>IF(L164=IF(Orders!V161,1,0),1,0)</f>
        <v>1</v>
      </c>
      <c r="N164" s="32" t="str">
        <f>IF(Orders!W161="","None",Orders!W161)</f>
        <v>Light</v>
      </c>
      <c r="O164" s="35">
        <f>INT(Orders!E161)</f>
        <v>46271.0</v>
      </c>
      <c r="P164" s="33">
        <f>Orders!U161</f>
        <v>8</v>
      </c>
      <c r="Q164" s="33">
        <f>COUNTIFS(Demand!$A$2:$A$4481,B164,Demand!$B$2:$B$4481,O164,Demand!$C$2:$C$4481,P164)</f>
        <v>1</v>
      </c>
      <c r="R164" s="33">
        <f>IF(Q164=1,SUMIFS(Demand!$E$2:$E$4481,Demand!$A$2:$A$4481,B164,Demand!$B$2:$B$4481,O164,Demand!$C$2:$C$4481,P164),"")</f>
        <v>24</v>
      </c>
      <c r="S164" s="33">
        <f>INDEX(Stores!$G$2:$G$21,MATCH(B164,Stores!$A$2:$A$21,0))</f>
        <v>22</v>
      </c>
      <c r="T164" s="34">
        <f>IF(R164="","",R164/S164)</f>
        <v>1.09090909090909</v>
      </c>
      <c r="U164" s="34">
        <f>IF(E164=1,T164,"")</f>
        <v>1.09090909090909</v>
      </c>
      <c r="V164" s="34">
        <f>IF(AND(E164=1,L164=0),T164,"")</f>
        <v>1.09090909090909</v>
      </c>
      <c r="W164" s="33">
        <f>IF(U164="","",IF(U164&lt;=Breakdowns!$C$5,1,IF(U164&lt;=Breakdowns!$C$6,2,IF(U164&lt;=Breakdowns!$C$7,3,4))))</f>
        <v>3</v>
      </c>
      <c r="X164" s="33">
        <f>IF(V164="","",IF(V164&lt;=Breakdowns!$D$5,1,IF(V164&lt;=Breakdowns!$D$6,2,IF(V164&lt;=Breakdowns!$D$7,3,4))))</f>
        <v>4</v>
      </c>
      <c r="Y164" s="34">
        <f>INDEX(Stores!$F$2:$F$21,MATCH(B164,Stores!$A$2:$A$21,0))</f>
        <v>4.99</v>
      </c>
      <c r="Z164" s="33">
        <f>IF(Y164&gt;Store_Summary!$M$2,1,0)</f>
        <v>1</v>
      </c>
      <c r="AA164" s="33">
        <f>INDEX(Stores!$C$2:$C$21,MATCH(B164,Stores!$A$2:$A$21,0))</f>
        <v>851</v>
      </c>
      <c r="AB164" s="33">
        <f>IF(AA164&lt;180,1,0)</f>
        <v>0</v>
      </c>
      <c r="AC164" s="32" t="str">
        <f>IF(Orders!D161="","",INDEX(Riders!$C$2:$C$81,MATCH(Orders!D161,Riders!$A$2:$A$81,0)))</f>
        <v>EV scooter</v>
      </c>
      <c r="AD164" s="33">
        <f>IF(Orders!D161="","",INDEX(Riders!$D$2:$D$81,MATCH(Orders!D161,Riders!$A$2:$A$81,0)))</f>
        <v>33</v>
      </c>
      <c r="AE164" s="33">
        <f>IF(Orders!D161="","",IF(INDEX(Riders!$B$2:$B$81,MATCH(Orders!D161,Riders!$A$2:$A$81,0))=B164,1,0))</f>
        <v>0</v>
      </c>
      <c r="AF164" s="34">
        <f>IF(E164=1,Orders!L161,"")</f>
        <v>2.5</v>
      </c>
      <c r="AG164" s="34">
        <f>IF(E164=1,Orders!P161,"")</f>
        <v>12.1</v>
      </c>
      <c r="AH164" s="34">
        <f>IF(E164=1,Orders!Q161,"")</f>
        <v>17.8</v>
      </c>
      <c r="AI164" s="34">
        <f>IF(E164=1,Orders!M161,"")</f>
        <v>4.7</v>
      </c>
      <c r="AJ164" s="34">
        <f>IF(E164=1,Orders!N161,"")</f>
        <v>5.7</v>
      </c>
      <c r="AK164" s="34">
        <f>IF(E164=1,Orders!O161,"")</f>
        <v>7.4</v>
      </c>
      <c r="AL164" s="33">
        <f>IF(E164=1,IF(ROUND(ABS(AI164+AJ164+AK164-AH164),6)&lt;=0.1,1,0),"")</f>
        <v>1</v>
      </c>
      <c r="AM164" s="36">
        <f>IF(E164=1,AI164/AH164,"")</f>
        <v>0.264044943820225</v>
      </c>
      <c r="AN164" s="36">
        <f>IF(E164=1,AJ164/AH164,"")</f>
        <v>0.320224719101124</v>
      </c>
      <c r="AO164" s="36">
        <f>IF(E164=1,AK164/AH164,"")</f>
        <v>0.415730337078652</v>
      </c>
      <c r="AP164" s="34">
        <f>IF(E164=1,Orders!Y161,"")</f>
        <v>0.47</v>
      </c>
      <c r="AQ164" s="33">
        <f>IF(Orders!X161,1,0)</f>
        <v>0</v>
      </c>
      <c r="AR164" s="34" t="str">
        <f>IF(AND(E164=1,L164=1),AJ164,"")</f>
        <v/>
      </c>
      <c r="AS164" s="34">
        <f>IF(AND(E164=1,L164=0),AJ164,"")</f>
        <v>5.7</v>
      </c>
      <c r="AT164" s="34" t="str">
        <f>IF(AND(E164=1,L164=1),AI164,"")</f>
        <v/>
      </c>
      <c r="AU164" s="34">
        <f>IF(AND(E164=1,L164=0),AI164,"")</f>
        <v>4.7</v>
      </c>
      <c r="AV164" s="34" t="str">
        <f>IF(AND(E164=1,L164=1),AG164,"")</f>
        <v/>
      </c>
      <c r="AW164" s="34">
        <f>IF(AND(E164=1,L164=0),AG164,"")</f>
        <v>12.1</v>
      </c>
      <c r="AX164" s="34" t="str">
        <f>IF(AND(E164=1,L164=1),AH164,"")</f>
        <v/>
      </c>
      <c r="AY164" s="34">
        <f>IF(AND(E164=1,L164=0),AH164,"")</f>
        <v>17.8</v>
      </c>
      <c r="AZ164" s="34">
        <f>IF(G164=1,F164,"")</f>
        <v>5.7</v>
      </c>
      <c r="BA164" s="34" t="str">
        <f>IF(AND(G164=1,L164=1),F164,"")</f>
        <v/>
      </c>
      <c r="BB164" s="34">
        <f>IF(AND(G164=1,L164=0),F164,"")</f>
        <v>5.7</v>
      </c>
      <c r="BC164" s="33">
        <f>IF(E164=1,IF(Orders!R161&gt;3,1,0),"")</f>
        <v>1</v>
      </c>
      <c r="BD164" s="33">
        <f>IF(E164=1,IF(Orders!R161&gt;7,1,0),"")</f>
        <v>0</v>
      </c>
      <c r="BE164" s="32" t="str">
        <f>IF(E164=1,IF(Orders!L161&lt;=1.5,"Up to 1.5 km",IF(Orders!L161&lt;=3,"1.5–3 km","Over 3 km")),"")</f>
        <v>1.5–3 km</v>
      </c>
      <c r="BF164" s="33">
        <f>IF(E164=1,IF(ABS((Orders!G161-Orders!F161)*1440-Orders!R161)&lt;0.06,1,0),"")</f>
        <v>1</v>
      </c>
      <c r="BG164" s="33">
        <f>IF(ABS((Orders!F161-Orders!E161)*1440-Orders!P161)&lt;0.06,1,0)</f>
        <v>1</v>
      </c>
      <c r="BH164" s="33">
        <f>IF(E164=1,IF(IF(Orders!S161,1,0)=1-G164,1,0),"")</f>
        <v>1</v>
      </c>
      <c r="BI164" s="32" t="str">
        <f>INDEX(Stores!$B$2:$B$21,MATCH(B164,Stores!$A$2:$A$21,0))</f>
        <v>Pune</v>
      </c>
    </row>
    <row r="165">
      <c r="A165" s="32" t="str">
        <f>Orders!A162</f>
        <v>O00161</v>
      </c>
      <c r="B165" s="32" t="str">
        <f>Orders!C162</f>
        <v>S015</v>
      </c>
      <c r="C165" s="32" t="str">
        <f>Orders!B162</f>
        <v>C0198</v>
      </c>
      <c r="D165" s="32" t="str">
        <f>Orders!H162</f>
        <v>Delivered</v>
      </c>
      <c r="E165" s="33">
        <f>IF(Orders!H162="Delivered",1,0)</f>
        <v>1</v>
      </c>
      <c r="F165" s="34">
        <f>IF(E165=1,Orders!R162,"")</f>
        <v>-0.8</v>
      </c>
      <c r="G165" s="33">
        <f>IF(E165=1,IF(Orders!R162&gt;0,1,0),"")</f>
        <v>0</v>
      </c>
      <c r="H165" s="33">
        <f>IF(E165=1,IF(Orders!R162&gt;5,1,0),"")</f>
        <v>0</v>
      </c>
      <c r="I165" s="32" t="str">
        <f>IF(E165=1,"",IF(OR(Orders!T162="Rider unavailable",Orders!T162="Item unavailable"),"Company-caused","Unresolved"))</f>
        <v/>
      </c>
      <c r="J165" s="33">
        <f>IF(OR(E165=1,I165="Company-caused"),1,0)</f>
        <v>1</v>
      </c>
      <c r="K165" s="32" t="str">
        <f>IF(E165=0,IF(I165="Company-caused",IF(Orders!T162="Rider unavailable","C1 Rider unavailable","C2 Item unavailable"),"Outside root: unresolved"),IF(G165=0,"A On time",IF(H165=1,IF(L165=1,"B2a Severe, peak","B2b Severe, off-peak"),IF(L165=1,"B1a Slight, peak","B1b Slight, off-peak"))))</f>
        <v>A On time</v>
      </c>
      <c r="L165" s="33">
        <f>IF(AND(Orders!U162&gt;=19,Orders!U162&lt;22),1,0)</f>
        <v>0</v>
      </c>
      <c r="M165" s="33">
        <f>IF(L165=IF(Orders!V162,1,0),1,0)</f>
        <v>1</v>
      </c>
      <c r="N165" s="32" t="str">
        <f>IF(Orders!W162="","None",Orders!W162)</f>
        <v>None</v>
      </c>
      <c r="O165" s="35">
        <f>INT(Orders!E162)</f>
        <v>46269.0</v>
      </c>
      <c r="P165" s="33">
        <f>Orders!U162</f>
        <v>9</v>
      </c>
      <c r="Q165" s="33">
        <f>COUNTIFS(Demand!$A$2:$A$4481,B165,Demand!$B$2:$B$4481,O165,Demand!$C$2:$C$4481,P165)</f>
        <v>1</v>
      </c>
      <c r="R165" s="33">
        <f>IF(Q165=1,SUMIFS(Demand!$E$2:$E$4481,Demand!$A$2:$A$4481,B165,Demand!$B$2:$B$4481,O165,Demand!$C$2:$C$4481,P165),"")</f>
        <v>17</v>
      </c>
      <c r="S165" s="33">
        <f>INDEX(Stores!$G$2:$G$21,MATCH(B165,Stores!$A$2:$A$21,0))</f>
        <v>23</v>
      </c>
      <c r="T165" s="34">
        <f>IF(R165="","",R165/S165)</f>
        <v>0.739130434782609</v>
      </c>
      <c r="U165" s="34">
        <f>IF(E165=1,T165,"")</f>
        <v>0.739130434782609</v>
      </c>
      <c r="V165" s="34">
        <f>IF(AND(E165=1,L165=0),T165,"")</f>
        <v>0.739130434782609</v>
      </c>
      <c r="W165" s="33">
        <f>IF(U165="","",IF(U165&lt;=Breakdowns!$C$5,1,IF(U165&lt;=Breakdowns!$C$6,2,IF(U165&lt;=Breakdowns!$C$7,3,4))))</f>
        <v>1</v>
      </c>
      <c r="X165" s="33">
        <f>IF(V165="","",IF(V165&lt;=Breakdowns!$D$5,1,IF(V165&lt;=Breakdowns!$D$6,2,IF(V165&lt;=Breakdowns!$D$7,3,4))))</f>
        <v>1</v>
      </c>
      <c r="Y165" s="34">
        <f>INDEX(Stores!$F$2:$F$21,MATCH(B165,Stores!$A$2:$A$21,0))</f>
        <v>4.66</v>
      </c>
      <c r="Z165" s="33">
        <f>IF(Y165&gt;Store_Summary!$M$2,1,0)</f>
        <v>0</v>
      </c>
      <c r="AA165" s="33">
        <f>INDEX(Stores!$C$2:$C$21,MATCH(B165,Stores!$A$2:$A$21,0))</f>
        <v>204</v>
      </c>
      <c r="AB165" s="33">
        <f>IF(AA165&lt;180,1,0)</f>
        <v>0</v>
      </c>
      <c r="AC165" s="32" t="str">
        <f>IF(Orders!D162="","",INDEX(Riders!$C$2:$C$81,MATCH(Orders!D162,Riders!$A$2:$A$81,0)))</f>
        <v>Petrol scooter</v>
      </c>
      <c r="AD165" s="33">
        <f>IF(Orders!D162="","",INDEX(Riders!$D$2:$D$81,MATCH(Orders!D162,Riders!$A$2:$A$81,0)))</f>
        <v>11</v>
      </c>
      <c r="AE165" s="33">
        <f>IF(Orders!D162="","",IF(INDEX(Riders!$B$2:$B$81,MATCH(Orders!D162,Riders!$A$2:$A$81,0))=B165,1,0))</f>
        <v>0</v>
      </c>
      <c r="AF165" s="34">
        <f>IF(E165=1,Orders!L162,"")</f>
        <v>1.63</v>
      </c>
      <c r="AG165" s="34">
        <f>IF(E165=1,Orders!P162,"")</f>
        <v>10.3</v>
      </c>
      <c r="AH165" s="34">
        <f>IF(E165=1,Orders!Q162,"")</f>
        <v>9.5</v>
      </c>
      <c r="AI165" s="34">
        <f>IF(E165=1,Orders!M162,"")</f>
        <v>4.7</v>
      </c>
      <c r="AJ165" s="34">
        <f>IF(E165=1,Orders!N162,"")</f>
        <v>0.8</v>
      </c>
      <c r="AK165" s="34">
        <f>IF(E165=1,Orders!O162,"")</f>
        <v>4</v>
      </c>
      <c r="AL165" s="33">
        <f>IF(E165=1,IF(ROUND(ABS(AI165+AJ165+AK165-AH165),6)&lt;=0.1,1,0),"")</f>
        <v>1</v>
      </c>
      <c r="AM165" s="36">
        <f>IF(E165=1,AI165/AH165,"")</f>
        <v>0.494736842105263</v>
      </c>
      <c r="AN165" s="36">
        <f>IF(E165=1,AJ165/AH165,"")</f>
        <v>0.0842105263157895</v>
      </c>
      <c r="AO165" s="36">
        <f>IF(E165=1,AK165/AH165,"")</f>
        <v>0.421052631578947</v>
      </c>
      <c r="AP165" s="34">
        <f>IF(E165=1,Orders!Y162,"")</f>
        <v>0.21</v>
      </c>
      <c r="AQ165" s="33">
        <f>IF(Orders!X162,1,0)</f>
        <v>0</v>
      </c>
      <c r="AR165" s="34" t="str">
        <f>IF(AND(E165=1,L165=1),AJ165,"")</f>
        <v/>
      </c>
      <c r="AS165" s="34">
        <f>IF(AND(E165=1,L165=0),AJ165,"")</f>
        <v>0.8</v>
      </c>
      <c r="AT165" s="34" t="str">
        <f>IF(AND(E165=1,L165=1),AI165,"")</f>
        <v/>
      </c>
      <c r="AU165" s="34">
        <f>IF(AND(E165=1,L165=0),AI165,"")</f>
        <v>4.7</v>
      </c>
      <c r="AV165" s="34" t="str">
        <f>IF(AND(E165=1,L165=1),AG165,"")</f>
        <v/>
      </c>
      <c r="AW165" s="34">
        <f>IF(AND(E165=1,L165=0),AG165,"")</f>
        <v>10.3</v>
      </c>
      <c r="AX165" s="34" t="str">
        <f>IF(AND(E165=1,L165=1),AH165,"")</f>
        <v/>
      </c>
      <c r="AY165" s="34">
        <f>IF(AND(E165=1,L165=0),AH165,"")</f>
        <v>9.5</v>
      </c>
      <c r="AZ165" s="34" t="str">
        <f>IF(G165=1,F165,"")</f>
        <v/>
      </c>
      <c r="BA165" s="34" t="str">
        <f>IF(AND(G165=1,L165=1),F165,"")</f>
        <v/>
      </c>
      <c r="BB165" s="34" t="str">
        <f>IF(AND(G165=1,L165=0),F165,"")</f>
        <v/>
      </c>
      <c r="BC165" s="33">
        <f>IF(E165=1,IF(Orders!R162&gt;3,1,0),"")</f>
        <v>0</v>
      </c>
      <c r="BD165" s="33">
        <f>IF(E165=1,IF(Orders!R162&gt;7,1,0),"")</f>
        <v>0</v>
      </c>
      <c r="BE165" s="32" t="str">
        <f>IF(E165=1,IF(Orders!L162&lt;=1.5,"Up to 1.5 km",IF(Orders!L162&lt;=3,"1.5–3 km","Over 3 km")),"")</f>
        <v>1.5–3 km</v>
      </c>
      <c r="BF165" s="33">
        <f>IF(E165=1,IF(ABS((Orders!G162-Orders!F162)*1440-Orders!R162)&lt;0.06,1,0),"")</f>
        <v>1</v>
      </c>
      <c r="BG165" s="33">
        <f>IF(ABS((Orders!F162-Orders!E162)*1440-Orders!P162)&lt;0.06,1,0)</f>
        <v>1</v>
      </c>
      <c r="BH165" s="33">
        <f>IF(E165=1,IF(IF(Orders!S162,1,0)=1-G165,1,0),"")</f>
        <v>1</v>
      </c>
      <c r="BI165" s="32" t="str">
        <f>INDEX(Stores!$B$2:$B$21,MATCH(B165,Stores!$A$2:$A$21,0))</f>
        <v>Delhi</v>
      </c>
    </row>
    <row r="166">
      <c r="A166" s="32" t="str">
        <f>Orders!A163</f>
        <v>O00162</v>
      </c>
      <c r="B166" s="32" t="str">
        <f>Orders!C163</f>
        <v>S004</v>
      </c>
      <c r="C166" s="32" t="str">
        <f>Orders!B163</f>
        <v>C0123</v>
      </c>
      <c r="D166" s="32" t="str">
        <f>Orders!H163</f>
        <v>Delivered</v>
      </c>
      <c r="E166" s="33">
        <f>IF(Orders!H163="Delivered",1,0)</f>
        <v>1</v>
      </c>
      <c r="F166" s="34">
        <f>IF(E166=1,Orders!R163,"")</f>
        <v>-0.7</v>
      </c>
      <c r="G166" s="33">
        <f>IF(E166=1,IF(Orders!R163&gt;0,1,0),"")</f>
        <v>0</v>
      </c>
      <c r="H166" s="33">
        <f>IF(E166=1,IF(Orders!R163&gt;5,1,0),"")</f>
        <v>0</v>
      </c>
      <c r="I166" s="32" t="str">
        <f>IF(E166=1,"",IF(OR(Orders!T163="Rider unavailable",Orders!T163="Item unavailable"),"Company-caused","Unresolved"))</f>
        <v/>
      </c>
      <c r="J166" s="33">
        <f>IF(OR(E166=1,I166="Company-caused"),1,0)</f>
        <v>1</v>
      </c>
      <c r="K166" s="32" t="str">
        <f>IF(E166=0,IF(I166="Company-caused",IF(Orders!T163="Rider unavailable","C1 Rider unavailable","C2 Item unavailable"),"Outside root: unresolved"),IF(G166=0,"A On time",IF(H166=1,IF(L166=1,"B2a Severe, peak","B2b Severe, off-peak"),IF(L166=1,"B1a Slight, peak","B1b Slight, off-peak"))))</f>
        <v>A On time</v>
      </c>
      <c r="L166" s="33">
        <f>IF(AND(Orders!U163&gt;=19,Orders!U163&lt;22),1,0)</f>
        <v>0</v>
      </c>
      <c r="M166" s="33">
        <f>IF(L166=IF(Orders!V163,1,0),1,0)</f>
        <v>1</v>
      </c>
      <c r="N166" s="32" t="str">
        <f>IF(Orders!W163="","None",Orders!W163)</f>
        <v>Light</v>
      </c>
      <c r="O166" s="35">
        <f>INT(Orders!E163)</f>
        <v>46270.0</v>
      </c>
      <c r="P166" s="33">
        <f>Orders!U163</f>
        <v>9</v>
      </c>
      <c r="Q166" s="33">
        <f>COUNTIFS(Demand!$A$2:$A$4481,B166,Demand!$B$2:$B$4481,O166,Demand!$C$2:$C$4481,P166)</f>
        <v>1</v>
      </c>
      <c r="R166" s="33">
        <f>IF(Q166=1,SUMIFS(Demand!$E$2:$E$4481,Demand!$A$2:$A$4481,B166,Demand!$B$2:$B$4481,O166,Demand!$C$2:$C$4481,P166),"")</f>
        <v>30</v>
      </c>
      <c r="S166" s="33">
        <f>INDEX(Stores!$G$2:$G$21,MATCH(B166,Stores!$A$2:$A$21,0))</f>
        <v>42</v>
      </c>
      <c r="T166" s="34">
        <f>IF(R166="","",R166/S166)</f>
        <v>0.714285714285714</v>
      </c>
      <c r="U166" s="34">
        <f>IF(E166=1,T166,"")</f>
        <v>0.714285714285714</v>
      </c>
      <c r="V166" s="34">
        <f>IF(AND(E166=1,L166=0),T166,"")</f>
        <v>0.714285714285714</v>
      </c>
      <c r="W166" s="33">
        <f>IF(U166="","",IF(U166&lt;=Breakdowns!$C$5,1,IF(U166&lt;=Breakdowns!$C$6,2,IF(U166&lt;=Breakdowns!$C$7,3,4))))</f>
        <v>1</v>
      </c>
      <c r="X166" s="33">
        <f>IF(V166="","",IF(V166&lt;=Breakdowns!$D$5,1,IF(V166&lt;=Breakdowns!$D$6,2,IF(V166&lt;=Breakdowns!$D$7,3,4))))</f>
        <v>1</v>
      </c>
      <c r="Y166" s="34">
        <f>INDEX(Stores!$F$2:$F$21,MATCH(B166,Stores!$A$2:$A$21,0))</f>
        <v>2.19</v>
      </c>
      <c r="Z166" s="33">
        <f>IF(Y166&gt;Store_Summary!$M$2,1,0)</f>
        <v>0</v>
      </c>
      <c r="AA166" s="33">
        <f>INDEX(Stores!$C$2:$C$21,MATCH(B166,Stores!$A$2:$A$21,0))</f>
        <v>850</v>
      </c>
      <c r="AB166" s="33">
        <f>IF(AA166&lt;180,1,0)</f>
        <v>0</v>
      </c>
      <c r="AC166" s="32" t="str">
        <f>IF(Orders!D163="","",INDEX(Riders!$C$2:$C$81,MATCH(Orders!D163,Riders!$A$2:$A$81,0)))</f>
        <v>EV scooter</v>
      </c>
      <c r="AD166" s="33">
        <f>IF(Orders!D163="","",INDEX(Riders!$D$2:$D$81,MATCH(Orders!D163,Riders!$A$2:$A$81,0)))</f>
        <v>37</v>
      </c>
      <c r="AE166" s="33">
        <f>IF(Orders!D163="","",IF(INDEX(Riders!$B$2:$B$81,MATCH(Orders!D163,Riders!$A$2:$A$81,0))=B166,1,0))</f>
        <v>0</v>
      </c>
      <c r="AF166" s="34">
        <f>IF(E166=1,Orders!L163,"")</f>
        <v>2</v>
      </c>
      <c r="AG166" s="34">
        <f>IF(E166=1,Orders!P163,"")</f>
        <v>10.2</v>
      </c>
      <c r="AH166" s="34">
        <f>IF(E166=1,Orders!Q163,"")</f>
        <v>9.5</v>
      </c>
      <c r="AI166" s="34">
        <f>IF(E166=1,Orders!M163,"")</f>
        <v>3.6</v>
      </c>
      <c r="AJ166" s="34">
        <f>IF(E166=1,Orders!N163,"")</f>
        <v>1</v>
      </c>
      <c r="AK166" s="34">
        <f>IF(E166=1,Orders!O163,"")</f>
        <v>4.9</v>
      </c>
      <c r="AL166" s="33">
        <f>IF(E166=1,IF(ROUND(ABS(AI166+AJ166+AK166-AH166),6)&lt;=0.1,1,0),"")</f>
        <v>1</v>
      </c>
      <c r="AM166" s="36">
        <f>IF(E166=1,AI166/AH166,"")</f>
        <v>0.378947368421053</v>
      </c>
      <c r="AN166" s="36">
        <f>IF(E166=1,AJ166/AH166,"")</f>
        <v>0.105263157894737</v>
      </c>
      <c r="AO166" s="36">
        <f>IF(E166=1,AK166/AH166,"")</f>
        <v>0.515789473684211</v>
      </c>
      <c r="AP166" s="34">
        <f>IF(E166=1,Orders!Y163,"")</f>
        <v>0.35</v>
      </c>
      <c r="AQ166" s="33">
        <f>IF(Orders!X163,1,0)</f>
        <v>0</v>
      </c>
      <c r="AR166" s="34" t="str">
        <f>IF(AND(E166=1,L166=1),AJ166,"")</f>
        <v/>
      </c>
      <c r="AS166" s="34">
        <f>IF(AND(E166=1,L166=0),AJ166,"")</f>
        <v>1</v>
      </c>
      <c r="AT166" s="34" t="str">
        <f>IF(AND(E166=1,L166=1),AI166,"")</f>
        <v/>
      </c>
      <c r="AU166" s="34">
        <f>IF(AND(E166=1,L166=0),AI166,"")</f>
        <v>3.6</v>
      </c>
      <c r="AV166" s="34" t="str">
        <f>IF(AND(E166=1,L166=1),AG166,"")</f>
        <v/>
      </c>
      <c r="AW166" s="34">
        <f>IF(AND(E166=1,L166=0),AG166,"")</f>
        <v>10.2</v>
      </c>
      <c r="AX166" s="34" t="str">
        <f>IF(AND(E166=1,L166=1),AH166,"")</f>
        <v/>
      </c>
      <c r="AY166" s="34">
        <f>IF(AND(E166=1,L166=0),AH166,"")</f>
        <v>9.5</v>
      </c>
      <c r="AZ166" s="34" t="str">
        <f>IF(G166=1,F166,"")</f>
        <v/>
      </c>
      <c r="BA166" s="34" t="str">
        <f>IF(AND(G166=1,L166=1),F166,"")</f>
        <v/>
      </c>
      <c r="BB166" s="34" t="str">
        <f>IF(AND(G166=1,L166=0),F166,"")</f>
        <v/>
      </c>
      <c r="BC166" s="33">
        <f>IF(E166=1,IF(Orders!R163&gt;3,1,0),"")</f>
        <v>0</v>
      </c>
      <c r="BD166" s="33">
        <f>IF(E166=1,IF(Orders!R163&gt;7,1,0),"")</f>
        <v>0</v>
      </c>
      <c r="BE166" s="32" t="str">
        <f>IF(E166=1,IF(Orders!L163&lt;=1.5,"Up to 1.5 km",IF(Orders!L163&lt;=3,"1.5–3 km","Over 3 km")),"")</f>
        <v>1.5–3 km</v>
      </c>
      <c r="BF166" s="33">
        <f>IF(E166=1,IF(ABS((Orders!G163-Orders!F163)*1440-Orders!R163)&lt;0.06,1,0),"")</f>
        <v>1</v>
      </c>
      <c r="BG166" s="33">
        <f>IF(ABS((Orders!F163-Orders!E163)*1440-Orders!P163)&lt;0.06,1,0)</f>
        <v>1</v>
      </c>
      <c r="BH166" s="33">
        <f>IF(E166=1,IF(IF(Orders!S163,1,0)=1-G166,1,0),"")</f>
        <v>1</v>
      </c>
      <c r="BI166" s="32" t="str">
        <f>INDEX(Stores!$B$2:$B$21,MATCH(B166,Stores!$A$2:$A$21,0))</f>
        <v>Pune</v>
      </c>
    </row>
    <row r="167">
      <c r="A167" s="32" t="str">
        <f>Orders!A164</f>
        <v>O00163</v>
      </c>
      <c r="B167" s="32" t="str">
        <f>Orders!C164</f>
        <v>S003</v>
      </c>
      <c r="C167" s="32" t="str">
        <f>Orders!B164</f>
        <v>C0250</v>
      </c>
      <c r="D167" s="32" t="str">
        <f>Orders!H164</f>
        <v>Delivered</v>
      </c>
      <c r="E167" s="33">
        <f>IF(Orders!H164="Delivered",1,0)</f>
        <v>1</v>
      </c>
      <c r="F167" s="34">
        <f>IF(E167=1,Orders!R164,"")</f>
        <v>-0.8</v>
      </c>
      <c r="G167" s="33">
        <f>IF(E167=1,IF(Orders!R164&gt;0,1,0),"")</f>
        <v>0</v>
      </c>
      <c r="H167" s="33">
        <f>IF(E167=1,IF(Orders!R164&gt;5,1,0),"")</f>
        <v>0</v>
      </c>
      <c r="I167" s="32" t="str">
        <f>IF(E167=1,"",IF(OR(Orders!T164="Rider unavailable",Orders!T164="Item unavailable"),"Company-caused","Unresolved"))</f>
        <v/>
      </c>
      <c r="J167" s="33">
        <f>IF(OR(E167=1,I167="Company-caused"),1,0)</f>
        <v>1</v>
      </c>
      <c r="K167" s="32" t="str">
        <f>IF(E167=0,IF(I167="Company-caused",IF(Orders!T164="Rider unavailable","C1 Rider unavailable","C2 Item unavailable"),"Outside root: unresolved"),IF(G167=0,"A On time",IF(H167=1,IF(L167=1,"B2a Severe, peak","B2b Severe, off-peak"),IF(L167=1,"B1a Slight, peak","B1b Slight, off-peak"))))</f>
        <v>A On time</v>
      </c>
      <c r="L167" s="33">
        <f>IF(AND(Orders!U164&gt;=19,Orders!U164&lt;22),1,0)</f>
        <v>1</v>
      </c>
      <c r="M167" s="33">
        <f>IF(L167=IF(Orders!V164,1,0),1,0)</f>
        <v>1</v>
      </c>
      <c r="N167" s="32" t="str">
        <f>IF(Orders!W164="","None",Orders!W164)</f>
        <v>None</v>
      </c>
      <c r="O167" s="35">
        <f>INT(Orders!E164)</f>
        <v>46277.0</v>
      </c>
      <c r="P167" s="33">
        <f>Orders!U164</f>
        <v>19</v>
      </c>
      <c r="Q167" s="33">
        <f>COUNTIFS(Demand!$A$2:$A$4481,B167,Demand!$B$2:$B$4481,O167,Demand!$C$2:$C$4481,P167)</f>
        <v>1</v>
      </c>
      <c r="R167" s="33">
        <f>IF(Q167=1,SUMIFS(Demand!$E$2:$E$4481,Demand!$A$2:$A$4481,B167,Demand!$B$2:$B$4481,O167,Demand!$C$2:$C$4481,P167),"")</f>
        <v>79</v>
      </c>
      <c r="S167" s="33">
        <f>INDEX(Stores!$G$2:$G$21,MATCH(B167,Stores!$A$2:$A$21,0))</f>
        <v>41</v>
      </c>
      <c r="T167" s="34">
        <f>IF(R167="","",R167/S167)</f>
        <v>1.92682926829268</v>
      </c>
      <c r="U167" s="34">
        <f>IF(E167=1,T167,"")</f>
        <v>1.92682926829268</v>
      </c>
      <c r="V167" s="34" t="str">
        <f>IF(AND(E167=1,L167=0),T167,"")</f>
        <v/>
      </c>
      <c r="W167" s="33">
        <f>IF(U167="","",IF(U167&lt;=Breakdowns!$C$5,1,IF(U167&lt;=Breakdowns!$C$6,2,IF(U167&lt;=Breakdowns!$C$7,3,4))))</f>
        <v>4</v>
      </c>
      <c r="X167" s="33" t="str">
        <f>IF(V167="","",IF(V167&lt;=Breakdowns!$D$5,1,IF(V167&lt;=Breakdowns!$D$6,2,IF(V167&lt;=Breakdowns!$D$7,3,4))))</f>
        <v/>
      </c>
      <c r="Y167" s="34">
        <f>INDEX(Stores!$F$2:$F$21,MATCH(B167,Stores!$A$2:$A$21,0))</f>
        <v>3.84</v>
      </c>
      <c r="Z167" s="33">
        <f>IF(Y167&gt;Store_Summary!$M$2,1,0)</f>
        <v>0</v>
      </c>
      <c r="AA167" s="33">
        <f>INDEX(Stores!$C$2:$C$21,MATCH(B167,Stores!$A$2:$A$21,0))</f>
        <v>426</v>
      </c>
      <c r="AB167" s="33">
        <f>IF(AA167&lt;180,1,0)</f>
        <v>0</v>
      </c>
      <c r="AC167" s="32" t="str">
        <f>IF(Orders!D164="","",INDEX(Riders!$C$2:$C$81,MATCH(Orders!D164,Riders!$A$2:$A$81,0)))</f>
        <v>Petrol scooter</v>
      </c>
      <c r="AD167" s="33">
        <f>IF(Orders!D164="","",INDEX(Riders!$D$2:$D$81,MATCH(Orders!D164,Riders!$A$2:$A$81,0)))</f>
        <v>40</v>
      </c>
      <c r="AE167" s="33">
        <f>IF(Orders!D164="","",IF(INDEX(Riders!$B$2:$B$81,MATCH(Orders!D164,Riders!$A$2:$A$81,0))=B167,1,0))</f>
        <v>0</v>
      </c>
      <c r="AF167" s="34">
        <f>IF(E167=1,Orders!L164,"")</f>
        <v>1.42</v>
      </c>
      <c r="AG167" s="34">
        <f>IF(E167=1,Orders!P164,"")</f>
        <v>10.7</v>
      </c>
      <c r="AH167" s="34">
        <f>IF(E167=1,Orders!Q164,"")</f>
        <v>9.9</v>
      </c>
      <c r="AI167" s="34">
        <f>IF(E167=1,Orders!M164,"")</f>
        <v>3.1</v>
      </c>
      <c r="AJ167" s="34">
        <f>IF(E167=1,Orders!N164,"")</f>
        <v>4.2</v>
      </c>
      <c r="AK167" s="34">
        <f>IF(E167=1,Orders!O164,"")</f>
        <v>2.6</v>
      </c>
      <c r="AL167" s="33">
        <f>IF(E167=1,IF(ROUND(ABS(AI167+AJ167+AK167-AH167),6)&lt;=0.1,1,0),"")</f>
        <v>1</v>
      </c>
      <c r="AM167" s="36">
        <f>IF(E167=1,AI167/AH167,"")</f>
        <v>0.313131313131313</v>
      </c>
      <c r="AN167" s="36">
        <f>IF(E167=1,AJ167/AH167,"")</f>
        <v>0.424242424242424</v>
      </c>
      <c r="AO167" s="36">
        <f>IF(E167=1,AK167/AH167,"")</f>
        <v>0.262626262626263</v>
      </c>
      <c r="AP167" s="34">
        <f>IF(E167=1,Orders!Y164,"")</f>
        <v>0.34</v>
      </c>
      <c r="AQ167" s="33">
        <f>IF(Orders!X164,1,0)</f>
        <v>0</v>
      </c>
      <c r="AR167" s="34">
        <f>IF(AND(E167=1,L167=1),AJ167,"")</f>
        <v>4.2</v>
      </c>
      <c r="AS167" s="34" t="str">
        <f>IF(AND(E167=1,L167=0),AJ167,"")</f>
        <v/>
      </c>
      <c r="AT167" s="34">
        <f>IF(AND(E167=1,L167=1),AI167,"")</f>
        <v>3.1</v>
      </c>
      <c r="AU167" s="34" t="str">
        <f>IF(AND(E167=1,L167=0),AI167,"")</f>
        <v/>
      </c>
      <c r="AV167" s="34">
        <f>IF(AND(E167=1,L167=1),AG167,"")</f>
        <v>10.7</v>
      </c>
      <c r="AW167" s="34" t="str">
        <f>IF(AND(E167=1,L167=0),AG167,"")</f>
        <v/>
      </c>
      <c r="AX167" s="34">
        <f>IF(AND(E167=1,L167=1),AH167,"")</f>
        <v>9.9</v>
      </c>
      <c r="AY167" s="34" t="str">
        <f>IF(AND(E167=1,L167=0),AH167,"")</f>
        <v/>
      </c>
      <c r="AZ167" s="34" t="str">
        <f>IF(G167=1,F167,"")</f>
        <v/>
      </c>
      <c r="BA167" s="34" t="str">
        <f>IF(AND(G167=1,L167=1),F167,"")</f>
        <v/>
      </c>
      <c r="BB167" s="34" t="str">
        <f>IF(AND(G167=1,L167=0),F167,"")</f>
        <v/>
      </c>
      <c r="BC167" s="33">
        <f>IF(E167=1,IF(Orders!R164&gt;3,1,0),"")</f>
        <v>0</v>
      </c>
      <c r="BD167" s="33">
        <f>IF(E167=1,IF(Orders!R164&gt;7,1,0),"")</f>
        <v>0</v>
      </c>
      <c r="BE167" s="32" t="str">
        <f>IF(E167=1,IF(Orders!L164&lt;=1.5,"Up to 1.5 km",IF(Orders!L164&lt;=3,"1.5–3 km","Over 3 km")),"")</f>
        <v>Up to 1.5 km</v>
      </c>
      <c r="BF167" s="33">
        <f>IF(E167=1,IF(ABS((Orders!G164-Orders!F164)*1440-Orders!R164)&lt;0.06,1,0),"")</f>
        <v>1</v>
      </c>
      <c r="BG167" s="33">
        <f>IF(ABS((Orders!F164-Orders!E164)*1440-Orders!P164)&lt;0.06,1,0)</f>
        <v>1</v>
      </c>
      <c r="BH167" s="33">
        <f>IF(E167=1,IF(IF(Orders!S164,1,0)=1-G167,1,0),"")</f>
        <v>1</v>
      </c>
      <c r="BI167" s="32" t="str">
        <f>INDEX(Stores!$B$2:$B$21,MATCH(B167,Stores!$A$2:$A$21,0))</f>
        <v>Mumbai</v>
      </c>
    </row>
    <row r="168">
      <c r="A168" s="32" t="str">
        <f>Orders!A165</f>
        <v>O00164</v>
      </c>
      <c r="B168" s="32" t="str">
        <f>Orders!C165</f>
        <v>S011</v>
      </c>
      <c r="C168" s="32" t="str">
        <f>Orders!B165</f>
        <v>C0120</v>
      </c>
      <c r="D168" s="32" t="str">
        <f>Orders!H165</f>
        <v>Delivered</v>
      </c>
      <c r="E168" s="33">
        <f>IF(Orders!H165="Delivered",1,0)</f>
        <v>1</v>
      </c>
      <c r="F168" s="34">
        <f>IF(E168=1,Orders!R165,"")</f>
        <v>-0.5</v>
      </c>
      <c r="G168" s="33">
        <f>IF(E168=1,IF(Orders!R165&gt;0,1,0),"")</f>
        <v>0</v>
      </c>
      <c r="H168" s="33">
        <f>IF(E168=1,IF(Orders!R165&gt;5,1,0),"")</f>
        <v>0</v>
      </c>
      <c r="I168" s="32" t="str">
        <f>IF(E168=1,"",IF(OR(Orders!T165="Rider unavailable",Orders!T165="Item unavailable"),"Company-caused","Unresolved"))</f>
        <v/>
      </c>
      <c r="J168" s="33">
        <f>IF(OR(E168=1,I168="Company-caused"),1,0)</f>
        <v>1</v>
      </c>
      <c r="K168" s="32" t="str">
        <f>IF(E168=0,IF(I168="Company-caused",IF(Orders!T165="Rider unavailable","C1 Rider unavailable","C2 Item unavailable"),"Outside root: unresolved"),IF(G168=0,"A On time",IF(H168=1,IF(L168=1,"B2a Severe, peak","B2b Severe, off-peak"),IF(L168=1,"B1a Slight, peak","B1b Slight, off-peak"))))</f>
        <v>A On time</v>
      </c>
      <c r="L168" s="33">
        <f>IF(AND(Orders!U165&gt;=19,Orders!U165&lt;22),1,0)</f>
        <v>0</v>
      </c>
      <c r="M168" s="33">
        <f>IF(L168=IF(Orders!V165,1,0),1,0)</f>
        <v>1</v>
      </c>
      <c r="N168" s="32" t="str">
        <f>IF(Orders!W165="","None",Orders!W165)</f>
        <v>None</v>
      </c>
      <c r="O168" s="35">
        <f>INT(Orders!E165)</f>
        <v>46271.0</v>
      </c>
      <c r="P168" s="33">
        <f>Orders!U165</f>
        <v>8</v>
      </c>
      <c r="Q168" s="33">
        <f>COUNTIFS(Demand!$A$2:$A$4481,B168,Demand!$B$2:$B$4481,O168,Demand!$C$2:$C$4481,P168)</f>
        <v>1</v>
      </c>
      <c r="R168" s="33">
        <f>IF(Q168=1,SUMIFS(Demand!$E$2:$E$4481,Demand!$A$2:$A$4481,B168,Demand!$B$2:$B$4481,O168,Demand!$C$2:$C$4481,P168),"")</f>
        <v>35</v>
      </c>
      <c r="S168" s="33">
        <f>INDEX(Stores!$G$2:$G$21,MATCH(B168,Stores!$A$2:$A$21,0))</f>
        <v>31</v>
      </c>
      <c r="T168" s="34">
        <f>IF(R168="","",R168/S168)</f>
        <v>1.12903225806452</v>
      </c>
      <c r="U168" s="34">
        <f>IF(E168=1,T168,"")</f>
        <v>1.12903225806452</v>
      </c>
      <c r="V168" s="34">
        <f>IF(AND(E168=1,L168=0),T168,"")</f>
        <v>1.12903225806452</v>
      </c>
      <c r="W168" s="33">
        <f>IF(U168="","",IF(U168&lt;=Breakdowns!$C$5,1,IF(U168&lt;=Breakdowns!$C$6,2,IF(U168&lt;=Breakdowns!$C$7,3,4))))</f>
        <v>3</v>
      </c>
      <c r="X168" s="33">
        <f>IF(V168="","",IF(V168&lt;=Breakdowns!$D$5,1,IF(V168&lt;=Breakdowns!$D$6,2,IF(V168&lt;=Breakdowns!$D$7,3,4))))</f>
        <v>4</v>
      </c>
      <c r="Y168" s="34">
        <f>INDEX(Stores!$F$2:$F$21,MATCH(B168,Stores!$A$2:$A$21,0))</f>
        <v>5.67</v>
      </c>
      <c r="Z168" s="33">
        <f>IF(Y168&gt;Store_Summary!$M$2,1,0)</f>
        <v>1</v>
      </c>
      <c r="AA168" s="33">
        <f>INDEX(Stores!$C$2:$C$21,MATCH(B168,Stores!$A$2:$A$21,0))</f>
        <v>732</v>
      </c>
      <c r="AB168" s="33">
        <f>IF(AA168&lt;180,1,0)</f>
        <v>0</v>
      </c>
      <c r="AC168" s="32" t="str">
        <f>IF(Orders!D165="","",INDEX(Riders!$C$2:$C$81,MATCH(Orders!D165,Riders!$A$2:$A$81,0)))</f>
        <v>EV scooter</v>
      </c>
      <c r="AD168" s="33">
        <f>IF(Orders!D165="","",INDEX(Riders!$D$2:$D$81,MATCH(Orders!D165,Riders!$A$2:$A$81,0)))</f>
        <v>36</v>
      </c>
      <c r="AE168" s="33">
        <f>IF(Orders!D165="","",IF(INDEX(Riders!$B$2:$B$81,MATCH(Orders!D165,Riders!$A$2:$A$81,0))=B168,1,0))</f>
        <v>0</v>
      </c>
      <c r="AF168" s="34">
        <f>IF(E168=1,Orders!L165,"")</f>
        <v>1.27</v>
      </c>
      <c r="AG168" s="34">
        <f>IF(E168=1,Orders!P165,"")</f>
        <v>9.1</v>
      </c>
      <c r="AH168" s="34">
        <f>IF(E168=1,Orders!Q165,"")</f>
        <v>8.6</v>
      </c>
      <c r="AI168" s="34">
        <f>IF(E168=1,Orders!M165,"")</f>
        <v>4</v>
      </c>
      <c r="AJ168" s="34">
        <f>IF(E168=1,Orders!N165,"")</f>
        <v>1.8</v>
      </c>
      <c r="AK168" s="34">
        <f>IF(E168=1,Orders!O165,"")</f>
        <v>2.8</v>
      </c>
      <c r="AL168" s="33">
        <f>IF(E168=1,IF(ROUND(ABS(AI168+AJ168+AK168-AH168),6)&lt;=0.1,1,0),"")</f>
        <v>1</v>
      </c>
      <c r="AM168" s="36">
        <f>IF(E168=1,AI168/AH168,"")</f>
        <v>0.465116279069767</v>
      </c>
      <c r="AN168" s="36">
        <f>IF(E168=1,AJ168/AH168,"")</f>
        <v>0.209302325581395</v>
      </c>
      <c r="AO168" s="36">
        <f>IF(E168=1,AK168/AH168,"")</f>
        <v>0.325581395348837</v>
      </c>
      <c r="AP168" s="34">
        <f>IF(E168=1,Orders!Y165,"")</f>
        <v>0.71</v>
      </c>
      <c r="AQ168" s="33">
        <f>IF(Orders!X165,1,0)</f>
        <v>0</v>
      </c>
      <c r="AR168" s="34" t="str">
        <f>IF(AND(E168=1,L168=1),AJ168,"")</f>
        <v/>
      </c>
      <c r="AS168" s="34">
        <f>IF(AND(E168=1,L168=0),AJ168,"")</f>
        <v>1.8</v>
      </c>
      <c r="AT168" s="34" t="str">
        <f>IF(AND(E168=1,L168=1),AI168,"")</f>
        <v/>
      </c>
      <c r="AU168" s="34">
        <f>IF(AND(E168=1,L168=0),AI168,"")</f>
        <v>4</v>
      </c>
      <c r="AV168" s="34" t="str">
        <f>IF(AND(E168=1,L168=1),AG168,"")</f>
        <v/>
      </c>
      <c r="AW168" s="34">
        <f>IF(AND(E168=1,L168=0),AG168,"")</f>
        <v>9.1</v>
      </c>
      <c r="AX168" s="34" t="str">
        <f>IF(AND(E168=1,L168=1),AH168,"")</f>
        <v/>
      </c>
      <c r="AY168" s="34">
        <f>IF(AND(E168=1,L168=0),AH168,"")</f>
        <v>8.6</v>
      </c>
      <c r="AZ168" s="34" t="str">
        <f>IF(G168=1,F168,"")</f>
        <v/>
      </c>
      <c r="BA168" s="34" t="str">
        <f>IF(AND(G168=1,L168=1),F168,"")</f>
        <v/>
      </c>
      <c r="BB168" s="34" t="str">
        <f>IF(AND(G168=1,L168=0),F168,"")</f>
        <v/>
      </c>
      <c r="BC168" s="33">
        <f>IF(E168=1,IF(Orders!R165&gt;3,1,0),"")</f>
        <v>0</v>
      </c>
      <c r="BD168" s="33">
        <f>IF(E168=1,IF(Orders!R165&gt;7,1,0),"")</f>
        <v>0</v>
      </c>
      <c r="BE168" s="32" t="str">
        <f>IF(E168=1,IF(Orders!L165&lt;=1.5,"Up to 1.5 km",IF(Orders!L165&lt;=3,"1.5–3 km","Over 3 km")),"")</f>
        <v>Up to 1.5 km</v>
      </c>
      <c r="BF168" s="33">
        <f>IF(E168=1,IF(ABS((Orders!G165-Orders!F165)*1440-Orders!R165)&lt;0.06,1,0),"")</f>
        <v>1</v>
      </c>
      <c r="BG168" s="33">
        <f>IF(ABS((Orders!F165-Orders!E165)*1440-Orders!P165)&lt;0.06,1,0)</f>
        <v>1</v>
      </c>
      <c r="BH168" s="33">
        <f>IF(E168=1,IF(IF(Orders!S165,1,0)=1-G168,1,0),"")</f>
        <v>1</v>
      </c>
      <c r="BI168" s="32" t="str">
        <f>INDEX(Stores!$B$2:$B$21,MATCH(B168,Stores!$A$2:$A$21,0))</f>
        <v>Bengaluru</v>
      </c>
    </row>
    <row r="169">
      <c r="A169" s="32" t="str">
        <f>Orders!A166</f>
        <v>O00165</v>
      </c>
      <c r="B169" s="32" t="str">
        <f>Orders!C166</f>
        <v>S013</v>
      </c>
      <c r="C169" s="32" t="str">
        <f>Orders!B166</f>
        <v>C0073</v>
      </c>
      <c r="D169" s="32" t="str">
        <f>Orders!H166</f>
        <v>Delivered</v>
      </c>
      <c r="E169" s="33">
        <f>IF(Orders!H166="Delivered",1,0)</f>
        <v>1</v>
      </c>
      <c r="F169" s="34">
        <f>IF(E169=1,Orders!R166,"")</f>
        <v>-0.4</v>
      </c>
      <c r="G169" s="33">
        <f>IF(E169=1,IF(Orders!R166&gt;0,1,0),"")</f>
        <v>0</v>
      </c>
      <c r="H169" s="33">
        <f>IF(E169=1,IF(Orders!R166&gt;5,1,0),"")</f>
        <v>0</v>
      </c>
      <c r="I169" s="32" t="str">
        <f>IF(E169=1,"",IF(OR(Orders!T166="Rider unavailable",Orders!T166="Item unavailable"),"Company-caused","Unresolved"))</f>
        <v/>
      </c>
      <c r="J169" s="33">
        <f>IF(OR(E169=1,I169="Company-caused"),1,0)</f>
        <v>1</v>
      </c>
      <c r="K169" s="32" t="str">
        <f>IF(E169=0,IF(I169="Company-caused",IF(Orders!T166="Rider unavailable","C1 Rider unavailable","C2 Item unavailable"),"Outside root: unresolved"),IF(G169=0,"A On time",IF(H169=1,IF(L169=1,"B2a Severe, peak","B2b Severe, off-peak"),IF(L169=1,"B1a Slight, peak","B1b Slight, off-peak"))))</f>
        <v>A On time</v>
      </c>
      <c r="L169" s="33">
        <f>IF(AND(Orders!U166&gt;=19,Orders!U166&lt;22),1,0)</f>
        <v>0</v>
      </c>
      <c r="M169" s="33">
        <f>IF(L169=IF(Orders!V166,1,0),1,0)</f>
        <v>1</v>
      </c>
      <c r="N169" s="32" t="str">
        <f>IF(Orders!W166="","None",Orders!W166)</f>
        <v>Light</v>
      </c>
      <c r="O169" s="35">
        <f>INT(Orders!E166)</f>
        <v>46273.0</v>
      </c>
      <c r="P169" s="33">
        <f>Orders!U166</f>
        <v>18</v>
      </c>
      <c r="Q169" s="33">
        <f>COUNTIFS(Demand!$A$2:$A$4481,B169,Demand!$B$2:$B$4481,O169,Demand!$C$2:$C$4481,P169)</f>
        <v>1</v>
      </c>
      <c r="R169" s="33">
        <f>IF(Q169=1,SUMIFS(Demand!$E$2:$E$4481,Demand!$A$2:$A$4481,B169,Demand!$B$2:$B$4481,O169,Demand!$C$2:$C$4481,P169),"")</f>
        <v>42</v>
      </c>
      <c r="S169" s="33">
        <f>INDEX(Stores!$G$2:$G$21,MATCH(B169,Stores!$A$2:$A$21,0))</f>
        <v>49</v>
      </c>
      <c r="T169" s="34">
        <f>IF(R169="","",R169/S169)</f>
        <v>0.857142857142857</v>
      </c>
      <c r="U169" s="34">
        <f>IF(E169=1,T169,"")</f>
        <v>0.857142857142857</v>
      </c>
      <c r="V169" s="34">
        <f>IF(AND(E169=1,L169=0),T169,"")</f>
        <v>0.857142857142857</v>
      </c>
      <c r="W169" s="33">
        <f>IF(U169="","",IF(U169&lt;=Breakdowns!$C$5,1,IF(U169&lt;=Breakdowns!$C$6,2,IF(U169&lt;=Breakdowns!$C$7,3,4))))</f>
        <v>2</v>
      </c>
      <c r="X169" s="33">
        <f>IF(V169="","",IF(V169&lt;=Breakdowns!$D$5,1,IF(V169&lt;=Breakdowns!$D$6,2,IF(V169&lt;=Breakdowns!$D$7,3,4))))</f>
        <v>2</v>
      </c>
      <c r="Y169" s="34">
        <f>INDEX(Stores!$F$2:$F$21,MATCH(B169,Stores!$A$2:$A$21,0))</f>
        <v>5.82</v>
      </c>
      <c r="Z169" s="33">
        <f>IF(Y169&gt;Store_Summary!$M$2,1,0)</f>
        <v>1</v>
      </c>
      <c r="AA169" s="33">
        <f>INDEX(Stores!$C$2:$C$21,MATCH(B169,Stores!$A$2:$A$21,0))</f>
        <v>705</v>
      </c>
      <c r="AB169" s="33">
        <f>IF(AA169&lt;180,1,0)</f>
        <v>0</v>
      </c>
      <c r="AC169" s="32" t="str">
        <f>IF(Orders!D166="","",INDEX(Riders!$C$2:$C$81,MATCH(Orders!D166,Riders!$A$2:$A$81,0)))</f>
        <v>Petrol scooter</v>
      </c>
      <c r="AD169" s="33">
        <f>IF(Orders!D166="","",INDEX(Riders!$D$2:$D$81,MATCH(Orders!D166,Riders!$A$2:$A$81,0)))</f>
        <v>40</v>
      </c>
      <c r="AE169" s="33">
        <f>IF(Orders!D166="","",IF(INDEX(Riders!$B$2:$B$81,MATCH(Orders!D166,Riders!$A$2:$A$81,0))=B169,1,0))</f>
        <v>0</v>
      </c>
      <c r="AF169" s="34">
        <f>IF(E169=1,Orders!L166,"")</f>
        <v>3</v>
      </c>
      <c r="AG169" s="34">
        <f>IF(E169=1,Orders!P166,"")</f>
        <v>11.6</v>
      </c>
      <c r="AH169" s="34">
        <f>IF(E169=1,Orders!Q166,"")</f>
        <v>11.2</v>
      </c>
      <c r="AI169" s="34">
        <f>IF(E169=1,Orders!M166,"")</f>
        <v>3.7</v>
      </c>
      <c r="AJ169" s="34">
        <f>IF(E169=1,Orders!N166,"")</f>
        <v>2.9</v>
      </c>
      <c r="AK169" s="34">
        <f>IF(E169=1,Orders!O166,"")</f>
        <v>4.6</v>
      </c>
      <c r="AL169" s="33">
        <f>IF(E169=1,IF(ROUND(ABS(AI169+AJ169+AK169-AH169),6)&lt;=0.1,1,0),"")</f>
        <v>1</v>
      </c>
      <c r="AM169" s="36">
        <f>IF(E169=1,AI169/AH169,"")</f>
        <v>0.330357142857143</v>
      </c>
      <c r="AN169" s="36">
        <f>IF(E169=1,AJ169/AH169,"")</f>
        <v>0.258928571428571</v>
      </c>
      <c r="AO169" s="36">
        <f>IF(E169=1,AK169/AH169,"")</f>
        <v>0.410714285714286</v>
      </c>
      <c r="AP169" s="34">
        <f>IF(E169=1,Orders!Y166,"")</f>
        <v>0.35</v>
      </c>
      <c r="AQ169" s="33">
        <f>IF(Orders!X166,1,0)</f>
        <v>0</v>
      </c>
      <c r="AR169" s="34" t="str">
        <f>IF(AND(E169=1,L169=1),AJ169,"")</f>
        <v/>
      </c>
      <c r="AS169" s="34">
        <f>IF(AND(E169=1,L169=0),AJ169,"")</f>
        <v>2.9</v>
      </c>
      <c r="AT169" s="34" t="str">
        <f>IF(AND(E169=1,L169=1),AI169,"")</f>
        <v/>
      </c>
      <c r="AU169" s="34">
        <f>IF(AND(E169=1,L169=0),AI169,"")</f>
        <v>3.7</v>
      </c>
      <c r="AV169" s="34" t="str">
        <f>IF(AND(E169=1,L169=1),AG169,"")</f>
        <v/>
      </c>
      <c r="AW169" s="34">
        <f>IF(AND(E169=1,L169=0),AG169,"")</f>
        <v>11.6</v>
      </c>
      <c r="AX169" s="34" t="str">
        <f>IF(AND(E169=1,L169=1),AH169,"")</f>
        <v/>
      </c>
      <c r="AY169" s="34">
        <f>IF(AND(E169=1,L169=0),AH169,"")</f>
        <v>11.2</v>
      </c>
      <c r="AZ169" s="34" t="str">
        <f>IF(G169=1,F169,"")</f>
        <v/>
      </c>
      <c r="BA169" s="34" t="str">
        <f>IF(AND(G169=1,L169=1),F169,"")</f>
        <v/>
      </c>
      <c r="BB169" s="34" t="str">
        <f>IF(AND(G169=1,L169=0),F169,"")</f>
        <v/>
      </c>
      <c r="BC169" s="33">
        <f>IF(E169=1,IF(Orders!R166&gt;3,1,0),"")</f>
        <v>0</v>
      </c>
      <c r="BD169" s="33">
        <f>IF(E169=1,IF(Orders!R166&gt;7,1,0),"")</f>
        <v>0</v>
      </c>
      <c r="BE169" s="32" t="str">
        <f>IF(E169=1,IF(Orders!L166&lt;=1.5,"Up to 1.5 km",IF(Orders!L166&lt;=3,"1.5–3 km","Over 3 km")),"")</f>
        <v>1.5–3 km</v>
      </c>
      <c r="BF169" s="33">
        <f>IF(E169=1,IF(ABS((Orders!G166-Orders!F166)*1440-Orders!R166)&lt;0.06,1,0),"")</f>
        <v>1</v>
      </c>
      <c r="BG169" s="33">
        <f>IF(ABS((Orders!F166-Orders!E166)*1440-Orders!P166)&lt;0.06,1,0)</f>
        <v>1</v>
      </c>
      <c r="BH169" s="33">
        <f>IF(E169=1,IF(IF(Orders!S166,1,0)=1-G169,1,0),"")</f>
        <v>1</v>
      </c>
      <c r="BI169" s="32" t="str">
        <f>INDEX(Stores!$B$2:$B$21,MATCH(B169,Stores!$A$2:$A$21,0))</f>
        <v>Mumbai</v>
      </c>
    </row>
    <row r="170">
      <c r="A170" s="32" t="str">
        <f>Orders!A167</f>
        <v>O00166</v>
      </c>
      <c r="B170" s="32" t="str">
        <f>Orders!C167</f>
        <v>S017</v>
      </c>
      <c r="C170" s="32" t="str">
        <f>Orders!B167</f>
        <v>C0182</v>
      </c>
      <c r="D170" s="32" t="str">
        <f>Orders!H167</f>
        <v>Delivered</v>
      </c>
      <c r="E170" s="33">
        <f>IF(Orders!H167="Delivered",1,0)</f>
        <v>1</v>
      </c>
      <c r="F170" s="34">
        <f>IF(E170=1,Orders!R167,"")</f>
        <v>-0.3</v>
      </c>
      <c r="G170" s="33">
        <f>IF(E170=1,IF(Orders!R167&gt;0,1,0),"")</f>
        <v>0</v>
      </c>
      <c r="H170" s="33">
        <f>IF(E170=1,IF(Orders!R167&gt;5,1,0),"")</f>
        <v>0</v>
      </c>
      <c r="I170" s="32" t="str">
        <f>IF(E170=1,"",IF(OR(Orders!T167="Rider unavailable",Orders!T167="Item unavailable"),"Company-caused","Unresolved"))</f>
        <v/>
      </c>
      <c r="J170" s="33">
        <f>IF(OR(E170=1,I170="Company-caused"),1,0)</f>
        <v>1</v>
      </c>
      <c r="K170" s="32" t="str">
        <f>IF(E170=0,IF(I170="Company-caused",IF(Orders!T167="Rider unavailable","C1 Rider unavailable","C2 Item unavailable"),"Outside root: unresolved"),IF(G170=0,"A On time",IF(H170=1,IF(L170=1,"B2a Severe, peak","B2b Severe, off-peak"),IF(L170=1,"B1a Slight, peak","B1b Slight, off-peak"))))</f>
        <v>A On time</v>
      </c>
      <c r="L170" s="33">
        <f>IF(AND(Orders!U167&gt;=19,Orders!U167&lt;22),1,0)</f>
        <v>1</v>
      </c>
      <c r="M170" s="33">
        <f>IF(L170=IF(Orders!V167,1,0),1,0)</f>
        <v>1</v>
      </c>
      <c r="N170" s="32" t="str">
        <f>IF(Orders!W167="","None",Orders!W167)</f>
        <v>Heavy</v>
      </c>
      <c r="O170" s="35">
        <f>INT(Orders!E167)</f>
        <v>46275.0</v>
      </c>
      <c r="P170" s="33">
        <f>Orders!U167</f>
        <v>19</v>
      </c>
      <c r="Q170" s="33">
        <f>COUNTIFS(Demand!$A$2:$A$4481,B170,Demand!$B$2:$B$4481,O170,Demand!$C$2:$C$4481,P170)</f>
        <v>1</v>
      </c>
      <c r="R170" s="33">
        <f>IF(Q170=1,SUMIFS(Demand!$E$2:$E$4481,Demand!$A$2:$A$4481,B170,Demand!$B$2:$B$4481,O170,Demand!$C$2:$C$4481,P170),"")</f>
        <v>50</v>
      </c>
      <c r="S170" s="33">
        <f>INDEX(Stores!$G$2:$G$21,MATCH(B170,Stores!$A$2:$A$21,0))</f>
        <v>36</v>
      </c>
      <c r="T170" s="34">
        <f>IF(R170="","",R170/S170)</f>
        <v>1.38888888888889</v>
      </c>
      <c r="U170" s="34">
        <f>IF(E170=1,T170,"")</f>
        <v>1.38888888888889</v>
      </c>
      <c r="V170" s="34" t="str">
        <f>IF(AND(E170=1,L170=0),T170,"")</f>
        <v/>
      </c>
      <c r="W170" s="33">
        <f>IF(U170="","",IF(U170&lt;=Breakdowns!$C$5,1,IF(U170&lt;=Breakdowns!$C$6,2,IF(U170&lt;=Breakdowns!$C$7,3,4))))</f>
        <v>4</v>
      </c>
      <c r="X170" s="33" t="str">
        <f>IF(V170="","",IF(V170&lt;=Breakdowns!$D$5,1,IF(V170&lt;=Breakdowns!$D$6,2,IF(V170&lt;=Breakdowns!$D$7,3,4))))</f>
        <v/>
      </c>
      <c r="Y170" s="34">
        <f>INDEX(Stores!$F$2:$F$21,MATCH(B170,Stores!$A$2:$A$21,0))</f>
        <v>2.16</v>
      </c>
      <c r="Z170" s="33">
        <f>IF(Y170&gt;Store_Summary!$M$2,1,0)</f>
        <v>0</v>
      </c>
      <c r="AA170" s="33">
        <f>INDEX(Stores!$C$2:$C$21,MATCH(B170,Stores!$A$2:$A$21,0))</f>
        <v>47</v>
      </c>
      <c r="AB170" s="33">
        <f>IF(AA170&lt;180,1,0)</f>
        <v>1</v>
      </c>
      <c r="AC170" s="32" t="str">
        <f>IF(Orders!D167="","",INDEX(Riders!$C$2:$C$81,MATCH(Orders!D167,Riders!$A$2:$A$81,0)))</f>
        <v>Petrol scooter</v>
      </c>
      <c r="AD170" s="33">
        <f>IF(Orders!D167="","",INDEX(Riders!$D$2:$D$81,MATCH(Orders!D167,Riders!$A$2:$A$81,0)))</f>
        <v>29</v>
      </c>
      <c r="AE170" s="33">
        <f>IF(Orders!D167="","",IF(INDEX(Riders!$B$2:$B$81,MATCH(Orders!D167,Riders!$A$2:$A$81,0))=B170,1,0))</f>
        <v>0</v>
      </c>
      <c r="AF170" s="34">
        <f>IF(E170=1,Orders!L167,"")</f>
        <v>1.87</v>
      </c>
      <c r="AG170" s="34">
        <f>IF(E170=1,Orders!P167,"")</f>
        <v>8.1</v>
      </c>
      <c r="AH170" s="34">
        <f>IF(E170=1,Orders!Q167,"")</f>
        <v>7.8</v>
      </c>
      <c r="AI170" s="34">
        <f>IF(E170=1,Orders!M167,"")</f>
        <v>1.5</v>
      </c>
      <c r="AJ170" s="34">
        <f>IF(E170=1,Orders!N167,"")</f>
        <v>2.7</v>
      </c>
      <c r="AK170" s="34">
        <f>IF(E170=1,Orders!O167,"")</f>
        <v>3.6</v>
      </c>
      <c r="AL170" s="33">
        <f>IF(E170=1,IF(ROUND(ABS(AI170+AJ170+AK170-AH170),6)&lt;=0.1,1,0),"")</f>
        <v>1</v>
      </c>
      <c r="AM170" s="36">
        <f>IF(E170=1,AI170/AH170,"")</f>
        <v>0.192307692307692</v>
      </c>
      <c r="AN170" s="36">
        <f>IF(E170=1,AJ170/AH170,"")</f>
        <v>0.346153846153846</v>
      </c>
      <c r="AO170" s="36">
        <f>IF(E170=1,AK170/AH170,"")</f>
        <v>0.461538461538462</v>
      </c>
      <c r="AP170" s="34">
        <f>IF(E170=1,Orders!Y167,"")</f>
        <v>0.42</v>
      </c>
      <c r="AQ170" s="33">
        <f>IF(Orders!X167,1,0)</f>
        <v>0</v>
      </c>
      <c r="AR170" s="34">
        <f>IF(AND(E170=1,L170=1),AJ170,"")</f>
        <v>2.7</v>
      </c>
      <c r="AS170" s="34" t="str">
        <f>IF(AND(E170=1,L170=0),AJ170,"")</f>
        <v/>
      </c>
      <c r="AT170" s="34">
        <f>IF(AND(E170=1,L170=1),AI170,"")</f>
        <v>1.5</v>
      </c>
      <c r="AU170" s="34" t="str">
        <f>IF(AND(E170=1,L170=0),AI170,"")</f>
        <v/>
      </c>
      <c r="AV170" s="34">
        <f>IF(AND(E170=1,L170=1),AG170,"")</f>
        <v>8.1</v>
      </c>
      <c r="AW170" s="34" t="str">
        <f>IF(AND(E170=1,L170=0),AG170,"")</f>
        <v/>
      </c>
      <c r="AX170" s="34">
        <f>IF(AND(E170=1,L170=1),AH170,"")</f>
        <v>7.8</v>
      </c>
      <c r="AY170" s="34" t="str">
        <f>IF(AND(E170=1,L170=0),AH170,"")</f>
        <v/>
      </c>
      <c r="AZ170" s="34" t="str">
        <f>IF(G170=1,F170,"")</f>
        <v/>
      </c>
      <c r="BA170" s="34" t="str">
        <f>IF(AND(G170=1,L170=1),F170,"")</f>
        <v/>
      </c>
      <c r="BB170" s="34" t="str">
        <f>IF(AND(G170=1,L170=0),F170,"")</f>
        <v/>
      </c>
      <c r="BC170" s="33">
        <f>IF(E170=1,IF(Orders!R167&gt;3,1,0),"")</f>
        <v>0</v>
      </c>
      <c r="BD170" s="33">
        <f>IF(E170=1,IF(Orders!R167&gt;7,1,0),"")</f>
        <v>0</v>
      </c>
      <c r="BE170" s="32" t="str">
        <f>IF(E170=1,IF(Orders!L167&lt;=1.5,"Up to 1.5 km",IF(Orders!L167&lt;=3,"1.5–3 km","Over 3 km")),"")</f>
        <v>1.5–3 km</v>
      </c>
      <c r="BF170" s="33">
        <f>IF(E170=1,IF(ABS((Orders!G167-Orders!F167)*1440-Orders!R167)&lt;0.06,1,0),"")</f>
        <v>1</v>
      </c>
      <c r="BG170" s="33">
        <f>IF(ABS((Orders!F167-Orders!E167)*1440-Orders!P167)&lt;0.06,1,0)</f>
        <v>1</v>
      </c>
      <c r="BH170" s="33">
        <f>IF(E170=1,IF(IF(Orders!S167,1,0)=1-G170,1,0),"")</f>
        <v>1</v>
      </c>
      <c r="BI170" s="32" t="str">
        <f>INDEX(Stores!$B$2:$B$21,MATCH(B170,Stores!$A$2:$A$21,0))</f>
        <v>Hyderabad</v>
      </c>
    </row>
    <row r="171">
      <c r="A171" s="32" t="str">
        <f>Orders!A168</f>
        <v>O00167</v>
      </c>
      <c r="B171" s="32" t="str">
        <f>Orders!C168</f>
        <v>S015</v>
      </c>
      <c r="C171" s="32" t="str">
        <f>Orders!B168</f>
        <v>C0161</v>
      </c>
      <c r="D171" s="32" t="str">
        <f>Orders!H168</f>
        <v>Delivered</v>
      </c>
      <c r="E171" s="33">
        <f>IF(Orders!H168="Delivered",1,0)</f>
        <v>1</v>
      </c>
      <c r="F171" s="34">
        <f>IF(E171=1,Orders!R168,"")</f>
        <v>-1</v>
      </c>
      <c r="G171" s="33">
        <f>IF(E171=1,IF(Orders!R168&gt;0,1,0),"")</f>
        <v>0</v>
      </c>
      <c r="H171" s="33">
        <f>IF(E171=1,IF(Orders!R168&gt;5,1,0),"")</f>
        <v>0</v>
      </c>
      <c r="I171" s="32" t="str">
        <f>IF(E171=1,"",IF(OR(Orders!T168="Rider unavailable",Orders!T168="Item unavailable"),"Company-caused","Unresolved"))</f>
        <v/>
      </c>
      <c r="J171" s="33">
        <f>IF(OR(E171=1,I171="Company-caused"),1,0)</f>
        <v>1</v>
      </c>
      <c r="K171" s="32" t="str">
        <f>IF(E171=0,IF(I171="Company-caused",IF(Orders!T168="Rider unavailable","C1 Rider unavailable","C2 Item unavailable"),"Outside root: unresolved"),IF(G171=0,"A On time",IF(H171=1,IF(L171=1,"B2a Severe, peak","B2b Severe, off-peak"),IF(L171=1,"B1a Slight, peak","B1b Slight, off-peak"))))</f>
        <v>A On time</v>
      </c>
      <c r="L171" s="33">
        <f>IF(AND(Orders!U168&gt;=19,Orders!U168&lt;22),1,0)</f>
        <v>0</v>
      </c>
      <c r="M171" s="33">
        <f>IF(L171=IF(Orders!V168,1,0),1,0)</f>
        <v>1</v>
      </c>
      <c r="N171" s="32" t="str">
        <f>IF(Orders!W168="","None",Orders!W168)</f>
        <v>None</v>
      </c>
      <c r="O171" s="35">
        <f>INT(Orders!E168)</f>
        <v>46267.0</v>
      </c>
      <c r="P171" s="33">
        <f>Orders!U168</f>
        <v>16</v>
      </c>
      <c r="Q171" s="33">
        <f>COUNTIFS(Demand!$A$2:$A$4481,B171,Demand!$B$2:$B$4481,O171,Demand!$C$2:$C$4481,P171)</f>
        <v>1</v>
      </c>
      <c r="R171" s="33">
        <f>IF(Q171=1,SUMIFS(Demand!$E$2:$E$4481,Demand!$A$2:$A$4481,B171,Demand!$B$2:$B$4481,O171,Demand!$C$2:$C$4481,P171),"")</f>
        <v>28</v>
      </c>
      <c r="S171" s="33">
        <f>INDEX(Stores!$G$2:$G$21,MATCH(B171,Stores!$A$2:$A$21,0))</f>
        <v>23</v>
      </c>
      <c r="T171" s="34">
        <f>IF(R171="","",R171/S171)</f>
        <v>1.21739130434783</v>
      </c>
      <c r="U171" s="34">
        <f>IF(E171=1,T171,"")</f>
        <v>1.21739130434783</v>
      </c>
      <c r="V171" s="34">
        <f>IF(AND(E171=1,L171=0),T171,"")</f>
        <v>1.21739130434783</v>
      </c>
      <c r="W171" s="33">
        <f>IF(U171="","",IF(U171&lt;=Breakdowns!$C$5,1,IF(U171&lt;=Breakdowns!$C$6,2,IF(U171&lt;=Breakdowns!$C$7,3,4))))</f>
        <v>3</v>
      </c>
      <c r="X171" s="33">
        <f>IF(V171="","",IF(V171&lt;=Breakdowns!$D$5,1,IF(V171&lt;=Breakdowns!$D$6,2,IF(V171&lt;=Breakdowns!$D$7,3,4))))</f>
        <v>4</v>
      </c>
      <c r="Y171" s="34">
        <f>INDEX(Stores!$F$2:$F$21,MATCH(B171,Stores!$A$2:$A$21,0))</f>
        <v>4.66</v>
      </c>
      <c r="Z171" s="33">
        <f>IF(Y171&gt;Store_Summary!$M$2,1,0)</f>
        <v>0</v>
      </c>
      <c r="AA171" s="33">
        <f>INDEX(Stores!$C$2:$C$21,MATCH(B171,Stores!$A$2:$A$21,0))</f>
        <v>204</v>
      </c>
      <c r="AB171" s="33">
        <f>IF(AA171&lt;180,1,0)</f>
        <v>0</v>
      </c>
      <c r="AC171" s="32" t="str">
        <f>IF(Orders!D168="","",INDEX(Riders!$C$2:$C$81,MATCH(Orders!D168,Riders!$A$2:$A$81,0)))</f>
        <v>EV scooter</v>
      </c>
      <c r="AD171" s="33">
        <f>IF(Orders!D168="","",INDEX(Riders!$D$2:$D$81,MATCH(Orders!D168,Riders!$A$2:$A$81,0)))</f>
        <v>41</v>
      </c>
      <c r="AE171" s="33">
        <f>IF(Orders!D168="","",IF(INDEX(Riders!$B$2:$B$81,MATCH(Orders!D168,Riders!$A$2:$A$81,0))=B171,1,0))</f>
        <v>0</v>
      </c>
      <c r="AF171" s="34">
        <f>IF(E171=1,Orders!L168,"")</f>
        <v>2.4</v>
      </c>
      <c r="AG171" s="34">
        <f>IF(E171=1,Orders!P168,"")</f>
        <v>10</v>
      </c>
      <c r="AH171" s="34">
        <f>IF(E171=1,Orders!Q168,"")</f>
        <v>9</v>
      </c>
      <c r="AI171" s="34">
        <f>IF(E171=1,Orders!M168,"")</f>
        <v>2.5</v>
      </c>
      <c r="AJ171" s="34">
        <f>IF(E171=1,Orders!N168,"")</f>
        <v>3.3</v>
      </c>
      <c r="AK171" s="34">
        <f>IF(E171=1,Orders!O168,"")</f>
        <v>3.2</v>
      </c>
      <c r="AL171" s="33">
        <f>IF(E171=1,IF(ROUND(ABS(AI171+AJ171+AK171-AH171),6)&lt;=0.1,1,0),"")</f>
        <v>1</v>
      </c>
      <c r="AM171" s="36">
        <f>IF(E171=1,AI171/AH171,"")</f>
        <v>0.277777777777778</v>
      </c>
      <c r="AN171" s="36">
        <f>IF(E171=1,AJ171/AH171,"")</f>
        <v>0.366666666666667</v>
      </c>
      <c r="AO171" s="36">
        <f>IF(E171=1,AK171/AH171,"")</f>
        <v>0.355555555555556</v>
      </c>
      <c r="AP171" s="34">
        <f>IF(E171=1,Orders!Y168,"")</f>
        <v>0.56</v>
      </c>
      <c r="AQ171" s="33">
        <f>IF(Orders!X168,1,0)</f>
        <v>0</v>
      </c>
      <c r="AR171" s="34" t="str">
        <f>IF(AND(E171=1,L171=1),AJ171,"")</f>
        <v/>
      </c>
      <c r="AS171" s="34">
        <f>IF(AND(E171=1,L171=0),AJ171,"")</f>
        <v>3.3</v>
      </c>
      <c r="AT171" s="34" t="str">
        <f>IF(AND(E171=1,L171=1),AI171,"")</f>
        <v/>
      </c>
      <c r="AU171" s="34">
        <f>IF(AND(E171=1,L171=0),AI171,"")</f>
        <v>2.5</v>
      </c>
      <c r="AV171" s="34" t="str">
        <f>IF(AND(E171=1,L171=1),AG171,"")</f>
        <v/>
      </c>
      <c r="AW171" s="34">
        <f>IF(AND(E171=1,L171=0),AG171,"")</f>
        <v>10</v>
      </c>
      <c r="AX171" s="34" t="str">
        <f>IF(AND(E171=1,L171=1),AH171,"")</f>
        <v/>
      </c>
      <c r="AY171" s="34">
        <f>IF(AND(E171=1,L171=0),AH171,"")</f>
        <v>9</v>
      </c>
      <c r="AZ171" s="34" t="str">
        <f>IF(G171=1,F171,"")</f>
        <v/>
      </c>
      <c r="BA171" s="34" t="str">
        <f>IF(AND(G171=1,L171=1),F171,"")</f>
        <v/>
      </c>
      <c r="BB171" s="34" t="str">
        <f>IF(AND(G171=1,L171=0),F171,"")</f>
        <v/>
      </c>
      <c r="BC171" s="33">
        <f>IF(E171=1,IF(Orders!R168&gt;3,1,0),"")</f>
        <v>0</v>
      </c>
      <c r="BD171" s="33">
        <f>IF(E171=1,IF(Orders!R168&gt;7,1,0),"")</f>
        <v>0</v>
      </c>
      <c r="BE171" s="32" t="str">
        <f>IF(E171=1,IF(Orders!L168&lt;=1.5,"Up to 1.5 km",IF(Orders!L168&lt;=3,"1.5–3 km","Over 3 km")),"")</f>
        <v>1.5–3 km</v>
      </c>
      <c r="BF171" s="33">
        <f>IF(E171=1,IF(ABS((Orders!G168-Orders!F168)*1440-Orders!R168)&lt;0.06,1,0),"")</f>
        <v>1</v>
      </c>
      <c r="BG171" s="33">
        <f>IF(ABS((Orders!F168-Orders!E168)*1440-Orders!P168)&lt;0.06,1,0)</f>
        <v>1</v>
      </c>
      <c r="BH171" s="33">
        <f>IF(E171=1,IF(IF(Orders!S168,1,0)=1-G171,1,0),"")</f>
        <v>1</v>
      </c>
      <c r="BI171" s="32" t="str">
        <f>INDEX(Stores!$B$2:$B$21,MATCH(B171,Stores!$A$2:$A$21,0))</f>
        <v>Delhi</v>
      </c>
    </row>
    <row r="172">
      <c r="A172" s="32" t="str">
        <f>Orders!A169</f>
        <v>O00168</v>
      </c>
      <c r="B172" s="32" t="str">
        <f>Orders!C169</f>
        <v>S010</v>
      </c>
      <c r="C172" s="32" t="str">
        <f>Orders!B169</f>
        <v>C0102</v>
      </c>
      <c r="D172" s="32" t="str">
        <f>Orders!H169</f>
        <v>Delivered</v>
      </c>
      <c r="E172" s="33">
        <f>IF(Orders!H169="Delivered",1,0)</f>
        <v>1</v>
      </c>
      <c r="F172" s="34">
        <f>IF(E172=1,Orders!R169,"")</f>
        <v>-0.6</v>
      </c>
      <c r="G172" s="33">
        <f>IF(E172=1,IF(Orders!R169&gt;0,1,0),"")</f>
        <v>0</v>
      </c>
      <c r="H172" s="33">
        <f>IF(E172=1,IF(Orders!R169&gt;5,1,0),"")</f>
        <v>0</v>
      </c>
      <c r="I172" s="32" t="str">
        <f>IF(E172=1,"",IF(OR(Orders!T169="Rider unavailable",Orders!T169="Item unavailable"),"Company-caused","Unresolved"))</f>
        <v/>
      </c>
      <c r="J172" s="33">
        <f>IF(OR(E172=1,I172="Company-caused"),1,0)</f>
        <v>1</v>
      </c>
      <c r="K172" s="32" t="str">
        <f>IF(E172=0,IF(I172="Company-caused",IF(Orders!T169="Rider unavailable","C1 Rider unavailable","C2 Item unavailable"),"Outside root: unresolved"),IF(G172=0,"A On time",IF(H172=1,IF(L172=1,"B2a Severe, peak","B2b Severe, off-peak"),IF(L172=1,"B1a Slight, peak","B1b Slight, off-peak"))))</f>
        <v>A On time</v>
      </c>
      <c r="L172" s="33">
        <f>IF(AND(Orders!U169&gt;=19,Orders!U169&lt;22),1,0)</f>
        <v>0</v>
      </c>
      <c r="M172" s="33">
        <f>IF(L172=IF(Orders!V169,1,0),1,0)</f>
        <v>1</v>
      </c>
      <c r="N172" s="32" t="str">
        <f>IF(Orders!W169="","None",Orders!W169)</f>
        <v>Light</v>
      </c>
      <c r="O172" s="35">
        <f>INT(Orders!E169)</f>
        <v>46274.0</v>
      </c>
      <c r="P172" s="33">
        <f>Orders!U169</f>
        <v>8</v>
      </c>
      <c r="Q172" s="33">
        <f>COUNTIFS(Demand!$A$2:$A$4481,B172,Demand!$B$2:$B$4481,O172,Demand!$C$2:$C$4481,P172)</f>
        <v>1</v>
      </c>
      <c r="R172" s="33">
        <f>IF(Q172=1,SUMIFS(Demand!$E$2:$E$4481,Demand!$A$2:$A$4481,B172,Demand!$B$2:$B$4481,O172,Demand!$C$2:$C$4481,P172),"")</f>
        <v>16</v>
      </c>
      <c r="S172" s="33">
        <f>INDEX(Stores!$G$2:$G$21,MATCH(B172,Stores!$A$2:$A$21,0))</f>
        <v>22</v>
      </c>
      <c r="T172" s="34">
        <f>IF(R172="","",R172/S172)</f>
        <v>0.727272727272727</v>
      </c>
      <c r="U172" s="34">
        <f>IF(E172=1,T172,"")</f>
        <v>0.727272727272727</v>
      </c>
      <c r="V172" s="34">
        <f>IF(AND(E172=1,L172=0),T172,"")</f>
        <v>0.727272727272727</v>
      </c>
      <c r="W172" s="33">
        <f>IF(U172="","",IF(U172&lt;=Breakdowns!$C$5,1,IF(U172&lt;=Breakdowns!$C$6,2,IF(U172&lt;=Breakdowns!$C$7,3,4))))</f>
        <v>1</v>
      </c>
      <c r="X172" s="33">
        <f>IF(V172="","",IF(V172&lt;=Breakdowns!$D$5,1,IF(V172&lt;=Breakdowns!$D$6,2,IF(V172&lt;=Breakdowns!$D$7,3,4))))</f>
        <v>1</v>
      </c>
      <c r="Y172" s="34">
        <f>INDEX(Stores!$F$2:$F$21,MATCH(B172,Stores!$A$2:$A$21,0))</f>
        <v>5.61</v>
      </c>
      <c r="Z172" s="33">
        <f>IF(Y172&gt;Store_Summary!$M$2,1,0)</f>
        <v>1</v>
      </c>
      <c r="AA172" s="33">
        <f>INDEX(Stores!$C$2:$C$21,MATCH(B172,Stores!$A$2:$A$21,0))</f>
        <v>744</v>
      </c>
      <c r="AB172" s="33">
        <f>IF(AA172&lt;180,1,0)</f>
        <v>0</v>
      </c>
      <c r="AC172" s="32" t="str">
        <f>IF(Orders!D169="","",INDEX(Riders!$C$2:$C$81,MATCH(Orders!D169,Riders!$A$2:$A$81,0)))</f>
        <v>EV scooter</v>
      </c>
      <c r="AD172" s="33">
        <f>IF(Orders!D169="","",INDEX(Riders!$D$2:$D$81,MATCH(Orders!D169,Riders!$A$2:$A$81,0)))</f>
        <v>14</v>
      </c>
      <c r="AE172" s="33">
        <f>IF(Orders!D169="","",IF(INDEX(Riders!$B$2:$B$81,MATCH(Orders!D169,Riders!$A$2:$A$81,0))=B172,1,0))</f>
        <v>0</v>
      </c>
      <c r="AF172" s="34">
        <f>IF(E172=1,Orders!L169,"")</f>
        <v>2.02</v>
      </c>
      <c r="AG172" s="34">
        <f>IF(E172=1,Orders!P169,"")</f>
        <v>10.6</v>
      </c>
      <c r="AH172" s="34">
        <f>IF(E172=1,Orders!Q169,"")</f>
        <v>10</v>
      </c>
      <c r="AI172" s="34">
        <f>IF(E172=1,Orders!M169,"")</f>
        <v>3.9</v>
      </c>
      <c r="AJ172" s="34">
        <f>IF(E172=1,Orders!N169,"")</f>
        <v>2.7</v>
      </c>
      <c r="AK172" s="34">
        <f>IF(E172=1,Orders!O169,"")</f>
        <v>3.4</v>
      </c>
      <c r="AL172" s="33">
        <f>IF(E172=1,IF(ROUND(ABS(AI172+AJ172+AK172-AH172),6)&lt;=0.1,1,0),"")</f>
        <v>1</v>
      </c>
      <c r="AM172" s="36">
        <f>IF(E172=1,AI172/AH172,"")</f>
        <v>0.39</v>
      </c>
      <c r="AN172" s="36">
        <f>IF(E172=1,AJ172/AH172,"")</f>
        <v>0.27</v>
      </c>
      <c r="AO172" s="36">
        <f>IF(E172=1,AK172/AH172,"")</f>
        <v>0.34</v>
      </c>
      <c r="AP172" s="34">
        <f>IF(E172=1,Orders!Y169,"")</f>
        <v>0.34</v>
      </c>
      <c r="AQ172" s="33">
        <f>IF(Orders!X169,1,0)</f>
        <v>0</v>
      </c>
      <c r="AR172" s="34" t="str">
        <f>IF(AND(E172=1,L172=1),AJ172,"")</f>
        <v/>
      </c>
      <c r="AS172" s="34">
        <f>IF(AND(E172=1,L172=0),AJ172,"")</f>
        <v>2.7</v>
      </c>
      <c r="AT172" s="34" t="str">
        <f>IF(AND(E172=1,L172=1),AI172,"")</f>
        <v/>
      </c>
      <c r="AU172" s="34">
        <f>IF(AND(E172=1,L172=0),AI172,"")</f>
        <v>3.9</v>
      </c>
      <c r="AV172" s="34" t="str">
        <f>IF(AND(E172=1,L172=1),AG172,"")</f>
        <v/>
      </c>
      <c r="AW172" s="34">
        <f>IF(AND(E172=1,L172=0),AG172,"")</f>
        <v>10.6</v>
      </c>
      <c r="AX172" s="34" t="str">
        <f>IF(AND(E172=1,L172=1),AH172,"")</f>
        <v/>
      </c>
      <c r="AY172" s="34">
        <f>IF(AND(E172=1,L172=0),AH172,"")</f>
        <v>10</v>
      </c>
      <c r="AZ172" s="34" t="str">
        <f>IF(G172=1,F172,"")</f>
        <v/>
      </c>
      <c r="BA172" s="34" t="str">
        <f>IF(AND(G172=1,L172=1),F172,"")</f>
        <v/>
      </c>
      <c r="BB172" s="34" t="str">
        <f>IF(AND(G172=1,L172=0),F172,"")</f>
        <v/>
      </c>
      <c r="BC172" s="33">
        <f>IF(E172=1,IF(Orders!R169&gt;3,1,0),"")</f>
        <v>0</v>
      </c>
      <c r="BD172" s="33">
        <f>IF(E172=1,IF(Orders!R169&gt;7,1,0),"")</f>
        <v>0</v>
      </c>
      <c r="BE172" s="32" t="str">
        <f>IF(E172=1,IF(Orders!L169&lt;=1.5,"Up to 1.5 km",IF(Orders!L169&lt;=3,"1.5–3 km","Over 3 km")),"")</f>
        <v>1.5–3 km</v>
      </c>
      <c r="BF172" s="33">
        <f>IF(E172=1,IF(ABS((Orders!G169-Orders!F169)*1440-Orders!R169)&lt;0.06,1,0),"")</f>
        <v>1</v>
      </c>
      <c r="BG172" s="33">
        <f>IF(ABS((Orders!F169-Orders!E169)*1440-Orders!P169)&lt;0.06,1,0)</f>
        <v>1</v>
      </c>
      <c r="BH172" s="33">
        <f>IF(E172=1,IF(IF(Orders!S169,1,0)=1-G172,1,0),"")</f>
        <v>1</v>
      </c>
      <c r="BI172" s="32" t="str">
        <f>INDEX(Stores!$B$2:$B$21,MATCH(B172,Stores!$A$2:$A$21,0))</f>
        <v>Delhi</v>
      </c>
    </row>
    <row r="173">
      <c r="A173" s="32" t="str">
        <f>Orders!A170</f>
        <v>O00169</v>
      </c>
      <c r="B173" s="32" t="str">
        <f>Orders!C170</f>
        <v>S013</v>
      </c>
      <c r="C173" s="32" t="str">
        <f>Orders!B170</f>
        <v>C0145</v>
      </c>
      <c r="D173" s="32" t="str">
        <f>Orders!H170</f>
        <v>Delivered</v>
      </c>
      <c r="E173" s="33">
        <f>IF(Orders!H170="Delivered",1,0)</f>
        <v>1</v>
      </c>
      <c r="F173" s="34">
        <f>IF(E173=1,Orders!R170,"")</f>
        <v>-0.9</v>
      </c>
      <c r="G173" s="33">
        <f>IF(E173=1,IF(Orders!R170&gt;0,1,0),"")</f>
        <v>0</v>
      </c>
      <c r="H173" s="33">
        <f>IF(E173=1,IF(Orders!R170&gt;5,1,0),"")</f>
        <v>0</v>
      </c>
      <c r="I173" s="32" t="str">
        <f>IF(E173=1,"",IF(OR(Orders!T170="Rider unavailable",Orders!T170="Item unavailable"),"Company-caused","Unresolved"))</f>
        <v/>
      </c>
      <c r="J173" s="33">
        <f>IF(OR(E173=1,I173="Company-caused"),1,0)</f>
        <v>1</v>
      </c>
      <c r="K173" s="32" t="str">
        <f>IF(E173=0,IF(I173="Company-caused",IF(Orders!T170="Rider unavailable","C1 Rider unavailable","C2 Item unavailable"),"Outside root: unresolved"),IF(G173=0,"A On time",IF(H173=1,IF(L173=1,"B2a Severe, peak","B2b Severe, off-peak"),IF(L173=1,"B1a Slight, peak","B1b Slight, off-peak"))))</f>
        <v>A On time</v>
      </c>
      <c r="L173" s="33">
        <f>IF(AND(Orders!U170&gt;=19,Orders!U170&lt;22),1,0)</f>
        <v>0</v>
      </c>
      <c r="M173" s="33">
        <f>IF(L173=IF(Orders!V170,1,0),1,0)</f>
        <v>1</v>
      </c>
      <c r="N173" s="32" t="str">
        <f>IF(Orders!W170="","None",Orders!W170)</f>
        <v>Heavy</v>
      </c>
      <c r="O173" s="35">
        <f>INT(Orders!E170)</f>
        <v>46267.0</v>
      </c>
      <c r="P173" s="33">
        <f>Orders!U170</f>
        <v>9</v>
      </c>
      <c r="Q173" s="33">
        <f>COUNTIFS(Demand!$A$2:$A$4481,B173,Demand!$B$2:$B$4481,O173,Demand!$C$2:$C$4481,P173)</f>
        <v>1</v>
      </c>
      <c r="R173" s="33">
        <f>IF(Q173=1,SUMIFS(Demand!$E$2:$E$4481,Demand!$A$2:$A$4481,B173,Demand!$B$2:$B$4481,O173,Demand!$C$2:$C$4481,P173),"")</f>
        <v>33</v>
      </c>
      <c r="S173" s="33">
        <f>INDEX(Stores!$G$2:$G$21,MATCH(B173,Stores!$A$2:$A$21,0))</f>
        <v>49</v>
      </c>
      <c r="T173" s="34">
        <f>IF(R173="","",R173/S173)</f>
        <v>0.673469387755102</v>
      </c>
      <c r="U173" s="34">
        <f>IF(E173=1,T173,"")</f>
        <v>0.673469387755102</v>
      </c>
      <c r="V173" s="34">
        <f>IF(AND(E173=1,L173=0),T173,"")</f>
        <v>0.673469387755102</v>
      </c>
      <c r="W173" s="33">
        <f>IF(U173="","",IF(U173&lt;=Breakdowns!$C$5,1,IF(U173&lt;=Breakdowns!$C$6,2,IF(U173&lt;=Breakdowns!$C$7,3,4))))</f>
        <v>1</v>
      </c>
      <c r="X173" s="33">
        <f>IF(V173="","",IF(V173&lt;=Breakdowns!$D$5,1,IF(V173&lt;=Breakdowns!$D$6,2,IF(V173&lt;=Breakdowns!$D$7,3,4))))</f>
        <v>1</v>
      </c>
      <c r="Y173" s="34">
        <f>INDEX(Stores!$F$2:$F$21,MATCH(B173,Stores!$A$2:$A$21,0))</f>
        <v>5.82</v>
      </c>
      <c r="Z173" s="33">
        <f>IF(Y173&gt;Store_Summary!$M$2,1,0)</f>
        <v>1</v>
      </c>
      <c r="AA173" s="33">
        <f>INDEX(Stores!$C$2:$C$21,MATCH(B173,Stores!$A$2:$A$21,0))</f>
        <v>705</v>
      </c>
      <c r="AB173" s="33">
        <f>IF(AA173&lt;180,1,0)</f>
        <v>0</v>
      </c>
      <c r="AC173" s="32" t="str">
        <f>IF(Orders!D170="","",INDEX(Riders!$C$2:$C$81,MATCH(Orders!D170,Riders!$A$2:$A$81,0)))</f>
        <v>EV scooter</v>
      </c>
      <c r="AD173" s="33">
        <f>IF(Orders!D170="","",INDEX(Riders!$D$2:$D$81,MATCH(Orders!D170,Riders!$A$2:$A$81,0)))</f>
        <v>38</v>
      </c>
      <c r="AE173" s="33">
        <f>IF(Orders!D170="","",IF(INDEX(Riders!$B$2:$B$81,MATCH(Orders!D170,Riders!$A$2:$A$81,0))=B173,1,0))</f>
        <v>0</v>
      </c>
      <c r="AF173" s="34">
        <f>IF(E173=1,Orders!L170,"")</f>
        <v>3</v>
      </c>
      <c r="AG173" s="34">
        <f>IF(E173=1,Orders!P170,"")</f>
        <v>10.3</v>
      </c>
      <c r="AH173" s="34">
        <f>IF(E173=1,Orders!Q170,"")</f>
        <v>9.4</v>
      </c>
      <c r="AI173" s="34">
        <f>IF(E173=1,Orders!M170,"")</f>
        <v>2.1</v>
      </c>
      <c r="AJ173" s="34">
        <f>IF(E173=1,Orders!N170,"")</f>
        <v>3.9</v>
      </c>
      <c r="AK173" s="34">
        <f>IF(E173=1,Orders!O170,"")</f>
        <v>3.4</v>
      </c>
      <c r="AL173" s="33">
        <f>IF(E173=1,IF(ROUND(ABS(AI173+AJ173+AK173-AH173),6)&lt;=0.1,1,0),"")</f>
        <v>1</v>
      </c>
      <c r="AM173" s="36">
        <f>IF(E173=1,AI173/AH173,"")</f>
        <v>0.223404255319149</v>
      </c>
      <c r="AN173" s="36">
        <f>IF(E173=1,AJ173/AH173,"")</f>
        <v>0.414893617021277</v>
      </c>
      <c r="AO173" s="36">
        <f>IF(E173=1,AK173/AH173,"")</f>
        <v>0.361702127659574</v>
      </c>
      <c r="AP173" s="34">
        <f>IF(E173=1,Orders!Y170,"")</f>
        <v>0.55</v>
      </c>
      <c r="AQ173" s="33">
        <f>IF(Orders!X170,1,0)</f>
        <v>0</v>
      </c>
      <c r="AR173" s="34" t="str">
        <f>IF(AND(E173=1,L173=1),AJ173,"")</f>
        <v/>
      </c>
      <c r="AS173" s="34">
        <f>IF(AND(E173=1,L173=0),AJ173,"")</f>
        <v>3.9</v>
      </c>
      <c r="AT173" s="34" t="str">
        <f>IF(AND(E173=1,L173=1),AI173,"")</f>
        <v/>
      </c>
      <c r="AU173" s="34">
        <f>IF(AND(E173=1,L173=0),AI173,"")</f>
        <v>2.1</v>
      </c>
      <c r="AV173" s="34" t="str">
        <f>IF(AND(E173=1,L173=1),AG173,"")</f>
        <v/>
      </c>
      <c r="AW173" s="34">
        <f>IF(AND(E173=1,L173=0),AG173,"")</f>
        <v>10.3</v>
      </c>
      <c r="AX173" s="34" t="str">
        <f>IF(AND(E173=1,L173=1),AH173,"")</f>
        <v/>
      </c>
      <c r="AY173" s="34">
        <f>IF(AND(E173=1,L173=0),AH173,"")</f>
        <v>9.4</v>
      </c>
      <c r="AZ173" s="34" t="str">
        <f>IF(G173=1,F173,"")</f>
        <v/>
      </c>
      <c r="BA173" s="34" t="str">
        <f>IF(AND(G173=1,L173=1),F173,"")</f>
        <v/>
      </c>
      <c r="BB173" s="34" t="str">
        <f>IF(AND(G173=1,L173=0),F173,"")</f>
        <v/>
      </c>
      <c r="BC173" s="33">
        <f>IF(E173=1,IF(Orders!R170&gt;3,1,0),"")</f>
        <v>0</v>
      </c>
      <c r="BD173" s="33">
        <f>IF(E173=1,IF(Orders!R170&gt;7,1,0),"")</f>
        <v>0</v>
      </c>
      <c r="BE173" s="32" t="str">
        <f>IF(E173=1,IF(Orders!L170&lt;=1.5,"Up to 1.5 km",IF(Orders!L170&lt;=3,"1.5–3 km","Over 3 km")),"")</f>
        <v>1.5–3 km</v>
      </c>
      <c r="BF173" s="33">
        <f>IF(E173=1,IF(ABS((Orders!G170-Orders!F170)*1440-Orders!R170)&lt;0.06,1,0),"")</f>
        <v>1</v>
      </c>
      <c r="BG173" s="33">
        <f>IF(ABS((Orders!F170-Orders!E170)*1440-Orders!P170)&lt;0.06,1,0)</f>
        <v>1</v>
      </c>
      <c r="BH173" s="33">
        <f>IF(E173=1,IF(IF(Orders!S170,1,0)=1-G173,1,0),"")</f>
        <v>1</v>
      </c>
      <c r="BI173" s="32" t="str">
        <f>INDEX(Stores!$B$2:$B$21,MATCH(B173,Stores!$A$2:$A$21,0))</f>
        <v>Mumbai</v>
      </c>
    </row>
    <row r="174">
      <c r="A174" s="32" t="str">
        <f>Orders!A171</f>
        <v>O00170</v>
      </c>
      <c r="B174" s="32" t="str">
        <f>Orders!C171</f>
        <v>S013</v>
      </c>
      <c r="C174" s="32" t="str">
        <f>Orders!B171</f>
        <v>C0241</v>
      </c>
      <c r="D174" s="32" t="str">
        <f>Orders!H171</f>
        <v>Delivered</v>
      </c>
      <c r="E174" s="33">
        <f>IF(Orders!H171="Delivered",1,0)</f>
        <v>1</v>
      </c>
      <c r="F174" s="34">
        <f>IF(E174=1,Orders!R171,"")</f>
        <v>-0.2</v>
      </c>
      <c r="G174" s="33">
        <f>IF(E174=1,IF(Orders!R171&gt;0,1,0),"")</f>
        <v>0</v>
      </c>
      <c r="H174" s="33">
        <f>IF(E174=1,IF(Orders!R171&gt;5,1,0),"")</f>
        <v>0</v>
      </c>
      <c r="I174" s="32" t="str">
        <f>IF(E174=1,"",IF(OR(Orders!T171="Rider unavailable",Orders!T171="Item unavailable"),"Company-caused","Unresolved"))</f>
        <v/>
      </c>
      <c r="J174" s="33">
        <f>IF(OR(E174=1,I174="Company-caused"),1,0)</f>
        <v>1</v>
      </c>
      <c r="K174" s="32" t="str">
        <f>IF(E174=0,IF(I174="Company-caused",IF(Orders!T171="Rider unavailable","C1 Rider unavailable","C2 Item unavailable"),"Outside root: unresolved"),IF(G174=0,"A On time",IF(H174=1,IF(L174=1,"B2a Severe, peak","B2b Severe, off-peak"),IF(L174=1,"B1a Slight, peak","B1b Slight, off-peak"))))</f>
        <v>A On time</v>
      </c>
      <c r="L174" s="33">
        <f>IF(AND(Orders!U171&gt;=19,Orders!U171&lt;22),1,0)</f>
        <v>0</v>
      </c>
      <c r="M174" s="33">
        <f>IF(L174=IF(Orders!V171,1,0),1,0)</f>
        <v>1</v>
      </c>
      <c r="N174" s="32" t="str">
        <f>IF(Orders!W171="","None",Orders!W171)</f>
        <v>Heavy</v>
      </c>
      <c r="O174" s="35">
        <f>INT(Orders!E171)</f>
        <v>46269.0</v>
      </c>
      <c r="P174" s="33">
        <f>Orders!U171</f>
        <v>18</v>
      </c>
      <c r="Q174" s="33">
        <f>COUNTIFS(Demand!$A$2:$A$4481,B174,Demand!$B$2:$B$4481,O174,Demand!$C$2:$C$4481,P174)</f>
        <v>1</v>
      </c>
      <c r="R174" s="33">
        <f>IF(Q174=1,SUMIFS(Demand!$E$2:$E$4481,Demand!$A$2:$A$4481,B174,Demand!$B$2:$B$4481,O174,Demand!$C$2:$C$4481,P174),"")</f>
        <v>36</v>
      </c>
      <c r="S174" s="33">
        <f>INDEX(Stores!$G$2:$G$21,MATCH(B174,Stores!$A$2:$A$21,0))</f>
        <v>49</v>
      </c>
      <c r="T174" s="34">
        <f>IF(R174="","",R174/S174)</f>
        <v>0.73469387755102</v>
      </c>
      <c r="U174" s="34">
        <f>IF(E174=1,T174,"")</f>
        <v>0.73469387755102</v>
      </c>
      <c r="V174" s="34">
        <f>IF(AND(E174=1,L174=0),T174,"")</f>
        <v>0.73469387755102</v>
      </c>
      <c r="W174" s="33">
        <f>IF(U174="","",IF(U174&lt;=Breakdowns!$C$5,1,IF(U174&lt;=Breakdowns!$C$6,2,IF(U174&lt;=Breakdowns!$C$7,3,4))))</f>
        <v>1</v>
      </c>
      <c r="X174" s="33">
        <f>IF(V174="","",IF(V174&lt;=Breakdowns!$D$5,1,IF(V174&lt;=Breakdowns!$D$6,2,IF(V174&lt;=Breakdowns!$D$7,3,4))))</f>
        <v>1</v>
      </c>
      <c r="Y174" s="34">
        <f>INDEX(Stores!$F$2:$F$21,MATCH(B174,Stores!$A$2:$A$21,0))</f>
        <v>5.82</v>
      </c>
      <c r="Z174" s="33">
        <f>IF(Y174&gt;Store_Summary!$M$2,1,0)</f>
        <v>1</v>
      </c>
      <c r="AA174" s="33">
        <f>INDEX(Stores!$C$2:$C$21,MATCH(B174,Stores!$A$2:$A$21,0))</f>
        <v>705</v>
      </c>
      <c r="AB174" s="33">
        <f>IF(AA174&lt;180,1,0)</f>
        <v>0</v>
      </c>
      <c r="AC174" s="32" t="str">
        <f>IF(Orders!D171="","",INDEX(Riders!$C$2:$C$81,MATCH(Orders!D171,Riders!$A$2:$A$81,0)))</f>
        <v>Petrol scooter</v>
      </c>
      <c r="AD174" s="33">
        <f>IF(Orders!D171="","",INDEX(Riders!$D$2:$D$81,MATCH(Orders!D171,Riders!$A$2:$A$81,0)))</f>
        <v>24</v>
      </c>
      <c r="AE174" s="33">
        <f>IF(Orders!D171="","",IF(INDEX(Riders!$B$2:$B$81,MATCH(Orders!D171,Riders!$A$2:$A$81,0))=B174,1,0))</f>
        <v>0</v>
      </c>
      <c r="AF174" s="34">
        <f>IF(E174=1,Orders!L171,"")</f>
        <v>1.83</v>
      </c>
      <c r="AG174" s="34">
        <f>IF(E174=1,Orders!P171,"")</f>
        <v>9.5</v>
      </c>
      <c r="AH174" s="34">
        <f>IF(E174=1,Orders!Q171,"")</f>
        <v>9.3</v>
      </c>
      <c r="AI174" s="34">
        <f>IF(E174=1,Orders!M171,"")</f>
        <v>2.6</v>
      </c>
      <c r="AJ174" s="34">
        <f>IF(E174=1,Orders!N171,"")</f>
        <v>2.9</v>
      </c>
      <c r="AK174" s="34">
        <f>IF(E174=1,Orders!O171,"")</f>
        <v>3.8</v>
      </c>
      <c r="AL174" s="33">
        <f>IF(E174=1,IF(ROUND(ABS(AI174+AJ174+AK174-AH174),6)&lt;=0.1,1,0),"")</f>
        <v>1</v>
      </c>
      <c r="AM174" s="36">
        <f>IF(E174=1,AI174/AH174,"")</f>
        <v>0.279569892473118</v>
      </c>
      <c r="AN174" s="36">
        <f>IF(E174=1,AJ174/AH174,"")</f>
        <v>0.311827956989247</v>
      </c>
      <c r="AO174" s="36">
        <f>IF(E174=1,AK174/AH174,"")</f>
        <v>0.408602150537634</v>
      </c>
      <c r="AP174" s="34">
        <f>IF(E174=1,Orders!Y171,"")</f>
        <v>0.64</v>
      </c>
      <c r="AQ174" s="33">
        <f>IF(Orders!X171,1,0)</f>
        <v>0</v>
      </c>
      <c r="AR174" s="34" t="str">
        <f>IF(AND(E174=1,L174=1),AJ174,"")</f>
        <v/>
      </c>
      <c r="AS174" s="34">
        <f>IF(AND(E174=1,L174=0),AJ174,"")</f>
        <v>2.9</v>
      </c>
      <c r="AT174" s="34" t="str">
        <f>IF(AND(E174=1,L174=1),AI174,"")</f>
        <v/>
      </c>
      <c r="AU174" s="34">
        <f>IF(AND(E174=1,L174=0),AI174,"")</f>
        <v>2.6</v>
      </c>
      <c r="AV174" s="34" t="str">
        <f>IF(AND(E174=1,L174=1),AG174,"")</f>
        <v/>
      </c>
      <c r="AW174" s="34">
        <f>IF(AND(E174=1,L174=0),AG174,"")</f>
        <v>9.5</v>
      </c>
      <c r="AX174" s="34" t="str">
        <f>IF(AND(E174=1,L174=1),AH174,"")</f>
        <v/>
      </c>
      <c r="AY174" s="34">
        <f>IF(AND(E174=1,L174=0),AH174,"")</f>
        <v>9.3</v>
      </c>
      <c r="AZ174" s="34" t="str">
        <f>IF(G174=1,F174,"")</f>
        <v/>
      </c>
      <c r="BA174" s="34" t="str">
        <f>IF(AND(G174=1,L174=1),F174,"")</f>
        <v/>
      </c>
      <c r="BB174" s="34" t="str">
        <f>IF(AND(G174=1,L174=0),F174,"")</f>
        <v/>
      </c>
      <c r="BC174" s="33">
        <f>IF(E174=1,IF(Orders!R171&gt;3,1,0),"")</f>
        <v>0</v>
      </c>
      <c r="BD174" s="33">
        <f>IF(E174=1,IF(Orders!R171&gt;7,1,0),"")</f>
        <v>0</v>
      </c>
      <c r="BE174" s="32" t="str">
        <f>IF(E174=1,IF(Orders!L171&lt;=1.5,"Up to 1.5 km",IF(Orders!L171&lt;=3,"1.5–3 km","Over 3 km")),"")</f>
        <v>1.5–3 km</v>
      </c>
      <c r="BF174" s="33">
        <f>IF(E174=1,IF(ABS((Orders!G171-Orders!F171)*1440-Orders!R171)&lt;0.06,1,0),"")</f>
        <v>1</v>
      </c>
      <c r="BG174" s="33">
        <f>IF(ABS((Orders!F171-Orders!E171)*1440-Orders!P171)&lt;0.06,1,0)</f>
        <v>1</v>
      </c>
      <c r="BH174" s="33">
        <f>IF(E174=1,IF(IF(Orders!S171,1,0)=1-G174,1,0),"")</f>
        <v>1</v>
      </c>
      <c r="BI174" s="32" t="str">
        <f>INDEX(Stores!$B$2:$B$21,MATCH(B174,Stores!$A$2:$A$21,0))</f>
        <v>Mumbai</v>
      </c>
    </row>
    <row r="175">
      <c r="A175" s="32" t="str">
        <f>Orders!A172</f>
        <v>O00171</v>
      </c>
      <c r="B175" s="32" t="str">
        <f>Orders!C172</f>
        <v>S015</v>
      </c>
      <c r="C175" s="32" t="str">
        <f>Orders!B172</f>
        <v>C0245</v>
      </c>
      <c r="D175" s="32" t="str">
        <f>Orders!H172</f>
        <v>Delivered</v>
      </c>
      <c r="E175" s="33">
        <f>IF(Orders!H172="Delivered",1,0)</f>
        <v>1</v>
      </c>
      <c r="F175" s="34">
        <f>IF(E175=1,Orders!R172,"")</f>
        <v>-0.2</v>
      </c>
      <c r="G175" s="33">
        <f>IF(E175=1,IF(Orders!R172&gt;0,1,0),"")</f>
        <v>0</v>
      </c>
      <c r="H175" s="33">
        <f>IF(E175=1,IF(Orders!R172&gt;5,1,0),"")</f>
        <v>0</v>
      </c>
      <c r="I175" s="32" t="str">
        <f>IF(E175=1,"",IF(OR(Orders!T172="Rider unavailable",Orders!T172="Item unavailable"),"Company-caused","Unresolved"))</f>
        <v/>
      </c>
      <c r="J175" s="33">
        <f>IF(OR(E175=1,I175="Company-caused"),1,0)</f>
        <v>1</v>
      </c>
      <c r="K175" s="32" t="str">
        <f>IF(E175=0,IF(I175="Company-caused",IF(Orders!T172="Rider unavailable","C1 Rider unavailable","C2 Item unavailable"),"Outside root: unresolved"),IF(G175=0,"A On time",IF(H175=1,IF(L175=1,"B2a Severe, peak","B2b Severe, off-peak"),IF(L175=1,"B1a Slight, peak","B1b Slight, off-peak"))))</f>
        <v>A On time</v>
      </c>
      <c r="L175" s="33">
        <f>IF(AND(Orders!U172&gt;=19,Orders!U172&lt;22),1,0)</f>
        <v>0</v>
      </c>
      <c r="M175" s="33">
        <f>IF(L175=IF(Orders!V172,1,0),1,0)</f>
        <v>1</v>
      </c>
      <c r="N175" s="32" t="str">
        <f>IF(Orders!W172="","None",Orders!W172)</f>
        <v>Light</v>
      </c>
      <c r="O175" s="35">
        <f>INT(Orders!E172)</f>
        <v>46276.0</v>
      </c>
      <c r="P175" s="33">
        <f>Orders!U172</f>
        <v>9</v>
      </c>
      <c r="Q175" s="33">
        <f>COUNTIFS(Demand!$A$2:$A$4481,B175,Demand!$B$2:$B$4481,O175,Demand!$C$2:$C$4481,P175)</f>
        <v>1</v>
      </c>
      <c r="R175" s="33">
        <f>IF(Q175=1,SUMIFS(Demand!$E$2:$E$4481,Demand!$A$2:$A$4481,B175,Demand!$B$2:$B$4481,O175,Demand!$C$2:$C$4481,P175),"")</f>
        <v>14</v>
      </c>
      <c r="S175" s="33">
        <f>INDEX(Stores!$G$2:$G$21,MATCH(B175,Stores!$A$2:$A$21,0))</f>
        <v>23</v>
      </c>
      <c r="T175" s="34">
        <f>IF(R175="","",R175/S175)</f>
        <v>0.608695652173913</v>
      </c>
      <c r="U175" s="34">
        <f>IF(E175=1,T175,"")</f>
        <v>0.608695652173913</v>
      </c>
      <c r="V175" s="34">
        <f>IF(AND(E175=1,L175=0),T175,"")</f>
        <v>0.608695652173913</v>
      </c>
      <c r="W175" s="33">
        <f>IF(U175="","",IF(U175&lt;=Breakdowns!$C$5,1,IF(U175&lt;=Breakdowns!$C$6,2,IF(U175&lt;=Breakdowns!$C$7,3,4))))</f>
        <v>1</v>
      </c>
      <c r="X175" s="33">
        <f>IF(V175="","",IF(V175&lt;=Breakdowns!$D$5,1,IF(V175&lt;=Breakdowns!$D$6,2,IF(V175&lt;=Breakdowns!$D$7,3,4))))</f>
        <v>1</v>
      </c>
      <c r="Y175" s="34">
        <f>INDEX(Stores!$F$2:$F$21,MATCH(B175,Stores!$A$2:$A$21,0))</f>
        <v>4.66</v>
      </c>
      <c r="Z175" s="33">
        <f>IF(Y175&gt;Store_Summary!$M$2,1,0)</f>
        <v>0</v>
      </c>
      <c r="AA175" s="33">
        <f>INDEX(Stores!$C$2:$C$21,MATCH(B175,Stores!$A$2:$A$21,0))</f>
        <v>204</v>
      </c>
      <c r="AB175" s="33">
        <f>IF(AA175&lt;180,1,0)</f>
        <v>0</v>
      </c>
      <c r="AC175" s="32" t="str">
        <f>IF(Orders!D172="","",INDEX(Riders!$C$2:$C$81,MATCH(Orders!D172,Riders!$A$2:$A$81,0)))</f>
        <v>EV scooter</v>
      </c>
      <c r="AD175" s="33">
        <f>IF(Orders!D172="","",INDEX(Riders!$D$2:$D$81,MATCH(Orders!D172,Riders!$A$2:$A$81,0)))</f>
        <v>11</v>
      </c>
      <c r="AE175" s="33">
        <f>IF(Orders!D172="","",IF(INDEX(Riders!$B$2:$B$81,MATCH(Orders!D172,Riders!$A$2:$A$81,0))=B175,1,0))</f>
        <v>0</v>
      </c>
      <c r="AF175" s="34">
        <f>IF(E175=1,Orders!L172,"")</f>
        <v>1.34</v>
      </c>
      <c r="AG175" s="34">
        <f>IF(E175=1,Orders!P172,"")</f>
        <v>9</v>
      </c>
      <c r="AH175" s="34">
        <f>IF(E175=1,Orders!Q172,"")</f>
        <v>8.8</v>
      </c>
      <c r="AI175" s="34">
        <f>IF(E175=1,Orders!M172,"")</f>
        <v>3</v>
      </c>
      <c r="AJ175" s="34">
        <f>IF(E175=1,Orders!N172,"")</f>
        <v>3.6</v>
      </c>
      <c r="AK175" s="34">
        <f>IF(E175=1,Orders!O172,"")</f>
        <v>2.2</v>
      </c>
      <c r="AL175" s="33">
        <f>IF(E175=1,IF(ROUND(ABS(AI175+AJ175+AK175-AH175),6)&lt;=0.1,1,0),"")</f>
        <v>1</v>
      </c>
      <c r="AM175" s="36">
        <f>IF(E175=1,AI175/AH175,"")</f>
        <v>0.340909090909091</v>
      </c>
      <c r="AN175" s="36">
        <f>IF(E175=1,AJ175/AH175,"")</f>
        <v>0.409090909090909</v>
      </c>
      <c r="AO175" s="36">
        <f>IF(E175=1,AK175/AH175,"")</f>
        <v>0.25</v>
      </c>
      <c r="AP175" s="34">
        <f>IF(E175=1,Orders!Y172,"")</f>
        <v>0.33</v>
      </c>
      <c r="AQ175" s="33">
        <f>IF(Orders!X172,1,0)</f>
        <v>0</v>
      </c>
      <c r="AR175" s="34" t="str">
        <f>IF(AND(E175=1,L175=1),AJ175,"")</f>
        <v/>
      </c>
      <c r="AS175" s="34">
        <f>IF(AND(E175=1,L175=0),AJ175,"")</f>
        <v>3.6</v>
      </c>
      <c r="AT175" s="34" t="str">
        <f>IF(AND(E175=1,L175=1),AI175,"")</f>
        <v/>
      </c>
      <c r="AU175" s="34">
        <f>IF(AND(E175=1,L175=0),AI175,"")</f>
        <v>3</v>
      </c>
      <c r="AV175" s="34" t="str">
        <f>IF(AND(E175=1,L175=1),AG175,"")</f>
        <v/>
      </c>
      <c r="AW175" s="34">
        <f>IF(AND(E175=1,L175=0),AG175,"")</f>
        <v>9</v>
      </c>
      <c r="AX175" s="34" t="str">
        <f>IF(AND(E175=1,L175=1),AH175,"")</f>
        <v/>
      </c>
      <c r="AY175" s="34">
        <f>IF(AND(E175=1,L175=0),AH175,"")</f>
        <v>8.8</v>
      </c>
      <c r="AZ175" s="34" t="str">
        <f>IF(G175=1,F175,"")</f>
        <v/>
      </c>
      <c r="BA175" s="34" t="str">
        <f>IF(AND(G175=1,L175=1),F175,"")</f>
        <v/>
      </c>
      <c r="BB175" s="34" t="str">
        <f>IF(AND(G175=1,L175=0),F175,"")</f>
        <v/>
      </c>
      <c r="BC175" s="33">
        <f>IF(E175=1,IF(Orders!R172&gt;3,1,0),"")</f>
        <v>0</v>
      </c>
      <c r="BD175" s="33">
        <f>IF(E175=1,IF(Orders!R172&gt;7,1,0),"")</f>
        <v>0</v>
      </c>
      <c r="BE175" s="32" t="str">
        <f>IF(E175=1,IF(Orders!L172&lt;=1.5,"Up to 1.5 km",IF(Orders!L172&lt;=3,"1.5–3 km","Over 3 km")),"")</f>
        <v>Up to 1.5 km</v>
      </c>
      <c r="BF175" s="33">
        <f>IF(E175=1,IF(ABS((Orders!G172-Orders!F172)*1440-Orders!R172)&lt;0.06,1,0),"")</f>
        <v>1</v>
      </c>
      <c r="BG175" s="33">
        <f>IF(ABS((Orders!F172-Orders!E172)*1440-Orders!P172)&lt;0.06,1,0)</f>
        <v>1</v>
      </c>
      <c r="BH175" s="33">
        <f>IF(E175=1,IF(IF(Orders!S172,1,0)=1-G175,1,0),"")</f>
        <v>1</v>
      </c>
      <c r="BI175" s="32" t="str">
        <f>INDEX(Stores!$B$2:$B$21,MATCH(B175,Stores!$A$2:$A$21,0))</f>
        <v>Delhi</v>
      </c>
    </row>
    <row r="176">
      <c r="A176" s="32" t="str">
        <f>Orders!A173</f>
        <v>O00172</v>
      </c>
      <c r="B176" s="32" t="str">
        <f>Orders!C173</f>
        <v>S020</v>
      </c>
      <c r="C176" s="32" t="str">
        <f>Orders!B173</f>
        <v>C0222</v>
      </c>
      <c r="D176" s="32" t="str">
        <f>Orders!H173</f>
        <v>Delivered</v>
      </c>
      <c r="E176" s="33">
        <f>IF(Orders!H173="Delivered",1,0)</f>
        <v>1</v>
      </c>
      <c r="F176" s="34">
        <f>IF(E176=1,Orders!R173,"")</f>
        <v>-0.9</v>
      </c>
      <c r="G176" s="33">
        <f>IF(E176=1,IF(Orders!R173&gt;0,1,0),"")</f>
        <v>0</v>
      </c>
      <c r="H176" s="33">
        <f>IF(E176=1,IF(Orders!R173&gt;5,1,0),"")</f>
        <v>0</v>
      </c>
      <c r="I176" s="32" t="str">
        <f>IF(E176=1,"",IF(OR(Orders!T173="Rider unavailable",Orders!T173="Item unavailable"),"Company-caused","Unresolved"))</f>
        <v/>
      </c>
      <c r="J176" s="33">
        <f>IF(OR(E176=1,I176="Company-caused"),1,0)</f>
        <v>1</v>
      </c>
      <c r="K176" s="32" t="str">
        <f>IF(E176=0,IF(I176="Company-caused",IF(Orders!T173="Rider unavailable","C1 Rider unavailable","C2 Item unavailable"),"Outside root: unresolved"),IF(G176=0,"A On time",IF(H176=1,IF(L176=1,"B2a Severe, peak","B2b Severe, off-peak"),IF(L176=1,"B1a Slight, peak","B1b Slight, off-peak"))))</f>
        <v>A On time</v>
      </c>
      <c r="L176" s="33">
        <f>IF(AND(Orders!U173&gt;=19,Orders!U173&lt;22),1,0)</f>
        <v>1</v>
      </c>
      <c r="M176" s="33">
        <f>IF(L176=IF(Orders!V173,1,0),1,0)</f>
        <v>1</v>
      </c>
      <c r="N176" s="32" t="str">
        <f>IF(Orders!W173="","None",Orders!W173)</f>
        <v>None</v>
      </c>
      <c r="O176" s="35">
        <f>INT(Orders!E173)</f>
        <v>46275.0</v>
      </c>
      <c r="P176" s="33">
        <f>Orders!U173</f>
        <v>21</v>
      </c>
      <c r="Q176" s="33">
        <f>COUNTIFS(Demand!$A$2:$A$4481,B176,Demand!$B$2:$B$4481,O176,Demand!$C$2:$C$4481,P176)</f>
        <v>1</v>
      </c>
      <c r="R176" s="33">
        <f>IF(Q176=1,SUMIFS(Demand!$E$2:$E$4481,Demand!$A$2:$A$4481,B176,Demand!$B$2:$B$4481,O176,Demand!$C$2:$C$4481,P176),"")</f>
        <v>21</v>
      </c>
      <c r="S176" s="33">
        <f>INDEX(Stores!$G$2:$G$21,MATCH(B176,Stores!$A$2:$A$21,0))</f>
        <v>15</v>
      </c>
      <c r="T176" s="34">
        <f>IF(R176="","",R176/S176)</f>
        <v>1.4</v>
      </c>
      <c r="U176" s="34">
        <f>IF(E176=1,T176,"")</f>
        <v>1.4</v>
      </c>
      <c r="V176" s="34" t="str">
        <f>IF(AND(E176=1,L176=0),T176,"")</f>
        <v/>
      </c>
      <c r="W176" s="33">
        <f>IF(U176="","",IF(U176&lt;=Breakdowns!$C$5,1,IF(U176&lt;=Breakdowns!$C$6,2,IF(U176&lt;=Breakdowns!$C$7,3,4))))</f>
        <v>4</v>
      </c>
      <c r="X176" s="33" t="str">
        <f>IF(V176="","",IF(V176&lt;=Breakdowns!$D$5,1,IF(V176&lt;=Breakdowns!$D$6,2,IF(V176&lt;=Breakdowns!$D$7,3,4))))</f>
        <v/>
      </c>
      <c r="Y176" s="34">
        <f>INDEX(Stores!$F$2:$F$21,MATCH(B176,Stores!$A$2:$A$21,0))</f>
        <v>5.74</v>
      </c>
      <c r="Z176" s="33">
        <f>IF(Y176&gt;Store_Summary!$M$2,1,0)</f>
        <v>1</v>
      </c>
      <c r="AA176" s="33">
        <f>INDEX(Stores!$C$2:$C$21,MATCH(B176,Stores!$A$2:$A$21,0))</f>
        <v>647</v>
      </c>
      <c r="AB176" s="33">
        <f>IF(AA176&lt;180,1,0)</f>
        <v>0</v>
      </c>
      <c r="AC176" s="32" t="str">
        <f>IF(Orders!D173="","",INDEX(Riders!$C$2:$C$81,MATCH(Orders!D173,Riders!$A$2:$A$81,0)))</f>
        <v>Petrol scooter</v>
      </c>
      <c r="AD176" s="33">
        <f>IF(Orders!D173="","",INDEX(Riders!$D$2:$D$81,MATCH(Orders!D173,Riders!$A$2:$A$81,0)))</f>
        <v>30</v>
      </c>
      <c r="AE176" s="33">
        <f>IF(Orders!D173="","",IF(INDEX(Riders!$B$2:$B$81,MATCH(Orders!D173,Riders!$A$2:$A$81,0))=B176,1,0))</f>
        <v>0</v>
      </c>
      <c r="AF176" s="34">
        <f>IF(E176=1,Orders!L173,"")</f>
        <v>3.71</v>
      </c>
      <c r="AG176" s="34">
        <f>IF(E176=1,Orders!P173,"")</f>
        <v>10.2</v>
      </c>
      <c r="AH176" s="34">
        <f>IF(E176=1,Orders!Q173,"")</f>
        <v>9.3</v>
      </c>
      <c r="AI176" s="34">
        <f>IF(E176=1,Orders!M173,"")</f>
        <v>3.2</v>
      </c>
      <c r="AJ176" s="34">
        <f>IF(E176=1,Orders!N173,"")</f>
        <v>1.8</v>
      </c>
      <c r="AK176" s="34">
        <f>IF(E176=1,Orders!O173,"")</f>
        <v>4.3</v>
      </c>
      <c r="AL176" s="33">
        <f>IF(E176=1,IF(ROUND(ABS(AI176+AJ176+AK176-AH176),6)&lt;=0.1,1,0),"")</f>
        <v>1</v>
      </c>
      <c r="AM176" s="36">
        <f>IF(E176=1,AI176/AH176,"")</f>
        <v>0.344086021505376</v>
      </c>
      <c r="AN176" s="36">
        <f>IF(E176=1,AJ176/AH176,"")</f>
        <v>0.193548387096774</v>
      </c>
      <c r="AO176" s="36">
        <f>IF(E176=1,AK176/AH176,"")</f>
        <v>0.462365591397849</v>
      </c>
      <c r="AP176" s="34">
        <f>IF(E176=1,Orders!Y173,"")</f>
        <v>0.88</v>
      </c>
      <c r="AQ176" s="33">
        <f>IF(Orders!X173,1,0)</f>
        <v>0</v>
      </c>
      <c r="AR176" s="34">
        <f>IF(AND(E176=1,L176=1),AJ176,"")</f>
        <v>1.8</v>
      </c>
      <c r="AS176" s="34" t="str">
        <f>IF(AND(E176=1,L176=0),AJ176,"")</f>
        <v/>
      </c>
      <c r="AT176" s="34">
        <f>IF(AND(E176=1,L176=1),AI176,"")</f>
        <v>3.2</v>
      </c>
      <c r="AU176" s="34" t="str">
        <f>IF(AND(E176=1,L176=0),AI176,"")</f>
        <v/>
      </c>
      <c r="AV176" s="34">
        <f>IF(AND(E176=1,L176=1),AG176,"")</f>
        <v>10.2</v>
      </c>
      <c r="AW176" s="34" t="str">
        <f>IF(AND(E176=1,L176=0),AG176,"")</f>
        <v/>
      </c>
      <c r="AX176" s="34">
        <f>IF(AND(E176=1,L176=1),AH176,"")</f>
        <v>9.3</v>
      </c>
      <c r="AY176" s="34" t="str">
        <f>IF(AND(E176=1,L176=0),AH176,"")</f>
        <v/>
      </c>
      <c r="AZ176" s="34" t="str">
        <f>IF(G176=1,F176,"")</f>
        <v/>
      </c>
      <c r="BA176" s="34" t="str">
        <f>IF(AND(G176=1,L176=1),F176,"")</f>
        <v/>
      </c>
      <c r="BB176" s="34" t="str">
        <f>IF(AND(G176=1,L176=0),F176,"")</f>
        <v/>
      </c>
      <c r="BC176" s="33">
        <f>IF(E176=1,IF(Orders!R173&gt;3,1,0),"")</f>
        <v>0</v>
      </c>
      <c r="BD176" s="33">
        <f>IF(E176=1,IF(Orders!R173&gt;7,1,0),"")</f>
        <v>0</v>
      </c>
      <c r="BE176" s="32" t="str">
        <f>IF(E176=1,IF(Orders!L173&lt;=1.5,"Up to 1.5 km",IF(Orders!L173&lt;=3,"1.5–3 km","Over 3 km")),"")</f>
        <v>Over 3 km</v>
      </c>
      <c r="BF176" s="33">
        <f>IF(E176=1,IF(ABS((Orders!G173-Orders!F173)*1440-Orders!R173)&lt;0.06,1,0),"")</f>
        <v>1</v>
      </c>
      <c r="BG176" s="33">
        <f>IF(ABS((Orders!F173-Orders!E173)*1440-Orders!P173)&lt;0.06,1,0)</f>
        <v>1</v>
      </c>
      <c r="BH176" s="33">
        <f>IF(E176=1,IF(IF(Orders!S173,1,0)=1-G176,1,0),"")</f>
        <v>1</v>
      </c>
      <c r="BI176" s="32" t="str">
        <f>INDEX(Stores!$B$2:$B$21,MATCH(B176,Stores!$A$2:$A$21,0))</f>
        <v>Delhi</v>
      </c>
    </row>
    <row r="177">
      <c r="A177" s="32" t="str">
        <f>Orders!A174</f>
        <v>O00173</v>
      </c>
      <c r="B177" s="32" t="str">
        <f>Orders!C174</f>
        <v>S004</v>
      </c>
      <c r="C177" s="32" t="str">
        <f>Orders!B174</f>
        <v>C0004</v>
      </c>
      <c r="D177" s="32" t="str">
        <f>Orders!H174</f>
        <v>Delivered</v>
      </c>
      <c r="E177" s="33">
        <f>IF(Orders!H174="Delivered",1,0)</f>
        <v>1</v>
      </c>
      <c r="F177" s="34">
        <f>IF(E177=1,Orders!R174,"")</f>
        <v>-0.7</v>
      </c>
      <c r="G177" s="33">
        <f>IF(E177=1,IF(Orders!R174&gt;0,1,0),"")</f>
        <v>0</v>
      </c>
      <c r="H177" s="33">
        <f>IF(E177=1,IF(Orders!R174&gt;5,1,0),"")</f>
        <v>0</v>
      </c>
      <c r="I177" s="32" t="str">
        <f>IF(E177=1,"",IF(OR(Orders!T174="Rider unavailable",Orders!T174="Item unavailable"),"Company-caused","Unresolved"))</f>
        <v/>
      </c>
      <c r="J177" s="33">
        <f>IF(OR(E177=1,I177="Company-caused"),1,0)</f>
        <v>1</v>
      </c>
      <c r="K177" s="32" t="str">
        <f>IF(E177=0,IF(I177="Company-caused",IF(Orders!T174="Rider unavailable","C1 Rider unavailable","C2 Item unavailable"),"Outside root: unresolved"),IF(G177=0,"A On time",IF(H177=1,IF(L177=1,"B2a Severe, peak","B2b Severe, off-peak"),IF(L177=1,"B1a Slight, peak","B1b Slight, off-peak"))))</f>
        <v>A On time</v>
      </c>
      <c r="L177" s="33">
        <f>IF(AND(Orders!U174&gt;=19,Orders!U174&lt;22),1,0)</f>
        <v>1</v>
      </c>
      <c r="M177" s="33">
        <f>IF(L177=IF(Orders!V174,1,0),1,0)</f>
        <v>1</v>
      </c>
      <c r="N177" s="32" t="str">
        <f>IF(Orders!W174="","None",Orders!W174)</f>
        <v>None</v>
      </c>
      <c r="O177" s="35">
        <f>INT(Orders!E174)</f>
        <v>46278.0</v>
      </c>
      <c r="P177" s="33">
        <f>Orders!U174</f>
        <v>20</v>
      </c>
      <c r="Q177" s="33">
        <f>COUNTIFS(Demand!$A$2:$A$4481,B177,Demand!$B$2:$B$4481,O177,Demand!$C$2:$C$4481,P177)</f>
        <v>1</v>
      </c>
      <c r="R177" s="33">
        <f>IF(Q177=1,SUMIFS(Demand!$E$2:$E$4481,Demand!$A$2:$A$4481,B177,Demand!$B$2:$B$4481,O177,Demand!$C$2:$C$4481,P177),"")</f>
        <v>56</v>
      </c>
      <c r="S177" s="33">
        <f>INDEX(Stores!$G$2:$G$21,MATCH(B177,Stores!$A$2:$A$21,0))</f>
        <v>42</v>
      </c>
      <c r="T177" s="34">
        <f>IF(R177="","",R177/S177)</f>
        <v>1.33333333333333</v>
      </c>
      <c r="U177" s="34">
        <f>IF(E177=1,T177,"")</f>
        <v>1.33333333333333</v>
      </c>
      <c r="V177" s="34" t="str">
        <f>IF(AND(E177=1,L177=0),T177,"")</f>
        <v/>
      </c>
      <c r="W177" s="33">
        <f>IF(U177="","",IF(U177&lt;=Breakdowns!$C$5,1,IF(U177&lt;=Breakdowns!$C$6,2,IF(U177&lt;=Breakdowns!$C$7,3,4))))</f>
        <v>4</v>
      </c>
      <c r="X177" s="33" t="str">
        <f>IF(V177="","",IF(V177&lt;=Breakdowns!$D$5,1,IF(V177&lt;=Breakdowns!$D$6,2,IF(V177&lt;=Breakdowns!$D$7,3,4))))</f>
        <v/>
      </c>
      <c r="Y177" s="34">
        <f>INDEX(Stores!$F$2:$F$21,MATCH(B177,Stores!$A$2:$A$21,0))</f>
        <v>2.19</v>
      </c>
      <c r="Z177" s="33">
        <f>IF(Y177&gt;Store_Summary!$M$2,1,0)</f>
        <v>0</v>
      </c>
      <c r="AA177" s="33">
        <f>INDEX(Stores!$C$2:$C$21,MATCH(B177,Stores!$A$2:$A$21,0))</f>
        <v>850</v>
      </c>
      <c r="AB177" s="33">
        <f>IF(AA177&lt;180,1,0)</f>
        <v>0</v>
      </c>
      <c r="AC177" s="32" t="str">
        <f>IF(Orders!D174="","",INDEX(Riders!$C$2:$C$81,MATCH(Orders!D174,Riders!$A$2:$A$81,0)))</f>
        <v>EV scooter</v>
      </c>
      <c r="AD177" s="33">
        <f>IF(Orders!D174="","",INDEX(Riders!$D$2:$D$81,MATCH(Orders!D174,Riders!$A$2:$A$81,0)))</f>
        <v>45</v>
      </c>
      <c r="AE177" s="33">
        <f>IF(Orders!D174="","",IF(INDEX(Riders!$B$2:$B$81,MATCH(Orders!D174,Riders!$A$2:$A$81,0))=B177,1,0))</f>
        <v>0</v>
      </c>
      <c r="AF177" s="34">
        <f>IF(E177=1,Orders!L174,"")</f>
        <v>0.69</v>
      </c>
      <c r="AG177" s="34">
        <f>IF(E177=1,Orders!P174,"")</f>
        <v>9.4</v>
      </c>
      <c r="AH177" s="34">
        <f>IF(E177=1,Orders!Q174,"")</f>
        <v>8.7</v>
      </c>
      <c r="AI177" s="34">
        <f>IF(E177=1,Orders!M174,"")</f>
        <v>1.4</v>
      </c>
      <c r="AJ177" s="34">
        <f>IF(E177=1,Orders!N174,"")</f>
        <v>5</v>
      </c>
      <c r="AK177" s="34">
        <f>IF(E177=1,Orders!O174,"")</f>
        <v>2.3</v>
      </c>
      <c r="AL177" s="33">
        <f>IF(E177=1,IF(ROUND(ABS(AI177+AJ177+AK177-AH177),6)&lt;=0.1,1,0),"")</f>
        <v>1</v>
      </c>
      <c r="AM177" s="36">
        <f>IF(E177=1,AI177/AH177,"")</f>
        <v>0.160919540229885</v>
      </c>
      <c r="AN177" s="36">
        <f>IF(E177=1,AJ177/AH177,"")</f>
        <v>0.574712643678161</v>
      </c>
      <c r="AO177" s="36">
        <f>IF(E177=1,AK177/AH177,"")</f>
        <v>0.264367816091954</v>
      </c>
      <c r="AP177" s="34">
        <f>IF(E177=1,Orders!Y174,"")</f>
        <v>0.8</v>
      </c>
      <c r="AQ177" s="33">
        <f>IF(Orders!X174,1,0)</f>
        <v>0</v>
      </c>
      <c r="AR177" s="34">
        <f>IF(AND(E177=1,L177=1),AJ177,"")</f>
        <v>5</v>
      </c>
      <c r="AS177" s="34" t="str">
        <f>IF(AND(E177=1,L177=0),AJ177,"")</f>
        <v/>
      </c>
      <c r="AT177" s="34">
        <f>IF(AND(E177=1,L177=1),AI177,"")</f>
        <v>1.4</v>
      </c>
      <c r="AU177" s="34" t="str">
        <f>IF(AND(E177=1,L177=0),AI177,"")</f>
        <v/>
      </c>
      <c r="AV177" s="34">
        <f>IF(AND(E177=1,L177=1),AG177,"")</f>
        <v>9.4</v>
      </c>
      <c r="AW177" s="34" t="str">
        <f>IF(AND(E177=1,L177=0),AG177,"")</f>
        <v/>
      </c>
      <c r="AX177" s="34">
        <f>IF(AND(E177=1,L177=1),AH177,"")</f>
        <v>8.7</v>
      </c>
      <c r="AY177" s="34" t="str">
        <f>IF(AND(E177=1,L177=0),AH177,"")</f>
        <v/>
      </c>
      <c r="AZ177" s="34" t="str">
        <f>IF(G177=1,F177,"")</f>
        <v/>
      </c>
      <c r="BA177" s="34" t="str">
        <f>IF(AND(G177=1,L177=1),F177,"")</f>
        <v/>
      </c>
      <c r="BB177" s="34" t="str">
        <f>IF(AND(G177=1,L177=0),F177,"")</f>
        <v/>
      </c>
      <c r="BC177" s="33">
        <f>IF(E177=1,IF(Orders!R174&gt;3,1,0),"")</f>
        <v>0</v>
      </c>
      <c r="BD177" s="33">
        <f>IF(E177=1,IF(Orders!R174&gt;7,1,0),"")</f>
        <v>0</v>
      </c>
      <c r="BE177" s="32" t="str">
        <f>IF(E177=1,IF(Orders!L174&lt;=1.5,"Up to 1.5 km",IF(Orders!L174&lt;=3,"1.5–3 km","Over 3 km")),"")</f>
        <v>Up to 1.5 km</v>
      </c>
      <c r="BF177" s="33">
        <f>IF(E177=1,IF(ABS((Orders!G174-Orders!F174)*1440-Orders!R174)&lt;0.06,1,0),"")</f>
        <v>1</v>
      </c>
      <c r="BG177" s="33">
        <f>IF(ABS((Orders!F174-Orders!E174)*1440-Orders!P174)&lt;0.06,1,0)</f>
        <v>1</v>
      </c>
      <c r="BH177" s="33">
        <f>IF(E177=1,IF(IF(Orders!S174,1,0)=1-G177,1,0),"")</f>
        <v>1</v>
      </c>
      <c r="BI177" s="32" t="str">
        <f>INDEX(Stores!$B$2:$B$21,MATCH(B177,Stores!$A$2:$A$21,0))</f>
        <v>Pune</v>
      </c>
    </row>
    <row r="178">
      <c r="A178" s="32" t="str">
        <f>Orders!A175</f>
        <v>O00174</v>
      </c>
      <c r="B178" s="32" t="str">
        <f>Orders!C175</f>
        <v>S005</v>
      </c>
      <c r="C178" s="32" t="str">
        <f>Orders!B175</f>
        <v>C0185</v>
      </c>
      <c r="D178" s="32" t="str">
        <f>Orders!H175</f>
        <v>Delivered</v>
      </c>
      <c r="E178" s="33">
        <f>IF(Orders!H175="Delivered",1,0)</f>
        <v>1</v>
      </c>
      <c r="F178" s="34">
        <f>IF(E178=1,Orders!R175,"")</f>
        <v>-0.3</v>
      </c>
      <c r="G178" s="33">
        <f>IF(E178=1,IF(Orders!R175&gt;0,1,0),"")</f>
        <v>0</v>
      </c>
      <c r="H178" s="33">
        <f>IF(E178=1,IF(Orders!R175&gt;5,1,0),"")</f>
        <v>0</v>
      </c>
      <c r="I178" s="32" t="str">
        <f>IF(E178=1,"",IF(OR(Orders!T175="Rider unavailable",Orders!T175="Item unavailable"),"Company-caused","Unresolved"))</f>
        <v/>
      </c>
      <c r="J178" s="33">
        <f>IF(OR(E178=1,I178="Company-caused"),1,0)</f>
        <v>1</v>
      </c>
      <c r="K178" s="32" t="str">
        <f>IF(E178=0,IF(I178="Company-caused",IF(Orders!T175="Rider unavailable","C1 Rider unavailable","C2 Item unavailable"),"Outside root: unresolved"),IF(G178=0,"A On time",IF(H178=1,IF(L178=1,"B2a Severe, peak","B2b Severe, off-peak"),IF(L178=1,"B1a Slight, peak","B1b Slight, off-peak"))))</f>
        <v>A On time</v>
      </c>
      <c r="L178" s="33">
        <f>IF(AND(Orders!U175&gt;=19,Orders!U175&lt;22),1,0)</f>
        <v>0</v>
      </c>
      <c r="M178" s="33">
        <f>IF(L178=IF(Orders!V175,1,0),1,0)</f>
        <v>1</v>
      </c>
      <c r="N178" s="32" t="str">
        <f>IF(Orders!W175="","None",Orders!W175)</f>
        <v>None</v>
      </c>
      <c r="O178" s="35">
        <f>INT(Orders!E175)</f>
        <v>46279.0</v>
      </c>
      <c r="P178" s="33">
        <f>Orders!U175</f>
        <v>8</v>
      </c>
      <c r="Q178" s="33">
        <f>COUNTIFS(Demand!$A$2:$A$4481,B178,Demand!$B$2:$B$4481,O178,Demand!$C$2:$C$4481,P178)</f>
        <v>1</v>
      </c>
      <c r="R178" s="33">
        <f>IF(Q178=1,SUMIFS(Demand!$E$2:$E$4481,Demand!$A$2:$A$4481,B178,Demand!$B$2:$B$4481,O178,Demand!$C$2:$C$4481,P178),"")</f>
        <v>13</v>
      </c>
      <c r="S178" s="33">
        <f>INDEX(Stores!$G$2:$G$21,MATCH(B178,Stores!$A$2:$A$21,0))</f>
        <v>14</v>
      </c>
      <c r="T178" s="34">
        <f>IF(R178="","",R178/S178)</f>
        <v>0.928571428571429</v>
      </c>
      <c r="U178" s="34">
        <f>IF(E178=1,T178,"")</f>
        <v>0.928571428571429</v>
      </c>
      <c r="V178" s="34">
        <f>IF(AND(E178=1,L178=0),T178,"")</f>
        <v>0.928571428571429</v>
      </c>
      <c r="W178" s="33">
        <f>IF(U178="","",IF(U178&lt;=Breakdowns!$C$5,1,IF(U178&lt;=Breakdowns!$C$6,2,IF(U178&lt;=Breakdowns!$C$7,3,4))))</f>
        <v>2</v>
      </c>
      <c r="X178" s="33">
        <f>IF(V178="","",IF(V178&lt;=Breakdowns!$D$5,1,IF(V178&lt;=Breakdowns!$D$6,2,IF(V178&lt;=Breakdowns!$D$7,3,4))))</f>
        <v>3</v>
      </c>
      <c r="Y178" s="34">
        <f>INDEX(Stores!$F$2:$F$21,MATCH(B178,Stores!$A$2:$A$21,0))</f>
        <v>4.89</v>
      </c>
      <c r="Z178" s="33">
        <f>IF(Y178&gt;Store_Summary!$M$2,1,0)</f>
        <v>0</v>
      </c>
      <c r="AA178" s="33">
        <f>INDEX(Stores!$C$2:$C$21,MATCH(B178,Stores!$A$2:$A$21,0))</f>
        <v>138</v>
      </c>
      <c r="AB178" s="33">
        <f>IF(AA178&lt;180,1,0)</f>
        <v>1</v>
      </c>
      <c r="AC178" s="32" t="str">
        <f>IF(Orders!D175="","",INDEX(Riders!$C$2:$C$81,MATCH(Orders!D175,Riders!$A$2:$A$81,0)))</f>
        <v>Bicycle</v>
      </c>
      <c r="AD178" s="33">
        <f>IF(Orders!D175="","",INDEX(Riders!$D$2:$D$81,MATCH(Orders!D175,Riders!$A$2:$A$81,0)))</f>
        <v>44</v>
      </c>
      <c r="AE178" s="33">
        <f>IF(Orders!D175="","",IF(INDEX(Riders!$B$2:$B$81,MATCH(Orders!D175,Riders!$A$2:$A$81,0))=B178,1,0))</f>
        <v>0</v>
      </c>
      <c r="AF178" s="34">
        <f>IF(E178=1,Orders!L175,"")</f>
        <v>1.37</v>
      </c>
      <c r="AG178" s="34">
        <f>IF(E178=1,Orders!P175,"")</f>
        <v>9</v>
      </c>
      <c r="AH178" s="34">
        <f>IF(E178=1,Orders!Q175,"")</f>
        <v>8.7</v>
      </c>
      <c r="AI178" s="34">
        <f>IF(E178=1,Orders!M175,"")</f>
        <v>3.2</v>
      </c>
      <c r="AJ178" s="34">
        <f>IF(E178=1,Orders!N175,"")</f>
        <v>3</v>
      </c>
      <c r="AK178" s="34">
        <f>IF(E178=1,Orders!O175,"")</f>
        <v>2.5</v>
      </c>
      <c r="AL178" s="33">
        <f>IF(E178=1,IF(ROUND(ABS(AI178+AJ178+AK178-AH178),6)&lt;=0.1,1,0),"")</f>
        <v>1</v>
      </c>
      <c r="AM178" s="36">
        <f>IF(E178=1,AI178/AH178,"")</f>
        <v>0.367816091954023</v>
      </c>
      <c r="AN178" s="36">
        <f>IF(E178=1,AJ178/AH178,"")</f>
        <v>0.344827586206897</v>
      </c>
      <c r="AO178" s="36">
        <f>IF(E178=1,AK178/AH178,"")</f>
        <v>0.287356321839081</v>
      </c>
      <c r="AP178" s="34">
        <f>IF(E178=1,Orders!Y175,"")</f>
        <v>0.3</v>
      </c>
      <c r="AQ178" s="33">
        <f>IF(Orders!X175,1,0)</f>
        <v>0</v>
      </c>
      <c r="AR178" s="34" t="str">
        <f>IF(AND(E178=1,L178=1),AJ178,"")</f>
        <v/>
      </c>
      <c r="AS178" s="34">
        <f>IF(AND(E178=1,L178=0),AJ178,"")</f>
        <v>3</v>
      </c>
      <c r="AT178" s="34" t="str">
        <f>IF(AND(E178=1,L178=1),AI178,"")</f>
        <v/>
      </c>
      <c r="AU178" s="34">
        <f>IF(AND(E178=1,L178=0),AI178,"")</f>
        <v>3.2</v>
      </c>
      <c r="AV178" s="34" t="str">
        <f>IF(AND(E178=1,L178=1),AG178,"")</f>
        <v/>
      </c>
      <c r="AW178" s="34">
        <f>IF(AND(E178=1,L178=0),AG178,"")</f>
        <v>9</v>
      </c>
      <c r="AX178" s="34" t="str">
        <f>IF(AND(E178=1,L178=1),AH178,"")</f>
        <v/>
      </c>
      <c r="AY178" s="34">
        <f>IF(AND(E178=1,L178=0),AH178,"")</f>
        <v>8.7</v>
      </c>
      <c r="AZ178" s="34" t="str">
        <f>IF(G178=1,F178,"")</f>
        <v/>
      </c>
      <c r="BA178" s="34" t="str">
        <f>IF(AND(G178=1,L178=1),F178,"")</f>
        <v/>
      </c>
      <c r="BB178" s="34" t="str">
        <f>IF(AND(G178=1,L178=0),F178,"")</f>
        <v/>
      </c>
      <c r="BC178" s="33">
        <f>IF(E178=1,IF(Orders!R175&gt;3,1,0),"")</f>
        <v>0</v>
      </c>
      <c r="BD178" s="33">
        <f>IF(E178=1,IF(Orders!R175&gt;7,1,0),"")</f>
        <v>0</v>
      </c>
      <c r="BE178" s="32" t="str">
        <f>IF(E178=1,IF(Orders!L175&lt;=1.5,"Up to 1.5 km",IF(Orders!L175&lt;=3,"1.5–3 km","Over 3 km")),"")</f>
        <v>Up to 1.5 km</v>
      </c>
      <c r="BF178" s="33">
        <f>IF(E178=1,IF(ABS((Orders!G175-Orders!F175)*1440-Orders!R175)&lt;0.06,1,0),"")</f>
        <v>1</v>
      </c>
      <c r="BG178" s="33">
        <f>IF(ABS((Orders!F175-Orders!E175)*1440-Orders!P175)&lt;0.06,1,0)</f>
        <v>1</v>
      </c>
      <c r="BH178" s="33">
        <f>IF(E178=1,IF(IF(Orders!S175,1,0)=1-G178,1,0),"")</f>
        <v>1</v>
      </c>
      <c r="BI178" s="32" t="str">
        <f>INDEX(Stores!$B$2:$B$21,MATCH(B178,Stores!$A$2:$A$21,0))</f>
        <v>Delhi</v>
      </c>
    </row>
    <row r="179">
      <c r="A179" s="32" t="str">
        <f>Orders!A176</f>
        <v>O00175</v>
      </c>
      <c r="B179" s="32" t="str">
        <f>Orders!C176</f>
        <v>S001</v>
      </c>
      <c r="C179" s="32" t="str">
        <f>Orders!B176</f>
        <v>C0058</v>
      </c>
      <c r="D179" s="32" t="str">
        <f>Orders!H176</f>
        <v>Delivered</v>
      </c>
      <c r="E179" s="33">
        <f>IF(Orders!H176="Delivered",1,0)</f>
        <v>1</v>
      </c>
      <c r="F179" s="34">
        <f>IF(E179=1,Orders!R176,"")</f>
        <v>-0.5</v>
      </c>
      <c r="G179" s="33">
        <f>IF(E179=1,IF(Orders!R176&gt;0,1,0),"")</f>
        <v>0</v>
      </c>
      <c r="H179" s="33">
        <f>IF(E179=1,IF(Orders!R176&gt;5,1,0),"")</f>
        <v>0</v>
      </c>
      <c r="I179" s="32" t="str">
        <f>IF(E179=1,"",IF(OR(Orders!T176="Rider unavailable",Orders!T176="Item unavailable"),"Company-caused","Unresolved"))</f>
        <v/>
      </c>
      <c r="J179" s="33">
        <f>IF(OR(E179=1,I179="Company-caused"),1,0)</f>
        <v>1</v>
      </c>
      <c r="K179" s="32" t="str">
        <f>IF(E179=0,IF(I179="Company-caused",IF(Orders!T176="Rider unavailable","C1 Rider unavailable","C2 Item unavailable"),"Outside root: unresolved"),IF(G179=0,"A On time",IF(H179=1,IF(L179=1,"B2a Severe, peak","B2b Severe, off-peak"),IF(L179=1,"B1a Slight, peak","B1b Slight, off-peak"))))</f>
        <v>A On time</v>
      </c>
      <c r="L179" s="33">
        <f>IF(AND(Orders!U176&gt;=19,Orders!U176&lt;22),1,0)</f>
        <v>0</v>
      </c>
      <c r="M179" s="33">
        <f>IF(L179=IF(Orders!V176,1,0),1,0)</f>
        <v>1</v>
      </c>
      <c r="N179" s="32" t="str">
        <f>IF(Orders!W176="","None",Orders!W176)</f>
        <v>Light</v>
      </c>
      <c r="O179" s="35">
        <f>INT(Orders!E176)</f>
        <v>46270.0</v>
      </c>
      <c r="P179" s="33">
        <f>Orders!U176</f>
        <v>13</v>
      </c>
      <c r="Q179" s="33">
        <f>COUNTIFS(Demand!$A$2:$A$4481,B179,Demand!$B$2:$B$4481,O179,Demand!$C$2:$C$4481,P179)</f>
        <v>1</v>
      </c>
      <c r="R179" s="33">
        <f>IF(Q179=1,SUMIFS(Demand!$E$2:$E$4481,Demand!$A$2:$A$4481,B179,Demand!$B$2:$B$4481,O179,Demand!$C$2:$C$4481,P179),"")</f>
        <v>14</v>
      </c>
      <c r="S179" s="33">
        <f>INDEX(Stores!$G$2:$G$21,MATCH(B179,Stores!$A$2:$A$21,0))</f>
        <v>16</v>
      </c>
      <c r="T179" s="34">
        <f>IF(R179="","",R179/S179)</f>
        <v>0.875</v>
      </c>
      <c r="U179" s="34">
        <f>IF(E179=1,T179,"")</f>
        <v>0.875</v>
      </c>
      <c r="V179" s="34">
        <f>IF(AND(E179=1,L179=0),T179,"")</f>
        <v>0.875</v>
      </c>
      <c r="W179" s="33">
        <f>IF(U179="","",IF(U179&lt;=Breakdowns!$C$5,1,IF(U179&lt;=Breakdowns!$C$6,2,IF(U179&lt;=Breakdowns!$C$7,3,4))))</f>
        <v>2</v>
      </c>
      <c r="X179" s="33">
        <f>IF(V179="","",IF(V179&lt;=Breakdowns!$D$5,1,IF(V179&lt;=Breakdowns!$D$6,2,IF(V179&lt;=Breakdowns!$D$7,3,4))))</f>
        <v>2</v>
      </c>
      <c r="Y179" s="34">
        <f>INDEX(Stores!$F$2:$F$21,MATCH(B179,Stores!$A$2:$A$21,0))</f>
        <v>4.59</v>
      </c>
      <c r="Z179" s="33">
        <f>IF(Y179&gt;Store_Summary!$M$2,1,0)</f>
        <v>0</v>
      </c>
      <c r="AA179" s="33">
        <f>INDEX(Stores!$C$2:$C$21,MATCH(B179,Stores!$A$2:$A$21,0))</f>
        <v>362</v>
      </c>
      <c r="AB179" s="33">
        <f>IF(AA179&lt;180,1,0)</f>
        <v>0</v>
      </c>
      <c r="AC179" s="32" t="str">
        <f>IF(Orders!D176="","",INDEX(Riders!$C$2:$C$81,MATCH(Orders!D176,Riders!$A$2:$A$81,0)))</f>
        <v>EV scooter</v>
      </c>
      <c r="AD179" s="33">
        <f>IF(Orders!D176="","",INDEX(Riders!$D$2:$D$81,MATCH(Orders!D176,Riders!$A$2:$A$81,0)))</f>
        <v>22</v>
      </c>
      <c r="AE179" s="33">
        <f>IF(Orders!D176="","",IF(INDEX(Riders!$B$2:$B$81,MATCH(Orders!D176,Riders!$A$2:$A$81,0))=B179,1,0))</f>
        <v>0</v>
      </c>
      <c r="AF179" s="34">
        <f>IF(E179=1,Orders!L176,"")</f>
        <v>2.8</v>
      </c>
      <c r="AG179" s="34">
        <f>IF(E179=1,Orders!P176,"")</f>
        <v>12.3</v>
      </c>
      <c r="AH179" s="34">
        <f>IF(E179=1,Orders!Q176,"")</f>
        <v>11.8</v>
      </c>
      <c r="AI179" s="34">
        <f>IF(E179=1,Orders!M176,"")</f>
        <v>5.1</v>
      </c>
      <c r="AJ179" s="34">
        <f>IF(E179=1,Orders!N176,"")</f>
        <v>1.3</v>
      </c>
      <c r="AK179" s="34">
        <f>IF(E179=1,Orders!O176,"")</f>
        <v>5.4</v>
      </c>
      <c r="AL179" s="33">
        <f>IF(E179=1,IF(ROUND(ABS(AI179+AJ179+AK179-AH179),6)&lt;=0.1,1,0),"")</f>
        <v>1</v>
      </c>
      <c r="AM179" s="36">
        <f>IF(E179=1,AI179/AH179,"")</f>
        <v>0.432203389830508</v>
      </c>
      <c r="AN179" s="36">
        <f>IF(E179=1,AJ179/AH179,"")</f>
        <v>0.110169491525424</v>
      </c>
      <c r="AO179" s="36">
        <f>IF(E179=1,AK179/AH179,"")</f>
        <v>0.457627118644068</v>
      </c>
      <c r="AP179" s="34">
        <f>IF(E179=1,Orders!Y176,"")</f>
        <v>0.27</v>
      </c>
      <c r="AQ179" s="33">
        <f>IF(Orders!X176,1,0)</f>
        <v>0</v>
      </c>
      <c r="AR179" s="34" t="str">
        <f>IF(AND(E179=1,L179=1),AJ179,"")</f>
        <v/>
      </c>
      <c r="AS179" s="34">
        <f>IF(AND(E179=1,L179=0),AJ179,"")</f>
        <v>1.3</v>
      </c>
      <c r="AT179" s="34" t="str">
        <f>IF(AND(E179=1,L179=1),AI179,"")</f>
        <v/>
      </c>
      <c r="AU179" s="34">
        <f>IF(AND(E179=1,L179=0),AI179,"")</f>
        <v>5.1</v>
      </c>
      <c r="AV179" s="34" t="str">
        <f>IF(AND(E179=1,L179=1),AG179,"")</f>
        <v/>
      </c>
      <c r="AW179" s="34">
        <f>IF(AND(E179=1,L179=0),AG179,"")</f>
        <v>12.3</v>
      </c>
      <c r="AX179" s="34" t="str">
        <f>IF(AND(E179=1,L179=1),AH179,"")</f>
        <v/>
      </c>
      <c r="AY179" s="34">
        <f>IF(AND(E179=1,L179=0),AH179,"")</f>
        <v>11.8</v>
      </c>
      <c r="AZ179" s="34" t="str">
        <f>IF(G179=1,F179,"")</f>
        <v/>
      </c>
      <c r="BA179" s="34" t="str">
        <f>IF(AND(G179=1,L179=1),F179,"")</f>
        <v/>
      </c>
      <c r="BB179" s="34" t="str">
        <f>IF(AND(G179=1,L179=0),F179,"")</f>
        <v/>
      </c>
      <c r="BC179" s="33">
        <f>IF(E179=1,IF(Orders!R176&gt;3,1,0),"")</f>
        <v>0</v>
      </c>
      <c r="BD179" s="33">
        <f>IF(E179=1,IF(Orders!R176&gt;7,1,0),"")</f>
        <v>0</v>
      </c>
      <c r="BE179" s="32" t="str">
        <f>IF(E179=1,IF(Orders!L176&lt;=1.5,"Up to 1.5 km",IF(Orders!L176&lt;=3,"1.5–3 km","Over 3 km")),"")</f>
        <v>1.5–3 km</v>
      </c>
      <c r="BF179" s="33">
        <f>IF(E179=1,IF(ABS((Orders!G176-Orders!F176)*1440-Orders!R176)&lt;0.06,1,0),"")</f>
        <v>1</v>
      </c>
      <c r="BG179" s="33">
        <f>IF(ABS((Orders!F176-Orders!E176)*1440-Orders!P176)&lt;0.06,1,0)</f>
        <v>1</v>
      </c>
      <c r="BH179" s="33">
        <f>IF(E179=1,IF(IF(Orders!S176,1,0)=1-G179,1,0),"")</f>
        <v>1</v>
      </c>
      <c r="BI179" s="32" t="str">
        <f>INDEX(Stores!$B$2:$B$21,MATCH(B179,Stores!$A$2:$A$21,0))</f>
        <v>Bengaluru</v>
      </c>
    </row>
    <row r="180">
      <c r="A180" s="32" t="str">
        <f>Orders!A177</f>
        <v>O00176</v>
      </c>
      <c r="B180" s="32" t="str">
        <f>Orders!C177</f>
        <v>S003</v>
      </c>
      <c r="C180" s="32" t="str">
        <f>Orders!B177</f>
        <v>C0169</v>
      </c>
      <c r="D180" s="32" t="str">
        <f>Orders!H177</f>
        <v>Delivered</v>
      </c>
      <c r="E180" s="33">
        <f>IF(Orders!H177="Delivered",1,0)</f>
        <v>1</v>
      </c>
      <c r="F180" s="34">
        <f>IF(E180=1,Orders!R177,"")</f>
        <v>-0.6</v>
      </c>
      <c r="G180" s="33">
        <f>IF(E180=1,IF(Orders!R177&gt;0,1,0),"")</f>
        <v>0</v>
      </c>
      <c r="H180" s="33">
        <f>IF(E180=1,IF(Orders!R177&gt;5,1,0),"")</f>
        <v>0</v>
      </c>
      <c r="I180" s="32" t="str">
        <f>IF(E180=1,"",IF(OR(Orders!T177="Rider unavailable",Orders!T177="Item unavailable"),"Company-caused","Unresolved"))</f>
        <v/>
      </c>
      <c r="J180" s="33">
        <f>IF(OR(E180=1,I180="Company-caused"),1,0)</f>
        <v>1</v>
      </c>
      <c r="K180" s="32" t="str">
        <f>IF(E180=0,IF(I180="Company-caused",IF(Orders!T177="Rider unavailable","C1 Rider unavailable","C2 Item unavailable"),"Outside root: unresolved"),IF(G180=0,"A On time",IF(H180=1,IF(L180=1,"B2a Severe, peak","B2b Severe, off-peak"),IF(L180=1,"B1a Slight, peak","B1b Slight, off-peak"))))</f>
        <v>A On time</v>
      </c>
      <c r="L180" s="33">
        <f>IF(AND(Orders!U177&gt;=19,Orders!U177&lt;22),1,0)</f>
        <v>0</v>
      </c>
      <c r="M180" s="33">
        <f>IF(L180=IF(Orders!V177,1,0),1,0)</f>
        <v>1</v>
      </c>
      <c r="N180" s="32" t="str">
        <f>IF(Orders!W177="","None",Orders!W177)</f>
        <v>Light</v>
      </c>
      <c r="O180" s="35">
        <f>INT(Orders!E177)</f>
        <v>46277.0</v>
      </c>
      <c r="P180" s="33">
        <f>Orders!U177</f>
        <v>8</v>
      </c>
      <c r="Q180" s="33">
        <f>COUNTIFS(Demand!$A$2:$A$4481,B180,Demand!$B$2:$B$4481,O180,Demand!$C$2:$C$4481,P180)</f>
        <v>1</v>
      </c>
      <c r="R180" s="33">
        <f>IF(Q180=1,SUMIFS(Demand!$E$2:$E$4481,Demand!$A$2:$A$4481,B180,Demand!$B$2:$B$4481,O180,Demand!$C$2:$C$4481,P180),"")</f>
        <v>35</v>
      </c>
      <c r="S180" s="33">
        <f>INDEX(Stores!$G$2:$G$21,MATCH(B180,Stores!$A$2:$A$21,0))</f>
        <v>41</v>
      </c>
      <c r="T180" s="34">
        <f>IF(R180="","",R180/S180)</f>
        <v>0.853658536585366</v>
      </c>
      <c r="U180" s="34">
        <f>IF(E180=1,T180,"")</f>
        <v>0.853658536585366</v>
      </c>
      <c r="V180" s="34">
        <f>IF(AND(E180=1,L180=0),T180,"")</f>
        <v>0.853658536585366</v>
      </c>
      <c r="W180" s="33">
        <f>IF(U180="","",IF(U180&lt;=Breakdowns!$C$5,1,IF(U180&lt;=Breakdowns!$C$6,2,IF(U180&lt;=Breakdowns!$C$7,3,4))))</f>
        <v>2</v>
      </c>
      <c r="X180" s="33">
        <f>IF(V180="","",IF(V180&lt;=Breakdowns!$D$5,1,IF(V180&lt;=Breakdowns!$D$6,2,IF(V180&lt;=Breakdowns!$D$7,3,4))))</f>
        <v>2</v>
      </c>
      <c r="Y180" s="34">
        <f>INDEX(Stores!$F$2:$F$21,MATCH(B180,Stores!$A$2:$A$21,0))</f>
        <v>3.84</v>
      </c>
      <c r="Z180" s="33">
        <f>IF(Y180&gt;Store_Summary!$M$2,1,0)</f>
        <v>0</v>
      </c>
      <c r="AA180" s="33">
        <f>INDEX(Stores!$C$2:$C$21,MATCH(B180,Stores!$A$2:$A$21,0))</f>
        <v>426</v>
      </c>
      <c r="AB180" s="33">
        <f>IF(AA180&lt;180,1,0)</f>
        <v>0</v>
      </c>
      <c r="AC180" s="32" t="str">
        <f>IF(Orders!D177="","",INDEX(Riders!$C$2:$C$81,MATCH(Orders!D177,Riders!$A$2:$A$81,0)))</f>
        <v>EV scooter</v>
      </c>
      <c r="AD180" s="33">
        <f>IF(Orders!D177="","",INDEX(Riders!$D$2:$D$81,MATCH(Orders!D177,Riders!$A$2:$A$81,0)))</f>
        <v>22</v>
      </c>
      <c r="AE180" s="33">
        <f>IF(Orders!D177="","",IF(INDEX(Riders!$B$2:$B$81,MATCH(Orders!D177,Riders!$A$2:$A$81,0))=B180,1,0))</f>
        <v>0</v>
      </c>
      <c r="AF180" s="34">
        <f>IF(E180=1,Orders!L177,"")</f>
        <v>0.52</v>
      </c>
      <c r="AG180" s="34">
        <f>IF(E180=1,Orders!P177,"")</f>
        <v>8.5</v>
      </c>
      <c r="AH180" s="34">
        <f>IF(E180=1,Orders!Q177,"")</f>
        <v>7.9</v>
      </c>
      <c r="AI180" s="34">
        <f>IF(E180=1,Orders!M177,"")</f>
        <v>5</v>
      </c>
      <c r="AJ180" s="34">
        <f>IF(E180=1,Orders!N177,"")</f>
        <v>0</v>
      </c>
      <c r="AK180" s="34">
        <f>IF(E180=1,Orders!O177,"")</f>
        <v>2.9</v>
      </c>
      <c r="AL180" s="33">
        <f>IF(E180=1,IF(ROUND(ABS(AI180+AJ180+AK180-AH180),6)&lt;=0.1,1,0),"")</f>
        <v>1</v>
      </c>
      <c r="AM180" s="36">
        <f>IF(E180=1,AI180/AH180,"")</f>
        <v>0.632911392405063</v>
      </c>
      <c r="AN180" s="36">
        <f>IF(E180=1,AJ180/AH180,"")</f>
        <v>0</v>
      </c>
      <c r="AO180" s="36">
        <f>IF(E180=1,AK180/AH180,"")</f>
        <v>0.367088607594937</v>
      </c>
      <c r="AP180" s="34">
        <f>IF(E180=1,Orders!Y177,"")</f>
        <v>0.35</v>
      </c>
      <c r="AQ180" s="33">
        <f>IF(Orders!X177,1,0)</f>
        <v>0</v>
      </c>
      <c r="AR180" s="34" t="str">
        <f>IF(AND(E180=1,L180=1),AJ180,"")</f>
        <v/>
      </c>
      <c r="AS180" s="34">
        <f>IF(AND(E180=1,L180=0),AJ180,"")</f>
        <v>0</v>
      </c>
      <c r="AT180" s="34" t="str">
        <f>IF(AND(E180=1,L180=1),AI180,"")</f>
        <v/>
      </c>
      <c r="AU180" s="34">
        <f>IF(AND(E180=1,L180=0),AI180,"")</f>
        <v>5</v>
      </c>
      <c r="AV180" s="34" t="str">
        <f>IF(AND(E180=1,L180=1),AG180,"")</f>
        <v/>
      </c>
      <c r="AW180" s="34">
        <f>IF(AND(E180=1,L180=0),AG180,"")</f>
        <v>8.5</v>
      </c>
      <c r="AX180" s="34" t="str">
        <f>IF(AND(E180=1,L180=1),AH180,"")</f>
        <v/>
      </c>
      <c r="AY180" s="34">
        <f>IF(AND(E180=1,L180=0),AH180,"")</f>
        <v>7.9</v>
      </c>
      <c r="AZ180" s="34" t="str">
        <f>IF(G180=1,F180,"")</f>
        <v/>
      </c>
      <c r="BA180" s="34" t="str">
        <f>IF(AND(G180=1,L180=1),F180,"")</f>
        <v/>
      </c>
      <c r="BB180" s="34" t="str">
        <f>IF(AND(G180=1,L180=0),F180,"")</f>
        <v/>
      </c>
      <c r="BC180" s="33">
        <f>IF(E180=1,IF(Orders!R177&gt;3,1,0),"")</f>
        <v>0</v>
      </c>
      <c r="BD180" s="33">
        <f>IF(E180=1,IF(Orders!R177&gt;7,1,0),"")</f>
        <v>0</v>
      </c>
      <c r="BE180" s="32" t="str">
        <f>IF(E180=1,IF(Orders!L177&lt;=1.5,"Up to 1.5 km",IF(Orders!L177&lt;=3,"1.5–3 km","Over 3 km")),"")</f>
        <v>Up to 1.5 km</v>
      </c>
      <c r="BF180" s="33">
        <f>IF(E180=1,IF(ABS((Orders!G177-Orders!F177)*1440-Orders!R177)&lt;0.06,1,0),"")</f>
        <v>1</v>
      </c>
      <c r="BG180" s="33">
        <f>IF(ABS((Orders!F177-Orders!E177)*1440-Orders!P177)&lt;0.06,1,0)</f>
        <v>1</v>
      </c>
      <c r="BH180" s="33">
        <f>IF(E180=1,IF(IF(Orders!S177,1,0)=1-G180,1,0),"")</f>
        <v>1</v>
      </c>
      <c r="BI180" s="32" t="str">
        <f>INDEX(Stores!$B$2:$B$21,MATCH(B180,Stores!$A$2:$A$21,0))</f>
        <v>Mumbai</v>
      </c>
    </row>
    <row r="181">
      <c r="A181" s="32" t="str">
        <f>Orders!A178</f>
        <v>O00177</v>
      </c>
      <c r="B181" s="32" t="str">
        <f>Orders!C178</f>
        <v>S016</v>
      </c>
      <c r="C181" s="32" t="str">
        <f>Orders!B178</f>
        <v>C0114</v>
      </c>
      <c r="D181" s="32" t="str">
        <f>Orders!H178</f>
        <v>Delivered</v>
      </c>
      <c r="E181" s="33">
        <f>IF(Orders!H178="Delivered",1,0)</f>
        <v>1</v>
      </c>
      <c r="F181" s="34">
        <f>IF(E181=1,Orders!R178,"")</f>
        <v>-1.1</v>
      </c>
      <c r="G181" s="33">
        <f>IF(E181=1,IF(Orders!R178&gt;0,1,0),"")</f>
        <v>0</v>
      </c>
      <c r="H181" s="33">
        <f>IF(E181=1,IF(Orders!R178&gt;5,1,0),"")</f>
        <v>0</v>
      </c>
      <c r="I181" s="32" t="str">
        <f>IF(E181=1,"",IF(OR(Orders!T178="Rider unavailable",Orders!T178="Item unavailable"),"Company-caused","Unresolved"))</f>
        <v/>
      </c>
      <c r="J181" s="33">
        <f>IF(OR(E181=1,I181="Company-caused"),1,0)</f>
        <v>1</v>
      </c>
      <c r="K181" s="32" t="str">
        <f>IF(E181=0,IF(I181="Company-caused",IF(Orders!T178="Rider unavailable","C1 Rider unavailable","C2 Item unavailable"),"Outside root: unresolved"),IF(G181=0,"A On time",IF(H181=1,IF(L181=1,"B2a Severe, peak","B2b Severe, off-peak"),IF(L181=1,"B1a Slight, peak","B1b Slight, off-peak"))))</f>
        <v>A On time</v>
      </c>
      <c r="L181" s="33">
        <f>IF(AND(Orders!U178&gt;=19,Orders!U178&lt;22),1,0)</f>
        <v>0</v>
      </c>
      <c r="M181" s="33">
        <f>IF(L181=IF(Orders!V178,1,0),1,0)</f>
        <v>1</v>
      </c>
      <c r="N181" s="32" t="str">
        <f>IF(Orders!W178="","None",Orders!W178)</f>
        <v>None</v>
      </c>
      <c r="O181" s="35">
        <f>INT(Orders!E178)</f>
        <v>46267.0</v>
      </c>
      <c r="P181" s="33">
        <f>Orders!U178</f>
        <v>13</v>
      </c>
      <c r="Q181" s="33">
        <f>COUNTIFS(Demand!$A$2:$A$4481,B181,Demand!$B$2:$B$4481,O181,Demand!$C$2:$C$4481,P181)</f>
        <v>1</v>
      </c>
      <c r="R181" s="33">
        <f>IF(Q181=1,SUMIFS(Demand!$E$2:$E$4481,Demand!$A$2:$A$4481,B181,Demand!$B$2:$B$4481,O181,Demand!$C$2:$C$4481,P181),"")</f>
        <v>13</v>
      </c>
      <c r="S181" s="33">
        <f>INDEX(Stores!$G$2:$G$21,MATCH(B181,Stores!$A$2:$A$21,0))</f>
        <v>25</v>
      </c>
      <c r="T181" s="34">
        <f>IF(R181="","",R181/S181)</f>
        <v>0.52</v>
      </c>
      <c r="U181" s="34">
        <f>IF(E181=1,T181,"")</f>
        <v>0.52</v>
      </c>
      <c r="V181" s="34">
        <f>IF(AND(E181=1,L181=0),T181,"")</f>
        <v>0.52</v>
      </c>
      <c r="W181" s="33">
        <f>IF(U181="","",IF(U181&lt;=Breakdowns!$C$5,1,IF(U181&lt;=Breakdowns!$C$6,2,IF(U181&lt;=Breakdowns!$C$7,3,4))))</f>
        <v>1</v>
      </c>
      <c r="X181" s="33">
        <f>IF(V181="","",IF(V181&lt;=Breakdowns!$D$5,1,IF(V181&lt;=Breakdowns!$D$6,2,IF(V181&lt;=Breakdowns!$D$7,3,4))))</f>
        <v>1</v>
      </c>
      <c r="Y181" s="34">
        <f>INDEX(Stores!$F$2:$F$21,MATCH(B181,Stores!$A$2:$A$21,0))</f>
        <v>5.51</v>
      </c>
      <c r="Z181" s="33">
        <f>IF(Y181&gt;Store_Summary!$M$2,1,0)</f>
        <v>1</v>
      </c>
      <c r="AA181" s="33">
        <f>INDEX(Stores!$C$2:$C$21,MATCH(B181,Stores!$A$2:$A$21,0))</f>
        <v>792</v>
      </c>
      <c r="AB181" s="33">
        <f>IF(AA181&lt;180,1,0)</f>
        <v>0</v>
      </c>
      <c r="AC181" s="32" t="str">
        <f>IF(Orders!D178="","",INDEX(Riders!$C$2:$C$81,MATCH(Orders!D178,Riders!$A$2:$A$81,0)))</f>
        <v>EV scooter</v>
      </c>
      <c r="AD181" s="33">
        <f>IF(Orders!D178="","",INDEX(Riders!$D$2:$D$81,MATCH(Orders!D178,Riders!$A$2:$A$81,0)))</f>
        <v>3</v>
      </c>
      <c r="AE181" s="33">
        <f>IF(Orders!D178="","",IF(INDEX(Riders!$B$2:$B$81,MATCH(Orders!D178,Riders!$A$2:$A$81,0))=B181,1,0))</f>
        <v>0</v>
      </c>
      <c r="AF181" s="34">
        <f>IF(E181=1,Orders!L178,"")</f>
        <v>0.78</v>
      </c>
      <c r="AG181" s="34">
        <f>IF(E181=1,Orders!P178,"")</f>
        <v>10.3</v>
      </c>
      <c r="AH181" s="34">
        <f>IF(E181=1,Orders!Q178,"")</f>
        <v>9.2</v>
      </c>
      <c r="AI181" s="34">
        <f>IF(E181=1,Orders!M178,"")</f>
        <v>2.8</v>
      </c>
      <c r="AJ181" s="34">
        <f>IF(E181=1,Orders!N178,"")</f>
        <v>4.8</v>
      </c>
      <c r="AK181" s="34">
        <f>IF(E181=1,Orders!O178,"")</f>
        <v>1.6</v>
      </c>
      <c r="AL181" s="33">
        <f>IF(E181=1,IF(ROUND(ABS(AI181+AJ181+AK181-AH181),6)&lt;=0.1,1,0),"")</f>
        <v>1</v>
      </c>
      <c r="AM181" s="36">
        <f>IF(E181=1,AI181/AH181,"")</f>
        <v>0.304347826086957</v>
      </c>
      <c r="AN181" s="36">
        <f>IF(E181=1,AJ181/AH181,"")</f>
        <v>0.521739130434783</v>
      </c>
      <c r="AO181" s="36">
        <f>IF(E181=1,AK181/AH181,"")</f>
        <v>0.173913043478261</v>
      </c>
      <c r="AP181" s="34">
        <f>IF(E181=1,Orders!Y178,"")</f>
        <v>0.36</v>
      </c>
      <c r="AQ181" s="33">
        <f>IF(Orders!X178,1,0)</f>
        <v>0</v>
      </c>
      <c r="AR181" s="34" t="str">
        <f>IF(AND(E181=1,L181=1),AJ181,"")</f>
        <v/>
      </c>
      <c r="AS181" s="34">
        <f>IF(AND(E181=1,L181=0),AJ181,"")</f>
        <v>4.8</v>
      </c>
      <c r="AT181" s="34" t="str">
        <f>IF(AND(E181=1,L181=1),AI181,"")</f>
        <v/>
      </c>
      <c r="AU181" s="34">
        <f>IF(AND(E181=1,L181=0),AI181,"")</f>
        <v>2.8</v>
      </c>
      <c r="AV181" s="34" t="str">
        <f>IF(AND(E181=1,L181=1),AG181,"")</f>
        <v/>
      </c>
      <c r="AW181" s="34">
        <f>IF(AND(E181=1,L181=0),AG181,"")</f>
        <v>10.3</v>
      </c>
      <c r="AX181" s="34" t="str">
        <f>IF(AND(E181=1,L181=1),AH181,"")</f>
        <v/>
      </c>
      <c r="AY181" s="34">
        <f>IF(AND(E181=1,L181=0),AH181,"")</f>
        <v>9.2</v>
      </c>
      <c r="AZ181" s="34" t="str">
        <f>IF(G181=1,F181,"")</f>
        <v/>
      </c>
      <c r="BA181" s="34" t="str">
        <f>IF(AND(G181=1,L181=1),F181,"")</f>
        <v/>
      </c>
      <c r="BB181" s="34" t="str">
        <f>IF(AND(G181=1,L181=0),F181,"")</f>
        <v/>
      </c>
      <c r="BC181" s="33">
        <f>IF(E181=1,IF(Orders!R178&gt;3,1,0),"")</f>
        <v>0</v>
      </c>
      <c r="BD181" s="33">
        <f>IF(E181=1,IF(Orders!R178&gt;7,1,0),"")</f>
        <v>0</v>
      </c>
      <c r="BE181" s="32" t="str">
        <f>IF(E181=1,IF(Orders!L178&lt;=1.5,"Up to 1.5 km",IF(Orders!L178&lt;=3,"1.5–3 km","Over 3 km")),"")</f>
        <v>Up to 1.5 km</v>
      </c>
      <c r="BF181" s="33">
        <f>IF(E181=1,IF(ABS((Orders!G178-Orders!F178)*1440-Orders!R178)&lt;0.06,1,0),"")</f>
        <v>1</v>
      </c>
      <c r="BG181" s="33">
        <f>IF(ABS((Orders!F178-Orders!E178)*1440-Orders!P178)&lt;0.06,1,0)</f>
        <v>1</v>
      </c>
      <c r="BH181" s="33">
        <f>IF(E181=1,IF(IF(Orders!S178,1,0)=1-G181,1,0),"")</f>
        <v>1</v>
      </c>
      <c r="BI181" s="32" t="str">
        <f>INDEX(Stores!$B$2:$B$21,MATCH(B181,Stores!$A$2:$A$21,0))</f>
        <v>Bengaluru</v>
      </c>
    </row>
    <row r="182">
      <c r="A182" s="32" t="str">
        <f>Orders!A179</f>
        <v>O00178</v>
      </c>
      <c r="B182" s="32" t="str">
        <f>Orders!C179</f>
        <v>S003</v>
      </c>
      <c r="C182" s="32" t="str">
        <f>Orders!B179</f>
        <v>C0073</v>
      </c>
      <c r="D182" s="32" t="str">
        <f>Orders!H179</f>
        <v>Delivered</v>
      </c>
      <c r="E182" s="33">
        <f>IF(Orders!H179="Delivered",1,0)</f>
        <v>1</v>
      </c>
      <c r="F182" s="34">
        <f>IF(E182=1,Orders!R179,"")</f>
        <v>-0.8</v>
      </c>
      <c r="G182" s="33">
        <f>IF(E182=1,IF(Orders!R179&gt;0,1,0),"")</f>
        <v>0</v>
      </c>
      <c r="H182" s="33">
        <f>IF(E182=1,IF(Orders!R179&gt;5,1,0),"")</f>
        <v>0</v>
      </c>
      <c r="I182" s="32" t="str">
        <f>IF(E182=1,"",IF(OR(Orders!T179="Rider unavailable",Orders!T179="Item unavailable"),"Company-caused","Unresolved"))</f>
        <v/>
      </c>
      <c r="J182" s="33">
        <f>IF(OR(E182=1,I182="Company-caused"),1,0)</f>
        <v>1</v>
      </c>
      <c r="K182" s="32" t="str">
        <f>IF(E182=0,IF(I182="Company-caused",IF(Orders!T179="Rider unavailable","C1 Rider unavailable","C2 Item unavailable"),"Outside root: unresolved"),IF(G182=0,"A On time",IF(H182=1,IF(L182=1,"B2a Severe, peak","B2b Severe, off-peak"),IF(L182=1,"B1a Slight, peak","B1b Slight, off-peak"))))</f>
        <v>A On time</v>
      </c>
      <c r="L182" s="33">
        <f>IF(AND(Orders!U179&gt;=19,Orders!U179&lt;22),1,0)</f>
        <v>0</v>
      </c>
      <c r="M182" s="33">
        <f>IF(L182=IF(Orders!V179,1,0),1,0)</f>
        <v>1</v>
      </c>
      <c r="N182" s="32" t="str">
        <f>IF(Orders!W179="","None",Orders!W179)</f>
        <v>None</v>
      </c>
      <c r="O182" s="35">
        <f>INT(Orders!E179)</f>
        <v>46279.0</v>
      </c>
      <c r="P182" s="33">
        <f>Orders!U179</f>
        <v>23</v>
      </c>
      <c r="Q182" s="33">
        <f>COUNTIFS(Demand!$A$2:$A$4481,B182,Demand!$B$2:$B$4481,O182,Demand!$C$2:$C$4481,P182)</f>
        <v>1</v>
      </c>
      <c r="R182" s="33">
        <f>IF(Q182=1,SUMIFS(Demand!$E$2:$E$4481,Demand!$A$2:$A$4481,B182,Demand!$B$2:$B$4481,O182,Demand!$C$2:$C$4481,P182),"")</f>
        <v>48</v>
      </c>
      <c r="S182" s="33">
        <f>INDEX(Stores!$G$2:$G$21,MATCH(B182,Stores!$A$2:$A$21,0))</f>
        <v>41</v>
      </c>
      <c r="T182" s="34">
        <f>IF(R182="","",R182/S182)</f>
        <v>1.17073170731707</v>
      </c>
      <c r="U182" s="34">
        <f>IF(E182=1,T182,"")</f>
        <v>1.17073170731707</v>
      </c>
      <c r="V182" s="34">
        <f>IF(AND(E182=1,L182=0),T182,"")</f>
        <v>1.17073170731707</v>
      </c>
      <c r="W182" s="33">
        <f>IF(U182="","",IF(U182&lt;=Breakdowns!$C$5,1,IF(U182&lt;=Breakdowns!$C$6,2,IF(U182&lt;=Breakdowns!$C$7,3,4))))</f>
        <v>3</v>
      </c>
      <c r="X182" s="33">
        <f>IF(V182="","",IF(V182&lt;=Breakdowns!$D$5,1,IF(V182&lt;=Breakdowns!$D$6,2,IF(V182&lt;=Breakdowns!$D$7,3,4))))</f>
        <v>4</v>
      </c>
      <c r="Y182" s="34">
        <f>INDEX(Stores!$F$2:$F$21,MATCH(B182,Stores!$A$2:$A$21,0))</f>
        <v>3.84</v>
      </c>
      <c r="Z182" s="33">
        <f>IF(Y182&gt;Store_Summary!$M$2,1,0)</f>
        <v>0</v>
      </c>
      <c r="AA182" s="33">
        <f>INDEX(Stores!$C$2:$C$21,MATCH(B182,Stores!$A$2:$A$21,0))</f>
        <v>426</v>
      </c>
      <c r="AB182" s="33">
        <f>IF(AA182&lt;180,1,0)</f>
        <v>0</v>
      </c>
      <c r="AC182" s="32" t="str">
        <f>IF(Orders!D179="","",INDEX(Riders!$C$2:$C$81,MATCH(Orders!D179,Riders!$A$2:$A$81,0)))</f>
        <v>EV scooter</v>
      </c>
      <c r="AD182" s="33">
        <f>IF(Orders!D179="","",INDEX(Riders!$D$2:$D$81,MATCH(Orders!D179,Riders!$A$2:$A$81,0)))</f>
        <v>2</v>
      </c>
      <c r="AE182" s="33">
        <f>IF(Orders!D179="","",IF(INDEX(Riders!$B$2:$B$81,MATCH(Orders!D179,Riders!$A$2:$A$81,0))=B182,1,0))</f>
        <v>0</v>
      </c>
      <c r="AF182" s="34">
        <f>IF(E182=1,Orders!L179,"")</f>
        <v>0.85</v>
      </c>
      <c r="AG182" s="34">
        <f>IF(E182=1,Orders!P179,"")</f>
        <v>9.4</v>
      </c>
      <c r="AH182" s="34">
        <f>IF(E182=1,Orders!Q179,"")</f>
        <v>8.6</v>
      </c>
      <c r="AI182" s="34">
        <f>IF(E182=1,Orders!M179,"")</f>
        <v>2.5</v>
      </c>
      <c r="AJ182" s="34">
        <f>IF(E182=1,Orders!N179,"")</f>
        <v>3.9</v>
      </c>
      <c r="AK182" s="34">
        <f>IF(E182=1,Orders!O179,"")</f>
        <v>2.2</v>
      </c>
      <c r="AL182" s="33">
        <f>IF(E182=1,IF(ROUND(ABS(AI182+AJ182+AK182-AH182),6)&lt;=0.1,1,0),"")</f>
        <v>1</v>
      </c>
      <c r="AM182" s="36">
        <f>IF(E182=1,AI182/AH182,"")</f>
        <v>0.290697674418605</v>
      </c>
      <c r="AN182" s="36">
        <f>IF(E182=1,AJ182/AH182,"")</f>
        <v>0.453488372093023</v>
      </c>
      <c r="AO182" s="36">
        <f>IF(E182=1,AK182/AH182,"")</f>
        <v>0.255813953488372</v>
      </c>
      <c r="AP182" s="34">
        <f>IF(E182=1,Orders!Y179,"")</f>
        <v>0.56</v>
      </c>
      <c r="AQ182" s="33">
        <f>IF(Orders!X179,1,0)</f>
        <v>0</v>
      </c>
      <c r="AR182" s="34" t="str">
        <f>IF(AND(E182=1,L182=1),AJ182,"")</f>
        <v/>
      </c>
      <c r="AS182" s="34">
        <f>IF(AND(E182=1,L182=0),AJ182,"")</f>
        <v>3.9</v>
      </c>
      <c r="AT182" s="34" t="str">
        <f>IF(AND(E182=1,L182=1),AI182,"")</f>
        <v/>
      </c>
      <c r="AU182" s="34">
        <f>IF(AND(E182=1,L182=0),AI182,"")</f>
        <v>2.5</v>
      </c>
      <c r="AV182" s="34" t="str">
        <f>IF(AND(E182=1,L182=1),AG182,"")</f>
        <v/>
      </c>
      <c r="AW182" s="34">
        <f>IF(AND(E182=1,L182=0),AG182,"")</f>
        <v>9.4</v>
      </c>
      <c r="AX182" s="34" t="str">
        <f>IF(AND(E182=1,L182=1),AH182,"")</f>
        <v/>
      </c>
      <c r="AY182" s="34">
        <f>IF(AND(E182=1,L182=0),AH182,"")</f>
        <v>8.6</v>
      </c>
      <c r="AZ182" s="34" t="str">
        <f>IF(G182=1,F182,"")</f>
        <v/>
      </c>
      <c r="BA182" s="34" t="str">
        <f>IF(AND(G182=1,L182=1),F182,"")</f>
        <v/>
      </c>
      <c r="BB182" s="34" t="str">
        <f>IF(AND(G182=1,L182=0),F182,"")</f>
        <v/>
      </c>
      <c r="BC182" s="33">
        <f>IF(E182=1,IF(Orders!R179&gt;3,1,0),"")</f>
        <v>0</v>
      </c>
      <c r="BD182" s="33">
        <f>IF(E182=1,IF(Orders!R179&gt;7,1,0),"")</f>
        <v>0</v>
      </c>
      <c r="BE182" s="32" t="str">
        <f>IF(E182=1,IF(Orders!L179&lt;=1.5,"Up to 1.5 km",IF(Orders!L179&lt;=3,"1.5–3 km","Over 3 km")),"")</f>
        <v>Up to 1.5 km</v>
      </c>
      <c r="BF182" s="33">
        <f>IF(E182=1,IF(ABS((Orders!G179-Orders!F179)*1440-Orders!R179)&lt;0.06,1,0),"")</f>
        <v>1</v>
      </c>
      <c r="BG182" s="33">
        <f>IF(ABS((Orders!F179-Orders!E179)*1440-Orders!P179)&lt;0.06,1,0)</f>
        <v>1</v>
      </c>
      <c r="BH182" s="33">
        <f>IF(E182=1,IF(IF(Orders!S179,1,0)=1-G182,1,0),"")</f>
        <v>1</v>
      </c>
      <c r="BI182" s="32" t="str">
        <f>INDEX(Stores!$B$2:$B$21,MATCH(B182,Stores!$A$2:$A$21,0))</f>
        <v>Mumbai</v>
      </c>
    </row>
    <row r="183">
      <c r="A183" s="32" t="str">
        <f>Orders!A180</f>
        <v>O00179</v>
      </c>
      <c r="B183" s="32" t="str">
        <f>Orders!C180</f>
        <v>S014</v>
      </c>
      <c r="C183" s="32" t="str">
        <f>Orders!B180</f>
        <v>C0054</v>
      </c>
      <c r="D183" s="32" t="str">
        <f>Orders!H180</f>
        <v>Delivered</v>
      </c>
      <c r="E183" s="33">
        <f>IF(Orders!H180="Delivered",1,0)</f>
        <v>1</v>
      </c>
      <c r="F183" s="34">
        <f>IF(E183=1,Orders!R180,"")</f>
        <v>2.9</v>
      </c>
      <c r="G183" s="33">
        <f>IF(E183=1,IF(Orders!R180&gt;0,1,0),"")</f>
        <v>1</v>
      </c>
      <c r="H183" s="33">
        <f>IF(E183=1,IF(Orders!R180&gt;5,1,0),"")</f>
        <v>0</v>
      </c>
      <c r="I183" s="32" t="str">
        <f>IF(E183=1,"",IF(OR(Orders!T180="Rider unavailable",Orders!T180="Item unavailable"),"Company-caused","Unresolved"))</f>
        <v/>
      </c>
      <c r="J183" s="33">
        <f>IF(OR(E183=1,I183="Company-caused"),1,0)</f>
        <v>1</v>
      </c>
      <c r="K183" s="32" t="str">
        <f>IF(E183=0,IF(I183="Company-caused",IF(Orders!T180="Rider unavailable","C1 Rider unavailable","C2 Item unavailable"),"Outside root: unresolved"),IF(G183=0,"A On time",IF(H183=1,IF(L183=1,"B2a Severe, peak","B2b Severe, off-peak"),IF(L183=1,"B1a Slight, peak","B1b Slight, off-peak"))))</f>
        <v>B1b Slight, off-peak</v>
      </c>
      <c r="L183" s="33">
        <f>IF(AND(Orders!U180&gt;=19,Orders!U180&lt;22),1,0)</f>
        <v>0</v>
      </c>
      <c r="M183" s="33">
        <f>IF(L183=IF(Orders!V180,1,0),1,0)</f>
        <v>1</v>
      </c>
      <c r="N183" s="32" t="str">
        <f>IF(Orders!W180="","None",Orders!W180)</f>
        <v>None</v>
      </c>
      <c r="O183" s="35">
        <f>INT(Orders!E180)</f>
        <v>46268.0</v>
      </c>
      <c r="P183" s="33">
        <f>Orders!U180</f>
        <v>12</v>
      </c>
      <c r="Q183" s="33">
        <f>COUNTIFS(Demand!$A$2:$A$4481,B183,Demand!$B$2:$B$4481,O183,Demand!$C$2:$C$4481,P183)</f>
        <v>1</v>
      </c>
      <c r="R183" s="33">
        <f>IF(Q183=1,SUMIFS(Demand!$E$2:$E$4481,Demand!$A$2:$A$4481,B183,Demand!$B$2:$B$4481,O183,Demand!$C$2:$C$4481,P183),"")</f>
        <v>35</v>
      </c>
      <c r="S183" s="33">
        <f>INDEX(Stores!$G$2:$G$21,MATCH(B183,Stores!$A$2:$A$21,0))</f>
        <v>37</v>
      </c>
      <c r="T183" s="34">
        <f>IF(R183="","",R183/S183)</f>
        <v>0.945945945945946</v>
      </c>
      <c r="U183" s="34">
        <f>IF(E183=1,T183,"")</f>
        <v>0.945945945945946</v>
      </c>
      <c r="V183" s="34">
        <f>IF(AND(E183=1,L183=0),T183,"")</f>
        <v>0.945945945945946</v>
      </c>
      <c r="W183" s="33">
        <f>IF(U183="","",IF(U183&lt;=Breakdowns!$C$5,1,IF(U183&lt;=Breakdowns!$C$6,2,IF(U183&lt;=Breakdowns!$C$7,3,4))))</f>
        <v>2</v>
      </c>
      <c r="X183" s="33">
        <f>IF(V183="","",IF(V183&lt;=Breakdowns!$D$5,1,IF(V183&lt;=Breakdowns!$D$6,2,IF(V183&lt;=Breakdowns!$D$7,3,4))))</f>
        <v>3</v>
      </c>
      <c r="Y183" s="34">
        <f>INDEX(Stores!$F$2:$F$21,MATCH(B183,Stores!$A$2:$A$21,0))</f>
        <v>5.55</v>
      </c>
      <c r="Z183" s="33">
        <f>IF(Y183&gt;Store_Summary!$M$2,1,0)</f>
        <v>1</v>
      </c>
      <c r="AA183" s="33">
        <f>INDEX(Stores!$C$2:$C$21,MATCH(B183,Stores!$A$2:$A$21,0))</f>
        <v>241</v>
      </c>
      <c r="AB183" s="33">
        <f>IF(AA183&lt;180,1,0)</f>
        <v>0</v>
      </c>
      <c r="AC183" s="32" t="str">
        <f>IF(Orders!D180="","",INDEX(Riders!$C$2:$C$81,MATCH(Orders!D180,Riders!$A$2:$A$81,0)))</f>
        <v>Petrol scooter</v>
      </c>
      <c r="AD183" s="33">
        <f>IF(Orders!D180="","",INDEX(Riders!$D$2:$D$81,MATCH(Orders!D180,Riders!$A$2:$A$81,0)))</f>
        <v>48</v>
      </c>
      <c r="AE183" s="33">
        <f>IF(Orders!D180="","",IF(INDEX(Riders!$B$2:$B$81,MATCH(Orders!D180,Riders!$A$2:$A$81,0))=B183,1,0))</f>
        <v>0</v>
      </c>
      <c r="AF183" s="34">
        <f>IF(E183=1,Orders!L180,"")</f>
        <v>0.5</v>
      </c>
      <c r="AG183" s="34">
        <f>IF(E183=1,Orders!P180,"")</f>
        <v>10.2</v>
      </c>
      <c r="AH183" s="34">
        <f>IF(E183=1,Orders!Q180,"")</f>
        <v>13.1</v>
      </c>
      <c r="AI183" s="34">
        <f>IF(E183=1,Orders!M180,"")</f>
        <v>6.7</v>
      </c>
      <c r="AJ183" s="34">
        <f>IF(E183=1,Orders!N180,"")</f>
        <v>4.1</v>
      </c>
      <c r="AK183" s="34">
        <f>IF(E183=1,Orders!O180,"")</f>
        <v>2.3</v>
      </c>
      <c r="AL183" s="33">
        <f>IF(E183=1,IF(ROUND(ABS(AI183+AJ183+AK183-AH183),6)&lt;=0.1,1,0),"")</f>
        <v>1</v>
      </c>
      <c r="AM183" s="36">
        <f>IF(E183=1,AI183/AH183,"")</f>
        <v>0.511450381679389</v>
      </c>
      <c r="AN183" s="36">
        <f>IF(E183=1,AJ183/AH183,"")</f>
        <v>0.312977099236641</v>
      </c>
      <c r="AO183" s="36">
        <f>IF(E183=1,AK183/AH183,"")</f>
        <v>0.175572519083969</v>
      </c>
      <c r="AP183" s="34">
        <f>IF(E183=1,Orders!Y180,"")</f>
        <v>0.37</v>
      </c>
      <c r="AQ183" s="33">
        <f>IF(Orders!X180,1,0)</f>
        <v>0</v>
      </c>
      <c r="AR183" s="34" t="str">
        <f>IF(AND(E183=1,L183=1),AJ183,"")</f>
        <v/>
      </c>
      <c r="AS183" s="34">
        <f>IF(AND(E183=1,L183=0),AJ183,"")</f>
        <v>4.1</v>
      </c>
      <c r="AT183" s="34" t="str">
        <f>IF(AND(E183=1,L183=1),AI183,"")</f>
        <v/>
      </c>
      <c r="AU183" s="34">
        <f>IF(AND(E183=1,L183=0),AI183,"")</f>
        <v>6.7</v>
      </c>
      <c r="AV183" s="34" t="str">
        <f>IF(AND(E183=1,L183=1),AG183,"")</f>
        <v/>
      </c>
      <c r="AW183" s="34">
        <f>IF(AND(E183=1,L183=0),AG183,"")</f>
        <v>10.2</v>
      </c>
      <c r="AX183" s="34" t="str">
        <f>IF(AND(E183=1,L183=1),AH183,"")</f>
        <v/>
      </c>
      <c r="AY183" s="34">
        <f>IF(AND(E183=1,L183=0),AH183,"")</f>
        <v>13.1</v>
      </c>
      <c r="AZ183" s="34">
        <f>IF(G183=1,F183,"")</f>
        <v>2.9</v>
      </c>
      <c r="BA183" s="34" t="str">
        <f>IF(AND(G183=1,L183=1),F183,"")</f>
        <v/>
      </c>
      <c r="BB183" s="34">
        <f>IF(AND(G183=1,L183=0),F183,"")</f>
        <v>2.9</v>
      </c>
      <c r="BC183" s="33">
        <f>IF(E183=1,IF(Orders!R180&gt;3,1,0),"")</f>
        <v>0</v>
      </c>
      <c r="BD183" s="33">
        <f>IF(E183=1,IF(Orders!R180&gt;7,1,0),"")</f>
        <v>0</v>
      </c>
      <c r="BE183" s="32" t="str">
        <f>IF(E183=1,IF(Orders!L180&lt;=1.5,"Up to 1.5 km",IF(Orders!L180&lt;=3,"1.5–3 km","Over 3 km")),"")</f>
        <v>Up to 1.5 km</v>
      </c>
      <c r="BF183" s="33">
        <f>IF(E183=1,IF(ABS((Orders!G180-Orders!F180)*1440-Orders!R180)&lt;0.06,1,0),"")</f>
        <v>1</v>
      </c>
      <c r="BG183" s="33">
        <f>IF(ABS((Orders!F180-Orders!E180)*1440-Orders!P180)&lt;0.06,1,0)</f>
        <v>1</v>
      </c>
      <c r="BH183" s="33">
        <f>IF(E183=1,IF(IF(Orders!S180,1,0)=1-G183,1,0),"")</f>
        <v>1</v>
      </c>
      <c r="BI183" s="32" t="str">
        <f>INDEX(Stores!$B$2:$B$21,MATCH(B183,Stores!$A$2:$A$21,0))</f>
        <v>Pune</v>
      </c>
    </row>
    <row r="184">
      <c r="A184" s="32" t="str">
        <f>Orders!A181</f>
        <v>O00180</v>
      </c>
      <c r="B184" s="32" t="str">
        <f>Orders!C181</f>
        <v>S018</v>
      </c>
      <c r="C184" s="32" t="str">
        <f>Orders!B181</f>
        <v>C0167</v>
      </c>
      <c r="D184" s="32" t="str">
        <f>Orders!H181</f>
        <v>Delivered</v>
      </c>
      <c r="E184" s="33">
        <f>IF(Orders!H181="Delivered",1,0)</f>
        <v>1</v>
      </c>
      <c r="F184" s="34">
        <f>IF(E184=1,Orders!R181,"")</f>
        <v>5.9</v>
      </c>
      <c r="G184" s="33">
        <f>IF(E184=1,IF(Orders!R181&gt;0,1,0),"")</f>
        <v>1</v>
      </c>
      <c r="H184" s="33">
        <f>IF(E184=1,IF(Orders!R181&gt;5,1,0),"")</f>
        <v>1</v>
      </c>
      <c r="I184" s="32" t="str">
        <f>IF(E184=1,"",IF(OR(Orders!T181="Rider unavailable",Orders!T181="Item unavailable"),"Company-caused","Unresolved"))</f>
        <v/>
      </c>
      <c r="J184" s="33">
        <f>IF(OR(E184=1,I184="Company-caused"),1,0)</f>
        <v>1</v>
      </c>
      <c r="K184" s="32" t="str">
        <f>IF(E184=0,IF(I184="Company-caused",IF(Orders!T181="Rider unavailable","C1 Rider unavailable","C2 Item unavailable"),"Outside root: unresolved"),IF(G184=0,"A On time",IF(H184=1,IF(L184=1,"B2a Severe, peak","B2b Severe, off-peak"),IF(L184=1,"B1a Slight, peak","B1b Slight, off-peak"))))</f>
        <v>B2b Severe, off-peak</v>
      </c>
      <c r="L184" s="33">
        <f>IF(AND(Orders!U181&gt;=19,Orders!U181&lt;22),1,0)</f>
        <v>0</v>
      </c>
      <c r="M184" s="33">
        <f>IF(L184=IF(Orders!V181,1,0),1,0)</f>
        <v>1</v>
      </c>
      <c r="N184" s="32" t="str">
        <f>IF(Orders!W181="","None",Orders!W181)</f>
        <v>None</v>
      </c>
      <c r="O184" s="35">
        <f>INT(Orders!E181)</f>
        <v>46267.0</v>
      </c>
      <c r="P184" s="33">
        <f>Orders!U181</f>
        <v>12</v>
      </c>
      <c r="Q184" s="33">
        <f>COUNTIFS(Demand!$A$2:$A$4481,B184,Demand!$B$2:$B$4481,O184,Demand!$C$2:$C$4481,P184)</f>
        <v>1</v>
      </c>
      <c r="R184" s="33">
        <f>IF(Q184=1,SUMIFS(Demand!$E$2:$E$4481,Demand!$A$2:$A$4481,B184,Demand!$B$2:$B$4481,O184,Demand!$C$2:$C$4481,P184),"")</f>
        <v>26</v>
      </c>
      <c r="S184" s="33">
        <f>INDEX(Stores!$G$2:$G$21,MATCH(B184,Stores!$A$2:$A$21,0))</f>
        <v>20</v>
      </c>
      <c r="T184" s="34">
        <f>IF(R184="","",R184/S184)</f>
        <v>1.3</v>
      </c>
      <c r="U184" s="34">
        <f>IF(E184=1,T184,"")</f>
        <v>1.3</v>
      </c>
      <c r="V184" s="34">
        <f>IF(AND(E184=1,L184=0),T184,"")</f>
        <v>1.3</v>
      </c>
      <c r="W184" s="33">
        <f>IF(U184="","",IF(U184&lt;=Breakdowns!$C$5,1,IF(U184&lt;=Breakdowns!$C$6,2,IF(U184&lt;=Breakdowns!$C$7,3,4))))</f>
        <v>4</v>
      </c>
      <c r="X184" s="33">
        <f>IF(V184="","",IF(V184&lt;=Breakdowns!$D$5,1,IF(V184&lt;=Breakdowns!$D$6,2,IF(V184&lt;=Breakdowns!$D$7,3,4))))</f>
        <v>4</v>
      </c>
      <c r="Y184" s="34">
        <f>INDEX(Stores!$F$2:$F$21,MATCH(B184,Stores!$A$2:$A$21,0))</f>
        <v>5.31</v>
      </c>
      <c r="Z184" s="33">
        <f>IF(Y184&gt;Store_Summary!$M$2,1,0)</f>
        <v>1</v>
      </c>
      <c r="AA184" s="33">
        <f>INDEX(Stores!$C$2:$C$21,MATCH(B184,Stores!$A$2:$A$21,0))</f>
        <v>214</v>
      </c>
      <c r="AB184" s="33">
        <f>IF(AA184&lt;180,1,0)</f>
        <v>0</v>
      </c>
      <c r="AC184" s="32" t="str">
        <f>IF(Orders!D181="","",INDEX(Riders!$C$2:$C$81,MATCH(Orders!D181,Riders!$A$2:$A$81,0)))</f>
        <v>EV scooter</v>
      </c>
      <c r="AD184" s="33">
        <f>IF(Orders!D181="","",INDEX(Riders!$D$2:$D$81,MATCH(Orders!D181,Riders!$A$2:$A$81,0)))</f>
        <v>40</v>
      </c>
      <c r="AE184" s="33">
        <f>IF(Orders!D181="","",IF(INDEX(Riders!$B$2:$B$81,MATCH(Orders!D181,Riders!$A$2:$A$81,0))=B184,1,0))</f>
        <v>0</v>
      </c>
      <c r="AF184" s="34">
        <f>IF(E184=1,Orders!L181,"")</f>
        <v>0.5</v>
      </c>
      <c r="AG184" s="34">
        <f>IF(E184=1,Orders!P181,"")</f>
        <v>9.1</v>
      </c>
      <c r="AH184" s="34">
        <f>IF(E184=1,Orders!Q181,"")</f>
        <v>15</v>
      </c>
      <c r="AI184" s="34">
        <f>IF(E184=1,Orders!M181,"")</f>
        <v>7.2</v>
      </c>
      <c r="AJ184" s="34">
        <f>IF(E184=1,Orders!N181,"")</f>
        <v>5.3</v>
      </c>
      <c r="AK184" s="34">
        <f>IF(E184=1,Orders!O181,"")</f>
        <v>2.5</v>
      </c>
      <c r="AL184" s="33">
        <f>IF(E184=1,IF(ROUND(ABS(AI184+AJ184+AK184-AH184),6)&lt;=0.1,1,0),"")</f>
        <v>1</v>
      </c>
      <c r="AM184" s="36">
        <f>IF(E184=1,AI184/AH184,"")</f>
        <v>0.48</v>
      </c>
      <c r="AN184" s="36">
        <f>IF(E184=1,AJ184/AH184,"")</f>
        <v>0.353333333333333</v>
      </c>
      <c r="AO184" s="36">
        <f>IF(E184=1,AK184/AH184,"")</f>
        <v>0.166666666666667</v>
      </c>
      <c r="AP184" s="34">
        <f>IF(E184=1,Orders!Y181,"")</f>
        <v>0.47</v>
      </c>
      <c r="AQ184" s="33">
        <f>IF(Orders!X181,1,0)</f>
        <v>0</v>
      </c>
      <c r="AR184" s="34" t="str">
        <f>IF(AND(E184=1,L184=1),AJ184,"")</f>
        <v/>
      </c>
      <c r="AS184" s="34">
        <f>IF(AND(E184=1,L184=0),AJ184,"")</f>
        <v>5.3</v>
      </c>
      <c r="AT184" s="34" t="str">
        <f>IF(AND(E184=1,L184=1),AI184,"")</f>
        <v/>
      </c>
      <c r="AU184" s="34">
        <f>IF(AND(E184=1,L184=0),AI184,"")</f>
        <v>7.2</v>
      </c>
      <c r="AV184" s="34" t="str">
        <f>IF(AND(E184=1,L184=1),AG184,"")</f>
        <v/>
      </c>
      <c r="AW184" s="34">
        <f>IF(AND(E184=1,L184=0),AG184,"")</f>
        <v>9.1</v>
      </c>
      <c r="AX184" s="34" t="str">
        <f>IF(AND(E184=1,L184=1),AH184,"")</f>
        <v/>
      </c>
      <c r="AY184" s="34">
        <f>IF(AND(E184=1,L184=0),AH184,"")</f>
        <v>15</v>
      </c>
      <c r="AZ184" s="34">
        <f>IF(G184=1,F184,"")</f>
        <v>5.9</v>
      </c>
      <c r="BA184" s="34" t="str">
        <f>IF(AND(G184=1,L184=1),F184,"")</f>
        <v/>
      </c>
      <c r="BB184" s="34">
        <f>IF(AND(G184=1,L184=0),F184,"")</f>
        <v>5.9</v>
      </c>
      <c r="BC184" s="33">
        <f>IF(E184=1,IF(Orders!R181&gt;3,1,0),"")</f>
        <v>1</v>
      </c>
      <c r="BD184" s="33">
        <f>IF(E184=1,IF(Orders!R181&gt;7,1,0),"")</f>
        <v>0</v>
      </c>
      <c r="BE184" s="32" t="str">
        <f>IF(E184=1,IF(Orders!L181&lt;=1.5,"Up to 1.5 km",IF(Orders!L181&lt;=3,"1.5–3 km","Over 3 km")),"")</f>
        <v>Up to 1.5 km</v>
      </c>
      <c r="BF184" s="33">
        <f>IF(E184=1,IF(ABS((Orders!G181-Orders!F181)*1440-Orders!R181)&lt;0.06,1,0),"")</f>
        <v>1</v>
      </c>
      <c r="BG184" s="33">
        <f>IF(ABS((Orders!F181-Orders!E181)*1440-Orders!P181)&lt;0.06,1,0)</f>
        <v>1</v>
      </c>
      <c r="BH184" s="33">
        <f>IF(E184=1,IF(IF(Orders!S181,1,0)=1-G184,1,0),"")</f>
        <v>1</v>
      </c>
      <c r="BI184" s="32" t="str">
        <f>INDEX(Stores!$B$2:$B$21,MATCH(B184,Stores!$A$2:$A$21,0))</f>
        <v>Mumbai</v>
      </c>
    </row>
    <row r="185">
      <c r="A185" s="32" t="str">
        <f>Orders!A182</f>
        <v>O00181</v>
      </c>
      <c r="B185" s="32" t="str">
        <f>Orders!C182</f>
        <v>S010</v>
      </c>
      <c r="C185" s="32" t="str">
        <f>Orders!B182</f>
        <v>C0176</v>
      </c>
      <c r="D185" s="32" t="str">
        <f>Orders!H182</f>
        <v>Delivered</v>
      </c>
      <c r="E185" s="33">
        <f>IF(Orders!H182="Delivered",1,0)</f>
        <v>1</v>
      </c>
      <c r="F185" s="34">
        <f>IF(E185=1,Orders!R182,"")</f>
        <v>-0.2</v>
      </c>
      <c r="G185" s="33">
        <f>IF(E185=1,IF(Orders!R182&gt;0,1,0),"")</f>
        <v>0</v>
      </c>
      <c r="H185" s="33">
        <f>IF(E185=1,IF(Orders!R182&gt;5,1,0),"")</f>
        <v>0</v>
      </c>
      <c r="I185" s="32" t="str">
        <f>IF(E185=1,"",IF(OR(Orders!T182="Rider unavailable",Orders!T182="Item unavailable"),"Company-caused","Unresolved"))</f>
        <v/>
      </c>
      <c r="J185" s="33">
        <f>IF(OR(E185=1,I185="Company-caused"),1,0)</f>
        <v>1</v>
      </c>
      <c r="K185" s="32" t="str">
        <f>IF(E185=0,IF(I185="Company-caused",IF(Orders!T182="Rider unavailable","C1 Rider unavailable","C2 Item unavailable"),"Outside root: unresolved"),IF(G185=0,"A On time",IF(H185=1,IF(L185=1,"B2a Severe, peak","B2b Severe, off-peak"),IF(L185=1,"B1a Slight, peak","B1b Slight, off-peak"))))</f>
        <v>A On time</v>
      </c>
      <c r="L185" s="33">
        <f>IF(AND(Orders!U182&gt;=19,Orders!U182&lt;22),1,0)</f>
        <v>0</v>
      </c>
      <c r="M185" s="33">
        <f>IF(L185=IF(Orders!V182,1,0),1,0)</f>
        <v>1</v>
      </c>
      <c r="N185" s="32" t="str">
        <f>IF(Orders!W182="","None",Orders!W182)</f>
        <v>None</v>
      </c>
      <c r="O185" s="35">
        <f>INT(Orders!E182)</f>
        <v>46279.0</v>
      </c>
      <c r="P185" s="33">
        <f>Orders!U182</f>
        <v>8</v>
      </c>
      <c r="Q185" s="33">
        <f>COUNTIFS(Demand!$A$2:$A$4481,B185,Demand!$B$2:$B$4481,O185,Demand!$C$2:$C$4481,P185)</f>
        <v>1</v>
      </c>
      <c r="R185" s="33">
        <f>IF(Q185=1,SUMIFS(Demand!$E$2:$E$4481,Demand!$A$2:$A$4481,B185,Demand!$B$2:$B$4481,O185,Demand!$C$2:$C$4481,P185),"")</f>
        <v>15</v>
      </c>
      <c r="S185" s="33">
        <f>INDEX(Stores!$G$2:$G$21,MATCH(B185,Stores!$A$2:$A$21,0))</f>
        <v>22</v>
      </c>
      <c r="T185" s="34">
        <f>IF(R185="","",R185/S185)</f>
        <v>0.681818181818182</v>
      </c>
      <c r="U185" s="34">
        <f>IF(E185=1,T185,"")</f>
        <v>0.681818181818182</v>
      </c>
      <c r="V185" s="34">
        <f>IF(AND(E185=1,L185=0),T185,"")</f>
        <v>0.681818181818182</v>
      </c>
      <c r="W185" s="33">
        <f>IF(U185="","",IF(U185&lt;=Breakdowns!$C$5,1,IF(U185&lt;=Breakdowns!$C$6,2,IF(U185&lt;=Breakdowns!$C$7,3,4))))</f>
        <v>1</v>
      </c>
      <c r="X185" s="33">
        <f>IF(V185="","",IF(V185&lt;=Breakdowns!$D$5,1,IF(V185&lt;=Breakdowns!$D$6,2,IF(V185&lt;=Breakdowns!$D$7,3,4))))</f>
        <v>1</v>
      </c>
      <c r="Y185" s="34">
        <f>INDEX(Stores!$F$2:$F$21,MATCH(B185,Stores!$A$2:$A$21,0))</f>
        <v>5.61</v>
      </c>
      <c r="Z185" s="33">
        <f>IF(Y185&gt;Store_Summary!$M$2,1,0)</f>
        <v>1</v>
      </c>
      <c r="AA185" s="33">
        <f>INDEX(Stores!$C$2:$C$21,MATCH(B185,Stores!$A$2:$A$21,0))</f>
        <v>744</v>
      </c>
      <c r="AB185" s="33">
        <f>IF(AA185&lt;180,1,0)</f>
        <v>0</v>
      </c>
      <c r="AC185" s="32" t="str">
        <f>IF(Orders!D182="","",INDEX(Riders!$C$2:$C$81,MATCH(Orders!D182,Riders!$A$2:$A$81,0)))</f>
        <v>EV scooter</v>
      </c>
      <c r="AD185" s="33">
        <f>IF(Orders!D182="","",INDEX(Riders!$D$2:$D$81,MATCH(Orders!D182,Riders!$A$2:$A$81,0)))</f>
        <v>41</v>
      </c>
      <c r="AE185" s="33">
        <f>IF(Orders!D182="","",IF(INDEX(Riders!$B$2:$B$81,MATCH(Orders!D182,Riders!$A$2:$A$81,0))=B185,1,0))</f>
        <v>1</v>
      </c>
      <c r="AF185" s="34">
        <f>IF(E185=1,Orders!L182,"")</f>
        <v>0.5</v>
      </c>
      <c r="AG185" s="34">
        <f>IF(E185=1,Orders!P182,"")</f>
        <v>10.7</v>
      </c>
      <c r="AH185" s="34">
        <f>IF(E185=1,Orders!Q182,"")</f>
        <v>10.5</v>
      </c>
      <c r="AI185" s="34">
        <f>IF(E185=1,Orders!M182,"")</f>
        <v>4.7</v>
      </c>
      <c r="AJ185" s="34">
        <f>IF(E185=1,Orders!N182,"")</f>
        <v>4.6</v>
      </c>
      <c r="AK185" s="34">
        <f>IF(E185=1,Orders!O182,"")</f>
        <v>1.2</v>
      </c>
      <c r="AL185" s="33">
        <f>IF(E185=1,IF(ROUND(ABS(AI185+AJ185+AK185-AH185),6)&lt;=0.1,1,0),"")</f>
        <v>1</v>
      </c>
      <c r="AM185" s="36">
        <f>IF(E185=1,AI185/AH185,"")</f>
        <v>0.447619047619048</v>
      </c>
      <c r="AN185" s="36">
        <f>IF(E185=1,AJ185/AH185,"")</f>
        <v>0.438095238095238</v>
      </c>
      <c r="AO185" s="36">
        <f>IF(E185=1,AK185/AH185,"")</f>
        <v>0.114285714285714</v>
      </c>
      <c r="AP185" s="34">
        <f>IF(E185=1,Orders!Y182,"")</f>
        <v>0.22</v>
      </c>
      <c r="AQ185" s="33">
        <f>IF(Orders!X182,1,0)</f>
        <v>0</v>
      </c>
      <c r="AR185" s="34" t="str">
        <f>IF(AND(E185=1,L185=1),AJ185,"")</f>
        <v/>
      </c>
      <c r="AS185" s="34">
        <f>IF(AND(E185=1,L185=0),AJ185,"")</f>
        <v>4.6</v>
      </c>
      <c r="AT185" s="34" t="str">
        <f>IF(AND(E185=1,L185=1),AI185,"")</f>
        <v/>
      </c>
      <c r="AU185" s="34">
        <f>IF(AND(E185=1,L185=0),AI185,"")</f>
        <v>4.7</v>
      </c>
      <c r="AV185" s="34" t="str">
        <f>IF(AND(E185=1,L185=1),AG185,"")</f>
        <v/>
      </c>
      <c r="AW185" s="34">
        <f>IF(AND(E185=1,L185=0),AG185,"")</f>
        <v>10.7</v>
      </c>
      <c r="AX185" s="34" t="str">
        <f>IF(AND(E185=1,L185=1),AH185,"")</f>
        <v/>
      </c>
      <c r="AY185" s="34">
        <f>IF(AND(E185=1,L185=0),AH185,"")</f>
        <v>10.5</v>
      </c>
      <c r="AZ185" s="34" t="str">
        <f>IF(G185=1,F185,"")</f>
        <v/>
      </c>
      <c r="BA185" s="34" t="str">
        <f>IF(AND(G185=1,L185=1),F185,"")</f>
        <v/>
      </c>
      <c r="BB185" s="34" t="str">
        <f>IF(AND(G185=1,L185=0),F185,"")</f>
        <v/>
      </c>
      <c r="BC185" s="33">
        <f>IF(E185=1,IF(Orders!R182&gt;3,1,0),"")</f>
        <v>0</v>
      </c>
      <c r="BD185" s="33">
        <f>IF(E185=1,IF(Orders!R182&gt;7,1,0),"")</f>
        <v>0</v>
      </c>
      <c r="BE185" s="32" t="str">
        <f>IF(E185=1,IF(Orders!L182&lt;=1.5,"Up to 1.5 km",IF(Orders!L182&lt;=3,"1.5–3 km","Over 3 km")),"")</f>
        <v>Up to 1.5 km</v>
      </c>
      <c r="BF185" s="33">
        <f>IF(E185=1,IF(ABS((Orders!G182-Orders!F182)*1440-Orders!R182)&lt;0.06,1,0),"")</f>
        <v>1</v>
      </c>
      <c r="BG185" s="33">
        <f>IF(ABS((Orders!F182-Orders!E182)*1440-Orders!P182)&lt;0.06,1,0)</f>
        <v>1</v>
      </c>
      <c r="BH185" s="33">
        <f>IF(E185=1,IF(IF(Orders!S182,1,0)=1-G185,1,0),"")</f>
        <v>1</v>
      </c>
      <c r="BI185" s="32" t="str">
        <f>INDEX(Stores!$B$2:$B$21,MATCH(B185,Stores!$A$2:$A$21,0))</f>
        <v>Delhi</v>
      </c>
    </row>
    <row r="186">
      <c r="A186" s="32" t="str">
        <f>Orders!A183</f>
        <v>O00182</v>
      </c>
      <c r="B186" s="32" t="str">
        <f>Orders!C183</f>
        <v>S002</v>
      </c>
      <c r="C186" s="32" t="str">
        <f>Orders!B183</f>
        <v>C0125</v>
      </c>
      <c r="D186" s="32" t="str">
        <f>Orders!H183</f>
        <v>Delivered</v>
      </c>
      <c r="E186" s="33">
        <f>IF(Orders!H183="Delivered",1,0)</f>
        <v>1</v>
      </c>
      <c r="F186" s="34">
        <f>IF(E186=1,Orders!R183,"")</f>
        <v>-1.4</v>
      </c>
      <c r="G186" s="33">
        <f>IF(E186=1,IF(Orders!R183&gt;0,1,0),"")</f>
        <v>0</v>
      </c>
      <c r="H186" s="33">
        <f>IF(E186=1,IF(Orders!R183&gt;5,1,0),"")</f>
        <v>0</v>
      </c>
      <c r="I186" s="32" t="str">
        <f>IF(E186=1,"",IF(OR(Orders!T183="Rider unavailable",Orders!T183="Item unavailable"),"Company-caused","Unresolved"))</f>
        <v/>
      </c>
      <c r="J186" s="33">
        <f>IF(OR(E186=1,I186="Company-caused"),1,0)</f>
        <v>1</v>
      </c>
      <c r="K186" s="32" t="str">
        <f>IF(E186=0,IF(I186="Company-caused",IF(Orders!T183="Rider unavailable","C1 Rider unavailable","C2 Item unavailable"),"Outside root: unresolved"),IF(G186=0,"A On time",IF(H186=1,IF(L186=1,"B2a Severe, peak","B2b Severe, off-peak"),IF(L186=1,"B1a Slight, peak","B1b Slight, off-peak"))))</f>
        <v>A On time</v>
      </c>
      <c r="L186" s="33">
        <f>IF(AND(Orders!U183&gt;=19,Orders!U183&lt;22),1,0)</f>
        <v>0</v>
      </c>
      <c r="M186" s="33">
        <f>IF(L186=IF(Orders!V183,1,0),1,0)</f>
        <v>1</v>
      </c>
      <c r="N186" s="32" t="str">
        <f>IF(Orders!W183="","None",Orders!W183)</f>
        <v>None</v>
      </c>
      <c r="O186" s="35">
        <f>INT(Orders!E183)</f>
        <v>46266.0</v>
      </c>
      <c r="P186" s="33">
        <f>Orders!U183</f>
        <v>11</v>
      </c>
      <c r="Q186" s="33">
        <f>COUNTIFS(Demand!$A$2:$A$4481,B186,Demand!$B$2:$B$4481,O186,Demand!$C$2:$C$4481,P186)</f>
        <v>1</v>
      </c>
      <c r="R186" s="33">
        <f>IF(Q186=1,SUMIFS(Demand!$E$2:$E$4481,Demand!$A$2:$A$4481,B186,Demand!$B$2:$B$4481,O186,Demand!$C$2:$C$4481,P186),"")</f>
        <v>36</v>
      </c>
      <c r="S186" s="33">
        <f>INDEX(Stores!$G$2:$G$21,MATCH(B186,Stores!$A$2:$A$21,0))</f>
        <v>33</v>
      </c>
      <c r="T186" s="34">
        <f>IF(R186="","",R186/S186)</f>
        <v>1.09090909090909</v>
      </c>
      <c r="U186" s="34">
        <f>IF(E186=1,T186,"")</f>
        <v>1.09090909090909</v>
      </c>
      <c r="V186" s="34">
        <f>IF(AND(E186=1,L186=0),T186,"")</f>
        <v>1.09090909090909</v>
      </c>
      <c r="W186" s="33">
        <f>IF(U186="","",IF(U186&lt;=Breakdowns!$C$5,1,IF(U186&lt;=Breakdowns!$C$6,2,IF(U186&lt;=Breakdowns!$C$7,3,4))))</f>
        <v>3</v>
      </c>
      <c r="X186" s="33">
        <f>IF(V186="","",IF(V186&lt;=Breakdowns!$D$5,1,IF(V186&lt;=Breakdowns!$D$6,2,IF(V186&lt;=Breakdowns!$D$7,3,4))))</f>
        <v>4</v>
      </c>
      <c r="Y186" s="34">
        <f>INDEX(Stores!$F$2:$F$21,MATCH(B186,Stores!$A$2:$A$21,0))</f>
        <v>2.39</v>
      </c>
      <c r="Z186" s="33">
        <f>IF(Y186&gt;Store_Summary!$M$2,1,0)</f>
        <v>0</v>
      </c>
      <c r="AA186" s="33">
        <f>INDEX(Stores!$C$2:$C$21,MATCH(B186,Stores!$A$2:$A$21,0))</f>
        <v>470</v>
      </c>
      <c r="AB186" s="33">
        <f>IF(AA186&lt;180,1,0)</f>
        <v>0</v>
      </c>
      <c r="AC186" s="32" t="str">
        <f>IF(Orders!D183="","",INDEX(Riders!$C$2:$C$81,MATCH(Orders!D183,Riders!$A$2:$A$81,0)))</f>
        <v>EV scooter</v>
      </c>
      <c r="AD186" s="33">
        <f>IF(Orders!D183="","",INDEX(Riders!$D$2:$D$81,MATCH(Orders!D183,Riders!$A$2:$A$81,0)))</f>
        <v>2</v>
      </c>
      <c r="AE186" s="33">
        <f>IF(Orders!D183="","",IF(INDEX(Riders!$B$2:$B$81,MATCH(Orders!D183,Riders!$A$2:$A$81,0))=B186,1,0))</f>
        <v>0</v>
      </c>
      <c r="AF186" s="34">
        <f>IF(E186=1,Orders!L183,"")</f>
        <v>0.87</v>
      </c>
      <c r="AG186" s="34">
        <f>IF(E186=1,Orders!P183,"")</f>
        <v>8.6</v>
      </c>
      <c r="AH186" s="34">
        <f>IF(E186=1,Orders!Q183,"")</f>
        <v>7.2</v>
      </c>
      <c r="AI186" s="34">
        <f>IF(E186=1,Orders!M183,"")</f>
        <v>1.9</v>
      </c>
      <c r="AJ186" s="34">
        <f>IF(E186=1,Orders!N183,"")</f>
        <v>2.9</v>
      </c>
      <c r="AK186" s="34">
        <f>IF(E186=1,Orders!O183,"")</f>
        <v>2.4</v>
      </c>
      <c r="AL186" s="33">
        <f>IF(E186=1,IF(ROUND(ABS(AI186+AJ186+AK186-AH186),6)&lt;=0.1,1,0),"")</f>
        <v>1</v>
      </c>
      <c r="AM186" s="36">
        <f>IF(E186=1,AI186/AH186,"")</f>
        <v>0.263888888888889</v>
      </c>
      <c r="AN186" s="36">
        <f>IF(E186=1,AJ186/AH186,"")</f>
        <v>0.402777777777778</v>
      </c>
      <c r="AO186" s="36">
        <f>IF(E186=1,AK186/AH186,"")</f>
        <v>0.333333333333333</v>
      </c>
      <c r="AP186" s="34">
        <f>IF(E186=1,Orders!Y183,"")</f>
        <v>0.26</v>
      </c>
      <c r="AQ186" s="33">
        <f>IF(Orders!X183,1,0)</f>
        <v>0</v>
      </c>
      <c r="AR186" s="34" t="str">
        <f>IF(AND(E186=1,L186=1),AJ186,"")</f>
        <v/>
      </c>
      <c r="AS186" s="34">
        <f>IF(AND(E186=1,L186=0),AJ186,"")</f>
        <v>2.9</v>
      </c>
      <c r="AT186" s="34" t="str">
        <f>IF(AND(E186=1,L186=1),AI186,"")</f>
        <v/>
      </c>
      <c r="AU186" s="34">
        <f>IF(AND(E186=1,L186=0),AI186,"")</f>
        <v>1.9</v>
      </c>
      <c r="AV186" s="34" t="str">
        <f>IF(AND(E186=1,L186=1),AG186,"")</f>
        <v/>
      </c>
      <c r="AW186" s="34">
        <f>IF(AND(E186=1,L186=0),AG186,"")</f>
        <v>8.6</v>
      </c>
      <c r="AX186" s="34" t="str">
        <f>IF(AND(E186=1,L186=1),AH186,"")</f>
        <v/>
      </c>
      <c r="AY186" s="34">
        <f>IF(AND(E186=1,L186=0),AH186,"")</f>
        <v>7.2</v>
      </c>
      <c r="AZ186" s="34" t="str">
        <f>IF(G186=1,F186,"")</f>
        <v/>
      </c>
      <c r="BA186" s="34" t="str">
        <f>IF(AND(G186=1,L186=1),F186,"")</f>
        <v/>
      </c>
      <c r="BB186" s="34" t="str">
        <f>IF(AND(G186=1,L186=0),F186,"")</f>
        <v/>
      </c>
      <c r="BC186" s="33">
        <f>IF(E186=1,IF(Orders!R183&gt;3,1,0),"")</f>
        <v>0</v>
      </c>
      <c r="BD186" s="33">
        <f>IF(E186=1,IF(Orders!R183&gt;7,1,0),"")</f>
        <v>0</v>
      </c>
      <c r="BE186" s="32" t="str">
        <f>IF(E186=1,IF(Orders!L183&lt;=1.5,"Up to 1.5 km",IF(Orders!L183&lt;=3,"1.5–3 km","Over 3 km")),"")</f>
        <v>Up to 1.5 km</v>
      </c>
      <c r="BF186" s="33">
        <f>IF(E186=1,IF(ABS((Orders!G183-Orders!F183)*1440-Orders!R183)&lt;0.06,1,0),"")</f>
        <v>1</v>
      </c>
      <c r="BG186" s="33">
        <f>IF(ABS((Orders!F183-Orders!E183)*1440-Orders!P183)&lt;0.06,1,0)</f>
        <v>1</v>
      </c>
      <c r="BH186" s="33">
        <f>IF(E186=1,IF(IF(Orders!S183,1,0)=1-G186,1,0),"")</f>
        <v>1</v>
      </c>
      <c r="BI186" s="32" t="str">
        <f>INDEX(Stores!$B$2:$B$21,MATCH(B186,Stores!$A$2:$A$21,0))</f>
        <v>Hyderabad</v>
      </c>
    </row>
    <row r="187">
      <c r="A187" s="32" t="str">
        <f>Orders!A184</f>
        <v>O00183</v>
      </c>
      <c r="B187" s="32" t="str">
        <f>Orders!C184</f>
        <v>S006</v>
      </c>
      <c r="C187" s="32" t="str">
        <f>Orders!B184</f>
        <v>C0033</v>
      </c>
      <c r="D187" s="32" t="str">
        <f>Orders!H184</f>
        <v>Delivered</v>
      </c>
      <c r="E187" s="33">
        <f>IF(Orders!H184="Delivered",1,0)</f>
        <v>1</v>
      </c>
      <c r="F187" s="34">
        <f>IF(E187=1,Orders!R184,"")</f>
        <v>-1.1</v>
      </c>
      <c r="G187" s="33">
        <f>IF(E187=1,IF(Orders!R184&gt;0,1,0),"")</f>
        <v>0</v>
      </c>
      <c r="H187" s="33">
        <f>IF(E187=1,IF(Orders!R184&gt;5,1,0),"")</f>
        <v>0</v>
      </c>
      <c r="I187" s="32" t="str">
        <f>IF(E187=1,"",IF(OR(Orders!T184="Rider unavailable",Orders!T184="Item unavailable"),"Company-caused","Unresolved"))</f>
        <v/>
      </c>
      <c r="J187" s="33">
        <f>IF(OR(E187=1,I187="Company-caused"),1,0)</f>
        <v>1</v>
      </c>
      <c r="K187" s="32" t="str">
        <f>IF(E187=0,IF(I187="Company-caused",IF(Orders!T184="Rider unavailable","C1 Rider unavailable","C2 Item unavailable"),"Outside root: unresolved"),IF(G187=0,"A On time",IF(H187=1,IF(L187=1,"B2a Severe, peak","B2b Severe, off-peak"),IF(L187=1,"B1a Slight, peak","B1b Slight, off-peak"))))</f>
        <v>A On time</v>
      </c>
      <c r="L187" s="33">
        <f>IF(AND(Orders!U184&gt;=19,Orders!U184&lt;22),1,0)</f>
        <v>0</v>
      </c>
      <c r="M187" s="33">
        <f>IF(L187=IF(Orders!V184,1,0),1,0)</f>
        <v>1</v>
      </c>
      <c r="N187" s="32" t="str">
        <f>IF(Orders!W184="","None",Orders!W184)</f>
        <v>None</v>
      </c>
      <c r="O187" s="35">
        <f>INT(Orders!E184)</f>
        <v>46279.0</v>
      </c>
      <c r="P187" s="33">
        <f>Orders!U184</f>
        <v>13</v>
      </c>
      <c r="Q187" s="33">
        <f>COUNTIFS(Demand!$A$2:$A$4481,B187,Demand!$B$2:$B$4481,O187,Demand!$C$2:$C$4481,P187)</f>
        <v>1</v>
      </c>
      <c r="R187" s="33">
        <f>IF(Q187=1,SUMIFS(Demand!$E$2:$E$4481,Demand!$A$2:$A$4481,B187,Demand!$B$2:$B$4481,O187,Demand!$C$2:$C$4481,P187),"")</f>
        <v>33</v>
      </c>
      <c r="S187" s="33">
        <f>INDEX(Stores!$G$2:$G$21,MATCH(B187,Stores!$A$2:$A$21,0))</f>
        <v>26</v>
      </c>
      <c r="T187" s="34">
        <f>IF(R187="","",R187/S187)</f>
        <v>1.26923076923077</v>
      </c>
      <c r="U187" s="34">
        <f>IF(E187=1,T187,"")</f>
        <v>1.26923076923077</v>
      </c>
      <c r="V187" s="34">
        <f>IF(AND(E187=1,L187=0),T187,"")</f>
        <v>1.26923076923077</v>
      </c>
      <c r="W187" s="33">
        <f>IF(U187="","",IF(U187&lt;=Breakdowns!$C$5,1,IF(U187&lt;=Breakdowns!$C$6,2,IF(U187&lt;=Breakdowns!$C$7,3,4))))</f>
        <v>4</v>
      </c>
      <c r="X187" s="33">
        <f>IF(V187="","",IF(V187&lt;=Breakdowns!$D$5,1,IF(V187&lt;=Breakdowns!$D$6,2,IF(V187&lt;=Breakdowns!$D$7,3,4))))</f>
        <v>4</v>
      </c>
      <c r="Y187" s="34">
        <f>INDEX(Stores!$F$2:$F$21,MATCH(B187,Stores!$A$2:$A$21,0))</f>
        <v>5.22</v>
      </c>
      <c r="Z187" s="33">
        <f>IF(Y187&gt;Store_Summary!$M$2,1,0)</f>
        <v>1</v>
      </c>
      <c r="AA187" s="33">
        <f>INDEX(Stores!$C$2:$C$21,MATCH(B187,Stores!$A$2:$A$21,0))</f>
        <v>412</v>
      </c>
      <c r="AB187" s="33">
        <f>IF(AA187&lt;180,1,0)</f>
        <v>0</v>
      </c>
      <c r="AC187" s="32" t="str">
        <f>IF(Orders!D184="","",INDEX(Riders!$C$2:$C$81,MATCH(Orders!D184,Riders!$A$2:$A$81,0)))</f>
        <v>EV scooter</v>
      </c>
      <c r="AD187" s="33">
        <f>IF(Orders!D184="","",INDEX(Riders!$D$2:$D$81,MATCH(Orders!D184,Riders!$A$2:$A$81,0)))</f>
        <v>9</v>
      </c>
      <c r="AE187" s="33">
        <f>IF(Orders!D184="","",IF(INDEX(Riders!$B$2:$B$81,MATCH(Orders!D184,Riders!$A$2:$A$81,0))=B187,1,0))</f>
        <v>0</v>
      </c>
      <c r="AF187" s="34">
        <f>IF(E187=1,Orders!L184,"")</f>
        <v>0.5</v>
      </c>
      <c r="AG187" s="34">
        <f>IF(E187=1,Orders!P184,"")</f>
        <v>8.6</v>
      </c>
      <c r="AH187" s="34">
        <f>IF(E187=1,Orders!Q184,"")</f>
        <v>7.5</v>
      </c>
      <c r="AI187" s="34">
        <f>IF(E187=1,Orders!M184,"")</f>
        <v>3.8</v>
      </c>
      <c r="AJ187" s="34">
        <f>IF(E187=1,Orders!N184,"")</f>
        <v>1.4</v>
      </c>
      <c r="AK187" s="34">
        <f>IF(E187=1,Orders!O184,"")</f>
        <v>2.3</v>
      </c>
      <c r="AL187" s="33">
        <f>IF(E187=1,IF(ROUND(ABS(AI187+AJ187+AK187-AH187),6)&lt;=0.1,1,0),"")</f>
        <v>1</v>
      </c>
      <c r="AM187" s="36">
        <f>IF(E187=1,AI187/AH187,"")</f>
        <v>0.506666666666667</v>
      </c>
      <c r="AN187" s="36">
        <f>IF(E187=1,AJ187/AH187,"")</f>
        <v>0.186666666666667</v>
      </c>
      <c r="AO187" s="36">
        <f>IF(E187=1,AK187/AH187,"")</f>
        <v>0.306666666666667</v>
      </c>
      <c r="AP187" s="34">
        <f>IF(E187=1,Orders!Y184,"")</f>
        <v>0.72</v>
      </c>
      <c r="AQ187" s="33">
        <f>IF(Orders!X184,1,0)</f>
        <v>0</v>
      </c>
      <c r="AR187" s="34" t="str">
        <f>IF(AND(E187=1,L187=1),AJ187,"")</f>
        <v/>
      </c>
      <c r="AS187" s="34">
        <f>IF(AND(E187=1,L187=0),AJ187,"")</f>
        <v>1.4</v>
      </c>
      <c r="AT187" s="34" t="str">
        <f>IF(AND(E187=1,L187=1),AI187,"")</f>
        <v/>
      </c>
      <c r="AU187" s="34">
        <f>IF(AND(E187=1,L187=0),AI187,"")</f>
        <v>3.8</v>
      </c>
      <c r="AV187" s="34" t="str">
        <f>IF(AND(E187=1,L187=1),AG187,"")</f>
        <v/>
      </c>
      <c r="AW187" s="34">
        <f>IF(AND(E187=1,L187=0),AG187,"")</f>
        <v>8.6</v>
      </c>
      <c r="AX187" s="34" t="str">
        <f>IF(AND(E187=1,L187=1),AH187,"")</f>
        <v/>
      </c>
      <c r="AY187" s="34">
        <f>IF(AND(E187=1,L187=0),AH187,"")</f>
        <v>7.5</v>
      </c>
      <c r="AZ187" s="34" t="str">
        <f>IF(G187=1,F187,"")</f>
        <v/>
      </c>
      <c r="BA187" s="34" t="str">
        <f>IF(AND(G187=1,L187=1),F187,"")</f>
        <v/>
      </c>
      <c r="BB187" s="34" t="str">
        <f>IF(AND(G187=1,L187=0),F187,"")</f>
        <v/>
      </c>
      <c r="BC187" s="33">
        <f>IF(E187=1,IF(Orders!R184&gt;3,1,0),"")</f>
        <v>0</v>
      </c>
      <c r="BD187" s="33">
        <f>IF(E187=1,IF(Orders!R184&gt;7,1,0),"")</f>
        <v>0</v>
      </c>
      <c r="BE187" s="32" t="str">
        <f>IF(E187=1,IF(Orders!L184&lt;=1.5,"Up to 1.5 km",IF(Orders!L184&lt;=3,"1.5–3 km","Over 3 km")),"")</f>
        <v>Up to 1.5 km</v>
      </c>
      <c r="BF187" s="33">
        <f>IF(E187=1,IF(ABS((Orders!G184-Orders!F184)*1440-Orders!R184)&lt;0.06,1,0),"")</f>
        <v>1</v>
      </c>
      <c r="BG187" s="33">
        <f>IF(ABS((Orders!F184-Orders!E184)*1440-Orders!P184)&lt;0.06,1,0)</f>
        <v>1</v>
      </c>
      <c r="BH187" s="33">
        <f>IF(E187=1,IF(IF(Orders!S184,1,0)=1-G187,1,0),"")</f>
        <v>1</v>
      </c>
      <c r="BI187" s="32" t="str">
        <f>INDEX(Stores!$B$2:$B$21,MATCH(B187,Stores!$A$2:$A$21,0))</f>
        <v>Bengaluru</v>
      </c>
    </row>
    <row r="188">
      <c r="A188" s="32" t="str">
        <f>Orders!A185</f>
        <v>O00184</v>
      </c>
      <c r="B188" s="32" t="str">
        <f>Orders!C185</f>
        <v>S004</v>
      </c>
      <c r="C188" s="32" t="str">
        <f>Orders!B185</f>
        <v>C0060</v>
      </c>
      <c r="D188" s="32" t="str">
        <f>Orders!H185</f>
        <v>Delivered</v>
      </c>
      <c r="E188" s="33">
        <f>IF(Orders!H185="Delivered",1,0)</f>
        <v>1</v>
      </c>
      <c r="F188" s="34">
        <f>IF(E188=1,Orders!R185,"")</f>
        <v>-0.8</v>
      </c>
      <c r="G188" s="33">
        <f>IF(E188=1,IF(Orders!R185&gt;0,1,0),"")</f>
        <v>0</v>
      </c>
      <c r="H188" s="33">
        <f>IF(E188=1,IF(Orders!R185&gt;5,1,0),"")</f>
        <v>0</v>
      </c>
      <c r="I188" s="32" t="str">
        <f>IF(E188=1,"",IF(OR(Orders!T185="Rider unavailable",Orders!T185="Item unavailable"),"Company-caused","Unresolved"))</f>
        <v/>
      </c>
      <c r="J188" s="33">
        <f>IF(OR(E188=1,I188="Company-caused"),1,0)</f>
        <v>1</v>
      </c>
      <c r="K188" s="32" t="str">
        <f>IF(E188=0,IF(I188="Company-caused",IF(Orders!T185="Rider unavailable","C1 Rider unavailable","C2 Item unavailable"),"Outside root: unresolved"),IF(G188=0,"A On time",IF(H188=1,IF(L188=1,"B2a Severe, peak","B2b Severe, off-peak"),IF(L188=1,"B1a Slight, peak","B1b Slight, off-peak"))))</f>
        <v>A On time</v>
      </c>
      <c r="L188" s="33">
        <f>IF(AND(Orders!U185&gt;=19,Orders!U185&lt;22),1,0)</f>
        <v>0</v>
      </c>
      <c r="M188" s="33">
        <f>IF(L188=IF(Orders!V185,1,0),1,0)</f>
        <v>1</v>
      </c>
      <c r="N188" s="32" t="str">
        <f>IF(Orders!W185="","None",Orders!W185)</f>
        <v>Light</v>
      </c>
      <c r="O188" s="35">
        <f>INT(Orders!E185)</f>
        <v>46270.0</v>
      </c>
      <c r="P188" s="33">
        <f>Orders!U185</f>
        <v>12</v>
      </c>
      <c r="Q188" s="33">
        <f>COUNTIFS(Demand!$A$2:$A$4481,B188,Demand!$B$2:$B$4481,O188,Demand!$C$2:$C$4481,P188)</f>
        <v>1</v>
      </c>
      <c r="R188" s="33">
        <f>IF(Q188=1,SUMIFS(Demand!$E$2:$E$4481,Demand!$A$2:$A$4481,B188,Demand!$B$2:$B$4481,O188,Demand!$C$2:$C$4481,P188),"")</f>
        <v>40</v>
      </c>
      <c r="S188" s="33">
        <f>INDEX(Stores!$G$2:$G$21,MATCH(B188,Stores!$A$2:$A$21,0))</f>
        <v>42</v>
      </c>
      <c r="T188" s="34">
        <f>IF(R188="","",R188/S188)</f>
        <v>0.952380952380952</v>
      </c>
      <c r="U188" s="34">
        <f>IF(E188=1,T188,"")</f>
        <v>0.952380952380952</v>
      </c>
      <c r="V188" s="34">
        <f>IF(AND(E188=1,L188=0),T188,"")</f>
        <v>0.952380952380952</v>
      </c>
      <c r="W188" s="33">
        <f>IF(U188="","",IF(U188&lt;=Breakdowns!$C$5,1,IF(U188&lt;=Breakdowns!$C$6,2,IF(U188&lt;=Breakdowns!$C$7,3,4))))</f>
        <v>2</v>
      </c>
      <c r="X188" s="33">
        <f>IF(V188="","",IF(V188&lt;=Breakdowns!$D$5,1,IF(V188&lt;=Breakdowns!$D$6,2,IF(V188&lt;=Breakdowns!$D$7,3,4))))</f>
        <v>3</v>
      </c>
      <c r="Y188" s="34">
        <f>INDEX(Stores!$F$2:$F$21,MATCH(B188,Stores!$A$2:$A$21,0))</f>
        <v>2.19</v>
      </c>
      <c r="Z188" s="33">
        <f>IF(Y188&gt;Store_Summary!$M$2,1,0)</f>
        <v>0</v>
      </c>
      <c r="AA188" s="33">
        <f>INDEX(Stores!$C$2:$C$21,MATCH(B188,Stores!$A$2:$A$21,0))</f>
        <v>850</v>
      </c>
      <c r="AB188" s="33">
        <f>IF(AA188&lt;180,1,0)</f>
        <v>0</v>
      </c>
      <c r="AC188" s="32" t="str">
        <f>IF(Orders!D185="","",INDEX(Riders!$C$2:$C$81,MATCH(Orders!D185,Riders!$A$2:$A$81,0)))</f>
        <v>EV scooter</v>
      </c>
      <c r="AD188" s="33">
        <f>IF(Orders!D185="","",INDEX(Riders!$D$2:$D$81,MATCH(Orders!D185,Riders!$A$2:$A$81,0)))</f>
        <v>33</v>
      </c>
      <c r="AE188" s="33">
        <f>IF(Orders!D185="","",IF(INDEX(Riders!$B$2:$B$81,MATCH(Orders!D185,Riders!$A$2:$A$81,0))=B188,1,0))</f>
        <v>0</v>
      </c>
      <c r="AF188" s="34">
        <f>IF(E188=1,Orders!L185,"")</f>
        <v>2.38</v>
      </c>
      <c r="AG188" s="34">
        <f>IF(E188=1,Orders!P185,"")</f>
        <v>9.8</v>
      </c>
      <c r="AH188" s="34">
        <f>IF(E188=1,Orders!Q185,"")</f>
        <v>9</v>
      </c>
      <c r="AI188" s="34">
        <f>IF(E188=1,Orders!M185,"")</f>
        <v>1.6</v>
      </c>
      <c r="AJ188" s="34">
        <f>IF(E188=1,Orders!N185,"")</f>
        <v>4</v>
      </c>
      <c r="AK188" s="34">
        <f>IF(E188=1,Orders!O185,"")</f>
        <v>3.4</v>
      </c>
      <c r="AL188" s="33">
        <f>IF(E188=1,IF(ROUND(ABS(AI188+AJ188+AK188-AH188),6)&lt;=0.1,1,0),"")</f>
        <v>1</v>
      </c>
      <c r="AM188" s="36">
        <f>IF(E188=1,AI188/AH188,"")</f>
        <v>0.177777777777778</v>
      </c>
      <c r="AN188" s="36">
        <f>IF(E188=1,AJ188/AH188,"")</f>
        <v>0.444444444444444</v>
      </c>
      <c r="AO188" s="36">
        <f>IF(E188=1,AK188/AH188,"")</f>
        <v>0.377777777777778</v>
      </c>
      <c r="AP188" s="34">
        <f>IF(E188=1,Orders!Y185,"")</f>
        <v>0.39</v>
      </c>
      <c r="AQ188" s="33">
        <f>IF(Orders!X185,1,0)</f>
        <v>0</v>
      </c>
      <c r="AR188" s="34" t="str">
        <f>IF(AND(E188=1,L188=1),AJ188,"")</f>
        <v/>
      </c>
      <c r="AS188" s="34">
        <f>IF(AND(E188=1,L188=0),AJ188,"")</f>
        <v>4</v>
      </c>
      <c r="AT188" s="34" t="str">
        <f>IF(AND(E188=1,L188=1),AI188,"")</f>
        <v/>
      </c>
      <c r="AU188" s="34">
        <f>IF(AND(E188=1,L188=0),AI188,"")</f>
        <v>1.6</v>
      </c>
      <c r="AV188" s="34" t="str">
        <f>IF(AND(E188=1,L188=1),AG188,"")</f>
        <v/>
      </c>
      <c r="AW188" s="34">
        <f>IF(AND(E188=1,L188=0),AG188,"")</f>
        <v>9.8</v>
      </c>
      <c r="AX188" s="34" t="str">
        <f>IF(AND(E188=1,L188=1),AH188,"")</f>
        <v/>
      </c>
      <c r="AY188" s="34">
        <f>IF(AND(E188=1,L188=0),AH188,"")</f>
        <v>9</v>
      </c>
      <c r="AZ188" s="34" t="str">
        <f>IF(G188=1,F188,"")</f>
        <v/>
      </c>
      <c r="BA188" s="34" t="str">
        <f>IF(AND(G188=1,L188=1),F188,"")</f>
        <v/>
      </c>
      <c r="BB188" s="34" t="str">
        <f>IF(AND(G188=1,L188=0),F188,"")</f>
        <v/>
      </c>
      <c r="BC188" s="33">
        <f>IF(E188=1,IF(Orders!R185&gt;3,1,0),"")</f>
        <v>0</v>
      </c>
      <c r="BD188" s="33">
        <f>IF(E188=1,IF(Orders!R185&gt;7,1,0),"")</f>
        <v>0</v>
      </c>
      <c r="BE188" s="32" t="str">
        <f>IF(E188=1,IF(Orders!L185&lt;=1.5,"Up to 1.5 km",IF(Orders!L185&lt;=3,"1.5–3 km","Over 3 km")),"")</f>
        <v>1.5–3 km</v>
      </c>
      <c r="BF188" s="33">
        <f>IF(E188=1,IF(ABS((Orders!G185-Orders!F185)*1440-Orders!R185)&lt;0.06,1,0),"")</f>
        <v>1</v>
      </c>
      <c r="BG188" s="33">
        <f>IF(ABS((Orders!F185-Orders!E185)*1440-Orders!P185)&lt;0.06,1,0)</f>
        <v>1</v>
      </c>
      <c r="BH188" s="33">
        <f>IF(E188=1,IF(IF(Orders!S185,1,0)=1-G188,1,0),"")</f>
        <v>1</v>
      </c>
      <c r="BI188" s="32" t="str">
        <f>INDEX(Stores!$B$2:$B$21,MATCH(B188,Stores!$A$2:$A$21,0))</f>
        <v>Pune</v>
      </c>
    </row>
    <row r="189">
      <c r="A189" s="32" t="str">
        <f>Orders!A186</f>
        <v>O00185</v>
      </c>
      <c r="B189" s="32" t="str">
        <f>Orders!C186</f>
        <v>S004</v>
      </c>
      <c r="C189" s="32" t="str">
        <f>Orders!B186</f>
        <v>C0124</v>
      </c>
      <c r="D189" s="32" t="str">
        <f>Orders!H186</f>
        <v>Delivered</v>
      </c>
      <c r="E189" s="33">
        <f>IF(Orders!H186="Delivered",1,0)</f>
        <v>1</v>
      </c>
      <c r="F189" s="34">
        <f>IF(E189=1,Orders!R186,"")</f>
        <v>1.1</v>
      </c>
      <c r="G189" s="33">
        <f>IF(E189=1,IF(Orders!R186&gt;0,1,0),"")</f>
        <v>1</v>
      </c>
      <c r="H189" s="33">
        <f>IF(E189=1,IF(Orders!R186&gt;5,1,0),"")</f>
        <v>0</v>
      </c>
      <c r="I189" s="32" t="str">
        <f>IF(E189=1,"",IF(OR(Orders!T186="Rider unavailable",Orders!T186="Item unavailable"),"Company-caused","Unresolved"))</f>
        <v/>
      </c>
      <c r="J189" s="33">
        <f>IF(OR(E189=1,I189="Company-caused"),1,0)</f>
        <v>1</v>
      </c>
      <c r="K189" s="32" t="str">
        <f>IF(E189=0,IF(I189="Company-caused",IF(Orders!T186="Rider unavailable","C1 Rider unavailable","C2 Item unavailable"),"Outside root: unresolved"),IF(G189=0,"A On time",IF(H189=1,IF(L189=1,"B2a Severe, peak","B2b Severe, off-peak"),IF(L189=1,"B1a Slight, peak","B1b Slight, off-peak"))))</f>
        <v>B1b Slight, off-peak</v>
      </c>
      <c r="L189" s="33">
        <f>IF(AND(Orders!U186&gt;=19,Orders!U186&lt;22),1,0)</f>
        <v>0</v>
      </c>
      <c r="M189" s="33">
        <f>IF(L189=IF(Orders!V186,1,0),1,0)</f>
        <v>1</v>
      </c>
      <c r="N189" s="32" t="str">
        <f>IF(Orders!W186="","None",Orders!W186)</f>
        <v>None</v>
      </c>
      <c r="O189" s="35">
        <f>INT(Orders!E186)</f>
        <v>46267.0</v>
      </c>
      <c r="P189" s="33">
        <f>Orders!U186</f>
        <v>13</v>
      </c>
      <c r="Q189" s="33">
        <f>COUNTIFS(Demand!$A$2:$A$4481,B189,Demand!$B$2:$B$4481,O189,Demand!$C$2:$C$4481,P189)</f>
        <v>1</v>
      </c>
      <c r="R189" s="33">
        <f>IF(Q189=1,SUMIFS(Demand!$E$2:$E$4481,Demand!$A$2:$A$4481,B189,Demand!$B$2:$B$4481,O189,Demand!$C$2:$C$4481,P189),"")</f>
        <v>39</v>
      </c>
      <c r="S189" s="33">
        <f>INDEX(Stores!$G$2:$G$21,MATCH(B189,Stores!$A$2:$A$21,0))</f>
        <v>42</v>
      </c>
      <c r="T189" s="34">
        <f>IF(R189="","",R189/S189)</f>
        <v>0.928571428571429</v>
      </c>
      <c r="U189" s="34">
        <f>IF(E189=1,T189,"")</f>
        <v>0.928571428571429</v>
      </c>
      <c r="V189" s="34">
        <f>IF(AND(E189=1,L189=0),T189,"")</f>
        <v>0.928571428571429</v>
      </c>
      <c r="W189" s="33">
        <f>IF(U189="","",IF(U189&lt;=Breakdowns!$C$5,1,IF(U189&lt;=Breakdowns!$C$6,2,IF(U189&lt;=Breakdowns!$C$7,3,4))))</f>
        <v>2</v>
      </c>
      <c r="X189" s="33">
        <f>IF(V189="","",IF(V189&lt;=Breakdowns!$D$5,1,IF(V189&lt;=Breakdowns!$D$6,2,IF(V189&lt;=Breakdowns!$D$7,3,4))))</f>
        <v>3</v>
      </c>
      <c r="Y189" s="34">
        <f>INDEX(Stores!$F$2:$F$21,MATCH(B189,Stores!$A$2:$A$21,0))</f>
        <v>2.19</v>
      </c>
      <c r="Z189" s="33">
        <f>IF(Y189&gt;Store_Summary!$M$2,1,0)</f>
        <v>0</v>
      </c>
      <c r="AA189" s="33">
        <f>INDEX(Stores!$C$2:$C$21,MATCH(B189,Stores!$A$2:$A$21,0))</f>
        <v>850</v>
      </c>
      <c r="AB189" s="33">
        <f>IF(AA189&lt;180,1,0)</f>
        <v>0</v>
      </c>
      <c r="AC189" s="32" t="str">
        <f>IF(Orders!D186="","",INDEX(Riders!$C$2:$C$81,MATCH(Orders!D186,Riders!$A$2:$A$81,0)))</f>
        <v>EV scooter</v>
      </c>
      <c r="AD189" s="33">
        <f>IF(Orders!D186="","",INDEX(Riders!$D$2:$D$81,MATCH(Orders!D186,Riders!$A$2:$A$81,0)))</f>
        <v>4</v>
      </c>
      <c r="AE189" s="33">
        <f>IF(Orders!D186="","",IF(INDEX(Riders!$B$2:$B$81,MATCH(Orders!D186,Riders!$A$2:$A$81,0))=B189,1,0))</f>
        <v>0</v>
      </c>
      <c r="AF189" s="34">
        <f>IF(E189=1,Orders!L186,"")</f>
        <v>2.13</v>
      </c>
      <c r="AG189" s="34">
        <f>IF(E189=1,Orders!P186,"")</f>
        <v>8.3</v>
      </c>
      <c r="AH189" s="34">
        <f>IF(E189=1,Orders!Q186,"")</f>
        <v>9.4</v>
      </c>
      <c r="AI189" s="34">
        <f>IF(E189=1,Orders!M186,"")</f>
        <v>1.5</v>
      </c>
      <c r="AJ189" s="34">
        <f>IF(E189=1,Orders!N186,"")</f>
        <v>2.3</v>
      </c>
      <c r="AK189" s="34">
        <f>IF(E189=1,Orders!O186,"")</f>
        <v>5.6</v>
      </c>
      <c r="AL189" s="33">
        <f>IF(E189=1,IF(ROUND(ABS(AI189+AJ189+AK189-AH189),6)&lt;=0.1,1,0),"")</f>
        <v>1</v>
      </c>
      <c r="AM189" s="36">
        <f>IF(E189=1,AI189/AH189,"")</f>
        <v>0.159574468085106</v>
      </c>
      <c r="AN189" s="36">
        <f>IF(E189=1,AJ189/AH189,"")</f>
        <v>0.24468085106383</v>
      </c>
      <c r="AO189" s="36">
        <f>IF(E189=1,AK189/AH189,"")</f>
        <v>0.595744680851064</v>
      </c>
      <c r="AP189" s="34">
        <f>IF(E189=1,Orders!Y186,"")</f>
        <v>0.33</v>
      </c>
      <c r="AQ189" s="33">
        <f>IF(Orders!X186,1,0)</f>
        <v>0</v>
      </c>
      <c r="AR189" s="34" t="str">
        <f>IF(AND(E189=1,L189=1),AJ189,"")</f>
        <v/>
      </c>
      <c r="AS189" s="34">
        <f>IF(AND(E189=1,L189=0),AJ189,"")</f>
        <v>2.3</v>
      </c>
      <c r="AT189" s="34" t="str">
        <f>IF(AND(E189=1,L189=1),AI189,"")</f>
        <v/>
      </c>
      <c r="AU189" s="34">
        <f>IF(AND(E189=1,L189=0),AI189,"")</f>
        <v>1.5</v>
      </c>
      <c r="AV189" s="34" t="str">
        <f>IF(AND(E189=1,L189=1),AG189,"")</f>
        <v/>
      </c>
      <c r="AW189" s="34">
        <f>IF(AND(E189=1,L189=0),AG189,"")</f>
        <v>8.3</v>
      </c>
      <c r="AX189" s="34" t="str">
        <f>IF(AND(E189=1,L189=1),AH189,"")</f>
        <v/>
      </c>
      <c r="AY189" s="34">
        <f>IF(AND(E189=1,L189=0),AH189,"")</f>
        <v>9.4</v>
      </c>
      <c r="AZ189" s="34">
        <f>IF(G189=1,F189,"")</f>
        <v>1.1</v>
      </c>
      <c r="BA189" s="34" t="str">
        <f>IF(AND(G189=1,L189=1),F189,"")</f>
        <v/>
      </c>
      <c r="BB189" s="34">
        <f>IF(AND(G189=1,L189=0),F189,"")</f>
        <v>1.1</v>
      </c>
      <c r="BC189" s="33">
        <f>IF(E189=1,IF(Orders!R186&gt;3,1,0),"")</f>
        <v>0</v>
      </c>
      <c r="BD189" s="33">
        <f>IF(E189=1,IF(Orders!R186&gt;7,1,0),"")</f>
        <v>0</v>
      </c>
      <c r="BE189" s="32" t="str">
        <f>IF(E189=1,IF(Orders!L186&lt;=1.5,"Up to 1.5 km",IF(Orders!L186&lt;=3,"1.5–3 km","Over 3 km")),"")</f>
        <v>1.5–3 km</v>
      </c>
      <c r="BF189" s="33">
        <f>IF(E189=1,IF(ABS((Orders!G186-Orders!F186)*1440-Orders!R186)&lt;0.06,1,0),"")</f>
        <v>1</v>
      </c>
      <c r="BG189" s="33">
        <f>IF(ABS((Orders!F186-Orders!E186)*1440-Orders!P186)&lt;0.06,1,0)</f>
        <v>1</v>
      </c>
      <c r="BH189" s="33">
        <f>IF(E189=1,IF(IF(Orders!S186,1,0)=1-G189,1,0),"")</f>
        <v>1</v>
      </c>
      <c r="BI189" s="32" t="str">
        <f>INDEX(Stores!$B$2:$B$21,MATCH(B189,Stores!$A$2:$A$21,0))</f>
        <v>Pune</v>
      </c>
    </row>
    <row r="190">
      <c r="A190" s="32" t="str">
        <f>Orders!A187</f>
        <v>O00186</v>
      </c>
      <c r="B190" s="32" t="str">
        <f>Orders!C187</f>
        <v>S011</v>
      </c>
      <c r="C190" s="32" t="str">
        <f>Orders!B187</f>
        <v>C0007</v>
      </c>
      <c r="D190" s="32" t="str">
        <f>Orders!H187</f>
        <v>Delivered</v>
      </c>
      <c r="E190" s="33">
        <f>IF(Orders!H187="Delivered",1,0)</f>
        <v>1</v>
      </c>
      <c r="F190" s="34">
        <f>IF(E190=1,Orders!R187,"")</f>
        <v>-0.4</v>
      </c>
      <c r="G190" s="33">
        <f>IF(E190=1,IF(Orders!R187&gt;0,1,0),"")</f>
        <v>0</v>
      </c>
      <c r="H190" s="33">
        <f>IF(E190=1,IF(Orders!R187&gt;5,1,0),"")</f>
        <v>0</v>
      </c>
      <c r="I190" s="32" t="str">
        <f>IF(E190=1,"",IF(OR(Orders!T187="Rider unavailable",Orders!T187="Item unavailable"),"Company-caused","Unresolved"))</f>
        <v/>
      </c>
      <c r="J190" s="33">
        <f>IF(OR(E190=1,I190="Company-caused"),1,0)</f>
        <v>1</v>
      </c>
      <c r="K190" s="32" t="str">
        <f>IF(E190=0,IF(I190="Company-caused",IF(Orders!T187="Rider unavailable","C1 Rider unavailable","C2 Item unavailable"),"Outside root: unresolved"),IF(G190=0,"A On time",IF(H190=1,IF(L190=1,"B2a Severe, peak","B2b Severe, off-peak"),IF(L190=1,"B1a Slight, peak","B1b Slight, off-peak"))))</f>
        <v>A On time</v>
      </c>
      <c r="L190" s="33">
        <f>IF(AND(Orders!U187&gt;=19,Orders!U187&lt;22),1,0)</f>
        <v>0</v>
      </c>
      <c r="M190" s="33">
        <f>IF(L190=IF(Orders!V187,1,0),1,0)</f>
        <v>1</v>
      </c>
      <c r="N190" s="32" t="str">
        <f>IF(Orders!W187="","None",Orders!W187)</f>
        <v>None</v>
      </c>
      <c r="O190" s="35">
        <f>INT(Orders!E187)</f>
        <v>46266.0</v>
      </c>
      <c r="P190" s="33">
        <f>Orders!U187</f>
        <v>11</v>
      </c>
      <c r="Q190" s="33">
        <f>COUNTIFS(Demand!$A$2:$A$4481,B190,Demand!$B$2:$B$4481,O190,Demand!$C$2:$C$4481,P190)</f>
        <v>1</v>
      </c>
      <c r="R190" s="33">
        <f>IF(Q190=1,SUMIFS(Demand!$E$2:$E$4481,Demand!$A$2:$A$4481,B190,Demand!$B$2:$B$4481,O190,Demand!$C$2:$C$4481,P190),"")</f>
        <v>34</v>
      </c>
      <c r="S190" s="33">
        <f>INDEX(Stores!$G$2:$G$21,MATCH(B190,Stores!$A$2:$A$21,0))</f>
        <v>31</v>
      </c>
      <c r="T190" s="34">
        <f>IF(R190="","",R190/S190)</f>
        <v>1.09677419354839</v>
      </c>
      <c r="U190" s="34">
        <f>IF(E190=1,T190,"")</f>
        <v>1.09677419354839</v>
      </c>
      <c r="V190" s="34">
        <f>IF(AND(E190=1,L190=0),T190,"")</f>
        <v>1.09677419354839</v>
      </c>
      <c r="W190" s="33">
        <f>IF(U190="","",IF(U190&lt;=Breakdowns!$C$5,1,IF(U190&lt;=Breakdowns!$C$6,2,IF(U190&lt;=Breakdowns!$C$7,3,4))))</f>
        <v>3</v>
      </c>
      <c r="X190" s="33">
        <f>IF(V190="","",IF(V190&lt;=Breakdowns!$D$5,1,IF(V190&lt;=Breakdowns!$D$6,2,IF(V190&lt;=Breakdowns!$D$7,3,4))))</f>
        <v>4</v>
      </c>
      <c r="Y190" s="34">
        <f>INDEX(Stores!$F$2:$F$21,MATCH(B190,Stores!$A$2:$A$21,0))</f>
        <v>5.67</v>
      </c>
      <c r="Z190" s="33">
        <f>IF(Y190&gt;Store_Summary!$M$2,1,0)</f>
        <v>1</v>
      </c>
      <c r="AA190" s="33">
        <f>INDEX(Stores!$C$2:$C$21,MATCH(B190,Stores!$A$2:$A$21,0))</f>
        <v>732</v>
      </c>
      <c r="AB190" s="33">
        <f>IF(AA190&lt;180,1,0)</f>
        <v>0</v>
      </c>
      <c r="AC190" s="32" t="str">
        <f>IF(Orders!D187="","",INDEX(Riders!$C$2:$C$81,MATCH(Orders!D187,Riders!$A$2:$A$81,0)))</f>
        <v>Petrol scooter</v>
      </c>
      <c r="AD190" s="33">
        <f>IF(Orders!D187="","",INDEX(Riders!$D$2:$D$81,MATCH(Orders!D187,Riders!$A$2:$A$81,0)))</f>
        <v>29</v>
      </c>
      <c r="AE190" s="33">
        <f>IF(Orders!D187="","",IF(INDEX(Riders!$B$2:$B$81,MATCH(Orders!D187,Riders!$A$2:$A$81,0))=B190,1,0))</f>
        <v>0</v>
      </c>
      <c r="AF190" s="34">
        <f>IF(E190=1,Orders!L187,"")</f>
        <v>2.88</v>
      </c>
      <c r="AG190" s="34">
        <f>IF(E190=1,Orders!P187,"")</f>
        <v>10.2</v>
      </c>
      <c r="AH190" s="34">
        <f>IF(E190=1,Orders!Q187,"")</f>
        <v>9.8</v>
      </c>
      <c r="AI190" s="34">
        <f>IF(E190=1,Orders!M187,"")</f>
        <v>4.4</v>
      </c>
      <c r="AJ190" s="34">
        <f>IF(E190=1,Orders!N187,"")</f>
        <v>0</v>
      </c>
      <c r="AK190" s="34">
        <f>IF(E190=1,Orders!O187,"")</f>
        <v>5.4</v>
      </c>
      <c r="AL190" s="33">
        <f>IF(E190=1,IF(ROUND(ABS(AI190+AJ190+AK190-AH190),6)&lt;=0.1,1,0),"")</f>
        <v>1</v>
      </c>
      <c r="AM190" s="36">
        <f>IF(E190=1,AI190/AH190,"")</f>
        <v>0.448979591836735</v>
      </c>
      <c r="AN190" s="36">
        <f>IF(E190=1,AJ190/AH190,"")</f>
        <v>0</v>
      </c>
      <c r="AO190" s="36">
        <f>IF(E190=1,AK190/AH190,"")</f>
        <v>0.551020408163265</v>
      </c>
      <c r="AP190" s="34">
        <f>IF(E190=1,Orders!Y187,"")</f>
        <v>0.62</v>
      </c>
      <c r="AQ190" s="33">
        <f>IF(Orders!X187,1,0)</f>
        <v>0</v>
      </c>
      <c r="AR190" s="34" t="str">
        <f>IF(AND(E190=1,L190=1),AJ190,"")</f>
        <v/>
      </c>
      <c r="AS190" s="34">
        <f>IF(AND(E190=1,L190=0),AJ190,"")</f>
        <v>0</v>
      </c>
      <c r="AT190" s="34" t="str">
        <f>IF(AND(E190=1,L190=1),AI190,"")</f>
        <v/>
      </c>
      <c r="AU190" s="34">
        <f>IF(AND(E190=1,L190=0),AI190,"")</f>
        <v>4.4</v>
      </c>
      <c r="AV190" s="34" t="str">
        <f>IF(AND(E190=1,L190=1),AG190,"")</f>
        <v/>
      </c>
      <c r="AW190" s="34">
        <f>IF(AND(E190=1,L190=0),AG190,"")</f>
        <v>10.2</v>
      </c>
      <c r="AX190" s="34" t="str">
        <f>IF(AND(E190=1,L190=1),AH190,"")</f>
        <v/>
      </c>
      <c r="AY190" s="34">
        <f>IF(AND(E190=1,L190=0),AH190,"")</f>
        <v>9.8</v>
      </c>
      <c r="AZ190" s="34" t="str">
        <f>IF(G190=1,F190,"")</f>
        <v/>
      </c>
      <c r="BA190" s="34" t="str">
        <f>IF(AND(G190=1,L190=1),F190,"")</f>
        <v/>
      </c>
      <c r="BB190" s="34" t="str">
        <f>IF(AND(G190=1,L190=0),F190,"")</f>
        <v/>
      </c>
      <c r="BC190" s="33">
        <f>IF(E190=1,IF(Orders!R187&gt;3,1,0),"")</f>
        <v>0</v>
      </c>
      <c r="BD190" s="33">
        <f>IF(E190=1,IF(Orders!R187&gt;7,1,0),"")</f>
        <v>0</v>
      </c>
      <c r="BE190" s="32" t="str">
        <f>IF(E190=1,IF(Orders!L187&lt;=1.5,"Up to 1.5 km",IF(Orders!L187&lt;=3,"1.5–3 km","Over 3 km")),"")</f>
        <v>1.5–3 km</v>
      </c>
      <c r="BF190" s="33">
        <f>IF(E190=1,IF(ABS((Orders!G187-Orders!F187)*1440-Orders!R187)&lt;0.06,1,0),"")</f>
        <v>1</v>
      </c>
      <c r="BG190" s="33">
        <f>IF(ABS((Orders!F187-Orders!E187)*1440-Orders!P187)&lt;0.06,1,0)</f>
        <v>1</v>
      </c>
      <c r="BH190" s="33">
        <f>IF(E190=1,IF(IF(Orders!S187,1,0)=1-G190,1,0),"")</f>
        <v>1</v>
      </c>
      <c r="BI190" s="32" t="str">
        <f>INDEX(Stores!$B$2:$B$21,MATCH(B190,Stores!$A$2:$A$21,0))</f>
        <v>Bengaluru</v>
      </c>
    </row>
    <row r="191">
      <c r="A191" s="32" t="str">
        <f>Orders!A188</f>
        <v>O00187</v>
      </c>
      <c r="B191" s="32" t="str">
        <f>Orders!C188</f>
        <v>S001</v>
      </c>
      <c r="C191" s="32" t="str">
        <f>Orders!B188</f>
        <v>C0019</v>
      </c>
      <c r="D191" s="32" t="str">
        <f>Orders!H188</f>
        <v>Delivered</v>
      </c>
      <c r="E191" s="33">
        <f>IF(Orders!H188="Delivered",1,0)</f>
        <v>1</v>
      </c>
      <c r="F191" s="34">
        <f>IF(E191=1,Orders!R188,"")</f>
        <v>7.2</v>
      </c>
      <c r="G191" s="33">
        <f>IF(E191=1,IF(Orders!R188&gt;0,1,0),"")</f>
        <v>1</v>
      </c>
      <c r="H191" s="33">
        <f>IF(E191=1,IF(Orders!R188&gt;5,1,0),"")</f>
        <v>1</v>
      </c>
      <c r="I191" s="32" t="str">
        <f>IF(E191=1,"",IF(OR(Orders!T188="Rider unavailable",Orders!T188="Item unavailable"),"Company-caused","Unresolved"))</f>
        <v/>
      </c>
      <c r="J191" s="33">
        <f>IF(OR(E191=1,I191="Company-caused"),1,0)</f>
        <v>1</v>
      </c>
      <c r="K191" s="32" t="str">
        <f>IF(E191=0,IF(I191="Company-caused",IF(Orders!T188="Rider unavailable","C1 Rider unavailable","C2 Item unavailable"),"Outside root: unresolved"),IF(G191=0,"A On time",IF(H191=1,IF(L191=1,"B2a Severe, peak","B2b Severe, off-peak"),IF(L191=1,"B1a Slight, peak","B1b Slight, off-peak"))))</f>
        <v>B2a Severe, peak</v>
      </c>
      <c r="L191" s="33">
        <f>IF(AND(Orders!U188&gt;=19,Orders!U188&lt;22),1,0)</f>
        <v>1</v>
      </c>
      <c r="M191" s="33">
        <f>IF(L191=IF(Orders!V188,1,0),1,0)</f>
        <v>1</v>
      </c>
      <c r="N191" s="32" t="str">
        <f>IF(Orders!W188="","None",Orders!W188)</f>
        <v>Light</v>
      </c>
      <c r="O191" s="35">
        <f>INT(Orders!E188)</f>
        <v>46271.0</v>
      </c>
      <c r="P191" s="33">
        <f>Orders!U188</f>
        <v>20</v>
      </c>
      <c r="Q191" s="33">
        <f>COUNTIFS(Demand!$A$2:$A$4481,B191,Demand!$B$2:$B$4481,O191,Demand!$C$2:$C$4481,P191)</f>
        <v>1</v>
      </c>
      <c r="R191" s="33">
        <f>IF(Q191=1,SUMIFS(Demand!$E$2:$E$4481,Demand!$A$2:$A$4481,B191,Demand!$B$2:$B$4481,O191,Demand!$C$2:$C$4481,P191),"")</f>
        <v>35</v>
      </c>
      <c r="S191" s="33">
        <f>INDEX(Stores!$G$2:$G$21,MATCH(B191,Stores!$A$2:$A$21,0))</f>
        <v>16</v>
      </c>
      <c r="T191" s="34">
        <f>IF(R191="","",R191/S191)</f>
        <v>2.1875</v>
      </c>
      <c r="U191" s="34">
        <f>IF(E191=1,T191,"")</f>
        <v>2.1875</v>
      </c>
      <c r="V191" s="34" t="str">
        <f>IF(AND(E191=1,L191=0),T191,"")</f>
        <v/>
      </c>
      <c r="W191" s="33">
        <f>IF(U191="","",IF(U191&lt;=Breakdowns!$C$5,1,IF(U191&lt;=Breakdowns!$C$6,2,IF(U191&lt;=Breakdowns!$C$7,3,4))))</f>
        <v>4</v>
      </c>
      <c r="X191" s="33" t="str">
        <f>IF(V191="","",IF(V191&lt;=Breakdowns!$D$5,1,IF(V191&lt;=Breakdowns!$D$6,2,IF(V191&lt;=Breakdowns!$D$7,3,4))))</f>
        <v/>
      </c>
      <c r="Y191" s="34">
        <f>INDEX(Stores!$F$2:$F$21,MATCH(B191,Stores!$A$2:$A$21,0))</f>
        <v>4.59</v>
      </c>
      <c r="Z191" s="33">
        <f>IF(Y191&gt;Store_Summary!$M$2,1,0)</f>
        <v>0</v>
      </c>
      <c r="AA191" s="33">
        <f>INDEX(Stores!$C$2:$C$21,MATCH(B191,Stores!$A$2:$A$21,0))</f>
        <v>362</v>
      </c>
      <c r="AB191" s="33">
        <f>IF(AA191&lt;180,1,0)</f>
        <v>0</v>
      </c>
      <c r="AC191" s="32" t="str">
        <f>IF(Orders!D188="","",INDEX(Riders!$C$2:$C$81,MATCH(Orders!D188,Riders!$A$2:$A$81,0)))</f>
        <v>Bicycle</v>
      </c>
      <c r="AD191" s="33">
        <f>IF(Orders!D188="","",INDEX(Riders!$D$2:$D$81,MATCH(Orders!D188,Riders!$A$2:$A$81,0)))</f>
        <v>40</v>
      </c>
      <c r="AE191" s="33">
        <f>IF(Orders!D188="","",IF(INDEX(Riders!$B$2:$B$81,MATCH(Orders!D188,Riders!$A$2:$A$81,0))=B191,1,0))</f>
        <v>0</v>
      </c>
      <c r="AF191" s="34">
        <f>IF(E191=1,Orders!L188,"")</f>
        <v>1.24</v>
      </c>
      <c r="AG191" s="34">
        <f>IF(E191=1,Orders!P188,"")</f>
        <v>8</v>
      </c>
      <c r="AH191" s="34">
        <f>IF(E191=1,Orders!Q188,"")</f>
        <v>15.2</v>
      </c>
      <c r="AI191" s="34">
        <f>IF(E191=1,Orders!M188,"")</f>
        <v>4.6</v>
      </c>
      <c r="AJ191" s="34">
        <f>IF(E191=1,Orders!N188,"")</f>
        <v>5.8</v>
      </c>
      <c r="AK191" s="34">
        <f>IF(E191=1,Orders!O188,"")</f>
        <v>4.8</v>
      </c>
      <c r="AL191" s="33">
        <f>IF(E191=1,IF(ROUND(ABS(AI191+AJ191+AK191-AH191),6)&lt;=0.1,1,0),"")</f>
        <v>1</v>
      </c>
      <c r="AM191" s="36">
        <f>IF(E191=1,AI191/AH191,"")</f>
        <v>0.302631578947368</v>
      </c>
      <c r="AN191" s="36">
        <f>IF(E191=1,AJ191/AH191,"")</f>
        <v>0.381578947368421</v>
      </c>
      <c r="AO191" s="36">
        <f>IF(E191=1,AK191/AH191,"")</f>
        <v>0.315789473684211</v>
      </c>
      <c r="AP191" s="34">
        <f>IF(E191=1,Orders!Y188,"")</f>
        <v>0.59</v>
      </c>
      <c r="AQ191" s="33">
        <f>IF(Orders!X188,1,0)</f>
        <v>0</v>
      </c>
      <c r="AR191" s="34">
        <f>IF(AND(E191=1,L191=1),AJ191,"")</f>
        <v>5.8</v>
      </c>
      <c r="AS191" s="34" t="str">
        <f>IF(AND(E191=1,L191=0),AJ191,"")</f>
        <v/>
      </c>
      <c r="AT191" s="34">
        <f>IF(AND(E191=1,L191=1),AI191,"")</f>
        <v>4.6</v>
      </c>
      <c r="AU191" s="34" t="str">
        <f>IF(AND(E191=1,L191=0),AI191,"")</f>
        <v/>
      </c>
      <c r="AV191" s="34">
        <f>IF(AND(E191=1,L191=1),AG191,"")</f>
        <v>8</v>
      </c>
      <c r="AW191" s="34" t="str">
        <f>IF(AND(E191=1,L191=0),AG191,"")</f>
        <v/>
      </c>
      <c r="AX191" s="34">
        <f>IF(AND(E191=1,L191=1),AH191,"")</f>
        <v>15.2</v>
      </c>
      <c r="AY191" s="34" t="str">
        <f>IF(AND(E191=1,L191=0),AH191,"")</f>
        <v/>
      </c>
      <c r="AZ191" s="34">
        <f>IF(G191=1,F191,"")</f>
        <v>7.2</v>
      </c>
      <c r="BA191" s="34">
        <f>IF(AND(G191=1,L191=1),F191,"")</f>
        <v>7.2</v>
      </c>
      <c r="BB191" s="34" t="str">
        <f>IF(AND(G191=1,L191=0),F191,"")</f>
        <v/>
      </c>
      <c r="BC191" s="33">
        <f>IF(E191=1,IF(Orders!R188&gt;3,1,0),"")</f>
        <v>1</v>
      </c>
      <c r="BD191" s="33">
        <f>IF(E191=1,IF(Orders!R188&gt;7,1,0),"")</f>
        <v>1</v>
      </c>
      <c r="BE191" s="32" t="str">
        <f>IF(E191=1,IF(Orders!L188&lt;=1.5,"Up to 1.5 km",IF(Orders!L188&lt;=3,"1.5–3 km","Over 3 km")),"")</f>
        <v>Up to 1.5 km</v>
      </c>
      <c r="BF191" s="33">
        <f>IF(E191=1,IF(ABS((Orders!G188-Orders!F188)*1440-Orders!R188)&lt;0.06,1,0),"")</f>
        <v>1</v>
      </c>
      <c r="BG191" s="33">
        <f>IF(ABS((Orders!F188-Orders!E188)*1440-Orders!P188)&lt;0.06,1,0)</f>
        <v>1</v>
      </c>
      <c r="BH191" s="33">
        <f>IF(E191=1,IF(IF(Orders!S188,1,0)=1-G191,1,0),"")</f>
        <v>1</v>
      </c>
      <c r="BI191" s="32" t="str">
        <f>INDEX(Stores!$B$2:$B$21,MATCH(B191,Stores!$A$2:$A$21,0))</f>
        <v>Bengaluru</v>
      </c>
    </row>
    <row r="192">
      <c r="A192" s="32" t="str">
        <f>Orders!A189</f>
        <v>O00188</v>
      </c>
      <c r="B192" s="32" t="str">
        <f>Orders!C189</f>
        <v>S018</v>
      </c>
      <c r="C192" s="32" t="str">
        <f>Orders!B189</f>
        <v>C0056</v>
      </c>
      <c r="D192" s="32" t="str">
        <f>Orders!H189</f>
        <v>Delivered</v>
      </c>
      <c r="E192" s="33">
        <f>IF(Orders!H189="Delivered",1,0)</f>
        <v>1</v>
      </c>
      <c r="F192" s="34">
        <f>IF(E192=1,Orders!R189,"")</f>
        <v>-0.8</v>
      </c>
      <c r="G192" s="33">
        <f>IF(E192=1,IF(Orders!R189&gt;0,1,0),"")</f>
        <v>0</v>
      </c>
      <c r="H192" s="33">
        <f>IF(E192=1,IF(Orders!R189&gt;5,1,0),"")</f>
        <v>0</v>
      </c>
      <c r="I192" s="32" t="str">
        <f>IF(E192=1,"",IF(OR(Orders!T189="Rider unavailable",Orders!T189="Item unavailable"),"Company-caused","Unresolved"))</f>
        <v/>
      </c>
      <c r="J192" s="33">
        <f>IF(OR(E192=1,I192="Company-caused"),1,0)</f>
        <v>1</v>
      </c>
      <c r="K192" s="32" t="str">
        <f>IF(E192=0,IF(I192="Company-caused",IF(Orders!T189="Rider unavailable","C1 Rider unavailable","C2 Item unavailable"),"Outside root: unresolved"),IF(G192=0,"A On time",IF(H192=1,IF(L192=1,"B2a Severe, peak","B2b Severe, off-peak"),IF(L192=1,"B1a Slight, peak","B1b Slight, off-peak"))))</f>
        <v>A On time</v>
      </c>
      <c r="L192" s="33">
        <f>IF(AND(Orders!U189&gt;=19,Orders!U189&lt;22),1,0)</f>
        <v>0</v>
      </c>
      <c r="M192" s="33">
        <f>IF(L192=IF(Orders!V189,1,0),1,0)</f>
        <v>1</v>
      </c>
      <c r="N192" s="32" t="str">
        <f>IF(Orders!W189="","None",Orders!W189)</f>
        <v>Heavy</v>
      </c>
      <c r="O192" s="35">
        <f>INT(Orders!E189)</f>
        <v>46269.0</v>
      </c>
      <c r="P192" s="33">
        <f>Orders!U189</f>
        <v>18</v>
      </c>
      <c r="Q192" s="33">
        <f>COUNTIFS(Demand!$A$2:$A$4481,B192,Demand!$B$2:$B$4481,O192,Demand!$C$2:$C$4481,P192)</f>
        <v>1</v>
      </c>
      <c r="R192" s="33">
        <f>IF(Q192=1,SUMIFS(Demand!$E$2:$E$4481,Demand!$A$2:$A$4481,B192,Demand!$B$2:$B$4481,O192,Demand!$C$2:$C$4481,P192),"")</f>
        <v>20</v>
      </c>
      <c r="S192" s="33">
        <f>INDEX(Stores!$G$2:$G$21,MATCH(B192,Stores!$A$2:$A$21,0))</f>
        <v>20</v>
      </c>
      <c r="T192" s="34">
        <f>IF(R192="","",R192/S192)</f>
        <v>1</v>
      </c>
      <c r="U192" s="34">
        <f>IF(E192=1,T192,"")</f>
        <v>1</v>
      </c>
      <c r="V192" s="34">
        <f>IF(AND(E192=1,L192=0),T192,"")</f>
        <v>1</v>
      </c>
      <c r="W192" s="33">
        <f>IF(U192="","",IF(U192&lt;=Breakdowns!$C$5,1,IF(U192&lt;=Breakdowns!$C$6,2,IF(U192&lt;=Breakdowns!$C$7,3,4))))</f>
        <v>2</v>
      </c>
      <c r="X192" s="33">
        <f>IF(V192="","",IF(V192&lt;=Breakdowns!$D$5,1,IF(V192&lt;=Breakdowns!$D$6,2,IF(V192&lt;=Breakdowns!$D$7,3,4))))</f>
        <v>3</v>
      </c>
      <c r="Y192" s="34">
        <f>INDEX(Stores!$F$2:$F$21,MATCH(B192,Stores!$A$2:$A$21,0))</f>
        <v>5.31</v>
      </c>
      <c r="Z192" s="33">
        <f>IF(Y192&gt;Store_Summary!$M$2,1,0)</f>
        <v>1</v>
      </c>
      <c r="AA192" s="33">
        <f>INDEX(Stores!$C$2:$C$21,MATCH(B192,Stores!$A$2:$A$21,0))</f>
        <v>214</v>
      </c>
      <c r="AB192" s="33">
        <f>IF(AA192&lt;180,1,0)</f>
        <v>0</v>
      </c>
      <c r="AC192" s="32" t="str">
        <f>IF(Orders!D189="","",INDEX(Riders!$C$2:$C$81,MATCH(Orders!D189,Riders!$A$2:$A$81,0)))</f>
        <v>EV scooter</v>
      </c>
      <c r="AD192" s="33">
        <f>IF(Orders!D189="","",INDEX(Riders!$D$2:$D$81,MATCH(Orders!D189,Riders!$A$2:$A$81,0)))</f>
        <v>33</v>
      </c>
      <c r="AE192" s="33">
        <f>IF(Orders!D189="","",IF(INDEX(Riders!$B$2:$B$81,MATCH(Orders!D189,Riders!$A$2:$A$81,0))=B192,1,0))</f>
        <v>0</v>
      </c>
      <c r="AF192" s="34">
        <f>IF(E192=1,Orders!L189,"")</f>
        <v>0.5</v>
      </c>
      <c r="AG192" s="34">
        <f>IF(E192=1,Orders!P189,"")</f>
        <v>10.8</v>
      </c>
      <c r="AH192" s="34">
        <f>IF(E192=1,Orders!Q189,"")</f>
        <v>10</v>
      </c>
      <c r="AI192" s="34">
        <f>IF(E192=1,Orders!M189,"")</f>
        <v>3</v>
      </c>
      <c r="AJ192" s="34">
        <f>IF(E192=1,Orders!N189,"")</f>
        <v>4.7</v>
      </c>
      <c r="AK192" s="34">
        <f>IF(E192=1,Orders!O189,"")</f>
        <v>2.3</v>
      </c>
      <c r="AL192" s="33">
        <f>IF(E192=1,IF(ROUND(ABS(AI192+AJ192+AK192-AH192),6)&lt;=0.1,1,0),"")</f>
        <v>1</v>
      </c>
      <c r="AM192" s="36">
        <f>IF(E192=1,AI192/AH192,"")</f>
        <v>0.3</v>
      </c>
      <c r="AN192" s="36">
        <f>IF(E192=1,AJ192/AH192,"")</f>
        <v>0.47</v>
      </c>
      <c r="AO192" s="36">
        <f>IF(E192=1,AK192/AH192,"")</f>
        <v>0.23</v>
      </c>
      <c r="AP192" s="34">
        <f>IF(E192=1,Orders!Y189,"")</f>
        <v>0.48</v>
      </c>
      <c r="AQ192" s="33">
        <f>IF(Orders!X189,1,0)</f>
        <v>1</v>
      </c>
      <c r="AR192" s="34" t="str">
        <f>IF(AND(E192=1,L192=1),AJ192,"")</f>
        <v/>
      </c>
      <c r="AS192" s="34">
        <f>IF(AND(E192=1,L192=0),AJ192,"")</f>
        <v>4.7</v>
      </c>
      <c r="AT192" s="34" t="str">
        <f>IF(AND(E192=1,L192=1),AI192,"")</f>
        <v/>
      </c>
      <c r="AU192" s="34">
        <f>IF(AND(E192=1,L192=0),AI192,"")</f>
        <v>3</v>
      </c>
      <c r="AV192" s="34" t="str">
        <f>IF(AND(E192=1,L192=1),AG192,"")</f>
        <v/>
      </c>
      <c r="AW192" s="34">
        <f>IF(AND(E192=1,L192=0),AG192,"")</f>
        <v>10.8</v>
      </c>
      <c r="AX192" s="34" t="str">
        <f>IF(AND(E192=1,L192=1),AH192,"")</f>
        <v/>
      </c>
      <c r="AY192" s="34">
        <f>IF(AND(E192=1,L192=0),AH192,"")</f>
        <v>10</v>
      </c>
      <c r="AZ192" s="34" t="str">
        <f>IF(G192=1,F192,"")</f>
        <v/>
      </c>
      <c r="BA192" s="34" t="str">
        <f>IF(AND(G192=1,L192=1),F192,"")</f>
        <v/>
      </c>
      <c r="BB192" s="34" t="str">
        <f>IF(AND(G192=1,L192=0),F192,"")</f>
        <v/>
      </c>
      <c r="BC192" s="33">
        <f>IF(E192=1,IF(Orders!R189&gt;3,1,0),"")</f>
        <v>0</v>
      </c>
      <c r="BD192" s="33">
        <f>IF(E192=1,IF(Orders!R189&gt;7,1,0),"")</f>
        <v>0</v>
      </c>
      <c r="BE192" s="32" t="str">
        <f>IF(E192=1,IF(Orders!L189&lt;=1.5,"Up to 1.5 km",IF(Orders!L189&lt;=3,"1.5–3 km","Over 3 km")),"")</f>
        <v>Up to 1.5 km</v>
      </c>
      <c r="BF192" s="33">
        <f>IF(E192=1,IF(ABS((Orders!G189-Orders!F189)*1440-Orders!R189)&lt;0.06,1,0),"")</f>
        <v>1</v>
      </c>
      <c r="BG192" s="33">
        <f>IF(ABS((Orders!F189-Orders!E189)*1440-Orders!P189)&lt;0.06,1,0)</f>
        <v>1</v>
      </c>
      <c r="BH192" s="33">
        <f>IF(E192=1,IF(IF(Orders!S189,1,0)=1-G192,1,0),"")</f>
        <v>1</v>
      </c>
      <c r="BI192" s="32" t="str">
        <f>INDEX(Stores!$B$2:$B$21,MATCH(B192,Stores!$A$2:$A$21,0))</f>
        <v>Mumbai</v>
      </c>
    </row>
    <row r="193">
      <c r="A193" s="32" t="str">
        <f>Orders!A190</f>
        <v>O00189</v>
      </c>
      <c r="B193" s="32" t="str">
        <f>Orders!C190</f>
        <v>S006</v>
      </c>
      <c r="C193" s="32" t="str">
        <f>Orders!B190</f>
        <v>C0072</v>
      </c>
      <c r="D193" s="32" t="str">
        <f>Orders!H190</f>
        <v>Delivered</v>
      </c>
      <c r="E193" s="33">
        <f>IF(Orders!H190="Delivered",1,0)</f>
        <v>1</v>
      </c>
      <c r="F193" s="34">
        <f>IF(E193=1,Orders!R190,"")</f>
        <v>11.5</v>
      </c>
      <c r="G193" s="33">
        <f>IF(E193=1,IF(Orders!R190&gt;0,1,0),"")</f>
        <v>1</v>
      </c>
      <c r="H193" s="33">
        <f>IF(E193=1,IF(Orders!R190&gt;5,1,0),"")</f>
        <v>1</v>
      </c>
      <c r="I193" s="32" t="str">
        <f>IF(E193=1,"",IF(OR(Orders!T190="Rider unavailable",Orders!T190="Item unavailable"),"Company-caused","Unresolved"))</f>
        <v/>
      </c>
      <c r="J193" s="33">
        <f>IF(OR(E193=1,I193="Company-caused"),1,0)</f>
        <v>1</v>
      </c>
      <c r="K193" s="32" t="str">
        <f>IF(E193=0,IF(I193="Company-caused",IF(Orders!T190="Rider unavailable","C1 Rider unavailable","C2 Item unavailable"),"Outside root: unresolved"),IF(G193=0,"A On time",IF(H193=1,IF(L193=1,"B2a Severe, peak","B2b Severe, off-peak"),IF(L193=1,"B1a Slight, peak","B1b Slight, off-peak"))))</f>
        <v>B2b Severe, off-peak</v>
      </c>
      <c r="L193" s="33">
        <f>IF(AND(Orders!U190&gt;=19,Orders!U190&lt;22),1,0)</f>
        <v>0</v>
      </c>
      <c r="M193" s="33">
        <f>IF(L193=IF(Orders!V190,1,0),1,0)</f>
        <v>1</v>
      </c>
      <c r="N193" s="32" t="str">
        <f>IF(Orders!W190="","None",Orders!W190)</f>
        <v>None</v>
      </c>
      <c r="O193" s="35">
        <f>INT(Orders!E190)</f>
        <v>46273.0</v>
      </c>
      <c r="P193" s="33">
        <f>Orders!U190</f>
        <v>18</v>
      </c>
      <c r="Q193" s="33">
        <f>COUNTIFS(Demand!$A$2:$A$4481,B193,Demand!$B$2:$B$4481,O193,Demand!$C$2:$C$4481,P193)</f>
        <v>1</v>
      </c>
      <c r="R193" s="33">
        <f>IF(Q193=1,SUMIFS(Demand!$E$2:$E$4481,Demand!$A$2:$A$4481,B193,Demand!$B$2:$B$4481,O193,Demand!$C$2:$C$4481,P193),"")</f>
        <v>27</v>
      </c>
      <c r="S193" s="33">
        <f>INDEX(Stores!$G$2:$G$21,MATCH(B193,Stores!$A$2:$A$21,0))</f>
        <v>26</v>
      </c>
      <c r="T193" s="34">
        <f>IF(R193="","",R193/S193)</f>
        <v>1.03846153846154</v>
      </c>
      <c r="U193" s="34">
        <f>IF(E193=1,T193,"")</f>
        <v>1.03846153846154</v>
      </c>
      <c r="V193" s="34">
        <f>IF(AND(E193=1,L193=0),T193,"")</f>
        <v>1.03846153846154</v>
      </c>
      <c r="W193" s="33">
        <f>IF(U193="","",IF(U193&lt;=Breakdowns!$C$5,1,IF(U193&lt;=Breakdowns!$C$6,2,IF(U193&lt;=Breakdowns!$C$7,3,4))))</f>
        <v>3</v>
      </c>
      <c r="X193" s="33">
        <f>IF(V193="","",IF(V193&lt;=Breakdowns!$D$5,1,IF(V193&lt;=Breakdowns!$D$6,2,IF(V193&lt;=Breakdowns!$D$7,3,4))))</f>
        <v>3</v>
      </c>
      <c r="Y193" s="34">
        <f>INDEX(Stores!$F$2:$F$21,MATCH(B193,Stores!$A$2:$A$21,0))</f>
        <v>5.22</v>
      </c>
      <c r="Z193" s="33">
        <f>IF(Y193&gt;Store_Summary!$M$2,1,0)</f>
        <v>1</v>
      </c>
      <c r="AA193" s="33">
        <f>INDEX(Stores!$C$2:$C$21,MATCH(B193,Stores!$A$2:$A$21,0))</f>
        <v>412</v>
      </c>
      <c r="AB193" s="33">
        <f>IF(AA193&lt;180,1,0)</f>
        <v>0</v>
      </c>
      <c r="AC193" s="32" t="str">
        <f>IF(Orders!D190="","",INDEX(Riders!$C$2:$C$81,MATCH(Orders!D190,Riders!$A$2:$A$81,0)))</f>
        <v>Petrol scooter</v>
      </c>
      <c r="AD193" s="33">
        <f>IF(Orders!D190="","",INDEX(Riders!$D$2:$D$81,MATCH(Orders!D190,Riders!$A$2:$A$81,0)))</f>
        <v>13</v>
      </c>
      <c r="AE193" s="33">
        <f>IF(Orders!D190="","",IF(INDEX(Riders!$B$2:$B$81,MATCH(Orders!D190,Riders!$A$2:$A$81,0))=B193,1,0))</f>
        <v>0</v>
      </c>
      <c r="AF193" s="34">
        <f>IF(E193=1,Orders!L190,"")</f>
        <v>3.28</v>
      </c>
      <c r="AG193" s="34">
        <f>IF(E193=1,Orders!P190,"")</f>
        <v>11.3</v>
      </c>
      <c r="AH193" s="34">
        <f>IF(E193=1,Orders!Q190,"")</f>
        <v>22.8</v>
      </c>
      <c r="AI193" s="34">
        <f>IF(E193=1,Orders!M190,"")</f>
        <v>6.2</v>
      </c>
      <c r="AJ193" s="34">
        <f>IF(E193=1,Orders!N190,"")</f>
        <v>7.1</v>
      </c>
      <c r="AK193" s="34">
        <f>IF(E193=1,Orders!O190,"")</f>
        <v>9.4</v>
      </c>
      <c r="AL193" s="33">
        <f>IF(E193=1,IF(ROUND(ABS(AI193+AJ193+AK193-AH193),6)&lt;=0.1,1,0),"")</f>
        <v>1</v>
      </c>
      <c r="AM193" s="36">
        <f>IF(E193=1,AI193/AH193,"")</f>
        <v>0.271929824561404</v>
      </c>
      <c r="AN193" s="36">
        <f>IF(E193=1,AJ193/AH193,"")</f>
        <v>0.31140350877193</v>
      </c>
      <c r="AO193" s="36">
        <f>IF(E193=1,AK193/AH193,"")</f>
        <v>0.412280701754386</v>
      </c>
      <c r="AP193" s="34">
        <f>IF(E193=1,Orders!Y190,"")</f>
        <v>0.44</v>
      </c>
      <c r="AQ193" s="33">
        <f>IF(Orders!X190,1,0)</f>
        <v>0</v>
      </c>
      <c r="AR193" s="34" t="str">
        <f>IF(AND(E193=1,L193=1),AJ193,"")</f>
        <v/>
      </c>
      <c r="AS193" s="34">
        <f>IF(AND(E193=1,L193=0),AJ193,"")</f>
        <v>7.1</v>
      </c>
      <c r="AT193" s="34" t="str">
        <f>IF(AND(E193=1,L193=1),AI193,"")</f>
        <v/>
      </c>
      <c r="AU193" s="34">
        <f>IF(AND(E193=1,L193=0),AI193,"")</f>
        <v>6.2</v>
      </c>
      <c r="AV193" s="34" t="str">
        <f>IF(AND(E193=1,L193=1),AG193,"")</f>
        <v/>
      </c>
      <c r="AW193" s="34">
        <f>IF(AND(E193=1,L193=0),AG193,"")</f>
        <v>11.3</v>
      </c>
      <c r="AX193" s="34" t="str">
        <f>IF(AND(E193=1,L193=1),AH193,"")</f>
        <v/>
      </c>
      <c r="AY193" s="34">
        <f>IF(AND(E193=1,L193=0),AH193,"")</f>
        <v>22.8</v>
      </c>
      <c r="AZ193" s="34">
        <f>IF(G193=1,F193,"")</f>
        <v>11.5</v>
      </c>
      <c r="BA193" s="34" t="str">
        <f>IF(AND(G193=1,L193=1),F193,"")</f>
        <v/>
      </c>
      <c r="BB193" s="34">
        <f>IF(AND(G193=1,L193=0),F193,"")</f>
        <v>11.5</v>
      </c>
      <c r="BC193" s="33">
        <f>IF(E193=1,IF(Orders!R190&gt;3,1,0),"")</f>
        <v>1</v>
      </c>
      <c r="BD193" s="33">
        <f>IF(E193=1,IF(Orders!R190&gt;7,1,0),"")</f>
        <v>1</v>
      </c>
      <c r="BE193" s="32" t="str">
        <f>IF(E193=1,IF(Orders!L190&lt;=1.5,"Up to 1.5 km",IF(Orders!L190&lt;=3,"1.5–3 km","Over 3 km")),"")</f>
        <v>Over 3 km</v>
      </c>
      <c r="BF193" s="33">
        <f>IF(E193=1,IF(ABS((Orders!G190-Orders!F190)*1440-Orders!R190)&lt;0.06,1,0),"")</f>
        <v>1</v>
      </c>
      <c r="BG193" s="33">
        <f>IF(ABS((Orders!F190-Orders!E190)*1440-Orders!P190)&lt;0.06,1,0)</f>
        <v>1</v>
      </c>
      <c r="BH193" s="33">
        <f>IF(E193=1,IF(IF(Orders!S190,1,0)=1-G193,1,0),"")</f>
        <v>1</v>
      </c>
      <c r="BI193" s="32" t="str">
        <f>INDEX(Stores!$B$2:$B$21,MATCH(B193,Stores!$A$2:$A$21,0))</f>
        <v>Bengaluru</v>
      </c>
    </row>
    <row r="194">
      <c r="A194" s="32" t="str">
        <f>Orders!A191</f>
        <v>O00190</v>
      </c>
      <c r="B194" s="32" t="str">
        <f>Orders!C191</f>
        <v>S010</v>
      </c>
      <c r="C194" s="32" t="str">
        <f>Orders!B191</f>
        <v>C0090</v>
      </c>
      <c r="D194" s="32" t="str">
        <f>Orders!H191</f>
        <v>Delivered</v>
      </c>
      <c r="E194" s="33">
        <f>IF(Orders!H191="Delivered",1,0)</f>
        <v>1</v>
      </c>
      <c r="F194" s="34">
        <f>IF(E194=1,Orders!R191,"")</f>
        <v>-0.5</v>
      </c>
      <c r="G194" s="33">
        <f>IF(E194=1,IF(Orders!R191&gt;0,1,0),"")</f>
        <v>0</v>
      </c>
      <c r="H194" s="33">
        <f>IF(E194=1,IF(Orders!R191&gt;5,1,0),"")</f>
        <v>0</v>
      </c>
      <c r="I194" s="32" t="str">
        <f>IF(E194=1,"",IF(OR(Orders!T191="Rider unavailable",Orders!T191="Item unavailable"),"Company-caused","Unresolved"))</f>
        <v/>
      </c>
      <c r="J194" s="33">
        <f>IF(OR(E194=1,I194="Company-caused"),1,0)</f>
        <v>1</v>
      </c>
      <c r="K194" s="32" t="str">
        <f>IF(E194=0,IF(I194="Company-caused",IF(Orders!T191="Rider unavailable","C1 Rider unavailable","C2 Item unavailable"),"Outside root: unresolved"),IF(G194=0,"A On time",IF(H194=1,IF(L194=1,"B2a Severe, peak","B2b Severe, off-peak"),IF(L194=1,"B1a Slight, peak","B1b Slight, off-peak"))))</f>
        <v>A On time</v>
      </c>
      <c r="L194" s="33">
        <f>IF(AND(Orders!U191&gt;=19,Orders!U191&lt;22),1,0)</f>
        <v>0</v>
      </c>
      <c r="M194" s="33">
        <f>IF(L194=IF(Orders!V191,1,0),1,0)</f>
        <v>1</v>
      </c>
      <c r="N194" s="32" t="str">
        <f>IF(Orders!W191="","None",Orders!W191)</f>
        <v>None</v>
      </c>
      <c r="O194" s="35">
        <f>INT(Orders!E191)</f>
        <v>46268.0</v>
      </c>
      <c r="P194" s="33">
        <f>Orders!U191</f>
        <v>15</v>
      </c>
      <c r="Q194" s="33">
        <f>COUNTIFS(Demand!$A$2:$A$4481,B194,Demand!$B$2:$B$4481,O194,Demand!$C$2:$C$4481,P194)</f>
        <v>1</v>
      </c>
      <c r="R194" s="33">
        <f>IF(Q194=1,SUMIFS(Demand!$E$2:$E$4481,Demand!$A$2:$A$4481,B194,Demand!$B$2:$B$4481,O194,Demand!$C$2:$C$4481,P194),"")</f>
        <v>19</v>
      </c>
      <c r="S194" s="33">
        <f>INDEX(Stores!$G$2:$G$21,MATCH(B194,Stores!$A$2:$A$21,0))</f>
        <v>22</v>
      </c>
      <c r="T194" s="34">
        <f>IF(R194="","",R194/S194)</f>
        <v>0.863636363636364</v>
      </c>
      <c r="U194" s="34">
        <f>IF(E194=1,T194,"")</f>
        <v>0.863636363636364</v>
      </c>
      <c r="V194" s="34">
        <f>IF(AND(E194=1,L194=0),T194,"")</f>
        <v>0.863636363636364</v>
      </c>
      <c r="W194" s="33">
        <f>IF(U194="","",IF(U194&lt;=Breakdowns!$C$5,1,IF(U194&lt;=Breakdowns!$C$6,2,IF(U194&lt;=Breakdowns!$C$7,3,4))))</f>
        <v>2</v>
      </c>
      <c r="X194" s="33">
        <f>IF(V194="","",IF(V194&lt;=Breakdowns!$D$5,1,IF(V194&lt;=Breakdowns!$D$6,2,IF(V194&lt;=Breakdowns!$D$7,3,4))))</f>
        <v>2</v>
      </c>
      <c r="Y194" s="34">
        <f>INDEX(Stores!$F$2:$F$21,MATCH(B194,Stores!$A$2:$A$21,0))</f>
        <v>5.61</v>
      </c>
      <c r="Z194" s="33">
        <f>IF(Y194&gt;Store_Summary!$M$2,1,0)</f>
        <v>1</v>
      </c>
      <c r="AA194" s="33">
        <f>INDEX(Stores!$C$2:$C$21,MATCH(B194,Stores!$A$2:$A$21,0))</f>
        <v>744</v>
      </c>
      <c r="AB194" s="33">
        <f>IF(AA194&lt;180,1,0)</f>
        <v>0</v>
      </c>
      <c r="AC194" s="32" t="str">
        <f>IF(Orders!D191="","",INDEX(Riders!$C$2:$C$81,MATCH(Orders!D191,Riders!$A$2:$A$81,0)))</f>
        <v>Petrol scooter</v>
      </c>
      <c r="AD194" s="33">
        <f>IF(Orders!D191="","",INDEX(Riders!$D$2:$D$81,MATCH(Orders!D191,Riders!$A$2:$A$81,0)))</f>
        <v>32</v>
      </c>
      <c r="AE194" s="33">
        <f>IF(Orders!D191="","",IF(INDEX(Riders!$B$2:$B$81,MATCH(Orders!D191,Riders!$A$2:$A$81,0))=B194,1,0))</f>
        <v>0</v>
      </c>
      <c r="AF194" s="34">
        <f>IF(E194=1,Orders!L191,"")</f>
        <v>1.38</v>
      </c>
      <c r="AG194" s="34">
        <f>IF(E194=1,Orders!P191,"")</f>
        <v>9.6</v>
      </c>
      <c r="AH194" s="34">
        <f>IF(E194=1,Orders!Q191,"")</f>
        <v>9.1</v>
      </c>
      <c r="AI194" s="34">
        <f>IF(E194=1,Orders!M191,"")</f>
        <v>3.6</v>
      </c>
      <c r="AJ194" s="34">
        <f>IF(E194=1,Orders!N191,"")</f>
        <v>2.9</v>
      </c>
      <c r="AK194" s="34">
        <f>IF(E194=1,Orders!O191,"")</f>
        <v>2.6</v>
      </c>
      <c r="AL194" s="33">
        <f>IF(E194=1,IF(ROUND(ABS(AI194+AJ194+AK194-AH194),6)&lt;=0.1,1,0),"")</f>
        <v>1</v>
      </c>
      <c r="AM194" s="36">
        <f>IF(E194=1,AI194/AH194,"")</f>
        <v>0.395604395604396</v>
      </c>
      <c r="AN194" s="36">
        <f>IF(E194=1,AJ194/AH194,"")</f>
        <v>0.318681318681319</v>
      </c>
      <c r="AO194" s="36">
        <f>IF(E194=1,AK194/AH194,"")</f>
        <v>0.285714285714286</v>
      </c>
      <c r="AP194" s="34">
        <f>IF(E194=1,Orders!Y191,"")</f>
        <v>0.4</v>
      </c>
      <c r="AQ194" s="33">
        <f>IF(Orders!X191,1,0)</f>
        <v>0</v>
      </c>
      <c r="AR194" s="34" t="str">
        <f>IF(AND(E194=1,L194=1),AJ194,"")</f>
        <v/>
      </c>
      <c r="AS194" s="34">
        <f>IF(AND(E194=1,L194=0),AJ194,"")</f>
        <v>2.9</v>
      </c>
      <c r="AT194" s="34" t="str">
        <f>IF(AND(E194=1,L194=1),AI194,"")</f>
        <v/>
      </c>
      <c r="AU194" s="34">
        <f>IF(AND(E194=1,L194=0),AI194,"")</f>
        <v>3.6</v>
      </c>
      <c r="AV194" s="34" t="str">
        <f>IF(AND(E194=1,L194=1),AG194,"")</f>
        <v/>
      </c>
      <c r="AW194" s="34">
        <f>IF(AND(E194=1,L194=0),AG194,"")</f>
        <v>9.6</v>
      </c>
      <c r="AX194" s="34" t="str">
        <f>IF(AND(E194=1,L194=1),AH194,"")</f>
        <v/>
      </c>
      <c r="AY194" s="34">
        <f>IF(AND(E194=1,L194=0),AH194,"")</f>
        <v>9.1</v>
      </c>
      <c r="AZ194" s="34" t="str">
        <f>IF(G194=1,F194,"")</f>
        <v/>
      </c>
      <c r="BA194" s="34" t="str">
        <f>IF(AND(G194=1,L194=1),F194,"")</f>
        <v/>
      </c>
      <c r="BB194" s="34" t="str">
        <f>IF(AND(G194=1,L194=0),F194,"")</f>
        <v/>
      </c>
      <c r="BC194" s="33">
        <f>IF(E194=1,IF(Orders!R191&gt;3,1,0),"")</f>
        <v>0</v>
      </c>
      <c r="BD194" s="33">
        <f>IF(E194=1,IF(Orders!R191&gt;7,1,0),"")</f>
        <v>0</v>
      </c>
      <c r="BE194" s="32" t="str">
        <f>IF(E194=1,IF(Orders!L191&lt;=1.5,"Up to 1.5 km",IF(Orders!L191&lt;=3,"1.5–3 km","Over 3 km")),"")</f>
        <v>Up to 1.5 km</v>
      </c>
      <c r="BF194" s="33">
        <f>IF(E194=1,IF(ABS((Orders!G191-Orders!F191)*1440-Orders!R191)&lt;0.06,1,0),"")</f>
        <v>1</v>
      </c>
      <c r="BG194" s="33">
        <f>IF(ABS((Orders!F191-Orders!E191)*1440-Orders!P191)&lt;0.06,1,0)</f>
        <v>1</v>
      </c>
      <c r="BH194" s="33">
        <f>IF(E194=1,IF(IF(Orders!S191,1,0)=1-G194,1,0),"")</f>
        <v>1</v>
      </c>
      <c r="BI194" s="32" t="str">
        <f>INDEX(Stores!$B$2:$B$21,MATCH(B194,Stores!$A$2:$A$21,0))</f>
        <v>Delhi</v>
      </c>
    </row>
    <row r="195">
      <c r="A195" s="32" t="str">
        <f>Orders!A192</f>
        <v>O00191</v>
      </c>
      <c r="B195" s="32" t="str">
        <f>Orders!C192</f>
        <v>S013</v>
      </c>
      <c r="C195" s="32" t="str">
        <f>Orders!B192</f>
        <v>C0091</v>
      </c>
      <c r="D195" s="32" t="str">
        <f>Orders!H192</f>
        <v>Delivered</v>
      </c>
      <c r="E195" s="33">
        <f>IF(Orders!H192="Delivered",1,0)</f>
        <v>1</v>
      </c>
      <c r="F195" s="34">
        <f>IF(E195=1,Orders!R192,"")</f>
        <v>5</v>
      </c>
      <c r="G195" s="33">
        <f>IF(E195=1,IF(Orders!R192&gt;0,1,0),"")</f>
        <v>1</v>
      </c>
      <c r="H195" s="33">
        <f>IF(E195=1,IF(Orders!R192&gt;5,1,0),"")</f>
        <v>0</v>
      </c>
      <c r="I195" s="32" t="str">
        <f>IF(E195=1,"",IF(OR(Orders!T192="Rider unavailable",Orders!T192="Item unavailable"),"Company-caused","Unresolved"))</f>
        <v/>
      </c>
      <c r="J195" s="33">
        <f>IF(OR(E195=1,I195="Company-caused"),1,0)</f>
        <v>1</v>
      </c>
      <c r="K195" s="32" t="str">
        <f>IF(E195=0,IF(I195="Company-caused",IF(Orders!T192="Rider unavailable","C1 Rider unavailable","C2 Item unavailable"),"Outside root: unresolved"),IF(G195=0,"A On time",IF(H195=1,IF(L195=1,"B2a Severe, peak","B2b Severe, off-peak"),IF(L195=1,"B1a Slight, peak","B1b Slight, off-peak"))))</f>
        <v>B1b Slight, off-peak</v>
      </c>
      <c r="L195" s="33">
        <f>IF(AND(Orders!U192&gt;=19,Orders!U192&lt;22),1,0)</f>
        <v>0</v>
      </c>
      <c r="M195" s="33">
        <f>IF(L195=IF(Orders!V192,1,0),1,0)</f>
        <v>1</v>
      </c>
      <c r="N195" s="32" t="str">
        <f>IF(Orders!W192="","None",Orders!W192)</f>
        <v>None</v>
      </c>
      <c r="O195" s="35">
        <f>INT(Orders!E192)</f>
        <v>46279.0</v>
      </c>
      <c r="P195" s="33">
        <f>Orders!U192</f>
        <v>22</v>
      </c>
      <c r="Q195" s="33">
        <f>COUNTIFS(Demand!$A$2:$A$4481,B195,Demand!$B$2:$B$4481,O195,Demand!$C$2:$C$4481,P195)</f>
        <v>1</v>
      </c>
      <c r="R195" s="33">
        <f>IF(Q195=1,SUMIFS(Demand!$E$2:$E$4481,Demand!$A$2:$A$4481,B195,Demand!$B$2:$B$4481,O195,Demand!$C$2:$C$4481,P195),"")</f>
        <v>52</v>
      </c>
      <c r="S195" s="33">
        <f>INDEX(Stores!$G$2:$G$21,MATCH(B195,Stores!$A$2:$A$21,0))</f>
        <v>49</v>
      </c>
      <c r="T195" s="34">
        <f>IF(R195="","",R195/S195)</f>
        <v>1.06122448979592</v>
      </c>
      <c r="U195" s="34">
        <f>IF(E195=1,T195,"")</f>
        <v>1.06122448979592</v>
      </c>
      <c r="V195" s="34">
        <f>IF(AND(E195=1,L195=0),T195,"")</f>
        <v>1.06122448979592</v>
      </c>
      <c r="W195" s="33">
        <f>IF(U195="","",IF(U195&lt;=Breakdowns!$C$5,1,IF(U195&lt;=Breakdowns!$C$6,2,IF(U195&lt;=Breakdowns!$C$7,3,4))))</f>
        <v>3</v>
      </c>
      <c r="X195" s="33">
        <f>IF(V195="","",IF(V195&lt;=Breakdowns!$D$5,1,IF(V195&lt;=Breakdowns!$D$6,2,IF(V195&lt;=Breakdowns!$D$7,3,4))))</f>
        <v>3</v>
      </c>
      <c r="Y195" s="34">
        <f>INDEX(Stores!$F$2:$F$21,MATCH(B195,Stores!$A$2:$A$21,0))</f>
        <v>5.82</v>
      </c>
      <c r="Z195" s="33">
        <f>IF(Y195&gt;Store_Summary!$M$2,1,0)</f>
        <v>1</v>
      </c>
      <c r="AA195" s="33">
        <f>INDEX(Stores!$C$2:$C$21,MATCH(B195,Stores!$A$2:$A$21,0))</f>
        <v>705</v>
      </c>
      <c r="AB195" s="33">
        <f>IF(AA195&lt;180,1,0)</f>
        <v>0</v>
      </c>
      <c r="AC195" s="32" t="str">
        <f>IF(Orders!D192="","",INDEX(Riders!$C$2:$C$81,MATCH(Orders!D192,Riders!$A$2:$A$81,0)))</f>
        <v>Petrol scooter</v>
      </c>
      <c r="AD195" s="33">
        <f>IF(Orders!D192="","",INDEX(Riders!$D$2:$D$81,MATCH(Orders!D192,Riders!$A$2:$A$81,0)))</f>
        <v>15</v>
      </c>
      <c r="AE195" s="33">
        <f>IF(Orders!D192="","",IF(INDEX(Riders!$B$2:$B$81,MATCH(Orders!D192,Riders!$A$2:$A$81,0))=B195,1,0))</f>
        <v>0</v>
      </c>
      <c r="AF195" s="34">
        <f>IF(E195=1,Orders!L192,"")</f>
        <v>3</v>
      </c>
      <c r="AG195" s="34">
        <f>IF(E195=1,Orders!P192,"")</f>
        <v>10.8</v>
      </c>
      <c r="AH195" s="34">
        <f>IF(E195=1,Orders!Q192,"")</f>
        <v>15.8</v>
      </c>
      <c r="AI195" s="34">
        <f>IF(E195=1,Orders!M192,"")</f>
        <v>6.9</v>
      </c>
      <c r="AJ195" s="34">
        <f>IF(E195=1,Orders!N192,"")</f>
        <v>2.3</v>
      </c>
      <c r="AK195" s="34">
        <f>IF(E195=1,Orders!O192,"")</f>
        <v>6.6</v>
      </c>
      <c r="AL195" s="33">
        <f>IF(E195=1,IF(ROUND(ABS(AI195+AJ195+AK195-AH195),6)&lt;=0.1,1,0),"")</f>
        <v>1</v>
      </c>
      <c r="AM195" s="36">
        <f>IF(E195=1,AI195/AH195,"")</f>
        <v>0.436708860759494</v>
      </c>
      <c r="AN195" s="36">
        <f>IF(E195=1,AJ195/AH195,"")</f>
        <v>0.145569620253165</v>
      </c>
      <c r="AO195" s="36">
        <f>IF(E195=1,AK195/AH195,"")</f>
        <v>0.417721518987342</v>
      </c>
      <c r="AP195" s="34">
        <f>IF(E195=1,Orders!Y192,"")</f>
        <v>0.33</v>
      </c>
      <c r="AQ195" s="33">
        <f>IF(Orders!X192,1,0)</f>
        <v>0</v>
      </c>
      <c r="AR195" s="34" t="str">
        <f>IF(AND(E195=1,L195=1),AJ195,"")</f>
        <v/>
      </c>
      <c r="AS195" s="34">
        <f>IF(AND(E195=1,L195=0),AJ195,"")</f>
        <v>2.3</v>
      </c>
      <c r="AT195" s="34" t="str">
        <f>IF(AND(E195=1,L195=1),AI195,"")</f>
        <v/>
      </c>
      <c r="AU195" s="34">
        <f>IF(AND(E195=1,L195=0),AI195,"")</f>
        <v>6.9</v>
      </c>
      <c r="AV195" s="34" t="str">
        <f>IF(AND(E195=1,L195=1),AG195,"")</f>
        <v/>
      </c>
      <c r="AW195" s="34">
        <f>IF(AND(E195=1,L195=0),AG195,"")</f>
        <v>10.8</v>
      </c>
      <c r="AX195" s="34" t="str">
        <f>IF(AND(E195=1,L195=1),AH195,"")</f>
        <v/>
      </c>
      <c r="AY195" s="34">
        <f>IF(AND(E195=1,L195=0),AH195,"")</f>
        <v>15.8</v>
      </c>
      <c r="AZ195" s="34">
        <f>IF(G195=1,F195,"")</f>
        <v>5</v>
      </c>
      <c r="BA195" s="34" t="str">
        <f>IF(AND(G195=1,L195=1),F195,"")</f>
        <v/>
      </c>
      <c r="BB195" s="34">
        <f>IF(AND(G195=1,L195=0),F195,"")</f>
        <v>5</v>
      </c>
      <c r="BC195" s="33">
        <f>IF(E195=1,IF(Orders!R192&gt;3,1,0),"")</f>
        <v>1</v>
      </c>
      <c r="BD195" s="33">
        <f>IF(E195=1,IF(Orders!R192&gt;7,1,0),"")</f>
        <v>0</v>
      </c>
      <c r="BE195" s="32" t="str">
        <f>IF(E195=1,IF(Orders!L192&lt;=1.5,"Up to 1.5 km",IF(Orders!L192&lt;=3,"1.5–3 km","Over 3 km")),"")</f>
        <v>1.5–3 km</v>
      </c>
      <c r="BF195" s="33">
        <f>IF(E195=1,IF(ABS((Orders!G192-Orders!F192)*1440-Orders!R192)&lt;0.06,1,0),"")</f>
        <v>1</v>
      </c>
      <c r="BG195" s="33">
        <f>IF(ABS((Orders!F192-Orders!E192)*1440-Orders!P192)&lt;0.06,1,0)</f>
        <v>1</v>
      </c>
      <c r="BH195" s="33">
        <f>IF(E195=1,IF(IF(Orders!S192,1,0)=1-G195,1,0),"")</f>
        <v>1</v>
      </c>
      <c r="BI195" s="32" t="str">
        <f>INDEX(Stores!$B$2:$B$21,MATCH(B195,Stores!$A$2:$A$21,0))</f>
        <v>Mumbai</v>
      </c>
    </row>
    <row r="196">
      <c r="A196" s="32" t="str">
        <f>Orders!A193</f>
        <v>O00192</v>
      </c>
      <c r="B196" s="32" t="str">
        <f>Orders!C193</f>
        <v>S007</v>
      </c>
      <c r="C196" s="32" t="str">
        <f>Orders!B193</f>
        <v>C0067</v>
      </c>
      <c r="D196" s="32" t="str">
        <f>Orders!H193</f>
        <v>Delivered</v>
      </c>
      <c r="E196" s="33">
        <f>IF(Orders!H193="Delivered",1,0)</f>
        <v>1</v>
      </c>
      <c r="F196" s="34">
        <f>IF(E196=1,Orders!R193,"")</f>
        <v>-1.1</v>
      </c>
      <c r="G196" s="33">
        <f>IF(E196=1,IF(Orders!R193&gt;0,1,0),"")</f>
        <v>0</v>
      </c>
      <c r="H196" s="33">
        <f>IF(E196=1,IF(Orders!R193&gt;5,1,0),"")</f>
        <v>0</v>
      </c>
      <c r="I196" s="32" t="str">
        <f>IF(E196=1,"",IF(OR(Orders!T193="Rider unavailable",Orders!T193="Item unavailable"),"Company-caused","Unresolved"))</f>
        <v/>
      </c>
      <c r="J196" s="33">
        <f>IF(OR(E196=1,I196="Company-caused"),1,0)</f>
        <v>1</v>
      </c>
      <c r="K196" s="32" t="str">
        <f>IF(E196=0,IF(I196="Company-caused",IF(Orders!T193="Rider unavailable","C1 Rider unavailable","C2 Item unavailable"),"Outside root: unresolved"),IF(G196=0,"A On time",IF(H196=1,IF(L196=1,"B2a Severe, peak","B2b Severe, off-peak"),IF(L196=1,"B1a Slight, peak","B1b Slight, off-peak"))))</f>
        <v>A On time</v>
      </c>
      <c r="L196" s="33">
        <f>IF(AND(Orders!U193&gt;=19,Orders!U193&lt;22),1,0)</f>
        <v>0</v>
      </c>
      <c r="M196" s="33">
        <f>IF(L196=IF(Orders!V193,1,0),1,0)</f>
        <v>1</v>
      </c>
      <c r="N196" s="32" t="str">
        <f>IF(Orders!W193="","None",Orders!W193)</f>
        <v>None</v>
      </c>
      <c r="O196" s="35">
        <f>INT(Orders!E193)</f>
        <v>46272.0</v>
      </c>
      <c r="P196" s="33">
        <f>Orders!U193</f>
        <v>23</v>
      </c>
      <c r="Q196" s="33">
        <f>COUNTIFS(Demand!$A$2:$A$4481,B196,Demand!$B$2:$B$4481,O196,Demand!$C$2:$C$4481,P196)</f>
        <v>1</v>
      </c>
      <c r="R196" s="33">
        <f>IF(Q196=1,SUMIFS(Demand!$E$2:$E$4481,Demand!$A$2:$A$4481,B196,Demand!$B$2:$B$4481,O196,Demand!$C$2:$C$4481,P196),"")</f>
        <v>47</v>
      </c>
      <c r="S196" s="33">
        <f>INDEX(Stores!$G$2:$G$21,MATCH(B196,Stores!$A$2:$A$21,0))</f>
        <v>37</v>
      </c>
      <c r="T196" s="34">
        <f>IF(R196="","",R196/S196)</f>
        <v>1.27027027027027</v>
      </c>
      <c r="U196" s="34">
        <f>IF(E196=1,T196,"")</f>
        <v>1.27027027027027</v>
      </c>
      <c r="V196" s="34">
        <f>IF(AND(E196=1,L196=0),T196,"")</f>
        <v>1.27027027027027</v>
      </c>
      <c r="W196" s="33">
        <f>IF(U196="","",IF(U196&lt;=Breakdowns!$C$5,1,IF(U196&lt;=Breakdowns!$C$6,2,IF(U196&lt;=Breakdowns!$C$7,3,4))))</f>
        <v>4</v>
      </c>
      <c r="X196" s="33">
        <f>IF(V196="","",IF(V196&lt;=Breakdowns!$D$5,1,IF(V196&lt;=Breakdowns!$D$6,2,IF(V196&lt;=Breakdowns!$D$7,3,4))))</f>
        <v>4</v>
      </c>
      <c r="Y196" s="34">
        <f>INDEX(Stores!$F$2:$F$21,MATCH(B196,Stores!$A$2:$A$21,0))</f>
        <v>4.05</v>
      </c>
      <c r="Z196" s="33">
        <f>IF(Y196&gt;Store_Summary!$M$2,1,0)</f>
        <v>0</v>
      </c>
      <c r="AA196" s="33">
        <f>INDEX(Stores!$C$2:$C$21,MATCH(B196,Stores!$A$2:$A$21,0))</f>
        <v>661</v>
      </c>
      <c r="AB196" s="33">
        <f>IF(AA196&lt;180,1,0)</f>
        <v>0</v>
      </c>
      <c r="AC196" s="32" t="str">
        <f>IF(Orders!D193="","",INDEX(Riders!$C$2:$C$81,MATCH(Orders!D193,Riders!$A$2:$A$81,0)))</f>
        <v>EV scooter</v>
      </c>
      <c r="AD196" s="33">
        <f>IF(Orders!D193="","",INDEX(Riders!$D$2:$D$81,MATCH(Orders!D193,Riders!$A$2:$A$81,0)))</f>
        <v>33</v>
      </c>
      <c r="AE196" s="33">
        <f>IF(Orders!D193="","",IF(INDEX(Riders!$B$2:$B$81,MATCH(Orders!D193,Riders!$A$2:$A$81,0))=B196,1,0))</f>
        <v>0</v>
      </c>
      <c r="AF196" s="34">
        <f>IF(E196=1,Orders!L193,"")</f>
        <v>2.99</v>
      </c>
      <c r="AG196" s="34">
        <f>IF(E196=1,Orders!P193,"")</f>
        <v>11.5</v>
      </c>
      <c r="AH196" s="34">
        <f>IF(E196=1,Orders!Q193,"")</f>
        <v>10.4</v>
      </c>
      <c r="AI196" s="34">
        <f>IF(E196=1,Orders!M193,"")</f>
        <v>2.7</v>
      </c>
      <c r="AJ196" s="34">
        <f>IF(E196=1,Orders!N193,"")</f>
        <v>3.4</v>
      </c>
      <c r="AK196" s="34">
        <f>IF(E196=1,Orders!O193,"")</f>
        <v>4.3</v>
      </c>
      <c r="AL196" s="33">
        <f>IF(E196=1,IF(ROUND(ABS(AI196+AJ196+AK196-AH196),6)&lt;=0.1,1,0),"")</f>
        <v>1</v>
      </c>
      <c r="AM196" s="36">
        <f>IF(E196=1,AI196/AH196,"")</f>
        <v>0.259615384615385</v>
      </c>
      <c r="AN196" s="36">
        <f>IF(E196=1,AJ196/AH196,"")</f>
        <v>0.326923076923077</v>
      </c>
      <c r="AO196" s="36">
        <f>IF(E196=1,AK196/AH196,"")</f>
        <v>0.413461538461538</v>
      </c>
      <c r="AP196" s="34">
        <f>IF(E196=1,Orders!Y193,"")</f>
        <v>0.46</v>
      </c>
      <c r="AQ196" s="33">
        <f>IF(Orders!X193,1,0)</f>
        <v>0</v>
      </c>
      <c r="AR196" s="34" t="str">
        <f>IF(AND(E196=1,L196=1),AJ196,"")</f>
        <v/>
      </c>
      <c r="AS196" s="34">
        <f>IF(AND(E196=1,L196=0),AJ196,"")</f>
        <v>3.4</v>
      </c>
      <c r="AT196" s="34" t="str">
        <f>IF(AND(E196=1,L196=1),AI196,"")</f>
        <v/>
      </c>
      <c r="AU196" s="34">
        <f>IF(AND(E196=1,L196=0),AI196,"")</f>
        <v>2.7</v>
      </c>
      <c r="AV196" s="34" t="str">
        <f>IF(AND(E196=1,L196=1),AG196,"")</f>
        <v/>
      </c>
      <c r="AW196" s="34">
        <f>IF(AND(E196=1,L196=0),AG196,"")</f>
        <v>11.5</v>
      </c>
      <c r="AX196" s="34" t="str">
        <f>IF(AND(E196=1,L196=1),AH196,"")</f>
        <v/>
      </c>
      <c r="AY196" s="34">
        <f>IF(AND(E196=1,L196=0),AH196,"")</f>
        <v>10.4</v>
      </c>
      <c r="AZ196" s="34" t="str">
        <f>IF(G196=1,F196,"")</f>
        <v/>
      </c>
      <c r="BA196" s="34" t="str">
        <f>IF(AND(G196=1,L196=1),F196,"")</f>
        <v/>
      </c>
      <c r="BB196" s="34" t="str">
        <f>IF(AND(G196=1,L196=0),F196,"")</f>
        <v/>
      </c>
      <c r="BC196" s="33">
        <f>IF(E196=1,IF(Orders!R193&gt;3,1,0),"")</f>
        <v>0</v>
      </c>
      <c r="BD196" s="33">
        <f>IF(E196=1,IF(Orders!R193&gt;7,1,0),"")</f>
        <v>0</v>
      </c>
      <c r="BE196" s="32" t="str">
        <f>IF(E196=1,IF(Orders!L193&lt;=1.5,"Up to 1.5 km",IF(Orders!L193&lt;=3,"1.5–3 km","Over 3 km")),"")</f>
        <v>1.5–3 km</v>
      </c>
      <c r="BF196" s="33">
        <f>IF(E196=1,IF(ABS((Orders!G193-Orders!F193)*1440-Orders!R193)&lt;0.06,1,0),"")</f>
        <v>1</v>
      </c>
      <c r="BG196" s="33">
        <f>IF(ABS((Orders!F193-Orders!E193)*1440-Orders!P193)&lt;0.06,1,0)</f>
        <v>1</v>
      </c>
      <c r="BH196" s="33">
        <f>IF(E196=1,IF(IF(Orders!S193,1,0)=1-G196,1,0),"")</f>
        <v>1</v>
      </c>
      <c r="BI196" s="32" t="str">
        <f>INDEX(Stores!$B$2:$B$21,MATCH(B196,Stores!$A$2:$A$21,0))</f>
        <v>Hyderabad</v>
      </c>
    </row>
    <row r="197">
      <c r="A197" s="32" t="str">
        <f>Orders!A194</f>
        <v>O00193</v>
      </c>
      <c r="B197" s="32" t="str">
        <f>Orders!C194</f>
        <v>S013</v>
      </c>
      <c r="C197" s="32" t="str">
        <f>Orders!B194</f>
        <v>C0075</v>
      </c>
      <c r="D197" s="32" t="str">
        <f>Orders!H194</f>
        <v>Delivered</v>
      </c>
      <c r="E197" s="33">
        <f>IF(Orders!H194="Delivered",1,0)</f>
        <v>1</v>
      </c>
      <c r="F197" s="34">
        <f>IF(E197=1,Orders!R194,"")</f>
        <v>-0.4</v>
      </c>
      <c r="G197" s="33">
        <f>IF(E197=1,IF(Orders!R194&gt;0,1,0),"")</f>
        <v>0</v>
      </c>
      <c r="H197" s="33">
        <f>IF(E197=1,IF(Orders!R194&gt;5,1,0),"")</f>
        <v>0</v>
      </c>
      <c r="I197" s="32" t="str">
        <f>IF(E197=1,"",IF(OR(Orders!T194="Rider unavailable",Orders!T194="Item unavailable"),"Company-caused","Unresolved"))</f>
        <v/>
      </c>
      <c r="J197" s="33">
        <f>IF(OR(E197=1,I197="Company-caused"),1,0)</f>
        <v>1</v>
      </c>
      <c r="K197" s="32" t="str">
        <f>IF(E197=0,IF(I197="Company-caused",IF(Orders!T194="Rider unavailable","C1 Rider unavailable","C2 Item unavailable"),"Outside root: unresolved"),IF(G197=0,"A On time",IF(H197=1,IF(L197=1,"B2a Severe, peak","B2b Severe, off-peak"),IF(L197=1,"B1a Slight, peak","B1b Slight, off-peak"))))</f>
        <v>A On time</v>
      </c>
      <c r="L197" s="33">
        <f>IF(AND(Orders!U194&gt;=19,Orders!U194&lt;22),1,0)</f>
        <v>0</v>
      </c>
      <c r="M197" s="33">
        <f>IF(L197=IF(Orders!V194,1,0),1,0)</f>
        <v>1</v>
      </c>
      <c r="N197" s="32" t="str">
        <f>IF(Orders!W194="","None",Orders!W194)</f>
        <v>None</v>
      </c>
      <c r="O197" s="35">
        <f>INT(Orders!E194)</f>
        <v>46268.0</v>
      </c>
      <c r="P197" s="33">
        <f>Orders!U194</f>
        <v>11</v>
      </c>
      <c r="Q197" s="33">
        <f>COUNTIFS(Demand!$A$2:$A$4481,B197,Demand!$B$2:$B$4481,O197,Demand!$C$2:$C$4481,P197)</f>
        <v>1</v>
      </c>
      <c r="R197" s="33">
        <f>IF(Q197=1,SUMIFS(Demand!$E$2:$E$4481,Demand!$A$2:$A$4481,B197,Demand!$B$2:$B$4481,O197,Demand!$C$2:$C$4481,P197),"")</f>
        <v>50</v>
      </c>
      <c r="S197" s="33">
        <f>INDEX(Stores!$G$2:$G$21,MATCH(B197,Stores!$A$2:$A$21,0))</f>
        <v>49</v>
      </c>
      <c r="T197" s="34">
        <f>IF(R197="","",R197/S197)</f>
        <v>1.02040816326531</v>
      </c>
      <c r="U197" s="34">
        <f>IF(E197=1,T197,"")</f>
        <v>1.02040816326531</v>
      </c>
      <c r="V197" s="34">
        <f>IF(AND(E197=1,L197=0),T197,"")</f>
        <v>1.02040816326531</v>
      </c>
      <c r="W197" s="33">
        <f>IF(U197="","",IF(U197&lt;=Breakdowns!$C$5,1,IF(U197&lt;=Breakdowns!$C$6,2,IF(U197&lt;=Breakdowns!$C$7,3,4))))</f>
        <v>3</v>
      </c>
      <c r="X197" s="33">
        <f>IF(V197="","",IF(V197&lt;=Breakdowns!$D$5,1,IF(V197&lt;=Breakdowns!$D$6,2,IF(V197&lt;=Breakdowns!$D$7,3,4))))</f>
        <v>3</v>
      </c>
      <c r="Y197" s="34">
        <f>INDEX(Stores!$F$2:$F$21,MATCH(B197,Stores!$A$2:$A$21,0))</f>
        <v>5.82</v>
      </c>
      <c r="Z197" s="33">
        <f>IF(Y197&gt;Store_Summary!$M$2,1,0)</f>
        <v>1</v>
      </c>
      <c r="AA197" s="33">
        <f>INDEX(Stores!$C$2:$C$21,MATCH(B197,Stores!$A$2:$A$21,0))</f>
        <v>705</v>
      </c>
      <c r="AB197" s="33">
        <f>IF(AA197&lt;180,1,0)</f>
        <v>0</v>
      </c>
      <c r="AC197" s="32" t="str">
        <f>IF(Orders!D194="","",INDEX(Riders!$C$2:$C$81,MATCH(Orders!D194,Riders!$A$2:$A$81,0)))</f>
        <v>EV scooter</v>
      </c>
      <c r="AD197" s="33">
        <f>IF(Orders!D194="","",INDEX(Riders!$D$2:$D$81,MATCH(Orders!D194,Riders!$A$2:$A$81,0)))</f>
        <v>22</v>
      </c>
      <c r="AE197" s="33">
        <f>IF(Orders!D194="","",IF(INDEX(Riders!$B$2:$B$81,MATCH(Orders!D194,Riders!$A$2:$A$81,0))=B197,1,0))</f>
        <v>0</v>
      </c>
      <c r="AF197" s="34">
        <f>IF(E197=1,Orders!L194,"")</f>
        <v>1.35</v>
      </c>
      <c r="AG197" s="34">
        <f>IF(E197=1,Orders!P194,"")</f>
        <v>9.5</v>
      </c>
      <c r="AH197" s="34">
        <f>IF(E197=1,Orders!Q194,"")</f>
        <v>9.1</v>
      </c>
      <c r="AI197" s="34">
        <f>IF(E197=1,Orders!M194,"")</f>
        <v>4.9</v>
      </c>
      <c r="AJ197" s="34">
        <f>IF(E197=1,Orders!N194,"")</f>
        <v>1.2</v>
      </c>
      <c r="AK197" s="34">
        <f>IF(E197=1,Orders!O194,"")</f>
        <v>3</v>
      </c>
      <c r="AL197" s="33">
        <f>IF(E197=1,IF(ROUND(ABS(AI197+AJ197+AK197-AH197),6)&lt;=0.1,1,0),"")</f>
        <v>1</v>
      </c>
      <c r="AM197" s="36">
        <f>IF(E197=1,AI197/AH197,"")</f>
        <v>0.538461538461539</v>
      </c>
      <c r="AN197" s="36">
        <f>IF(E197=1,AJ197/AH197,"")</f>
        <v>0.131868131868132</v>
      </c>
      <c r="AO197" s="36">
        <f>IF(E197=1,AK197/AH197,"")</f>
        <v>0.32967032967033</v>
      </c>
      <c r="AP197" s="34">
        <f>IF(E197=1,Orders!Y194,"")</f>
        <v>0.18</v>
      </c>
      <c r="AQ197" s="33">
        <f>IF(Orders!X194,1,0)</f>
        <v>0</v>
      </c>
      <c r="AR197" s="34" t="str">
        <f>IF(AND(E197=1,L197=1),AJ197,"")</f>
        <v/>
      </c>
      <c r="AS197" s="34">
        <f>IF(AND(E197=1,L197=0),AJ197,"")</f>
        <v>1.2</v>
      </c>
      <c r="AT197" s="34" t="str">
        <f>IF(AND(E197=1,L197=1),AI197,"")</f>
        <v/>
      </c>
      <c r="AU197" s="34">
        <f>IF(AND(E197=1,L197=0),AI197,"")</f>
        <v>4.9</v>
      </c>
      <c r="AV197" s="34" t="str">
        <f>IF(AND(E197=1,L197=1),AG197,"")</f>
        <v/>
      </c>
      <c r="AW197" s="34">
        <f>IF(AND(E197=1,L197=0),AG197,"")</f>
        <v>9.5</v>
      </c>
      <c r="AX197" s="34" t="str">
        <f>IF(AND(E197=1,L197=1),AH197,"")</f>
        <v/>
      </c>
      <c r="AY197" s="34">
        <f>IF(AND(E197=1,L197=0),AH197,"")</f>
        <v>9.1</v>
      </c>
      <c r="AZ197" s="34" t="str">
        <f>IF(G197=1,F197,"")</f>
        <v/>
      </c>
      <c r="BA197" s="34" t="str">
        <f>IF(AND(G197=1,L197=1),F197,"")</f>
        <v/>
      </c>
      <c r="BB197" s="34" t="str">
        <f>IF(AND(G197=1,L197=0),F197,"")</f>
        <v/>
      </c>
      <c r="BC197" s="33">
        <f>IF(E197=1,IF(Orders!R194&gt;3,1,0),"")</f>
        <v>0</v>
      </c>
      <c r="BD197" s="33">
        <f>IF(E197=1,IF(Orders!R194&gt;7,1,0),"")</f>
        <v>0</v>
      </c>
      <c r="BE197" s="32" t="str">
        <f>IF(E197=1,IF(Orders!L194&lt;=1.5,"Up to 1.5 km",IF(Orders!L194&lt;=3,"1.5–3 km","Over 3 km")),"")</f>
        <v>Up to 1.5 km</v>
      </c>
      <c r="BF197" s="33">
        <f>IF(E197=1,IF(ABS((Orders!G194-Orders!F194)*1440-Orders!R194)&lt;0.06,1,0),"")</f>
        <v>1</v>
      </c>
      <c r="BG197" s="33">
        <f>IF(ABS((Orders!F194-Orders!E194)*1440-Orders!P194)&lt;0.06,1,0)</f>
        <v>1</v>
      </c>
      <c r="BH197" s="33">
        <f>IF(E197=1,IF(IF(Orders!S194,1,0)=1-G197,1,0),"")</f>
        <v>1</v>
      </c>
      <c r="BI197" s="32" t="str">
        <f>INDEX(Stores!$B$2:$B$21,MATCH(B197,Stores!$A$2:$A$21,0))</f>
        <v>Mumbai</v>
      </c>
    </row>
    <row r="198">
      <c r="A198" s="32" t="str">
        <f>Orders!A195</f>
        <v>O00194</v>
      </c>
      <c r="B198" s="32" t="str">
        <f>Orders!C195</f>
        <v>S020</v>
      </c>
      <c r="C198" s="32" t="str">
        <f>Orders!B195</f>
        <v>C0111</v>
      </c>
      <c r="D198" s="32" t="str">
        <f>Orders!H195</f>
        <v>Delivered</v>
      </c>
      <c r="E198" s="33">
        <f>IF(Orders!H195="Delivered",1,0)</f>
        <v>1</v>
      </c>
      <c r="F198" s="34">
        <f>IF(E198=1,Orders!R195,"")</f>
        <v>-0.6</v>
      </c>
      <c r="G198" s="33">
        <f>IF(E198=1,IF(Orders!R195&gt;0,1,0),"")</f>
        <v>0</v>
      </c>
      <c r="H198" s="33">
        <f>IF(E198=1,IF(Orders!R195&gt;5,1,0),"")</f>
        <v>0</v>
      </c>
      <c r="I198" s="32" t="str">
        <f>IF(E198=1,"",IF(OR(Orders!T195="Rider unavailable",Orders!T195="Item unavailable"),"Company-caused","Unresolved"))</f>
        <v/>
      </c>
      <c r="J198" s="33">
        <f>IF(OR(E198=1,I198="Company-caused"),1,0)</f>
        <v>1</v>
      </c>
      <c r="K198" s="32" t="str">
        <f>IF(E198=0,IF(I198="Company-caused",IF(Orders!T195="Rider unavailable","C1 Rider unavailable","C2 Item unavailable"),"Outside root: unresolved"),IF(G198=0,"A On time",IF(H198=1,IF(L198=1,"B2a Severe, peak","B2b Severe, off-peak"),IF(L198=1,"B1a Slight, peak","B1b Slight, off-peak"))))</f>
        <v>A On time</v>
      </c>
      <c r="L198" s="33">
        <f>IF(AND(Orders!U195&gt;=19,Orders!U195&lt;22),1,0)</f>
        <v>0</v>
      </c>
      <c r="M198" s="33">
        <f>IF(L198=IF(Orders!V195,1,0),1,0)</f>
        <v>1</v>
      </c>
      <c r="N198" s="32" t="str">
        <f>IF(Orders!W195="","None",Orders!W195)</f>
        <v>Light</v>
      </c>
      <c r="O198" s="35">
        <f>INT(Orders!E195)</f>
        <v>46276.0</v>
      </c>
      <c r="P198" s="33">
        <f>Orders!U195</f>
        <v>23</v>
      </c>
      <c r="Q198" s="33">
        <f>COUNTIFS(Demand!$A$2:$A$4481,B198,Demand!$B$2:$B$4481,O198,Demand!$C$2:$C$4481,P198)</f>
        <v>1</v>
      </c>
      <c r="R198" s="33">
        <f>IF(Q198=1,SUMIFS(Demand!$E$2:$E$4481,Demand!$A$2:$A$4481,B198,Demand!$B$2:$B$4481,O198,Demand!$C$2:$C$4481,P198),"")</f>
        <v>17</v>
      </c>
      <c r="S198" s="33">
        <f>INDEX(Stores!$G$2:$G$21,MATCH(B198,Stores!$A$2:$A$21,0))</f>
        <v>15</v>
      </c>
      <c r="T198" s="34">
        <f>IF(R198="","",R198/S198)</f>
        <v>1.13333333333333</v>
      </c>
      <c r="U198" s="34">
        <f>IF(E198=1,T198,"")</f>
        <v>1.13333333333333</v>
      </c>
      <c r="V198" s="34">
        <f>IF(AND(E198=1,L198=0),T198,"")</f>
        <v>1.13333333333333</v>
      </c>
      <c r="W198" s="33">
        <f>IF(U198="","",IF(U198&lt;=Breakdowns!$C$5,1,IF(U198&lt;=Breakdowns!$C$6,2,IF(U198&lt;=Breakdowns!$C$7,3,4))))</f>
        <v>3</v>
      </c>
      <c r="X198" s="33">
        <f>IF(V198="","",IF(V198&lt;=Breakdowns!$D$5,1,IF(V198&lt;=Breakdowns!$D$6,2,IF(V198&lt;=Breakdowns!$D$7,3,4))))</f>
        <v>4</v>
      </c>
      <c r="Y198" s="34">
        <f>INDEX(Stores!$F$2:$F$21,MATCH(B198,Stores!$A$2:$A$21,0))</f>
        <v>5.74</v>
      </c>
      <c r="Z198" s="33">
        <f>IF(Y198&gt;Store_Summary!$M$2,1,0)</f>
        <v>1</v>
      </c>
      <c r="AA198" s="33">
        <f>INDEX(Stores!$C$2:$C$21,MATCH(B198,Stores!$A$2:$A$21,0))</f>
        <v>647</v>
      </c>
      <c r="AB198" s="33">
        <f>IF(AA198&lt;180,1,0)</f>
        <v>0</v>
      </c>
      <c r="AC198" s="32" t="str">
        <f>IF(Orders!D195="","",INDEX(Riders!$C$2:$C$81,MATCH(Orders!D195,Riders!$A$2:$A$81,0)))</f>
        <v>EV scooter</v>
      </c>
      <c r="AD198" s="33">
        <f>IF(Orders!D195="","",INDEX(Riders!$D$2:$D$81,MATCH(Orders!D195,Riders!$A$2:$A$81,0)))</f>
        <v>36</v>
      </c>
      <c r="AE198" s="33">
        <f>IF(Orders!D195="","",IF(INDEX(Riders!$B$2:$B$81,MATCH(Orders!D195,Riders!$A$2:$A$81,0))=B198,1,0))</f>
        <v>0</v>
      </c>
      <c r="AF198" s="34">
        <f>IF(E198=1,Orders!L195,"")</f>
        <v>0.52</v>
      </c>
      <c r="AG198" s="34">
        <f>IF(E198=1,Orders!P195,"")</f>
        <v>10.9</v>
      </c>
      <c r="AH198" s="34">
        <f>IF(E198=1,Orders!Q195,"")</f>
        <v>10.3</v>
      </c>
      <c r="AI198" s="34">
        <f>IF(E198=1,Orders!M195,"")</f>
        <v>5.5</v>
      </c>
      <c r="AJ198" s="34">
        <f>IF(E198=1,Orders!N195,"")</f>
        <v>1.6</v>
      </c>
      <c r="AK198" s="34">
        <f>IF(E198=1,Orders!O195,"")</f>
        <v>3.2</v>
      </c>
      <c r="AL198" s="33">
        <f>IF(E198=1,IF(ROUND(ABS(AI198+AJ198+AK198-AH198),6)&lt;=0.1,1,0),"")</f>
        <v>1</v>
      </c>
      <c r="AM198" s="36">
        <f>IF(E198=1,AI198/AH198,"")</f>
        <v>0.533980582524272</v>
      </c>
      <c r="AN198" s="36">
        <f>IF(E198=1,AJ198/AH198,"")</f>
        <v>0.155339805825243</v>
      </c>
      <c r="AO198" s="36">
        <f>IF(E198=1,AK198/AH198,"")</f>
        <v>0.310679611650485</v>
      </c>
      <c r="AP198" s="34">
        <f>IF(E198=1,Orders!Y195,"")</f>
        <v>0.63</v>
      </c>
      <c r="AQ198" s="33">
        <f>IF(Orders!X195,1,0)</f>
        <v>0</v>
      </c>
      <c r="AR198" s="34" t="str">
        <f>IF(AND(E198=1,L198=1),AJ198,"")</f>
        <v/>
      </c>
      <c r="AS198" s="34">
        <f>IF(AND(E198=1,L198=0),AJ198,"")</f>
        <v>1.6</v>
      </c>
      <c r="AT198" s="34" t="str">
        <f>IF(AND(E198=1,L198=1),AI198,"")</f>
        <v/>
      </c>
      <c r="AU198" s="34">
        <f>IF(AND(E198=1,L198=0),AI198,"")</f>
        <v>5.5</v>
      </c>
      <c r="AV198" s="34" t="str">
        <f>IF(AND(E198=1,L198=1),AG198,"")</f>
        <v/>
      </c>
      <c r="AW198" s="34">
        <f>IF(AND(E198=1,L198=0),AG198,"")</f>
        <v>10.9</v>
      </c>
      <c r="AX198" s="34" t="str">
        <f>IF(AND(E198=1,L198=1),AH198,"")</f>
        <v/>
      </c>
      <c r="AY198" s="34">
        <f>IF(AND(E198=1,L198=0),AH198,"")</f>
        <v>10.3</v>
      </c>
      <c r="AZ198" s="34" t="str">
        <f>IF(G198=1,F198,"")</f>
        <v/>
      </c>
      <c r="BA198" s="34" t="str">
        <f>IF(AND(G198=1,L198=1),F198,"")</f>
        <v/>
      </c>
      <c r="BB198" s="34" t="str">
        <f>IF(AND(G198=1,L198=0),F198,"")</f>
        <v/>
      </c>
      <c r="BC198" s="33">
        <f>IF(E198=1,IF(Orders!R195&gt;3,1,0),"")</f>
        <v>0</v>
      </c>
      <c r="BD198" s="33">
        <f>IF(E198=1,IF(Orders!R195&gt;7,1,0),"")</f>
        <v>0</v>
      </c>
      <c r="BE198" s="32" t="str">
        <f>IF(E198=1,IF(Orders!L195&lt;=1.5,"Up to 1.5 km",IF(Orders!L195&lt;=3,"1.5–3 km","Over 3 km")),"")</f>
        <v>Up to 1.5 km</v>
      </c>
      <c r="BF198" s="33">
        <f>IF(E198=1,IF(ABS((Orders!G195-Orders!F195)*1440-Orders!R195)&lt;0.06,1,0),"")</f>
        <v>1</v>
      </c>
      <c r="BG198" s="33">
        <f>IF(ABS((Orders!F195-Orders!E195)*1440-Orders!P195)&lt;0.06,1,0)</f>
        <v>1</v>
      </c>
      <c r="BH198" s="33">
        <f>IF(E198=1,IF(IF(Orders!S195,1,0)=1-G198,1,0),"")</f>
        <v>1</v>
      </c>
      <c r="BI198" s="32" t="str">
        <f>INDEX(Stores!$B$2:$B$21,MATCH(B198,Stores!$A$2:$A$21,0))</f>
        <v>Delhi</v>
      </c>
    </row>
    <row r="199">
      <c r="A199" s="32" t="str">
        <f>Orders!A196</f>
        <v>O00195</v>
      </c>
      <c r="B199" s="32" t="str">
        <f>Orders!C196</f>
        <v>S009</v>
      </c>
      <c r="C199" s="32" t="str">
        <f>Orders!B196</f>
        <v>C0064</v>
      </c>
      <c r="D199" s="32" t="str">
        <f>Orders!H196</f>
        <v>Delivered</v>
      </c>
      <c r="E199" s="33">
        <f>IF(Orders!H196="Delivered",1,0)</f>
        <v>1</v>
      </c>
      <c r="F199" s="34">
        <f>IF(E199=1,Orders!R196,"")</f>
        <v>-1.1</v>
      </c>
      <c r="G199" s="33">
        <f>IF(E199=1,IF(Orders!R196&gt;0,1,0),"")</f>
        <v>0</v>
      </c>
      <c r="H199" s="33">
        <f>IF(E199=1,IF(Orders!R196&gt;5,1,0),"")</f>
        <v>0</v>
      </c>
      <c r="I199" s="32" t="str">
        <f>IF(E199=1,"",IF(OR(Orders!T196="Rider unavailable",Orders!T196="Item unavailable"),"Company-caused","Unresolved"))</f>
        <v/>
      </c>
      <c r="J199" s="33">
        <f>IF(OR(E199=1,I199="Company-caused"),1,0)</f>
        <v>1</v>
      </c>
      <c r="K199" s="32" t="str">
        <f>IF(E199=0,IF(I199="Company-caused",IF(Orders!T196="Rider unavailable","C1 Rider unavailable","C2 Item unavailable"),"Outside root: unresolved"),IF(G199=0,"A On time",IF(H199=1,IF(L199=1,"B2a Severe, peak","B2b Severe, off-peak"),IF(L199=1,"B1a Slight, peak","B1b Slight, off-peak"))))</f>
        <v>A On time</v>
      </c>
      <c r="L199" s="33">
        <f>IF(AND(Orders!U196&gt;=19,Orders!U196&lt;22),1,0)</f>
        <v>0</v>
      </c>
      <c r="M199" s="33">
        <f>IF(L199=IF(Orders!V196,1,0),1,0)</f>
        <v>1</v>
      </c>
      <c r="N199" s="32" t="str">
        <f>IF(Orders!W196="","None",Orders!W196)</f>
        <v>None</v>
      </c>
      <c r="O199" s="35">
        <f>INT(Orders!E196)</f>
        <v>46268.0</v>
      </c>
      <c r="P199" s="33">
        <f>Orders!U196</f>
        <v>22</v>
      </c>
      <c r="Q199" s="33">
        <f>COUNTIFS(Demand!$A$2:$A$4481,B199,Demand!$B$2:$B$4481,O199,Demand!$C$2:$C$4481,P199)</f>
        <v>1</v>
      </c>
      <c r="R199" s="33">
        <f>IF(Q199=1,SUMIFS(Demand!$E$2:$E$4481,Demand!$A$2:$A$4481,B199,Demand!$B$2:$B$4481,O199,Demand!$C$2:$C$4481,P199),"")</f>
        <v>27</v>
      </c>
      <c r="S199" s="33">
        <f>INDEX(Stores!$G$2:$G$21,MATCH(B199,Stores!$A$2:$A$21,0))</f>
        <v>29</v>
      </c>
      <c r="T199" s="34">
        <f>IF(R199="","",R199/S199)</f>
        <v>0.931034482758621</v>
      </c>
      <c r="U199" s="34">
        <f>IF(E199=1,T199,"")</f>
        <v>0.931034482758621</v>
      </c>
      <c r="V199" s="34">
        <f>IF(AND(E199=1,L199=0),T199,"")</f>
        <v>0.931034482758621</v>
      </c>
      <c r="W199" s="33">
        <f>IF(U199="","",IF(U199&lt;=Breakdowns!$C$5,1,IF(U199&lt;=Breakdowns!$C$6,2,IF(U199&lt;=Breakdowns!$C$7,3,4))))</f>
        <v>2</v>
      </c>
      <c r="X199" s="33">
        <f>IF(V199="","",IF(V199&lt;=Breakdowns!$D$5,1,IF(V199&lt;=Breakdowns!$D$6,2,IF(V199&lt;=Breakdowns!$D$7,3,4))))</f>
        <v>3</v>
      </c>
      <c r="Y199" s="34">
        <f>INDEX(Stores!$F$2:$F$21,MATCH(B199,Stores!$A$2:$A$21,0))</f>
        <v>2.66</v>
      </c>
      <c r="Z199" s="33">
        <f>IF(Y199&gt;Store_Summary!$M$2,1,0)</f>
        <v>0</v>
      </c>
      <c r="AA199" s="33">
        <f>INDEX(Stores!$C$2:$C$21,MATCH(B199,Stores!$A$2:$A$21,0))</f>
        <v>645</v>
      </c>
      <c r="AB199" s="33">
        <f>IF(AA199&lt;180,1,0)</f>
        <v>0</v>
      </c>
      <c r="AC199" s="32" t="str">
        <f>IF(Orders!D196="","",INDEX(Riders!$C$2:$C$81,MATCH(Orders!D196,Riders!$A$2:$A$81,0)))</f>
        <v>EV scooter</v>
      </c>
      <c r="AD199" s="33">
        <f>IF(Orders!D196="","",INDEX(Riders!$D$2:$D$81,MATCH(Orders!D196,Riders!$A$2:$A$81,0)))</f>
        <v>1</v>
      </c>
      <c r="AE199" s="33">
        <f>IF(Orders!D196="","",IF(INDEX(Riders!$B$2:$B$81,MATCH(Orders!D196,Riders!$A$2:$A$81,0))=B199,1,0))</f>
        <v>0</v>
      </c>
      <c r="AF199" s="34">
        <f>IF(E199=1,Orders!L196,"")</f>
        <v>1.02</v>
      </c>
      <c r="AG199" s="34">
        <f>IF(E199=1,Orders!P196,"")</f>
        <v>12.1</v>
      </c>
      <c r="AH199" s="34">
        <f>IF(E199=1,Orders!Q196,"")</f>
        <v>11</v>
      </c>
      <c r="AI199" s="34">
        <f>IF(E199=1,Orders!M196,"")</f>
        <v>3.2</v>
      </c>
      <c r="AJ199" s="34">
        <f>IF(E199=1,Orders!N196,"")</f>
        <v>5.2</v>
      </c>
      <c r="AK199" s="34">
        <f>IF(E199=1,Orders!O196,"")</f>
        <v>2.5</v>
      </c>
      <c r="AL199" s="33">
        <f>IF(E199=1,IF(ROUND(ABS(AI199+AJ199+AK199-AH199),6)&lt;=0.1,1,0),"")</f>
        <v>1</v>
      </c>
      <c r="AM199" s="36">
        <f>IF(E199=1,AI199/AH199,"")</f>
        <v>0.290909090909091</v>
      </c>
      <c r="AN199" s="36">
        <f>IF(E199=1,AJ199/AH199,"")</f>
        <v>0.472727272727273</v>
      </c>
      <c r="AO199" s="36">
        <f>IF(E199=1,AK199/AH199,"")</f>
        <v>0.227272727272727</v>
      </c>
      <c r="AP199" s="34">
        <f>IF(E199=1,Orders!Y196,"")</f>
        <v>0.24</v>
      </c>
      <c r="AQ199" s="33">
        <f>IF(Orders!X196,1,0)</f>
        <v>0</v>
      </c>
      <c r="AR199" s="34" t="str">
        <f>IF(AND(E199=1,L199=1),AJ199,"")</f>
        <v/>
      </c>
      <c r="AS199" s="34">
        <f>IF(AND(E199=1,L199=0),AJ199,"")</f>
        <v>5.2</v>
      </c>
      <c r="AT199" s="34" t="str">
        <f>IF(AND(E199=1,L199=1),AI199,"")</f>
        <v/>
      </c>
      <c r="AU199" s="34">
        <f>IF(AND(E199=1,L199=0),AI199,"")</f>
        <v>3.2</v>
      </c>
      <c r="AV199" s="34" t="str">
        <f>IF(AND(E199=1,L199=1),AG199,"")</f>
        <v/>
      </c>
      <c r="AW199" s="34">
        <f>IF(AND(E199=1,L199=0),AG199,"")</f>
        <v>12.1</v>
      </c>
      <c r="AX199" s="34" t="str">
        <f>IF(AND(E199=1,L199=1),AH199,"")</f>
        <v/>
      </c>
      <c r="AY199" s="34">
        <f>IF(AND(E199=1,L199=0),AH199,"")</f>
        <v>11</v>
      </c>
      <c r="AZ199" s="34" t="str">
        <f>IF(G199=1,F199,"")</f>
        <v/>
      </c>
      <c r="BA199" s="34" t="str">
        <f>IF(AND(G199=1,L199=1),F199,"")</f>
        <v/>
      </c>
      <c r="BB199" s="34" t="str">
        <f>IF(AND(G199=1,L199=0),F199,"")</f>
        <v/>
      </c>
      <c r="BC199" s="33">
        <f>IF(E199=1,IF(Orders!R196&gt;3,1,0),"")</f>
        <v>0</v>
      </c>
      <c r="BD199" s="33">
        <f>IF(E199=1,IF(Orders!R196&gt;7,1,0),"")</f>
        <v>0</v>
      </c>
      <c r="BE199" s="32" t="str">
        <f>IF(E199=1,IF(Orders!L196&lt;=1.5,"Up to 1.5 km",IF(Orders!L196&lt;=3,"1.5–3 km","Over 3 km")),"")</f>
        <v>Up to 1.5 km</v>
      </c>
      <c r="BF199" s="33">
        <f>IF(E199=1,IF(ABS((Orders!G196-Orders!F196)*1440-Orders!R196)&lt;0.06,1,0),"")</f>
        <v>1</v>
      </c>
      <c r="BG199" s="33">
        <f>IF(ABS((Orders!F196-Orders!E196)*1440-Orders!P196)&lt;0.06,1,0)</f>
        <v>1</v>
      </c>
      <c r="BH199" s="33">
        <f>IF(E199=1,IF(IF(Orders!S196,1,0)=1-G199,1,0),"")</f>
        <v>1</v>
      </c>
      <c r="BI199" s="32" t="str">
        <f>INDEX(Stores!$B$2:$B$21,MATCH(B199,Stores!$A$2:$A$21,0))</f>
        <v>Pune</v>
      </c>
    </row>
    <row r="200">
      <c r="A200" s="32" t="str">
        <f>Orders!A197</f>
        <v>O00196</v>
      </c>
      <c r="B200" s="32" t="str">
        <f>Orders!C197</f>
        <v>S017</v>
      </c>
      <c r="C200" s="32" t="str">
        <f>Orders!B197</f>
        <v>C0155</v>
      </c>
      <c r="D200" s="32" t="str">
        <f>Orders!H197</f>
        <v>Delivered</v>
      </c>
      <c r="E200" s="33">
        <f>IF(Orders!H197="Delivered",1,0)</f>
        <v>1</v>
      </c>
      <c r="F200" s="34">
        <f>IF(E200=1,Orders!R197,"")</f>
        <v>-0.7</v>
      </c>
      <c r="G200" s="33">
        <f>IF(E200=1,IF(Orders!R197&gt;0,1,0),"")</f>
        <v>0</v>
      </c>
      <c r="H200" s="33">
        <f>IF(E200=1,IF(Orders!R197&gt;5,1,0),"")</f>
        <v>0</v>
      </c>
      <c r="I200" s="32" t="str">
        <f>IF(E200=1,"",IF(OR(Orders!T197="Rider unavailable",Orders!T197="Item unavailable"),"Company-caused","Unresolved"))</f>
        <v/>
      </c>
      <c r="J200" s="33">
        <f>IF(OR(E200=1,I200="Company-caused"),1,0)</f>
        <v>1</v>
      </c>
      <c r="K200" s="32" t="str">
        <f>IF(E200=0,IF(I200="Company-caused",IF(Orders!T197="Rider unavailable","C1 Rider unavailable","C2 Item unavailable"),"Outside root: unresolved"),IF(G200=0,"A On time",IF(H200=1,IF(L200=1,"B2a Severe, peak","B2b Severe, off-peak"),IF(L200=1,"B1a Slight, peak","B1b Slight, off-peak"))))</f>
        <v>A On time</v>
      </c>
      <c r="L200" s="33">
        <f>IF(AND(Orders!U197&gt;=19,Orders!U197&lt;22),1,0)</f>
        <v>0</v>
      </c>
      <c r="M200" s="33">
        <f>IF(L200=IF(Orders!V197,1,0),1,0)</f>
        <v>1</v>
      </c>
      <c r="N200" s="32" t="str">
        <f>IF(Orders!W197="","None",Orders!W197)</f>
        <v>None</v>
      </c>
      <c r="O200" s="35">
        <f>INT(Orders!E197)</f>
        <v>46270.0</v>
      </c>
      <c r="P200" s="33">
        <f>Orders!U197</f>
        <v>18</v>
      </c>
      <c r="Q200" s="33">
        <f>COUNTIFS(Demand!$A$2:$A$4481,B200,Demand!$B$2:$B$4481,O200,Demand!$C$2:$C$4481,P200)</f>
        <v>1</v>
      </c>
      <c r="R200" s="33">
        <f>IF(Q200=1,SUMIFS(Demand!$E$2:$E$4481,Demand!$A$2:$A$4481,B200,Demand!$B$2:$B$4481,O200,Demand!$C$2:$C$4481,P200),"")</f>
        <v>39</v>
      </c>
      <c r="S200" s="33">
        <f>INDEX(Stores!$G$2:$G$21,MATCH(B200,Stores!$A$2:$A$21,0))</f>
        <v>36</v>
      </c>
      <c r="T200" s="34">
        <f>IF(R200="","",R200/S200)</f>
        <v>1.08333333333333</v>
      </c>
      <c r="U200" s="34">
        <f>IF(E200=1,T200,"")</f>
        <v>1.08333333333333</v>
      </c>
      <c r="V200" s="34">
        <f>IF(AND(E200=1,L200=0),T200,"")</f>
        <v>1.08333333333333</v>
      </c>
      <c r="W200" s="33">
        <f>IF(U200="","",IF(U200&lt;=Breakdowns!$C$5,1,IF(U200&lt;=Breakdowns!$C$6,2,IF(U200&lt;=Breakdowns!$C$7,3,4))))</f>
        <v>3</v>
      </c>
      <c r="X200" s="33">
        <f>IF(V200="","",IF(V200&lt;=Breakdowns!$D$5,1,IF(V200&lt;=Breakdowns!$D$6,2,IF(V200&lt;=Breakdowns!$D$7,3,4))))</f>
        <v>4</v>
      </c>
      <c r="Y200" s="34">
        <f>INDEX(Stores!$F$2:$F$21,MATCH(B200,Stores!$A$2:$A$21,0))</f>
        <v>2.16</v>
      </c>
      <c r="Z200" s="33">
        <f>IF(Y200&gt;Store_Summary!$M$2,1,0)</f>
        <v>0</v>
      </c>
      <c r="AA200" s="33">
        <f>INDEX(Stores!$C$2:$C$21,MATCH(B200,Stores!$A$2:$A$21,0))</f>
        <v>47</v>
      </c>
      <c r="AB200" s="33">
        <f>IF(AA200&lt;180,1,0)</f>
        <v>1</v>
      </c>
      <c r="AC200" s="32" t="str">
        <f>IF(Orders!D197="","",INDEX(Riders!$C$2:$C$81,MATCH(Orders!D197,Riders!$A$2:$A$81,0)))</f>
        <v>Petrol scooter</v>
      </c>
      <c r="AD200" s="33">
        <f>IF(Orders!D197="","",INDEX(Riders!$D$2:$D$81,MATCH(Orders!D197,Riders!$A$2:$A$81,0)))</f>
        <v>42</v>
      </c>
      <c r="AE200" s="33">
        <f>IF(Orders!D197="","",IF(INDEX(Riders!$B$2:$B$81,MATCH(Orders!D197,Riders!$A$2:$A$81,0))=B200,1,0))</f>
        <v>0</v>
      </c>
      <c r="AF200" s="34">
        <f>IF(E200=1,Orders!L197,"")</f>
        <v>1.88</v>
      </c>
      <c r="AG200" s="34">
        <f>IF(E200=1,Orders!P197,"")</f>
        <v>10.8</v>
      </c>
      <c r="AH200" s="34">
        <f>IF(E200=1,Orders!Q197,"")</f>
        <v>10.1</v>
      </c>
      <c r="AI200" s="34">
        <f>IF(E200=1,Orders!M197,"")</f>
        <v>2</v>
      </c>
      <c r="AJ200" s="34">
        <f>IF(E200=1,Orders!N197,"")</f>
        <v>3</v>
      </c>
      <c r="AK200" s="34">
        <f>IF(E200=1,Orders!O197,"")</f>
        <v>5.1</v>
      </c>
      <c r="AL200" s="33">
        <f>IF(E200=1,IF(ROUND(ABS(AI200+AJ200+AK200-AH200),6)&lt;=0.1,1,0),"")</f>
        <v>1</v>
      </c>
      <c r="AM200" s="36">
        <f>IF(E200=1,AI200/AH200,"")</f>
        <v>0.198019801980198</v>
      </c>
      <c r="AN200" s="36">
        <f>IF(E200=1,AJ200/AH200,"")</f>
        <v>0.297029702970297</v>
      </c>
      <c r="AO200" s="36">
        <f>IF(E200=1,AK200/AH200,"")</f>
        <v>0.504950495049505</v>
      </c>
      <c r="AP200" s="34">
        <f>IF(E200=1,Orders!Y197,"")</f>
        <v>0.44</v>
      </c>
      <c r="AQ200" s="33">
        <f>IF(Orders!X197,1,0)</f>
        <v>0</v>
      </c>
      <c r="AR200" s="34" t="str">
        <f>IF(AND(E200=1,L200=1),AJ200,"")</f>
        <v/>
      </c>
      <c r="AS200" s="34">
        <f>IF(AND(E200=1,L200=0),AJ200,"")</f>
        <v>3</v>
      </c>
      <c r="AT200" s="34" t="str">
        <f>IF(AND(E200=1,L200=1),AI200,"")</f>
        <v/>
      </c>
      <c r="AU200" s="34">
        <f>IF(AND(E200=1,L200=0),AI200,"")</f>
        <v>2</v>
      </c>
      <c r="AV200" s="34" t="str">
        <f>IF(AND(E200=1,L200=1),AG200,"")</f>
        <v/>
      </c>
      <c r="AW200" s="34">
        <f>IF(AND(E200=1,L200=0),AG200,"")</f>
        <v>10.8</v>
      </c>
      <c r="AX200" s="34" t="str">
        <f>IF(AND(E200=1,L200=1),AH200,"")</f>
        <v/>
      </c>
      <c r="AY200" s="34">
        <f>IF(AND(E200=1,L200=0),AH200,"")</f>
        <v>10.1</v>
      </c>
      <c r="AZ200" s="34" t="str">
        <f>IF(G200=1,F200,"")</f>
        <v/>
      </c>
      <c r="BA200" s="34" t="str">
        <f>IF(AND(G200=1,L200=1),F200,"")</f>
        <v/>
      </c>
      <c r="BB200" s="34" t="str">
        <f>IF(AND(G200=1,L200=0),F200,"")</f>
        <v/>
      </c>
      <c r="BC200" s="33">
        <f>IF(E200=1,IF(Orders!R197&gt;3,1,0),"")</f>
        <v>0</v>
      </c>
      <c r="BD200" s="33">
        <f>IF(E200=1,IF(Orders!R197&gt;7,1,0),"")</f>
        <v>0</v>
      </c>
      <c r="BE200" s="32" t="str">
        <f>IF(E200=1,IF(Orders!L197&lt;=1.5,"Up to 1.5 km",IF(Orders!L197&lt;=3,"1.5–3 km","Over 3 km")),"")</f>
        <v>1.5–3 km</v>
      </c>
      <c r="BF200" s="33">
        <f>IF(E200=1,IF(ABS((Orders!G197-Orders!F197)*1440-Orders!R197)&lt;0.06,1,0),"")</f>
        <v>1</v>
      </c>
      <c r="BG200" s="33">
        <f>IF(ABS((Orders!F197-Orders!E197)*1440-Orders!P197)&lt;0.06,1,0)</f>
        <v>1</v>
      </c>
      <c r="BH200" s="33">
        <f>IF(E200=1,IF(IF(Orders!S197,1,0)=1-G200,1,0),"")</f>
        <v>1</v>
      </c>
      <c r="BI200" s="32" t="str">
        <f>INDEX(Stores!$B$2:$B$21,MATCH(B200,Stores!$A$2:$A$21,0))</f>
        <v>Hyderabad</v>
      </c>
    </row>
    <row r="201">
      <c r="A201" s="32" t="str">
        <f>Orders!A198</f>
        <v>O00197</v>
      </c>
      <c r="B201" s="32" t="str">
        <f>Orders!C198</f>
        <v>S009</v>
      </c>
      <c r="C201" s="32" t="str">
        <f>Orders!B198</f>
        <v>C0207</v>
      </c>
      <c r="D201" s="32" t="str">
        <f>Orders!H198</f>
        <v>Delivered</v>
      </c>
      <c r="E201" s="33">
        <f>IF(Orders!H198="Delivered",1,0)</f>
        <v>1</v>
      </c>
      <c r="F201" s="34">
        <f>IF(E201=1,Orders!R198,"")</f>
        <v>-0.7</v>
      </c>
      <c r="G201" s="33">
        <f>IF(E201=1,IF(Orders!R198&gt;0,1,0),"")</f>
        <v>0</v>
      </c>
      <c r="H201" s="33">
        <f>IF(E201=1,IF(Orders!R198&gt;5,1,0),"")</f>
        <v>0</v>
      </c>
      <c r="I201" s="32" t="str">
        <f>IF(E201=1,"",IF(OR(Orders!T198="Rider unavailable",Orders!T198="Item unavailable"),"Company-caused","Unresolved"))</f>
        <v/>
      </c>
      <c r="J201" s="33">
        <f>IF(OR(E201=1,I201="Company-caused"),1,0)</f>
        <v>1</v>
      </c>
      <c r="K201" s="32" t="str">
        <f>IF(E201=0,IF(I201="Company-caused",IF(Orders!T198="Rider unavailable","C1 Rider unavailable","C2 Item unavailable"),"Outside root: unresolved"),IF(G201=0,"A On time",IF(H201=1,IF(L201=1,"B2a Severe, peak","B2b Severe, off-peak"),IF(L201=1,"B1a Slight, peak","B1b Slight, off-peak"))))</f>
        <v>A On time</v>
      </c>
      <c r="L201" s="33">
        <f>IF(AND(Orders!U198&gt;=19,Orders!U198&lt;22),1,0)</f>
        <v>0</v>
      </c>
      <c r="M201" s="33">
        <f>IF(L201=IF(Orders!V198,1,0),1,0)</f>
        <v>1</v>
      </c>
      <c r="N201" s="32" t="str">
        <f>IF(Orders!W198="","None",Orders!W198)</f>
        <v>Light</v>
      </c>
      <c r="O201" s="35">
        <f>INT(Orders!E198)</f>
        <v>46277.0</v>
      </c>
      <c r="P201" s="33">
        <f>Orders!U198</f>
        <v>9</v>
      </c>
      <c r="Q201" s="33">
        <f>COUNTIFS(Demand!$A$2:$A$4481,B201,Demand!$B$2:$B$4481,O201,Demand!$C$2:$C$4481,P201)</f>
        <v>1</v>
      </c>
      <c r="R201" s="33">
        <f>IF(Q201=1,SUMIFS(Demand!$E$2:$E$4481,Demand!$A$2:$A$4481,B201,Demand!$B$2:$B$4481,O201,Demand!$C$2:$C$4481,P201),"")</f>
        <v>23</v>
      </c>
      <c r="S201" s="33">
        <f>INDEX(Stores!$G$2:$G$21,MATCH(B201,Stores!$A$2:$A$21,0))</f>
        <v>29</v>
      </c>
      <c r="T201" s="34">
        <f>IF(R201="","",R201/S201)</f>
        <v>0.793103448275862</v>
      </c>
      <c r="U201" s="34">
        <f>IF(E201=1,T201,"")</f>
        <v>0.793103448275862</v>
      </c>
      <c r="V201" s="34">
        <f>IF(AND(E201=1,L201=0),T201,"")</f>
        <v>0.793103448275862</v>
      </c>
      <c r="W201" s="33">
        <f>IF(U201="","",IF(U201&lt;=Breakdowns!$C$5,1,IF(U201&lt;=Breakdowns!$C$6,2,IF(U201&lt;=Breakdowns!$C$7,3,4))))</f>
        <v>2</v>
      </c>
      <c r="X201" s="33">
        <f>IF(V201="","",IF(V201&lt;=Breakdowns!$D$5,1,IF(V201&lt;=Breakdowns!$D$6,2,IF(V201&lt;=Breakdowns!$D$7,3,4))))</f>
        <v>2</v>
      </c>
      <c r="Y201" s="34">
        <f>INDEX(Stores!$F$2:$F$21,MATCH(B201,Stores!$A$2:$A$21,0))</f>
        <v>2.66</v>
      </c>
      <c r="Z201" s="33">
        <f>IF(Y201&gt;Store_Summary!$M$2,1,0)</f>
        <v>0</v>
      </c>
      <c r="AA201" s="33">
        <f>INDEX(Stores!$C$2:$C$21,MATCH(B201,Stores!$A$2:$A$21,0))</f>
        <v>645</v>
      </c>
      <c r="AB201" s="33">
        <f>IF(AA201&lt;180,1,0)</f>
        <v>0</v>
      </c>
      <c r="AC201" s="32" t="str">
        <f>IF(Orders!D198="","",INDEX(Riders!$C$2:$C$81,MATCH(Orders!D198,Riders!$A$2:$A$81,0)))</f>
        <v>Petrol scooter</v>
      </c>
      <c r="AD201" s="33">
        <f>IF(Orders!D198="","",INDEX(Riders!$D$2:$D$81,MATCH(Orders!D198,Riders!$A$2:$A$81,0)))</f>
        <v>44</v>
      </c>
      <c r="AE201" s="33">
        <f>IF(Orders!D198="","",IF(INDEX(Riders!$B$2:$B$81,MATCH(Orders!D198,Riders!$A$2:$A$81,0))=B201,1,0))</f>
        <v>0</v>
      </c>
      <c r="AF201" s="34">
        <f>IF(E201=1,Orders!L198,"")</f>
        <v>0.5</v>
      </c>
      <c r="AG201" s="34">
        <f>IF(E201=1,Orders!P198,"")</f>
        <v>11.2</v>
      </c>
      <c r="AH201" s="34">
        <f>IF(E201=1,Orders!Q198,"")</f>
        <v>10.5</v>
      </c>
      <c r="AI201" s="34">
        <f>IF(E201=1,Orders!M198,"")</f>
        <v>3.3</v>
      </c>
      <c r="AJ201" s="34">
        <f>IF(E201=1,Orders!N198,"")</f>
        <v>4.3</v>
      </c>
      <c r="AK201" s="34">
        <f>IF(E201=1,Orders!O198,"")</f>
        <v>2.9</v>
      </c>
      <c r="AL201" s="33">
        <f>IF(E201=1,IF(ROUND(ABS(AI201+AJ201+AK201-AH201),6)&lt;=0.1,1,0),"")</f>
        <v>1</v>
      </c>
      <c r="AM201" s="36">
        <f>IF(E201=1,AI201/AH201,"")</f>
        <v>0.314285714285714</v>
      </c>
      <c r="AN201" s="36">
        <f>IF(E201=1,AJ201/AH201,"")</f>
        <v>0.40952380952381</v>
      </c>
      <c r="AO201" s="36">
        <f>IF(E201=1,AK201/AH201,"")</f>
        <v>0.276190476190476</v>
      </c>
      <c r="AP201" s="34">
        <f>IF(E201=1,Orders!Y198,"")</f>
        <v>0.51</v>
      </c>
      <c r="AQ201" s="33">
        <f>IF(Orders!X198,1,0)</f>
        <v>0</v>
      </c>
      <c r="AR201" s="34" t="str">
        <f>IF(AND(E201=1,L201=1),AJ201,"")</f>
        <v/>
      </c>
      <c r="AS201" s="34">
        <f>IF(AND(E201=1,L201=0),AJ201,"")</f>
        <v>4.3</v>
      </c>
      <c r="AT201" s="34" t="str">
        <f>IF(AND(E201=1,L201=1),AI201,"")</f>
        <v/>
      </c>
      <c r="AU201" s="34">
        <f>IF(AND(E201=1,L201=0),AI201,"")</f>
        <v>3.3</v>
      </c>
      <c r="AV201" s="34" t="str">
        <f>IF(AND(E201=1,L201=1),AG201,"")</f>
        <v/>
      </c>
      <c r="AW201" s="34">
        <f>IF(AND(E201=1,L201=0),AG201,"")</f>
        <v>11.2</v>
      </c>
      <c r="AX201" s="34" t="str">
        <f>IF(AND(E201=1,L201=1),AH201,"")</f>
        <v/>
      </c>
      <c r="AY201" s="34">
        <f>IF(AND(E201=1,L201=0),AH201,"")</f>
        <v>10.5</v>
      </c>
      <c r="AZ201" s="34" t="str">
        <f>IF(G201=1,F201,"")</f>
        <v/>
      </c>
      <c r="BA201" s="34" t="str">
        <f>IF(AND(G201=1,L201=1),F201,"")</f>
        <v/>
      </c>
      <c r="BB201" s="34" t="str">
        <f>IF(AND(G201=1,L201=0),F201,"")</f>
        <v/>
      </c>
      <c r="BC201" s="33">
        <f>IF(E201=1,IF(Orders!R198&gt;3,1,0),"")</f>
        <v>0</v>
      </c>
      <c r="BD201" s="33">
        <f>IF(E201=1,IF(Orders!R198&gt;7,1,0),"")</f>
        <v>0</v>
      </c>
      <c r="BE201" s="32" t="str">
        <f>IF(E201=1,IF(Orders!L198&lt;=1.5,"Up to 1.5 km",IF(Orders!L198&lt;=3,"1.5–3 km","Over 3 km")),"")</f>
        <v>Up to 1.5 km</v>
      </c>
      <c r="BF201" s="33">
        <f>IF(E201=1,IF(ABS((Orders!G198-Orders!F198)*1440-Orders!R198)&lt;0.06,1,0),"")</f>
        <v>1</v>
      </c>
      <c r="BG201" s="33">
        <f>IF(ABS((Orders!F198-Orders!E198)*1440-Orders!P198)&lt;0.06,1,0)</f>
        <v>1</v>
      </c>
      <c r="BH201" s="33">
        <f>IF(E201=1,IF(IF(Orders!S198,1,0)=1-G201,1,0),"")</f>
        <v>1</v>
      </c>
      <c r="BI201" s="32" t="str">
        <f>INDEX(Stores!$B$2:$B$21,MATCH(B201,Stores!$A$2:$A$21,0))</f>
        <v>Pune</v>
      </c>
    </row>
    <row r="202">
      <c r="A202" s="32" t="str">
        <f>Orders!A199</f>
        <v>O00198</v>
      </c>
      <c r="B202" s="32" t="str">
        <f>Orders!C199</f>
        <v>S015</v>
      </c>
      <c r="C202" s="32" t="str">
        <f>Orders!B199</f>
        <v>C0212</v>
      </c>
      <c r="D202" s="32" t="str">
        <f>Orders!H199</f>
        <v>Delivered</v>
      </c>
      <c r="E202" s="33">
        <f>IF(Orders!H199="Delivered",1,0)</f>
        <v>1</v>
      </c>
      <c r="F202" s="34">
        <f>IF(E202=1,Orders!R199,"")</f>
        <v>4</v>
      </c>
      <c r="G202" s="33">
        <f>IF(E202=1,IF(Orders!R199&gt;0,1,0),"")</f>
        <v>1</v>
      </c>
      <c r="H202" s="33">
        <f>IF(E202=1,IF(Orders!R199&gt;5,1,0),"")</f>
        <v>0</v>
      </c>
      <c r="I202" s="32" t="str">
        <f>IF(E202=1,"",IF(OR(Orders!T199="Rider unavailable",Orders!T199="Item unavailable"),"Company-caused","Unresolved"))</f>
        <v/>
      </c>
      <c r="J202" s="33">
        <f>IF(OR(E202=1,I202="Company-caused"),1,0)</f>
        <v>1</v>
      </c>
      <c r="K202" s="32" t="str">
        <f>IF(E202=0,IF(I202="Company-caused",IF(Orders!T199="Rider unavailable","C1 Rider unavailable","C2 Item unavailable"),"Outside root: unresolved"),IF(G202=0,"A On time",IF(H202=1,IF(L202=1,"B2a Severe, peak","B2b Severe, off-peak"),IF(L202=1,"B1a Slight, peak","B1b Slight, off-peak"))))</f>
        <v>B1b Slight, off-peak</v>
      </c>
      <c r="L202" s="33">
        <f>IF(AND(Orders!U199&gt;=19,Orders!U199&lt;22),1,0)</f>
        <v>0</v>
      </c>
      <c r="M202" s="33">
        <f>IF(L202=IF(Orders!V199,1,0),1,0)</f>
        <v>1</v>
      </c>
      <c r="N202" s="32" t="str">
        <f>IF(Orders!W199="","None",Orders!W199)</f>
        <v>None</v>
      </c>
      <c r="O202" s="35">
        <f>INT(Orders!E199)</f>
        <v>46274.0</v>
      </c>
      <c r="P202" s="33">
        <f>Orders!U199</f>
        <v>22</v>
      </c>
      <c r="Q202" s="33">
        <f>COUNTIFS(Demand!$A$2:$A$4481,B202,Demand!$B$2:$B$4481,O202,Demand!$C$2:$C$4481,P202)</f>
        <v>1</v>
      </c>
      <c r="R202" s="33">
        <f>IF(Q202=1,SUMIFS(Demand!$E$2:$E$4481,Demand!$A$2:$A$4481,B202,Demand!$B$2:$B$4481,O202,Demand!$C$2:$C$4481,P202),"")</f>
        <v>23</v>
      </c>
      <c r="S202" s="33">
        <f>INDEX(Stores!$G$2:$G$21,MATCH(B202,Stores!$A$2:$A$21,0))</f>
        <v>23</v>
      </c>
      <c r="T202" s="34">
        <f>IF(R202="","",R202/S202)</f>
        <v>1</v>
      </c>
      <c r="U202" s="34">
        <f>IF(E202=1,T202,"")</f>
        <v>1</v>
      </c>
      <c r="V202" s="34">
        <f>IF(AND(E202=1,L202=0),T202,"")</f>
        <v>1</v>
      </c>
      <c r="W202" s="33">
        <f>IF(U202="","",IF(U202&lt;=Breakdowns!$C$5,1,IF(U202&lt;=Breakdowns!$C$6,2,IF(U202&lt;=Breakdowns!$C$7,3,4))))</f>
        <v>2</v>
      </c>
      <c r="X202" s="33">
        <f>IF(V202="","",IF(V202&lt;=Breakdowns!$D$5,1,IF(V202&lt;=Breakdowns!$D$6,2,IF(V202&lt;=Breakdowns!$D$7,3,4))))</f>
        <v>3</v>
      </c>
      <c r="Y202" s="34">
        <f>INDEX(Stores!$F$2:$F$21,MATCH(B202,Stores!$A$2:$A$21,0))</f>
        <v>4.66</v>
      </c>
      <c r="Z202" s="33">
        <f>IF(Y202&gt;Store_Summary!$M$2,1,0)</f>
        <v>0</v>
      </c>
      <c r="AA202" s="33">
        <f>INDEX(Stores!$C$2:$C$21,MATCH(B202,Stores!$A$2:$A$21,0))</f>
        <v>204</v>
      </c>
      <c r="AB202" s="33">
        <f>IF(AA202&lt;180,1,0)</f>
        <v>0</v>
      </c>
      <c r="AC202" s="32" t="str">
        <f>IF(Orders!D199="","",INDEX(Riders!$C$2:$C$81,MATCH(Orders!D199,Riders!$A$2:$A$81,0)))</f>
        <v>EV scooter</v>
      </c>
      <c r="AD202" s="33">
        <f>IF(Orders!D199="","",INDEX(Riders!$D$2:$D$81,MATCH(Orders!D199,Riders!$A$2:$A$81,0)))</f>
        <v>24</v>
      </c>
      <c r="AE202" s="33">
        <f>IF(Orders!D199="","",IF(INDEX(Riders!$B$2:$B$81,MATCH(Orders!D199,Riders!$A$2:$A$81,0))=B202,1,0))</f>
        <v>0</v>
      </c>
      <c r="AF202" s="34">
        <f>IF(E202=1,Orders!L199,"")</f>
        <v>1.05</v>
      </c>
      <c r="AG202" s="34">
        <f>IF(E202=1,Orders!P199,"")</f>
        <v>8.5</v>
      </c>
      <c r="AH202" s="34">
        <f>IF(E202=1,Orders!Q199,"")</f>
        <v>12.5</v>
      </c>
      <c r="AI202" s="34">
        <f>IF(E202=1,Orders!M199,"")</f>
        <v>6.8</v>
      </c>
      <c r="AJ202" s="34">
        <f>IF(E202=1,Orders!N199,"")</f>
        <v>1.6</v>
      </c>
      <c r="AK202" s="34">
        <f>IF(E202=1,Orders!O199,"")</f>
        <v>4.1</v>
      </c>
      <c r="AL202" s="33">
        <f>IF(E202=1,IF(ROUND(ABS(AI202+AJ202+AK202-AH202),6)&lt;=0.1,1,0),"")</f>
        <v>1</v>
      </c>
      <c r="AM202" s="36">
        <f>IF(E202=1,AI202/AH202,"")</f>
        <v>0.544</v>
      </c>
      <c r="AN202" s="36">
        <f>IF(E202=1,AJ202/AH202,"")</f>
        <v>0.128</v>
      </c>
      <c r="AO202" s="36">
        <f>IF(E202=1,AK202/AH202,"")</f>
        <v>0.328</v>
      </c>
      <c r="AP202" s="34">
        <f>IF(E202=1,Orders!Y199,"")</f>
        <v>0.52</v>
      </c>
      <c r="AQ202" s="33">
        <f>IF(Orders!X199,1,0)</f>
        <v>0</v>
      </c>
      <c r="AR202" s="34" t="str">
        <f>IF(AND(E202=1,L202=1),AJ202,"")</f>
        <v/>
      </c>
      <c r="AS202" s="34">
        <f>IF(AND(E202=1,L202=0),AJ202,"")</f>
        <v>1.6</v>
      </c>
      <c r="AT202" s="34" t="str">
        <f>IF(AND(E202=1,L202=1),AI202,"")</f>
        <v/>
      </c>
      <c r="AU202" s="34">
        <f>IF(AND(E202=1,L202=0),AI202,"")</f>
        <v>6.8</v>
      </c>
      <c r="AV202" s="34" t="str">
        <f>IF(AND(E202=1,L202=1),AG202,"")</f>
        <v/>
      </c>
      <c r="AW202" s="34">
        <f>IF(AND(E202=1,L202=0),AG202,"")</f>
        <v>8.5</v>
      </c>
      <c r="AX202" s="34" t="str">
        <f>IF(AND(E202=1,L202=1),AH202,"")</f>
        <v/>
      </c>
      <c r="AY202" s="34">
        <f>IF(AND(E202=1,L202=0),AH202,"")</f>
        <v>12.5</v>
      </c>
      <c r="AZ202" s="34">
        <f>IF(G202=1,F202,"")</f>
        <v>4</v>
      </c>
      <c r="BA202" s="34" t="str">
        <f>IF(AND(G202=1,L202=1),F202,"")</f>
        <v/>
      </c>
      <c r="BB202" s="34">
        <f>IF(AND(G202=1,L202=0),F202,"")</f>
        <v>4</v>
      </c>
      <c r="BC202" s="33">
        <f>IF(E202=1,IF(Orders!R199&gt;3,1,0),"")</f>
        <v>1</v>
      </c>
      <c r="BD202" s="33">
        <f>IF(E202=1,IF(Orders!R199&gt;7,1,0),"")</f>
        <v>0</v>
      </c>
      <c r="BE202" s="32" t="str">
        <f>IF(E202=1,IF(Orders!L199&lt;=1.5,"Up to 1.5 km",IF(Orders!L199&lt;=3,"1.5–3 km","Over 3 km")),"")</f>
        <v>Up to 1.5 km</v>
      </c>
      <c r="BF202" s="33">
        <f>IF(E202=1,IF(ABS((Orders!G199-Orders!F199)*1440-Orders!R199)&lt;0.06,1,0),"")</f>
        <v>1</v>
      </c>
      <c r="BG202" s="33">
        <f>IF(ABS((Orders!F199-Orders!E199)*1440-Orders!P199)&lt;0.06,1,0)</f>
        <v>1</v>
      </c>
      <c r="BH202" s="33">
        <f>IF(E202=1,IF(IF(Orders!S199,1,0)=1-G202,1,0),"")</f>
        <v>1</v>
      </c>
      <c r="BI202" s="32" t="str">
        <f>INDEX(Stores!$B$2:$B$21,MATCH(B202,Stores!$A$2:$A$21,0))</f>
        <v>Delhi</v>
      </c>
    </row>
    <row r="203">
      <c r="A203" s="32" t="str">
        <f>Orders!A200</f>
        <v>O00199</v>
      </c>
      <c r="B203" s="32" t="str">
        <f>Orders!C200</f>
        <v>S009</v>
      </c>
      <c r="C203" s="32" t="str">
        <f>Orders!B200</f>
        <v>C0135</v>
      </c>
      <c r="D203" s="32" t="str">
        <f>Orders!H200</f>
        <v>Delivered</v>
      </c>
      <c r="E203" s="33">
        <f>IF(Orders!H200="Delivered",1,0)</f>
        <v>1</v>
      </c>
      <c r="F203" s="34">
        <f>IF(E203=1,Orders!R200,"")</f>
        <v>-0.8</v>
      </c>
      <c r="G203" s="33">
        <f>IF(E203=1,IF(Orders!R200&gt;0,1,0),"")</f>
        <v>0</v>
      </c>
      <c r="H203" s="33">
        <f>IF(E203=1,IF(Orders!R200&gt;5,1,0),"")</f>
        <v>0</v>
      </c>
      <c r="I203" s="32" t="str">
        <f>IF(E203=1,"",IF(OR(Orders!T200="Rider unavailable",Orders!T200="Item unavailable"),"Company-caused","Unresolved"))</f>
        <v/>
      </c>
      <c r="J203" s="33">
        <f>IF(OR(E203=1,I203="Company-caused"),1,0)</f>
        <v>1</v>
      </c>
      <c r="K203" s="32" t="str">
        <f>IF(E203=0,IF(I203="Company-caused",IF(Orders!T200="Rider unavailable","C1 Rider unavailable","C2 Item unavailable"),"Outside root: unresolved"),IF(G203=0,"A On time",IF(H203=1,IF(L203=1,"B2a Severe, peak","B2b Severe, off-peak"),IF(L203=1,"B1a Slight, peak","B1b Slight, off-peak"))))</f>
        <v>A On time</v>
      </c>
      <c r="L203" s="33">
        <f>IF(AND(Orders!U200&gt;=19,Orders!U200&lt;22),1,0)</f>
        <v>0</v>
      </c>
      <c r="M203" s="33">
        <f>IF(L203=IF(Orders!V200,1,0),1,0)</f>
        <v>1</v>
      </c>
      <c r="N203" s="32" t="str">
        <f>IF(Orders!W200="","None",Orders!W200)</f>
        <v>None</v>
      </c>
      <c r="O203" s="35">
        <f>INT(Orders!E200)</f>
        <v>46267.0</v>
      </c>
      <c r="P203" s="33">
        <f>Orders!U200</f>
        <v>13</v>
      </c>
      <c r="Q203" s="33">
        <f>COUNTIFS(Demand!$A$2:$A$4481,B203,Demand!$B$2:$B$4481,O203,Demand!$C$2:$C$4481,P203)</f>
        <v>1</v>
      </c>
      <c r="R203" s="33">
        <f>IF(Q203=1,SUMIFS(Demand!$E$2:$E$4481,Demand!$A$2:$A$4481,B203,Demand!$B$2:$B$4481,O203,Demand!$C$2:$C$4481,P203),"")</f>
        <v>26</v>
      </c>
      <c r="S203" s="33">
        <f>INDEX(Stores!$G$2:$G$21,MATCH(B203,Stores!$A$2:$A$21,0))</f>
        <v>29</v>
      </c>
      <c r="T203" s="34">
        <f>IF(R203="","",R203/S203)</f>
        <v>0.896551724137931</v>
      </c>
      <c r="U203" s="34">
        <f>IF(E203=1,T203,"")</f>
        <v>0.896551724137931</v>
      </c>
      <c r="V203" s="34">
        <f>IF(AND(E203=1,L203=0),T203,"")</f>
        <v>0.896551724137931</v>
      </c>
      <c r="W203" s="33">
        <f>IF(U203="","",IF(U203&lt;=Breakdowns!$C$5,1,IF(U203&lt;=Breakdowns!$C$6,2,IF(U203&lt;=Breakdowns!$C$7,3,4))))</f>
        <v>2</v>
      </c>
      <c r="X203" s="33">
        <f>IF(V203="","",IF(V203&lt;=Breakdowns!$D$5,1,IF(V203&lt;=Breakdowns!$D$6,2,IF(V203&lt;=Breakdowns!$D$7,3,4))))</f>
        <v>2</v>
      </c>
      <c r="Y203" s="34">
        <f>INDEX(Stores!$F$2:$F$21,MATCH(B203,Stores!$A$2:$A$21,0))</f>
        <v>2.66</v>
      </c>
      <c r="Z203" s="33">
        <f>IF(Y203&gt;Store_Summary!$M$2,1,0)</f>
        <v>0</v>
      </c>
      <c r="AA203" s="33">
        <f>INDEX(Stores!$C$2:$C$21,MATCH(B203,Stores!$A$2:$A$21,0))</f>
        <v>645</v>
      </c>
      <c r="AB203" s="33">
        <f>IF(AA203&lt;180,1,0)</f>
        <v>0</v>
      </c>
      <c r="AC203" s="32" t="str">
        <f>IF(Orders!D200="","",INDEX(Riders!$C$2:$C$81,MATCH(Orders!D200,Riders!$A$2:$A$81,0)))</f>
        <v>EV scooter</v>
      </c>
      <c r="AD203" s="33">
        <f>IF(Orders!D200="","",INDEX(Riders!$D$2:$D$81,MATCH(Orders!D200,Riders!$A$2:$A$81,0)))</f>
        <v>32</v>
      </c>
      <c r="AE203" s="33">
        <f>IF(Orders!D200="","",IF(INDEX(Riders!$B$2:$B$81,MATCH(Orders!D200,Riders!$A$2:$A$81,0))=B203,1,0))</f>
        <v>0</v>
      </c>
      <c r="AF203" s="34">
        <f>IF(E203=1,Orders!L200,"")</f>
        <v>2.8</v>
      </c>
      <c r="AG203" s="34">
        <f>IF(E203=1,Orders!P200,"")</f>
        <v>10.5</v>
      </c>
      <c r="AH203" s="34">
        <f>IF(E203=1,Orders!Q200,"")</f>
        <v>9.7</v>
      </c>
      <c r="AI203" s="34">
        <f>IF(E203=1,Orders!M200,"")</f>
        <v>2.5</v>
      </c>
      <c r="AJ203" s="34">
        <f>IF(E203=1,Orders!N200,"")</f>
        <v>1.7</v>
      </c>
      <c r="AK203" s="34">
        <f>IF(E203=1,Orders!O200,"")</f>
        <v>5.5</v>
      </c>
      <c r="AL203" s="33">
        <f>IF(E203=1,IF(ROUND(ABS(AI203+AJ203+AK203-AH203),6)&lt;=0.1,1,0),"")</f>
        <v>1</v>
      </c>
      <c r="AM203" s="36">
        <f>IF(E203=1,AI203/AH203,"")</f>
        <v>0.257731958762887</v>
      </c>
      <c r="AN203" s="36">
        <f>IF(E203=1,AJ203/AH203,"")</f>
        <v>0.175257731958763</v>
      </c>
      <c r="AO203" s="36">
        <f>IF(E203=1,AK203/AH203,"")</f>
        <v>0.567010309278351</v>
      </c>
      <c r="AP203" s="34">
        <f>IF(E203=1,Orders!Y200,"")</f>
        <v>0.39</v>
      </c>
      <c r="AQ203" s="33">
        <f>IF(Orders!X200,1,0)</f>
        <v>0</v>
      </c>
      <c r="AR203" s="34" t="str">
        <f>IF(AND(E203=1,L203=1),AJ203,"")</f>
        <v/>
      </c>
      <c r="AS203" s="34">
        <f>IF(AND(E203=1,L203=0),AJ203,"")</f>
        <v>1.7</v>
      </c>
      <c r="AT203" s="34" t="str">
        <f>IF(AND(E203=1,L203=1),AI203,"")</f>
        <v/>
      </c>
      <c r="AU203" s="34">
        <f>IF(AND(E203=1,L203=0),AI203,"")</f>
        <v>2.5</v>
      </c>
      <c r="AV203" s="34" t="str">
        <f>IF(AND(E203=1,L203=1),AG203,"")</f>
        <v/>
      </c>
      <c r="AW203" s="34">
        <f>IF(AND(E203=1,L203=0),AG203,"")</f>
        <v>10.5</v>
      </c>
      <c r="AX203" s="34" t="str">
        <f>IF(AND(E203=1,L203=1),AH203,"")</f>
        <v/>
      </c>
      <c r="AY203" s="34">
        <f>IF(AND(E203=1,L203=0),AH203,"")</f>
        <v>9.7</v>
      </c>
      <c r="AZ203" s="34" t="str">
        <f>IF(G203=1,F203,"")</f>
        <v/>
      </c>
      <c r="BA203" s="34" t="str">
        <f>IF(AND(G203=1,L203=1),F203,"")</f>
        <v/>
      </c>
      <c r="BB203" s="34" t="str">
        <f>IF(AND(G203=1,L203=0),F203,"")</f>
        <v/>
      </c>
      <c r="BC203" s="33">
        <f>IF(E203=1,IF(Orders!R200&gt;3,1,0),"")</f>
        <v>0</v>
      </c>
      <c r="BD203" s="33">
        <f>IF(E203=1,IF(Orders!R200&gt;7,1,0),"")</f>
        <v>0</v>
      </c>
      <c r="BE203" s="32" t="str">
        <f>IF(E203=1,IF(Orders!L200&lt;=1.5,"Up to 1.5 km",IF(Orders!L200&lt;=3,"1.5–3 km","Over 3 km")),"")</f>
        <v>1.5–3 km</v>
      </c>
      <c r="BF203" s="33">
        <f>IF(E203=1,IF(ABS((Orders!G200-Orders!F200)*1440-Orders!R200)&lt;0.06,1,0),"")</f>
        <v>1</v>
      </c>
      <c r="BG203" s="33">
        <f>IF(ABS((Orders!F200-Orders!E200)*1440-Orders!P200)&lt;0.06,1,0)</f>
        <v>1</v>
      </c>
      <c r="BH203" s="33">
        <f>IF(E203=1,IF(IF(Orders!S200,1,0)=1-G203,1,0),"")</f>
        <v>1</v>
      </c>
      <c r="BI203" s="32" t="str">
        <f>INDEX(Stores!$B$2:$B$21,MATCH(B203,Stores!$A$2:$A$21,0))</f>
        <v>Pune</v>
      </c>
    </row>
    <row r="204">
      <c r="A204" s="32" t="str">
        <f>Orders!A201</f>
        <v>O00200</v>
      </c>
      <c r="B204" s="32" t="str">
        <f>Orders!C201</f>
        <v>S007</v>
      </c>
      <c r="C204" s="32" t="str">
        <f>Orders!B201</f>
        <v>C0138</v>
      </c>
      <c r="D204" s="32" t="str">
        <f>Orders!H201</f>
        <v>Delivered</v>
      </c>
      <c r="E204" s="33">
        <f>IF(Orders!H201="Delivered",1,0)</f>
        <v>1</v>
      </c>
      <c r="F204" s="34">
        <f>IF(E204=1,Orders!R201,"")</f>
        <v>-0.4</v>
      </c>
      <c r="G204" s="33">
        <f>IF(E204=1,IF(Orders!R201&gt;0,1,0),"")</f>
        <v>0</v>
      </c>
      <c r="H204" s="33">
        <f>IF(E204=1,IF(Orders!R201&gt;5,1,0),"")</f>
        <v>0</v>
      </c>
      <c r="I204" s="32" t="str">
        <f>IF(E204=1,"",IF(OR(Orders!T201="Rider unavailable",Orders!T201="Item unavailable"),"Company-caused","Unresolved"))</f>
        <v/>
      </c>
      <c r="J204" s="33">
        <f>IF(OR(E204=1,I204="Company-caused"),1,0)</f>
        <v>1</v>
      </c>
      <c r="K204" s="32" t="str">
        <f>IF(E204=0,IF(I204="Company-caused",IF(Orders!T201="Rider unavailable","C1 Rider unavailable","C2 Item unavailable"),"Outside root: unresolved"),IF(G204=0,"A On time",IF(H204=1,IF(L204=1,"B2a Severe, peak","B2b Severe, off-peak"),IF(L204=1,"B1a Slight, peak","B1b Slight, off-peak"))))</f>
        <v>A On time</v>
      </c>
      <c r="L204" s="33">
        <f>IF(AND(Orders!U201&gt;=19,Orders!U201&lt;22),1,0)</f>
        <v>1</v>
      </c>
      <c r="M204" s="33">
        <f>IF(L204=IF(Orders!V201,1,0),1,0)</f>
        <v>1</v>
      </c>
      <c r="N204" s="32" t="str">
        <f>IF(Orders!W201="","None",Orders!W201)</f>
        <v>None</v>
      </c>
      <c r="O204" s="35">
        <f>INT(Orders!E201)</f>
        <v>46278.0</v>
      </c>
      <c r="P204" s="33">
        <f>Orders!U201</f>
        <v>19</v>
      </c>
      <c r="Q204" s="33">
        <f>COUNTIFS(Demand!$A$2:$A$4481,B204,Demand!$B$2:$B$4481,O204,Demand!$C$2:$C$4481,P204)</f>
        <v>1</v>
      </c>
      <c r="R204" s="33">
        <f>IF(Q204=1,SUMIFS(Demand!$E$2:$E$4481,Demand!$A$2:$A$4481,B204,Demand!$B$2:$B$4481,O204,Demand!$C$2:$C$4481,P204),"")</f>
        <v>56</v>
      </c>
      <c r="S204" s="33">
        <f>INDEX(Stores!$G$2:$G$21,MATCH(B204,Stores!$A$2:$A$21,0))</f>
        <v>37</v>
      </c>
      <c r="T204" s="34">
        <f>IF(R204="","",R204/S204)</f>
        <v>1.51351351351351</v>
      </c>
      <c r="U204" s="34">
        <f>IF(E204=1,T204,"")</f>
        <v>1.51351351351351</v>
      </c>
      <c r="V204" s="34" t="str">
        <f>IF(AND(E204=1,L204=0),T204,"")</f>
        <v/>
      </c>
      <c r="W204" s="33">
        <f>IF(U204="","",IF(U204&lt;=Breakdowns!$C$5,1,IF(U204&lt;=Breakdowns!$C$6,2,IF(U204&lt;=Breakdowns!$C$7,3,4))))</f>
        <v>4</v>
      </c>
      <c r="X204" s="33" t="str">
        <f>IF(V204="","",IF(V204&lt;=Breakdowns!$D$5,1,IF(V204&lt;=Breakdowns!$D$6,2,IF(V204&lt;=Breakdowns!$D$7,3,4))))</f>
        <v/>
      </c>
      <c r="Y204" s="34">
        <f>INDEX(Stores!$F$2:$F$21,MATCH(B204,Stores!$A$2:$A$21,0))</f>
        <v>4.05</v>
      </c>
      <c r="Z204" s="33">
        <f>IF(Y204&gt;Store_Summary!$M$2,1,0)</f>
        <v>0</v>
      </c>
      <c r="AA204" s="33">
        <f>INDEX(Stores!$C$2:$C$21,MATCH(B204,Stores!$A$2:$A$21,0))</f>
        <v>661</v>
      </c>
      <c r="AB204" s="33">
        <f>IF(AA204&lt;180,1,0)</f>
        <v>0</v>
      </c>
      <c r="AC204" s="32" t="str">
        <f>IF(Orders!D201="","",INDEX(Riders!$C$2:$C$81,MATCH(Orders!D201,Riders!$A$2:$A$81,0)))</f>
        <v>EV scooter</v>
      </c>
      <c r="AD204" s="33">
        <f>IF(Orders!D201="","",INDEX(Riders!$D$2:$D$81,MATCH(Orders!D201,Riders!$A$2:$A$81,0)))</f>
        <v>22</v>
      </c>
      <c r="AE204" s="33">
        <f>IF(Orders!D201="","",IF(INDEX(Riders!$B$2:$B$81,MATCH(Orders!D201,Riders!$A$2:$A$81,0))=B204,1,0))</f>
        <v>1</v>
      </c>
      <c r="AF204" s="34">
        <f>IF(E204=1,Orders!L201,"")</f>
        <v>3.99</v>
      </c>
      <c r="AG204" s="34">
        <f>IF(E204=1,Orders!P201,"")</f>
        <v>9.2</v>
      </c>
      <c r="AH204" s="34">
        <f>IF(E204=1,Orders!Q201,"")</f>
        <v>8.8</v>
      </c>
      <c r="AI204" s="34">
        <f>IF(E204=1,Orders!M201,"")</f>
        <v>1.9</v>
      </c>
      <c r="AJ204" s="34">
        <f>IF(E204=1,Orders!N201,"")</f>
        <v>1.6</v>
      </c>
      <c r="AK204" s="34">
        <f>IF(E204=1,Orders!O201,"")</f>
        <v>5.3</v>
      </c>
      <c r="AL204" s="33">
        <f>IF(E204=1,IF(ROUND(ABS(AI204+AJ204+AK204-AH204),6)&lt;=0.1,1,0),"")</f>
        <v>1</v>
      </c>
      <c r="AM204" s="36">
        <f>IF(E204=1,AI204/AH204,"")</f>
        <v>0.215909090909091</v>
      </c>
      <c r="AN204" s="36">
        <f>IF(E204=1,AJ204/AH204,"")</f>
        <v>0.181818181818182</v>
      </c>
      <c r="AO204" s="36">
        <f>IF(E204=1,AK204/AH204,"")</f>
        <v>0.602272727272727</v>
      </c>
      <c r="AP204" s="34">
        <f>IF(E204=1,Orders!Y201,"")</f>
        <v>0.86</v>
      </c>
      <c r="AQ204" s="33">
        <f>IF(Orders!X201,1,0)</f>
        <v>0</v>
      </c>
      <c r="AR204" s="34">
        <f>IF(AND(E204=1,L204=1),AJ204,"")</f>
        <v>1.6</v>
      </c>
      <c r="AS204" s="34" t="str">
        <f>IF(AND(E204=1,L204=0),AJ204,"")</f>
        <v/>
      </c>
      <c r="AT204" s="34">
        <f>IF(AND(E204=1,L204=1),AI204,"")</f>
        <v>1.9</v>
      </c>
      <c r="AU204" s="34" t="str">
        <f>IF(AND(E204=1,L204=0),AI204,"")</f>
        <v/>
      </c>
      <c r="AV204" s="34">
        <f>IF(AND(E204=1,L204=1),AG204,"")</f>
        <v>9.2</v>
      </c>
      <c r="AW204" s="34" t="str">
        <f>IF(AND(E204=1,L204=0),AG204,"")</f>
        <v/>
      </c>
      <c r="AX204" s="34">
        <f>IF(AND(E204=1,L204=1),AH204,"")</f>
        <v>8.8</v>
      </c>
      <c r="AY204" s="34" t="str">
        <f>IF(AND(E204=1,L204=0),AH204,"")</f>
        <v/>
      </c>
      <c r="AZ204" s="34" t="str">
        <f>IF(G204=1,F204,"")</f>
        <v/>
      </c>
      <c r="BA204" s="34" t="str">
        <f>IF(AND(G204=1,L204=1),F204,"")</f>
        <v/>
      </c>
      <c r="BB204" s="34" t="str">
        <f>IF(AND(G204=1,L204=0),F204,"")</f>
        <v/>
      </c>
      <c r="BC204" s="33">
        <f>IF(E204=1,IF(Orders!R201&gt;3,1,0),"")</f>
        <v>0</v>
      </c>
      <c r="BD204" s="33">
        <f>IF(E204=1,IF(Orders!R201&gt;7,1,0),"")</f>
        <v>0</v>
      </c>
      <c r="BE204" s="32" t="str">
        <f>IF(E204=1,IF(Orders!L201&lt;=1.5,"Up to 1.5 km",IF(Orders!L201&lt;=3,"1.5–3 km","Over 3 km")),"")</f>
        <v>Over 3 km</v>
      </c>
      <c r="BF204" s="33">
        <f>IF(E204=1,IF(ABS((Orders!G201-Orders!F201)*1440-Orders!R201)&lt;0.06,1,0),"")</f>
        <v>1</v>
      </c>
      <c r="BG204" s="33">
        <f>IF(ABS((Orders!F201-Orders!E201)*1440-Orders!P201)&lt;0.06,1,0)</f>
        <v>1</v>
      </c>
      <c r="BH204" s="33">
        <f>IF(E204=1,IF(IF(Orders!S201,1,0)=1-G204,1,0),"")</f>
        <v>1</v>
      </c>
      <c r="BI204" s="32" t="str">
        <f>INDEX(Stores!$B$2:$B$21,MATCH(B204,Stores!$A$2:$A$21,0))</f>
        <v>Hyderabad</v>
      </c>
    </row>
    <row r="205">
      <c r="A205" s="32" t="str">
        <f>Orders!A202</f>
        <v>O00201</v>
      </c>
      <c r="B205" s="32" t="str">
        <f>Orders!C202</f>
        <v>S014</v>
      </c>
      <c r="C205" s="32" t="str">
        <f>Orders!B202</f>
        <v>C0060</v>
      </c>
      <c r="D205" s="32" t="str">
        <f>Orders!H202</f>
        <v>Delivered</v>
      </c>
      <c r="E205" s="33">
        <f>IF(Orders!H202="Delivered",1,0)</f>
        <v>1</v>
      </c>
      <c r="F205" s="34">
        <f>IF(E205=1,Orders!R202,"")</f>
        <v>-0.7</v>
      </c>
      <c r="G205" s="33">
        <f>IF(E205=1,IF(Orders!R202&gt;0,1,0),"")</f>
        <v>0</v>
      </c>
      <c r="H205" s="33">
        <f>IF(E205=1,IF(Orders!R202&gt;5,1,0),"")</f>
        <v>0</v>
      </c>
      <c r="I205" s="32" t="str">
        <f>IF(E205=1,"",IF(OR(Orders!T202="Rider unavailable",Orders!T202="Item unavailable"),"Company-caused","Unresolved"))</f>
        <v/>
      </c>
      <c r="J205" s="33">
        <f>IF(OR(E205=1,I205="Company-caused"),1,0)</f>
        <v>1</v>
      </c>
      <c r="K205" s="32" t="str">
        <f>IF(E205=0,IF(I205="Company-caused",IF(Orders!T202="Rider unavailable","C1 Rider unavailable","C2 Item unavailable"),"Outside root: unresolved"),IF(G205=0,"A On time",IF(H205=1,IF(L205=1,"B2a Severe, peak","B2b Severe, off-peak"),IF(L205=1,"B1a Slight, peak","B1b Slight, off-peak"))))</f>
        <v>A On time</v>
      </c>
      <c r="L205" s="33">
        <f>IF(AND(Orders!U202&gt;=19,Orders!U202&lt;22),1,0)</f>
        <v>0</v>
      </c>
      <c r="M205" s="33">
        <f>IF(L205=IF(Orders!V202,1,0),1,0)</f>
        <v>1</v>
      </c>
      <c r="N205" s="32" t="str">
        <f>IF(Orders!W202="","None",Orders!W202)</f>
        <v>None</v>
      </c>
      <c r="O205" s="35">
        <f>INT(Orders!E202)</f>
        <v>46279.0</v>
      </c>
      <c r="P205" s="33">
        <f>Orders!U202</f>
        <v>12</v>
      </c>
      <c r="Q205" s="33">
        <f>COUNTIFS(Demand!$A$2:$A$4481,B205,Demand!$B$2:$B$4481,O205,Demand!$C$2:$C$4481,P205)</f>
        <v>1</v>
      </c>
      <c r="R205" s="33">
        <f>IF(Q205=1,SUMIFS(Demand!$E$2:$E$4481,Demand!$A$2:$A$4481,B205,Demand!$B$2:$B$4481,O205,Demand!$C$2:$C$4481,P205),"")</f>
        <v>44</v>
      </c>
      <c r="S205" s="33">
        <f>INDEX(Stores!$G$2:$G$21,MATCH(B205,Stores!$A$2:$A$21,0))</f>
        <v>37</v>
      </c>
      <c r="T205" s="34">
        <f>IF(R205="","",R205/S205)</f>
        <v>1.18918918918919</v>
      </c>
      <c r="U205" s="34">
        <f>IF(E205=1,T205,"")</f>
        <v>1.18918918918919</v>
      </c>
      <c r="V205" s="34">
        <f>IF(AND(E205=1,L205=0),T205,"")</f>
        <v>1.18918918918919</v>
      </c>
      <c r="W205" s="33">
        <f>IF(U205="","",IF(U205&lt;=Breakdowns!$C$5,1,IF(U205&lt;=Breakdowns!$C$6,2,IF(U205&lt;=Breakdowns!$C$7,3,4))))</f>
        <v>3</v>
      </c>
      <c r="X205" s="33">
        <f>IF(V205="","",IF(V205&lt;=Breakdowns!$D$5,1,IF(V205&lt;=Breakdowns!$D$6,2,IF(V205&lt;=Breakdowns!$D$7,3,4))))</f>
        <v>4</v>
      </c>
      <c r="Y205" s="34">
        <f>INDEX(Stores!$F$2:$F$21,MATCH(B205,Stores!$A$2:$A$21,0))</f>
        <v>5.55</v>
      </c>
      <c r="Z205" s="33">
        <f>IF(Y205&gt;Store_Summary!$M$2,1,0)</f>
        <v>1</v>
      </c>
      <c r="AA205" s="33">
        <f>INDEX(Stores!$C$2:$C$21,MATCH(B205,Stores!$A$2:$A$21,0))</f>
        <v>241</v>
      </c>
      <c r="AB205" s="33">
        <f>IF(AA205&lt;180,1,0)</f>
        <v>0</v>
      </c>
      <c r="AC205" s="32" t="str">
        <f>IF(Orders!D202="","",INDEX(Riders!$C$2:$C$81,MATCH(Orders!D202,Riders!$A$2:$A$81,0)))</f>
        <v>EV scooter</v>
      </c>
      <c r="AD205" s="33">
        <f>IF(Orders!D202="","",INDEX(Riders!$D$2:$D$81,MATCH(Orders!D202,Riders!$A$2:$A$81,0)))</f>
        <v>45</v>
      </c>
      <c r="AE205" s="33">
        <f>IF(Orders!D202="","",IF(INDEX(Riders!$B$2:$B$81,MATCH(Orders!D202,Riders!$A$2:$A$81,0))=B205,1,0))</f>
        <v>0</v>
      </c>
      <c r="AF205" s="34">
        <f>IF(E205=1,Orders!L202,"")</f>
        <v>3.3</v>
      </c>
      <c r="AG205" s="34">
        <f>IF(E205=1,Orders!P202,"")</f>
        <v>9.9</v>
      </c>
      <c r="AH205" s="34">
        <f>IF(E205=1,Orders!Q202,"")</f>
        <v>9.2</v>
      </c>
      <c r="AI205" s="34">
        <f>IF(E205=1,Orders!M202,"")</f>
        <v>2.5</v>
      </c>
      <c r="AJ205" s="34">
        <f>IF(E205=1,Orders!N202,"")</f>
        <v>3.6</v>
      </c>
      <c r="AK205" s="34">
        <f>IF(E205=1,Orders!O202,"")</f>
        <v>3.1</v>
      </c>
      <c r="AL205" s="33">
        <f>IF(E205=1,IF(ROUND(ABS(AI205+AJ205+AK205-AH205),6)&lt;=0.1,1,0),"")</f>
        <v>1</v>
      </c>
      <c r="AM205" s="36">
        <f>IF(E205=1,AI205/AH205,"")</f>
        <v>0.271739130434783</v>
      </c>
      <c r="AN205" s="36">
        <f>IF(E205=1,AJ205/AH205,"")</f>
        <v>0.391304347826087</v>
      </c>
      <c r="AO205" s="36">
        <f>IF(E205=1,AK205/AH205,"")</f>
        <v>0.336956521739131</v>
      </c>
      <c r="AP205" s="34">
        <f>IF(E205=1,Orders!Y202,"")</f>
        <v>0.25</v>
      </c>
      <c r="AQ205" s="33">
        <f>IF(Orders!X202,1,0)</f>
        <v>0</v>
      </c>
      <c r="AR205" s="34" t="str">
        <f>IF(AND(E205=1,L205=1),AJ205,"")</f>
        <v/>
      </c>
      <c r="AS205" s="34">
        <f>IF(AND(E205=1,L205=0),AJ205,"")</f>
        <v>3.6</v>
      </c>
      <c r="AT205" s="34" t="str">
        <f>IF(AND(E205=1,L205=1),AI205,"")</f>
        <v/>
      </c>
      <c r="AU205" s="34">
        <f>IF(AND(E205=1,L205=0),AI205,"")</f>
        <v>2.5</v>
      </c>
      <c r="AV205" s="34" t="str">
        <f>IF(AND(E205=1,L205=1),AG205,"")</f>
        <v/>
      </c>
      <c r="AW205" s="34">
        <f>IF(AND(E205=1,L205=0),AG205,"")</f>
        <v>9.9</v>
      </c>
      <c r="AX205" s="34" t="str">
        <f>IF(AND(E205=1,L205=1),AH205,"")</f>
        <v/>
      </c>
      <c r="AY205" s="34">
        <f>IF(AND(E205=1,L205=0),AH205,"")</f>
        <v>9.2</v>
      </c>
      <c r="AZ205" s="34" t="str">
        <f>IF(G205=1,F205,"")</f>
        <v/>
      </c>
      <c r="BA205" s="34" t="str">
        <f>IF(AND(G205=1,L205=1),F205,"")</f>
        <v/>
      </c>
      <c r="BB205" s="34" t="str">
        <f>IF(AND(G205=1,L205=0),F205,"")</f>
        <v/>
      </c>
      <c r="BC205" s="33">
        <f>IF(E205=1,IF(Orders!R202&gt;3,1,0),"")</f>
        <v>0</v>
      </c>
      <c r="BD205" s="33">
        <f>IF(E205=1,IF(Orders!R202&gt;7,1,0),"")</f>
        <v>0</v>
      </c>
      <c r="BE205" s="32" t="str">
        <f>IF(E205=1,IF(Orders!L202&lt;=1.5,"Up to 1.5 km",IF(Orders!L202&lt;=3,"1.5–3 km","Over 3 km")),"")</f>
        <v>Over 3 km</v>
      </c>
      <c r="BF205" s="33">
        <f>IF(E205=1,IF(ABS((Orders!G202-Orders!F202)*1440-Orders!R202)&lt;0.06,1,0),"")</f>
        <v>1</v>
      </c>
      <c r="BG205" s="33">
        <f>IF(ABS((Orders!F202-Orders!E202)*1440-Orders!P202)&lt;0.06,1,0)</f>
        <v>1</v>
      </c>
      <c r="BH205" s="33">
        <f>IF(E205=1,IF(IF(Orders!S202,1,0)=1-G205,1,0),"")</f>
        <v>1</v>
      </c>
      <c r="BI205" s="32" t="str">
        <f>INDEX(Stores!$B$2:$B$21,MATCH(B205,Stores!$A$2:$A$21,0))</f>
        <v>Pune</v>
      </c>
    </row>
    <row r="206">
      <c r="A206" s="32" t="str">
        <f>Orders!A203</f>
        <v>O00202</v>
      </c>
      <c r="B206" s="32" t="str">
        <f>Orders!C203</f>
        <v>S002</v>
      </c>
      <c r="C206" s="32" t="str">
        <f>Orders!B203</f>
        <v>C0130</v>
      </c>
      <c r="D206" s="32" t="str">
        <f>Orders!H203</f>
        <v>Delivered</v>
      </c>
      <c r="E206" s="33">
        <f>IF(Orders!H203="Delivered",1,0)</f>
        <v>1</v>
      </c>
      <c r="F206" s="34">
        <f>IF(E206=1,Orders!R203,"")</f>
        <v>-2.9</v>
      </c>
      <c r="G206" s="33">
        <f>IF(E206=1,IF(Orders!R203&gt;0,1,0),"")</f>
        <v>0</v>
      </c>
      <c r="H206" s="33">
        <f>IF(E206=1,IF(Orders!R203&gt;5,1,0),"")</f>
        <v>0</v>
      </c>
      <c r="I206" s="32" t="str">
        <f>IF(E206=1,"",IF(OR(Orders!T203="Rider unavailable",Orders!T203="Item unavailable"),"Company-caused","Unresolved"))</f>
        <v/>
      </c>
      <c r="J206" s="33">
        <f>IF(OR(E206=1,I206="Company-caused"),1,0)</f>
        <v>1</v>
      </c>
      <c r="K206" s="32" t="str">
        <f>IF(E206=0,IF(I206="Company-caused",IF(Orders!T203="Rider unavailable","C1 Rider unavailable","C2 Item unavailable"),"Outside root: unresolved"),IF(G206=0,"A On time",IF(H206=1,IF(L206=1,"B2a Severe, peak","B2b Severe, off-peak"),IF(L206=1,"B1a Slight, peak","B1b Slight, off-peak"))))</f>
        <v>A On time</v>
      </c>
      <c r="L206" s="33">
        <f>IF(AND(Orders!U203&gt;=19,Orders!U203&lt;22),1,0)</f>
        <v>0</v>
      </c>
      <c r="M206" s="33">
        <f>IF(L206=IF(Orders!V203,1,0),1,0)</f>
        <v>1</v>
      </c>
      <c r="N206" s="32" t="str">
        <f>IF(Orders!W203="","None",Orders!W203)</f>
        <v>Heavy</v>
      </c>
      <c r="O206" s="35">
        <f>INT(Orders!E203)</f>
        <v>46278.0</v>
      </c>
      <c r="P206" s="33">
        <f>Orders!U203</f>
        <v>12</v>
      </c>
      <c r="Q206" s="33">
        <f>COUNTIFS(Demand!$A$2:$A$4481,B206,Demand!$B$2:$B$4481,O206,Demand!$C$2:$C$4481,P206)</f>
        <v>1</v>
      </c>
      <c r="R206" s="33">
        <f>IF(Q206=1,SUMIFS(Demand!$E$2:$E$4481,Demand!$A$2:$A$4481,B206,Demand!$B$2:$B$4481,O206,Demand!$C$2:$C$4481,P206),"")</f>
        <v>24</v>
      </c>
      <c r="S206" s="33">
        <f>INDEX(Stores!$G$2:$G$21,MATCH(B206,Stores!$A$2:$A$21,0))</f>
        <v>33</v>
      </c>
      <c r="T206" s="34">
        <f>IF(R206="","",R206/S206)</f>
        <v>0.727272727272727</v>
      </c>
      <c r="U206" s="34">
        <f>IF(E206=1,T206,"")</f>
        <v>0.727272727272727</v>
      </c>
      <c r="V206" s="34">
        <f>IF(AND(E206=1,L206=0),T206,"")</f>
        <v>0.727272727272727</v>
      </c>
      <c r="W206" s="33">
        <f>IF(U206="","",IF(U206&lt;=Breakdowns!$C$5,1,IF(U206&lt;=Breakdowns!$C$6,2,IF(U206&lt;=Breakdowns!$C$7,3,4))))</f>
        <v>1</v>
      </c>
      <c r="X206" s="33">
        <f>IF(V206="","",IF(V206&lt;=Breakdowns!$D$5,1,IF(V206&lt;=Breakdowns!$D$6,2,IF(V206&lt;=Breakdowns!$D$7,3,4))))</f>
        <v>1</v>
      </c>
      <c r="Y206" s="34">
        <f>INDEX(Stores!$F$2:$F$21,MATCH(B206,Stores!$A$2:$A$21,0))</f>
        <v>2.39</v>
      </c>
      <c r="Z206" s="33">
        <f>IF(Y206&gt;Store_Summary!$M$2,1,0)</f>
        <v>0</v>
      </c>
      <c r="AA206" s="33">
        <f>INDEX(Stores!$C$2:$C$21,MATCH(B206,Stores!$A$2:$A$21,0))</f>
        <v>470</v>
      </c>
      <c r="AB206" s="33">
        <f>IF(AA206&lt;180,1,0)</f>
        <v>0</v>
      </c>
      <c r="AC206" s="32" t="str">
        <f>IF(Orders!D203="","",INDEX(Riders!$C$2:$C$81,MATCH(Orders!D203,Riders!$A$2:$A$81,0)))</f>
        <v>Bicycle</v>
      </c>
      <c r="AD206" s="33">
        <f>IF(Orders!D203="","",INDEX(Riders!$D$2:$D$81,MATCH(Orders!D203,Riders!$A$2:$A$81,0)))</f>
        <v>40</v>
      </c>
      <c r="AE206" s="33">
        <f>IF(Orders!D203="","",IF(INDEX(Riders!$B$2:$B$81,MATCH(Orders!D203,Riders!$A$2:$A$81,0))=B206,1,0))</f>
        <v>0</v>
      </c>
      <c r="AF206" s="34">
        <f>IF(E206=1,Orders!L203,"")</f>
        <v>0.84</v>
      </c>
      <c r="AG206" s="34">
        <f>IF(E206=1,Orders!P203,"")</f>
        <v>10.7</v>
      </c>
      <c r="AH206" s="34">
        <f>IF(E206=1,Orders!Q203,"")</f>
        <v>7.8</v>
      </c>
      <c r="AI206" s="34">
        <f>IF(E206=1,Orders!M203,"")</f>
        <v>1</v>
      </c>
      <c r="AJ206" s="34">
        <f>IF(E206=1,Orders!N203,"")</f>
        <v>1.5</v>
      </c>
      <c r="AK206" s="34">
        <f>IF(E206=1,Orders!O203,"")</f>
        <v>5.3</v>
      </c>
      <c r="AL206" s="33">
        <f>IF(E206=1,IF(ROUND(ABS(AI206+AJ206+AK206-AH206),6)&lt;=0.1,1,0),"")</f>
        <v>1</v>
      </c>
      <c r="AM206" s="36">
        <f>IF(E206=1,AI206/AH206,"")</f>
        <v>0.128205128205128</v>
      </c>
      <c r="AN206" s="36">
        <f>IF(E206=1,AJ206/AH206,"")</f>
        <v>0.192307692307692</v>
      </c>
      <c r="AO206" s="36">
        <f>IF(E206=1,AK206/AH206,"")</f>
        <v>0.67948717948718</v>
      </c>
      <c r="AP206" s="34">
        <f>IF(E206=1,Orders!Y203,"")</f>
        <v>0.54</v>
      </c>
      <c r="AQ206" s="33">
        <f>IF(Orders!X203,1,0)</f>
        <v>0</v>
      </c>
      <c r="AR206" s="34" t="str">
        <f>IF(AND(E206=1,L206=1),AJ206,"")</f>
        <v/>
      </c>
      <c r="AS206" s="34">
        <f>IF(AND(E206=1,L206=0),AJ206,"")</f>
        <v>1.5</v>
      </c>
      <c r="AT206" s="34" t="str">
        <f>IF(AND(E206=1,L206=1),AI206,"")</f>
        <v/>
      </c>
      <c r="AU206" s="34">
        <f>IF(AND(E206=1,L206=0),AI206,"")</f>
        <v>1</v>
      </c>
      <c r="AV206" s="34" t="str">
        <f>IF(AND(E206=1,L206=1),AG206,"")</f>
        <v/>
      </c>
      <c r="AW206" s="34">
        <f>IF(AND(E206=1,L206=0),AG206,"")</f>
        <v>10.7</v>
      </c>
      <c r="AX206" s="34" t="str">
        <f>IF(AND(E206=1,L206=1),AH206,"")</f>
        <v/>
      </c>
      <c r="AY206" s="34">
        <f>IF(AND(E206=1,L206=0),AH206,"")</f>
        <v>7.8</v>
      </c>
      <c r="AZ206" s="34" t="str">
        <f>IF(G206=1,F206,"")</f>
        <v/>
      </c>
      <c r="BA206" s="34" t="str">
        <f>IF(AND(G206=1,L206=1),F206,"")</f>
        <v/>
      </c>
      <c r="BB206" s="34" t="str">
        <f>IF(AND(G206=1,L206=0),F206,"")</f>
        <v/>
      </c>
      <c r="BC206" s="33">
        <f>IF(E206=1,IF(Orders!R203&gt;3,1,0),"")</f>
        <v>0</v>
      </c>
      <c r="BD206" s="33">
        <f>IF(E206=1,IF(Orders!R203&gt;7,1,0),"")</f>
        <v>0</v>
      </c>
      <c r="BE206" s="32" t="str">
        <f>IF(E206=1,IF(Orders!L203&lt;=1.5,"Up to 1.5 km",IF(Orders!L203&lt;=3,"1.5–3 km","Over 3 km")),"")</f>
        <v>Up to 1.5 km</v>
      </c>
      <c r="BF206" s="33">
        <f>IF(E206=1,IF(ABS((Orders!G203-Orders!F203)*1440-Orders!R203)&lt;0.06,1,0),"")</f>
        <v>1</v>
      </c>
      <c r="BG206" s="33">
        <f>IF(ABS((Orders!F203-Orders!E203)*1440-Orders!P203)&lt;0.06,1,0)</f>
        <v>1</v>
      </c>
      <c r="BH206" s="33">
        <f>IF(E206=1,IF(IF(Orders!S203,1,0)=1-G206,1,0),"")</f>
        <v>1</v>
      </c>
      <c r="BI206" s="32" t="str">
        <f>INDEX(Stores!$B$2:$B$21,MATCH(B206,Stores!$A$2:$A$21,0))</f>
        <v>Hyderabad</v>
      </c>
    </row>
    <row r="207">
      <c r="A207" s="32" t="str">
        <f>Orders!A204</f>
        <v>O00203</v>
      </c>
      <c r="B207" s="32" t="str">
        <f>Orders!C204</f>
        <v>S006</v>
      </c>
      <c r="C207" s="32" t="str">
        <f>Orders!B204</f>
        <v>C0104</v>
      </c>
      <c r="D207" s="32" t="str">
        <f>Orders!H204</f>
        <v>Delivered</v>
      </c>
      <c r="E207" s="33">
        <f>IF(Orders!H204="Delivered",1,0)</f>
        <v>1</v>
      </c>
      <c r="F207" s="34">
        <f>IF(E207=1,Orders!R204,"")</f>
        <v>-0.7</v>
      </c>
      <c r="G207" s="33">
        <f>IF(E207=1,IF(Orders!R204&gt;0,1,0),"")</f>
        <v>0</v>
      </c>
      <c r="H207" s="33">
        <f>IF(E207=1,IF(Orders!R204&gt;5,1,0),"")</f>
        <v>0</v>
      </c>
      <c r="I207" s="32" t="str">
        <f>IF(E207=1,"",IF(OR(Orders!T204="Rider unavailable",Orders!T204="Item unavailable"),"Company-caused","Unresolved"))</f>
        <v/>
      </c>
      <c r="J207" s="33">
        <f>IF(OR(E207=1,I207="Company-caused"),1,0)</f>
        <v>1</v>
      </c>
      <c r="K207" s="32" t="str">
        <f>IF(E207=0,IF(I207="Company-caused",IF(Orders!T204="Rider unavailable","C1 Rider unavailable","C2 Item unavailable"),"Outside root: unresolved"),IF(G207=0,"A On time",IF(H207=1,IF(L207=1,"B2a Severe, peak","B2b Severe, off-peak"),IF(L207=1,"B1a Slight, peak","B1b Slight, off-peak"))))</f>
        <v>A On time</v>
      </c>
      <c r="L207" s="33">
        <f>IF(AND(Orders!U204&gt;=19,Orders!U204&lt;22),1,0)</f>
        <v>0</v>
      </c>
      <c r="M207" s="33">
        <f>IF(L207=IF(Orders!V204,1,0),1,0)</f>
        <v>1</v>
      </c>
      <c r="N207" s="32" t="str">
        <f>IF(Orders!W204="","None",Orders!W204)</f>
        <v>None</v>
      </c>
      <c r="O207" s="35">
        <f>INT(Orders!E204)</f>
        <v>46274.0</v>
      </c>
      <c r="P207" s="33">
        <f>Orders!U204</f>
        <v>16</v>
      </c>
      <c r="Q207" s="33">
        <f>COUNTIFS(Demand!$A$2:$A$4481,B207,Demand!$B$2:$B$4481,O207,Demand!$C$2:$C$4481,P207)</f>
        <v>1</v>
      </c>
      <c r="R207" s="33">
        <f>IF(Q207=1,SUMIFS(Demand!$E$2:$E$4481,Demand!$A$2:$A$4481,B207,Demand!$B$2:$B$4481,O207,Demand!$C$2:$C$4481,P207),"")</f>
        <v>23</v>
      </c>
      <c r="S207" s="33">
        <f>INDEX(Stores!$G$2:$G$21,MATCH(B207,Stores!$A$2:$A$21,0))</f>
        <v>26</v>
      </c>
      <c r="T207" s="34">
        <f>IF(R207="","",R207/S207)</f>
        <v>0.884615384615385</v>
      </c>
      <c r="U207" s="34">
        <f>IF(E207=1,T207,"")</f>
        <v>0.884615384615385</v>
      </c>
      <c r="V207" s="34">
        <f>IF(AND(E207=1,L207=0),T207,"")</f>
        <v>0.884615384615385</v>
      </c>
      <c r="W207" s="33">
        <f>IF(U207="","",IF(U207&lt;=Breakdowns!$C$5,1,IF(U207&lt;=Breakdowns!$C$6,2,IF(U207&lt;=Breakdowns!$C$7,3,4))))</f>
        <v>2</v>
      </c>
      <c r="X207" s="33">
        <f>IF(V207="","",IF(V207&lt;=Breakdowns!$D$5,1,IF(V207&lt;=Breakdowns!$D$6,2,IF(V207&lt;=Breakdowns!$D$7,3,4))))</f>
        <v>2</v>
      </c>
      <c r="Y207" s="34">
        <f>INDEX(Stores!$F$2:$F$21,MATCH(B207,Stores!$A$2:$A$21,0))</f>
        <v>5.22</v>
      </c>
      <c r="Z207" s="33">
        <f>IF(Y207&gt;Store_Summary!$M$2,1,0)</f>
        <v>1</v>
      </c>
      <c r="AA207" s="33">
        <f>INDEX(Stores!$C$2:$C$21,MATCH(B207,Stores!$A$2:$A$21,0))</f>
        <v>412</v>
      </c>
      <c r="AB207" s="33">
        <f>IF(AA207&lt;180,1,0)</f>
        <v>0</v>
      </c>
      <c r="AC207" s="32" t="str">
        <f>IF(Orders!D204="","",INDEX(Riders!$C$2:$C$81,MATCH(Orders!D204,Riders!$A$2:$A$81,0)))</f>
        <v>Bicycle</v>
      </c>
      <c r="AD207" s="33">
        <f>IF(Orders!D204="","",INDEX(Riders!$D$2:$D$81,MATCH(Orders!D204,Riders!$A$2:$A$81,0)))</f>
        <v>8</v>
      </c>
      <c r="AE207" s="33">
        <f>IF(Orders!D204="","",IF(INDEX(Riders!$B$2:$B$81,MATCH(Orders!D204,Riders!$A$2:$A$81,0))=B207,1,0))</f>
        <v>0</v>
      </c>
      <c r="AF207" s="34">
        <f>IF(E207=1,Orders!L204,"")</f>
        <v>2.26</v>
      </c>
      <c r="AG207" s="34">
        <f>IF(E207=1,Orders!P204,"")</f>
        <v>10.2</v>
      </c>
      <c r="AH207" s="34">
        <f>IF(E207=1,Orders!Q204,"")</f>
        <v>9.5</v>
      </c>
      <c r="AI207" s="34">
        <f>IF(E207=1,Orders!M204,"")</f>
        <v>2.8</v>
      </c>
      <c r="AJ207" s="34">
        <f>IF(E207=1,Orders!N204,"")</f>
        <v>3.2</v>
      </c>
      <c r="AK207" s="34">
        <f>IF(E207=1,Orders!O204,"")</f>
        <v>3.5</v>
      </c>
      <c r="AL207" s="33">
        <f>IF(E207=1,IF(ROUND(ABS(AI207+AJ207+AK207-AH207),6)&lt;=0.1,1,0),"")</f>
        <v>1</v>
      </c>
      <c r="AM207" s="36">
        <f>IF(E207=1,AI207/AH207,"")</f>
        <v>0.294736842105263</v>
      </c>
      <c r="AN207" s="36">
        <f>IF(E207=1,AJ207/AH207,"")</f>
        <v>0.336842105263158</v>
      </c>
      <c r="AO207" s="36">
        <f>IF(E207=1,AK207/AH207,"")</f>
        <v>0.368421052631579</v>
      </c>
      <c r="AP207" s="34">
        <f>IF(E207=1,Orders!Y204,"")</f>
        <v>0.63</v>
      </c>
      <c r="AQ207" s="33">
        <f>IF(Orders!X204,1,0)</f>
        <v>0</v>
      </c>
      <c r="AR207" s="34" t="str">
        <f>IF(AND(E207=1,L207=1),AJ207,"")</f>
        <v/>
      </c>
      <c r="AS207" s="34">
        <f>IF(AND(E207=1,L207=0),AJ207,"")</f>
        <v>3.2</v>
      </c>
      <c r="AT207" s="34" t="str">
        <f>IF(AND(E207=1,L207=1),AI207,"")</f>
        <v/>
      </c>
      <c r="AU207" s="34">
        <f>IF(AND(E207=1,L207=0),AI207,"")</f>
        <v>2.8</v>
      </c>
      <c r="AV207" s="34" t="str">
        <f>IF(AND(E207=1,L207=1),AG207,"")</f>
        <v/>
      </c>
      <c r="AW207" s="34">
        <f>IF(AND(E207=1,L207=0),AG207,"")</f>
        <v>10.2</v>
      </c>
      <c r="AX207" s="34" t="str">
        <f>IF(AND(E207=1,L207=1),AH207,"")</f>
        <v/>
      </c>
      <c r="AY207" s="34">
        <f>IF(AND(E207=1,L207=0),AH207,"")</f>
        <v>9.5</v>
      </c>
      <c r="AZ207" s="34" t="str">
        <f>IF(G207=1,F207,"")</f>
        <v/>
      </c>
      <c r="BA207" s="34" t="str">
        <f>IF(AND(G207=1,L207=1),F207,"")</f>
        <v/>
      </c>
      <c r="BB207" s="34" t="str">
        <f>IF(AND(G207=1,L207=0),F207,"")</f>
        <v/>
      </c>
      <c r="BC207" s="33">
        <f>IF(E207=1,IF(Orders!R204&gt;3,1,0),"")</f>
        <v>0</v>
      </c>
      <c r="BD207" s="33">
        <f>IF(E207=1,IF(Orders!R204&gt;7,1,0),"")</f>
        <v>0</v>
      </c>
      <c r="BE207" s="32" t="str">
        <f>IF(E207=1,IF(Orders!L204&lt;=1.5,"Up to 1.5 km",IF(Orders!L204&lt;=3,"1.5–3 km","Over 3 km")),"")</f>
        <v>1.5–3 km</v>
      </c>
      <c r="BF207" s="33">
        <f>IF(E207=1,IF(ABS((Orders!G204-Orders!F204)*1440-Orders!R204)&lt;0.06,1,0),"")</f>
        <v>1</v>
      </c>
      <c r="BG207" s="33">
        <f>IF(ABS((Orders!F204-Orders!E204)*1440-Orders!P204)&lt;0.06,1,0)</f>
        <v>1</v>
      </c>
      <c r="BH207" s="33">
        <f>IF(E207=1,IF(IF(Orders!S204,1,0)=1-G207,1,0),"")</f>
        <v>1</v>
      </c>
      <c r="BI207" s="32" t="str">
        <f>INDEX(Stores!$B$2:$B$21,MATCH(B207,Stores!$A$2:$A$21,0))</f>
        <v>Bengaluru</v>
      </c>
    </row>
    <row r="208">
      <c r="A208" s="32" t="str">
        <f>Orders!A205</f>
        <v>O00204</v>
      </c>
      <c r="B208" s="32" t="str">
        <f>Orders!C205</f>
        <v>S011</v>
      </c>
      <c r="C208" s="32" t="str">
        <f>Orders!B205</f>
        <v>C0082</v>
      </c>
      <c r="D208" s="32" t="str">
        <f>Orders!H205</f>
        <v>Delivered</v>
      </c>
      <c r="E208" s="33">
        <f>IF(Orders!H205="Delivered",1,0)</f>
        <v>1</v>
      </c>
      <c r="F208" s="34">
        <f>IF(E208=1,Orders!R205,"")</f>
        <v>-0.9</v>
      </c>
      <c r="G208" s="33">
        <f>IF(E208=1,IF(Orders!R205&gt;0,1,0),"")</f>
        <v>0</v>
      </c>
      <c r="H208" s="33">
        <f>IF(E208=1,IF(Orders!R205&gt;5,1,0),"")</f>
        <v>0</v>
      </c>
      <c r="I208" s="32" t="str">
        <f>IF(E208=1,"",IF(OR(Orders!T205="Rider unavailable",Orders!T205="Item unavailable"),"Company-caused","Unresolved"))</f>
        <v/>
      </c>
      <c r="J208" s="33">
        <f>IF(OR(E208=1,I208="Company-caused"),1,0)</f>
        <v>1</v>
      </c>
      <c r="K208" s="32" t="str">
        <f>IF(E208=0,IF(I208="Company-caused",IF(Orders!T205="Rider unavailable","C1 Rider unavailable","C2 Item unavailable"),"Outside root: unresolved"),IF(G208=0,"A On time",IF(H208=1,IF(L208=1,"B2a Severe, peak","B2b Severe, off-peak"),IF(L208=1,"B1a Slight, peak","B1b Slight, off-peak"))))</f>
        <v>A On time</v>
      </c>
      <c r="L208" s="33">
        <f>IF(AND(Orders!U205&gt;=19,Orders!U205&lt;22),1,0)</f>
        <v>0</v>
      </c>
      <c r="M208" s="33">
        <f>IF(L208=IF(Orders!V205,1,0),1,0)</f>
        <v>1</v>
      </c>
      <c r="N208" s="32" t="str">
        <f>IF(Orders!W205="","None",Orders!W205)</f>
        <v>None</v>
      </c>
      <c r="O208" s="35">
        <f>INT(Orders!E205)</f>
        <v>46266.0</v>
      </c>
      <c r="P208" s="33">
        <f>Orders!U205</f>
        <v>9</v>
      </c>
      <c r="Q208" s="33">
        <f>COUNTIFS(Demand!$A$2:$A$4481,B208,Demand!$B$2:$B$4481,O208,Demand!$C$2:$C$4481,P208)</f>
        <v>1</v>
      </c>
      <c r="R208" s="33">
        <f>IF(Q208=1,SUMIFS(Demand!$E$2:$E$4481,Demand!$A$2:$A$4481,B208,Demand!$B$2:$B$4481,O208,Demand!$C$2:$C$4481,P208),"")</f>
        <v>20</v>
      </c>
      <c r="S208" s="33">
        <f>INDEX(Stores!$G$2:$G$21,MATCH(B208,Stores!$A$2:$A$21,0))</f>
        <v>31</v>
      </c>
      <c r="T208" s="34">
        <f>IF(R208="","",R208/S208)</f>
        <v>0.645161290322581</v>
      </c>
      <c r="U208" s="34">
        <f>IF(E208=1,T208,"")</f>
        <v>0.645161290322581</v>
      </c>
      <c r="V208" s="34">
        <f>IF(AND(E208=1,L208=0),T208,"")</f>
        <v>0.645161290322581</v>
      </c>
      <c r="W208" s="33">
        <f>IF(U208="","",IF(U208&lt;=Breakdowns!$C$5,1,IF(U208&lt;=Breakdowns!$C$6,2,IF(U208&lt;=Breakdowns!$C$7,3,4))))</f>
        <v>1</v>
      </c>
      <c r="X208" s="33">
        <f>IF(V208="","",IF(V208&lt;=Breakdowns!$D$5,1,IF(V208&lt;=Breakdowns!$D$6,2,IF(V208&lt;=Breakdowns!$D$7,3,4))))</f>
        <v>1</v>
      </c>
      <c r="Y208" s="34">
        <f>INDEX(Stores!$F$2:$F$21,MATCH(B208,Stores!$A$2:$A$21,0))</f>
        <v>5.67</v>
      </c>
      <c r="Z208" s="33">
        <f>IF(Y208&gt;Store_Summary!$M$2,1,0)</f>
        <v>1</v>
      </c>
      <c r="AA208" s="33">
        <f>INDEX(Stores!$C$2:$C$21,MATCH(B208,Stores!$A$2:$A$21,0))</f>
        <v>732</v>
      </c>
      <c r="AB208" s="33">
        <f>IF(AA208&lt;180,1,0)</f>
        <v>0</v>
      </c>
      <c r="AC208" s="32" t="str">
        <f>IF(Orders!D205="","",INDEX(Riders!$C$2:$C$81,MATCH(Orders!D205,Riders!$A$2:$A$81,0)))</f>
        <v>EV scooter</v>
      </c>
      <c r="AD208" s="33">
        <f>IF(Orders!D205="","",INDEX(Riders!$D$2:$D$81,MATCH(Orders!D205,Riders!$A$2:$A$81,0)))</f>
        <v>2</v>
      </c>
      <c r="AE208" s="33">
        <f>IF(Orders!D205="","",IF(INDEX(Riders!$B$2:$B$81,MATCH(Orders!D205,Riders!$A$2:$A$81,0))=B208,1,0))</f>
        <v>0</v>
      </c>
      <c r="AF208" s="34">
        <f>IF(E208=1,Orders!L205,"")</f>
        <v>1</v>
      </c>
      <c r="AG208" s="34">
        <f>IF(E208=1,Orders!P205,"")</f>
        <v>9.7</v>
      </c>
      <c r="AH208" s="34">
        <f>IF(E208=1,Orders!Q205,"")</f>
        <v>8.8</v>
      </c>
      <c r="AI208" s="34">
        <f>IF(E208=1,Orders!M205,"")</f>
        <v>5.3</v>
      </c>
      <c r="AJ208" s="34">
        <f>IF(E208=1,Orders!N205,"")</f>
        <v>1</v>
      </c>
      <c r="AK208" s="34">
        <f>IF(E208=1,Orders!O205,"")</f>
        <v>2.5</v>
      </c>
      <c r="AL208" s="33">
        <f>IF(E208=1,IF(ROUND(ABS(AI208+AJ208+AK208-AH208),6)&lt;=0.1,1,0),"")</f>
        <v>1</v>
      </c>
      <c r="AM208" s="36">
        <f>IF(E208=1,AI208/AH208,"")</f>
        <v>0.602272727272727</v>
      </c>
      <c r="AN208" s="36">
        <f>IF(E208=1,AJ208/AH208,"")</f>
        <v>0.113636363636364</v>
      </c>
      <c r="AO208" s="36">
        <f>IF(E208=1,AK208/AH208,"")</f>
        <v>0.284090909090909</v>
      </c>
      <c r="AP208" s="34">
        <f>IF(E208=1,Orders!Y205,"")</f>
        <v>0.45</v>
      </c>
      <c r="AQ208" s="33">
        <f>IF(Orders!X205,1,0)</f>
        <v>0</v>
      </c>
      <c r="AR208" s="34" t="str">
        <f>IF(AND(E208=1,L208=1),AJ208,"")</f>
        <v/>
      </c>
      <c r="AS208" s="34">
        <f>IF(AND(E208=1,L208=0),AJ208,"")</f>
        <v>1</v>
      </c>
      <c r="AT208" s="34" t="str">
        <f>IF(AND(E208=1,L208=1),AI208,"")</f>
        <v/>
      </c>
      <c r="AU208" s="34">
        <f>IF(AND(E208=1,L208=0),AI208,"")</f>
        <v>5.3</v>
      </c>
      <c r="AV208" s="34" t="str">
        <f>IF(AND(E208=1,L208=1),AG208,"")</f>
        <v/>
      </c>
      <c r="AW208" s="34">
        <f>IF(AND(E208=1,L208=0),AG208,"")</f>
        <v>9.7</v>
      </c>
      <c r="AX208" s="34" t="str">
        <f>IF(AND(E208=1,L208=1),AH208,"")</f>
        <v/>
      </c>
      <c r="AY208" s="34">
        <f>IF(AND(E208=1,L208=0),AH208,"")</f>
        <v>8.8</v>
      </c>
      <c r="AZ208" s="34" t="str">
        <f>IF(G208=1,F208,"")</f>
        <v/>
      </c>
      <c r="BA208" s="34" t="str">
        <f>IF(AND(G208=1,L208=1),F208,"")</f>
        <v/>
      </c>
      <c r="BB208" s="34" t="str">
        <f>IF(AND(G208=1,L208=0),F208,"")</f>
        <v/>
      </c>
      <c r="BC208" s="33">
        <f>IF(E208=1,IF(Orders!R205&gt;3,1,0),"")</f>
        <v>0</v>
      </c>
      <c r="BD208" s="33">
        <f>IF(E208=1,IF(Orders!R205&gt;7,1,0),"")</f>
        <v>0</v>
      </c>
      <c r="BE208" s="32" t="str">
        <f>IF(E208=1,IF(Orders!L205&lt;=1.5,"Up to 1.5 km",IF(Orders!L205&lt;=3,"1.5–3 km","Over 3 km")),"")</f>
        <v>Up to 1.5 km</v>
      </c>
      <c r="BF208" s="33">
        <f>IF(E208=1,IF(ABS((Orders!G205-Orders!F205)*1440-Orders!R205)&lt;0.06,1,0),"")</f>
        <v>1</v>
      </c>
      <c r="BG208" s="33">
        <f>IF(ABS((Orders!F205-Orders!E205)*1440-Orders!P205)&lt;0.06,1,0)</f>
        <v>1</v>
      </c>
      <c r="BH208" s="33">
        <f>IF(E208=1,IF(IF(Orders!S205,1,0)=1-G208,1,0),"")</f>
        <v>1</v>
      </c>
      <c r="BI208" s="32" t="str">
        <f>INDEX(Stores!$B$2:$B$21,MATCH(B208,Stores!$A$2:$A$21,0))</f>
        <v>Bengaluru</v>
      </c>
    </row>
    <row r="209">
      <c r="A209" s="32" t="str">
        <f>Orders!A206</f>
        <v>O00205</v>
      </c>
      <c r="B209" s="32" t="str">
        <f>Orders!C206</f>
        <v>S018</v>
      </c>
      <c r="C209" s="32" t="str">
        <f>Orders!B206</f>
        <v>C0218</v>
      </c>
      <c r="D209" s="32" t="str">
        <f>Orders!H206</f>
        <v>Delivered</v>
      </c>
      <c r="E209" s="33">
        <f>IF(Orders!H206="Delivered",1,0)</f>
        <v>1</v>
      </c>
      <c r="F209" s="34">
        <f>IF(E209=1,Orders!R206,"")</f>
        <v>-0.4</v>
      </c>
      <c r="G209" s="33">
        <f>IF(E209=1,IF(Orders!R206&gt;0,1,0),"")</f>
        <v>0</v>
      </c>
      <c r="H209" s="33">
        <f>IF(E209=1,IF(Orders!R206&gt;5,1,0),"")</f>
        <v>0</v>
      </c>
      <c r="I209" s="32" t="str">
        <f>IF(E209=1,"",IF(OR(Orders!T206="Rider unavailable",Orders!T206="Item unavailable"),"Company-caused","Unresolved"))</f>
        <v/>
      </c>
      <c r="J209" s="33">
        <f>IF(OR(E209=1,I209="Company-caused"),1,0)</f>
        <v>1</v>
      </c>
      <c r="K209" s="32" t="str">
        <f>IF(E209=0,IF(I209="Company-caused",IF(Orders!T206="Rider unavailable","C1 Rider unavailable","C2 Item unavailable"),"Outside root: unresolved"),IF(G209=0,"A On time",IF(H209=1,IF(L209=1,"B2a Severe, peak","B2b Severe, off-peak"),IF(L209=1,"B1a Slight, peak","B1b Slight, off-peak"))))</f>
        <v>A On time</v>
      </c>
      <c r="L209" s="33">
        <f>IF(AND(Orders!U206&gt;=19,Orders!U206&lt;22),1,0)</f>
        <v>0</v>
      </c>
      <c r="M209" s="33">
        <f>IF(L209=IF(Orders!V206,1,0),1,0)</f>
        <v>1</v>
      </c>
      <c r="N209" s="32" t="str">
        <f>IF(Orders!W206="","None",Orders!W206)</f>
        <v>Light</v>
      </c>
      <c r="O209" s="35">
        <f>INT(Orders!E206)</f>
        <v>46270.0</v>
      </c>
      <c r="P209" s="33">
        <f>Orders!U206</f>
        <v>10</v>
      </c>
      <c r="Q209" s="33">
        <f>COUNTIFS(Demand!$A$2:$A$4481,B209,Demand!$B$2:$B$4481,O209,Demand!$C$2:$C$4481,P209)</f>
        <v>1</v>
      </c>
      <c r="R209" s="33">
        <f>IF(Q209=1,SUMIFS(Demand!$E$2:$E$4481,Demand!$A$2:$A$4481,B209,Demand!$B$2:$B$4481,O209,Demand!$C$2:$C$4481,P209),"")</f>
        <v>13</v>
      </c>
      <c r="S209" s="33">
        <f>INDEX(Stores!$G$2:$G$21,MATCH(B209,Stores!$A$2:$A$21,0))</f>
        <v>20</v>
      </c>
      <c r="T209" s="34">
        <f>IF(R209="","",R209/S209)</f>
        <v>0.65</v>
      </c>
      <c r="U209" s="34">
        <f>IF(E209=1,T209,"")</f>
        <v>0.65</v>
      </c>
      <c r="V209" s="34">
        <f>IF(AND(E209=1,L209=0),T209,"")</f>
        <v>0.65</v>
      </c>
      <c r="W209" s="33">
        <f>IF(U209="","",IF(U209&lt;=Breakdowns!$C$5,1,IF(U209&lt;=Breakdowns!$C$6,2,IF(U209&lt;=Breakdowns!$C$7,3,4))))</f>
        <v>1</v>
      </c>
      <c r="X209" s="33">
        <f>IF(V209="","",IF(V209&lt;=Breakdowns!$D$5,1,IF(V209&lt;=Breakdowns!$D$6,2,IF(V209&lt;=Breakdowns!$D$7,3,4))))</f>
        <v>1</v>
      </c>
      <c r="Y209" s="34">
        <f>INDEX(Stores!$F$2:$F$21,MATCH(B209,Stores!$A$2:$A$21,0))</f>
        <v>5.31</v>
      </c>
      <c r="Z209" s="33">
        <f>IF(Y209&gt;Store_Summary!$M$2,1,0)</f>
        <v>1</v>
      </c>
      <c r="AA209" s="33">
        <f>INDEX(Stores!$C$2:$C$21,MATCH(B209,Stores!$A$2:$A$21,0))</f>
        <v>214</v>
      </c>
      <c r="AB209" s="33">
        <f>IF(AA209&lt;180,1,0)</f>
        <v>0</v>
      </c>
      <c r="AC209" s="32" t="str">
        <f>IF(Orders!D206="","",INDEX(Riders!$C$2:$C$81,MATCH(Orders!D206,Riders!$A$2:$A$81,0)))</f>
        <v>EV scooter</v>
      </c>
      <c r="AD209" s="33">
        <f>IF(Orders!D206="","",INDEX(Riders!$D$2:$D$81,MATCH(Orders!D206,Riders!$A$2:$A$81,0)))</f>
        <v>41</v>
      </c>
      <c r="AE209" s="33">
        <f>IF(Orders!D206="","",IF(INDEX(Riders!$B$2:$B$81,MATCH(Orders!D206,Riders!$A$2:$A$81,0))=B209,1,0))</f>
        <v>0</v>
      </c>
      <c r="AF209" s="34">
        <f>IF(E209=1,Orders!L206,"")</f>
        <v>2.21</v>
      </c>
      <c r="AG209" s="34">
        <f>IF(E209=1,Orders!P206,"")</f>
        <v>9</v>
      </c>
      <c r="AH209" s="34">
        <f>IF(E209=1,Orders!Q206,"")</f>
        <v>8.6</v>
      </c>
      <c r="AI209" s="34">
        <f>IF(E209=1,Orders!M206,"")</f>
        <v>1.6</v>
      </c>
      <c r="AJ209" s="34">
        <f>IF(E209=1,Orders!N206,"")</f>
        <v>4.2</v>
      </c>
      <c r="AK209" s="34">
        <f>IF(E209=1,Orders!O206,"")</f>
        <v>2.8</v>
      </c>
      <c r="AL209" s="33">
        <f>IF(E209=1,IF(ROUND(ABS(AI209+AJ209+AK209-AH209),6)&lt;=0.1,1,0),"")</f>
        <v>1</v>
      </c>
      <c r="AM209" s="36">
        <f>IF(E209=1,AI209/AH209,"")</f>
        <v>0.186046511627907</v>
      </c>
      <c r="AN209" s="36">
        <f>IF(E209=1,AJ209/AH209,"")</f>
        <v>0.488372093023256</v>
      </c>
      <c r="AO209" s="36">
        <f>IF(E209=1,AK209/AH209,"")</f>
        <v>0.325581395348837</v>
      </c>
      <c r="AP209" s="34">
        <f>IF(E209=1,Orders!Y206,"")</f>
        <v>0.69</v>
      </c>
      <c r="AQ209" s="33">
        <f>IF(Orders!X206,1,0)</f>
        <v>0</v>
      </c>
      <c r="AR209" s="34" t="str">
        <f>IF(AND(E209=1,L209=1),AJ209,"")</f>
        <v/>
      </c>
      <c r="AS209" s="34">
        <f>IF(AND(E209=1,L209=0),AJ209,"")</f>
        <v>4.2</v>
      </c>
      <c r="AT209" s="34" t="str">
        <f>IF(AND(E209=1,L209=1),AI209,"")</f>
        <v/>
      </c>
      <c r="AU209" s="34">
        <f>IF(AND(E209=1,L209=0),AI209,"")</f>
        <v>1.6</v>
      </c>
      <c r="AV209" s="34" t="str">
        <f>IF(AND(E209=1,L209=1),AG209,"")</f>
        <v/>
      </c>
      <c r="AW209" s="34">
        <f>IF(AND(E209=1,L209=0),AG209,"")</f>
        <v>9</v>
      </c>
      <c r="AX209" s="34" t="str">
        <f>IF(AND(E209=1,L209=1),AH209,"")</f>
        <v/>
      </c>
      <c r="AY209" s="34">
        <f>IF(AND(E209=1,L209=0),AH209,"")</f>
        <v>8.6</v>
      </c>
      <c r="AZ209" s="34" t="str">
        <f>IF(G209=1,F209,"")</f>
        <v/>
      </c>
      <c r="BA209" s="34" t="str">
        <f>IF(AND(G209=1,L209=1),F209,"")</f>
        <v/>
      </c>
      <c r="BB209" s="34" t="str">
        <f>IF(AND(G209=1,L209=0),F209,"")</f>
        <v/>
      </c>
      <c r="BC209" s="33">
        <f>IF(E209=1,IF(Orders!R206&gt;3,1,0),"")</f>
        <v>0</v>
      </c>
      <c r="BD209" s="33">
        <f>IF(E209=1,IF(Orders!R206&gt;7,1,0),"")</f>
        <v>0</v>
      </c>
      <c r="BE209" s="32" t="str">
        <f>IF(E209=1,IF(Orders!L206&lt;=1.5,"Up to 1.5 km",IF(Orders!L206&lt;=3,"1.5–3 km","Over 3 km")),"")</f>
        <v>1.5–3 km</v>
      </c>
      <c r="BF209" s="33">
        <f>IF(E209=1,IF(ABS((Orders!G206-Orders!F206)*1440-Orders!R206)&lt;0.06,1,0),"")</f>
        <v>1</v>
      </c>
      <c r="BG209" s="33">
        <f>IF(ABS((Orders!F206-Orders!E206)*1440-Orders!P206)&lt;0.06,1,0)</f>
        <v>1</v>
      </c>
      <c r="BH209" s="33">
        <f>IF(E209=1,IF(IF(Orders!S206,1,0)=1-G209,1,0),"")</f>
        <v>1</v>
      </c>
      <c r="BI209" s="32" t="str">
        <f>INDEX(Stores!$B$2:$B$21,MATCH(B209,Stores!$A$2:$A$21,0))</f>
        <v>Mumbai</v>
      </c>
    </row>
    <row r="210">
      <c r="A210" s="32" t="str">
        <f>Orders!A207</f>
        <v>O00206</v>
      </c>
      <c r="B210" s="32" t="str">
        <f>Orders!C207</f>
        <v>S012</v>
      </c>
      <c r="C210" s="32" t="str">
        <f>Orders!B207</f>
        <v>C0233</v>
      </c>
      <c r="D210" s="32" t="str">
        <f>Orders!H207</f>
        <v>Delivered</v>
      </c>
      <c r="E210" s="33">
        <f>IF(Orders!H207="Delivered",1,0)</f>
        <v>1</v>
      </c>
      <c r="F210" s="34">
        <f>IF(E210=1,Orders!R207,"")</f>
        <v>11.6</v>
      </c>
      <c r="G210" s="33">
        <f>IF(E210=1,IF(Orders!R207&gt;0,1,0),"")</f>
        <v>1</v>
      </c>
      <c r="H210" s="33">
        <f>IF(E210=1,IF(Orders!R207&gt;5,1,0),"")</f>
        <v>1</v>
      </c>
      <c r="I210" s="32" t="str">
        <f>IF(E210=1,"",IF(OR(Orders!T207="Rider unavailable",Orders!T207="Item unavailable"),"Company-caused","Unresolved"))</f>
        <v/>
      </c>
      <c r="J210" s="33">
        <f>IF(OR(E210=1,I210="Company-caused"),1,0)</f>
        <v>1</v>
      </c>
      <c r="K210" s="32" t="str">
        <f>IF(E210=0,IF(I210="Company-caused",IF(Orders!T207="Rider unavailable","C1 Rider unavailable","C2 Item unavailable"),"Outside root: unresolved"),IF(G210=0,"A On time",IF(H210=1,IF(L210=1,"B2a Severe, peak","B2b Severe, off-peak"),IF(L210=1,"B1a Slight, peak","B1b Slight, off-peak"))))</f>
        <v>B2b Severe, off-peak</v>
      </c>
      <c r="L210" s="33">
        <f>IF(AND(Orders!U207&gt;=19,Orders!U207&lt;22),1,0)</f>
        <v>0</v>
      </c>
      <c r="M210" s="33">
        <f>IF(L210=IF(Orders!V207,1,0),1,0)</f>
        <v>1</v>
      </c>
      <c r="N210" s="32" t="str">
        <f>IF(Orders!W207="","None",Orders!W207)</f>
        <v>None</v>
      </c>
      <c r="O210" s="35">
        <f>INT(Orders!E207)</f>
        <v>46278.0</v>
      </c>
      <c r="P210" s="33">
        <f>Orders!U207</f>
        <v>15</v>
      </c>
      <c r="Q210" s="33">
        <f>COUNTIFS(Demand!$A$2:$A$4481,B210,Demand!$B$2:$B$4481,O210,Demand!$C$2:$C$4481,P210)</f>
        <v>1</v>
      </c>
      <c r="R210" s="33">
        <f>IF(Q210=1,SUMIFS(Demand!$E$2:$E$4481,Demand!$A$2:$A$4481,B210,Demand!$B$2:$B$4481,O210,Demand!$C$2:$C$4481,P210),"")</f>
        <v>5</v>
      </c>
      <c r="S210" s="33">
        <f>INDEX(Stores!$G$2:$G$21,MATCH(B210,Stores!$A$2:$A$21,0))</f>
        <v>15</v>
      </c>
      <c r="T210" s="34">
        <f>IF(R210="","",R210/S210)</f>
        <v>0.333333333333333</v>
      </c>
      <c r="U210" s="34">
        <f>IF(E210=1,T210,"")</f>
        <v>0.333333333333333</v>
      </c>
      <c r="V210" s="34">
        <f>IF(AND(E210=1,L210=0),T210,"")</f>
        <v>0.333333333333333</v>
      </c>
      <c r="W210" s="33">
        <f>IF(U210="","",IF(U210&lt;=Breakdowns!$C$5,1,IF(U210&lt;=Breakdowns!$C$6,2,IF(U210&lt;=Breakdowns!$C$7,3,4))))</f>
        <v>1</v>
      </c>
      <c r="X210" s="33">
        <f>IF(V210="","",IF(V210&lt;=Breakdowns!$D$5,1,IF(V210&lt;=Breakdowns!$D$6,2,IF(V210&lt;=Breakdowns!$D$7,3,4))))</f>
        <v>1</v>
      </c>
      <c r="Y210" s="34">
        <f>INDEX(Stores!$F$2:$F$21,MATCH(B210,Stores!$A$2:$A$21,0))</f>
        <v>5.23</v>
      </c>
      <c r="Z210" s="33">
        <f>IF(Y210&gt;Store_Summary!$M$2,1,0)</f>
        <v>1</v>
      </c>
      <c r="AA210" s="33">
        <f>INDEX(Stores!$C$2:$C$21,MATCH(B210,Stores!$A$2:$A$21,0))</f>
        <v>300</v>
      </c>
      <c r="AB210" s="33">
        <f>IF(AA210&lt;180,1,0)</f>
        <v>0</v>
      </c>
      <c r="AC210" s="32" t="str">
        <f>IF(Orders!D207="","",INDEX(Riders!$C$2:$C$81,MATCH(Orders!D207,Riders!$A$2:$A$81,0)))</f>
        <v>Bicycle</v>
      </c>
      <c r="AD210" s="33">
        <f>IF(Orders!D207="","",INDEX(Riders!$D$2:$D$81,MATCH(Orders!D207,Riders!$A$2:$A$81,0)))</f>
        <v>26</v>
      </c>
      <c r="AE210" s="33">
        <f>IF(Orders!D207="","",IF(INDEX(Riders!$B$2:$B$81,MATCH(Orders!D207,Riders!$A$2:$A$81,0))=B210,1,0))</f>
        <v>0</v>
      </c>
      <c r="AF210" s="34">
        <f>IF(E210=1,Orders!L207,"")</f>
        <v>2.97</v>
      </c>
      <c r="AG210" s="34">
        <f>IF(E210=1,Orders!P207,"")</f>
        <v>10.7</v>
      </c>
      <c r="AH210" s="34">
        <f>IF(E210=1,Orders!Q207,"")</f>
        <v>22.3</v>
      </c>
      <c r="AI210" s="34">
        <f>IF(E210=1,Orders!M207,"")</f>
        <v>7</v>
      </c>
      <c r="AJ210" s="34">
        <f>IF(E210=1,Orders!N207,"")</f>
        <v>5.7</v>
      </c>
      <c r="AK210" s="34">
        <f>IF(E210=1,Orders!O207,"")</f>
        <v>9.6</v>
      </c>
      <c r="AL210" s="33">
        <f>IF(E210=1,IF(ROUND(ABS(AI210+AJ210+AK210-AH210),6)&lt;=0.1,1,0),"")</f>
        <v>1</v>
      </c>
      <c r="AM210" s="36">
        <f>IF(E210=1,AI210/AH210,"")</f>
        <v>0.31390134529148</v>
      </c>
      <c r="AN210" s="36">
        <f>IF(E210=1,AJ210/AH210,"")</f>
        <v>0.255605381165919</v>
      </c>
      <c r="AO210" s="36">
        <f>IF(E210=1,AK210/AH210,"")</f>
        <v>0.430493273542601</v>
      </c>
      <c r="AP210" s="34">
        <f>IF(E210=1,Orders!Y207,"")</f>
        <v>0.77</v>
      </c>
      <c r="AQ210" s="33">
        <f>IF(Orders!X207,1,0)</f>
        <v>0</v>
      </c>
      <c r="AR210" s="34" t="str">
        <f>IF(AND(E210=1,L210=1),AJ210,"")</f>
        <v/>
      </c>
      <c r="AS210" s="34">
        <f>IF(AND(E210=1,L210=0),AJ210,"")</f>
        <v>5.7</v>
      </c>
      <c r="AT210" s="34" t="str">
        <f>IF(AND(E210=1,L210=1),AI210,"")</f>
        <v/>
      </c>
      <c r="AU210" s="34">
        <f>IF(AND(E210=1,L210=0),AI210,"")</f>
        <v>7</v>
      </c>
      <c r="AV210" s="34" t="str">
        <f>IF(AND(E210=1,L210=1),AG210,"")</f>
        <v/>
      </c>
      <c r="AW210" s="34">
        <f>IF(AND(E210=1,L210=0),AG210,"")</f>
        <v>10.7</v>
      </c>
      <c r="AX210" s="34" t="str">
        <f>IF(AND(E210=1,L210=1),AH210,"")</f>
        <v/>
      </c>
      <c r="AY210" s="34">
        <f>IF(AND(E210=1,L210=0),AH210,"")</f>
        <v>22.3</v>
      </c>
      <c r="AZ210" s="34">
        <f>IF(G210=1,F210,"")</f>
        <v>11.6</v>
      </c>
      <c r="BA210" s="34" t="str">
        <f>IF(AND(G210=1,L210=1),F210,"")</f>
        <v/>
      </c>
      <c r="BB210" s="34">
        <f>IF(AND(G210=1,L210=0),F210,"")</f>
        <v>11.6</v>
      </c>
      <c r="BC210" s="33">
        <f>IF(E210=1,IF(Orders!R207&gt;3,1,0),"")</f>
        <v>1</v>
      </c>
      <c r="BD210" s="33">
        <f>IF(E210=1,IF(Orders!R207&gt;7,1,0),"")</f>
        <v>1</v>
      </c>
      <c r="BE210" s="32" t="str">
        <f>IF(E210=1,IF(Orders!L207&lt;=1.5,"Up to 1.5 km",IF(Orders!L207&lt;=3,"1.5–3 km","Over 3 km")),"")</f>
        <v>1.5–3 km</v>
      </c>
      <c r="BF210" s="33">
        <f>IF(E210=1,IF(ABS((Orders!G207-Orders!F207)*1440-Orders!R207)&lt;0.06,1,0),"")</f>
        <v>1</v>
      </c>
      <c r="BG210" s="33">
        <f>IF(ABS((Orders!F207-Orders!E207)*1440-Orders!P207)&lt;0.06,1,0)</f>
        <v>1</v>
      </c>
      <c r="BH210" s="33">
        <f>IF(E210=1,IF(IF(Orders!S207,1,0)=1-G210,1,0),"")</f>
        <v>1</v>
      </c>
      <c r="BI210" s="32" t="str">
        <f>INDEX(Stores!$B$2:$B$21,MATCH(B210,Stores!$A$2:$A$21,0))</f>
        <v>Hyderabad</v>
      </c>
    </row>
    <row r="211">
      <c r="A211" s="32" t="str">
        <f>Orders!A208</f>
        <v>O00207</v>
      </c>
      <c r="B211" s="32" t="str">
        <f>Orders!C208</f>
        <v>S019</v>
      </c>
      <c r="C211" s="32" t="str">
        <f>Orders!B208</f>
        <v>C0187</v>
      </c>
      <c r="D211" s="32" t="str">
        <f>Orders!H208</f>
        <v>Delivered</v>
      </c>
      <c r="E211" s="33">
        <f>IF(Orders!H208="Delivered",1,0)</f>
        <v>1</v>
      </c>
      <c r="F211" s="34">
        <f>IF(E211=1,Orders!R208,"")</f>
        <v>-1.1</v>
      </c>
      <c r="G211" s="33">
        <f>IF(E211=1,IF(Orders!R208&gt;0,1,0),"")</f>
        <v>0</v>
      </c>
      <c r="H211" s="33">
        <f>IF(E211=1,IF(Orders!R208&gt;5,1,0),"")</f>
        <v>0</v>
      </c>
      <c r="I211" s="32" t="str">
        <f>IF(E211=1,"",IF(OR(Orders!T208="Rider unavailable",Orders!T208="Item unavailable"),"Company-caused","Unresolved"))</f>
        <v/>
      </c>
      <c r="J211" s="33">
        <f>IF(OR(E211=1,I211="Company-caused"),1,0)</f>
        <v>1</v>
      </c>
      <c r="K211" s="32" t="str">
        <f>IF(E211=0,IF(I211="Company-caused",IF(Orders!T208="Rider unavailable","C1 Rider unavailable","C2 Item unavailable"),"Outside root: unresolved"),IF(G211=0,"A On time",IF(H211=1,IF(L211=1,"B2a Severe, peak","B2b Severe, off-peak"),IF(L211=1,"B1a Slight, peak","B1b Slight, off-peak"))))</f>
        <v>A On time</v>
      </c>
      <c r="L211" s="33">
        <f>IF(AND(Orders!U208&gt;=19,Orders!U208&lt;22),1,0)</f>
        <v>0</v>
      </c>
      <c r="M211" s="33">
        <f>IF(L211=IF(Orders!V208,1,0),1,0)</f>
        <v>1</v>
      </c>
      <c r="N211" s="32" t="str">
        <f>IF(Orders!W208="","None",Orders!W208)</f>
        <v>None</v>
      </c>
      <c r="O211" s="35">
        <f>INT(Orders!E208)</f>
        <v>46276.0</v>
      </c>
      <c r="P211" s="33">
        <f>Orders!U208</f>
        <v>15</v>
      </c>
      <c r="Q211" s="33">
        <f>COUNTIFS(Demand!$A$2:$A$4481,B211,Demand!$B$2:$B$4481,O211,Demand!$C$2:$C$4481,P211)</f>
        <v>1</v>
      </c>
      <c r="R211" s="33">
        <f>IF(Q211=1,SUMIFS(Demand!$E$2:$E$4481,Demand!$A$2:$A$4481,B211,Demand!$B$2:$B$4481,O211,Demand!$C$2:$C$4481,P211),"")</f>
        <v>14</v>
      </c>
      <c r="S211" s="33">
        <f>INDEX(Stores!$G$2:$G$21,MATCH(B211,Stores!$A$2:$A$21,0))</f>
        <v>22</v>
      </c>
      <c r="T211" s="34">
        <f>IF(R211="","",R211/S211)</f>
        <v>0.636363636363636</v>
      </c>
      <c r="U211" s="34">
        <f>IF(E211=1,T211,"")</f>
        <v>0.636363636363636</v>
      </c>
      <c r="V211" s="34">
        <f>IF(AND(E211=1,L211=0),T211,"")</f>
        <v>0.636363636363636</v>
      </c>
      <c r="W211" s="33">
        <f>IF(U211="","",IF(U211&lt;=Breakdowns!$C$5,1,IF(U211&lt;=Breakdowns!$C$6,2,IF(U211&lt;=Breakdowns!$C$7,3,4))))</f>
        <v>1</v>
      </c>
      <c r="X211" s="33">
        <f>IF(V211="","",IF(V211&lt;=Breakdowns!$D$5,1,IF(V211&lt;=Breakdowns!$D$6,2,IF(V211&lt;=Breakdowns!$D$7,3,4))))</f>
        <v>1</v>
      </c>
      <c r="Y211" s="34">
        <f>INDEX(Stores!$F$2:$F$21,MATCH(B211,Stores!$A$2:$A$21,0))</f>
        <v>4.99</v>
      </c>
      <c r="Z211" s="33">
        <f>IF(Y211&gt;Store_Summary!$M$2,1,0)</f>
        <v>1</v>
      </c>
      <c r="AA211" s="33">
        <f>INDEX(Stores!$C$2:$C$21,MATCH(B211,Stores!$A$2:$A$21,0))</f>
        <v>851</v>
      </c>
      <c r="AB211" s="33">
        <f>IF(AA211&lt;180,1,0)</f>
        <v>0</v>
      </c>
      <c r="AC211" s="32" t="str">
        <f>IF(Orders!D208="","",INDEX(Riders!$C$2:$C$81,MATCH(Orders!D208,Riders!$A$2:$A$81,0)))</f>
        <v>Bicycle</v>
      </c>
      <c r="AD211" s="33">
        <f>IF(Orders!D208="","",INDEX(Riders!$D$2:$D$81,MATCH(Orders!D208,Riders!$A$2:$A$81,0)))</f>
        <v>14</v>
      </c>
      <c r="AE211" s="33">
        <f>IF(Orders!D208="","",IF(INDEX(Riders!$B$2:$B$81,MATCH(Orders!D208,Riders!$A$2:$A$81,0))=B211,1,0))</f>
        <v>0</v>
      </c>
      <c r="AF211" s="34">
        <f>IF(E211=1,Orders!L208,"")</f>
        <v>0.5</v>
      </c>
      <c r="AG211" s="34">
        <f>IF(E211=1,Orders!P208,"")</f>
        <v>9.9</v>
      </c>
      <c r="AH211" s="34">
        <f>IF(E211=1,Orders!Q208,"")</f>
        <v>8.8</v>
      </c>
      <c r="AI211" s="34">
        <f>IF(E211=1,Orders!M208,"")</f>
        <v>4.7</v>
      </c>
      <c r="AJ211" s="34">
        <f>IF(E211=1,Orders!N208,"")</f>
        <v>1</v>
      </c>
      <c r="AK211" s="34">
        <f>IF(E211=1,Orders!O208,"")</f>
        <v>3.1</v>
      </c>
      <c r="AL211" s="33">
        <f>IF(E211=1,IF(ROUND(ABS(AI211+AJ211+AK211-AH211),6)&lt;=0.1,1,0),"")</f>
        <v>1</v>
      </c>
      <c r="AM211" s="36">
        <f>IF(E211=1,AI211/AH211,"")</f>
        <v>0.534090909090909</v>
      </c>
      <c r="AN211" s="36">
        <f>IF(E211=1,AJ211/AH211,"")</f>
        <v>0.113636363636364</v>
      </c>
      <c r="AO211" s="36">
        <f>IF(E211=1,AK211/AH211,"")</f>
        <v>0.352272727272727</v>
      </c>
      <c r="AP211" s="34">
        <f>IF(E211=1,Orders!Y208,"")</f>
        <v>0.93</v>
      </c>
      <c r="AQ211" s="33">
        <f>IF(Orders!X208,1,0)</f>
        <v>0</v>
      </c>
      <c r="AR211" s="34" t="str">
        <f>IF(AND(E211=1,L211=1),AJ211,"")</f>
        <v/>
      </c>
      <c r="AS211" s="34">
        <f>IF(AND(E211=1,L211=0),AJ211,"")</f>
        <v>1</v>
      </c>
      <c r="AT211" s="34" t="str">
        <f>IF(AND(E211=1,L211=1),AI211,"")</f>
        <v/>
      </c>
      <c r="AU211" s="34">
        <f>IF(AND(E211=1,L211=0),AI211,"")</f>
        <v>4.7</v>
      </c>
      <c r="AV211" s="34" t="str">
        <f>IF(AND(E211=1,L211=1),AG211,"")</f>
        <v/>
      </c>
      <c r="AW211" s="34">
        <f>IF(AND(E211=1,L211=0),AG211,"")</f>
        <v>9.9</v>
      </c>
      <c r="AX211" s="34" t="str">
        <f>IF(AND(E211=1,L211=1),AH211,"")</f>
        <v/>
      </c>
      <c r="AY211" s="34">
        <f>IF(AND(E211=1,L211=0),AH211,"")</f>
        <v>8.8</v>
      </c>
      <c r="AZ211" s="34" t="str">
        <f>IF(G211=1,F211,"")</f>
        <v/>
      </c>
      <c r="BA211" s="34" t="str">
        <f>IF(AND(G211=1,L211=1),F211,"")</f>
        <v/>
      </c>
      <c r="BB211" s="34" t="str">
        <f>IF(AND(G211=1,L211=0),F211,"")</f>
        <v/>
      </c>
      <c r="BC211" s="33">
        <f>IF(E211=1,IF(Orders!R208&gt;3,1,0),"")</f>
        <v>0</v>
      </c>
      <c r="BD211" s="33">
        <f>IF(E211=1,IF(Orders!R208&gt;7,1,0),"")</f>
        <v>0</v>
      </c>
      <c r="BE211" s="32" t="str">
        <f>IF(E211=1,IF(Orders!L208&lt;=1.5,"Up to 1.5 km",IF(Orders!L208&lt;=3,"1.5–3 km","Over 3 km")),"")</f>
        <v>Up to 1.5 km</v>
      </c>
      <c r="BF211" s="33">
        <f>IF(E211=1,IF(ABS((Orders!G208-Orders!F208)*1440-Orders!R208)&lt;0.06,1,0),"")</f>
        <v>1</v>
      </c>
      <c r="BG211" s="33">
        <f>IF(ABS((Orders!F208-Orders!E208)*1440-Orders!P208)&lt;0.06,1,0)</f>
        <v>1</v>
      </c>
      <c r="BH211" s="33">
        <f>IF(E211=1,IF(IF(Orders!S208,1,0)=1-G211,1,0),"")</f>
        <v>1</v>
      </c>
      <c r="BI211" s="32" t="str">
        <f>INDEX(Stores!$B$2:$B$21,MATCH(B211,Stores!$A$2:$A$21,0))</f>
        <v>Pune</v>
      </c>
    </row>
    <row r="212">
      <c r="A212" s="32" t="str">
        <f>Orders!A209</f>
        <v>O00208</v>
      </c>
      <c r="B212" s="32" t="str">
        <f>Orders!C209</f>
        <v>S008</v>
      </c>
      <c r="C212" s="32" t="str">
        <f>Orders!B209</f>
        <v>C0065</v>
      </c>
      <c r="D212" s="32" t="str">
        <f>Orders!H209</f>
        <v>Delivered</v>
      </c>
      <c r="E212" s="33">
        <f>IF(Orders!H209="Delivered",1,0)</f>
        <v>1</v>
      </c>
      <c r="F212" s="34">
        <f>IF(E212=1,Orders!R209,"")</f>
        <v>7.5</v>
      </c>
      <c r="G212" s="33">
        <f>IF(E212=1,IF(Orders!R209&gt;0,1,0),"")</f>
        <v>1</v>
      </c>
      <c r="H212" s="33">
        <f>IF(E212=1,IF(Orders!R209&gt;5,1,0),"")</f>
        <v>1</v>
      </c>
      <c r="I212" s="32" t="str">
        <f>IF(E212=1,"",IF(OR(Orders!T209="Rider unavailable",Orders!T209="Item unavailable"),"Company-caused","Unresolved"))</f>
        <v/>
      </c>
      <c r="J212" s="33">
        <f>IF(OR(E212=1,I212="Company-caused"),1,0)</f>
        <v>1</v>
      </c>
      <c r="K212" s="32" t="str">
        <f>IF(E212=0,IF(I212="Company-caused",IF(Orders!T209="Rider unavailable","C1 Rider unavailable","C2 Item unavailable"),"Outside root: unresolved"),IF(G212=0,"A On time",IF(H212=1,IF(L212=1,"B2a Severe, peak","B2b Severe, off-peak"),IF(L212=1,"B1a Slight, peak","B1b Slight, off-peak"))))</f>
        <v>B2a Severe, peak</v>
      </c>
      <c r="L212" s="33">
        <f>IF(AND(Orders!U209&gt;=19,Orders!U209&lt;22),1,0)</f>
        <v>1</v>
      </c>
      <c r="M212" s="33">
        <f>IF(L212=IF(Orders!V209,1,0),1,0)</f>
        <v>1</v>
      </c>
      <c r="N212" s="32" t="str">
        <f>IF(Orders!W209="","None",Orders!W209)</f>
        <v>Light</v>
      </c>
      <c r="O212" s="35">
        <f>INT(Orders!E209)</f>
        <v>46278.0</v>
      </c>
      <c r="P212" s="33">
        <f>Orders!U209</f>
        <v>19</v>
      </c>
      <c r="Q212" s="33">
        <f>COUNTIFS(Demand!$A$2:$A$4481,B212,Demand!$B$2:$B$4481,O212,Demand!$C$2:$C$4481,P212)</f>
        <v>1</v>
      </c>
      <c r="R212" s="33">
        <f>IF(Q212=1,SUMIFS(Demand!$E$2:$E$4481,Demand!$A$2:$A$4481,B212,Demand!$B$2:$B$4481,O212,Demand!$C$2:$C$4481,P212),"")</f>
        <v>34</v>
      </c>
      <c r="S212" s="33">
        <f>INDEX(Stores!$G$2:$G$21,MATCH(B212,Stores!$A$2:$A$21,0))</f>
        <v>23</v>
      </c>
      <c r="T212" s="34">
        <f>IF(R212="","",R212/S212)</f>
        <v>1.47826086956522</v>
      </c>
      <c r="U212" s="34">
        <f>IF(E212=1,T212,"")</f>
        <v>1.47826086956522</v>
      </c>
      <c r="V212" s="34" t="str">
        <f>IF(AND(E212=1,L212=0),T212,"")</f>
        <v/>
      </c>
      <c r="W212" s="33">
        <f>IF(U212="","",IF(U212&lt;=Breakdowns!$C$5,1,IF(U212&lt;=Breakdowns!$C$6,2,IF(U212&lt;=Breakdowns!$C$7,3,4))))</f>
        <v>4</v>
      </c>
      <c r="X212" s="33" t="str">
        <f>IF(V212="","",IF(V212&lt;=Breakdowns!$D$5,1,IF(V212&lt;=Breakdowns!$D$6,2,IF(V212&lt;=Breakdowns!$D$7,3,4))))</f>
        <v/>
      </c>
      <c r="Y212" s="34">
        <f>INDEX(Stores!$F$2:$F$21,MATCH(B212,Stores!$A$2:$A$21,0))</f>
        <v>3.46</v>
      </c>
      <c r="Z212" s="33">
        <f>IF(Y212&gt;Store_Summary!$M$2,1,0)</f>
        <v>0</v>
      </c>
      <c r="AA212" s="33">
        <f>INDEX(Stores!$C$2:$C$21,MATCH(B212,Stores!$A$2:$A$21,0))</f>
        <v>825</v>
      </c>
      <c r="AB212" s="33">
        <f>IF(AA212&lt;180,1,0)</f>
        <v>0</v>
      </c>
      <c r="AC212" s="32" t="str">
        <f>IF(Orders!D209="","",INDEX(Riders!$C$2:$C$81,MATCH(Orders!D209,Riders!$A$2:$A$81,0)))</f>
        <v>Petrol scooter</v>
      </c>
      <c r="AD212" s="33">
        <f>IF(Orders!D209="","",INDEX(Riders!$D$2:$D$81,MATCH(Orders!D209,Riders!$A$2:$A$81,0)))</f>
        <v>42</v>
      </c>
      <c r="AE212" s="33">
        <f>IF(Orders!D209="","",IF(INDEX(Riders!$B$2:$B$81,MATCH(Orders!D209,Riders!$A$2:$A$81,0))=B212,1,0))</f>
        <v>0</v>
      </c>
      <c r="AF212" s="34">
        <f>IF(E212=1,Orders!L209,"")</f>
        <v>1.02</v>
      </c>
      <c r="AG212" s="34">
        <f>IF(E212=1,Orders!P209,"")</f>
        <v>8.1</v>
      </c>
      <c r="AH212" s="34">
        <f>IF(E212=1,Orders!Q209,"")</f>
        <v>15.6</v>
      </c>
      <c r="AI212" s="34">
        <f>IF(E212=1,Orders!M209,"")</f>
        <v>4.3</v>
      </c>
      <c r="AJ212" s="34">
        <f>IF(E212=1,Orders!N209,"")</f>
        <v>6.2</v>
      </c>
      <c r="AK212" s="34">
        <f>IF(E212=1,Orders!O209,"")</f>
        <v>5.1</v>
      </c>
      <c r="AL212" s="33">
        <f>IF(E212=1,IF(ROUND(ABS(AI212+AJ212+AK212-AH212),6)&lt;=0.1,1,0),"")</f>
        <v>1</v>
      </c>
      <c r="AM212" s="36">
        <f>IF(E212=1,AI212/AH212,"")</f>
        <v>0.275641025641026</v>
      </c>
      <c r="AN212" s="36">
        <f>IF(E212=1,AJ212/AH212,"")</f>
        <v>0.397435897435897</v>
      </c>
      <c r="AO212" s="36">
        <f>IF(E212=1,AK212/AH212,"")</f>
        <v>0.326923076923077</v>
      </c>
      <c r="AP212" s="34">
        <f>IF(E212=1,Orders!Y209,"")</f>
        <v>0.71</v>
      </c>
      <c r="AQ212" s="33">
        <f>IF(Orders!X209,1,0)</f>
        <v>0</v>
      </c>
      <c r="AR212" s="34">
        <f>IF(AND(E212=1,L212=1),AJ212,"")</f>
        <v>6.2</v>
      </c>
      <c r="AS212" s="34" t="str">
        <f>IF(AND(E212=1,L212=0),AJ212,"")</f>
        <v/>
      </c>
      <c r="AT212" s="34">
        <f>IF(AND(E212=1,L212=1),AI212,"")</f>
        <v>4.3</v>
      </c>
      <c r="AU212" s="34" t="str">
        <f>IF(AND(E212=1,L212=0),AI212,"")</f>
        <v/>
      </c>
      <c r="AV212" s="34">
        <f>IF(AND(E212=1,L212=1),AG212,"")</f>
        <v>8.1</v>
      </c>
      <c r="AW212" s="34" t="str">
        <f>IF(AND(E212=1,L212=0),AG212,"")</f>
        <v/>
      </c>
      <c r="AX212" s="34">
        <f>IF(AND(E212=1,L212=1),AH212,"")</f>
        <v>15.6</v>
      </c>
      <c r="AY212" s="34" t="str">
        <f>IF(AND(E212=1,L212=0),AH212,"")</f>
        <v/>
      </c>
      <c r="AZ212" s="34">
        <f>IF(G212=1,F212,"")</f>
        <v>7.5</v>
      </c>
      <c r="BA212" s="34">
        <f>IF(AND(G212=1,L212=1),F212,"")</f>
        <v>7.5</v>
      </c>
      <c r="BB212" s="34" t="str">
        <f>IF(AND(G212=1,L212=0),F212,"")</f>
        <v/>
      </c>
      <c r="BC212" s="33">
        <f>IF(E212=1,IF(Orders!R209&gt;3,1,0),"")</f>
        <v>1</v>
      </c>
      <c r="BD212" s="33">
        <f>IF(E212=1,IF(Orders!R209&gt;7,1,0),"")</f>
        <v>1</v>
      </c>
      <c r="BE212" s="32" t="str">
        <f>IF(E212=1,IF(Orders!L209&lt;=1.5,"Up to 1.5 km",IF(Orders!L209&lt;=3,"1.5–3 km","Over 3 km")),"")</f>
        <v>Up to 1.5 km</v>
      </c>
      <c r="BF212" s="33">
        <f>IF(E212=1,IF(ABS((Orders!G209-Orders!F209)*1440-Orders!R209)&lt;0.06,1,0),"")</f>
        <v>1</v>
      </c>
      <c r="BG212" s="33">
        <f>IF(ABS((Orders!F209-Orders!E209)*1440-Orders!P209)&lt;0.06,1,0)</f>
        <v>1</v>
      </c>
      <c r="BH212" s="33">
        <f>IF(E212=1,IF(IF(Orders!S209,1,0)=1-G212,1,0),"")</f>
        <v>1</v>
      </c>
      <c r="BI212" s="32" t="str">
        <f>INDEX(Stores!$B$2:$B$21,MATCH(B212,Stores!$A$2:$A$21,0))</f>
        <v>Mumbai</v>
      </c>
    </row>
    <row r="213">
      <c r="A213" s="32" t="str">
        <f>Orders!A210</f>
        <v>O00209</v>
      </c>
      <c r="B213" s="32" t="str">
        <f>Orders!C210</f>
        <v>S003</v>
      </c>
      <c r="C213" s="32" t="str">
        <f>Orders!B210</f>
        <v>C0073</v>
      </c>
      <c r="D213" s="32" t="str">
        <f>Orders!H210</f>
        <v>Delivered</v>
      </c>
      <c r="E213" s="33">
        <f>IF(Orders!H210="Delivered",1,0)</f>
        <v>1</v>
      </c>
      <c r="F213" s="34">
        <f>IF(E213=1,Orders!R210,"")</f>
        <v>6.8</v>
      </c>
      <c r="G213" s="33">
        <f>IF(E213=1,IF(Orders!R210&gt;0,1,0),"")</f>
        <v>1</v>
      </c>
      <c r="H213" s="33">
        <f>IF(E213=1,IF(Orders!R210&gt;5,1,0),"")</f>
        <v>1</v>
      </c>
      <c r="I213" s="32" t="str">
        <f>IF(E213=1,"",IF(OR(Orders!T210="Rider unavailable",Orders!T210="Item unavailable"),"Company-caused","Unresolved"))</f>
        <v/>
      </c>
      <c r="J213" s="33">
        <f>IF(OR(E213=1,I213="Company-caused"),1,0)</f>
        <v>1</v>
      </c>
      <c r="K213" s="32" t="str">
        <f>IF(E213=0,IF(I213="Company-caused",IF(Orders!T210="Rider unavailable","C1 Rider unavailable","C2 Item unavailable"),"Outside root: unresolved"),IF(G213=0,"A On time",IF(H213=1,IF(L213=1,"B2a Severe, peak","B2b Severe, off-peak"),IF(L213=1,"B1a Slight, peak","B1b Slight, off-peak"))))</f>
        <v>B2a Severe, peak</v>
      </c>
      <c r="L213" s="33">
        <f>IF(AND(Orders!U210&gt;=19,Orders!U210&lt;22),1,0)</f>
        <v>1</v>
      </c>
      <c r="M213" s="33">
        <f>IF(L213=IF(Orders!V210,1,0),1,0)</f>
        <v>1</v>
      </c>
      <c r="N213" s="32" t="str">
        <f>IF(Orders!W210="","None",Orders!W210)</f>
        <v>None</v>
      </c>
      <c r="O213" s="35">
        <f>INT(Orders!E210)</f>
        <v>46267.0</v>
      </c>
      <c r="P213" s="33">
        <f>Orders!U210</f>
        <v>21</v>
      </c>
      <c r="Q213" s="33">
        <f>COUNTIFS(Demand!$A$2:$A$4481,B213,Demand!$B$2:$B$4481,O213,Demand!$C$2:$C$4481,P213)</f>
        <v>1</v>
      </c>
      <c r="R213" s="33">
        <f>IF(Q213=1,SUMIFS(Demand!$E$2:$E$4481,Demand!$A$2:$A$4481,B213,Demand!$B$2:$B$4481,O213,Demand!$C$2:$C$4481,P213),"")</f>
        <v>53</v>
      </c>
      <c r="S213" s="33">
        <f>INDEX(Stores!$G$2:$G$21,MATCH(B213,Stores!$A$2:$A$21,0))</f>
        <v>41</v>
      </c>
      <c r="T213" s="34">
        <f>IF(R213="","",R213/S213)</f>
        <v>1.29268292682927</v>
      </c>
      <c r="U213" s="34">
        <f>IF(E213=1,T213,"")</f>
        <v>1.29268292682927</v>
      </c>
      <c r="V213" s="34" t="str">
        <f>IF(AND(E213=1,L213=0),T213,"")</f>
        <v/>
      </c>
      <c r="W213" s="33">
        <f>IF(U213="","",IF(U213&lt;=Breakdowns!$C$5,1,IF(U213&lt;=Breakdowns!$C$6,2,IF(U213&lt;=Breakdowns!$C$7,3,4))))</f>
        <v>4</v>
      </c>
      <c r="X213" s="33" t="str">
        <f>IF(V213="","",IF(V213&lt;=Breakdowns!$D$5,1,IF(V213&lt;=Breakdowns!$D$6,2,IF(V213&lt;=Breakdowns!$D$7,3,4))))</f>
        <v/>
      </c>
      <c r="Y213" s="34">
        <f>INDEX(Stores!$F$2:$F$21,MATCH(B213,Stores!$A$2:$A$21,0))</f>
        <v>3.84</v>
      </c>
      <c r="Z213" s="33">
        <f>IF(Y213&gt;Store_Summary!$M$2,1,0)</f>
        <v>0</v>
      </c>
      <c r="AA213" s="33">
        <f>INDEX(Stores!$C$2:$C$21,MATCH(B213,Stores!$A$2:$A$21,0))</f>
        <v>426</v>
      </c>
      <c r="AB213" s="33">
        <f>IF(AA213&lt;180,1,0)</f>
        <v>0</v>
      </c>
      <c r="AC213" s="32" t="str">
        <f>IF(Orders!D210="","",INDEX(Riders!$C$2:$C$81,MATCH(Orders!D210,Riders!$A$2:$A$81,0)))</f>
        <v>EV scooter</v>
      </c>
      <c r="AD213" s="33">
        <f>IF(Orders!D210="","",INDEX(Riders!$D$2:$D$81,MATCH(Orders!D210,Riders!$A$2:$A$81,0)))</f>
        <v>22</v>
      </c>
      <c r="AE213" s="33">
        <f>IF(Orders!D210="","",IF(INDEX(Riders!$B$2:$B$81,MATCH(Orders!D210,Riders!$A$2:$A$81,0))=B213,1,0))</f>
        <v>0</v>
      </c>
      <c r="AF213" s="34">
        <f>IF(E213=1,Orders!L210,"")</f>
        <v>2.04</v>
      </c>
      <c r="AG213" s="34">
        <f>IF(E213=1,Orders!P210,"")</f>
        <v>7.9</v>
      </c>
      <c r="AH213" s="34">
        <f>IF(E213=1,Orders!Q210,"")</f>
        <v>14.7</v>
      </c>
      <c r="AI213" s="34">
        <f>IF(E213=1,Orders!M210,"")</f>
        <v>4.5</v>
      </c>
      <c r="AJ213" s="34">
        <f>IF(E213=1,Orders!N210,"")</f>
        <v>5.7</v>
      </c>
      <c r="AK213" s="34">
        <f>IF(E213=1,Orders!O210,"")</f>
        <v>4.5</v>
      </c>
      <c r="AL213" s="33">
        <f>IF(E213=1,IF(ROUND(ABS(AI213+AJ213+AK213-AH213),6)&lt;=0.1,1,0),"")</f>
        <v>1</v>
      </c>
      <c r="AM213" s="36">
        <f>IF(E213=1,AI213/AH213,"")</f>
        <v>0.306122448979592</v>
      </c>
      <c r="AN213" s="36">
        <f>IF(E213=1,AJ213/AH213,"")</f>
        <v>0.387755102040816</v>
      </c>
      <c r="AO213" s="36">
        <f>IF(E213=1,AK213/AH213,"")</f>
        <v>0.306122448979592</v>
      </c>
      <c r="AP213" s="34">
        <f>IF(E213=1,Orders!Y210,"")</f>
        <v>0.28</v>
      </c>
      <c r="AQ213" s="33">
        <f>IF(Orders!X210,1,0)</f>
        <v>0</v>
      </c>
      <c r="AR213" s="34">
        <f>IF(AND(E213=1,L213=1),AJ213,"")</f>
        <v>5.7</v>
      </c>
      <c r="AS213" s="34" t="str">
        <f>IF(AND(E213=1,L213=0),AJ213,"")</f>
        <v/>
      </c>
      <c r="AT213" s="34">
        <f>IF(AND(E213=1,L213=1),AI213,"")</f>
        <v>4.5</v>
      </c>
      <c r="AU213" s="34" t="str">
        <f>IF(AND(E213=1,L213=0),AI213,"")</f>
        <v/>
      </c>
      <c r="AV213" s="34">
        <f>IF(AND(E213=1,L213=1),AG213,"")</f>
        <v>7.9</v>
      </c>
      <c r="AW213" s="34" t="str">
        <f>IF(AND(E213=1,L213=0),AG213,"")</f>
        <v/>
      </c>
      <c r="AX213" s="34">
        <f>IF(AND(E213=1,L213=1),AH213,"")</f>
        <v>14.7</v>
      </c>
      <c r="AY213" s="34" t="str">
        <f>IF(AND(E213=1,L213=0),AH213,"")</f>
        <v/>
      </c>
      <c r="AZ213" s="34">
        <f>IF(G213=1,F213,"")</f>
        <v>6.8</v>
      </c>
      <c r="BA213" s="34">
        <f>IF(AND(G213=1,L213=1),F213,"")</f>
        <v>6.8</v>
      </c>
      <c r="BB213" s="34" t="str">
        <f>IF(AND(G213=1,L213=0),F213,"")</f>
        <v/>
      </c>
      <c r="BC213" s="33">
        <f>IF(E213=1,IF(Orders!R210&gt;3,1,0),"")</f>
        <v>1</v>
      </c>
      <c r="BD213" s="33">
        <f>IF(E213=1,IF(Orders!R210&gt;7,1,0),"")</f>
        <v>0</v>
      </c>
      <c r="BE213" s="32" t="str">
        <f>IF(E213=1,IF(Orders!L210&lt;=1.5,"Up to 1.5 km",IF(Orders!L210&lt;=3,"1.5–3 km","Over 3 km")),"")</f>
        <v>1.5–3 km</v>
      </c>
      <c r="BF213" s="33">
        <f>IF(E213=1,IF(ABS((Orders!G210-Orders!F210)*1440-Orders!R210)&lt;0.06,1,0),"")</f>
        <v>1</v>
      </c>
      <c r="BG213" s="33">
        <f>IF(ABS((Orders!F210-Orders!E210)*1440-Orders!P210)&lt;0.06,1,0)</f>
        <v>1</v>
      </c>
      <c r="BH213" s="33">
        <f>IF(E213=1,IF(IF(Orders!S210,1,0)=1-G213,1,0),"")</f>
        <v>1</v>
      </c>
      <c r="BI213" s="32" t="str">
        <f>INDEX(Stores!$B$2:$B$21,MATCH(B213,Stores!$A$2:$A$21,0))</f>
        <v>Mumbai</v>
      </c>
    </row>
    <row r="214">
      <c r="A214" s="32" t="str">
        <f>Orders!A211</f>
        <v>O00210</v>
      </c>
      <c r="B214" s="32" t="str">
        <f>Orders!C211</f>
        <v>S014</v>
      </c>
      <c r="C214" s="32" t="str">
        <f>Orders!B211</f>
        <v>C0018</v>
      </c>
      <c r="D214" s="32" t="str">
        <f>Orders!H211</f>
        <v>Delivered</v>
      </c>
      <c r="E214" s="33">
        <f>IF(Orders!H211="Delivered",1,0)</f>
        <v>1</v>
      </c>
      <c r="F214" s="34">
        <f>IF(E214=1,Orders!R211,"")</f>
        <v>-1</v>
      </c>
      <c r="G214" s="33">
        <f>IF(E214=1,IF(Orders!R211&gt;0,1,0),"")</f>
        <v>0</v>
      </c>
      <c r="H214" s="33">
        <f>IF(E214=1,IF(Orders!R211&gt;5,1,0),"")</f>
        <v>0</v>
      </c>
      <c r="I214" s="32" t="str">
        <f>IF(E214=1,"",IF(OR(Orders!T211="Rider unavailable",Orders!T211="Item unavailable"),"Company-caused","Unresolved"))</f>
        <v/>
      </c>
      <c r="J214" s="33">
        <f>IF(OR(E214=1,I214="Company-caused"),1,0)</f>
        <v>1</v>
      </c>
      <c r="K214" s="32" t="str">
        <f>IF(E214=0,IF(I214="Company-caused",IF(Orders!T211="Rider unavailable","C1 Rider unavailable","C2 Item unavailable"),"Outside root: unresolved"),IF(G214=0,"A On time",IF(H214=1,IF(L214=1,"B2a Severe, peak","B2b Severe, off-peak"),IF(L214=1,"B1a Slight, peak","B1b Slight, off-peak"))))</f>
        <v>A On time</v>
      </c>
      <c r="L214" s="33">
        <f>IF(AND(Orders!U211&gt;=19,Orders!U211&lt;22),1,0)</f>
        <v>0</v>
      </c>
      <c r="M214" s="33">
        <f>IF(L214=IF(Orders!V211,1,0),1,0)</f>
        <v>1</v>
      </c>
      <c r="N214" s="32" t="str">
        <f>IF(Orders!W211="","None",Orders!W211)</f>
        <v>None</v>
      </c>
      <c r="O214" s="35">
        <f>INT(Orders!E211)</f>
        <v>46269.0</v>
      </c>
      <c r="P214" s="33">
        <f>Orders!U211</f>
        <v>14</v>
      </c>
      <c r="Q214" s="33">
        <f>COUNTIFS(Demand!$A$2:$A$4481,B214,Demand!$B$2:$B$4481,O214,Demand!$C$2:$C$4481,P214)</f>
        <v>1</v>
      </c>
      <c r="R214" s="33">
        <f>IF(Q214=1,SUMIFS(Demand!$E$2:$E$4481,Demand!$A$2:$A$4481,B214,Demand!$B$2:$B$4481,O214,Demand!$C$2:$C$4481,P214),"")</f>
        <v>30</v>
      </c>
      <c r="S214" s="33">
        <f>INDEX(Stores!$G$2:$G$21,MATCH(B214,Stores!$A$2:$A$21,0))</f>
        <v>37</v>
      </c>
      <c r="T214" s="34">
        <f>IF(R214="","",R214/S214)</f>
        <v>0.810810810810811</v>
      </c>
      <c r="U214" s="34">
        <f>IF(E214=1,T214,"")</f>
        <v>0.810810810810811</v>
      </c>
      <c r="V214" s="34">
        <f>IF(AND(E214=1,L214=0),T214,"")</f>
        <v>0.810810810810811</v>
      </c>
      <c r="W214" s="33">
        <f>IF(U214="","",IF(U214&lt;=Breakdowns!$C$5,1,IF(U214&lt;=Breakdowns!$C$6,2,IF(U214&lt;=Breakdowns!$C$7,3,4))))</f>
        <v>2</v>
      </c>
      <c r="X214" s="33">
        <f>IF(V214="","",IF(V214&lt;=Breakdowns!$D$5,1,IF(V214&lt;=Breakdowns!$D$6,2,IF(V214&lt;=Breakdowns!$D$7,3,4))))</f>
        <v>2</v>
      </c>
      <c r="Y214" s="34">
        <f>INDEX(Stores!$F$2:$F$21,MATCH(B214,Stores!$A$2:$A$21,0))</f>
        <v>5.55</v>
      </c>
      <c r="Z214" s="33">
        <f>IF(Y214&gt;Store_Summary!$M$2,1,0)</f>
        <v>1</v>
      </c>
      <c r="AA214" s="33">
        <f>INDEX(Stores!$C$2:$C$21,MATCH(B214,Stores!$A$2:$A$21,0))</f>
        <v>241</v>
      </c>
      <c r="AB214" s="33">
        <f>IF(AA214&lt;180,1,0)</f>
        <v>0</v>
      </c>
      <c r="AC214" s="32" t="str">
        <f>IF(Orders!D211="","",INDEX(Riders!$C$2:$C$81,MATCH(Orders!D211,Riders!$A$2:$A$81,0)))</f>
        <v>EV scooter</v>
      </c>
      <c r="AD214" s="33">
        <f>IF(Orders!D211="","",INDEX(Riders!$D$2:$D$81,MATCH(Orders!D211,Riders!$A$2:$A$81,0)))</f>
        <v>36</v>
      </c>
      <c r="AE214" s="33">
        <f>IF(Orders!D211="","",IF(INDEX(Riders!$B$2:$B$81,MATCH(Orders!D211,Riders!$A$2:$A$81,0))=B214,1,0))</f>
        <v>0</v>
      </c>
      <c r="AF214" s="34">
        <f>IF(E214=1,Orders!L211,"")</f>
        <v>0.99</v>
      </c>
      <c r="AG214" s="34">
        <f>IF(E214=1,Orders!P211,"")</f>
        <v>10.2</v>
      </c>
      <c r="AH214" s="34">
        <f>IF(E214=1,Orders!Q211,"")</f>
        <v>9.2</v>
      </c>
      <c r="AI214" s="34">
        <f>IF(E214=1,Orders!M211,"")</f>
        <v>3.4</v>
      </c>
      <c r="AJ214" s="34">
        <f>IF(E214=1,Orders!N211,"")</f>
        <v>4</v>
      </c>
      <c r="AK214" s="34">
        <f>IF(E214=1,Orders!O211,"")</f>
        <v>1.8</v>
      </c>
      <c r="AL214" s="33">
        <f>IF(E214=1,IF(ROUND(ABS(AI214+AJ214+AK214-AH214),6)&lt;=0.1,1,0),"")</f>
        <v>1</v>
      </c>
      <c r="AM214" s="36">
        <f>IF(E214=1,AI214/AH214,"")</f>
        <v>0.369565217391304</v>
      </c>
      <c r="AN214" s="36">
        <f>IF(E214=1,AJ214/AH214,"")</f>
        <v>0.434782608695652</v>
      </c>
      <c r="AO214" s="36">
        <f>IF(E214=1,AK214/AH214,"")</f>
        <v>0.195652173913044</v>
      </c>
      <c r="AP214" s="34">
        <f>IF(E214=1,Orders!Y211,"")</f>
        <v>0.44</v>
      </c>
      <c r="AQ214" s="33">
        <f>IF(Orders!X211,1,0)</f>
        <v>0</v>
      </c>
      <c r="AR214" s="34" t="str">
        <f>IF(AND(E214=1,L214=1),AJ214,"")</f>
        <v/>
      </c>
      <c r="AS214" s="34">
        <f>IF(AND(E214=1,L214=0),AJ214,"")</f>
        <v>4</v>
      </c>
      <c r="AT214" s="34" t="str">
        <f>IF(AND(E214=1,L214=1),AI214,"")</f>
        <v/>
      </c>
      <c r="AU214" s="34">
        <f>IF(AND(E214=1,L214=0),AI214,"")</f>
        <v>3.4</v>
      </c>
      <c r="AV214" s="34" t="str">
        <f>IF(AND(E214=1,L214=1),AG214,"")</f>
        <v/>
      </c>
      <c r="AW214" s="34">
        <f>IF(AND(E214=1,L214=0),AG214,"")</f>
        <v>10.2</v>
      </c>
      <c r="AX214" s="34" t="str">
        <f>IF(AND(E214=1,L214=1),AH214,"")</f>
        <v/>
      </c>
      <c r="AY214" s="34">
        <f>IF(AND(E214=1,L214=0),AH214,"")</f>
        <v>9.2</v>
      </c>
      <c r="AZ214" s="34" t="str">
        <f>IF(G214=1,F214,"")</f>
        <v/>
      </c>
      <c r="BA214" s="34" t="str">
        <f>IF(AND(G214=1,L214=1),F214,"")</f>
        <v/>
      </c>
      <c r="BB214" s="34" t="str">
        <f>IF(AND(G214=1,L214=0),F214,"")</f>
        <v/>
      </c>
      <c r="BC214" s="33">
        <f>IF(E214=1,IF(Orders!R211&gt;3,1,0),"")</f>
        <v>0</v>
      </c>
      <c r="BD214" s="33">
        <f>IF(E214=1,IF(Orders!R211&gt;7,1,0),"")</f>
        <v>0</v>
      </c>
      <c r="BE214" s="32" t="str">
        <f>IF(E214=1,IF(Orders!L211&lt;=1.5,"Up to 1.5 km",IF(Orders!L211&lt;=3,"1.5–3 km","Over 3 km")),"")</f>
        <v>Up to 1.5 km</v>
      </c>
      <c r="BF214" s="33">
        <f>IF(E214=1,IF(ABS((Orders!G211-Orders!F211)*1440-Orders!R211)&lt;0.06,1,0),"")</f>
        <v>1</v>
      </c>
      <c r="BG214" s="33">
        <f>IF(ABS((Orders!F211-Orders!E211)*1440-Orders!P211)&lt;0.06,1,0)</f>
        <v>1</v>
      </c>
      <c r="BH214" s="33">
        <f>IF(E214=1,IF(IF(Orders!S211,1,0)=1-G214,1,0),"")</f>
        <v>1</v>
      </c>
      <c r="BI214" s="32" t="str">
        <f>INDEX(Stores!$B$2:$B$21,MATCH(B214,Stores!$A$2:$A$21,0))</f>
        <v>Pune</v>
      </c>
    </row>
    <row r="215">
      <c r="A215" s="32" t="str">
        <f>Orders!A212</f>
        <v>O00211</v>
      </c>
      <c r="B215" s="32" t="str">
        <f>Orders!C212</f>
        <v>S018</v>
      </c>
      <c r="C215" s="32" t="str">
        <f>Orders!B212</f>
        <v>C0014</v>
      </c>
      <c r="D215" s="32" t="str">
        <f>Orders!H212</f>
        <v>Delivered</v>
      </c>
      <c r="E215" s="33">
        <f>IF(Orders!H212="Delivered",1,0)</f>
        <v>1</v>
      </c>
      <c r="F215" s="34">
        <f>IF(E215=1,Orders!R212,"")</f>
        <v>3.3</v>
      </c>
      <c r="G215" s="33">
        <f>IF(E215=1,IF(Orders!R212&gt;0,1,0),"")</f>
        <v>1</v>
      </c>
      <c r="H215" s="33">
        <f>IF(E215=1,IF(Orders!R212&gt;5,1,0),"")</f>
        <v>0</v>
      </c>
      <c r="I215" s="32" t="str">
        <f>IF(E215=1,"",IF(OR(Orders!T212="Rider unavailable",Orders!T212="Item unavailable"),"Company-caused","Unresolved"))</f>
        <v/>
      </c>
      <c r="J215" s="33">
        <f>IF(OR(E215=1,I215="Company-caused"),1,0)</f>
        <v>1</v>
      </c>
      <c r="K215" s="32" t="str">
        <f>IF(E215=0,IF(I215="Company-caused",IF(Orders!T212="Rider unavailable","C1 Rider unavailable","C2 Item unavailable"),"Outside root: unresolved"),IF(G215=0,"A On time",IF(H215=1,IF(L215=1,"B2a Severe, peak","B2b Severe, off-peak"),IF(L215=1,"B1a Slight, peak","B1b Slight, off-peak"))))</f>
        <v>B1b Slight, off-peak</v>
      </c>
      <c r="L215" s="33">
        <f>IF(AND(Orders!U212&gt;=19,Orders!U212&lt;22),1,0)</f>
        <v>0</v>
      </c>
      <c r="M215" s="33">
        <f>IF(L215=IF(Orders!V212,1,0),1,0)</f>
        <v>1</v>
      </c>
      <c r="N215" s="32" t="str">
        <f>IF(Orders!W212="","None",Orders!W212)</f>
        <v>None</v>
      </c>
      <c r="O215" s="35">
        <f>INT(Orders!E212)</f>
        <v>46275.0</v>
      </c>
      <c r="P215" s="33">
        <f>Orders!U212</f>
        <v>10</v>
      </c>
      <c r="Q215" s="33">
        <f>COUNTIFS(Demand!$A$2:$A$4481,B215,Demand!$B$2:$B$4481,O215,Demand!$C$2:$C$4481,P215)</f>
        <v>1</v>
      </c>
      <c r="R215" s="33">
        <f>IF(Q215=1,SUMIFS(Demand!$E$2:$E$4481,Demand!$A$2:$A$4481,B215,Demand!$B$2:$B$4481,O215,Demand!$C$2:$C$4481,P215),"")</f>
        <v>14</v>
      </c>
      <c r="S215" s="33">
        <f>INDEX(Stores!$G$2:$G$21,MATCH(B215,Stores!$A$2:$A$21,0))</f>
        <v>20</v>
      </c>
      <c r="T215" s="34">
        <f>IF(R215="","",R215/S215)</f>
        <v>0.7</v>
      </c>
      <c r="U215" s="34">
        <f>IF(E215=1,T215,"")</f>
        <v>0.7</v>
      </c>
      <c r="V215" s="34">
        <f>IF(AND(E215=1,L215=0),T215,"")</f>
        <v>0.7</v>
      </c>
      <c r="W215" s="33">
        <f>IF(U215="","",IF(U215&lt;=Breakdowns!$C$5,1,IF(U215&lt;=Breakdowns!$C$6,2,IF(U215&lt;=Breakdowns!$C$7,3,4))))</f>
        <v>1</v>
      </c>
      <c r="X215" s="33">
        <f>IF(V215="","",IF(V215&lt;=Breakdowns!$D$5,1,IF(V215&lt;=Breakdowns!$D$6,2,IF(V215&lt;=Breakdowns!$D$7,3,4))))</f>
        <v>1</v>
      </c>
      <c r="Y215" s="34">
        <f>INDEX(Stores!$F$2:$F$21,MATCH(B215,Stores!$A$2:$A$21,0))</f>
        <v>5.31</v>
      </c>
      <c r="Z215" s="33">
        <f>IF(Y215&gt;Store_Summary!$M$2,1,0)</f>
        <v>1</v>
      </c>
      <c r="AA215" s="33">
        <f>INDEX(Stores!$C$2:$C$21,MATCH(B215,Stores!$A$2:$A$21,0))</f>
        <v>214</v>
      </c>
      <c r="AB215" s="33">
        <f>IF(AA215&lt;180,1,0)</f>
        <v>0</v>
      </c>
      <c r="AC215" s="32" t="str">
        <f>IF(Orders!D212="","",INDEX(Riders!$C$2:$C$81,MATCH(Orders!D212,Riders!$A$2:$A$81,0)))</f>
        <v>Petrol scooter</v>
      </c>
      <c r="AD215" s="33">
        <f>IF(Orders!D212="","",INDEX(Riders!$D$2:$D$81,MATCH(Orders!D212,Riders!$A$2:$A$81,0)))</f>
        <v>40</v>
      </c>
      <c r="AE215" s="33">
        <f>IF(Orders!D212="","",IF(INDEX(Riders!$B$2:$B$81,MATCH(Orders!D212,Riders!$A$2:$A$81,0))=B215,1,0))</f>
        <v>0</v>
      </c>
      <c r="AF215" s="34">
        <f>IF(E215=1,Orders!L212,"")</f>
        <v>0.52</v>
      </c>
      <c r="AG215" s="34">
        <f>IF(E215=1,Orders!P212,"")</f>
        <v>10.3</v>
      </c>
      <c r="AH215" s="34">
        <f>IF(E215=1,Orders!Q212,"")</f>
        <v>13.6</v>
      </c>
      <c r="AI215" s="34">
        <f>IF(E215=1,Orders!M212,"")</f>
        <v>6.3</v>
      </c>
      <c r="AJ215" s="34">
        <f>IF(E215=1,Orders!N212,"")</f>
        <v>4.3</v>
      </c>
      <c r="AK215" s="34">
        <f>IF(E215=1,Orders!O212,"")</f>
        <v>3</v>
      </c>
      <c r="AL215" s="33">
        <f>IF(E215=1,IF(ROUND(ABS(AI215+AJ215+AK215-AH215),6)&lt;=0.1,1,0),"")</f>
        <v>1</v>
      </c>
      <c r="AM215" s="36">
        <f>IF(E215=1,AI215/AH215,"")</f>
        <v>0.463235294117647</v>
      </c>
      <c r="AN215" s="36">
        <f>IF(E215=1,AJ215/AH215,"")</f>
        <v>0.316176470588235</v>
      </c>
      <c r="AO215" s="36">
        <f>IF(E215=1,AK215/AH215,"")</f>
        <v>0.220588235294118</v>
      </c>
      <c r="AP215" s="34">
        <f>IF(E215=1,Orders!Y212,"")</f>
        <v>0.58</v>
      </c>
      <c r="AQ215" s="33">
        <f>IF(Orders!X212,1,0)</f>
        <v>0</v>
      </c>
      <c r="AR215" s="34" t="str">
        <f>IF(AND(E215=1,L215=1),AJ215,"")</f>
        <v/>
      </c>
      <c r="AS215" s="34">
        <f>IF(AND(E215=1,L215=0),AJ215,"")</f>
        <v>4.3</v>
      </c>
      <c r="AT215" s="34" t="str">
        <f>IF(AND(E215=1,L215=1),AI215,"")</f>
        <v/>
      </c>
      <c r="AU215" s="34">
        <f>IF(AND(E215=1,L215=0),AI215,"")</f>
        <v>6.3</v>
      </c>
      <c r="AV215" s="34" t="str">
        <f>IF(AND(E215=1,L215=1),AG215,"")</f>
        <v/>
      </c>
      <c r="AW215" s="34">
        <f>IF(AND(E215=1,L215=0),AG215,"")</f>
        <v>10.3</v>
      </c>
      <c r="AX215" s="34" t="str">
        <f>IF(AND(E215=1,L215=1),AH215,"")</f>
        <v/>
      </c>
      <c r="AY215" s="34">
        <f>IF(AND(E215=1,L215=0),AH215,"")</f>
        <v>13.6</v>
      </c>
      <c r="AZ215" s="34">
        <f>IF(G215=1,F215,"")</f>
        <v>3.3</v>
      </c>
      <c r="BA215" s="34" t="str">
        <f>IF(AND(G215=1,L215=1),F215,"")</f>
        <v/>
      </c>
      <c r="BB215" s="34">
        <f>IF(AND(G215=1,L215=0),F215,"")</f>
        <v>3.3</v>
      </c>
      <c r="BC215" s="33">
        <f>IF(E215=1,IF(Orders!R212&gt;3,1,0),"")</f>
        <v>1</v>
      </c>
      <c r="BD215" s="33">
        <f>IF(E215=1,IF(Orders!R212&gt;7,1,0),"")</f>
        <v>0</v>
      </c>
      <c r="BE215" s="32" t="str">
        <f>IF(E215=1,IF(Orders!L212&lt;=1.5,"Up to 1.5 km",IF(Orders!L212&lt;=3,"1.5–3 km","Over 3 km")),"")</f>
        <v>Up to 1.5 km</v>
      </c>
      <c r="BF215" s="33">
        <f>IF(E215=1,IF(ABS((Orders!G212-Orders!F212)*1440-Orders!R212)&lt;0.06,1,0),"")</f>
        <v>1</v>
      </c>
      <c r="BG215" s="33">
        <f>IF(ABS((Orders!F212-Orders!E212)*1440-Orders!P212)&lt;0.06,1,0)</f>
        <v>1</v>
      </c>
      <c r="BH215" s="33">
        <f>IF(E215=1,IF(IF(Orders!S212,1,0)=1-G215,1,0),"")</f>
        <v>1</v>
      </c>
      <c r="BI215" s="32" t="str">
        <f>INDEX(Stores!$B$2:$B$21,MATCH(B215,Stores!$A$2:$A$21,0))</f>
        <v>Mumbai</v>
      </c>
    </row>
    <row r="216">
      <c r="A216" s="32" t="str">
        <f>Orders!A213</f>
        <v>O00212</v>
      </c>
      <c r="B216" s="32" t="str">
        <f>Orders!C213</f>
        <v>S007</v>
      </c>
      <c r="C216" s="32" t="str">
        <f>Orders!B213</f>
        <v>C0200</v>
      </c>
      <c r="D216" s="32" t="str">
        <f>Orders!H213</f>
        <v>Delivered</v>
      </c>
      <c r="E216" s="33">
        <f>IF(Orders!H213="Delivered",1,0)</f>
        <v>1</v>
      </c>
      <c r="F216" s="34">
        <f>IF(E216=1,Orders!R213,"")</f>
        <v>-0.6</v>
      </c>
      <c r="G216" s="33">
        <f>IF(E216=1,IF(Orders!R213&gt;0,1,0),"")</f>
        <v>0</v>
      </c>
      <c r="H216" s="33">
        <f>IF(E216=1,IF(Orders!R213&gt;5,1,0),"")</f>
        <v>0</v>
      </c>
      <c r="I216" s="32" t="str">
        <f>IF(E216=1,"",IF(OR(Orders!T213="Rider unavailable",Orders!T213="Item unavailable"),"Company-caused","Unresolved"))</f>
        <v/>
      </c>
      <c r="J216" s="33">
        <f>IF(OR(E216=1,I216="Company-caused"),1,0)</f>
        <v>1</v>
      </c>
      <c r="K216" s="32" t="str">
        <f>IF(E216=0,IF(I216="Company-caused",IF(Orders!T213="Rider unavailable","C1 Rider unavailable","C2 Item unavailable"),"Outside root: unresolved"),IF(G216=0,"A On time",IF(H216=1,IF(L216=1,"B2a Severe, peak","B2b Severe, off-peak"),IF(L216=1,"B1a Slight, peak","B1b Slight, off-peak"))))</f>
        <v>A On time</v>
      </c>
      <c r="L216" s="33">
        <f>IF(AND(Orders!U213&gt;=19,Orders!U213&lt;22),1,0)</f>
        <v>0</v>
      </c>
      <c r="M216" s="33">
        <f>IF(L216=IF(Orders!V213,1,0),1,0)</f>
        <v>1</v>
      </c>
      <c r="N216" s="32" t="str">
        <f>IF(Orders!W213="","None",Orders!W213)</f>
        <v>None</v>
      </c>
      <c r="O216" s="35">
        <f>INT(Orders!E213)</f>
        <v>46274.0</v>
      </c>
      <c r="P216" s="33">
        <f>Orders!U213</f>
        <v>22</v>
      </c>
      <c r="Q216" s="33">
        <f>COUNTIFS(Demand!$A$2:$A$4481,B216,Demand!$B$2:$B$4481,O216,Demand!$C$2:$C$4481,P216)</f>
        <v>1</v>
      </c>
      <c r="R216" s="33">
        <f>IF(Q216=1,SUMIFS(Demand!$E$2:$E$4481,Demand!$A$2:$A$4481,B216,Demand!$B$2:$B$4481,O216,Demand!$C$2:$C$4481,P216),"")</f>
        <v>38</v>
      </c>
      <c r="S216" s="33">
        <f>INDEX(Stores!$G$2:$G$21,MATCH(B216,Stores!$A$2:$A$21,0))</f>
        <v>37</v>
      </c>
      <c r="T216" s="34">
        <f>IF(R216="","",R216/S216)</f>
        <v>1.02702702702703</v>
      </c>
      <c r="U216" s="34">
        <f>IF(E216=1,T216,"")</f>
        <v>1.02702702702703</v>
      </c>
      <c r="V216" s="34">
        <f>IF(AND(E216=1,L216=0),T216,"")</f>
        <v>1.02702702702703</v>
      </c>
      <c r="W216" s="33">
        <f>IF(U216="","",IF(U216&lt;=Breakdowns!$C$5,1,IF(U216&lt;=Breakdowns!$C$6,2,IF(U216&lt;=Breakdowns!$C$7,3,4))))</f>
        <v>3</v>
      </c>
      <c r="X216" s="33">
        <f>IF(V216="","",IF(V216&lt;=Breakdowns!$D$5,1,IF(V216&lt;=Breakdowns!$D$6,2,IF(V216&lt;=Breakdowns!$D$7,3,4))))</f>
        <v>3</v>
      </c>
      <c r="Y216" s="34">
        <f>INDEX(Stores!$F$2:$F$21,MATCH(B216,Stores!$A$2:$A$21,0))</f>
        <v>4.05</v>
      </c>
      <c r="Z216" s="33">
        <f>IF(Y216&gt;Store_Summary!$M$2,1,0)</f>
        <v>0</v>
      </c>
      <c r="AA216" s="33">
        <f>INDEX(Stores!$C$2:$C$21,MATCH(B216,Stores!$A$2:$A$21,0))</f>
        <v>661</v>
      </c>
      <c r="AB216" s="33">
        <f>IF(AA216&lt;180,1,0)</f>
        <v>0</v>
      </c>
      <c r="AC216" s="32" t="str">
        <f>IF(Orders!D213="","",INDEX(Riders!$C$2:$C$81,MATCH(Orders!D213,Riders!$A$2:$A$81,0)))</f>
        <v>Bicycle</v>
      </c>
      <c r="AD216" s="33">
        <f>IF(Orders!D213="","",INDEX(Riders!$D$2:$D$81,MATCH(Orders!D213,Riders!$A$2:$A$81,0)))</f>
        <v>26</v>
      </c>
      <c r="AE216" s="33">
        <f>IF(Orders!D213="","",IF(INDEX(Riders!$B$2:$B$81,MATCH(Orders!D213,Riders!$A$2:$A$81,0))=B216,1,0))</f>
        <v>0</v>
      </c>
      <c r="AF216" s="34">
        <f>IF(E216=1,Orders!L213,"")</f>
        <v>0.69</v>
      </c>
      <c r="AG216" s="34">
        <f>IF(E216=1,Orders!P213,"")</f>
        <v>10.3</v>
      </c>
      <c r="AH216" s="34">
        <f>IF(E216=1,Orders!Q213,"")</f>
        <v>9.7</v>
      </c>
      <c r="AI216" s="34">
        <f>IF(E216=1,Orders!M213,"")</f>
        <v>4.2</v>
      </c>
      <c r="AJ216" s="34">
        <f>IF(E216=1,Orders!N213,"")</f>
        <v>3.1</v>
      </c>
      <c r="AK216" s="34">
        <f>IF(E216=1,Orders!O213,"")</f>
        <v>2.4</v>
      </c>
      <c r="AL216" s="33">
        <f>IF(E216=1,IF(ROUND(ABS(AI216+AJ216+AK216-AH216),6)&lt;=0.1,1,0),"")</f>
        <v>1</v>
      </c>
      <c r="AM216" s="36">
        <f>IF(E216=1,AI216/AH216,"")</f>
        <v>0.43298969072165</v>
      </c>
      <c r="AN216" s="36">
        <f>IF(E216=1,AJ216/AH216,"")</f>
        <v>0.319587628865979</v>
      </c>
      <c r="AO216" s="36">
        <f>IF(E216=1,AK216/AH216,"")</f>
        <v>0.247422680412371</v>
      </c>
      <c r="AP216" s="34">
        <f>IF(E216=1,Orders!Y213,"")</f>
        <v>0.55</v>
      </c>
      <c r="AQ216" s="33">
        <f>IF(Orders!X213,1,0)</f>
        <v>0</v>
      </c>
      <c r="AR216" s="34" t="str">
        <f>IF(AND(E216=1,L216=1),AJ216,"")</f>
        <v/>
      </c>
      <c r="AS216" s="34">
        <f>IF(AND(E216=1,L216=0),AJ216,"")</f>
        <v>3.1</v>
      </c>
      <c r="AT216" s="34" t="str">
        <f>IF(AND(E216=1,L216=1),AI216,"")</f>
        <v/>
      </c>
      <c r="AU216" s="34">
        <f>IF(AND(E216=1,L216=0),AI216,"")</f>
        <v>4.2</v>
      </c>
      <c r="AV216" s="34" t="str">
        <f>IF(AND(E216=1,L216=1),AG216,"")</f>
        <v/>
      </c>
      <c r="AW216" s="34">
        <f>IF(AND(E216=1,L216=0),AG216,"")</f>
        <v>10.3</v>
      </c>
      <c r="AX216" s="34" t="str">
        <f>IF(AND(E216=1,L216=1),AH216,"")</f>
        <v/>
      </c>
      <c r="AY216" s="34">
        <f>IF(AND(E216=1,L216=0),AH216,"")</f>
        <v>9.7</v>
      </c>
      <c r="AZ216" s="34" t="str">
        <f>IF(G216=1,F216,"")</f>
        <v/>
      </c>
      <c r="BA216" s="34" t="str">
        <f>IF(AND(G216=1,L216=1),F216,"")</f>
        <v/>
      </c>
      <c r="BB216" s="34" t="str">
        <f>IF(AND(G216=1,L216=0),F216,"")</f>
        <v/>
      </c>
      <c r="BC216" s="33">
        <f>IF(E216=1,IF(Orders!R213&gt;3,1,0),"")</f>
        <v>0</v>
      </c>
      <c r="BD216" s="33">
        <f>IF(E216=1,IF(Orders!R213&gt;7,1,0),"")</f>
        <v>0</v>
      </c>
      <c r="BE216" s="32" t="str">
        <f>IF(E216=1,IF(Orders!L213&lt;=1.5,"Up to 1.5 km",IF(Orders!L213&lt;=3,"1.5–3 km","Over 3 km")),"")</f>
        <v>Up to 1.5 km</v>
      </c>
      <c r="BF216" s="33">
        <f>IF(E216=1,IF(ABS((Orders!G213-Orders!F213)*1440-Orders!R213)&lt;0.06,1,0),"")</f>
        <v>1</v>
      </c>
      <c r="BG216" s="33">
        <f>IF(ABS((Orders!F213-Orders!E213)*1440-Orders!P213)&lt;0.06,1,0)</f>
        <v>1</v>
      </c>
      <c r="BH216" s="33">
        <f>IF(E216=1,IF(IF(Orders!S213,1,0)=1-G216,1,0),"")</f>
        <v>1</v>
      </c>
      <c r="BI216" s="32" t="str">
        <f>INDEX(Stores!$B$2:$B$21,MATCH(B216,Stores!$A$2:$A$21,0))</f>
        <v>Hyderabad</v>
      </c>
    </row>
    <row r="217">
      <c r="A217" s="32" t="str">
        <f>Orders!A214</f>
        <v>O00213</v>
      </c>
      <c r="B217" s="32" t="str">
        <f>Orders!C214</f>
        <v>S013</v>
      </c>
      <c r="C217" s="32" t="str">
        <f>Orders!B214</f>
        <v>C0234</v>
      </c>
      <c r="D217" s="32" t="str">
        <f>Orders!H214</f>
        <v>Delivered</v>
      </c>
      <c r="E217" s="33">
        <f>IF(Orders!H214="Delivered",1,0)</f>
        <v>1</v>
      </c>
      <c r="F217" s="34">
        <f>IF(E217=1,Orders!R214,"")</f>
        <v>8.6</v>
      </c>
      <c r="G217" s="33">
        <f>IF(E217=1,IF(Orders!R214&gt;0,1,0),"")</f>
        <v>1</v>
      </c>
      <c r="H217" s="33">
        <f>IF(E217=1,IF(Orders!R214&gt;5,1,0),"")</f>
        <v>1</v>
      </c>
      <c r="I217" s="32" t="str">
        <f>IF(E217=1,"",IF(OR(Orders!T214="Rider unavailable",Orders!T214="Item unavailable"),"Company-caused","Unresolved"))</f>
        <v/>
      </c>
      <c r="J217" s="33">
        <f>IF(OR(E217=1,I217="Company-caused"),1,0)</f>
        <v>1</v>
      </c>
      <c r="K217" s="32" t="str">
        <f>IF(E217=0,IF(I217="Company-caused",IF(Orders!T214="Rider unavailable","C1 Rider unavailable","C2 Item unavailable"),"Outside root: unresolved"),IF(G217=0,"A On time",IF(H217=1,IF(L217=1,"B2a Severe, peak","B2b Severe, off-peak"),IF(L217=1,"B1a Slight, peak","B1b Slight, off-peak"))))</f>
        <v>B2b Severe, off-peak</v>
      </c>
      <c r="L217" s="33">
        <f>IF(AND(Orders!U214&gt;=19,Orders!U214&lt;22),1,0)</f>
        <v>0</v>
      </c>
      <c r="M217" s="33">
        <f>IF(L217=IF(Orders!V214,1,0),1,0)</f>
        <v>1</v>
      </c>
      <c r="N217" s="32" t="str">
        <f>IF(Orders!W214="","None",Orders!W214)</f>
        <v>Light</v>
      </c>
      <c r="O217" s="35">
        <f>INT(Orders!E214)</f>
        <v>46274.0</v>
      </c>
      <c r="P217" s="33">
        <f>Orders!U214</f>
        <v>14</v>
      </c>
      <c r="Q217" s="33">
        <f>COUNTIFS(Demand!$A$2:$A$4481,B217,Demand!$B$2:$B$4481,O217,Demand!$C$2:$C$4481,P217)</f>
        <v>1</v>
      </c>
      <c r="R217" s="33">
        <f>IF(Q217=1,SUMIFS(Demand!$E$2:$E$4481,Demand!$A$2:$A$4481,B217,Demand!$B$2:$B$4481,O217,Demand!$C$2:$C$4481,P217),"")</f>
        <v>32</v>
      </c>
      <c r="S217" s="33">
        <f>INDEX(Stores!$G$2:$G$21,MATCH(B217,Stores!$A$2:$A$21,0))</f>
        <v>49</v>
      </c>
      <c r="T217" s="34">
        <f>IF(R217="","",R217/S217)</f>
        <v>0.653061224489796</v>
      </c>
      <c r="U217" s="34">
        <f>IF(E217=1,T217,"")</f>
        <v>0.653061224489796</v>
      </c>
      <c r="V217" s="34">
        <f>IF(AND(E217=1,L217=0),T217,"")</f>
        <v>0.653061224489796</v>
      </c>
      <c r="W217" s="33">
        <f>IF(U217="","",IF(U217&lt;=Breakdowns!$C$5,1,IF(U217&lt;=Breakdowns!$C$6,2,IF(U217&lt;=Breakdowns!$C$7,3,4))))</f>
        <v>1</v>
      </c>
      <c r="X217" s="33">
        <f>IF(V217="","",IF(V217&lt;=Breakdowns!$D$5,1,IF(V217&lt;=Breakdowns!$D$6,2,IF(V217&lt;=Breakdowns!$D$7,3,4))))</f>
        <v>1</v>
      </c>
      <c r="Y217" s="34">
        <f>INDEX(Stores!$F$2:$F$21,MATCH(B217,Stores!$A$2:$A$21,0))</f>
        <v>5.82</v>
      </c>
      <c r="Z217" s="33">
        <f>IF(Y217&gt;Store_Summary!$M$2,1,0)</f>
        <v>1</v>
      </c>
      <c r="AA217" s="33">
        <f>INDEX(Stores!$C$2:$C$21,MATCH(B217,Stores!$A$2:$A$21,0))</f>
        <v>705</v>
      </c>
      <c r="AB217" s="33">
        <f>IF(AA217&lt;180,1,0)</f>
        <v>0</v>
      </c>
      <c r="AC217" s="32" t="str">
        <f>IF(Orders!D214="","",INDEX(Riders!$C$2:$C$81,MATCH(Orders!D214,Riders!$A$2:$A$81,0)))</f>
        <v>EV scooter</v>
      </c>
      <c r="AD217" s="33">
        <f>IF(Orders!D214="","",INDEX(Riders!$D$2:$D$81,MATCH(Orders!D214,Riders!$A$2:$A$81,0)))</f>
        <v>11</v>
      </c>
      <c r="AE217" s="33">
        <f>IF(Orders!D214="","",IF(INDEX(Riders!$B$2:$B$81,MATCH(Orders!D214,Riders!$A$2:$A$81,0))=B217,1,0))</f>
        <v>0</v>
      </c>
      <c r="AF217" s="34">
        <f>IF(E217=1,Orders!L214,"")</f>
        <v>3</v>
      </c>
      <c r="AG217" s="34">
        <f>IF(E217=1,Orders!P214,"")</f>
        <v>9.9</v>
      </c>
      <c r="AH217" s="34">
        <f>IF(E217=1,Orders!Q214,"")</f>
        <v>18.5</v>
      </c>
      <c r="AI217" s="34">
        <f>IF(E217=1,Orders!M214,"")</f>
        <v>6.7</v>
      </c>
      <c r="AJ217" s="34">
        <f>IF(E217=1,Orders!N214,"")</f>
        <v>3.8</v>
      </c>
      <c r="AK217" s="34">
        <f>IF(E217=1,Orders!O214,"")</f>
        <v>8</v>
      </c>
      <c r="AL217" s="33">
        <f>IF(E217=1,IF(ROUND(ABS(AI217+AJ217+AK217-AH217),6)&lt;=0.1,1,0),"")</f>
        <v>1</v>
      </c>
      <c r="AM217" s="36">
        <f>IF(E217=1,AI217/AH217,"")</f>
        <v>0.362162162162162</v>
      </c>
      <c r="AN217" s="36">
        <f>IF(E217=1,AJ217/AH217,"")</f>
        <v>0.205405405405405</v>
      </c>
      <c r="AO217" s="36">
        <f>IF(E217=1,AK217/AH217,"")</f>
        <v>0.432432432432432</v>
      </c>
      <c r="AP217" s="34">
        <f>IF(E217=1,Orders!Y214,"")</f>
        <v>0.36</v>
      </c>
      <c r="AQ217" s="33">
        <f>IF(Orders!X214,1,0)</f>
        <v>0</v>
      </c>
      <c r="AR217" s="34" t="str">
        <f>IF(AND(E217=1,L217=1),AJ217,"")</f>
        <v/>
      </c>
      <c r="AS217" s="34">
        <f>IF(AND(E217=1,L217=0),AJ217,"")</f>
        <v>3.8</v>
      </c>
      <c r="AT217" s="34" t="str">
        <f>IF(AND(E217=1,L217=1),AI217,"")</f>
        <v/>
      </c>
      <c r="AU217" s="34">
        <f>IF(AND(E217=1,L217=0),AI217,"")</f>
        <v>6.7</v>
      </c>
      <c r="AV217" s="34" t="str">
        <f>IF(AND(E217=1,L217=1),AG217,"")</f>
        <v/>
      </c>
      <c r="AW217" s="34">
        <f>IF(AND(E217=1,L217=0),AG217,"")</f>
        <v>9.9</v>
      </c>
      <c r="AX217" s="34" t="str">
        <f>IF(AND(E217=1,L217=1),AH217,"")</f>
        <v/>
      </c>
      <c r="AY217" s="34">
        <f>IF(AND(E217=1,L217=0),AH217,"")</f>
        <v>18.5</v>
      </c>
      <c r="AZ217" s="34">
        <f>IF(G217=1,F217,"")</f>
        <v>8.6</v>
      </c>
      <c r="BA217" s="34" t="str">
        <f>IF(AND(G217=1,L217=1),F217,"")</f>
        <v/>
      </c>
      <c r="BB217" s="34">
        <f>IF(AND(G217=1,L217=0),F217,"")</f>
        <v>8.6</v>
      </c>
      <c r="BC217" s="33">
        <f>IF(E217=1,IF(Orders!R214&gt;3,1,0),"")</f>
        <v>1</v>
      </c>
      <c r="BD217" s="33">
        <f>IF(E217=1,IF(Orders!R214&gt;7,1,0),"")</f>
        <v>1</v>
      </c>
      <c r="BE217" s="32" t="str">
        <f>IF(E217=1,IF(Orders!L214&lt;=1.5,"Up to 1.5 km",IF(Orders!L214&lt;=3,"1.5–3 km","Over 3 km")),"")</f>
        <v>1.5–3 km</v>
      </c>
      <c r="BF217" s="33">
        <f>IF(E217=1,IF(ABS((Orders!G214-Orders!F214)*1440-Orders!R214)&lt;0.06,1,0),"")</f>
        <v>1</v>
      </c>
      <c r="BG217" s="33">
        <f>IF(ABS((Orders!F214-Orders!E214)*1440-Orders!P214)&lt;0.06,1,0)</f>
        <v>1</v>
      </c>
      <c r="BH217" s="33">
        <f>IF(E217=1,IF(IF(Orders!S214,1,0)=1-G217,1,0),"")</f>
        <v>1</v>
      </c>
      <c r="BI217" s="32" t="str">
        <f>INDEX(Stores!$B$2:$B$21,MATCH(B217,Stores!$A$2:$A$21,0))</f>
        <v>Mumbai</v>
      </c>
    </row>
    <row r="218">
      <c r="A218" s="32" t="str">
        <f>Orders!A215</f>
        <v>O00214</v>
      </c>
      <c r="B218" s="32" t="str">
        <f>Orders!C215</f>
        <v>S013</v>
      </c>
      <c r="C218" s="32" t="str">
        <f>Orders!B215</f>
        <v>C0237</v>
      </c>
      <c r="D218" s="32" t="str">
        <f>Orders!H215</f>
        <v>Delivered</v>
      </c>
      <c r="E218" s="33">
        <f>IF(Orders!H215="Delivered",1,0)</f>
        <v>1</v>
      </c>
      <c r="F218" s="34">
        <f>IF(E218=1,Orders!R215,"")</f>
        <v>-0.7</v>
      </c>
      <c r="G218" s="33">
        <f>IF(E218=1,IF(Orders!R215&gt;0,1,0),"")</f>
        <v>0</v>
      </c>
      <c r="H218" s="33">
        <f>IF(E218=1,IF(Orders!R215&gt;5,1,0),"")</f>
        <v>0</v>
      </c>
      <c r="I218" s="32" t="str">
        <f>IF(E218=1,"",IF(OR(Orders!T215="Rider unavailable",Orders!T215="Item unavailable"),"Company-caused","Unresolved"))</f>
        <v/>
      </c>
      <c r="J218" s="33">
        <f>IF(OR(E218=1,I218="Company-caused"),1,0)</f>
        <v>1</v>
      </c>
      <c r="K218" s="32" t="str">
        <f>IF(E218=0,IF(I218="Company-caused",IF(Orders!T215="Rider unavailable","C1 Rider unavailable","C2 Item unavailable"),"Outside root: unresolved"),IF(G218=0,"A On time",IF(H218=1,IF(L218=1,"B2a Severe, peak","B2b Severe, off-peak"),IF(L218=1,"B1a Slight, peak","B1b Slight, off-peak"))))</f>
        <v>A On time</v>
      </c>
      <c r="L218" s="33">
        <f>IF(AND(Orders!U215&gt;=19,Orders!U215&lt;22),1,0)</f>
        <v>0</v>
      </c>
      <c r="M218" s="33">
        <f>IF(L218=IF(Orders!V215,1,0),1,0)</f>
        <v>1</v>
      </c>
      <c r="N218" s="32" t="str">
        <f>IF(Orders!W215="","None",Orders!W215)</f>
        <v>Light</v>
      </c>
      <c r="O218" s="35">
        <f>INT(Orders!E215)</f>
        <v>46274.0</v>
      </c>
      <c r="P218" s="33">
        <f>Orders!U215</f>
        <v>18</v>
      </c>
      <c r="Q218" s="33">
        <f>COUNTIFS(Demand!$A$2:$A$4481,B218,Demand!$B$2:$B$4481,O218,Demand!$C$2:$C$4481,P218)</f>
        <v>1</v>
      </c>
      <c r="R218" s="33">
        <f>IF(Q218=1,SUMIFS(Demand!$E$2:$E$4481,Demand!$A$2:$A$4481,B218,Demand!$B$2:$B$4481,O218,Demand!$C$2:$C$4481,P218),"")</f>
        <v>46</v>
      </c>
      <c r="S218" s="33">
        <f>INDEX(Stores!$G$2:$G$21,MATCH(B218,Stores!$A$2:$A$21,0))</f>
        <v>49</v>
      </c>
      <c r="T218" s="34">
        <f>IF(R218="","",R218/S218)</f>
        <v>0.938775510204082</v>
      </c>
      <c r="U218" s="34">
        <f>IF(E218=1,T218,"")</f>
        <v>0.938775510204082</v>
      </c>
      <c r="V218" s="34">
        <f>IF(AND(E218=1,L218=0),T218,"")</f>
        <v>0.938775510204082</v>
      </c>
      <c r="W218" s="33">
        <f>IF(U218="","",IF(U218&lt;=Breakdowns!$C$5,1,IF(U218&lt;=Breakdowns!$C$6,2,IF(U218&lt;=Breakdowns!$C$7,3,4))))</f>
        <v>2</v>
      </c>
      <c r="X218" s="33">
        <f>IF(V218="","",IF(V218&lt;=Breakdowns!$D$5,1,IF(V218&lt;=Breakdowns!$D$6,2,IF(V218&lt;=Breakdowns!$D$7,3,4))))</f>
        <v>3</v>
      </c>
      <c r="Y218" s="34">
        <f>INDEX(Stores!$F$2:$F$21,MATCH(B218,Stores!$A$2:$A$21,0))</f>
        <v>5.82</v>
      </c>
      <c r="Z218" s="33">
        <f>IF(Y218&gt;Store_Summary!$M$2,1,0)</f>
        <v>1</v>
      </c>
      <c r="AA218" s="33">
        <f>INDEX(Stores!$C$2:$C$21,MATCH(B218,Stores!$A$2:$A$21,0))</f>
        <v>705</v>
      </c>
      <c r="AB218" s="33">
        <f>IF(AA218&lt;180,1,0)</f>
        <v>0</v>
      </c>
      <c r="AC218" s="32" t="str">
        <f>IF(Orders!D215="","",INDEX(Riders!$C$2:$C$81,MATCH(Orders!D215,Riders!$A$2:$A$81,0)))</f>
        <v>EV scooter</v>
      </c>
      <c r="AD218" s="33">
        <f>IF(Orders!D215="","",INDEX(Riders!$D$2:$D$81,MATCH(Orders!D215,Riders!$A$2:$A$81,0)))</f>
        <v>3</v>
      </c>
      <c r="AE218" s="33">
        <f>IF(Orders!D215="","",IF(INDEX(Riders!$B$2:$B$81,MATCH(Orders!D215,Riders!$A$2:$A$81,0))=B218,1,0))</f>
        <v>0</v>
      </c>
      <c r="AF218" s="34">
        <f>IF(E218=1,Orders!L215,"")</f>
        <v>2.97</v>
      </c>
      <c r="AG218" s="34">
        <f>IF(E218=1,Orders!P215,"")</f>
        <v>10.5</v>
      </c>
      <c r="AH218" s="34">
        <f>IF(E218=1,Orders!Q215,"")</f>
        <v>9.8</v>
      </c>
      <c r="AI218" s="34">
        <f>IF(E218=1,Orders!M215,"")</f>
        <v>2.4</v>
      </c>
      <c r="AJ218" s="34">
        <f>IF(E218=1,Orders!N215,"")</f>
        <v>3.4</v>
      </c>
      <c r="AK218" s="34">
        <f>IF(E218=1,Orders!O215,"")</f>
        <v>4</v>
      </c>
      <c r="AL218" s="33">
        <f>IF(E218=1,IF(ROUND(ABS(AI218+AJ218+AK218-AH218),6)&lt;=0.1,1,0),"")</f>
        <v>1</v>
      </c>
      <c r="AM218" s="36">
        <f>IF(E218=1,AI218/AH218,"")</f>
        <v>0.244897959183673</v>
      </c>
      <c r="AN218" s="36">
        <f>IF(E218=1,AJ218/AH218,"")</f>
        <v>0.346938775510204</v>
      </c>
      <c r="AO218" s="36">
        <f>IF(E218=1,AK218/AH218,"")</f>
        <v>0.408163265306122</v>
      </c>
      <c r="AP218" s="34">
        <f>IF(E218=1,Orders!Y215,"")</f>
        <v>0.87</v>
      </c>
      <c r="AQ218" s="33">
        <f>IF(Orders!X215,1,0)</f>
        <v>0</v>
      </c>
      <c r="AR218" s="34" t="str">
        <f>IF(AND(E218=1,L218=1),AJ218,"")</f>
        <v/>
      </c>
      <c r="AS218" s="34">
        <f>IF(AND(E218=1,L218=0),AJ218,"")</f>
        <v>3.4</v>
      </c>
      <c r="AT218" s="34" t="str">
        <f>IF(AND(E218=1,L218=1),AI218,"")</f>
        <v/>
      </c>
      <c r="AU218" s="34">
        <f>IF(AND(E218=1,L218=0),AI218,"")</f>
        <v>2.4</v>
      </c>
      <c r="AV218" s="34" t="str">
        <f>IF(AND(E218=1,L218=1),AG218,"")</f>
        <v/>
      </c>
      <c r="AW218" s="34">
        <f>IF(AND(E218=1,L218=0),AG218,"")</f>
        <v>10.5</v>
      </c>
      <c r="AX218" s="34" t="str">
        <f>IF(AND(E218=1,L218=1),AH218,"")</f>
        <v/>
      </c>
      <c r="AY218" s="34">
        <f>IF(AND(E218=1,L218=0),AH218,"")</f>
        <v>9.8</v>
      </c>
      <c r="AZ218" s="34" t="str">
        <f>IF(G218=1,F218,"")</f>
        <v/>
      </c>
      <c r="BA218" s="34" t="str">
        <f>IF(AND(G218=1,L218=1),F218,"")</f>
        <v/>
      </c>
      <c r="BB218" s="34" t="str">
        <f>IF(AND(G218=1,L218=0),F218,"")</f>
        <v/>
      </c>
      <c r="BC218" s="33">
        <f>IF(E218=1,IF(Orders!R215&gt;3,1,0),"")</f>
        <v>0</v>
      </c>
      <c r="BD218" s="33">
        <f>IF(E218=1,IF(Orders!R215&gt;7,1,0),"")</f>
        <v>0</v>
      </c>
      <c r="BE218" s="32" t="str">
        <f>IF(E218=1,IF(Orders!L215&lt;=1.5,"Up to 1.5 km",IF(Orders!L215&lt;=3,"1.5–3 km","Over 3 km")),"")</f>
        <v>1.5–3 km</v>
      </c>
      <c r="BF218" s="33">
        <f>IF(E218=1,IF(ABS((Orders!G215-Orders!F215)*1440-Orders!R215)&lt;0.06,1,0),"")</f>
        <v>1</v>
      </c>
      <c r="BG218" s="33">
        <f>IF(ABS((Orders!F215-Orders!E215)*1440-Orders!P215)&lt;0.06,1,0)</f>
        <v>1</v>
      </c>
      <c r="BH218" s="33">
        <f>IF(E218=1,IF(IF(Orders!S215,1,0)=1-G218,1,0),"")</f>
        <v>1</v>
      </c>
      <c r="BI218" s="32" t="str">
        <f>INDEX(Stores!$B$2:$B$21,MATCH(B218,Stores!$A$2:$A$21,0))</f>
        <v>Mumbai</v>
      </c>
    </row>
    <row r="219">
      <c r="A219" s="32" t="str">
        <f>Orders!A216</f>
        <v>O00215</v>
      </c>
      <c r="B219" s="32" t="str">
        <f>Orders!C216</f>
        <v>S002</v>
      </c>
      <c r="C219" s="32" t="str">
        <f>Orders!B216</f>
        <v>C0011</v>
      </c>
      <c r="D219" s="32" t="str">
        <f>Orders!H216</f>
        <v>Delivered</v>
      </c>
      <c r="E219" s="33">
        <f>IF(Orders!H216="Delivered",1,0)</f>
        <v>1</v>
      </c>
      <c r="F219" s="34">
        <f>IF(E219=1,Orders!R216,"")</f>
        <v>-0.7</v>
      </c>
      <c r="G219" s="33">
        <f>IF(E219=1,IF(Orders!R216&gt;0,1,0),"")</f>
        <v>0</v>
      </c>
      <c r="H219" s="33">
        <f>IF(E219=1,IF(Orders!R216&gt;5,1,0),"")</f>
        <v>0</v>
      </c>
      <c r="I219" s="32" t="str">
        <f>IF(E219=1,"",IF(OR(Orders!T216="Rider unavailable",Orders!T216="Item unavailable"),"Company-caused","Unresolved"))</f>
        <v/>
      </c>
      <c r="J219" s="33">
        <f>IF(OR(E219=1,I219="Company-caused"),1,0)</f>
        <v>1</v>
      </c>
      <c r="K219" s="32" t="str">
        <f>IF(E219=0,IF(I219="Company-caused",IF(Orders!T216="Rider unavailable","C1 Rider unavailable","C2 Item unavailable"),"Outside root: unresolved"),IF(G219=0,"A On time",IF(H219=1,IF(L219=1,"B2a Severe, peak","B2b Severe, off-peak"),IF(L219=1,"B1a Slight, peak","B1b Slight, off-peak"))))</f>
        <v>A On time</v>
      </c>
      <c r="L219" s="33">
        <f>IF(AND(Orders!U216&gt;=19,Orders!U216&lt;22),1,0)</f>
        <v>0</v>
      </c>
      <c r="M219" s="33">
        <f>IF(L219=IF(Orders!V216,1,0),1,0)</f>
        <v>1</v>
      </c>
      <c r="N219" s="32" t="str">
        <f>IF(Orders!W216="","None",Orders!W216)</f>
        <v>None</v>
      </c>
      <c r="O219" s="35">
        <f>INT(Orders!E216)</f>
        <v>46275.0</v>
      </c>
      <c r="P219" s="33">
        <f>Orders!U216</f>
        <v>17</v>
      </c>
      <c r="Q219" s="33">
        <f>COUNTIFS(Demand!$A$2:$A$4481,B219,Demand!$B$2:$B$4481,O219,Demand!$C$2:$C$4481,P219)</f>
        <v>1</v>
      </c>
      <c r="R219" s="33">
        <f>IF(Q219=1,SUMIFS(Demand!$E$2:$E$4481,Demand!$A$2:$A$4481,B219,Demand!$B$2:$B$4481,O219,Demand!$C$2:$C$4481,P219),"")</f>
        <v>37</v>
      </c>
      <c r="S219" s="33">
        <f>INDEX(Stores!$G$2:$G$21,MATCH(B219,Stores!$A$2:$A$21,0))</f>
        <v>33</v>
      </c>
      <c r="T219" s="34">
        <f>IF(R219="","",R219/S219)</f>
        <v>1.12121212121212</v>
      </c>
      <c r="U219" s="34">
        <f>IF(E219=1,T219,"")</f>
        <v>1.12121212121212</v>
      </c>
      <c r="V219" s="34">
        <f>IF(AND(E219=1,L219=0),T219,"")</f>
        <v>1.12121212121212</v>
      </c>
      <c r="W219" s="33">
        <f>IF(U219="","",IF(U219&lt;=Breakdowns!$C$5,1,IF(U219&lt;=Breakdowns!$C$6,2,IF(U219&lt;=Breakdowns!$C$7,3,4))))</f>
        <v>3</v>
      </c>
      <c r="X219" s="33">
        <f>IF(V219="","",IF(V219&lt;=Breakdowns!$D$5,1,IF(V219&lt;=Breakdowns!$D$6,2,IF(V219&lt;=Breakdowns!$D$7,3,4))))</f>
        <v>4</v>
      </c>
      <c r="Y219" s="34">
        <f>INDEX(Stores!$F$2:$F$21,MATCH(B219,Stores!$A$2:$A$21,0))</f>
        <v>2.39</v>
      </c>
      <c r="Z219" s="33">
        <f>IF(Y219&gt;Store_Summary!$M$2,1,0)</f>
        <v>0</v>
      </c>
      <c r="AA219" s="33">
        <f>INDEX(Stores!$C$2:$C$21,MATCH(B219,Stores!$A$2:$A$21,0))</f>
        <v>470</v>
      </c>
      <c r="AB219" s="33">
        <f>IF(AA219&lt;180,1,0)</f>
        <v>0</v>
      </c>
      <c r="AC219" s="32" t="str">
        <f>IF(Orders!D216="","",INDEX(Riders!$C$2:$C$81,MATCH(Orders!D216,Riders!$A$2:$A$81,0)))</f>
        <v>Petrol scooter</v>
      </c>
      <c r="AD219" s="33">
        <f>IF(Orders!D216="","",INDEX(Riders!$D$2:$D$81,MATCH(Orders!D216,Riders!$A$2:$A$81,0)))</f>
        <v>29</v>
      </c>
      <c r="AE219" s="33">
        <f>IF(Orders!D216="","",IF(INDEX(Riders!$B$2:$B$81,MATCH(Orders!D216,Riders!$A$2:$A$81,0))=B219,1,0))</f>
        <v>0</v>
      </c>
      <c r="AF219" s="34">
        <f>IF(E219=1,Orders!L216,"")</f>
        <v>1.63</v>
      </c>
      <c r="AG219" s="34">
        <f>IF(E219=1,Orders!P216,"")</f>
        <v>10.2</v>
      </c>
      <c r="AH219" s="34">
        <f>IF(E219=1,Orders!Q216,"")</f>
        <v>9.5</v>
      </c>
      <c r="AI219" s="34">
        <f>IF(E219=1,Orders!M216,"")</f>
        <v>1.2</v>
      </c>
      <c r="AJ219" s="34">
        <f>IF(E219=1,Orders!N216,"")</f>
        <v>5.3</v>
      </c>
      <c r="AK219" s="34">
        <f>IF(E219=1,Orders!O216,"")</f>
        <v>3</v>
      </c>
      <c r="AL219" s="33">
        <f>IF(E219=1,IF(ROUND(ABS(AI219+AJ219+AK219-AH219),6)&lt;=0.1,1,0),"")</f>
        <v>1</v>
      </c>
      <c r="AM219" s="36">
        <f>IF(E219=1,AI219/AH219,"")</f>
        <v>0.126315789473684</v>
      </c>
      <c r="AN219" s="36">
        <f>IF(E219=1,AJ219/AH219,"")</f>
        <v>0.557894736842105</v>
      </c>
      <c r="AO219" s="36">
        <f>IF(E219=1,AK219/AH219,"")</f>
        <v>0.315789473684211</v>
      </c>
      <c r="AP219" s="34">
        <f>IF(E219=1,Orders!Y216,"")</f>
        <v>0.39</v>
      </c>
      <c r="AQ219" s="33">
        <f>IF(Orders!X216,1,0)</f>
        <v>0</v>
      </c>
      <c r="AR219" s="34" t="str">
        <f>IF(AND(E219=1,L219=1),AJ219,"")</f>
        <v/>
      </c>
      <c r="AS219" s="34">
        <f>IF(AND(E219=1,L219=0),AJ219,"")</f>
        <v>5.3</v>
      </c>
      <c r="AT219" s="34" t="str">
        <f>IF(AND(E219=1,L219=1),AI219,"")</f>
        <v/>
      </c>
      <c r="AU219" s="34">
        <f>IF(AND(E219=1,L219=0),AI219,"")</f>
        <v>1.2</v>
      </c>
      <c r="AV219" s="34" t="str">
        <f>IF(AND(E219=1,L219=1),AG219,"")</f>
        <v/>
      </c>
      <c r="AW219" s="34">
        <f>IF(AND(E219=1,L219=0),AG219,"")</f>
        <v>10.2</v>
      </c>
      <c r="AX219" s="34" t="str">
        <f>IF(AND(E219=1,L219=1),AH219,"")</f>
        <v/>
      </c>
      <c r="AY219" s="34">
        <f>IF(AND(E219=1,L219=0),AH219,"")</f>
        <v>9.5</v>
      </c>
      <c r="AZ219" s="34" t="str">
        <f>IF(G219=1,F219,"")</f>
        <v/>
      </c>
      <c r="BA219" s="34" t="str">
        <f>IF(AND(G219=1,L219=1),F219,"")</f>
        <v/>
      </c>
      <c r="BB219" s="34" t="str">
        <f>IF(AND(G219=1,L219=0),F219,"")</f>
        <v/>
      </c>
      <c r="BC219" s="33">
        <f>IF(E219=1,IF(Orders!R216&gt;3,1,0),"")</f>
        <v>0</v>
      </c>
      <c r="BD219" s="33">
        <f>IF(E219=1,IF(Orders!R216&gt;7,1,0),"")</f>
        <v>0</v>
      </c>
      <c r="BE219" s="32" t="str">
        <f>IF(E219=1,IF(Orders!L216&lt;=1.5,"Up to 1.5 km",IF(Orders!L216&lt;=3,"1.5–3 km","Over 3 km")),"")</f>
        <v>1.5–3 km</v>
      </c>
      <c r="BF219" s="33">
        <f>IF(E219=1,IF(ABS((Orders!G216-Orders!F216)*1440-Orders!R216)&lt;0.06,1,0),"")</f>
        <v>1</v>
      </c>
      <c r="BG219" s="33">
        <f>IF(ABS((Orders!F216-Orders!E216)*1440-Orders!P216)&lt;0.06,1,0)</f>
        <v>1</v>
      </c>
      <c r="BH219" s="33">
        <f>IF(E219=1,IF(IF(Orders!S216,1,0)=1-G219,1,0),"")</f>
        <v>1</v>
      </c>
      <c r="BI219" s="32" t="str">
        <f>INDEX(Stores!$B$2:$B$21,MATCH(B219,Stores!$A$2:$A$21,0))</f>
        <v>Hyderabad</v>
      </c>
    </row>
    <row r="220">
      <c r="A220" s="32" t="str">
        <f>Orders!A217</f>
        <v>O00216</v>
      </c>
      <c r="B220" s="32" t="str">
        <f>Orders!C217</f>
        <v>S007</v>
      </c>
      <c r="C220" s="32" t="str">
        <f>Orders!B217</f>
        <v>C0051</v>
      </c>
      <c r="D220" s="32" t="str">
        <f>Orders!H217</f>
        <v>Delivered</v>
      </c>
      <c r="E220" s="33">
        <f>IF(Orders!H217="Delivered",1,0)</f>
        <v>1</v>
      </c>
      <c r="F220" s="34">
        <f>IF(E220=1,Orders!R217,"")</f>
        <v>13.2</v>
      </c>
      <c r="G220" s="33">
        <f>IF(E220=1,IF(Orders!R217&gt;0,1,0),"")</f>
        <v>1</v>
      </c>
      <c r="H220" s="33">
        <f>IF(E220=1,IF(Orders!R217&gt;5,1,0),"")</f>
        <v>1</v>
      </c>
      <c r="I220" s="32" t="str">
        <f>IF(E220=1,"",IF(OR(Orders!T217="Rider unavailable",Orders!T217="Item unavailable"),"Company-caused","Unresolved"))</f>
        <v/>
      </c>
      <c r="J220" s="33">
        <f>IF(OR(E220=1,I220="Company-caused"),1,0)</f>
        <v>1</v>
      </c>
      <c r="K220" s="32" t="str">
        <f>IF(E220=0,IF(I220="Company-caused",IF(Orders!T217="Rider unavailable","C1 Rider unavailable","C2 Item unavailable"),"Outside root: unresolved"),IF(G220=0,"A On time",IF(H220=1,IF(L220=1,"B2a Severe, peak","B2b Severe, off-peak"),IF(L220=1,"B1a Slight, peak","B1b Slight, off-peak"))))</f>
        <v>B2a Severe, peak</v>
      </c>
      <c r="L220" s="33">
        <f>IF(AND(Orders!U217&gt;=19,Orders!U217&lt;22),1,0)</f>
        <v>1</v>
      </c>
      <c r="M220" s="33">
        <f>IF(L220=IF(Orders!V217,1,0),1,0)</f>
        <v>1</v>
      </c>
      <c r="N220" s="32" t="str">
        <f>IF(Orders!W217="","None",Orders!W217)</f>
        <v>Light</v>
      </c>
      <c r="O220" s="35">
        <f>INT(Orders!E217)</f>
        <v>46275.0</v>
      </c>
      <c r="P220" s="33">
        <f>Orders!U217</f>
        <v>19</v>
      </c>
      <c r="Q220" s="33">
        <f>COUNTIFS(Demand!$A$2:$A$4481,B220,Demand!$B$2:$B$4481,O220,Demand!$C$2:$C$4481,P220)</f>
        <v>1</v>
      </c>
      <c r="R220" s="33">
        <f>IF(Q220=1,SUMIFS(Demand!$E$2:$E$4481,Demand!$A$2:$A$4481,B220,Demand!$B$2:$B$4481,O220,Demand!$C$2:$C$4481,P220),"")</f>
        <v>57</v>
      </c>
      <c r="S220" s="33">
        <f>INDEX(Stores!$G$2:$G$21,MATCH(B220,Stores!$A$2:$A$21,0))</f>
        <v>37</v>
      </c>
      <c r="T220" s="34">
        <f>IF(R220="","",R220/S220)</f>
        <v>1.54054054054054</v>
      </c>
      <c r="U220" s="34">
        <f>IF(E220=1,T220,"")</f>
        <v>1.54054054054054</v>
      </c>
      <c r="V220" s="34" t="str">
        <f>IF(AND(E220=1,L220=0),T220,"")</f>
        <v/>
      </c>
      <c r="W220" s="33">
        <f>IF(U220="","",IF(U220&lt;=Breakdowns!$C$5,1,IF(U220&lt;=Breakdowns!$C$6,2,IF(U220&lt;=Breakdowns!$C$7,3,4))))</f>
        <v>4</v>
      </c>
      <c r="X220" s="33" t="str">
        <f>IF(V220="","",IF(V220&lt;=Breakdowns!$D$5,1,IF(V220&lt;=Breakdowns!$D$6,2,IF(V220&lt;=Breakdowns!$D$7,3,4))))</f>
        <v/>
      </c>
      <c r="Y220" s="34">
        <f>INDEX(Stores!$F$2:$F$21,MATCH(B220,Stores!$A$2:$A$21,0))</f>
        <v>4.05</v>
      </c>
      <c r="Z220" s="33">
        <f>IF(Y220&gt;Store_Summary!$M$2,1,0)</f>
        <v>0</v>
      </c>
      <c r="AA220" s="33">
        <f>INDEX(Stores!$C$2:$C$21,MATCH(B220,Stores!$A$2:$A$21,0))</f>
        <v>661</v>
      </c>
      <c r="AB220" s="33">
        <f>IF(AA220&lt;180,1,0)</f>
        <v>0</v>
      </c>
      <c r="AC220" s="32" t="str">
        <f>IF(Orders!D217="","",INDEX(Riders!$C$2:$C$81,MATCH(Orders!D217,Riders!$A$2:$A$81,0)))</f>
        <v>EV scooter</v>
      </c>
      <c r="AD220" s="33">
        <f>IF(Orders!D217="","",INDEX(Riders!$D$2:$D$81,MATCH(Orders!D217,Riders!$A$2:$A$81,0)))</f>
        <v>45</v>
      </c>
      <c r="AE220" s="33">
        <f>IF(Orders!D217="","",IF(INDEX(Riders!$B$2:$B$81,MATCH(Orders!D217,Riders!$A$2:$A$81,0))=B220,1,0))</f>
        <v>0</v>
      </c>
      <c r="AF220" s="34">
        <f>IF(E220=1,Orders!L217,"")</f>
        <v>2.53</v>
      </c>
      <c r="AG220" s="34">
        <f>IF(E220=1,Orders!P217,"")</f>
        <v>8.6</v>
      </c>
      <c r="AH220" s="34">
        <f>IF(E220=1,Orders!Q217,"")</f>
        <v>21.8</v>
      </c>
      <c r="AI220" s="34">
        <f>IF(E220=1,Orders!M217,"")</f>
        <v>5.1</v>
      </c>
      <c r="AJ220" s="34">
        <f>IF(E220=1,Orders!N217,"")</f>
        <v>8.7</v>
      </c>
      <c r="AK220" s="34">
        <f>IF(E220=1,Orders!O217,"")</f>
        <v>8</v>
      </c>
      <c r="AL220" s="33">
        <f>IF(E220=1,IF(ROUND(ABS(AI220+AJ220+AK220-AH220),6)&lt;=0.1,1,0),"")</f>
        <v>1</v>
      </c>
      <c r="AM220" s="36">
        <f>IF(E220=1,AI220/AH220,"")</f>
        <v>0.23394495412844</v>
      </c>
      <c r="AN220" s="36">
        <f>IF(E220=1,AJ220/AH220,"")</f>
        <v>0.399082568807339</v>
      </c>
      <c r="AO220" s="36">
        <f>IF(E220=1,AK220/AH220,"")</f>
        <v>0.36697247706422</v>
      </c>
      <c r="AP220" s="34">
        <f>IF(E220=1,Orders!Y217,"")</f>
        <v>0.6</v>
      </c>
      <c r="AQ220" s="33">
        <f>IF(Orders!X217,1,0)</f>
        <v>0</v>
      </c>
      <c r="AR220" s="34">
        <f>IF(AND(E220=1,L220=1),AJ220,"")</f>
        <v>8.7</v>
      </c>
      <c r="AS220" s="34" t="str">
        <f>IF(AND(E220=1,L220=0),AJ220,"")</f>
        <v/>
      </c>
      <c r="AT220" s="34">
        <f>IF(AND(E220=1,L220=1),AI220,"")</f>
        <v>5.1</v>
      </c>
      <c r="AU220" s="34" t="str">
        <f>IF(AND(E220=1,L220=0),AI220,"")</f>
        <v/>
      </c>
      <c r="AV220" s="34">
        <f>IF(AND(E220=1,L220=1),AG220,"")</f>
        <v>8.6</v>
      </c>
      <c r="AW220" s="34" t="str">
        <f>IF(AND(E220=1,L220=0),AG220,"")</f>
        <v/>
      </c>
      <c r="AX220" s="34">
        <f>IF(AND(E220=1,L220=1),AH220,"")</f>
        <v>21.8</v>
      </c>
      <c r="AY220" s="34" t="str">
        <f>IF(AND(E220=1,L220=0),AH220,"")</f>
        <v/>
      </c>
      <c r="AZ220" s="34">
        <f>IF(G220=1,F220,"")</f>
        <v>13.2</v>
      </c>
      <c r="BA220" s="34">
        <f>IF(AND(G220=1,L220=1),F220,"")</f>
        <v>13.2</v>
      </c>
      <c r="BB220" s="34" t="str">
        <f>IF(AND(G220=1,L220=0),F220,"")</f>
        <v/>
      </c>
      <c r="BC220" s="33">
        <f>IF(E220=1,IF(Orders!R217&gt;3,1,0),"")</f>
        <v>1</v>
      </c>
      <c r="BD220" s="33">
        <f>IF(E220=1,IF(Orders!R217&gt;7,1,0),"")</f>
        <v>1</v>
      </c>
      <c r="BE220" s="32" t="str">
        <f>IF(E220=1,IF(Orders!L217&lt;=1.5,"Up to 1.5 km",IF(Orders!L217&lt;=3,"1.5–3 km","Over 3 km")),"")</f>
        <v>1.5–3 km</v>
      </c>
      <c r="BF220" s="33">
        <f>IF(E220=1,IF(ABS((Orders!G217-Orders!F217)*1440-Orders!R217)&lt;0.06,1,0),"")</f>
        <v>1</v>
      </c>
      <c r="BG220" s="33">
        <f>IF(ABS((Orders!F217-Orders!E217)*1440-Orders!P217)&lt;0.06,1,0)</f>
        <v>1</v>
      </c>
      <c r="BH220" s="33">
        <f>IF(E220=1,IF(IF(Orders!S217,1,0)=1-G220,1,0),"")</f>
        <v>1</v>
      </c>
      <c r="BI220" s="32" t="str">
        <f>INDEX(Stores!$B$2:$B$21,MATCH(B220,Stores!$A$2:$A$21,0))</f>
        <v>Hyderabad</v>
      </c>
    </row>
    <row r="221">
      <c r="A221" s="32" t="str">
        <f>Orders!A218</f>
        <v>O00217</v>
      </c>
      <c r="B221" s="32" t="str">
        <f>Orders!C218</f>
        <v>S015</v>
      </c>
      <c r="C221" s="32" t="str">
        <f>Orders!B218</f>
        <v>C0137</v>
      </c>
      <c r="D221" s="32" t="str">
        <f>Orders!H218</f>
        <v>Delivered</v>
      </c>
      <c r="E221" s="33">
        <f>IF(Orders!H218="Delivered",1,0)</f>
        <v>1</v>
      </c>
      <c r="F221" s="34">
        <f>IF(E221=1,Orders!R218,"")</f>
        <v>-1</v>
      </c>
      <c r="G221" s="33">
        <f>IF(E221=1,IF(Orders!R218&gt;0,1,0),"")</f>
        <v>0</v>
      </c>
      <c r="H221" s="33">
        <f>IF(E221=1,IF(Orders!R218&gt;5,1,0),"")</f>
        <v>0</v>
      </c>
      <c r="I221" s="32" t="str">
        <f>IF(E221=1,"",IF(OR(Orders!T218="Rider unavailable",Orders!T218="Item unavailable"),"Company-caused","Unresolved"))</f>
        <v/>
      </c>
      <c r="J221" s="33">
        <f>IF(OR(E221=1,I221="Company-caused"),1,0)</f>
        <v>1</v>
      </c>
      <c r="K221" s="32" t="str">
        <f>IF(E221=0,IF(I221="Company-caused",IF(Orders!T218="Rider unavailable","C1 Rider unavailable","C2 Item unavailable"),"Outside root: unresolved"),IF(G221=0,"A On time",IF(H221=1,IF(L221=1,"B2a Severe, peak","B2b Severe, off-peak"),IF(L221=1,"B1a Slight, peak","B1b Slight, off-peak"))))</f>
        <v>A On time</v>
      </c>
      <c r="L221" s="33">
        <f>IF(AND(Orders!U218&gt;=19,Orders!U218&lt;22),1,0)</f>
        <v>0</v>
      </c>
      <c r="M221" s="33">
        <f>IF(L221=IF(Orders!V218,1,0),1,0)</f>
        <v>1</v>
      </c>
      <c r="N221" s="32" t="str">
        <f>IF(Orders!W218="","None",Orders!W218)</f>
        <v>None</v>
      </c>
      <c r="O221" s="35">
        <f>INT(Orders!E218)</f>
        <v>46273.0</v>
      </c>
      <c r="P221" s="33">
        <f>Orders!U218</f>
        <v>18</v>
      </c>
      <c r="Q221" s="33">
        <f>COUNTIFS(Demand!$A$2:$A$4481,B221,Demand!$B$2:$B$4481,O221,Demand!$C$2:$C$4481,P221)</f>
        <v>1</v>
      </c>
      <c r="R221" s="33">
        <f>IF(Q221=1,SUMIFS(Demand!$E$2:$E$4481,Demand!$A$2:$A$4481,B221,Demand!$B$2:$B$4481,O221,Demand!$C$2:$C$4481,P221),"")</f>
        <v>23</v>
      </c>
      <c r="S221" s="33">
        <f>INDEX(Stores!$G$2:$G$21,MATCH(B221,Stores!$A$2:$A$21,0))</f>
        <v>23</v>
      </c>
      <c r="T221" s="34">
        <f>IF(R221="","",R221/S221)</f>
        <v>1</v>
      </c>
      <c r="U221" s="34">
        <f>IF(E221=1,T221,"")</f>
        <v>1</v>
      </c>
      <c r="V221" s="34">
        <f>IF(AND(E221=1,L221=0),T221,"")</f>
        <v>1</v>
      </c>
      <c r="W221" s="33">
        <f>IF(U221="","",IF(U221&lt;=Breakdowns!$C$5,1,IF(U221&lt;=Breakdowns!$C$6,2,IF(U221&lt;=Breakdowns!$C$7,3,4))))</f>
        <v>2</v>
      </c>
      <c r="X221" s="33">
        <f>IF(V221="","",IF(V221&lt;=Breakdowns!$D$5,1,IF(V221&lt;=Breakdowns!$D$6,2,IF(V221&lt;=Breakdowns!$D$7,3,4))))</f>
        <v>3</v>
      </c>
      <c r="Y221" s="34">
        <f>INDEX(Stores!$F$2:$F$21,MATCH(B221,Stores!$A$2:$A$21,0))</f>
        <v>4.66</v>
      </c>
      <c r="Z221" s="33">
        <f>IF(Y221&gt;Store_Summary!$M$2,1,0)</f>
        <v>0</v>
      </c>
      <c r="AA221" s="33">
        <f>INDEX(Stores!$C$2:$C$21,MATCH(B221,Stores!$A$2:$A$21,0))</f>
        <v>204</v>
      </c>
      <c r="AB221" s="33">
        <f>IF(AA221&lt;180,1,0)</f>
        <v>0</v>
      </c>
      <c r="AC221" s="32" t="str">
        <f>IF(Orders!D218="","",INDEX(Riders!$C$2:$C$81,MATCH(Orders!D218,Riders!$A$2:$A$81,0)))</f>
        <v>Petrol scooter</v>
      </c>
      <c r="AD221" s="33">
        <f>IF(Orders!D218="","",INDEX(Riders!$D$2:$D$81,MATCH(Orders!D218,Riders!$A$2:$A$81,0)))</f>
        <v>48</v>
      </c>
      <c r="AE221" s="33">
        <f>IF(Orders!D218="","",IF(INDEX(Riders!$B$2:$B$81,MATCH(Orders!D218,Riders!$A$2:$A$81,0))=B221,1,0))</f>
        <v>0</v>
      </c>
      <c r="AF221" s="34">
        <f>IF(E221=1,Orders!L218,"")</f>
        <v>2.4</v>
      </c>
      <c r="AG221" s="34">
        <f>IF(E221=1,Orders!P218,"")</f>
        <v>12</v>
      </c>
      <c r="AH221" s="34">
        <f>IF(E221=1,Orders!Q218,"")</f>
        <v>11</v>
      </c>
      <c r="AI221" s="34">
        <f>IF(E221=1,Orders!M218,"")</f>
        <v>3.3</v>
      </c>
      <c r="AJ221" s="34">
        <f>IF(E221=1,Orders!N218,"")</f>
        <v>3.7</v>
      </c>
      <c r="AK221" s="34">
        <f>IF(E221=1,Orders!O218,"")</f>
        <v>4</v>
      </c>
      <c r="AL221" s="33">
        <f>IF(E221=1,IF(ROUND(ABS(AI221+AJ221+AK221-AH221),6)&lt;=0.1,1,0),"")</f>
        <v>1</v>
      </c>
      <c r="AM221" s="36">
        <f>IF(E221=1,AI221/AH221,"")</f>
        <v>0.3</v>
      </c>
      <c r="AN221" s="36">
        <f>IF(E221=1,AJ221/AH221,"")</f>
        <v>0.336363636363636</v>
      </c>
      <c r="AO221" s="36">
        <f>IF(E221=1,AK221/AH221,"")</f>
        <v>0.363636363636364</v>
      </c>
      <c r="AP221" s="34">
        <f>IF(E221=1,Orders!Y218,"")</f>
        <v>0.13</v>
      </c>
      <c r="AQ221" s="33">
        <f>IF(Orders!X218,1,0)</f>
        <v>0</v>
      </c>
      <c r="AR221" s="34" t="str">
        <f>IF(AND(E221=1,L221=1),AJ221,"")</f>
        <v/>
      </c>
      <c r="AS221" s="34">
        <f>IF(AND(E221=1,L221=0),AJ221,"")</f>
        <v>3.7</v>
      </c>
      <c r="AT221" s="34" t="str">
        <f>IF(AND(E221=1,L221=1),AI221,"")</f>
        <v/>
      </c>
      <c r="AU221" s="34">
        <f>IF(AND(E221=1,L221=0),AI221,"")</f>
        <v>3.3</v>
      </c>
      <c r="AV221" s="34" t="str">
        <f>IF(AND(E221=1,L221=1),AG221,"")</f>
        <v/>
      </c>
      <c r="AW221" s="34">
        <f>IF(AND(E221=1,L221=0),AG221,"")</f>
        <v>12</v>
      </c>
      <c r="AX221" s="34" t="str">
        <f>IF(AND(E221=1,L221=1),AH221,"")</f>
        <v/>
      </c>
      <c r="AY221" s="34">
        <f>IF(AND(E221=1,L221=0),AH221,"")</f>
        <v>11</v>
      </c>
      <c r="AZ221" s="34" t="str">
        <f>IF(G221=1,F221,"")</f>
        <v/>
      </c>
      <c r="BA221" s="34" t="str">
        <f>IF(AND(G221=1,L221=1),F221,"")</f>
        <v/>
      </c>
      <c r="BB221" s="34" t="str">
        <f>IF(AND(G221=1,L221=0),F221,"")</f>
        <v/>
      </c>
      <c r="BC221" s="33">
        <f>IF(E221=1,IF(Orders!R218&gt;3,1,0),"")</f>
        <v>0</v>
      </c>
      <c r="BD221" s="33">
        <f>IF(E221=1,IF(Orders!R218&gt;7,1,0),"")</f>
        <v>0</v>
      </c>
      <c r="BE221" s="32" t="str">
        <f>IF(E221=1,IF(Orders!L218&lt;=1.5,"Up to 1.5 km",IF(Orders!L218&lt;=3,"1.5–3 km","Over 3 km")),"")</f>
        <v>1.5–3 km</v>
      </c>
      <c r="BF221" s="33">
        <f>IF(E221=1,IF(ABS((Orders!G218-Orders!F218)*1440-Orders!R218)&lt;0.06,1,0),"")</f>
        <v>1</v>
      </c>
      <c r="BG221" s="33">
        <f>IF(ABS((Orders!F218-Orders!E218)*1440-Orders!P218)&lt;0.06,1,0)</f>
        <v>1</v>
      </c>
      <c r="BH221" s="33">
        <f>IF(E221=1,IF(IF(Orders!S218,1,0)=1-G221,1,0),"")</f>
        <v>1</v>
      </c>
      <c r="BI221" s="32" t="str">
        <f>INDEX(Stores!$B$2:$B$21,MATCH(B221,Stores!$A$2:$A$21,0))</f>
        <v>Delhi</v>
      </c>
    </row>
    <row r="222">
      <c r="A222" s="32" t="str">
        <f>Orders!A219</f>
        <v>O00218</v>
      </c>
      <c r="B222" s="32" t="str">
        <f>Orders!C219</f>
        <v>S015</v>
      </c>
      <c r="C222" s="32" t="str">
        <f>Orders!B219</f>
        <v>C0049</v>
      </c>
      <c r="D222" s="32" t="str">
        <f>Orders!H219</f>
        <v>Delivered</v>
      </c>
      <c r="E222" s="33">
        <f>IF(Orders!H219="Delivered",1,0)</f>
        <v>1</v>
      </c>
      <c r="F222" s="34">
        <f>IF(E222=1,Orders!R219,"")</f>
        <v>-1</v>
      </c>
      <c r="G222" s="33">
        <f>IF(E222=1,IF(Orders!R219&gt;0,1,0),"")</f>
        <v>0</v>
      </c>
      <c r="H222" s="33">
        <f>IF(E222=1,IF(Orders!R219&gt;5,1,0),"")</f>
        <v>0</v>
      </c>
      <c r="I222" s="32" t="str">
        <f>IF(E222=1,"",IF(OR(Orders!T219="Rider unavailable",Orders!T219="Item unavailable"),"Company-caused","Unresolved"))</f>
        <v/>
      </c>
      <c r="J222" s="33">
        <f>IF(OR(E222=1,I222="Company-caused"),1,0)</f>
        <v>1</v>
      </c>
      <c r="K222" s="32" t="str">
        <f>IF(E222=0,IF(I222="Company-caused",IF(Orders!T219="Rider unavailable","C1 Rider unavailable","C2 Item unavailable"),"Outside root: unresolved"),IF(G222=0,"A On time",IF(H222=1,IF(L222=1,"B2a Severe, peak","B2b Severe, off-peak"),IF(L222=1,"B1a Slight, peak","B1b Slight, off-peak"))))</f>
        <v>A On time</v>
      </c>
      <c r="L222" s="33">
        <f>IF(AND(Orders!U219&gt;=19,Orders!U219&lt;22),1,0)</f>
        <v>0</v>
      </c>
      <c r="M222" s="33">
        <f>IF(L222=IF(Orders!V219,1,0),1,0)</f>
        <v>1</v>
      </c>
      <c r="N222" s="32" t="str">
        <f>IF(Orders!W219="","None",Orders!W219)</f>
        <v>Light</v>
      </c>
      <c r="O222" s="35">
        <f>INT(Orders!E219)</f>
        <v>46276.0</v>
      </c>
      <c r="P222" s="33">
        <f>Orders!U219</f>
        <v>8</v>
      </c>
      <c r="Q222" s="33">
        <f>COUNTIFS(Demand!$A$2:$A$4481,B222,Demand!$B$2:$B$4481,O222,Demand!$C$2:$C$4481,P222)</f>
        <v>1</v>
      </c>
      <c r="R222" s="33">
        <f>IF(Q222=1,SUMIFS(Demand!$E$2:$E$4481,Demand!$A$2:$A$4481,B222,Demand!$B$2:$B$4481,O222,Demand!$C$2:$C$4481,P222),"")</f>
        <v>23</v>
      </c>
      <c r="S222" s="33">
        <f>INDEX(Stores!$G$2:$G$21,MATCH(B222,Stores!$A$2:$A$21,0))</f>
        <v>23</v>
      </c>
      <c r="T222" s="34">
        <f>IF(R222="","",R222/S222)</f>
        <v>1</v>
      </c>
      <c r="U222" s="34">
        <f>IF(E222=1,T222,"")</f>
        <v>1</v>
      </c>
      <c r="V222" s="34">
        <f>IF(AND(E222=1,L222=0),T222,"")</f>
        <v>1</v>
      </c>
      <c r="W222" s="33">
        <f>IF(U222="","",IF(U222&lt;=Breakdowns!$C$5,1,IF(U222&lt;=Breakdowns!$C$6,2,IF(U222&lt;=Breakdowns!$C$7,3,4))))</f>
        <v>2</v>
      </c>
      <c r="X222" s="33">
        <f>IF(V222="","",IF(V222&lt;=Breakdowns!$D$5,1,IF(V222&lt;=Breakdowns!$D$6,2,IF(V222&lt;=Breakdowns!$D$7,3,4))))</f>
        <v>3</v>
      </c>
      <c r="Y222" s="34">
        <f>INDEX(Stores!$F$2:$F$21,MATCH(B222,Stores!$A$2:$A$21,0))</f>
        <v>4.66</v>
      </c>
      <c r="Z222" s="33">
        <f>IF(Y222&gt;Store_Summary!$M$2,1,0)</f>
        <v>0</v>
      </c>
      <c r="AA222" s="33">
        <f>INDEX(Stores!$C$2:$C$21,MATCH(B222,Stores!$A$2:$A$21,0))</f>
        <v>204</v>
      </c>
      <c r="AB222" s="33">
        <f>IF(AA222&lt;180,1,0)</f>
        <v>0</v>
      </c>
      <c r="AC222" s="32" t="str">
        <f>IF(Orders!D219="","",INDEX(Riders!$C$2:$C$81,MATCH(Orders!D219,Riders!$A$2:$A$81,0)))</f>
        <v>EV scooter</v>
      </c>
      <c r="AD222" s="33">
        <f>IF(Orders!D219="","",INDEX(Riders!$D$2:$D$81,MATCH(Orders!D219,Riders!$A$2:$A$81,0)))</f>
        <v>4</v>
      </c>
      <c r="AE222" s="33">
        <f>IF(Orders!D219="","",IF(INDEX(Riders!$B$2:$B$81,MATCH(Orders!D219,Riders!$A$2:$A$81,0))=B222,1,0))</f>
        <v>0</v>
      </c>
      <c r="AF222" s="34">
        <f>IF(E222=1,Orders!L219,"")</f>
        <v>4.4</v>
      </c>
      <c r="AG222" s="34">
        <f>IF(E222=1,Orders!P219,"")</f>
        <v>11.1</v>
      </c>
      <c r="AH222" s="34">
        <f>IF(E222=1,Orders!Q219,"")</f>
        <v>10.1</v>
      </c>
      <c r="AI222" s="34">
        <f>IF(E222=1,Orders!M219,"")</f>
        <v>2.7</v>
      </c>
      <c r="AJ222" s="34">
        <f>IF(E222=1,Orders!N219,"")</f>
        <v>2</v>
      </c>
      <c r="AK222" s="34">
        <f>IF(E222=1,Orders!O219,"")</f>
        <v>5.4</v>
      </c>
      <c r="AL222" s="33">
        <f>IF(E222=1,IF(ROUND(ABS(AI222+AJ222+AK222-AH222),6)&lt;=0.1,1,0),"")</f>
        <v>1</v>
      </c>
      <c r="AM222" s="36">
        <f>IF(E222=1,AI222/AH222,"")</f>
        <v>0.267326732673267</v>
      </c>
      <c r="AN222" s="36">
        <f>IF(E222=1,AJ222/AH222,"")</f>
        <v>0.198019801980198</v>
      </c>
      <c r="AO222" s="36">
        <f>IF(E222=1,AK222/AH222,"")</f>
        <v>0.534653465346535</v>
      </c>
      <c r="AP222" s="34">
        <f>IF(E222=1,Orders!Y219,"")</f>
        <v>0.57</v>
      </c>
      <c r="AQ222" s="33">
        <f>IF(Orders!X219,1,0)</f>
        <v>0</v>
      </c>
      <c r="AR222" s="34" t="str">
        <f>IF(AND(E222=1,L222=1),AJ222,"")</f>
        <v/>
      </c>
      <c r="AS222" s="34">
        <f>IF(AND(E222=1,L222=0),AJ222,"")</f>
        <v>2</v>
      </c>
      <c r="AT222" s="34" t="str">
        <f>IF(AND(E222=1,L222=1),AI222,"")</f>
        <v/>
      </c>
      <c r="AU222" s="34">
        <f>IF(AND(E222=1,L222=0),AI222,"")</f>
        <v>2.7</v>
      </c>
      <c r="AV222" s="34" t="str">
        <f>IF(AND(E222=1,L222=1),AG222,"")</f>
        <v/>
      </c>
      <c r="AW222" s="34">
        <f>IF(AND(E222=1,L222=0),AG222,"")</f>
        <v>11.1</v>
      </c>
      <c r="AX222" s="34" t="str">
        <f>IF(AND(E222=1,L222=1),AH222,"")</f>
        <v/>
      </c>
      <c r="AY222" s="34">
        <f>IF(AND(E222=1,L222=0),AH222,"")</f>
        <v>10.1</v>
      </c>
      <c r="AZ222" s="34" t="str">
        <f>IF(G222=1,F222,"")</f>
        <v/>
      </c>
      <c r="BA222" s="34" t="str">
        <f>IF(AND(G222=1,L222=1),F222,"")</f>
        <v/>
      </c>
      <c r="BB222" s="34" t="str">
        <f>IF(AND(G222=1,L222=0),F222,"")</f>
        <v/>
      </c>
      <c r="BC222" s="33">
        <f>IF(E222=1,IF(Orders!R219&gt;3,1,0),"")</f>
        <v>0</v>
      </c>
      <c r="BD222" s="33">
        <f>IF(E222=1,IF(Orders!R219&gt;7,1,0),"")</f>
        <v>0</v>
      </c>
      <c r="BE222" s="32" t="str">
        <f>IF(E222=1,IF(Orders!L219&lt;=1.5,"Up to 1.5 km",IF(Orders!L219&lt;=3,"1.5–3 km","Over 3 km")),"")</f>
        <v>Over 3 km</v>
      </c>
      <c r="BF222" s="33">
        <f>IF(E222=1,IF(ABS((Orders!G219-Orders!F219)*1440-Orders!R219)&lt;0.06,1,0),"")</f>
        <v>1</v>
      </c>
      <c r="BG222" s="33">
        <f>IF(ABS((Orders!F219-Orders!E219)*1440-Orders!P219)&lt;0.06,1,0)</f>
        <v>1</v>
      </c>
      <c r="BH222" s="33">
        <f>IF(E222=1,IF(IF(Orders!S219,1,0)=1-G222,1,0),"")</f>
        <v>1</v>
      </c>
      <c r="BI222" s="32" t="str">
        <f>INDEX(Stores!$B$2:$B$21,MATCH(B222,Stores!$A$2:$A$21,0))</f>
        <v>Delhi</v>
      </c>
    </row>
    <row r="223">
      <c r="A223" s="32" t="str">
        <f>Orders!A220</f>
        <v>O00219</v>
      </c>
      <c r="B223" s="32" t="str">
        <f>Orders!C220</f>
        <v>S008</v>
      </c>
      <c r="C223" s="32" t="str">
        <f>Orders!B220</f>
        <v>C0059</v>
      </c>
      <c r="D223" s="32" t="str">
        <f>Orders!H220</f>
        <v>Delivered</v>
      </c>
      <c r="E223" s="33">
        <f>IF(Orders!H220="Delivered",1,0)</f>
        <v>1</v>
      </c>
      <c r="F223" s="34">
        <f>IF(E223=1,Orders!R220,"")</f>
        <v>3.7</v>
      </c>
      <c r="G223" s="33">
        <f>IF(E223=1,IF(Orders!R220&gt;0,1,0),"")</f>
        <v>1</v>
      </c>
      <c r="H223" s="33">
        <f>IF(E223=1,IF(Orders!R220&gt;5,1,0),"")</f>
        <v>0</v>
      </c>
      <c r="I223" s="32" t="str">
        <f>IF(E223=1,"",IF(OR(Orders!T220="Rider unavailable",Orders!T220="Item unavailable"),"Company-caused","Unresolved"))</f>
        <v/>
      </c>
      <c r="J223" s="33">
        <f>IF(OR(E223=1,I223="Company-caused"),1,0)</f>
        <v>1</v>
      </c>
      <c r="K223" s="32" t="str">
        <f>IF(E223=0,IF(I223="Company-caused",IF(Orders!T220="Rider unavailable","C1 Rider unavailable","C2 Item unavailable"),"Outside root: unresolved"),IF(G223=0,"A On time",IF(H223=1,IF(L223=1,"B2a Severe, peak","B2b Severe, off-peak"),IF(L223=1,"B1a Slight, peak","B1b Slight, off-peak"))))</f>
        <v>B1b Slight, off-peak</v>
      </c>
      <c r="L223" s="33">
        <f>IF(AND(Orders!U220&gt;=19,Orders!U220&lt;22),1,0)</f>
        <v>0</v>
      </c>
      <c r="M223" s="33">
        <f>IF(L223=IF(Orders!V220,1,0),1,0)</f>
        <v>1</v>
      </c>
      <c r="N223" s="32" t="str">
        <f>IF(Orders!W220="","None",Orders!W220)</f>
        <v>None</v>
      </c>
      <c r="O223" s="35">
        <f>INT(Orders!E220)</f>
        <v>46271.0</v>
      </c>
      <c r="P223" s="33">
        <f>Orders!U220</f>
        <v>13</v>
      </c>
      <c r="Q223" s="33">
        <f>COUNTIFS(Demand!$A$2:$A$4481,B223,Demand!$B$2:$B$4481,O223,Demand!$C$2:$C$4481,P223)</f>
        <v>1</v>
      </c>
      <c r="R223" s="33">
        <f>IF(Q223=1,SUMIFS(Demand!$E$2:$E$4481,Demand!$A$2:$A$4481,B223,Demand!$B$2:$B$4481,O223,Demand!$C$2:$C$4481,P223),"")</f>
        <v>24</v>
      </c>
      <c r="S223" s="33">
        <f>INDEX(Stores!$G$2:$G$21,MATCH(B223,Stores!$A$2:$A$21,0))</f>
        <v>23</v>
      </c>
      <c r="T223" s="34">
        <f>IF(R223="","",R223/S223)</f>
        <v>1.04347826086957</v>
      </c>
      <c r="U223" s="34">
        <f>IF(E223=1,T223,"")</f>
        <v>1.04347826086957</v>
      </c>
      <c r="V223" s="34">
        <f>IF(AND(E223=1,L223=0),T223,"")</f>
        <v>1.04347826086957</v>
      </c>
      <c r="W223" s="33">
        <f>IF(U223="","",IF(U223&lt;=Breakdowns!$C$5,1,IF(U223&lt;=Breakdowns!$C$6,2,IF(U223&lt;=Breakdowns!$C$7,3,4))))</f>
        <v>3</v>
      </c>
      <c r="X223" s="33">
        <f>IF(V223="","",IF(V223&lt;=Breakdowns!$D$5,1,IF(V223&lt;=Breakdowns!$D$6,2,IF(V223&lt;=Breakdowns!$D$7,3,4))))</f>
        <v>3</v>
      </c>
      <c r="Y223" s="34">
        <f>INDEX(Stores!$F$2:$F$21,MATCH(B223,Stores!$A$2:$A$21,0))</f>
        <v>3.46</v>
      </c>
      <c r="Z223" s="33">
        <f>IF(Y223&gt;Store_Summary!$M$2,1,0)</f>
        <v>0</v>
      </c>
      <c r="AA223" s="33">
        <f>INDEX(Stores!$C$2:$C$21,MATCH(B223,Stores!$A$2:$A$21,0))</f>
        <v>825</v>
      </c>
      <c r="AB223" s="33">
        <f>IF(AA223&lt;180,1,0)</f>
        <v>0</v>
      </c>
      <c r="AC223" s="32" t="str">
        <f>IF(Orders!D220="","",INDEX(Riders!$C$2:$C$81,MATCH(Orders!D220,Riders!$A$2:$A$81,0)))</f>
        <v>EV scooter</v>
      </c>
      <c r="AD223" s="33">
        <f>IF(Orders!D220="","",INDEX(Riders!$D$2:$D$81,MATCH(Orders!D220,Riders!$A$2:$A$81,0)))</f>
        <v>33</v>
      </c>
      <c r="AE223" s="33">
        <f>IF(Orders!D220="","",IF(INDEX(Riders!$B$2:$B$81,MATCH(Orders!D220,Riders!$A$2:$A$81,0))=B223,1,0))</f>
        <v>0</v>
      </c>
      <c r="AF223" s="34">
        <f>IF(E223=1,Orders!L220,"")</f>
        <v>3.2</v>
      </c>
      <c r="AG223" s="34">
        <f>IF(E223=1,Orders!P220,"")</f>
        <v>11.5</v>
      </c>
      <c r="AH223" s="34">
        <f>IF(E223=1,Orders!Q220,"")</f>
        <v>15.2</v>
      </c>
      <c r="AI223" s="34">
        <f>IF(E223=1,Orders!M220,"")</f>
        <v>2.7</v>
      </c>
      <c r="AJ223" s="34">
        <f>IF(E223=1,Orders!N220,"")</f>
        <v>4.8</v>
      </c>
      <c r="AK223" s="34">
        <f>IF(E223=1,Orders!O220,"")</f>
        <v>7.7</v>
      </c>
      <c r="AL223" s="33">
        <f>IF(E223=1,IF(ROUND(ABS(AI223+AJ223+AK223-AH223),6)&lt;=0.1,1,0),"")</f>
        <v>1</v>
      </c>
      <c r="AM223" s="36">
        <f>IF(E223=1,AI223/AH223,"")</f>
        <v>0.177631578947368</v>
      </c>
      <c r="AN223" s="36">
        <f>IF(E223=1,AJ223/AH223,"")</f>
        <v>0.315789473684211</v>
      </c>
      <c r="AO223" s="36">
        <f>IF(E223=1,AK223/AH223,"")</f>
        <v>0.506578947368421</v>
      </c>
      <c r="AP223" s="34">
        <f>IF(E223=1,Orders!Y220,"")</f>
        <v>0.39</v>
      </c>
      <c r="AQ223" s="33">
        <f>IF(Orders!X220,1,0)</f>
        <v>1</v>
      </c>
      <c r="AR223" s="34" t="str">
        <f>IF(AND(E223=1,L223=1),AJ223,"")</f>
        <v/>
      </c>
      <c r="AS223" s="34">
        <f>IF(AND(E223=1,L223=0),AJ223,"")</f>
        <v>4.8</v>
      </c>
      <c r="AT223" s="34" t="str">
        <f>IF(AND(E223=1,L223=1),AI223,"")</f>
        <v/>
      </c>
      <c r="AU223" s="34">
        <f>IF(AND(E223=1,L223=0),AI223,"")</f>
        <v>2.7</v>
      </c>
      <c r="AV223" s="34" t="str">
        <f>IF(AND(E223=1,L223=1),AG223,"")</f>
        <v/>
      </c>
      <c r="AW223" s="34">
        <f>IF(AND(E223=1,L223=0),AG223,"")</f>
        <v>11.5</v>
      </c>
      <c r="AX223" s="34" t="str">
        <f>IF(AND(E223=1,L223=1),AH223,"")</f>
        <v/>
      </c>
      <c r="AY223" s="34">
        <f>IF(AND(E223=1,L223=0),AH223,"")</f>
        <v>15.2</v>
      </c>
      <c r="AZ223" s="34">
        <f>IF(G223=1,F223,"")</f>
        <v>3.7</v>
      </c>
      <c r="BA223" s="34" t="str">
        <f>IF(AND(G223=1,L223=1),F223,"")</f>
        <v/>
      </c>
      <c r="BB223" s="34">
        <f>IF(AND(G223=1,L223=0),F223,"")</f>
        <v>3.7</v>
      </c>
      <c r="BC223" s="33">
        <f>IF(E223=1,IF(Orders!R220&gt;3,1,0),"")</f>
        <v>1</v>
      </c>
      <c r="BD223" s="33">
        <f>IF(E223=1,IF(Orders!R220&gt;7,1,0),"")</f>
        <v>0</v>
      </c>
      <c r="BE223" s="32" t="str">
        <f>IF(E223=1,IF(Orders!L220&lt;=1.5,"Up to 1.5 km",IF(Orders!L220&lt;=3,"1.5–3 km","Over 3 km")),"")</f>
        <v>Over 3 km</v>
      </c>
      <c r="BF223" s="33">
        <f>IF(E223=1,IF(ABS((Orders!G220-Orders!F220)*1440-Orders!R220)&lt;0.06,1,0),"")</f>
        <v>1</v>
      </c>
      <c r="BG223" s="33">
        <f>IF(ABS((Orders!F220-Orders!E220)*1440-Orders!P220)&lt;0.06,1,0)</f>
        <v>1</v>
      </c>
      <c r="BH223" s="33">
        <f>IF(E223=1,IF(IF(Orders!S220,1,0)=1-G223,1,0),"")</f>
        <v>1</v>
      </c>
      <c r="BI223" s="32" t="str">
        <f>INDEX(Stores!$B$2:$B$21,MATCH(B223,Stores!$A$2:$A$21,0))</f>
        <v>Mumbai</v>
      </c>
    </row>
    <row r="224">
      <c r="A224" s="32" t="str">
        <f>Orders!A221</f>
        <v>O00220</v>
      </c>
      <c r="B224" s="32" t="str">
        <f>Orders!C221</f>
        <v>S003</v>
      </c>
      <c r="C224" s="32" t="str">
        <f>Orders!B221</f>
        <v>C0183</v>
      </c>
      <c r="D224" s="32" t="str">
        <f>Orders!H221</f>
        <v>Delivered</v>
      </c>
      <c r="E224" s="33">
        <f>IF(Orders!H221="Delivered",1,0)</f>
        <v>1</v>
      </c>
      <c r="F224" s="34">
        <f>IF(E224=1,Orders!R221,"")</f>
        <v>10.1</v>
      </c>
      <c r="G224" s="33">
        <f>IF(E224=1,IF(Orders!R221&gt;0,1,0),"")</f>
        <v>1</v>
      </c>
      <c r="H224" s="33">
        <f>IF(E224=1,IF(Orders!R221&gt;5,1,0),"")</f>
        <v>1</v>
      </c>
      <c r="I224" s="32" t="str">
        <f>IF(E224=1,"",IF(OR(Orders!T221="Rider unavailable",Orders!T221="Item unavailable"),"Company-caused","Unresolved"))</f>
        <v/>
      </c>
      <c r="J224" s="33">
        <f>IF(OR(E224=1,I224="Company-caused"),1,0)</f>
        <v>1</v>
      </c>
      <c r="K224" s="32" t="str">
        <f>IF(E224=0,IF(I224="Company-caused",IF(Orders!T221="Rider unavailable","C1 Rider unavailable","C2 Item unavailable"),"Outside root: unresolved"),IF(G224=0,"A On time",IF(H224=1,IF(L224=1,"B2a Severe, peak","B2b Severe, off-peak"),IF(L224=1,"B1a Slight, peak","B1b Slight, off-peak"))))</f>
        <v>B2a Severe, peak</v>
      </c>
      <c r="L224" s="33">
        <f>IF(AND(Orders!U221&gt;=19,Orders!U221&lt;22),1,0)</f>
        <v>1</v>
      </c>
      <c r="M224" s="33">
        <f>IF(L224=IF(Orders!V221,1,0),1,0)</f>
        <v>1</v>
      </c>
      <c r="N224" s="32" t="str">
        <f>IF(Orders!W221="","None",Orders!W221)</f>
        <v>None</v>
      </c>
      <c r="O224" s="35">
        <f>INT(Orders!E221)</f>
        <v>46272.0</v>
      </c>
      <c r="P224" s="33">
        <f>Orders!U221</f>
        <v>19</v>
      </c>
      <c r="Q224" s="33">
        <f>COUNTIFS(Demand!$A$2:$A$4481,B224,Demand!$B$2:$B$4481,O224,Demand!$C$2:$C$4481,P224)</f>
        <v>1</v>
      </c>
      <c r="R224" s="33">
        <f>IF(Q224=1,SUMIFS(Demand!$E$2:$E$4481,Demand!$A$2:$A$4481,B224,Demand!$B$2:$B$4481,O224,Demand!$C$2:$C$4481,P224),"")</f>
        <v>61</v>
      </c>
      <c r="S224" s="33">
        <f>INDEX(Stores!$G$2:$G$21,MATCH(B224,Stores!$A$2:$A$21,0))</f>
        <v>41</v>
      </c>
      <c r="T224" s="34">
        <f>IF(R224="","",R224/S224)</f>
        <v>1.48780487804878</v>
      </c>
      <c r="U224" s="34">
        <f>IF(E224=1,T224,"")</f>
        <v>1.48780487804878</v>
      </c>
      <c r="V224" s="34" t="str">
        <f>IF(AND(E224=1,L224=0),T224,"")</f>
        <v/>
      </c>
      <c r="W224" s="33">
        <f>IF(U224="","",IF(U224&lt;=Breakdowns!$C$5,1,IF(U224&lt;=Breakdowns!$C$6,2,IF(U224&lt;=Breakdowns!$C$7,3,4))))</f>
        <v>4</v>
      </c>
      <c r="X224" s="33" t="str">
        <f>IF(V224="","",IF(V224&lt;=Breakdowns!$D$5,1,IF(V224&lt;=Breakdowns!$D$6,2,IF(V224&lt;=Breakdowns!$D$7,3,4))))</f>
        <v/>
      </c>
      <c r="Y224" s="34">
        <f>INDEX(Stores!$F$2:$F$21,MATCH(B224,Stores!$A$2:$A$21,0))</f>
        <v>3.84</v>
      </c>
      <c r="Z224" s="33">
        <f>IF(Y224&gt;Store_Summary!$M$2,1,0)</f>
        <v>0</v>
      </c>
      <c r="AA224" s="33">
        <f>INDEX(Stores!$C$2:$C$21,MATCH(B224,Stores!$A$2:$A$21,0))</f>
        <v>426</v>
      </c>
      <c r="AB224" s="33">
        <f>IF(AA224&lt;180,1,0)</f>
        <v>0</v>
      </c>
      <c r="AC224" s="32" t="str">
        <f>IF(Orders!D221="","",INDEX(Riders!$C$2:$C$81,MATCH(Orders!D221,Riders!$A$2:$A$81,0)))</f>
        <v>Petrol scooter</v>
      </c>
      <c r="AD224" s="33">
        <f>IF(Orders!D221="","",INDEX(Riders!$D$2:$D$81,MATCH(Orders!D221,Riders!$A$2:$A$81,0)))</f>
        <v>35</v>
      </c>
      <c r="AE224" s="33">
        <f>IF(Orders!D221="","",IF(INDEX(Riders!$B$2:$B$81,MATCH(Orders!D221,Riders!$A$2:$A$81,0))=B224,1,0))</f>
        <v>0</v>
      </c>
      <c r="AF224" s="34">
        <f>IF(E224=1,Orders!L221,"")</f>
        <v>2.1</v>
      </c>
      <c r="AG224" s="34">
        <f>IF(E224=1,Orders!P221,"")</f>
        <v>9</v>
      </c>
      <c r="AH224" s="34">
        <f>IF(E224=1,Orders!Q221,"")</f>
        <v>19.1</v>
      </c>
      <c r="AI224" s="34">
        <f>IF(E224=1,Orders!M221,"")</f>
        <v>4.8</v>
      </c>
      <c r="AJ224" s="34">
        <f>IF(E224=1,Orders!N221,"")</f>
        <v>7.8</v>
      </c>
      <c r="AK224" s="34">
        <f>IF(E224=1,Orders!O221,"")</f>
        <v>6.5</v>
      </c>
      <c r="AL224" s="33">
        <f>IF(E224=1,IF(ROUND(ABS(AI224+AJ224+AK224-AH224),6)&lt;=0.1,1,0),"")</f>
        <v>1</v>
      </c>
      <c r="AM224" s="36">
        <f>IF(E224=1,AI224/AH224,"")</f>
        <v>0.25130890052356</v>
      </c>
      <c r="AN224" s="36">
        <f>IF(E224=1,AJ224/AH224,"")</f>
        <v>0.408376963350785</v>
      </c>
      <c r="AO224" s="36">
        <f>IF(E224=1,AK224/AH224,"")</f>
        <v>0.340314136125654</v>
      </c>
      <c r="AP224" s="34">
        <f>IF(E224=1,Orders!Y221,"")</f>
        <v>0.5</v>
      </c>
      <c r="AQ224" s="33">
        <f>IF(Orders!X221,1,0)</f>
        <v>0</v>
      </c>
      <c r="AR224" s="34">
        <f>IF(AND(E224=1,L224=1),AJ224,"")</f>
        <v>7.8</v>
      </c>
      <c r="AS224" s="34" t="str">
        <f>IF(AND(E224=1,L224=0),AJ224,"")</f>
        <v/>
      </c>
      <c r="AT224" s="34">
        <f>IF(AND(E224=1,L224=1),AI224,"")</f>
        <v>4.8</v>
      </c>
      <c r="AU224" s="34" t="str">
        <f>IF(AND(E224=1,L224=0),AI224,"")</f>
        <v/>
      </c>
      <c r="AV224" s="34">
        <f>IF(AND(E224=1,L224=1),AG224,"")</f>
        <v>9</v>
      </c>
      <c r="AW224" s="34" t="str">
        <f>IF(AND(E224=1,L224=0),AG224,"")</f>
        <v/>
      </c>
      <c r="AX224" s="34">
        <f>IF(AND(E224=1,L224=1),AH224,"")</f>
        <v>19.1</v>
      </c>
      <c r="AY224" s="34" t="str">
        <f>IF(AND(E224=1,L224=0),AH224,"")</f>
        <v/>
      </c>
      <c r="AZ224" s="34">
        <f>IF(G224=1,F224,"")</f>
        <v>10.1</v>
      </c>
      <c r="BA224" s="34">
        <f>IF(AND(G224=1,L224=1),F224,"")</f>
        <v>10.1</v>
      </c>
      <c r="BB224" s="34" t="str">
        <f>IF(AND(G224=1,L224=0),F224,"")</f>
        <v/>
      </c>
      <c r="BC224" s="33">
        <f>IF(E224=1,IF(Orders!R221&gt;3,1,0),"")</f>
        <v>1</v>
      </c>
      <c r="BD224" s="33">
        <f>IF(E224=1,IF(Orders!R221&gt;7,1,0),"")</f>
        <v>1</v>
      </c>
      <c r="BE224" s="32" t="str">
        <f>IF(E224=1,IF(Orders!L221&lt;=1.5,"Up to 1.5 km",IF(Orders!L221&lt;=3,"1.5–3 km","Over 3 km")),"")</f>
        <v>1.5–3 km</v>
      </c>
      <c r="BF224" s="33">
        <f>IF(E224=1,IF(ABS((Orders!G221-Orders!F221)*1440-Orders!R221)&lt;0.06,1,0),"")</f>
        <v>1</v>
      </c>
      <c r="BG224" s="33">
        <f>IF(ABS((Orders!F221-Orders!E221)*1440-Orders!P221)&lt;0.06,1,0)</f>
        <v>1</v>
      </c>
      <c r="BH224" s="33">
        <f>IF(E224=1,IF(IF(Orders!S221,1,0)=1-G224,1,0),"")</f>
        <v>1</v>
      </c>
      <c r="BI224" s="32" t="str">
        <f>INDEX(Stores!$B$2:$B$21,MATCH(B224,Stores!$A$2:$A$21,0))</f>
        <v>Mumbai</v>
      </c>
    </row>
    <row r="225">
      <c r="A225" s="32" t="str">
        <f>Orders!A222</f>
        <v>O00221</v>
      </c>
      <c r="B225" s="32" t="str">
        <f>Orders!C222</f>
        <v>S005</v>
      </c>
      <c r="C225" s="32" t="str">
        <f>Orders!B222</f>
        <v>C0119</v>
      </c>
      <c r="D225" s="32" t="str">
        <f>Orders!H222</f>
        <v>Delivered</v>
      </c>
      <c r="E225" s="33">
        <f>IF(Orders!H222="Delivered",1,0)</f>
        <v>1</v>
      </c>
      <c r="F225" s="34">
        <f>IF(E225=1,Orders!R222,"")</f>
        <v>-0.9</v>
      </c>
      <c r="G225" s="33">
        <f>IF(E225=1,IF(Orders!R222&gt;0,1,0),"")</f>
        <v>0</v>
      </c>
      <c r="H225" s="33">
        <f>IF(E225=1,IF(Orders!R222&gt;5,1,0),"")</f>
        <v>0</v>
      </c>
      <c r="I225" s="32" t="str">
        <f>IF(E225=1,"",IF(OR(Orders!T222="Rider unavailable",Orders!T222="Item unavailable"),"Company-caused","Unresolved"))</f>
        <v/>
      </c>
      <c r="J225" s="33">
        <f>IF(OR(E225=1,I225="Company-caused"),1,0)</f>
        <v>1</v>
      </c>
      <c r="K225" s="32" t="str">
        <f>IF(E225=0,IF(I225="Company-caused",IF(Orders!T222="Rider unavailable","C1 Rider unavailable","C2 Item unavailable"),"Outside root: unresolved"),IF(G225=0,"A On time",IF(H225=1,IF(L225=1,"B2a Severe, peak","B2b Severe, off-peak"),IF(L225=1,"B1a Slight, peak","B1b Slight, off-peak"))))</f>
        <v>A On time</v>
      </c>
      <c r="L225" s="33">
        <f>IF(AND(Orders!U222&gt;=19,Orders!U222&lt;22),1,0)</f>
        <v>0</v>
      </c>
      <c r="M225" s="33">
        <f>IF(L225=IF(Orders!V222,1,0),1,0)</f>
        <v>1</v>
      </c>
      <c r="N225" s="32" t="str">
        <f>IF(Orders!W222="","None",Orders!W222)</f>
        <v>Light</v>
      </c>
      <c r="O225" s="35">
        <f>INT(Orders!E222)</f>
        <v>46275.0</v>
      </c>
      <c r="P225" s="33">
        <f>Orders!U222</f>
        <v>23</v>
      </c>
      <c r="Q225" s="33">
        <f>COUNTIFS(Demand!$A$2:$A$4481,B225,Demand!$B$2:$B$4481,O225,Demand!$C$2:$C$4481,P225)</f>
        <v>1</v>
      </c>
      <c r="R225" s="33">
        <f>IF(Q225=1,SUMIFS(Demand!$E$2:$E$4481,Demand!$A$2:$A$4481,B225,Demand!$B$2:$B$4481,O225,Demand!$C$2:$C$4481,P225),"")</f>
        <v>13</v>
      </c>
      <c r="S225" s="33">
        <f>INDEX(Stores!$G$2:$G$21,MATCH(B225,Stores!$A$2:$A$21,0))</f>
        <v>14</v>
      </c>
      <c r="T225" s="34">
        <f>IF(R225="","",R225/S225)</f>
        <v>0.928571428571429</v>
      </c>
      <c r="U225" s="34">
        <f>IF(E225=1,T225,"")</f>
        <v>0.928571428571429</v>
      </c>
      <c r="V225" s="34">
        <f>IF(AND(E225=1,L225=0),T225,"")</f>
        <v>0.928571428571429</v>
      </c>
      <c r="W225" s="33">
        <f>IF(U225="","",IF(U225&lt;=Breakdowns!$C$5,1,IF(U225&lt;=Breakdowns!$C$6,2,IF(U225&lt;=Breakdowns!$C$7,3,4))))</f>
        <v>2</v>
      </c>
      <c r="X225" s="33">
        <f>IF(V225="","",IF(V225&lt;=Breakdowns!$D$5,1,IF(V225&lt;=Breakdowns!$D$6,2,IF(V225&lt;=Breakdowns!$D$7,3,4))))</f>
        <v>3</v>
      </c>
      <c r="Y225" s="34">
        <f>INDEX(Stores!$F$2:$F$21,MATCH(B225,Stores!$A$2:$A$21,0))</f>
        <v>4.89</v>
      </c>
      <c r="Z225" s="33">
        <f>IF(Y225&gt;Store_Summary!$M$2,1,0)</f>
        <v>0</v>
      </c>
      <c r="AA225" s="33">
        <f>INDEX(Stores!$C$2:$C$21,MATCH(B225,Stores!$A$2:$A$21,0))</f>
        <v>138</v>
      </c>
      <c r="AB225" s="33">
        <f>IF(AA225&lt;180,1,0)</f>
        <v>1</v>
      </c>
      <c r="AC225" s="32" t="str">
        <f>IF(Orders!D222="","",INDEX(Riders!$C$2:$C$81,MATCH(Orders!D222,Riders!$A$2:$A$81,0)))</f>
        <v>EV scooter</v>
      </c>
      <c r="AD225" s="33">
        <f>IF(Orders!D222="","",INDEX(Riders!$D$2:$D$81,MATCH(Orders!D222,Riders!$A$2:$A$81,0)))</f>
        <v>1</v>
      </c>
      <c r="AE225" s="33">
        <f>IF(Orders!D222="","",IF(INDEX(Riders!$B$2:$B$81,MATCH(Orders!D222,Riders!$A$2:$A$81,0))=B225,1,0))</f>
        <v>0</v>
      </c>
      <c r="AF225" s="34">
        <f>IF(E225=1,Orders!L222,"")</f>
        <v>3.08</v>
      </c>
      <c r="AG225" s="34">
        <f>IF(E225=1,Orders!P222,"")</f>
        <v>11.8</v>
      </c>
      <c r="AH225" s="34">
        <f>IF(E225=1,Orders!Q222,"")</f>
        <v>10.9</v>
      </c>
      <c r="AI225" s="34">
        <f>IF(E225=1,Orders!M222,"")</f>
        <v>3.6</v>
      </c>
      <c r="AJ225" s="34">
        <f>IF(E225=1,Orders!N222,"")</f>
        <v>1.6</v>
      </c>
      <c r="AK225" s="34">
        <f>IF(E225=1,Orders!O222,"")</f>
        <v>5.7</v>
      </c>
      <c r="AL225" s="33">
        <f>IF(E225=1,IF(ROUND(ABS(AI225+AJ225+AK225-AH225),6)&lt;=0.1,1,0),"")</f>
        <v>1</v>
      </c>
      <c r="AM225" s="36">
        <f>IF(E225=1,AI225/AH225,"")</f>
        <v>0.330275229357798</v>
      </c>
      <c r="AN225" s="36">
        <f>IF(E225=1,AJ225/AH225,"")</f>
        <v>0.146788990825688</v>
      </c>
      <c r="AO225" s="36">
        <f>IF(E225=1,AK225/AH225,"")</f>
        <v>0.522935779816514</v>
      </c>
      <c r="AP225" s="34">
        <f>IF(E225=1,Orders!Y222,"")</f>
        <v>0.54</v>
      </c>
      <c r="AQ225" s="33">
        <f>IF(Orders!X222,1,0)</f>
        <v>1</v>
      </c>
      <c r="AR225" s="34" t="str">
        <f>IF(AND(E225=1,L225=1),AJ225,"")</f>
        <v/>
      </c>
      <c r="AS225" s="34">
        <f>IF(AND(E225=1,L225=0),AJ225,"")</f>
        <v>1.6</v>
      </c>
      <c r="AT225" s="34" t="str">
        <f>IF(AND(E225=1,L225=1),AI225,"")</f>
        <v/>
      </c>
      <c r="AU225" s="34">
        <f>IF(AND(E225=1,L225=0),AI225,"")</f>
        <v>3.6</v>
      </c>
      <c r="AV225" s="34" t="str">
        <f>IF(AND(E225=1,L225=1),AG225,"")</f>
        <v/>
      </c>
      <c r="AW225" s="34">
        <f>IF(AND(E225=1,L225=0),AG225,"")</f>
        <v>11.8</v>
      </c>
      <c r="AX225" s="34" t="str">
        <f>IF(AND(E225=1,L225=1),AH225,"")</f>
        <v/>
      </c>
      <c r="AY225" s="34">
        <f>IF(AND(E225=1,L225=0),AH225,"")</f>
        <v>10.9</v>
      </c>
      <c r="AZ225" s="34" t="str">
        <f>IF(G225=1,F225,"")</f>
        <v/>
      </c>
      <c r="BA225" s="34" t="str">
        <f>IF(AND(G225=1,L225=1),F225,"")</f>
        <v/>
      </c>
      <c r="BB225" s="34" t="str">
        <f>IF(AND(G225=1,L225=0),F225,"")</f>
        <v/>
      </c>
      <c r="BC225" s="33">
        <f>IF(E225=1,IF(Orders!R222&gt;3,1,0),"")</f>
        <v>0</v>
      </c>
      <c r="BD225" s="33">
        <f>IF(E225=1,IF(Orders!R222&gt;7,1,0),"")</f>
        <v>0</v>
      </c>
      <c r="BE225" s="32" t="str">
        <f>IF(E225=1,IF(Orders!L222&lt;=1.5,"Up to 1.5 km",IF(Orders!L222&lt;=3,"1.5–3 km","Over 3 km")),"")</f>
        <v>Over 3 km</v>
      </c>
      <c r="BF225" s="33">
        <f>IF(E225=1,IF(ABS((Orders!G222-Orders!F222)*1440-Orders!R222)&lt;0.06,1,0),"")</f>
        <v>1</v>
      </c>
      <c r="BG225" s="33">
        <f>IF(ABS((Orders!F222-Orders!E222)*1440-Orders!P222)&lt;0.06,1,0)</f>
        <v>1</v>
      </c>
      <c r="BH225" s="33">
        <f>IF(E225=1,IF(IF(Orders!S222,1,0)=1-G225,1,0),"")</f>
        <v>1</v>
      </c>
      <c r="BI225" s="32" t="str">
        <f>INDEX(Stores!$B$2:$B$21,MATCH(B225,Stores!$A$2:$A$21,0))</f>
        <v>Delhi</v>
      </c>
    </row>
    <row r="226">
      <c r="A226" s="32" t="str">
        <f>Orders!A223</f>
        <v>O00222</v>
      </c>
      <c r="B226" s="32" t="str">
        <f>Orders!C223</f>
        <v>S009</v>
      </c>
      <c r="C226" s="32" t="str">
        <f>Orders!B223</f>
        <v>C0194</v>
      </c>
      <c r="D226" s="32" t="str">
        <f>Orders!H223</f>
        <v>Delivered</v>
      </c>
      <c r="E226" s="33">
        <f>IF(Orders!H223="Delivered",1,0)</f>
        <v>1</v>
      </c>
      <c r="F226" s="34">
        <f>IF(E226=1,Orders!R223,"")</f>
        <v>-1.1</v>
      </c>
      <c r="G226" s="33">
        <f>IF(E226=1,IF(Orders!R223&gt;0,1,0),"")</f>
        <v>0</v>
      </c>
      <c r="H226" s="33">
        <f>IF(E226=1,IF(Orders!R223&gt;5,1,0),"")</f>
        <v>0</v>
      </c>
      <c r="I226" s="32" t="str">
        <f>IF(E226=1,"",IF(OR(Orders!T223="Rider unavailable",Orders!T223="Item unavailable"),"Company-caused","Unresolved"))</f>
        <v/>
      </c>
      <c r="J226" s="33">
        <f>IF(OR(E226=1,I226="Company-caused"),1,0)</f>
        <v>1</v>
      </c>
      <c r="K226" s="32" t="str">
        <f>IF(E226=0,IF(I226="Company-caused",IF(Orders!T223="Rider unavailable","C1 Rider unavailable","C2 Item unavailable"),"Outside root: unresolved"),IF(G226=0,"A On time",IF(H226=1,IF(L226=1,"B2a Severe, peak","B2b Severe, off-peak"),IF(L226=1,"B1a Slight, peak","B1b Slight, off-peak"))))</f>
        <v>A On time</v>
      </c>
      <c r="L226" s="33">
        <f>IF(AND(Orders!U223&gt;=19,Orders!U223&lt;22),1,0)</f>
        <v>0</v>
      </c>
      <c r="M226" s="33">
        <f>IF(L226=IF(Orders!V223,1,0),1,0)</f>
        <v>1</v>
      </c>
      <c r="N226" s="32" t="str">
        <f>IF(Orders!W223="","None",Orders!W223)</f>
        <v>None</v>
      </c>
      <c r="O226" s="35">
        <f>INT(Orders!E223)</f>
        <v>46273.0</v>
      </c>
      <c r="P226" s="33">
        <f>Orders!U223</f>
        <v>11</v>
      </c>
      <c r="Q226" s="33">
        <f>COUNTIFS(Demand!$A$2:$A$4481,B226,Demand!$B$2:$B$4481,O226,Demand!$C$2:$C$4481,P226)</f>
        <v>1</v>
      </c>
      <c r="R226" s="33">
        <f>IF(Q226=1,SUMIFS(Demand!$E$2:$E$4481,Demand!$A$2:$A$4481,B226,Demand!$B$2:$B$4481,O226,Demand!$C$2:$C$4481,P226),"")</f>
        <v>23</v>
      </c>
      <c r="S226" s="33">
        <f>INDEX(Stores!$G$2:$G$21,MATCH(B226,Stores!$A$2:$A$21,0))</f>
        <v>29</v>
      </c>
      <c r="T226" s="34">
        <f>IF(R226="","",R226/S226)</f>
        <v>0.793103448275862</v>
      </c>
      <c r="U226" s="34">
        <f>IF(E226=1,T226,"")</f>
        <v>0.793103448275862</v>
      </c>
      <c r="V226" s="34">
        <f>IF(AND(E226=1,L226=0),T226,"")</f>
        <v>0.793103448275862</v>
      </c>
      <c r="W226" s="33">
        <f>IF(U226="","",IF(U226&lt;=Breakdowns!$C$5,1,IF(U226&lt;=Breakdowns!$C$6,2,IF(U226&lt;=Breakdowns!$C$7,3,4))))</f>
        <v>2</v>
      </c>
      <c r="X226" s="33">
        <f>IF(V226="","",IF(V226&lt;=Breakdowns!$D$5,1,IF(V226&lt;=Breakdowns!$D$6,2,IF(V226&lt;=Breakdowns!$D$7,3,4))))</f>
        <v>2</v>
      </c>
      <c r="Y226" s="34">
        <f>INDEX(Stores!$F$2:$F$21,MATCH(B226,Stores!$A$2:$A$21,0))</f>
        <v>2.66</v>
      </c>
      <c r="Z226" s="33">
        <f>IF(Y226&gt;Store_Summary!$M$2,1,0)</f>
        <v>0</v>
      </c>
      <c r="AA226" s="33">
        <f>INDEX(Stores!$C$2:$C$21,MATCH(B226,Stores!$A$2:$A$21,0))</f>
        <v>645</v>
      </c>
      <c r="AB226" s="33">
        <f>IF(AA226&lt;180,1,0)</f>
        <v>0</v>
      </c>
      <c r="AC226" s="32" t="str">
        <f>IF(Orders!D223="","",INDEX(Riders!$C$2:$C$81,MATCH(Orders!D223,Riders!$A$2:$A$81,0)))</f>
        <v>EV scooter</v>
      </c>
      <c r="AD226" s="33">
        <f>IF(Orders!D223="","",INDEX(Riders!$D$2:$D$81,MATCH(Orders!D223,Riders!$A$2:$A$81,0)))</f>
        <v>4</v>
      </c>
      <c r="AE226" s="33">
        <f>IF(Orders!D223="","",IF(INDEX(Riders!$B$2:$B$81,MATCH(Orders!D223,Riders!$A$2:$A$81,0))=B226,1,0))</f>
        <v>0</v>
      </c>
      <c r="AF226" s="34">
        <f>IF(E226=1,Orders!L223,"")</f>
        <v>1.89</v>
      </c>
      <c r="AG226" s="34">
        <f>IF(E226=1,Orders!P223,"")</f>
        <v>11.5</v>
      </c>
      <c r="AH226" s="34">
        <f>IF(E226=1,Orders!Q223,"")</f>
        <v>10.4</v>
      </c>
      <c r="AI226" s="34">
        <f>IF(E226=1,Orders!M223,"")</f>
        <v>3.2</v>
      </c>
      <c r="AJ226" s="34">
        <f>IF(E226=1,Orders!N223,"")</f>
        <v>2.4</v>
      </c>
      <c r="AK226" s="34">
        <f>IF(E226=1,Orders!O223,"")</f>
        <v>4.8</v>
      </c>
      <c r="AL226" s="33">
        <f>IF(E226=1,IF(ROUND(ABS(AI226+AJ226+AK226-AH226),6)&lt;=0.1,1,0),"")</f>
        <v>1</v>
      </c>
      <c r="AM226" s="36">
        <f>IF(E226=1,AI226/AH226,"")</f>
        <v>0.307692307692308</v>
      </c>
      <c r="AN226" s="36">
        <f>IF(E226=1,AJ226/AH226,"")</f>
        <v>0.230769230769231</v>
      </c>
      <c r="AO226" s="36">
        <f>IF(E226=1,AK226/AH226,"")</f>
        <v>0.461538461538462</v>
      </c>
      <c r="AP226" s="34">
        <f>IF(E226=1,Orders!Y223,"")</f>
        <v>0.54</v>
      </c>
      <c r="AQ226" s="33">
        <f>IF(Orders!X223,1,0)</f>
        <v>0</v>
      </c>
      <c r="AR226" s="34" t="str">
        <f>IF(AND(E226=1,L226=1),AJ226,"")</f>
        <v/>
      </c>
      <c r="AS226" s="34">
        <f>IF(AND(E226=1,L226=0),AJ226,"")</f>
        <v>2.4</v>
      </c>
      <c r="AT226" s="34" t="str">
        <f>IF(AND(E226=1,L226=1),AI226,"")</f>
        <v/>
      </c>
      <c r="AU226" s="34">
        <f>IF(AND(E226=1,L226=0),AI226,"")</f>
        <v>3.2</v>
      </c>
      <c r="AV226" s="34" t="str">
        <f>IF(AND(E226=1,L226=1),AG226,"")</f>
        <v/>
      </c>
      <c r="AW226" s="34">
        <f>IF(AND(E226=1,L226=0),AG226,"")</f>
        <v>11.5</v>
      </c>
      <c r="AX226" s="34" t="str">
        <f>IF(AND(E226=1,L226=1),AH226,"")</f>
        <v/>
      </c>
      <c r="AY226" s="34">
        <f>IF(AND(E226=1,L226=0),AH226,"")</f>
        <v>10.4</v>
      </c>
      <c r="AZ226" s="34" t="str">
        <f>IF(G226=1,F226,"")</f>
        <v/>
      </c>
      <c r="BA226" s="34" t="str">
        <f>IF(AND(G226=1,L226=1),F226,"")</f>
        <v/>
      </c>
      <c r="BB226" s="34" t="str">
        <f>IF(AND(G226=1,L226=0),F226,"")</f>
        <v/>
      </c>
      <c r="BC226" s="33">
        <f>IF(E226=1,IF(Orders!R223&gt;3,1,0),"")</f>
        <v>0</v>
      </c>
      <c r="BD226" s="33">
        <f>IF(E226=1,IF(Orders!R223&gt;7,1,0),"")</f>
        <v>0</v>
      </c>
      <c r="BE226" s="32" t="str">
        <f>IF(E226=1,IF(Orders!L223&lt;=1.5,"Up to 1.5 km",IF(Orders!L223&lt;=3,"1.5–3 km","Over 3 km")),"")</f>
        <v>1.5–3 km</v>
      </c>
      <c r="BF226" s="33">
        <f>IF(E226=1,IF(ABS((Orders!G223-Orders!F223)*1440-Orders!R223)&lt;0.06,1,0),"")</f>
        <v>1</v>
      </c>
      <c r="BG226" s="33">
        <f>IF(ABS((Orders!F223-Orders!E223)*1440-Orders!P223)&lt;0.06,1,0)</f>
        <v>1</v>
      </c>
      <c r="BH226" s="33">
        <f>IF(E226=1,IF(IF(Orders!S223,1,0)=1-G226,1,0),"")</f>
        <v>1</v>
      </c>
      <c r="BI226" s="32" t="str">
        <f>INDEX(Stores!$B$2:$B$21,MATCH(B226,Stores!$A$2:$A$21,0))</f>
        <v>Pune</v>
      </c>
    </row>
    <row r="227">
      <c r="A227" s="32" t="str">
        <f>Orders!A224</f>
        <v>O00223</v>
      </c>
      <c r="B227" s="32" t="str">
        <f>Orders!C224</f>
        <v>S018</v>
      </c>
      <c r="C227" s="32" t="str">
        <f>Orders!B224</f>
        <v>C0086</v>
      </c>
      <c r="D227" s="32" t="str">
        <f>Orders!H224</f>
        <v>Delivered</v>
      </c>
      <c r="E227" s="33">
        <f>IF(Orders!H224="Delivered",1,0)</f>
        <v>1</v>
      </c>
      <c r="F227" s="34">
        <f>IF(E227=1,Orders!R224,"")</f>
        <v>-0.7</v>
      </c>
      <c r="G227" s="33">
        <f>IF(E227=1,IF(Orders!R224&gt;0,1,0),"")</f>
        <v>0</v>
      </c>
      <c r="H227" s="33">
        <f>IF(E227=1,IF(Orders!R224&gt;5,1,0),"")</f>
        <v>0</v>
      </c>
      <c r="I227" s="32" t="str">
        <f>IF(E227=1,"",IF(OR(Orders!T224="Rider unavailable",Orders!T224="Item unavailable"),"Company-caused","Unresolved"))</f>
        <v/>
      </c>
      <c r="J227" s="33">
        <f>IF(OR(E227=1,I227="Company-caused"),1,0)</f>
        <v>1</v>
      </c>
      <c r="K227" s="32" t="str">
        <f>IF(E227=0,IF(I227="Company-caused",IF(Orders!T224="Rider unavailable","C1 Rider unavailable","C2 Item unavailable"),"Outside root: unresolved"),IF(G227=0,"A On time",IF(H227=1,IF(L227=1,"B2a Severe, peak","B2b Severe, off-peak"),IF(L227=1,"B1a Slight, peak","B1b Slight, off-peak"))))</f>
        <v>A On time</v>
      </c>
      <c r="L227" s="33">
        <f>IF(AND(Orders!U224&gt;=19,Orders!U224&lt;22),1,0)</f>
        <v>0</v>
      </c>
      <c r="M227" s="33">
        <f>IF(L227=IF(Orders!V224,1,0),1,0)</f>
        <v>1</v>
      </c>
      <c r="N227" s="32" t="str">
        <f>IF(Orders!W224="","None",Orders!W224)</f>
        <v>None</v>
      </c>
      <c r="O227" s="35">
        <f>INT(Orders!E224)</f>
        <v>46270.0</v>
      </c>
      <c r="P227" s="33">
        <f>Orders!U224</f>
        <v>23</v>
      </c>
      <c r="Q227" s="33">
        <f>COUNTIFS(Demand!$A$2:$A$4481,B227,Demand!$B$2:$B$4481,O227,Demand!$C$2:$C$4481,P227)</f>
        <v>1</v>
      </c>
      <c r="R227" s="33">
        <f>IF(Q227=1,SUMIFS(Demand!$E$2:$E$4481,Demand!$A$2:$A$4481,B227,Demand!$B$2:$B$4481,O227,Demand!$C$2:$C$4481,P227),"")</f>
        <v>29</v>
      </c>
      <c r="S227" s="33">
        <f>INDEX(Stores!$G$2:$G$21,MATCH(B227,Stores!$A$2:$A$21,0))</f>
        <v>20</v>
      </c>
      <c r="T227" s="34">
        <f>IF(R227="","",R227/S227)</f>
        <v>1.45</v>
      </c>
      <c r="U227" s="34">
        <f>IF(E227=1,T227,"")</f>
        <v>1.45</v>
      </c>
      <c r="V227" s="34">
        <f>IF(AND(E227=1,L227=0),T227,"")</f>
        <v>1.45</v>
      </c>
      <c r="W227" s="33">
        <f>IF(U227="","",IF(U227&lt;=Breakdowns!$C$5,1,IF(U227&lt;=Breakdowns!$C$6,2,IF(U227&lt;=Breakdowns!$C$7,3,4))))</f>
        <v>4</v>
      </c>
      <c r="X227" s="33">
        <f>IF(V227="","",IF(V227&lt;=Breakdowns!$D$5,1,IF(V227&lt;=Breakdowns!$D$6,2,IF(V227&lt;=Breakdowns!$D$7,3,4))))</f>
        <v>4</v>
      </c>
      <c r="Y227" s="34">
        <f>INDEX(Stores!$F$2:$F$21,MATCH(B227,Stores!$A$2:$A$21,0))</f>
        <v>5.31</v>
      </c>
      <c r="Z227" s="33">
        <f>IF(Y227&gt;Store_Summary!$M$2,1,0)</f>
        <v>1</v>
      </c>
      <c r="AA227" s="33">
        <f>INDEX(Stores!$C$2:$C$21,MATCH(B227,Stores!$A$2:$A$21,0))</f>
        <v>214</v>
      </c>
      <c r="AB227" s="33">
        <f>IF(AA227&lt;180,1,0)</f>
        <v>0</v>
      </c>
      <c r="AC227" s="32" t="str">
        <f>IF(Orders!D224="","",INDEX(Riders!$C$2:$C$81,MATCH(Orders!D224,Riders!$A$2:$A$81,0)))</f>
        <v>EV scooter</v>
      </c>
      <c r="AD227" s="33">
        <f>IF(Orders!D224="","",INDEX(Riders!$D$2:$D$81,MATCH(Orders!D224,Riders!$A$2:$A$81,0)))</f>
        <v>45</v>
      </c>
      <c r="AE227" s="33">
        <f>IF(Orders!D224="","",IF(INDEX(Riders!$B$2:$B$81,MATCH(Orders!D224,Riders!$A$2:$A$81,0))=B227,1,0))</f>
        <v>0</v>
      </c>
      <c r="AF227" s="34">
        <f>IF(E227=1,Orders!L224,"")</f>
        <v>0.56</v>
      </c>
      <c r="AG227" s="34">
        <f>IF(E227=1,Orders!P224,"")</f>
        <v>8.8</v>
      </c>
      <c r="AH227" s="34">
        <f>IF(E227=1,Orders!Q224,"")</f>
        <v>8.1</v>
      </c>
      <c r="AI227" s="34">
        <f>IF(E227=1,Orders!M224,"")</f>
        <v>2.9</v>
      </c>
      <c r="AJ227" s="34">
        <f>IF(E227=1,Orders!N224,"")</f>
        <v>3.2</v>
      </c>
      <c r="AK227" s="34">
        <f>IF(E227=1,Orders!O224,"")</f>
        <v>2</v>
      </c>
      <c r="AL227" s="33">
        <f>IF(E227=1,IF(ROUND(ABS(AI227+AJ227+AK227-AH227),6)&lt;=0.1,1,0),"")</f>
        <v>1</v>
      </c>
      <c r="AM227" s="36">
        <f>IF(E227=1,AI227/AH227,"")</f>
        <v>0.358024691358025</v>
      </c>
      <c r="AN227" s="36">
        <f>IF(E227=1,AJ227/AH227,"")</f>
        <v>0.395061728395062</v>
      </c>
      <c r="AO227" s="36">
        <f>IF(E227=1,AK227/AH227,"")</f>
        <v>0.246913580246914</v>
      </c>
      <c r="AP227" s="34">
        <f>IF(E227=1,Orders!Y224,"")</f>
        <v>0.7</v>
      </c>
      <c r="AQ227" s="33">
        <f>IF(Orders!X224,1,0)</f>
        <v>0</v>
      </c>
      <c r="AR227" s="34" t="str">
        <f>IF(AND(E227=1,L227=1),AJ227,"")</f>
        <v/>
      </c>
      <c r="AS227" s="34">
        <f>IF(AND(E227=1,L227=0),AJ227,"")</f>
        <v>3.2</v>
      </c>
      <c r="AT227" s="34" t="str">
        <f>IF(AND(E227=1,L227=1),AI227,"")</f>
        <v/>
      </c>
      <c r="AU227" s="34">
        <f>IF(AND(E227=1,L227=0),AI227,"")</f>
        <v>2.9</v>
      </c>
      <c r="AV227" s="34" t="str">
        <f>IF(AND(E227=1,L227=1),AG227,"")</f>
        <v/>
      </c>
      <c r="AW227" s="34">
        <f>IF(AND(E227=1,L227=0),AG227,"")</f>
        <v>8.8</v>
      </c>
      <c r="AX227" s="34" t="str">
        <f>IF(AND(E227=1,L227=1),AH227,"")</f>
        <v/>
      </c>
      <c r="AY227" s="34">
        <f>IF(AND(E227=1,L227=0),AH227,"")</f>
        <v>8.1</v>
      </c>
      <c r="AZ227" s="34" t="str">
        <f>IF(G227=1,F227,"")</f>
        <v/>
      </c>
      <c r="BA227" s="34" t="str">
        <f>IF(AND(G227=1,L227=1),F227,"")</f>
        <v/>
      </c>
      <c r="BB227" s="34" t="str">
        <f>IF(AND(G227=1,L227=0),F227,"")</f>
        <v/>
      </c>
      <c r="BC227" s="33">
        <f>IF(E227=1,IF(Orders!R224&gt;3,1,0),"")</f>
        <v>0</v>
      </c>
      <c r="BD227" s="33">
        <f>IF(E227=1,IF(Orders!R224&gt;7,1,0),"")</f>
        <v>0</v>
      </c>
      <c r="BE227" s="32" t="str">
        <f>IF(E227=1,IF(Orders!L224&lt;=1.5,"Up to 1.5 km",IF(Orders!L224&lt;=3,"1.5–3 km","Over 3 km")),"")</f>
        <v>Up to 1.5 km</v>
      </c>
      <c r="BF227" s="33">
        <f>IF(E227=1,IF(ABS((Orders!G224-Orders!F224)*1440-Orders!R224)&lt;0.06,1,0),"")</f>
        <v>1</v>
      </c>
      <c r="BG227" s="33">
        <f>IF(ABS((Orders!F224-Orders!E224)*1440-Orders!P224)&lt;0.06,1,0)</f>
        <v>1</v>
      </c>
      <c r="BH227" s="33">
        <f>IF(E227=1,IF(IF(Orders!S224,1,0)=1-G227,1,0),"")</f>
        <v>1</v>
      </c>
      <c r="BI227" s="32" t="str">
        <f>INDEX(Stores!$B$2:$B$21,MATCH(B227,Stores!$A$2:$A$21,0))</f>
        <v>Mumbai</v>
      </c>
    </row>
    <row r="228">
      <c r="A228" s="32" t="str">
        <f>Orders!A225</f>
        <v>O00224</v>
      </c>
      <c r="B228" s="32" t="str">
        <f>Orders!C225</f>
        <v>S020</v>
      </c>
      <c r="C228" s="32" t="str">
        <f>Orders!B225</f>
        <v>C0122</v>
      </c>
      <c r="D228" s="32" t="str">
        <f>Orders!H225</f>
        <v>Cancelled</v>
      </c>
      <c r="E228" s="33">
        <f>IF(Orders!H225="Delivered",1,0)</f>
        <v>0</v>
      </c>
      <c r="F228" s="34" t="str">
        <f>IF(E228=1,Orders!R225,"")</f>
        <v/>
      </c>
      <c r="G228" s="33" t="str">
        <f>IF(E228=1,IF(Orders!R225&gt;0,1,0),"")</f>
        <v/>
      </c>
      <c r="H228" s="33" t="str">
        <f>IF(E228=1,IF(Orders!R225&gt;5,1,0),"")</f>
        <v/>
      </c>
      <c r="I228" s="32" t="str">
        <f>IF(E228=1,"",IF(OR(Orders!T225="Rider unavailable",Orders!T225="Item unavailable"),"Company-caused","Unresolved"))</f>
        <v>Company-caused</v>
      </c>
      <c r="J228" s="33">
        <f>IF(OR(E228=1,I228="Company-caused"),1,0)</f>
        <v>1</v>
      </c>
      <c r="K228" s="32" t="str">
        <f>IF(E228=0,IF(I228="Company-caused",IF(Orders!T225="Rider unavailable","C1 Rider unavailable","C2 Item unavailable"),"Outside root: unresolved"),IF(G228=0,"A On time",IF(H228=1,IF(L228=1,"B2a Severe, peak","B2b Severe, off-peak"),IF(L228=1,"B1a Slight, peak","B1b Slight, off-peak"))))</f>
        <v>C1 Rider unavailable</v>
      </c>
      <c r="L228" s="33">
        <f>IF(AND(Orders!U225&gt;=19,Orders!U225&lt;22),1,0)</f>
        <v>0</v>
      </c>
      <c r="M228" s="33">
        <f>IF(L228=IF(Orders!V225,1,0),1,0)</f>
        <v>1</v>
      </c>
      <c r="N228" s="32" t="str">
        <f>IF(Orders!W225="","None",Orders!W225)</f>
        <v>None</v>
      </c>
      <c r="O228" s="35">
        <f>INT(Orders!E225)</f>
        <v>46278.0</v>
      </c>
      <c r="P228" s="33">
        <f>Orders!U225</f>
        <v>17</v>
      </c>
      <c r="Q228" s="33">
        <f>COUNTIFS(Demand!$A$2:$A$4481,B228,Demand!$B$2:$B$4481,O228,Demand!$C$2:$C$4481,P228)</f>
        <v>1</v>
      </c>
      <c r="R228" s="33">
        <f>IF(Q228=1,SUMIFS(Demand!$E$2:$E$4481,Demand!$A$2:$A$4481,B228,Demand!$B$2:$B$4481,O228,Demand!$C$2:$C$4481,P228),"")</f>
        <v>21</v>
      </c>
      <c r="S228" s="33">
        <f>INDEX(Stores!$G$2:$G$21,MATCH(B228,Stores!$A$2:$A$21,0))</f>
        <v>15</v>
      </c>
      <c r="T228" s="34">
        <f>IF(R228="","",R228/S228)</f>
        <v>1.4</v>
      </c>
      <c r="U228" s="34" t="str">
        <f>IF(E228=1,T228,"")</f>
        <v/>
      </c>
      <c r="V228" s="34" t="str">
        <f>IF(AND(E228=1,L228=0),T228,"")</f>
        <v/>
      </c>
      <c r="W228" s="33" t="str">
        <f>IF(U228="","",IF(U228&lt;=Breakdowns!$C$5,1,IF(U228&lt;=Breakdowns!$C$6,2,IF(U228&lt;=Breakdowns!$C$7,3,4))))</f>
        <v/>
      </c>
      <c r="X228" s="33" t="str">
        <f>IF(V228="","",IF(V228&lt;=Breakdowns!$D$5,1,IF(V228&lt;=Breakdowns!$D$6,2,IF(V228&lt;=Breakdowns!$D$7,3,4))))</f>
        <v/>
      </c>
      <c r="Y228" s="34">
        <f>INDEX(Stores!$F$2:$F$21,MATCH(B228,Stores!$A$2:$A$21,0))</f>
        <v>5.74</v>
      </c>
      <c r="Z228" s="33">
        <f>IF(Y228&gt;Store_Summary!$M$2,1,0)</f>
        <v>1</v>
      </c>
      <c r="AA228" s="33">
        <f>INDEX(Stores!$C$2:$C$21,MATCH(B228,Stores!$A$2:$A$21,0))</f>
        <v>647</v>
      </c>
      <c r="AB228" s="33">
        <f>IF(AA228&lt;180,1,0)</f>
        <v>0</v>
      </c>
      <c r="AC228" s="32" t="str">
        <f>IF(Orders!D225="","",INDEX(Riders!$C$2:$C$81,MATCH(Orders!D225,Riders!$A$2:$A$81,0)))</f>
        <v/>
      </c>
      <c r="AD228" s="33" t="str">
        <f>IF(Orders!D225="","",INDEX(Riders!$D$2:$D$81,MATCH(Orders!D225,Riders!$A$2:$A$81,0)))</f>
        <v/>
      </c>
      <c r="AE228" s="33" t="str">
        <f>IF(Orders!D225="","",IF(INDEX(Riders!$B$2:$B$81,MATCH(Orders!D225,Riders!$A$2:$A$81,0))=B228,1,0))</f>
        <v/>
      </c>
      <c r="AF228" s="34" t="str">
        <f>IF(E228=1,Orders!L225,"")</f>
        <v/>
      </c>
      <c r="AG228" s="34" t="str">
        <f>IF(E228=1,Orders!P225,"")</f>
        <v/>
      </c>
      <c r="AH228" s="34" t="str">
        <f>IF(E228=1,Orders!Q225,"")</f>
        <v/>
      </c>
      <c r="AI228" s="34" t="str">
        <f>IF(E228=1,Orders!M225,"")</f>
        <v/>
      </c>
      <c r="AJ228" s="34" t="str">
        <f>IF(E228=1,Orders!N225,"")</f>
        <v/>
      </c>
      <c r="AK228" s="34" t="str">
        <f>IF(E228=1,Orders!O225,"")</f>
        <v/>
      </c>
      <c r="AL228" s="33" t="str">
        <f>IF(E228=1,IF(ROUND(ABS(AI228+AJ228+AK228-AH228),6)&lt;=0.1,1,0),"")</f>
        <v/>
      </c>
      <c r="AM228" s="36" t="str">
        <f>IF(E228=1,AI228/AH228,"")</f>
        <v/>
      </c>
      <c r="AN228" s="36" t="str">
        <f>IF(E228=1,AJ228/AH228,"")</f>
        <v/>
      </c>
      <c r="AO228" s="36" t="str">
        <f>IF(E228=1,AK228/AH228,"")</f>
        <v/>
      </c>
      <c r="AP228" s="34" t="str">
        <f>IF(E228=1,Orders!Y225,"")</f>
        <v/>
      </c>
      <c r="AQ228" s="33">
        <f>IF(Orders!X225,1,0)</f>
        <v>0</v>
      </c>
      <c r="AR228" s="34" t="str">
        <f>IF(AND(E228=1,L228=1),AJ228,"")</f>
        <v/>
      </c>
      <c r="AS228" s="34" t="str">
        <f>IF(AND(E228=1,L228=0),AJ228,"")</f>
        <v/>
      </c>
      <c r="AT228" s="34" t="str">
        <f>IF(AND(E228=1,L228=1),AI228,"")</f>
        <v/>
      </c>
      <c r="AU228" s="34" t="str">
        <f>IF(AND(E228=1,L228=0),AI228,"")</f>
        <v/>
      </c>
      <c r="AV228" s="34" t="str">
        <f>IF(AND(E228=1,L228=1),AG228,"")</f>
        <v/>
      </c>
      <c r="AW228" s="34" t="str">
        <f>IF(AND(E228=1,L228=0),AG228,"")</f>
        <v/>
      </c>
      <c r="AX228" s="34" t="str">
        <f>IF(AND(E228=1,L228=1),AH228,"")</f>
        <v/>
      </c>
      <c r="AY228" s="34" t="str">
        <f>IF(AND(E228=1,L228=0),AH228,"")</f>
        <v/>
      </c>
      <c r="AZ228" s="34" t="str">
        <f>IF(G228=1,F228,"")</f>
        <v/>
      </c>
      <c r="BA228" s="34" t="str">
        <f>IF(AND(G228=1,L228=1),F228,"")</f>
        <v/>
      </c>
      <c r="BB228" s="34" t="str">
        <f>IF(AND(G228=1,L228=0),F228,"")</f>
        <v/>
      </c>
      <c r="BC228" s="33" t="str">
        <f>IF(E228=1,IF(Orders!R225&gt;3,1,0),"")</f>
        <v/>
      </c>
      <c r="BD228" s="33" t="str">
        <f>IF(E228=1,IF(Orders!R225&gt;7,1,0),"")</f>
        <v/>
      </c>
      <c r="BE228" s="32" t="str">
        <f>IF(E228=1,IF(Orders!L225&lt;=1.5,"Up to 1.5 km",IF(Orders!L225&lt;=3,"1.5–3 km","Over 3 km")),"")</f>
        <v/>
      </c>
      <c r="BF228" s="33" t="str">
        <f>IF(E228=1,IF(ABS((Orders!G225-Orders!F225)*1440-Orders!R225)&lt;0.06,1,0),"")</f>
        <v/>
      </c>
      <c r="BG228" s="33">
        <f>IF(ABS((Orders!F225-Orders!E225)*1440-Orders!P225)&lt;0.06,1,0)</f>
        <v>1</v>
      </c>
      <c r="BH228" s="33" t="str">
        <f>IF(E228=1,IF(IF(Orders!S225,1,0)=1-G228,1,0),"")</f>
        <v/>
      </c>
      <c r="BI228" s="32" t="str">
        <f>INDEX(Stores!$B$2:$B$21,MATCH(B228,Stores!$A$2:$A$21,0))</f>
        <v>Delhi</v>
      </c>
    </row>
    <row r="229">
      <c r="A229" s="32" t="str">
        <f>Orders!A226</f>
        <v>O00225</v>
      </c>
      <c r="B229" s="32" t="str">
        <f>Orders!C226</f>
        <v>S018</v>
      </c>
      <c r="C229" s="32" t="str">
        <f>Orders!B226</f>
        <v>C0139</v>
      </c>
      <c r="D229" s="32" t="str">
        <f>Orders!H226</f>
        <v>Delivered</v>
      </c>
      <c r="E229" s="33">
        <f>IF(Orders!H226="Delivered",1,0)</f>
        <v>1</v>
      </c>
      <c r="F229" s="34">
        <f>IF(E229=1,Orders!R226,"")</f>
        <v>-0.9</v>
      </c>
      <c r="G229" s="33">
        <f>IF(E229=1,IF(Orders!R226&gt;0,1,0),"")</f>
        <v>0</v>
      </c>
      <c r="H229" s="33">
        <f>IF(E229=1,IF(Orders!R226&gt;5,1,0),"")</f>
        <v>0</v>
      </c>
      <c r="I229" s="32" t="str">
        <f>IF(E229=1,"",IF(OR(Orders!T226="Rider unavailable",Orders!T226="Item unavailable"),"Company-caused","Unresolved"))</f>
        <v/>
      </c>
      <c r="J229" s="33">
        <f>IF(OR(E229=1,I229="Company-caused"),1,0)</f>
        <v>1</v>
      </c>
      <c r="K229" s="32" t="str">
        <f>IF(E229=0,IF(I229="Company-caused",IF(Orders!T226="Rider unavailable","C1 Rider unavailable","C2 Item unavailable"),"Outside root: unresolved"),IF(G229=0,"A On time",IF(H229=1,IF(L229=1,"B2a Severe, peak","B2b Severe, off-peak"),IF(L229=1,"B1a Slight, peak","B1b Slight, off-peak"))))</f>
        <v>A On time</v>
      </c>
      <c r="L229" s="33">
        <f>IF(AND(Orders!U226&gt;=19,Orders!U226&lt;22),1,0)</f>
        <v>0</v>
      </c>
      <c r="M229" s="33">
        <f>IF(L229=IF(Orders!V226,1,0),1,0)</f>
        <v>1</v>
      </c>
      <c r="N229" s="32" t="str">
        <f>IF(Orders!W226="","None",Orders!W226)</f>
        <v>None</v>
      </c>
      <c r="O229" s="35">
        <f>INT(Orders!E226)</f>
        <v>46273.0</v>
      </c>
      <c r="P229" s="33">
        <f>Orders!U226</f>
        <v>16</v>
      </c>
      <c r="Q229" s="33">
        <f>COUNTIFS(Demand!$A$2:$A$4481,B229,Demand!$B$2:$B$4481,O229,Demand!$C$2:$C$4481,P229)</f>
        <v>1</v>
      </c>
      <c r="R229" s="33">
        <f>IF(Q229=1,SUMIFS(Demand!$E$2:$E$4481,Demand!$A$2:$A$4481,B229,Demand!$B$2:$B$4481,O229,Demand!$C$2:$C$4481,P229),"")</f>
        <v>15</v>
      </c>
      <c r="S229" s="33">
        <f>INDEX(Stores!$G$2:$G$21,MATCH(B229,Stores!$A$2:$A$21,0))</f>
        <v>20</v>
      </c>
      <c r="T229" s="34">
        <f>IF(R229="","",R229/S229)</f>
        <v>0.75</v>
      </c>
      <c r="U229" s="34">
        <f>IF(E229=1,T229,"")</f>
        <v>0.75</v>
      </c>
      <c r="V229" s="34">
        <f>IF(AND(E229=1,L229=0),T229,"")</f>
        <v>0.75</v>
      </c>
      <c r="W229" s="33">
        <f>IF(U229="","",IF(U229&lt;=Breakdowns!$C$5,1,IF(U229&lt;=Breakdowns!$C$6,2,IF(U229&lt;=Breakdowns!$C$7,3,4))))</f>
        <v>1</v>
      </c>
      <c r="X229" s="33">
        <f>IF(V229="","",IF(V229&lt;=Breakdowns!$D$5,1,IF(V229&lt;=Breakdowns!$D$6,2,IF(V229&lt;=Breakdowns!$D$7,3,4))))</f>
        <v>1</v>
      </c>
      <c r="Y229" s="34">
        <f>INDEX(Stores!$F$2:$F$21,MATCH(B229,Stores!$A$2:$A$21,0))</f>
        <v>5.31</v>
      </c>
      <c r="Z229" s="33">
        <f>IF(Y229&gt;Store_Summary!$M$2,1,0)</f>
        <v>1</v>
      </c>
      <c r="AA229" s="33">
        <f>INDEX(Stores!$C$2:$C$21,MATCH(B229,Stores!$A$2:$A$21,0))</f>
        <v>214</v>
      </c>
      <c r="AB229" s="33">
        <f>IF(AA229&lt;180,1,0)</f>
        <v>0</v>
      </c>
      <c r="AC229" s="32" t="str">
        <f>IF(Orders!D226="","",INDEX(Riders!$C$2:$C$81,MATCH(Orders!D226,Riders!$A$2:$A$81,0)))</f>
        <v>Petrol scooter</v>
      </c>
      <c r="AD229" s="33">
        <f>IF(Orders!D226="","",INDEX(Riders!$D$2:$D$81,MATCH(Orders!D226,Riders!$A$2:$A$81,0)))</f>
        <v>32</v>
      </c>
      <c r="AE229" s="33">
        <f>IF(Orders!D226="","",IF(INDEX(Riders!$B$2:$B$81,MATCH(Orders!D226,Riders!$A$2:$A$81,0))=B229,1,0))</f>
        <v>0</v>
      </c>
      <c r="AF229" s="34">
        <f>IF(E229=1,Orders!L226,"")</f>
        <v>3.69</v>
      </c>
      <c r="AG229" s="34">
        <f>IF(E229=1,Orders!P226,"")</f>
        <v>11.1</v>
      </c>
      <c r="AH229" s="34">
        <f>IF(E229=1,Orders!Q226,"")</f>
        <v>10.2</v>
      </c>
      <c r="AI229" s="34">
        <f>IF(E229=1,Orders!M226,"")</f>
        <v>2.7</v>
      </c>
      <c r="AJ229" s="34">
        <f>IF(E229=1,Orders!N226,"")</f>
        <v>3.7</v>
      </c>
      <c r="AK229" s="34">
        <f>IF(E229=1,Orders!O226,"")</f>
        <v>3.8</v>
      </c>
      <c r="AL229" s="33">
        <f>IF(E229=1,IF(ROUND(ABS(AI229+AJ229+AK229-AH229),6)&lt;=0.1,1,0),"")</f>
        <v>1</v>
      </c>
      <c r="AM229" s="36">
        <f>IF(E229=1,AI229/AH229,"")</f>
        <v>0.264705882352941</v>
      </c>
      <c r="AN229" s="36">
        <f>IF(E229=1,AJ229/AH229,"")</f>
        <v>0.362745098039216</v>
      </c>
      <c r="AO229" s="36">
        <f>IF(E229=1,AK229/AH229,"")</f>
        <v>0.372549019607843</v>
      </c>
      <c r="AP229" s="34">
        <f>IF(E229=1,Orders!Y226,"")</f>
        <v>0.09</v>
      </c>
      <c r="AQ229" s="33">
        <f>IF(Orders!X226,1,0)</f>
        <v>0</v>
      </c>
      <c r="AR229" s="34" t="str">
        <f>IF(AND(E229=1,L229=1),AJ229,"")</f>
        <v/>
      </c>
      <c r="AS229" s="34">
        <f>IF(AND(E229=1,L229=0),AJ229,"")</f>
        <v>3.7</v>
      </c>
      <c r="AT229" s="34" t="str">
        <f>IF(AND(E229=1,L229=1),AI229,"")</f>
        <v/>
      </c>
      <c r="AU229" s="34">
        <f>IF(AND(E229=1,L229=0),AI229,"")</f>
        <v>2.7</v>
      </c>
      <c r="AV229" s="34" t="str">
        <f>IF(AND(E229=1,L229=1),AG229,"")</f>
        <v/>
      </c>
      <c r="AW229" s="34">
        <f>IF(AND(E229=1,L229=0),AG229,"")</f>
        <v>11.1</v>
      </c>
      <c r="AX229" s="34" t="str">
        <f>IF(AND(E229=1,L229=1),AH229,"")</f>
        <v/>
      </c>
      <c r="AY229" s="34">
        <f>IF(AND(E229=1,L229=0),AH229,"")</f>
        <v>10.2</v>
      </c>
      <c r="AZ229" s="34" t="str">
        <f>IF(G229=1,F229,"")</f>
        <v/>
      </c>
      <c r="BA229" s="34" t="str">
        <f>IF(AND(G229=1,L229=1),F229,"")</f>
        <v/>
      </c>
      <c r="BB229" s="34" t="str">
        <f>IF(AND(G229=1,L229=0),F229,"")</f>
        <v/>
      </c>
      <c r="BC229" s="33">
        <f>IF(E229=1,IF(Orders!R226&gt;3,1,0),"")</f>
        <v>0</v>
      </c>
      <c r="BD229" s="33">
        <f>IF(E229=1,IF(Orders!R226&gt;7,1,0),"")</f>
        <v>0</v>
      </c>
      <c r="BE229" s="32" t="str">
        <f>IF(E229=1,IF(Orders!L226&lt;=1.5,"Up to 1.5 km",IF(Orders!L226&lt;=3,"1.5–3 km","Over 3 km")),"")</f>
        <v>Over 3 km</v>
      </c>
      <c r="BF229" s="33">
        <f>IF(E229=1,IF(ABS((Orders!G226-Orders!F226)*1440-Orders!R226)&lt;0.06,1,0),"")</f>
        <v>1</v>
      </c>
      <c r="BG229" s="33">
        <f>IF(ABS((Orders!F226-Orders!E226)*1440-Orders!P226)&lt;0.06,1,0)</f>
        <v>1</v>
      </c>
      <c r="BH229" s="33">
        <f>IF(E229=1,IF(IF(Orders!S226,1,0)=1-G229,1,0),"")</f>
        <v>1</v>
      </c>
      <c r="BI229" s="32" t="str">
        <f>INDEX(Stores!$B$2:$B$21,MATCH(B229,Stores!$A$2:$A$21,0))</f>
        <v>Mumbai</v>
      </c>
    </row>
    <row r="230">
      <c r="A230" s="32" t="str">
        <f>Orders!A227</f>
        <v>O00226</v>
      </c>
      <c r="B230" s="32" t="str">
        <f>Orders!C227</f>
        <v>S002</v>
      </c>
      <c r="C230" s="32" t="str">
        <f>Orders!B227</f>
        <v>C0157</v>
      </c>
      <c r="D230" s="32" t="str">
        <f>Orders!H227</f>
        <v>Delivered</v>
      </c>
      <c r="E230" s="33">
        <f>IF(Orders!H227="Delivered",1,0)</f>
        <v>1</v>
      </c>
      <c r="F230" s="34">
        <f>IF(E230=1,Orders!R227,"")</f>
        <v>-1</v>
      </c>
      <c r="G230" s="33">
        <f>IF(E230=1,IF(Orders!R227&gt;0,1,0),"")</f>
        <v>0</v>
      </c>
      <c r="H230" s="33">
        <f>IF(E230=1,IF(Orders!R227&gt;5,1,0),"")</f>
        <v>0</v>
      </c>
      <c r="I230" s="32" t="str">
        <f>IF(E230=1,"",IF(OR(Orders!T227="Rider unavailable",Orders!T227="Item unavailable"),"Company-caused","Unresolved"))</f>
        <v/>
      </c>
      <c r="J230" s="33">
        <f>IF(OR(E230=1,I230="Company-caused"),1,0)</f>
        <v>1</v>
      </c>
      <c r="K230" s="32" t="str">
        <f>IF(E230=0,IF(I230="Company-caused",IF(Orders!T227="Rider unavailable","C1 Rider unavailable","C2 Item unavailable"),"Outside root: unresolved"),IF(G230=0,"A On time",IF(H230=1,IF(L230=1,"B2a Severe, peak","B2b Severe, off-peak"),IF(L230=1,"B1a Slight, peak","B1b Slight, off-peak"))))</f>
        <v>A On time</v>
      </c>
      <c r="L230" s="33">
        <f>IF(AND(Orders!U227&gt;=19,Orders!U227&lt;22),1,0)</f>
        <v>0</v>
      </c>
      <c r="M230" s="33">
        <f>IF(L230=IF(Orders!V227,1,0),1,0)</f>
        <v>1</v>
      </c>
      <c r="N230" s="32" t="str">
        <f>IF(Orders!W227="","None",Orders!W227)</f>
        <v>Light</v>
      </c>
      <c r="O230" s="35">
        <f>INT(Orders!E227)</f>
        <v>46269.0</v>
      </c>
      <c r="P230" s="33">
        <f>Orders!U227</f>
        <v>22</v>
      </c>
      <c r="Q230" s="33">
        <f>COUNTIFS(Demand!$A$2:$A$4481,B230,Demand!$B$2:$B$4481,O230,Demand!$C$2:$C$4481,P230)</f>
        <v>1</v>
      </c>
      <c r="R230" s="33">
        <f>IF(Q230=1,SUMIFS(Demand!$E$2:$E$4481,Demand!$A$2:$A$4481,B230,Demand!$B$2:$B$4481,O230,Demand!$C$2:$C$4481,P230),"")</f>
        <v>37</v>
      </c>
      <c r="S230" s="33">
        <f>INDEX(Stores!$G$2:$G$21,MATCH(B230,Stores!$A$2:$A$21,0))</f>
        <v>33</v>
      </c>
      <c r="T230" s="34">
        <f>IF(R230="","",R230/S230)</f>
        <v>1.12121212121212</v>
      </c>
      <c r="U230" s="34">
        <f>IF(E230=1,T230,"")</f>
        <v>1.12121212121212</v>
      </c>
      <c r="V230" s="34">
        <f>IF(AND(E230=1,L230=0),T230,"")</f>
        <v>1.12121212121212</v>
      </c>
      <c r="W230" s="33">
        <f>IF(U230="","",IF(U230&lt;=Breakdowns!$C$5,1,IF(U230&lt;=Breakdowns!$C$6,2,IF(U230&lt;=Breakdowns!$C$7,3,4))))</f>
        <v>3</v>
      </c>
      <c r="X230" s="33">
        <f>IF(V230="","",IF(V230&lt;=Breakdowns!$D$5,1,IF(V230&lt;=Breakdowns!$D$6,2,IF(V230&lt;=Breakdowns!$D$7,3,4))))</f>
        <v>4</v>
      </c>
      <c r="Y230" s="34">
        <f>INDEX(Stores!$F$2:$F$21,MATCH(B230,Stores!$A$2:$A$21,0))</f>
        <v>2.39</v>
      </c>
      <c r="Z230" s="33">
        <f>IF(Y230&gt;Store_Summary!$M$2,1,0)</f>
        <v>0</v>
      </c>
      <c r="AA230" s="33">
        <f>INDEX(Stores!$C$2:$C$21,MATCH(B230,Stores!$A$2:$A$21,0))</f>
        <v>470</v>
      </c>
      <c r="AB230" s="33">
        <f>IF(AA230&lt;180,1,0)</f>
        <v>0</v>
      </c>
      <c r="AC230" s="32" t="str">
        <f>IF(Orders!D227="","",INDEX(Riders!$C$2:$C$81,MATCH(Orders!D227,Riders!$A$2:$A$81,0)))</f>
        <v>Petrol scooter</v>
      </c>
      <c r="AD230" s="33">
        <f>IF(Orders!D227="","",INDEX(Riders!$D$2:$D$81,MATCH(Orders!D227,Riders!$A$2:$A$81,0)))</f>
        <v>15</v>
      </c>
      <c r="AE230" s="33">
        <f>IF(Orders!D227="","",IF(INDEX(Riders!$B$2:$B$81,MATCH(Orders!D227,Riders!$A$2:$A$81,0))=B230,1,0))</f>
        <v>0</v>
      </c>
      <c r="AF230" s="34">
        <f>IF(E230=1,Orders!L227,"")</f>
        <v>3.48</v>
      </c>
      <c r="AG230" s="34">
        <f>IF(E230=1,Orders!P227,"")</f>
        <v>12.1</v>
      </c>
      <c r="AH230" s="34">
        <f>IF(E230=1,Orders!Q227,"")</f>
        <v>11.1</v>
      </c>
      <c r="AI230" s="34">
        <f>IF(E230=1,Orders!M227,"")</f>
        <v>1.7</v>
      </c>
      <c r="AJ230" s="34">
        <f>IF(E230=1,Orders!N227,"")</f>
        <v>2.8</v>
      </c>
      <c r="AK230" s="34">
        <f>IF(E230=1,Orders!O227,"")</f>
        <v>6.6</v>
      </c>
      <c r="AL230" s="33">
        <f>IF(E230=1,IF(ROUND(ABS(AI230+AJ230+AK230-AH230),6)&lt;=0.1,1,0),"")</f>
        <v>1</v>
      </c>
      <c r="AM230" s="36">
        <f>IF(E230=1,AI230/AH230,"")</f>
        <v>0.153153153153153</v>
      </c>
      <c r="AN230" s="36">
        <f>IF(E230=1,AJ230/AH230,"")</f>
        <v>0.252252252252252</v>
      </c>
      <c r="AO230" s="36">
        <f>IF(E230=1,AK230/AH230,"")</f>
        <v>0.594594594594595</v>
      </c>
      <c r="AP230" s="34">
        <f>IF(E230=1,Orders!Y227,"")</f>
        <v>0.71</v>
      </c>
      <c r="AQ230" s="33">
        <f>IF(Orders!X227,1,0)</f>
        <v>0</v>
      </c>
      <c r="AR230" s="34" t="str">
        <f>IF(AND(E230=1,L230=1),AJ230,"")</f>
        <v/>
      </c>
      <c r="AS230" s="34">
        <f>IF(AND(E230=1,L230=0),AJ230,"")</f>
        <v>2.8</v>
      </c>
      <c r="AT230" s="34" t="str">
        <f>IF(AND(E230=1,L230=1),AI230,"")</f>
        <v/>
      </c>
      <c r="AU230" s="34">
        <f>IF(AND(E230=1,L230=0),AI230,"")</f>
        <v>1.7</v>
      </c>
      <c r="AV230" s="34" t="str">
        <f>IF(AND(E230=1,L230=1),AG230,"")</f>
        <v/>
      </c>
      <c r="AW230" s="34">
        <f>IF(AND(E230=1,L230=0),AG230,"")</f>
        <v>12.1</v>
      </c>
      <c r="AX230" s="34" t="str">
        <f>IF(AND(E230=1,L230=1),AH230,"")</f>
        <v/>
      </c>
      <c r="AY230" s="34">
        <f>IF(AND(E230=1,L230=0),AH230,"")</f>
        <v>11.1</v>
      </c>
      <c r="AZ230" s="34" t="str">
        <f>IF(G230=1,F230,"")</f>
        <v/>
      </c>
      <c r="BA230" s="34" t="str">
        <f>IF(AND(G230=1,L230=1),F230,"")</f>
        <v/>
      </c>
      <c r="BB230" s="34" t="str">
        <f>IF(AND(G230=1,L230=0),F230,"")</f>
        <v/>
      </c>
      <c r="BC230" s="33">
        <f>IF(E230=1,IF(Orders!R227&gt;3,1,0),"")</f>
        <v>0</v>
      </c>
      <c r="BD230" s="33">
        <f>IF(E230=1,IF(Orders!R227&gt;7,1,0),"")</f>
        <v>0</v>
      </c>
      <c r="BE230" s="32" t="str">
        <f>IF(E230=1,IF(Orders!L227&lt;=1.5,"Up to 1.5 km",IF(Orders!L227&lt;=3,"1.5–3 km","Over 3 km")),"")</f>
        <v>Over 3 km</v>
      </c>
      <c r="BF230" s="33">
        <f>IF(E230=1,IF(ABS((Orders!G227-Orders!F227)*1440-Orders!R227)&lt;0.06,1,0),"")</f>
        <v>1</v>
      </c>
      <c r="BG230" s="33">
        <f>IF(ABS((Orders!F227-Orders!E227)*1440-Orders!P227)&lt;0.06,1,0)</f>
        <v>1</v>
      </c>
      <c r="BH230" s="33">
        <f>IF(E230=1,IF(IF(Orders!S227,1,0)=1-G230,1,0),"")</f>
        <v>1</v>
      </c>
      <c r="BI230" s="32" t="str">
        <f>INDEX(Stores!$B$2:$B$21,MATCH(B230,Stores!$A$2:$A$21,0))</f>
        <v>Hyderabad</v>
      </c>
    </row>
    <row r="231">
      <c r="A231" s="32" t="str">
        <f>Orders!A228</f>
        <v>O00227</v>
      </c>
      <c r="B231" s="32" t="str">
        <f>Orders!C228</f>
        <v>S004</v>
      </c>
      <c r="C231" s="32" t="str">
        <f>Orders!B228</f>
        <v>C0227</v>
      </c>
      <c r="D231" s="32" t="str">
        <f>Orders!H228</f>
        <v>Delivered</v>
      </c>
      <c r="E231" s="33">
        <f>IF(Orders!H228="Delivered",1,0)</f>
        <v>1</v>
      </c>
      <c r="F231" s="34">
        <f>IF(E231=1,Orders!R228,"")</f>
        <v>-1.1</v>
      </c>
      <c r="G231" s="33">
        <f>IF(E231=1,IF(Orders!R228&gt;0,1,0),"")</f>
        <v>0</v>
      </c>
      <c r="H231" s="33">
        <f>IF(E231=1,IF(Orders!R228&gt;5,1,0),"")</f>
        <v>0</v>
      </c>
      <c r="I231" s="32" t="str">
        <f>IF(E231=1,"",IF(OR(Orders!T228="Rider unavailable",Orders!T228="Item unavailable"),"Company-caused","Unresolved"))</f>
        <v/>
      </c>
      <c r="J231" s="33">
        <f>IF(OR(E231=1,I231="Company-caused"),1,0)</f>
        <v>1</v>
      </c>
      <c r="K231" s="32" t="str">
        <f>IF(E231=0,IF(I231="Company-caused",IF(Orders!T228="Rider unavailable","C1 Rider unavailable","C2 Item unavailable"),"Outside root: unresolved"),IF(G231=0,"A On time",IF(H231=1,IF(L231=1,"B2a Severe, peak","B2b Severe, off-peak"),IF(L231=1,"B1a Slight, peak","B1b Slight, off-peak"))))</f>
        <v>A On time</v>
      </c>
      <c r="L231" s="33">
        <f>IF(AND(Orders!U228&gt;=19,Orders!U228&lt;22),1,0)</f>
        <v>0</v>
      </c>
      <c r="M231" s="33">
        <f>IF(L231=IF(Orders!V228,1,0),1,0)</f>
        <v>1</v>
      </c>
      <c r="N231" s="32" t="str">
        <f>IF(Orders!W228="","None",Orders!W228)</f>
        <v>None</v>
      </c>
      <c r="O231" s="35">
        <f>INT(Orders!E228)</f>
        <v>46279.0</v>
      </c>
      <c r="P231" s="33">
        <f>Orders!U228</f>
        <v>13</v>
      </c>
      <c r="Q231" s="33">
        <f>COUNTIFS(Demand!$A$2:$A$4481,B231,Demand!$B$2:$B$4481,O231,Demand!$C$2:$C$4481,P231)</f>
        <v>1</v>
      </c>
      <c r="R231" s="33">
        <f>IF(Q231=1,SUMIFS(Demand!$E$2:$E$4481,Demand!$A$2:$A$4481,B231,Demand!$B$2:$B$4481,O231,Demand!$C$2:$C$4481,P231),"")</f>
        <v>32</v>
      </c>
      <c r="S231" s="33">
        <f>INDEX(Stores!$G$2:$G$21,MATCH(B231,Stores!$A$2:$A$21,0))</f>
        <v>42</v>
      </c>
      <c r="T231" s="34">
        <f>IF(R231="","",R231/S231)</f>
        <v>0.761904761904762</v>
      </c>
      <c r="U231" s="34">
        <f>IF(E231=1,T231,"")</f>
        <v>0.761904761904762</v>
      </c>
      <c r="V231" s="34">
        <f>IF(AND(E231=1,L231=0),T231,"")</f>
        <v>0.761904761904762</v>
      </c>
      <c r="W231" s="33">
        <f>IF(U231="","",IF(U231&lt;=Breakdowns!$C$5,1,IF(U231&lt;=Breakdowns!$C$6,2,IF(U231&lt;=Breakdowns!$C$7,3,4))))</f>
        <v>1</v>
      </c>
      <c r="X231" s="33">
        <f>IF(V231="","",IF(V231&lt;=Breakdowns!$D$5,1,IF(V231&lt;=Breakdowns!$D$6,2,IF(V231&lt;=Breakdowns!$D$7,3,4))))</f>
        <v>2</v>
      </c>
      <c r="Y231" s="34">
        <f>INDEX(Stores!$F$2:$F$21,MATCH(B231,Stores!$A$2:$A$21,0))</f>
        <v>2.19</v>
      </c>
      <c r="Z231" s="33">
        <f>IF(Y231&gt;Store_Summary!$M$2,1,0)</f>
        <v>0</v>
      </c>
      <c r="AA231" s="33">
        <f>INDEX(Stores!$C$2:$C$21,MATCH(B231,Stores!$A$2:$A$21,0))</f>
        <v>850</v>
      </c>
      <c r="AB231" s="33">
        <f>IF(AA231&lt;180,1,0)</f>
        <v>0</v>
      </c>
      <c r="AC231" s="32" t="str">
        <f>IF(Orders!D228="","",INDEX(Riders!$C$2:$C$81,MATCH(Orders!D228,Riders!$A$2:$A$81,0)))</f>
        <v>Petrol scooter</v>
      </c>
      <c r="AD231" s="33">
        <f>IF(Orders!D228="","",INDEX(Riders!$D$2:$D$81,MATCH(Orders!D228,Riders!$A$2:$A$81,0)))</f>
        <v>42</v>
      </c>
      <c r="AE231" s="33">
        <f>IF(Orders!D228="","",IF(INDEX(Riders!$B$2:$B$81,MATCH(Orders!D228,Riders!$A$2:$A$81,0))=B231,1,0))</f>
        <v>0</v>
      </c>
      <c r="AF231" s="34">
        <f>IF(E231=1,Orders!L228,"")</f>
        <v>1.05</v>
      </c>
      <c r="AG231" s="34">
        <f>IF(E231=1,Orders!P228,"")</f>
        <v>10.1</v>
      </c>
      <c r="AH231" s="34">
        <f>IF(E231=1,Orders!Q228,"")</f>
        <v>9</v>
      </c>
      <c r="AI231" s="34">
        <f>IF(E231=1,Orders!M228,"")</f>
        <v>2.2</v>
      </c>
      <c r="AJ231" s="34">
        <f>IF(E231=1,Orders!N228,"")</f>
        <v>4.4</v>
      </c>
      <c r="AK231" s="34">
        <f>IF(E231=1,Orders!O228,"")</f>
        <v>2.4</v>
      </c>
      <c r="AL231" s="33">
        <f>IF(E231=1,IF(ROUND(ABS(AI231+AJ231+AK231-AH231),6)&lt;=0.1,1,0),"")</f>
        <v>1</v>
      </c>
      <c r="AM231" s="36">
        <f>IF(E231=1,AI231/AH231,"")</f>
        <v>0.244444444444444</v>
      </c>
      <c r="AN231" s="36">
        <f>IF(E231=1,AJ231/AH231,"")</f>
        <v>0.488888888888889</v>
      </c>
      <c r="AO231" s="36">
        <f>IF(E231=1,AK231/AH231,"")</f>
        <v>0.266666666666667</v>
      </c>
      <c r="AP231" s="34">
        <f>IF(E231=1,Orders!Y228,"")</f>
        <v>0.33</v>
      </c>
      <c r="AQ231" s="33">
        <f>IF(Orders!X228,1,0)</f>
        <v>0</v>
      </c>
      <c r="AR231" s="34" t="str">
        <f>IF(AND(E231=1,L231=1),AJ231,"")</f>
        <v/>
      </c>
      <c r="AS231" s="34">
        <f>IF(AND(E231=1,L231=0),AJ231,"")</f>
        <v>4.4</v>
      </c>
      <c r="AT231" s="34" t="str">
        <f>IF(AND(E231=1,L231=1),AI231,"")</f>
        <v/>
      </c>
      <c r="AU231" s="34">
        <f>IF(AND(E231=1,L231=0),AI231,"")</f>
        <v>2.2</v>
      </c>
      <c r="AV231" s="34" t="str">
        <f>IF(AND(E231=1,L231=1),AG231,"")</f>
        <v/>
      </c>
      <c r="AW231" s="34">
        <f>IF(AND(E231=1,L231=0),AG231,"")</f>
        <v>10.1</v>
      </c>
      <c r="AX231" s="34" t="str">
        <f>IF(AND(E231=1,L231=1),AH231,"")</f>
        <v/>
      </c>
      <c r="AY231" s="34">
        <f>IF(AND(E231=1,L231=0),AH231,"")</f>
        <v>9</v>
      </c>
      <c r="AZ231" s="34" t="str">
        <f>IF(G231=1,F231,"")</f>
        <v/>
      </c>
      <c r="BA231" s="34" t="str">
        <f>IF(AND(G231=1,L231=1),F231,"")</f>
        <v/>
      </c>
      <c r="BB231" s="34" t="str">
        <f>IF(AND(G231=1,L231=0),F231,"")</f>
        <v/>
      </c>
      <c r="BC231" s="33">
        <f>IF(E231=1,IF(Orders!R228&gt;3,1,0),"")</f>
        <v>0</v>
      </c>
      <c r="BD231" s="33">
        <f>IF(E231=1,IF(Orders!R228&gt;7,1,0),"")</f>
        <v>0</v>
      </c>
      <c r="BE231" s="32" t="str">
        <f>IF(E231=1,IF(Orders!L228&lt;=1.5,"Up to 1.5 km",IF(Orders!L228&lt;=3,"1.5–3 km","Over 3 km")),"")</f>
        <v>Up to 1.5 km</v>
      </c>
      <c r="BF231" s="33">
        <f>IF(E231=1,IF(ABS((Orders!G228-Orders!F228)*1440-Orders!R228)&lt;0.06,1,0),"")</f>
        <v>1</v>
      </c>
      <c r="BG231" s="33">
        <f>IF(ABS((Orders!F228-Orders!E228)*1440-Orders!P228)&lt;0.06,1,0)</f>
        <v>1</v>
      </c>
      <c r="BH231" s="33">
        <f>IF(E231=1,IF(IF(Orders!S228,1,0)=1-G231,1,0),"")</f>
        <v>1</v>
      </c>
      <c r="BI231" s="32" t="str">
        <f>INDEX(Stores!$B$2:$B$21,MATCH(B231,Stores!$A$2:$A$21,0))</f>
        <v>Pune</v>
      </c>
    </row>
    <row r="232">
      <c r="A232" s="32" t="str">
        <f>Orders!A229</f>
        <v>O00228</v>
      </c>
      <c r="B232" s="32" t="str">
        <f>Orders!C229</f>
        <v>S017</v>
      </c>
      <c r="C232" s="32" t="str">
        <f>Orders!B229</f>
        <v>C0146</v>
      </c>
      <c r="D232" s="32" t="str">
        <f>Orders!H229</f>
        <v>Delivered</v>
      </c>
      <c r="E232" s="33">
        <f>IF(Orders!H229="Delivered",1,0)</f>
        <v>1</v>
      </c>
      <c r="F232" s="34">
        <f>IF(E232=1,Orders!R229,"")</f>
        <v>3.1</v>
      </c>
      <c r="G232" s="33">
        <f>IF(E232=1,IF(Orders!R229&gt;0,1,0),"")</f>
        <v>1</v>
      </c>
      <c r="H232" s="33">
        <f>IF(E232=1,IF(Orders!R229&gt;5,1,0),"")</f>
        <v>0</v>
      </c>
      <c r="I232" s="32" t="str">
        <f>IF(E232=1,"",IF(OR(Orders!T229="Rider unavailable",Orders!T229="Item unavailable"),"Company-caused","Unresolved"))</f>
        <v/>
      </c>
      <c r="J232" s="33">
        <f>IF(OR(E232=1,I232="Company-caused"),1,0)</f>
        <v>1</v>
      </c>
      <c r="K232" s="32" t="str">
        <f>IF(E232=0,IF(I232="Company-caused",IF(Orders!T229="Rider unavailable","C1 Rider unavailable","C2 Item unavailable"),"Outside root: unresolved"),IF(G232=0,"A On time",IF(H232=1,IF(L232=1,"B2a Severe, peak","B2b Severe, off-peak"),IF(L232=1,"B1a Slight, peak","B1b Slight, off-peak"))))</f>
        <v>B1b Slight, off-peak</v>
      </c>
      <c r="L232" s="33">
        <f>IF(AND(Orders!U229&gt;=19,Orders!U229&lt;22),1,0)</f>
        <v>0</v>
      </c>
      <c r="M232" s="33">
        <f>IF(L232=IF(Orders!V229,1,0),1,0)</f>
        <v>1</v>
      </c>
      <c r="N232" s="32" t="str">
        <f>IF(Orders!W229="","None",Orders!W229)</f>
        <v>None</v>
      </c>
      <c r="O232" s="35">
        <f>INT(Orders!E229)</f>
        <v>46270.0</v>
      </c>
      <c r="P232" s="33">
        <f>Orders!U229</f>
        <v>23</v>
      </c>
      <c r="Q232" s="33">
        <f>COUNTIFS(Demand!$A$2:$A$4481,B232,Demand!$B$2:$B$4481,O232,Demand!$C$2:$C$4481,P232)</f>
        <v>1</v>
      </c>
      <c r="R232" s="33">
        <f>IF(Q232=1,SUMIFS(Demand!$E$2:$E$4481,Demand!$A$2:$A$4481,B232,Demand!$B$2:$B$4481,O232,Demand!$C$2:$C$4481,P232),"")</f>
        <v>42</v>
      </c>
      <c r="S232" s="33">
        <f>INDEX(Stores!$G$2:$G$21,MATCH(B232,Stores!$A$2:$A$21,0))</f>
        <v>36</v>
      </c>
      <c r="T232" s="34">
        <f>IF(R232="","",R232/S232)</f>
        <v>1.16666666666667</v>
      </c>
      <c r="U232" s="34">
        <f>IF(E232=1,T232,"")</f>
        <v>1.16666666666667</v>
      </c>
      <c r="V232" s="34">
        <f>IF(AND(E232=1,L232=0),T232,"")</f>
        <v>1.16666666666667</v>
      </c>
      <c r="W232" s="33">
        <f>IF(U232="","",IF(U232&lt;=Breakdowns!$C$5,1,IF(U232&lt;=Breakdowns!$C$6,2,IF(U232&lt;=Breakdowns!$C$7,3,4))))</f>
        <v>3</v>
      </c>
      <c r="X232" s="33">
        <f>IF(V232="","",IF(V232&lt;=Breakdowns!$D$5,1,IF(V232&lt;=Breakdowns!$D$6,2,IF(V232&lt;=Breakdowns!$D$7,3,4))))</f>
        <v>4</v>
      </c>
      <c r="Y232" s="34">
        <f>INDEX(Stores!$F$2:$F$21,MATCH(B232,Stores!$A$2:$A$21,0))</f>
        <v>2.16</v>
      </c>
      <c r="Z232" s="33">
        <f>IF(Y232&gt;Store_Summary!$M$2,1,0)</f>
        <v>0</v>
      </c>
      <c r="AA232" s="33">
        <f>INDEX(Stores!$C$2:$C$21,MATCH(B232,Stores!$A$2:$A$21,0))</f>
        <v>47</v>
      </c>
      <c r="AB232" s="33">
        <f>IF(AA232&lt;180,1,0)</f>
        <v>1</v>
      </c>
      <c r="AC232" s="32" t="str">
        <f>IF(Orders!D229="","",INDEX(Riders!$C$2:$C$81,MATCH(Orders!D229,Riders!$A$2:$A$81,0)))</f>
        <v>EV scooter</v>
      </c>
      <c r="AD232" s="33">
        <f>IF(Orders!D229="","",INDEX(Riders!$D$2:$D$81,MATCH(Orders!D229,Riders!$A$2:$A$81,0)))</f>
        <v>32</v>
      </c>
      <c r="AE232" s="33">
        <f>IF(Orders!D229="","",IF(INDEX(Riders!$B$2:$B$81,MATCH(Orders!D229,Riders!$A$2:$A$81,0))=B232,1,0))</f>
        <v>0</v>
      </c>
      <c r="AF232" s="34">
        <f>IF(E232=1,Orders!L229,"")</f>
        <v>1.67</v>
      </c>
      <c r="AG232" s="34">
        <f>IF(E232=1,Orders!P229,"")</f>
        <v>11.2</v>
      </c>
      <c r="AH232" s="34">
        <f>IF(E232=1,Orders!Q229,"")</f>
        <v>14.3</v>
      </c>
      <c r="AI232" s="34">
        <f>IF(E232=1,Orders!M229,"")</f>
        <v>3.4</v>
      </c>
      <c r="AJ232" s="34">
        <f>IF(E232=1,Orders!N229,"")</f>
        <v>4.6</v>
      </c>
      <c r="AK232" s="34">
        <f>IF(E232=1,Orders!O229,"")</f>
        <v>6.2</v>
      </c>
      <c r="AL232" s="33">
        <f>IF(E232=1,IF(ROUND(ABS(AI232+AJ232+AK232-AH232),6)&lt;=0.1,1,0),"")</f>
        <v>1</v>
      </c>
      <c r="AM232" s="36">
        <f>IF(E232=1,AI232/AH232,"")</f>
        <v>0.237762237762238</v>
      </c>
      <c r="AN232" s="36">
        <f>IF(E232=1,AJ232/AH232,"")</f>
        <v>0.321678321678322</v>
      </c>
      <c r="AO232" s="36">
        <f>IF(E232=1,AK232/AH232,"")</f>
        <v>0.433566433566434</v>
      </c>
      <c r="AP232" s="34">
        <f>IF(E232=1,Orders!Y229,"")</f>
        <v>0.85</v>
      </c>
      <c r="AQ232" s="33">
        <f>IF(Orders!X229,1,0)</f>
        <v>0</v>
      </c>
      <c r="AR232" s="34" t="str">
        <f>IF(AND(E232=1,L232=1),AJ232,"")</f>
        <v/>
      </c>
      <c r="AS232" s="34">
        <f>IF(AND(E232=1,L232=0),AJ232,"")</f>
        <v>4.6</v>
      </c>
      <c r="AT232" s="34" t="str">
        <f>IF(AND(E232=1,L232=1),AI232,"")</f>
        <v/>
      </c>
      <c r="AU232" s="34">
        <f>IF(AND(E232=1,L232=0),AI232,"")</f>
        <v>3.4</v>
      </c>
      <c r="AV232" s="34" t="str">
        <f>IF(AND(E232=1,L232=1),AG232,"")</f>
        <v/>
      </c>
      <c r="AW232" s="34">
        <f>IF(AND(E232=1,L232=0),AG232,"")</f>
        <v>11.2</v>
      </c>
      <c r="AX232" s="34" t="str">
        <f>IF(AND(E232=1,L232=1),AH232,"")</f>
        <v/>
      </c>
      <c r="AY232" s="34">
        <f>IF(AND(E232=1,L232=0),AH232,"")</f>
        <v>14.3</v>
      </c>
      <c r="AZ232" s="34">
        <f>IF(G232=1,F232,"")</f>
        <v>3.1</v>
      </c>
      <c r="BA232" s="34" t="str">
        <f>IF(AND(G232=1,L232=1),F232,"")</f>
        <v/>
      </c>
      <c r="BB232" s="34">
        <f>IF(AND(G232=1,L232=0),F232,"")</f>
        <v>3.1</v>
      </c>
      <c r="BC232" s="33">
        <f>IF(E232=1,IF(Orders!R229&gt;3,1,0),"")</f>
        <v>1</v>
      </c>
      <c r="BD232" s="33">
        <f>IF(E232=1,IF(Orders!R229&gt;7,1,0),"")</f>
        <v>0</v>
      </c>
      <c r="BE232" s="32" t="str">
        <f>IF(E232=1,IF(Orders!L229&lt;=1.5,"Up to 1.5 km",IF(Orders!L229&lt;=3,"1.5–3 km","Over 3 km")),"")</f>
        <v>1.5–3 km</v>
      </c>
      <c r="BF232" s="33">
        <f>IF(E232=1,IF(ABS((Orders!G229-Orders!F229)*1440-Orders!R229)&lt;0.06,1,0),"")</f>
        <v>1</v>
      </c>
      <c r="BG232" s="33">
        <f>IF(ABS((Orders!F229-Orders!E229)*1440-Orders!P229)&lt;0.06,1,0)</f>
        <v>1</v>
      </c>
      <c r="BH232" s="33">
        <f>IF(E232=1,IF(IF(Orders!S229,1,0)=1-G232,1,0),"")</f>
        <v>1</v>
      </c>
      <c r="BI232" s="32" t="str">
        <f>INDEX(Stores!$B$2:$B$21,MATCH(B232,Stores!$A$2:$A$21,0))</f>
        <v>Hyderabad</v>
      </c>
    </row>
    <row r="233">
      <c r="A233" s="32" t="str">
        <f>Orders!A230</f>
        <v>O00229</v>
      </c>
      <c r="B233" s="32" t="str">
        <f>Orders!C230</f>
        <v>S018</v>
      </c>
      <c r="C233" s="32" t="str">
        <f>Orders!B230</f>
        <v>C0247</v>
      </c>
      <c r="D233" s="32" t="str">
        <f>Orders!H230</f>
        <v>Delivered</v>
      </c>
      <c r="E233" s="33">
        <f>IF(Orders!H230="Delivered",1,0)</f>
        <v>1</v>
      </c>
      <c r="F233" s="34">
        <f>IF(E233=1,Orders!R230,"")</f>
        <v>-0.7</v>
      </c>
      <c r="G233" s="33">
        <f>IF(E233=1,IF(Orders!R230&gt;0,1,0),"")</f>
        <v>0</v>
      </c>
      <c r="H233" s="33">
        <f>IF(E233=1,IF(Orders!R230&gt;5,1,0),"")</f>
        <v>0</v>
      </c>
      <c r="I233" s="32" t="str">
        <f>IF(E233=1,"",IF(OR(Orders!T230="Rider unavailable",Orders!T230="Item unavailable"),"Company-caused","Unresolved"))</f>
        <v/>
      </c>
      <c r="J233" s="33">
        <f>IF(OR(E233=1,I233="Company-caused"),1,0)</f>
        <v>1</v>
      </c>
      <c r="K233" s="32" t="str">
        <f>IF(E233=0,IF(I233="Company-caused",IF(Orders!T230="Rider unavailable","C1 Rider unavailable","C2 Item unavailable"),"Outside root: unresolved"),IF(G233=0,"A On time",IF(H233=1,IF(L233=1,"B2a Severe, peak","B2b Severe, off-peak"),IF(L233=1,"B1a Slight, peak","B1b Slight, off-peak"))))</f>
        <v>A On time</v>
      </c>
      <c r="L233" s="33">
        <f>IF(AND(Orders!U230&gt;=19,Orders!U230&lt;22),1,0)</f>
        <v>0</v>
      </c>
      <c r="M233" s="33">
        <f>IF(L233=IF(Orders!V230,1,0),1,0)</f>
        <v>1</v>
      </c>
      <c r="N233" s="32" t="str">
        <f>IF(Orders!W230="","None",Orders!W230)</f>
        <v>Light</v>
      </c>
      <c r="O233" s="35">
        <f>INT(Orders!E230)</f>
        <v>46271.0</v>
      </c>
      <c r="P233" s="33">
        <f>Orders!U230</f>
        <v>16</v>
      </c>
      <c r="Q233" s="33">
        <f>COUNTIFS(Demand!$A$2:$A$4481,B233,Demand!$B$2:$B$4481,O233,Demand!$C$2:$C$4481,P233)</f>
        <v>1</v>
      </c>
      <c r="R233" s="33">
        <f>IF(Q233=1,SUMIFS(Demand!$E$2:$E$4481,Demand!$A$2:$A$4481,B233,Demand!$B$2:$B$4481,O233,Demand!$C$2:$C$4481,P233),"")</f>
        <v>19</v>
      </c>
      <c r="S233" s="33">
        <f>INDEX(Stores!$G$2:$G$21,MATCH(B233,Stores!$A$2:$A$21,0))</f>
        <v>20</v>
      </c>
      <c r="T233" s="34">
        <f>IF(R233="","",R233/S233)</f>
        <v>0.95</v>
      </c>
      <c r="U233" s="34">
        <f>IF(E233=1,T233,"")</f>
        <v>0.95</v>
      </c>
      <c r="V233" s="34">
        <f>IF(AND(E233=1,L233=0),T233,"")</f>
        <v>0.95</v>
      </c>
      <c r="W233" s="33">
        <f>IF(U233="","",IF(U233&lt;=Breakdowns!$C$5,1,IF(U233&lt;=Breakdowns!$C$6,2,IF(U233&lt;=Breakdowns!$C$7,3,4))))</f>
        <v>2</v>
      </c>
      <c r="X233" s="33">
        <f>IF(V233="","",IF(V233&lt;=Breakdowns!$D$5,1,IF(V233&lt;=Breakdowns!$D$6,2,IF(V233&lt;=Breakdowns!$D$7,3,4))))</f>
        <v>3</v>
      </c>
      <c r="Y233" s="34">
        <f>INDEX(Stores!$F$2:$F$21,MATCH(B233,Stores!$A$2:$A$21,0))</f>
        <v>5.31</v>
      </c>
      <c r="Z233" s="33">
        <f>IF(Y233&gt;Store_Summary!$M$2,1,0)</f>
        <v>1</v>
      </c>
      <c r="AA233" s="33">
        <f>INDEX(Stores!$C$2:$C$21,MATCH(B233,Stores!$A$2:$A$21,0))</f>
        <v>214</v>
      </c>
      <c r="AB233" s="33">
        <f>IF(AA233&lt;180,1,0)</f>
        <v>0</v>
      </c>
      <c r="AC233" s="32" t="str">
        <f>IF(Orders!D230="","",INDEX(Riders!$C$2:$C$81,MATCH(Orders!D230,Riders!$A$2:$A$81,0)))</f>
        <v>Bicycle</v>
      </c>
      <c r="AD233" s="33">
        <f>IF(Orders!D230="","",INDEX(Riders!$D$2:$D$81,MATCH(Orders!D230,Riders!$A$2:$A$81,0)))</f>
        <v>2</v>
      </c>
      <c r="AE233" s="33">
        <f>IF(Orders!D230="","",IF(INDEX(Riders!$B$2:$B$81,MATCH(Orders!D230,Riders!$A$2:$A$81,0))=B233,1,0))</f>
        <v>0</v>
      </c>
      <c r="AF233" s="34">
        <f>IF(E233=1,Orders!L230,"")</f>
        <v>1.65</v>
      </c>
      <c r="AG233" s="34">
        <f>IF(E233=1,Orders!P230,"")</f>
        <v>13</v>
      </c>
      <c r="AH233" s="34">
        <f>IF(E233=1,Orders!Q230,"")</f>
        <v>12.3</v>
      </c>
      <c r="AI233" s="34">
        <f>IF(E233=1,Orders!M230,"")</f>
        <v>4.4</v>
      </c>
      <c r="AJ233" s="34">
        <f>IF(E233=1,Orders!N230,"")</f>
        <v>4.5</v>
      </c>
      <c r="AK233" s="34">
        <f>IF(E233=1,Orders!O230,"")</f>
        <v>3.4</v>
      </c>
      <c r="AL233" s="33">
        <f>IF(E233=1,IF(ROUND(ABS(AI233+AJ233+AK233-AH233),6)&lt;=0.1,1,0),"")</f>
        <v>1</v>
      </c>
      <c r="AM233" s="36">
        <f>IF(E233=1,AI233/AH233,"")</f>
        <v>0.357723577235772</v>
      </c>
      <c r="AN233" s="36">
        <f>IF(E233=1,AJ233/AH233,"")</f>
        <v>0.365853658536585</v>
      </c>
      <c r="AO233" s="36">
        <f>IF(E233=1,AK233/AH233,"")</f>
        <v>0.276422764227642</v>
      </c>
      <c r="AP233" s="34">
        <f>IF(E233=1,Orders!Y230,"")</f>
        <v>0.37</v>
      </c>
      <c r="AQ233" s="33">
        <f>IF(Orders!X230,1,0)</f>
        <v>0</v>
      </c>
      <c r="AR233" s="34" t="str">
        <f>IF(AND(E233=1,L233=1),AJ233,"")</f>
        <v/>
      </c>
      <c r="AS233" s="34">
        <f>IF(AND(E233=1,L233=0),AJ233,"")</f>
        <v>4.5</v>
      </c>
      <c r="AT233" s="34" t="str">
        <f>IF(AND(E233=1,L233=1),AI233,"")</f>
        <v/>
      </c>
      <c r="AU233" s="34">
        <f>IF(AND(E233=1,L233=0),AI233,"")</f>
        <v>4.4</v>
      </c>
      <c r="AV233" s="34" t="str">
        <f>IF(AND(E233=1,L233=1),AG233,"")</f>
        <v/>
      </c>
      <c r="AW233" s="34">
        <f>IF(AND(E233=1,L233=0),AG233,"")</f>
        <v>13</v>
      </c>
      <c r="AX233" s="34" t="str">
        <f>IF(AND(E233=1,L233=1),AH233,"")</f>
        <v/>
      </c>
      <c r="AY233" s="34">
        <f>IF(AND(E233=1,L233=0),AH233,"")</f>
        <v>12.3</v>
      </c>
      <c r="AZ233" s="34" t="str">
        <f>IF(G233=1,F233,"")</f>
        <v/>
      </c>
      <c r="BA233" s="34" t="str">
        <f>IF(AND(G233=1,L233=1),F233,"")</f>
        <v/>
      </c>
      <c r="BB233" s="34" t="str">
        <f>IF(AND(G233=1,L233=0),F233,"")</f>
        <v/>
      </c>
      <c r="BC233" s="33">
        <f>IF(E233=1,IF(Orders!R230&gt;3,1,0),"")</f>
        <v>0</v>
      </c>
      <c r="BD233" s="33">
        <f>IF(E233=1,IF(Orders!R230&gt;7,1,0),"")</f>
        <v>0</v>
      </c>
      <c r="BE233" s="32" t="str">
        <f>IF(E233=1,IF(Orders!L230&lt;=1.5,"Up to 1.5 km",IF(Orders!L230&lt;=3,"1.5–3 km","Over 3 km")),"")</f>
        <v>1.5–3 km</v>
      </c>
      <c r="BF233" s="33">
        <f>IF(E233=1,IF(ABS((Orders!G230-Orders!F230)*1440-Orders!R230)&lt;0.06,1,0),"")</f>
        <v>1</v>
      </c>
      <c r="BG233" s="33">
        <f>IF(ABS((Orders!F230-Orders!E230)*1440-Orders!P230)&lt;0.06,1,0)</f>
        <v>1</v>
      </c>
      <c r="BH233" s="33">
        <f>IF(E233=1,IF(IF(Orders!S230,1,0)=1-G233,1,0),"")</f>
        <v>1</v>
      </c>
      <c r="BI233" s="32" t="str">
        <f>INDEX(Stores!$B$2:$B$21,MATCH(B233,Stores!$A$2:$A$21,0))</f>
        <v>Mumbai</v>
      </c>
    </row>
    <row r="234">
      <c r="A234" s="32" t="str">
        <f>Orders!A231</f>
        <v>O00230</v>
      </c>
      <c r="B234" s="32" t="str">
        <f>Orders!C231</f>
        <v>S008</v>
      </c>
      <c r="C234" s="32" t="str">
        <f>Orders!B231</f>
        <v>C0215</v>
      </c>
      <c r="D234" s="32" t="str">
        <f>Orders!H231</f>
        <v>Delivered</v>
      </c>
      <c r="E234" s="33">
        <f>IF(Orders!H231="Delivered",1,0)</f>
        <v>1</v>
      </c>
      <c r="F234" s="34">
        <f>IF(E234=1,Orders!R231,"")</f>
        <v>-0.7</v>
      </c>
      <c r="G234" s="33">
        <f>IF(E234=1,IF(Orders!R231&gt;0,1,0),"")</f>
        <v>0</v>
      </c>
      <c r="H234" s="33">
        <f>IF(E234=1,IF(Orders!R231&gt;5,1,0),"")</f>
        <v>0</v>
      </c>
      <c r="I234" s="32" t="str">
        <f>IF(E234=1,"",IF(OR(Orders!T231="Rider unavailable",Orders!T231="Item unavailable"),"Company-caused","Unresolved"))</f>
        <v/>
      </c>
      <c r="J234" s="33">
        <f>IF(OR(E234=1,I234="Company-caused"),1,0)</f>
        <v>1</v>
      </c>
      <c r="K234" s="32" t="str">
        <f>IF(E234=0,IF(I234="Company-caused",IF(Orders!T231="Rider unavailable","C1 Rider unavailable","C2 Item unavailable"),"Outside root: unresolved"),IF(G234=0,"A On time",IF(H234=1,IF(L234=1,"B2a Severe, peak","B2b Severe, off-peak"),IF(L234=1,"B1a Slight, peak","B1b Slight, off-peak"))))</f>
        <v>A On time</v>
      </c>
      <c r="L234" s="33">
        <f>IF(AND(Orders!U231&gt;=19,Orders!U231&lt;22),1,0)</f>
        <v>0</v>
      </c>
      <c r="M234" s="33">
        <f>IF(L234=IF(Orders!V231,1,0),1,0)</f>
        <v>1</v>
      </c>
      <c r="N234" s="32" t="str">
        <f>IF(Orders!W231="","None",Orders!W231)</f>
        <v>None</v>
      </c>
      <c r="O234" s="35">
        <f>INT(Orders!E231)</f>
        <v>46267.0</v>
      </c>
      <c r="P234" s="33">
        <f>Orders!U231</f>
        <v>22</v>
      </c>
      <c r="Q234" s="33">
        <f>COUNTIFS(Demand!$A$2:$A$4481,B234,Demand!$B$2:$B$4481,O234,Demand!$C$2:$C$4481,P234)</f>
        <v>1</v>
      </c>
      <c r="R234" s="33">
        <f>IF(Q234=1,SUMIFS(Demand!$E$2:$E$4481,Demand!$A$2:$A$4481,B234,Demand!$B$2:$B$4481,O234,Demand!$C$2:$C$4481,P234),"")</f>
        <v>20</v>
      </c>
      <c r="S234" s="33">
        <f>INDEX(Stores!$G$2:$G$21,MATCH(B234,Stores!$A$2:$A$21,0))</f>
        <v>23</v>
      </c>
      <c r="T234" s="34">
        <f>IF(R234="","",R234/S234)</f>
        <v>0.869565217391304</v>
      </c>
      <c r="U234" s="34">
        <f>IF(E234=1,T234,"")</f>
        <v>0.869565217391304</v>
      </c>
      <c r="V234" s="34">
        <f>IF(AND(E234=1,L234=0),T234,"")</f>
        <v>0.869565217391304</v>
      </c>
      <c r="W234" s="33">
        <f>IF(U234="","",IF(U234&lt;=Breakdowns!$C$5,1,IF(U234&lt;=Breakdowns!$C$6,2,IF(U234&lt;=Breakdowns!$C$7,3,4))))</f>
        <v>2</v>
      </c>
      <c r="X234" s="33">
        <f>IF(V234="","",IF(V234&lt;=Breakdowns!$D$5,1,IF(V234&lt;=Breakdowns!$D$6,2,IF(V234&lt;=Breakdowns!$D$7,3,4))))</f>
        <v>2</v>
      </c>
      <c r="Y234" s="34">
        <f>INDEX(Stores!$F$2:$F$21,MATCH(B234,Stores!$A$2:$A$21,0))</f>
        <v>3.46</v>
      </c>
      <c r="Z234" s="33">
        <f>IF(Y234&gt;Store_Summary!$M$2,1,0)</f>
        <v>0</v>
      </c>
      <c r="AA234" s="33">
        <f>INDEX(Stores!$C$2:$C$21,MATCH(B234,Stores!$A$2:$A$21,0))</f>
        <v>825</v>
      </c>
      <c r="AB234" s="33">
        <f>IF(AA234&lt;180,1,0)</f>
        <v>0</v>
      </c>
      <c r="AC234" s="32" t="str">
        <f>IF(Orders!D231="","",INDEX(Riders!$C$2:$C$81,MATCH(Orders!D231,Riders!$A$2:$A$81,0)))</f>
        <v>Petrol scooter</v>
      </c>
      <c r="AD234" s="33">
        <f>IF(Orders!D231="","",INDEX(Riders!$D$2:$D$81,MATCH(Orders!D231,Riders!$A$2:$A$81,0)))</f>
        <v>19</v>
      </c>
      <c r="AE234" s="33">
        <f>IF(Orders!D231="","",IF(INDEX(Riders!$B$2:$B$81,MATCH(Orders!D231,Riders!$A$2:$A$81,0))=B234,1,0))</f>
        <v>0</v>
      </c>
      <c r="AF234" s="34">
        <f>IF(E234=1,Orders!L231,"")</f>
        <v>1.45</v>
      </c>
      <c r="AG234" s="34">
        <f>IF(E234=1,Orders!P231,"")</f>
        <v>10.6</v>
      </c>
      <c r="AH234" s="34">
        <f>IF(E234=1,Orders!Q231,"")</f>
        <v>9.9</v>
      </c>
      <c r="AI234" s="34">
        <f>IF(E234=1,Orders!M231,"")</f>
        <v>2.2</v>
      </c>
      <c r="AJ234" s="34">
        <f>IF(E234=1,Orders!N231,"")</f>
        <v>4.5</v>
      </c>
      <c r="AK234" s="34">
        <f>IF(E234=1,Orders!O231,"")</f>
        <v>3.2</v>
      </c>
      <c r="AL234" s="33">
        <f>IF(E234=1,IF(ROUND(ABS(AI234+AJ234+AK234-AH234),6)&lt;=0.1,1,0),"")</f>
        <v>1</v>
      </c>
      <c r="AM234" s="36">
        <f>IF(E234=1,AI234/AH234,"")</f>
        <v>0.222222222222222</v>
      </c>
      <c r="AN234" s="36">
        <f>IF(E234=1,AJ234/AH234,"")</f>
        <v>0.454545454545455</v>
      </c>
      <c r="AO234" s="36">
        <f>IF(E234=1,AK234/AH234,"")</f>
        <v>0.323232323232323</v>
      </c>
      <c r="AP234" s="34">
        <f>IF(E234=1,Orders!Y231,"")</f>
        <v>0.67</v>
      </c>
      <c r="AQ234" s="33">
        <f>IF(Orders!X231,1,0)</f>
        <v>0</v>
      </c>
      <c r="AR234" s="34" t="str">
        <f>IF(AND(E234=1,L234=1),AJ234,"")</f>
        <v/>
      </c>
      <c r="AS234" s="34">
        <f>IF(AND(E234=1,L234=0),AJ234,"")</f>
        <v>4.5</v>
      </c>
      <c r="AT234" s="34" t="str">
        <f>IF(AND(E234=1,L234=1),AI234,"")</f>
        <v/>
      </c>
      <c r="AU234" s="34">
        <f>IF(AND(E234=1,L234=0),AI234,"")</f>
        <v>2.2</v>
      </c>
      <c r="AV234" s="34" t="str">
        <f>IF(AND(E234=1,L234=1),AG234,"")</f>
        <v/>
      </c>
      <c r="AW234" s="34">
        <f>IF(AND(E234=1,L234=0),AG234,"")</f>
        <v>10.6</v>
      </c>
      <c r="AX234" s="34" t="str">
        <f>IF(AND(E234=1,L234=1),AH234,"")</f>
        <v/>
      </c>
      <c r="AY234" s="34">
        <f>IF(AND(E234=1,L234=0),AH234,"")</f>
        <v>9.9</v>
      </c>
      <c r="AZ234" s="34" t="str">
        <f>IF(G234=1,F234,"")</f>
        <v/>
      </c>
      <c r="BA234" s="34" t="str">
        <f>IF(AND(G234=1,L234=1),F234,"")</f>
        <v/>
      </c>
      <c r="BB234" s="34" t="str">
        <f>IF(AND(G234=1,L234=0),F234,"")</f>
        <v/>
      </c>
      <c r="BC234" s="33">
        <f>IF(E234=1,IF(Orders!R231&gt;3,1,0),"")</f>
        <v>0</v>
      </c>
      <c r="BD234" s="33">
        <f>IF(E234=1,IF(Orders!R231&gt;7,1,0),"")</f>
        <v>0</v>
      </c>
      <c r="BE234" s="32" t="str">
        <f>IF(E234=1,IF(Orders!L231&lt;=1.5,"Up to 1.5 km",IF(Orders!L231&lt;=3,"1.5–3 km","Over 3 km")),"")</f>
        <v>Up to 1.5 km</v>
      </c>
      <c r="BF234" s="33">
        <f>IF(E234=1,IF(ABS((Orders!G231-Orders!F231)*1440-Orders!R231)&lt;0.06,1,0),"")</f>
        <v>1</v>
      </c>
      <c r="BG234" s="33">
        <f>IF(ABS((Orders!F231-Orders!E231)*1440-Orders!P231)&lt;0.06,1,0)</f>
        <v>1</v>
      </c>
      <c r="BH234" s="33">
        <f>IF(E234=1,IF(IF(Orders!S231,1,0)=1-G234,1,0),"")</f>
        <v>1</v>
      </c>
      <c r="BI234" s="32" t="str">
        <f>INDEX(Stores!$B$2:$B$21,MATCH(B234,Stores!$A$2:$A$21,0))</f>
        <v>Mumbai</v>
      </c>
    </row>
    <row r="235">
      <c r="A235" s="32" t="str">
        <f>Orders!A232</f>
        <v>O00231</v>
      </c>
      <c r="B235" s="32" t="str">
        <f>Orders!C232</f>
        <v>S007</v>
      </c>
      <c r="C235" s="32" t="str">
        <f>Orders!B232</f>
        <v>C0016</v>
      </c>
      <c r="D235" s="32" t="str">
        <f>Orders!H232</f>
        <v>Cancelled</v>
      </c>
      <c r="E235" s="33">
        <f>IF(Orders!H232="Delivered",1,0)</f>
        <v>0</v>
      </c>
      <c r="F235" s="34" t="str">
        <f>IF(E235=1,Orders!R232,"")</f>
        <v/>
      </c>
      <c r="G235" s="33" t="str">
        <f>IF(E235=1,IF(Orders!R232&gt;0,1,0),"")</f>
        <v/>
      </c>
      <c r="H235" s="33" t="str">
        <f>IF(E235=1,IF(Orders!R232&gt;5,1,0),"")</f>
        <v/>
      </c>
      <c r="I235" s="32" t="str">
        <f>IF(E235=1,"",IF(OR(Orders!T232="Rider unavailable",Orders!T232="Item unavailable"),"Company-caused","Unresolved"))</f>
        <v>Unresolved</v>
      </c>
      <c r="J235" s="33">
        <f>IF(OR(E235=1,I235="Company-caused"),1,0)</f>
        <v>0</v>
      </c>
      <c r="K235" s="32" t="str">
        <f>IF(E235=0,IF(I235="Company-caused",IF(Orders!T232="Rider unavailable","C1 Rider unavailable","C2 Item unavailable"),"Outside root: unresolved"),IF(G235=0,"A On time",IF(H235=1,IF(L235=1,"B2a Severe, peak","B2b Severe, off-peak"),IF(L235=1,"B1a Slight, peak","B1b Slight, off-peak"))))</f>
        <v>Outside root: unresolved</v>
      </c>
      <c r="L235" s="33">
        <f>IF(AND(Orders!U232&gt;=19,Orders!U232&lt;22),1,0)</f>
        <v>0</v>
      </c>
      <c r="M235" s="33">
        <f>IF(L235=IF(Orders!V232,1,0),1,0)</f>
        <v>1</v>
      </c>
      <c r="N235" s="32" t="str">
        <f>IF(Orders!W232="","None",Orders!W232)</f>
        <v>Light</v>
      </c>
      <c r="O235" s="35">
        <f>INT(Orders!E232)</f>
        <v>46275.0</v>
      </c>
      <c r="P235" s="33">
        <f>Orders!U232</f>
        <v>15</v>
      </c>
      <c r="Q235" s="33">
        <f>COUNTIFS(Demand!$A$2:$A$4481,B235,Demand!$B$2:$B$4481,O235,Demand!$C$2:$C$4481,P235)</f>
        <v>1</v>
      </c>
      <c r="R235" s="33">
        <f>IF(Q235=1,SUMIFS(Demand!$E$2:$E$4481,Demand!$A$2:$A$4481,B235,Demand!$B$2:$B$4481,O235,Demand!$C$2:$C$4481,P235),"")</f>
        <v>39</v>
      </c>
      <c r="S235" s="33">
        <f>INDEX(Stores!$G$2:$G$21,MATCH(B235,Stores!$A$2:$A$21,0))</f>
        <v>37</v>
      </c>
      <c r="T235" s="34">
        <f>IF(R235="","",R235/S235)</f>
        <v>1.05405405405405</v>
      </c>
      <c r="U235" s="34" t="str">
        <f>IF(E235=1,T235,"")</f>
        <v/>
      </c>
      <c r="V235" s="34" t="str">
        <f>IF(AND(E235=1,L235=0),T235,"")</f>
        <v/>
      </c>
      <c r="W235" s="33" t="str">
        <f>IF(U235="","",IF(U235&lt;=Breakdowns!$C$5,1,IF(U235&lt;=Breakdowns!$C$6,2,IF(U235&lt;=Breakdowns!$C$7,3,4))))</f>
        <v/>
      </c>
      <c r="X235" s="33" t="str">
        <f>IF(V235="","",IF(V235&lt;=Breakdowns!$D$5,1,IF(V235&lt;=Breakdowns!$D$6,2,IF(V235&lt;=Breakdowns!$D$7,3,4))))</f>
        <v/>
      </c>
      <c r="Y235" s="34">
        <f>INDEX(Stores!$F$2:$F$21,MATCH(B235,Stores!$A$2:$A$21,0))</f>
        <v>4.05</v>
      </c>
      <c r="Z235" s="33">
        <f>IF(Y235&gt;Store_Summary!$M$2,1,0)</f>
        <v>0</v>
      </c>
      <c r="AA235" s="33">
        <f>INDEX(Stores!$C$2:$C$21,MATCH(B235,Stores!$A$2:$A$21,0))</f>
        <v>661</v>
      </c>
      <c r="AB235" s="33">
        <f>IF(AA235&lt;180,1,0)</f>
        <v>0</v>
      </c>
      <c r="AC235" s="32" t="str">
        <f>IF(Orders!D232="","",INDEX(Riders!$C$2:$C$81,MATCH(Orders!D232,Riders!$A$2:$A$81,0)))</f>
        <v/>
      </c>
      <c r="AD235" s="33" t="str">
        <f>IF(Orders!D232="","",INDEX(Riders!$D$2:$D$81,MATCH(Orders!D232,Riders!$A$2:$A$81,0)))</f>
        <v/>
      </c>
      <c r="AE235" s="33" t="str">
        <f>IF(Orders!D232="","",IF(INDEX(Riders!$B$2:$B$81,MATCH(Orders!D232,Riders!$A$2:$A$81,0))=B235,1,0))</f>
        <v/>
      </c>
      <c r="AF235" s="34" t="str">
        <f>IF(E235=1,Orders!L232,"")</f>
        <v/>
      </c>
      <c r="AG235" s="34" t="str">
        <f>IF(E235=1,Orders!P232,"")</f>
        <v/>
      </c>
      <c r="AH235" s="34" t="str">
        <f>IF(E235=1,Orders!Q232,"")</f>
        <v/>
      </c>
      <c r="AI235" s="34" t="str">
        <f>IF(E235=1,Orders!M232,"")</f>
        <v/>
      </c>
      <c r="AJ235" s="34" t="str">
        <f>IF(E235=1,Orders!N232,"")</f>
        <v/>
      </c>
      <c r="AK235" s="34" t="str">
        <f>IF(E235=1,Orders!O232,"")</f>
        <v/>
      </c>
      <c r="AL235" s="33" t="str">
        <f>IF(E235=1,IF(ROUND(ABS(AI235+AJ235+AK235-AH235),6)&lt;=0.1,1,0),"")</f>
        <v/>
      </c>
      <c r="AM235" s="36" t="str">
        <f>IF(E235=1,AI235/AH235,"")</f>
        <v/>
      </c>
      <c r="AN235" s="36" t="str">
        <f>IF(E235=1,AJ235/AH235,"")</f>
        <v/>
      </c>
      <c r="AO235" s="36" t="str">
        <f>IF(E235=1,AK235/AH235,"")</f>
        <v/>
      </c>
      <c r="AP235" s="34" t="str">
        <f>IF(E235=1,Orders!Y232,"")</f>
        <v/>
      </c>
      <c r="AQ235" s="33">
        <f>IF(Orders!X232,1,0)</f>
        <v>0</v>
      </c>
      <c r="AR235" s="34" t="str">
        <f>IF(AND(E235=1,L235=1),AJ235,"")</f>
        <v/>
      </c>
      <c r="AS235" s="34" t="str">
        <f>IF(AND(E235=1,L235=0),AJ235,"")</f>
        <v/>
      </c>
      <c r="AT235" s="34" t="str">
        <f>IF(AND(E235=1,L235=1),AI235,"")</f>
        <v/>
      </c>
      <c r="AU235" s="34" t="str">
        <f>IF(AND(E235=1,L235=0),AI235,"")</f>
        <v/>
      </c>
      <c r="AV235" s="34" t="str">
        <f>IF(AND(E235=1,L235=1),AG235,"")</f>
        <v/>
      </c>
      <c r="AW235" s="34" t="str">
        <f>IF(AND(E235=1,L235=0),AG235,"")</f>
        <v/>
      </c>
      <c r="AX235" s="34" t="str">
        <f>IF(AND(E235=1,L235=1),AH235,"")</f>
        <v/>
      </c>
      <c r="AY235" s="34" t="str">
        <f>IF(AND(E235=1,L235=0),AH235,"")</f>
        <v/>
      </c>
      <c r="AZ235" s="34" t="str">
        <f>IF(G235=1,F235,"")</f>
        <v/>
      </c>
      <c r="BA235" s="34" t="str">
        <f>IF(AND(G235=1,L235=1),F235,"")</f>
        <v/>
      </c>
      <c r="BB235" s="34" t="str">
        <f>IF(AND(G235=1,L235=0),F235,"")</f>
        <v/>
      </c>
      <c r="BC235" s="33" t="str">
        <f>IF(E235=1,IF(Orders!R232&gt;3,1,0),"")</f>
        <v/>
      </c>
      <c r="BD235" s="33" t="str">
        <f>IF(E235=1,IF(Orders!R232&gt;7,1,0),"")</f>
        <v/>
      </c>
      <c r="BE235" s="32" t="str">
        <f>IF(E235=1,IF(Orders!L232&lt;=1.5,"Up to 1.5 km",IF(Orders!L232&lt;=3,"1.5–3 km","Over 3 km")),"")</f>
        <v/>
      </c>
      <c r="BF235" s="33" t="str">
        <f>IF(E235=1,IF(ABS((Orders!G232-Orders!F232)*1440-Orders!R232)&lt;0.06,1,0),"")</f>
        <v/>
      </c>
      <c r="BG235" s="33">
        <f>IF(ABS((Orders!F232-Orders!E232)*1440-Orders!P232)&lt;0.06,1,0)</f>
        <v>1</v>
      </c>
      <c r="BH235" s="33" t="str">
        <f>IF(E235=1,IF(IF(Orders!S232,1,0)=1-G235,1,0),"")</f>
        <v/>
      </c>
      <c r="BI235" s="32" t="str">
        <f>INDEX(Stores!$B$2:$B$21,MATCH(B235,Stores!$A$2:$A$21,0))</f>
        <v>Hyderabad</v>
      </c>
    </row>
    <row r="236">
      <c r="A236" s="32" t="str">
        <f>Orders!A233</f>
        <v>O00232</v>
      </c>
      <c r="B236" s="32" t="str">
        <f>Orders!C233</f>
        <v>S020</v>
      </c>
      <c r="C236" s="32" t="str">
        <f>Orders!B233</f>
        <v>C0150</v>
      </c>
      <c r="D236" s="32" t="str">
        <f>Orders!H233</f>
        <v>Delivered</v>
      </c>
      <c r="E236" s="33">
        <f>IF(Orders!H233="Delivered",1,0)</f>
        <v>1</v>
      </c>
      <c r="F236" s="34">
        <f>IF(E236=1,Orders!R233,"")</f>
        <v>-1.1</v>
      </c>
      <c r="G236" s="33">
        <f>IF(E236=1,IF(Orders!R233&gt;0,1,0),"")</f>
        <v>0</v>
      </c>
      <c r="H236" s="33">
        <f>IF(E236=1,IF(Orders!R233&gt;5,1,0),"")</f>
        <v>0</v>
      </c>
      <c r="I236" s="32" t="str">
        <f>IF(E236=1,"",IF(OR(Orders!T233="Rider unavailable",Orders!T233="Item unavailable"),"Company-caused","Unresolved"))</f>
        <v/>
      </c>
      <c r="J236" s="33">
        <f>IF(OR(E236=1,I236="Company-caused"),1,0)</f>
        <v>1</v>
      </c>
      <c r="K236" s="32" t="str">
        <f>IF(E236=0,IF(I236="Company-caused",IF(Orders!T233="Rider unavailable","C1 Rider unavailable","C2 Item unavailable"),"Outside root: unresolved"),IF(G236=0,"A On time",IF(H236=1,IF(L236=1,"B2a Severe, peak","B2b Severe, off-peak"),IF(L236=1,"B1a Slight, peak","B1b Slight, off-peak"))))</f>
        <v>A On time</v>
      </c>
      <c r="L236" s="33">
        <f>IF(AND(Orders!U233&gt;=19,Orders!U233&lt;22),1,0)</f>
        <v>1</v>
      </c>
      <c r="M236" s="33">
        <f>IF(L236=IF(Orders!V233,1,0),1,0)</f>
        <v>1</v>
      </c>
      <c r="N236" s="32" t="str">
        <f>IF(Orders!W233="","None",Orders!W233)</f>
        <v>Light</v>
      </c>
      <c r="O236" s="35">
        <f>INT(Orders!E233)</f>
        <v>46270.0</v>
      </c>
      <c r="P236" s="33">
        <f>Orders!U233</f>
        <v>19</v>
      </c>
      <c r="Q236" s="33">
        <f>COUNTIFS(Demand!$A$2:$A$4481,B236,Demand!$B$2:$B$4481,O236,Demand!$C$2:$C$4481,P236)</f>
        <v>1</v>
      </c>
      <c r="R236" s="33">
        <f>IF(Q236=1,SUMIFS(Demand!$E$2:$E$4481,Demand!$A$2:$A$4481,B236,Demand!$B$2:$B$4481,O236,Demand!$C$2:$C$4481,P236),"")</f>
        <v>26</v>
      </c>
      <c r="S236" s="33">
        <f>INDEX(Stores!$G$2:$G$21,MATCH(B236,Stores!$A$2:$A$21,0))</f>
        <v>15</v>
      </c>
      <c r="T236" s="34">
        <f>IF(R236="","",R236/S236)</f>
        <v>1.73333333333333</v>
      </c>
      <c r="U236" s="34">
        <f>IF(E236=1,T236,"")</f>
        <v>1.73333333333333</v>
      </c>
      <c r="V236" s="34" t="str">
        <f>IF(AND(E236=1,L236=0),T236,"")</f>
        <v/>
      </c>
      <c r="W236" s="33">
        <f>IF(U236="","",IF(U236&lt;=Breakdowns!$C$5,1,IF(U236&lt;=Breakdowns!$C$6,2,IF(U236&lt;=Breakdowns!$C$7,3,4))))</f>
        <v>4</v>
      </c>
      <c r="X236" s="33" t="str">
        <f>IF(V236="","",IF(V236&lt;=Breakdowns!$D$5,1,IF(V236&lt;=Breakdowns!$D$6,2,IF(V236&lt;=Breakdowns!$D$7,3,4))))</f>
        <v/>
      </c>
      <c r="Y236" s="34">
        <f>INDEX(Stores!$F$2:$F$21,MATCH(B236,Stores!$A$2:$A$21,0))</f>
        <v>5.74</v>
      </c>
      <c r="Z236" s="33">
        <f>IF(Y236&gt;Store_Summary!$M$2,1,0)</f>
        <v>1</v>
      </c>
      <c r="AA236" s="33">
        <f>INDEX(Stores!$C$2:$C$21,MATCH(B236,Stores!$A$2:$A$21,0))</f>
        <v>647</v>
      </c>
      <c r="AB236" s="33">
        <f>IF(AA236&lt;180,1,0)</f>
        <v>0</v>
      </c>
      <c r="AC236" s="32" t="str">
        <f>IF(Orders!D233="","",INDEX(Riders!$C$2:$C$81,MATCH(Orders!D233,Riders!$A$2:$A$81,0)))</f>
        <v>Bicycle</v>
      </c>
      <c r="AD236" s="33">
        <f>IF(Orders!D233="","",INDEX(Riders!$D$2:$D$81,MATCH(Orders!D233,Riders!$A$2:$A$81,0)))</f>
        <v>40</v>
      </c>
      <c r="AE236" s="33">
        <f>IF(Orders!D233="","",IF(INDEX(Riders!$B$2:$B$81,MATCH(Orders!D233,Riders!$A$2:$A$81,0))=B236,1,0))</f>
        <v>0</v>
      </c>
      <c r="AF236" s="34">
        <f>IF(E236=1,Orders!L233,"")</f>
        <v>0.65</v>
      </c>
      <c r="AG236" s="34">
        <f>IF(E236=1,Orders!P233,"")</f>
        <v>9</v>
      </c>
      <c r="AH236" s="34">
        <f>IF(E236=1,Orders!Q233,"")</f>
        <v>7.9</v>
      </c>
      <c r="AI236" s="34">
        <f>IF(E236=1,Orders!M233,"")</f>
        <v>3.4</v>
      </c>
      <c r="AJ236" s="34">
        <f>IF(E236=1,Orders!N233,"")</f>
        <v>1.9</v>
      </c>
      <c r="AK236" s="34">
        <f>IF(E236=1,Orders!O233,"")</f>
        <v>2.6</v>
      </c>
      <c r="AL236" s="33">
        <f>IF(E236=1,IF(ROUND(ABS(AI236+AJ236+AK236-AH236),6)&lt;=0.1,1,0),"")</f>
        <v>1</v>
      </c>
      <c r="AM236" s="36">
        <f>IF(E236=1,AI236/AH236,"")</f>
        <v>0.430379746835443</v>
      </c>
      <c r="AN236" s="36">
        <f>IF(E236=1,AJ236/AH236,"")</f>
        <v>0.240506329113924</v>
      </c>
      <c r="AO236" s="36">
        <f>IF(E236=1,AK236/AH236,"")</f>
        <v>0.329113924050633</v>
      </c>
      <c r="AP236" s="34">
        <f>IF(E236=1,Orders!Y233,"")</f>
        <v>0.69</v>
      </c>
      <c r="AQ236" s="33">
        <f>IF(Orders!X233,1,0)</f>
        <v>0</v>
      </c>
      <c r="AR236" s="34">
        <f>IF(AND(E236=1,L236=1),AJ236,"")</f>
        <v>1.9</v>
      </c>
      <c r="AS236" s="34" t="str">
        <f>IF(AND(E236=1,L236=0),AJ236,"")</f>
        <v/>
      </c>
      <c r="AT236" s="34">
        <f>IF(AND(E236=1,L236=1),AI236,"")</f>
        <v>3.4</v>
      </c>
      <c r="AU236" s="34" t="str">
        <f>IF(AND(E236=1,L236=0),AI236,"")</f>
        <v/>
      </c>
      <c r="AV236" s="34">
        <f>IF(AND(E236=1,L236=1),AG236,"")</f>
        <v>9</v>
      </c>
      <c r="AW236" s="34" t="str">
        <f>IF(AND(E236=1,L236=0),AG236,"")</f>
        <v/>
      </c>
      <c r="AX236" s="34">
        <f>IF(AND(E236=1,L236=1),AH236,"")</f>
        <v>7.9</v>
      </c>
      <c r="AY236" s="34" t="str">
        <f>IF(AND(E236=1,L236=0),AH236,"")</f>
        <v/>
      </c>
      <c r="AZ236" s="34" t="str">
        <f>IF(G236=1,F236,"")</f>
        <v/>
      </c>
      <c r="BA236" s="34" t="str">
        <f>IF(AND(G236=1,L236=1),F236,"")</f>
        <v/>
      </c>
      <c r="BB236" s="34" t="str">
        <f>IF(AND(G236=1,L236=0),F236,"")</f>
        <v/>
      </c>
      <c r="BC236" s="33">
        <f>IF(E236=1,IF(Orders!R233&gt;3,1,0),"")</f>
        <v>0</v>
      </c>
      <c r="BD236" s="33">
        <f>IF(E236=1,IF(Orders!R233&gt;7,1,0),"")</f>
        <v>0</v>
      </c>
      <c r="BE236" s="32" t="str">
        <f>IF(E236=1,IF(Orders!L233&lt;=1.5,"Up to 1.5 km",IF(Orders!L233&lt;=3,"1.5–3 km","Over 3 km")),"")</f>
        <v>Up to 1.5 km</v>
      </c>
      <c r="BF236" s="33">
        <f>IF(E236=1,IF(ABS((Orders!G233-Orders!F233)*1440-Orders!R233)&lt;0.06,1,0),"")</f>
        <v>1</v>
      </c>
      <c r="BG236" s="33">
        <f>IF(ABS((Orders!F233-Orders!E233)*1440-Orders!P233)&lt;0.06,1,0)</f>
        <v>1</v>
      </c>
      <c r="BH236" s="33">
        <f>IF(E236=1,IF(IF(Orders!S233,1,0)=1-G236,1,0),"")</f>
        <v>1</v>
      </c>
      <c r="BI236" s="32" t="str">
        <f>INDEX(Stores!$B$2:$B$21,MATCH(B236,Stores!$A$2:$A$21,0))</f>
        <v>Delhi</v>
      </c>
    </row>
    <row r="237">
      <c r="A237" s="32" t="str">
        <f>Orders!A234</f>
        <v>O00233</v>
      </c>
      <c r="B237" s="32" t="str">
        <f>Orders!C234</f>
        <v>S014</v>
      </c>
      <c r="C237" s="32" t="str">
        <f>Orders!B234</f>
        <v>C0025</v>
      </c>
      <c r="D237" s="32" t="str">
        <f>Orders!H234</f>
        <v>Delivered</v>
      </c>
      <c r="E237" s="33">
        <f>IF(Orders!H234="Delivered",1,0)</f>
        <v>1</v>
      </c>
      <c r="F237" s="34">
        <f>IF(E237=1,Orders!R234,"")</f>
        <v>-1.2</v>
      </c>
      <c r="G237" s="33">
        <f>IF(E237=1,IF(Orders!R234&gt;0,1,0),"")</f>
        <v>0</v>
      </c>
      <c r="H237" s="33">
        <f>IF(E237=1,IF(Orders!R234&gt;5,1,0),"")</f>
        <v>0</v>
      </c>
      <c r="I237" s="32" t="str">
        <f>IF(E237=1,"",IF(OR(Orders!T234="Rider unavailable",Orders!T234="Item unavailable"),"Company-caused","Unresolved"))</f>
        <v/>
      </c>
      <c r="J237" s="33">
        <f>IF(OR(E237=1,I237="Company-caused"),1,0)</f>
        <v>1</v>
      </c>
      <c r="K237" s="32" t="str">
        <f>IF(E237=0,IF(I237="Company-caused",IF(Orders!T234="Rider unavailable","C1 Rider unavailable","C2 Item unavailable"),"Outside root: unresolved"),IF(G237=0,"A On time",IF(H237=1,IF(L237=1,"B2a Severe, peak","B2b Severe, off-peak"),IF(L237=1,"B1a Slight, peak","B1b Slight, off-peak"))))</f>
        <v>A On time</v>
      </c>
      <c r="L237" s="33">
        <f>IF(AND(Orders!U234&gt;=19,Orders!U234&lt;22),1,0)</f>
        <v>0</v>
      </c>
      <c r="M237" s="33">
        <f>IF(L237=IF(Orders!V234,1,0),1,0)</f>
        <v>1</v>
      </c>
      <c r="N237" s="32" t="str">
        <f>IF(Orders!W234="","None",Orders!W234)</f>
        <v>None</v>
      </c>
      <c r="O237" s="35">
        <f>INT(Orders!E234)</f>
        <v>46275.0</v>
      </c>
      <c r="P237" s="33">
        <f>Orders!U234</f>
        <v>18</v>
      </c>
      <c r="Q237" s="33">
        <f>COUNTIFS(Demand!$A$2:$A$4481,B237,Demand!$B$2:$B$4481,O237,Demand!$C$2:$C$4481,P237)</f>
        <v>1</v>
      </c>
      <c r="R237" s="33">
        <f>IF(Q237=1,SUMIFS(Demand!$E$2:$E$4481,Demand!$A$2:$A$4481,B237,Demand!$B$2:$B$4481,O237,Demand!$C$2:$C$4481,P237),"")</f>
        <v>47</v>
      </c>
      <c r="S237" s="33">
        <f>INDEX(Stores!$G$2:$G$21,MATCH(B237,Stores!$A$2:$A$21,0))</f>
        <v>37</v>
      </c>
      <c r="T237" s="34">
        <f>IF(R237="","",R237/S237)</f>
        <v>1.27027027027027</v>
      </c>
      <c r="U237" s="34">
        <f>IF(E237=1,T237,"")</f>
        <v>1.27027027027027</v>
      </c>
      <c r="V237" s="34">
        <f>IF(AND(E237=1,L237=0),T237,"")</f>
        <v>1.27027027027027</v>
      </c>
      <c r="W237" s="33">
        <f>IF(U237="","",IF(U237&lt;=Breakdowns!$C$5,1,IF(U237&lt;=Breakdowns!$C$6,2,IF(U237&lt;=Breakdowns!$C$7,3,4))))</f>
        <v>4</v>
      </c>
      <c r="X237" s="33">
        <f>IF(V237="","",IF(V237&lt;=Breakdowns!$D$5,1,IF(V237&lt;=Breakdowns!$D$6,2,IF(V237&lt;=Breakdowns!$D$7,3,4))))</f>
        <v>4</v>
      </c>
      <c r="Y237" s="34">
        <f>INDEX(Stores!$F$2:$F$21,MATCH(B237,Stores!$A$2:$A$21,0))</f>
        <v>5.55</v>
      </c>
      <c r="Z237" s="33">
        <f>IF(Y237&gt;Store_Summary!$M$2,1,0)</f>
        <v>1</v>
      </c>
      <c r="AA237" s="33">
        <f>INDEX(Stores!$C$2:$C$21,MATCH(B237,Stores!$A$2:$A$21,0))</f>
        <v>241</v>
      </c>
      <c r="AB237" s="33">
        <f>IF(AA237&lt;180,1,0)</f>
        <v>0</v>
      </c>
      <c r="AC237" s="32" t="str">
        <f>IF(Orders!D234="","",INDEX(Riders!$C$2:$C$81,MATCH(Orders!D234,Riders!$A$2:$A$81,0)))</f>
        <v>Petrol scooter</v>
      </c>
      <c r="AD237" s="33">
        <f>IF(Orders!D234="","",INDEX(Riders!$D$2:$D$81,MATCH(Orders!D234,Riders!$A$2:$A$81,0)))</f>
        <v>2</v>
      </c>
      <c r="AE237" s="33">
        <f>IF(Orders!D234="","",IF(INDEX(Riders!$B$2:$B$81,MATCH(Orders!D234,Riders!$A$2:$A$81,0))=B237,1,0))</f>
        <v>0</v>
      </c>
      <c r="AF237" s="34">
        <f>IF(E237=1,Orders!L234,"")</f>
        <v>1.64</v>
      </c>
      <c r="AG237" s="34">
        <f>IF(E237=1,Orders!P234,"")</f>
        <v>10.4</v>
      </c>
      <c r="AH237" s="34">
        <f>IF(E237=1,Orders!Q234,"")</f>
        <v>9.2</v>
      </c>
      <c r="AI237" s="34">
        <f>IF(E237=1,Orders!M234,"")</f>
        <v>3.4</v>
      </c>
      <c r="AJ237" s="34">
        <f>IF(E237=1,Orders!N234,"")</f>
        <v>3</v>
      </c>
      <c r="AK237" s="34">
        <f>IF(E237=1,Orders!O234,"")</f>
        <v>2.8</v>
      </c>
      <c r="AL237" s="33">
        <f>IF(E237=1,IF(ROUND(ABS(AI237+AJ237+AK237-AH237),6)&lt;=0.1,1,0),"")</f>
        <v>1</v>
      </c>
      <c r="AM237" s="36">
        <f>IF(E237=1,AI237/AH237,"")</f>
        <v>0.369565217391304</v>
      </c>
      <c r="AN237" s="36">
        <f>IF(E237=1,AJ237/AH237,"")</f>
        <v>0.326086956521739</v>
      </c>
      <c r="AO237" s="36">
        <f>IF(E237=1,AK237/AH237,"")</f>
        <v>0.304347826086957</v>
      </c>
      <c r="AP237" s="34">
        <f>IF(E237=1,Orders!Y234,"")</f>
        <v>0.41</v>
      </c>
      <c r="AQ237" s="33">
        <f>IF(Orders!X234,1,0)</f>
        <v>0</v>
      </c>
      <c r="AR237" s="34" t="str">
        <f>IF(AND(E237=1,L237=1),AJ237,"")</f>
        <v/>
      </c>
      <c r="AS237" s="34">
        <f>IF(AND(E237=1,L237=0),AJ237,"")</f>
        <v>3</v>
      </c>
      <c r="AT237" s="34" t="str">
        <f>IF(AND(E237=1,L237=1),AI237,"")</f>
        <v/>
      </c>
      <c r="AU237" s="34">
        <f>IF(AND(E237=1,L237=0),AI237,"")</f>
        <v>3.4</v>
      </c>
      <c r="AV237" s="34" t="str">
        <f>IF(AND(E237=1,L237=1),AG237,"")</f>
        <v/>
      </c>
      <c r="AW237" s="34">
        <f>IF(AND(E237=1,L237=0),AG237,"")</f>
        <v>10.4</v>
      </c>
      <c r="AX237" s="34" t="str">
        <f>IF(AND(E237=1,L237=1),AH237,"")</f>
        <v/>
      </c>
      <c r="AY237" s="34">
        <f>IF(AND(E237=1,L237=0),AH237,"")</f>
        <v>9.2</v>
      </c>
      <c r="AZ237" s="34" t="str">
        <f>IF(G237=1,F237,"")</f>
        <v/>
      </c>
      <c r="BA237" s="34" t="str">
        <f>IF(AND(G237=1,L237=1),F237,"")</f>
        <v/>
      </c>
      <c r="BB237" s="34" t="str">
        <f>IF(AND(G237=1,L237=0),F237,"")</f>
        <v/>
      </c>
      <c r="BC237" s="33">
        <f>IF(E237=1,IF(Orders!R234&gt;3,1,0),"")</f>
        <v>0</v>
      </c>
      <c r="BD237" s="33">
        <f>IF(E237=1,IF(Orders!R234&gt;7,1,0),"")</f>
        <v>0</v>
      </c>
      <c r="BE237" s="32" t="str">
        <f>IF(E237=1,IF(Orders!L234&lt;=1.5,"Up to 1.5 km",IF(Orders!L234&lt;=3,"1.5–3 km","Over 3 km")),"")</f>
        <v>1.5–3 km</v>
      </c>
      <c r="BF237" s="33">
        <f>IF(E237=1,IF(ABS((Orders!G234-Orders!F234)*1440-Orders!R234)&lt;0.06,1,0),"")</f>
        <v>1</v>
      </c>
      <c r="BG237" s="33">
        <f>IF(ABS((Orders!F234-Orders!E234)*1440-Orders!P234)&lt;0.06,1,0)</f>
        <v>1</v>
      </c>
      <c r="BH237" s="33">
        <f>IF(E237=1,IF(IF(Orders!S234,1,0)=1-G237,1,0),"")</f>
        <v>1</v>
      </c>
      <c r="BI237" s="32" t="str">
        <f>INDEX(Stores!$B$2:$B$21,MATCH(B237,Stores!$A$2:$A$21,0))</f>
        <v>Pune</v>
      </c>
    </row>
    <row r="238">
      <c r="A238" s="32" t="str">
        <f>Orders!A235</f>
        <v>O00234</v>
      </c>
      <c r="B238" s="32" t="str">
        <f>Orders!C235</f>
        <v>S018</v>
      </c>
      <c r="C238" s="32" t="str">
        <f>Orders!B235</f>
        <v>C0101</v>
      </c>
      <c r="D238" s="32" t="str">
        <f>Orders!H235</f>
        <v>Delivered</v>
      </c>
      <c r="E238" s="33">
        <f>IF(Orders!H235="Delivered",1,0)</f>
        <v>1</v>
      </c>
      <c r="F238" s="34">
        <f>IF(E238=1,Orders!R235,"")</f>
        <v>-0.5</v>
      </c>
      <c r="G238" s="33">
        <f>IF(E238=1,IF(Orders!R235&gt;0,1,0),"")</f>
        <v>0</v>
      </c>
      <c r="H238" s="33">
        <f>IF(E238=1,IF(Orders!R235&gt;5,1,0),"")</f>
        <v>0</v>
      </c>
      <c r="I238" s="32" t="str">
        <f>IF(E238=1,"",IF(OR(Orders!T235="Rider unavailable",Orders!T235="Item unavailable"),"Company-caused","Unresolved"))</f>
        <v/>
      </c>
      <c r="J238" s="33">
        <f>IF(OR(E238=1,I238="Company-caused"),1,0)</f>
        <v>1</v>
      </c>
      <c r="K238" s="32" t="str">
        <f>IF(E238=0,IF(I238="Company-caused",IF(Orders!T235="Rider unavailable","C1 Rider unavailable","C2 Item unavailable"),"Outside root: unresolved"),IF(G238=0,"A On time",IF(H238=1,IF(L238=1,"B2a Severe, peak","B2b Severe, off-peak"),IF(L238=1,"B1a Slight, peak","B1b Slight, off-peak"))))</f>
        <v>A On time</v>
      </c>
      <c r="L238" s="33">
        <f>IF(AND(Orders!U235&gt;=19,Orders!U235&lt;22),1,0)</f>
        <v>0</v>
      </c>
      <c r="M238" s="33">
        <f>IF(L238=IF(Orders!V235,1,0),1,0)</f>
        <v>1</v>
      </c>
      <c r="N238" s="32" t="str">
        <f>IF(Orders!W235="","None",Orders!W235)</f>
        <v>None</v>
      </c>
      <c r="O238" s="35">
        <f>INT(Orders!E235)</f>
        <v>46279.0</v>
      </c>
      <c r="P238" s="33">
        <f>Orders!U235</f>
        <v>13</v>
      </c>
      <c r="Q238" s="33">
        <f>COUNTIFS(Demand!$A$2:$A$4481,B238,Demand!$B$2:$B$4481,O238,Demand!$C$2:$C$4481,P238)</f>
        <v>1</v>
      </c>
      <c r="R238" s="33">
        <f>IF(Q238=1,SUMIFS(Demand!$E$2:$E$4481,Demand!$A$2:$A$4481,B238,Demand!$B$2:$B$4481,O238,Demand!$C$2:$C$4481,P238),"")</f>
        <v>18</v>
      </c>
      <c r="S238" s="33">
        <f>INDEX(Stores!$G$2:$G$21,MATCH(B238,Stores!$A$2:$A$21,0))</f>
        <v>20</v>
      </c>
      <c r="T238" s="34">
        <f>IF(R238="","",R238/S238)</f>
        <v>0.9</v>
      </c>
      <c r="U238" s="34">
        <f>IF(E238=1,T238,"")</f>
        <v>0.9</v>
      </c>
      <c r="V238" s="34">
        <f>IF(AND(E238=1,L238=0),T238,"")</f>
        <v>0.9</v>
      </c>
      <c r="W238" s="33">
        <f>IF(U238="","",IF(U238&lt;=Breakdowns!$C$5,1,IF(U238&lt;=Breakdowns!$C$6,2,IF(U238&lt;=Breakdowns!$C$7,3,4))))</f>
        <v>2</v>
      </c>
      <c r="X238" s="33">
        <f>IF(V238="","",IF(V238&lt;=Breakdowns!$D$5,1,IF(V238&lt;=Breakdowns!$D$6,2,IF(V238&lt;=Breakdowns!$D$7,3,4))))</f>
        <v>2</v>
      </c>
      <c r="Y238" s="34">
        <f>INDEX(Stores!$F$2:$F$21,MATCH(B238,Stores!$A$2:$A$21,0))</f>
        <v>5.31</v>
      </c>
      <c r="Z238" s="33">
        <f>IF(Y238&gt;Store_Summary!$M$2,1,0)</f>
        <v>1</v>
      </c>
      <c r="AA238" s="33">
        <f>INDEX(Stores!$C$2:$C$21,MATCH(B238,Stores!$A$2:$A$21,0))</f>
        <v>214</v>
      </c>
      <c r="AB238" s="33">
        <f>IF(AA238&lt;180,1,0)</f>
        <v>0</v>
      </c>
      <c r="AC238" s="32" t="str">
        <f>IF(Orders!D235="","",INDEX(Riders!$C$2:$C$81,MATCH(Orders!D235,Riders!$A$2:$A$81,0)))</f>
        <v>EV scooter</v>
      </c>
      <c r="AD238" s="33">
        <f>IF(Orders!D235="","",INDEX(Riders!$D$2:$D$81,MATCH(Orders!D235,Riders!$A$2:$A$81,0)))</f>
        <v>11</v>
      </c>
      <c r="AE238" s="33">
        <f>IF(Orders!D235="","",IF(INDEX(Riders!$B$2:$B$81,MATCH(Orders!D235,Riders!$A$2:$A$81,0))=B238,1,0))</f>
        <v>0</v>
      </c>
      <c r="AF238" s="34">
        <f>IF(E238=1,Orders!L235,"")</f>
        <v>0.91</v>
      </c>
      <c r="AG238" s="34">
        <f>IF(E238=1,Orders!P235,"")</f>
        <v>8.2</v>
      </c>
      <c r="AH238" s="34">
        <f>IF(E238=1,Orders!Q235,"")</f>
        <v>7.7</v>
      </c>
      <c r="AI238" s="34">
        <f>IF(E238=1,Orders!M235,"")</f>
        <v>2.6</v>
      </c>
      <c r="AJ238" s="34">
        <f>IF(E238=1,Orders!N235,"")</f>
        <v>3.7</v>
      </c>
      <c r="AK238" s="34">
        <f>IF(E238=1,Orders!O235,"")</f>
        <v>1.4</v>
      </c>
      <c r="AL238" s="33">
        <f>IF(E238=1,IF(ROUND(ABS(AI238+AJ238+AK238-AH238),6)&lt;=0.1,1,0),"")</f>
        <v>1</v>
      </c>
      <c r="AM238" s="36">
        <f>IF(E238=1,AI238/AH238,"")</f>
        <v>0.337662337662338</v>
      </c>
      <c r="AN238" s="36">
        <f>IF(E238=1,AJ238/AH238,"")</f>
        <v>0.480519480519481</v>
      </c>
      <c r="AO238" s="36">
        <f>IF(E238=1,AK238/AH238,"")</f>
        <v>0.181818181818182</v>
      </c>
      <c r="AP238" s="34">
        <f>IF(E238=1,Orders!Y235,"")</f>
        <v>0.3</v>
      </c>
      <c r="AQ238" s="33">
        <f>IF(Orders!X235,1,0)</f>
        <v>0</v>
      </c>
      <c r="AR238" s="34" t="str">
        <f>IF(AND(E238=1,L238=1),AJ238,"")</f>
        <v/>
      </c>
      <c r="AS238" s="34">
        <f>IF(AND(E238=1,L238=0),AJ238,"")</f>
        <v>3.7</v>
      </c>
      <c r="AT238" s="34" t="str">
        <f>IF(AND(E238=1,L238=1),AI238,"")</f>
        <v/>
      </c>
      <c r="AU238" s="34">
        <f>IF(AND(E238=1,L238=0),AI238,"")</f>
        <v>2.6</v>
      </c>
      <c r="AV238" s="34" t="str">
        <f>IF(AND(E238=1,L238=1),AG238,"")</f>
        <v/>
      </c>
      <c r="AW238" s="34">
        <f>IF(AND(E238=1,L238=0),AG238,"")</f>
        <v>8.2</v>
      </c>
      <c r="AX238" s="34" t="str">
        <f>IF(AND(E238=1,L238=1),AH238,"")</f>
        <v/>
      </c>
      <c r="AY238" s="34">
        <f>IF(AND(E238=1,L238=0),AH238,"")</f>
        <v>7.7</v>
      </c>
      <c r="AZ238" s="34" t="str">
        <f>IF(G238=1,F238,"")</f>
        <v/>
      </c>
      <c r="BA238" s="34" t="str">
        <f>IF(AND(G238=1,L238=1),F238,"")</f>
        <v/>
      </c>
      <c r="BB238" s="34" t="str">
        <f>IF(AND(G238=1,L238=0),F238,"")</f>
        <v/>
      </c>
      <c r="BC238" s="33">
        <f>IF(E238=1,IF(Orders!R235&gt;3,1,0),"")</f>
        <v>0</v>
      </c>
      <c r="BD238" s="33">
        <f>IF(E238=1,IF(Orders!R235&gt;7,1,0),"")</f>
        <v>0</v>
      </c>
      <c r="BE238" s="32" t="str">
        <f>IF(E238=1,IF(Orders!L235&lt;=1.5,"Up to 1.5 km",IF(Orders!L235&lt;=3,"1.5–3 km","Over 3 km")),"")</f>
        <v>Up to 1.5 km</v>
      </c>
      <c r="BF238" s="33">
        <f>IF(E238=1,IF(ABS((Orders!G235-Orders!F235)*1440-Orders!R235)&lt;0.06,1,0),"")</f>
        <v>1</v>
      </c>
      <c r="BG238" s="33">
        <f>IF(ABS((Orders!F235-Orders!E235)*1440-Orders!P235)&lt;0.06,1,0)</f>
        <v>1</v>
      </c>
      <c r="BH238" s="33">
        <f>IF(E238=1,IF(IF(Orders!S235,1,0)=1-G238,1,0),"")</f>
        <v>1</v>
      </c>
      <c r="BI238" s="32" t="str">
        <f>INDEX(Stores!$B$2:$B$21,MATCH(B238,Stores!$A$2:$A$21,0))</f>
        <v>Mumbai</v>
      </c>
    </row>
    <row r="239">
      <c r="A239" s="32" t="str">
        <f>Orders!A236</f>
        <v>O00235</v>
      </c>
      <c r="B239" s="32" t="str">
        <f>Orders!C236</f>
        <v>S007</v>
      </c>
      <c r="C239" s="32" t="str">
        <f>Orders!B236</f>
        <v>C0182</v>
      </c>
      <c r="D239" s="32" t="str">
        <f>Orders!H236</f>
        <v>Delivered</v>
      </c>
      <c r="E239" s="33">
        <f>IF(Orders!H236="Delivered",1,0)</f>
        <v>1</v>
      </c>
      <c r="F239" s="34">
        <f>IF(E239=1,Orders!R236,"")</f>
        <v>-1</v>
      </c>
      <c r="G239" s="33">
        <f>IF(E239=1,IF(Orders!R236&gt;0,1,0),"")</f>
        <v>0</v>
      </c>
      <c r="H239" s="33">
        <f>IF(E239=1,IF(Orders!R236&gt;5,1,0),"")</f>
        <v>0</v>
      </c>
      <c r="I239" s="32" t="str">
        <f>IF(E239=1,"",IF(OR(Orders!T236="Rider unavailable",Orders!T236="Item unavailable"),"Company-caused","Unresolved"))</f>
        <v/>
      </c>
      <c r="J239" s="33">
        <f>IF(OR(E239=1,I239="Company-caused"),1,0)</f>
        <v>1</v>
      </c>
      <c r="K239" s="32" t="str">
        <f>IF(E239=0,IF(I239="Company-caused",IF(Orders!T236="Rider unavailable","C1 Rider unavailable","C2 Item unavailable"),"Outside root: unresolved"),IF(G239=0,"A On time",IF(H239=1,IF(L239=1,"B2a Severe, peak","B2b Severe, off-peak"),IF(L239=1,"B1a Slight, peak","B1b Slight, off-peak"))))</f>
        <v>A On time</v>
      </c>
      <c r="L239" s="33">
        <f>IF(AND(Orders!U236&gt;=19,Orders!U236&lt;22),1,0)</f>
        <v>1</v>
      </c>
      <c r="M239" s="33">
        <f>IF(L239=IF(Orders!V236,1,0),1,0)</f>
        <v>1</v>
      </c>
      <c r="N239" s="32" t="str">
        <f>IF(Orders!W236="","None",Orders!W236)</f>
        <v>None</v>
      </c>
      <c r="O239" s="35">
        <f>INT(Orders!E236)</f>
        <v>46276.0</v>
      </c>
      <c r="P239" s="33">
        <f>Orders!U236</f>
        <v>21</v>
      </c>
      <c r="Q239" s="33">
        <f>COUNTIFS(Demand!$A$2:$A$4481,B239,Demand!$B$2:$B$4481,O239,Demand!$C$2:$C$4481,P239)</f>
        <v>1</v>
      </c>
      <c r="R239" s="33">
        <f>IF(Q239=1,SUMIFS(Demand!$E$2:$E$4481,Demand!$A$2:$A$4481,B239,Demand!$B$2:$B$4481,O239,Demand!$C$2:$C$4481,P239),"")</f>
        <v>60</v>
      </c>
      <c r="S239" s="33">
        <f>INDEX(Stores!$G$2:$G$21,MATCH(B239,Stores!$A$2:$A$21,0))</f>
        <v>37</v>
      </c>
      <c r="T239" s="34">
        <f>IF(R239="","",R239/S239)</f>
        <v>1.62162162162162</v>
      </c>
      <c r="U239" s="34">
        <f>IF(E239=1,T239,"")</f>
        <v>1.62162162162162</v>
      </c>
      <c r="V239" s="34" t="str">
        <f>IF(AND(E239=1,L239=0),T239,"")</f>
        <v/>
      </c>
      <c r="W239" s="33">
        <f>IF(U239="","",IF(U239&lt;=Breakdowns!$C$5,1,IF(U239&lt;=Breakdowns!$C$6,2,IF(U239&lt;=Breakdowns!$C$7,3,4))))</f>
        <v>4</v>
      </c>
      <c r="X239" s="33" t="str">
        <f>IF(V239="","",IF(V239&lt;=Breakdowns!$D$5,1,IF(V239&lt;=Breakdowns!$D$6,2,IF(V239&lt;=Breakdowns!$D$7,3,4))))</f>
        <v/>
      </c>
      <c r="Y239" s="34">
        <f>INDEX(Stores!$F$2:$F$21,MATCH(B239,Stores!$A$2:$A$21,0))</f>
        <v>4.05</v>
      </c>
      <c r="Z239" s="33">
        <f>IF(Y239&gt;Store_Summary!$M$2,1,0)</f>
        <v>0</v>
      </c>
      <c r="AA239" s="33">
        <f>INDEX(Stores!$C$2:$C$21,MATCH(B239,Stores!$A$2:$A$21,0))</f>
        <v>661</v>
      </c>
      <c r="AB239" s="33">
        <f>IF(AA239&lt;180,1,0)</f>
        <v>0</v>
      </c>
      <c r="AC239" s="32" t="str">
        <f>IF(Orders!D236="","",INDEX(Riders!$C$2:$C$81,MATCH(Orders!D236,Riders!$A$2:$A$81,0)))</f>
        <v>EV scooter</v>
      </c>
      <c r="AD239" s="33">
        <f>IF(Orders!D236="","",INDEX(Riders!$D$2:$D$81,MATCH(Orders!D236,Riders!$A$2:$A$81,0)))</f>
        <v>37</v>
      </c>
      <c r="AE239" s="33">
        <f>IF(Orders!D236="","",IF(INDEX(Riders!$B$2:$B$81,MATCH(Orders!D236,Riders!$A$2:$A$81,0))=B239,1,0))</f>
        <v>0</v>
      </c>
      <c r="AF239" s="34">
        <f>IF(E239=1,Orders!L236,"")</f>
        <v>0.62</v>
      </c>
      <c r="AG239" s="34">
        <f>IF(E239=1,Orders!P236,"")</f>
        <v>8.3</v>
      </c>
      <c r="AH239" s="34">
        <f>IF(E239=1,Orders!Q236,"")</f>
        <v>7.3</v>
      </c>
      <c r="AI239" s="34">
        <f>IF(E239=1,Orders!M236,"")</f>
        <v>2.5</v>
      </c>
      <c r="AJ239" s="34">
        <f>IF(E239=1,Orders!N236,"")</f>
        <v>2.3</v>
      </c>
      <c r="AK239" s="34">
        <f>IF(E239=1,Orders!O236,"")</f>
        <v>2.5</v>
      </c>
      <c r="AL239" s="33">
        <f>IF(E239=1,IF(ROUND(ABS(AI239+AJ239+AK239-AH239),6)&lt;=0.1,1,0),"")</f>
        <v>1</v>
      </c>
      <c r="AM239" s="36">
        <f>IF(E239=1,AI239/AH239,"")</f>
        <v>0.342465753424658</v>
      </c>
      <c r="AN239" s="36">
        <f>IF(E239=1,AJ239/AH239,"")</f>
        <v>0.315068493150685</v>
      </c>
      <c r="AO239" s="36">
        <f>IF(E239=1,AK239/AH239,"")</f>
        <v>0.342465753424658</v>
      </c>
      <c r="AP239" s="34">
        <f>IF(E239=1,Orders!Y236,"")</f>
        <v>0.45</v>
      </c>
      <c r="AQ239" s="33">
        <f>IF(Orders!X236,1,0)</f>
        <v>1</v>
      </c>
      <c r="AR239" s="34">
        <f>IF(AND(E239=1,L239=1),AJ239,"")</f>
        <v>2.3</v>
      </c>
      <c r="AS239" s="34" t="str">
        <f>IF(AND(E239=1,L239=0),AJ239,"")</f>
        <v/>
      </c>
      <c r="AT239" s="34">
        <f>IF(AND(E239=1,L239=1),AI239,"")</f>
        <v>2.5</v>
      </c>
      <c r="AU239" s="34" t="str">
        <f>IF(AND(E239=1,L239=0),AI239,"")</f>
        <v/>
      </c>
      <c r="AV239" s="34">
        <f>IF(AND(E239=1,L239=1),AG239,"")</f>
        <v>8.3</v>
      </c>
      <c r="AW239" s="34" t="str">
        <f>IF(AND(E239=1,L239=0),AG239,"")</f>
        <v/>
      </c>
      <c r="AX239" s="34">
        <f>IF(AND(E239=1,L239=1),AH239,"")</f>
        <v>7.3</v>
      </c>
      <c r="AY239" s="34" t="str">
        <f>IF(AND(E239=1,L239=0),AH239,"")</f>
        <v/>
      </c>
      <c r="AZ239" s="34" t="str">
        <f>IF(G239=1,F239,"")</f>
        <v/>
      </c>
      <c r="BA239" s="34" t="str">
        <f>IF(AND(G239=1,L239=1),F239,"")</f>
        <v/>
      </c>
      <c r="BB239" s="34" t="str">
        <f>IF(AND(G239=1,L239=0),F239,"")</f>
        <v/>
      </c>
      <c r="BC239" s="33">
        <f>IF(E239=1,IF(Orders!R236&gt;3,1,0),"")</f>
        <v>0</v>
      </c>
      <c r="BD239" s="33">
        <f>IF(E239=1,IF(Orders!R236&gt;7,1,0),"")</f>
        <v>0</v>
      </c>
      <c r="BE239" s="32" t="str">
        <f>IF(E239=1,IF(Orders!L236&lt;=1.5,"Up to 1.5 km",IF(Orders!L236&lt;=3,"1.5–3 km","Over 3 km")),"")</f>
        <v>Up to 1.5 km</v>
      </c>
      <c r="BF239" s="33">
        <f>IF(E239=1,IF(ABS((Orders!G236-Orders!F236)*1440-Orders!R236)&lt;0.06,1,0),"")</f>
        <v>1</v>
      </c>
      <c r="BG239" s="33">
        <f>IF(ABS((Orders!F236-Orders!E236)*1440-Orders!P236)&lt;0.06,1,0)</f>
        <v>1</v>
      </c>
      <c r="BH239" s="33">
        <f>IF(E239=1,IF(IF(Orders!S236,1,0)=1-G239,1,0),"")</f>
        <v>1</v>
      </c>
      <c r="BI239" s="32" t="str">
        <f>INDEX(Stores!$B$2:$B$21,MATCH(B239,Stores!$A$2:$A$21,0))</f>
        <v>Hyderabad</v>
      </c>
    </row>
    <row r="240">
      <c r="A240" s="32" t="str">
        <f>Orders!A237</f>
        <v>O00236</v>
      </c>
      <c r="B240" s="32" t="str">
        <f>Orders!C237</f>
        <v>S011</v>
      </c>
      <c r="C240" s="32" t="str">
        <f>Orders!B237</f>
        <v>C0238</v>
      </c>
      <c r="D240" s="32" t="str">
        <f>Orders!H237</f>
        <v>Delivered</v>
      </c>
      <c r="E240" s="33">
        <f>IF(Orders!H237="Delivered",1,0)</f>
        <v>1</v>
      </c>
      <c r="F240" s="34">
        <f>IF(E240=1,Orders!R237,"")</f>
        <v>7.1</v>
      </c>
      <c r="G240" s="33">
        <f>IF(E240=1,IF(Orders!R237&gt;0,1,0),"")</f>
        <v>1</v>
      </c>
      <c r="H240" s="33">
        <f>IF(E240=1,IF(Orders!R237&gt;5,1,0),"")</f>
        <v>1</v>
      </c>
      <c r="I240" s="32" t="str">
        <f>IF(E240=1,"",IF(OR(Orders!T237="Rider unavailable",Orders!T237="Item unavailable"),"Company-caused","Unresolved"))</f>
        <v/>
      </c>
      <c r="J240" s="33">
        <f>IF(OR(E240=1,I240="Company-caused"),1,0)</f>
        <v>1</v>
      </c>
      <c r="K240" s="32" t="str">
        <f>IF(E240=0,IF(I240="Company-caused",IF(Orders!T237="Rider unavailable","C1 Rider unavailable","C2 Item unavailable"),"Outside root: unresolved"),IF(G240=0,"A On time",IF(H240=1,IF(L240=1,"B2a Severe, peak","B2b Severe, off-peak"),IF(L240=1,"B1a Slight, peak","B1b Slight, off-peak"))))</f>
        <v>B2b Severe, off-peak</v>
      </c>
      <c r="L240" s="33">
        <f>IF(AND(Orders!U237&gt;=19,Orders!U237&lt;22),1,0)</f>
        <v>0</v>
      </c>
      <c r="M240" s="33">
        <f>IF(L240=IF(Orders!V237,1,0),1,0)</f>
        <v>1</v>
      </c>
      <c r="N240" s="32" t="str">
        <f>IF(Orders!W237="","None",Orders!W237)</f>
        <v>None</v>
      </c>
      <c r="O240" s="35">
        <f>INT(Orders!E237)</f>
        <v>46269.0</v>
      </c>
      <c r="P240" s="33">
        <f>Orders!U237</f>
        <v>9</v>
      </c>
      <c r="Q240" s="33">
        <f>COUNTIFS(Demand!$A$2:$A$4481,B240,Demand!$B$2:$B$4481,O240,Demand!$C$2:$C$4481,P240)</f>
        <v>1</v>
      </c>
      <c r="R240" s="33">
        <f>IF(Q240=1,SUMIFS(Demand!$E$2:$E$4481,Demand!$A$2:$A$4481,B240,Demand!$B$2:$B$4481,O240,Demand!$C$2:$C$4481,P240),"")</f>
        <v>20</v>
      </c>
      <c r="S240" s="33">
        <f>INDEX(Stores!$G$2:$G$21,MATCH(B240,Stores!$A$2:$A$21,0))</f>
        <v>31</v>
      </c>
      <c r="T240" s="34">
        <f>IF(R240="","",R240/S240)</f>
        <v>0.645161290322581</v>
      </c>
      <c r="U240" s="34">
        <f>IF(E240=1,T240,"")</f>
        <v>0.645161290322581</v>
      </c>
      <c r="V240" s="34">
        <f>IF(AND(E240=1,L240=0),T240,"")</f>
        <v>0.645161290322581</v>
      </c>
      <c r="W240" s="33">
        <f>IF(U240="","",IF(U240&lt;=Breakdowns!$C$5,1,IF(U240&lt;=Breakdowns!$C$6,2,IF(U240&lt;=Breakdowns!$C$7,3,4))))</f>
        <v>1</v>
      </c>
      <c r="X240" s="33">
        <f>IF(V240="","",IF(V240&lt;=Breakdowns!$D$5,1,IF(V240&lt;=Breakdowns!$D$6,2,IF(V240&lt;=Breakdowns!$D$7,3,4))))</f>
        <v>1</v>
      </c>
      <c r="Y240" s="34">
        <f>INDEX(Stores!$F$2:$F$21,MATCH(B240,Stores!$A$2:$A$21,0))</f>
        <v>5.67</v>
      </c>
      <c r="Z240" s="33">
        <f>IF(Y240&gt;Store_Summary!$M$2,1,0)</f>
        <v>1</v>
      </c>
      <c r="AA240" s="33">
        <f>INDEX(Stores!$C$2:$C$21,MATCH(B240,Stores!$A$2:$A$21,0))</f>
        <v>732</v>
      </c>
      <c r="AB240" s="33">
        <f>IF(AA240&lt;180,1,0)</f>
        <v>0</v>
      </c>
      <c r="AC240" s="32" t="str">
        <f>IF(Orders!D237="","",INDEX(Riders!$C$2:$C$81,MATCH(Orders!D237,Riders!$A$2:$A$81,0)))</f>
        <v>Petrol scooter</v>
      </c>
      <c r="AD240" s="33">
        <f>IF(Orders!D237="","",INDEX(Riders!$D$2:$D$81,MATCH(Orders!D237,Riders!$A$2:$A$81,0)))</f>
        <v>13</v>
      </c>
      <c r="AE240" s="33">
        <f>IF(Orders!D237="","",IF(INDEX(Riders!$B$2:$B$81,MATCH(Orders!D237,Riders!$A$2:$A$81,0))=B240,1,0))</f>
        <v>0</v>
      </c>
      <c r="AF240" s="34">
        <f>IF(E240=1,Orders!L237,"")</f>
        <v>0.51</v>
      </c>
      <c r="AG240" s="34">
        <f>IF(E240=1,Orders!P237,"")</f>
        <v>9.2</v>
      </c>
      <c r="AH240" s="34">
        <f>IF(E240=1,Orders!Q237,"")</f>
        <v>16.3</v>
      </c>
      <c r="AI240" s="34">
        <f>IF(E240=1,Orders!M237,"")</f>
        <v>6.1</v>
      </c>
      <c r="AJ240" s="34">
        <f>IF(E240=1,Orders!N237,"")</f>
        <v>7.1</v>
      </c>
      <c r="AK240" s="34">
        <f>IF(E240=1,Orders!O237,"")</f>
        <v>3.1</v>
      </c>
      <c r="AL240" s="33">
        <f>IF(E240=1,IF(ROUND(ABS(AI240+AJ240+AK240-AH240),6)&lt;=0.1,1,0),"")</f>
        <v>1</v>
      </c>
      <c r="AM240" s="36">
        <f>IF(E240=1,AI240/AH240,"")</f>
        <v>0.374233128834356</v>
      </c>
      <c r="AN240" s="36">
        <f>IF(E240=1,AJ240/AH240,"")</f>
        <v>0.43558282208589</v>
      </c>
      <c r="AO240" s="36">
        <f>IF(E240=1,AK240/AH240,"")</f>
        <v>0.190184049079755</v>
      </c>
      <c r="AP240" s="34">
        <f>IF(E240=1,Orders!Y237,"")</f>
        <v>0.7</v>
      </c>
      <c r="AQ240" s="33">
        <f>IF(Orders!X237,1,0)</f>
        <v>0</v>
      </c>
      <c r="AR240" s="34" t="str">
        <f>IF(AND(E240=1,L240=1),AJ240,"")</f>
        <v/>
      </c>
      <c r="AS240" s="34">
        <f>IF(AND(E240=1,L240=0),AJ240,"")</f>
        <v>7.1</v>
      </c>
      <c r="AT240" s="34" t="str">
        <f>IF(AND(E240=1,L240=1),AI240,"")</f>
        <v/>
      </c>
      <c r="AU240" s="34">
        <f>IF(AND(E240=1,L240=0),AI240,"")</f>
        <v>6.1</v>
      </c>
      <c r="AV240" s="34" t="str">
        <f>IF(AND(E240=1,L240=1),AG240,"")</f>
        <v/>
      </c>
      <c r="AW240" s="34">
        <f>IF(AND(E240=1,L240=0),AG240,"")</f>
        <v>9.2</v>
      </c>
      <c r="AX240" s="34" t="str">
        <f>IF(AND(E240=1,L240=1),AH240,"")</f>
        <v/>
      </c>
      <c r="AY240" s="34">
        <f>IF(AND(E240=1,L240=0),AH240,"")</f>
        <v>16.3</v>
      </c>
      <c r="AZ240" s="34">
        <f>IF(G240=1,F240,"")</f>
        <v>7.1</v>
      </c>
      <c r="BA240" s="34" t="str">
        <f>IF(AND(G240=1,L240=1),F240,"")</f>
        <v/>
      </c>
      <c r="BB240" s="34">
        <f>IF(AND(G240=1,L240=0),F240,"")</f>
        <v>7.1</v>
      </c>
      <c r="BC240" s="33">
        <f>IF(E240=1,IF(Orders!R237&gt;3,1,0),"")</f>
        <v>1</v>
      </c>
      <c r="BD240" s="33">
        <f>IF(E240=1,IF(Orders!R237&gt;7,1,0),"")</f>
        <v>1</v>
      </c>
      <c r="BE240" s="32" t="str">
        <f>IF(E240=1,IF(Orders!L237&lt;=1.5,"Up to 1.5 km",IF(Orders!L237&lt;=3,"1.5–3 km","Over 3 km")),"")</f>
        <v>Up to 1.5 km</v>
      </c>
      <c r="BF240" s="33">
        <f>IF(E240=1,IF(ABS((Orders!G237-Orders!F237)*1440-Orders!R237)&lt;0.06,1,0),"")</f>
        <v>1</v>
      </c>
      <c r="BG240" s="33">
        <f>IF(ABS((Orders!F237-Orders!E237)*1440-Orders!P237)&lt;0.06,1,0)</f>
        <v>1</v>
      </c>
      <c r="BH240" s="33">
        <f>IF(E240=1,IF(IF(Orders!S237,1,0)=1-G240,1,0),"")</f>
        <v>1</v>
      </c>
      <c r="BI240" s="32" t="str">
        <f>INDEX(Stores!$B$2:$B$21,MATCH(B240,Stores!$A$2:$A$21,0))</f>
        <v>Bengaluru</v>
      </c>
    </row>
    <row r="241">
      <c r="A241" s="32" t="str">
        <f>Orders!A238</f>
        <v>O00237</v>
      </c>
      <c r="B241" s="32" t="str">
        <f>Orders!C238</f>
        <v>S006</v>
      </c>
      <c r="C241" s="32" t="str">
        <f>Orders!B238</f>
        <v>C0216</v>
      </c>
      <c r="D241" s="32" t="str">
        <f>Orders!H238</f>
        <v>Delivered</v>
      </c>
      <c r="E241" s="33">
        <f>IF(Orders!H238="Delivered",1,0)</f>
        <v>1</v>
      </c>
      <c r="F241" s="34">
        <f>IF(E241=1,Orders!R238,"")</f>
        <v>12.6</v>
      </c>
      <c r="G241" s="33">
        <f>IF(E241=1,IF(Orders!R238&gt;0,1,0),"")</f>
        <v>1</v>
      </c>
      <c r="H241" s="33">
        <f>IF(E241=1,IF(Orders!R238&gt;5,1,0),"")</f>
        <v>1</v>
      </c>
      <c r="I241" s="32" t="str">
        <f>IF(E241=1,"",IF(OR(Orders!T238="Rider unavailable",Orders!T238="Item unavailable"),"Company-caused","Unresolved"))</f>
        <v/>
      </c>
      <c r="J241" s="33">
        <f>IF(OR(E241=1,I241="Company-caused"),1,0)</f>
        <v>1</v>
      </c>
      <c r="K241" s="32" t="str">
        <f>IF(E241=0,IF(I241="Company-caused",IF(Orders!T238="Rider unavailable","C1 Rider unavailable","C2 Item unavailable"),"Outside root: unresolved"),IF(G241=0,"A On time",IF(H241=1,IF(L241=1,"B2a Severe, peak","B2b Severe, off-peak"),IF(L241=1,"B1a Slight, peak","B1b Slight, off-peak"))))</f>
        <v>B2a Severe, peak</v>
      </c>
      <c r="L241" s="33">
        <f>IF(AND(Orders!U238&gt;=19,Orders!U238&lt;22),1,0)</f>
        <v>1</v>
      </c>
      <c r="M241" s="33">
        <f>IF(L241=IF(Orders!V238,1,0),1,0)</f>
        <v>1</v>
      </c>
      <c r="N241" s="32" t="str">
        <f>IF(Orders!W238="","None",Orders!W238)</f>
        <v>None</v>
      </c>
      <c r="O241" s="35">
        <f>INT(Orders!E238)</f>
        <v>46277.0</v>
      </c>
      <c r="P241" s="33">
        <f>Orders!U238</f>
        <v>21</v>
      </c>
      <c r="Q241" s="33">
        <f>COUNTIFS(Demand!$A$2:$A$4481,B241,Demand!$B$2:$B$4481,O241,Demand!$C$2:$C$4481,P241)</f>
        <v>1</v>
      </c>
      <c r="R241" s="33">
        <f>IF(Q241=1,SUMIFS(Demand!$E$2:$E$4481,Demand!$A$2:$A$4481,B241,Demand!$B$2:$B$4481,O241,Demand!$C$2:$C$4481,P241),"")</f>
        <v>39</v>
      </c>
      <c r="S241" s="33">
        <f>INDEX(Stores!$G$2:$G$21,MATCH(B241,Stores!$A$2:$A$21,0))</f>
        <v>26</v>
      </c>
      <c r="T241" s="34">
        <f>IF(R241="","",R241/S241)</f>
        <v>1.5</v>
      </c>
      <c r="U241" s="34">
        <f>IF(E241=1,T241,"")</f>
        <v>1.5</v>
      </c>
      <c r="V241" s="34" t="str">
        <f>IF(AND(E241=1,L241=0),T241,"")</f>
        <v/>
      </c>
      <c r="W241" s="33">
        <f>IF(U241="","",IF(U241&lt;=Breakdowns!$C$5,1,IF(U241&lt;=Breakdowns!$C$6,2,IF(U241&lt;=Breakdowns!$C$7,3,4))))</f>
        <v>4</v>
      </c>
      <c r="X241" s="33" t="str">
        <f>IF(V241="","",IF(V241&lt;=Breakdowns!$D$5,1,IF(V241&lt;=Breakdowns!$D$6,2,IF(V241&lt;=Breakdowns!$D$7,3,4))))</f>
        <v/>
      </c>
      <c r="Y241" s="34">
        <f>INDEX(Stores!$F$2:$F$21,MATCH(B241,Stores!$A$2:$A$21,0))</f>
        <v>5.22</v>
      </c>
      <c r="Z241" s="33">
        <f>IF(Y241&gt;Store_Summary!$M$2,1,0)</f>
        <v>1</v>
      </c>
      <c r="AA241" s="33">
        <f>INDEX(Stores!$C$2:$C$21,MATCH(B241,Stores!$A$2:$A$21,0))</f>
        <v>412</v>
      </c>
      <c r="AB241" s="33">
        <f>IF(AA241&lt;180,1,0)</f>
        <v>0</v>
      </c>
      <c r="AC241" s="32" t="str">
        <f>IF(Orders!D238="","",INDEX(Riders!$C$2:$C$81,MATCH(Orders!D238,Riders!$A$2:$A$81,0)))</f>
        <v>Petrol scooter</v>
      </c>
      <c r="AD241" s="33">
        <f>IF(Orders!D238="","",INDEX(Riders!$D$2:$D$81,MATCH(Orders!D238,Riders!$A$2:$A$81,0)))</f>
        <v>44</v>
      </c>
      <c r="AE241" s="33">
        <f>IF(Orders!D238="","",IF(INDEX(Riders!$B$2:$B$81,MATCH(Orders!D238,Riders!$A$2:$A$81,0))=B241,1,0))</f>
        <v>0</v>
      </c>
      <c r="AF241" s="34">
        <f>IF(E241=1,Orders!L238,"")</f>
        <v>4.33</v>
      </c>
      <c r="AG241" s="34">
        <f>IF(E241=1,Orders!P238,"")</f>
        <v>12.6</v>
      </c>
      <c r="AH241" s="34">
        <f>IF(E241=1,Orders!Q238,"")</f>
        <v>25.2</v>
      </c>
      <c r="AI241" s="34">
        <f>IF(E241=1,Orders!M238,"")</f>
        <v>5.4</v>
      </c>
      <c r="AJ241" s="34">
        <f>IF(E241=1,Orders!N238,"")</f>
        <v>7.5</v>
      </c>
      <c r="AK241" s="34">
        <f>IF(E241=1,Orders!O238,"")</f>
        <v>12.3</v>
      </c>
      <c r="AL241" s="33">
        <f>IF(E241=1,IF(ROUND(ABS(AI241+AJ241+AK241-AH241),6)&lt;=0.1,1,0),"")</f>
        <v>1</v>
      </c>
      <c r="AM241" s="36">
        <f>IF(E241=1,AI241/AH241,"")</f>
        <v>0.214285714285714</v>
      </c>
      <c r="AN241" s="36">
        <f>IF(E241=1,AJ241/AH241,"")</f>
        <v>0.297619047619048</v>
      </c>
      <c r="AO241" s="36">
        <f>IF(E241=1,AK241/AH241,"")</f>
        <v>0.488095238095238</v>
      </c>
      <c r="AP241" s="34">
        <f>IF(E241=1,Orders!Y238,"")</f>
        <v>0.73</v>
      </c>
      <c r="AQ241" s="33">
        <f>IF(Orders!X238,1,0)</f>
        <v>0</v>
      </c>
      <c r="AR241" s="34">
        <f>IF(AND(E241=1,L241=1),AJ241,"")</f>
        <v>7.5</v>
      </c>
      <c r="AS241" s="34" t="str">
        <f>IF(AND(E241=1,L241=0),AJ241,"")</f>
        <v/>
      </c>
      <c r="AT241" s="34">
        <f>IF(AND(E241=1,L241=1),AI241,"")</f>
        <v>5.4</v>
      </c>
      <c r="AU241" s="34" t="str">
        <f>IF(AND(E241=1,L241=0),AI241,"")</f>
        <v/>
      </c>
      <c r="AV241" s="34">
        <f>IF(AND(E241=1,L241=1),AG241,"")</f>
        <v>12.6</v>
      </c>
      <c r="AW241" s="34" t="str">
        <f>IF(AND(E241=1,L241=0),AG241,"")</f>
        <v/>
      </c>
      <c r="AX241" s="34">
        <f>IF(AND(E241=1,L241=1),AH241,"")</f>
        <v>25.2</v>
      </c>
      <c r="AY241" s="34" t="str">
        <f>IF(AND(E241=1,L241=0),AH241,"")</f>
        <v/>
      </c>
      <c r="AZ241" s="34">
        <f>IF(G241=1,F241,"")</f>
        <v>12.6</v>
      </c>
      <c r="BA241" s="34">
        <f>IF(AND(G241=1,L241=1),F241,"")</f>
        <v>12.6</v>
      </c>
      <c r="BB241" s="34" t="str">
        <f>IF(AND(G241=1,L241=0),F241,"")</f>
        <v/>
      </c>
      <c r="BC241" s="33">
        <f>IF(E241=1,IF(Orders!R238&gt;3,1,0),"")</f>
        <v>1</v>
      </c>
      <c r="BD241" s="33">
        <f>IF(E241=1,IF(Orders!R238&gt;7,1,0),"")</f>
        <v>1</v>
      </c>
      <c r="BE241" s="32" t="str">
        <f>IF(E241=1,IF(Orders!L238&lt;=1.5,"Up to 1.5 km",IF(Orders!L238&lt;=3,"1.5–3 km","Over 3 km")),"")</f>
        <v>Over 3 km</v>
      </c>
      <c r="BF241" s="33">
        <f>IF(E241=1,IF(ABS((Orders!G238-Orders!F238)*1440-Orders!R238)&lt;0.06,1,0),"")</f>
        <v>1</v>
      </c>
      <c r="BG241" s="33">
        <f>IF(ABS((Orders!F238-Orders!E238)*1440-Orders!P238)&lt;0.06,1,0)</f>
        <v>1</v>
      </c>
      <c r="BH241" s="33">
        <f>IF(E241=1,IF(IF(Orders!S238,1,0)=1-G241,1,0),"")</f>
        <v>1</v>
      </c>
      <c r="BI241" s="32" t="str">
        <f>INDEX(Stores!$B$2:$B$21,MATCH(B241,Stores!$A$2:$A$21,0))</f>
        <v>Bengaluru</v>
      </c>
    </row>
    <row r="242">
      <c r="A242" s="32" t="str">
        <f>Orders!A239</f>
        <v>O00238</v>
      </c>
      <c r="B242" s="32" t="str">
        <f>Orders!C239</f>
        <v>S007</v>
      </c>
      <c r="C242" s="32" t="str">
        <f>Orders!B239</f>
        <v>C0021</v>
      </c>
      <c r="D242" s="32" t="str">
        <f>Orders!H239</f>
        <v>Delivered</v>
      </c>
      <c r="E242" s="33">
        <f>IF(Orders!H239="Delivered",1,0)</f>
        <v>1</v>
      </c>
      <c r="F242" s="34">
        <f>IF(E242=1,Orders!R239,"")</f>
        <v>-0.8</v>
      </c>
      <c r="G242" s="33">
        <f>IF(E242=1,IF(Orders!R239&gt;0,1,0),"")</f>
        <v>0</v>
      </c>
      <c r="H242" s="33">
        <f>IF(E242=1,IF(Orders!R239&gt;5,1,0),"")</f>
        <v>0</v>
      </c>
      <c r="I242" s="32" t="str">
        <f>IF(E242=1,"",IF(OR(Orders!T239="Rider unavailable",Orders!T239="Item unavailable"),"Company-caused","Unresolved"))</f>
        <v/>
      </c>
      <c r="J242" s="33">
        <f>IF(OR(E242=1,I242="Company-caused"),1,0)</f>
        <v>1</v>
      </c>
      <c r="K242" s="32" t="str">
        <f>IF(E242=0,IF(I242="Company-caused",IF(Orders!T239="Rider unavailable","C1 Rider unavailable","C2 Item unavailable"),"Outside root: unresolved"),IF(G242=0,"A On time",IF(H242=1,IF(L242=1,"B2a Severe, peak","B2b Severe, off-peak"),IF(L242=1,"B1a Slight, peak","B1b Slight, off-peak"))))</f>
        <v>A On time</v>
      </c>
      <c r="L242" s="33">
        <f>IF(AND(Orders!U239&gt;=19,Orders!U239&lt;22),1,0)</f>
        <v>0</v>
      </c>
      <c r="M242" s="33">
        <f>IF(L242=IF(Orders!V239,1,0),1,0)</f>
        <v>1</v>
      </c>
      <c r="N242" s="32" t="str">
        <f>IF(Orders!W239="","None",Orders!W239)</f>
        <v>Light</v>
      </c>
      <c r="O242" s="35">
        <f>INT(Orders!E239)</f>
        <v>46272.0</v>
      </c>
      <c r="P242" s="33">
        <f>Orders!U239</f>
        <v>14</v>
      </c>
      <c r="Q242" s="33">
        <f>COUNTIFS(Demand!$A$2:$A$4481,B242,Demand!$B$2:$B$4481,O242,Demand!$C$2:$C$4481,P242)</f>
        <v>1</v>
      </c>
      <c r="R242" s="33">
        <f>IF(Q242=1,SUMIFS(Demand!$E$2:$E$4481,Demand!$A$2:$A$4481,B242,Demand!$B$2:$B$4481,O242,Demand!$C$2:$C$4481,P242),"")</f>
        <v>37</v>
      </c>
      <c r="S242" s="33">
        <f>INDEX(Stores!$G$2:$G$21,MATCH(B242,Stores!$A$2:$A$21,0))</f>
        <v>37</v>
      </c>
      <c r="T242" s="34">
        <f>IF(R242="","",R242/S242)</f>
        <v>1</v>
      </c>
      <c r="U242" s="34">
        <f>IF(E242=1,T242,"")</f>
        <v>1</v>
      </c>
      <c r="V242" s="34">
        <f>IF(AND(E242=1,L242=0),T242,"")</f>
        <v>1</v>
      </c>
      <c r="W242" s="33">
        <f>IF(U242="","",IF(U242&lt;=Breakdowns!$C$5,1,IF(U242&lt;=Breakdowns!$C$6,2,IF(U242&lt;=Breakdowns!$C$7,3,4))))</f>
        <v>2</v>
      </c>
      <c r="X242" s="33">
        <f>IF(V242="","",IF(V242&lt;=Breakdowns!$D$5,1,IF(V242&lt;=Breakdowns!$D$6,2,IF(V242&lt;=Breakdowns!$D$7,3,4))))</f>
        <v>3</v>
      </c>
      <c r="Y242" s="34">
        <f>INDEX(Stores!$F$2:$F$21,MATCH(B242,Stores!$A$2:$A$21,0))</f>
        <v>4.05</v>
      </c>
      <c r="Z242" s="33">
        <f>IF(Y242&gt;Store_Summary!$M$2,1,0)</f>
        <v>0</v>
      </c>
      <c r="AA242" s="33">
        <f>INDEX(Stores!$C$2:$C$21,MATCH(B242,Stores!$A$2:$A$21,0))</f>
        <v>661</v>
      </c>
      <c r="AB242" s="33">
        <f>IF(AA242&lt;180,1,0)</f>
        <v>0</v>
      </c>
      <c r="AC242" s="32" t="str">
        <f>IF(Orders!D239="","",INDEX(Riders!$C$2:$C$81,MATCH(Orders!D239,Riders!$A$2:$A$81,0)))</f>
        <v>Bicycle</v>
      </c>
      <c r="AD242" s="33">
        <f>IF(Orders!D239="","",INDEX(Riders!$D$2:$D$81,MATCH(Orders!D239,Riders!$A$2:$A$81,0)))</f>
        <v>8</v>
      </c>
      <c r="AE242" s="33">
        <f>IF(Orders!D239="","",IF(INDEX(Riders!$B$2:$B$81,MATCH(Orders!D239,Riders!$A$2:$A$81,0))=B242,1,0))</f>
        <v>0</v>
      </c>
      <c r="AF242" s="34">
        <f>IF(E242=1,Orders!L239,"")</f>
        <v>1.4</v>
      </c>
      <c r="AG242" s="34">
        <f>IF(E242=1,Orders!P239,"")</f>
        <v>11.3</v>
      </c>
      <c r="AH242" s="34">
        <f>IF(E242=1,Orders!Q239,"")</f>
        <v>10.5</v>
      </c>
      <c r="AI242" s="34">
        <f>IF(E242=1,Orders!M239,"")</f>
        <v>3.5</v>
      </c>
      <c r="AJ242" s="34">
        <f>IF(E242=1,Orders!N239,"")</f>
        <v>3.9</v>
      </c>
      <c r="AK242" s="34">
        <f>IF(E242=1,Orders!O239,"")</f>
        <v>3.1</v>
      </c>
      <c r="AL242" s="33">
        <f>IF(E242=1,IF(ROUND(ABS(AI242+AJ242+AK242-AH242),6)&lt;=0.1,1,0),"")</f>
        <v>1</v>
      </c>
      <c r="AM242" s="36">
        <f>IF(E242=1,AI242/AH242,"")</f>
        <v>0.333333333333333</v>
      </c>
      <c r="AN242" s="36">
        <f>IF(E242=1,AJ242/AH242,"")</f>
        <v>0.371428571428571</v>
      </c>
      <c r="AO242" s="36">
        <f>IF(E242=1,AK242/AH242,"")</f>
        <v>0.295238095238095</v>
      </c>
      <c r="AP242" s="34">
        <f>IF(E242=1,Orders!Y239,"")</f>
        <v>0.49</v>
      </c>
      <c r="AQ242" s="33">
        <f>IF(Orders!X239,1,0)</f>
        <v>0</v>
      </c>
      <c r="AR242" s="34" t="str">
        <f>IF(AND(E242=1,L242=1),AJ242,"")</f>
        <v/>
      </c>
      <c r="AS242" s="34">
        <f>IF(AND(E242=1,L242=0),AJ242,"")</f>
        <v>3.9</v>
      </c>
      <c r="AT242" s="34" t="str">
        <f>IF(AND(E242=1,L242=1),AI242,"")</f>
        <v/>
      </c>
      <c r="AU242" s="34">
        <f>IF(AND(E242=1,L242=0),AI242,"")</f>
        <v>3.5</v>
      </c>
      <c r="AV242" s="34" t="str">
        <f>IF(AND(E242=1,L242=1),AG242,"")</f>
        <v/>
      </c>
      <c r="AW242" s="34">
        <f>IF(AND(E242=1,L242=0),AG242,"")</f>
        <v>11.3</v>
      </c>
      <c r="AX242" s="34" t="str">
        <f>IF(AND(E242=1,L242=1),AH242,"")</f>
        <v/>
      </c>
      <c r="AY242" s="34">
        <f>IF(AND(E242=1,L242=0),AH242,"")</f>
        <v>10.5</v>
      </c>
      <c r="AZ242" s="34" t="str">
        <f>IF(G242=1,F242,"")</f>
        <v/>
      </c>
      <c r="BA242" s="34" t="str">
        <f>IF(AND(G242=1,L242=1),F242,"")</f>
        <v/>
      </c>
      <c r="BB242" s="34" t="str">
        <f>IF(AND(G242=1,L242=0),F242,"")</f>
        <v/>
      </c>
      <c r="BC242" s="33">
        <f>IF(E242=1,IF(Orders!R239&gt;3,1,0),"")</f>
        <v>0</v>
      </c>
      <c r="BD242" s="33">
        <f>IF(E242=1,IF(Orders!R239&gt;7,1,0),"")</f>
        <v>0</v>
      </c>
      <c r="BE242" s="32" t="str">
        <f>IF(E242=1,IF(Orders!L239&lt;=1.5,"Up to 1.5 km",IF(Orders!L239&lt;=3,"1.5–3 km","Over 3 km")),"")</f>
        <v>Up to 1.5 km</v>
      </c>
      <c r="BF242" s="33">
        <f>IF(E242=1,IF(ABS((Orders!G239-Orders!F239)*1440-Orders!R239)&lt;0.06,1,0),"")</f>
        <v>1</v>
      </c>
      <c r="BG242" s="33">
        <f>IF(ABS((Orders!F239-Orders!E239)*1440-Orders!P239)&lt;0.06,1,0)</f>
        <v>1</v>
      </c>
      <c r="BH242" s="33">
        <f>IF(E242=1,IF(IF(Orders!S239,1,0)=1-G242,1,0),"")</f>
        <v>1</v>
      </c>
      <c r="BI242" s="32" t="str">
        <f>INDEX(Stores!$B$2:$B$21,MATCH(B242,Stores!$A$2:$A$21,0))</f>
        <v>Hyderabad</v>
      </c>
    </row>
    <row r="243">
      <c r="A243" s="32" t="str">
        <f>Orders!A240</f>
        <v>O00239</v>
      </c>
      <c r="B243" s="32" t="str">
        <f>Orders!C240</f>
        <v>S004</v>
      </c>
      <c r="C243" s="32" t="str">
        <f>Orders!B240</f>
        <v>C0098</v>
      </c>
      <c r="D243" s="32" t="str">
        <f>Orders!H240</f>
        <v>Delivered</v>
      </c>
      <c r="E243" s="33">
        <f>IF(Orders!H240="Delivered",1,0)</f>
        <v>1</v>
      </c>
      <c r="F243" s="34">
        <f>IF(E243=1,Orders!R240,"")</f>
        <v>-0.7</v>
      </c>
      <c r="G243" s="33">
        <f>IF(E243=1,IF(Orders!R240&gt;0,1,0),"")</f>
        <v>0</v>
      </c>
      <c r="H243" s="33">
        <f>IF(E243=1,IF(Orders!R240&gt;5,1,0),"")</f>
        <v>0</v>
      </c>
      <c r="I243" s="32" t="str">
        <f>IF(E243=1,"",IF(OR(Orders!T240="Rider unavailable",Orders!T240="Item unavailable"),"Company-caused","Unresolved"))</f>
        <v/>
      </c>
      <c r="J243" s="33">
        <f>IF(OR(E243=1,I243="Company-caused"),1,0)</f>
        <v>1</v>
      </c>
      <c r="K243" s="32" t="str">
        <f>IF(E243=0,IF(I243="Company-caused",IF(Orders!T240="Rider unavailable","C1 Rider unavailable","C2 Item unavailable"),"Outside root: unresolved"),IF(G243=0,"A On time",IF(H243=1,IF(L243=1,"B2a Severe, peak","B2b Severe, off-peak"),IF(L243=1,"B1a Slight, peak","B1b Slight, off-peak"))))</f>
        <v>A On time</v>
      </c>
      <c r="L243" s="33">
        <f>IF(AND(Orders!U240&gt;=19,Orders!U240&lt;22),1,0)</f>
        <v>0</v>
      </c>
      <c r="M243" s="33">
        <f>IF(L243=IF(Orders!V240,1,0),1,0)</f>
        <v>1</v>
      </c>
      <c r="N243" s="32" t="str">
        <f>IF(Orders!W240="","None",Orders!W240)</f>
        <v>None</v>
      </c>
      <c r="O243" s="35">
        <f>INT(Orders!E240)</f>
        <v>46271.0</v>
      </c>
      <c r="P243" s="33">
        <f>Orders!U240</f>
        <v>10</v>
      </c>
      <c r="Q243" s="33">
        <f>COUNTIFS(Demand!$A$2:$A$4481,B243,Demand!$B$2:$B$4481,O243,Demand!$C$2:$C$4481,P243)</f>
        <v>1</v>
      </c>
      <c r="R243" s="33">
        <f>IF(Q243=1,SUMIFS(Demand!$E$2:$E$4481,Demand!$A$2:$A$4481,B243,Demand!$B$2:$B$4481,O243,Demand!$C$2:$C$4481,P243),"")</f>
        <v>44</v>
      </c>
      <c r="S243" s="33">
        <f>INDEX(Stores!$G$2:$G$21,MATCH(B243,Stores!$A$2:$A$21,0))</f>
        <v>42</v>
      </c>
      <c r="T243" s="34">
        <f>IF(R243="","",R243/S243)</f>
        <v>1.04761904761905</v>
      </c>
      <c r="U243" s="34">
        <f>IF(E243=1,T243,"")</f>
        <v>1.04761904761905</v>
      </c>
      <c r="V243" s="34">
        <f>IF(AND(E243=1,L243=0),T243,"")</f>
        <v>1.04761904761905</v>
      </c>
      <c r="W243" s="33">
        <f>IF(U243="","",IF(U243&lt;=Breakdowns!$C$5,1,IF(U243&lt;=Breakdowns!$C$6,2,IF(U243&lt;=Breakdowns!$C$7,3,4))))</f>
        <v>3</v>
      </c>
      <c r="X243" s="33">
        <f>IF(V243="","",IF(V243&lt;=Breakdowns!$D$5,1,IF(V243&lt;=Breakdowns!$D$6,2,IF(V243&lt;=Breakdowns!$D$7,3,4))))</f>
        <v>3</v>
      </c>
      <c r="Y243" s="34">
        <f>INDEX(Stores!$F$2:$F$21,MATCH(B243,Stores!$A$2:$A$21,0))</f>
        <v>2.19</v>
      </c>
      <c r="Z243" s="33">
        <f>IF(Y243&gt;Store_Summary!$M$2,1,0)</f>
        <v>0</v>
      </c>
      <c r="AA243" s="33">
        <f>INDEX(Stores!$C$2:$C$21,MATCH(B243,Stores!$A$2:$A$21,0))</f>
        <v>850</v>
      </c>
      <c r="AB243" s="33">
        <f>IF(AA243&lt;180,1,0)</f>
        <v>0</v>
      </c>
      <c r="AC243" s="32" t="str">
        <f>IF(Orders!D240="","",INDEX(Riders!$C$2:$C$81,MATCH(Orders!D240,Riders!$A$2:$A$81,0)))</f>
        <v>EV scooter</v>
      </c>
      <c r="AD243" s="33">
        <f>IF(Orders!D240="","",INDEX(Riders!$D$2:$D$81,MATCH(Orders!D240,Riders!$A$2:$A$81,0)))</f>
        <v>33</v>
      </c>
      <c r="AE243" s="33">
        <f>IF(Orders!D240="","",IF(INDEX(Riders!$B$2:$B$81,MATCH(Orders!D240,Riders!$A$2:$A$81,0))=B243,1,0))</f>
        <v>0</v>
      </c>
      <c r="AF243" s="34">
        <f>IF(E243=1,Orders!L240,"")</f>
        <v>2.06</v>
      </c>
      <c r="AG243" s="34">
        <f>IF(E243=1,Orders!P240,"")</f>
        <v>9.8</v>
      </c>
      <c r="AH243" s="34">
        <f>IF(E243=1,Orders!Q240,"")</f>
        <v>9.1</v>
      </c>
      <c r="AI243" s="34">
        <f>IF(E243=1,Orders!M240,"")</f>
        <v>1.2</v>
      </c>
      <c r="AJ243" s="34">
        <f>IF(E243=1,Orders!N240,"")</f>
        <v>4.5</v>
      </c>
      <c r="AK243" s="34">
        <f>IF(E243=1,Orders!O240,"")</f>
        <v>3.4</v>
      </c>
      <c r="AL243" s="33">
        <f>IF(E243=1,IF(ROUND(ABS(AI243+AJ243+AK243-AH243),6)&lt;=0.1,1,0),"")</f>
        <v>1</v>
      </c>
      <c r="AM243" s="36">
        <f>IF(E243=1,AI243/AH243,"")</f>
        <v>0.131868131868132</v>
      </c>
      <c r="AN243" s="36">
        <f>IF(E243=1,AJ243/AH243,"")</f>
        <v>0.494505494505495</v>
      </c>
      <c r="AO243" s="36">
        <f>IF(E243=1,AK243/AH243,"")</f>
        <v>0.373626373626374</v>
      </c>
      <c r="AP243" s="34">
        <f>IF(E243=1,Orders!Y240,"")</f>
        <v>0.45</v>
      </c>
      <c r="AQ243" s="33">
        <f>IF(Orders!X240,1,0)</f>
        <v>0</v>
      </c>
      <c r="AR243" s="34" t="str">
        <f>IF(AND(E243=1,L243=1),AJ243,"")</f>
        <v/>
      </c>
      <c r="AS243" s="34">
        <f>IF(AND(E243=1,L243=0),AJ243,"")</f>
        <v>4.5</v>
      </c>
      <c r="AT243" s="34" t="str">
        <f>IF(AND(E243=1,L243=1),AI243,"")</f>
        <v/>
      </c>
      <c r="AU243" s="34">
        <f>IF(AND(E243=1,L243=0),AI243,"")</f>
        <v>1.2</v>
      </c>
      <c r="AV243" s="34" t="str">
        <f>IF(AND(E243=1,L243=1),AG243,"")</f>
        <v/>
      </c>
      <c r="AW243" s="34">
        <f>IF(AND(E243=1,L243=0),AG243,"")</f>
        <v>9.8</v>
      </c>
      <c r="AX243" s="34" t="str">
        <f>IF(AND(E243=1,L243=1),AH243,"")</f>
        <v/>
      </c>
      <c r="AY243" s="34">
        <f>IF(AND(E243=1,L243=0),AH243,"")</f>
        <v>9.1</v>
      </c>
      <c r="AZ243" s="34" t="str">
        <f>IF(G243=1,F243,"")</f>
        <v/>
      </c>
      <c r="BA243" s="34" t="str">
        <f>IF(AND(G243=1,L243=1),F243,"")</f>
        <v/>
      </c>
      <c r="BB243" s="34" t="str">
        <f>IF(AND(G243=1,L243=0),F243,"")</f>
        <v/>
      </c>
      <c r="BC243" s="33">
        <f>IF(E243=1,IF(Orders!R240&gt;3,1,0),"")</f>
        <v>0</v>
      </c>
      <c r="BD243" s="33">
        <f>IF(E243=1,IF(Orders!R240&gt;7,1,0),"")</f>
        <v>0</v>
      </c>
      <c r="BE243" s="32" t="str">
        <f>IF(E243=1,IF(Orders!L240&lt;=1.5,"Up to 1.5 km",IF(Orders!L240&lt;=3,"1.5–3 km","Over 3 km")),"")</f>
        <v>1.5–3 km</v>
      </c>
      <c r="BF243" s="33">
        <f>IF(E243=1,IF(ABS((Orders!G240-Orders!F240)*1440-Orders!R240)&lt;0.06,1,0),"")</f>
        <v>1</v>
      </c>
      <c r="BG243" s="33">
        <f>IF(ABS((Orders!F240-Orders!E240)*1440-Orders!P240)&lt;0.06,1,0)</f>
        <v>1</v>
      </c>
      <c r="BH243" s="33">
        <f>IF(E243=1,IF(IF(Orders!S240,1,0)=1-G243,1,0),"")</f>
        <v>1</v>
      </c>
      <c r="BI243" s="32" t="str">
        <f>INDEX(Stores!$B$2:$B$21,MATCH(B243,Stores!$A$2:$A$21,0))</f>
        <v>Pune</v>
      </c>
    </row>
    <row r="244">
      <c r="A244" s="32" t="str">
        <f>Orders!A241</f>
        <v>O00240</v>
      </c>
      <c r="B244" s="32" t="str">
        <f>Orders!C241</f>
        <v>S018</v>
      </c>
      <c r="C244" s="32" t="str">
        <f>Orders!B241</f>
        <v>C0193</v>
      </c>
      <c r="D244" s="32" t="str">
        <f>Orders!H241</f>
        <v>Cancelled</v>
      </c>
      <c r="E244" s="33">
        <f>IF(Orders!H241="Delivered",1,0)</f>
        <v>0</v>
      </c>
      <c r="F244" s="34" t="str">
        <f>IF(E244=1,Orders!R241,"")</f>
        <v/>
      </c>
      <c r="G244" s="33" t="str">
        <f>IF(E244=1,IF(Orders!R241&gt;0,1,0),"")</f>
        <v/>
      </c>
      <c r="H244" s="33" t="str">
        <f>IF(E244=1,IF(Orders!R241&gt;5,1,0),"")</f>
        <v/>
      </c>
      <c r="I244" s="32" t="str">
        <f>IF(E244=1,"",IF(OR(Orders!T241="Rider unavailable",Orders!T241="Item unavailable"),"Company-caused","Unresolved"))</f>
        <v>Company-caused</v>
      </c>
      <c r="J244" s="33">
        <f>IF(OR(E244=1,I244="Company-caused"),1,0)</f>
        <v>1</v>
      </c>
      <c r="K244" s="32" t="str">
        <f>IF(E244=0,IF(I244="Company-caused",IF(Orders!T241="Rider unavailable","C1 Rider unavailable","C2 Item unavailable"),"Outside root: unresolved"),IF(G244=0,"A On time",IF(H244=1,IF(L244=1,"B2a Severe, peak","B2b Severe, off-peak"),IF(L244=1,"B1a Slight, peak","B1b Slight, off-peak"))))</f>
        <v>C1 Rider unavailable</v>
      </c>
      <c r="L244" s="33">
        <f>IF(AND(Orders!U241&gt;=19,Orders!U241&lt;22),1,0)</f>
        <v>0</v>
      </c>
      <c r="M244" s="33">
        <f>IF(L244=IF(Orders!V241,1,0),1,0)</f>
        <v>1</v>
      </c>
      <c r="N244" s="32" t="str">
        <f>IF(Orders!W241="","None",Orders!W241)</f>
        <v>None</v>
      </c>
      <c r="O244" s="35">
        <f>INT(Orders!E241)</f>
        <v>46271.0</v>
      </c>
      <c r="P244" s="33">
        <f>Orders!U241</f>
        <v>12</v>
      </c>
      <c r="Q244" s="33">
        <f>COUNTIFS(Demand!$A$2:$A$4481,B244,Demand!$B$2:$B$4481,O244,Demand!$C$2:$C$4481,P244)</f>
        <v>1</v>
      </c>
      <c r="R244" s="33">
        <f>IF(Q244=1,SUMIFS(Demand!$E$2:$E$4481,Demand!$A$2:$A$4481,B244,Demand!$B$2:$B$4481,O244,Demand!$C$2:$C$4481,P244),"")</f>
        <v>22</v>
      </c>
      <c r="S244" s="33">
        <f>INDEX(Stores!$G$2:$G$21,MATCH(B244,Stores!$A$2:$A$21,0))</f>
        <v>20</v>
      </c>
      <c r="T244" s="34">
        <f>IF(R244="","",R244/S244)</f>
        <v>1.1</v>
      </c>
      <c r="U244" s="34" t="str">
        <f>IF(E244=1,T244,"")</f>
        <v/>
      </c>
      <c r="V244" s="34" t="str">
        <f>IF(AND(E244=1,L244=0),T244,"")</f>
        <v/>
      </c>
      <c r="W244" s="33" t="str">
        <f>IF(U244="","",IF(U244&lt;=Breakdowns!$C$5,1,IF(U244&lt;=Breakdowns!$C$6,2,IF(U244&lt;=Breakdowns!$C$7,3,4))))</f>
        <v/>
      </c>
      <c r="X244" s="33" t="str">
        <f>IF(V244="","",IF(V244&lt;=Breakdowns!$D$5,1,IF(V244&lt;=Breakdowns!$D$6,2,IF(V244&lt;=Breakdowns!$D$7,3,4))))</f>
        <v/>
      </c>
      <c r="Y244" s="34">
        <f>INDEX(Stores!$F$2:$F$21,MATCH(B244,Stores!$A$2:$A$21,0))</f>
        <v>5.31</v>
      </c>
      <c r="Z244" s="33">
        <f>IF(Y244&gt;Store_Summary!$M$2,1,0)</f>
        <v>1</v>
      </c>
      <c r="AA244" s="33">
        <f>INDEX(Stores!$C$2:$C$21,MATCH(B244,Stores!$A$2:$A$21,0))</f>
        <v>214</v>
      </c>
      <c r="AB244" s="33">
        <f>IF(AA244&lt;180,1,0)</f>
        <v>0</v>
      </c>
      <c r="AC244" s="32" t="str">
        <f>IF(Orders!D241="","",INDEX(Riders!$C$2:$C$81,MATCH(Orders!D241,Riders!$A$2:$A$81,0)))</f>
        <v/>
      </c>
      <c r="AD244" s="33" t="str">
        <f>IF(Orders!D241="","",INDEX(Riders!$D$2:$D$81,MATCH(Orders!D241,Riders!$A$2:$A$81,0)))</f>
        <v/>
      </c>
      <c r="AE244" s="33" t="str">
        <f>IF(Orders!D241="","",IF(INDEX(Riders!$B$2:$B$81,MATCH(Orders!D241,Riders!$A$2:$A$81,0))=B244,1,0))</f>
        <v/>
      </c>
      <c r="AF244" s="34" t="str">
        <f>IF(E244=1,Orders!L241,"")</f>
        <v/>
      </c>
      <c r="AG244" s="34" t="str">
        <f>IF(E244=1,Orders!P241,"")</f>
        <v/>
      </c>
      <c r="AH244" s="34" t="str">
        <f>IF(E244=1,Orders!Q241,"")</f>
        <v/>
      </c>
      <c r="AI244" s="34" t="str">
        <f>IF(E244=1,Orders!M241,"")</f>
        <v/>
      </c>
      <c r="AJ244" s="34" t="str">
        <f>IF(E244=1,Orders!N241,"")</f>
        <v/>
      </c>
      <c r="AK244" s="34" t="str">
        <f>IF(E244=1,Orders!O241,"")</f>
        <v/>
      </c>
      <c r="AL244" s="33" t="str">
        <f>IF(E244=1,IF(ROUND(ABS(AI244+AJ244+AK244-AH244),6)&lt;=0.1,1,0),"")</f>
        <v/>
      </c>
      <c r="AM244" s="36" t="str">
        <f>IF(E244=1,AI244/AH244,"")</f>
        <v/>
      </c>
      <c r="AN244" s="36" t="str">
        <f>IF(E244=1,AJ244/AH244,"")</f>
        <v/>
      </c>
      <c r="AO244" s="36" t="str">
        <f>IF(E244=1,AK244/AH244,"")</f>
        <v/>
      </c>
      <c r="AP244" s="34" t="str">
        <f>IF(E244=1,Orders!Y241,"")</f>
        <v/>
      </c>
      <c r="AQ244" s="33">
        <f>IF(Orders!X241,1,0)</f>
        <v>0</v>
      </c>
      <c r="AR244" s="34" t="str">
        <f>IF(AND(E244=1,L244=1),AJ244,"")</f>
        <v/>
      </c>
      <c r="AS244" s="34" t="str">
        <f>IF(AND(E244=1,L244=0),AJ244,"")</f>
        <v/>
      </c>
      <c r="AT244" s="34" t="str">
        <f>IF(AND(E244=1,L244=1),AI244,"")</f>
        <v/>
      </c>
      <c r="AU244" s="34" t="str">
        <f>IF(AND(E244=1,L244=0),AI244,"")</f>
        <v/>
      </c>
      <c r="AV244" s="34" t="str">
        <f>IF(AND(E244=1,L244=1),AG244,"")</f>
        <v/>
      </c>
      <c r="AW244" s="34" t="str">
        <f>IF(AND(E244=1,L244=0),AG244,"")</f>
        <v/>
      </c>
      <c r="AX244" s="34" t="str">
        <f>IF(AND(E244=1,L244=1),AH244,"")</f>
        <v/>
      </c>
      <c r="AY244" s="34" t="str">
        <f>IF(AND(E244=1,L244=0),AH244,"")</f>
        <v/>
      </c>
      <c r="AZ244" s="34" t="str">
        <f>IF(G244=1,F244,"")</f>
        <v/>
      </c>
      <c r="BA244" s="34" t="str">
        <f>IF(AND(G244=1,L244=1),F244,"")</f>
        <v/>
      </c>
      <c r="BB244" s="34" t="str">
        <f>IF(AND(G244=1,L244=0),F244,"")</f>
        <v/>
      </c>
      <c r="BC244" s="33" t="str">
        <f>IF(E244=1,IF(Orders!R241&gt;3,1,0),"")</f>
        <v/>
      </c>
      <c r="BD244" s="33" t="str">
        <f>IF(E244=1,IF(Orders!R241&gt;7,1,0),"")</f>
        <v/>
      </c>
      <c r="BE244" s="32" t="str">
        <f>IF(E244=1,IF(Orders!L241&lt;=1.5,"Up to 1.5 km",IF(Orders!L241&lt;=3,"1.5–3 km","Over 3 km")),"")</f>
        <v/>
      </c>
      <c r="BF244" s="33" t="str">
        <f>IF(E244=1,IF(ABS((Orders!G241-Orders!F241)*1440-Orders!R241)&lt;0.06,1,0),"")</f>
        <v/>
      </c>
      <c r="BG244" s="33">
        <f>IF(ABS((Orders!F241-Orders!E241)*1440-Orders!P241)&lt;0.06,1,0)</f>
        <v>1</v>
      </c>
      <c r="BH244" s="33" t="str">
        <f>IF(E244=1,IF(IF(Orders!S241,1,0)=1-G244,1,0),"")</f>
        <v/>
      </c>
      <c r="BI244" s="32" t="str">
        <f>INDEX(Stores!$B$2:$B$21,MATCH(B244,Stores!$A$2:$A$21,0))</f>
        <v>Mumbai</v>
      </c>
    </row>
    <row r="245">
      <c r="A245" s="32" t="str">
        <f>Orders!A242</f>
        <v>O00241</v>
      </c>
      <c r="B245" s="32" t="str">
        <f>Orders!C242</f>
        <v>S012</v>
      </c>
      <c r="C245" s="32" t="str">
        <f>Orders!B242</f>
        <v>C0003</v>
      </c>
      <c r="D245" s="32" t="str">
        <f>Orders!H242</f>
        <v>Cancelled</v>
      </c>
      <c r="E245" s="33">
        <f>IF(Orders!H242="Delivered",1,0)</f>
        <v>0</v>
      </c>
      <c r="F245" s="34" t="str">
        <f>IF(E245=1,Orders!R242,"")</f>
        <v/>
      </c>
      <c r="G245" s="33" t="str">
        <f>IF(E245=1,IF(Orders!R242&gt;0,1,0),"")</f>
        <v/>
      </c>
      <c r="H245" s="33" t="str">
        <f>IF(E245=1,IF(Orders!R242&gt;5,1,0),"")</f>
        <v/>
      </c>
      <c r="I245" s="32" t="str">
        <f>IF(E245=1,"",IF(OR(Orders!T242="Rider unavailable",Orders!T242="Item unavailable"),"Company-caused","Unresolved"))</f>
        <v>Company-caused</v>
      </c>
      <c r="J245" s="33">
        <f>IF(OR(E245=1,I245="Company-caused"),1,0)</f>
        <v>1</v>
      </c>
      <c r="K245" s="32" t="str">
        <f>IF(E245=0,IF(I245="Company-caused",IF(Orders!T242="Rider unavailable","C1 Rider unavailable","C2 Item unavailable"),"Outside root: unresolved"),IF(G245=0,"A On time",IF(H245=1,IF(L245=1,"B2a Severe, peak","B2b Severe, off-peak"),IF(L245=1,"B1a Slight, peak","B1b Slight, off-peak"))))</f>
        <v>C2 Item unavailable</v>
      </c>
      <c r="L245" s="33">
        <f>IF(AND(Orders!U242&gt;=19,Orders!U242&lt;22),1,0)</f>
        <v>0</v>
      </c>
      <c r="M245" s="33">
        <f>IF(L245=IF(Orders!V242,1,0),1,0)</f>
        <v>1</v>
      </c>
      <c r="N245" s="32" t="str">
        <f>IF(Orders!W242="","None",Orders!W242)</f>
        <v>None</v>
      </c>
      <c r="O245" s="35">
        <f>INT(Orders!E242)</f>
        <v>46276.0</v>
      </c>
      <c r="P245" s="33">
        <f>Orders!U242</f>
        <v>22</v>
      </c>
      <c r="Q245" s="33">
        <f>COUNTIFS(Demand!$A$2:$A$4481,B245,Demand!$B$2:$B$4481,O245,Demand!$C$2:$C$4481,P245)</f>
        <v>1</v>
      </c>
      <c r="R245" s="33">
        <f>IF(Q245=1,SUMIFS(Demand!$E$2:$E$4481,Demand!$A$2:$A$4481,B245,Demand!$B$2:$B$4481,O245,Demand!$C$2:$C$4481,P245),"")</f>
        <v>17</v>
      </c>
      <c r="S245" s="33">
        <f>INDEX(Stores!$G$2:$G$21,MATCH(B245,Stores!$A$2:$A$21,0))</f>
        <v>15</v>
      </c>
      <c r="T245" s="34">
        <f>IF(R245="","",R245/S245)</f>
        <v>1.13333333333333</v>
      </c>
      <c r="U245" s="34" t="str">
        <f>IF(E245=1,T245,"")</f>
        <v/>
      </c>
      <c r="V245" s="34" t="str">
        <f>IF(AND(E245=1,L245=0),T245,"")</f>
        <v/>
      </c>
      <c r="W245" s="33" t="str">
        <f>IF(U245="","",IF(U245&lt;=Breakdowns!$C$5,1,IF(U245&lt;=Breakdowns!$C$6,2,IF(U245&lt;=Breakdowns!$C$7,3,4))))</f>
        <v/>
      </c>
      <c r="X245" s="33" t="str">
        <f>IF(V245="","",IF(V245&lt;=Breakdowns!$D$5,1,IF(V245&lt;=Breakdowns!$D$6,2,IF(V245&lt;=Breakdowns!$D$7,3,4))))</f>
        <v/>
      </c>
      <c r="Y245" s="34">
        <f>INDEX(Stores!$F$2:$F$21,MATCH(B245,Stores!$A$2:$A$21,0))</f>
        <v>5.23</v>
      </c>
      <c r="Z245" s="33">
        <f>IF(Y245&gt;Store_Summary!$M$2,1,0)</f>
        <v>1</v>
      </c>
      <c r="AA245" s="33">
        <f>INDEX(Stores!$C$2:$C$21,MATCH(B245,Stores!$A$2:$A$21,0))</f>
        <v>300</v>
      </c>
      <c r="AB245" s="33">
        <f>IF(AA245&lt;180,1,0)</f>
        <v>0</v>
      </c>
      <c r="AC245" s="32" t="str">
        <f>IF(Orders!D242="","",INDEX(Riders!$C$2:$C$81,MATCH(Orders!D242,Riders!$A$2:$A$81,0)))</f>
        <v/>
      </c>
      <c r="AD245" s="33" t="str">
        <f>IF(Orders!D242="","",INDEX(Riders!$D$2:$D$81,MATCH(Orders!D242,Riders!$A$2:$A$81,0)))</f>
        <v/>
      </c>
      <c r="AE245" s="33" t="str">
        <f>IF(Orders!D242="","",IF(INDEX(Riders!$B$2:$B$81,MATCH(Orders!D242,Riders!$A$2:$A$81,0))=B245,1,0))</f>
        <v/>
      </c>
      <c r="AF245" s="34" t="str">
        <f>IF(E245=1,Orders!L242,"")</f>
        <v/>
      </c>
      <c r="AG245" s="34" t="str">
        <f>IF(E245=1,Orders!P242,"")</f>
        <v/>
      </c>
      <c r="AH245" s="34" t="str">
        <f>IF(E245=1,Orders!Q242,"")</f>
        <v/>
      </c>
      <c r="AI245" s="34" t="str">
        <f>IF(E245=1,Orders!M242,"")</f>
        <v/>
      </c>
      <c r="AJ245" s="34" t="str">
        <f>IF(E245=1,Orders!N242,"")</f>
        <v/>
      </c>
      <c r="AK245" s="34" t="str">
        <f>IF(E245=1,Orders!O242,"")</f>
        <v/>
      </c>
      <c r="AL245" s="33" t="str">
        <f>IF(E245=1,IF(ROUND(ABS(AI245+AJ245+AK245-AH245),6)&lt;=0.1,1,0),"")</f>
        <v/>
      </c>
      <c r="AM245" s="36" t="str">
        <f>IF(E245=1,AI245/AH245,"")</f>
        <v/>
      </c>
      <c r="AN245" s="36" t="str">
        <f>IF(E245=1,AJ245/AH245,"")</f>
        <v/>
      </c>
      <c r="AO245" s="36" t="str">
        <f>IF(E245=1,AK245/AH245,"")</f>
        <v/>
      </c>
      <c r="AP245" s="34" t="str">
        <f>IF(E245=1,Orders!Y242,"")</f>
        <v/>
      </c>
      <c r="AQ245" s="33">
        <f>IF(Orders!X242,1,0)</f>
        <v>0</v>
      </c>
      <c r="AR245" s="34" t="str">
        <f>IF(AND(E245=1,L245=1),AJ245,"")</f>
        <v/>
      </c>
      <c r="AS245" s="34" t="str">
        <f>IF(AND(E245=1,L245=0),AJ245,"")</f>
        <v/>
      </c>
      <c r="AT245" s="34" t="str">
        <f>IF(AND(E245=1,L245=1),AI245,"")</f>
        <v/>
      </c>
      <c r="AU245" s="34" t="str">
        <f>IF(AND(E245=1,L245=0),AI245,"")</f>
        <v/>
      </c>
      <c r="AV245" s="34" t="str">
        <f>IF(AND(E245=1,L245=1),AG245,"")</f>
        <v/>
      </c>
      <c r="AW245" s="34" t="str">
        <f>IF(AND(E245=1,L245=0),AG245,"")</f>
        <v/>
      </c>
      <c r="AX245" s="34" t="str">
        <f>IF(AND(E245=1,L245=1),AH245,"")</f>
        <v/>
      </c>
      <c r="AY245" s="34" t="str">
        <f>IF(AND(E245=1,L245=0),AH245,"")</f>
        <v/>
      </c>
      <c r="AZ245" s="34" t="str">
        <f>IF(G245=1,F245,"")</f>
        <v/>
      </c>
      <c r="BA245" s="34" t="str">
        <f>IF(AND(G245=1,L245=1),F245,"")</f>
        <v/>
      </c>
      <c r="BB245" s="34" t="str">
        <f>IF(AND(G245=1,L245=0),F245,"")</f>
        <v/>
      </c>
      <c r="BC245" s="33" t="str">
        <f>IF(E245=1,IF(Orders!R242&gt;3,1,0),"")</f>
        <v/>
      </c>
      <c r="BD245" s="33" t="str">
        <f>IF(E245=1,IF(Orders!R242&gt;7,1,0),"")</f>
        <v/>
      </c>
      <c r="BE245" s="32" t="str">
        <f>IF(E245=1,IF(Orders!L242&lt;=1.5,"Up to 1.5 km",IF(Orders!L242&lt;=3,"1.5–3 km","Over 3 km")),"")</f>
        <v/>
      </c>
      <c r="BF245" s="33" t="str">
        <f>IF(E245=1,IF(ABS((Orders!G242-Orders!F242)*1440-Orders!R242)&lt;0.06,1,0),"")</f>
        <v/>
      </c>
      <c r="BG245" s="33">
        <f>IF(ABS((Orders!F242-Orders!E242)*1440-Orders!P242)&lt;0.06,1,0)</f>
        <v>1</v>
      </c>
      <c r="BH245" s="33" t="str">
        <f>IF(E245=1,IF(IF(Orders!S242,1,0)=1-G245,1,0),"")</f>
        <v/>
      </c>
      <c r="BI245" s="32" t="str">
        <f>INDEX(Stores!$B$2:$B$21,MATCH(B245,Stores!$A$2:$A$21,0))</f>
        <v>Hyderabad</v>
      </c>
    </row>
    <row r="246">
      <c r="A246" s="32" t="str">
        <f>Orders!A243</f>
        <v>O00242</v>
      </c>
      <c r="B246" s="32" t="str">
        <f>Orders!C243</f>
        <v>S018</v>
      </c>
      <c r="C246" s="32" t="str">
        <f>Orders!B243</f>
        <v>C0153</v>
      </c>
      <c r="D246" s="32" t="str">
        <f>Orders!H243</f>
        <v>Delivered</v>
      </c>
      <c r="E246" s="33">
        <f>IF(Orders!H243="Delivered",1,0)</f>
        <v>1</v>
      </c>
      <c r="F246" s="34">
        <f>IF(E246=1,Orders!R243,"")</f>
        <v>-0.2</v>
      </c>
      <c r="G246" s="33">
        <f>IF(E246=1,IF(Orders!R243&gt;0,1,0),"")</f>
        <v>0</v>
      </c>
      <c r="H246" s="33">
        <f>IF(E246=1,IF(Orders!R243&gt;5,1,0),"")</f>
        <v>0</v>
      </c>
      <c r="I246" s="32" t="str">
        <f>IF(E246=1,"",IF(OR(Orders!T243="Rider unavailable",Orders!T243="Item unavailable"),"Company-caused","Unresolved"))</f>
        <v/>
      </c>
      <c r="J246" s="33">
        <f>IF(OR(E246=1,I246="Company-caused"),1,0)</f>
        <v>1</v>
      </c>
      <c r="K246" s="32" t="str">
        <f>IF(E246=0,IF(I246="Company-caused",IF(Orders!T243="Rider unavailable","C1 Rider unavailable","C2 Item unavailable"),"Outside root: unresolved"),IF(G246=0,"A On time",IF(H246=1,IF(L246=1,"B2a Severe, peak","B2b Severe, off-peak"),IF(L246=1,"B1a Slight, peak","B1b Slight, off-peak"))))</f>
        <v>A On time</v>
      </c>
      <c r="L246" s="33">
        <f>IF(AND(Orders!U243&gt;=19,Orders!U243&lt;22),1,0)</f>
        <v>0</v>
      </c>
      <c r="M246" s="33">
        <f>IF(L246=IF(Orders!V243,1,0),1,0)</f>
        <v>1</v>
      </c>
      <c r="N246" s="32" t="str">
        <f>IF(Orders!W243="","None",Orders!W243)</f>
        <v>None</v>
      </c>
      <c r="O246" s="35">
        <f>INT(Orders!E243)</f>
        <v>46278.0</v>
      </c>
      <c r="P246" s="33">
        <f>Orders!U243</f>
        <v>12</v>
      </c>
      <c r="Q246" s="33">
        <f>COUNTIFS(Demand!$A$2:$A$4481,B246,Demand!$B$2:$B$4481,O246,Demand!$C$2:$C$4481,P246)</f>
        <v>1</v>
      </c>
      <c r="R246" s="33">
        <f>IF(Q246=1,SUMIFS(Demand!$E$2:$E$4481,Demand!$A$2:$A$4481,B246,Demand!$B$2:$B$4481,O246,Demand!$C$2:$C$4481,P246),"")</f>
        <v>17</v>
      </c>
      <c r="S246" s="33">
        <f>INDEX(Stores!$G$2:$G$21,MATCH(B246,Stores!$A$2:$A$21,0))</f>
        <v>20</v>
      </c>
      <c r="T246" s="34">
        <f>IF(R246="","",R246/S246)</f>
        <v>0.85</v>
      </c>
      <c r="U246" s="34">
        <f>IF(E246=1,T246,"")</f>
        <v>0.85</v>
      </c>
      <c r="V246" s="34">
        <f>IF(AND(E246=1,L246=0),T246,"")</f>
        <v>0.85</v>
      </c>
      <c r="W246" s="33">
        <f>IF(U246="","",IF(U246&lt;=Breakdowns!$C$5,1,IF(U246&lt;=Breakdowns!$C$6,2,IF(U246&lt;=Breakdowns!$C$7,3,4))))</f>
        <v>2</v>
      </c>
      <c r="X246" s="33">
        <f>IF(V246="","",IF(V246&lt;=Breakdowns!$D$5,1,IF(V246&lt;=Breakdowns!$D$6,2,IF(V246&lt;=Breakdowns!$D$7,3,4))))</f>
        <v>2</v>
      </c>
      <c r="Y246" s="34">
        <f>INDEX(Stores!$F$2:$F$21,MATCH(B246,Stores!$A$2:$A$21,0))</f>
        <v>5.31</v>
      </c>
      <c r="Z246" s="33">
        <f>IF(Y246&gt;Store_Summary!$M$2,1,0)</f>
        <v>1</v>
      </c>
      <c r="AA246" s="33">
        <f>INDEX(Stores!$C$2:$C$21,MATCH(B246,Stores!$A$2:$A$21,0))</f>
        <v>214</v>
      </c>
      <c r="AB246" s="33">
        <f>IF(AA246&lt;180,1,0)</f>
        <v>0</v>
      </c>
      <c r="AC246" s="32" t="str">
        <f>IF(Orders!D243="","",INDEX(Riders!$C$2:$C$81,MATCH(Orders!D243,Riders!$A$2:$A$81,0)))</f>
        <v>EV scooter</v>
      </c>
      <c r="AD246" s="33">
        <f>IF(Orders!D243="","",INDEX(Riders!$D$2:$D$81,MATCH(Orders!D243,Riders!$A$2:$A$81,0)))</f>
        <v>3</v>
      </c>
      <c r="AE246" s="33">
        <f>IF(Orders!D243="","",IF(INDEX(Riders!$B$2:$B$81,MATCH(Orders!D243,Riders!$A$2:$A$81,0))=B246,1,0))</f>
        <v>0</v>
      </c>
      <c r="AF246" s="34">
        <f>IF(E246=1,Orders!L243,"")</f>
        <v>2.51</v>
      </c>
      <c r="AG246" s="34">
        <f>IF(E246=1,Orders!P243,"")</f>
        <v>11.8</v>
      </c>
      <c r="AH246" s="34">
        <f>IF(E246=1,Orders!Q243,"")</f>
        <v>11.6</v>
      </c>
      <c r="AI246" s="34">
        <f>IF(E246=1,Orders!M243,"")</f>
        <v>3.3</v>
      </c>
      <c r="AJ246" s="34">
        <f>IF(E246=1,Orders!N243,"")</f>
        <v>4.4</v>
      </c>
      <c r="AK246" s="34">
        <f>IF(E246=1,Orders!O243,"")</f>
        <v>3.9</v>
      </c>
      <c r="AL246" s="33">
        <f>IF(E246=1,IF(ROUND(ABS(AI246+AJ246+AK246-AH246),6)&lt;=0.1,1,0),"")</f>
        <v>1</v>
      </c>
      <c r="AM246" s="36">
        <f>IF(E246=1,AI246/AH246,"")</f>
        <v>0.28448275862069</v>
      </c>
      <c r="AN246" s="36">
        <f>IF(E246=1,AJ246/AH246,"")</f>
        <v>0.379310344827586</v>
      </c>
      <c r="AO246" s="36">
        <f>IF(E246=1,AK246/AH246,"")</f>
        <v>0.336206896551724</v>
      </c>
      <c r="AP246" s="34">
        <f>IF(E246=1,Orders!Y243,"")</f>
        <v>0.36</v>
      </c>
      <c r="AQ246" s="33">
        <f>IF(Orders!X243,1,0)</f>
        <v>1</v>
      </c>
      <c r="AR246" s="34" t="str">
        <f>IF(AND(E246=1,L246=1),AJ246,"")</f>
        <v/>
      </c>
      <c r="AS246" s="34">
        <f>IF(AND(E246=1,L246=0),AJ246,"")</f>
        <v>4.4</v>
      </c>
      <c r="AT246" s="34" t="str">
        <f>IF(AND(E246=1,L246=1),AI246,"")</f>
        <v/>
      </c>
      <c r="AU246" s="34">
        <f>IF(AND(E246=1,L246=0),AI246,"")</f>
        <v>3.3</v>
      </c>
      <c r="AV246" s="34" t="str">
        <f>IF(AND(E246=1,L246=1),AG246,"")</f>
        <v/>
      </c>
      <c r="AW246" s="34">
        <f>IF(AND(E246=1,L246=0),AG246,"")</f>
        <v>11.8</v>
      </c>
      <c r="AX246" s="34" t="str">
        <f>IF(AND(E246=1,L246=1),AH246,"")</f>
        <v/>
      </c>
      <c r="AY246" s="34">
        <f>IF(AND(E246=1,L246=0),AH246,"")</f>
        <v>11.6</v>
      </c>
      <c r="AZ246" s="34" t="str">
        <f>IF(G246=1,F246,"")</f>
        <v/>
      </c>
      <c r="BA246" s="34" t="str">
        <f>IF(AND(G246=1,L246=1),F246,"")</f>
        <v/>
      </c>
      <c r="BB246" s="34" t="str">
        <f>IF(AND(G246=1,L246=0),F246,"")</f>
        <v/>
      </c>
      <c r="BC246" s="33">
        <f>IF(E246=1,IF(Orders!R243&gt;3,1,0),"")</f>
        <v>0</v>
      </c>
      <c r="BD246" s="33">
        <f>IF(E246=1,IF(Orders!R243&gt;7,1,0),"")</f>
        <v>0</v>
      </c>
      <c r="BE246" s="32" t="str">
        <f>IF(E246=1,IF(Orders!L243&lt;=1.5,"Up to 1.5 km",IF(Orders!L243&lt;=3,"1.5–3 km","Over 3 km")),"")</f>
        <v>1.5–3 km</v>
      </c>
      <c r="BF246" s="33">
        <f>IF(E246=1,IF(ABS((Orders!G243-Orders!F243)*1440-Orders!R243)&lt;0.06,1,0),"")</f>
        <v>1</v>
      </c>
      <c r="BG246" s="33">
        <f>IF(ABS((Orders!F243-Orders!E243)*1440-Orders!P243)&lt;0.06,1,0)</f>
        <v>1</v>
      </c>
      <c r="BH246" s="33">
        <f>IF(E246=1,IF(IF(Orders!S243,1,0)=1-G246,1,0),"")</f>
        <v>1</v>
      </c>
      <c r="BI246" s="32" t="str">
        <f>INDEX(Stores!$B$2:$B$21,MATCH(B246,Stores!$A$2:$A$21,0))</f>
        <v>Mumbai</v>
      </c>
    </row>
    <row r="247">
      <c r="A247" s="32" t="str">
        <f>Orders!A244</f>
        <v>O00243</v>
      </c>
      <c r="B247" s="32" t="str">
        <f>Orders!C244</f>
        <v>S013</v>
      </c>
      <c r="C247" s="32" t="str">
        <f>Orders!B244</f>
        <v>C0250</v>
      </c>
      <c r="D247" s="32" t="str">
        <f>Orders!H244</f>
        <v>Delivered</v>
      </c>
      <c r="E247" s="33">
        <f>IF(Orders!H244="Delivered",1,0)</f>
        <v>1</v>
      </c>
      <c r="F247" s="34">
        <f>IF(E247=1,Orders!R244,"")</f>
        <v>-0.9</v>
      </c>
      <c r="G247" s="33">
        <f>IF(E247=1,IF(Orders!R244&gt;0,1,0),"")</f>
        <v>0</v>
      </c>
      <c r="H247" s="33">
        <f>IF(E247=1,IF(Orders!R244&gt;5,1,0),"")</f>
        <v>0</v>
      </c>
      <c r="I247" s="32" t="str">
        <f>IF(E247=1,"",IF(OR(Orders!T244="Rider unavailable",Orders!T244="Item unavailable"),"Company-caused","Unresolved"))</f>
        <v/>
      </c>
      <c r="J247" s="33">
        <f>IF(OR(E247=1,I247="Company-caused"),1,0)</f>
        <v>1</v>
      </c>
      <c r="K247" s="32" t="str">
        <f>IF(E247=0,IF(I247="Company-caused",IF(Orders!T244="Rider unavailable","C1 Rider unavailable","C2 Item unavailable"),"Outside root: unresolved"),IF(G247=0,"A On time",IF(H247=1,IF(L247=1,"B2a Severe, peak","B2b Severe, off-peak"),IF(L247=1,"B1a Slight, peak","B1b Slight, off-peak"))))</f>
        <v>A On time</v>
      </c>
      <c r="L247" s="33">
        <f>IF(AND(Orders!U244&gt;=19,Orders!U244&lt;22),1,0)</f>
        <v>0</v>
      </c>
      <c r="M247" s="33">
        <f>IF(L247=IF(Orders!V244,1,0),1,0)</f>
        <v>1</v>
      </c>
      <c r="N247" s="32" t="str">
        <f>IF(Orders!W244="","None",Orders!W244)</f>
        <v>None</v>
      </c>
      <c r="O247" s="35">
        <f>INT(Orders!E244)</f>
        <v>46275.0</v>
      </c>
      <c r="P247" s="33">
        <f>Orders!U244</f>
        <v>13</v>
      </c>
      <c r="Q247" s="33">
        <f>COUNTIFS(Demand!$A$2:$A$4481,B247,Demand!$B$2:$B$4481,O247,Demand!$C$2:$C$4481,P247)</f>
        <v>1</v>
      </c>
      <c r="R247" s="33">
        <f>IF(Q247=1,SUMIFS(Demand!$E$2:$E$4481,Demand!$A$2:$A$4481,B247,Demand!$B$2:$B$4481,O247,Demand!$C$2:$C$4481,P247),"")</f>
        <v>50</v>
      </c>
      <c r="S247" s="33">
        <f>INDEX(Stores!$G$2:$G$21,MATCH(B247,Stores!$A$2:$A$21,0))</f>
        <v>49</v>
      </c>
      <c r="T247" s="34">
        <f>IF(R247="","",R247/S247)</f>
        <v>1.02040816326531</v>
      </c>
      <c r="U247" s="34">
        <f>IF(E247=1,T247,"")</f>
        <v>1.02040816326531</v>
      </c>
      <c r="V247" s="34">
        <f>IF(AND(E247=1,L247=0),T247,"")</f>
        <v>1.02040816326531</v>
      </c>
      <c r="W247" s="33">
        <f>IF(U247="","",IF(U247&lt;=Breakdowns!$C$5,1,IF(U247&lt;=Breakdowns!$C$6,2,IF(U247&lt;=Breakdowns!$C$7,3,4))))</f>
        <v>3</v>
      </c>
      <c r="X247" s="33">
        <f>IF(V247="","",IF(V247&lt;=Breakdowns!$D$5,1,IF(V247&lt;=Breakdowns!$D$6,2,IF(V247&lt;=Breakdowns!$D$7,3,4))))</f>
        <v>3</v>
      </c>
      <c r="Y247" s="34">
        <f>INDEX(Stores!$F$2:$F$21,MATCH(B247,Stores!$A$2:$A$21,0))</f>
        <v>5.82</v>
      </c>
      <c r="Z247" s="33">
        <f>IF(Y247&gt;Store_Summary!$M$2,1,0)</f>
        <v>1</v>
      </c>
      <c r="AA247" s="33">
        <f>INDEX(Stores!$C$2:$C$21,MATCH(B247,Stores!$A$2:$A$21,0))</f>
        <v>705</v>
      </c>
      <c r="AB247" s="33">
        <f>IF(AA247&lt;180,1,0)</f>
        <v>0</v>
      </c>
      <c r="AC247" s="32" t="str">
        <f>IF(Orders!D244="","",INDEX(Riders!$C$2:$C$81,MATCH(Orders!D244,Riders!$A$2:$A$81,0)))</f>
        <v>EV scooter</v>
      </c>
      <c r="AD247" s="33">
        <f>IF(Orders!D244="","",INDEX(Riders!$D$2:$D$81,MATCH(Orders!D244,Riders!$A$2:$A$81,0)))</f>
        <v>37</v>
      </c>
      <c r="AE247" s="33">
        <f>IF(Orders!D244="","",IF(INDEX(Riders!$B$2:$B$81,MATCH(Orders!D244,Riders!$A$2:$A$81,0))=B247,1,0))</f>
        <v>0</v>
      </c>
      <c r="AF247" s="34">
        <f>IF(E247=1,Orders!L244,"")</f>
        <v>0.5</v>
      </c>
      <c r="AG247" s="34">
        <f>IF(E247=1,Orders!P244,"")</f>
        <v>8.3</v>
      </c>
      <c r="AH247" s="34">
        <f>IF(E247=1,Orders!Q244,"")</f>
        <v>7.4</v>
      </c>
      <c r="AI247" s="34">
        <f>IF(E247=1,Orders!M244,"")</f>
        <v>4.7</v>
      </c>
      <c r="AJ247" s="34">
        <f>IF(E247=1,Orders!N244,"")</f>
        <v>0.6</v>
      </c>
      <c r="AK247" s="34">
        <f>IF(E247=1,Orders!O244,"")</f>
        <v>2.1</v>
      </c>
      <c r="AL247" s="33">
        <f>IF(E247=1,IF(ROUND(ABS(AI247+AJ247+AK247-AH247),6)&lt;=0.1,1,0),"")</f>
        <v>1</v>
      </c>
      <c r="AM247" s="36">
        <f>IF(E247=1,AI247/AH247,"")</f>
        <v>0.635135135135135</v>
      </c>
      <c r="AN247" s="36">
        <f>IF(E247=1,AJ247/AH247,"")</f>
        <v>0.0810810810810811</v>
      </c>
      <c r="AO247" s="36">
        <f>IF(E247=1,AK247/AH247,"")</f>
        <v>0.283783783783784</v>
      </c>
      <c r="AP247" s="34">
        <f>IF(E247=1,Orders!Y244,"")</f>
        <v>0.69</v>
      </c>
      <c r="AQ247" s="33">
        <f>IF(Orders!X244,1,0)</f>
        <v>0</v>
      </c>
      <c r="AR247" s="34" t="str">
        <f>IF(AND(E247=1,L247=1),AJ247,"")</f>
        <v/>
      </c>
      <c r="AS247" s="34">
        <f>IF(AND(E247=1,L247=0),AJ247,"")</f>
        <v>0.6</v>
      </c>
      <c r="AT247" s="34" t="str">
        <f>IF(AND(E247=1,L247=1),AI247,"")</f>
        <v/>
      </c>
      <c r="AU247" s="34">
        <f>IF(AND(E247=1,L247=0),AI247,"")</f>
        <v>4.7</v>
      </c>
      <c r="AV247" s="34" t="str">
        <f>IF(AND(E247=1,L247=1),AG247,"")</f>
        <v/>
      </c>
      <c r="AW247" s="34">
        <f>IF(AND(E247=1,L247=0),AG247,"")</f>
        <v>8.3</v>
      </c>
      <c r="AX247" s="34" t="str">
        <f>IF(AND(E247=1,L247=1),AH247,"")</f>
        <v/>
      </c>
      <c r="AY247" s="34">
        <f>IF(AND(E247=1,L247=0),AH247,"")</f>
        <v>7.4</v>
      </c>
      <c r="AZ247" s="34" t="str">
        <f>IF(G247=1,F247,"")</f>
        <v/>
      </c>
      <c r="BA247" s="34" t="str">
        <f>IF(AND(G247=1,L247=1),F247,"")</f>
        <v/>
      </c>
      <c r="BB247" s="34" t="str">
        <f>IF(AND(G247=1,L247=0),F247,"")</f>
        <v/>
      </c>
      <c r="BC247" s="33">
        <f>IF(E247=1,IF(Orders!R244&gt;3,1,0),"")</f>
        <v>0</v>
      </c>
      <c r="BD247" s="33">
        <f>IF(E247=1,IF(Orders!R244&gt;7,1,0),"")</f>
        <v>0</v>
      </c>
      <c r="BE247" s="32" t="str">
        <f>IF(E247=1,IF(Orders!L244&lt;=1.5,"Up to 1.5 km",IF(Orders!L244&lt;=3,"1.5–3 km","Over 3 km")),"")</f>
        <v>Up to 1.5 km</v>
      </c>
      <c r="BF247" s="33">
        <f>IF(E247=1,IF(ABS((Orders!G244-Orders!F244)*1440-Orders!R244)&lt;0.06,1,0),"")</f>
        <v>1</v>
      </c>
      <c r="BG247" s="33">
        <f>IF(ABS((Orders!F244-Orders!E244)*1440-Orders!P244)&lt;0.06,1,0)</f>
        <v>1</v>
      </c>
      <c r="BH247" s="33">
        <f>IF(E247=1,IF(IF(Orders!S244,1,0)=1-G247,1,0),"")</f>
        <v>1</v>
      </c>
      <c r="BI247" s="32" t="str">
        <f>INDEX(Stores!$B$2:$B$21,MATCH(B247,Stores!$A$2:$A$21,0))</f>
        <v>Mumbai</v>
      </c>
    </row>
    <row r="248">
      <c r="A248" s="32" t="str">
        <f>Orders!A245</f>
        <v>O00244</v>
      </c>
      <c r="B248" s="32" t="str">
        <f>Orders!C245</f>
        <v>S007</v>
      </c>
      <c r="C248" s="32" t="str">
        <f>Orders!B245</f>
        <v>C0010</v>
      </c>
      <c r="D248" s="32" t="str">
        <f>Orders!H245</f>
        <v>Delivered</v>
      </c>
      <c r="E248" s="33">
        <f>IF(Orders!H245="Delivered",1,0)</f>
        <v>1</v>
      </c>
      <c r="F248" s="34">
        <f>IF(E248=1,Orders!R245,"")</f>
        <v>-0.9</v>
      </c>
      <c r="G248" s="33">
        <f>IF(E248=1,IF(Orders!R245&gt;0,1,0),"")</f>
        <v>0</v>
      </c>
      <c r="H248" s="33">
        <f>IF(E248=1,IF(Orders!R245&gt;5,1,0),"")</f>
        <v>0</v>
      </c>
      <c r="I248" s="32" t="str">
        <f>IF(E248=1,"",IF(OR(Orders!T245="Rider unavailable",Orders!T245="Item unavailable"),"Company-caused","Unresolved"))</f>
        <v/>
      </c>
      <c r="J248" s="33">
        <f>IF(OR(E248=1,I248="Company-caused"),1,0)</f>
        <v>1</v>
      </c>
      <c r="K248" s="32" t="str">
        <f>IF(E248=0,IF(I248="Company-caused",IF(Orders!T245="Rider unavailable","C1 Rider unavailable","C2 Item unavailable"),"Outside root: unresolved"),IF(G248=0,"A On time",IF(H248=1,IF(L248=1,"B2a Severe, peak","B2b Severe, off-peak"),IF(L248=1,"B1a Slight, peak","B1b Slight, off-peak"))))</f>
        <v>A On time</v>
      </c>
      <c r="L248" s="33">
        <f>IF(AND(Orders!U245&gt;=19,Orders!U245&lt;22),1,0)</f>
        <v>1</v>
      </c>
      <c r="M248" s="33">
        <f>IF(L248=IF(Orders!V245,1,0),1,0)</f>
        <v>1</v>
      </c>
      <c r="N248" s="32" t="str">
        <f>IF(Orders!W245="","None",Orders!W245)</f>
        <v>None</v>
      </c>
      <c r="O248" s="35">
        <f>INT(Orders!E245)</f>
        <v>46267.0</v>
      </c>
      <c r="P248" s="33">
        <f>Orders!U245</f>
        <v>20</v>
      </c>
      <c r="Q248" s="33">
        <f>COUNTIFS(Demand!$A$2:$A$4481,B248,Demand!$B$2:$B$4481,O248,Demand!$C$2:$C$4481,P248)</f>
        <v>1</v>
      </c>
      <c r="R248" s="33">
        <f>IF(Q248=1,SUMIFS(Demand!$E$2:$E$4481,Demand!$A$2:$A$4481,B248,Demand!$B$2:$B$4481,O248,Demand!$C$2:$C$4481,P248),"")</f>
        <v>52</v>
      </c>
      <c r="S248" s="33">
        <f>INDEX(Stores!$G$2:$G$21,MATCH(B248,Stores!$A$2:$A$21,0))</f>
        <v>37</v>
      </c>
      <c r="T248" s="34">
        <f>IF(R248="","",R248/S248)</f>
        <v>1.40540540540541</v>
      </c>
      <c r="U248" s="34">
        <f>IF(E248=1,T248,"")</f>
        <v>1.40540540540541</v>
      </c>
      <c r="V248" s="34" t="str">
        <f>IF(AND(E248=1,L248=0),T248,"")</f>
        <v/>
      </c>
      <c r="W248" s="33">
        <f>IF(U248="","",IF(U248&lt;=Breakdowns!$C$5,1,IF(U248&lt;=Breakdowns!$C$6,2,IF(U248&lt;=Breakdowns!$C$7,3,4))))</f>
        <v>4</v>
      </c>
      <c r="X248" s="33" t="str">
        <f>IF(V248="","",IF(V248&lt;=Breakdowns!$D$5,1,IF(V248&lt;=Breakdowns!$D$6,2,IF(V248&lt;=Breakdowns!$D$7,3,4))))</f>
        <v/>
      </c>
      <c r="Y248" s="34">
        <f>INDEX(Stores!$F$2:$F$21,MATCH(B248,Stores!$A$2:$A$21,0))</f>
        <v>4.05</v>
      </c>
      <c r="Z248" s="33">
        <f>IF(Y248&gt;Store_Summary!$M$2,1,0)</f>
        <v>0</v>
      </c>
      <c r="AA248" s="33">
        <f>INDEX(Stores!$C$2:$C$21,MATCH(B248,Stores!$A$2:$A$21,0))</f>
        <v>661</v>
      </c>
      <c r="AB248" s="33">
        <f>IF(AA248&lt;180,1,0)</f>
        <v>0</v>
      </c>
      <c r="AC248" s="32" t="str">
        <f>IF(Orders!D245="","",INDEX(Riders!$C$2:$C$81,MATCH(Orders!D245,Riders!$A$2:$A$81,0)))</f>
        <v>EV scooter</v>
      </c>
      <c r="AD248" s="33">
        <f>IF(Orders!D245="","",INDEX(Riders!$D$2:$D$81,MATCH(Orders!D245,Riders!$A$2:$A$81,0)))</f>
        <v>44</v>
      </c>
      <c r="AE248" s="33">
        <f>IF(Orders!D245="","",IF(INDEX(Riders!$B$2:$B$81,MATCH(Orders!D245,Riders!$A$2:$A$81,0))=B248,1,0))</f>
        <v>0</v>
      </c>
      <c r="AF248" s="34">
        <f>IF(E248=1,Orders!L245,"")</f>
        <v>1.09</v>
      </c>
      <c r="AG248" s="34">
        <f>IF(E248=1,Orders!P245,"")</f>
        <v>10.4</v>
      </c>
      <c r="AH248" s="34">
        <f>IF(E248=1,Orders!Q245,"")</f>
        <v>9.5</v>
      </c>
      <c r="AI248" s="34">
        <f>IF(E248=1,Orders!M245,"")</f>
        <v>2.8</v>
      </c>
      <c r="AJ248" s="34">
        <f>IF(E248=1,Orders!N245,"")</f>
        <v>2.3</v>
      </c>
      <c r="AK248" s="34">
        <f>IF(E248=1,Orders!O245,"")</f>
        <v>4.4</v>
      </c>
      <c r="AL248" s="33">
        <f>IF(E248=1,IF(ROUND(ABS(AI248+AJ248+AK248-AH248),6)&lt;=0.1,1,0),"")</f>
        <v>1</v>
      </c>
      <c r="AM248" s="36">
        <f>IF(E248=1,AI248/AH248,"")</f>
        <v>0.294736842105263</v>
      </c>
      <c r="AN248" s="36">
        <f>IF(E248=1,AJ248/AH248,"")</f>
        <v>0.242105263157895</v>
      </c>
      <c r="AO248" s="36">
        <f>IF(E248=1,AK248/AH248,"")</f>
        <v>0.463157894736842</v>
      </c>
      <c r="AP248" s="34">
        <f>IF(E248=1,Orders!Y245,"")</f>
        <v>0.99</v>
      </c>
      <c r="AQ248" s="33">
        <f>IF(Orders!X245,1,0)</f>
        <v>0</v>
      </c>
      <c r="AR248" s="34">
        <f>IF(AND(E248=1,L248=1),AJ248,"")</f>
        <v>2.3</v>
      </c>
      <c r="AS248" s="34" t="str">
        <f>IF(AND(E248=1,L248=0),AJ248,"")</f>
        <v/>
      </c>
      <c r="AT248" s="34">
        <f>IF(AND(E248=1,L248=1),AI248,"")</f>
        <v>2.8</v>
      </c>
      <c r="AU248" s="34" t="str">
        <f>IF(AND(E248=1,L248=0),AI248,"")</f>
        <v/>
      </c>
      <c r="AV248" s="34">
        <f>IF(AND(E248=1,L248=1),AG248,"")</f>
        <v>10.4</v>
      </c>
      <c r="AW248" s="34" t="str">
        <f>IF(AND(E248=1,L248=0),AG248,"")</f>
        <v/>
      </c>
      <c r="AX248" s="34">
        <f>IF(AND(E248=1,L248=1),AH248,"")</f>
        <v>9.5</v>
      </c>
      <c r="AY248" s="34" t="str">
        <f>IF(AND(E248=1,L248=0),AH248,"")</f>
        <v/>
      </c>
      <c r="AZ248" s="34" t="str">
        <f>IF(G248=1,F248,"")</f>
        <v/>
      </c>
      <c r="BA248" s="34" t="str">
        <f>IF(AND(G248=1,L248=1),F248,"")</f>
        <v/>
      </c>
      <c r="BB248" s="34" t="str">
        <f>IF(AND(G248=1,L248=0),F248,"")</f>
        <v/>
      </c>
      <c r="BC248" s="33">
        <f>IF(E248=1,IF(Orders!R245&gt;3,1,0),"")</f>
        <v>0</v>
      </c>
      <c r="BD248" s="33">
        <f>IF(E248=1,IF(Orders!R245&gt;7,1,0),"")</f>
        <v>0</v>
      </c>
      <c r="BE248" s="32" t="str">
        <f>IF(E248=1,IF(Orders!L245&lt;=1.5,"Up to 1.5 km",IF(Orders!L245&lt;=3,"1.5–3 km","Over 3 km")),"")</f>
        <v>Up to 1.5 km</v>
      </c>
      <c r="BF248" s="33">
        <f>IF(E248=1,IF(ABS((Orders!G245-Orders!F245)*1440-Orders!R245)&lt;0.06,1,0),"")</f>
        <v>1</v>
      </c>
      <c r="BG248" s="33">
        <f>IF(ABS((Orders!F245-Orders!E245)*1440-Orders!P245)&lt;0.06,1,0)</f>
        <v>1</v>
      </c>
      <c r="BH248" s="33">
        <f>IF(E248=1,IF(IF(Orders!S245,1,0)=1-G248,1,0),"")</f>
        <v>1</v>
      </c>
      <c r="BI248" s="32" t="str">
        <f>INDEX(Stores!$B$2:$B$21,MATCH(B248,Stores!$A$2:$A$21,0))</f>
        <v>Hyderabad</v>
      </c>
    </row>
    <row r="249">
      <c r="A249" s="32" t="str">
        <f>Orders!A246</f>
        <v>O00245</v>
      </c>
      <c r="B249" s="32" t="str">
        <f>Orders!C246</f>
        <v>S019</v>
      </c>
      <c r="C249" s="32" t="str">
        <f>Orders!B246</f>
        <v>C0242</v>
      </c>
      <c r="D249" s="32" t="str">
        <f>Orders!H246</f>
        <v>Delivered</v>
      </c>
      <c r="E249" s="33">
        <f>IF(Orders!H246="Delivered",1,0)</f>
        <v>1</v>
      </c>
      <c r="F249" s="34">
        <f>IF(E249=1,Orders!R246,"")</f>
        <v>-0.4</v>
      </c>
      <c r="G249" s="33">
        <f>IF(E249=1,IF(Orders!R246&gt;0,1,0),"")</f>
        <v>0</v>
      </c>
      <c r="H249" s="33">
        <f>IF(E249=1,IF(Orders!R246&gt;5,1,0),"")</f>
        <v>0</v>
      </c>
      <c r="I249" s="32" t="str">
        <f>IF(E249=1,"",IF(OR(Orders!T246="Rider unavailable",Orders!T246="Item unavailable"),"Company-caused","Unresolved"))</f>
        <v/>
      </c>
      <c r="J249" s="33">
        <f>IF(OR(E249=1,I249="Company-caused"),1,0)</f>
        <v>1</v>
      </c>
      <c r="K249" s="32" t="str">
        <f>IF(E249=0,IF(I249="Company-caused",IF(Orders!T246="Rider unavailable","C1 Rider unavailable","C2 Item unavailable"),"Outside root: unresolved"),IF(G249=0,"A On time",IF(H249=1,IF(L249=1,"B2a Severe, peak","B2b Severe, off-peak"),IF(L249=1,"B1a Slight, peak","B1b Slight, off-peak"))))</f>
        <v>A On time</v>
      </c>
      <c r="L249" s="33">
        <f>IF(AND(Orders!U246&gt;=19,Orders!U246&lt;22),1,0)</f>
        <v>0</v>
      </c>
      <c r="M249" s="33">
        <f>IF(L249=IF(Orders!V246,1,0),1,0)</f>
        <v>1</v>
      </c>
      <c r="N249" s="32" t="str">
        <f>IF(Orders!W246="","None",Orders!W246)</f>
        <v>Heavy</v>
      </c>
      <c r="O249" s="35">
        <f>INT(Orders!E246)</f>
        <v>46277.0</v>
      </c>
      <c r="P249" s="33">
        <f>Orders!U246</f>
        <v>23</v>
      </c>
      <c r="Q249" s="33">
        <f>COUNTIFS(Demand!$A$2:$A$4481,B249,Demand!$B$2:$B$4481,O249,Demand!$C$2:$C$4481,P249)</f>
        <v>1</v>
      </c>
      <c r="R249" s="33">
        <f>IF(Q249=1,SUMIFS(Demand!$E$2:$E$4481,Demand!$A$2:$A$4481,B249,Demand!$B$2:$B$4481,O249,Demand!$C$2:$C$4481,P249),"")</f>
        <v>25</v>
      </c>
      <c r="S249" s="33">
        <f>INDEX(Stores!$G$2:$G$21,MATCH(B249,Stores!$A$2:$A$21,0))</f>
        <v>22</v>
      </c>
      <c r="T249" s="34">
        <f>IF(R249="","",R249/S249)</f>
        <v>1.13636363636364</v>
      </c>
      <c r="U249" s="34">
        <f>IF(E249=1,T249,"")</f>
        <v>1.13636363636364</v>
      </c>
      <c r="V249" s="34">
        <f>IF(AND(E249=1,L249=0),T249,"")</f>
        <v>1.13636363636364</v>
      </c>
      <c r="W249" s="33">
        <f>IF(U249="","",IF(U249&lt;=Breakdowns!$C$5,1,IF(U249&lt;=Breakdowns!$C$6,2,IF(U249&lt;=Breakdowns!$C$7,3,4))))</f>
        <v>3</v>
      </c>
      <c r="X249" s="33">
        <f>IF(V249="","",IF(V249&lt;=Breakdowns!$D$5,1,IF(V249&lt;=Breakdowns!$D$6,2,IF(V249&lt;=Breakdowns!$D$7,3,4))))</f>
        <v>4</v>
      </c>
      <c r="Y249" s="34">
        <f>INDEX(Stores!$F$2:$F$21,MATCH(B249,Stores!$A$2:$A$21,0))</f>
        <v>4.99</v>
      </c>
      <c r="Z249" s="33">
        <f>IF(Y249&gt;Store_Summary!$M$2,1,0)</f>
        <v>1</v>
      </c>
      <c r="AA249" s="33">
        <f>INDEX(Stores!$C$2:$C$21,MATCH(B249,Stores!$A$2:$A$21,0))</f>
        <v>851</v>
      </c>
      <c r="AB249" s="33">
        <f>IF(AA249&lt;180,1,0)</f>
        <v>0</v>
      </c>
      <c r="AC249" s="32" t="str">
        <f>IF(Orders!D246="","",INDEX(Riders!$C$2:$C$81,MATCH(Orders!D246,Riders!$A$2:$A$81,0)))</f>
        <v>Petrol scooter</v>
      </c>
      <c r="AD249" s="33">
        <f>IF(Orders!D246="","",INDEX(Riders!$D$2:$D$81,MATCH(Orders!D246,Riders!$A$2:$A$81,0)))</f>
        <v>48</v>
      </c>
      <c r="AE249" s="33">
        <f>IF(Orders!D246="","",IF(INDEX(Riders!$B$2:$B$81,MATCH(Orders!D246,Riders!$A$2:$A$81,0))=B249,1,0))</f>
        <v>0</v>
      </c>
      <c r="AF249" s="34">
        <f>IF(E249=1,Orders!L246,"")</f>
        <v>2.5</v>
      </c>
      <c r="AG249" s="34">
        <f>IF(E249=1,Orders!P246,"")</f>
        <v>9.5</v>
      </c>
      <c r="AH249" s="34">
        <f>IF(E249=1,Orders!Q246,"")</f>
        <v>9.1</v>
      </c>
      <c r="AI249" s="34">
        <f>IF(E249=1,Orders!M246,"")</f>
        <v>2.8</v>
      </c>
      <c r="AJ249" s="34">
        <f>IF(E249=1,Orders!N246,"")</f>
        <v>3</v>
      </c>
      <c r="AK249" s="34">
        <f>IF(E249=1,Orders!O246,"")</f>
        <v>3.3</v>
      </c>
      <c r="AL249" s="33">
        <f>IF(E249=1,IF(ROUND(ABS(AI249+AJ249+AK249-AH249),6)&lt;=0.1,1,0),"")</f>
        <v>1</v>
      </c>
      <c r="AM249" s="36">
        <f>IF(E249=1,AI249/AH249,"")</f>
        <v>0.307692307692308</v>
      </c>
      <c r="AN249" s="36">
        <f>IF(E249=1,AJ249/AH249,"")</f>
        <v>0.32967032967033</v>
      </c>
      <c r="AO249" s="36">
        <f>IF(E249=1,AK249/AH249,"")</f>
        <v>0.362637362637363</v>
      </c>
      <c r="AP249" s="34">
        <f>IF(E249=1,Orders!Y246,"")</f>
        <v>0.3</v>
      </c>
      <c r="AQ249" s="33">
        <f>IF(Orders!X246,1,0)</f>
        <v>0</v>
      </c>
      <c r="AR249" s="34" t="str">
        <f>IF(AND(E249=1,L249=1),AJ249,"")</f>
        <v/>
      </c>
      <c r="AS249" s="34">
        <f>IF(AND(E249=1,L249=0),AJ249,"")</f>
        <v>3</v>
      </c>
      <c r="AT249" s="34" t="str">
        <f>IF(AND(E249=1,L249=1),AI249,"")</f>
        <v/>
      </c>
      <c r="AU249" s="34">
        <f>IF(AND(E249=1,L249=0),AI249,"")</f>
        <v>2.8</v>
      </c>
      <c r="AV249" s="34" t="str">
        <f>IF(AND(E249=1,L249=1),AG249,"")</f>
        <v/>
      </c>
      <c r="AW249" s="34">
        <f>IF(AND(E249=1,L249=0),AG249,"")</f>
        <v>9.5</v>
      </c>
      <c r="AX249" s="34" t="str">
        <f>IF(AND(E249=1,L249=1),AH249,"")</f>
        <v/>
      </c>
      <c r="AY249" s="34">
        <f>IF(AND(E249=1,L249=0),AH249,"")</f>
        <v>9.1</v>
      </c>
      <c r="AZ249" s="34" t="str">
        <f>IF(G249=1,F249,"")</f>
        <v/>
      </c>
      <c r="BA249" s="34" t="str">
        <f>IF(AND(G249=1,L249=1),F249,"")</f>
        <v/>
      </c>
      <c r="BB249" s="34" t="str">
        <f>IF(AND(G249=1,L249=0),F249,"")</f>
        <v/>
      </c>
      <c r="BC249" s="33">
        <f>IF(E249=1,IF(Orders!R246&gt;3,1,0),"")</f>
        <v>0</v>
      </c>
      <c r="BD249" s="33">
        <f>IF(E249=1,IF(Orders!R246&gt;7,1,0),"")</f>
        <v>0</v>
      </c>
      <c r="BE249" s="32" t="str">
        <f>IF(E249=1,IF(Orders!L246&lt;=1.5,"Up to 1.5 km",IF(Orders!L246&lt;=3,"1.5–3 km","Over 3 km")),"")</f>
        <v>1.5–3 km</v>
      </c>
      <c r="BF249" s="33">
        <f>IF(E249=1,IF(ABS((Orders!G246-Orders!F246)*1440-Orders!R246)&lt;0.06,1,0),"")</f>
        <v>1</v>
      </c>
      <c r="BG249" s="33">
        <f>IF(ABS((Orders!F246-Orders!E246)*1440-Orders!P246)&lt;0.06,1,0)</f>
        <v>1</v>
      </c>
      <c r="BH249" s="33">
        <f>IF(E249=1,IF(IF(Orders!S246,1,0)=1-G249,1,0),"")</f>
        <v>1</v>
      </c>
      <c r="BI249" s="32" t="str">
        <f>INDEX(Stores!$B$2:$B$21,MATCH(B249,Stores!$A$2:$A$21,0))</f>
        <v>Pune</v>
      </c>
    </row>
    <row r="250">
      <c r="A250" s="32" t="str">
        <f>Orders!A247</f>
        <v>O00246</v>
      </c>
      <c r="B250" s="32" t="str">
        <f>Orders!C247</f>
        <v>S018</v>
      </c>
      <c r="C250" s="32" t="str">
        <f>Orders!B247</f>
        <v>C0169</v>
      </c>
      <c r="D250" s="32" t="str">
        <f>Orders!H247</f>
        <v>Delivered</v>
      </c>
      <c r="E250" s="33">
        <f>IF(Orders!H247="Delivered",1,0)</f>
        <v>1</v>
      </c>
      <c r="F250" s="34">
        <f>IF(E250=1,Orders!R247,"")</f>
        <v>-0.2</v>
      </c>
      <c r="G250" s="33">
        <f>IF(E250=1,IF(Orders!R247&gt;0,1,0),"")</f>
        <v>0</v>
      </c>
      <c r="H250" s="33">
        <f>IF(E250=1,IF(Orders!R247&gt;5,1,0),"")</f>
        <v>0</v>
      </c>
      <c r="I250" s="32" t="str">
        <f>IF(E250=1,"",IF(OR(Orders!T247="Rider unavailable",Orders!T247="Item unavailable"),"Company-caused","Unresolved"))</f>
        <v/>
      </c>
      <c r="J250" s="33">
        <f>IF(OR(E250=1,I250="Company-caused"),1,0)</f>
        <v>1</v>
      </c>
      <c r="K250" s="32" t="str">
        <f>IF(E250=0,IF(I250="Company-caused",IF(Orders!T247="Rider unavailable","C1 Rider unavailable","C2 Item unavailable"),"Outside root: unresolved"),IF(G250=0,"A On time",IF(H250=1,IF(L250=1,"B2a Severe, peak","B2b Severe, off-peak"),IF(L250=1,"B1a Slight, peak","B1b Slight, off-peak"))))</f>
        <v>A On time</v>
      </c>
      <c r="L250" s="33">
        <f>IF(AND(Orders!U247&gt;=19,Orders!U247&lt;22),1,0)</f>
        <v>0</v>
      </c>
      <c r="M250" s="33">
        <f>IF(L250=IF(Orders!V247,1,0),1,0)</f>
        <v>1</v>
      </c>
      <c r="N250" s="32" t="str">
        <f>IF(Orders!W247="","None",Orders!W247)</f>
        <v>Light</v>
      </c>
      <c r="O250" s="35">
        <f>INT(Orders!E247)</f>
        <v>46272.0</v>
      </c>
      <c r="P250" s="33">
        <f>Orders!U247</f>
        <v>10</v>
      </c>
      <c r="Q250" s="33">
        <f>COUNTIFS(Demand!$A$2:$A$4481,B250,Demand!$B$2:$B$4481,O250,Demand!$C$2:$C$4481,P250)</f>
        <v>1</v>
      </c>
      <c r="R250" s="33">
        <f>IF(Q250=1,SUMIFS(Demand!$E$2:$E$4481,Demand!$A$2:$A$4481,B250,Demand!$B$2:$B$4481,O250,Demand!$C$2:$C$4481,P250),"")</f>
        <v>16</v>
      </c>
      <c r="S250" s="33">
        <f>INDEX(Stores!$G$2:$G$21,MATCH(B250,Stores!$A$2:$A$21,0))</f>
        <v>20</v>
      </c>
      <c r="T250" s="34">
        <f>IF(R250="","",R250/S250)</f>
        <v>0.8</v>
      </c>
      <c r="U250" s="34">
        <f>IF(E250=1,T250,"")</f>
        <v>0.8</v>
      </c>
      <c r="V250" s="34">
        <f>IF(AND(E250=1,L250=0),T250,"")</f>
        <v>0.8</v>
      </c>
      <c r="W250" s="33">
        <f>IF(U250="","",IF(U250&lt;=Breakdowns!$C$5,1,IF(U250&lt;=Breakdowns!$C$6,2,IF(U250&lt;=Breakdowns!$C$7,3,4))))</f>
        <v>2</v>
      </c>
      <c r="X250" s="33">
        <f>IF(V250="","",IF(V250&lt;=Breakdowns!$D$5,1,IF(V250&lt;=Breakdowns!$D$6,2,IF(V250&lt;=Breakdowns!$D$7,3,4))))</f>
        <v>2</v>
      </c>
      <c r="Y250" s="34">
        <f>INDEX(Stores!$F$2:$F$21,MATCH(B250,Stores!$A$2:$A$21,0))</f>
        <v>5.31</v>
      </c>
      <c r="Z250" s="33">
        <f>IF(Y250&gt;Store_Summary!$M$2,1,0)</f>
        <v>1</v>
      </c>
      <c r="AA250" s="33">
        <f>INDEX(Stores!$C$2:$C$21,MATCH(B250,Stores!$A$2:$A$21,0))</f>
        <v>214</v>
      </c>
      <c r="AB250" s="33">
        <f>IF(AA250&lt;180,1,0)</f>
        <v>0</v>
      </c>
      <c r="AC250" s="32" t="str">
        <f>IF(Orders!D247="","",INDEX(Riders!$C$2:$C$81,MATCH(Orders!D247,Riders!$A$2:$A$81,0)))</f>
        <v>EV scooter</v>
      </c>
      <c r="AD250" s="33">
        <f>IF(Orders!D247="","",INDEX(Riders!$D$2:$D$81,MATCH(Orders!D247,Riders!$A$2:$A$81,0)))</f>
        <v>32</v>
      </c>
      <c r="AE250" s="33">
        <f>IF(Orders!D247="","",IF(INDEX(Riders!$B$2:$B$81,MATCH(Orders!D247,Riders!$A$2:$A$81,0))=B250,1,0))</f>
        <v>0</v>
      </c>
      <c r="AF250" s="34">
        <f>IF(E250=1,Orders!L247,"")</f>
        <v>1.38</v>
      </c>
      <c r="AG250" s="34">
        <f>IF(E250=1,Orders!P247,"")</f>
        <v>8.4</v>
      </c>
      <c r="AH250" s="34">
        <f>IF(E250=1,Orders!Q247,"")</f>
        <v>8.2</v>
      </c>
      <c r="AI250" s="34">
        <f>IF(E250=1,Orders!M247,"")</f>
        <v>2.8</v>
      </c>
      <c r="AJ250" s="34">
        <f>IF(E250=1,Orders!N247,"")</f>
        <v>2.7</v>
      </c>
      <c r="AK250" s="34">
        <f>IF(E250=1,Orders!O247,"")</f>
        <v>2.7</v>
      </c>
      <c r="AL250" s="33">
        <f>IF(E250=1,IF(ROUND(ABS(AI250+AJ250+AK250-AH250),6)&lt;=0.1,1,0),"")</f>
        <v>1</v>
      </c>
      <c r="AM250" s="36">
        <f>IF(E250=1,AI250/AH250,"")</f>
        <v>0.341463414634146</v>
      </c>
      <c r="AN250" s="36">
        <f>IF(E250=1,AJ250/AH250,"")</f>
        <v>0.329268292682927</v>
      </c>
      <c r="AO250" s="36">
        <f>IF(E250=1,AK250/AH250,"")</f>
        <v>0.329268292682927</v>
      </c>
      <c r="AP250" s="34">
        <f>IF(E250=1,Orders!Y247,"")</f>
        <v>0.46</v>
      </c>
      <c r="AQ250" s="33">
        <f>IF(Orders!X247,1,0)</f>
        <v>0</v>
      </c>
      <c r="AR250" s="34" t="str">
        <f>IF(AND(E250=1,L250=1),AJ250,"")</f>
        <v/>
      </c>
      <c r="AS250" s="34">
        <f>IF(AND(E250=1,L250=0),AJ250,"")</f>
        <v>2.7</v>
      </c>
      <c r="AT250" s="34" t="str">
        <f>IF(AND(E250=1,L250=1),AI250,"")</f>
        <v/>
      </c>
      <c r="AU250" s="34">
        <f>IF(AND(E250=1,L250=0),AI250,"")</f>
        <v>2.8</v>
      </c>
      <c r="AV250" s="34" t="str">
        <f>IF(AND(E250=1,L250=1),AG250,"")</f>
        <v/>
      </c>
      <c r="AW250" s="34">
        <f>IF(AND(E250=1,L250=0),AG250,"")</f>
        <v>8.4</v>
      </c>
      <c r="AX250" s="34" t="str">
        <f>IF(AND(E250=1,L250=1),AH250,"")</f>
        <v/>
      </c>
      <c r="AY250" s="34">
        <f>IF(AND(E250=1,L250=0),AH250,"")</f>
        <v>8.2</v>
      </c>
      <c r="AZ250" s="34" t="str">
        <f>IF(G250=1,F250,"")</f>
        <v/>
      </c>
      <c r="BA250" s="34" t="str">
        <f>IF(AND(G250=1,L250=1),F250,"")</f>
        <v/>
      </c>
      <c r="BB250" s="34" t="str">
        <f>IF(AND(G250=1,L250=0),F250,"")</f>
        <v/>
      </c>
      <c r="BC250" s="33">
        <f>IF(E250=1,IF(Orders!R247&gt;3,1,0),"")</f>
        <v>0</v>
      </c>
      <c r="BD250" s="33">
        <f>IF(E250=1,IF(Orders!R247&gt;7,1,0),"")</f>
        <v>0</v>
      </c>
      <c r="BE250" s="32" t="str">
        <f>IF(E250=1,IF(Orders!L247&lt;=1.5,"Up to 1.5 km",IF(Orders!L247&lt;=3,"1.5–3 km","Over 3 km")),"")</f>
        <v>Up to 1.5 km</v>
      </c>
      <c r="BF250" s="33">
        <f>IF(E250=1,IF(ABS((Orders!G247-Orders!F247)*1440-Orders!R247)&lt;0.06,1,0),"")</f>
        <v>1</v>
      </c>
      <c r="BG250" s="33">
        <f>IF(ABS((Orders!F247-Orders!E247)*1440-Orders!P247)&lt;0.06,1,0)</f>
        <v>1</v>
      </c>
      <c r="BH250" s="33">
        <f>IF(E250=1,IF(IF(Orders!S247,1,0)=1-G250,1,0),"")</f>
        <v>1</v>
      </c>
      <c r="BI250" s="32" t="str">
        <f>INDEX(Stores!$B$2:$B$21,MATCH(B250,Stores!$A$2:$A$21,0))</f>
        <v>Mumbai</v>
      </c>
    </row>
    <row r="251">
      <c r="A251" s="32" t="str">
        <f>Orders!A248</f>
        <v>O00247</v>
      </c>
      <c r="B251" s="32" t="str">
        <f>Orders!C248</f>
        <v>S006</v>
      </c>
      <c r="C251" s="32" t="str">
        <f>Orders!B248</f>
        <v>C0246</v>
      </c>
      <c r="D251" s="32" t="str">
        <f>Orders!H248</f>
        <v>Delivered</v>
      </c>
      <c r="E251" s="33">
        <f>IF(Orders!H248="Delivered",1,0)</f>
        <v>1</v>
      </c>
      <c r="F251" s="34">
        <f>IF(E251=1,Orders!R248,"")</f>
        <v>-0.8</v>
      </c>
      <c r="G251" s="33">
        <f>IF(E251=1,IF(Orders!R248&gt;0,1,0),"")</f>
        <v>0</v>
      </c>
      <c r="H251" s="33">
        <f>IF(E251=1,IF(Orders!R248&gt;5,1,0),"")</f>
        <v>0</v>
      </c>
      <c r="I251" s="32" t="str">
        <f>IF(E251=1,"",IF(OR(Orders!T248="Rider unavailable",Orders!T248="Item unavailable"),"Company-caused","Unresolved"))</f>
        <v/>
      </c>
      <c r="J251" s="33">
        <f>IF(OR(E251=1,I251="Company-caused"),1,0)</f>
        <v>1</v>
      </c>
      <c r="K251" s="32" t="str">
        <f>IF(E251=0,IF(I251="Company-caused",IF(Orders!T248="Rider unavailable","C1 Rider unavailable","C2 Item unavailable"),"Outside root: unresolved"),IF(G251=0,"A On time",IF(H251=1,IF(L251=1,"B2a Severe, peak","B2b Severe, off-peak"),IF(L251=1,"B1a Slight, peak","B1b Slight, off-peak"))))</f>
        <v>A On time</v>
      </c>
      <c r="L251" s="33">
        <f>IF(AND(Orders!U248&gt;=19,Orders!U248&lt;22),1,0)</f>
        <v>0</v>
      </c>
      <c r="M251" s="33">
        <f>IF(L251=IF(Orders!V248,1,0),1,0)</f>
        <v>1</v>
      </c>
      <c r="N251" s="32" t="str">
        <f>IF(Orders!W248="","None",Orders!W248)</f>
        <v>Light</v>
      </c>
      <c r="O251" s="35">
        <f>INT(Orders!E248)</f>
        <v>46273.0</v>
      </c>
      <c r="P251" s="33">
        <f>Orders!U248</f>
        <v>17</v>
      </c>
      <c r="Q251" s="33">
        <f>COUNTIFS(Demand!$A$2:$A$4481,B251,Demand!$B$2:$B$4481,O251,Demand!$C$2:$C$4481,P251)</f>
        <v>1</v>
      </c>
      <c r="R251" s="33">
        <f>IF(Q251=1,SUMIFS(Demand!$E$2:$E$4481,Demand!$A$2:$A$4481,B251,Demand!$B$2:$B$4481,O251,Demand!$C$2:$C$4481,P251),"")</f>
        <v>22</v>
      </c>
      <c r="S251" s="33">
        <f>INDEX(Stores!$G$2:$G$21,MATCH(B251,Stores!$A$2:$A$21,0))</f>
        <v>26</v>
      </c>
      <c r="T251" s="34">
        <f>IF(R251="","",R251/S251)</f>
        <v>0.846153846153846</v>
      </c>
      <c r="U251" s="34">
        <f>IF(E251=1,T251,"")</f>
        <v>0.846153846153846</v>
      </c>
      <c r="V251" s="34">
        <f>IF(AND(E251=1,L251=0),T251,"")</f>
        <v>0.846153846153846</v>
      </c>
      <c r="W251" s="33">
        <f>IF(U251="","",IF(U251&lt;=Breakdowns!$C$5,1,IF(U251&lt;=Breakdowns!$C$6,2,IF(U251&lt;=Breakdowns!$C$7,3,4))))</f>
        <v>2</v>
      </c>
      <c r="X251" s="33">
        <f>IF(V251="","",IF(V251&lt;=Breakdowns!$D$5,1,IF(V251&lt;=Breakdowns!$D$6,2,IF(V251&lt;=Breakdowns!$D$7,3,4))))</f>
        <v>2</v>
      </c>
      <c r="Y251" s="34">
        <f>INDEX(Stores!$F$2:$F$21,MATCH(B251,Stores!$A$2:$A$21,0))</f>
        <v>5.22</v>
      </c>
      <c r="Z251" s="33">
        <f>IF(Y251&gt;Store_Summary!$M$2,1,0)</f>
        <v>1</v>
      </c>
      <c r="AA251" s="33">
        <f>INDEX(Stores!$C$2:$C$21,MATCH(B251,Stores!$A$2:$A$21,0))</f>
        <v>412</v>
      </c>
      <c r="AB251" s="33">
        <f>IF(AA251&lt;180,1,0)</f>
        <v>0</v>
      </c>
      <c r="AC251" s="32" t="str">
        <f>IF(Orders!D248="","",INDEX(Riders!$C$2:$C$81,MATCH(Orders!D248,Riders!$A$2:$A$81,0)))</f>
        <v>EV scooter</v>
      </c>
      <c r="AD251" s="33">
        <f>IF(Orders!D248="","",INDEX(Riders!$D$2:$D$81,MATCH(Orders!D248,Riders!$A$2:$A$81,0)))</f>
        <v>24</v>
      </c>
      <c r="AE251" s="33">
        <f>IF(Orders!D248="","",IF(INDEX(Riders!$B$2:$B$81,MATCH(Orders!D248,Riders!$A$2:$A$81,0))=B251,1,0))</f>
        <v>0</v>
      </c>
      <c r="AF251" s="34">
        <f>IF(E251=1,Orders!L248,"")</f>
        <v>4.9</v>
      </c>
      <c r="AG251" s="34">
        <f>IF(E251=1,Orders!P248,"")</f>
        <v>12.6</v>
      </c>
      <c r="AH251" s="34">
        <f>IF(E251=1,Orders!Q248,"")</f>
        <v>11.8</v>
      </c>
      <c r="AI251" s="34">
        <f>IF(E251=1,Orders!M248,"")</f>
        <v>3.9</v>
      </c>
      <c r="AJ251" s="34">
        <f>IF(E251=1,Orders!N248,"")</f>
        <v>1.4</v>
      </c>
      <c r="AK251" s="34">
        <f>IF(E251=1,Orders!O248,"")</f>
        <v>6.5</v>
      </c>
      <c r="AL251" s="33">
        <f>IF(E251=1,IF(ROUND(ABS(AI251+AJ251+AK251-AH251),6)&lt;=0.1,1,0),"")</f>
        <v>1</v>
      </c>
      <c r="AM251" s="36">
        <f>IF(E251=1,AI251/AH251,"")</f>
        <v>0.330508474576271</v>
      </c>
      <c r="AN251" s="36">
        <f>IF(E251=1,AJ251/AH251,"")</f>
        <v>0.11864406779661</v>
      </c>
      <c r="AO251" s="36">
        <f>IF(E251=1,AK251/AH251,"")</f>
        <v>0.550847457627119</v>
      </c>
      <c r="AP251" s="34">
        <f>IF(E251=1,Orders!Y248,"")</f>
        <v>0.89</v>
      </c>
      <c r="AQ251" s="33">
        <f>IF(Orders!X248,1,0)</f>
        <v>0</v>
      </c>
      <c r="AR251" s="34" t="str">
        <f>IF(AND(E251=1,L251=1),AJ251,"")</f>
        <v/>
      </c>
      <c r="AS251" s="34">
        <f>IF(AND(E251=1,L251=0),AJ251,"")</f>
        <v>1.4</v>
      </c>
      <c r="AT251" s="34" t="str">
        <f>IF(AND(E251=1,L251=1),AI251,"")</f>
        <v/>
      </c>
      <c r="AU251" s="34">
        <f>IF(AND(E251=1,L251=0),AI251,"")</f>
        <v>3.9</v>
      </c>
      <c r="AV251" s="34" t="str">
        <f>IF(AND(E251=1,L251=1),AG251,"")</f>
        <v/>
      </c>
      <c r="AW251" s="34">
        <f>IF(AND(E251=1,L251=0),AG251,"")</f>
        <v>12.6</v>
      </c>
      <c r="AX251" s="34" t="str">
        <f>IF(AND(E251=1,L251=1),AH251,"")</f>
        <v/>
      </c>
      <c r="AY251" s="34">
        <f>IF(AND(E251=1,L251=0),AH251,"")</f>
        <v>11.8</v>
      </c>
      <c r="AZ251" s="34" t="str">
        <f>IF(G251=1,F251,"")</f>
        <v/>
      </c>
      <c r="BA251" s="34" t="str">
        <f>IF(AND(G251=1,L251=1),F251,"")</f>
        <v/>
      </c>
      <c r="BB251" s="34" t="str">
        <f>IF(AND(G251=1,L251=0),F251,"")</f>
        <v/>
      </c>
      <c r="BC251" s="33">
        <f>IF(E251=1,IF(Orders!R248&gt;3,1,0),"")</f>
        <v>0</v>
      </c>
      <c r="BD251" s="33">
        <f>IF(E251=1,IF(Orders!R248&gt;7,1,0),"")</f>
        <v>0</v>
      </c>
      <c r="BE251" s="32" t="str">
        <f>IF(E251=1,IF(Orders!L248&lt;=1.5,"Up to 1.5 km",IF(Orders!L248&lt;=3,"1.5–3 km","Over 3 km")),"")</f>
        <v>Over 3 km</v>
      </c>
      <c r="BF251" s="33">
        <f>IF(E251=1,IF(ABS((Orders!G248-Orders!F248)*1440-Orders!R248)&lt;0.06,1,0),"")</f>
        <v>1</v>
      </c>
      <c r="BG251" s="33">
        <f>IF(ABS((Orders!F248-Orders!E248)*1440-Orders!P248)&lt;0.06,1,0)</f>
        <v>1</v>
      </c>
      <c r="BH251" s="33">
        <f>IF(E251=1,IF(IF(Orders!S248,1,0)=1-G251,1,0),"")</f>
        <v>1</v>
      </c>
      <c r="BI251" s="32" t="str">
        <f>INDEX(Stores!$B$2:$B$21,MATCH(B251,Stores!$A$2:$A$21,0))</f>
        <v>Bengaluru</v>
      </c>
    </row>
    <row r="252">
      <c r="A252" s="32" t="str">
        <f>Orders!A249</f>
        <v>O00248</v>
      </c>
      <c r="B252" s="32" t="str">
        <f>Orders!C249</f>
        <v>S014</v>
      </c>
      <c r="C252" s="32" t="str">
        <f>Orders!B249</f>
        <v>C0210</v>
      </c>
      <c r="D252" s="32" t="str">
        <f>Orders!H249</f>
        <v>Delivered</v>
      </c>
      <c r="E252" s="33">
        <f>IF(Orders!H249="Delivered",1,0)</f>
        <v>1</v>
      </c>
      <c r="F252" s="34">
        <f>IF(E252=1,Orders!R249,"")</f>
        <v>-0.5</v>
      </c>
      <c r="G252" s="33">
        <f>IF(E252=1,IF(Orders!R249&gt;0,1,0),"")</f>
        <v>0</v>
      </c>
      <c r="H252" s="33">
        <f>IF(E252=1,IF(Orders!R249&gt;5,1,0),"")</f>
        <v>0</v>
      </c>
      <c r="I252" s="32" t="str">
        <f>IF(E252=1,"",IF(OR(Orders!T249="Rider unavailable",Orders!T249="Item unavailable"),"Company-caused","Unresolved"))</f>
        <v/>
      </c>
      <c r="J252" s="33">
        <f>IF(OR(E252=1,I252="Company-caused"),1,0)</f>
        <v>1</v>
      </c>
      <c r="K252" s="32" t="str">
        <f>IF(E252=0,IF(I252="Company-caused",IF(Orders!T249="Rider unavailable","C1 Rider unavailable","C2 Item unavailable"),"Outside root: unresolved"),IF(G252=0,"A On time",IF(H252=1,IF(L252=1,"B2a Severe, peak","B2b Severe, off-peak"),IF(L252=1,"B1a Slight, peak","B1b Slight, off-peak"))))</f>
        <v>A On time</v>
      </c>
      <c r="L252" s="33">
        <f>IF(AND(Orders!U249&gt;=19,Orders!U249&lt;22),1,0)</f>
        <v>0</v>
      </c>
      <c r="M252" s="33">
        <f>IF(L252=IF(Orders!V249,1,0),1,0)</f>
        <v>1</v>
      </c>
      <c r="N252" s="32" t="str">
        <f>IF(Orders!W249="","None",Orders!W249)</f>
        <v>Heavy</v>
      </c>
      <c r="O252" s="35">
        <f>INT(Orders!E249)</f>
        <v>46275.0</v>
      </c>
      <c r="P252" s="33">
        <f>Orders!U249</f>
        <v>17</v>
      </c>
      <c r="Q252" s="33">
        <f>COUNTIFS(Demand!$A$2:$A$4481,B252,Demand!$B$2:$B$4481,O252,Demand!$C$2:$C$4481,P252)</f>
        <v>1</v>
      </c>
      <c r="R252" s="33">
        <f>IF(Q252=1,SUMIFS(Demand!$E$2:$E$4481,Demand!$A$2:$A$4481,B252,Demand!$B$2:$B$4481,O252,Demand!$C$2:$C$4481,P252),"")</f>
        <v>48</v>
      </c>
      <c r="S252" s="33">
        <f>INDEX(Stores!$G$2:$G$21,MATCH(B252,Stores!$A$2:$A$21,0))</f>
        <v>37</v>
      </c>
      <c r="T252" s="34">
        <f>IF(R252="","",R252/S252)</f>
        <v>1.2972972972973</v>
      </c>
      <c r="U252" s="34">
        <f>IF(E252=1,T252,"")</f>
        <v>1.2972972972973</v>
      </c>
      <c r="V252" s="34">
        <f>IF(AND(E252=1,L252=0),T252,"")</f>
        <v>1.2972972972973</v>
      </c>
      <c r="W252" s="33">
        <f>IF(U252="","",IF(U252&lt;=Breakdowns!$C$5,1,IF(U252&lt;=Breakdowns!$C$6,2,IF(U252&lt;=Breakdowns!$C$7,3,4))))</f>
        <v>4</v>
      </c>
      <c r="X252" s="33">
        <f>IF(V252="","",IF(V252&lt;=Breakdowns!$D$5,1,IF(V252&lt;=Breakdowns!$D$6,2,IF(V252&lt;=Breakdowns!$D$7,3,4))))</f>
        <v>4</v>
      </c>
      <c r="Y252" s="34">
        <f>INDEX(Stores!$F$2:$F$21,MATCH(B252,Stores!$A$2:$A$21,0))</f>
        <v>5.55</v>
      </c>
      <c r="Z252" s="33">
        <f>IF(Y252&gt;Store_Summary!$M$2,1,0)</f>
        <v>1</v>
      </c>
      <c r="AA252" s="33">
        <f>INDEX(Stores!$C$2:$C$21,MATCH(B252,Stores!$A$2:$A$21,0))</f>
        <v>241</v>
      </c>
      <c r="AB252" s="33">
        <f>IF(AA252&lt;180,1,0)</f>
        <v>0</v>
      </c>
      <c r="AC252" s="32" t="str">
        <f>IF(Orders!D249="","",INDEX(Riders!$C$2:$C$81,MATCH(Orders!D249,Riders!$A$2:$A$81,0)))</f>
        <v>EV scooter</v>
      </c>
      <c r="AD252" s="33">
        <f>IF(Orders!D249="","",INDEX(Riders!$D$2:$D$81,MATCH(Orders!D249,Riders!$A$2:$A$81,0)))</f>
        <v>41</v>
      </c>
      <c r="AE252" s="33">
        <f>IF(Orders!D249="","",IF(INDEX(Riders!$B$2:$B$81,MATCH(Orders!D249,Riders!$A$2:$A$81,0))=B252,1,0))</f>
        <v>0</v>
      </c>
      <c r="AF252" s="34">
        <f>IF(E252=1,Orders!L249,"")</f>
        <v>1.02</v>
      </c>
      <c r="AG252" s="34">
        <f>IF(E252=1,Orders!P249,"")</f>
        <v>8.8</v>
      </c>
      <c r="AH252" s="34">
        <f>IF(E252=1,Orders!Q249,"")</f>
        <v>8.3</v>
      </c>
      <c r="AI252" s="34">
        <f>IF(E252=1,Orders!M249,"")</f>
        <v>4.1</v>
      </c>
      <c r="AJ252" s="34">
        <f>IF(E252=1,Orders!N249,"")</f>
        <v>1.5</v>
      </c>
      <c r="AK252" s="34">
        <f>IF(E252=1,Orders!O249,"")</f>
        <v>2.7</v>
      </c>
      <c r="AL252" s="33">
        <f>IF(E252=1,IF(ROUND(ABS(AI252+AJ252+AK252-AH252),6)&lt;=0.1,1,0),"")</f>
        <v>1</v>
      </c>
      <c r="AM252" s="36">
        <f>IF(E252=1,AI252/AH252,"")</f>
        <v>0.493975903614458</v>
      </c>
      <c r="AN252" s="36">
        <f>IF(E252=1,AJ252/AH252,"")</f>
        <v>0.180722891566265</v>
      </c>
      <c r="AO252" s="36">
        <f>IF(E252=1,AK252/AH252,"")</f>
        <v>0.325301204819277</v>
      </c>
      <c r="AP252" s="34">
        <f>IF(E252=1,Orders!Y249,"")</f>
        <v>0.12</v>
      </c>
      <c r="AQ252" s="33">
        <f>IF(Orders!X249,1,0)</f>
        <v>0</v>
      </c>
      <c r="AR252" s="34" t="str">
        <f>IF(AND(E252=1,L252=1),AJ252,"")</f>
        <v/>
      </c>
      <c r="AS252" s="34">
        <f>IF(AND(E252=1,L252=0),AJ252,"")</f>
        <v>1.5</v>
      </c>
      <c r="AT252" s="34" t="str">
        <f>IF(AND(E252=1,L252=1),AI252,"")</f>
        <v/>
      </c>
      <c r="AU252" s="34">
        <f>IF(AND(E252=1,L252=0),AI252,"")</f>
        <v>4.1</v>
      </c>
      <c r="AV252" s="34" t="str">
        <f>IF(AND(E252=1,L252=1),AG252,"")</f>
        <v/>
      </c>
      <c r="AW252" s="34">
        <f>IF(AND(E252=1,L252=0),AG252,"")</f>
        <v>8.8</v>
      </c>
      <c r="AX252" s="34" t="str">
        <f>IF(AND(E252=1,L252=1),AH252,"")</f>
        <v/>
      </c>
      <c r="AY252" s="34">
        <f>IF(AND(E252=1,L252=0),AH252,"")</f>
        <v>8.3</v>
      </c>
      <c r="AZ252" s="34" t="str">
        <f>IF(G252=1,F252,"")</f>
        <v/>
      </c>
      <c r="BA252" s="34" t="str">
        <f>IF(AND(G252=1,L252=1),F252,"")</f>
        <v/>
      </c>
      <c r="BB252" s="34" t="str">
        <f>IF(AND(G252=1,L252=0),F252,"")</f>
        <v/>
      </c>
      <c r="BC252" s="33">
        <f>IF(E252=1,IF(Orders!R249&gt;3,1,0),"")</f>
        <v>0</v>
      </c>
      <c r="BD252" s="33">
        <f>IF(E252=1,IF(Orders!R249&gt;7,1,0),"")</f>
        <v>0</v>
      </c>
      <c r="BE252" s="32" t="str">
        <f>IF(E252=1,IF(Orders!L249&lt;=1.5,"Up to 1.5 km",IF(Orders!L249&lt;=3,"1.5–3 km","Over 3 km")),"")</f>
        <v>Up to 1.5 km</v>
      </c>
      <c r="BF252" s="33">
        <f>IF(E252=1,IF(ABS((Orders!G249-Orders!F249)*1440-Orders!R249)&lt;0.06,1,0),"")</f>
        <v>1</v>
      </c>
      <c r="BG252" s="33">
        <f>IF(ABS((Orders!F249-Orders!E249)*1440-Orders!P249)&lt;0.06,1,0)</f>
        <v>1</v>
      </c>
      <c r="BH252" s="33">
        <f>IF(E252=1,IF(IF(Orders!S249,1,0)=1-G252,1,0),"")</f>
        <v>1</v>
      </c>
      <c r="BI252" s="32" t="str">
        <f>INDEX(Stores!$B$2:$B$21,MATCH(B252,Stores!$A$2:$A$21,0))</f>
        <v>Pune</v>
      </c>
    </row>
    <row r="253">
      <c r="A253" s="32" t="str">
        <f>Orders!A250</f>
        <v>O00249</v>
      </c>
      <c r="B253" s="32" t="str">
        <f>Orders!C250</f>
        <v>S013</v>
      </c>
      <c r="C253" s="32" t="str">
        <f>Orders!B250</f>
        <v>C0101</v>
      </c>
      <c r="D253" s="32" t="str">
        <f>Orders!H250</f>
        <v>Delivered</v>
      </c>
      <c r="E253" s="33">
        <f>IF(Orders!H250="Delivered",1,0)</f>
        <v>1</v>
      </c>
      <c r="F253" s="34">
        <f>IF(E253=1,Orders!R250,"")</f>
        <v>-0.3</v>
      </c>
      <c r="G253" s="33">
        <f>IF(E253=1,IF(Orders!R250&gt;0,1,0),"")</f>
        <v>0</v>
      </c>
      <c r="H253" s="33">
        <f>IF(E253=1,IF(Orders!R250&gt;5,1,0),"")</f>
        <v>0</v>
      </c>
      <c r="I253" s="32" t="str">
        <f>IF(E253=1,"",IF(OR(Orders!T250="Rider unavailable",Orders!T250="Item unavailable"),"Company-caused","Unresolved"))</f>
        <v/>
      </c>
      <c r="J253" s="33">
        <f>IF(OR(E253=1,I253="Company-caused"),1,0)</f>
        <v>1</v>
      </c>
      <c r="K253" s="32" t="str">
        <f>IF(E253=0,IF(I253="Company-caused",IF(Orders!T250="Rider unavailable","C1 Rider unavailable","C2 Item unavailable"),"Outside root: unresolved"),IF(G253=0,"A On time",IF(H253=1,IF(L253=1,"B2a Severe, peak","B2b Severe, off-peak"),IF(L253=1,"B1a Slight, peak","B1b Slight, off-peak"))))</f>
        <v>A On time</v>
      </c>
      <c r="L253" s="33">
        <f>IF(AND(Orders!U250&gt;=19,Orders!U250&lt;22),1,0)</f>
        <v>1</v>
      </c>
      <c r="M253" s="33">
        <f>IF(L253=IF(Orders!V250,1,0),1,0)</f>
        <v>1</v>
      </c>
      <c r="N253" s="32" t="str">
        <f>IF(Orders!W250="","None",Orders!W250)</f>
        <v>None</v>
      </c>
      <c r="O253" s="35">
        <f>INT(Orders!E250)</f>
        <v>46273.0</v>
      </c>
      <c r="P253" s="33">
        <f>Orders!U250</f>
        <v>21</v>
      </c>
      <c r="Q253" s="33">
        <f>COUNTIFS(Demand!$A$2:$A$4481,B253,Demand!$B$2:$B$4481,O253,Demand!$C$2:$C$4481,P253)</f>
        <v>1</v>
      </c>
      <c r="R253" s="33">
        <f>IF(Q253=1,SUMIFS(Demand!$E$2:$E$4481,Demand!$A$2:$A$4481,B253,Demand!$B$2:$B$4481,O253,Demand!$C$2:$C$4481,P253),"")</f>
        <v>61</v>
      </c>
      <c r="S253" s="33">
        <f>INDEX(Stores!$G$2:$G$21,MATCH(B253,Stores!$A$2:$A$21,0))</f>
        <v>49</v>
      </c>
      <c r="T253" s="34">
        <f>IF(R253="","",R253/S253)</f>
        <v>1.24489795918367</v>
      </c>
      <c r="U253" s="34">
        <f>IF(E253=1,T253,"")</f>
        <v>1.24489795918367</v>
      </c>
      <c r="V253" s="34" t="str">
        <f>IF(AND(E253=1,L253=0),T253,"")</f>
        <v/>
      </c>
      <c r="W253" s="33">
        <f>IF(U253="","",IF(U253&lt;=Breakdowns!$C$5,1,IF(U253&lt;=Breakdowns!$C$6,2,IF(U253&lt;=Breakdowns!$C$7,3,4))))</f>
        <v>4</v>
      </c>
      <c r="X253" s="33" t="str">
        <f>IF(V253="","",IF(V253&lt;=Breakdowns!$D$5,1,IF(V253&lt;=Breakdowns!$D$6,2,IF(V253&lt;=Breakdowns!$D$7,3,4))))</f>
        <v/>
      </c>
      <c r="Y253" s="34">
        <f>INDEX(Stores!$F$2:$F$21,MATCH(B253,Stores!$A$2:$A$21,0))</f>
        <v>5.82</v>
      </c>
      <c r="Z253" s="33">
        <f>IF(Y253&gt;Store_Summary!$M$2,1,0)</f>
        <v>1</v>
      </c>
      <c r="AA253" s="33">
        <f>INDEX(Stores!$C$2:$C$21,MATCH(B253,Stores!$A$2:$A$21,0))</f>
        <v>705</v>
      </c>
      <c r="AB253" s="33">
        <f>IF(AA253&lt;180,1,0)</f>
        <v>0</v>
      </c>
      <c r="AC253" s="32" t="str">
        <f>IF(Orders!D250="","",INDEX(Riders!$C$2:$C$81,MATCH(Orders!D250,Riders!$A$2:$A$81,0)))</f>
        <v>EV scooter</v>
      </c>
      <c r="AD253" s="33">
        <f>IF(Orders!D250="","",INDEX(Riders!$D$2:$D$81,MATCH(Orders!D250,Riders!$A$2:$A$81,0)))</f>
        <v>33</v>
      </c>
      <c r="AE253" s="33">
        <f>IF(Orders!D250="","",IF(INDEX(Riders!$B$2:$B$81,MATCH(Orders!D250,Riders!$A$2:$A$81,0))=B253,1,0))</f>
        <v>0</v>
      </c>
      <c r="AF253" s="34">
        <f>IF(E253=1,Orders!L250,"")</f>
        <v>2.79</v>
      </c>
      <c r="AG253" s="34">
        <f>IF(E253=1,Orders!P250,"")</f>
        <v>9.4</v>
      </c>
      <c r="AH253" s="34">
        <f>IF(E253=1,Orders!Q250,"")</f>
        <v>9.1</v>
      </c>
      <c r="AI253" s="34">
        <f>IF(E253=1,Orders!M250,"")</f>
        <v>2.3</v>
      </c>
      <c r="AJ253" s="34">
        <f>IF(E253=1,Orders!N250,"")</f>
        <v>3.2</v>
      </c>
      <c r="AK253" s="34">
        <f>IF(E253=1,Orders!O250,"")</f>
        <v>3.6</v>
      </c>
      <c r="AL253" s="33">
        <f>IF(E253=1,IF(ROUND(ABS(AI253+AJ253+AK253-AH253),6)&lt;=0.1,1,0),"")</f>
        <v>1</v>
      </c>
      <c r="AM253" s="36">
        <f>IF(E253=1,AI253/AH253,"")</f>
        <v>0.252747252747253</v>
      </c>
      <c r="AN253" s="36">
        <f>IF(E253=1,AJ253/AH253,"")</f>
        <v>0.351648351648352</v>
      </c>
      <c r="AO253" s="36">
        <f>IF(E253=1,AK253/AH253,"")</f>
        <v>0.395604395604396</v>
      </c>
      <c r="AP253" s="34">
        <f>IF(E253=1,Orders!Y250,"")</f>
        <v>0.76</v>
      </c>
      <c r="AQ253" s="33">
        <f>IF(Orders!X250,1,0)</f>
        <v>1</v>
      </c>
      <c r="AR253" s="34">
        <f>IF(AND(E253=1,L253=1),AJ253,"")</f>
        <v>3.2</v>
      </c>
      <c r="AS253" s="34" t="str">
        <f>IF(AND(E253=1,L253=0),AJ253,"")</f>
        <v/>
      </c>
      <c r="AT253" s="34">
        <f>IF(AND(E253=1,L253=1),AI253,"")</f>
        <v>2.3</v>
      </c>
      <c r="AU253" s="34" t="str">
        <f>IF(AND(E253=1,L253=0),AI253,"")</f>
        <v/>
      </c>
      <c r="AV253" s="34">
        <f>IF(AND(E253=1,L253=1),AG253,"")</f>
        <v>9.4</v>
      </c>
      <c r="AW253" s="34" t="str">
        <f>IF(AND(E253=1,L253=0),AG253,"")</f>
        <v/>
      </c>
      <c r="AX253" s="34">
        <f>IF(AND(E253=1,L253=1),AH253,"")</f>
        <v>9.1</v>
      </c>
      <c r="AY253" s="34" t="str">
        <f>IF(AND(E253=1,L253=0),AH253,"")</f>
        <v/>
      </c>
      <c r="AZ253" s="34" t="str">
        <f>IF(G253=1,F253,"")</f>
        <v/>
      </c>
      <c r="BA253" s="34" t="str">
        <f>IF(AND(G253=1,L253=1),F253,"")</f>
        <v/>
      </c>
      <c r="BB253" s="34" t="str">
        <f>IF(AND(G253=1,L253=0),F253,"")</f>
        <v/>
      </c>
      <c r="BC253" s="33">
        <f>IF(E253=1,IF(Orders!R250&gt;3,1,0),"")</f>
        <v>0</v>
      </c>
      <c r="BD253" s="33">
        <f>IF(E253=1,IF(Orders!R250&gt;7,1,0),"")</f>
        <v>0</v>
      </c>
      <c r="BE253" s="32" t="str">
        <f>IF(E253=1,IF(Orders!L250&lt;=1.5,"Up to 1.5 km",IF(Orders!L250&lt;=3,"1.5–3 km","Over 3 km")),"")</f>
        <v>1.5–3 km</v>
      </c>
      <c r="BF253" s="33">
        <f>IF(E253=1,IF(ABS((Orders!G250-Orders!F250)*1440-Orders!R250)&lt;0.06,1,0),"")</f>
        <v>1</v>
      </c>
      <c r="BG253" s="33">
        <f>IF(ABS((Orders!F250-Orders!E250)*1440-Orders!P250)&lt;0.06,1,0)</f>
        <v>1</v>
      </c>
      <c r="BH253" s="33">
        <f>IF(E253=1,IF(IF(Orders!S250,1,0)=1-G253,1,0),"")</f>
        <v>1</v>
      </c>
      <c r="BI253" s="32" t="str">
        <f>INDEX(Stores!$B$2:$B$21,MATCH(B253,Stores!$A$2:$A$21,0))</f>
        <v>Mumbai</v>
      </c>
    </row>
    <row r="254">
      <c r="A254" s="32" t="str">
        <f>Orders!A251</f>
        <v>O00250</v>
      </c>
      <c r="B254" s="32" t="str">
        <f>Orders!C251</f>
        <v>S017</v>
      </c>
      <c r="C254" s="32" t="str">
        <f>Orders!B251</f>
        <v>C0231</v>
      </c>
      <c r="D254" s="32" t="str">
        <f>Orders!H251</f>
        <v>Delivered</v>
      </c>
      <c r="E254" s="33">
        <f>IF(Orders!H251="Delivered",1,0)</f>
        <v>1</v>
      </c>
      <c r="F254" s="34">
        <f>IF(E254=1,Orders!R251,"")</f>
        <v>-0.6</v>
      </c>
      <c r="G254" s="33">
        <f>IF(E254=1,IF(Orders!R251&gt;0,1,0),"")</f>
        <v>0</v>
      </c>
      <c r="H254" s="33">
        <f>IF(E254=1,IF(Orders!R251&gt;5,1,0),"")</f>
        <v>0</v>
      </c>
      <c r="I254" s="32" t="str">
        <f>IF(E254=1,"",IF(OR(Orders!T251="Rider unavailable",Orders!T251="Item unavailable"),"Company-caused","Unresolved"))</f>
        <v/>
      </c>
      <c r="J254" s="33">
        <f>IF(OR(E254=1,I254="Company-caused"),1,0)</f>
        <v>1</v>
      </c>
      <c r="K254" s="32" t="str">
        <f>IF(E254=0,IF(I254="Company-caused",IF(Orders!T251="Rider unavailable","C1 Rider unavailable","C2 Item unavailable"),"Outside root: unresolved"),IF(G254=0,"A On time",IF(H254=1,IF(L254=1,"B2a Severe, peak","B2b Severe, off-peak"),IF(L254=1,"B1a Slight, peak","B1b Slight, off-peak"))))</f>
        <v>A On time</v>
      </c>
      <c r="L254" s="33">
        <f>IF(AND(Orders!U251&gt;=19,Orders!U251&lt;22),1,0)</f>
        <v>0</v>
      </c>
      <c r="M254" s="33">
        <f>IF(L254=IF(Orders!V251,1,0),1,0)</f>
        <v>1</v>
      </c>
      <c r="N254" s="32" t="str">
        <f>IF(Orders!W251="","None",Orders!W251)</f>
        <v>Light</v>
      </c>
      <c r="O254" s="35">
        <f>INT(Orders!E251)</f>
        <v>46277.0</v>
      </c>
      <c r="P254" s="33">
        <f>Orders!U251</f>
        <v>17</v>
      </c>
      <c r="Q254" s="33">
        <f>COUNTIFS(Demand!$A$2:$A$4481,B254,Demand!$B$2:$B$4481,O254,Demand!$C$2:$C$4481,P254)</f>
        <v>1</v>
      </c>
      <c r="R254" s="33">
        <f>IF(Q254=1,SUMIFS(Demand!$E$2:$E$4481,Demand!$A$2:$A$4481,B254,Demand!$B$2:$B$4481,O254,Demand!$C$2:$C$4481,P254),"")</f>
        <v>29</v>
      </c>
      <c r="S254" s="33">
        <f>INDEX(Stores!$G$2:$G$21,MATCH(B254,Stores!$A$2:$A$21,0))</f>
        <v>36</v>
      </c>
      <c r="T254" s="34">
        <f>IF(R254="","",R254/S254)</f>
        <v>0.805555555555556</v>
      </c>
      <c r="U254" s="34">
        <f>IF(E254=1,T254,"")</f>
        <v>0.805555555555556</v>
      </c>
      <c r="V254" s="34">
        <f>IF(AND(E254=1,L254=0),T254,"")</f>
        <v>0.805555555555556</v>
      </c>
      <c r="W254" s="33">
        <f>IF(U254="","",IF(U254&lt;=Breakdowns!$C$5,1,IF(U254&lt;=Breakdowns!$C$6,2,IF(U254&lt;=Breakdowns!$C$7,3,4))))</f>
        <v>2</v>
      </c>
      <c r="X254" s="33">
        <f>IF(V254="","",IF(V254&lt;=Breakdowns!$D$5,1,IF(V254&lt;=Breakdowns!$D$6,2,IF(V254&lt;=Breakdowns!$D$7,3,4))))</f>
        <v>2</v>
      </c>
      <c r="Y254" s="34">
        <f>INDEX(Stores!$F$2:$F$21,MATCH(B254,Stores!$A$2:$A$21,0))</f>
        <v>2.16</v>
      </c>
      <c r="Z254" s="33">
        <f>IF(Y254&gt;Store_Summary!$M$2,1,0)</f>
        <v>0</v>
      </c>
      <c r="AA254" s="33">
        <f>INDEX(Stores!$C$2:$C$21,MATCH(B254,Stores!$A$2:$A$21,0))</f>
        <v>47</v>
      </c>
      <c r="AB254" s="33">
        <f>IF(AA254&lt;180,1,0)</f>
        <v>1</v>
      </c>
      <c r="AC254" s="32" t="str">
        <f>IF(Orders!D251="","",INDEX(Riders!$C$2:$C$81,MATCH(Orders!D251,Riders!$A$2:$A$81,0)))</f>
        <v>EV scooter</v>
      </c>
      <c r="AD254" s="33">
        <f>IF(Orders!D251="","",INDEX(Riders!$D$2:$D$81,MATCH(Orders!D251,Riders!$A$2:$A$81,0)))</f>
        <v>39</v>
      </c>
      <c r="AE254" s="33">
        <f>IF(Orders!D251="","",IF(INDEX(Riders!$B$2:$B$81,MATCH(Orders!D251,Riders!$A$2:$A$81,0))=B254,1,0))</f>
        <v>0</v>
      </c>
      <c r="AF254" s="34">
        <f>IF(E254=1,Orders!L251,"")</f>
        <v>1.33</v>
      </c>
      <c r="AG254" s="34">
        <f>IF(E254=1,Orders!P251,"")</f>
        <v>12.1</v>
      </c>
      <c r="AH254" s="34">
        <f>IF(E254=1,Orders!Q251,"")</f>
        <v>11.5</v>
      </c>
      <c r="AI254" s="34">
        <f>IF(E254=1,Orders!M251,"")</f>
        <v>3.3</v>
      </c>
      <c r="AJ254" s="34">
        <f>IF(E254=1,Orders!N251,"")</f>
        <v>3.8</v>
      </c>
      <c r="AK254" s="34">
        <f>IF(E254=1,Orders!O251,"")</f>
        <v>4.4</v>
      </c>
      <c r="AL254" s="33">
        <f>IF(E254=1,IF(ROUND(ABS(AI254+AJ254+AK254-AH254),6)&lt;=0.1,1,0),"")</f>
        <v>1</v>
      </c>
      <c r="AM254" s="36">
        <f>IF(E254=1,AI254/AH254,"")</f>
        <v>0.28695652173913</v>
      </c>
      <c r="AN254" s="36">
        <f>IF(E254=1,AJ254/AH254,"")</f>
        <v>0.330434782608696</v>
      </c>
      <c r="AO254" s="36">
        <f>IF(E254=1,AK254/AH254,"")</f>
        <v>0.382608695652174</v>
      </c>
      <c r="AP254" s="34">
        <f>IF(E254=1,Orders!Y251,"")</f>
        <v>0.58</v>
      </c>
      <c r="AQ254" s="33">
        <f>IF(Orders!X251,1,0)</f>
        <v>0</v>
      </c>
      <c r="AR254" s="34" t="str">
        <f>IF(AND(E254=1,L254=1),AJ254,"")</f>
        <v/>
      </c>
      <c r="AS254" s="34">
        <f>IF(AND(E254=1,L254=0),AJ254,"")</f>
        <v>3.8</v>
      </c>
      <c r="AT254" s="34" t="str">
        <f>IF(AND(E254=1,L254=1),AI254,"")</f>
        <v/>
      </c>
      <c r="AU254" s="34">
        <f>IF(AND(E254=1,L254=0),AI254,"")</f>
        <v>3.3</v>
      </c>
      <c r="AV254" s="34" t="str">
        <f>IF(AND(E254=1,L254=1),AG254,"")</f>
        <v/>
      </c>
      <c r="AW254" s="34">
        <f>IF(AND(E254=1,L254=0),AG254,"")</f>
        <v>12.1</v>
      </c>
      <c r="AX254" s="34" t="str">
        <f>IF(AND(E254=1,L254=1),AH254,"")</f>
        <v/>
      </c>
      <c r="AY254" s="34">
        <f>IF(AND(E254=1,L254=0),AH254,"")</f>
        <v>11.5</v>
      </c>
      <c r="AZ254" s="34" t="str">
        <f>IF(G254=1,F254,"")</f>
        <v/>
      </c>
      <c r="BA254" s="34" t="str">
        <f>IF(AND(G254=1,L254=1),F254,"")</f>
        <v/>
      </c>
      <c r="BB254" s="34" t="str">
        <f>IF(AND(G254=1,L254=0),F254,"")</f>
        <v/>
      </c>
      <c r="BC254" s="33">
        <f>IF(E254=1,IF(Orders!R251&gt;3,1,0),"")</f>
        <v>0</v>
      </c>
      <c r="BD254" s="33">
        <f>IF(E254=1,IF(Orders!R251&gt;7,1,0),"")</f>
        <v>0</v>
      </c>
      <c r="BE254" s="32" t="str">
        <f>IF(E254=1,IF(Orders!L251&lt;=1.5,"Up to 1.5 km",IF(Orders!L251&lt;=3,"1.5–3 km","Over 3 km")),"")</f>
        <v>Up to 1.5 km</v>
      </c>
      <c r="BF254" s="33">
        <f>IF(E254=1,IF(ABS((Orders!G251-Orders!F251)*1440-Orders!R251)&lt;0.06,1,0),"")</f>
        <v>1</v>
      </c>
      <c r="BG254" s="33">
        <f>IF(ABS((Orders!F251-Orders!E251)*1440-Orders!P251)&lt;0.06,1,0)</f>
        <v>1</v>
      </c>
      <c r="BH254" s="33">
        <f>IF(E254=1,IF(IF(Orders!S251,1,0)=1-G254,1,0),"")</f>
        <v>1</v>
      </c>
      <c r="BI254" s="32" t="str">
        <f>INDEX(Stores!$B$2:$B$21,MATCH(B254,Stores!$A$2:$A$21,0))</f>
        <v>Hyderabad</v>
      </c>
    </row>
    <row r="255">
      <c r="A255" s="32" t="str">
        <f>Orders!A252</f>
        <v>O00251</v>
      </c>
      <c r="B255" s="32" t="str">
        <f>Orders!C252</f>
        <v>S008</v>
      </c>
      <c r="C255" s="32" t="str">
        <f>Orders!B252</f>
        <v>C0139</v>
      </c>
      <c r="D255" s="32" t="str">
        <f>Orders!H252</f>
        <v>Cancelled</v>
      </c>
      <c r="E255" s="33">
        <f>IF(Orders!H252="Delivered",1,0)</f>
        <v>0</v>
      </c>
      <c r="F255" s="34" t="str">
        <f>IF(E255=1,Orders!R252,"")</f>
        <v/>
      </c>
      <c r="G255" s="33" t="str">
        <f>IF(E255=1,IF(Orders!R252&gt;0,1,0),"")</f>
        <v/>
      </c>
      <c r="H255" s="33" t="str">
        <f>IF(E255=1,IF(Orders!R252&gt;5,1,0),"")</f>
        <v/>
      </c>
      <c r="I255" s="32" t="str">
        <f>IF(E255=1,"",IF(OR(Orders!T252="Rider unavailable",Orders!T252="Item unavailable"),"Company-caused","Unresolved"))</f>
        <v>Company-caused</v>
      </c>
      <c r="J255" s="33">
        <f>IF(OR(E255=1,I255="Company-caused"),1,0)</f>
        <v>1</v>
      </c>
      <c r="K255" s="32" t="str">
        <f>IF(E255=0,IF(I255="Company-caused",IF(Orders!T252="Rider unavailable","C1 Rider unavailable","C2 Item unavailable"),"Outside root: unresolved"),IF(G255=0,"A On time",IF(H255=1,IF(L255=1,"B2a Severe, peak","B2b Severe, off-peak"),IF(L255=1,"B1a Slight, peak","B1b Slight, off-peak"))))</f>
        <v>C1 Rider unavailable</v>
      </c>
      <c r="L255" s="33">
        <f>IF(AND(Orders!U252&gt;=19,Orders!U252&lt;22),1,0)</f>
        <v>0</v>
      </c>
      <c r="M255" s="33">
        <f>IF(L255=IF(Orders!V252,1,0),1,0)</f>
        <v>1</v>
      </c>
      <c r="N255" s="32" t="str">
        <f>IF(Orders!W252="","None",Orders!W252)</f>
        <v>None</v>
      </c>
      <c r="O255" s="35">
        <f>INT(Orders!E252)</f>
        <v>46272.0</v>
      </c>
      <c r="P255" s="33">
        <f>Orders!U252</f>
        <v>14</v>
      </c>
      <c r="Q255" s="33">
        <f>COUNTIFS(Demand!$A$2:$A$4481,B255,Demand!$B$2:$B$4481,O255,Demand!$C$2:$C$4481,P255)</f>
        <v>1</v>
      </c>
      <c r="R255" s="33">
        <f>IF(Q255=1,SUMIFS(Demand!$E$2:$E$4481,Demand!$A$2:$A$4481,B255,Demand!$B$2:$B$4481,O255,Demand!$C$2:$C$4481,P255),"")</f>
        <v>18</v>
      </c>
      <c r="S255" s="33">
        <f>INDEX(Stores!$G$2:$G$21,MATCH(B255,Stores!$A$2:$A$21,0))</f>
        <v>23</v>
      </c>
      <c r="T255" s="34">
        <f>IF(R255="","",R255/S255)</f>
        <v>0.782608695652174</v>
      </c>
      <c r="U255" s="34" t="str">
        <f>IF(E255=1,T255,"")</f>
        <v/>
      </c>
      <c r="V255" s="34" t="str">
        <f>IF(AND(E255=1,L255=0),T255,"")</f>
        <v/>
      </c>
      <c r="W255" s="33" t="str">
        <f>IF(U255="","",IF(U255&lt;=Breakdowns!$C$5,1,IF(U255&lt;=Breakdowns!$C$6,2,IF(U255&lt;=Breakdowns!$C$7,3,4))))</f>
        <v/>
      </c>
      <c r="X255" s="33" t="str">
        <f>IF(V255="","",IF(V255&lt;=Breakdowns!$D$5,1,IF(V255&lt;=Breakdowns!$D$6,2,IF(V255&lt;=Breakdowns!$D$7,3,4))))</f>
        <v/>
      </c>
      <c r="Y255" s="34">
        <f>INDEX(Stores!$F$2:$F$21,MATCH(B255,Stores!$A$2:$A$21,0))</f>
        <v>3.46</v>
      </c>
      <c r="Z255" s="33">
        <f>IF(Y255&gt;Store_Summary!$M$2,1,0)</f>
        <v>0</v>
      </c>
      <c r="AA255" s="33">
        <f>INDEX(Stores!$C$2:$C$21,MATCH(B255,Stores!$A$2:$A$21,0))</f>
        <v>825</v>
      </c>
      <c r="AB255" s="33">
        <f>IF(AA255&lt;180,1,0)</f>
        <v>0</v>
      </c>
      <c r="AC255" s="32" t="str">
        <f>IF(Orders!D252="","",INDEX(Riders!$C$2:$C$81,MATCH(Orders!D252,Riders!$A$2:$A$81,0)))</f>
        <v/>
      </c>
      <c r="AD255" s="33" t="str">
        <f>IF(Orders!D252="","",INDEX(Riders!$D$2:$D$81,MATCH(Orders!D252,Riders!$A$2:$A$81,0)))</f>
        <v/>
      </c>
      <c r="AE255" s="33" t="str">
        <f>IF(Orders!D252="","",IF(INDEX(Riders!$B$2:$B$81,MATCH(Orders!D252,Riders!$A$2:$A$81,0))=B255,1,0))</f>
        <v/>
      </c>
      <c r="AF255" s="34" t="str">
        <f>IF(E255=1,Orders!L252,"")</f>
        <v/>
      </c>
      <c r="AG255" s="34" t="str">
        <f>IF(E255=1,Orders!P252,"")</f>
        <v/>
      </c>
      <c r="AH255" s="34" t="str">
        <f>IF(E255=1,Orders!Q252,"")</f>
        <v/>
      </c>
      <c r="AI255" s="34" t="str">
        <f>IF(E255=1,Orders!M252,"")</f>
        <v/>
      </c>
      <c r="AJ255" s="34" t="str">
        <f>IF(E255=1,Orders!N252,"")</f>
        <v/>
      </c>
      <c r="AK255" s="34" t="str">
        <f>IF(E255=1,Orders!O252,"")</f>
        <v/>
      </c>
      <c r="AL255" s="33" t="str">
        <f>IF(E255=1,IF(ROUND(ABS(AI255+AJ255+AK255-AH255),6)&lt;=0.1,1,0),"")</f>
        <v/>
      </c>
      <c r="AM255" s="36" t="str">
        <f>IF(E255=1,AI255/AH255,"")</f>
        <v/>
      </c>
      <c r="AN255" s="36" t="str">
        <f>IF(E255=1,AJ255/AH255,"")</f>
        <v/>
      </c>
      <c r="AO255" s="36" t="str">
        <f>IF(E255=1,AK255/AH255,"")</f>
        <v/>
      </c>
      <c r="AP255" s="34" t="str">
        <f>IF(E255=1,Orders!Y252,"")</f>
        <v/>
      </c>
      <c r="AQ255" s="33">
        <f>IF(Orders!X252,1,0)</f>
        <v>1</v>
      </c>
      <c r="AR255" s="34" t="str">
        <f>IF(AND(E255=1,L255=1),AJ255,"")</f>
        <v/>
      </c>
      <c r="AS255" s="34" t="str">
        <f>IF(AND(E255=1,L255=0),AJ255,"")</f>
        <v/>
      </c>
      <c r="AT255" s="34" t="str">
        <f>IF(AND(E255=1,L255=1),AI255,"")</f>
        <v/>
      </c>
      <c r="AU255" s="34" t="str">
        <f>IF(AND(E255=1,L255=0),AI255,"")</f>
        <v/>
      </c>
      <c r="AV255" s="34" t="str">
        <f>IF(AND(E255=1,L255=1),AG255,"")</f>
        <v/>
      </c>
      <c r="AW255" s="34" t="str">
        <f>IF(AND(E255=1,L255=0),AG255,"")</f>
        <v/>
      </c>
      <c r="AX255" s="34" t="str">
        <f>IF(AND(E255=1,L255=1),AH255,"")</f>
        <v/>
      </c>
      <c r="AY255" s="34" t="str">
        <f>IF(AND(E255=1,L255=0),AH255,"")</f>
        <v/>
      </c>
      <c r="AZ255" s="34" t="str">
        <f>IF(G255=1,F255,"")</f>
        <v/>
      </c>
      <c r="BA255" s="34" t="str">
        <f>IF(AND(G255=1,L255=1),F255,"")</f>
        <v/>
      </c>
      <c r="BB255" s="34" t="str">
        <f>IF(AND(G255=1,L255=0),F255,"")</f>
        <v/>
      </c>
      <c r="BC255" s="33" t="str">
        <f>IF(E255=1,IF(Orders!R252&gt;3,1,0),"")</f>
        <v/>
      </c>
      <c r="BD255" s="33" t="str">
        <f>IF(E255=1,IF(Orders!R252&gt;7,1,0),"")</f>
        <v/>
      </c>
      <c r="BE255" s="32" t="str">
        <f>IF(E255=1,IF(Orders!L252&lt;=1.5,"Up to 1.5 km",IF(Orders!L252&lt;=3,"1.5–3 km","Over 3 km")),"")</f>
        <v/>
      </c>
      <c r="BF255" s="33" t="str">
        <f>IF(E255=1,IF(ABS((Orders!G252-Orders!F252)*1440-Orders!R252)&lt;0.06,1,0),"")</f>
        <v/>
      </c>
      <c r="BG255" s="33">
        <f>IF(ABS((Orders!F252-Orders!E252)*1440-Orders!P252)&lt;0.06,1,0)</f>
        <v>1</v>
      </c>
      <c r="BH255" s="33" t="str">
        <f>IF(E255=1,IF(IF(Orders!S252,1,0)=1-G255,1,0),"")</f>
        <v/>
      </c>
      <c r="BI255" s="32" t="str">
        <f>INDEX(Stores!$B$2:$B$21,MATCH(B255,Stores!$A$2:$A$21,0))</f>
        <v>Mumbai</v>
      </c>
    </row>
    <row r="256">
      <c r="A256" s="32" t="str">
        <f>Orders!A253</f>
        <v>O00252</v>
      </c>
      <c r="B256" s="32" t="str">
        <f>Orders!C253</f>
        <v>S011</v>
      </c>
      <c r="C256" s="32" t="str">
        <f>Orders!B253</f>
        <v>C0189</v>
      </c>
      <c r="D256" s="32" t="str">
        <f>Orders!H253</f>
        <v>Cancelled</v>
      </c>
      <c r="E256" s="33">
        <f>IF(Orders!H253="Delivered",1,0)</f>
        <v>0</v>
      </c>
      <c r="F256" s="34" t="str">
        <f>IF(E256=1,Orders!R253,"")</f>
        <v/>
      </c>
      <c r="G256" s="33" t="str">
        <f>IF(E256=1,IF(Orders!R253&gt;0,1,0),"")</f>
        <v/>
      </c>
      <c r="H256" s="33" t="str">
        <f>IF(E256=1,IF(Orders!R253&gt;5,1,0),"")</f>
        <v/>
      </c>
      <c r="I256" s="32" t="str">
        <f>IF(E256=1,"",IF(OR(Orders!T253="Rider unavailable",Orders!T253="Item unavailable"),"Company-caused","Unresolved"))</f>
        <v>Company-caused</v>
      </c>
      <c r="J256" s="33">
        <f>IF(OR(E256=1,I256="Company-caused"),1,0)</f>
        <v>1</v>
      </c>
      <c r="K256" s="32" t="str">
        <f>IF(E256=0,IF(I256="Company-caused",IF(Orders!T253="Rider unavailable","C1 Rider unavailable","C2 Item unavailable"),"Outside root: unresolved"),IF(G256=0,"A On time",IF(H256=1,IF(L256=1,"B2a Severe, peak","B2b Severe, off-peak"),IF(L256=1,"B1a Slight, peak","B1b Slight, off-peak"))))</f>
        <v>C2 Item unavailable</v>
      </c>
      <c r="L256" s="33">
        <f>IF(AND(Orders!U253&gt;=19,Orders!U253&lt;22),1,0)</f>
        <v>0</v>
      </c>
      <c r="M256" s="33">
        <f>IF(L256=IF(Orders!V253,1,0),1,0)</f>
        <v>1</v>
      </c>
      <c r="N256" s="32" t="str">
        <f>IF(Orders!W253="","None",Orders!W253)</f>
        <v>Light</v>
      </c>
      <c r="O256" s="35">
        <f>INT(Orders!E253)</f>
        <v>46267.0</v>
      </c>
      <c r="P256" s="33">
        <f>Orders!U253</f>
        <v>17</v>
      </c>
      <c r="Q256" s="33">
        <f>COUNTIFS(Demand!$A$2:$A$4481,B256,Demand!$B$2:$B$4481,O256,Demand!$C$2:$C$4481,P256)</f>
        <v>1</v>
      </c>
      <c r="R256" s="33">
        <f>IF(Q256=1,SUMIFS(Demand!$E$2:$E$4481,Demand!$A$2:$A$4481,B256,Demand!$B$2:$B$4481,O256,Demand!$C$2:$C$4481,P256),"")</f>
        <v>33</v>
      </c>
      <c r="S256" s="33">
        <f>INDEX(Stores!$G$2:$G$21,MATCH(B256,Stores!$A$2:$A$21,0))</f>
        <v>31</v>
      </c>
      <c r="T256" s="34">
        <f>IF(R256="","",R256/S256)</f>
        <v>1.06451612903226</v>
      </c>
      <c r="U256" s="34" t="str">
        <f>IF(E256=1,T256,"")</f>
        <v/>
      </c>
      <c r="V256" s="34" t="str">
        <f>IF(AND(E256=1,L256=0),T256,"")</f>
        <v/>
      </c>
      <c r="W256" s="33" t="str">
        <f>IF(U256="","",IF(U256&lt;=Breakdowns!$C$5,1,IF(U256&lt;=Breakdowns!$C$6,2,IF(U256&lt;=Breakdowns!$C$7,3,4))))</f>
        <v/>
      </c>
      <c r="X256" s="33" t="str">
        <f>IF(V256="","",IF(V256&lt;=Breakdowns!$D$5,1,IF(V256&lt;=Breakdowns!$D$6,2,IF(V256&lt;=Breakdowns!$D$7,3,4))))</f>
        <v/>
      </c>
      <c r="Y256" s="34">
        <f>INDEX(Stores!$F$2:$F$21,MATCH(B256,Stores!$A$2:$A$21,0))</f>
        <v>5.67</v>
      </c>
      <c r="Z256" s="33">
        <f>IF(Y256&gt;Store_Summary!$M$2,1,0)</f>
        <v>1</v>
      </c>
      <c r="AA256" s="33">
        <f>INDEX(Stores!$C$2:$C$21,MATCH(B256,Stores!$A$2:$A$21,0))</f>
        <v>732</v>
      </c>
      <c r="AB256" s="33">
        <f>IF(AA256&lt;180,1,0)</f>
        <v>0</v>
      </c>
      <c r="AC256" s="32" t="str">
        <f>IF(Orders!D253="","",INDEX(Riders!$C$2:$C$81,MATCH(Orders!D253,Riders!$A$2:$A$81,0)))</f>
        <v/>
      </c>
      <c r="AD256" s="33" t="str">
        <f>IF(Orders!D253="","",INDEX(Riders!$D$2:$D$81,MATCH(Orders!D253,Riders!$A$2:$A$81,0)))</f>
        <v/>
      </c>
      <c r="AE256" s="33" t="str">
        <f>IF(Orders!D253="","",IF(INDEX(Riders!$B$2:$B$81,MATCH(Orders!D253,Riders!$A$2:$A$81,0))=B256,1,0))</f>
        <v/>
      </c>
      <c r="AF256" s="34" t="str">
        <f>IF(E256=1,Orders!L253,"")</f>
        <v/>
      </c>
      <c r="AG256" s="34" t="str">
        <f>IF(E256=1,Orders!P253,"")</f>
        <v/>
      </c>
      <c r="AH256" s="34" t="str">
        <f>IF(E256=1,Orders!Q253,"")</f>
        <v/>
      </c>
      <c r="AI256" s="34" t="str">
        <f>IF(E256=1,Orders!M253,"")</f>
        <v/>
      </c>
      <c r="AJ256" s="34" t="str">
        <f>IF(E256=1,Orders!N253,"")</f>
        <v/>
      </c>
      <c r="AK256" s="34" t="str">
        <f>IF(E256=1,Orders!O253,"")</f>
        <v/>
      </c>
      <c r="AL256" s="33" t="str">
        <f>IF(E256=1,IF(ROUND(ABS(AI256+AJ256+AK256-AH256),6)&lt;=0.1,1,0),"")</f>
        <v/>
      </c>
      <c r="AM256" s="36" t="str">
        <f>IF(E256=1,AI256/AH256,"")</f>
        <v/>
      </c>
      <c r="AN256" s="36" t="str">
        <f>IF(E256=1,AJ256/AH256,"")</f>
        <v/>
      </c>
      <c r="AO256" s="36" t="str">
        <f>IF(E256=1,AK256/AH256,"")</f>
        <v/>
      </c>
      <c r="AP256" s="34" t="str">
        <f>IF(E256=1,Orders!Y253,"")</f>
        <v/>
      </c>
      <c r="AQ256" s="33">
        <f>IF(Orders!X253,1,0)</f>
        <v>0</v>
      </c>
      <c r="AR256" s="34" t="str">
        <f>IF(AND(E256=1,L256=1),AJ256,"")</f>
        <v/>
      </c>
      <c r="AS256" s="34" t="str">
        <f>IF(AND(E256=1,L256=0),AJ256,"")</f>
        <v/>
      </c>
      <c r="AT256" s="34" t="str">
        <f>IF(AND(E256=1,L256=1),AI256,"")</f>
        <v/>
      </c>
      <c r="AU256" s="34" t="str">
        <f>IF(AND(E256=1,L256=0),AI256,"")</f>
        <v/>
      </c>
      <c r="AV256" s="34" t="str">
        <f>IF(AND(E256=1,L256=1),AG256,"")</f>
        <v/>
      </c>
      <c r="AW256" s="34" t="str">
        <f>IF(AND(E256=1,L256=0),AG256,"")</f>
        <v/>
      </c>
      <c r="AX256" s="34" t="str">
        <f>IF(AND(E256=1,L256=1),AH256,"")</f>
        <v/>
      </c>
      <c r="AY256" s="34" t="str">
        <f>IF(AND(E256=1,L256=0),AH256,"")</f>
        <v/>
      </c>
      <c r="AZ256" s="34" t="str">
        <f>IF(G256=1,F256,"")</f>
        <v/>
      </c>
      <c r="BA256" s="34" t="str">
        <f>IF(AND(G256=1,L256=1),F256,"")</f>
        <v/>
      </c>
      <c r="BB256" s="34" t="str">
        <f>IF(AND(G256=1,L256=0),F256,"")</f>
        <v/>
      </c>
      <c r="BC256" s="33" t="str">
        <f>IF(E256=1,IF(Orders!R253&gt;3,1,0),"")</f>
        <v/>
      </c>
      <c r="BD256" s="33" t="str">
        <f>IF(E256=1,IF(Orders!R253&gt;7,1,0),"")</f>
        <v/>
      </c>
      <c r="BE256" s="32" t="str">
        <f>IF(E256=1,IF(Orders!L253&lt;=1.5,"Up to 1.5 km",IF(Orders!L253&lt;=3,"1.5–3 km","Over 3 km")),"")</f>
        <v/>
      </c>
      <c r="BF256" s="33" t="str">
        <f>IF(E256=1,IF(ABS((Orders!G253-Orders!F253)*1440-Orders!R253)&lt;0.06,1,0),"")</f>
        <v/>
      </c>
      <c r="BG256" s="33">
        <f>IF(ABS((Orders!F253-Orders!E253)*1440-Orders!P253)&lt;0.06,1,0)</f>
        <v>1</v>
      </c>
      <c r="BH256" s="33" t="str">
        <f>IF(E256=1,IF(IF(Orders!S253,1,0)=1-G256,1,0),"")</f>
        <v/>
      </c>
      <c r="BI256" s="32" t="str">
        <f>INDEX(Stores!$B$2:$B$21,MATCH(B256,Stores!$A$2:$A$21,0))</f>
        <v>Bengaluru</v>
      </c>
    </row>
    <row r="257">
      <c r="A257" s="32" t="str">
        <f>Orders!A254</f>
        <v>O00253</v>
      </c>
      <c r="B257" s="32" t="str">
        <f>Orders!C254</f>
        <v>S012</v>
      </c>
      <c r="C257" s="32" t="str">
        <f>Orders!B254</f>
        <v>C0182</v>
      </c>
      <c r="D257" s="32" t="str">
        <f>Orders!H254</f>
        <v>Delivered</v>
      </c>
      <c r="E257" s="33">
        <f>IF(Orders!H254="Delivered",1,0)</f>
        <v>1</v>
      </c>
      <c r="F257" s="34">
        <f>IF(E257=1,Orders!R254,"")</f>
        <v>9.3</v>
      </c>
      <c r="G257" s="33">
        <f>IF(E257=1,IF(Orders!R254&gt;0,1,0),"")</f>
        <v>1</v>
      </c>
      <c r="H257" s="33">
        <f>IF(E257=1,IF(Orders!R254&gt;5,1,0),"")</f>
        <v>1</v>
      </c>
      <c r="I257" s="32" t="str">
        <f>IF(E257=1,"",IF(OR(Orders!T254="Rider unavailable",Orders!T254="Item unavailable"),"Company-caused","Unresolved"))</f>
        <v/>
      </c>
      <c r="J257" s="33">
        <f>IF(OR(E257=1,I257="Company-caused"),1,0)</f>
        <v>1</v>
      </c>
      <c r="K257" s="32" t="str">
        <f>IF(E257=0,IF(I257="Company-caused",IF(Orders!T254="Rider unavailable","C1 Rider unavailable","C2 Item unavailable"),"Outside root: unresolved"),IF(G257=0,"A On time",IF(H257=1,IF(L257=1,"B2a Severe, peak","B2b Severe, off-peak"),IF(L257=1,"B1a Slight, peak","B1b Slight, off-peak"))))</f>
        <v>B2b Severe, off-peak</v>
      </c>
      <c r="L257" s="33">
        <f>IF(AND(Orders!U254&gt;=19,Orders!U254&lt;22),1,0)</f>
        <v>0</v>
      </c>
      <c r="M257" s="33">
        <f>IF(L257=IF(Orders!V254,1,0),1,0)</f>
        <v>1</v>
      </c>
      <c r="N257" s="32" t="str">
        <f>IF(Orders!W254="","None",Orders!W254)</f>
        <v>None</v>
      </c>
      <c r="O257" s="35">
        <f>INT(Orders!E254)</f>
        <v>46277.0</v>
      </c>
      <c r="P257" s="33">
        <f>Orders!U254</f>
        <v>16</v>
      </c>
      <c r="Q257" s="33">
        <f>COUNTIFS(Demand!$A$2:$A$4481,B257,Demand!$B$2:$B$4481,O257,Demand!$C$2:$C$4481,P257)</f>
        <v>1</v>
      </c>
      <c r="R257" s="33">
        <f>IF(Q257=1,SUMIFS(Demand!$E$2:$E$4481,Demand!$A$2:$A$4481,B257,Demand!$B$2:$B$4481,O257,Demand!$C$2:$C$4481,P257),"")</f>
        <v>18</v>
      </c>
      <c r="S257" s="33">
        <f>INDEX(Stores!$G$2:$G$21,MATCH(B257,Stores!$A$2:$A$21,0))</f>
        <v>15</v>
      </c>
      <c r="T257" s="34">
        <f>IF(R257="","",R257/S257)</f>
        <v>1.2</v>
      </c>
      <c r="U257" s="34">
        <f>IF(E257=1,T257,"")</f>
        <v>1.2</v>
      </c>
      <c r="V257" s="34">
        <f>IF(AND(E257=1,L257=0),T257,"")</f>
        <v>1.2</v>
      </c>
      <c r="W257" s="33">
        <f>IF(U257="","",IF(U257&lt;=Breakdowns!$C$5,1,IF(U257&lt;=Breakdowns!$C$6,2,IF(U257&lt;=Breakdowns!$C$7,3,4))))</f>
        <v>3</v>
      </c>
      <c r="X257" s="33">
        <f>IF(V257="","",IF(V257&lt;=Breakdowns!$D$5,1,IF(V257&lt;=Breakdowns!$D$6,2,IF(V257&lt;=Breakdowns!$D$7,3,4))))</f>
        <v>4</v>
      </c>
      <c r="Y257" s="34">
        <f>INDEX(Stores!$F$2:$F$21,MATCH(B257,Stores!$A$2:$A$21,0))</f>
        <v>5.23</v>
      </c>
      <c r="Z257" s="33">
        <f>IF(Y257&gt;Store_Summary!$M$2,1,0)</f>
        <v>1</v>
      </c>
      <c r="AA257" s="33">
        <f>INDEX(Stores!$C$2:$C$21,MATCH(B257,Stores!$A$2:$A$21,0))</f>
        <v>300</v>
      </c>
      <c r="AB257" s="33">
        <f>IF(AA257&lt;180,1,0)</f>
        <v>0</v>
      </c>
      <c r="AC257" s="32" t="str">
        <f>IF(Orders!D254="","",INDEX(Riders!$C$2:$C$81,MATCH(Orders!D254,Riders!$A$2:$A$81,0)))</f>
        <v>EV scooter</v>
      </c>
      <c r="AD257" s="33">
        <f>IF(Orders!D254="","",INDEX(Riders!$D$2:$D$81,MATCH(Orders!D254,Riders!$A$2:$A$81,0)))</f>
        <v>22</v>
      </c>
      <c r="AE257" s="33">
        <f>IF(Orders!D254="","",IF(INDEX(Riders!$B$2:$B$81,MATCH(Orders!D254,Riders!$A$2:$A$81,0))=B257,1,0))</f>
        <v>0</v>
      </c>
      <c r="AF257" s="34">
        <f>IF(E257=1,Orders!L254,"")</f>
        <v>4.59</v>
      </c>
      <c r="AG257" s="34">
        <f>IF(E257=1,Orders!P254,"")</f>
        <v>10.7</v>
      </c>
      <c r="AH257" s="34">
        <f>IF(E257=1,Orders!Q254,"")</f>
        <v>20</v>
      </c>
      <c r="AI257" s="34">
        <f>IF(E257=1,Orders!M254,"")</f>
        <v>6.1</v>
      </c>
      <c r="AJ257" s="34">
        <f>IF(E257=1,Orders!N254,"")</f>
        <v>2.6</v>
      </c>
      <c r="AK257" s="34">
        <f>IF(E257=1,Orders!O254,"")</f>
        <v>11.3</v>
      </c>
      <c r="AL257" s="33">
        <f>IF(E257=1,IF(ROUND(ABS(AI257+AJ257+AK257-AH257),6)&lt;=0.1,1,0),"")</f>
        <v>1</v>
      </c>
      <c r="AM257" s="36">
        <f>IF(E257=1,AI257/AH257,"")</f>
        <v>0.305</v>
      </c>
      <c r="AN257" s="36">
        <f>IF(E257=1,AJ257/AH257,"")</f>
        <v>0.13</v>
      </c>
      <c r="AO257" s="36">
        <f>IF(E257=1,AK257/AH257,"")</f>
        <v>0.565</v>
      </c>
      <c r="AP257" s="34">
        <f>IF(E257=1,Orders!Y254,"")</f>
        <v>0.91</v>
      </c>
      <c r="AQ257" s="33">
        <f>IF(Orders!X254,1,0)</f>
        <v>0</v>
      </c>
      <c r="AR257" s="34" t="str">
        <f>IF(AND(E257=1,L257=1),AJ257,"")</f>
        <v/>
      </c>
      <c r="AS257" s="34">
        <f>IF(AND(E257=1,L257=0),AJ257,"")</f>
        <v>2.6</v>
      </c>
      <c r="AT257" s="34" t="str">
        <f>IF(AND(E257=1,L257=1),AI257,"")</f>
        <v/>
      </c>
      <c r="AU257" s="34">
        <f>IF(AND(E257=1,L257=0),AI257,"")</f>
        <v>6.1</v>
      </c>
      <c r="AV257" s="34" t="str">
        <f>IF(AND(E257=1,L257=1),AG257,"")</f>
        <v/>
      </c>
      <c r="AW257" s="34">
        <f>IF(AND(E257=1,L257=0),AG257,"")</f>
        <v>10.7</v>
      </c>
      <c r="AX257" s="34" t="str">
        <f>IF(AND(E257=1,L257=1),AH257,"")</f>
        <v/>
      </c>
      <c r="AY257" s="34">
        <f>IF(AND(E257=1,L257=0),AH257,"")</f>
        <v>20</v>
      </c>
      <c r="AZ257" s="34">
        <f>IF(G257=1,F257,"")</f>
        <v>9.3</v>
      </c>
      <c r="BA257" s="34" t="str">
        <f>IF(AND(G257=1,L257=1),F257,"")</f>
        <v/>
      </c>
      <c r="BB257" s="34">
        <f>IF(AND(G257=1,L257=0),F257,"")</f>
        <v>9.3</v>
      </c>
      <c r="BC257" s="33">
        <f>IF(E257=1,IF(Orders!R254&gt;3,1,0),"")</f>
        <v>1</v>
      </c>
      <c r="BD257" s="33">
        <f>IF(E257=1,IF(Orders!R254&gt;7,1,0),"")</f>
        <v>1</v>
      </c>
      <c r="BE257" s="32" t="str">
        <f>IF(E257=1,IF(Orders!L254&lt;=1.5,"Up to 1.5 km",IF(Orders!L254&lt;=3,"1.5–3 km","Over 3 km")),"")</f>
        <v>Over 3 km</v>
      </c>
      <c r="BF257" s="33">
        <f>IF(E257=1,IF(ABS((Orders!G254-Orders!F254)*1440-Orders!R254)&lt;0.06,1,0),"")</f>
        <v>1</v>
      </c>
      <c r="BG257" s="33">
        <f>IF(ABS((Orders!F254-Orders!E254)*1440-Orders!P254)&lt;0.06,1,0)</f>
        <v>1</v>
      </c>
      <c r="BH257" s="33">
        <f>IF(E257=1,IF(IF(Orders!S254,1,0)=1-G257,1,0),"")</f>
        <v>1</v>
      </c>
      <c r="BI257" s="32" t="str">
        <f>INDEX(Stores!$B$2:$B$21,MATCH(B257,Stores!$A$2:$A$21,0))</f>
        <v>Hyderabad</v>
      </c>
    </row>
    <row r="258">
      <c r="A258" s="32" t="str">
        <f>Orders!A255</f>
        <v>O00254</v>
      </c>
      <c r="B258" s="32" t="str">
        <f>Orders!C255</f>
        <v>S016</v>
      </c>
      <c r="C258" s="32" t="str">
        <f>Orders!B255</f>
        <v>C0104</v>
      </c>
      <c r="D258" s="32" t="str">
        <f>Orders!H255</f>
        <v>Delivered</v>
      </c>
      <c r="E258" s="33">
        <f>IF(Orders!H255="Delivered",1,0)</f>
        <v>1</v>
      </c>
      <c r="F258" s="34">
        <f>IF(E258=1,Orders!R255,"")</f>
        <v>-0.6</v>
      </c>
      <c r="G258" s="33">
        <f>IF(E258=1,IF(Orders!R255&gt;0,1,0),"")</f>
        <v>0</v>
      </c>
      <c r="H258" s="33">
        <f>IF(E258=1,IF(Orders!R255&gt;5,1,0),"")</f>
        <v>0</v>
      </c>
      <c r="I258" s="32" t="str">
        <f>IF(E258=1,"",IF(OR(Orders!T255="Rider unavailable",Orders!T255="Item unavailable"),"Company-caused","Unresolved"))</f>
        <v/>
      </c>
      <c r="J258" s="33">
        <f>IF(OR(E258=1,I258="Company-caused"),1,0)</f>
        <v>1</v>
      </c>
      <c r="K258" s="32" t="str">
        <f>IF(E258=0,IF(I258="Company-caused",IF(Orders!T255="Rider unavailable","C1 Rider unavailable","C2 Item unavailable"),"Outside root: unresolved"),IF(G258=0,"A On time",IF(H258=1,IF(L258=1,"B2a Severe, peak","B2b Severe, off-peak"),IF(L258=1,"B1a Slight, peak","B1b Slight, off-peak"))))</f>
        <v>A On time</v>
      </c>
      <c r="L258" s="33">
        <f>IF(AND(Orders!U255&gt;=19,Orders!U255&lt;22),1,0)</f>
        <v>0</v>
      </c>
      <c r="M258" s="33">
        <f>IF(L258=IF(Orders!V255,1,0),1,0)</f>
        <v>1</v>
      </c>
      <c r="N258" s="32" t="str">
        <f>IF(Orders!W255="","None",Orders!W255)</f>
        <v>None</v>
      </c>
      <c r="O258" s="35">
        <f>INT(Orders!E255)</f>
        <v>46268.0</v>
      </c>
      <c r="P258" s="33">
        <f>Orders!U255</f>
        <v>9</v>
      </c>
      <c r="Q258" s="33">
        <f>COUNTIFS(Demand!$A$2:$A$4481,B258,Demand!$B$2:$B$4481,O258,Demand!$C$2:$C$4481,P258)</f>
        <v>1</v>
      </c>
      <c r="R258" s="33">
        <f>IF(Q258=1,SUMIFS(Demand!$E$2:$E$4481,Demand!$A$2:$A$4481,B258,Demand!$B$2:$B$4481,O258,Demand!$C$2:$C$4481,P258),"")</f>
        <v>18</v>
      </c>
      <c r="S258" s="33">
        <f>INDEX(Stores!$G$2:$G$21,MATCH(B258,Stores!$A$2:$A$21,0))</f>
        <v>25</v>
      </c>
      <c r="T258" s="34">
        <f>IF(R258="","",R258/S258)</f>
        <v>0.72</v>
      </c>
      <c r="U258" s="34">
        <f>IF(E258=1,T258,"")</f>
        <v>0.72</v>
      </c>
      <c r="V258" s="34">
        <f>IF(AND(E258=1,L258=0),T258,"")</f>
        <v>0.72</v>
      </c>
      <c r="W258" s="33">
        <f>IF(U258="","",IF(U258&lt;=Breakdowns!$C$5,1,IF(U258&lt;=Breakdowns!$C$6,2,IF(U258&lt;=Breakdowns!$C$7,3,4))))</f>
        <v>1</v>
      </c>
      <c r="X258" s="33">
        <f>IF(V258="","",IF(V258&lt;=Breakdowns!$D$5,1,IF(V258&lt;=Breakdowns!$D$6,2,IF(V258&lt;=Breakdowns!$D$7,3,4))))</f>
        <v>1</v>
      </c>
      <c r="Y258" s="34">
        <f>INDEX(Stores!$F$2:$F$21,MATCH(B258,Stores!$A$2:$A$21,0))</f>
        <v>5.51</v>
      </c>
      <c r="Z258" s="33">
        <f>IF(Y258&gt;Store_Summary!$M$2,1,0)</f>
        <v>1</v>
      </c>
      <c r="AA258" s="33">
        <f>INDEX(Stores!$C$2:$C$21,MATCH(B258,Stores!$A$2:$A$21,0))</f>
        <v>792</v>
      </c>
      <c r="AB258" s="33">
        <f>IF(AA258&lt;180,1,0)</f>
        <v>0</v>
      </c>
      <c r="AC258" s="32" t="str">
        <f>IF(Orders!D255="","",INDEX(Riders!$C$2:$C$81,MATCH(Orders!D255,Riders!$A$2:$A$81,0)))</f>
        <v>Bicycle</v>
      </c>
      <c r="AD258" s="33">
        <f>IF(Orders!D255="","",INDEX(Riders!$D$2:$D$81,MATCH(Orders!D255,Riders!$A$2:$A$81,0)))</f>
        <v>2</v>
      </c>
      <c r="AE258" s="33">
        <f>IF(Orders!D255="","",IF(INDEX(Riders!$B$2:$B$81,MATCH(Orders!D255,Riders!$A$2:$A$81,0))=B258,1,0))</f>
        <v>0</v>
      </c>
      <c r="AF258" s="34">
        <f>IF(E258=1,Orders!L255,"")</f>
        <v>2.45</v>
      </c>
      <c r="AG258" s="34">
        <f>IF(E258=1,Orders!P255,"")</f>
        <v>11.4</v>
      </c>
      <c r="AH258" s="34">
        <f>IF(E258=1,Orders!Q255,"")</f>
        <v>10.8</v>
      </c>
      <c r="AI258" s="34">
        <f>IF(E258=1,Orders!M255,"")</f>
        <v>4.3</v>
      </c>
      <c r="AJ258" s="34">
        <f>IF(E258=1,Orders!N255,"")</f>
        <v>2.3</v>
      </c>
      <c r="AK258" s="34">
        <f>IF(E258=1,Orders!O255,"")</f>
        <v>4.2</v>
      </c>
      <c r="AL258" s="33">
        <f>IF(E258=1,IF(ROUND(ABS(AI258+AJ258+AK258-AH258),6)&lt;=0.1,1,0),"")</f>
        <v>1</v>
      </c>
      <c r="AM258" s="36">
        <f>IF(E258=1,AI258/AH258,"")</f>
        <v>0.398148148148148</v>
      </c>
      <c r="AN258" s="36">
        <f>IF(E258=1,AJ258/AH258,"")</f>
        <v>0.212962962962963</v>
      </c>
      <c r="AO258" s="36">
        <f>IF(E258=1,AK258/AH258,"")</f>
        <v>0.388888888888889</v>
      </c>
      <c r="AP258" s="34">
        <f>IF(E258=1,Orders!Y255,"")</f>
        <v>0.31</v>
      </c>
      <c r="AQ258" s="33">
        <f>IF(Orders!X255,1,0)</f>
        <v>0</v>
      </c>
      <c r="AR258" s="34" t="str">
        <f>IF(AND(E258=1,L258=1),AJ258,"")</f>
        <v/>
      </c>
      <c r="AS258" s="34">
        <f>IF(AND(E258=1,L258=0),AJ258,"")</f>
        <v>2.3</v>
      </c>
      <c r="AT258" s="34" t="str">
        <f>IF(AND(E258=1,L258=1),AI258,"")</f>
        <v/>
      </c>
      <c r="AU258" s="34">
        <f>IF(AND(E258=1,L258=0),AI258,"")</f>
        <v>4.3</v>
      </c>
      <c r="AV258" s="34" t="str">
        <f>IF(AND(E258=1,L258=1),AG258,"")</f>
        <v/>
      </c>
      <c r="AW258" s="34">
        <f>IF(AND(E258=1,L258=0),AG258,"")</f>
        <v>11.4</v>
      </c>
      <c r="AX258" s="34" t="str">
        <f>IF(AND(E258=1,L258=1),AH258,"")</f>
        <v/>
      </c>
      <c r="AY258" s="34">
        <f>IF(AND(E258=1,L258=0),AH258,"")</f>
        <v>10.8</v>
      </c>
      <c r="AZ258" s="34" t="str">
        <f>IF(G258=1,F258,"")</f>
        <v/>
      </c>
      <c r="BA258" s="34" t="str">
        <f>IF(AND(G258=1,L258=1),F258,"")</f>
        <v/>
      </c>
      <c r="BB258" s="34" t="str">
        <f>IF(AND(G258=1,L258=0),F258,"")</f>
        <v/>
      </c>
      <c r="BC258" s="33">
        <f>IF(E258=1,IF(Orders!R255&gt;3,1,0),"")</f>
        <v>0</v>
      </c>
      <c r="BD258" s="33">
        <f>IF(E258=1,IF(Orders!R255&gt;7,1,0),"")</f>
        <v>0</v>
      </c>
      <c r="BE258" s="32" t="str">
        <f>IF(E258=1,IF(Orders!L255&lt;=1.5,"Up to 1.5 km",IF(Orders!L255&lt;=3,"1.5–3 km","Over 3 km")),"")</f>
        <v>1.5–3 km</v>
      </c>
      <c r="BF258" s="33">
        <f>IF(E258=1,IF(ABS((Orders!G255-Orders!F255)*1440-Orders!R255)&lt;0.06,1,0),"")</f>
        <v>1</v>
      </c>
      <c r="BG258" s="33">
        <f>IF(ABS((Orders!F255-Orders!E255)*1440-Orders!P255)&lt;0.06,1,0)</f>
        <v>1</v>
      </c>
      <c r="BH258" s="33">
        <f>IF(E258=1,IF(IF(Orders!S255,1,0)=1-G258,1,0),"")</f>
        <v>1</v>
      </c>
      <c r="BI258" s="32" t="str">
        <f>INDEX(Stores!$B$2:$B$21,MATCH(B258,Stores!$A$2:$A$21,0))</f>
        <v>Bengaluru</v>
      </c>
    </row>
    <row r="259">
      <c r="A259" s="32" t="str">
        <f>Orders!A256</f>
        <v>O00255</v>
      </c>
      <c r="B259" s="32" t="str">
        <f>Orders!C256</f>
        <v>S018</v>
      </c>
      <c r="C259" s="32" t="str">
        <f>Orders!B256</f>
        <v>C0075</v>
      </c>
      <c r="D259" s="32" t="str">
        <f>Orders!H256</f>
        <v>Delivered</v>
      </c>
      <c r="E259" s="33">
        <f>IF(Orders!H256="Delivered",1,0)</f>
        <v>1</v>
      </c>
      <c r="F259" s="34">
        <f>IF(E259=1,Orders!R256,"")</f>
        <v>-1.1</v>
      </c>
      <c r="G259" s="33">
        <f>IF(E259=1,IF(Orders!R256&gt;0,1,0),"")</f>
        <v>0</v>
      </c>
      <c r="H259" s="33">
        <f>IF(E259=1,IF(Orders!R256&gt;5,1,0),"")</f>
        <v>0</v>
      </c>
      <c r="I259" s="32" t="str">
        <f>IF(E259=1,"",IF(OR(Orders!T256="Rider unavailable",Orders!T256="Item unavailable"),"Company-caused","Unresolved"))</f>
        <v/>
      </c>
      <c r="J259" s="33">
        <f>IF(OR(E259=1,I259="Company-caused"),1,0)</f>
        <v>1</v>
      </c>
      <c r="K259" s="32" t="str">
        <f>IF(E259=0,IF(I259="Company-caused",IF(Orders!T256="Rider unavailable","C1 Rider unavailable","C2 Item unavailable"),"Outside root: unresolved"),IF(G259=0,"A On time",IF(H259=1,IF(L259=1,"B2a Severe, peak","B2b Severe, off-peak"),IF(L259=1,"B1a Slight, peak","B1b Slight, off-peak"))))</f>
        <v>A On time</v>
      </c>
      <c r="L259" s="33">
        <f>IF(AND(Orders!U256&gt;=19,Orders!U256&lt;22),1,0)</f>
        <v>0</v>
      </c>
      <c r="M259" s="33">
        <f>IF(L259=IF(Orders!V256,1,0),1,0)</f>
        <v>1</v>
      </c>
      <c r="N259" s="32" t="str">
        <f>IF(Orders!W256="","None",Orders!W256)</f>
        <v>None</v>
      </c>
      <c r="O259" s="35">
        <f>INT(Orders!E256)</f>
        <v>46272.0</v>
      </c>
      <c r="P259" s="33">
        <f>Orders!U256</f>
        <v>14</v>
      </c>
      <c r="Q259" s="33">
        <f>COUNTIFS(Demand!$A$2:$A$4481,B259,Demand!$B$2:$B$4481,O259,Demand!$C$2:$C$4481,P259)</f>
        <v>1</v>
      </c>
      <c r="R259" s="33">
        <f>IF(Q259=1,SUMIFS(Demand!$E$2:$E$4481,Demand!$A$2:$A$4481,B259,Demand!$B$2:$B$4481,O259,Demand!$C$2:$C$4481,P259),"")</f>
        <v>13</v>
      </c>
      <c r="S259" s="33">
        <f>INDEX(Stores!$G$2:$G$21,MATCH(B259,Stores!$A$2:$A$21,0))</f>
        <v>20</v>
      </c>
      <c r="T259" s="34">
        <f>IF(R259="","",R259/S259)</f>
        <v>0.65</v>
      </c>
      <c r="U259" s="34">
        <f>IF(E259=1,T259,"")</f>
        <v>0.65</v>
      </c>
      <c r="V259" s="34">
        <f>IF(AND(E259=1,L259=0),T259,"")</f>
        <v>0.65</v>
      </c>
      <c r="W259" s="33">
        <f>IF(U259="","",IF(U259&lt;=Breakdowns!$C$5,1,IF(U259&lt;=Breakdowns!$C$6,2,IF(U259&lt;=Breakdowns!$C$7,3,4))))</f>
        <v>1</v>
      </c>
      <c r="X259" s="33">
        <f>IF(V259="","",IF(V259&lt;=Breakdowns!$D$5,1,IF(V259&lt;=Breakdowns!$D$6,2,IF(V259&lt;=Breakdowns!$D$7,3,4))))</f>
        <v>1</v>
      </c>
      <c r="Y259" s="34">
        <f>INDEX(Stores!$F$2:$F$21,MATCH(B259,Stores!$A$2:$A$21,0))</f>
        <v>5.31</v>
      </c>
      <c r="Z259" s="33">
        <f>IF(Y259&gt;Store_Summary!$M$2,1,0)</f>
        <v>1</v>
      </c>
      <c r="AA259" s="33">
        <f>INDEX(Stores!$C$2:$C$21,MATCH(B259,Stores!$A$2:$A$21,0))</f>
        <v>214</v>
      </c>
      <c r="AB259" s="33">
        <f>IF(AA259&lt;180,1,0)</f>
        <v>0</v>
      </c>
      <c r="AC259" s="32" t="str">
        <f>IF(Orders!D256="","",INDEX(Riders!$C$2:$C$81,MATCH(Orders!D256,Riders!$A$2:$A$81,0)))</f>
        <v>EV scooter</v>
      </c>
      <c r="AD259" s="33">
        <f>IF(Orders!D256="","",INDEX(Riders!$D$2:$D$81,MATCH(Orders!D256,Riders!$A$2:$A$81,0)))</f>
        <v>2</v>
      </c>
      <c r="AE259" s="33">
        <f>IF(Orders!D256="","",IF(INDEX(Riders!$B$2:$B$81,MATCH(Orders!D256,Riders!$A$2:$A$81,0))=B259,1,0))</f>
        <v>0</v>
      </c>
      <c r="AF259" s="34">
        <f>IF(E259=1,Orders!L256,"")</f>
        <v>2.75</v>
      </c>
      <c r="AG259" s="34">
        <f>IF(E259=1,Orders!P256,"")</f>
        <v>11</v>
      </c>
      <c r="AH259" s="34">
        <f>IF(E259=1,Orders!Q256,"")</f>
        <v>9.9</v>
      </c>
      <c r="AI259" s="34">
        <f>IF(E259=1,Orders!M256,"")</f>
        <v>3.2</v>
      </c>
      <c r="AJ259" s="34">
        <f>IF(E259=1,Orders!N256,"")</f>
        <v>2.6</v>
      </c>
      <c r="AK259" s="34">
        <f>IF(E259=1,Orders!O256,"")</f>
        <v>4.1</v>
      </c>
      <c r="AL259" s="33">
        <f>IF(E259=1,IF(ROUND(ABS(AI259+AJ259+AK259-AH259),6)&lt;=0.1,1,0),"")</f>
        <v>1</v>
      </c>
      <c r="AM259" s="36">
        <f>IF(E259=1,AI259/AH259,"")</f>
        <v>0.323232323232323</v>
      </c>
      <c r="AN259" s="36">
        <f>IF(E259=1,AJ259/AH259,"")</f>
        <v>0.262626262626263</v>
      </c>
      <c r="AO259" s="36">
        <f>IF(E259=1,AK259/AH259,"")</f>
        <v>0.414141414141414</v>
      </c>
      <c r="AP259" s="34">
        <f>IF(E259=1,Orders!Y256,"")</f>
        <v>0.33</v>
      </c>
      <c r="AQ259" s="33">
        <f>IF(Orders!X256,1,0)</f>
        <v>0</v>
      </c>
      <c r="AR259" s="34" t="str">
        <f>IF(AND(E259=1,L259=1),AJ259,"")</f>
        <v/>
      </c>
      <c r="AS259" s="34">
        <f>IF(AND(E259=1,L259=0),AJ259,"")</f>
        <v>2.6</v>
      </c>
      <c r="AT259" s="34" t="str">
        <f>IF(AND(E259=1,L259=1),AI259,"")</f>
        <v/>
      </c>
      <c r="AU259" s="34">
        <f>IF(AND(E259=1,L259=0),AI259,"")</f>
        <v>3.2</v>
      </c>
      <c r="AV259" s="34" t="str">
        <f>IF(AND(E259=1,L259=1),AG259,"")</f>
        <v/>
      </c>
      <c r="AW259" s="34">
        <f>IF(AND(E259=1,L259=0),AG259,"")</f>
        <v>11</v>
      </c>
      <c r="AX259" s="34" t="str">
        <f>IF(AND(E259=1,L259=1),AH259,"")</f>
        <v/>
      </c>
      <c r="AY259" s="34">
        <f>IF(AND(E259=1,L259=0),AH259,"")</f>
        <v>9.9</v>
      </c>
      <c r="AZ259" s="34" t="str">
        <f>IF(G259=1,F259,"")</f>
        <v/>
      </c>
      <c r="BA259" s="34" t="str">
        <f>IF(AND(G259=1,L259=1),F259,"")</f>
        <v/>
      </c>
      <c r="BB259" s="34" t="str">
        <f>IF(AND(G259=1,L259=0),F259,"")</f>
        <v/>
      </c>
      <c r="BC259" s="33">
        <f>IF(E259=1,IF(Orders!R256&gt;3,1,0),"")</f>
        <v>0</v>
      </c>
      <c r="BD259" s="33">
        <f>IF(E259=1,IF(Orders!R256&gt;7,1,0),"")</f>
        <v>0</v>
      </c>
      <c r="BE259" s="32" t="str">
        <f>IF(E259=1,IF(Orders!L256&lt;=1.5,"Up to 1.5 km",IF(Orders!L256&lt;=3,"1.5–3 km","Over 3 km")),"")</f>
        <v>1.5–3 km</v>
      </c>
      <c r="BF259" s="33">
        <f>IF(E259=1,IF(ABS((Orders!G256-Orders!F256)*1440-Orders!R256)&lt;0.06,1,0),"")</f>
        <v>1</v>
      </c>
      <c r="BG259" s="33">
        <f>IF(ABS((Orders!F256-Orders!E256)*1440-Orders!P256)&lt;0.06,1,0)</f>
        <v>1</v>
      </c>
      <c r="BH259" s="33">
        <f>IF(E259=1,IF(IF(Orders!S256,1,0)=1-G259,1,0),"")</f>
        <v>1</v>
      </c>
      <c r="BI259" s="32" t="str">
        <f>INDEX(Stores!$B$2:$B$21,MATCH(B259,Stores!$A$2:$A$21,0))</f>
        <v>Mumbai</v>
      </c>
    </row>
    <row r="260">
      <c r="A260" s="32" t="str">
        <f>Orders!A257</f>
        <v>O00256</v>
      </c>
      <c r="B260" s="32" t="str">
        <f>Orders!C257</f>
        <v>S007</v>
      </c>
      <c r="C260" s="32" t="str">
        <f>Orders!B257</f>
        <v>C0175</v>
      </c>
      <c r="D260" s="32" t="str">
        <f>Orders!H257</f>
        <v>Delivered</v>
      </c>
      <c r="E260" s="33">
        <f>IF(Orders!H257="Delivered",1,0)</f>
        <v>1</v>
      </c>
      <c r="F260" s="34">
        <f>IF(E260=1,Orders!R257,"")</f>
        <v>-0.4</v>
      </c>
      <c r="G260" s="33">
        <f>IF(E260=1,IF(Orders!R257&gt;0,1,0),"")</f>
        <v>0</v>
      </c>
      <c r="H260" s="33">
        <f>IF(E260=1,IF(Orders!R257&gt;5,1,0),"")</f>
        <v>0</v>
      </c>
      <c r="I260" s="32" t="str">
        <f>IF(E260=1,"",IF(OR(Orders!T257="Rider unavailable",Orders!T257="Item unavailable"),"Company-caused","Unresolved"))</f>
        <v/>
      </c>
      <c r="J260" s="33">
        <f>IF(OR(E260=1,I260="Company-caused"),1,0)</f>
        <v>1</v>
      </c>
      <c r="K260" s="32" t="str">
        <f>IF(E260=0,IF(I260="Company-caused",IF(Orders!T257="Rider unavailable","C1 Rider unavailable","C2 Item unavailable"),"Outside root: unresolved"),IF(G260=0,"A On time",IF(H260=1,IF(L260=1,"B2a Severe, peak","B2b Severe, off-peak"),IF(L260=1,"B1a Slight, peak","B1b Slight, off-peak"))))</f>
        <v>A On time</v>
      </c>
      <c r="L260" s="33">
        <f>IF(AND(Orders!U257&gt;=19,Orders!U257&lt;22),1,0)</f>
        <v>0</v>
      </c>
      <c r="M260" s="33">
        <f>IF(L260=IF(Orders!V257,1,0),1,0)</f>
        <v>1</v>
      </c>
      <c r="N260" s="32" t="str">
        <f>IF(Orders!W257="","None",Orders!W257)</f>
        <v>None</v>
      </c>
      <c r="O260" s="35">
        <f>INT(Orders!E257)</f>
        <v>46272.0</v>
      </c>
      <c r="P260" s="33">
        <f>Orders!U257</f>
        <v>18</v>
      </c>
      <c r="Q260" s="33">
        <f>COUNTIFS(Demand!$A$2:$A$4481,B260,Demand!$B$2:$B$4481,O260,Demand!$C$2:$C$4481,P260)</f>
        <v>1</v>
      </c>
      <c r="R260" s="33">
        <f>IF(Q260=1,SUMIFS(Demand!$E$2:$E$4481,Demand!$A$2:$A$4481,B260,Demand!$B$2:$B$4481,O260,Demand!$C$2:$C$4481,P260),"")</f>
        <v>32</v>
      </c>
      <c r="S260" s="33">
        <f>INDEX(Stores!$G$2:$G$21,MATCH(B260,Stores!$A$2:$A$21,0))</f>
        <v>37</v>
      </c>
      <c r="T260" s="34">
        <f>IF(R260="","",R260/S260)</f>
        <v>0.864864864864865</v>
      </c>
      <c r="U260" s="34">
        <f>IF(E260=1,T260,"")</f>
        <v>0.864864864864865</v>
      </c>
      <c r="V260" s="34">
        <f>IF(AND(E260=1,L260=0),T260,"")</f>
        <v>0.864864864864865</v>
      </c>
      <c r="W260" s="33">
        <f>IF(U260="","",IF(U260&lt;=Breakdowns!$C$5,1,IF(U260&lt;=Breakdowns!$C$6,2,IF(U260&lt;=Breakdowns!$C$7,3,4))))</f>
        <v>2</v>
      </c>
      <c r="X260" s="33">
        <f>IF(V260="","",IF(V260&lt;=Breakdowns!$D$5,1,IF(V260&lt;=Breakdowns!$D$6,2,IF(V260&lt;=Breakdowns!$D$7,3,4))))</f>
        <v>2</v>
      </c>
      <c r="Y260" s="34">
        <f>INDEX(Stores!$F$2:$F$21,MATCH(B260,Stores!$A$2:$A$21,0))</f>
        <v>4.05</v>
      </c>
      <c r="Z260" s="33">
        <f>IF(Y260&gt;Store_Summary!$M$2,1,0)</f>
        <v>0</v>
      </c>
      <c r="AA260" s="33">
        <f>INDEX(Stores!$C$2:$C$21,MATCH(B260,Stores!$A$2:$A$21,0))</f>
        <v>661</v>
      </c>
      <c r="AB260" s="33">
        <f>IF(AA260&lt;180,1,0)</f>
        <v>0</v>
      </c>
      <c r="AC260" s="32" t="str">
        <f>IF(Orders!D257="","",INDEX(Riders!$C$2:$C$81,MATCH(Orders!D257,Riders!$A$2:$A$81,0)))</f>
        <v>Petrol scooter</v>
      </c>
      <c r="AD260" s="33">
        <f>IF(Orders!D257="","",INDEX(Riders!$D$2:$D$81,MATCH(Orders!D257,Riders!$A$2:$A$81,0)))</f>
        <v>44</v>
      </c>
      <c r="AE260" s="33">
        <f>IF(Orders!D257="","",IF(INDEX(Riders!$B$2:$B$81,MATCH(Orders!D257,Riders!$A$2:$A$81,0))=B260,1,0))</f>
        <v>0</v>
      </c>
      <c r="AF260" s="34">
        <f>IF(E260=1,Orders!L257,"")</f>
        <v>3.56</v>
      </c>
      <c r="AG260" s="34">
        <f>IF(E260=1,Orders!P257,"")</f>
        <v>11.9</v>
      </c>
      <c r="AH260" s="34">
        <f>IF(E260=1,Orders!Q257,"")</f>
        <v>11.5</v>
      </c>
      <c r="AI260" s="34">
        <f>IF(E260=1,Orders!M257,"")</f>
        <v>2.8</v>
      </c>
      <c r="AJ260" s="34">
        <f>IF(E260=1,Orders!N257,"")</f>
        <v>3.1</v>
      </c>
      <c r="AK260" s="34">
        <f>IF(E260=1,Orders!O257,"")</f>
        <v>5.6</v>
      </c>
      <c r="AL260" s="33">
        <f>IF(E260=1,IF(ROUND(ABS(AI260+AJ260+AK260-AH260),6)&lt;=0.1,1,0),"")</f>
        <v>1</v>
      </c>
      <c r="AM260" s="36">
        <f>IF(E260=1,AI260/AH260,"")</f>
        <v>0.243478260869565</v>
      </c>
      <c r="AN260" s="36">
        <f>IF(E260=1,AJ260/AH260,"")</f>
        <v>0.269565217391304</v>
      </c>
      <c r="AO260" s="36">
        <f>IF(E260=1,AK260/AH260,"")</f>
        <v>0.48695652173913</v>
      </c>
      <c r="AP260" s="34">
        <f>IF(E260=1,Orders!Y257,"")</f>
        <v>0.29</v>
      </c>
      <c r="AQ260" s="33">
        <f>IF(Orders!X257,1,0)</f>
        <v>0</v>
      </c>
      <c r="AR260" s="34" t="str">
        <f>IF(AND(E260=1,L260=1),AJ260,"")</f>
        <v/>
      </c>
      <c r="AS260" s="34">
        <f>IF(AND(E260=1,L260=0),AJ260,"")</f>
        <v>3.1</v>
      </c>
      <c r="AT260" s="34" t="str">
        <f>IF(AND(E260=1,L260=1),AI260,"")</f>
        <v/>
      </c>
      <c r="AU260" s="34">
        <f>IF(AND(E260=1,L260=0),AI260,"")</f>
        <v>2.8</v>
      </c>
      <c r="AV260" s="34" t="str">
        <f>IF(AND(E260=1,L260=1),AG260,"")</f>
        <v/>
      </c>
      <c r="AW260" s="34">
        <f>IF(AND(E260=1,L260=0),AG260,"")</f>
        <v>11.9</v>
      </c>
      <c r="AX260" s="34" t="str">
        <f>IF(AND(E260=1,L260=1),AH260,"")</f>
        <v/>
      </c>
      <c r="AY260" s="34">
        <f>IF(AND(E260=1,L260=0),AH260,"")</f>
        <v>11.5</v>
      </c>
      <c r="AZ260" s="34" t="str">
        <f>IF(G260=1,F260,"")</f>
        <v/>
      </c>
      <c r="BA260" s="34" t="str">
        <f>IF(AND(G260=1,L260=1),F260,"")</f>
        <v/>
      </c>
      <c r="BB260" s="34" t="str">
        <f>IF(AND(G260=1,L260=0),F260,"")</f>
        <v/>
      </c>
      <c r="BC260" s="33">
        <f>IF(E260=1,IF(Orders!R257&gt;3,1,0),"")</f>
        <v>0</v>
      </c>
      <c r="BD260" s="33">
        <f>IF(E260=1,IF(Orders!R257&gt;7,1,0),"")</f>
        <v>0</v>
      </c>
      <c r="BE260" s="32" t="str">
        <f>IF(E260=1,IF(Orders!L257&lt;=1.5,"Up to 1.5 km",IF(Orders!L257&lt;=3,"1.5–3 km","Over 3 km")),"")</f>
        <v>Over 3 km</v>
      </c>
      <c r="BF260" s="33">
        <f>IF(E260=1,IF(ABS((Orders!G257-Orders!F257)*1440-Orders!R257)&lt;0.06,1,0),"")</f>
        <v>1</v>
      </c>
      <c r="BG260" s="33">
        <f>IF(ABS((Orders!F257-Orders!E257)*1440-Orders!P257)&lt;0.06,1,0)</f>
        <v>1</v>
      </c>
      <c r="BH260" s="33">
        <f>IF(E260=1,IF(IF(Orders!S257,1,0)=1-G260,1,0),"")</f>
        <v>1</v>
      </c>
      <c r="BI260" s="32" t="str">
        <f>INDEX(Stores!$B$2:$B$21,MATCH(B260,Stores!$A$2:$A$21,0))</f>
        <v>Hyderabad</v>
      </c>
    </row>
    <row r="261">
      <c r="A261" s="32" t="str">
        <f>Orders!A258</f>
        <v>O00257</v>
      </c>
      <c r="B261" s="32" t="str">
        <f>Orders!C258</f>
        <v>S007</v>
      </c>
      <c r="C261" s="32" t="str">
        <f>Orders!B258</f>
        <v>C0074</v>
      </c>
      <c r="D261" s="32" t="str">
        <f>Orders!H258</f>
        <v>Delivered</v>
      </c>
      <c r="E261" s="33">
        <f>IF(Orders!H258="Delivered",1,0)</f>
        <v>1</v>
      </c>
      <c r="F261" s="34">
        <f>IF(E261=1,Orders!R258,"")</f>
        <v>-0.6</v>
      </c>
      <c r="G261" s="33">
        <f>IF(E261=1,IF(Orders!R258&gt;0,1,0),"")</f>
        <v>0</v>
      </c>
      <c r="H261" s="33">
        <f>IF(E261=1,IF(Orders!R258&gt;5,1,0),"")</f>
        <v>0</v>
      </c>
      <c r="I261" s="32" t="str">
        <f>IF(E261=1,"",IF(OR(Orders!T258="Rider unavailable",Orders!T258="Item unavailable"),"Company-caused","Unresolved"))</f>
        <v/>
      </c>
      <c r="J261" s="33">
        <f>IF(OR(E261=1,I261="Company-caused"),1,0)</f>
        <v>1</v>
      </c>
      <c r="K261" s="32" t="str">
        <f>IF(E261=0,IF(I261="Company-caused",IF(Orders!T258="Rider unavailable","C1 Rider unavailable","C2 Item unavailable"),"Outside root: unresolved"),IF(G261=0,"A On time",IF(H261=1,IF(L261=1,"B2a Severe, peak","B2b Severe, off-peak"),IF(L261=1,"B1a Slight, peak","B1b Slight, off-peak"))))</f>
        <v>A On time</v>
      </c>
      <c r="L261" s="33">
        <f>IF(AND(Orders!U258&gt;=19,Orders!U258&lt;22),1,0)</f>
        <v>0</v>
      </c>
      <c r="M261" s="33">
        <f>IF(L261=IF(Orders!V258,1,0),1,0)</f>
        <v>1</v>
      </c>
      <c r="N261" s="32" t="str">
        <f>IF(Orders!W258="","None",Orders!W258)</f>
        <v>None</v>
      </c>
      <c r="O261" s="35">
        <f>INT(Orders!E258)</f>
        <v>46269.0</v>
      </c>
      <c r="P261" s="33">
        <f>Orders!U258</f>
        <v>13</v>
      </c>
      <c r="Q261" s="33">
        <f>COUNTIFS(Demand!$A$2:$A$4481,B261,Demand!$B$2:$B$4481,O261,Demand!$C$2:$C$4481,P261)</f>
        <v>1</v>
      </c>
      <c r="R261" s="33">
        <f>IF(Q261=1,SUMIFS(Demand!$E$2:$E$4481,Demand!$A$2:$A$4481,B261,Demand!$B$2:$B$4481,O261,Demand!$C$2:$C$4481,P261),"")</f>
        <v>42</v>
      </c>
      <c r="S261" s="33">
        <f>INDEX(Stores!$G$2:$G$21,MATCH(B261,Stores!$A$2:$A$21,0))</f>
        <v>37</v>
      </c>
      <c r="T261" s="34">
        <f>IF(R261="","",R261/S261)</f>
        <v>1.13513513513514</v>
      </c>
      <c r="U261" s="34">
        <f>IF(E261=1,T261,"")</f>
        <v>1.13513513513514</v>
      </c>
      <c r="V261" s="34">
        <f>IF(AND(E261=1,L261=0),T261,"")</f>
        <v>1.13513513513514</v>
      </c>
      <c r="W261" s="33">
        <f>IF(U261="","",IF(U261&lt;=Breakdowns!$C$5,1,IF(U261&lt;=Breakdowns!$C$6,2,IF(U261&lt;=Breakdowns!$C$7,3,4))))</f>
        <v>3</v>
      </c>
      <c r="X261" s="33">
        <f>IF(V261="","",IF(V261&lt;=Breakdowns!$D$5,1,IF(V261&lt;=Breakdowns!$D$6,2,IF(V261&lt;=Breakdowns!$D$7,3,4))))</f>
        <v>4</v>
      </c>
      <c r="Y261" s="34">
        <f>INDEX(Stores!$F$2:$F$21,MATCH(B261,Stores!$A$2:$A$21,0))</f>
        <v>4.05</v>
      </c>
      <c r="Z261" s="33">
        <f>IF(Y261&gt;Store_Summary!$M$2,1,0)</f>
        <v>0</v>
      </c>
      <c r="AA261" s="33">
        <f>INDEX(Stores!$C$2:$C$21,MATCH(B261,Stores!$A$2:$A$21,0))</f>
        <v>661</v>
      </c>
      <c r="AB261" s="33">
        <f>IF(AA261&lt;180,1,0)</f>
        <v>0</v>
      </c>
      <c r="AC261" s="32" t="str">
        <f>IF(Orders!D258="","",INDEX(Riders!$C$2:$C$81,MATCH(Orders!D258,Riders!$A$2:$A$81,0)))</f>
        <v>EV scooter</v>
      </c>
      <c r="AD261" s="33">
        <f>IF(Orders!D258="","",INDEX(Riders!$D$2:$D$81,MATCH(Orders!D258,Riders!$A$2:$A$81,0)))</f>
        <v>4</v>
      </c>
      <c r="AE261" s="33">
        <f>IF(Orders!D258="","",IF(INDEX(Riders!$B$2:$B$81,MATCH(Orders!D258,Riders!$A$2:$A$81,0))=B261,1,0))</f>
        <v>0</v>
      </c>
      <c r="AF261" s="34">
        <f>IF(E261=1,Orders!L258,"")</f>
        <v>0.99</v>
      </c>
      <c r="AG261" s="34">
        <f>IF(E261=1,Orders!P258,"")</f>
        <v>9.3</v>
      </c>
      <c r="AH261" s="34">
        <f>IF(E261=1,Orders!Q258,"")</f>
        <v>8.7</v>
      </c>
      <c r="AI261" s="34">
        <f>IF(E261=1,Orders!M258,"")</f>
        <v>3</v>
      </c>
      <c r="AJ261" s="34">
        <f>IF(E261=1,Orders!N258,"")</f>
        <v>3.3</v>
      </c>
      <c r="AK261" s="34">
        <f>IF(E261=1,Orders!O258,"")</f>
        <v>2.4</v>
      </c>
      <c r="AL261" s="33">
        <f>IF(E261=1,IF(ROUND(ABS(AI261+AJ261+AK261-AH261),6)&lt;=0.1,1,0),"")</f>
        <v>1</v>
      </c>
      <c r="AM261" s="36">
        <f>IF(E261=1,AI261/AH261,"")</f>
        <v>0.344827586206897</v>
      </c>
      <c r="AN261" s="36">
        <f>IF(E261=1,AJ261/AH261,"")</f>
        <v>0.379310344827586</v>
      </c>
      <c r="AO261" s="36">
        <f>IF(E261=1,AK261/AH261,"")</f>
        <v>0.275862068965517</v>
      </c>
      <c r="AP261" s="34">
        <f>IF(E261=1,Orders!Y258,"")</f>
        <v>0.69</v>
      </c>
      <c r="AQ261" s="33">
        <f>IF(Orders!X258,1,0)</f>
        <v>0</v>
      </c>
      <c r="AR261" s="34" t="str">
        <f>IF(AND(E261=1,L261=1),AJ261,"")</f>
        <v/>
      </c>
      <c r="AS261" s="34">
        <f>IF(AND(E261=1,L261=0),AJ261,"")</f>
        <v>3.3</v>
      </c>
      <c r="AT261" s="34" t="str">
        <f>IF(AND(E261=1,L261=1),AI261,"")</f>
        <v/>
      </c>
      <c r="AU261" s="34">
        <f>IF(AND(E261=1,L261=0),AI261,"")</f>
        <v>3</v>
      </c>
      <c r="AV261" s="34" t="str">
        <f>IF(AND(E261=1,L261=1),AG261,"")</f>
        <v/>
      </c>
      <c r="AW261" s="34">
        <f>IF(AND(E261=1,L261=0),AG261,"")</f>
        <v>9.3</v>
      </c>
      <c r="AX261" s="34" t="str">
        <f>IF(AND(E261=1,L261=1),AH261,"")</f>
        <v/>
      </c>
      <c r="AY261" s="34">
        <f>IF(AND(E261=1,L261=0),AH261,"")</f>
        <v>8.7</v>
      </c>
      <c r="AZ261" s="34" t="str">
        <f>IF(G261=1,F261,"")</f>
        <v/>
      </c>
      <c r="BA261" s="34" t="str">
        <f>IF(AND(G261=1,L261=1),F261,"")</f>
        <v/>
      </c>
      <c r="BB261" s="34" t="str">
        <f>IF(AND(G261=1,L261=0),F261,"")</f>
        <v/>
      </c>
      <c r="BC261" s="33">
        <f>IF(E261=1,IF(Orders!R258&gt;3,1,0),"")</f>
        <v>0</v>
      </c>
      <c r="BD261" s="33">
        <f>IF(E261=1,IF(Orders!R258&gt;7,1,0),"")</f>
        <v>0</v>
      </c>
      <c r="BE261" s="32" t="str">
        <f>IF(E261=1,IF(Orders!L258&lt;=1.5,"Up to 1.5 km",IF(Orders!L258&lt;=3,"1.5–3 km","Over 3 km")),"")</f>
        <v>Up to 1.5 km</v>
      </c>
      <c r="BF261" s="33">
        <f>IF(E261=1,IF(ABS((Orders!G258-Orders!F258)*1440-Orders!R258)&lt;0.06,1,0),"")</f>
        <v>1</v>
      </c>
      <c r="BG261" s="33">
        <f>IF(ABS((Orders!F258-Orders!E258)*1440-Orders!P258)&lt;0.06,1,0)</f>
        <v>1</v>
      </c>
      <c r="BH261" s="33">
        <f>IF(E261=1,IF(IF(Orders!S258,1,0)=1-G261,1,0),"")</f>
        <v>1</v>
      </c>
      <c r="BI261" s="32" t="str">
        <f>INDEX(Stores!$B$2:$B$21,MATCH(B261,Stores!$A$2:$A$21,0))</f>
        <v>Hyderabad</v>
      </c>
    </row>
    <row r="262">
      <c r="A262" s="32" t="str">
        <f>Orders!A259</f>
        <v>O00258</v>
      </c>
      <c r="B262" s="32" t="str">
        <f>Orders!C259</f>
        <v>S002</v>
      </c>
      <c r="C262" s="32" t="str">
        <f>Orders!B259</f>
        <v>C0117</v>
      </c>
      <c r="D262" s="32" t="str">
        <f>Orders!H259</f>
        <v>Delivered</v>
      </c>
      <c r="E262" s="33">
        <f>IF(Orders!H259="Delivered",1,0)</f>
        <v>1</v>
      </c>
      <c r="F262" s="34">
        <f>IF(E262=1,Orders!R259,"")</f>
        <v>15.5</v>
      </c>
      <c r="G262" s="33">
        <f>IF(E262=1,IF(Orders!R259&gt;0,1,0),"")</f>
        <v>1</v>
      </c>
      <c r="H262" s="33">
        <f>IF(E262=1,IF(Orders!R259&gt;5,1,0),"")</f>
        <v>1</v>
      </c>
      <c r="I262" s="32" t="str">
        <f>IF(E262=1,"",IF(OR(Orders!T259="Rider unavailable",Orders!T259="Item unavailable"),"Company-caused","Unresolved"))</f>
        <v/>
      </c>
      <c r="J262" s="33">
        <f>IF(OR(E262=1,I262="Company-caused"),1,0)</f>
        <v>1</v>
      </c>
      <c r="K262" s="32" t="str">
        <f>IF(E262=0,IF(I262="Company-caused",IF(Orders!T259="Rider unavailable","C1 Rider unavailable","C2 Item unavailable"),"Outside root: unresolved"),IF(G262=0,"A On time",IF(H262=1,IF(L262=1,"B2a Severe, peak","B2b Severe, off-peak"),IF(L262=1,"B1a Slight, peak","B1b Slight, off-peak"))))</f>
        <v>B2a Severe, peak</v>
      </c>
      <c r="L262" s="33">
        <f>IF(AND(Orders!U259&gt;=19,Orders!U259&lt;22),1,0)</f>
        <v>1</v>
      </c>
      <c r="M262" s="33">
        <f>IF(L262=IF(Orders!V259,1,0),1,0)</f>
        <v>1</v>
      </c>
      <c r="N262" s="32" t="str">
        <f>IF(Orders!W259="","None",Orders!W259)</f>
        <v>None</v>
      </c>
      <c r="O262" s="35">
        <f>INT(Orders!E259)</f>
        <v>46274.0</v>
      </c>
      <c r="P262" s="33">
        <f>Orders!U259</f>
        <v>21</v>
      </c>
      <c r="Q262" s="33">
        <f>COUNTIFS(Demand!$A$2:$A$4481,B262,Demand!$B$2:$B$4481,O262,Demand!$C$2:$C$4481,P262)</f>
        <v>1</v>
      </c>
      <c r="R262" s="33">
        <f>IF(Q262=1,SUMIFS(Demand!$E$2:$E$4481,Demand!$A$2:$A$4481,B262,Demand!$B$2:$B$4481,O262,Demand!$C$2:$C$4481,P262),"")</f>
        <v>51</v>
      </c>
      <c r="S262" s="33">
        <f>INDEX(Stores!$G$2:$G$21,MATCH(B262,Stores!$A$2:$A$21,0))</f>
        <v>33</v>
      </c>
      <c r="T262" s="34">
        <f>IF(R262="","",R262/S262)</f>
        <v>1.54545454545455</v>
      </c>
      <c r="U262" s="34">
        <f>IF(E262=1,T262,"")</f>
        <v>1.54545454545455</v>
      </c>
      <c r="V262" s="34" t="str">
        <f>IF(AND(E262=1,L262=0),T262,"")</f>
        <v/>
      </c>
      <c r="W262" s="33">
        <f>IF(U262="","",IF(U262&lt;=Breakdowns!$C$5,1,IF(U262&lt;=Breakdowns!$C$6,2,IF(U262&lt;=Breakdowns!$C$7,3,4))))</f>
        <v>4</v>
      </c>
      <c r="X262" s="33" t="str">
        <f>IF(V262="","",IF(V262&lt;=Breakdowns!$D$5,1,IF(V262&lt;=Breakdowns!$D$6,2,IF(V262&lt;=Breakdowns!$D$7,3,4))))</f>
        <v/>
      </c>
      <c r="Y262" s="34">
        <f>INDEX(Stores!$F$2:$F$21,MATCH(B262,Stores!$A$2:$A$21,0))</f>
        <v>2.39</v>
      </c>
      <c r="Z262" s="33">
        <f>IF(Y262&gt;Store_Summary!$M$2,1,0)</f>
        <v>0</v>
      </c>
      <c r="AA262" s="33">
        <f>INDEX(Stores!$C$2:$C$21,MATCH(B262,Stores!$A$2:$A$21,0))</f>
        <v>470</v>
      </c>
      <c r="AB262" s="33">
        <f>IF(AA262&lt;180,1,0)</f>
        <v>0</v>
      </c>
      <c r="AC262" s="32" t="str">
        <f>IF(Orders!D259="","",INDEX(Riders!$C$2:$C$81,MATCH(Orders!D259,Riders!$A$2:$A$81,0)))</f>
        <v>EV scooter</v>
      </c>
      <c r="AD262" s="33">
        <f>IF(Orders!D259="","",INDEX(Riders!$D$2:$D$81,MATCH(Orders!D259,Riders!$A$2:$A$81,0)))</f>
        <v>10</v>
      </c>
      <c r="AE262" s="33">
        <f>IF(Orders!D259="","",IF(INDEX(Riders!$B$2:$B$81,MATCH(Orders!D259,Riders!$A$2:$A$81,0))=B262,1,0))</f>
        <v>0</v>
      </c>
      <c r="AF262" s="34">
        <f>IF(E262=1,Orders!L259,"")</f>
        <v>5</v>
      </c>
      <c r="AG262" s="34">
        <f>IF(E262=1,Orders!P259,"")</f>
        <v>9.9</v>
      </c>
      <c r="AH262" s="34">
        <f>IF(E262=1,Orders!Q259,"")</f>
        <v>25.4</v>
      </c>
      <c r="AI262" s="34">
        <f>IF(E262=1,Orders!M259,"")</f>
        <v>2.8</v>
      </c>
      <c r="AJ262" s="34">
        <f>IF(E262=1,Orders!N259,"")</f>
        <v>10.3</v>
      </c>
      <c r="AK262" s="34">
        <f>IF(E262=1,Orders!O259,"")</f>
        <v>12.3</v>
      </c>
      <c r="AL262" s="33">
        <f>IF(E262=1,IF(ROUND(ABS(AI262+AJ262+AK262-AH262),6)&lt;=0.1,1,0),"")</f>
        <v>1</v>
      </c>
      <c r="AM262" s="36">
        <f>IF(E262=1,AI262/AH262,"")</f>
        <v>0.110236220472441</v>
      </c>
      <c r="AN262" s="36">
        <f>IF(E262=1,AJ262/AH262,"")</f>
        <v>0.405511811023622</v>
      </c>
      <c r="AO262" s="36">
        <f>IF(E262=1,AK262/AH262,"")</f>
        <v>0.484251968503937</v>
      </c>
      <c r="AP262" s="34">
        <f>IF(E262=1,Orders!Y259,"")</f>
        <v>0.5</v>
      </c>
      <c r="AQ262" s="33">
        <f>IF(Orders!X259,1,0)</f>
        <v>0</v>
      </c>
      <c r="AR262" s="34">
        <f>IF(AND(E262=1,L262=1),AJ262,"")</f>
        <v>10.3</v>
      </c>
      <c r="AS262" s="34" t="str">
        <f>IF(AND(E262=1,L262=0),AJ262,"")</f>
        <v/>
      </c>
      <c r="AT262" s="34">
        <f>IF(AND(E262=1,L262=1),AI262,"")</f>
        <v>2.8</v>
      </c>
      <c r="AU262" s="34" t="str">
        <f>IF(AND(E262=1,L262=0),AI262,"")</f>
        <v/>
      </c>
      <c r="AV262" s="34">
        <f>IF(AND(E262=1,L262=1),AG262,"")</f>
        <v>9.9</v>
      </c>
      <c r="AW262" s="34" t="str">
        <f>IF(AND(E262=1,L262=0),AG262,"")</f>
        <v/>
      </c>
      <c r="AX262" s="34">
        <f>IF(AND(E262=1,L262=1),AH262,"")</f>
        <v>25.4</v>
      </c>
      <c r="AY262" s="34" t="str">
        <f>IF(AND(E262=1,L262=0),AH262,"")</f>
        <v/>
      </c>
      <c r="AZ262" s="34">
        <f>IF(G262=1,F262,"")</f>
        <v>15.5</v>
      </c>
      <c r="BA262" s="34">
        <f>IF(AND(G262=1,L262=1),F262,"")</f>
        <v>15.5</v>
      </c>
      <c r="BB262" s="34" t="str">
        <f>IF(AND(G262=1,L262=0),F262,"")</f>
        <v/>
      </c>
      <c r="BC262" s="33">
        <f>IF(E262=1,IF(Orders!R259&gt;3,1,0),"")</f>
        <v>1</v>
      </c>
      <c r="BD262" s="33">
        <f>IF(E262=1,IF(Orders!R259&gt;7,1,0),"")</f>
        <v>1</v>
      </c>
      <c r="BE262" s="32" t="str">
        <f>IF(E262=1,IF(Orders!L259&lt;=1.5,"Up to 1.5 km",IF(Orders!L259&lt;=3,"1.5–3 km","Over 3 km")),"")</f>
        <v>Over 3 km</v>
      </c>
      <c r="BF262" s="33">
        <f>IF(E262=1,IF(ABS((Orders!G259-Orders!F259)*1440-Orders!R259)&lt;0.06,1,0),"")</f>
        <v>1</v>
      </c>
      <c r="BG262" s="33">
        <f>IF(ABS((Orders!F259-Orders!E259)*1440-Orders!P259)&lt;0.06,1,0)</f>
        <v>1</v>
      </c>
      <c r="BH262" s="33">
        <f>IF(E262=1,IF(IF(Orders!S259,1,0)=1-G262,1,0),"")</f>
        <v>1</v>
      </c>
      <c r="BI262" s="32" t="str">
        <f>INDEX(Stores!$B$2:$B$21,MATCH(B262,Stores!$A$2:$A$21,0))</f>
        <v>Hyderabad</v>
      </c>
    </row>
    <row r="263">
      <c r="A263" s="32" t="str">
        <f>Orders!A260</f>
        <v>O00259</v>
      </c>
      <c r="B263" s="32" t="str">
        <f>Orders!C260</f>
        <v>S013</v>
      </c>
      <c r="C263" s="32" t="str">
        <f>Orders!B260</f>
        <v>C0078</v>
      </c>
      <c r="D263" s="32" t="str">
        <f>Orders!H260</f>
        <v>Delivered</v>
      </c>
      <c r="E263" s="33">
        <f>IF(Orders!H260="Delivered",1,0)</f>
        <v>1</v>
      </c>
      <c r="F263" s="34">
        <f>IF(E263=1,Orders!R260,"")</f>
        <v>-1.2</v>
      </c>
      <c r="G263" s="33">
        <f>IF(E263=1,IF(Orders!R260&gt;0,1,0),"")</f>
        <v>0</v>
      </c>
      <c r="H263" s="33">
        <f>IF(E263=1,IF(Orders!R260&gt;5,1,0),"")</f>
        <v>0</v>
      </c>
      <c r="I263" s="32" t="str">
        <f>IF(E263=1,"",IF(OR(Orders!T260="Rider unavailable",Orders!T260="Item unavailable"),"Company-caused","Unresolved"))</f>
        <v/>
      </c>
      <c r="J263" s="33">
        <f>IF(OR(E263=1,I263="Company-caused"),1,0)</f>
        <v>1</v>
      </c>
      <c r="K263" s="32" t="str">
        <f>IF(E263=0,IF(I263="Company-caused",IF(Orders!T260="Rider unavailable","C1 Rider unavailable","C2 Item unavailable"),"Outside root: unresolved"),IF(G263=0,"A On time",IF(H263=1,IF(L263=1,"B2a Severe, peak","B2b Severe, off-peak"),IF(L263=1,"B1a Slight, peak","B1b Slight, off-peak"))))</f>
        <v>A On time</v>
      </c>
      <c r="L263" s="33">
        <f>IF(AND(Orders!U260&gt;=19,Orders!U260&lt;22),1,0)</f>
        <v>0</v>
      </c>
      <c r="M263" s="33">
        <f>IF(L263=IF(Orders!V260,1,0),1,0)</f>
        <v>1</v>
      </c>
      <c r="N263" s="32" t="str">
        <f>IF(Orders!W260="","None",Orders!W260)</f>
        <v>None</v>
      </c>
      <c r="O263" s="35">
        <f>INT(Orders!E260)</f>
        <v>46271.0</v>
      </c>
      <c r="P263" s="33">
        <f>Orders!U260</f>
        <v>13</v>
      </c>
      <c r="Q263" s="33">
        <f>COUNTIFS(Demand!$A$2:$A$4481,B263,Demand!$B$2:$B$4481,O263,Demand!$C$2:$C$4481,P263)</f>
        <v>1</v>
      </c>
      <c r="R263" s="33">
        <f>IF(Q263=1,SUMIFS(Demand!$E$2:$E$4481,Demand!$A$2:$A$4481,B263,Demand!$B$2:$B$4481,O263,Demand!$C$2:$C$4481,P263),"")</f>
        <v>50</v>
      </c>
      <c r="S263" s="33">
        <f>INDEX(Stores!$G$2:$G$21,MATCH(B263,Stores!$A$2:$A$21,0))</f>
        <v>49</v>
      </c>
      <c r="T263" s="34">
        <f>IF(R263="","",R263/S263)</f>
        <v>1.02040816326531</v>
      </c>
      <c r="U263" s="34">
        <f>IF(E263=1,T263,"")</f>
        <v>1.02040816326531</v>
      </c>
      <c r="V263" s="34">
        <f>IF(AND(E263=1,L263=0),T263,"")</f>
        <v>1.02040816326531</v>
      </c>
      <c r="W263" s="33">
        <f>IF(U263="","",IF(U263&lt;=Breakdowns!$C$5,1,IF(U263&lt;=Breakdowns!$C$6,2,IF(U263&lt;=Breakdowns!$C$7,3,4))))</f>
        <v>3</v>
      </c>
      <c r="X263" s="33">
        <f>IF(V263="","",IF(V263&lt;=Breakdowns!$D$5,1,IF(V263&lt;=Breakdowns!$D$6,2,IF(V263&lt;=Breakdowns!$D$7,3,4))))</f>
        <v>3</v>
      </c>
      <c r="Y263" s="34">
        <f>INDEX(Stores!$F$2:$F$21,MATCH(B263,Stores!$A$2:$A$21,0))</f>
        <v>5.82</v>
      </c>
      <c r="Z263" s="33">
        <f>IF(Y263&gt;Store_Summary!$M$2,1,0)</f>
        <v>1</v>
      </c>
      <c r="AA263" s="33">
        <f>INDEX(Stores!$C$2:$C$21,MATCH(B263,Stores!$A$2:$A$21,0))</f>
        <v>705</v>
      </c>
      <c r="AB263" s="33">
        <f>IF(AA263&lt;180,1,0)</f>
        <v>0</v>
      </c>
      <c r="AC263" s="32" t="str">
        <f>IF(Orders!D260="","",INDEX(Riders!$C$2:$C$81,MATCH(Orders!D260,Riders!$A$2:$A$81,0)))</f>
        <v>EV scooter</v>
      </c>
      <c r="AD263" s="33">
        <f>IF(Orders!D260="","",INDEX(Riders!$D$2:$D$81,MATCH(Orders!D260,Riders!$A$2:$A$81,0)))</f>
        <v>30</v>
      </c>
      <c r="AE263" s="33">
        <f>IF(Orders!D260="","",IF(INDEX(Riders!$B$2:$B$81,MATCH(Orders!D260,Riders!$A$2:$A$81,0))=B263,1,0))</f>
        <v>0</v>
      </c>
      <c r="AF263" s="34">
        <f>IF(E263=1,Orders!L260,"")</f>
        <v>2.03</v>
      </c>
      <c r="AG263" s="34">
        <f>IF(E263=1,Orders!P260,"")</f>
        <v>12.1</v>
      </c>
      <c r="AH263" s="34">
        <f>IF(E263=1,Orders!Q260,"")</f>
        <v>10.9</v>
      </c>
      <c r="AI263" s="34">
        <f>IF(E263=1,Orders!M260,"")</f>
        <v>3.9</v>
      </c>
      <c r="AJ263" s="34">
        <f>IF(E263=1,Orders!N260,"")</f>
        <v>4.2</v>
      </c>
      <c r="AK263" s="34">
        <f>IF(E263=1,Orders!O260,"")</f>
        <v>2.8</v>
      </c>
      <c r="AL263" s="33">
        <f>IF(E263=1,IF(ROUND(ABS(AI263+AJ263+AK263-AH263),6)&lt;=0.1,1,0),"")</f>
        <v>1</v>
      </c>
      <c r="AM263" s="36">
        <f>IF(E263=1,AI263/AH263,"")</f>
        <v>0.357798165137615</v>
      </c>
      <c r="AN263" s="36">
        <f>IF(E263=1,AJ263/AH263,"")</f>
        <v>0.385321100917431</v>
      </c>
      <c r="AO263" s="36">
        <f>IF(E263=1,AK263/AH263,"")</f>
        <v>0.256880733944954</v>
      </c>
      <c r="AP263" s="34">
        <f>IF(E263=1,Orders!Y260,"")</f>
        <v>0.35</v>
      </c>
      <c r="AQ263" s="33">
        <f>IF(Orders!X260,1,0)</f>
        <v>0</v>
      </c>
      <c r="AR263" s="34" t="str">
        <f>IF(AND(E263=1,L263=1),AJ263,"")</f>
        <v/>
      </c>
      <c r="AS263" s="34">
        <f>IF(AND(E263=1,L263=0),AJ263,"")</f>
        <v>4.2</v>
      </c>
      <c r="AT263" s="34" t="str">
        <f>IF(AND(E263=1,L263=1),AI263,"")</f>
        <v/>
      </c>
      <c r="AU263" s="34">
        <f>IF(AND(E263=1,L263=0),AI263,"")</f>
        <v>3.9</v>
      </c>
      <c r="AV263" s="34" t="str">
        <f>IF(AND(E263=1,L263=1),AG263,"")</f>
        <v/>
      </c>
      <c r="AW263" s="34">
        <f>IF(AND(E263=1,L263=0),AG263,"")</f>
        <v>12.1</v>
      </c>
      <c r="AX263" s="34" t="str">
        <f>IF(AND(E263=1,L263=1),AH263,"")</f>
        <v/>
      </c>
      <c r="AY263" s="34">
        <f>IF(AND(E263=1,L263=0),AH263,"")</f>
        <v>10.9</v>
      </c>
      <c r="AZ263" s="34" t="str">
        <f>IF(G263=1,F263,"")</f>
        <v/>
      </c>
      <c r="BA263" s="34" t="str">
        <f>IF(AND(G263=1,L263=1),F263,"")</f>
        <v/>
      </c>
      <c r="BB263" s="34" t="str">
        <f>IF(AND(G263=1,L263=0),F263,"")</f>
        <v/>
      </c>
      <c r="BC263" s="33">
        <f>IF(E263=1,IF(Orders!R260&gt;3,1,0),"")</f>
        <v>0</v>
      </c>
      <c r="BD263" s="33">
        <f>IF(E263=1,IF(Orders!R260&gt;7,1,0),"")</f>
        <v>0</v>
      </c>
      <c r="BE263" s="32" t="str">
        <f>IF(E263=1,IF(Orders!L260&lt;=1.5,"Up to 1.5 km",IF(Orders!L260&lt;=3,"1.5–3 km","Over 3 km")),"")</f>
        <v>1.5–3 km</v>
      </c>
      <c r="BF263" s="33">
        <f>IF(E263=1,IF(ABS((Orders!G260-Orders!F260)*1440-Orders!R260)&lt;0.06,1,0),"")</f>
        <v>1</v>
      </c>
      <c r="BG263" s="33">
        <f>IF(ABS((Orders!F260-Orders!E260)*1440-Orders!P260)&lt;0.06,1,0)</f>
        <v>1</v>
      </c>
      <c r="BH263" s="33">
        <f>IF(E263=1,IF(IF(Orders!S260,1,0)=1-G263,1,0),"")</f>
        <v>1</v>
      </c>
      <c r="BI263" s="32" t="str">
        <f>INDEX(Stores!$B$2:$B$21,MATCH(B263,Stores!$A$2:$A$21,0))</f>
        <v>Mumbai</v>
      </c>
    </row>
    <row r="264">
      <c r="A264" s="32" t="str">
        <f>Orders!A261</f>
        <v>O00260</v>
      </c>
      <c r="B264" s="32" t="str">
        <f>Orders!C261</f>
        <v>S006</v>
      </c>
      <c r="C264" s="32" t="str">
        <f>Orders!B261</f>
        <v>C0081</v>
      </c>
      <c r="D264" s="32" t="str">
        <f>Orders!H261</f>
        <v>Delivered</v>
      </c>
      <c r="E264" s="33">
        <f>IF(Orders!H261="Delivered",1,0)</f>
        <v>1</v>
      </c>
      <c r="F264" s="34">
        <f>IF(E264=1,Orders!R261,"")</f>
        <v>-0.7</v>
      </c>
      <c r="G264" s="33">
        <f>IF(E264=1,IF(Orders!R261&gt;0,1,0),"")</f>
        <v>0</v>
      </c>
      <c r="H264" s="33">
        <f>IF(E264=1,IF(Orders!R261&gt;5,1,0),"")</f>
        <v>0</v>
      </c>
      <c r="I264" s="32" t="str">
        <f>IF(E264=1,"",IF(OR(Orders!T261="Rider unavailable",Orders!T261="Item unavailable"),"Company-caused","Unresolved"))</f>
        <v/>
      </c>
      <c r="J264" s="33">
        <f>IF(OR(E264=1,I264="Company-caused"),1,0)</f>
        <v>1</v>
      </c>
      <c r="K264" s="32" t="str">
        <f>IF(E264=0,IF(I264="Company-caused",IF(Orders!T261="Rider unavailable","C1 Rider unavailable","C2 Item unavailable"),"Outside root: unresolved"),IF(G264=0,"A On time",IF(H264=1,IF(L264=1,"B2a Severe, peak","B2b Severe, off-peak"),IF(L264=1,"B1a Slight, peak","B1b Slight, off-peak"))))</f>
        <v>A On time</v>
      </c>
      <c r="L264" s="33">
        <f>IF(AND(Orders!U261&gt;=19,Orders!U261&lt;22),1,0)</f>
        <v>0</v>
      </c>
      <c r="M264" s="33">
        <f>IF(L264=IF(Orders!V261,1,0),1,0)</f>
        <v>1</v>
      </c>
      <c r="N264" s="32" t="str">
        <f>IF(Orders!W261="","None",Orders!W261)</f>
        <v>None</v>
      </c>
      <c r="O264" s="35">
        <f>INT(Orders!E261)</f>
        <v>46268.0</v>
      </c>
      <c r="P264" s="33">
        <f>Orders!U261</f>
        <v>14</v>
      </c>
      <c r="Q264" s="33">
        <f>COUNTIFS(Demand!$A$2:$A$4481,B264,Demand!$B$2:$B$4481,O264,Demand!$C$2:$C$4481,P264)</f>
        <v>1</v>
      </c>
      <c r="R264" s="33">
        <f>IF(Q264=1,SUMIFS(Demand!$E$2:$E$4481,Demand!$A$2:$A$4481,B264,Demand!$B$2:$B$4481,O264,Demand!$C$2:$C$4481,P264),"")</f>
        <v>14</v>
      </c>
      <c r="S264" s="33">
        <f>INDEX(Stores!$G$2:$G$21,MATCH(B264,Stores!$A$2:$A$21,0))</f>
        <v>26</v>
      </c>
      <c r="T264" s="34">
        <f>IF(R264="","",R264/S264)</f>
        <v>0.538461538461538</v>
      </c>
      <c r="U264" s="34">
        <f>IF(E264=1,T264,"")</f>
        <v>0.538461538461538</v>
      </c>
      <c r="V264" s="34">
        <f>IF(AND(E264=1,L264=0),T264,"")</f>
        <v>0.538461538461538</v>
      </c>
      <c r="W264" s="33">
        <f>IF(U264="","",IF(U264&lt;=Breakdowns!$C$5,1,IF(U264&lt;=Breakdowns!$C$6,2,IF(U264&lt;=Breakdowns!$C$7,3,4))))</f>
        <v>1</v>
      </c>
      <c r="X264" s="33">
        <f>IF(V264="","",IF(V264&lt;=Breakdowns!$D$5,1,IF(V264&lt;=Breakdowns!$D$6,2,IF(V264&lt;=Breakdowns!$D$7,3,4))))</f>
        <v>1</v>
      </c>
      <c r="Y264" s="34">
        <f>INDEX(Stores!$F$2:$F$21,MATCH(B264,Stores!$A$2:$A$21,0))</f>
        <v>5.22</v>
      </c>
      <c r="Z264" s="33">
        <f>IF(Y264&gt;Store_Summary!$M$2,1,0)</f>
        <v>1</v>
      </c>
      <c r="AA264" s="33">
        <f>INDEX(Stores!$C$2:$C$21,MATCH(B264,Stores!$A$2:$A$21,0))</f>
        <v>412</v>
      </c>
      <c r="AB264" s="33">
        <f>IF(AA264&lt;180,1,0)</f>
        <v>0</v>
      </c>
      <c r="AC264" s="32" t="str">
        <f>IF(Orders!D261="","",INDEX(Riders!$C$2:$C$81,MATCH(Orders!D261,Riders!$A$2:$A$81,0)))</f>
        <v>Petrol scooter</v>
      </c>
      <c r="AD264" s="33">
        <f>IF(Orders!D261="","",INDEX(Riders!$D$2:$D$81,MATCH(Orders!D261,Riders!$A$2:$A$81,0)))</f>
        <v>44</v>
      </c>
      <c r="AE264" s="33">
        <f>IF(Orders!D261="","",IF(INDEX(Riders!$B$2:$B$81,MATCH(Orders!D261,Riders!$A$2:$A$81,0))=B264,1,0))</f>
        <v>0</v>
      </c>
      <c r="AF264" s="34">
        <f>IF(E264=1,Orders!L261,"")</f>
        <v>1.96</v>
      </c>
      <c r="AG264" s="34">
        <f>IF(E264=1,Orders!P261,"")</f>
        <v>11</v>
      </c>
      <c r="AH264" s="34">
        <f>IF(E264=1,Orders!Q261,"")</f>
        <v>10.3</v>
      </c>
      <c r="AI264" s="34">
        <f>IF(E264=1,Orders!M261,"")</f>
        <v>3.7</v>
      </c>
      <c r="AJ264" s="34">
        <f>IF(E264=1,Orders!N261,"")</f>
        <v>2.4</v>
      </c>
      <c r="AK264" s="34">
        <f>IF(E264=1,Orders!O261,"")</f>
        <v>4.2</v>
      </c>
      <c r="AL264" s="33">
        <f>IF(E264=1,IF(ROUND(ABS(AI264+AJ264+AK264-AH264),6)&lt;=0.1,1,0),"")</f>
        <v>1</v>
      </c>
      <c r="AM264" s="36">
        <f>IF(E264=1,AI264/AH264,"")</f>
        <v>0.359223300970874</v>
      </c>
      <c r="AN264" s="36">
        <f>IF(E264=1,AJ264/AH264,"")</f>
        <v>0.233009708737864</v>
      </c>
      <c r="AO264" s="36">
        <f>IF(E264=1,AK264/AH264,"")</f>
        <v>0.407766990291262</v>
      </c>
      <c r="AP264" s="34">
        <f>IF(E264=1,Orders!Y261,"")</f>
        <v>0.43</v>
      </c>
      <c r="AQ264" s="33">
        <f>IF(Orders!X261,1,0)</f>
        <v>0</v>
      </c>
      <c r="AR264" s="34" t="str">
        <f>IF(AND(E264=1,L264=1),AJ264,"")</f>
        <v/>
      </c>
      <c r="AS264" s="34">
        <f>IF(AND(E264=1,L264=0),AJ264,"")</f>
        <v>2.4</v>
      </c>
      <c r="AT264" s="34" t="str">
        <f>IF(AND(E264=1,L264=1),AI264,"")</f>
        <v/>
      </c>
      <c r="AU264" s="34">
        <f>IF(AND(E264=1,L264=0),AI264,"")</f>
        <v>3.7</v>
      </c>
      <c r="AV264" s="34" t="str">
        <f>IF(AND(E264=1,L264=1),AG264,"")</f>
        <v/>
      </c>
      <c r="AW264" s="34">
        <f>IF(AND(E264=1,L264=0),AG264,"")</f>
        <v>11</v>
      </c>
      <c r="AX264" s="34" t="str">
        <f>IF(AND(E264=1,L264=1),AH264,"")</f>
        <v/>
      </c>
      <c r="AY264" s="34">
        <f>IF(AND(E264=1,L264=0),AH264,"")</f>
        <v>10.3</v>
      </c>
      <c r="AZ264" s="34" t="str">
        <f>IF(G264=1,F264,"")</f>
        <v/>
      </c>
      <c r="BA264" s="34" t="str">
        <f>IF(AND(G264=1,L264=1),F264,"")</f>
        <v/>
      </c>
      <c r="BB264" s="34" t="str">
        <f>IF(AND(G264=1,L264=0),F264,"")</f>
        <v/>
      </c>
      <c r="BC264" s="33">
        <f>IF(E264=1,IF(Orders!R261&gt;3,1,0),"")</f>
        <v>0</v>
      </c>
      <c r="BD264" s="33">
        <f>IF(E264=1,IF(Orders!R261&gt;7,1,0),"")</f>
        <v>0</v>
      </c>
      <c r="BE264" s="32" t="str">
        <f>IF(E264=1,IF(Orders!L261&lt;=1.5,"Up to 1.5 km",IF(Orders!L261&lt;=3,"1.5–3 km","Over 3 km")),"")</f>
        <v>1.5–3 km</v>
      </c>
      <c r="BF264" s="33">
        <f>IF(E264=1,IF(ABS((Orders!G261-Orders!F261)*1440-Orders!R261)&lt;0.06,1,0),"")</f>
        <v>1</v>
      </c>
      <c r="BG264" s="33">
        <f>IF(ABS((Orders!F261-Orders!E261)*1440-Orders!P261)&lt;0.06,1,0)</f>
        <v>1</v>
      </c>
      <c r="BH264" s="33">
        <f>IF(E264=1,IF(IF(Orders!S261,1,0)=1-G264,1,0),"")</f>
        <v>1</v>
      </c>
      <c r="BI264" s="32" t="str">
        <f>INDEX(Stores!$B$2:$B$21,MATCH(B264,Stores!$A$2:$A$21,0))</f>
        <v>Bengaluru</v>
      </c>
    </row>
    <row r="265">
      <c r="A265" s="32" t="str">
        <f>Orders!A262</f>
        <v>O00261</v>
      </c>
      <c r="B265" s="32" t="str">
        <f>Orders!C262</f>
        <v>S002</v>
      </c>
      <c r="C265" s="32" t="str">
        <f>Orders!B262</f>
        <v>C0074</v>
      </c>
      <c r="D265" s="32" t="str">
        <f>Orders!H262</f>
        <v>Delivered</v>
      </c>
      <c r="E265" s="33">
        <f>IF(Orders!H262="Delivered",1,0)</f>
        <v>1</v>
      </c>
      <c r="F265" s="34">
        <f>IF(E265=1,Orders!R262,"")</f>
        <v>-1</v>
      </c>
      <c r="G265" s="33">
        <f>IF(E265=1,IF(Orders!R262&gt;0,1,0),"")</f>
        <v>0</v>
      </c>
      <c r="H265" s="33">
        <f>IF(E265=1,IF(Orders!R262&gt;5,1,0),"")</f>
        <v>0</v>
      </c>
      <c r="I265" s="32" t="str">
        <f>IF(E265=1,"",IF(OR(Orders!T262="Rider unavailable",Orders!T262="Item unavailable"),"Company-caused","Unresolved"))</f>
        <v/>
      </c>
      <c r="J265" s="33">
        <f>IF(OR(E265=1,I265="Company-caused"),1,0)</f>
        <v>1</v>
      </c>
      <c r="K265" s="32" t="str">
        <f>IF(E265=0,IF(I265="Company-caused",IF(Orders!T262="Rider unavailable","C1 Rider unavailable","C2 Item unavailable"),"Outside root: unresolved"),IF(G265=0,"A On time",IF(H265=1,IF(L265=1,"B2a Severe, peak","B2b Severe, off-peak"),IF(L265=1,"B1a Slight, peak","B1b Slight, off-peak"))))</f>
        <v>A On time</v>
      </c>
      <c r="L265" s="33">
        <f>IF(AND(Orders!U262&gt;=19,Orders!U262&lt;22),1,0)</f>
        <v>0</v>
      </c>
      <c r="M265" s="33">
        <f>IF(L265=IF(Orders!V262,1,0),1,0)</f>
        <v>1</v>
      </c>
      <c r="N265" s="32" t="str">
        <f>IF(Orders!W262="","None",Orders!W262)</f>
        <v>None</v>
      </c>
      <c r="O265" s="35">
        <f>INT(Orders!E262)</f>
        <v>46276.0</v>
      </c>
      <c r="P265" s="33">
        <f>Orders!U262</f>
        <v>22</v>
      </c>
      <c r="Q265" s="33">
        <f>COUNTIFS(Demand!$A$2:$A$4481,B265,Demand!$B$2:$B$4481,O265,Demand!$C$2:$C$4481,P265)</f>
        <v>1</v>
      </c>
      <c r="R265" s="33">
        <f>IF(Q265=1,SUMIFS(Demand!$E$2:$E$4481,Demand!$A$2:$A$4481,B265,Demand!$B$2:$B$4481,O265,Demand!$C$2:$C$4481,P265),"")</f>
        <v>38</v>
      </c>
      <c r="S265" s="33">
        <f>INDEX(Stores!$G$2:$G$21,MATCH(B265,Stores!$A$2:$A$21,0))</f>
        <v>33</v>
      </c>
      <c r="T265" s="34">
        <f>IF(R265="","",R265/S265)</f>
        <v>1.15151515151515</v>
      </c>
      <c r="U265" s="34">
        <f>IF(E265=1,T265,"")</f>
        <v>1.15151515151515</v>
      </c>
      <c r="V265" s="34">
        <f>IF(AND(E265=1,L265=0),T265,"")</f>
        <v>1.15151515151515</v>
      </c>
      <c r="W265" s="33">
        <f>IF(U265="","",IF(U265&lt;=Breakdowns!$C$5,1,IF(U265&lt;=Breakdowns!$C$6,2,IF(U265&lt;=Breakdowns!$C$7,3,4))))</f>
        <v>3</v>
      </c>
      <c r="X265" s="33">
        <f>IF(V265="","",IF(V265&lt;=Breakdowns!$D$5,1,IF(V265&lt;=Breakdowns!$D$6,2,IF(V265&lt;=Breakdowns!$D$7,3,4))))</f>
        <v>4</v>
      </c>
      <c r="Y265" s="34">
        <f>INDEX(Stores!$F$2:$F$21,MATCH(B265,Stores!$A$2:$A$21,0))</f>
        <v>2.39</v>
      </c>
      <c r="Z265" s="33">
        <f>IF(Y265&gt;Store_Summary!$M$2,1,0)</f>
        <v>0</v>
      </c>
      <c r="AA265" s="33">
        <f>INDEX(Stores!$C$2:$C$21,MATCH(B265,Stores!$A$2:$A$21,0))</f>
        <v>470</v>
      </c>
      <c r="AB265" s="33">
        <f>IF(AA265&lt;180,1,0)</f>
        <v>0</v>
      </c>
      <c r="AC265" s="32" t="str">
        <f>IF(Orders!D262="","",INDEX(Riders!$C$2:$C$81,MATCH(Orders!D262,Riders!$A$2:$A$81,0)))</f>
        <v>Petrol scooter</v>
      </c>
      <c r="AD265" s="33">
        <f>IF(Orders!D262="","",INDEX(Riders!$D$2:$D$81,MATCH(Orders!D262,Riders!$A$2:$A$81,0)))</f>
        <v>15</v>
      </c>
      <c r="AE265" s="33">
        <f>IF(Orders!D262="","",IF(INDEX(Riders!$B$2:$B$81,MATCH(Orders!D262,Riders!$A$2:$A$81,0))=B265,1,0))</f>
        <v>0</v>
      </c>
      <c r="AF265" s="34">
        <f>IF(E265=1,Orders!L262,"")</f>
        <v>2.23</v>
      </c>
      <c r="AG265" s="34">
        <f>IF(E265=1,Orders!P262,"")</f>
        <v>10</v>
      </c>
      <c r="AH265" s="34">
        <f>IF(E265=1,Orders!Q262,"")</f>
        <v>9</v>
      </c>
      <c r="AI265" s="34">
        <f>IF(E265=1,Orders!M262,"")</f>
        <v>1.9</v>
      </c>
      <c r="AJ265" s="34">
        <f>IF(E265=1,Orders!N262,"")</f>
        <v>3.7</v>
      </c>
      <c r="AK265" s="34">
        <f>IF(E265=1,Orders!O262,"")</f>
        <v>3.4</v>
      </c>
      <c r="AL265" s="33">
        <f>IF(E265=1,IF(ROUND(ABS(AI265+AJ265+AK265-AH265),6)&lt;=0.1,1,0),"")</f>
        <v>1</v>
      </c>
      <c r="AM265" s="36">
        <f>IF(E265=1,AI265/AH265,"")</f>
        <v>0.211111111111111</v>
      </c>
      <c r="AN265" s="36">
        <f>IF(E265=1,AJ265/AH265,"")</f>
        <v>0.411111111111111</v>
      </c>
      <c r="AO265" s="36">
        <f>IF(E265=1,AK265/AH265,"")</f>
        <v>0.377777777777778</v>
      </c>
      <c r="AP265" s="34">
        <f>IF(E265=1,Orders!Y262,"")</f>
        <v>0.73</v>
      </c>
      <c r="AQ265" s="33">
        <f>IF(Orders!X262,1,0)</f>
        <v>0</v>
      </c>
      <c r="AR265" s="34" t="str">
        <f>IF(AND(E265=1,L265=1),AJ265,"")</f>
        <v/>
      </c>
      <c r="AS265" s="34">
        <f>IF(AND(E265=1,L265=0),AJ265,"")</f>
        <v>3.7</v>
      </c>
      <c r="AT265" s="34" t="str">
        <f>IF(AND(E265=1,L265=1),AI265,"")</f>
        <v/>
      </c>
      <c r="AU265" s="34">
        <f>IF(AND(E265=1,L265=0),AI265,"")</f>
        <v>1.9</v>
      </c>
      <c r="AV265" s="34" t="str">
        <f>IF(AND(E265=1,L265=1),AG265,"")</f>
        <v/>
      </c>
      <c r="AW265" s="34">
        <f>IF(AND(E265=1,L265=0),AG265,"")</f>
        <v>10</v>
      </c>
      <c r="AX265" s="34" t="str">
        <f>IF(AND(E265=1,L265=1),AH265,"")</f>
        <v/>
      </c>
      <c r="AY265" s="34">
        <f>IF(AND(E265=1,L265=0),AH265,"")</f>
        <v>9</v>
      </c>
      <c r="AZ265" s="34" t="str">
        <f>IF(G265=1,F265,"")</f>
        <v/>
      </c>
      <c r="BA265" s="34" t="str">
        <f>IF(AND(G265=1,L265=1),F265,"")</f>
        <v/>
      </c>
      <c r="BB265" s="34" t="str">
        <f>IF(AND(G265=1,L265=0),F265,"")</f>
        <v/>
      </c>
      <c r="BC265" s="33">
        <f>IF(E265=1,IF(Orders!R262&gt;3,1,0),"")</f>
        <v>0</v>
      </c>
      <c r="BD265" s="33">
        <f>IF(E265=1,IF(Orders!R262&gt;7,1,0),"")</f>
        <v>0</v>
      </c>
      <c r="BE265" s="32" t="str">
        <f>IF(E265=1,IF(Orders!L262&lt;=1.5,"Up to 1.5 km",IF(Orders!L262&lt;=3,"1.5–3 km","Over 3 km")),"")</f>
        <v>1.5–3 km</v>
      </c>
      <c r="BF265" s="33">
        <f>IF(E265=1,IF(ABS((Orders!G262-Orders!F262)*1440-Orders!R262)&lt;0.06,1,0),"")</f>
        <v>1</v>
      </c>
      <c r="BG265" s="33">
        <f>IF(ABS((Orders!F262-Orders!E262)*1440-Orders!P262)&lt;0.06,1,0)</f>
        <v>1</v>
      </c>
      <c r="BH265" s="33">
        <f>IF(E265=1,IF(IF(Orders!S262,1,0)=1-G265,1,0),"")</f>
        <v>1</v>
      </c>
      <c r="BI265" s="32" t="str">
        <f>INDEX(Stores!$B$2:$B$21,MATCH(B265,Stores!$A$2:$A$21,0))</f>
        <v>Hyderabad</v>
      </c>
    </row>
    <row r="266">
      <c r="A266" s="32" t="str">
        <f>Orders!A263</f>
        <v>O00262</v>
      </c>
      <c r="B266" s="32" t="str">
        <f>Orders!C263</f>
        <v>S005</v>
      </c>
      <c r="C266" s="32" t="str">
        <f>Orders!B263</f>
        <v>C0174</v>
      </c>
      <c r="D266" s="32" t="str">
        <f>Orders!H263</f>
        <v>Delivered</v>
      </c>
      <c r="E266" s="33">
        <f>IF(Orders!H263="Delivered",1,0)</f>
        <v>1</v>
      </c>
      <c r="F266" s="34">
        <f>IF(E266=1,Orders!R263,"")</f>
        <v>-0.9</v>
      </c>
      <c r="G266" s="33">
        <f>IF(E266=1,IF(Orders!R263&gt;0,1,0),"")</f>
        <v>0</v>
      </c>
      <c r="H266" s="33">
        <f>IF(E266=1,IF(Orders!R263&gt;5,1,0),"")</f>
        <v>0</v>
      </c>
      <c r="I266" s="32" t="str">
        <f>IF(E266=1,"",IF(OR(Orders!T263="Rider unavailable",Orders!T263="Item unavailable"),"Company-caused","Unresolved"))</f>
        <v/>
      </c>
      <c r="J266" s="33">
        <f>IF(OR(E266=1,I266="Company-caused"),1,0)</f>
        <v>1</v>
      </c>
      <c r="K266" s="32" t="str">
        <f>IF(E266=0,IF(I266="Company-caused",IF(Orders!T263="Rider unavailable","C1 Rider unavailable","C2 Item unavailable"),"Outside root: unresolved"),IF(G266=0,"A On time",IF(H266=1,IF(L266=1,"B2a Severe, peak","B2b Severe, off-peak"),IF(L266=1,"B1a Slight, peak","B1b Slight, off-peak"))))</f>
        <v>A On time</v>
      </c>
      <c r="L266" s="33">
        <f>IF(AND(Orders!U263&gt;=19,Orders!U263&lt;22),1,0)</f>
        <v>1</v>
      </c>
      <c r="M266" s="33">
        <f>IF(L266=IF(Orders!V263,1,0),1,0)</f>
        <v>1</v>
      </c>
      <c r="N266" s="32" t="str">
        <f>IF(Orders!W263="","None",Orders!W263)</f>
        <v>None</v>
      </c>
      <c r="O266" s="35">
        <f>INT(Orders!E263)</f>
        <v>46277.0</v>
      </c>
      <c r="P266" s="33">
        <f>Orders!U263</f>
        <v>19</v>
      </c>
      <c r="Q266" s="33">
        <f>COUNTIFS(Demand!$A$2:$A$4481,B266,Demand!$B$2:$B$4481,O266,Demand!$C$2:$C$4481,P266)</f>
        <v>1</v>
      </c>
      <c r="R266" s="33">
        <f>IF(Q266=1,SUMIFS(Demand!$E$2:$E$4481,Demand!$A$2:$A$4481,B266,Demand!$B$2:$B$4481,O266,Demand!$C$2:$C$4481,P266),"")</f>
        <v>24</v>
      </c>
      <c r="S266" s="33">
        <f>INDEX(Stores!$G$2:$G$21,MATCH(B266,Stores!$A$2:$A$21,0))</f>
        <v>14</v>
      </c>
      <c r="T266" s="34">
        <f>IF(R266="","",R266/S266)</f>
        <v>1.71428571428571</v>
      </c>
      <c r="U266" s="34">
        <f>IF(E266=1,T266,"")</f>
        <v>1.71428571428571</v>
      </c>
      <c r="V266" s="34" t="str">
        <f>IF(AND(E266=1,L266=0),T266,"")</f>
        <v/>
      </c>
      <c r="W266" s="33">
        <f>IF(U266="","",IF(U266&lt;=Breakdowns!$C$5,1,IF(U266&lt;=Breakdowns!$C$6,2,IF(U266&lt;=Breakdowns!$C$7,3,4))))</f>
        <v>4</v>
      </c>
      <c r="X266" s="33" t="str">
        <f>IF(V266="","",IF(V266&lt;=Breakdowns!$D$5,1,IF(V266&lt;=Breakdowns!$D$6,2,IF(V266&lt;=Breakdowns!$D$7,3,4))))</f>
        <v/>
      </c>
      <c r="Y266" s="34">
        <f>INDEX(Stores!$F$2:$F$21,MATCH(B266,Stores!$A$2:$A$21,0))</f>
        <v>4.89</v>
      </c>
      <c r="Z266" s="33">
        <f>IF(Y266&gt;Store_Summary!$M$2,1,0)</f>
        <v>0</v>
      </c>
      <c r="AA266" s="33">
        <f>INDEX(Stores!$C$2:$C$21,MATCH(B266,Stores!$A$2:$A$21,0))</f>
        <v>138</v>
      </c>
      <c r="AB266" s="33">
        <f>IF(AA266&lt;180,1,0)</f>
        <v>1</v>
      </c>
      <c r="AC266" s="32" t="str">
        <f>IF(Orders!D263="","",INDEX(Riders!$C$2:$C$81,MATCH(Orders!D263,Riders!$A$2:$A$81,0)))</f>
        <v>EV scooter</v>
      </c>
      <c r="AD266" s="33">
        <f>IF(Orders!D263="","",INDEX(Riders!$D$2:$D$81,MATCH(Orders!D263,Riders!$A$2:$A$81,0)))</f>
        <v>45</v>
      </c>
      <c r="AE266" s="33">
        <f>IF(Orders!D263="","",IF(INDEX(Riders!$B$2:$B$81,MATCH(Orders!D263,Riders!$A$2:$A$81,0))=B266,1,0))</f>
        <v>0</v>
      </c>
      <c r="AF266" s="34">
        <f>IF(E266=1,Orders!L263,"")</f>
        <v>3.75</v>
      </c>
      <c r="AG266" s="34">
        <f>IF(E266=1,Orders!P263,"")</f>
        <v>10.2</v>
      </c>
      <c r="AH266" s="34">
        <f>IF(E266=1,Orders!Q263,"")</f>
        <v>9.3</v>
      </c>
      <c r="AI266" s="34">
        <f>IF(E266=1,Orders!M263,"")</f>
        <v>2.3</v>
      </c>
      <c r="AJ266" s="34">
        <f>IF(E266=1,Orders!N263,"")</f>
        <v>3.3</v>
      </c>
      <c r="AK266" s="34">
        <f>IF(E266=1,Orders!O263,"")</f>
        <v>3.7</v>
      </c>
      <c r="AL266" s="33">
        <f>IF(E266=1,IF(ROUND(ABS(AI266+AJ266+AK266-AH266),6)&lt;=0.1,1,0),"")</f>
        <v>1</v>
      </c>
      <c r="AM266" s="36">
        <f>IF(E266=1,AI266/AH266,"")</f>
        <v>0.247311827956989</v>
      </c>
      <c r="AN266" s="36">
        <f>IF(E266=1,AJ266/AH266,"")</f>
        <v>0.354838709677419</v>
      </c>
      <c r="AO266" s="36">
        <f>IF(E266=1,AK266/AH266,"")</f>
        <v>0.397849462365591</v>
      </c>
      <c r="AP266" s="34">
        <f>IF(E266=1,Orders!Y263,"")</f>
        <v>0.69</v>
      </c>
      <c r="AQ266" s="33">
        <f>IF(Orders!X263,1,0)</f>
        <v>0</v>
      </c>
      <c r="AR266" s="34">
        <f>IF(AND(E266=1,L266=1),AJ266,"")</f>
        <v>3.3</v>
      </c>
      <c r="AS266" s="34" t="str">
        <f>IF(AND(E266=1,L266=0),AJ266,"")</f>
        <v/>
      </c>
      <c r="AT266" s="34">
        <f>IF(AND(E266=1,L266=1),AI266,"")</f>
        <v>2.3</v>
      </c>
      <c r="AU266" s="34" t="str">
        <f>IF(AND(E266=1,L266=0),AI266,"")</f>
        <v/>
      </c>
      <c r="AV266" s="34">
        <f>IF(AND(E266=1,L266=1),AG266,"")</f>
        <v>10.2</v>
      </c>
      <c r="AW266" s="34" t="str">
        <f>IF(AND(E266=1,L266=0),AG266,"")</f>
        <v/>
      </c>
      <c r="AX266" s="34">
        <f>IF(AND(E266=1,L266=1),AH266,"")</f>
        <v>9.3</v>
      </c>
      <c r="AY266" s="34" t="str">
        <f>IF(AND(E266=1,L266=0),AH266,"")</f>
        <v/>
      </c>
      <c r="AZ266" s="34" t="str">
        <f>IF(G266=1,F266,"")</f>
        <v/>
      </c>
      <c r="BA266" s="34" t="str">
        <f>IF(AND(G266=1,L266=1),F266,"")</f>
        <v/>
      </c>
      <c r="BB266" s="34" t="str">
        <f>IF(AND(G266=1,L266=0),F266,"")</f>
        <v/>
      </c>
      <c r="BC266" s="33">
        <f>IF(E266=1,IF(Orders!R263&gt;3,1,0),"")</f>
        <v>0</v>
      </c>
      <c r="BD266" s="33">
        <f>IF(E266=1,IF(Orders!R263&gt;7,1,0),"")</f>
        <v>0</v>
      </c>
      <c r="BE266" s="32" t="str">
        <f>IF(E266=1,IF(Orders!L263&lt;=1.5,"Up to 1.5 km",IF(Orders!L263&lt;=3,"1.5–3 km","Over 3 km")),"")</f>
        <v>Over 3 km</v>
      </c>
      <c r="BF266" s="33">
        <f>IF(E266=1,IF(ABS((Orders!G263-Orders!F263)*1440-Orders!R263)&lt;0.06,1,0),"")</f>
        <v>1</v>
      </c>
      <c r="BG266" s="33">
        <f>IF(ABS((Orders!F263-Orders!E263)*1440-Orders!P263)&lt;0.06,1,0)</f>
        <v>1</v>
      </c>
      <c r="BH266" s="33">
        <f>IF(E266=1,IF(IF(Orders!S263,1,0)=1-G266,1,0),"")</f>
        <v>1</v>
      </c>
      <c r="BI266" s="32" t="str">
        <f>INDEX(Stores!$B$2:$B$21,MATCH(B266,Stores!$A$2:$A$21,0))</f>
        <v>Delhi</v>
      </c>
    </row>
    <row r="267">
      <c r="A267" s="32" t="str">
        <f>Orders!A264</f>
        <v>O00263</v>
      </c>
      <c r="B267" s="32" t="str">
        <f>Orders!C264</f>
        <v>S019</v>
      </c>
      <c r="C267" s="32" t="str">
        <f>Orders!B264</f>
        <v>C0028</v>
      </c>
      <c r="D267" s="32" t="str">
        <f>Orders!H264</f>
        <v>Delivered</v>
      </c>
      <c r="E267" s="33">
        <f>IF(Orders!H264="Delivered",1,0)</f>
        <v>1</v>
      </c>
      <c r="F267" s="34">
        <f>IF(E267=1,Orders!R264,"")</f>
        <v>4.7</v>
      </c>
      <c r="G267" s="33">
        <f>IF(E267=1,IF(Orders!R264&gt;0,1,0),"")</f>
        <v>1</v>
      </c>
      <c r="H267" s="33">
        <f>IF(E267=1,IF(Orders!R264&gt;5,1,0),"")</f>
        <v>0</v>
      </c>
      <c r="I267" s="32" t="str">
        <f>IF(E267=1,"",IF(OR(Orders!T264="Rider unavailable",Orders!T264="Item unavailable"),"Company-caused","Unresolved"))</f>
        <v/>
      </c>
      <c r="J267" s="33">
        <f>IF(OR(E267=1,I267="Company-caused"),1,0)</f>
        <v>1</v>
      </c>
      <c r="K267" s="32" t="str">
        <f>IF(E267=0,IF(I267="Company-caused",IF(Orders!T264="Rider unavailable","C1 Rider unavailable","C2 Item unavailable"),"Outside root: unresolved"),IF(G267=0,"A On time",IF(H267=1,IF(L267=1,"B2a Severe, peak","B2b Severe, off-peak"),IF(L267=1,"B1a Slight, peak","B1b Slight, off-peak"))))</f>
        <v>B1b Slight, off-peak</v>
      </c>
      <c r="L267" s="33">
        <f>IF(AND(Orders!U264&gt;=19,Orders!U264&lt;22),1,0)</f>
        <v>0</v>
      </c>
      <c r="M267" s="33">
        <f>IF(L267=IF(Orders!V264,1,0),1,0)</f>
        <v>1</v>
      </c>
      <c r="N267" s="32" t="str">
        <f>IF(Orders!W264="","None",Orders!W264)</f>
        <v>None</v>
      </c>
      <c r="O267" s="35">
        <f>INT(Orders!E264)</f>
        <v>46268.0</v>
      </c>
      <c r="P267" s="33">
        <f>Orders!U264</f>
        <v>13</v>
      </c>
      <c r="Q267" s="33">
        <f>COUNTIFS(Demand!$A$2:$A$4481,B267,Demand!$B$2:$B$4481,O267,Demand!$C$2:$C$4481,P267)</f>
        <v>1</v>
      </c>
      <c r="R267" s="33">
        <f>IF(Q267=1,SUMIFS(Demand!$E$2:$E$4481,Demand!$A$2:$A$4481,B267,Demand!$B$2:$B$4481,O267,Demand!$C$2:$C$4481,P267),"")</f>
        <v>25</v>
      </c>
      <c r="S267" s="33">
        <f>INDEX(Stores!$G$2:$G$21,MATCH(B267,Stores!$A$2:$A$21,0))</f>
        <v>22</v>
      </c>
      <c r="T267" s="34">
        <f>IF(R267="","",R267/S267)</f>
        <v>1.13636363636364</v>
      </c>
      <c r="U267" s="34">
        <f>IF(E267=1,T267,"")</f>
        <v>1.13636363636364</v>
      </c>
      <c r="V267" s="34">
        <f>IF(AND(E267=1,L267=0),T267,"")</f>
        <v>1.13636363636364</v>
      </c>
      <c r="W267" s="33">
        <f>IF(U267="","",IF(U267&lt;=Breakdowns!$C$5,1,IF(U267&lt;=Breakdowns!$C$6,2,IF(U267&lt;=Breakdowns!$C$7,3,4))))</f>
        <v>3</v>
      </c>
      <c r="X267" s="33">
        <f>IF(V267="","",IF(V267&lt;=Breakdowns!$D$5,1,IF(V267&lt;=Breakdowns!$D$6,2,IF(V267&lt;=Breakdowns!$D$7,3,4))))</f>
        <v>4</v>
      </c>
      <c r="Y267" s="34">
        <f>INDEX(Stores!$F$2:$F$21,MATCH(B267,Stores!$A$2:$A$21,0))</f>
        <v>4.99</v>
      </c>
      <c r="Z267" s="33">
        <f>IF(Y267&gt;Store_Summary!$M$2,1,0)</f>
        <v>1</v>
      </c>
      <c r="AA267" s="33">
        <f>INDEX(Stores!$C$2:$C$21,MATCH(B267,Stores!$A$2:$A$21,0))</f>
        <v>851</v>
      </c>
      <c r="AB267" s="33">
        <f>IF(AA267&lt;180,1,0)</f>
        <v>0</v>
      </c>
      <c r="AC267" s="32" t="str">
        <f>IF(Orders!D264="","",INDEX(Riders!$C$2:$C$81,MATCH(Orders!D264,Riders!$A$2:$A$81,0)))</f>
        <v>EV scooter</v>
      </c>
      <c r="AD267" s="33">
        <f>IF(Orders!D264="","",INDEX(Riders!$D$2:$D$81,MATCH(Orders!D264,Riders!$A$2:$A$81,0)))</f>
        <v>26</v>
      </c>
      <c r="AE267" s="33">
        <f>IF(Orders!D264="","",IF(INDEX(Riders!$B$2:$B$81,MATCH(Orders!D264,Riders!$A$2:$A$81,0))=B267,1,0))</f>
        <v>0</v>
      </c>
      <c r="AF267" s="34">
        <f>IF(E267=1,Orders!L264,"")</f>
        <v>2.5</v>
      </c>
      <c r="AG267" s="34">
        <f>IF(E267=1,Orders!P264,"")</f>
        <v>12.2</v>
      </c>
      <c r="AH267" s="34">
        <f>IF(E267=1,Orders!Q264,"")</f>
        <v>16.9</v>
      </c>
      <c r="AI267" s="34">
        <f>IF(E267=1,Orders!M264,"")</f>
        <v>5</v>
      </c>
      <c r="AJ267" s="34">
        <f>IF(E267=1,Orders!N264,"")</f>
        <v>5.9</v>
      </c>
      <c r="AK267" s="34">
        <f>IF(E267=1,Orders!O264,"")</f>
        <v>6</v>
      </c>
      <c r="AL267" s="33">
        <f>IF(E267=1,IF(ROUND(ABS(AI267+AJ267+AK267-AH267),6)&lt;=0.1,1,0),"")</f>
        <v>1</v>
      </c>
      <c r="AM267" s="36">
        <f>IF(E267=1,AI267/AH267,"")</f>
        <v>0.295857988165681</v>
      </c>
      <c r="AN267" s="36">
        <f>IF(E267=1,AJ267/AH267,"")</f>
        <v>0.349112426035503</v>
      </c>
      <c r="AO267" s="36">
        <f>IF(E267=1,AK267/AH267,"")</f>
        <v>0.355029585798817</v>
      </c>
      <c r="AP267" s="34">
        <f>IF(E267=1,Orders!Y264,"")</f>
        <v>0.26</v>
      </c>
      <c r="AQ267" s="33">
        <f>IF(Orders!X264,1,0)</f>
        <v>0</v>
      </c>
      <c r="AR267" s="34" t="str">
        <f>IF(AND(E267=1,L267=1),AJ267,"")</f>
        <v/>
      </c>
      <c r="AS267" s="34">
        <f>IF(AND(E267=1,L267=0),AJ267,"")</f>
        <v>5.9</v>
      </c>
      <c r="AT267" s="34" t="str">
        <f>IF(AND(E267=1,L267=1),AI267,"")</f>
        <v/>
      </c>
      <c r="AU267" s="34">
        <f>IF(AND(E267=1,L267=0),AI267,"")</f>
        <v>5</v>
      </c>
      <c r="AV267" s="34" t="str">
        <f>IF(AND(E267=1,L267=1),AG267,"")</f>
        <v/>
      </c>
      <c r="AW267" s="34">
        <f>IF(AND(E267=1,L267=0),AG267,"")</f>
        <v>12.2</v>
      </c>
      <c r="AX267" s="34" t="str">
        <f>IF(AND(E267=1,L267=1),AH267,"")</f>
        <v/>
      </c>
      <c r="AY267" s="34">
        <f>IF(AND(E267=1,L267=0),AH267,"")</f>
        <v>16.9</v>
      </c>
      <c r="AZ267" s="34">
        <f>IF(G267=1,F267,"")</f>
        <v>4.7</v>
      </c>
      <c r="BA267" s="34" t="str">
        <f>IF(AND(G267=1,L267=1),F267,"")</f>
        <v/>
      </c>
      <c r="BB267" s="34">
        <f>IF(AND(G267=1,L267=0),F267,"")</f>
        <v>4.7</v>
      </c>
      <c r="BC267" s="33">
        <f>IF(E267=1,IF(Orders!R264&gt;3,1,0),"")</f>
        <v>1</v>
      </c>
      <c r="BD267" s="33">
        <f>IF(E267=1,IF(Orders!R264&gt;7,1,0),"")</f>
        <v>0</v>
      </c>
      <c r="BE267" s="32" t="str">
        <f>IF(E267=1,IF(Orders!L264&lt;=1.5,"Up to 1.5 km",IF(Orders!L264&lt;=3,"1.5–3 km","Over 3 km")),"")</f>
        <v>1.5–3 km</v>
      </c>
      <c r="BF267" s="33">
        <f>IF(E267=1,IF(ABS((Orders!G264-Orders!F264)*1440-Orders!R264)&lt;0.06,1,0),"")</f>
        <v>1</v>
      </c>
      <c r="BG267" s="33">
        <f>IF(ABS((Orders!F264-Orders!E264)*1440-Orders!P264)&lt;0.06,1,0)</f>
        <v>1</v>
      </c>
      <c r="BH267" s="33">
        <f>IF(E267=1,IF(IF(Orders!S264,1,0)=1-G267,1,0),"")</f>
        <v>1</v>
      </c>
      <c r="BI267" s="32" t="str">
        <f>INDEX(Stores!$B$2:$B$21,MATCH(B267,Stores!$A$2:$A$21,0))</f>
        <v>Pune</v>
      </c>
    </row>
    <row r="268">
      <c r="A268" s="32" t="str">
        <f>Orders!A265</f>
        <v>O00264</v>
      </c>
      <c r="B268" s="32" t="str">
        <f>Orders!C265</f>
        <v>S017</v>
      </c>
      <c r="C268" s="32" t="str">
        <f>Orders!B265</f>
        <v>C0002</v>
      </c>
      <c r="D268" s="32" t="str">
        <f>Orders!H265</f>
        <v>Delivered</v>
      </c>
      <c r="E268" s="33">
        <f>IF(Orders!H265="Delivered",1,0)</f>
        <v>1</v>
      </c>
      <c r="F268" s="34">
        <f>IF(E268=1,Orders!R265,"")</f>
        <v>-0.9</v>
      </c>
      <c r="G268" s="33">
        <f>IF(E268=1,IF(Orders!R265&gt;0,1,0),"")</f>
        <v>0</v>
      </c>
      <c r="H268" s="33">
        <f>IF(E268=1,IF(Orders!R265&gt;5,1,0),"")</f>
        <v>0</v>
      </c>
      <c r="I268" s="32" t="str">
        <f>IF(E268=1,"",IF(OR(Orders!T265="Rider unavailable",Orders!T265="Item unavailable"),"Company-caused","Unresolved"))</f>
        <v/>
      </c>
      <c r="J268" s="33">
        <f>IF(OR(E268=1,I268="Company-caused"),1,0)</f>
        <v>1</v>
      </c>
      <c r="K268" s="32" t="str">
        <f>IF(E268=0,IF(I268="Company-caused",IF(Orders!T265="Rider unavailable","C1 Rider unavailable","C2 Item unavailable"),"Outside root: unresolved"),IF(G268=0,"A On time",IF(H268=1,IF(L268=1,"B2a Severe, peak","B2b Severe, off-peak"),IF(L268=1,"B1a Slight, peak","B1b Slight, off-peak"))))</f>
        <v>A On time</v>
      </c>
      <c r="L268" s="33">
        <f>IF(AND(Orders!U265&gt;=19,Orders!U265&lt;22),1,0)</f>
        <v>0</v>
      </c>
      <c r="M268" s="33">
        <f>IF(L268=IF(Orders!V265,1,0),1,0)</f>
        <v>1</v>
      </c>
      <c r="N268" s="32" t="str">
        <f>IF(Orders!W265="","None",Orders!W265)</f>
        <v>None</v>
      </c>
      <c r="O268" s="35">
        <f>INT(Orders!E265)</f>
        <v>46270.0</v>
      </c>
      <c r="P268" s="33">
        <f>Orders!U265</f>
        <v>13</v>
      </c>
      <c r="Q268" s="33">
        <f>COUNTIFS(Demand!$A$2:$A$4481,B268,Demand!$B$2:$B$4481,O268,Demand!$C$2:$C$4481,P268)</f>
        <v>1</v>
      </c>
      <c r="R268" s="33">
        <f>IF(Q268=1,SUMIFS(Demand!$E$2:$E$4481,Demand!$A$2:$A$4481,B268,Demand!$B$2:$B$4481,O268,Demand!$C$2:$C$4481,P268),"")</f>
        <v>41</v>
      </c>
      <c r="S268" s="33">
        <f>INDEX(Stores!$G$2:$G$21,MATCH(B268,Stores!$A$2:$A$21,0))</f>
        <v>36</v>
      </c>
      <c r="T268" s="34">
        <f>IF(R268="","",R268/S268)</f>
        <v>1.13888888888889</v>
      </c>
      <c r="U268" s="34">
        <f>IF(E268=1,T268,"")</f>
        <v>1.13888888888889</v>
      </c>
      <c r="V268" s="34">
        <f>IF(AND(E268=1,L268=0),T268,"")</f>
        <v>1.13888888888889</v>
      </c>
      <c r="W268" s="33">
        <f>IF(U268="","",IF(U268&lt;=Breakdowns!$C$5,1,IF(U268&lt;=Breakdowns!$C$6,2,IF(U268&lt;=Breakdowns!$C$7,3,4))))</f>
        <v>3</v>
      </c>
      <c r="X268" s="33">
        <f>IF(V268="","",IF(V268&lt;=Breakdowns!$D$5,1,IF(V268&lt;=Breakdowns!$D$6,2,IF(V268&lt;=Breakdowns!$D$7,3,4))))</f>
        <v>4</v>
      </c>
      <c r="Y268" s="34">
        <f>INDEX(Stores!$F$2:$F$21,MATCH(B268,Stores!$A$2:$A$21,0))</f>
        <v>2.16</v>
      </c>
      <c r="Z268" s="33">
        <f>IF(Y268&gt;Store_Summary!$M$2,1,0)</f>
        <v>0</v>
      </c>
      <c r="AA268" s="33">
        <f>INDEX(Stores!$C$2:$C$21,MATCH(B268,Stores!$A$2:$A$21,0))</f>
        <v>47</v>
      </c>
      <c r="AB268" s="33">
        <f>IF(AA268&lt;180,1,0)</f>
        <v>1</v>
      </c>
      <c r="AC268" s="32" t="str">
        <f>IF(Orders!D265="","",INDEX(Riders!$C$2:$C$81,MATCH(Orders!D265,Riders!$A$2:$A$81,0)))</f>
        <v>Petrol scooter</v>
      </c>
      <c r="AD268" s="33">
        <f>IF(Orders!D265="","",INDEX(Riders!$D$2:$D$81,MATCH(Orders!D265,Riders!$A$2:$A$81,0)))</f>
        <v>29</v>
      </c>
      <c r="AE268" s="33">
        <f>IF(Orders!D265="","",IF(INDEX(Riders!$B$2:$B$81,MATCH(Orders!D265,Riders!$A$2:$A$81,0))=B268,1,0))</f>
        <v>0</v>
      </c>
      <c r="AF268" s="34">
        <f>IF(E268=1,Orders!L265,"")</f>
        <v>2.16</v>
      </c>
      <c r="AG268" s="34">
        <f>IF(E268=1,Orders!P265,"")</f>
        <v>10.8</v>
      </c>
      <c r="AH268" s="34">
        <f>IF(E268=1,Orders!Q265,"")</f>
        <v>9.9</v>
      </c>
      <c r="AI268" s="34">
        <f>IF(E268=1,Orders!M265,"")</f>
        <v>1.9</v>
      </c>
      <c r="AJ268" s="34">
        <f>IF(E268=1,Orders!N265,"")</f>
        <v>2.9</v>
      </c>
      <c r="AK268" s="34">
        <f>IF(E268=1,Orders!O265,"")</f>
        <v>5.1</v>
      </c>
      <c r="AL268" s="33">
        <f>IF(E268=1,IF(ROUND(ABS(AI268+AJ268+AK268-AH268),6)&lt;=0.1,1,0),"")</f>
        <v>1</v>
      </c>
      <c r="AM268" s="36">
        <f>IF(E268=1,AI268/AH268,"")</f>
        <v>0.191919191919192</v>
      </c>
      <c r="AN268" s="36">
        <f>IF(E268=1,AJ268/AH268,"")</f>
        <v>0.292929292929293</v>
      </c>
      <c r="AO268" s="36">
        <f>IF(E268=1,AK268/AH268,"")</f>
        <v>0.515151515151515</v>
      </c>
      <c r="AP268" s="34">
        <f>IF(E268=1,Orders!Y265,"")</f>
        <v>0.63</v>
      </c>
      <c r="AQ268" s="33">
        <f>IF(Orders!X265,1,0)</f>
        <v>0</v>
      </c>
      <c r="AR268" s="34" t="str">
        <f>IF(AND(E268=1,L268=1),AJ268,"")</f>
        <v/>
      </c>
      <c r="AS268" s="34">
        <f>IF(AND(E268=1,L268=0),AJ268,"")</f>
        <v>2.9</v>
      </c>
      <c r="AT268" s="34" t="str">
        <f>IF(AND(E268=1,L268=1),AI268,"")</f>
        <v/>
      </c>
      <c r="AU268" s="34">
        <f>IF(AND(E268=1,L268=0),AI268,"")</f>
        <v>1.9</v>
      </c>
      <c r="AV268" s="34" t="str">
        <f>IF(AND(E268=1,L268=1),AG268,"")</f>
        <v/>
      </c>
      <c r="AW268" s="34">
        <f>IF(AND(E268=1,L268=0),AG268,"")</f>
        <v>10.8</v>
      </c>
      <c r="AX268" s="34" t="str">
        <f>IF(AND(E268=1,L268=1),AH268,"")</f>
        <v/>
      </c>
      <c r="AY268" s="34">
        <f>IF(AND(E268=1,L268=0),AH268,"")</f>
        <v>9.9</v>
      </c>
      <c r="AZ268" s="34" t="str">
        <f>IF(G268=1,F268,"")</f>
        <v/>
      </c>
      <c r="BA268" s="34" t="str">
        <f>IF(AND(G268=1,L268=1),F268,"")</f>
        <v/>
      </c>
      <c r="BB268" s="34" t="str">
        <f>IF(AND(G268=1,L268=0),F268,"")</f>
        <v/>
      </c>
      <c r="BC268" s="33">
        <f>IF(E268=1,IF(Orders!R265&gt;3,1,0),"")</f>
        <v>0</v>
      </c>
      <c r="BD268" s="33">
        <f>IF(E268=1,IF(Orders!R265&gt;7,1,0),"")</f>
        <v>0</v>
      </c>
      <c r="BE268" s="32" t="str">
        <f>IF(E268=1,IF(Orders!L265&lt;=1.5,"Up to 1.5 km",IF(Orders!L265&lt;=3,"1.5–3 km","Over 3 km")),"")</f>
        <v>1.5–3 km</v>
      </c>
      <c r="BF268" s="33">
        <f>IF(E268=1,IF(ABS((Orders!G265-Orders!F265)*1440-Orders!R265)&lt;0.06,1,0),"")</f>
        <v>1</v>
      </c>
      <c r="BG268" s="33">
        <f>IF(ABS((Orders!F265-Orders!E265)*1440-Orders!P265)&lt;0.06,1,0)</f>
        <v>1</v>
      </c>
      <c r="BH268" s="33">
        <f>IF(E268=1,IF(IF(Orders!S265,1,0)=1-G268,1,0),"")</f>
        <v>1</v>
      </c>
      <c r="BI268" s="32" t="str">
        <f>INDEX(Stores!$B$2:$B$21,MATCH(B268,Stores!$A$2:$A$21,0))</f>
        <v>Hyderabad</v>
      </c>
    </row>
    <row r="269">
      <c r="A269" s="32" t="str">
        <f>Orders!A266</f>
        <v>O00265</v>
      </c>
      <c r="B269" s="32" t="str">
        <f>Orders!C266</f>
        <v>S004</v>
      </c>
      <c r="C269" s="32" t="str">
        <f>Orders!B266</f>
        <v>C0097</v>
      </c>
      <c r="D269" s="32" t="str">
        <f>Orders!H266</f>
        <v>Delivered</v>
      </c>
      <c r="E269" s="33">
        <f>IF(Orders!H266="Delivered",1,0)</f>
        <v>1</v>
      </c>
      <c r="F269" s="34">
        <f>IF(E269=1,Orders!R266,"")</f>
        <v>-0.4</v>
      </c>
      <c r="G269" s="33">
        <f>IF(E269=1,IF(Orders!R266&gt;0,1,0),"")</f>
        <v>0</v>
      </c>
      <c r="H269" s="33">
        <f>IF(E269=1,IF(Orders!R266&gt;5,1,0),"")</f>
        <v>0</v>
      </c>
      <c r="I269" s="32" t="str">
        <f>IF(E269=1,"",IF(OR(Orders!T266="Rider unavailable",Orders!T266="Item unavailable"),"Company-caused","Unresolved"))</f>
        <v/>
      </c>
      <c r="J269" s="33">
        <f>IF(OR(E269=1,I269="Company-caused"),1,0)</f>
        <v>1</v>
      </c>
      <c r="K269" s="32" t="str">
        <f>IF(E269=0,IF(I269="Company-caused",IF(Orders!T266="Rider unavailable","C1 Rider unavailable","C2 Item unavailable"),"Outside root: unresolved"),IF(G269=0,"A On time",IF(H269=1,IF(L269=1,"B2a Severe, peak","B2b Severe, off-peak"),IF(L269=1,"B1a Slight, peak","B1b Slight, off-peak"))))</f>
        <v>A On time</v>
      </c>
      <c r="L269" s="33">
        <f>IF(AND(Orders!U266&gt;=19,Orders!U266&lt;22),1,0)</f>
        <v>0</v>
      </c>
      <c r="M269" s="33">
        <f>IF(L269=IF(Orders!V266,1,0),1,0)</f>
        <v>1</v>
      </c>
      <c r="N269" s="32" t="str">
        <f>IF(Orders!W266="","None",Orders!W266)</f>
        <v>None</v>
      </c>
      <c r="O269" s="35">
        <f>INT(Orders!E266)</f>
        <v>46276.0</v>
      </c>
      <c r="P269" s="33">
        <f>Orders!U266</f>
        <v>18</v>
      </c>
      <c r="Q269" s="33">
        <f>COUNTIFS(Demand!$A$2:$A$4481,B269,Demand!$B$2:$B$4481,O269,Demand!$C$2:$C$4481,P269)</f>
        <v>1</v>
      </c>
      <c r="R269" s="33">
        <f>IF(Q269=1,SUMIFS(Demand!$E$2:$E$4481,Demand!$A$2:$A$4481,B269,Demand!$B$2:$B$4481,O269,Demand!$C$2:$C$4481,P269),"")</f>
        <v>34</v>
      </c>
      <c r="S269" s="33">
        <f>INDEX(Stores!$G$2:$G$21,MATCH(B269,Stores!$A$2:$A$21,0))</f>
        <v>42</v>
      </c>
      <c r="T269" s="34">
        <f>IF(R269="","",R269/S269)</f>
        <v>0.80952380952381</v>
      </c>
      <c r="U269" s="34">
        <f>IF(E269=1,T269,"")</f>
        <v>0.80952380952381</v>
      </c>
      <c r="V269" s="34">
        <f>IF(AND(E269=1,L269=0),T269,"")</f>
        <v>0.80952380952381</v>
      </c>
      <c r="W269" s="33">
        <f>IF(U269="","",IF(U269&lt;=Breakdowns!$C$5,1,IF(U269&lt;=Breakdowns!$C$6,2,IF(U269&lt;=Breakdowns!$C$7,3,4))))</f>
        <v>2</v>
      </c>
      <c r="X269" s="33">
        <f>IF(V269="","",IF(V269&lt;=Breakdowns!$D$5,1,IF(V269&lt;=Breakdowns!$D$6,2,IF(V269&lt;=Breakdowns!$D$7,3,4))))</f>
        <v>2</v>
      </c>
      <c r="Y269" s="34">
        <f>INDEX(Stores!$F$2:$F$21,MATCH(B269,Stores!$A$2:$A$21,0))</f>
        <v>2.19</v>
      </c>
      <c r="Z269" s="33">
        <f>IF(Y269&gt;Store_Summary!$M$2,1,0)</f>
        <v>0</v>
      </c>
      <c r="AA269" s="33">
        <f>INDEX(Stores!$C$2:$C$21,MATCH(B269,Stores!$A$2:$A$21,0))</f>
        <v>850</v>
      </c>
      <c r="AB269" s="33">
        <f>IF(AA269&lt;180,1,0)</f>
        <v>0</v>
      </c>
      <c r="AC269" s="32" t="str">
        <f>IF(Orders!D266="","",INDEX(Riders!$C$2:$C$81,MATCH(Orders!D266,Riders!$A$2:$A$81,0)))</f>
        <v>EV scooter</v>
      </c>
      <c r="AD269" s="33">
        <f>IF(Orders!D266="","",INDEX(Riders!$D$2:$D$81,MATCH(Orders!D266,Riders!$A$2:$A$81,0)))</f>
        <v>11</v>
      </c>
      <c r="AE269" s="33">
        <f>IF(Orders!D266="","",IF(INDEX(Riders!$B$2:$B$81,MATCH(Orders!D266,Riders!$A$2:$A$81,0))=B269,1,0))</f>
        <v>0</v>
      </c>
      <c r="AF269" s="34">
        <f>IF(E269=1,Orders!L266,"")</f>
        <v>3.12</v>
      </c>
      <c r="AG269" s="34">
        <f>IF(E269=1,Orders!P266,"")</f>
        <v>12.8</v>
      </c>
      <c r="AH269" s="34">
        <f>IF(E269=1,Orders!Q266,"")</f>
        <v>12.4</v>
      </c>
      <c r="AI269" s="34">
        <f>IF(E269=1,Orders!M266,"")</f>
        <v>1.2</v>
      </c>
      <c r="AJ269" s="34">
        <f>IF(E269=1,Orders!N266,"")</f>
        <v>3.7</v>
      </c>
      <c r="AK269" s="34">
        <f>IF(E269=1,Orders!O266,"")</f>
        <v>7.5</v>
      </c>
      <c r="AL269" s="33">
        <f>IF(E269=1,IF(ROUND(ABS(AI269+AJ269+AK269-AH269),6)&lt;=0.1,1,0),"")</f>
        <v>1</v>
      </c>
      <c r="AM269" s="36">
        <f>IF(E269=1,AI269/AH269,"")</f>
        <v>0.0967741935483871</v>
      </c>
      <c r="AN269" s="36">
        <f>IF(E269=1,AJ269/AH269,"")</f>
        <v>0.298387096774194</v>
      </c>
      <c r="AO269" s="36">
        <f>IF(E269=1,AK269/AH269,"")</f>
        <v>0.604838709677419</v>
      </c>
      <c r="AP269" s="34">
        <f>IF(E269=1,Orders!Y266,"")</f>
        <v>0.4</v>
      </c>
      <c r="AQ269" s="33">
        <f>IF(Orders!X266,1,0)</f>
        <v>0</v>
      </c>
      <c r="AR269" s="34" t="str">
        <f>IF(AND(E269=1,L269=1),AJ269,"")</f>
        <v/>
      </c>
      <c r="AS269" s="34">
        <f>IF(AND(E269=1,L269=0),AJ269,"")</f>
        <v>3.7</v>
      </c>
      <c r="AT269" s="34" t="str">
        <f>IF(AND(E269=1,L269=1),AI269,"")</f>
        <v/>
      </c>
      <c r="AU269" s="34">
        <f>IF(AND(E269=1,L269=0),AI269,"")</f>
        <v>1.2</v>
      </c>
      <c r="AV269" s="34" t="str">
        <f>IF(AND(E269=1,L269=1),AG269,"")</f>
        <v/>
      </c>
      <c r="AW269" s="34">
        <f>IF(AND(E269=1,L269=0),AG269,"")</f>
        <v>12.8</v>
      </c>
      <c r="AX269" s="34" t="str">
        <f>IF(AND(E269=1,L269=1),AH269,"")</f>
        <v/>
      </c>
      <c r="AY269" s="34">
        <f>IF(AND(E269=1,L269=0),AH269,"")</f>
        <v>12.4</v>
      </c>
      <c r="AZ269" s="34" t="str">
        <f>IF(G269=1,F269,"")</f>
        <v/>
      </c>
      <c r="BA269" s="34" t="str">
        <f>IF(AND(G269=1,L269=1),F269,"")</f>
        <v/>
      </c>
      <c r="BB269" s="34" t="str">
        <f>IF(AND(G269=1,L269=0),F269,"")</f>
        <v/>
      </c>
      <c r="BC269" s="33">
        <f>IF(E269=1,IF(Orders!R266&gt;3,1,0),"")</f>
        <v>0</v>
      </c>
      <c r="BD269" s="33">
        <f>IF(E269=1,IF(Orders!R266&gt;7,1,0),"")</f>
        <v>0</v>
      </c>
      <c r="BE269" s="32" t="str">
        <f>IF(E269=1,IF(Orders!L266&lt;=1.5,"Up to 1.5 km",IF(Orders!L266&lt;=3,"1.5–3 km","Over 3 km")),"")</f>
        <v>Over 3 km</v>
      </c>
      <c r="BF269" s="33">
        <f>IF(E269=1,IF(ABS((Orders!G266-Orders!F266)*1440-Orders!R266)&lt;0.06,1,0),"")</f>
        <v>1</v>
      </c>
      <c r="BG269" s="33">
        <f>IF(ABS((Orders!F266-Orders!E266)*1440-Orders!P266)&lt;0.06,1,0)</f>
        <v>1</v>
      </c>
      <c r="BH269" s="33">
        <f>IF(E269=1,IF(IF(Orders!S266,1,0)=1-G269,1,0),"")</f>
        <v>1</v>
      </c>
      <c r="BI269" s="32" t="str">
        <f>INDEX(Stores!$B$2:$B$21,MATCH(B269,Stores!$A$2:$A$21,0))</f>
        <v>Pune</v>
      </c>
    </row>
    <row r="270">
      <c r="A270" s="32" t="str">
        <f>Orders!A267</f>
        <v>O00266</v>
      </c>
      <c r="B270" s="32" t="str">
        <f>Orders!C267</f>
        <v>S014</v>
      </c>
      <c r="C270" s="32" t="str">
        <f>Orders!B267</f>
        <v>C0115</v>
      </c>
      <c r="D270" s="32" t="str">
        <f>Orders!H267</f>
        <v>Delivered</v>
      </c>
      <c r="E270" s="33">
        <f>IF(Orders!H267="Delivered",1,0)</f>
        <v>1</v>
      </c>
      <c r="F270" s="34">
        <f>IF(E270=1,Orders!R267,"")</f>
        <v>14.2</v>
      </c>
      <c r="G270" s="33">
        <f>IF(E270=1,IF(Orders!R267&gt;0,1,0),"")</f>
        <v>1</v>
      </c>
      <c r="H270" s="33">
        <f>IF(E270=1,IF(Orders!R267&gt;5,1,0),"")</f>
        <v>1</v>
      </c>
      <c r="I270" s="32" t="str">
        <f>IF(E270=1,"",IF(OR(Orders!T267="Rider unavailable",Orders!T267="Item unavailable"),"Company-caused","Unresolved"))</f>
        <v/>
      </c>
      <c r="J270" s="33">
        <f>IF(OR(E270=1,I270="Company-caused"),1,0)</f>
        <v>1</v>
      </c>
      <c r="K270" s="32" t="str">
        <f>IF(E270=0,IF(I270="Company-caused",IF(Orders!T267="Rider unavailable","C1 Rider unavailable","C2 Item unavailable"),"Outside root: unresolved"),IF(G270=0,"A On time",IF(H270=1,IF(L270=1,"B2a Severe, peak","B2b Severe, off-peak"),IF(L270=1,"B1a Slight, peak","B1b Slight, off-peak"))))</f>
        <v>B2b Severe, off-peak</v>
      </c>
      <c r="L270" s="33">
        <f>IF(AND(Orders!U267&gt;=19,Orders!U267&lt;22),1,0)</f>
        <v>0</v>
      </c>
      <c r="M270" s="33">
        <f>IF(L270=IF(Orders!V267,1,0),1,0)</f>
        <v>1</v>
      </c>
      <c r="N270" s="32" t="str">
        <f>IF(Orders!W267="","None",Orders!W267)</f>
        <v>Heavy</v>
      </c>
      <c r="O270" s="35">
        <f>INT(Orders!E267)</f>
        <v>46275.0</v>
      </c>
      <c r="P270" s="33">
        <f>Orders!U267</f>
        <v>11</v>
      </c>
      <c r="Q270" s="33">
        <f>COUNTIFS(Demand!$A$2:$A$4481,B270,Demand!$B$2:$B$4481,O270,Demand!$C$2:$C$4481,P270)</f>
        <v>1</v>
      </c>
      <c r="R270" s="33">
        <f>IF(Q270=1,SUMIFS(Demand!$E$2:$E$4481,Demand!$A$2:$A$4481,B270,Demand!$B$2:$B$4481,O270,Demand!$C$2:$C$4481,P270),"")</f>
        <v>31</v>
      </c>
      <c r="S270" s="33">
        <f>INDEX(Stores!$G$2:$G$21,MATCH(B270,Stores!$A$2:$A$21,0))</f>
        <v>37</v>
      </c>
      <c r="T270" s="34">
        <f>IF(R270="","",R270/S270)</f>
        <v>0.837837837837838</v>
      </c>
      <c r="U270" s="34">
        <f>IF(E270=1,T270,"")</f>
        <v>0.837837837837838</v>
      </c>
      <c r="V270" s="34">
        <f>IF(AND(E270=1,L270=0),T270,"")</f>
        <v>0.837837837837838</v>
      </c>
      <c r="W270" s="33">
        <f>IF(U270="","",IF(U270&lt;=Breakdowns!$C$5,1,IF(U270&lt;=Breakdowns!$C$6,2,IF(U270&lt;=Breakdowns!$C$7,3,4))))</f>
        <v>2</v>
      </c>
      <c r="X270" s="33">
        <f>IF(V270="","",IF(V270&lt;=Breakdowns!$D$5,1,IF(V270&lt;=Breakdowns!$D$6,2,IF(V270&lt;=Breakdowns!$D$7,3,4))))</f>
        <v>2</v>
      </c>
      <c r="Y270" s="34">
        <f>INDEX(Stores!$F$2:$F$21,MATCH(B270,Stores!$A$2:$A$21,0))</f>
        <v>5.55</v>
      </c>
      <c r="Z270" s="33">
        <f>IF(Y270&gt;Store_Summary!$M$2,1,0)</f>
        <v>1</v>
      </c>
      <c r="AA270" s="33">
        <f>INDEX(Stores!$C$2:$C$21,MATCH(B270,Stores!$A$2:$A$21,0))</f>
        <v>241</v>
      </c>
      <c r="AB270" s="33">
        <f>IF(AA270&lt;180,1,0)</f>
        <v>0</v>
      </c>
      <c r="AC270" s="32" t="str">
        <f>IF(Orders!D267="","",INDEX(Riders!$C$2:$C$81,MATCH(Orders!D267,Riders!$A$2:$A$81,0)))</f>
        <v>Petrol scooter</v>
      </c>
      <c r="AD270" s="33">
        <f>IF(Orders!D267="","",INDEX(Riders!$D$2:$D$81,MATCH(Orders!D267,Riders!$A$2:$A$81,0)))</f>
        <v>29</v>
      </c>
      <c r="AE270" s="33">
        <f>IF(Orders!D267="","",IF(INDEX(Riders!$B$2:$B$81,MATCH(Orders!D267,Riders!$A$2:$A$81,0))=B270,1,0))</f>
        <v>0</v>
      </c>
      <c r="AF270" s="34">
        <f>IF(E270=1,Orders!L267,"")</f>
        <v>3.3</v>
      </c>
      <c r="AG270" s="34">
        <f>IF(E270=1,Orders!P267,"")</f>
        <v>8.6</v>
      </c>
      <c r="AH270" s="34">
        <f>IF(E270=1,Orders!Q267,"")</f>
        <v>22.8</v>
      </c>
      <c r="AI270" s="34">
        <f>IF(E270=1,Orders!M267,"")</f>
        <v>7.4</v>
      </c>
      <c r="AJ270" s="34">
        <f>IF(E270=1,Orders!N267,"")</f>
        <v>6.7</v>
      </c>
      <c r="AK270" s="34">
        <f>IF(E270=1,Orders!O267,"")</f>
        <v>8.7</v>
      </c>
      <c r="AL270" s="33">
        <f>IF(E270=1,IF(ROUND(ABS(AI270+AJ270+AK270-AH270),6)&lt;=0.1,1,0),"")</f>
        <v>1</v>
      </c>
      <c r="AM270" s="36">
        <f>IF(E270=1,AI270/AH270,"")</f>
        <v>0.324561403508772</v>
      </c>
      <c r="AN270" s="36">
        <f>IF(E270=1,AJ270/AH270,"")</f>
        <v>0.293859649122807</v>
      </c>
      <c r="AO270" s="36">
        <f>IF(E270=1,AK270/AH270,"")</f>
        <v>0.381578947368421</v>
      </c>
      <c r="AP270" s="34">
        <f>IF(E270=1,Orders!Y267,"")</f>
        <v>0.22</v>
      </c>
      <c r="AQ270" s="33">
        <f>IF(Orders!X267,1,0)</f>
        <v>0</v>
      </c>
      <c r="AR270" s="34" t="str">
        <f>IF(AND(E270=1,L270=1),AJ270,"")</f>
        <v/>
      </c>
      <c r="AS270" s="34">
        <f>IF(AND(E270=1,L270=0),AJ270,"")</f>
        <v>6.7</v>
      </c>
      <c r="AT270" s="34" t="str">
        <f>IF(AND(E270=1,L270=1),AI270,"")</f>
        <v/>
      </c>
      <c r="AU270" s="34">
        <f>IF(AND(E270=1,L270=0),AI270,"")</f>
        <v>7.4</v>
      </c>
      <c r="AV270" s="34" t="str">
        <f>IF(AND(E270=1,L270=1),AG270,"")</f>
        <v/>
      </c>
      <c r="AW270" s="34">
        <f>IF(AND(E270=1,L270=0),AG270,"")</f>
        <v>8.6</v>
      </c>
      <c r="AX270" s="34" t="str">
        <f>IF(AND(E270=1,L270=1),AH270,"")</f>
        <v/>
      </c>
      <c r="AY270" s="34">
        <f>IF(AND(E270=1,L270=0),AH270,"")</f>
        <v>22.8</v>
      </c>
      <c r="AZ270" s="34">
        <f>IF(G270=1,F270,"")</f>
        <v>14.2</v>
      </c>
      <c r="BA270" s="34" t="str">
        <f>IF(AND(G270=1,L270=1),F270,"")</f>
        <v/>
      </c>
      <c r="BB270" s="34">
        <f>IF(AND(G270=1,L270=0),F270,"")</f>
        <v>14.2</v>
      </c>
      <c r="BC270" s="33">
        <f>IF(E270=1,IF(Orders!R267&gt;3,1,0),"")</f>
        <v>1</v>
      </c>
      <c r="BD270" s="33">
        <f>IF(E270=1,IF(Orders!R267&gt;7,1,0),"")</f>
        <v>1</v>
      </c>
      <c r="BE270" s="32" t="str">
        <f>IF(E270=1,IF(Orders!L267&lt;=1.5,"Up to 1.5 km",IF(Orders!L267&lt;=3,"1.5–3 km","Over 3 km")),"")</f>
        <v>Over 3 km</v>
      </c>
      <c r="BF270" s="33">
        <f>IF(E270=1,IF(ABS((Orders!G267-Orders!F267)*1440-Orders!R267)&lt;0.06,1,0),"")</f>
        <v>1</v>
      </c>
      <c r="BG270" s="33">
        <f>IF(ABS((Orders!F267-Orders!E267)*1440-Orders!P267)&lt;0.06,1,0)</f>
        <v>1</v>
      </c>
      <c r="BH270" s="33">
        <f>IF(E270=1,IF(IF(Orders!S267,1,0)=1-G270,1,0),"")</f>
        <v>1</v>
      </c>
      <c r="BI270" s="32" t="str">
        <f>INDEX(Stores!$B$2:$B$21,MATCH(B270,Stores!$A$2:$A$21,0))</f>
        <v>Pune</v>
      </c>
    </row>
    <row r="271">
      <c r="A271" s="32" t="str">
        <f>Orders!A268</f>
        <v>O00267</v>
      </c>
      <c r="B271" s="32" t="str">
        <f>Orders!C268</f>
        <v>S016</v>
      </c>
      <c r="C271" s="32" t="str">
        <f>Orders!B268</f>
        <v>C0033</v>
      </c>
      <c r="D271" s="32" t="str">
        <f>Orders!H268</f>
        <v>Delivered</v>
      </c>
      <c r="E271" s="33">
        <f>IF(Orders!H268="Delivered",1,0)</f>
        <v>1</v>
      </c>
      <c r="F271" s="34">
        <f>IF(E271=1,Orders!R268,"")</f>
        <v>-0.6</v>
      </c>
      <c r="G271" s="33">
        <f>IF(E271=1,IF(Orders!R268&gt;0,1,0),"")</f>
        <v>0</v>
      </c>
      <c r="H271" s="33">
        <f>IF(E271=1,IF(Orders!R268&gt;5,1,0),"")</f>
        <v>0</v>
      </c>
      <c r="I271" s="32" t="str">
        <f>IF(E271=1,"",IF(OR(Orders!T268="Rider unavailable",Orders!T268="Item unavailable"),"Company-caused","Unresolved"))</f>
        <v/>
      </c>
      <c r="J271" s="33">
        <f>IF(OR(E271=1,I271="Company-caused"),1,0)</f>
        <v>1</v>
      </c>
      <c r="K271" s="32" t="str">
        <f>IF(E271=0,IF(I271="Company-caused",IF(Orders!T268="Rider unavailable","C1 Rider unavailable","C2 Item unavailable"),"Outside root: unresolved"),IF(G271=0,"A On time",IF(H271=1,IF(L271=1,"B2a Severe, peak","B2b Severe, off-peak"),IF(L271=1,"B1a Slight, peak","B1b Slight, off-peak"))))</f>
        <v>A On time</v>
      </c>
      <c r="L271" s="33">
        <f>IF(AND(Orders!U268&gt;=19,Orders!U268&lt;22),1,0)</f>
        <v>0</v>
      </c>
      <c r="M271" s="33">
        <f>IF(L271=IF(Orders!V268,1,0),1,0)</f>
        <v>1</v>
      </c>
      <c r="N271" s="32" t="str">
        <f>IF(Orders!W268="","None",Orders!W268)</f>
        <v>None</v>
      </c>
      <c r="O271" s="35">
        <f>INT(Orders!E268)</f>
        <v>46271.0</v>
      </c>
      <c r="P271" s="33">
        <f>Orders!U268</f>
        <v>17</v>
      </c>
      <c r="Q271" s="33">
        <f>COUNTIFS(Demand!$A$2:$A$4481,B271,Demand!$B$2:$B$4481,O271,Demand!$C$2:$C$4481,P271)</f>
        <v>1</v>
      </c>
      <c r="R271" s="33">
        <f>IF(Q271=1,SUMIFS(Demand!$E$2:$E$4481,Demand!$A$2:$A$4481,B271,Demand!$B$2:$B$4481,O271,Demand!$C$2:$C$4481,P271),"")</f>
        <v>27</v>
      </c>
      <c r="S271" s="33">
        <f>INDEX(Stores!$G$2:$G$21,MATCH(B271,Stores!$A$2:$A$21,0))</f>
        <v>25</v>
      </c>
      <c r="T271" s="34">
        <f>IF(R271="","",R271/S271)</f>
        <v>1.08</v>
      </c>
      <c r="U271" s="34">
        <f>IF(E271=1,T271,"")</f>
        <v>1.08</v>
      </c>
      <c r="V271" s="34">
        <f>IF(AND(E271=1,L271=0),T271,"")</f>
        <v>1.08</v>
      </c>
      <c r="W271" s="33">
        <f>IF(U271="","",IF(U271&lt;=Breakdowns!$C$5,1,IF(U271&lt;=Breakdowns!$C$6,2,IF(U271&lt;=Breakdowns!$C$7,3,4))))</f>
        <v>3</v>
      </c>
      <c r="X271" s="33">
        <f>IF(V271="","",IF(V271&lt;=Breakdowns!$D$5,1,IF(V271&lt;=Breakdowns!$D$6,2,IF(V271&lt;=Breakdowns!$D$7,3,4))))</f>
        <v>4</v>
      </c>
      <c r="Y271" s="34">
        <f>INDEX(Stores!$F$2:$F$21,MATCH(B271,Stores!$A$2:$A$21,0))</f>
        <v>5.51</v>
      </c>
      <c r="Z271" s="33">
        <f>IF(Y271&gt;Store_Summary!$M$2,1,0)</f>
        <v>1</v>
      </c>
      <c r="AA271" s="33">
        <f>INDEX(Stores!$C$2:$C$21,MATCH(B271,Stores!$A$2:$A$21,0))</f>
        <v>792</v>
      </c>
      <c r="AB271" s="33">
        <f>IF(AA271&lt;180,1,0)</f>
        <v>0</v>
      </c>
      <c r="AC271" s="32" t="str">
        <f>IF(Orders!D268="","",INDEX(Riders!$C$2:$C$81,MATCH(Orders!D268,Riders!$A$2:$A$81,0)))</f>
        <v>EV scooter</v>
      </c>
      <c r="AD271" s="33">
        <f>IF(Orders!D268="","",INDEX(Riders!$D$2:$D$81,MATCH(Orders!D268,Riders!$A$2:$A$81,0)))</f>
        <v>27</v>
      </c>
      <c r="AE271" s="33">
        <f>IF(Orders!D268="","",IF(INDEX(Riders!$B$2:$B$81,MATCH(Orders!D268,Riders!$A$2:$A$81,0))=B271,1,0))</f>
        <v>0</v>
      </c>
      <c r="AF271" s="34">
        <f>IF(E271=1,Orders!L268,"")</f>
        <v>0.71</v>
      </c>
      <c r="AG271" s="34">
        <f>IF(E271=1,Orders!P268,"")</f>
        <v>10.5</v>
      </c>
      <c r="AH271" s="34">
        <f>IF(E271=1,Orders!Q268,"")</f>
        <v>9.9</v>
      </c>
      <c r="AI271" s="34">
        <f>IF(E271=1,Orders!M268,"")</f>
        <v>4.8</v>
      </c>
      <c r="AJ271" s="34">
        <f>IF(E271=1,Orders!N268,"")</f>
        <v>3</v>
      </c>
      <c r="AK271" s="34">
        <f>IF(E271=1,Orders!O268,"")</f>
        <v>2.1</v>
      </c>
      <c r="AL271" s="33">
        <f>IF(E271=1,IF(ROUND(ABS(AI271+AJ271+AK271-AH271),6)&lt;=0.1,1,0),"")</f>
        <v>1</v>
      </c>
      <c r="AM271" s="36">
        <f>IF(E271=1,AI271/AH271,"")</f>
        <v>0.484848484848485</v>
      </c>
      <c r="AN271" s="36">
        <f>IF(E271=1,AJ271/AH271,"")</f>
        <v>0.303030303030303</v>
      </c>
      <c r="AO271" s="36">
        <f>IF(E271=1,AK271/AH271,"")</f>
        <v>0.212121212121212</v>
      </c>
      <c r="AP271" s="34">
        <f>IF(E271=1,Orders!Y268,"")</f>
        <v>0.46</v>
      </c>
      <c r="AQ271" s="33">
        <f>IF(Orders!X268,1,0)</f>
        <v>0</v>
      </c>
      <c r="AR271" s="34" t="str">
        <f>IF(AND(E271=1,L271=1),AJ271,"")</f>
        <v/>
      </c>
      <c r="AS271" s="34">
        <f>IF(AND(E271=1,L271=0),AJ271,"")</f>
        <v>3</v>
      </c>
      <c r="AT271" s="34" t="str">
        <f>IF(AND(E271=1,L271=1),AI271,"")</f>
        <v/>
      </c>
      <c r="AU271" s="34">
        <f>IF(AND(E271=1,L271=0),AI271,"")</f>
        <v>4.8</v>
      </c>
      <c r="AV271" s="34" t="str">
        <f>IF(AND(E271=1,L271=1),AG271,"")</f>
        <v/>
      </c>
      <c r="AW271" s="34">
        <f>IF(AND(E271=1,L271=0),AG271,"")</f>
        <v>10.5</v>
      </c>
      <c r="AX271" s="34" t="str">
        <f>IF(AND(E271=1,L271=1),AH271,"")</f>
        <v/>
      </c>
      <c r="AY271" s="34">
        <f>IF(AND(E271=1,L271=0),AH271,"")</f>
        <v>9.9</v>
      </c>
      <c r="AZ271" s="34" t="str">
        <f>IF(G271=1,F271,"")</f>
        <v/>
      </c>
      <c r="BA271" s="34" t="str">
        <f>IF(AND(G271=1,L271=1),F271,"")</f>
        <v/>
      </c>
      <c r="BB271" s="34" t="str">
        <f>IF(AND(G271=1,L271=0),F271,"")</f>
        <v/>
      </c>
      <c r="BC271" s="33">
        <f>IF(E271=1,IF(Orders!R268&gt;3,1,0),"")</f>
        <v>0</v>
      </c>
      <c r="BD271" s="33">
        <f>IF(E271=1,IF(Orders!R268&gt;7,1,0),"")</f>
        <v>0</v>
      </c>
      <c r="BE271" s="32" t="str">
        <f>IF(E271=1,IF(Orders!L268&lt;=1.5,"Up to 1.5 km",IF(Orders!L268&lt;=3,"1.5–3 km","Over 3 km")),"")</f>
        <v>Up to 1.5 km</v>
      </c>
      <c r="BF271" s="33">
        <f>IF(E271=1,IF(ABS((Orders!G268-Orders!F268)*1440-Orders!R268)&lt;0.06,1,0),"")</f>
        <v>1</v>
      </c>
      <c r="BG271" s="33">
        <f>IF(ABS((Orders!F268-Orders!E268)*1440-Orders!P268)&lt;0.06,1,0)</f>
        <v>1</v>
      </c>
      <c r="BH271" s="33">
        <f>IF(E271=1,IF(IF(Orders!S268,1,0)=1-G271,1,0),"")</f>
        <v>1</v>
      </c>
      <c r="BI271" s="32" t="str">
        <f>INDEX(Stores!$B$2:$B$21,MATCH(B271,Stores!$A$2:$A$21,0))</f>
        <v>Bengaluru</v>
      </c>
    </row>
    <row r="272">
      <c r="A272" s="32" t="str">
        <f>Orders!A269</f>
        <v>O00268</v>
      </c>
      <c r="B272" s="32" t="str">
        <f>Orders!C269</f>
        <v>S012</v>
      </c>
      <c r="C272" s="32" t="str">
        <f>Orders!B269</f>
        <v>C0164</v>
      </c>
      <c r="D272" s="32" t="str">
        <f>Orders!H269</f>
        <v>Delivered</v>
      </c>
      <c r="E272" s="33">
        <f>IF(Orders!H269="Delivered",1,0)</f>
        <v>1</v>
      </c>
      <c r="F272" s="34">
        <f>IF(E272=1,Orders!R269,"")</f>
        <v>-0.7</v>
      </c>
      <c r="G272" s="33">
        <f>IF(E272=1,IF(Orders!R269&gt;0,1,0),"")</f>
        <v>0</v>
      </c>
      <c r="H272" s="33">
        <f>IF(E272=1,IF(Orders!R269&gt;5,1,0),"")</f>
        <v>0</v>
      </c>
      <c r="I272" s="32" t="str">
        <f>IF(E272=1,"",IF(OR(Orders!T269="Rider unavailable",Orders!T269="Item unavailable"),"Company-caused","Unresolved"))</f>
        <v/>
      </c>
      <c r="J272" s="33">
        <f>IF(OR(E272=1,I272="Company-caused"),1,0)</f>
        <v>1</v>
      </c>
      <c r="K272" s="32" t="str">
        <f>IF(E272=0,IF(I272="Company-caused",IF(Orders!T269="Rider unavailable","C1 Rider unavailable","C2 Item unavailable"),"Outside root: unresolved"),IF(G272=0,"A On time",IF(H272=1,IF(L272=1,"B2a Severe, peak","B2b Severe, off-peak"),IF(L272=1,"B1a Slight, peak","B1b Slight, off-peak"))))</f>
        <v>A On time</v>
      </c>
      <c r="L272" s="33">
        <f>IF(AND(Orders!U269&gt;=19,Orders!U269&lt;22),1,0)</f>
        <v>0</v>
      </c>
      <c r="M272" s="33">
        <f>IF(L272=IF(Orders!V269,1,0),1,0)</f>
        <v>1</v>
      </c>
      <c r="N272" s="32" t="str">
        <f>IF(Orders!W269="","None",Orders!W269)</f>
        <v>None</v>
      </c>
      <c r="O272" s="35">
        <f>INT(Orders!E269)</f>
        <v>46271.0</v>
      </c>
      <c r="P272" s="33">
        <f>Orders!U269</f>
        <v>18</v>
      </c>
      <c r="Q272" s="33">
        <f>COUNTIFS(Demand!$A$2:$A$4481,B272,Demand!$B$2:$B$4481,O272,Demand!$C$2:$C$4481,P272)</f>
        <v>1</v>
      </c>
      <c r="R272" s="33">
        <f>IF(Q272=1,SUMIFS(Demand!$E$2:$E$4481,Demand!$A$2:$A$4481,B272,Demand!$B$2:$B$4481,O272,Demand!$C$2:$C$4481,P272),"")</f>
        <v>21</v>
      </c>
      <c r="S272" s="33">
        <f>INDEX(Stores!$G$2:$G$21,MATCH(B272,Stores!$A$2:$A$21,0))</f>
        <v>15</v>
      </c>
      <c r="T272" s="34">
        <f>IF(R272="","",R272/S272)</f>
        <v>1.4</v>
      </c>
      <c r="U272" s="34">
        <f>IF(E272=1,T272,"")</f>
        <v>1.4</v>
      </c>
      <c r="V272" s="34">
        <f>IF(AND(E272=1,L272=0),T272,"")</f>
        <v>1.4</v>
      </c>
      <c r="W272" s="33">
        <f>IF(U272="","",IF(U272&lt;=Breakdowns!$C$5,1,IF(U272&lt;=Breakdowns!$C$6,2,IF(U272&lt;=Breakdowns!$C$7,3,4))))</f>
        <v>4</v>
      </c>
      <c r="X272" s="33">
        <f>IF(V272="","",IF(V272&lt;=Breakdowns!$D$5,1,IF(V272&lt;=Breakdowns!$D$6,2,IF(V272&lt;=Breakdowns!$D$7,3,4))))</f>
        <v>4</v>
      </c>
      <c r="Y272" s="34">
        <f>INDEX(Stores!$F$2:$F$21,MATCH(B272,Stores!$A$2:$A$21,0))</f>
        <v>5.23</v>
      </c>
      <c r="Z272" s="33">
        <f>IF(Y272&gt;Store_Summary!$M$2,1,0)</f>
        <v>1</v>
      </c>
      <c r="AA272" s="33">
        <f>INDEX(Stores!$C$2:$C$21,MATCH(B272,Stores!$A$2:$A$21,0))</f>
        <v>300</v>
      </c>
      <c r="AB272" s="33">
        <f>IF(AA272&lt;180,1,0)</f>
        <v>0</v>
      </c>
      <c r="AC272" s="32" t="str">
        <f>IF(Orders!D269="","",INDEX(Riders!$C$2:$C$81,MATCH(Orders!D269,Riders!$A$2:$A$81,0)))</f>
        <v>EV scooter</v>
      </c>
      <c r="AD272" s="33">
        <f>IF(Orders!D269="","",INDEX(Riders!$D$2:$D$81,MATCH(Orders!D269,Riders!$A$2:$A$81,0)))</f>
        <v>38</v>
      </c>
      <c r="AE272" s="33">
        <f>IF(Orders!D269="","",IF(INDEX(Riders!$B$2:$B$81,MATCH(Orders!D269,Riders!$A$2:$A$81,0))=B272,1,0))</f>
        <v>0</v>
      </c>
      <c r="AF272" s="34">
        <f>IF(E272=1,Orders!L269,"")</f>
        <v>0.79</v>
      </c>
      <c r="AG272" s="34">
        <f>IF(E272=1,Orders!P269,"")</f>
        <v>9.2</v>
      </c>
      <c r="AH272" s="34">
        <f>IF(E272=1,Orders!Q269,"")</f>
        <v>8.5</v>
      </c>
      <c r="AI272" s="34">
        <f>IF(E272=1,Orders!M269,"")</f>
        <v>3.2</v>
      </c>
      <c r="AJ272" s="34">
        <f>IF(E272=1,Orders!N269,"")</f>
        <v>3.9</v>
      </c>
      <c r="AK272" s="34">
        <f>IF(E272=1,Orders!O269,"")</f>
        <v>1.4</v>
      </c>
      <c r="AL272" s="33">
        <f>IF(E272=1,IF(ROUND(ABS(AI272+AJ272+AK272-AH272),6)&lt;=0.1,1,0),"")</f>
        <v>1</v>
      </c>
      <c r="AM272" s="36">
        <f>IF(E272=1,AI272/AH272,"")</f>
        <v>0.376470588235294</v>
      </c>
      <c r="AN272" s="36">
        <f>IF(E272=1,AJ272/AH272,"")</f>
        <v>0.458823529411765</v>
      </c>
      <c r="AO272" s="36">
        <f>IF(E272=1,AK272/AH272,"")</f>
        <v>0.164705882352941</v>
      </c>
      <c r="AP272" s="34">
        <f>IF(E272=1,Orders!Y269,"")</f>
        <v>0.43</v>
      </c>
      <c r="AQ272" s="33">
        <f>IF(Orders!X269,1,0)</f>
        <v>0</v>
      </c>
      <c r="AR272" s="34" t="str">
        <f>IF(AND(E272=1,L272=1),AJ272,"")</f>
        <v/>
      </c>
      <c r="AS272" s="34">
        <f>IF(AND(E272=1,L272=0),AJ272,"")</f>
        <v>3.9</v>
      </c>
      <c r="AT272" s="34" t="str">
        <f>IF(AND(E272=1,L272=1),AI272,"")</f>
        <v/>
      </c>
      <c r="AU272" s="34">
        <f>IF(AND(E272=1,L272=0),AI272,"")</f>
        <v>3.2</v>
      </c>
      <c r="AV272" s="34" t="str">
        <f>IF(AND(E272=1,L272=1),AG272,"")</f>
        <v/>
      </c>
      <c r="AW272" s="34">
        <f>IF(AND(E272=1,L272=0),AG272,"")</f>
        <v>9.2</v>
      </c>
      <c r="AX272" s="34" t="str">
        <f>IF(AND(E272=1,L272=1),AH272,"")</f>
        <v/>
      </c>
      <c r="AY272" s="34">
        <f>IF(AND(E272=1,L272=0),AH272,"")</f>
        <v>8.5</v>
      </c>
      <c r="AZ272" s="34" t="str">
        <f>IF(G272=1,F272,"")</f>
        <v/>
      </c>
      <c r="BA272" s="34" t="str">
        <f>IF(AND(G272=1,L272=1),F272,"")</f>
        <v/>
      </c>
      <c r="BB272" s="34" t="str">
        <f>IF(AND(G272=1,L272=0),F272,"")</f>
        <v/>
      </c>
      <c r="BC272" s="33">
        <f>IF(E272=1,IF(Orders!R269&gt;3,1,0),"")</f>
        <v>0</v>
      </c>
      <c r="BD272" s="33">
        <f>IF(E272=1,IF(Orders!R269&gt;7,1,0),"")</f>
        <v>0</v>
      </c>
      <c r="BE272" s="32" t="str">
        <f>IF(E272=1,IF(Orders!L269&lt;=1.5,"Up to 1.5 km",IF(Orders!L269&lt;=3,"1.5–3 km","Over 3 km")),"")</f>
        <v>Up to 1.5 km</v>
      </c>
      <c r="BF272" s="33">
        <f>IF(E272=1,IF(ABS((Orders!G269-Orders!F269)*1440-Orders!R269)&lt;0.06,1,0),"")</f>
        <v>1</v>
      </c>
      <c r="BG272" s="33">
        <f>IF(ABS((Orders!F269-Orders!E269)*1440-Orders!P269)&lt;0.06,1,0)</f>
        <v>1</v>
      </c>
      <c r="BH272" s="33">
        <f>IF(E272=1,IF(IF(Orders!S269,1,0)=1-G272,1,0),"")</f>
        <v>1</v>
      </c>
      <c r="BI272" s="32" t="str">
        <f>INDEX(Stores!$B$2:$B$21,MATCH(B272,Stores!$A$2:$A$21,0))</f>
        <v>Hyderabad</v>
      </c>
    </row>
    <row r="273">
      <c r="A273" s="32" t="str">
        <f>Orders!A270</f>
        <v>O00269</v>
      </c>
      <c r="B273" s="32" t="str">
        <f>Orders!C270</f>
        <v>S015</v>
      </c>
      <c r="C273" s="32" t="str">
        <f>Orders!B270</f>
        <v>C0122</v>
      </c>
      <c r="D273" s="32" t="str">
        <f>Orders!H270</f>
        <v>Delivered</v>
      </c>
      <c r="E273" s="33">
        <f>IF(Orders!H270="Delivered",1,0)</f>
        <v>1</v>
      </c>
      <c r="F273" s="34">
        <f>IF(E273=1,Orders!R270,"")</f>
        <v>-0.8</v>
      </c>
      <c r="G273" s="33">
        <f>IF(E273=1,IF(Orders!R270&gt;0,1,0),"")</f>
        <v>0</v>
      </c>
      <c r="H273" s="33">
        <f>IF(E273=1,IF(Orders!R270&gt;5,1,0),"")</f>
        <v>0</v>
      </c>
      <c r="I273" s="32" t="str">
        <f>IF(E273=1,"",IF(OR(Orders!T270="Rider unavailable",Orders!T270="Item unavailable"),"Company-caused","Unresolved"))</f>
        <v/>
      </c>
      <c r="J273" s="33">
        <f>IF(OR(E273=1,I273="Company-caused"),1,0)</f>
        <v>1</v>
      </c>
      <c r="K273" s="32" t="str">
        <f>IF(E273=0,IF(I273="Company-caused",IF(Orders!T270="Rider unavailable","C1 Rider unavailable","C2 Item unavailable"),"Outside root: unresolved"),IF(G273=0,"A On time",IF(H273=1,IF(L273=1,"B2a Severe, peak","B2b Severe, off-peak"),IF(L273=1,"B1a Slight, peak","B1b Slight, off-peak"))))</f>
        <v>A On time</v>
      </c>
      <c r="L273" s="33">
        <f>IF(AND(Orders!U270&gt;=19,Orders!U270&lt;22),1,0)</f>
        <v>0</v>
      </c>
      <c r="M273" s="33">
        <f>IF(L273=IF(Orders!V270,1,0),1,0)</f>
        <v>1</v>
      </c>
      <c r="N273" s="32" t="str">
        <f>IF(Orders!W270="","None",Orders!W270)</f>
        <v>None</v>
      </c>
      <c r="O273" s="35">
        <f>INT(Orders!E270)</f>
        <v>46266.0</v>
      </c>
      <c r="P273" s="33">
        <f>Orders!U270</f>
        <v>10</v>
      </c>
      <c r="Q273" s="33">
        <f>COUNTIFS(Demand!$A$2:$A$4481,B273,Demand!$B$2:$B$4481,O273,Demand!$C$2:$C$4481,P273)</f>
        <v>1</v>
      </c>
      <c r="R273" s="33">
        <f>IF(Q273=1,SUMIFS(Demand!$E$2:$E$4481,Demand!$A$2:$A$4481,B273,Demand!$B$2:$B$4481,O273,Demand!$C$2:$C$4481,P273),"")</f>
        <v>13</v>
      </c>
      <c r="S273" s="33">
        <f>INDEX(Stores!$G$2:$G$21,MATCH(B273,Stores!$A$2:$A$21,0))</f>
        <v>23</v>
      </c>
      <c r="T273" s="34">
        <f>IF(R273="","",R273/S273)</f>
        <v>0.565217391304348</v>
      </c>
      <c r="U273" s="34">
        <f>IF(E273=1,T273,"")</f>
        <v>0.565217391304348</v>
      </c>
      <c r="V273" s="34">
        <f>IF(AND(E273=1,L273=0),T273,"")</f>
        <v>0.565217391304348</v>
      </c>
      <c r="W273" s="33">
        <f>IF(U273="","",IF(U273&lt;=Breakdowns!$C$5,1,IF(U273&lt;=Breakdowns!$C$6,2,IF(U273&lt;=Breakdowns!$C$7,3,4))))</f>
        <v>1</v>
      </c>
      <c r="X273" s="33">
        <f>IF(V273="","",IF(V273&lt;=Breakdowns!$D$5,1,IF(V273&lt;=Breakdowns!$D$6,2,IF(V273&lt;=Breakdowns!$D$7,3,4))))</f>
        <v>1</v>
      </c>
      <c r="Y273" s="34">
        <f>INDEX(Stores!$F$2:$F$21,MATCH(B273,Stores!$A$2:$A$21,0))</f>
        <v>4.66</v>
      </c>
      <c r="Z273" s="33">
        <f>IF(Y273&gt;Store_Summary!$M$2,1,0)</f>
        <v>0</v>
      </c>
      <c r="AA273" s="33">
        <f>INDEX(Stores!$C$2:$C$21,MATCH(B273,Stores!$A$2:$A$21,0))</f>
        <v>204</v>
      </c>
      <c r="AB273" s="33">
        <f>IF(AA273&lt;180,1,0)</f>
        <v>0</v>
      </c>
      <c r="AC273" s="32" t="str">
        <f>IF(Orders!D270="","",INDEX(Riders!$C$2:$C$81,MATCH(Orders!D270,Riders!$A$2:$A$81,0)))</f>
        <v>EV scooter</v>
      </c>
      <c r="AD273" s="33">
        <f>IF(Orders!D270="","",INDEX(Riders!$D$2:$D$81,MATCH(Orders!D270,Riders!$A$2:$A$81,0)))</f>
        <v>1</v>
      </c>
      <c r="AE273" s="33">
        <f>IF(Orders!D270="","",IF(INDEX(Riders!$B$2:$B$81,MATCH(Orders!D270,Riders!$A$2:$A$81,0))=B273,1,0))</f>
        <v>0</v>
      </c>
      <c r="AF273" s="34">
        <f>IF(E273=1,Orders!L270,"")</f>
        <v>0.52</v>
      </c>
      <c r="AG273" s="34">
        <f>IF(E273=1,Orders!P270,"")</f>
        <v>11</v>
      </c>
      <c r="AH273" s="34">
        <f>IF(E273=1,Orders!Q270,"")</f>
        <v>10.2</v>
      </c>
      <c r="AI273" s="34">
        <f>IF(E273=1,Orders!M270,"")</f>
        <v>3.6</v>
      </c>
      <c r="AJ273" s="34">
        <f>IF(E273=1,Orders!N270,"")</f>
        <v>4.6</v>
      </c>
      <c r="AK273" s="34">
        <f>IF(E273=1,Orders!O270,"")</f>
        <v>2</v>
      </c>
      <c r="AL273" s="33">
        <f>IF(E273=1,IF(ROUND(ABS(AI273+AJ273+AK273-AH273),6)&lt;=0.1,1,0),"")</f>
        <v>1</v>
      </c>
      <c r="AM273" s="36">
        <f>IF(E273=1,AI273/AH273,"")</f>
        <v>0.352941176470588</v>
      </c>
      <c r="AN273" s="36">
        <f>IF(E273=1,AJ273/AH273,"")</f>
        <v>0.450980392156863</v>
      </c>
      <c r="AO273" s="36">
        <f>IF(E273=1,AK273/AH273,"")</f>
        <v>0.196078431372549</v>
      </c>
      <c r="AP273" s="34">
        <f>IF(E273=1,Orders!Y270,"")</f>
        <v>0.59</v>
      </c>
      <c r="AQ273" s="33">
        <f>IF(Orders!X270,1,0)</f>
        <v>0</v>
      </c>
      <c r="AR273" s="34" t="str">
        <f>IF(AND(E273=1,L273=1),AJ273,"")</f>
        <v/>
      </c>
      <c r="AS273" s="34">
        <f>IF(AND(E273=1,L273=0),AJ273,"")</f>
        <v>4.6</v>
      </c>
      <c r="AT273" s="34" t="str">
        <f>IF(AND(E273=1,L273=1),AI273,"")</f>
        <v/>
      </c>
      <c r="AU273" s="34">
        <f>IF(AND(E273=1,L273=0),AI273,"")</f>
        <v>3.6</v>
      </c>
      <c r="AV273" s="34" t="str">
        <f>IF(AND(E273=1,L273=1),AG273,"")</f>
        <v/>
      </c>
      <c r="AW273" s="34">
        <f>IF(AND(E273=1,L273=0),AG273,"")</f>
        <v>11</v>
      </c>
      <c r="AX273" s="34" t="str">
        <f>IF(AND(E273=1,L273=1),AH273,"")</f>
        <v/>
      </c>
      <c r="AY273" s="34">
        <f>IF(AND(E273=1,L273=0),AH273,"")</f>
        <v>10.2</v>
      </c>
      <c r="AZ273" s="34" t="str">
        <f>IF(G273=1,F273,"")</f>
        <v/>
      </c>
      <c r="BA273" s="34" t="str">
        <f>IF(AND(G273=1,L273=1),F273,"")</f>
        <v/>
      </c>
      <c r="BB273" s="34" t="str">
        <f>IF(AND(G273=1,L273=0),F273,"")</f>
        <v/>
      </c>
      <c r="BC273" s="33">
        <f>IF(E273=1,IF(Orders!R270&gt;3,1,0),"")</f>
        <v>0</v>
      </c>
      <c r="BD273" s="33">
        <f>IF(E273=1,IF(Orders!R270&gt;7,1,0),"")</f>
        <v>0</v>
      </c>
      <c r="BE273" s="32" t="str">
        <f>IF(E273=1,IF(Orders!L270&lt;=1.5,"Up to 1.5 km",IF(Orders!L270&lt;=3,"1.5–3 km","Over 3 km")),"")</f>
        <v>Up to 1.5 km</v>
      </c>
      <c r="BF273" s="33">
        <f>IF(E273=1,IF(ABS((Orders!G270-Orders!F270)*1440-Orders!R270)&lt;0.06,1,0),"")</f>
        <v>1</v>
      </c>
      <c r="BG273" s="33">
        <f>IF(ABS((Orders!F270-Orders!E270)*1440-Orders!P270)&lt;0.06,1,0)</f>
        <v>1</v>
      </c>
      <c r="BH273" s="33">
        <f>IF(E273=1,IF(IF(Orders!S270,1,0)=1-G273,1,0),"")</f>
        <v>1</v>
      </c>
      <c r="BI273" s="32" t="str">
        <f>INDEX(Stores!$B$2:$B$21,MATCH(B273,Stores!$A$2:$A$21,0))</f>
        <v>Delhi</v>
      </c>
    </row>
    <row r="274">
      <c r="A274" s="32" t="str">
        <f>Orders!A271</f>
        <v>O00270</v>
      </c>
      <c r="B274" s="32" t="str">
        <f>Orders!C271</f>
        <v>S008</v>
      </c>
      <c r="C274" s="32" t="str">
        <f>Orders!B271</f>
        <v>C0215</v>
      </c>
      <c r="D274" s="32" t="str">
        <f>Orders!H271</f>
        <v>Delivered</v>
      </c>
      <c r="E274" s="33">
        <f>IF(Orders!H271="Delivered",1,0)</f>
        <v>1</v>
      </c>
      <c r="F274" s="34">
        <f>IF(E274=1,Orders!R271,"")</f>
        <v>-0.8</v>
      </c>
      <c r="G274" s="33">
        <f>IF(E274=1,IF(Orders!R271&gt;0,1,0),"")</f>
        <v>0</v>
      </c>
      <c r="H274" s="33">
        <f>IF(E274=1,IF(Orders!R271&gt;5,1,0),"")</f>
        <v>0</v>
      </c>
      <c r="I274" s="32" t="str">
        <f>IF(E274=1,"",IF(OR(Orders!T271="Rider unavailable",Orders!T271="Item unavailable"),"Company-caused","Unresolved"))</f>
        <v/>
      </c>
      <c r="J274" s="33">
        <f>IF(OR(E274=1,I274="Company-caused"),1,0)</f>
        <v>1</v>
      </c>
      <c r="K274" s="32" t="str">
        <f>IF(E274=0,IF(I274="Company-caused",IF(Orders!T271="Rider unavailable","C1 Rider unavailable","C2 Item unavailable"),"Outside root: unresolved"),IF(G274=0,"A On time",IF(H274=1,IF(L274=1,"B2a Severe, peak","B2b Severe, off-peak"),IF(L274=1,"B1a Slight, peak","B1b Slight, off-peak"))))</f>
        <v>A On time</v>
      </c>
      <c r="L274" s="33">
        <f>IF(AND(Orders!U271&gt;=19,Orders!U271&lt;22),1,0)</f>
        <v>0</v>
      </c>
      <c r="M274" s="33">
        <f>IF(L274=IF(Orders!V271,1,0),1,0)</f>
        <v>1</v>
      </c>
      <c r="N274" s="32" t="str">
        <f>IF(Orders!W271="","None",Orders!W271)</f>
        <v>None</v>
      </c>
      <c r="O274" s="35">
        <f>INT(Orders!E271)</f>
        <v>46266.0</v>
      </c>
      <c r="P274" s="33">
        <f>Orders!U271</f>
        <v>14</v>
      </c>
      <c r="Q274" s="33">
        <f>COUNTIFS(Demand!$A$2:$A$4481,B274,Demand!$B$2:$B$4481,O274,Demand!$C$2:$C$4481,P274)</f>
        <v>1</v>
      </c>
      <c r="R274" s="33">
        <f>IF(Q274=1,SUMIFS(Demand!$E$2:$E$4481,Demand!$A$2:$A$4481,B274,Demand!$B$2:$B$4481,O274,Demand!$C$2:$C$4481,P274),"")</f>
        <v>15</v>
      </c>
      <c r="S274" s="33">
        <f>INDEX(Stores!$G$2:$G$21,MATCH(B274,Stores!$A$2:$A$21,0))</f>
        <v>23</v>
      </c>
      <c r="T274" s="34">
        <f>IF(R274="","",R274/S274)</f>
        <v>0.652173913043478</v>
      </c>
      <c r="U274" s="34">
        <f>IF(E274=1,T274,"")</f>
        <v>0.652173913043478</v>
      </c>
      <c r="V274" s="34">
        <f>IF(AND(E274=1,L274=0),T274,"")</f>
        <v>0.652173913043478</v>
      </c>
      <c r="W274" s="33">
        <f>IF(U274="","",IF(U274&lt;=Breakdowns!$C$5,1,IF(U274&lt;=Breakdowns!$C$6,2,IF(U274&lt;=Breakdowns!$C$7,3,4))))</f>
        <v>1</v>
      </c>
      <c r="X274" s="33">
        <f>IF(V274="","",IF(V274&lt;=Breakdowns!$D$5,1,IF(V274&lt;=Breakdowns!$D$6,2,IF(V274&lt;=Breakdowns!$D$7,3,4))))</f>
        <v>1</v>
      </c>
      <c r="Y274" s="34">
        <f>INDEX(Stores!$F$2:$F$21,MATCH(B274,Stores!$A$2:$A$21,0))</f>
        <v>3.46</v>
      </c>
      <c r="Z274" s="33">
        <f>IF(Y274&gt;Store_Summary!$M$2,1,0)</f>
        <v>0</v>
      </c>
      <c r="AA274" s="33">
        <f>INDEX(Stores!$C$2:$C$21,MATCH(B274,Stores!$A$2:$A$21,0))</f>
        <v>825</v>
      </c>
      <c r="AB274" s="33">
        <f>IF(AA274&lt;180,1,0)</f>
        <v>0</v>
      </c>
      <c r="AC274" s="32" t="str">
        <f>IF(Orders!D271="","",INDEX(Riders!$C$2:$C$81,MATCH(Orders!D271,Riders!$A$2:$A$81,0)))</f>
        <v>EV scooter</v>
      </c>
      <c r="AD274" s="33">
        <f>IF(Orders!D271="","",INDEX(Riders!$D$2:$D$81,MATCH(Orders!D271,Riders!$A$2:$A$81,0)))</f>
        <v>27</v>
      </c>
      <c r="AE274" s="33">
        <f>IF(Orders!D271="","",IF(INDEX(Riders!$B$2:$B$81,MATCH(Orders!D271,Riders!$A$2:$A$81,0))=B274,1,0))</f>
        <v>1</v>
      </c>
      <c r="AF274" s="34">
        <f>IF(E274=1,Orders!L271,"")</f>
        <v>0.63</v>
      </c>
      <c r="AG274" s="34">
        <f>IF(E274=1,Orders!P271,"")</f>
        <v>10.9</v>
      </c>
      <c r="AH274" s="34">
        <f>IF(E274=1,Orders!Q271,"")</f>
        <v>10.1</v>
      </c>
      <c r="AI274" s="34">
        <f>IF(E274=1,Orders!M271,"")</f>
        <v>4.2</v>
      </c>
      <c r="AJ274" s="34">
        <f>IF(E274=1,Orders!N271,"")</f>
        <v>3.3</v>
      </c>
      <c r="AK274" s="34">
        <f>IF(E274=1,Orders!O271,"")</f>
        <v>2.6</v>
      </c>
      <c r="AL274" s="33">
        <f>IF(E274=1,IF(ROUND(ABS(AI274+AJ274+AK274-AH274),6)&lt;=0.1,1,0),"")</f>
        <v>1</v>
      </c>
      <c r="AM274" s="36">
        <f>IF(E274=1,AI274/AH274,"")</f>
        <v>0.415841584158416</v>
      </c>
      <c r="AN274" s="36">
        <f>IF(E274=1,AJ274/AH274,"")</f>
        <v>0.326732673267327</v>
      </c>
      <c r="AO274" s="36">
        <f>IF(E274=1,AK274/AH274,"")</f>
        <v>0.257425742574257</v>
      </c>
      <c r="AP274" s="34">
        <f>IF(E274=1,Orders!Y271,"")</f>
        <v>0.65</v>
      </c>
      <c r="AQ274" s="33">
        <f>IF(Orders!X271,1,0)</f>
        <v>0</v>
      </c>
      <c r="AR274" s="34" t="str">
        <f>IF(AND(E274=1,L274=1),AJ274,"")</f>
        <v/>
      </c>
      <c r="AS274" s="34">
        <f>IF(AND(E274=1,L274=0),AJ274,"")</f>
        <v>3.3</v>
      </c>
      <c r="AT274" s="34" t="str">
        <f>IF(AND(E274=1,L274=1),AI274,"")</f>
        <v/>
      </c>
      <c r="AU274" s="34">
        <f>IF(AND(E274=1,L274=0),AI274,"")</f>
        <v>4.2</v>
      </c>
      <c r="AV274" s="34" t="str">
        <f>IF(AND(E274=1,L274=1),AG274,"")</f>
        <v/>
      </c>
      <c r="AW274" s="34">
        <f>IF(AND(E274=1,L274=0),AG274,"")</f>
        <v>10.9</v>
      </c>
      <c r="AX274" s="34" t="str">
        <f>IF(AND(E274=1,L274=1),AH274,"")</f>
        <v/>
      </c>
      <c r="AY274" s="34">
        <f>IF(AND(E274=1,L274=0),AH274,"")</f>
        <v>10.1</v>
      </c>
      <c r="AZ274" s="34" t="str">
        <f>IF(G274=1,F274,"")</f>
        <v/>
      </c>
      <c r="BA274" s="34" t="str">
        <f>IF(AND(G274=1,L274=1),F274,"")</f>
        <v/>
      </c>
      <c r="BB274" s="34" t="str">
        <f>IF(AND(G274=1,L274=0),F274,"")</f>
        <v/>
      </c>
      <c r="BC274" s="33">
        <f>IF(E274=1,IF(Orders!R271&gt;3,1,0),"")</f>
        <v>0</v>
      </c>
      <c r="BD274" s="33">
        <f>IF(E274=1,IF(Orders!R271&gt;7,1,0),"")</f>
        <v>0</v>
      </c>
      <c r="BE274" s="32" t="str">
        <f>IF(E274=1,IF(Orders!L271&lt;=1.5,"Up to 1.5 km",IF(Orders!L271&lt;=3,"1.5–3 km","Over 3 km")),"")</f>
        <v>Up to 1.5 km</v>
      </c>
      <c r="BF274" s="33">
        <f>IF(E274=1,IF(ABS((Orders!G271-Orders!F271)*1440-Orders!R271)&lt;0.06,1,0),"")</f>
        <v>1</v>
      </c>
      <c r="BG274" s="33">
        <f>IF(ABS((Orders!F271-Orders!E271)*1440-Orders!P271)&lt;0.06,1,0)</f>
        <v>1</v>
      </c>
      <c r="BH274" s="33">
        <f>IF(E274=1,IF(IF(Orders!S271,1,0)=1-G274,1,0),"")</f>
        <v>1</v>
      </c>
      <c r="BI274" s="32" t="str">
        <f>INDEX(Stores!$B$2:$B$21,MATCH(B274,Stores!$A$2:$A$21,0))</f>
        <v>Mumbai</v>
      </c>
    </row>
    <row r="275">
      <c r="A275" s="32" t="str">
        <f>Orders!A272</f>
        <v>O00271</v>
      </c>
      <c r="B275" s="32" t="str">
        <f>Orders!C272</f>
        <v>S017</v>
      </c>
      <c r="C275" s="32" t="str">
        <f>Orders!B272</f>
        <v>C0030</v>
      </c>
      <c r="D275" s="32" t="str">
        <f>Orders!H272</f>
        <v>Delivered</v>
      </c>
      <c r="E275" s="33">
        <f>IF(Orders!H272="Delivered",1,0)</f>
        <v>1</v>
      </c>
      <c r="F275" s="34">
        <f>IF(E275=1,Orders!R272,"")</f>
        <v>-0.4</v>
      </c>
      <c r="G275" s="33">
        <f>IF(E275=1,IF(Orders!R272&gt;0,1,0),"")</f>
        <v>0</v>
      </c>
      <c r="H275" s="33">
        <f>IF(E275=1,IF(Orders!R272&gt;5,1,0),"")</f>
        <v>0</v>
      </c>
      <c r="I275" s="32" t="str">
        <f>IF(E275=1,"",IF(OR(Orders!T272="Rider unavailable",Orders!T272="Item unavailable"),"Company-caused","Unresolved"))</f>
        <v/>
      </c>
      <c r="J275" s="33">
        <f>IF(OR(E275=1,I275="Company-caused"),1,0)</f>
        <v>1</v>
      </c>
      <c r="K275" s="32" t="str">
        <f>IF(E275=0,IF(I275="Company-caused",IF(Orders!T272="Rider unavailable","C1 Rider unavailable","C2 Item unavailable"),"Outside root: unresolved"),IF(G275=0,"A On time",IF(H275=1,IF(L275=1,"B2a Severe, peak","B2b Severe, off-peak"),IF(L275=1,"B1a Slight, peak","B1b Slight, off-peak"))))</f>
        <v>A On time</v>
      </c>
      <c r="L275" s="33">
        <f>IF(AND(Orders!U272&gt;=19,Orders!U272&lt;22),1,0)</f>
        <v>0</v>
      </c>
      <c r="M275" s="33">
        <f>IF(L275=IF(Orders!V272,1,0),1,0)</f>
        <v>1</v>
      </c>
      <c r="N275" s="32" t="str">
        <f>IF(Orders!W272="","None",Orders!W272)</f>
        <v>Heavy</v>
      </c>
      <c r="O275" s="35">
        <f>INT(Orders!E272)</f>
        <v>46278.0</v>
      </c>
      <c r="P275" s="33">
        <f>Orders!U272</f>
        <v>13</v>
      </c>
      <c r="Q275" s="33">
        <f>COUNTIFS(Demand!$A$2:$A$4481,B275,Demand!$B$2:$B$4481,O275,Demand!$C$2:$C$4481,P275)</f>
        <v>1</v>
      </c>
      <c r="R275" s="33">
        <f>IF(Q275=1,SUMIFS(Demand!$E$2:$E$4481,Demand!$A$2:$A$4481,B275,Demand!$B$2:$B$4481,O275,Demand!$C$2:$C$4481,P275),"")</f>
        <v>37</v>
      </c>
      <c r="S275" s="33">
        <f>INDEX(Stores!$G$2:$G$21,MATCH(B275,Stores!$A$2:$A$21,0))</f>
        <v>36</v>
      </c>
      <c r="T275" s="34">
        <f>IF(R275="","",R275/S275)</f>
        <v>1.02777777777778</v>
      </c>
      <c r="U275" s="34">
        <f>IF(E275=1,T275,"")</f>
        <v>1.02777777777778</v>
      </c>
      <c r="V275" s="34">
        <f>IF(AND(E275=1,L275=0),T275,"")</f>
        <v>1.02777777777778</v>
      </c>
      <c r="W275" s="33">
        <f>IF(U275="","",IF(U275&lt;=Breakdowns!$C$5,1,IF(U275&lt;=Breakdowns!$C$6,2,IF(U275&lt;=Breakdowns!$C$7,3,4))))</f>
        <v>3</v>
      </c>
      <c r="X275" s="33">
        <f>IF(V275="","",IF(V275&lt;=Breakdowns!$D$5,1,IF(V275&lt;=Breakdowns!$D$6,2,IF(V275&lt;=Breakdowns!$D$7,3,4))))</f>
        <v>3</v>
      </c>
      <c r="Y275" s="34">
        <f>INDEX(Stores!$F$2:$F$21,MATCH(B275,Stores!$A$2:$A$21,0))</f>
        <v>2.16</v>
      </c>
      <c r="Z275" s="33">
        <f>IF(Y275&gt;Store_Summary!$M$2,1,0)</f>
        <v>0</v>
      </c>
      <c r="AA275" s="33">
        <f>INDEX(Stores!$C$2:$C$21,MATCH(B275,Stores!$A$2:$A$21,0))</f>
        <v>47</v>
      </c>
      <c r="AB275" s="33">
        <f>IF(AA275&lt;180,1,0)</f>
        <v>1</v>
      </c>
      <c r="AC275" s="32" t="str">
        <f>IF(Orders!D272="","",INDEX(Riders!$C$2:$C$81,MATCH(Orders!D272,Riders!$A$2:$A$81,0)))</f>
        <v>EV scooter</v>
      </c>
      <c r="AD275" s="33">
        <f>IF(Orders!D272="","",INDEX(Riders!$D$2:$D$81,MATCH(Orders!D272,Riders!$A$2:$A$81,0)))</f>
        <v>18</v>
      </c>
      <c r="AE275" s="33">
        <f>IF(Orders!D272="","",IF(INDEX(Riders!$B$2:$B$81,MATCH(Orders!D272,Riders!$A$2:$A$81,0))=B275,1,0))</f>
        <v>0</v>
      </c>
      <c r="AF275" s="34">
        <f>IF(E275=1,Orders!L272,"")</f>
        <v>3.4</v>
      </c>
      <c r="AG275" s="34">
        <f>IF(E275=1,Orders!P272,"")</f>
        <v>9.9</v>
      </c>
      <c r="AH275" s="34">
        <f>IF(E275=1,Orders!Q272,"")</f>
        <v>9.5</v>
      </c>
      <c r="AI275" s="34">
        <f>IF(E275=1,Orders!M272,"")</f>
        <v>1.9</v>
      </c>
      <c r="AJ275" s="34">
        <f>IF(E275=1,Orders!N272,"")</f>
        <v>2.4</v>
      </c>
      <c r="AK275" s="34">
        <f>IF(E275=1,Orders!O272,"")</f>
        <v>5.2</v>
      </c>
      <c r="AL275" s="33">
        <f>IF(E275=1,IF(ROUND(ABS(AI275+AJ275+AK275-AH275),6)&lt;=0.1,1,0),"")</f>
        <v>1</v>
      </c>
      <c r="AM275" s="36">
        <f>IF(E275=1,AI275/AH275,"")</f>
        <v>0.2</v>
      </c>
      <c r="AN275" s="36">
        <f>IF(E275=1,AJ275/AH275,"")</f>
        <v>0.252631578947368</v>
      </c>
      <c r="AO275" s="36">
        <f>IF(E275=1,AK275/AH275,"")</f>
        <v>0.547368421052632</v>
      </c>
      <c r="AP275" s="34">
        <f>IF(E275=1,Orders!Y272,"")</f>
        <v>0.23</v>
      </c>
      <c r="AQ275" s="33">
        <f>IF(Orders!X272,1,0)</f>
        <v>0</v>
      </c>
      <c r="AR275" s="34" t="str">
        <f>IF(AND(E275=1,L275=1),AJ275,"")</f>
        <v/>
      </c>
      <c r="AS275" s="34">
        <f>IF(AND(E275=1,L275=0),AJ275,"")</f>
        <v>2.4</v>
      </c>
      <c r="AT275" s="34" t="str">
        <f>IF(AND(E275=1,L275=1),AI275,"")</f>
        <v/>
      </c>
      <c r="AU275" s="34">
        <f>IF(AND(E275=1,L275=0),AI275,"")</f>
        <v>1.9</v>
      </c>
      <c r="AV275" s="34" t="str">
        <f>IF(AND(E275=1,L275=1),AG275,"")</f>
        <v/>
      </c>
      <c r="AW275" s="34">
        <f>IF(AND(E275=1,L275=0),AG275,"")</f>
        <v>9.9</v>
      </c>
      <c r="AX275" s="34" t="str">
        <f>IF(AND(E275=1,L275=1),AH275,"")</f>
        <v/>
      </c>
      <c r="AY275" s="34">
        <f>IF(AND(E275=1,L275=0),AH275,"")</f>
        <v>9.5</v>
      </c>
      <c r="AZ275" s="34" t="str">
        <f>IF(G275=1,F275,"")</f>
        <v/>
      </c>
      <c r="BA275" s="34" t="str">
        <f>IF(AND(G275=1,L275=1),F275,"")</f>
        <v/>
      </c>
      <c r="BB275" s="34" t="str">
        <f>IF(AND(G275=1,L275=0),F275,"")</f>
        <v/>
      </c>
      <c r="BC275" s="33">
        <f>IF(E275=1,IF(Orders!R272&gt;3,1,0),"")</f>
        <v>0</v>
      </c>
      <c r="BD275" s="33">
        <f>IF(E275=1,IF(Orders!R272&gt;7,1,0),"")</f>
        <v>0</v>
      </c>
      <c r="BE275" s="32" t="str">
        <f>IF(E275=1,IF(Orders!L272&lt;=1.5,"Up to 1.5 km",IF(Orders!L272&lt;=3,"1.5–3 km","Over 3 km")),"")</f>
        <v>Over 3 km</v>
      </c>
      <c r="BF275" s="33">
        <f>IF(E275=1,IF(ABS((Orders!G272-Orders!F272)*1440-Orders!R272)&lt;0.06,1,0),"")</f>
        <v>1</v>
      </c>
      <c r="BG275" s="33">
        <f>IF(ABS((Orders!F272-Orders!E272)*1440-Orders!P272)&lt;0.06,1,0)</f>
        <v>1</v>
      </c>
      <c r="BH275" s="33">
        <f>IF(E275=1,IF(IF(Orders!S272,1,0)=1-G275,1,0),"")</f>
        <v>1</v>
      </c>
      <c r="BI275" s="32" t="str">
        <f>INDEX(Stores!$B$2:$B$21,MATCH(B275,Stores!$A$2:$A$21,0))</f>
        <v>Hyderabad</v>
      </c>
    </row>
    <row r="276">
      <c r="A276" s="32" t="str">
        <f>Orders!A273</f>
        <v>O00272</v>
      </c>
      <c r="B276" s="32" t="str">
        <f>Orders!C273</f>
        <v>S010</v>
      </c>
      <c r="C276" s="32" t="str">
        <f>Orders!B273</f>
        <v>C0106</v>
      </c>
      <c r="D276" s="32" t="str">
        <f>Orders!H273</f>
        <v>Delivered</v>
      </c>
      <c r="E276" s="33">
        <f>IF(Orders!H273="Delivered",1,0)</f>
        <v>1</v>
      </c>
      <c r="F276" s="34">
        <f>IF(E276=1,Orders!R273,"")</f>
        <v>-0.6</v>
      </c>
      <c r="G276" s="33">
        <f>IF(E276=1,IF(Orders!R273&gt;0,1,0),"")</f>
        <v>0</v>
      </c>
      <c r="H276" s="33">
        <f>IF(E276=1,IF(Orders!R273&gt;5,1,0),"")</f>
        <v>0</v>
      </c>
      <c r="I276" s="32" t="str">
        <f>IF(E276=1,"",IF(OR(Orders!T273="Rider unavailable",Orders!T273="Item unavailable"),"Company-caused","Unresolved"))</f>
        <v/>
      </c>
      <c r="J276" s="33">
        <f>IF(OR(E276=1,I276="Company-caused"),1,0)</f>
        <v>1</v>
      </c>
      <c r="K276" s="32" t="str">
        <f>IF(E276=0,IF(I276="Company-caused",IF(Orders!T273="Rider unavailable","C1 Rider unavailable","C2 Item unavailable"),"Outside root: unresolved"),IF(G276=0,"A On time",IF(H276=1,IF(L276=1,"B2a Severe, peak","B2b Severe, off-peak"),IF(L276=1,"B1a Slight, peak","B1b Slight, off-peak"))))</f>
        <v>A On time</v>
      </c>
      <c r="L276" s="33">
        <f>IF(AND(Orders!U273&gt;=19,Orders!U273&lt;22),1,0)</f>
        <v>0</v>
      </c>
      <c r="M276" s="33">
        <f>IF(L276=IF(Orders!V273,1,0),1,0)</f>
        <v>1</v>
      </c>
      <c r="N276" s="32" t="str">
        <f>IF(Orders!W273="","None",Orders!W273)</f>
        <v>None</v>
      </c>
      <c r="O276" s="35">
        <f>INT(Orders!E273)</f>
        <v>46273.0</v>
      </c>
      <c r="P276" s="33">
        <f>Orders!U273</f>
        <v>16</v>
      </c>
      <c r="Q276" s="33">
        <f>COUNTIFS(Demand!$A$2:$A$4481,B276,Demand!$B$2:$B$4481,O276,Demand!$C$2:$C$4481,P276)</f>
        <v>1</v>
      </c>
      <c r="R276" s="33">
        <f>IF(Q276=1,SUMIFS(Demand!$E$2:$E$4481,Demand!$A$2:$A$4481,B276,Demand!$B$2:$B$4481,O276,Demand!$C$2:$C$4481,P276),"")</f>
        <v>21</v>
      </c>
      <c r="S276" s="33">
        <f>INDEX(Stores!$G$2:$G$21,MATCH(B276,Stores!$A$2:$A$21,0))</f>
        <v>22</v>
      </c>
      <c r="T276" s="34">
        <f>IF(R276="","",R276/S276)</f>
        <v>0.954545454545455</v>
      </c>
      <c r="U276" s="34">
        <f>IF(E276=1,T276,"")</f>
        <v>0.954545454545455</v>
      </c>
      <c r="V276" s="34">
        <f>IF(AND(E276=1,L276=0),T276,"")</f>
        <v>0.954545454545455</v>
      </c>
      <c r="W276" s="33">
        <f>IF(U276="","",IF(U276&lt;=Breakdowns!$C$5,1,IF(U276&lt;=Breakdowns!$C$6,2,IF(U276&lt;=Breakdowns!$C$7,3,4))))</f>
        <v>2</v>
      </c>
      <c r="X276" s="33">
        <f>IF(V276="","",IF(V276&lt;=Breakdowns!$D$5,1,IF(V276&lt;=Breakdowns!$D$6,2,IF(V276&lt;=Breakdowns!$D$7,3,4))))</f>
        <v>3</v>
      </c>
      <c r="Y276" s="34">
        <f>INDEX(Stores!$F$2:$F$21,MATCH(B276,Stores!$A$2:$A$21,0))</f>
        <v>5.61</v>
      </c>
      <c r="Z276" s="33">
        <f>IF(Y276&gt;Store_Summary!$M$2,1,0)</f>
        <v>1</v>
      </c>
      <c r="AA276" s="33">
        <f>INDEX(Stores!$C$2:$C$21,MATCH(B276,Stores!$A$2:$A$21,0))</f>
        <v>744</v>
      </c>
      <c r="AB276" s="33">
        <f>IF(AA276&lt;180,1,0)</f>
        <v>0</v>
      </c>
      <c r="AC276" s="32" t="str">
        <f>IF(Orders!D273="","",INDEX(Riders!$C$2:$C$81,MATCH(Orders!D273,Riders!$A$2:$A$81,0)))</f>
        <v>EV scooter</v>
      </c>
      <c r="AD276" s="33">
        <f>IF(Orders!D273="","",INDEX(Riders!$D$2:$D$81,MATCH(Orders!D273,Riders!$A$2:$A$81,0)))</f>
        <v>14</v>
      </c>
      <c r="AE276" s="33">
        <f>IF(Orders!D273="","",IF(INDEX(Riders!$B$2:$B$81,MATCH(Orders!D273,Riders!$A$2:$A$81,0))=B276,1,0))</f>
        <v>0</v>
      </c>
      <c r="AF276" s="34">
        <f>IF(E276=1,Orders!L273,"")</f>
        <v>0.94</v>
      </c>
      <c r="AG276" s="34">
        <f>IF(E276=1,Orders!P273,"")</f>
        <v>9.5</v>
      </c>
      <c r="AH276" s="34">
        <f>IF(E276=1,Orders!Q273,"")</f>
        <v>8.9</v>
      </c>
      <c r="AI276" s="34">
        <f>IF(E276=1,Orders!M273,"")</f>
        <v>5</v>
      </c>
      <c r="AJ276" s="34">
        <f>IF(E276=1,Orders!N273,"")</f>
        <v>1.2</v>
      </c>
      <c r="AK276" s="34">
        <f>IF(E276=1,Orders!O273,"")</f>
        <v>2.7</v>
      </c>
      <c r="AL276" s="33">
        <f>IF(E276=1,IF(ROUND(ABS(AI276+AJ276+AK276-AH276),6)&lt;=0.1,1,0),"")</f>
        <v>1</v>
      </c>
      <c r="AM276" s="36">
        <f>IF(E276=1,AI276/AH276,"")</f>
        <v>0.561797752808989</v>
      </c>
      <c r="AN276" s="36">
        <f>IF(E276=1,AJ276/AH276,"")</f>
        <v>0.134831460674157</v>
      </c>
      <c r="AO276" s="36">
        <f>IF(E276=1,AK276/AH276,"")</f>
        <v>0.303370786516854</v>
      </c>
      <c r="AP276" s="34">
        <f>IF(E276=1,Orders!Y273,"")</f>
        <v>0.4</v>
      </c>
      <c r="AQ276" s="33">
        <f>IF(Orders!X273,1,0)</f>
        <v>0</v>
      </c>
      <c r="AR276" s="34" t="str">
        <f>IF(AND(E276=1,L276=1),AJ276,"")</f>
        <v/>
      </c>
      <c r="AS276" s="34">
        <f>IF(AND(E276=1,L276=0),AJ276,"")</f>
        <v>1.2</v>
      </c>
      <c r="AT276" s="34" t="str">
        <f>IF(AND(E276=1,L276=1),AI276,"")</f>
        <v/>
      </c>
      <c r="AU276" s="34">
        <f>IF(AND(E276=1,L276=0),AI276,"")</f>
        <v>5</v>
      </c>
      <c r="AV276" s="34" t="str">
        <f>IF(AND(E276=1,L276=1),AG276,"")</f>
        <v/>
      </c>
      <c r="AW276" s="34">
        <f>IF(AND(E276=1,L276=0),AG276,"")</f>
        <v>9.5</v>
      </c>
      <c r="AX276" s="34" t="str">
        <f>IF(AND(E276=1,L276=1),AH276,"")</f>
        <v/>
      </c>
      <c r="AY276" s="34">
        <f>IF(AND(E276=1,L276=0),AH276,"")</f>
        <v>8.9</v>
      </c>
      <c r="AZ276" s="34" t="str">
        <f>IF(G276=1,F276,"")</f>
        <v/>
      </c>
      <c r="BA276" s="34" t="str">
        <f>IF(AND(G276=1,L276=1),F276,"")</f>
        <v/>
      </c>
      <c r="BB276" s="34" t="str">
        <f>IF(AND(G276=1,L276=0),F276,"")</f>
        <v/>
      </c>
      <c r="BC276" s="33">
        <f>IF(E276=1,IF(Orders!R273&gt;3,1,0),"")</f>
        <v>0</v>
      </c>
      <c r="BD276" s="33">
        <f>IF(E276=1,IF(Orders!R273&gt;7,1,0),"")</f>
        <v>0</v>
      </c>
      <c r="BE276" s="32" t="str">
        <f>IF(E276=1,IF(Orders!L273&lt;=1.5,"Up to 1.5 km",IF(Orders!L273&lt;=3,"1.5–3 km","Over 3 km")),"")</f>
        <v>Up to 1.5 km</v>
      </c>
      <c r="BF276" s="33">
        <f>IF(E276=1,IF(ABS((Orders!G273-Orders!F273)*1440-Orders!R273)&lt;0.06,1,0),"")</f>
        <v>1</v>
      </c>
      <c r="BG276" s="33">
        <f>IF(ABS((Orders!F273-Orders!E273)*1440-Orders!P273)&lt;0.06,1,0)</f>
        <v>1</v>
      </c>
      <c r="BH276" s="33">
        <f>IF(E276=1,IF(IF(Orders!S273,1,0)=1-G276,1,0),"")</f>
        <v>1</v>
      </c>
      <c r="BI276" s="32" t="str">
        <f>INDEX(Stores!$B$2:$B$21,MATCH(B276,Stores!$A$2:$A$21,0))</f>
        <v>Delhi</v>
      </c>
    </row>
    <row r="277">
      <c r="A277" s="32" t="str">
        <f>Orders!A274</f>
        <v>O00273</v>
      </c>
      <c r="B277" s="32" t="str">
        <f>Orders!C274</f>
        <v>S019</v>
      </c>
      <c r="C277" s="32" t="str">
        <f>Orders!B274</f>
        <v>C0135</v>
      </c>
      <c r="D277" s="32" t="str">
        <f>Orders!H274</f>
        <v>Delivered</v>
      </c>
      <c r="E277" s="33">
        <f>IF(Orders!H274="Delivered",1,0)</f>
        <v>1</v>
      </c>
      <c r="F277" s="34">
        <f>IF(E277=1,Orders!R274,"")</f>
        <v>-1.1</v>
      </c>
      <c r="G277" s="33">
        <f>IF(E277=1,IF(Orders!R274&gt;0,1,0),"")</f>
        <v>0</v>
      </c>
      <c r="H277" s="33">
        <f>IF(E277=1,IF(Orders!R274&gt;5,1,0),"")</f>
        <v>0</v>
      </c>
      <c r="I277" s="32" t="str">
        <f>IF(E277=1,"",IF(OR(Orders!T274="Rider unavailable",Orders!T274="Item unavailable"),"Company-caused","Unresolved"))</f>
        <v/>
      </c>
      <c r="J277" s="33">
        <f>IF(OR(E277=1,I277="Company-caused"),1,0)</f>
        <v>1</v>
      </c>
      <c r="K277" s="32" t="str">
        <f>IF(E277=0,IF(I277="Company-caused",IF(Orders!T274="Rider unavailable","C1 Rider unavailable","C2 Item unavailable"),"Outside root: unresolved"),IF(G277=0,"A On time",IF(H277=1,IF(L277=1,"B2a Severe, peak","B2b Severe, off-peak"),IF(L277=1,"B1a Slight, peak","B1b Slight, off-peak"))))</f>
        <v>A On time</v>
      </c>
      <c r="L277" s="33">
        <f>IF(AND(Orders!U274&gt;=19,Orders!U274&lt;22),1,0)</f>
        <v>0</v>
      </c>
      <c r="M277" s="33">
        <f>IF(L277=IF(Orders!V274,1,0),1,0)</f>
        <v>1</v>
      </c>
      <c r="N277" s="32" t="str">
        <f>IF(Orders!W274="","None",Orders!W274)</f>
        <v>None</v>
      </c>
      <c r="O277" s="35">
        <f>INT(Orders!E274)</f>
        <v>46271.0</v>
      </c>
      <c r="P277" s="33">
        <f>Orders!U274</f>
        <v>15</v>
      </c>
      <c r="Q277" s="33">
        <f>COUNTIFS(Demand!$A$2:$A$4481,B277,Demand!$B$2:$B$4481,O277,Demand!$C$2:$C$4481,P277)</f>
        <v>1</v>
      </c>
      <c r="R277" s="33">
        <f>IF(Q277=1,SUMIFS(Demand!$E$2:$E$4481,Demand!$A$2:$A$4481,B277,Demand!$B$2:$B$4481,O277,Demand!$C$2:$C$4481,P277),"")</f>
        <v>13</v>
      </c>
      <c r="S277" s="33">
        <f>INDEX(Stores!$G$2:$G$21,MATCH(B277,Stores!$A$2:$A$21,0))</f>
        <v>22</v>
      </c>
      <c r="T277" s="34">
        <f>IF(R277="","",R277/S277)</f>
        <v>0.590909090909091</v>
      </c>
      <c r="U277" s="34">
        <f>IF(E277=1,T277,"")</f>
        <v>0.590909090909091</v>
      </c>
      <c r="V277" s="34">
        <f>IF(AND(E277=1,L277=0),T277,"")</f>
        <v>0.590909090909091</v>
      </c>
      <c r="W277" s="33">
        <f>IF(U277="","",IF(U277&lt;=Breakdowns!$C$5,1,IF(U277&lt;=Breakdowns!$C$6,2,IF(U277&lt;=Breakdowns!$C$7,3,4))))</f>
        <v>1</v>
      </c>
      <c r="X277" s="33">
        <f>IF(V277="","",IF(V277&lt;=Breakdowns!$D$5,1,IF(V277&lt;=Breakdowns!$D$6,2,IF(V277&lt;=Breakdowns!$D$7,3,4))))</f>
        <v>1</v>
      </c>
      <c r="Y277" s="34">
        <f>INDEX(Stores!$F$2:$F$21,MATCH(B277,Stores!$A$2:$A$21,0))</f>
        <v>4.99</v>
      </c>
      <c r="Z277" s="33">
        <f>IF(Y277&gt;Store_Summary!$M$2,1,0)</f>
        <v>1</v>
      </c>
      <c r="AA277" s="33">
        <f>INDEX(Stores!$C$2:$C$21,MATCH(B277,Stores!$A$2:$A$21,0))</f>
        <v>851</v>
      </c>
      <c r="AB277" s="33">
        <f>IF(AA277&lt;180,1,0)</f>
        <v>0</v>
      </c>
      <c r="AC277" s="32" t="str">
        <f>IF(Orders!D274="","",INDEX(Riders!$C$2:$C$81,MATCH(Orders!D274,Riders!$A$2:$A$81,0)))</f>
        <v>Petrol scooter</v>
      </c>
      <c r="AD277" s="33">
        <f>IF(Orders!D274="","",INDEX(Riders!$D$2:$D$81,MATCH(Orders!D274,Riders!$A$2:$A$81,0)))</f>
        <v>42</v>
      </c>
      <c r="AE277" s="33">
        <f>IF(Orders!D274="","",IF(INDEX(Riders!$B$2:$B$81,MATCH(Orders!D274,Riders!$A$2:$A$81,0))=B277,1,0))</f>
        <v>1</v>
      </c>
      <c r="AF277" s="34">
        <f>IF(E277=1,Orders!L274,"")</f>
        <v>2.5</v>
      </c>
      <c r="AG277" s="34">
        <f>IF(E277=1,Orders!P274,"")</f>
        <v>8.7</v>
      </c>
      <c r="AH277" s="34">
        <f>IF(E277=1,Orders!Q274,"")</f>
        <v>7.6</v>
      </c>
      <c r="AI277" s="34">
        <f>IF(E277=1,Orders!M274,"")</f>
        <v>2.2</v>
      </c>
      <c r="AJ277" s="34">
        <f>IF(E277=1,Orders!N274,"")</f>
        <v>2.1</v>
      </c>
      <c r="AK277" s="34">
        <f>IF(E277=1,Orders!O274,"")</f>
        <v>3.3</v>
      </c>
      <c r="AL277" s="33">
        <f>IF(E277=1,IF(ROUND(ABS(AI277+AJ277+AK277-AH277),6)&lt;=0.1,1,0),"")</f>
        <v>1</v>
      </c>
      <c r="AM277" s="36">
        <f>IF(E277=1,AI277/AH277,"")</f>
        <v>0.289473684210526</v>
      </c>
      <c r="AN277" s="36">
        <f>IF(E277=1,AJ277/AH277,"")</f>
        <v>0.276315789473684</v>
      </c>
      <c r="AO277" s="36">
        <f>IF(E277=1,AK277/AH277,"")</f>
        <v>0.43421052631579</v>
      </c>
      <c r="AP277" s="34">
        <f>IF(E277=1,Orders!Y274,"")</f>
        <v>0.39</v>
      </c>
      <c r="AQ277" s="33">
        <f>IF(Orders!X274,1,0)</f>
        <v>0</v>
      </c>
      <c r="AR277" s="34" t="str">
        <f>IF(AND(E277=1,L277=1),AJ277,"")</f>
        <v/>
      </c>
      <c r="AS277" s="34">
        <f>IF(AND(E277=1,L277=0),AJ277,"")</f>
        <v>2.1</v>
      </c>
      <c r="AT277" s="34" t="str">
        <f>IF(AND(E277=1,L277=1),AI277,"")</f>
        <v/>
      </c>
      <c r="AU277" s="34">
        <f>IF(AND(E277=1,L277=0),AI277,"")</f>
        <v>2.2</v>
      </c>
      <c r="AV277" s="34" t="str">
        <f>IF(AND(E277=1,L277=1),AG277,"")</f>
        <v/>
      </c>
      <c r="AW277" s="34">
        <f>IF(AND(E277=1,L277=0),AG277,"")</f>
        <v>8.7</v>
      </c>
      <c r="AX277" s="34" t="str">
        <f>IF(AND(E277=1,L277=1),AH277,"")</f>
        <v/>
      </c>
      <c r="AY277" s="34">
        <f>IF(AND(E277=1,L277=0),AH277,"")</f>
        <v>7.6</v>
      </c>
      <c r="AZ277" s="34" t="str">
        <f>IF(G277=1,F277,"")</f>
        <v/>
      </c>
      <c r="BA277" s="34" t="str">
        <f>IF(AND(G277=1,L277=1),F277,"")</f>
        <v/>
      </c>
      <c r="BB277" s="34" t="str">
        <f>IF(AND(G277=1,L277=0),F277,"")</f>
        <v/>
      </c>
      <c r="BC277" s="33">
        <f>IF(E277=1,IF(Orders!R274&gt;3,1,0),"")</f>
        <v>0</v>
      </c>
      <c r="BD277" s="33">
        <f>IF(E277=1,IF(Orders!R274&gt;7,1,0),"")</f>
        <v>0</v>
      </c>
      <c r="BE277" s="32" t="str">
        <f>IF(E277=1,IF(Orders!L274&lt;=1.5,"Up to 1.5 km",IF(Orders!L274&lt;=3,"1.5–3 km","Over 3 km")),"")</f>
        <v>1.5–3 km</v>
      </c>
      <c r="BF277" s="33">
        <f>IF(E277=1,IF(ABS((Orders!G274-Orders!F274)*1440-Orders!R274)&lt;0.06,1,0),"")</f>
        <v>1</v>
      </c>
      <c r="BG277" s="33">
        <f>IF(ABS((Orders!F274-Orders!E274)*1440-Orders!P274)&lt;0.06,1,0)</f>
        <v>1</v>
      </c>
      <c r="BH277" s="33">
        <f>IF(E277=1,IF(IF(Orders!S274,1,0)=1-G277,1,0),"")</f>
        <v>1</v>
      </c>
      <c r="BI277" s="32" t="str">
        <f>INDEX(Stores!$B$2:$B$21,MATCH(B277,Stores!$A$2:$A$21,0))</f>
        <v>Pune</v>
      </c>
    </row>
    <row r="278">
      <c r="A278" s="32" t="str">
        <f>Orders!A275</f>
        <v>O00274</v>
      </c>
      <c r="B278" s="32" t="str">
        <f>Orders!C275</f>
        <v>S014</v>
      </c>
      <c r="C278" s="32" t="str">
        <f>Orders!B275</f>
        <v>C0046</v>
      </c>
      <c r="D278" s="32" t="str">
        <f>Orders!H275</f>
        <v>Delivered</v>
      </c>
      <c r="E278" s="33">
        <f>IF(Orders!H275="Delivered",1,0)</f>
        <v>1</v>
      </c>
      <c r="F278" s="34">
        <f>IF(E278=1,Orders!R275,"")</f>
        <v>-0.4</v>
      </c>
      <c r="G278" s="33">
        <f>IF(E278=1,IF(Orders!R275&gt;0,1,0),"")</f>
        <v>0</v>
      </c>
      <c r="H278" s="33">
        <f>IF(E278=1,IF(Orders!R275&gt;5,1,0),"")</f>
        <v>0</v>
      </c>
      <c r="I278" s="32" t="str">
        <f>IF(E278=1,"",IF(OR(Orders!T275="Rider unavailable",Orders!T275="Item unavailable"),"Company-caused","Unresolved"))</f>
        <v/>
      </c>
      <c r="J278" s="33">
        <f>IF(OR(E278=1,I278="Company-caused"),1,0)</f>
        <v>1</v>
      </c>
      <c r="K278" s="32" t="str">
        <f>IF(E278=0,IF(I278="Company-caused",IF(Orders!T275="Rider unavailable","C1 Rider unavailable","C2 Item unavailable"),"Outside root: unresolved"),IF(G278=0,"A On time",IF(H278=1,IF(L278=1,"B2a Severe, peak","B2b Severe, off-peak"),IF(L278=1,"B1a Slight, peak","B1b Slight, off-peak"))))</f>
        <v>A On time</v>
      </c>
      <c r="L278" s="33">
        <f>IF(AND(Orders!U275&gt;=19,Orders!U275&lt;22),1,0)</f>
        <v>0</v>
      </c>
      <c r="M278" s="33">
        <f>IF(L278=IF(Orders!V275,1,0),1,0)</f>
        <v>1</v>
      </c>
      <c r="N278" s="32" t="str">
        <f>IF(Orders!W275="","None",Orders!W275)</f>
        <v>None</v>
      </c>
      <c r="O278" s="35">
        <f>INT(Orders!E275)</f>
        <v>46278.0</v>
      </c>
      <c r="P278" s="33">
        <f>Orders!U275</f>
        <v>8</v>
      </c>
      <c r="Q278" s="33">
        <f>COUNTIFS(Demand!$A$2:$A$4481,B278,Demand!$B$2:$B$4481,O278,Demand!$C$2:$C$4481,P278)</f>
        <v>1</v>
      </c>
      <c r="R278" s="33">
        <f>IF(Q278=1,SUMIFS(Demand!$E$2:$E$4481,Demand!$A$2:$A$4481,B278,Demand!$B$2:$B$4481,O278,Demand!$C$2:$C$4481,P278),"")</f>
        <v>33</v>
      </c>
      <c r="S278" s="33">
        <f>INDEX(Stores!$G$2:$G$21,MATCH(B278,Stores!$A$2:$A$21,0))</f>
        <v>37</v>
      </c>
      <c r="T278" s="34">
        <f>IF(R278="","",R278/S278)</f>
        <v>0.891891891891892</v>
      </c>
      <c r="U278" s="34">
        <f>IF(E278=1,T278,"")</f>
        <v>0.891891891891892</v>
      </c>
      <c r="V278" s="34">
        <f>IF(AND(E278=1,L278=0),T278,"")</f>
        <v>0.891891891891892</v>
      </c>
      <c r="W278" s="33">
        <f>IF(U278="","",IF(U278&lt;=Breakdowns!$C$5,1,IF(U278&lt;=Breakdowns!$C$6,2,IF(U278&lt;=Breakdowns!$C$7,3,4))))</f>
        <v>2</v>
      </c>
      <c r="X278" s="33">
        <f>IF(V278="","",IF(V278&lt;=Breakdowns!$D$5,1,IF(V278&lt;=Breakdowns!$D$6,2,IF(V278&lt;=Breakdowns!$D$7,3,4))))</f>
        <v>2</v>
      </c>
      <c r="Y278" s="34">
        <f>INDEX(Stores!$F$2:$F$21,MATCH(B278,Stores!$A$2:$A$21,0))</f>
        <v>5.55</v>
      </c>
      <c r="Z278" s="33">
        <f>IF(Y278&gt;Store_Summary!$M$2,1,0)</f>
        <v>1</v>
      </c>
      <c r="AA278" s="33">
        <f>INDEX(Stores!$C$2:$C$21,MATCH(B278,Stores!$A$2:$A$21,0))</f>
        <v>241</v>
      </c>
      <c r="AB278" s="33">
        <f>IF(AA278&lt;180,1,0)</f>
        <v>0</v>
      </c>
      <c r="AC278" s="32" t="str">
        <f>IF(Orders!D275="","",INDEX(Riders!$C$2:$C$81,MATCH(Orders!D275,Riders!$A$2:$A$81,0)))</f>
        <v>Petrol scooter</v>
      </c>
      <c r="AD278" s="33">
        <f>IF(Orders!D275="","",INDEX(Riders!$D$2:$D$81,MATCH(Orders!D275,Riders!$A$2:$A$81,0)))</f>
        <v>19</v>
      </c>
      <c r="AE278" s="33">
        <f>IF(Orders!D275="","",IF(INDEX(Riders!$B$2:$B$81,MATCH(Orders!D275,Riders!$A$2:$A$81,0))=B278,1,0))</f>
        <v>0</v>
      </c>
      <c r="AF278" s="34">
        <f>IF(E278=1,Orders!L275,"")</f>
        <v>0.82</v>
      </c>
      <c r="AG278" s="34">
        <f>IF(E278=1,Orders!P275,"")</f>
        <v>10</v>
      </c>
      <c r="AH278" s="34">
        <f>IF(E278=1,Orders!Q275,"")</f>
        <v>9.6</v>
      </c>
      <c r="AI278" s="34">
        <f>IF(E278=1,Orders!M275,"")</f>
        <v>3.8</v>
      </c>
      <c r="AJ278" s="34">
        <f>IF(E278=1,Orders!N275,"")</f>
        <v>4.1</v>
      </c>
      <c r="AK278" s="34">
        <f>IF(E278=1,Orders!O275,"")</f>
        <v>1.7</v>
      </c>
      <c r="AL278" s="33">
        <f>IF(E278=1,IF(ROUND(ABS(AI278+AJ278+AK278-AH278),6)&lt;=0.1,1,0),"")</f>
        <v>1</v>
      </c>
      <c r="AM278" s="36">
        <f>IF(E278=1,AI278/AH278,"")</f>
        <v>0.395833333333333</v>
      </c>
      <c r="AN278" s="36">
        <f>IF(E278=1,AJ278/AH278,"")</f>
        <v>0.427083333333333</v>
      </c>
      <c r="AO278" s="36">
        <f>IF(E278=1,AK278/AH278,"")</f>
        <v>0.177083333333333</v>
      </c>
      <c r="AP278" s="34">
        <f>IF(E278=1,Orders!Y275,"")</f>
        <v>0.38</v>
      </c>
      <c r="AQ278" s="33">
        <f>IF(Orders!X275,1,0)</f>
        <v>0</v>
      </c>
      <c r="AR278" s="34" t="str">
        <f>IF(AND(E278=1,L278=1),AJ278,"")</f>
        <v/>
      </c>
      <c r="AS278" s="34">
        <f>IF(AND(E278=1,L278=0),AJ278,"")</f>
        <v>4.1</v>
      </c>
      <c r="AT278" s="34" t="str">
        <f>IF(AND(E278=1,L278=1),AI278,"")</f>
        <v/>
      </c>
      <c r="AU278" s="34">
        <f>IF(AND(E278=1,L278=0),AI278,"")</f>
        <v>3.8</v>
      </c>
      <c r="AV278" s="34" t="str">
        <f>IF(AND(E278=1,L278=1),AG278,"")</f>
        <v/>
      </c>
      <c r="AW278" s="34">
        <f>IF(AND(E278=1,L278=0),AG278,"")</f>
        <v>10</v>
      </c>
      <c r="AX278" s="34" t="str">
        <f>IF(AND(E278=1,L278=1),AH278,"")</f>
        <v/>
      </c>
      <c r="AY278" s="34">
        <f>IF(AND(E278=1,L278=0),AH278,"")</f>
        <v>9.6</v>
      </c>
      <c r="AZ278" s="34" t="str">
        <f>IF(G278=1,F278,"")</f>
        <v/>
      </c>
      <c r="BA278" s="34" t="str">
        <f>IF(AND(G278=1,L278=1),F278,"")</f>
        <v/>
      </c>
      <c r="BB278" s="34" t="str">
        <f>IF(AND(G278=1,L278=0),F278,"")</f>
        <v/>
      </c>
      <c r="BC278" s="33">
        <f>IF(E278=1,IF(Orders!R275&gt;3,1,0),"")</f>
        <v>0</v>
      </c>
      <c r="BD278" s="33">
        <f>IF(E278=1,IF(Orders!R275&gt;7,1,0),"")</f>
        <v>0</v>
      </c>
      <c r="BE278" s="32" t="str">
        <f>IF(E278=1,IF(Orders!L275&lt;=1.5,"Up to 1.5 km",IF(Orders!L275&lt;=3,"1.5–3 km","Over 3 km")),"")</f>
        <v>Up to 1.5 km</v>
      </c>
      <c r="BF278" s="33">
        <f>IF(E278=1,IF(ABS((Orders!G275-Orders!F275)*1440-Orders!R275)&lt;0.06,1,0),"")</f>
        <v>1</v>
      </c>
      <c r="BG278" s="33">
        <f>IF(ABS((Orders!F275-Orders!E275)*1440-Orders!P275)&lt;0.06,1,0)</f>
        <v>1</v>
      </c>
      <c r="BH278" s="33">
        <f>IF(E278=1,IF(IF(Orders!S275,1,0)=1-G278,1,0),"")</f>
        <v>1</v>
      </c>
      <c r="BI278" s="32" t="str">
        <f>INDEX(Stores!$B$2:$B$21,MATCH(B278,Stores!$A$2:$A$21,0))</f>
        <v>Pune</v>
      </c>
    </row>
    <row r="279">
      <c r="A279" s="32" t="str">
        <f>Orders!A276</f>
        <v>O00275</v>
      </c>
      <c r="B279" s="32" t="str">
        <f>Orders!C276</f>
        <v>S007</v>
      </c>
      <c r="C279" s="32" t="str">
        <f>Orders!B276</f>
        <v>C0192</v>
      </c>
      <c r="D279" s="32" t="str">
        <f>Orders!H276</f>
        <v>Delivered</v>
      </c>
      <c r="E279" s="33">
        <f>IF(Orders!H276="Delivered",1,0)</f>
        <v>1</v>
      </c>
      <c r="F279" s="34">
        <f>IF(E279=1,Orders!R276,"")</f>
        <v>-0.3</v>
      </c>
      <c r="G279" s="33">
        <f>IF(E279=1,IF(Orders!R276&gt;0,1,0),"")</f>
        <v>0</v>
      </c>
      <c r="H279" s="33">
        <f>IF(E279=1,IF(Orders!R276&gt;5,1,0),"")</f>
        <v>0</v>
      </c>
      <c r="I279" s="32" t="str">
        <f>IF(E279=1,"",IF(OR(Orders!T276="Rider unavailable",Orders!T276="Item unavailable"),"Company-caused","Unresolved"))</f>
        <v/>
      </c>
      <c r="J279" s="33">
        <f>IF(OR(E279=1,I279="Company-caused"),1,0)</f>
        <v>1</v>
      </c>
      <c r="K279" s="32" t="str">
        <f>IF(E279=0,IF(I279="Company-caused",IF(Orders!T276="Rider unavailable","C1 Rider unavailable","C2 Item unavailable"),"Outside root: unresolved"),IF(G279=0,"A On time",IF(H279=1,IF(L279=1,"B2a Severe, peak","B2b Severe, off-peak"),IF(L279=1,"B1a Slight, peak","B1b Slight, off-peak"))))</f>
        <v>A On time</v>
      </c>
      <c r="L279" s="33">
        <f>IF(AND(Orders!U276&gt;=19,Orders!U276&lt;22),1,0)</f>
        <v>0</v>
      </c>
      <c r="M279" s="33">
        <f>IF(L279=IF(Orders!V276,1,0),1,0)</f>
        <v>1</v>
      </c>
      <c r="N279" s="32" t="str">
        <f>IF(Orders!W276="","None",Orders!W276)</f>
        <v>None</v>
      </c>
      <c r="O279" s="35">
        <f>INT(Orders!E276)</f>
        <v>46271.0</v>
      </c>
      <c r="P279" s="33">
        <f>Orders!U276</f>
        <v>8</v>
      </c>
      <c r="Q279" s="33">
        <f>COUNTIFS(Demand!$A$2:$A$4481,B279,Demand!$B$2:$B$4481,O279,Demand!$C$2:$C$4481,P279)</f>
        <v>1</v>
      </c>
      <c r="R279" s="33">
        <f>IF(Q279=1,SUMIFS(Demand!$E$2:$E$4481,Demand!$A$2:$A$4481,B279,Demand!$B$2:$B$4481,O279,Demand!$C$2:$C$4481,P279),"")</f>
        <v>25</v>
      </c>
      <c r="S279" s="33">
        <f>INDEX(Stores!$G$2:$G$21,MATCH(B279,Stores!$A$2:$A$21,0))</f>
        <v>37</v>
      </c>
      <c r="T279" s="34">
        <f>IF(R279="","",R279/S279)</f>
        <v>0.675675675675676</v>
      </c>
      <c r="U279" s="34">
        <f>IF(E279=1,T279,"")</f>
        <v>0.675675675675676</v>
      </c>
      <c r="V279" s="34">
        <f>IF(AND(E279=1,L279=0),T279,"")</f>
        <v>0.675675675675676</v>
      </c>
      <c r="W279" s="33">
        <f>IF(U279="","",IF(U279&lt;=Breakdowns!$C$5,1,IF(U279&lt;=Breakdowns!$C$6,2,IF(U279&lt;=Breakdowns!$C$7,3,4))))</f>
        <v>1</v>
      </c>
      <c r="X279" s="33">
        <f>IF(V279="","",IF(V279&lt;=Breakdowns!$D$5,1,IF(V279&lt;=Breakdowns!$D$6,2,IF(V279&lt;=Breakdowns!$D$7,3,4))))</f>
        <v>1</v>
      </c>
      <c r="Y279" s="34">
        <f>INDEX(Stores!$F$2:$F$21,MATCH(B279,Stores!$A$2:$A$21,0))</f>
        <v>4.05</v>
      </c>
      <c r="Z279" s="33">
        <f>IF(Y279&gt;Store_Summary!$M$2,1,0)</f>
        <v>0</v>
      </c>
      <c r="AA279" s="33">
        <f>INDEX(Stores!$C$2:$C$21,MATCH(B279,Stores!$A$2:$A$21,0))</f>
        <v>661</v>
      </c>
      <c r="AB279" s="33">
        <f>IF(AA279&lt;180,1,0)</f>
        <v>0</v>
      </c>
      <c r="AC279" s="32" t="str">
        <f>IF(Orders!D276="","",INDEX(Riders!$C$2:$C$81,MATCH(Orders!D276,Riders!$A$2:$A$81,0)))</f>
        <v>Petrol scooter</v>
      </c>
      <c r="AD279" s="33">
        <f>IF(Orders!D276="","",INDEX(Riders!$D$2:$D$81,MATCH(Orders!D276,Riders!$A$2:$A$81,0)))</f>
        <v>40</v>
      </c>
      <c r="AE279" s="33">
        <f>IF(Orders!D276="","",IF(INDEX(Riders!$B$2:$B$81,MATCH(Orders!D276,Riders!$A$2:$A$81,0))=B279,1,0))</f>
        <v>0</v>
      </c>
      <c r="AF279" s="34">
        <f>IF(E279=1,Orders!L276,"")</f>
        <v>3.03</v>
      </c>
      <c r="AG279" s="34">
        <f>IF(E279=1,Orders!P276,"")</f>
        <v>10.9</v>
      </c>
      <c r="AH279" s="34">
        <f>IF(E279=1,Orders!Q276,"")</f>
        <v>10.6</v>
      </c>
      <c r="AI279" s="34">
        <f>IF(E279=1,Orders!M276,"")</f>
        <v>2.5</v>
      </c>
      <c r="AJ279" s="34">
        <f>IF(E279=1,Orders!N276,"")</f>
        <v>4.1</v>
      </c>
      <c r="AK279" s="34">
        <f>IF(E279=1,Orders!O276,"")</f>
        <v>4</v>
      </c>
      <c r="AL279" s="33">
        <f>IF(E279=1,IF(ROUND(ABS(AI279+AJ279+AK279-AH279),6)&lt;=0.1,1,0),"")</f>
        <v>1</v>
      </c>
      <c r="AM279" s="36">
        <f>IF(E279=1,AI279/AH279,"")</f>
        <v>0.235849056603774</v>
      </c>
      <c r="AN279" s="36">
        <f>IF(E279=1,AJ279/AH279,"")</f>
        <v>0.386792452830189</v>
      </c>
      <c r="AO279" s="36">
        <f>IF(E279=1,AK279/AH279,"")</f>
        <v>0.377358490566038</v>
      </c>
      <c r="AP279" s="34">
        <f>IF(E279=1,Orders!Y276,"")</f>
        <v>0.46</v>
      </c>
      <c r="AQ279" s="33">
        <f>IF(Orders!X276,1,0)</f>
        <v>0</v>
      </c>
      <c r="AR279" s="34" t="str">
        <f>IF(AND(E279=1,L279=1),AJ279,"")</f>
        <v/>
      </c>
      <c r="AS279" s="34">
        <f>IF(AND(E279=1,L279=0),AJ279,"")</f>
        <v>4.1</v>
      </c>
      <c r="AT279" s="34" t="str">
        <f>IF(AND(E279=1,L279=1),AI279,"")</f>
        <v/>
      </c>
      <c r="AU279" s="34">
        <f>IF(AND(E279=1,L279=0),AI279,"")</f>
        <v>2.5</v>
      </c>
      <c r="AV279" s="34" t="str">
        <f>IF(AND(E279=1,L279=1),AG279,"")</f>
        <v/>
      </c>
      <c r="AW279" s="34">
        <f>IF(AND(E279=1,L279=0),AG279,"")</f>
        <v>10.9</v>
      </c>
      <c r="AX279" s="34" t="str">
        <f>IF(AND(E279=1,L279=1),AH279,"")</f>
        <v/>
      </c>
      <c r="AY279" s="34">
        <f>IF(AND(E279=1,L279=0),AH279,"")</f>
        <v>10.6</v>
      </c>
      <c r="AZ279" s="34" t="str">
        <f>IF(G279=1,F279,"")</f>
        <v/>
      </c>
      <c r="BA279" s="34" t="str">
        <f>IF(AND(G279=1,L279=1),F279,"")</f>
        <v/>
      </c>
      <c r="BB279" s="34" t="str">
        <f>IF(AND(G279=1,L279=0),F279,"")</f>
        <v/>
      </c>
      <c r="BC279" s="33">
        <f>IF(E279=1,IF(Orders!R276&gt;3,1,0),"")</f>
        <v>0</v>
      </c>
      <c r="BD279" s="33">
        <f>IF(E279=1,IF(Orders!R276&gt;7,1,0),"")</f>
        <v>0</v>
      </c>
      <c r="BE279" s="32" t="str">
        <f>IF(E279=1,IF(Orders!L276&lt;=1.5,"Up to 1.5 km",IF(Orders!L276&lt;=3,"1.5–3 km","Over 3 km")),"")</f>
        <v>Over 3 km</v>
      </c>
      <c r="BF279" s="33">
        <f>IF(E279=1,IF(ABS((Orders!G276-Orders!F276)*1440-Orders!R276)&lt;0.06,1,0),"")</f>
        <v>1</v>
      </c>
      <c r="BG279" s="33">
        <f>IF(ABS((Orders!F276-Orders!E276)*1440-Orders!P276)&lt;0.06,1,0)</f>
        <v>1</v>
      </c>
      <c r="BH279" s="33">
        <f>IF(E279=1,IF(IF(Orders!S276,1,0)=1-G279,1,0),"")</f>
        <v>1</v>
      </c>
      <c r="BI279" s="32" t="str">
        <f>INDEX(Stores!$B$2:$B$21,MATCH(B279,Stores!$A$2:$A$21,0))</f>
        <v>Hyderabad</v>
      </c>
    </row>
    <row r="280">
      <c r="A280" s="32" t="str">
        <f>Orders!A277</f>
        <v>O00276</v>
      </c>
      <c r="B280" s="32" t="str">
        <f>Orders!C277</f>
        <v>S011</v>
      </c>
      <c r="C280" s="32" t="str">
        <f>Orders!B277</f>
        <v>C0238</v>
      </c>
      <c r="D280" s="32" t="str">
        <f>Orders!H277</f>
        <v>Delivered</v>
      </c>
      <c r="E280" s="33">
        <f>IF(Orders!H277="Delivered",1,0)</f>
        <v>1</v>
      </c>
      <c r="F280" s="34">
        <f>IF(E280=1,Orders!R277,"")</f>
        <v>-0.6</v>
      </c>
      <c r="G280" s="33">
        <f>IF(E280=1,IF(Orders!R277&gt;0,1,0),"")</f>
        <v>0</v>
      </c>
      <c r="H280" s="33">
        <f>IF(E280=1,IF(Orders!R277&gt;5,1,0),"")</f>
        <v>0</v>
      </c>
      <c r="I280" s="32" t="str">
        <f>IF(E280=1,"",IF(OR(Orders!T277="Rider unavailable",Orders!T277="Item unavailable"),"Company-caused","Unresolved"))</f>
        <v/>
      </c>
      <c r="J280" s="33">
        <f>IF(OR(E280=1,I280="Company-caused"),1,0)</f>
        <v>1</v>
      </c>
      <c r="K280" s="32" t="str">
        <f>IF(E280=0,IF(I280="Company-caused",IF(Orders!T277="Rider unavailable","C1 Rider unavailable","C2 Item unavailable"),"Outside root: unresolved"),IF(G280=0,"A On time",IF(H280=1,IF(L280=1,"B2a Severe, peak","B2b Severe, off-peak"),IF(L280=1,"B1a Slight, peak","B1b Slight, off-peak"))))</f>
        <v>A On time</v>
      </c>
      <c r="L280" s="33">
        <f>IF(AND(Orders!U277&gt;=19,Orders!U277&lt;22),1,0)</f>
        <v>0</v>
      </c>
      <c r="M280" s="33">
        <f>IF(L280=IF(Orders!V277,1,0),1,0)</f>
        <v>1</v>
      </c>
      <c r="N280" s="32" t="str">
        <f>IF(Orders!W277="","None",Orders!W277)</f>
        <v>None</v>
      </c>
      <c r="O280" s="35">
        <f>INT(Orders!E277)</f>
        <v>46268.0</v>
      </c>
      <c r="P280" s="33">
        <f>Orders!U277</f>
        <v>11</v>
      </c>
      <c r="Q280" s="33">
        <f>COUNTIFS(Demand!$A$2:$A$4481,B280,Demand!$B$2:$B$4481,O280,Demand!$C$2:$C$4481,P280)</f>
        <v>1</v>
      </c>
      <c r="R280" s="33">
        <f>IF(Q280=1,SUMIFS(Demand!$E$2:$E$4481,Demand!$A$2:$A$4481,B280,Demand!$B$2:$B$4481,O280,Demand!$C$2:$C$4481,P280),"")</f>
        <v>32</v>
      </c>
      <c r="S280" s="33">
        <f>INDEX(Stores!$G$2:$G$21,MATCH(B280,Stores!$A$2:$A$21,0))</f>
        <v>31</v>
      </c>
      <c r="T280" s="34">
        <f>IF(R280="","",R280/S280)</f>
        <v>1.03225806451613</v>
      </c>
      <c r="U280" s="34">
        <f>IF(E280=1,T280,"")</f>
        <v>1.03225806451613</v>
      </c>
      <c r="V280" s="34">
        <f>IF(AND(E280=1,L280=0),T280,"")</f>
        <v>1.03225806451613</v>
      </c>
      <c r="W280" s="33">
        <f>IF(U280="","",IF(U280&lt;=Breakdowns!$C$5,1,IF(U280&lt;=Breakdowns!$C$6,2,IF(U280&lt;=Breakdowns!$C$7,3,4))))</f>
        <v>3</v>
      </c>
      <c r="X280" s="33">
        <f>IF(V280="","",IF(V280&lt;=Breakdowns!$D$5,1,IF(V280&lt;=Breakdowns!$D$6,2,IF(V280&lt;=Breakdowns!$D$7,3,4))))</f>
        <v>3</v>
      </c>
      <c r="Y280" s="34">
        <f>INDEX(Stores!$F$2:$F$21,MATCH(B280,Stores!$A$2:$A$21,0))</f>
        <v>5.67</v>
      </c>
      <c r="Z280" s="33">
        <f>IF(Y280&gt;Store_Summary!$M$2,1,0)</f>
        <v>1</v>
      </c>
      <c r="AA280" s="33">
        <f>INDEX(Stores!$C$2:$C$21,MATCH(B280,Stores!$A$2:$A$21,0))</f>
        <v>732</v>
      </c>
      <c r="AB280" s="33">
        <f>IF(AA280&lt;180,1,0)</f>
        <v>0</v>
      </c>
      <c r="AC280" s="32" t="str">
        <f>IF(Orders!D277="","",INDEX(Riders!$C$2:$C$81,MATCH(Orders!D277,Riders!$A$2:$A$81,0)))</f>
        <v>Petrol scooter</v>
      </c>
      <c r="AD280" s="33">
        <f>IF(Orders!D277="","",INDEX(Riders!$D$2:$D$81,MATCH(Orders!D277,Riders!$A$2:$A$81,0)))</f>
        <v>32</v>
      </c>
      <c r="AE280" s="33">
        <f>IF(Orders!D277="","",IF(INDEX(Riders!$B$2:$B$81,MATCH(Orders!D277,Riders!$A$2:$A$81,0))=B280,1,0))</f>
        <v>0</v>
      </c>
      <c r="AF280" s="34">
        <f>IF(E280=1,Orders!L277,"")</f>
        <v>1.72</v>
      </c>
      <c r="AG280" s="34">
        <f>IF(E280=1,Orders!P277,"")</f>
        <v>9.6</v>
      </c>
      <c r="AH280" s="34">
        <f>IF(E280=1,Orders!Q277,"")</f>
        <v>9</v>
      </c>
      <c r="AI280" s="34">
        <f>IF(E280=1,Orders!M277,"")</f>
        <v>3.3</v>
      </c>
      <c r="AJ280" s="34">
        <f>IF(E280=1,Orders!N277,"")</f>
        <v>3.6</v>
      </c>
      <c r="AK280" s="34">
        <f>IF(E280=1,Orders!O277,"")</f>
        <v>2.1</v>
      </c>
      <c r="AL280" s="33">
        <f>IF(E280=1,IF(ROUND(ABS(AI280+AJ280+AK280-AH280),6)&lt;=0.1,1,0),"")</f>
        <v>1</v>
      </c>
      <c r="AM280" s="36">
        <f>IF(E280=1,AI280/AH280,"")</f>
        <v>0.366666666666667</v>
      </c>
      <c r="AN280" s="36">
        <f>IF(E280=1,AJ280/AH280,"")</f>
        <v>0.4</v>
      </c>
      <c r="AO280" s="36">
        <f>IF(E280=1,AK280/AH280,"")</f>
        <v>0.233333333333333</v>
      </c>
      <c r="AP280" s="34">
        <f>IF(E280=1,Orders!Y277,"")</f>
        <v>0.16</v>
      </c>
      <c r="AQ280" s="33">
        <f>IF(Orders!X277,1,0)</f>
        <v>0</v>
      </c>
      <c r="AR280" s="34" t="str">
        <f>IF(AND(E280=1,L280=1),AJ280,"")</f>
        <v/>
      </c>
      <c r="AS280" s="34">
        <f>IF(AND(E280=1,L280=0),AJ280,"")</f>
        <v>3.6</v>
      </c>
      <c r="AT280" s="34" t="str">
        <f>IF(AND(E280=1,L280=1),AI280,"")</f>
        <v/>
      </c>
      <c r="AU280" s="34">
        <f>IF(AND(E280=1,L280=0),AI280,"")</f>
        <v>3.3</v>
      </c>
      <c r="AV280" s="34" t="str">
        <f>IF(AND(E280=1,L280=1),AG280,"")</f>
        <v/>
      </c>
      <c r="AW280" s="34">
        <f>IF(AND(E280=1,L280=0),AG280,"")</f>
        <v>9.6</v>
      </c>
      <c r="AX280" s="34" t="str">
        <f>IF(AND(E280=1,L280=1),AH280,"")</f>
        <v/>
      </c>
      <c r="AY280" s="34">
        <f>IF(AND(E280=1,L280=0),AH280,"")</f>
        <v>9</v>
      </c>
      <c r="AZ280" s="34" t="str">
        <f>IF(G280=1,F280,"")</f>
        <v/>
      </c>
      <c r="BA280" s="34" t="str">
        <f>IF(AND(G280=1,L280=1),F280,"")</f>
        <v/>
      </c>
      <c r="BB280" s="34" t="str">
        <f>IF(AND(G280=1,L280=0),F280,"")</f>
        <v/>
      </c>
      <c r="BC280" s="33">
        <f>IF(E280=1,IF(Orders!R277&gt;3,1,0),"")</f>
        <v>0</v>
      </c>
      <c r="BD280" s="33">
        <f>IF(E280=1,IF(Orders!R277&gt;7,1,0),"")</f>
        <v>0</v>
      </c>
      <c r="BE280" s="32" t="str">
        <f>IF(E280=1,IF(Orders!L277&lt;=1.5,"Up to 1.5 km",IF(Orders!L277&lt;=3,"1.5–3 km","Over 3 km")),"")</f>
        <v>1.5–3 km</v>
      </c>
      <c r="BF280" s="33">
        <f>IF(E280=1,IF(ABS((Orders!G277-Orders!F277)*1440-Orders!R277)&lt;0.06,1,0),"")</f>
        <v>1</v>
      </c>
      <c r="BG280" s="33">
        <f>IF(ABS((Orders!F277-Orders!E277)*1440-Orders!P277)&lt;0.06,1,0)</f>
        <v>1</v>
      </c>
      <c r="BH280" s="33">
        <f>IF(E280=1,IF(IF(Orders!S277,1,0)=1-G280,1,0),"")</f>
        <v>1</v>
      </c>
      <c r="BI280" s="32" t="str">
        <f>INDEX(Stores!$B$2:$B$21,MATCH(B280,Stores!$A$2:$A$21,0))</f>
        <v>Bengaluru</v>
      </c>
    </row>
    <row r="281">
      <c r="A281" s="32" t="str">
        <f>Orders!A278</f>
        <v>O00277</v>
      </c>
      <c r="B281" s="32" t="str">
        <f>Orders!C278</f>
        <v>S001</v>
      </c>
      <c r="C281" s="32" t="str">
        <f>Orders!B278</f>
        <v>C0081</v>
      </c>
      <c r="D281" s="32" t="str">
        <f>Orders!H278</f>
        <v>Delivered</v>
      </c>
      <c r="E281" s="33">
        <f>IF(Orders!H278="Delivered",1,0)</f>
        <v>1</v>
      </c>
      <c r="F281" s="34">
        <f>IF(E281=1,Orders!R278,"")</f>
        <v>2.1</v>
      </c>
      <c r="G281" s="33">
        <f>IF(E281=1,IF(Orders!R278&gt;0,1,0),"")</f>
        <v>1</v>
      </c>
      <c r="H281" s="33">
        <f>IF(E281=1,IF(Orders!R278&gt;5,1,0),"")</f>
        <v>0</v>
      </c>
      <c r="I281" s="32" t="str">
        <f>IF(E281=1,"",IF(OR(Orders!T278="Rider unavailable",Orders!T278="Item unavailable"),"Company-caused","Unresolved"))</f>
        <v/>
      </c>
      <c r="J281" s="33">
        <f>IF(OR(E281=1,I281="Company-caused"),1,0)</f>
        <v>1</v>
      </c>
      <c r="K281" s="32" t="str">
        <f>IF(E281=0,IF(I281="Company-caused",IF(Orders!T278="Rider unavailable","C1 Rider unavailable","C2 Item unavailable"),"Outside root: unresolved"),IF(G281=0,"A On time",IF(H281=1,IF(L281=1,"B2a Severe, peak","B2b Severe, off-peak"),IF(L281=1,"B1a Slight, peak","B1b Slight, off-peak"))))</f>
        <v>B1b Slight, off-peak</v>
      </c>
      <c r="L281" s="33">
        <f>IF(AND(Orders!U278&gt;=19,Orders!U278&lt;22),1,0)</f>
        <v>0</v>
      </c>
      <c r="M281" s="33">
        <f>IF(L281=IF(Orders!V278,1,0),1,0)</f>
        <v>1</v>
      </c>
      <c r="N281" s="32" t="str">
        <f>IF(Orders!W278="","None",Orders!W278)</f>
        <v>None</v>
      </c>
      <c r="O281" s="35">
        <f>INT(Orders!E278)</f>
        <v>46273.0</v>
      </c>
      <c r="P281" s="33">
        <f>Orders!U278</f>
        <v>18</v>
      </c>
      <c r="Q281" s="33">
        <f>COUNTIFS(Demand!$A$2:$A$4481,B281,Demand!$B$2:$B$4481,O281,Demand!$C$2:$C$4481,P281)</f>
        <v>1</v>
      </c>
      <c r="R281" s="33">
        <f>IF(Q281=1,SUMIFS(Demand!$E$2:$E$4481,Demand!$A$2:$A$4481,B281,Demand!$B$2:$B$4481,O281,Demand!$C$2:$C$4481,P281),"")</f>
        <v>9</v>
      </c>
      <c r="S281" s="33">
        <f>INDEX(Stores!$G$2:$G$21,MATCH(B281,Stores!$A$2:$A$21,0))</f>
        <v>16</v>
      </c>
      <c r="T281" s="34">
        <f>IF(R281="","",R281/S281)</f>
        <v>0.5625</v>
      </c>
      <c r="U281" s="34">
        <f>IF(E281=1,T281,"")</f>
        <v>0.5625</v>
      </c>
      <c r="V281" s="34">
        <f>IF(AND(E281=1,L281=0),T281,"")</f>
        <v>0.5625</v>
      </c>
      <c r="W281" s="33">
        <f>IF(U281="","",IF(U281&lt;=Breakdowns!$C$5,1,IF(U281&lt;=Breakdowns!$C$6,2,IF(U281&lt;=Breakdowns!$C$7,3,4))))</f>
        <v>1</v>
      </c>
      <c r="X281" s="33">
        <f>IF(V281="","",IF(V281&lt;=Breakdowns!$D$5,1,IF(V281&lt;=Breakdowns!$D$6,2,IF(V281&lt;=Breakdowns!$D$7,3,4))))</f>
        <v>1</v>
      </c>
      <c r="Y281" s="34">
        <f>INDEX(Stores!$F$2:$F$21,MATCH(B281,Stores!$A$2:$A$21,0))</f>
        <v>4.59</v>
      </c>
      <c r="Z281" s="33">
        <f>IF(Y281&gt;Store_Summary!$M$2,1,0)</f>
        <v>0</v>
      </c>
      <c r="AA281" s="33">
        <f>INDEX(Stores!$C$2:$C$21,MATCH(B281,Stores!$A$2:$A$21,0))</f>
        <v>362</v>
      </c>
      <c r="AB281" s="33">
        <f>IF(AA281&lt;180,1,0)</f>
        <v>0</v>
      </c>
      <c r="AC281" s="32" t="str">
        <f>IF(Orders!D278="","",INDEX(Riders!$C$2:$C$81,MATCH(Orders!D278,Riders!$A$2:$A$81,0)))</f>
        <v>Petrol scooter</v>
      </c>
      <c r="AD281" s="33">
        <f>IF(Orders!D278="","",INDEX(Riders!$D$2:$D$81,MATCH(Orders!D278,Riders!$A$2:$A$81,0)))</f>
        <v>13</v>
      </c>
      <c r="AE281" s="33">
        <f>IF(Orders!D278="","",IF(INDEX(Riders!$B$2:$B$81,MATCH(Orders!D278,Riders!$A$2:$A$81,0))=B281,1,0))</f>
        <v>0</v>
      </c>
      <c r="AF281" s="34">
        <f>IF(E281=1,Orders!L278,"")</f>
        <v>0.56</v>
      </c>
      <c r="AG281" s="34">
        <f>IF(E281=1,Orders!P278,"")</f>
        <v>10.9</v>
      </c>
      <c r="AH281" s="34">
        <f>IF(E281=1,Orders!Q278,"")</f>
        <v>13</v>
      </c>
      <c r="AI281" s="34">
        <f>IF(E281=1,Orders!M278,"")</f>
        <v>4.3</v>
      </c>
      <c r="AJ281" s="34">
        <f>IF(E281=1,Orders!N278,"")</f>
        <v>5.8</v>
      </c>
      <c r="AK281" s="34">
        <f>IF(E281=1,Orders!O278,"")</f>
        <v>2.8</v>
      </c>
      <c r="AL281" s="33">
        <f>IF(E281=1,IF(ROUND(ABS(AI281+AJ281+AK281-AH281),6)&lt;=0.1,1,0),"")</f>
        <v>1</v>
      </c>
      <c r="AM281" s="36">
        <f>IF(E281=1,AI281/AH281,"")</f>
        <v>0.330769230769231</v>
      </c>
      <c r="AN281" s="36">
        <f>IF(E281=1,AJ281/AH281,"")</f>
        <v>0.446153846153846</v>
      </c>
      <c r="AO281" s="36">
        <f>IF(E281=1,AK281/AH281,"")</f>
        <v>0.215384615384615</v>
      </c>
      <c r="AP281" s="34">
        <f>IF(E281=1,Orders!Y278,"")</f>
        <v>0.57</v>
      </c>
      <c r="AQ281" s="33">
        <f>IF(Orders!X278,1,0)</f>
        <v>0</v>
      </c>
      <c r="AR281" s="34" t="str">
        <f>IF(AND(E281=1,L281=1),AJ281,"")</f>
        <v/>
      </c>
      <c r="AS281" s="34">
        <f>IF(AND(E281=1,L281=0),AJ281,"")</f>
        <v>5.8</v>
      </c>
      <c r="AT281" s="34" t="str">
        <f>IF(AND(E281=1,L281=1),AI281,"")</f>
        <v/>
      </c>
      <c r="AU281" s="34">
        <f>IF(AND(E281=1,L281=0),AI281,"")</f>
        <v>4.3</v>
      </c>
      <c r="AV281" s="34" t="str">
        <f>IF(AND(E281=1,L281=1),AG281,"")</f>
        <v/>
      </c>
      <c r="AW281" s="34">
        <f>IF(AND(E281=1,L281=0),AG281,"")</f>
        <v>10.9</v>
      </c>
      <c r="AX281" s="34" t="str">
        <f>IF(AND(E281=1,L281=1),AH281,"")</f>
        <v/>
      </c>
      <c r="AY281" s="34">
        <f>IF(AND(E281=1,L281=0),AH281,"")</f>
        <v>13</v>
      </c>
      <c r="AZ281" s="34">
        <f>IF(G281=1,F281,"")</f>
        <v>2.1</v>
      </c>
      <c r="BA281" s="34" t="str">
        <f>IF(AND(G281=1,L281=1),F281,"")</f>
        <v/>
      </c>
      <c r="BB281" s="34">
        <f>IF(AND(G281=1,L281=0),F281,"")</f>
        <v>2.1</v>
      </c>
      <c r="BC281" s="33">
        <f>IF(E281=1,IF(Orders!R278&gt;3,1,0),"")</f>
        <v>0</v>
      </c>
      <c r="BD281" s="33">
        <f>IF(E281=1,IF(Orders!R278&gt;7,1,0),"")</f>
        <v>0</v>
      </c>
      <c r="BE281" s="32" t="str">
        <f>IF(E281=1,IF(Orders!L278&lt;=1.5,"Up to 1.5 km",IF(Orders!L278&lt;=3,"1.5–3 km","Over 3 km")),"")</f>
        <v>Up to 1.5 km</v>
      </c>
      <c r="BF281" s="33">
        <f>IF(E281=1,IF(ABS((Orders!G278-Orders!F278)*1440-Orders!R278)&lt;0.06,1,0),"")</f>
        <v>1</v>
      </c>
      <c r="BG281" s="33">
        <f>IF(ABS((Orders!F278-Orders!E278)*1440-Orders!P278)&lt;0.06,1,0)</f>
        <v>1</v>
      </c>
      <c r="BH281" s="33">
        <f>IF(E281=1,IF(IF(Orders!S278,1,0)=1-G281,1,0),"")</f>
        <v>1</v>
      </c>
      <c r="BI281" s="32" t="str">
        <f>INDEX(Stores!$B$2:$B$21,MATCH(B281,Stores!$A$2:$A$21,0))</f>
        <v>Bengaluru</v>
      </c>
    </row>
    <row r="282">
      <c r="A282" s="32" t="str">
        <f>Orders!A279</f>
        <v>O00278</v>
      </c>
      <c r="B282" s="32" t="str">
        <f>Orders!C279</f>
        <v>S003</v>
      </c>
      <c r="C282" s="32" t="str">
        <f>Orders!B279</f>
        <v>C0091</v>
      </c>
      <c r="D282" s="32" t="str">
        <f>Orders!H279</f>
        <v>Cancelled</v>
      </c>
      <c r="E282" s="33">
        <f>IF(Orders!H279="Delivered",1,0)</f>
        <v>0</v>
      </c>
      <c r="F282" s="34" t="str">
        <f>IF(E282=1,Orders!R279,"")</f>
        <v/>
      </c>
      <c r="G282" s="33" t="str">
        <f>IF(E282=1,IF(Orders!R279&gt;0,1,0),"")</f>
        <v/>
      </c>
      <c r="H282" s="33" t="str">
        <f>IF(E282=1,IF(Orders!R279&gt;5,1,0),"")</f>
        <v/>
      </c>
      <c r="I282" s="32" t="str">
        <f>IF(E282=1,"",IF(OR(Orders!T279="Rider unavailable",Orders!T279="Item unavailable"),"Company-caused","Unresolved"))</f>
        <v>Company-caused</v>
      </c>
      <c r="J282" s="33">
        <f>IF(OR(E282=1,I282="Company-caused"),1,0)</f>
        <v>1</v>
      </c>
      <c r="K282" s="32" t="str">
        <f>IF(E282=0,IF(I282="Company-caused",IF(Orders!T279="Rider unavailable","C1 Rider unavailable","C2 Item unavailable"),"Outside root: unresolved"),IF(G282=0,"A On time",IF(H282=1,IF(L282=1,"B2a Severe, peak","B2b Severe, off-peak"),IF(L282=1,"B1a Slight, peak","B1b Slight, off-peak"))))</f>
        <v>C1 Rider unavailable</v>
      </c>
      <c r="L282" s="33">
        <f>IF(AND(Orders!U279&gt;=19,Orders!U279&lt;22),1,0)</f>
        <v>0</v>
      </c>
      <c r="M282" s="33">
        <f>IF(L282=IF(Orders!V279,1,0),1,0)</f>
        <v>1</v>
      </c>
      <c r="N282" s="32" t="str">
        <f>IF(Orders!W279="","None",Orders!W279)</f>
        <v>Light</v>
      </c>
      <c r="O282" s="35">
        <f>INT(Orders!E279)</f>
        <v>46277.0</v>
      </c>
      <c r="P282" s="33">
        <f>Orders!U279</f>
        <v>10</v>
      </c>
      <c r="Q282" s="33">
        <f>COUNTIFS(Demand!$A$2:$A$4481,B282,Demand!$B$2:$B$4481,O282,Demand!$C$2:$C$4481,P282)</f>
        <v>1</v>
      </c>
      <c r="R282" s="33">
        <f>IF(Q282=1,SUMIFS(Demand!$E$2:$E$4481,Demand!$A$2:$A$4481,B282,Demand!$B$2:$B$4481,O282,Demand!$C$2:$C$4481,P282),"")</f>
        <v>30</v>
      </c>
      <c r="S282" s="33">
        <f>INDEX(Stores!$G$2:$G$21,MATCH(B282,Stores!$A$2:$A$21,0))</f>
        <v>41</v>
      </c>
      <c r="T282" s="34">
        <f>IF(R282="","",R282/S282)</f>
        <v>0.731707317073171</v>
      </c>
      <c r="U282" s="34" t="str">
        <f>IF(E282=1,T282,"")</f>
        <v/>
      </c>
      <c r="V282" s="34" t="str">
        <f>IF(AND(E282=1,L282=0),T282,"")</f>
        <v/>
      </c>
      <c r="W282" s="33" t="str">
        <f>IF(U282="","",IF(U282&lt;=Breakdowns!$C$5,1,IF(U282&lt;=Breakdowns!$C$6,2,IF(U282&lt;=Breakdowns!$C$7,3,4))))</f>
        <v/>
      </c>
      <c r="X282" s="33" t="str">
        <f>IF(V282="","",IF(V282&lt;=Breakdowns!$D$5,1,IF(V282&lt;=Breakdowns!$D$6,2,IF(V282&lt;=Breakdowns!$D$7,3,4))))</f>
        <v/>
      </c>
      <c r="Y282" s="34">
        <f>INDEX(Stores!$F$2:$F$21,MATCH(B282,Stores!$A$2:$A$21,0))</f>
        <v>3.84</v>
      </c>
      <c r="Z282" s="33">
        <f>IF(Y282&gt;Store_Summary!$M$2,1,0)</f>
        <v>0</v>
      </c>
      <c r="AA282" s="33">
        <f>INDEX(Stores!$C$2:$C$21,MATCH(B282,Stores!$A$2:$A$21,0))</f>
        <v>426</v>
      </c>
      <c r="AB282" s="33">
        <f>IF(AA282&lt;180,1,0)</f>
        <v>0</v>
      </c>
      <c r="AC282" s="32" t="str">
        <f>IF(Orders!D279="","",INDEX(Riders!$C$2:$C$81,MATCH(Orders!D279,Riders!$A$2:$A$81,0)))</f>
        <v/>
      </c>
      <c r="AD282" s="33" t="str">
        <f>IF(Orders!D279="","",INDEX(Riders!$D$2:$D$81,MATCH(Orders!D279,Riders!$A$2:$A$81,0)))</f>
        <v/>
      </c>
      <c r="AE282" s="33" t="str">
        <f>IF(Orders!D279="","",IF(INDEX(Riders!$B$2:$B$81,MATCH(Orders!D279,Riders!$A$2:$A$81,0))=B282,1,0))</f>
        <v/>
      </c>
      <c r="AF282" s="34" t="str">
        <f>IF(E282=1,Orders!L279,"")</f>
        <v/>
      </c>
      <c r="AG282" s="34" t="str">
        <f>IF(E282=1,Orders!P279,"")</f>
        <v/>
      </c>
      <c r="AH282" s="34" t="str">
        <f>IF(E282=1,Orders!Q279,"")</f>
        <v/>
      </c>
      <c r="AI282" s="34" t="str">
        <f>IF(E282=1,Orders!M279,"")</f>
        <v/>
      </c>
      <c r="AJ282" s="34" t="str">
        <f>IF(E282=1,Orders!N279,"")</f>
        <v/>
      </c>
      <c r="AK282" s="34" t="str">
        <f>IF(E282=1,Orders!O279,"")</f>
        <v/>
      </c>
      <c r="AL282" s="33" t="str">
        <f>IF(E282=1,IF(ROUND(ABS(AI282+AJ282+AK282-AH282),6)&lt;=0.1,1,0),"")</f>
        <v/>
      </c>
      <c r="AM282" s="36" t="str">
        <f>IF(E282=1,AI282/AH282,"")</f>
        <v/>
      </c>
      <c r="AN282" s="36" t="str">
        <f>IF(E282=1,AJ282/AH282,"")</f>
        <v/>
      </c>
      <c r="AO282" s="36" t="str">
        <f>IF(E282=1,AK282/AH282,"")</f>
        <v/>
      </c>
      <c r="AP282" s="34" t="str">
        <f>IF(E282=1,Orders!Y279,"")</f>
        <v/>
      </c>
      <c r="AQ282" s="33">
        <f>IF(Orders!X279,1,0)</f>
        <v>0</v>
      </c>
      <c r="AR282" s="34" t="str">
        <f>IF(AND(E282=1,L282=1),AJ282,"")</f>
        <v/>
      </c>
      <c r="AS282" s="34" t="str">
        <f>IF(AND(E282=1,L282=0),AJ282,"")</f>
        <v/>
      </c>
      <c r="AT282" s="34" t="str">
        <f>IF(AND(E282=1,L282=1),AI282,"")</f>
        <v/>
      </c>
      <c r="AU282" s="34" t="str">
        <f>IF(AND(E282=1,L282=0),AI282,"")</f>
        <v/>
      </c>
      <c r="AV282" s="34" t="str">
        <f>IF(AND(E282=1,L282=1),AG282,"")</f>
        <v/>
      </c>
      <c r="AW282" s="34" t="str">
        <f>IF(AND(E282=1,L282=0),AG282,"")</f>
        <v/>
      </c>
      <c r="AX282" s="34" t="str">
        <f>IF(AND(E282=1,L282=1),AH282,"")</f>
        <v/>
      </c>
      <c r="AY282" s="34" t="str">
        <f>IF(AND(E282=1,L282=0),AH282,"")</f>
        <v/>
      </c>
      <c r="AZ282" s="34" t="str">
        <f>IF(G282=1,F282,"")</f>
        <v/>
      </c>
      <c r="BA282" s="34" t="str">
        <f>IF(AND(G282=1,L282=1),F282,"")</f>
        <v/>
      </c>
      <c r="BB282" s="34" t="str">
        <f>IF(AND(G282=1,L282=0),F282,"")</f>
        <v/>
      </c>
      <c r="BC282" s="33" t="str">
        <f>IF(E282=1,IF(Orders!R279&gt;3,1,0),"")</f>
        <v/>
      </c>
      <c r="BD282" s="33" t="str">
        <f>IF(E282=1,IF(Orders!R279&gt;7,1,0),"")</f>
        <v/>
      </c>
      <c r="BE282" s="32" t="str">
        <f>IF(E282=1,IF(Orders!L279&lt;=1.5,"Up to 1.5 km",IF(Orders!L279&lt;=3,"1.5–3 km","Over 3 km")),"")</f>
        <v/>
      </c>
      <c r="BF282" s="33" t="str">
        <f>IF(E282=1,IF(ABS((Orders!G279-Orders!F279)*1440-Orders!R279)&lt;0.06,1,0),"")</f>
        <v/>
      </c>
      <c r="BG282" s="33">
        <f>IF(ABS((Orders!F279-Orders!E279)*1440-Orders!P279)&lt;0.06,1,0)</f>
        <v>1</v>
      </c>
      <c r="BH282" s="33" t="str">
        <f>IF(E282=1,IF(IF(Orders!S279,1,0)=1-G282,1,0),"")</f>
        <v/>
      </c>
      <c r="BI282" s="32" t="str">
        <f>INDEX(Stores!$B$2:$B$21,MATCH(B282,Stores!$A$2:$A$21,0))</f>
        <v>Mumbai</v>
      </c>
    </row>
    <row r="283">
      <c r="A283" s="32" t="str">
        <f>Orders!A280</f>
        <v>O00279</v>
      </c>
      <c r="B283" s="32" t="str">
        <f>Orders!C280</f>
        <v>S016</v>
      </c>
      <c r="C283" s="32" t="str">
        <f>Orders!B280</f>
        <v>C0058</v>
      </c>
      <c r="D283" s="32" t="str">
        <f>Orders!H280</f>
        <v>Delivered</v>
      </c>
      <c r="E283" s="33">
        <f>IF(Orders!H280="Delivered",1,0)</f>
        <v>1</v>
      </c>
      <c r="F283" s="34">
        <f>IF(E283=1,Orders!R280,"")</f>
        <v>-1</v>
      </c>
      <c r="G283" s="33">
        <f>IF(E283=1,IF(Orders!R280&gt;0,1,0),"")</f>
        <v>0</v>
      </c>
      <c r="H283" s="33">
        <f>IF(E283=1,IF(Orders!R280&gt;5,1,0),"")</f>
        <v>0</v>
      </c>
      <c r="I283" s="32" t="str">
        <f>IF(E283=1,"",IF(OR(Orders!T280="Rider unavailable",Orders!T280="Item unavailable"),"Company-caused","Unresolved"))</f>
        <v/>
      </c>
      <c r="J283" s="33">
        <f>IF(OR(E283=1,I283="Company-caused"),1,0)</f>
        <v>1</v>
      </c>
      <c r="K283" s="32" t="str">
        <f>IF(E283=0,IF(I283="Company-caused",IF(Orders!T280="Rider unavailable","C1 Rider unavailable","C2 Item unavailable"),"Outside root: unresolved"),IF(G283=0,"A On time",IF(H283=1,IF(L283=1,"B2a Severe, peak","B2b Severe, off-peak"),IF(L283=1,"B1a Slight, peak","B1b Slight, off-peak"))))</f>
        <v>A On time</v>
      </c>
      <c r="L283" s="33">
        <f>IF(AND(Orders!U280&gt;=19,Orders!U280&lt;22),1,0)</f>
        <v>0</v>
      </c>
      <c r="M283" s="33">
        <f>IF(L283=IF(Orders!V280,1,0),1,0)</f>
        <v>1</v>
      </c>
      <c r="N283" s="32" t="str">
        <f>IF(Orders!W280="","None",Orders!W280)</f>
        <v>Light</v>
      </c>
      <c r="O283" s="35">
        <f>INT(Orders!E280)</f>
        <v>46270.0</v>
      </c>
      <c r="P283" s="33">
        <f>Orders!U280</f>
        <v>15</v>
      </c>
      <c r="Q283" s="33">
        <f>COUNTIFS(Demand!$A$2:$A$4481,B283,Demand!$B$2:$B$4481,O283,Demand!$C$2:$C$4481,P283)</f>
        <v>1</v>
      </c>
      <c r="R283" s="33">
        <f>IF(Q283=1,SUMIFS(Demand!$E$2:$E$4481,Demand!$A$2:$A$4481,B283,Demand!$B$2:$B$4481,O283,Demand!$C$2:$C$4481,P283),"")</f>
        <v>28</v>
      </c>
      <c r="S283" s="33">
        <f>INDEX(Stores!$G$2:$G$21,MATCH(B283,Stores!$A$2:$A$21,0))</f>
        <v>25</v>
      </c>
      <c r="T283" s="34">
        <f>IF(R283="","",R283/S283)</f>
        <v>1.12</v>
      </c>
      <c r="U283" s="34">
        <f>IF(E283=1,T283,"")</f>
        <v>1.12</v>
      </c>
      <c r="V283" s="34">
        <f>IF(AND(E283=1,L283=0),T283,"")</f>
        <v>1.12</v>
      </c>
      <c r="W283" s="33">
        <f>IF(U283="","",IF(U283&lt;=Breakdowns!$C$5,1,IF(U283&lt;=Breakdowns!$C$6,2,IF(U283&lt;=Breakdowns!$C$7,3,4))))</f>
        <v>3</v>
      </c>
      <c r="X283" s="33">
        <f>IF(V283="","",IF(V283&lt;=Breakdowns!$D$5,1,IF(V283&lt;=Breakdowns!$D$6,2,IF(V283&lt;=Breakdowns!$D$7,3,4))))</f>
        <v>4</v>
      </c>
      <c r="Y283" s="34">
        <f>INDEX(Stores!$F$2:$F$21,MATCH(B283,Stores!$A$2:$A$21,0))</f>
        <v>5.51</v>
      </c>
      <c r="Z283" s="33">
        <f>IF(Y283&gt;Store_Summary!$M$2,1,0)</f>
        <v>1</v>
      </c>
      <c r="AA283" s="33">
        <f>INDEX(Stores!$C$2:$C$21,MATCH(B283,Stores!$A$2:$A$21,0))</f>
        <v>792</v>
      </c>
      <c r="AB283" s="33">
        <f>IF(AA283&lt;180,1,0)</f>
        <v>0</v>
      </c>
      <c r="AC283" s="32" t="str">
        <f>IF(Orders!D280="","",INDEX(Riders!$C$2:$C$81,MATCH(Orders!D280,Riders!$A$2:$A$81,0)))</f>
        <v>Bicycle</v>
      </c>
      <c r="AD283" s="33">
        <f>IF(Orders!D280="","",INDEX(Riders!$D$2:$D$81,MATCH(Orders!D280,Riders!$A$2:$A$81,0)))</f>
        <v>2</v>
      </c>
      <c r="AE283" s="33">
        <f>IF(Orders!D280="","",IF(INDEX(Riders!$B$2:$B$81,MATCH(Orders!D280,Riders!$A$2:$A$81,0))=B283,1,0))</f>
        <v>0</v>
      </c>
      <c r="AF283" s="34">
        <f>IF(E283=1,Orders!L280,"")</f>
        <v>1.41</v>
      </c>
      <c r="AG283" s="34">
        <f>IF(E283=1,Orders!P280,"")</f>
        <v>10.7</v>
      </c>
      <c r="AH283" s="34">
        <f>IF(E283=1,Orders!Q280,"")</f>
        <v>9.7</v>
      </c>
      <c r="AI283" s="34">
        <f>IF(E283=1,Orders!M280,"")</f>
        <v>4</v>
      </c>
      <c r="AJ283" s="34">
        <f>IF(E283=1,Orders!N280,"")</f>
        <v>3.1</v>
      </c>
      <c r="AK283" s="34">
        <f>IF(E283=1,Orders!O280,"")</f>
        <v>2.6</v>
      </c>
      <c r="AL283" s="33">
        <f>IF(E283=1,IF(ROUND(ABS(AI283+AJ283+AK283-AH283),6)&lt;=0.1,1,0),"")</f>
        <v>1</v>
      </c>
      <c r="AM283" s="36">
        <f>IF(E283=1,AI283/AH283,"")</f>
        <v>0.412371134020619</v>
      </c>
      <c r="AN283" s="36">
        <f>IF(E283=1,AJ283/AH283,"")</f>
        <v>0.319587628865979</v>
      </c>
      <c r="AO283" s="36">
        <f>IF(E283=1,AK283/AH283,"")</f>
        <v>0.268041237113402</v>
      </c>
      <c r="AP283" s="34">
        <f>IF(E283=1,Orders!Y280,"")</f>
        <v>0.63</v>
      </c>
      <c r="AQ283" s="33">
        <f>IF(Orders!X280,1,0)</f>
        <v>0</v>
      </c>
      <c r="AR283" s="34" t="str">
        <f>IF(AND(E283=1,L283=1),AJ283,"")</f>
        <v/>
      </c>
      <c r="AS283" s="34">
        <f>IF(AND(E283=1,L283=0),AJ283,"")</f>
        <v>3.1</v>
      </c>
      <c r="AT283" s="34" t="str">
        <f>IF(AND(E283=1,L283=1),AI283,"")</f>
        <v/>
      </c>
      <c r="AU283" s="34">
        <f>IF(AND(E283=1,L283=0),AI283,"")</f>
        <v>4</v>
      </c>
      <c r="AV283" s="34" t="str">
        <f>IF(AND(E283=1,L283=1),AG283,"")</f>
        <v/>
      </c>
      <c r="AW283" s="34">
        <f>IF(AND(E283=1,L283=0),AG283,"")</f>
        <v>10.7</v>
      </c>
      <c r="AX283" s="34" t="str">
        <f>IF(AND(E283=1,L283=1),AH283,"")</f>
        <v/>
      </c>
      <c r="AY283" s="34">
        <f>IF(AND(E283=1,L283=0),AH283,"")</f>
        <v>9.7</v>
      </c>
      <c r="AZ283" s="34" t="str">
        <f>IF(G283=1,F283,"")</f>
        <v/>
      </c>
      <c r="BA283" s="34" t="str">
        <f>IF(AND(G283=1,L283=1),F283,"")</f>
        <v/>
      </c>
      <c r="BB283" s="34" t="str">
        <f>IF(AND(G283=1,L283=0),F283,"")</f>
        <v/>
      </c>
      <c r="BC283" s="33">
        <f>IF(E283=1,IF(Orders!R280&gt;3,1,0),"")</f>
        <v>0</v>
      </c>
      <c r="BD283" s="33">
        <f>IF(E283=1,IF(Orders!R280&gt;7,1,0),"")</f>
        <v>0</v>
      </c>
      <c r="BE283" s="32" t="str">
        <f>IF(E283=1,IF(Orders!L280&lt;=1.5,"Up to 1.5 km",IF(Orders!L280&lt;=3,"1.5–3 km","Over 3 km")),"")</f>
        <v>Up to 1.5 km</v>
      </c>
      <c r="BF283" s="33">
        <f>IF(E283=1,IF(ABS((Orders!G280-Orders!F280)*1440-Orders!R280)&lt;0.06,1,0),"")</f>
        <v>1</v>
      </c>
      <c r="BG283" s="33">
        <f>IF(ABS((Orders!F280-Orders!E280)*1440-Orders!P280)&lt;0.06,1,0)</f>
        <v>1</v>
      </c>
      <c r="BH283" s="33">
        <f>IF(E283=1,IF(IF(Orders!S280,1,0)=1-G283,1,0),"")</f>
        <v>1</v>
      </c>
      <c r="BI283" s="32" t="str">
        <f>INDEX(Stores!$B$2:$B$21,MATCH(B283,Stores!$A$2:$A$21,0))</f>
        <v>Bengaluru</v>
      </c>
    </row>
    <row r="284">
      <c r="A284" s="32" t="str">
        <f>Orders!A281</f>
        <v>O00280</v>
      </c>
      <c r="B284" s="32" t="str">
        <f>Orders!C281</f>
        <v>S019</v>
      </c>
      <c r="C284" s="32" t="str">
        <f>Orders!B281</f>
        <v>C0079</v>
      </c>
      <c r="D284" s="32" t="str">
        <f>Orders!H281</f>
        <v>Delivered</v>
      </c>
      <c r="E284" s="33">
        <f>IF(Orders!H281="Delivered",1,0)</f>
        <v>1</v>
      </c>
      <c r="F284" s="34">
        <f>IF(E284=1,Orders!R281,"")</f>
        <v>-0.7</v>
      </c>
      <c r="G284" s="33">
        <f>IF(E284=1,IF(Orders!R281&gt;0,1,0),"")</f>
        <v>0</v>
      </c>
      <c r="H284" s="33">
        <f>IF(E284=1,IF(Orders!R281&gt;5,1,0),"")</f>
        <v>0</v>
      </c>
      <c r="I284" s="32" t="str">
        <f>IF(E284=1,"",IF(OR(Orders!T281="Rider unavailable",Orders!T281="Item unavailable"),"Company-caused","Unresolved"))</f>
        <v/>
      </c>
      <c r="J284" s="33">
        <f>IF(OR(E284=1,I284="Company-caused"),1,0)</f>
        <v>1</v>
      </c>
      <c r="K284" s="32" t="str">
        <f>IF(E284=0,IF(I284="Company-caused",IF(Orders!T281="Rider unavailable","C1 Rider unavailable","C2 Item unavailable"),"Outside root: unresolved"),IF(G284=0,"A On time",IF(H284=1,IF(L284=1,"B2a Severe, peak","B2b Severe, off-peak"),IF(L284=1,"B1a Slight, peak","B1b Slight, off-peak"))))</f>
        <v>A On time</v>
      </c>
      <c r="L284" s="33">
        <f>IF(AND(Orders!U281&gt;=19,Orders!U281&lt;22),1,0)</f>
        <v>0</v>
      </c>
      <c r="M284" s="33">
        <f>IF(L284=IF(Orders!V281,1,0),1,0)</f>
        <v>1</v>
      </c>
      <c r="N284" s="32" t="str">
        <f>IF(Orders!W281="","None",Orders!W281)</f>
        <v>Light</v>
      </c>
      <c r="O284" s="35">
        <f>INT(Orders!E281)</f>
        <v>46279.0</v>
      </c>
      <c r="P284" s="33">
        <f>Orders!U281</f>
        <v>9</v>
      </c>
      <c r="Q284" s="33">
        <f>COUNTIFS(Demand!$A$2:$A$4481,B284,Demand!$B$2:$B$4481,O284,Demand!$C$2:$C$4481,P284)</f>
        <v>1</v>
      </c>
      <c r="R284" s="33">
        <f>IF(Q284=1,SUMIFS(Demand!$E$2:$E$4481,Demand!$A$2:$A$4481,B284,Demand!$B$2:$B$4481,O284,Demand!$C$2:$C$4481,P284),"")</f>
        <v>16</v>
      </c>
      <c r="S284" s="33">
        <f>INDEX(Stores!$G$2:$G$21,MATCH(B284,Stores!$A$2:$A$21,0))</f>
        <v>22</v>
      </c>
      <c r="T284" s="34">
        <f>IF(R284="","",R284/S284)</f>
        <v>0.727272727272727</v>
      </c>
      <c r="U284" s="34">
        <f>IF(E284=1,T284,"")</f>
        <v>0.727272727272727</v>
      </c>
      <c r="V284" s="34">
        <f>IF(AND(E284=1,L284=0),T284,"")</f>
        <v>0.727272727272727</v>
      </c>
      <c r="W284" s="33">
        <f>IF(U284="","",IF(U284&lt;=Breakdowns!$C$5,1,IF(U284&lt;=Breakdowns!$C$6,2,IF(U284&lt;=Breakdowns!$C$7,3,4))))</f>
        <v>1</v>
      </c>
      <c r="X284" s="33">
        <f>IF(V284="","",IF(V284&lt;=Breakdowns!$D$5,1,IF(V284&lt;=Breakdowns!$D$6,2,IF(V284&lt;=Breakdowns!$D$7,3,4))))</f>
        <v>1</v>
      </c>
      <c r="Y284" s="34">
        <f>INDEX(Stores!$F$2:$F$21,MATCH(B284,Stores!$A$2:$A$21,0))</f>
        <v>4.99</v>
      </c>
      <c r="Z284" s="33">
        <f>IF(Y284&gt;Store_Summary!$M$2,1,0)</f>
        <v>1</v>
      </c>
      <c r="AA284" s="33">
        <f>INDEX(Stores!$C$2:$C$21,MATCH(B284,Stores!$A$2:$A$21,0))</f>
        <v>851</v>
      </c>
      <c r="AB284" s="33">
        <f>IF(AA284&lt;180,1,0)</f>
        <v>0</v>
      </c>
      <c r="AC284" s="32" t="str">
        <f>IF(Orders!D281="","",INDEX(Riders!$C$2:$C$81,MATCH(Orders!D281,Riders!$A$2:$A$81,0)))</f>
        <v>EV scooter</v>
      </c>
      <c r="AD284" s="33">
        <f>IF(Orders!D281="","",INDEX(Riders!$D$2:$D$81,MATCH(Orders!D281,Riders!$A$2:$A$81,0)))</f>
        <v>33</v>
      </c>
      <c r="AE284" s="33">
        <f>IF(Orders!D281="","",IF(INDEX(Riders!$B$2:$B$81,MATCH(Orders!D281,Riders!$A$2:$A$81,0))=B284,1,0))</f>
        <v>0</v>
      </c>
      <c r="AF284" s="34">
        <f>IF(E284=1,Orders!L281,"")</f>
        <v>0.5</v>
      </c>
      <c r="AG284" s="34">
        <f>IF(E284=1,Orders!P281,"")</f>
        <v>9.7</v>
      </c>
      <c r="AH284" s="34">
        <f>IF(E284=1,Orders!Q281,"")</f>
        <v>9</v>
      </c>
      <c r="AI284" s="34">
        <f>IF(E284=1,Orders!M281,"")</f>
        <v>3.5</v>
      </c>
      <c r="AJ284" s="34">
        <f>IF(E284=1,Orders!N281,"")</f>
        <v>3.5</v>
      </c>
      <c r="AK284" s="34">
        <f>IF(E284=1,Orders!O281,"")</f>
        <v>2</v>
      </c>
      <c r="AL284" s="33">
        <f>IF(E284=1,IF(ROUND(ABS(AI284+AJ284+AK284-AH284),6)&lt;=0.1,1,0),"")</f>
        <v>1</v>
      </c>
      <c r="AM284" s="36">
        <f>IF(E284=1,AI284/AH284,"")</f>
        <v>0.388888888888889</v>
      </c>
      <c r="AN284" s="36">
        <f>IF(E284=1,AJ284/AH284,"")</f>
        <v>0.388888888888889</v>
      </c>
      <c r="AO284" s="36">
        <f>IF(E284=1,AK284/AH284,"")</f>
        <v>0.222222222222222</v>
      </c>
      <c r="AP284" s="34">
        <f>IF(E284=1,Orders!Y281,"")</f>
        <v>0.38</v>
      </c>
      <c r="AQ284" s="33">
        <f>IF(Orders!X281,1,0)</f>
        <v>0</v>
      </c>
      <c r="AR284" s="34" t="str">
        <f>IF(AND(E284=1,L284=1),AJ284,"")</f>
        <v/>
      </c>
      <c r="AS284" s="34">
        <f>IF(AND(E284=1,L284=0),AJ284,"")</f>
        <v>3.5</v>
      </c>
      <c r="AT284" s="34" t="str">
        <f>IF(AND(E284=1,L284=1),AI284,"")</f>
        <v/>
      </c>
      <c r="AU284" s="34">
        <f>IF(AND(E284=1,L284=0),AI284,"")</f>
        <v>3.5</v>
      </c>
      <c r="AV284" s="34" t="str">
        <f>IF(AND(E284=1,L284=1),AG284,"")</f>
        <v/>
      </c>
      <c r="AW284" s="34">
        <f>IF(AND(E284=1,L284=0),AG284,"")</f>
        <v>9.7</v>
      </c>
      <c r="AX284" s="34" t="str">
        <f>IF(AND(E284=1,L284=1),AH284,"")</f>
        <v/>
      </c>
      <c r="AY284" s="34">
        <f>IF(AND(E284=1,L284=0),AH284,"")</f>
        <v>9</v>
      </c>
      <c r="AZ284" s="34" t="str">
        <f>IF(G284=1,F284,"")</f>
        <v/>
      </c>
      <c r="BA284" s="34" t="str">
        <f>IF(AND(G284=1,L284=1),F284,"")</f>
        <v/>
      </c>
      <c r="BB284" s="34" t="str">
        <f>IF(AND(G284=1,L284=0),F284,"")</f>
        <v/>
      </c>
      <c r="BC284" s="33">
        <f>IF(E284=1,IF(Orders!R281&gt;3,1,0),"")</f>
        <v>0</v>
      </c>
      <c r="BD284" s="33">
        <f>IF(E284=1,IF(Orders!R281&gt;7,1,0),"")</f>
        <v>0</v>
      </c>
      <c r="BE284" s="32" t="str">
        <f>IF(E284=1,IF(Orders!L281&lt;=1.5,"Up to 1.5 km",IF(Orders!L281&lt;=3,"1.5–3 km","Over 3 km")),"")</f>
        <v>Up to 1.5 km</v>
      </c>
      <c r="BF284" s="33">
        <f>IF(E284=1,IF(ABS((Orders!G281-Orders!F281)*1440-Orders!R281)&lt;0.06,1,0),"")</f>
        <v>1</v>
      </c>
      <c r="BG284" s="33">
        <f>IF(ABS((Orders!F281-Orders!E281)*1440-Orders!P281)&lt;0.06,1,0)</f>
        <v>1</v>
      </c>
      <c r="BH284" s="33">
        <f>IF(E284=1,IF(IF(Orders!S281,1,0)=1-G284,1,0),"")</f>
        <v>1</v>
      </c>
      <c r="BI284" s="32" t="str">
        <f>INDEX(Stores!$B$2:$B$21,MATCH(B284,Stores!$A$2:$A$21,0))</f>
        <v>Pune</v>
      </c>
    </row>
    <row r="285">
      <c r="A285" s="32" t="str">
        <f>Orders!A282</f>
        <v>O00281</v>
      </c>
      <c r="B285" s="32" t="str">
        <f>Orders!C282</f>
        <v>S002</v>
      </c>
      <c r="C285" s="32" t="str">
        <f>Orders!B282</f>
        <v>C0184</v>
      </c>
      <c r="D285" s="32" t="str">
        <f>Orders!H282</f>
        <v>Delivered</v>
      </c>
      <c r="E285" s="33">
        <f>IF(Orders!H282="Delivered",1,0)</f>
        <v>1</v>
      </c>
      <c r="F285" s="34">
        <f>IF(E285=1,Orders!R282,"")</f>
        <v>-0.3</v>
      </c>
      <c r="G285" s="33">
        <f>IF(E285=1,IF(Orders!R282&gt;0,1,0),"")</f>
        <v>0</v>
      </c>
      <c r="H285" s="33">
        <f>IF(E285=1,IF(Orders!R282&gt;5,1,0),"")</f>
        <v>0</v>
      </c>
      <c r="I285" s="32" t="str">
        <f>IF(E285=1,"",IF(OR(Orders!T282="Rider unavailable",Orders!T282="Item unavailable"),"Company-caused","Unresolved"))</f>
        <v/>
      </c>
      <c r="J285" s="33">
        <f>IF(OR(E285=1,I285="Company-caused"),1,0)</f>
        <v>1</v>
      </c>
      <c r="K285" s="32" t="str">
        <f>IF(E285=0,IF(I285="Company-caused",IF(Orders!T282="Rider unavailable","C1 Rider unavailable","C2 Item unavailable"),"Outside root: unresolved"),IF(G285=0,"A On time",IF(H285=1,IF(L285=1,"B2a Severe, peak","B2b Severe, off-peak"),IF(L285=1,"B1a Slight, peak","B1b Slight, off-peak"))))</f>
        <v>A On time</v>
      </c>
      <c r="L285" s="33">
        <f>IF(AND(Orders!U282&gt;=19,Orders!U282&lt;22),1,0)</f>
        <v>0</v>
      </c>
      <c r="M285" s="33">
        <f>IF(L285=IF(Orders!V282,1,0),1,0)</f>
        <v>1</v>
      </c>
      <c r="N285" s="32" t="str">
        <f>IF(Orders!W282="","None",Orders!W282)</f>
        <v>None</v>
      </c>
      <c r="O285" s="35">
        <f>INT(Orders!E282)</f>
        <v>46277.0</v>
      </c>
      <c r="P285" s="33">
        <f>Orders!U282</f>
        <v>9</v>
      </c>
      <c r="Q285" s="33">
        <f>COUNTIFS(Demand!$A$2:$A$4481,B285,Demand!$B$2:$B$4481,O285,Demand!$C$2:$C$4481,P285)</f>
        <v>1</v>
      </c>
      <c r="R285" s="33">
        <f>IF(Q285=1,SUMIFS(Demand!$E$2:$E$4481,Demand!$A$2:$A$4481,B285,Demand!$B$2:$B$4481,O285,Demand!$C$2:$C$4481,P285),"")</f>
        <v>18</v>
      </c>
      <c r="S285" s="33">
        <f>INDEX(Stores!$G$2:$G$21,MATCH(B285,Stores!$A$2:$A$21,0))</f>
        <v>33</v>
      </c>
      <c r="T285" s="34">
        <f>IF(R285="","",R285/S285)</f>
        <v>0.545454545454545</v>
      </c>
      <c r="U285" s="34">
        <f>IF(E285=1,T285,"")</f>
        <v>0.545454545454545</v>
      </c>
      <c r="V285" s="34">
        <f>IF(AND(E285=1,L285=0),T285,"")</f>
        <v>0.545454545454545</v>
      </c>
      <c r="W285" s="33">
        <f>IF(U285="","",IF(U285&lt;=Breakdowns!$C$5,1,IF(U285&lt;=Breakdowns!$C$6,2,IF(U285&lt;=Breakdowns!$C$7,3,4))))</f>
        <v>1</v>
      </c>
      <c r="X285" s="33">
        <f>IF(V285="","",IF(V285&lt;=Breakdowns!$D$5,1,IF(V285&lt;=Breakdowns!$D$6,2,IF(V285&lt;=Breakdowns!$D$7,3,4))))</f>
        <v>1</v>
      </c>
      <c r="Y285" s="34">
        <f>INDEX(Stores!$F$2:$F$21,MATCH(B285,Stores!$A$2:$A$21,0))</f>
        <v>2.39</v>
      </c>
      <c r="Z285" s="33">
        <f>IF(Y285&gt;Store_Summary!$M$2,1,0)</f>
        <v>0</v>
      </c>
      <c r="AA285" s="33">
        <f>INDEX(Stores!$C$2:$C$21,MATCH(B285,Stores!$A$2:$A$21,0))</f>
        <v>470</v>
      </c>
      <c r="AB285" s="33">
        <f>IF(AA285&lt;180,1,0)</f>
        <v>0</v>
      </c>
      <c r="AC285" s="32" t="str">
        <f>IF(Orders!D282="","",INDEX(Riders!$C$2:$C$81,MATCH(Orders!D282,Riders!$A$2:$A$81,0)))</f>
        <v>EV scooter</v>
      </c>
      <c r="AD285" s="33">
        <f>IF(Orders!D282="","",INDEX(Riders!$D$2:$D$81,MATCH(Orders!D282,Riders!$A$2:$A$81,0)))</f>
        <v>9</v>
      </c>
      <c r="AE285" s="33">
        <f>IF(Orders!D282="","",IF(INDEX(Riders!$B$2:$B$81,MATCH(Orders!D282,Riders!$A$2:$A$81,0))=B285,1,0))</f>
        <v>0</v>
      </c>
      <c r="AF285" s="34">
        <f>IF(E285=1,Orders!L282,"")</f>
        <v>0.5</v>
      </c>
      <c r="AG285" s="34">
        <f>IF(E285=1,Orders!P282,"")</f>
        <v>10.2</v>
      </c>
      <c r="AH285" s="34">
        <f>IF(E285=1,Orders!Q282,"")</f>
        <v>9.9</v>
      </c>
      <c r="AI285" s="34">
        <f>IF(E285=1,Orders!M282,"")</f>
        <v>2.5</v>
      </c>
      <c r="AJ285" s="34">
        <f>IF(E285=1,Orders!N282,"")</f>
        <v>4.9</v>
      </c>
      <c r="AK285" s="34">
        <f>IF(E285=1,Orders!O282,"")</f>
        <v>2.4</v>
      </c>
      <c r="AL285" s="33">
        <f>IF(E285=1,IF(ROUND(ABS(AI285+AJ285+AK285-AH285),6)&lt;=0.1,1,0),"")</f>
        <v>1</v>
      </c>
      <c r="AM285" s="36">
        <f>IF(E285=1,AI285/AH285,"")</f>
        <v>0.252525252525253</v>
      </c>
      <c r="AN285" s="36">
        <f>IF(E285=1,AJ285/AH285,"")</f>
        <v>0.494949494949495</v>
      </c>
      <c r="AO285" s="36">
        <f>IF(E285=1,AK285/AH285,"")</f>
        <v>0.242424242424242</v>
      </c>
      <c r="AP285" s="34">
        <f>IF(E285=1,Orders!Y282,"")</f>
        <v>0.44</v>
      </c>
      <c r="AQ285" s="33">
        <f>IF(Orders!X282,1,0)</f>
        <v>0</v>
      </c>
      <c r="AR285" s="34" t="str">
        <f>IF(AND(E285=1,L285=1),AJ285,"")</f>
        <v/>
      </c>
      <c r="AS285" s="34">
        <f>IF(AND(E285=1,L285=0),AJ285,"")</f>
        <v>4.9</v>
      </c>
      <c r="AT285" s="34" t="str">
        <f>IF(AND(E285=1,L285=1),AI285,"")</f>
        <v/>
      </c>
      <c r="AU285" s="34">
        <f>IF(AND(E285=1,L285=0),AI285,"")</f>
        <v>2.5</v>
      </c>
      <c r="AV285" s="34" t="str">
        <f>IF(AND(E285=1,L285=1),AG285,"")</f>
        <v/>
      </c>
      <c r="AW285" s="34">
        <f>IF(AND(E285=1,L285=0),AG285,"")</f>
        <v>10.2</v>
      </c>
      <c r="AX285" s="34" t="str">
        <f>IF(AND(E285=1,L285=1),AH285,"")</f>
        <v/>
      </c>
      <c r="AY285" s="34">
        <f>IF(AND(E285=1,L285=0),AH285,"")</f>
        <v>9.9</v>
      </c>
      <c r="AZ285" s="34" t="str">
        <f>IF(G285=1,F285,"")</f>
        <v/>
      </c>
      <c r="BA285" s="34" t="str">
        <f>IF(AND(G285=1,L285=1),F285,"")</f>
        <v/>
      </c>
      <c r="BB285" s="34" t="str">
        <f>IF(AND(G285=1,L285=0),F285,"")</f>
        <v/>
      </c>
      <c r="BC285" s="33">
        <f>IF(E285=1,IF(Orders!R282&gt;3,1,0),"")</f>
        <v>0</v>
      </c>
      <c r="BD285" s="33">
        <f>IF(E285=1,IF(Orders!R282&gt;7,1,0),"")</f>
        <v>0</v>
      </c>
      <c r="BE285" s="32" t="str">
        <f>IF(E285=1,IF(Orders!L282&lt;=1.5,"Up to 1.5 km",IF(Orders!L282&lt;=3,"1.5–3 km","Over 3 km")),"")</f>
        <v>Up to 1.5 km</v>
      </c>
      <c r="BF285" s="33">
        <f>IF(E285=1,IF(ABS((Orders!G282-Orders!F282)*1440-Orders!R282)&lt;0.06,1,0),"")</f>
        <v>1</v>
      </c>
      <c r="BG285" s="33">
        <f>IF(ABS((Orders!F282-Orders!E282)*1440-Orders!P282)&lt;0.06,1,0)</f>
        <v>1</v>
      </c>
      <c r="BH285" s="33">
        <f>IF(E285=1,IF(IF(Orders!S282,1,0)=1-G285,1,0),"")</f>
        <v>1</v>
      </c>
      <c r="BI285" s="32" t="str">
        <f>INDEX(Stores!$B$2:$B$21,MATCH(B285,Stores!$A$2:$A$21,0))</f>
        <v>Hyderabad</v>
      </c>
    </row>
    <row r="286">
      <c r="A286" s="32" t="str">
        <f>Orders!A283</f>
        <v>O00282</v>
      </c>
      <c r="B286" s="32" t="str">
        <f>Orders!C283</f>
        <v>S008</v>
      </c>
      <c r="C286" s="32" t="str">
        <f>Orders!B283</f>
        <v>C0101</v>
      </c>
      <c r="D286" s="32" t="str">
        <f>Orders!H283</f>
        <v>Delivered</v>
      </c>
      <c r="E286" s="33">
        <f>IF(Orders!H283="Delivered",1,0)</f>
        <v>1</v>
      </c>
      <c r="F286" s="34">
        <f>IF(E286=1,Orders!R283,"")</f>
        <v>-0.9</v>
      </c>
      <c r="G286" s="33">
        <f>IF(E286=1,IF(Orders!R283&gt;0,1,0),"")</f>
        <v>0</v>
      </c>
      <c r="H286" s="33">
        <f>IF(E286=1,IF(Orders!R283&gt;5,1,0),"")</f>
        <v>0</v>
      </c>
      <c r="I286" s="32" t="str">
        <f>IF(E286=1,"",IF(OR(Orders!T283="Rider unavailable",Orders!T283="Item unavailable"),"Company-caused","Unresolved"))</f>
        <v/>
      </c>
      <c r="J286" s="33">
        <f>IF(OR(E286=1,I286="Company-caused"),1,0)</f>
        <v>1</v>
      </c>
      <c r="K286" s="32" t="str">
        <f>IF(E286=0,IF(I286="Company-caused",IF(Orders!T283="Rider unavailable","C1 Rider unavailable","C2 Item unavailable"),"Outside root: unresolved"),IF(G286=0,"A On time",IF(H286=1,IF(L286=1,"B2a Severe, peak","B2b Severe, off-peak"),IF(L286=1,"B1a Slight, peak","B1b Slight, off-peak"))))</f>
        <v>A On time</v>
      </c>
      <c r="L286" s="33">
        <f>IF(AND(Orders!U283&gt;=19,Orders!U283&lt;22),1,0)</f>
        <v>0</v>
      </c>
      <c r="M286" s="33">
        <f>IF(L286=IF(Orders!V283,1,0),1,0)</f>
        <v>1</v>
      </c>
      <c r="N286" s="32" t="str">
        <f>IF(Orders!W283="","None",Orders!W283)</f>
        <v>None</v>
      </c>
      <c r="O286" s="35">
        <f>INT(Orders!E283)</f>
        <v>46268.0</v>
      </c>
      <c r="P286" s="33">
        <f>Orders!U283</f>
        <v>18</v>
      </c>
      <c r="Q286" s="33">
        <f>COUNTIFS(Demand!$A$2:$A$4481,B286,Demand!$B$2:$B$4481,O286,Demand!$C$2:$C$4481,P286)</f>
        <v>1</v>
      </c>
      <c r="R286" s="33">
        <f>IF(Q286=1,SUMIFS(Demand!$E$2:$E$4481,Demand!$A$2:$A$4481,B286,Demand!$B$2:$B$4481,O286,Demand!$C$2:$C$4481,P286),"")</f>
        <v>16</v>
      </c>
      <c r="S286" s="33">
        <f>INDEX(Stores!$G$2:$G$21,MATCH(B286,Stores!$A$2:$A$21,0))</f>
        <v>23</v>
      </c>
      <c r="T286" s="34">
        <f>IF(R286="","",R286/S286)</f>
        <v>0.695652173913044</v>
      </c>
      <c r="U286" s="34">
        <f>IF(E286=1,T286,"")</f>
        <v>0.695652173913044</v>
      </c>
      <c r="V286" s="34">
        <f>IF(AND(E286=1,L286=0),T286,"")</f>
        <v>0.695652173913044</v>
      </c>
      <c r="W286" s="33">
        <f>IF(U286="","",IF(U286&lt;=Breakdowns!$C$5,1,IF(U286&lt;=Breakdowns!$C$6,2,IF(U286&lt;=Breakdowns!$C$7,3,4))))</f>
        <v>1</v>
      </c>
      <c r="X286" s="33">
        <f>IF(V286="","",IF(V286&lt;=Breakdowns!$D$5,1,IF(V286&lt;=Breakdowns!$D$6,2,IF(V286&lt;=Breakdowns!$D$7,3,4))))</f>
        <v>1</v>
      </c>
      <c r="Y286" s="34">
        <f>INDEX(Stores!$F$2:$F$21,MATCH(B286,Stores!$A$2:$A$21,0))</f>
        <v>3.46</v>
      </c>
      <c r="Z286" s="33">
        <f>IF(Y286&gt;Store_Summary!$M$2,1,0)</f>
        <v>0</v>
      </c>
      <c r="AA286" s="33">
        <f>INDEX(Stores!$C$2:$C$21,MATCH(B286,Stores!$A$2:$A$21,0))</f>
        <v>825</v>
      </c>
      <c r="AB286" s="33">
        <f>IF(AA286&lt;180,1,0)</f>
        <v>0</v>
      </c>
      <c r="AC286" s="32" t="str">
        <f>IF(Orders!D283="","",INDEX(Riders!$C$2:$C$81,MATCH(Orders!D283,Riders!$A$2:$A$81,0)))</f>
        <v>EV scooter</v>
      </c>
      <c r="AD286" s="33">
        <f>IF(Orders!D283="","",INDEX(Riders!$D$2:$D$81,MATCH(Orders!D283,Riders!$A$2:$A$81,0)))</f>
        <v>14</v>
      </c>
      <c r="AE286" s="33">
        <f>IF(Orders!D283="","",IF(INDEX(Riders!$B$2:$B$81,MATCH(Orders!D283,Riders!$A$2:$A$81,0))=B286,1,0))</f>
        <v>0</v>
      </c>
      <c r="AF286" s="34">
        <f>IF(E286=1,Orders!L283,"")</f>
        <v>2.34</v>
      </c>
      <c r="AG286" s="34">
        <f>IF(E286=1,Orders!P283,"")</f>
        <v>11.9</v>
      </c>
      <c r="AH286" s="34">
        <f>IF(E286=1,Orders!Q283,"")</f>
        <v>11</v>
      </c>
      <c r="AI286" s="34">
        <f>IF(E286=1,Orders!M283,"")</f>
        <v>2.8</v>
      </c>
      <c r="AJ286" s="34">
        <f>IF(E286=1,Orders!N283,"")</f>
        <v>4.2</v>
      </c>
      <c r="AK286" s="34">
        <f>IF(E286=1,Orders!O283,"")</f>
        <v>4</v>
      </c>
      <c r="AL286" s="33">
        <f>IF(E286=1,IF(ROUND(ABS(AI286+AJ286+AK286-AH286),6)&lt;=0.1,1,0),"")</f>
        <v>1</v>
      </c>
      <c r="AM286" s="36">
        <f>IF(E286=1,AI286/AH286,"")</f>
        <v>0.254545454545455</v>
      </c>
      <c r="AN286" s="36">
        <f>IF(E286=1,AJ286/AH286,"")</f>
        <v>0.381818181818182</v>
      </c>
      <c r="AO286" s="36">
        <f>IF(E286=1,AK286/AH286,"")</f>
        <v>0.363636363636364</v>
      </c>
      <c r="AP286" s="34">
        <f>IF(E286=1,Orders!Y283,"")</f>
        <v>0.42</v>
      </c>
      <c r="AQ286" s="33">
        <f>IF(Orders!X283,1,0)</f>
        <v>0</v>
      </c>
      <c r="AR286" s="34" t="str">
        <f>IF(AND(E286=1,L286=1),AJ286,"")</f>
        <v/>
      </c>
      <c r="AS286" s="34">
        <f>IF(AND(E286=1,L286=0),AJ286,"")</f>
        <v>4.2</v>
      </c>
      <c r="AT286" s="34" t="str">
        <f>IF(AND(E286=1,L286=1),AI286,"")</f>
        <v/>
      </c>
      <c r="AU286" s="34">
        <f>IF(AND(E286=1,L286=0),AI286,"")</f>
        <v>2.8</v>
      </c>
      <c r="AV286" s="34" t="str">
        <f>IF(AND(E286=1,L286=1),AG286,"")</f>
        <v/>
      </c>
      <c r="AW286" s="34">
        <f>IF(AND(E286=1,L286=0),AG286,"")</f>
        <v>11.9</v>
      </c>
      <c r="AX286" s="34" t="str">
        <f>IF(AND(E286=1,L286=1),AH286,"")</f>
        <v/>
      </c>
      <c r="AY286" s="34">
        <f>IF(AND(E286=1,L286=0),AH286,"")</f>
        <v>11</v>
      </c>
      <c r="AZ286" s="34" t="str">
        <f>IF(G286=1,F286,"")</f>
        <v/>
      </c>
      <c r="BA286" s="34" t="str">
        <f>IF(AND(G286=1,L286=1),F286,"")</f>
        <v/>
      </c>
      <c r="BB286" s="34" t="str">
        <f>IF(AND(G286=1,L286=0),F286,"")</f>
        <v/>
      </c>
      <c r="BC286" s="33">
        <f>IF(E286=1,IF(Orders!R283&gt;3,1,0),"")</f>
        <v>0</v>
      </c>
      <c r="BD286" s="33">
        <f>IF(E286=1,IF(Orders!R283&gt;7,1,0),"")</f>
        <v>0</v>
      </c>
      <c r="BE286" s="32" t="str">
        <f>IF(E286=1,IF(Orders!L283&lt;=1.5,"Up to 1.5 km",IF(Orders!L283&lt;=3,"1.5–3 km","Over 3 km")),"")</f>
        <v>1.5–3 km</v>
      </c>
      <c r="BF286" s="33">
        <f>IF(E286=1,IF(ABS((Orders!G283-Orders!F283)*1440-Orders!R283)&lt;0.06,1,0),"")</f>
        <v>1</v>
      </c>
      <c r="BG286" s="33">
        <f>IF(ABS((Orders!F283-Orders!E283)*1440-Orders!P283)&lt;0.06,1,0)</f>
        <v>1</v>
      </c>
      <c r="BH286" s="33">
        <f>IF(E286=1,IF(IF(Orders!S283,1,0)=1-G286,1,0),"")</f>
        <v>1</v>
      </c>
      <c r="BI286" s="32" t="str">
        <f>INDEX(Stores!$B$2:$B$21,MATCH(B286,Stores!$A$2:$A$21,0))</f>
        <v>Mumbai</v>
      </c>
    </row>
    <row r="287">
      <c r="A287" s="32" t="str">
        <f>Orders!A284</f>
        <v>O00283</v>
      </c>
      <c r="B287" s="32" t="str">
        <f>Orders!C284</f>
        <v>S020</v>
      </c>
      <c r="C287" s="32" t="str">
        <f>Orders!B284</f>
        <v>C0137</v>
      </c>
      <c r="D287" s="32" t="str">
        <f>Orders!H284</f>
        <v>Delivered</v>
      </c>
      <c r="E287" s="33">
        <f>IF(Orders!H284="Delivered",1,0)</f>
        <v>1</v>
      </c>
      <c r="F287" s="34">
        <f>IF(E287=1,Orders!R284,"")</f>
        <v>-0.5</v>
      </c>
      <c r="G287" s="33">
        <f>IF(E287=1,IF(Orders!R284&gt;0,1,0),"")</f>
        <v>0</v>
      </c>
      <c r="H287" s="33">
        <f>IF(E287=1,IF(Orders!R284&gt;5,1,0),"")</f>
        <v>0</v>
      </c>
      <c r="I287" s="32" t="str">
        <f>IF(E287=1,"",IF(OR(Orders!T284="Rider unavailable",Orders!T284="Item unavailable"),"Company-caused","Unresolved"))</f>
        <v/>
      </c>
      <c r="J287" s="33">
        <f>IF(OR(E287=1,I287="Company-caused"),1,0)</f>
        <v>1</v>
      </c>
      <c r="K287" s="32" t="str">
        <f>IF(E287=0,IF(I287="Company-caused",IF(Orders!T284="Rider unavailable","C1 Rider unavailable","C2 Item unavailable"),"Outside root: unresolved"),IF(G287=0,"A On time",IF(H287=1,IF(L287=1,"B2a Severe, peak","B2b Severe, off-peak"),IF(L287=1,"B1a Slight, peak","B1b Slight, off-peak"))))</f>
        <v>A On time</v>
      </c>
      <c r="L287" s="33">
        <f>IF(AND(Orders!U284&gt;=19,Orders!U284&lt;22),1,0)</f>
        <v>0</v>
      </c>
      <c r="M287" s="33">
        <f>IF(L287=IF(Orders!V284,1,0),1,0)</f>
        <v>1</v>
      </c>
      <c r="N287" s="32" t="str">
        <f>IF(Orders!W284="","None",Orders!W284)</f>
        <v>None</v>
      </c>
      <c r="O287" s="35">
        <f>INT(Orders!E284)</f>
        <v>46268.0</v>
      </c>
      <c r="P287" s="33">
        <f>Orders!U284</f>
        <v>16</v>
      </c>
      <c r="Q287" s="33">
        <f>COUNTIFS(Demand!$A$2:$A$4481,B287,Demand!$B$2:$B$4481,O287,Demand!$C$2:$C$4481,P287)</f>
        <v>1</v>
      </c>
      <c r="R287" s="33">
        <f>IF(Q287=1,SUMIFS(Demand!$E$2:$E$4481,Demand!$A$2:$A$4481,B287,Demand!$B$2:$B$4481,O287,Demand!$C$2:$C$4481,P287),"")</f>
        <v>10</v>
      </c>
      <c r="S287" s="33">
        <f>INDEX(Stores!$G$2:$G$21,MATCH(B287,Stores!$A$2:$A$21,0))</f>
        <v>15</v>
      </c>
      <c r="T287" s="34">
        <f>IF(R287="","",R287/S287)</f>
        <v>0.666666666666667</v>
      </c>
      <c r="U287" s="34">
        <f>IF(E287=1,T287,"")</f>
        <v>0.666666666666667</v>
      </c>
      <c r="V287" s="34">
        <f>IF(AND(E287=1,L287=0),T287,"")</f>
        <v>0.666666666666667</v>
      </c>
      <c r="W287" s="33">
        <f>IF(U287="","",IF(U287&lt;=Breakdowns!$C$5,1,IF(U287&lt;=Breakdowns!$C$6,2,IF(U287&lt;=Breakdowns!$C$7,3,4))))</f>
        <v>1</v>
      </c>
      <c r="X287" s="33">
        <f>IF(V287="","",IF(V287&lt;=Breakdowns!$D$5,1,IF(V287&lt;=Breakdowns!$D$6,2,IF(V287&lt;=Breakdowns!$D$7,3,4))))</f>
        <v>1</v>
      </c>
      <c r="Y287" s="34">
        <f>INDEX(Stores!$F$2:$F$21,MATCH(B287,Stores!$A$2:$A$21,0))</f>
        <v>5.74</v>
      </c>
      <c r="Z287" s="33">
        <f>IF(Y287&gt;Store_Summary!$M$2,1,0)</f>
        <v>1</v>
      </c>
      <c r="AA287" s="33">
        <f>INDEX(Stores!$C$2:$C$21,MATCH(B287,Stores!$A$2:$A$21,0))</f>
        <v>647</v>
      </c>
      <c r="AB287" s="33">
        <f>IF(AA287&lt;180,1,0)</f>
        <v>0</v>
      </c>
      <c r="AC287" s="32" t="str">
        <f>IF(Orders!D284="","",INDEX(Riders!$C$2:$C$81,MATCH(Orders!D284,Riders!$A$2:$A$81,0)))</f>
        <v>Petrol scooter</v>
      </c>
      <c r="AD287" s="33">
        <f>IF(Orders!D284="","",INDEX(Riders!$D$2:$D$81,MATCH(Orders!D284,Riders!$A$2:$A$81,0)))</f>
        <v>42</v>
      </c>
      <c r="AE287" s="33">
        <f>IF(Orders!D284="","",IF(INDEX(Riders!$B$2:$B$81,MATCH(Orders!D284,Riders!$A$2:$A$81,0))=B287,1,0))</f>
        <v>0</v>
      </c>
      <c r="AF287" s="34">
        <f>IF(E287=1,Orders!L284,"")</f>
        <v>2.18</v>
      </c>
      <c r="AG287" s="34">
        <f>IF(E287=1,Orders!P284,"")</f>
        <v>10.6</v>
      </c>
      <c r="AH287" s="34">
        <f>IF(E287=1,Orders!Q284,"")</f>
        <v>10.1</v>
      </c>
      <c r="AI287" s="34">
        <f>IF(E287=1,Orders!M284,"")</f>
        <v>3.6</v>
      </c>
      <c r="AJ287" s="34">
        <f>IF(E287=1,Orders!N284,"")</f>
        <v>3.3</v>
      </c>
      <c r="AK287" s="34">
        <f>IF(E287=1,Orders!O284,"")</f>
        <v>3.2</v>
      </c>
      <c r="AL287" s="33">
        <f>IF(E287=1,IF(ROUND(ABS(AI287+AJ287+AK287-AH287),6)&lt;=0.1,1,0),"")</f>
        <v>1</v>
      </c>
      <c r="AM287" s="36">
        <f>IF(E287=1,AI287/AH287,"")</f>
        <v>0.356435643564357</v>
      </c>
      <c r="AN287" s="36">
        <f>IF(E287=1,AJ287/AH287,"")</f>
        <v>0.326732673267327</v>
      </c>
      <c r="AO287" s="36">
        <f>IF(E287=1,AK287/AH287,"")</f>
        <v>0.316831683168317</v>
      </c>
      <c r="AP287" s="34">
        <f>IF(E287=1,Orders!Y284,"")</f>
        <v>0.4</v>
      </c>
      <c r="AQ287" s="33">
        <f>IF(Orders!X284,1,0)</f>
        <v>0</v>
      </c>
      <c r="AR287" s="34" t="str">
        <f>IF(AND(E287=1,L287=1),AJ287,"")</f>
        <v/>
      </c>
      <c r="AS287" s="34">
        <f>IF(AND(E287=1,L287=0),AJ287,"")</f>
        <v>3.3</v>
      </c>
      <c r="AT287" s="34" t="str">
        <f>IF(AND(E287=1,L287=1),AI287,"")</f>
        <v/>
      </c>
      <c r="AU287" s="34">
        <f>IF(AND(E287=1,L287=0),AI287,"")</f>
        <v>3.6</v>
      </c>
      <c r="AV287" s="34" t="str">
        <f>IF(AND(E287=1,L287=1),AG287,"")</f>
        <v/>
      </c>
      <c r="AW287" s="34">
        <f>IF(AND(E287=1,L287=0),AG287,"")</f>
        <v>10.6</v>
      </c>
      <c r="AX287" s="34" t="str">
        <f>IF(AND(E287=1,L287=1),AH287,"")</f>
        <v/>
      </c>
      <c r="AY287" s="34">
        <f>IF(AND(E287=1,L287=0),AH287,"")</f>
        <v>10.1</v>
      </c>
      <c r="AZ287" s="34" t="str">
        <f>IF(G287=1,F287,"")</f>
        <v/>
      </c>
      <c r="BA287" s="34" t="str">
        <f>IF(AND(G287=1,L287=1),F287,"")</f>
        <v/>
      </c>
      <c r="BB287" s="34" t="str">
        <f>IF(AND(G287=1,L287=0),F287,"")</f>
        <v/>
      </c>
      <c r="BC287" s="33">
        <f>IF(E287=1,IF(Orders!R284&gt;3,1,0),"")</f>
        <v>0</v>
      </c>
      <c r="BD287" s="33">
        <f>IF(E287=1,IF(Orders!R284&gt;7,1,0),"")</f>
        <v>0</v>
      </c>
      <c r="BE287" s="32" t="str">
        <f>IF(E287=1,IF(Orders!L284&lt;=1.5,"Up to 1.5 km",IF(Orders!L284&lt;=3,"1.5–3 km","Over 3 km")),"")</f>
        <v>1.5–3 km</v>
      </c>
      <c r="BF287" s="33">
        <f>IF(E287=1,IF(ABS((Orders!G284-Orders!F284)*1440-Orders!R284)&lt;0.06,1,0),"")</f>
        <v>1</v>
      </c>
      <c r="BG287" s="33">
        <f>IF(ABS((Orders!F284-Orders!E284)*1440-Orders!P284)&lt;0.06,1,0)</f>
        <v>1</v>
      </c>
      <c r="BH287" s="33">
        <f>IF(E287=1,IF(IF(Orders!S284,1,0)=1-G287,1,0),"")</f>
        <v>1</v>
      </c>
      <c r="BI287" s="32" t="str">
        <f>INDEX(Stores!$B$2:$B$21,MATCH(B287,Stores!$A$2:$A$21,0))</f>
        <v>Delhi</v>
      </c>
    </row>
    <row r="288">
      <c r="A288" s="32" t="str">
        <f>Orders!A285</f>
        <v>O00284</v>
      </c>
      <c r="B288" s="32" t="str">
        <f>Orders!C285</f>
        <v>S011</v>
      </c>
      <c r="C288" s="32" t="str">
        <f>Orders!B285</f>
        <v>C0203</v>
      </c>
      <c r="D288" s="32" t="str">
        <f>Orders!H285</f>
        <v>Delivered</v>
      </c>
      <c r="E288" s="33">
        <f>IF(Orders!H285="Delivered",1,0)</f>
        <v>1</v>
      </c>
      <c r="F288" s="34">
        <f>IF(E288=1,Orders!R285,"")</f>
        <v>-1.1</v>
      </c>
      <c r="G288" s="33">
        <f>IF(E288=1,IF(Orders!R285&gt;0,1,0),"")</f>
        <v>0</v>
      </c>
      <c r="H288" s="33">
        <f>IF(E288=1,IF(Orders!R285&gt;5,1,0),"")</f>
        <v>0</v>
      </c>
      <c r="I288" s="32" t="str">
        <f>IF(E288=1,"",IF(OR(Orders!T285="Rider unavailable",Orders!T285="Item unavailable"),"Company-caused","Unresolved"))</f>
        <v/>
      </c>
      <c r="J288" s="33">
        <f>IF(OR(E288=1,I288="Company-caused"),1,0)</f>
        <v>1</v>
      </c>
      <c r="K288" s="32" t="str">
        <f>IF(E288=0,IF(I288="Company-caused",IF(Orders!T285="Rider unavailable","C1 Rider unavailable","C2 Item unavailable"),"Outside root: unresolved"),IF(G288=0,"A On time",IF(H288=1,IF(L288=1,"B2a Severe, peak","B2b Severe, off-peak"),IF(L288=1,"B1a Slight, peak","B1b Slight, off-peak"))))</f>
        <v>A On time</v>
      </c>
      <c r="L288" s="33">
        <f>IF(AND(Orders!U285&gt;=19,Orders!U285&lt;22),1,0)</f>
        <v>0</v>
      </c>
      <c r="M288" s="33">
        <f>IF(L288=IF(Orders!V285,1,0),1,0)</f>
        <v>1</v>
      </c>
      <c r="N288" s="32" t="str">
        <f>IF(Orders!W285="","None",Orders!W285)</f>
        <v>Light</v>
      </c>
      <c r="O288" s="35">
        <f>INT(Orders!E285)</f>
        <v>46278.0</v>
      </c>
      <c r="P288" s="33">
        <f>Orders!U285</f>
        <v>18</v>
      </c>
      <c r="Q288" s="33">
        <f>COUNTIFS(Demand!$A$2:$A$4481,B288,Demand!$B$2:$B$4481,O288,Demand!$C$2:$C$4481,P288)</f>
        <v>1</v>
      </c>
      <c r="R288" s="33">
        <f>IF(Q288=1,SUMIFS(Demand!$E$2:$E$4481,Demand!$A$2:$A$4481,B288,Demand!$B$2:$B$4481,O288,Demand!$C$2:$C$4481,P288),"")</f>
        <v>35</v>
      </c>
      <c r="S288" s="33">
        <f>INDEX(Stores!$G$2:$G$21,MATCH(B288,Stores!$A$2:$A$21,0))</f>
        <v>31</v>
      </c>
      <c r="T288" s="34">
        <f>IF(R288="","",R288/S288)</f>
        <v>1.12903225806452</v>
      </c>
      <c r="U288" s="34">
        <f>IF(E288=1,T288,"")</f>
        <v>1.12903225806452</v>
      </c>
      <c r="V288" s="34">
        <f>IF(AND(E288=1,L288=0),T288,"")</f>
        <v>1.12903225806452</v>
      </c>
      <c r="W288" s="33">
        <f>IF(U288="","",IF(U288&lt;=Breakdowns!$C$5,1,IF(U288&lt;=Breakdowns!$C$6,2,IF(U288&lt;=Breakdowns!$C$7,3,4))))</f>
        <v>3</v>
      </c>
      <c r="X288" s="33">
        <f>IF(V288="","",IF(V288&lt;=Breakdowns!$D$5,1,IF(V288&lt;=Breakdowns!$D$6,2,IF(V288&lt;=Breakdowns!$D$7,3,4))))</f>
        <v>4</v>
      </c>
      <c r="Y288" s="34">
        <f>INDEX(Stores!$F$2:$F$21,MATCH(B288,Stores!$A$2:$A$21,0))</f>
        <v>5.67</v>
      </c>
      <c r="Z288" s="33">
        <f>IF(Y288&gt;Store_Summary!$M$2,1,0)</f>
        <v>1</v>
      </c>
      <c r="AA288" s="33">
        <f>INDEX(Stores!$C$2:$C$21,MATCH(B288,Stores!$A$2:$A$21,0))</f>
        <v>732</v>
      </c>
      <c r="AB288" s="33">
        <f>IF(AA288&lt;180,1,0)</f>
        <v>0</v>
      </c>
      <c r="AC288" s="32" t="str">
        <f>IF(Orders!D285="","",INDEX(Riders!$C$2:$C$81,MATCH(Orders!D285,Riders!$A$2:$A$81,0)))</f>
        <v>Petrol scooter</v>
      </c>
      <c r="AD288" s="33">
        <f>IF(Orders!D285="","",INDEX(Riders!$D$2:$D$81,MATCH(Orders!D285,Riders!$A$2:$A$81,0)))</f>
        <v>35</v>
      </c>
      <c r="AE288" s="33">
        <f>IF(Orders!D285="","",IF(INDEX(Riders!$B$2:$B$81,MATCH(Orders!D285,Riders!$A$2:$A$81,0))=B288,1,0))</f>
        <v>0</v>
      </c>
      <c r="AF288" s="34">
        <f>IF(E288=1,Orders!L285,"")</f>
        <v>1.02</v>
      </c>
      <c r="AG288" s="34">
        <f>IF(E288=1,Orders!P285,"")</f>
        <v>8.8</v>
      </c>
      <c r="AH288" s="34">
        <f>IF(E288=1,Orders!Q285,"")</f>
        <v>7.7</v>
      </c>
      <c r="AI288" s="34">
        <f>IF(E288=1,Orders!M285,"")</f>
        <v>3</v>
      </c>
      <c r="AJ288" s="34">
        <f>IF(E288=1,Orders!N285,"")</f>
        <v>2.8</v>
      </c>
      <c r="AK288" s="34">
        <f>IF(E288=1,Orders!O285,"")</f>
        <v>1.9</v>
      </c>
      <c r="AL288" s="33">
        <f>IF(E288=1,IF(ROUND(ABS(AI288+AJ288+AK288-AH288),6)&lt;=0.1,1,0),"")</f>
        <v>1</v>
      </c>
      <c r="AM288" s="36">
        <f>IF(E288=1,AI288/AH288,"")</f>
        <v>0.38961038961039</v>
      </c>
      <c r="AN288" s="36">
        <f>IF(E288=1,AJ288/AH288,"")</f>
        <v>0.363636363636364</v>
      </c>
      <c r="AO288" s="36">
        <f>IF(E288=1,AK288/AH288,"")</f>
        <v>0.246753246753247</v>
      </c>
      <c r="AP288" s="34">
        <f>IF(E288=1,Orders!Y285,"")</f>
        <v>0.33</v>
      </c>
      <c r="AQ288" s="33">
        <f>IF(Orders!X285,1,0)</f>
        <v>0</v>
      </c>
      <c r="AR288" s="34" t="str">
        <f>IF(AND(E288=1,L288=1),AJ288,"")</f>
        <v/>
      </c>
      <c r="AS288" s="34">
        <f>IF(AND(E288=1,L288=0),AJ288,"")</f>
        <v>2.8</v>
      </c>
      <c r="AT288" s="34" t="str">
        <f>IF(AND(E288=1,L288=1),AI288,"")</f>
        <v/>
      </c>
      <c r="AU288" s="34">
        <f>IF(AND(E288=1,L288=0),AI288,"")</f>
        <v>3</v>
      </c>
      <c r="AV288" s="34" t="str">
        <f>IF(AND(E288=1,L288=1),AG288,"")</f>
        <v/>
      </c>
      <c r="AW288" s="34">
        <f>IF(AND(E288=1,L288=0),AG288,"")</f>
        <v>8.8</v>
      </c>
      <c r="AX288" s="34" t="str">
        <f>IF(AND(E288=1,L288=1),AH288,"")</f>
        <v/>
      </c>
      <c r="AY288" s="34">
        <f>IF(AND(E288=1,L288=0),AH288,"")</f>
        <v>7.7</v>
      </c>
      <c r="AZ288" s="34" t="str">
        <f>IF(G288=1,F288,"")</f>
        <v/>
      </c>
      <c r="BA288" s="34" t="str">
        <f>IF(AND(G288=1,L288=1),F288,"")</f>
        <v/>
      </c>
      <c r="BB288" s="34" t="str">
        <f>IF(AND(G288=1,L288=0),F288,"")</f>
        <v/>
      </c>
      <c r="BC288" s="33">
        <f>IF(E288=1,IF(Orders!R285&gt;3,1,0),"")</f>
        <v>0</v>
      </c>
      <c r="BD288" s="33">
        <f>IF(E288=1,IF(Orders!R285&gt;7,1,0),"")</f>
        <v>0</v>
      </c>
      <c r="BE288" s="32" t="str">
        <f>IF(E288=1,IF(Orders!L285&lt;=1.5,"Up to 1.5 km",IF(Orders!L285&lt;=3,"1.5–3 km","Over 3 km")),"")</f>
        <v>Up to 1.5 km</v>
      </c>
      <c r="BF288" s="33">
        <f>IF(E288=1,IF(ABS((Orders!G285-Orders!F285)*1440-Orders!R285)&lt;0.06,1,0),"")</f>
        <v>1</v>
      </c>
      <c r="BG288" s="33">
        <f>IF(ABS((Orders!F285-Orders!E285)*1440-Orders!P285)&lt;0.06,1,0)</f>
        <v>1</v>
      </c>
      <c r="BH288" s="33">
        <f>IF(E288=1,IF(IF(Orders!S285,1,0)=1-G288,1,0),"")</f>
        <v>1</v>
      </c>
      <c r="BI288" s="32" t="str">
        <f>INDEX(Stores!$B$2:$B$21,MATCH(B288,Stores!$A$2:$A$21,0))</f>
        <v>Bengaluru</v>
      </c>
    </row>
    <row r="289">
      <c r="A289" s="32" t="str">
        <f>Orders!A286</f>
        <v>O00285</v>
      </c>
      <c r="B289" s="32" t="str">
        <f>Orders!C286</f>
        <v>S002</v>
      </c>
      <c r="C289" s="32" t="str">
        <f>Orders!B286</f>
        <v>C0206</v>
      </c>
      <c r="D289" s="32" t="str">
        <f>Orders!H286</f>
        <v>Delivered</v>
      </c>
      <c r="E289" s="33">
        <f>IF(Orders!H286="Delivered",1,0)</f>
        <v>1</v>
      </c>
      <c r="F289" s="34">
        <f>IF(E289=1,Orders!R286,"")</f>
        <v>-0.8</v>
      </c>
      <c r="G289" s="33">
        <f>IF(E289=1,IF(Orders!R286&gt;0,1,0),"")</f>
        <v>0</v>
      </c>
      <c r="H289" s="33">
        <f>IF(E289=1,IF(Orders!R286&gt;5,1,0),"")</f>
        <v>0</v>
      </c>
      <c r="I289" s="32" t="str">
        <f>IF(E289=1,"",IF(OR(Orders!T286="Rider unavailable",Orders!T286="Item unavailable"),"Company-caused","Unresolved"))</f>
        <v/>
      </c>
      <c r="J289" s="33">
        <f>IF(OR(E289=1,I289="Company-caused"),1,0)</f>
        <v>1</v>
      </c>
      <c r="K289" s="32" t="str">
        <f>IF(E289=0,IF(I289="Company-caused",IF(Orders!T286="Rider unavailable","C1 Rider unavailable","C2 Item unavailable"),"Outside root: unresolved"),IF(G289=0,"A On time",IF(H289=1,IF(L289=1,"B2a Severe, peak","B2b Severe, off-peak"),IF(L289=1,"B1a Slight, peak","B1b Slight, off-peak"))))</f>
        <v>A On time</v>
      </c>
      <c r="L289" s="33">
        <f>IF(AND(Orders!U286&gt;=19,Orders!U286&lt;22),1,0)</f>
        <v>0</v>
      </c>
      <c r="M289" s="33">
        <f>IF(L289=IF(Orders!V286,1,0),1,0)</f>
        <v>1</v>
      </c>
      <c r="N289" s="32" t="str">
        <f>IF(Orders!W286="","None",Orders!W286)</f>
        <v>Light</v>
      </c>
      <c r="O289" s="35">
        <f>INT(Orders!E286)</f>
        <v>46272.0</v>
      </c>
      <c r="P289" s="33">
        <f>Orders!U286</f>
        <v>10</v>
      </c>
      <c r="Q289" s="33">
        <f>COUNTIFS(Demand!$A$2:$A$4481,B289,Demand!$B$2:$B$4481,O289,Demand!$C$2:$C$4481,P289)</f>
        <v>1</v>
      </c>
      <c r="R289" s="33">
        <f>IF(Q289=1,SUMIFS(Demand!$E$2:$E$4481,Demand!$A$2:$A$4481,B289,Demand!$B$2:$B$4481,O289,Demand!$C$2:$C$4481,P289),"")</f>
        <v>18</v>
      </c>
      <c r="S289" s="33">
        <f>INDEX(Stores!$G$2:$G$21,MATCH(B289,Stores!$A$2:$A$21,0))</f>
        <v>33</v>
      </c>
      <c r="T289" s="34">
        <f>IF(R289="","",R289/S289)</f>
        <v>0.545454545454545</v>
      </c>
      <c r="U289" s="34">
        <f>IF(E289=1,T289,"")</f>
        <v>0.545454545454545</v>
      </c>
      <c r="V289" s="34">
        <f>IF(AND(E289=1,L289=0),T289,"")</f>
        <v>0.545454545454545</v>
      </c>
      <c r="W289" s="33">
        <f>IF(U289="","",IF(U289&lt;=Breakdowns!$C$5,1,IF(U289&lt;=Breakdowns!$C$6,2,IF(U289&lt;=Breakdowns!$C$7,3,4))))</f>
        <v>1</v>
      </c>
      <c r="X289" s="33">
        <f>IF(V289="","",IF(V289&lt;=Breakdowns!$D$5,1,IF(V289&lt;=Breakdowns!$D$6,2,IF(V289&lt;=Breakdowns!$D$7,3,4))))</f>
        <v>1</v>
      </c>
      <c r="Y289" s="34">
        <f>INDEX(Stores!$F$2:$F$21,MATCH(B289,Stores!$A$2:$A$21,0))</f>
        <v>2.39</v>
      </c>
      <c r="Z289" s="33">
        <f>IF(Y289&gt;Store_Summary!$M$2,1,0)</f>
        <v>0</v>
      </c>
      <c r="AA289" s="33">
        <f>INDEX(Stores!$C$2:$C$21,MATCH(B289,Stores!$A$2:$A$21,0))</f>
        <v>470</v>
      </c>
      <c r="AB289" s="33">
        <f>IF(AA289&lt;180,1,0)</f>
        <v>0</v>
      </c>
      <c r="AC289" s="32" t="str">
        <f>IF(Orders!D286="","",INDEX(Riders!$C$2:$C$81,MATCH(Orders!D286,Riders!$A$2:$A$81,0)))</f>
        <v>EV scooter</v>
      </c>
      <c r="AD289" s="33">
        <f>IF(Orders!D286="","",INDEX(Riders!$D$2:$D$81,MATCH(Orders!D286,Riders!$A$2:$A$81,0)))</f>
        <v>3</v>
      </c>
      <c r="AE289" s="33">
        <f>IF(Orders!D286="","",IF(INDEX(Riders!$B$2:$B$81,MATCH(Orders!D286,Riders!$A$2:$A$81,0))=B289,1,0))</f>
        <v>0</v>
      </c>
      <c r="AF289" s="34">
        <f>IF(E289=1,Orders!L286,"")</f>
        <v>3.01</v>
      </c>
      <c r="AG289" s="34">
        <f>IF(E289=1,Orders!P286,"")</f>
        <v>10.1</v>
      </c>
      <c r="AH289" s="34">
        <f>IF(E289=1,Orders!Q286,"")</f>
        <v>9.3</v>
      </c>
      <c r="AI289" s="34">
        <f>IF(E289=1,Orders!M286,"")</f>
        <v>1.5</v>
      </c>
      <c r="AJ289" s="34">
        <f>IF(E289=1,Orders!N286,"")</f>
        <v>3.5</v>
      </c>
      <c r="AK289" s="34">
        <f>IF(E289=1,Orders!O286,"")</f>
        <v>4.3</v>
      </c>
      <c r="AL289" s="33">
        <f>IF(E289=1,IF(ROUND(ABS(AI289+AJ289+AK289-AH289),6)&lt;=0.1,1,0),"")</f>
        <v>1</v>
      </c>
      <c r="AM289" s="36">
        <f>IF(E289=1,AI289/AH289,"")</f>
        <v>0.161290322580645</v>
      </c>
      <c r="AN289" s="36">
        <f>IF(E289=1,AJ289/AH289,"")</f>
        <v>0.376344086021505</v>
      </c>
      <c r="AO289" s="36">
        <f>IF(E289=1,AK289/AH289,"")</f>
        <v>0.462365591397849</v>
      </c>
      <c r="AP289" s="34">
        <f>IF(E289=1,Orders!Y286,"")</f>
        <v>0.61</v>
      </c>
      <c r="AQ289" s="33">
        <f>IF(Orders!X286,1,0)</f>
        <v>0</v>
      </c>
      <c r="AR289" s="34" t="str">
        <f>IF(AND(E289=1,L289=1),AJ289,"")</f>
        <v/>
      </c>
      <c r="AS289" s="34">
        <f>IF(AND(E289=1,L289=0),AJ289,"")</f>
        <v>3.5</v>
      </c>
      <c r="AT289" s="34" t="str">
        <f>IF(AND(E289=1,L289=1),AI289,"")</f>
        <v/>
      </c>
      <c r="AU289" s="34">
        <f>IF(AND(E289=1,L289=0),AI289,"")</f>
        <v>1.5</v>
      </c>
      <c r="AV289" s="34" t="str">
        <f>IF(AND(E289=1,L289=1),AG289,"")</f>
        <v/>
      </c>
      <c r="AW289" s="34">
        <f>IF(AND(E289=1,L289=0),AG289,"")</f>
        <v>10.1</v>
      </c>
      <c r="AX289" s="34" t="str">
        <f>IF(AND(E289=1,L289=1),AH289,"")</f>
        <v/>
      </c>
      <c r="AY289" s="34">
        <f>IF(AND(E289=1,L289=0),AH289,"")</f>
        <v>9.3</v>
      </c>
      <c r="AZ289" s="34" t="str">
        <f>IF(G289=1,F289,"")</f>
        <v/>
      </c>
      <c r="BA289" s="34" t="str">
        <f>IF(AND(G289=1,L289=1),F289,"")</f>
        <v/>
      </c>
      <c r="BB289" s="34" t="str">
        <f>IF(AND(G289=1,L289=0),F289,"")</f>
        <v/>
      </c>
      <c r="BC289" s="33">
        <f>IF(E289=1,IF(Orders!R286&gt;3,1,0),"")</f>
        <v>0</v>
      </c>
      <c r="BD289" s="33">
        <f>IF(E289=1,IF(Orders!R286&gt;7,1,0),"")</f>
        <v>0</v>
      </c>
      <c r="BE289" s="32" t="str">
        <f>IF(E289=1,IF(Orders!L286&lt;=1.5,"Up to 1.5 km",IF(Orders!L286&lt;=3,"1.5–3 km","Over 3 km")),"")</f>
        <v>Over 3 km</v>
      </c>
      <c r="BF289" s="33">
        <f>IF(E289=1,IF(ABS((Orders!G286-Orders!F286)*1440-Orders!R286)&lt;0.06,1,0),"")</f>
        <v>1</v>
      </c>
      <c r="BG289" s="33">
        <f>IF(ABS((Orders!F286-Orders!E286)*1440-Orders!P286)&lt;0.06,1,0)</f>
        <v>1</v>
      </c>
      <c r="BH289" s="33">
        <f>IF(E289=1,IF(IF(Orders!S286,1,0)=1-G289,1,0),"")</f>
        <v>1</v>
      </c>
      <c r="BI289" s="32" t="str">
        <f>INDEX(Stores!$B$2:$B$21,MATCH(B289,Stores!$A$2:$A$21,0))</f>
        <v>Hyderabad</v>
      </c>
    </row>
    <row r="290">
      <c r="A290" s="32" t="str">
        <f>Orders!A287</f>
        <v>O00286</v>
      </c>
      <c r="B290" s="32" t="str">
        <f>Orders!C287</f>
        <v>S011</v>
      </c>
      <c r="C290" s="32" t="str">
        <f>Orders!B287</f>
        <v>C0213</v>
      </c>
      <c r="D290" s="32" t="str">
        <f>Orders!H287</f>
        <v>Delivered</v>
      </c>
      <c r="E290" s="33">
        <f>IF(Orders!H287="Delivered",1,0)</f>
        <v>1</v>
      </c>
      <c r="F290" s="34">
        <f>IF(E290=1,Orders!R287,"")</f>
        <v>-0.7</v>
      </c>
      <c r="G290" s="33">
        <f>IF(E290=1,IF(Orders!R287&gt;0,1,0),"")</f>
        <v>0</v>
      </c>
      <c r="H290" s="33">
        <f>IF(E290=1,IF(Orders!R287&gt;5,1,0),"")</f>
        <v>0</v>
      </c>
      <c r="I290" s="32" t="str">
        <f>IF(E290=1,"",IF(OR(Orders!T287="Rider unavailable",Orders!T287="Item unavailable"),"Company-caused","Unresolved"))</f>
        <v/>
      </c>
      <c r="J290" s="33">
        <f>IF(OR(E290=1,I290="Company-caused"),1,0)</f>
        <v>1</v>
      </c>
      <c r="K290" s="32" t="str">
        <f>IF(E290=0,IF(I290="Company-caused",IF(Orders!T287="Rider unavailable","C1 Rider unavailable","C2 Item unavailable"),"Outside root: unresolved"),IF(G290=0,"A On time",IF(H290=1,IF(L290=1,"B2a Severe, peak","B2b Severe, off-peak"),IF(L290=1,"B1a Slight, peak","B1b Slight, off-peak"))))</f>
        <v>A On time</v>
      </c>
      <c r="L290" s="33">
        <f>IF(AND(Orders!U287&gt;=19,Orders!U287&lt;22),1,0)</f>
        <v>1</v>
      </c>
      <c r="M290" s="33">
        <f>IF(L290=IF(Orders!V287,1,0),1,0)</f>
        <v>1</v>
      </c>
      <c r="N290" s="32" t="str">
        <f>IF(Orders!W287="","None",Orders!W287)</f>
        <v>Light</v>
      </c>
      <c r="O290" s="35">
        <f>INT(Orders!E287)</f>
        <v>46272.0</v>
      </c>
      <c r="P290" s="33">
        <f>Orders!U287</f>
        <v>20</v>
      </c>
      <c r="Q290" s="33">
        <f>COUNTIFS(Demand!$A$2:$A$4481,B290,Demand!$B$2:$B$4481,O290,Demand!$C$2:$C$4481,P290)</f>
        <v>1</v>
      </c>
      <c r="R290" s="33">
        <f>IF(Q290=1,SUMIFS(Demand!$E$2:$E$4481,Demand!$A$2:$A$4481,B290,Demand!$B$2:$B$4481,O290,Demand!$C$2:$C$4481,P290),"")</f>
        <v>51</v>
      </c>
      <c r="S290" s="33">
        <f>INDEX(Stores!$G$2:$G$21,MATCH(B290,Stores!$A$2:$A$21,0))</f>
        <v>31</v>
      </c>
      <c r="T290" s="34">
        <f>IF(R290="","",R290/S290)</f>
        <v>1.64516129032258</v>
      </c>
      <c r="U290" s="34">
        <f>IF(E290=1,T290,"")</f>
        <v>1.64516129032258</v>
      </c>
      <c r="V290" s="34" t="str">
        <f>IF(AND(E290=1,L290=0),T290,"")</f>
        <v/>
      </c>
      <c r="W290" s="33">
        <f>IF(U290="","",IF(U290&lt;=Breakdowns!$C$5,1,IF(U290&lt;=Breakdowns!$C$6,2,IF(U290&lt;=Breakdowns!$C$7,3,4))))</f>
        <v>4</v>
      </c>
      <c r="X290" s="33" t="str">
        <f>IF(V290="","",IF(V290&lt;=Breakdowns!$D$5,1,IF(V290&lt;=Breakdowns!$D$6,2,IF(V290&lt;=Breakdowns!$D$7,3,4))))</f>
        <v/>
      </c>
      <c r="Y290" s="34">
        <f>INDEX(Stores!$F$2:$F$21,MATCH(B290,Stores!$A$2:$A$21,0))</f>
        <v>5.67</v>
      </c>
      <c r="Z290" s="33">
        <f>IF(Y290&gt;Store_Summary!$M$2,1,0)</f>
        <v>1</v>
      </c>
      <c r="AA290" s="33">
        <f>INDEX(Stores!$C$2:$C$21,MATCH(B290,Stores!$A$2:$A$21,0))</f>
        <v>732</v>
      </c>
      <c r="AB290" s="33">
        <f>IF(AA290&lt;180,1,0)</f>
        <v>0</v>
      </c>
      <c r="AC290" s="32" t="str">
        <f>IF(Orders!D287="","",INDEX(Riders!$C$2:$C$81,MATCH(Orders!D287,Riders!$A$2:$A$81,0)))</f>
        <v>Petrol scooter</v>
      </c>
      <c r="AD290" s="33">
        <f>IF(Orders!D287="","",INDEX(Riders!$D$2:$D$81,MATCH(Orders!D287,Riders!$A$2:$A$81,0)))</f>
        <v>37</v>
      </c>
      <c r="AE290" s="33">
        <f>IF(Orders!D287="","",IF(INDEX(Riders!$B$2:$B$81,MATCH(Orders!D287,Riders!$A$2:$A$81,0))=B290,1,0))</f>
        <v>0</v>
      </c>
      <c r="AF290" s="34">
        <f>IF(E290=1,Orders!L287,"")</f>
        <v>0.99</v>
      </c>
      <c r="AG290" s="34">
        <f>IF(E290=1,Orders!P287,"")</f>
        <v>10.9</v>
      </c>
      <c r="AH290" s="34">
        <f>IF(E290=1,Orders!Q287,"")</f>
        <v>10.2</v>
      </c>
      <c r="AI290" s="34">
        <f>IF(E290=1,Orders!M287,"")</f>
        <v>3.4</v>
      </c>
      <c r="AJ290" s="34">
        <f>IF(E290=1,Orders!N287,"")</f>
        <v>4.5</v>
      </c>
      <c r="AK290" s="34">
        <f>IF(E290=1,Orders!O287,"")</f>
        <v>2.3</v>
      </c>
      <c r="AL290" s="33">
        <f>IF(E290=1,IF(ROUND(ABS(AI290+AJ290+AK290-AH290),6)&lt;=0.1,1,0),"")</f>
        <v>1</v>
      </c>
      <c r="AM290" s="36">
        <f>IF(E290=1,AI290/AH290,"")</f>
        <v>0.333333333333333</v>
      </c>
      <c r="AN290" s="36">
        <f>IF(E290=1,AJ290/AH290,"")</f>
        <v>0.441176470588235</v>
      </c>
      <c r="AO290" s="36">
        <f>IF(E290=1,AK290/AH290,"")</f>
        <v>0.225490196078431</v>
      </c>
      <c r="AP290" s="34">
        <f>IF(E290=1,Orders!Y287,"")</f>
        <v>0.55</v>
      </c>
      <c r="AQ290" s="33">
        <f>IF(Orders!X287,1,0)</f>
        <v>0</v>
      </c>
      <c r="AR290" s="34">
        <f>IF(AND(E290=1,L290=1),AJ290,"")</f>
        <v>4.5</v>
      </c>
      <c r="AS290" s="34" t="str">
        <f>IF(AND(E290=1,L290=0),AJ290,"")</f>
        <v/>
      </c>
      <c r="AT290" s="34">
        <f>IF(AND(E290=1,L290=1),AI290,"")</f>
        <v>3.4</v>
      </c>
      <c r="AU290" s="34" t="str">
        <f>IF(AND(E290=1,L290=0),AI290,"")</f>
        <v/>
      </c>
      <c r="AV290" s="34">
        <f>IF(AND(E290=1,L290=1),AG290,"")</f>
        <v>10.9</v>
      </c>
      <c r="AW290" s="34" t="str">
        <f>IF(AND(E290=1,L290=0),AG290,"")</f>
        <v/>
      </c>
      <c r="AX290" s="34">
        <f>IF(AND(E290=1,L290=1),AH290,"")</f>
        <v>10.2</v>
      </c>
      <c r="AY290" s="34" t="str">
        <f>IF(AND(E290=1,L290=0),AH290,"")</f>
        <v/>
      </c>
      <c r="AZ290" s="34" t="str">
        <f>IF(G290=1,F290,"")</f>
        <v/>
      </c>
      <c r="BA290" s="34" t="str">
        <f>IF(AND(G290=1,L290=1),F290,"")</f>
        <v/>
      </c>
      <c r="BB290" s="34" t="str">
        <f>IF(AND(G290=1,L290=0),F290,"")</f>
        <v/>
      </c>
      <c r="BC290" s="33">
        <f>IF(E290=1,IF(Orders!R287&gt;3,1,0),"")</f>
        <v>0</v>
      </c>
      <c r="BD290" s="33">
        <f>IF(E290=1,IF(Orders!R287&gt;7,1,0),"")</f>
        <v>0</v>
      </c>
      <c r="BE290" s="32" t="str">
        <f>IF(E290=1,IF(Orders!L287&lt;=1.5,"Up to 1.5 km",IF(Orders!L287&lt;=3,"1.5–3 km","Over 3 km")),"")</f>
        <v>Up to 1.5 km</v>
      </c>
      <c r="BF290" s="33">
        <f>IF(E290=1,IF(ABS((Orders!G287-Orders!F287)*1440-Orders!R287)&lt;0.06,1,0),"")</f>
        <v>1</v>
      </c>
      <c r="BG290" s="33">
        <f>IF(ABS((Orders!F287-Orders!E287)*1440-Orders!P287)&lt;0.06,1,0)</f>
        <v>1</v>
      </c>
      <c r="BH290" s="33">
        <f>IF(E290=1,IF(IF(Orders!S287,1,0)=1-G290,1,0),"")</f>
        <v>1</v>
      </c>
      <c r="BI290" s="32" t="str">
        <f>INDEX(Stores!$B$2:$B$21,MATCH(B290,Stores!$A$2:$A$21,0))</f>
        <v>Bengaluru</v>
      </c>
    </row>
    <row r="291">
      <c r="A291" s="32" t="str">
        <f>Orders!A288</f>
        <v>O00287</v>
      </c>
      <c r="B291" s="32" t="str">
        <f>Orders!C288</f>
        <v>S006</v>
      </c>
      <c r="C291" s="32" t="str">
        <f>Orders!B288</f>
        <v>C0007</v>
      </c>
      <c r="D291" s="32" t="str">
        <f>Orders!H288</f>
        <v>Delivered</v>
      </c>
      <c r="E291" s="33">
        <f>IF(Orders!H288="Delivered",1,0)</f>
        <v>1</v>
      </c>
      <c r="F291" s="34">
        <f>IF(E291=1,Orders!R288,"")</f>
        <v>-0.7</v>
      </c>
      <c r="G291" s="33">
        <f>IF(E291=1,IF(Orders!R288&gt;0,1,0),"")</f>
        <v>0</v>
      </c>
      <c r="H291" s="33">
        <f>IF(E291=1,IF(Orders!R288&gt;5,1,0),"")</f>
        <v>0</v>
      </c>
      <c r="I291" s="32" t="str">
        <f>IF(E291=1,"",IF(OR(Orders!T288="Rider unavailable",Orders!T288="Item unavailable"),"Company-caused","Unresolved"))</f>
        <v/>
      </c>
      <c r="J291" s="33">
        <f>IF(OR(E291=1,I291="Company-caused"),1,0)</f>
        <v>1</v>
      </c>
      <c r="K291" s="32" t="str">
        <f>IF(E291=0,IF(I291="Company-caused",IF(Orders!T288="Rider unavailable","C1 Rider unavailable","C2 Item unavailable"),"Outside root: unresolved"),IF(G291=0,"A On time",IF(H291=1,IF(L291=1,"B2a Severe, peak","B2b Severe, off-peak"),IF(L291=1,"B1a Slight, peak","B1b Slight, off-peak"))))</f>
        <v>A On time</v>
      </c>
      <c r="L291" s="33">
        <f>IF(AND(Orders!U288&gt;=19,Orders!U288&lt;22),1,0)</f>
        <v>0</v>
      </c>
      <c r="M291" s="33">
        <f>IF(L291=IF(Orders!V288,1,0),1,0)</f>
        <v>1</v>
      </c>
      <c r="N291" s="32" t="str">
        <f>IF(Orders!W288="","None",Orders!W288)</f>
        <v>None</v>
      </c>
      <c r="O291" s="35">
        <f>INT(Orders!E288)</f>
        <v>46268.0</v>
      </c>
      <c r="P291" s="33">
        <f>Orders!U288</f>
        <v>15</v>
      </c>
      <c r="Q291" s="33">
        <f>COUNTIFS(Demand!$A$2:$A$4481,B291,Demand!$B$2:$B$4481,O291,Demand!$C$2:$C$4481,P291)</f>
        <v>1</v>
      </c>
      <c r="R291" s="33">
        <f>IF(Q291=1,SUMIFS(Demand!$E$2:$E$4481,Demand!$A$2:$A$4481,B291,Demand!$B$2:$B$4481,O291,Demand!$C$2:$C$4481,P291),"")</f>
        <v>19</v>
      </c>
      <c r="S291" s="33">
        <f>INDEX(Stores!$G$2:$G$21,MATCH(B291,Stores!$A$2:$A$21,0))</f>
        <v>26</v>
      </c>
      <c r="T291" s="34">
        <f>IF(R291="","",R291/S291)</f>
        <v>0.730769230769231</v>
      </c>
      <c r="U291" s="34">
        <f>IF(E291=1,T291,"")</f>
        <v>0.730769230769231</v>
      </c>
      <c r="V291" s="34">
        <f>IF(AND(E291=1,L291=0),T291,"")</f>
        <v>0.730769230769231</v>
      </c>
      <c r="W291" s="33">
        <f>IF(U291="","",IF(U291&lt;=Breakdowns!$C$5,1,IF(U291&lt;=Breakdowns!$C$6,2,IF(U291&lt;=Breakdowns!$C$7,3,4))))</f>
        <v>1</v>
      </c>
      <c r="X291" s="33">
        <f>IF(V291="","",IF(V291&lt;=Breakdowns!$D$5,1,IF(V291&lt;=Breakdowns!$D$6,2,IF(V291&lt;=Breakdowns!$D$7,3,4))))</f>
        <v>1</v>
      </c>
      <c r="Y291" s="34">
        <f>INDEX(Stores!$F$2:$F$21,MATCH(B291,Stores!$A$2:$A$21,0))</f>
        <v>5.22</v>
      </c>
      <c r="Z291" s="33">
        <f>IF(Y291&gt;Store_Summary!$M$2,1,0)</f>
        <v>1</v>
      </c>
      <c r="AA291" s="33">
        <f>INDEX(Stores!$C$2:$C$21,MATCH(B291,Stores!$A$2:$A$21,0))</f>
        <v>412</v>
      </c>
      <c r="AB291" s="33">
        <f>IF(AA291&lt;180,1,0)</f>
        <v>0</v>
      </c>
      <c r="AC291" s="32" t="str">
        <f>IF(Orders!D288="","",INDEX(Riders!$C$2:$C$81,MATCH(Orders!D288,Riders!$A$2:$A$81,0)))</f>
        <v>EV scooter</v>
      </c>
      <c r="AD291" s="33">
        <f>IF(Orders!D288="","",INDEX(Riders!$D$2:$D$81,MATCH(Orders!D288,Riders!$A$2:$A$81,0)))</f>
        <v>38</v>
      </c>
      <c r="AE291" s="33">
        <f>IF(Orders!D288="","",IF(INDEX(Riders!$B$2:$B$81,MATCH(Orders!D288,Riders!$A$2:$A$81,0))=B291,1,0))</f>
        <v>0</v>
      </c>
      <c r="AF291" s="34">
        <f>IF(E291=1,Orders!L288,"")</f>
        <v>3.53</v>
      </c>
      <c r="AG291" s="34">
        <f>IF(E291=1,Orders!P288,"")</f>
        <v>12.7</v>
      </c>
      <c r="AH291" s="34">
        <f>IF(E291=1,Orders!Q288,"")</f>
        <v>12</v>
      </c>
      <c r="AI291" s="34">
        <f>IF(E291=1,Orders!M288,"")</f>
        <v>3</v>
      </c>
      <c r="AJ291" s="34">
        <f>IF(E291=1,Orders!N288,"")</f>
        <v>3.8</v>
      </c>
      <c r="AK291" s="34">
        <f>IF(E291=1,Orders!O288,"")</f>
        <v>5.2</v>
      </c>
      <c r="AL291" s="33">
        <f>IF(E291=1,IF(ROUND(ABS(AI291+AJ291+AK291-AH291),6)&lt;=0.1,1,0),"")</f>
        <v>1</v>
      </c>
      <c r="AM291" s="36">
        <f>IF(E291=1,AI291/AH291,"")</f>
        <v>0.25</v>
      </c>
      <c r="AN291" s="36">
        <f>IF(E291=1,AJ291/AH291,"")</f>
        <v>0.316666666666667</v>
      </c>
      <c r="AO291" s="36">
        <f>IF(E291=1,AK291/AH291,"")</f>
        <v>0.433333333333333</v>
      </c>
      <c r="AP291" s="34">
        <f>IF(E291=1,Orders!Y288,"")</f>
        <v>0.38</v>
      </c>
      <c r="AQ291" s="33">
        <f>IF(Orders!X288,1,0)</f>
        <v>0</v>
      </c>
      <c r="AR291" s="34" t="str">
        <f>IF(AND(E291=1,L291=1),AJ291,"")</f>
        <v/>
      </c>
      <c r="AS291" s="34">
        <f>IF(AND(E291=1,L291=0),AJ291,"")</f>
        <v>3.8</v>
      </c>
      <c r="AT291" s="34" t="str">
        <f>IF(AND(E291=1,L291=1),AI291,"")</f>
        <v/>
      </c>
      <c r="AU291" s="34">
        <f>IF(AND(E291=1,L291=0),AI291,"")</f>
        <v>3</v>
      </c>
      <c r="AV291" s="34" t="str">
        <f>IF(AND(E291=1,L291=1),AG291,"")</f>
        <v/>
      </c>
      <c r="AW291" s="34">
        <f>IF(AND(E291=1,L291=0),AG291,"")</f>
        <v>12.7</v>
      </c>
      <c r="AX291" s="34" t="str">
        <f>IF(AND(E291=1,L291=1),AH291,"")</f>
        <v/>
      </c>
      <c r="AY291" s="34">
        <f>IF(AND(E291=1,L291=0),AH291,"")</f>
        <v>12</v>
      </c>
      <c r="AZ291" s="34" t="str">
        <f>IF(G291=1,F291,"")</f>
        <v/>
      </c>
      <c r="BA291" s="34" t="str">
        <f>IF(AND(G291=1,L291=1),F291,"")</f>
        <v/>
      </c>
      <c r="BB291" s="34" t="str">
        <f>IF(AND(G291=1,L291=0),F291,"")</f>
        <v/>
      </c>
      <c r="BC291" s="33">
        <f>IF(E291=1,IF(Orders!R288&gt;3,1,0),"")</f>
        <v>0</v>
      </c>
      <c r="BD291" s="33">
        <f>IF(E291=1,IF(Orders!R288&gt;7,1,0),"")</f>
        <v>0</v>
      </c>
      <c r="BE291" s="32" t="str">
        <f>IF(E291=1,IF(Orders!L288&lt;=1.5,"Up to 1.5 km",IF(Orders!L288&lt;=3,"1.5–3 km","Over 3 km")),"")</f>
        <v>Over 3 km</v>
      </c>
      <c r="BF291" s="33">
        <f>IF(E291=1,IF(ABS((Orders!G288-Orders!F288)*1440-Orders!R288)&lt;0.06,1,0),"")</f>
        <v>1</v>
      </c>
      <c r="BG291" s="33">
        <f>IF(ABS((Orders!F288-Orders!E288)*1440-Orders!P288)&lt;0.06,1,0)</f>
        <v>1</v>
      </c>
      <c r="BH291" s="33">
        <f>IF(E291=1,IF(IF(Orders!S288,1,0)=1-G291,1,0),"")</f>
        <v>1</v>
      </c>
      <c r="BI291" s="32" t="str">
        <f>INDEX(Stores!$B$2:$B$21,MATCH(B291,Stores!$A$2:$A$21,0))</f>
        <v>Bengaluru</v>
      </c>
    </row>
    <row r="292">
      <c r="A292" s="32" t="str">
        <f>Orders!A289</f>
        <v>O00288</v>
      </c>
      <c r="B292" s="32" t="str">
        <f>Orders!C289</f>
        <v>S017</v>
      </c>
      <c r="C292" s="32" t="str">
        <f>Orders!B289</f>
        <v>C0177</v>
      </c>
      <c r="D292" s="32" t="str">
        <f>Orders!H289</f>
        <v>Delivered</v>
      </c>
      <c r="E292" s="33">
        <f>IF(Orders!H289="Delivered",1,0)</f>
        <v>1</v>
      </c>
      <c r="F292" s="34">
        <f>IF(E292=1,Orders!R289,"")</f>
        <v>8</v>
      </c>
      <c r="G292" s="33">
        <f>IF(E292=1,IF(Orders!R289&gt;0,1,0),"")</f>
        <v>1</v>
      </c>
      <c r="H292" s="33">
        <f>IF(E292=1,IF(Orders!R289&gt;5,1,0),"")</f>
        <v>1</v>
      </c>
      <c r="I292" s="32" t="str">
        <f>IF(E292=1,"",IF(OR(Orders!T289="Rider unavailable",Orders!T289="Item unavailable"),"Company-caused","Unresolved"))</f>
        <v/>
      </c>
      <c r="J292" s="33">
        <f>IF(OR(E292=1,I292="Company-caused"),1,0)</f>
        <v>1</v>
      </c>
      <c r="K292" s="32" t="str">
        <f>IF(E292=0,IF(I292="Company-caused",IF(Orders!T289="Rider unavailable","C1 Rider unavailable","C2 Item unavailable"),"Outside root: unresolved"),IF(G292=0,"A On time",IF(H292=1,IF(L292=1,"B2a Severe, peak","B2b Severe, off-peak"),IF(L292=1,"B1a Slight, peak","B1b Slight, off-peak"))))</f>
        <v>B2b Severe, off-peak</v>
      </c>
      <c r="L292" s="33">
        <f>IF(AND(Orders!U289&gt;=19,Orders!U289&lt;22),1,0)</f>
        <v>0</v>
      </c>
      <c r="M292" s="33">
        <f>IF(L292=IF(Orders!V289,1,0),1,0)</f>
        <v>1</v>
      </c>
      <c r="N292" s="32" t="str">
        <f>IF(Orders!W289="","None",Orders!W289)</f>
        <v>Light</v>
      </c>
      <c r="O292" s="35">
        <f>INT(Orders!E289)</f>
        <v>46276.0</v>
      </c>
      <c r="P292" s="33">
        <f>Orders!U289</f>
        <v>13</v>
      </c>
      <c r="Q292" s="33">
        <f>COUNTIFS(Demand!$A$2:$A$4481,B292,Demand!$B$2:$B$4481,O292,Demand!$C$2:$C$4481,P292)</f>
        <v>1</v>
      </c>
      <c r="R292" s="33">
        <f>IF(Q292=1,SUMIFS(Demand!$E$2:$E$4481,Demand!$A$2:$A$4481,B292,Demand!$B$2:$B$4481,O292,Demand!$C$2:$C$4481,P292),"")</f>
        <v>47</v>
      </c>
      <c r="S292" s="33">
        <f>INDEX(Stores!$G$2:$G$21,MATCH(B292,Stores!$A$2:$A$21,0))</f>
        <v>36</v>
      </c>
      <c r="T292" s="34">
        <f>IF(R292="","",R292/S292)</f>
        <v>1.30555555555556</v>
      </c>
      <c r="U292" s="34">
        <f>IF(E292=1,T292,"")</f>
        <v>1.30555555555556</v>
      </c>
      <c r="V292" s="34">
        <f>IF(AND(E292=1,L292=0),T292,"")</f>
        <v>1.30555555555556</v>
      </c>
      <c r="W292" s="33">
        <f>IF(U292="","",IF(U292&lt;=Breakdowns!$C$5,1,IF(U292&lt;=Breakdowns!$C$6,2,IF(U292&lt;=Breakdowns!$C$7,3,4))))</f>
        <v>4</v>
      </c>
      <c r="X292" s="33">
        <f>IF(V292="","",IF(V292&lt;=Breakdowns!$D$5,1,IF(V292&lt;=Breakdowns!$D$6,2,IF(V292&lt;=Breakdowns!$D$7,3,4))))</f>
        <v>4</v>
      </c>
      <c r="Y292" s="34">
        <f>INDEX(Stores!$F$2:$F$21,MATCH(B292,Stores!$A$2:$A$21,0))</f>
        <v>2.16</v>
      </c>
      <c r="Z292" s="33">
        <f>IF(Y292&gt;Store_Summary!$M$2,1,0)</f>
        <v>0</v>
      </c>
      <c r="AA292" s="33">
        <f>INDEX(Stores!$C$2:$C$21,MATCH(B292,Stores!$A$2:$A$21,0))</f>
        <v>47</v>
      </c>
      <c r="AB292" s="33">
        <f>IF(AA292&lt;180,1,0)</f>
        <v>1</v>
      </c>
      <c r="AC292" s="32" t="str">
        <f>IF(Orders!D289="","",INDEX(Riders!$C$2:$C$81,MATCH(Orders!D289,Riders!$A$2:$A$81,0)))</f>
        <v>Petrol scooter</v>
      </c>
      <c r="AD292" s="33">
        <f>IF(Orders!D289="","",INDEX(Riders!$D$2:$D$81,MATCH(Orders!D289,Riders!$A$2:$A$81,0)))</f>
        <v>20</v>
      </c>
      <c r="AE292" s="33">
        <f>IF(Orders!D289="","",IF(INDEX(Riders!$B$2:$B$81,MATCH(Orders!D289,Riders!$A$2:$A$81,0))=B292,1,0))</f>
        <v>0</v>
      </c>
      <c r="AF292" s="34">
        <f>IF(E292=1,Orders!L289,"")</f>
        <v>2.78</v>
      </c>
      <c r="AG292" s="34">
        <f>IF(E292=1,Orders!P289,"")</f>
        <v>11</v>
      </c>
      <c r="AH292" s="34">
        <f>IF(E292=1,Orders!Q289,"")</f>
        <v>19</v>
      </c>
      <c r="AI292" s="34">
        <f>IF(E292=1,Orders!M289,"")</f>
        <v>1.9</v>
      </c>
      <c r="AJ292" s="34">
        <f>IF(E292=1,Orders!N289,"")</f>
        <v>9.9</v>
      </c>
      <c r="AK292" s="34">
        <f>IF(E292=1,Orders!O289,"")</f>
        <v>7.2</v>
      </c>
      <c r="AL292" s="33">
        <f>IF(E292=1,IF(ROUND(ABS(AI292+AJ292+AK292-AH292),6)&lt;=0.1,1,0),"")</f>
        <v>1</v>
      </c>
      <c r="AM292" s="36">
        <f>IF(E292=1,AI292/AH292,"")</f>
        <v>0.1</v>
      </c>
      <c r="AN292" s="36">
        <f>IF(E292=1,AJ292/AH292,"")</f>
        <v>0.521052631578947</v>
      </c>
      <c r="AO292" s="36">
        <f>IF(E292=1,AK292/AH292,"")</f>
        <v>0.378947368421053</v>
      </c>
      <c r="AP292" s="34">
        <f>IF(E292=1,Orders!Y289,"")</f>
        <v>0.47</v>
      </c>
      <c r="AQ292" s="33">
        <f>IF(Orders!X289,1,0)</f>
        <v>0</v>
      </c>
      <c r="AR292" s="34" t="str">
        <f>IF(AND(E292=1,L292=1),AJ292,"")</f>
        <v/>
      </c>
      <c r="AS292" s="34">
        <f>IF(AND(E292=1,L292=0),AJ292,"")</f>
        <v>9.9</v>
      </c>
      <c r="AT292" s="34" t="str">
        <f>IF(AND(E292=1,L292=1),AI292,"")</f>
        <v/>
      </c>
      <c r="AU292" s="34">
        <f>IF(AND(E292=1,L292=0),AI292,"")</f>
        <v>1.9</v>
      </c>
      <c r="AV292" s="34" t="str">
        <f>IF(AND(E292=1,L292=1),AG292,"")</f>
        <v/>
      </c>
      <c r="AW292" s="34">
        <f>IF(AND(E292=1,L292=0),AG292,"")</f>
        <v>11</v>
      </c>
      <c r="AX292" s="34" t="str">
        <f>IF(AND(E292=1,L292=1),AH292,"")</f>
        <v/>
      </c>
      <c r="AY292" s="34">
        <f>IF(AND(E292=1,L292=0),AH292,"")</f>
        <v>19</v>
      </c>
      <c r="AZ292" s="34">
        <f>IF(G292=1,F292,"")</f>
        <v>8</v>
      </c>
      <c r="BA292" s="34" t="str">
        <f>IF(AND(G292=1,L292=1),F292,"")</f>
        <v/>
      </c>
      <c r="BB292" s="34">
        <f>IF(AND(G292=1,L292=0),F292,"")</f>
        <v>8</v>
      </c>
      <c r="BC292" s="33">
        <f>IF(E292=1,IF(Orders!R289&gt;3,1,0),"")</f>
        <v>1</v>
      </c>
      <c r="BD292" s="33">
        <f>IF(E292=1,IF(Orders!R289&gt;7,1,0),"")</f>
        <v>1</v>
      </c>
      <c r="BE292" s="32" t="str">
        <f>IF(E292=1,IF(Orders!L289&lt;=1.5,"Up to 1.5 km",IF(Orders!L289&lt;=3,"1.5–3 km","Over 3 km")),"")</f>
        <v>1.5–3 km</v>
      </c>
      <c r="BF292" s="33">
        <f>IF(E292=1,IF(ABS((Orders!G289-Orders!F289)*1440-Orders!R289)&lt;0.06,1,0),"")</f>
        <v>1</v>
      </c>
      <c r="BG292" s="33">
        <f>IF(ABS((Orders!F289-Orders!E289)*1440-Orders!P289)&lt;0.06,1,0)</f>
        <v>1</v>
      </c>
      <c r="BH292" s="33">
        <f>IF(E292=1,IF(IF(Orders!S289,1,0)=1-G292,1,0),"")</f>
        <v>1</v>
      </c>
      <c r="BI292" s="32" t="str">
        <f>INDEX(Stores!$B$2:$B$21,MATCH(B292,Stores!$A$2:$A$21,0))</f>
        <v>Hyderabad</v>
      </c>
    </row>
    <row r="293">
      <c r="A293" s="32" t="str">
        <f>Orders!A290</f>
        <v>O00289</v>
      </c>
      <c r="B293" s="32" t="str">
        <f>Orders!C290</f>
        <v>S003</v>
      </c>
      <c r="C293" s="32" t="str">
        <f>Orders!B290</f>
        <v>C0183</v>
      </c>
      <c r="D293" s="32" t="str">
        <f>Orders!H290</f>
        <v>Delivered</v>
      </c>
      <c r="E293" s="33">
        <f>IF(Orders!H290="Delivered",1,0)</f>
        <v>1</v>
      </c>
      <c r="F293" s="34">
        <f>IF(E293=1,Orders!R290,"")</f>
        <v>-0.7</v>
      </c>
      <c r="G293" s="33">
        <f>IF(E293=1,IF(Orders!R290&gt;0,1,0),"")</f>
        <v>0</v>
      </c>
      <c r="H293" s="33">
        <f>IF(E293=1,IF(Orders!R290&gt;5,1,0),"")</f>
        <v>0</v>
      </c>
      <c r="I293" s="32" t="str">
        <f>IF(E293=1,"",IF(OR(Orders!T290="Rider unavailable",Orders!T290="Item unavailable"),"Company-caused","Unresolved"))</f>
        <v/>
      </c>
      <c r="J293" s="33">
        <f>IF(OR(E293=1,I293="Company-caused"),1,0)</f>
        <v>1</v>
      </c>
      <c r="K293" s="32" t="str">
        <f>IF(E293=0,IF(I293="Company-caused",IF(Orders!T290="Rider unavailable","C1 Rider unavailable","C2 Item unavailable"),"Outside root: unresolved"),IF(G293=0,"A On time",IF(H293=1,IF(L293=1,"B2a Severe, peak","B2b Severe, off-peak"),IF(L293=1,"B1a Slight, peak","B1b Slight, off-peak"))))</f>
        <v>A On time</v>
      </c>
      <c r="L293" s="33">
        <f>IF(AND(Orders!U290&gt;=19,Orders!U290&lt;22),1,0)</f>
        <v>0</v>
      </c>
      <c r="M293" s="33">
        <f>IF(L293=IF(Orders!V290,1,0),1,0)</f>
        <v>1</v>
      </c>
      <c r="N293" s="32" t="str">
        <f>IF(Orders!W290="","None",Orders!W290)</f>
        <v>None</v>
      </c>
      <c r="O293" s="35">
        <f>INT(Orders!E290)</f>
        <v>46275.0</v>
      </c>
      <c r="P293" s="33">
        <f>Orders!U290</f>
        <v>8</v>
      </c>
      <c r="Q293" s="33">
        <f>COUNTIFS(Demand!$A$2:$A$4481,B293,Demand!$B$2:$B$4481,O293,Demand!$C$2:$C$4481,P293)</f>
        <v>1</v>
      </c>
      <c r="R293" s="33">
        <f>IF(Q293=1,SUMIFS(Demand!$E$2:$E$4481,Demand!$A$2:$A$4481,B293,Demand!$B$2:$B$4481,O293,Demand!$C$2:$C$4481,P293),"")</f>
        <v>24</v>
      </c>
      <c r="S293" s="33">
        <f>INDEX(Stores!$G$2:$G$21,MATCH(B293,Stores!$A$2:$A$21,0))</f>
        <v>41</v>
      </c>
      <c r="T293" s="34">
        <f>IF(R293="","",R293/S293)</f>
        <v>0.585365853658537</v>
      </c>
      <c r="U293" s="34">
        <f>IF(E293=1,T293,"")</f>
        <v>0.585365853658537</v>
      </c>
      <c r="V293" s="34">
        <f>IF(AND(E293=1,L293=0),T293,"")</f>
        <v>0.585365853658537</v>
      </c>
      <c r="W293" s="33">
        <f>IF(U293="","",IF(U293&lt;=Breakdowns!$C$5,1,IF(U293&lt;=Breakdowns!$C$6,2,IF(U293&lt;=Breakdowns!$C$7,3,4))))</f>
        <v>1</v>
      </c>
      <c r="X293" s="33">
        <f>IF(V293="","",IF(V293&lt;=Breakdowns!$D$5,1,IF(V293&lt;=Breakdowns!$D$6,2,IF(V293&lt;=Breakdowns!$D$7,3,4))))</f>
        <v>1</v>
      </c>
      <c r="Y293" s="34">
        <f>INDEX(Stores!$F$2:$F$21,MATCH(B293,Stores!$A$2:$A$21,0))</f>
        <v>3.84</v>
      </c>
      <c r="Z293" s="33">
        <f>IF(Y293&gt;Store_Summary!$M$2,1,0)</f>
        <v>0</v>
      </c>
      <c r="AA293" s="33">
        <f>INDEX(Stores!$C$2:$C$21,MATCH(B293,Stores!$A$2:$A$21,0))</f>
        <v>426</v>
      </c>
      <c r="AB293" s="33">
        <f>IF(AA293&lt;180,1,0)</f>
        <v>0</v>
      </c>
      <c r="AC293" s="32" t="str">
        <f>IF(Orders!D290="","",INDEX(Riders!$C$2:$C$81,MATCH(Orders!D290,Riders!$A$2:$A$81,0)))</f>
        <v>Petrol scooter</v>
      </c>
      <c r="AD293" s="33">
        <f>IF(Orders!D290="","",INDEX(Riders!$D$2:$D$81,MATCH(Orders!D290,Riders!$A$2:$A$81,0)))</f>
        <v>10</v>
      </c>
      <c r="AE293" s="33">
        <f>IF(Orders!D290="","",IF(INDEX(Riders!$B$2:$B$81,MATCH(Orders!D290,Riders!$A$2:$A$81,0))=B293,1,0))</f>
        <v>0</v>
      </c>
      <c r="AF293" s="34">
        <f>IF(E293=1,Orders!L290,"")</f>
        <v>2.1</v>
      </c>
      <c r="AG293" s="34">
        <f>IF(E293=1,Orders!P290,"")</f>
        <v>12.1</v>
      </c>
      <c r="AH293" s="34">
        <f>IF(E293=1,Orders!Q290,"")</f>
        <v>11.4</v>
      </c>
      <c r="AI293" s="34">
        <f>IF(E293=1,Orders!M290,"")</f>
        <v>3.8</v>
      </c>
      <c r="AJ293" s="34">
        <f>IF(E293=1,Orders!N290,"")</f>
        <v>3.1</v>
      </c>
      <c r="AK293" s="34">
        <f>IF(E293=1,Orders!O290,"")</f>
        <v>4.5</v>
      </c>
      <c r="AL293" s="33">
        <f>IF(E293=1,IF(ROUND(ABS(AI293+AJ293+AK293-AH293),6)&lt;=0.1,1,0),"")</f>
        <v>1</v>
      </c>
      <c r="AM293" s="36">
        <f>IF(E293=1,AI293/AH293,"")</f>
        <v>0.333333333333333</v>
      </c>
      <c r="AN293" s="36">
        <f>IF(E293=1,AJ293/AH293,"")</f>
        <v>0.271929824561404</v>
      </c>
      <c r="AO293" s="36">
        <f>IF(E293=1,AK293/AH293,"")</f>
        <v>0.394736842105263</v>
      </c>
      <c r="AP293" s="34">
        <f>IF(E293=1,Orders!Y290,"")</f>
        <v>0.55</v>
      </c>
      <c r="AQ293" s="33">
        <f>IF(Orders!X290,1,0)</f>
        <v>0</v>
      </c>
      <c r="AR293" s="34" t="str">
        <f>IF(AND(E293=1,L293=1),AJ293,"")</f>
        <v/>
      </c>
      <c r="AS293" s="34">
        <f>IF(AND(E293=1,L293=0),AJ293,"")</f>
        <v>3.1</v>
      </c>
      <c r="AT293" s="34" t="str">
        <f>IF(AND(E293=1,L293=1),AI293,"")</f>
        <v/>
      </c>
      <c r="AU293" s="34">
        <f>IF(AND(E293=1,L293=0),AI293,"")</f>
        <v>3.8</v>
      </c>
      <c r="AV293" s="34" t="str">
        <f>IF(AND(E293=1,L293=1),AG293,"")</f>
        <v/>
      </c>
      <c r="AW293" s="34">
        <f>IF(AND(E293=1,L293=0),AG293,"")</f>
        <v>12.1</v>
      </c>
      <c r="AX293" s="34" t="str">
        <f>IF(AND(E293=1,L293=1),AH293,"")</f>
        <v/>
      </c>
      <c r="AY293" s="34">
        <f>IF(AND(E293=1,L293=0),AH293,"")</f>
        <v>11.4</v>
      </c>
      <c r="AZ293" s="34" t="str">
        <f>IF(G293=1,F293,"")</f>
        <v/>
      </c>
      <c r="BA293" s="34" t="str">
        <f>IF(AND(G293=1,L293=1),F293,"")</f>
        <v/>
      </c>
      <c r="BB293" s="34" t="str">
        <f>IF(AND(G293=1,L293=0),F293,"")</f>
        <v/>
      </c>
      <c r="BC293" s="33">
        <f>IF(E293=1,IF(Orders!R290&gt;3,1,0),"")</f>
        <v>0</v>
      </c>
      <c r="BD293" s="33">
        <f>IF(E293=1,IF(Orders!R290&gt;7,1,0),"")</f>
        <v>0</v>
      </c>
      <c r="BE293" s="32" t="str">
        <f>IF(E293=1,IF(Orders!L290&lt;=1.5,"Up to 1.5 km",IF(Orders!L290&lt;=3,"1.5–3 km","Over 3 km")),"")</f>
        <v>1.5–3 km</v>
      </c>
      <c r="BF293" s="33">
        <f>IF(E293=1,IF(ABS((Orders!G290-Orders!F290)*1440-Orders!R290)&lt;0.06,1,0),"")</f>
        <v>1</v>
      </c>
      <c r="BG293" s="33">
        <f>IF(ABS((Orders!F290-Orders!E290)*1440-Orders!P290)&lt;0.06,1,0)</f>
        <v>1</v>
      </c>
      <c r="BH293" s="33">
        <f>IF(E293=1,IF(IF(Orders!S290,1,0)=1-G293,1,0),"")</f>
        <v>1</v>
      </c>
      <c r="BI293" s="32" t="str">
        <f>INDEX(Stores!$B$2:$B$21,MATCH(B293,Stores!$A$2:$A$21,0))</f>
        <v>Mumbai</v>
      </c>
    </row>
    <row r="294">
      <c r="A294" s="32" t="str">
        <f>Orders!A291</f>
        <v>O00290</v>
      </c>
      <c r="B294" s="32" t="str">
        <f>Orders!C291</f>
        <v>S003</v>
      </c>
      <c r="C294" s="32" t="str">
        <f>Orders!B291</f>
        <v>C0230</v>
      </c>
      <c r="D294" s="32" t="str">
        <f>Orders!H291</f>
        <v>Delivered</v>
      </c>
      <c r="E294" s="33">
        <f>IF(Orders!H291="Delivered",1,0)</f>
        <v>1</v>
      </c>
      <c r="F294" s="34">
        <f>IF(E294=1,Orders!R291,"")</f>
        <v>-0.7</v>
      </c>
      <c r="G294" s="33">
        <f>IF(E294=1,IF(Orders!R291&gt;0,1,0),"")</f>
        <v>0</v>
      </c>
      <c r="H294" s="33">
        <f>IF(E294=1,IF(Orders!R291&gt;5,1,0),"")</f>
        <v>0</v>
      </c>
      <c r="I294" s="32" t="str">
        <f>IF(E294=1,"",IF(OR(Orders!T291="Rider unavailable",Orders!T291="Item unavailable"),"Company-caused","Unresolved"))</f>
        <v/>
      </c>
      <c r="J294" s="33">
        <f>IF(OR(E294=1,I294="Company-caused"),1,0)</f>
        <v>1</v>
      </c>
      <c r="K294" s="32" t="str">
        <f>IF(E294=0,IF(I294="Company-caused",IF(Orders!T291="Rider unavailable","C1 Rider unavailable","C2 Item unavailable"),"Outside root: unresolved"),IF(G294=0,"A On time",IF(H294=1,IF(L294=1,"B2a Severe, peak","B2b Severe, off-peak"),IF(L294=1,"B1a Slight, peak","B1b Slight, off-peak"))))</f>
        <v>A On time</v>
      </c>
      <c r="L294" s="33">
        <f>IF(AND(Orders!U291&gt;=19,Orders!U291&lt;22),1,0)</f>
        <v>0</v>
      </c>
      <c r="M294" s="33">
        <f>IF(L294=IF(Orders!V291,1,0),1,0)</f>
        <v>1</v>
      </c>
      <c r="N294" s="32" t="str">
        <f>IF(Orders!W291="","None",Orders!W291)</f>
        <v>None</v>
      </c>
      <c r="O294" s="35">
        <f>INT(Orders!E291)</f>
        <v>46279.0</v>
      </c>
      <c r="P294" s="33">
        <f>Orders!U291</f>
        <v>12</v>
      </c>
      <c r="Q294" s="33">
        <f>COUNTIFS(Demand!$A$2:$A$4481,B294,Demand!$B$2:$B$4481,O294,Demand!$C$2:$C$4481,P294)</f>
        <v>1</v>
      </c>
      <c r="R294" s="33">
        <f>IF(Q294=1,SUMIFS(Demand!$E$2:$E$4481,Demand!$A$2:$A$4481,B294,Demand!$B$2:$B$4481,O294,Demand!$C$2:$C$4481,P294),"")</f>
        <v>49</v>
      </c>
      <c r="S294" s="33">
        <f>INDEX(Stores!$G$2:$G$21,MATCH(B294,Stores!$A$2:$A$21,0))</f>
        <v>41</v>
      </c>
      <c r="T294" s="34">
        <f>IF(R294="","",R294/S294)</f>
        <v>1.19512195121951</v>
      </c>
      <c r="U294" s="34">
        <f>IF(E294=1,T294,"")</f>
        <v>1.19512195121951</v>
      </c>
      <c r="V294" s="34">
        <f>IF(AND(E294=1,L294=0),T294,"")</f>
        <v>1.19512195121951</v>
      </c>
      <c r="W294" s="33">
        <f>IF(U294="","",IF(U294&lt;=Breakdowns!$C$5,1,IF(U294&lt;=Breakdowns!$C$6,2,IF(U294&lt;=Breakdowns!$C$7,3,4))))</f>
        <v>3</v>
      </c>
      <c r="X294" s="33">
        <f>IF(V294="","",IF(V294&lt;=Breakdowns!$D$5,1,IF(V294&lt;=Breakdowns!$D$6,2,IF(V294&lt;=Breakdowns!$D$7,3,4))))</f>
        <v>4</v>
      </c>
      <c r="Y294" s="34">
        <f>INDEX(Stores!$F$2:$F$21,MATCH(B294,Stores!$A$2:$A$21,0))</f>
        <v>3.84</v>
      </c>
      <c r="Z294" s="33">
        <f>IF(Y294&gt;Store_Summary!$M$2,1,0)</f>
        <v>0</v>
      </c>
      <c r="AA294" s="33">
        <f>INDEX(Stores!$C$2:$C$21,MATCH(B294,Stores!$A$2:$A$21,0))</f>
        <v>426</v>
      </c>
      <c r="AB294" s="33">
        <f>IF(AA294&lt;180,1,0)</f>
        <v>0</v>
      </c>
      <c r="AC294" s="32" t="str">
        <f>IF(Orders!D291="","",INDEX(Riders!$C$2:$C$81,MATCH(Orders!D291,Riders!$A$2:$A$81,0)))</f>
        <v>Petrol scooter</v>
      </c>
      <c r="AD294" s="33">
        <f>IF(Orders!D291="","",INDEX(Riders!$D$2:$D$81,MATCH(Orders!D291,Riders!$A$2:$A$81,0)))</f>
        <v>42</v>
      </c>
      <c r="AE294" s="33">
        <f>IF(Orders!D291="","",IF(INDEX(Riders!$B$2:$B$81,MATCH(Orders!D291,Riders!$A$2:$A$81,0))=B294,1,0))</f>
        <v>0</v>
      </c>
      <c r="AF294" s="34">
        <f>IF(E294=1,Orders!L291,"")</f>
        <v>2.1</v>
      </c>
      <c r="AG294" s="34">
        <f>IF(E294=1,Orders!P291,"")</f>
        <v>10.8</v>
      </c>
      <c r="AH294" s="34">
        <f>IF(E294=1,Orders!Q291,"")</f>
        <v>10.1</v>
      </c>
      <c r="AI294" s="34">
        <f>IF(E294=1,Orders!M291,"")</f>
        <v>2.8</v>
      </c>
      <c r="AJ294" s="34">
        <f>IF(E294=1,Orders!N291,"")</f>
        <v>3.3</v>
      </c>
      <c r="AK294" s="34">
        <f>IF(E294=1,Orders!O291,"")</f>
        <v>4</v>
      </c>
      <c r="AL294" s="33">
        <f>IF(E294=1,IF(ROUND(ABS(AI294+AJ294+AK294-AH294),6)&lt;=0.1,1,0),"")</f>
        <v>1</v>
      </c>
      <c r="AM294" s="36">
        <f>IF(E294=1,AI294/AH294,"")</f>
        <v>0.277227722772277</v>
      </c>
      <c r="AN294" s="36">
        <f>IF(E294=1,AJ294/AH294,"")</f>
        <v>0.326732673267327</v>
      </c>
      <c r="AO294" s="36">
        <f>IF(E294=1,AK294/AH294,"")</f>
        <v>0.396039603960396</v>
      </c>
      <c r="AP294" s="34">
        <f>IF(E294=1,Orders!Y291,"")</f>
        <v>0.36</v>
      </c>
      <c r="AQ294" s="33">
        <f>IF(Orders!X291,1,0)</f>
        <v>0</v>
      </c>
      <c r="AR294" s="34" t="str">
        <f>IF(AND(E294=1,L294=1),AJ294,"")</f>
        <v/>
      </c>
      <c r="AS294" s="34">
        <f>IF(AND(E294=1,L294=0),AJ294,"")</f>
        <v>3.3</v>
      </c>
      <c r="AT294" s="34" t="str">
        <f>IF(AND(E294=1,L294=1),AI294,"")</f>
        <v/>
      </c>
      <c r="AU294" s="34">
        <f>IF(AND(E294=1,L294=0),AI294,"")</f>
        <v>2.8</v>
      </c>
      <c r="AV294" s="34" t="str">
        <f>IF(AND(E294=1,L294=1),AG294,"")</f>
        <v/>
      </c>
      <c r="AW294" s="34">
        <f>IF(AND(E294=1,L294=0),AG294,"")</f>
        <v>10.8</v>
      </c>
      <c r="AX294" s="34" t="str">
        <f>IF(AND(E294=1,L294=1),AH294,"")</f>
        <v/>
      </c>
      <c r="AY294" s="34">
        <f>IF(AND(E294=1,L294=0),AH294,"")</f>
        <v>10.1</v>
      </c>
      <c r="AZ294" s="34" t="str">
        <f>IF(G294=1,F294,"")</f>
        <v/>
      </c>
      <c r="BA294" s="34" t="str">
        <f>IF(AND(G294=1,L294=1),F294,"")</f>
        <v/>
      </c>
      <c r="BB294" s="34" t="str">
        <f>IF(AND(G294=1,L294=0),F294,"")</f>
        <v/>
      </c>
      <c r="BC294" s="33">
        <f>IF(E294=1,IF(Orders!R291&gt;3,1,0),"")</f>
        <v>0</v>
      </c>
      <c r="BD294" s="33">
        <f>IF(E294=1,IF(Orders!R291&gt;7,1,0),"")</f>
        <v>0</v>
      </c>
      <c r="BE294" s="32" t="str">
        <f>IF(E294=1,IF(Orders!L291&lt;=1.5,"Up to 1.5 km",IF(Orders!L291&lt;=3,"1.5–3 km","Over 3 km")),"")</f>
        <v>1.5–3 km</v>
      </c>
      <c r="BF294" s="33">
        <f>IF(E294=1,IF(ABS((Orders!G291-Orders!F291)*1440-Orders!R291)&lt;0.06,1,0),"")</f>
        <v>1</v>
      </c>
      <c r="BG294" s="33">
        <f>IF(ABS((Orders!F291-Orders!E291)*1440-Orders!P291)&lt;0.06,1,0)</f>
        <v>1</v>
      </c>
      <c r="BH294" s="33">
        <f>IF(E294=1,IF(IF(Orders!S291,1,0)=1-G294,1,0),"")</f>
        <v>1</v>
      </c>
      <c r="BI294" s="32" t="str">
        <f>INDEX(Stores!$B$2:$B$21,MATCH(B294,Stores!$A$2:$A$21,0))</f>
        <v>Mumbai</v>
      </c>
    </row>
    <row r="295">
      <c r="A295" s="32" t="str">
        <f>Orders!A292</f>
        <v>O00291</v>
      </c>
      <c r="B295" s="32" t="str">
        <f>Orders!C292</f>
        <v>S012</v>
      </c>
      <c r="C295" s="32" t="str">
        <f>Orders!B292</f>
        <v>C0048</v>
      </c>
      <c r="D295" s="32" t="str">
        <f>Orders!H292</f>
        <v>Delivered</v>
      </c>
      <c r="E295" s="33">
        <f>IF(Orders!H292="Delivered",1,0)</f>
        <v>1</v>
      </c>
      <c r="F295" s="34">
        <f>IF(E295=1,Orders!R292,"")</f>
        <v>-0.3</v>
      </c>
      <c r="G295" s="33">
        <f>IF(E295=1,IF(Orders!R292&gt;0,1,0),"")</f>
        <v>0</v>
      </c>
      <c r="H295" s="33">
        <f>IF(E295=1,IF(Orders!R292&gt;5,1,0),"")</f>
        <v>0</v>
      </c>
      <c r="I295" s="32" t="str">
        <f>IF(E295=1,"",IF(OR(Orders!T292="Rider unavailable",Orders!T292="Item unavailable"),"Company-caused","Unresolved"))</f>
        <v/>
      </c>
      <c r="J295" s="33">
        <f>IF(OR(E295=1,I295="Company-caused"),1,0)</f>
        <v>1</v>
      </c>
      <c r="K295" s="32" t="str">
        <f>IF(E295=0,IF(I295="Company-caused",IF(Orders!T292="Rider unavailable","C1 Rider unavailable","C2 Item unavailable"),"Outside root: unresolved"),IF(G295=0,"A On time",IF(H295=1,IF(L295=1,"B2a Severe, peak","B2b Severe, off-peak"),IF(L295=1,"B1a Slight, peak","B1b Slight, off-peak"))))</f>
        <v>A On time</v>
      </c>
      <c r="L295" s="33">
        <f>IF(AND(Orders!U292&gt;=19,Orders!U292&lt;22),1,0)</f>
        <v>0</v>
      </c>
      <c r="M295" s="33">
        <f>IF(L295=IF(Orders!V292,1,0),1,0)</f>
        <v>1</v>
      </c>
      <c r="N295" s="32" t="str">
        <f>IF(Orders!W292="","None",Orders!W292)</f>
        <v>Light</v>
      </c>
      <c r="O295" s="35">
        <f>INT(Orders!E292)</f>
        <v>46274.0</v>
      </c>
      <c r="P295" s="33">
        <f>Orders!U292</f>
        <v>16</v>
      </c>
      <c r="Q295" s="33">
        <f>COUNTIFS(Demand!$A$2:$A$4481,B295,Demand!$B$2:$B$4481,O295,Demand!$C$2:$C$4481,P295)</f>
        <v>1</v>
      </c>
      <c r="R295" s="33">
        <f>IF(Q295=1,SUMIFS(Demand!$E$2:$E$4481,Demand!$A$2:$A$4481,B295,Demand!$B$2:$B$4481,O295,Demand!$C$2:$C$4481,P295),"")</f>
        <v>12</v>
      </c>
      <c r="S295" s="33">
        <f>INDEX(Stores!$G$2:$G$21,MATCH(B295,Stores!$A$2:$A$21,0))</f>
        <v>15</v>
      </c>
      <c r="T295" s="34">
        <f>IF(R295="","",R295/S295)</f>
        <v>0.8</v>
      </c>
      <c r="U295" s="34">
        <f>IF(E295=1,T295,"")</f>
        <v>0.8</v>
      </c>
      <c r="V295" s="34">
        <f>IF(AND(E295=1,L295=0),T295,"")</f>
        <v>0.8</v>
      </c>
      <c r="W295" s="33">
        <f>IF(U295="","",IF(U295&lt;=Breakdowns!$C$5,1,IF(U295&lt;=Breakdowns!$C$6,2,IF(U295&lt;=Breakdowns!$C$7,3,4))))</f>
        <v>2</v>
      </c>
      <c r="X295" s="33">
        <f>IF(V295="","",IF(V295&lt;=Breakdowns!$D$5,1,IF(V295&lt;=Breakdowns!$D$6,2,IF(V295&lt;=Breakdowns!$D$7,3,4))))</f>
        <v>2</v>
      </c>
      <c r="Y295" s="34">
        <f>INDEX(Stores!$F$2:$F$21,MATCH(B295,Stores!$A$2:$A$21,0))</f>
        <v>5.23</v>
      </c>
      <c r="Z295" s="33">
        <f>IF(Y295&gt;Store_Summary!$M$2,1,0)</f>
        <v>1</v>
      </c>
      <c r="AA295" s="33">
        <f>INDEX(Stores!$C$2:$C$21,MATCH(B295,Stores!$A$2:$A$21,0))</f>
        <v>300</v>
      </c>
      <c r="AB295" s="33">
        <f>IF(AA295&lt;180,1,0)</f>
        <v>0</v>
      </c>
      <c r="AC295" s="32" t="str">
        <f>IF(Orders!D292="","",INDEX(Riders!$C$2:$C$81,MATCH(Orders!D292,Riders!$A$2:$A$81,0)))</f>
        <v>Petrol scooter</v>
      </c>
      <c r="AD295" s="33">
        <f>IF(Orders!D292="","",INDEX(Riders!$D$2:$D$81,MATCH(Orders!D292,Riders!$A$2:$A$81,0)))</f>
        <v>44</v>
      </c>
      <c r="AE295" s="33">
        <f>IF(Orders!D292="","",IF(INDEX(Riders!$B$2:$B$81,MATCH(Orders!D292,Riders!$A$2:$A$81,0))=B295,1,0))</f>
        <v>0</v>
      </c>
      <c r="AF295" s="34">
        <f>IF(E295=1,Orders!L292,"")</f>
        <v>1.48</v>
      </c>
      <c r="AG295" s="34">
        <f>IF(E295=1,Orders!P292,"")</f>
        <v>10.4</v>
      </c>
      <c r="AH295" s="34">
        <f>IF(E295=1,Orders!Q292,"")</f>
        <v>10.1</v>
      </c>
      <c r="AI295" s="34">
        <f>IF(E295=1,Orders!M292,"")</f>
        <v>4.4</v>
      </c>
      <c r="AJ295" s="34">
        <f>IF(E295=1,Orders!N292,"")</f>
        <v>2</v>
      </c>
      <c r="AK295" s="34">
        <f>IF(E295=1,Orders!O292,"")</f>
        <v>3.7</v>
      </c>
      <c r="AL295" s="33">
        <f>IF(E295=1,IF(ROUND(ABS(AI295+AJ295+AK295-AH295),6)&lt;=0.1,1,0),"")</f>
        <v>1</v>
      </c>
      <c r="AM295" s="36">
        <f>IF(E295=1,AI295/AH295,"")</f>
        <v>0.435643564356436</v>
      </c>
      <c r="AN295" s="36">
        <f>IF(E295=1,AJ295/AH295,"")</f>
        <v>0.198019801980198</v>
      </c>
      <c r="AO295" s="36">
        <f>IF(E295=1,AK295/AH295,"")</f>
        <v>0.366336633663366</v>
      </c>
      <c r="AP295" s="34">
        <f>IF(E295=1,Orders!Y292,"")</f>
        <v>0.6</v>
      </c>
      <c r="AQ295" s="33">
        <f>IF(Orders!X292,1,0)</f>
        <v>0</v>
      </c>
      <c r="AR295" s="34" t="str">
        <f>IF(AND(E295=1,L295=1),AJ295,"")</f>
        <v/>
      </c>
      <c r="AS295" s="34">
        <f>IF(AND(E295=1,L295=0),AJ295,"")</f>
        <v>2</v>
      </c>
      <c r="AT295" s="34" t="str">
        <f>IF(AND(E295=1,L295=1),AI295,"")</f>
        <v/>
      </c>
      <c r="AU295" s="34">
        <f>IF(AND(E295=1,L295=0),AI295,"")</f>
        <v>4.4</v>
      </c>
      <c r="AV295" s="34" t="str">
        <f>IF(AND(E295=1,L295=1),AG295,"")</f>
        <v/>
      </c>
      <c r="AW295" s="34">
        <f>IF(AND(E295=1,L295=0),AG295,"")</f>
        <v>10.4</v>
      </c>
      <c r="AX295" s="34" t="str">
        <f>IF(AND(E295=1,L295=1),AH295,"")</f>
        <v/>
      </c>
      <c r="AY295" s="34">
        <f>IF(AND(E295=1,L295=0),AH295,"")</f>
        <v>10.1</v>
      </c>
      <c r="AZ295" s="34" t="str">
        <f>IF(G295=1,F295,"")</f>
        <v/>
      </c>
      <c r="BA295" s="34" t="str">
        <f>IF(AND(G295=1,L295=1),F295,"")</f>
        <v/>
      </c>
      <c r="BB295" s="34" t="str">
        <f>IF(AND(G295=1,L295=0),F295,"")</f>
        <v/>
      </c>
      <c r="BC295" s="33">
        <f>IF(E295=1,IF(Orders!R292&gt;3,1,0),"")</f>
        <v>0</v>
      </c>
      <c r="BD295" s="33">
        <f>IF(E295=1,IF(Orders!R292&gt;7,1,0),"")</f>
        <v>0</v>
      </c>
      <c r="BE295" s="32" t="str">
        <f>IF(E295=1,IF(Orders!L292&lt;=1.5,"Up to 1.5 km",IF(Orders!L292&lt;=3,"1.5–3 km","Over 3 km")),"")</f>
        <v>Up to 1.5 km</v>
      </c>
      <c r="BF295" s="33">
        <f>IF(E295=1,IF(ABS((Orders!G292-Orders!F292)*1440-Orders!R292)&lt;0.06,1,0),"")</f>
        <v>1</v>
      </c>
      <c r="BG295" s="33">
        <f>IF(ABS((Orders!F292-Orders!E292)*1440-Orders!P292)&lt;0.06,1,0)</f>
        <v>1</v>
      </c>
      <c r="BH295" s="33">
        <f>IF(E295=1,IF(IF(Orders!S292,1,0)=1-G295,1,0),"")</f>
        <v>1</v>
      </c>
      <c r="BI295" s="32" t="str">
        <f>INDEX(Stores!$B$2:$B$21,MATCH(B295,Stores!$A$2:$A$21,0))</f>
        <v>Hyderabad</v>
      </c>
    </row>
    <row r="296">
      <c r="A296" s="32" t="str">
        <f>Orders!A293</f>
        <v>O00292</v>
      </c>
      <c r="B296" s="32" t="str">
        <f>Orders!C293</f>
        <v>S004</v>
      </c>
      <c r="C296" s="32" t="str">
        <f>Orders!B293</f>
        <v>C0031</v>
      </c>
      <c r="D296" s="32" t="str">
        <f>Orders!H293</f>
        <v>Delivered</v>
      </c>
      <c r="E296" s="33">
        <f>IF(Orders!H293="Delivered",1,0)</f>
        <v>1</v>
      </c>
      <c r="F296" s="34">
        <f>IF(E296=1,Orders!R293,"")</f>
        <v>-1.1</v>
      </c>
      <c r="G296" s="33">
        <f>IF(E296=1,IF(Orders!R293&gt;0,1,0),"")</f>
        <v>0</v>
      </c>
      <c r="H296" s="33">
        <f>IF(E296=1,IF(Orders!R293&gt;5,1,0),"")</f>
        <v>0</v>
      </c>
      <c r="I296" s="32" t="str">
        <f>IF(E296=1,"",IF(OR(Orders!T293="Rider unavailable",Orders!T293="Item unavailable"),"Company-caused","Unresolved"))</f>
        <v/>
      </c>
      <c r="J296" s="33">
        <f>IF(OR(E296=1,I296="Company-caused"),1,0)</f>
        <v>1</v>
      </c>
      <c r="K296" s="32" t="str">
        <f>IF(E296=0,IF(I296="Company-caused",IF(Orders!T293="Rider unavailable","C1 Rider unavailable","C2 Item unavailable"),"Outside root: unresolved"),IF(G296=0,"A On time",IF(H296=1,IF(L296=1,"B2a Severe, peak","B2b Severe, off-peak"),IF(L296=1,"B1a Slight, peak","B1b Slight, off-peak"))))</f>
        <v>A On time</v>
      </c>
      <c r="L296" s="33">
        <f>IF(AND(Orders!U293&gt;=19,Orders!U293&lt;22),1,0)</f>
        <v>0</v>
      </c>
      <c r="M296" s="33">
        <f>IF(L296=IF(Orders!V293,1,0),1,0)</f>
        <v>1</v>
      </c>
      <c r="N296" s="32" t="str">
        <f>IF(Orders!W293="","None",Orders!W293)</f>
        <v>None</v>
      </c>
      <c r="O296" s="35">
        <f>INT(Orders!E293)</f>
        <v>46277.0</v>
      </c>
      <c r="P296" s="33">
        <f>Orders!U293</f>
        <v>18</v>
      </c>
      <c r="Q296" s="33">
        <f>COUNTIFS(Demand!$A$2:$A$4481,B296,Demand!$B$2:$B$4481,O296,Demand!$C$2:$C$4481,P296)</f>
        <v>1</v>
      </c>
      <c r="R296" s="33">
        <f>IF(Q296=1,SUMIFS(Demand!$E$2:$E$4481,Demand!$A$2:$A$4481,B296,Demand!$B$2:$B$4481,O296,Demand!$C$2:$C$4481,P296),"")</f>
        <v>34</v>
      </c>
      <c r="S296" s="33">
        <f>INDEX(Stores!$G$2:$G$21,MATCH(B296,Stores!$A$2:$A$21,0))</f>
        <v>42</v>
      </c>
      <c r="T296" s="34">
        <f>IF(R296="","",R296/S296)</f>
        <v>0.80952380952381</v>
      </c>
      <c r="U296" s="34">
        <f>IF(E296=1,T296,"")</f>
        <v>0.80952380952381</v>
      </c>
      <c r="V296" s="34">
        <f>IF(AND(E296=1,L296=0),T296,"")</f>
        <v>0.80952380952381</v>
      </c>
      <c r="W296" s="33">
        <f>IF(U296="","",IF(U296&lt;=Breakdowns!$C$5,1,IF(U296&lt;=Breakdowns!$C$6,2,IF(U296&lt;=Breakdowns!$C$7,3,4))))</f>
        <v>2</v>
      </c>
      <c r="X296" s="33">
        <f>IF(V296="","",IF(V296&lt;=Breakdowns!$D$5,1,IF(V296&lt;=Breakdowns!$D$6,2,IF(V296&lt;=Breakdowns!$D$7,3,4))))</f>
        <v>2</v>
      </c>
      <c r="Y296" s="34">
        <f>INDEX(Stores!$F$2:$F$21,MATCH(B296,Stores!$A$2:$A$21,0))</f>
        <v>2.19</v>
      </c>
      <c r="Z296" s="33">
        <f>IF(Y296&gt;Store_Summary!$M$2,1,0)</f>
        <v>0</v>
      </c>
      <c r="AA296" s="33">
        <f>INDEX(Stores!$C$2:$C$21,MATCH(B296,Stores!$A$2:$A$21,0))</f>
        <v>850</v>
      </c>
      <c r="AB296" s="33">
        <f>IF(AA296&lt;180,1,0)</f>
        <v>0</v>
      </c>
      <c r="AC296" s="32" t="str">
        <f>IF(Orders!D293="","",INDEX(Riders!$C$2:$C$81,MATCH(Orders!D293,Riders!$A$2:$A$81,0)))</f>
        <v>EV scooter</v>
      </c>
      <c r="AD296" s="33">
        <f>IF(Orders!D293="","",INDEX(Riders!$D$2:$D$81,MATCH(Orders!D293,Riders!$A$2:$A$81,0)))</f>
        <v>45</v>
      </c>
      <c r="AE296" s="33">
        <f>IF(Orders!D293="","",IF(INDEX(Riders!$B$2:$B$81,MATCH(Orders!D293,Riders!$A$2:$A$81,0))=B296,1,0))</f>
        <v>0</v>
      </c>
      <c r="AF296" s="34">
        <f>IF(E296=1,Orders!L293,"")</f>
        <v>1.98</v>
      </c>
      <c r="AG296" s="34">
        <f>IF(E296=1,Orders!P293,"")</f>
        <v>10.4</v>
      </c>
      <c r="AH296" s="34">
        <f>IF(E296=1,Orders!Q293,"")</f>
        <v>9.3</v>
      </c>
      <c r="AI296" s="34">
        <f>IF(E296=1,Orders!M293,"")</f>
        <v>2.3</v>
      </c>
      <c r="AJ296" s="34">
        <f>IF(E296=1,Orders!N293,"")</f>
        <v>3.4</v>
      </c>
      <c r="AK296" s="34">
        <f>IF(E296=1,Orders!O293,"")</f>
        <v>3.6</v>
      </c>
      <c r="AL296" s="33">
        <f>IF(E296=1,IF(ROUND(ABS(AI296+AJ296+AK296-AH296),6)&lt;=0.1,1,0),"")</f>
        <v>1</v>
      </c>
      <c r="AM296" s="36">
        <f>IF(E296=1,AI296/AH296,"")</f>
        <v>0.247311827956989</v>
      </c>
      <c r="AN296" s="36">
        <f>IF(E296=1,AJ296/AH296,"")</f>
        <v>0.365591397849462</v>
      </c>
      <c r="AO296" s="36">
        <f>IF(E296=1,AK296/AH296,"")</f>
        <v>0.387096774193548</v>
      </c>
      <c r="AP296" s="34">
        <f>IF(E296=1,Orders!Y293,"")</f>
        <v>0.65</v>
      </c>
      <c r="AQ296" s="33">
        <f>IF(Orders!X293,1,0)</f>
        <v>0</v>
      </c>
      <c r="AR296" s="34" t="str">
        <f>IF(AND(E296=1,L296=1),AJ296,"")</f>
        <v/>
      </c>
      <c r="AS296" s="34">
        <f>IF(AND(E296=1,L296=0),AJ296,"")</f>
        <v>3.4</v>
      </c>
      <c r="AT296" s="34" t="str">
        <f>IF(AND(E296=1,L296=1),AI296,"")</f>
        <v/>
      </c>
      <c r="AU296" s="34">
        <f>IF(AND(E296=1,L296=0),AI296,"")</f>
        <v>2.3</v>
      </c>
      <c r="AV296" s="34" t="str">
        <f>IF(AND(E296=1,L296=1),AG296,"")</f>
        <v/>
      </c>
      <c r="AW296" s="34">
        <f>IF(AND(E296=1,L296=0),AG296,"")</f>
        <v>10.4</v>
      </c>
      <c r="AX296" s="34" t="str">
        <f>IF(AND(E296=1,L296=1),AH296,"")</f>
        <v/>
      </c>
      <c r="AY296" s="34">
        <f>IF(AND(E296=1,L296=0),AH296,"")</f>
        <v>9.3</v>
      </c>
      <c r="AZ296" s="34" t="str">
        <f>IF(G296=1,F296,"")</f>
        <v/>
      </c>
      <c r="BA296" s="34" t="str">
        <f>IF(AND(G296=1,L296=1),F296,"")</f>
        <v/>
      </c>
      <c r="BB296" s="34" t="str">
        <f>IF(AND(G296=1,L296=0),F296,"")</f>
        <v/>
      </c>
      <c r="BC296" s="33">
        <f>IF(E296=1,IF(Orders!R293&gt;3,1,0),"")</f>
        <v>0</v>
      </c>
      <c r="BD296" s="33">
        <f>IF(E296=1,IF(Orders!R293&gt;7,1,0),"")</f>
        <v>0</v>
      </c>
      <c r="BE296" s="32" t="str">
        <f>IF(E296=1,IF(Orders!L293&lt;=1.5,"Up to 1.5 km",IF(Orders!L293&lt;=3,"1.5–3 km","Over 3 km")),"")</f>
        <v>1.5–3 km</v>
      </c>
      <c r="BF296" s="33">
        <f>IF(E296=1,IF(ABS((Orders!G293-Orders!F293)*1440-Orders!R293)&lt;0.06,1,0),"")</f>
        <v>1</v>
      </c>
      <c r="BG296" s="33">
        <f>IF(ABS((Orders!F293-Orders!E293)*1440-Orders!P293)&lt;0.06,1,0)</f>
        <v>1</v>
      </c>
      <c r="BH296" s="33">
        <f>IF(E296=1,IF(IF(Orders!S293,1,0)=1-G296,1,0),"")</f>
        <v>1</v>
      </c>
      <c r="BI296" s="32" t="str">
        <f>INDEX(Stores!$B$2:$B$21,MATCH(B296,Stores!$A$2:$A$21,0))</f>
        <v>Pune</v>
      </c>
    </row>
    <row r="297">
      <c r="A297" s="32" t="str">
        <f>Orders!A294</f>
        <v>O00293</v>
      </c>
      <c r="B297" s="32" t="str">
        <f>Orders!C294</f>
        <v>S019</v>
      </c>
      <c r="C297" s="32" t="str">
        <f>Orders!B294</f>
        <v>C0005</v>
      </c>
      <c r="D297" s="32" t="str">
        <f>Orders!H294</f>
        <v>Delivered</v>
      </c>
      <c r="E297" s="33">
        <f>IF(Orders!H294="Delivered",1,0)</f>
        <v>1</v>
      </c>
      <c r="F297" s="34">
        <f>IF(E297=1,Orders!R294,"")</f>
        <v>-0.6</v>
      </c>
      <c r="G297" s="33">
        <f>IF(E297=1,IF(Orders!R294&gt;0,1,0),"")</f>
        <v>0</v>
      </c>
      <c r="H297" s="33">
        <f>IF(E297=1,IF(Orders!R294&gt;5,1,0),"")</f>
        <v>0</v>
      </c>
      <c r="I297" s="32" t="str">
        <f>IF(E297=1,"",IF(OR(Orders!T294="Rider unavailable",Orders!T294="Item unavailable"),"Company-caused","Unresolved"))</f>
        <v/>
      </c>
      <c r="J297" s="33">
        <f>IF(OR(E297=1,I297="Company-caused"),1,0)</f>
        <v>1</v>
      </c>
      <c r="K297" s="32" t="str">
        <f>IF(E297=0,IF(I297="Company-caused",IF(Orders!T294="Rider unavailable","C1 Rider unavailable","C2 Item unavailable"),"Outside root: unresolved"),IF(G297=0,"A On time",IF(H297=1,IF(L297=1,"B2a Severe, peak","B2b Severe, off-peak"),IF(L297=1,"B1a Slight, peak","B1b Slight, off-peak"))))</f>
        <v>A On time</v>
      </c>
      <c r="L297" s="33">
        <f>IF(AND(Orders!U294&gt;=19,Orders!U294&lt;22),1,0)</f>
        <v>0</v>
      </c>
      <c r="M297" s="33">
        <f>IF(L297=IF(Orders!V294,1,0),1,0)</f>
        <v>1</v>
      </c>
      <c r="N297" s="32" t="str">
        <f>IF(Orders!W294="","None",Orders!W294)</f>
        <v>None</v>
      </c>
      <c r="O297" s="35">
        <f>INT(Orders!E294)</f>
        <v>46270.0</v>
      </c>
      <c r="P297" s="33">
        <f>Orders!U294</f>
        <v>9</v>
      </c>
      <c r="Q297" s="33">
        <f>COUNTIFS(Demand!$A$2:$A$4481,B297,Demand!$B$2:$B$4481,O297,Demand!$C$2:$C$4481,P297)</f>
        <v>1</v>
      </c>
      <c r="R297" s="33">
        <f>IF(Q297=1,SUMIFS(Demand!$E$2:$E$4481,Demand!$A$2:$A$4481,B297,Demand!$B$2:$B$4481,O297,Demand!$C$2:$C$4481,P297),"")</f>
        <v>16</v>
      </c>
      <c r="S297" s="33">
        <f>INDEX(Stores!$G$2:$G$21,MATCH(B297,Stores!$A$2:$A$21,0))</f>
        <v>22</v>
      </c>
      <c r="T297" s="34">
        <f>IF(R297="","",R297/S297)</f>
        <v>0.727272727272727</v>
      </c>
      <c r="U297" s="34">
        <f>IF(E297=1,T297,"")</f>
        <v>0.727272727272727</v>
      </c>
      <c r="V297" s="34">
        <f>IF(AND(E297=1,L297=0),T297,"")</f>
        <v>0.727272727272727</v>
      </c>
      <c r="W297" s="33">
        <f>IF(U297="","",IF(U297&lt;=Breakdowns!$C$5,1,IF(U297&lt;=Breakdowns!$C$6,2,IF(U297&lt;=Breakdowns!$C$7,3,4))))</f>
        <v>1</v>
      </c>
      <c r="X297" s="33">
        <f>IF(V297="","",IF(V297&lt;=Breakdowns!$D$5,1,IF(V297&lt;=Breakdowns!$D$6,2,IF(V297&lt;=Breakdowns!$D$7,3,4))))</f>
        <v>1</v>
      </c>
      <c r="Y297" s="34">
        <f>INDEX(Stores!$F$2:$F$21,MATCH(B297,Stores!$A$2:$A$21,0))</f>
        <v>4.99</v>
      </c>
      <c r="Z297" s="33">
        <f>IF(Y297&gt;Store_Summary!$M$2,1,0)</f>
        <v>1</v>
      </c>
      <c r="AA297" s="33">
        <f>INDEX(Stores!$C$2:$C$21,MATCH(B297,Stores!$A$2:$A$21,0))</f>
        <v>851</v>
      </c>
      <c r="AB297" s="33">
        <f>IF(AA297&lt;180,1,0)</f>
        <v>0</v>
      </c>
      <c r="AC297" s="32" t="str">
        <f>IF(Orders!D294="","",INDEX(Riders!$C$2:$C$81,MATCH(Orders!D294,Riders!$A$2:$A$81,0)))</f>
        <v>Petrol scooter</v>
      </c>
      <c r="AD297" s="33">
        <f>IF(Orders!D294="","",INDEX(Riders!$D$2:$D$81,MATCH(Orders!D294,Riders!$A$2:$A$81,0)))</f>
        <v>37</v>
      </c>
      <c r="AE297" s="33">
        <f>IF(Orders!D294="","",IF(INDEX(Riders!$B$2:$B$81,MATCH(Orders!D294,Riders!$A$2:$A$81,0))=B297,1,0))</f>
        <v>0</v>
      </c>
      <c r="AF297" s="34">
        <f>IF(E297=1,Orders!L294,"")</f>
        <v>2.5</v>
      </c>
      <c r="AG297" s="34">
        <f>IF(E297=1,Orders!P294,"")</f>
        <v>10.2</v>
      </c>
      <c r="AH297" s="34">
        <f>IF(E297=1,Orders!Q294,"")</f>
        <v>9.6</v>
      </c>
      <c r="AI297" s="34">
        <f>IF(E297=1,Orders!M294,"")</f>
        <v>2.5</v>
      </c>
      <c r="AJ297" s="34">
        <f>IF(E297=1,Orders!N294,"")</f>
        <v>3.7</v>
      </c>
      <c r="AK297" s="34">
        <f>IF(E297=1,Orders!O294,"")</f>
        <v>3.4</v>
      </c>
      <c r="AL297" s="33">
        <f>IF(E297=1,IF(ROUND(ABS(AI297+AJ297+AK297-AH297),6)&lt;=0.1,1,0),"")</f>
        <v>1</v>
      </c>
      <c r="AM297" s="36">
        <f>IF(E297=1,AI297/AH297,"")</f>
        <v>0.260416666666667</v>
      </c>
      <c r="AN297" s="36">
        <f>IF(E297=1,AJ297/AH297,"")</f>
        <v>0.385416666666667</v>
      </c>
      <c r="AO297" s="36">
        <f>IF(E297=1,AK297/AH297,"")</f>
        <v>0.354166666666667</v>
      </c>
      <c r="AP297" s="34">
        <f>IF(E297=1,Orders!Y294,"")</f>
        <v>0.48</v>
      </c>
      <c r="AQ297" s="33">
        <f>IF(Orders!X294,1,0)</f>
        <v>0</v>
      </c>
      <c r="AR297" s="34" t="str">
        <f>IF(AND(E297=1,L297=1),AJ297,"")</f>
        <v/>
      </c>
      <c r="AS297" s="34">
        <f>IF(AND(E297=1,L297=0),AJ297,"")</f>
        <v>3.7</v>
      </c>
      <c r="AT297" s="34" t="str">
        <f>IF(AND(E297=1,L297=1),AI297,"")</f>
        <v/>
      </c>
      <c r="AU297" s="34">
        <f>IF(AND(E297=1,L297=0),AI297,"")</f>
        <v>2.5</v>
      </c>
      <c r="AV297" s="34" t="str">
        <f>IF(AND(E297=1,L297=1),AG297,"")</f>
        <v/>
      </c>
      <c r="AW297" s="34">
        <f>IF(AND(E297=1,L297=0),AG297,"")</f>
        <v>10.2</v>
      </c>
      <c r="AX297" s="34" t="str">
        <f>IF(AND(E297=1,L297=1),AH297,"")</f>
        <v/>
      </c>
      <c r="AY297" s="34">
        <f>IF(AND(E297=1,L297=0),AH297,"")</f>
        <v>9.6</v>
      </c>
      <c r="AZ297" s="34" t="str">
        <f>IF(G297=1,F297,"")</f>
        <v/>
      </c>
      <c r="BA297" s="34" t="str">
        <f>IF(AND(G297=1,L297=1),F297,"")</f>
        <v/>
      </c>
      <c r="BB297" s="34" t="str">
        <f>IF(AND(G297=1,L297=0),F297,"")</f>
        <v/>
      </c>
      <c r="BC297" s="33">
        <f>IF(E297=1,IF(Orders!R294&gt;3,1,0),"")</f>
        <v>0</v>
      </c>
      <c r="BD297" s="33">
        <f>IF(E297=1,IF(Orders!R294&gt;7,1,0),"")</f>
        <v>0</v>
      </c>
      <c r="BE297" s="32" t="str">
        <f>IF(E297=1,IF(Orders!L294&lt;=1.5,"Up to 1.5 km",IF(Orders!L294&lt;=3,"1.5–3 km","Over 3 km")),"")</f>
        <v>1.5–3 km</v>
      </c>
      <c r="BF297" s="33">
        <f>IF(E297=1,IF(ABS((Orders!G294-Orders!F294)*1440-Orders!R294)&lt;0.06,1,0),"")</f>
        <v>1</v>
      </c>
      <c r="BG297" s="33">
        <f>IF(ABS((Orders!F294-Orders!E294)*1440-Orders!P294)&lt;0.06,1,0)</f>
        <v>1</v>
      </c>
      <c r="BH297" s="33">
        <f>IF(E297=1,IF(IF(Orders!S294,1,0)=1-G297,1,0),"")</f>
        <v>1</v>
      </c>
      <c r="BI297" s="32" t="str">
        <f>INDEX(Stores!$B$2:$B$21,MATCH(B297,Stores!$A$2:$A$21,0))</f>
        <v>Pune</v>
      </c>
    </row>
    <row r="298">
      <c r="A298" s="32" t="str">
        <f>Orders!A295</f>
        <v>O00294</v>
      </c>
      <c r="B298" s="32" t="str">
        <f>Orders!C295</f>
        <v>S019</v>
      </c>
      <c r="C298" s="32" t="str">
        <f>Orders!B295</f>
        <v>C0225</v>
      </c>
      <c r="D298" s="32" t="str">
        <f>Orders!H295</f>
        <v>Delivered</v>
      </c>
      <c r="E298" s="33">
        <f>IF(Orders!H295="Delivered",1,0)</f>
        <v>1</v>
      </c>
      <c r="F298" s="34">
        <f>IF(E298=1,Orders!R295,"")</f>
        <v>-0.4</v>
      </c>
      <c r="G298" s="33">
        <f>IF(E298=1,IF(Orders!R295&gt;0,1,0),"")</f>
        <v>0</v>
      </c>
      <c r="H298" s="33">
        <f>IF(E298=1,IF(Orders!R295&gt;5,1,0),"")</f>
        <v>0</v>
      </c>
      <c r="I298" s="32" t="str">
        <f>IF(E298=1,"",IF(OR(Orders!T295="Rider unavailable",Orders!T295="Item unavailable"),"Company-caused","Unresolved"))</f>
        <v/>
      </c>
      <c r="J298" s="33">
        <f>IF(OR(E298=1,I298="Company-caused"),1,0)</f>
        <v>1</v>
      </c>
      <c r="K298" s="32" t="str">
        <f>IF(E298=0,IF(I298="Company-caused",IF(Orders!T295="Rider unavailable","C1 Rider unavailable","C2 Item unavailable"),"Outside root: unresolved"),IF(G298=0,"A On time",IF(H298=1,IF(L298=1,"B2a Severe, peak","B2b Severe, off-peak"),IF(L298=1,"B1a Slight, peak","B1b Slight, off-peak"))))</f>
        <v>A On time</v>
      </c>
      <c r="L298" s="33">
        <f>IF(AND(Orders!U295&gt;=19,Orders!U295&lt;22),1,0)</f>
        <v>0</v>
      </c>
      <c r="M298" s="33">
        <f>IF(L298=IF(Orders!V295,1,0),1,0)</f>
        <v>1</v>
      </c>
      <c r="N298" s="32" t="str">
        <f>IF(Orders!W295="","None",Orders!W295)</f>
        <v>Light</v>
      </c>
      <c r="O298" s="35">
        <f>INT(Orders!E295)</f>
        <v>46275.0</v>
      </c>
      <c r="P298" s="33">
        <f>Orders!U295</f>
        <v>8</v>
      </c>
      <c r="Q298" s="33">
        <f>COUNTIFS(Demand!$A$2:$A$4481,B298,Demand!$B$2:$B$4481,O298,Demand!$C$2:$C$4481,P298)</f>
        <v>1</v>
      </c>
      <c r="R298" s="33">
        <f>IF(Q298=1,SUMIFS(Demand!$E$2:$E$4481,Demand!$A$2:$A$4481,B298,Demand!$B$2:$B$4481,O298,Demand!$C$2:$C$4481,P298),"")</f>
        <v>22</v>
      </c>
      <c r="S298" s="33">
        <f>INDEX(Stores!$G$2:$G$21,MATCH(B298,Stores!$A$2:$A$21,0))</f>
        <v>22</v>
      </c>
      <c r="T298" s="34">
        <f>IF(R298="","",R298/S298)</f>
        <v>1</v>
      </c>
      <c r="U298" s="34">
        <f>IF(E298=1,T298,"")</f>
        <v>1</v>
      </c>
      <c r="V298" s="34">
        <f>IF(AND(E298=1,L298=0),T298,"")</f>
        <v>1</v>
      </c>
      <c r="W298" s="33">
        <f>IF(U298="","",IF(U298&lt;=Breakdowns!$C$5,1,IF(U298&lt;=Breakdowns!$C$6,2,IF(U298&lt;=Breakdowns!$C$7,3,4))))</f>
        <v>2</v>
      </c>
      <c r="X298" s="33">
        <f>IF(V298="","",IF(V298&lt;=Breakdowns!$D$5,1,IF(V298&lt;=Breakdowns!$D$6,2,IF(V298&lt;=Breakdowns!$D$7,3,4))))</f>
        <v>3</v>
      </c>
      <c r="Y298" s="34">
        <f>INDEX(Stores!$F$2:$F$21,MATCH(B298,Stores!$A$2:$A$21,0))</f>
        <v>4.99</v>
      </c>
      <c r="Z298" s="33">
        <f>IF(Y298&gt;Store_Summary!$M$2,1,0)</f>
        <v>1</v>
      </c>
      <c r="AA298" s="33">
        <f>INDEX(Stores!$C$2:$C$21,MATCH(B298,Stores!$A$2:$A$21,0))</f>
        <v>851</v>
      </c>
      <c r="AB298" s="33">
        <f>IF(AA298&lt;180,1,0)</f>
        <v>0</v>
      </c>
      <c r="AC298" s="32" t="str">
        <f>IF(Orders!D295="","",INDEX(Riders!$C$2:$C$81,MATCH(Orders!D295,Riders!$A$2:$A$81,0)))</f>
        <v>Bicycle</v>
      </c>
      <c r="AD298" s="33">
        <f>IF(Orders!D295="","",INDEX(Riders!$D$2:$D$81,MATCH(Orders!D295,Riders!$A$2:$A$81,0)))</f>
        <v>40</v>
      </c>
      <c r="AE298" s="33">
        <f>IF(Orders!D295="","",IF(INDEX(Riders!$B$2:$B$81,MATCH(Orders!D295,Riders!$A$2:$A$81,0))=B298,1,0))</f>
        <v>0</v>
      </c>
      <c r="AF298" s="34">
        <f>IF(E298=1,Orders!L295,"")</f>
        <v>2.5</v>
      </c>
      <c r="AG298" s="34">
        <f>IF(E298=1,Orders!P295,"")</f>
        <v>10.3</v>
      </c>
      <c r="AH298" s="34">
        <f>IF(E298=1,Orders!Q295,"")</f>
        <v>9.9</v>
      </c>
      <c r="AI298" s="34">
        <f>IF(E298=1,Orders!M295,"")</f>
        <v>3.9</v>
      </c>
      <c r="AJ298" s="34">
        <f>IF(E298=1,Orders!N295,"")</f>
        <v>1.1</v>
      </c>
      <c r="AK298" s="34">
        <f>IF(E298=1,Orders!O295,"")</f>
        <v>4.9</v>
      </c>
      <c r="AL298" s="33">
        <f>IF(E298=1,IF(ROUND(ABS(AI298+AJ298+AK298-AH298),6)&lt;=0.1,1,0),"")</f>
        <v>1</v>
      </c>
      <c r="AM298" s="36">
        <f>IF(E298=1,AI298/AH298,"")</f>
        <v>0.393939393939394</v>
      </c>
      <c r="AN298" s="36">
        <f>IF(E298=1,AJ298/AH298,"")</f>
        <v>0.111111111111111</v>
      </c>
      <c r="AO298" s="36">
        <f>IF(E298=1,AK298/AH298,"")</f>
        <v>0.494949494949495</v>
      </c>
      <c r="AP298" s="34">
        <f>IF(E298=1,Orders!Y295,"")</f>
        <v>0.4</v>
      </c>
      <c r="AQ298" s="33">
        <f>IF(Orders!X295,1,0)</f>
        <v>0</v>
      </c>
      <c r="AR298" s="34" t="str">
        <f>IF(AND(E298=1,L298=1),AJ298,"")</f>
        <v/>
      </c>
      <c r="AS298" s="34">
        <f>IF(AND(E298=1,L298=0),AJ298,"")</f>
        <v>1.1</v>
      </c>
      <c r="AT298" s="34" t="str">
        <f>IF(AND(E298=1,L298=1),AI298,"")</f>
        <v/>
      </c>
      <c r="AU298" s="34">
        <f>IF(AND(E298=1,L298=0),AI298,"")</f>
        <v>3.9</v>
      </c>
      <c r="AV298" s="34" t="str">
        <f>IF(AND(E298=1,L298=1),AG298,"")</f>
        <v/>
      </c>
      <c r="AW298" s="34">
        <f>IF(AND(E298=1,L298=0),AG298,"")</f>
        <v>10.3</v>
      </c>
      <c r="AX298" s="34" t="str">
        <f>IF(AND(E298=1,L298=1),AH298,"")</f>
        <v/>
      </c>
      <c r="AY298" s="34">
        <f>IF(AND(E298=1,L298=0),AH298,"")</f>
        <v>9.9</v>
      </c>
      <c r="AZ298" s="34" t="str">
        <f>IF(G298=1,F298,"")</f>
        <v/>
      </c>
      <c r="BA298" s="34" t="str">
        <f>IF(AND(G298=1,L298=1),F298,"")</f>
        <v/>
      </c>
      <c r="BB298" s="34" t="str">
        <f>IF(AND(G298=1,L298=0),F298,"")</f>
        <v/>
      </c>
      <c r="BC298" s="33">
        <f>IF(E298=1,IF(Orders!R295&gt;3,1,0),"")</f>
        <v>0</v>
      </c>
      <c r="BD298" s="33">
        <f>IF(E298=1,IF(Orders!R295&gt;7,1,0),"")</f>
        <v>0</v>
      </c>
      <c r="BE298" s="32" t="str">
        <f>IF(E298=1,IF(Orders!L295&lt;=1.5,"Up to 1.5 km",IF(Orders!L295&lt;=3,"1.5–3 km","Over 3 km")),"")</f>
        <v>1.5–3 km</v>
      </c>
      <c r="BF298" s="33">
        <f>IF(E298=1,IF(ABS((Orders!G295-Orders!F295)*1440-Orders!R295)&lt;0.06,1,0),"")</f>
        <v>1</v>
      </c>
      <c r="BG298" s="33">
        <f>IF(ABS((Orders!F295-Orders!E295)*1440-Orders!P295)&lt;0.06,1,0)</f>
        <v>1</v>
      </c>
      <c r="BH298" s="33">
        <f>IF(E298=1,IF(IF(Orders!S295,1,0)=1-G298,1,0),"")</f>
        <v>1</v>
      </c>
      <c r="BI298" s="32" t="str">
        <f>INDEX(Stores!$B$2:$B$21,MATCH(B298,Stores!$A$2:$A$21,0))</f>
        <v>Pune</v>
      </c>
    </row>
    <row r="299">
      <c r="A299" s="32" t="str">
        <f>Orders!A296</f>
        <v>O00295</v>
      </c>
      <c r="B299" s="32" t="str">
        <f>Orders!C296</f>
        <v>S015</v>
      </c>
      <c r="C299" s="32" t="str">
        <f>Orders!B296</f>
        <v>C0084</v>
      </c>
      <c r="D299" s="32" t="str">
        <f>Orders!H296</f>
        <v>Delivered</v>
      </c>
      <c r="E299" s="33">
        <f>IF(Orders!H296="Delivered",1,0)</f>
        <v>1</v>
      </c>
      <c r="F299" s="34">
        <f>IF(E299=1,Orders!R296,"")</f>
        <v>-0.8</v>
      </c>
      <c r="G299" s="33">
        <f>IF(E299=1,IF(Orders!R296&gt;0,1,0),"")</f>
        <v>0</v>
      </c>
      <c r="H299" s="33">
        <f>IF(E299=1,IF(Orders!R296&gt;5,1,0),"")</f>
        <v>0</v>
      </c>
      <c r="I299" s="32" t="str">
        <f>IF(E299=1,"",IF(OR(Orders!T296="Rider unavailable",Orders!T296="Item unavailable"),"Company-caused","Unresolved"))</f>
        <v/>
      </c>
      <c r="J299" s="33">
        <f>IF(OR(E299=1,I299="Company-caused"),1,0)</f>
        <v>1</v>
      </c>
      <c r="K299" s="32" t="str">
        <f>IF(E299=0,IF(I299="Company-caused",IF(Orders!T296="Rider unavailable","C1 Rider unavailable","C2 Item unavailable"),"Outside root: unresolved"),IF(G299=0,"A On time",IF(H299=1,IF(L299=1,"B2a Severe, peak","B2b Severe, off-peak"),IF(L299=1,"B1a Slight, peak","B1b Slight, off-peak"))))</f>
        <v>A On time</v>
      </c>
      <c r="L299" s="33">
        <f>IF(AND(Orders!U296&gt;=19,Orders!U296&lt;22),1,0)</f>
        <v>0</v>
      </c>
      <c r="M299" s="33">
        <f>IF(L299=IF(Orders!V296,1,0),1,0)</f>
        <v>1</v>
      </c>
      <c r="N299" s="32" t="str">
        <f>IF(Orders!W296="","None",Orders!W296)</f>
        <v>None</v>
      </c>
      <c r="O299" s="35">
        <f>INT(Orders!E296)</f>
        <v>46272.0</v>
      </c>
      <c r="P299" s="33">
        <f>Orders!U296</f>
        <v>14</v>
      </c>
      <c r="Q299" s="33">
        <f>COUNTIFS(Demand!$A$2:$A$4481,B299,Demand!$B$2:$B$4481,O299,Demand!$C$2:$C$4481,P299)</f>
        <v>1</v>
      </c>
      <c r="R299" s="33">
        <f>IF(Q299=1,SUMIFS(Demand!$E$2:$E$4481,Demand!$A$2:$A$4481,B299,Demand!$B$2:$B$4481,O299,Demand!$C$2:$C$4481,P299),"")</f>
        <v>16</v>
      </c>
      <c r="S299" s="33">
        <f>INDEX(Stores!$G$2:$G$21,MATCH(B299,Stores!$A$2:$A$21,0))</f>
        <v>23</v>
      </c>
      <c r="T299" s="34">
        <f>IF(R299="","",R299/S299)</f>
        <v>0.695652173913044</v>
      </c>
      <c r="U299" s="34">
        <f>IF(E299=1,T299,"")</f>
        <v>0.695652173913044</v>
      </c>
      <c r="V299" s="34">
        <f>IF(AND(E299=1,L299=0),T299,"")</f>
        <v>0.695652173913044</v>
      </c>
      <c r="W299" s="33">
        <f>IF(U299="","",IF(U299&lt;=Breakdowns!$C$5,1,IF(U299&lt;=Breakdowns!$C$6,2,IF(U299&lt;=Breakdowns!$C$7,3,4))))</f>
        <v>1</v>
      </c>
      <c r="X299" s="33">
        <f>IF(V299="","",IF(V299&lt;=Breakdowns!$D$5,1,IF(V299&lt;=Breakdowns!$D$6,2,IF(V299&lt;=Breakdowns!$D$7,3,4))))</f>
        <v>1</v>
      </c>
      <c r="Y299" s="34">
        <f>INDEX(Stores!$F$2:$F$21,MATCH(B299,Stores!$A$2:$A$21,0))</f>
        <v>4.66</v>
      </c>
      <c r="Z299" s="33">
        <f>IF(Y299&gt;Store_Summary!$M$2,1,0)</f>
        <v>0</v>
      </c>
      <c r="AA299" s="33">
        <f>INDEX(Stores!$C$2:$C$21,MATCH(B299,Stores!$A$2:$A$21,0))</f>
        <v>204</v>
      </c>
      <c r="AB299" s="33">
        <f>IF(AA299&lt;180,1,0)</f>
        <v>0</v>
      </c>
      <c r="AC299" s="32" t="str">
        <f>IF(Orders!D296="","",INDEX(Riders!$C$2:$C$81,MATCH(Orders!D296,Riders!$A$2:$A$81,0)))</f>
        <v>EV scooter</v>
      </c>
      <c r="AD299" s="33">
        <f>IF(Orders!D296="","",INDEX(Riders!$D$2:$D$81,MATCH(Orders!D296,Riders!$A$2:$A$81,0)))</f>
        <v>21</v>
      </c>
      <c r="AE299" s="33">
        <f>IF(Orders!D296="","",IF(INDEX(Riders!$B$2:$B$81,MATCH(Orders!D296,Riders!$A$2:$A$81,0))=B299,1,0))</f>
        <v>0</v>
      </c>
      <c r="AF299" s="34">
        <f>IF(E299=1,Orders!L296,"")</f>
        <v>0.5</v>
      </c>
      <c r="AG299" s="34">
        <f>IF(E299=1,Orders!P296,"")</f>
        <v>8.8</v>
      </c>
      <c r="AH299" s="34">
        <f>IF(E299=1,Orders!Q296,"")</f>
        <v>8</v>
      </c>
      <c r="AI299" s="34">
        <f>IF(E299=1,Orders!M296,"")</f>
        <v>2.9</v>
      </c>
      <c r="AJ299" s="34">
        <f>IF(E299=1,Orders!N296,"")</f>
        <v>4.1</v>
      </c>
      <c r="AK299" s="34">
        <f>IF(E299=1,Orders!O296,"")</f>
        <v>1</v>
      </c>
      <c r="AL299" s="33">
        <f>IF(E299=1,IF(ROUND(ABS(AI299+AJ299+AK299-AH299),6)&lt;=0.1,1,0),"")</f>
        <v>1</v>
      </c>
      <c r="AM299" s="36">
        <f>IF(E299=1,AI299/AH299,"")</f>
        <v>0.3625</v>
      </c>
      <c r="AN299" s="36">
        <f>IF(E299=1,AJ299/AH299,"")</f>
        <v>0.5125</v>
      </c>
      <c r="AO299" s="36">
        <f>IF(E299=1,AK299/AH299,"")</f>
        <v>0.125</v>
      </c>
      <c r="AP299" s="34">
        <f>IF(E299=1,Orders!Y296,"")</f>
        <v>0.36</v>
      </c>
      <c r="AQ299" s="33">
        <f>IF(Orders!X296,1,0)</f>
        <v>1</v>
      </c>
      <c r="AR299" s="34" t="str">
        <f>IF(AND(E299=1,L299=1),AJ299,"")</f>
        <v/>
      </c>
      <c r="AS299" s="34">
        <f>IF(AND(E299=1,L299=0),AJ299,"")</f>
        <v>4.1</v>
      </c>
      <c r="AT299" s="34" t="str">
        <f>IF(AND(E299=1,L299=1),AI299,"")</f>
        <v/>
      </c>
      <c r="AU299" s="34">
        <f>IF(AND(E299=1,L299=0),AI299,"")</f>
        <v>2.9</v>
      </c>
      <c r="AV299" s="34" t="str">
        <f>IF(AND(E299=1,L299=1),AG299,"")</f>
        <v/>
      </c>
      <c r="AW299" s="34">
        <f>IF(AND(E299=1,L299=0),AG299,"")</f>
        <v>8.8</v>
      </c>
      <c r="AX299" s="34" t="str">
        <f>IF(AND(E299=1,L299=1),AH299,"")</f>
        <v/>
      </c>
      <c r="AY299" s="34">
        <f>IF(AND(E299=1,L299=0),AH299,"")</f>
        <v>8</v>
      </c>
      <c r="AZ299" s="34" t="str">
        <f>IF(G299=1,F299,"")</f>
        <v/>
      </c>
      <c r="BA299" s="34" t="str">
        <f>IF(AND(G299=1,L299=1),F299,"")</f>
        <v/>
      </c>
      <c r="BB299" s="34" t="str">
        <f>IF(AND(G299=1,L299=0),F299,"")</f>
        <v/>
      </c>
      <c r="BC299" s="33">
        <f>IF(E299=1,IF(Orders!R296&gt;3,1,0),"")</f>
        <v>0</v>
      </c>
      <c r="BD299" s="33">
        <f>IF(E299=1,IF(Orders!R296&gt;7,1,0),"")</f>
        <v>0</v>
      </c>
      <c r="BE299" s="32" t="str">
        <f>IF(E299=1,IF(Orders!L296&lt;=1.5,"Up to 1.5 km",IF(Orders!L296&lt;=3,"1.5–3 km","Over 3 km")),"")</f>
        <v>Up to 1.5 km</v>
      </c>
      <c r="BF299" s="33">
        <f>IF(E299=1,IF(ABS((Orders!G296-Orders!F296)*1440-Orders!R296)&lt;0.06,1,0),"")</f>
        <v>1</v>
      </c>
      <c r="BG299" s="33">
        <f>IF(ABS((Orders!F296-Orders!E296)*1440-Orders!P296)&lt;0.06,1,0)</f>
        <v>1</v>
      </c>
      <c r="BH299" s="33">
        <f>IF(E299=1,IF(IF(Orders!S296,1,0)=1-G299,1,0),"")</f>
        <v>1</v>
      </c>
      <c r="BI299" s="32" t="str">
        <f>INDEX(Stores!$B$2:$B$21,MATCH(B299,Stores!$A$2:$A$21,0))</f>
        <v>Delhi</v>
      </c>
    </row>
    <row r="300">
      <c r="A300" s="32" t="str">
        <f>Orders!A297</f>
        <v>O00296</v>
      </c>
      <c r="B300" s="32" t="str">
        <f>Orders!C297</f>
        <v>S009</v>
      </c>
      <c r="C300" s="32" t="str">
        <f>Orders!B297</f>
        <v>C0116</v>
      </c>
      <c r="D300" s="32" t="str">
        <f>Orders!H297</f>
        <v>Delivered</v>
      </c>
      <c r="E300" s="33">
        <f>IF(Orders!H297="Delivered",1,0)</f>
        <v>1</v>
      </c>
      <c r="F300" s="34">
        <f>IF(E300=1,Orders!R297,"")</f>
        <v>-0.5</v>
      </c>
      <c r="G300" s="33">
        <f>IF(E300=1,IF(Orders!R297&gt;0,1,0),"")</f>
        <v>0</v>
      </c>
      <c r="H300" s="33">
        <f>IF(E300=1,IF(Orders!R297&gt;5,1,0),"")</f>
        <v>0</v>
      </c>
      <c r="I300" s="32" t="str">
        <f>IF(E300=1,"",IF(OR(Orders!T297="Rider unavailable",Orders!T297="Item unavailable"),"Company-caused","Unresolved"))</f>
        <v/>
      </c>
      <c r="J300" s="33">
        <f>IF(OR(E300=1,I300="Company-caused"),1,0)</f>
        <v>1</v>
      </c>
      <c r="K300" s="32" t="str">
        <f>IF(E300=0,IF(I300="Company-caused",IF(Orders!T297="Rider unavailable","C1 Rider unavailable","C2 Item unavailable"),"Outside root: unresolved"),IF(G300=0,"A On time",IF(H300=1,IF(L300=1,"B2a Severe, peak","B2b Severe, off-peak"),IF(L300=1,"B1a Slight, peak","B1b Slight, off-peak"))))</f>
        <v>A On time</v>
      </c>
      <c r="L300" s="33">
        <f>IF(AND(Orders!U297&gt;=19,Orders!U297&lt;22),1,0)</f>
        <v>1</v>
      </c>
      <c r="M300" s="33">
        <f>IF(L300=IF(Orders!V297,1,0),1,0)</f>
        <v>1</v>
      </c>
      <c r="N300" s="32" t="str">
        <f>IF(Orders!W297="","None",Orders!W297)</f>
        <v>None</v>
      </c>
      <c r="O300" s="35">
        <f>INT(Orders!E297)</f>
        <v>46269.0</v>
      </c>
      <c r="P300" s="33">
        <f>Orders!U297</f>
        <v>20</v>
      </c>
      <c r="Q300" s="33">
        <f>COUNTIFS(Demand!$A$2:$A$4481,B300,Demand!$B$2:$B$4481,O300,Demand!$C$2:$C$4481,P300)</f>
        <v>1</v>
      </c>
      <c r="R300" s="33">
        <f>IF(Q300=1,SUMIFS(Demand!$E$2:$E$4481,Demand!$A$2:$A$4481,B300,Demand!$B$2:$B$4481,O300,Demand!$C$2:$C$4481,P300),"")</f>
        <v>50</v>
      </c>
      <c r="S300" s="33">
        <f>INDEX(Stores!$G$2:$G$21,MATCH(B300,Stores!$A$2:$A$21,0))</f>
        <v>29</v>
      </c>
      <c r="T300" s="34">
        <f>IF(R300="","",R300/S300)</f>
        <v>1.72413793103448</v>
      </c>
      <c r="U300" s="34">
        <f>IF(E300=1,T300,"")</f>
        <v>1.72413793103448</v>
      </c>
      <c r="V300" s="34" t="str">
        <f>IF(AND(E300=1,L300=0),T300,"")</f>
        <v/>
      </c>
      <c r="W300" s="33">
        <f>IF(U300="","",IF(U300&lt;=Breakdowns!$C$5,1,IF(U300&lt;=Breakdowns!$C$6,2,IF(U300&lt;=Breakdowns!$C$7,3,4))))</f>
        <v>4</v>
      </c>
      <c r="X300" s="33" t="str">
        <f>IF(V300="","",IF(V300&lt;=Breakdowns!$D$5,1,IF(V300&lt;=Breakdowns!$D$6,2,IF(V300&lt;=Breakdowns!$D$7,3,4))))</f>
        <v/>
      </c>
      <c r="Y300" s="34">
        <f>INDEX(Stores!$F$2:$F$21,MATCH(B300,Stores!$A$2:$A$21,0))</f>
        <v>2.66</v>
      </c>
      <c r="Z300" s="33">
        <f>IF(Y300&gt;Store_Summary!$M$2,1,0)</f>
        <v>0</v>
      </c>
      <c r="AA300" s="33">
        <f>INDEX(Stores!$C$2:$C$21,MATCH(B300,Stores!$A$2:$A$21,0))</f>
        <v>645</v>
      </c>
      <c r="AB300" s="33">
        <f>IF(AA300&lt;180,1,0)</f>
        <v>0</v>
      </c>
      <c r="AC300" s="32" t="str">
        <f>IF(Orders!D297="","",INDEX(Riders!$C$2:$C$81,MATCH(Orders!D297,Riders!$A$2:$A$81,0)))</f>
        <v>EV scooter</v>
      </c>
      <c r="AD300" s="33">
        <f>IF(Orders!D297="","",INDEX(Riders!$D$2:$D$81,MATCH(Orders!D297,Riders!$A$2:$A$81,0)))</f>
        <v>11</v>
      </c>
      <c r="AE300" s="33">
        <f>IF(Orders!D297="","",IF(INDEX(Riders!$B$2:$B$81,MATCH(Orders!D297,Riders!$A$2:$A$81,0))=B300,1,0))</f>
        <v>0</v>
      </c>
      <c r="AF300" s="34">
        <f>IF(E300=1,Orders!L297,"")</f>
        <v>2.8</v>
      </c>
      <c r="AG300" s="34">
        <f>IF(E300=1,Orders!P297,"")</f>
        <v>8.2</v>
      </c>
      <c r="AH300" s="34">
        <f>IF(E300=1,Orders!Q297,"")</f>
        <v>7.7</v>
      </c>
      <c r="AI300" s="34">
        <f>IF(E300=1,Orders!M297,"")</f>
        <v>1.7</v>
      </c>
      <c r="AJ300" s="34">
        <f>IF(E300=1,Orders!N297,"")</f>
        <v>1.7</v>
      </c>
      <c r="AK300" s="34">
        <f>IF(E300=1,Orders!O297,"")</f>
        <v>4.3</v>
      </c>
      <c r="AL300" s="33">
        <f>IF(E300=1,IF(ROUND(ABS(AI300+AJ300+AK300-AH300),6)&lt;=0.1,1,0),"")</f>
        <v>1</v>
      </c>
      <c r="AM300" s="36">
        <f>IF(E300=1,AI300/AH300,"")</f>
        <v>0.220779220779221</v>
      </c>
      <c r="AN300" s="36">
        <f>IF(E300=1,AJ300/AH300,"")</f>
        <v>0.220779220779221</v>
      </c>
      <c r="AO300" s="36">
        <f>IF(E300=1,AK300/AH300,"")</f>
        <v>0.558441558441558</v>
      </c>
      <c r="AP300" s="34">
        <f>IF(E300=1,Orders!Y297,"")</f>
        <v>0.78</v>
      </c>
      <c r="AQ300" s="33">
        <f>IF(Orders!X297,1,0)</f>
        <v>0</v>
      </c>
      <c r="AR300" s="34">
        <f>IF(AND(E300=1,L300=1),AJ300,"")</f>
        <v>1.7</v>
      </c>
      <c r="AS300" s="34" t="str">
        <f>IF(AND(E300=1,L300=0),AJ300,"")</f>
        <v/>
      </c>
      <c r="AT300" s="34">
        <f>IF(AND(E300=1,L300=1),AI300,"")</f>
        <v>1.7</v>
      </c>
      <c r="AU300" s="34" t="str">
        <f>IF(AND(E300=1,L300=0),AI300,"")</f>
        <v/>
      </c>
      <c r="AV300" s="34">
        <f>IF(AND(E300=1,L300=1),AG300,"")</f>
        <v>8.2</v>
      </c>
      <c r="AW300" s="34" t="str">
        <f>IF(AND(E300=1,L300=0),AG300,"")</f>
        <v/>
      </c>
      <c r="AX300" s="34">
        <f>IF(AND(E300=1,L300=1),AH300,"")</f>
        <v>7.7</v>
      </c>
      <c r="AY300" s="34" t="str">
        <f>IF(AND(E300=1,L300=0),AH300,"")</f>
        <v/>
      </c>
      <c r="AZ300" s="34" t="str">
        <f>IF(G300=1,F300,"")</f>
        <v/>
      </c>
      <c r="BA300" s="34" t="str">
        <f>IF(AND(G300=1,L300=1),F300,"")</f>
        <v/>
      </c>
      <c r="BB300" s="34" t="str">
        <f>IF(AND(G300=1,L300=0),F300,"")</f>
        <v/>
      </c>
      <c r="BC300" s="33">
        <f>IF(E300=1,IF(Orders!R297&gt;3,1,0),"")</f>
        <v>0</v>
      </c>
      <c r="BD300" s="33">
        <f>IF(E300=1,IF(Orders!R297&gt;7,1,0),"")</f>
        <v>0</v>
      </c>
      <c r="BE300" s="32" t="str">
        <f>IF(E300=1,IF(Orders!L297&lt;=1.5,"Up to 1.5 km",IF(Orders!L297&lt;=3,"1.5–3 km","Over 3 km")),"")</f>
        <v>1.5–3 km</v>
      </c>
      <c r="BF300" s="33">
        <f>IF(E300=1,IF(ABS((Orders!G297-Orders!F297)*1440-Orders!R297)&lt;0.06,1,0),"")</f>
        <v>1</v>
      </c>
      <c r="BG300" s="33">
        <f>IF(ABS((Orders!F297-Orders!E297)*1440-Orders!P297)&lt;0.06,1,0)</f>
        <v>1</v>
      </c>
      <c r="BH300" s="33">
        <f>IF(E300=1,IF(IF(Orders!S297,1,0)=1-G300,1,0),"")</f>
        <v>1</v>
      </c>
      <c r="BI300" s="32" t="str">
        <f>INDEX(Stores!$B$2:$B$21,MATCH(B300,Stores!$A$2:$A$21,0))</f>
        <v>Pune</v>
      </c>
    </row>
    <row r="301">
      <c r="A301" s="32" t="str">
        <f>Orders!A298</f>
        <v>O00297</v>
      </c>
      <c r="B301" s="32" t="str">
        <f>Orders!C298</f>
        <v>S014</v>
      </c>
      <c r="C301" s="32" t="str">
        <f>Orders!B298</f>
        <v>C0134</v>
      </c>
      <c r="D301" s="32" t="str">
        <f>Orders!H298</f>
        <v>Delivered</v>
      </c>
      <c r="E301" s="33">
        <f>IF(Orders!H298="Delivered",1,0)</f>
        <v>1</v>
      </c>
      <c r="F301" s="34">
        <f>IF(E301=1,Orders!R298,"")</f>
        <v>6.7</v>
      </c>
      <c r="G301" s="33">
        <f>IF(E301=1,IF(Orders!R298&gt;0,1,0),"")</f>
        <v>1</v>
      </c>
      <c r="H301" s="33">
        <f>IF(E301=1,IF(Orders!R298&gt;5,1,0),"")</f>
        <v>1</v>
      </c>
      <c r="I301" s="32" t="str">
        <f>IF(E301=1,"",IF(OR(Orders!T298="Rider unavailable",Orders!T298="Item unavailable"),"Company-caused","Unresolved"))</f>
        <v/>
      </c>
      <c r="J301" s="33">
        <f>IF(OR(E301=1,I301="Company-caused"),1,0)</f>
        <v>1</v>
      </c>
      <c r="K301" s="32" t="str">
        <f>IF(E301=0,IF(I301="Company-caused",IF(Orders!T298="Rider unavailable","C1 Rider unavailable","C2 Item unavailable"),"Outside root: unresolved"),IF(G301=0,"A On time",IF(H301=1,IF(L301=1,"B2a Severe, peak","B2b Severe, off-peak"),IF(L301=1,"B1a Slight, peak","B1b Slight, off-peak"))))</f>
        <v>B2b Severe, off-peak</v>
      </c>
      <c r="L301" s="33">
        <f>IF(AND(Orders!U298&gt;=19,Orders!U298&lt;22),1,0)</f>
        <v>0</v>
      </c>
      <c r="M301" s="33">
        <f>IF(L301=IF(Orders!V298,1,0),1,0)</f>
        <v>1</v>
      </c>
      <c r="N301" s="32" t="str">
        <f>IF(Orders!W298="","None",Orders!W298)</f>
        <v>Light</v>
      </c>
      <c r="O301" s="35">
        <f>INT(Orders!E298)</f>
        <v>46279.0</v>
      </c>
      <c r="P301" s="33">
        <f>Orders!U298</f>
        <v>17</v>
      </c>
      <c r="Q301" s="33">
        <f>COUNTIFS(Demand!$A$2:$A$4481,B301,Demand!$B$2:$B$4481,O301,Demand!$C$2:$C$4481,P301)</f>
        <v>1</v>
      </c>
      <c r="R301" s="33">
        <f>IF(Q301=1,SUMIFS(Demand!$E$2:$E$4481,Demand!$A$2:$A$4481,B301,Demand!$B$2:$B$4481,O301,Demand!$C$2:$C$4481,P301),"")</f>
        <v>42</v>
      </c>
      <c r="S301" s="33">
        <f>INDEX(Stores!$G$2:$G$21,MATCH(B301,Stores!$A$2:$A$21,0))</f>
        <v>37</v>
      </c>
      <c r="T301" s="34">
        <f>IF(R301="","",R301/S301)</f>
        <v>1.13513513513514</v>
      </c>
      <c r="U301" s="34">
        <f>IF(E301=1,T301,"")</f>
        <v>1.13513513513514</v>
      </c>
      <c r="V301" s="34">
        <f>IF(AND(E301=1,L301=0),T301,"")</f>
        <v>1.13513513513514</v>
      </c>
      <c r="W301" s="33">
        <f>IF(U301="","",IF(U301&lt;=Breakdowns!$C$5,1,IF(U301&lt;=Breakdowns!$C$6,2,IF(U301&lt;=Breakdowns!$C$7,3,4))))</f>
        <v>3</v>
      </c>
      <c r="X301" s="33">
        <f>IF(V301="","",IF(V301&lt;=Breakdowns!$D$5,1,IF(V301&lt;=Breakdowns!$D$6,2,IF(V301&lt;=Breakdowns!$D$7,3,4))))</f>
        <v>4</v>
      </c>
      <c r="Y301" s="34">
        <f>INDEX(Stores!$F$2:$F$21,MATCH(B301,Stores!$A$2:$A$21,0))</f>
        <v>5.55</v>
      </c>
      <c r="Z301" s="33">
        <f>IF(Y301&gt;Store_Summary!$M$2,1,0)</f>
        <v>1</v>
      </c>
      <c r="AA301" s="33">
        <f>INDEX(Stores!$C$2:$C$21,MATCH(B301,Stores!$A$2:$A$21,0))</f>
        <v>241</v>
      </c>
      <c r="AB301" s="33">
        <f>IF(AA301&lt;180,1,0)</f>
        <v>0</v>
      </c>
      <c r="AC301" s="32" t="str">
        <f>IF(Orders!D298="","",INDEX(Riders!$C$2:$C$81,MATCH(Orders!D298,Riders!$A$2:$A$81,0)))</f>
        <v>EV scooter</v>
      </c>
      <c r="AD301" s="33">
        <f>IF(Orders!D298="","",INDEX(Riders!$D$2:$D$81,MATCH(Orders!D298,Riders!$A$2:$A$81,0)))</f>
        <v>38</v>
      </c>
      <c r="AE301" s="33">
        <f>IF(Orders!D298="","",IF(INDEX(Riders!$B$2:$B$81,MATCH(Orders!D298,Riders!$A$2:$A$81,0))=B301,1,0))</f>
        <v>0</v>
      </c>
      <c r="AF301" s="34">
        <f>IF(E301=1,Orders!L298,"")</f>
        <v>1.12</v>
      </c>
      <c r="AG301" s="34">
        <f>IF(E301=1,Orders!P298,"")</f>
        <v>9.7</v>
      </c>
      <c r="AH301" s="34">
        <f>IF(E301=1,Orders!Q298,"")</f>
        <v>16.4</v>
      </c>
      <c r="AI301" s="34">
        <f>IF(E301=1,Orders!M298,"")</f>
        <v>6.1</v>
      </c>
      <c r="AJ301" s="34">
        <f>IF(E301=1,Orders!N298,"")</f>
        <v>6.1</v>
      </c>
      <c r="AK301" s="34">
        <f>IF(E301=1,Orders!O298,"")</f>
        <v>4.1</v>
      </c>
      <c r="AL301" s="33">
        <f>IF(E301=1,IF(ROUND(ABS(AI301+AJ301+AK301-AH301),6)&lt;=0.1,1,0),"")</f>
        <v>1</v>
      </c>
      <c r="AM301" s="36">
        <f>IF(E301=1,AI301/AH301,"")</f>
        <v>0.371951219512195</v>
      </c>
      <c r="AN301" s="36">
        <f>IF(E301=1,AJ301/AH301,"")</f>
        <v>0.371951219512195</v>
      </c>
      <c r="AO301" s="36">
        <f>IF(E301=1,AK301/AH301,"")</f>
        <v>0.25</v>
      </c>
      <c r="AP301" s="34">
        <f>IF(E301=1,Orders!Y298,"")</f>
        <v>0.38</v>
      </c>
      <c r="AQ301" s="33">
        <f>IF(Orders!X298,1,0)</f>
        <v>0</v>
      </c>
      <c r="AR301" s="34" t="str">
        <f>IF(AND(E301=1,L301=1),AJ301,"")</f>
        <v/>
      </c>
      <c r="AS301" s="34">
        <f>IF(AND(E301=1,L301=0),AJ301,"")</f>
        <v>6.1</v>
      </c>
      <c r="AT301" s="34" t="str">
        <f>IF(AND(E301=1,L301=1),AI301,"")</f>
        <v/>
      </c>
      <c r="AU301" s="34">
        <f>IF(AND(E301=1,L301=0),AI301,"")</f>
        <v>6.1</v>
      </c>
      <c r="AV301" s="34" t="str">
        <f>IF(AND(E301=1,L301=1),AG301,"")</f>
        <v/>
      </c>
      <c r="AW301" s="34">
        <f>IF(AND(E301=1,L301=0),AG301,"")</f>
        <v>9.7</v>
      </c>
      <c r="AX301" s="34" t="str">
        <f>IF(AND(E301=1,L301=1),AH301,"")</f>
        <v/>
      </c>
      <c r="AY301" s="34">
        <f>IF(AND(E301=1,L301=0),AH301,"")</f>
        <v>16.4</v>
      </c>
      <c r="AZ301" s="34">
        <f>IF(G301=1,F301,"")</f>
        <v>6.7</v>
      </c>
      <c r="BA301" s="34" t="str">
        <f>IF(AND(G301=1,L301=1),F301,"")</f>
        <v/>
      </c>
      <c r="BB301" s="34">
        <f>IF(AND(G301=1,L301=0),F301,"")</f>
        <v>6.7</v>
      </c>
      <c r="BC301" s="33">
        <f>IF(E301=1,IF(Orders!R298&gt;3,1,0),"")</f>
        <v>1</v>
      </c>
      <c r="BD301" s="33">
        <f>IF(E301=1,IF(Orders!R298&gt;7,1,0),"")</f>
        <v>0</v>
      </c>
      <c r="BE301" s="32" t="str">
        <f>IF(E301=1,IF(Orders!L298&lt;=1.5,"Up to 1.5 km",IF(Orders!L298&lt;=3,"1.5–3 km","Over 3 km")),"")</f>
        <v>Up to 1.5 km</v>
      </c>
      <c r="BF301" s="33">
        <f>IF(E301=1,IF(ABS((Orders!G298-Orders!F298)*1440-Orders!R298)&lt;0.06,1,0),"")</f>
        <v>1</v>
      </c>
      <c r="BG301" s="33">
        <f>IF(ABS((Orders!F298-Orders!E298)*1440-Orders!P298)&lt;0.06,1,0)</f>
        <v>1</v>
      </c>
      <c r="BH301" s="33">
        <f>IF(E301=1,IF(IF(Orders!S298,1,0)=1-G301,1,0),"")</f>
        <v>1</v>
      </c>
      <c r="BI301" s="32" t="str">
        <f>INDEX(Stores!$B$2:$B$21,MATCH(B301,Stores!$A$2:$A$21,0))</f>
        <v>Pune</v>
      </c>
    </row>
    <row r="302">
      <c r="A302" s="32" t="str">
        <f>Orders!A299</f>
        <v>O00298</v>
      </c>
      <c r="B302" s="32" t="str">
        <f>Orders!C299</f>
        <v>S014</v>
      </c>
      <c r="C302" s="32" t="str">
        <f>Orders!B299</f>
        <v>C0135</v>
      </c>
      <c r="D302" s="32" t="str">
        <f>Orders!H299</f>
        <v>Delivered</v>
      </c>
      <c r="E302" s="33">
        <f>IF(Orders!H299="Delivered",1,0)</f>
        <v>1</v>
      </c>
      <c r="F302" s="34">
        <f>IF(E302=1,Orders!R299,"")</f>
        <v>-0.4</v>
      </c>
      <c r="G302" s="33">
        <f>IF(E302=1,IF(Orders!R299&gt;0,1,0),"")</f>
        <v>0</v>
      </c>
      <c r="H302" s="33">
        <f>IF(E302=1,IF(Orders!R299&gt;5,1,0),"")</f>
        <v>0</v>
      </c>
      <c r="I302" s="32" t="str">
        <f>IF(E302=1,"",IF(OR(Orders!T299="Rider unavailable",Orders!T299="Item unavailable"),"Company-caused","Unresolved"))</f>
        <v/>
      </c>
      <c r="J302" s="33">
        <f>IF(OR(E302=1,I302="Company-caused"),1,0)</f>
        <v>1</v>
      </c>
      <c r="K302" s="32" t="str">
        <f>IF(E302=0,IF(I302="Company-caused",IF(Orders!T299="Rider unavailable","C1 Rider unavailable","C2 Item unavailable"),"Outside root: unresolved"),IF(G302=0,"A On time",IF(H302=1,IF(L302=1,"B2a Severe, peak","B2b Severe, off-peak"),IF(L302=1,"B1a Slight, peak","B1b Slight, off-peak"))))</f>
        <v>A On time</v>
      </c>
      <c r="L302" s="33">
        <f>IF(AND(Orders!U299&gt;=19,Orders!U299&lt;22),1,0)</f>
        <v>0</v>
      </c>
      <c r="M302" s="33">
        <f>IF(L302=IF(Orders!V299,1,0),1,0)</f>
        <v>1</v>
      </c>
      <c r="N302" s="32" t="str">
        <f>IF(Orders!W299="","None",Orders!W299)</f>
        <v>Heavy</v>
      </c>
      <c r="O302" s="35">
        <f>INT(Orders!E299)</f>
        <v>46277.0</v>
      </c>
      <c r="P302" s="33">
        <f>Orders!U299</f>
        <v>12</v>
      </c>
      <c r="Q302" s="33">
        <f>COUNTIFS(Demand!$A$2:$A$4481,B302,Demand!$B$2:$B$4481,O302,Demand!$C$2:$C$4481,P302)</f>
        <v>1</v>
      </c>
      <c r="R302" s="33">
        <f>IF(Q302=1,SUMIFS(Demand!$E$2:$E$4481,Demand!$A$2:$A$4481,B302,Demand!$B$2:$B$4481,O302,Demand!$C$2:$C$4481,P302),"")</f>
        <v>34</v>
      </c>
      <c r="S302" s="33">
        <f>INDEX(Stores!$G$2:$G$21,MATCH(B302,Stores!$A$2:$A$21,0))</f>
        <v>37</v>
      </c>
      <c r="T302" s="34">
        <f>IF(R302="","",R302/S302)</f>
        <v>0.918918918918919</v>
      </c>
      <c r="U302" s="34">
        <f>IF(E302=1,T302,"")</f>
        <v>0.918918918918919</v>
      </c>
      <c r="V302" s="34">
        <f>IF(AND(E302=1,L302=0),T302,"")</f>
        <v>0.918918918918919</v>
      </c>
      <c r="W302" s="33">
        <f>IF(U302="","",IF(U302&lt;=Breakdowns!$C$5,1,IF(U302&lt;=Breakdowns!$C$6,2,IF(U302&lt;=Breakdowns!$C$7,3,4))))</f>
        <v>2</v>
      </c>
      <c r="X302" s="33">
        <f>IF(V302="","",IF(V302&lt;=Breakdowns!$D$5,1,IF(V302&lt;=Breakdowns!$D$6,2,IF(V302&lt;=Breakdowns!$D$7,3,4))))</f>
        <v>3</v>
      </c>
      <c r="Y302" s="34">
        <f>INDEX(Stores!$F$2:$F$21,MATCH(B302,Stores!$A$2:$A$21,0))</f>
        <v>5.55</v>
      </c>
      <c r="Z302" s="33">
        <f>IF(Y302&gt;Store_Summary!$M$2,1,0)</f>
        <v>1</v>
      </c>
      <c r="AA302" s="33">
        <f>INDEX(Stores!$C$2:$C$21,MATCH(B302,Stores!$A$2:$A$21,0))</f>
        <v>241</v>
      </c>
      <c r="AB302" s="33">
        <f>IF(AA302&lt;180,1,0)</f>
        <v>0</v>
      </c>
      <c r="AC302" s="32" t="str">
        <f>IF(Orders!D299="","",INDEX(Riders!$C$2:$C$81,MATCH(Orders!D299,Riders!$A$2:$A$81,0)))</f>
        <v>EV scooter</v>
      </c>
      <c r="AD302" s="33">
        <f>IF(Orders!D299="","",INDEX(Riders!$D$2:$D$81,MATCH(Orders!D299,Riders!$A$2:$A$81,0)))</f>
        <v>36</v>
      </c>
      <c r="AE302" s="33">
        <f>IF(Orders!D299="","",IF(INDEX(Riders!$B$2:$B$81,MATCH(Orders!D299,Riders!$A$2:$A$81,0))=B302,1,0))</f>
        <v>0</v>
      </c>
      <c r="AF302" s="34">
        <f>IF(E302=1,Orders!L299,"")</f>
        <v>2.3</v>
      </c>
      <c r="AG302" s="34">
        <f>IF(E302=1,Orders!P299,"")</f>
        <v>12.5</v>
      </c>
      <c r="AH302" s="34">
        <f>IF(E302=1,Orders!Q299,"")</f>
        <v>12.1</v>
      </c>
      <c r="AI302" s="34">
        <f>IF(E302=1,Orders!M299,"")</f>
        <v>3.9</v>
      </c>
      <c r="AJ302" s="34">
        <f>IF(E302=1,Orders!N299,"")</f>
        <v>2.9</v>
      </c>
      <c r="AK302" s="34">
        <f>IF(E302=1,Orders!O299,"")</f>
        <v>5.3</v>
      </c>
      <c r="AL302" s="33">
        <f>IF(E302=1,IF(ROUND(ABS(AI302+AJ302+AK302-AH302),6)&lt;=0.1,1,0),"")</f>
        <v>1</v>
      </c>
      <c r="AM302" s="36">
        <f>IF(E302=1,AI302/AH302,"")</f>
        <v>0.322314049586777</v>
      </c>
      <c r="AN302" s="36">
        <f>IF(E302=1,AJ302/AH302,"")</f>
        <v>0.239669421487603</v>
      </c>
      <c r="AO302" s="36">
        <f>IF(E302=1,AK302/AH302,"")</f>
        <v>0.43801652892562</v>
      </c>
      <c r="AP302" s="34">
        <f>IF(E302=1,Orders!Y299,"")</f>
        <v>0.42</v>
      </c>
      <c r="AQ302" s="33">
        <f>IF(Orders!X299,1,0)</f>
        <v>0</v>
      </c>
      <c r="AR302" s="34" t="str">
        <f>IF(AND(E302=1,L302=1),AJ302,"")</f>
        <v/>
      </c>
      <c r="AS302" s="34">
        <f>IF(AND(E302=1,L302=0),AJ302,"")</f>
        <v>2.9</v>
      </c>
      <c r="AT302" s="34" t="str">
        <f>IF(AND(E302=1,L302=1),AI302,"")</f>
        <v/>
      </c>
      <c r="AU302" s="34">
        <f>IF(AND(E302=1,L302=0),AI302,"")</f>
        <v>3.9</v>
      </c>
      <c r="AV302" s="34" t="str">
        <f>IF(AND(E302=1,L302=1),AG302,"")</f>
        <v/>
      </c>
      <c r="AW302" s="34">
        <f>IF(AND(E302=1,L302=0),AG302,"")</f>
        <v>12.5</v>
      </c>
      <c r="AX302" s="34" t="str">
        <f>IF(AND(E302=1,L302=1),AH302,"")</f>
        <v/>
      </c>
      <c r="AY302" s="34">
        <f>IF(AND(E302=1,L302=0),AH302,"")</f>
        <v>12.1</v>
      </c>
      <c r="AZ302" s="34" t="str">
        <f>IF(G302=1,F302,"")</f>
        <v/>
      </c>
      <c r="BA302" s="34" t="str">
        <f>IF(AND(G302=1,L302=1),F302,"")</f>
        <v/>
      </c>
      <c r="BB302" s="34" t="str">
        <f>IF(AND(G302=1,L302=0),F302,"")</f>
        <v/>
      </c>
      <c r="BC302" s="33">
        <f>IF(E302=1,IF(Orders!R299&gt;3,1,0),"")</f>
        <v>0</v>
      </c>
      <c r="BD302" s="33">
        <f>IF(E302=1,IF(Orders!R299&gt;7,1,0),"")</f>
        <v>0</v>
      </c>
      <c r="BE302" s="32" t="str">
        <f>IF(E302=1,IF(Orders!L299&lt;=1.5,"Up to 1.5 km",IF(Orders!L299&lt;=3,"1.5–3 km","Over 3 km")),"")</f>
        <v>1.5–3 km</v>
      </c>
      <c r="BF302" s="33">
        <f>IF(E302=1,IF(ABS((Orders!G299-Orders!F299)*1440-Orders!R299)&lt;0.06,1,0),"")</f>
        <v>1</v>
      </c>
      <c r="BG302" s="33">
        <f>IF(ABS((Orders!F299-Orders!E299)*1440-Orders!P299)&lt;0.06,1,0)</f>
        <v>1</v>
      </c>
      <c r="BH302" s="33">
        <f>IF(E302=1,IF(IF(Orders!S299,1,0)=1-G302,1,0),"")</f>
        <v>1</v>
      </c>
      <c r="BI302" s="32" t="str">
        <f>INDEX(Stores!$B$2:$B$21,MATCH(B302,Stores!$A$2:$A$21,0))</f>
        <v>Pune</v>
      </c>
    </row>
    <row r="303">
      <c r="A303" s="32" t="str">
        <f>Orders!A300</f>
        <v>O00299</v>
      </c>
      <c r="B303" s="32" t="str">
        <f>Orders!C300</f>
        <v>S004</v>
      </c>
      <c r="C303" s="32" t="str">
        <f>Orders!B300</f>
        <v>C0069</v>
      </c>
      <c r="D303" s="32" t="str">
        <f>Orders!H300</f>
        <v>Delivered</v>
      </c>
      <c r="E303" s="33">
        <f>IF(Orders!H300="Delivered",1,0)</f>
        <v>1</v>
      </c>
      <c r="F303" s="34">
        <f>IF(E303=1,Orders!R300,"")</f>
        <v>-1.1</v>
      </c>
      <c r="G303" s="33">
        <f>IF(E303=1,IF(Orders!R300&gt;0,1,0),"")</f>
        <v>0</v>
      </c>
      <c r="H303" s="33">
        <f>IF(E303=1,IF(Orders!R300&gt;5,1,0),"")</f>
        <v>0</v>
      </c>
      <c r="I303" s="32" t="str">
        <f>IF(E303=1,"",IF(OR(Orders!T300="Rider unavailable",Orders!T300="Item unavailable"),"Company-caused","Unresolved"))</f>
        <v/>
      </c>
      <c r="J303" s="33">
        <f>IF(OR(E303=1,I303="Company-caused"),1,0)</f>
        <v>1</v>
      </c>
      <c r="K303" s="32" t="str">
        <f>IF(E303=0,IF(I303="Company-caused",IF(Orders!T300="Rider unavailable","C1 Rider unavailable","C2 Item unavailable"),"Outside root: unresolved"),IF(G303=0,"A On time",IF(H303=1,IF(L303=1,"B2a Severe, peak","B2b Severe, off-peak"),IF(L303=1,"B1a Slight, peak","B1b Slight, off-peak"))))</f>
        <v>A On time</v>
      </c>
      <c r="L303" s="33">
        <f>IF(AND(Orders!U300&gt;=19,Orders!U300&lt;22),1,0)</f>
        <v>1</v>
      </c>
      <c r="M303" s="33">
        <f>IF(L303=IF(Orders!V300,1,0),1,0)</f>
        <v>1</v>
      </c>
      <c r="N303" s="32" t="str">
        <f>IF(Orders!W300="","None",Orders!W300)</f>
        <v>None</v>
      </c>
      <c r="O303" s="35">
        <f>INT(Orders!E300)</f>
        <v>46275.0</v>
      </c>
      <c r="P303" s="33">
        <f>Orders!U300</f>
        <v>20</v>
      </c>
      <c r="Q303" s="33">
        <f>COUNTIFS(Demand!$A$2:$A$4481,B303,Demand!$B$2:$B$4481,O303,Demand!$C$2:$C$4481,P303)</f>
        <v>1</v>
      </c>
      <c r="R303" s="33">
        <f>IF(Q303=1,SUMIFS(Demand!$E$2:$E$4481,Demand!$A$2:$A$4481,B303,Demand!$B$2:$B$4481,O303,Demand!$C$2:$C$4481,P303),"")</f>
        <v>63</v>
      </c>
      <c r="S303" s="33">
        <f>INDEX(Stores!$G$2:$G$21,MATCH(B303,Stores!$A$2:$A$21,0))</f>
        <v>42</v>
      </c>
      <c r="T303" s="34">
        <f>IF(R303="","",R303/S303)</f>
        <v>1.5</v>
      </c>
      <c r="U303" s="34">
        <f>IF(E303=1,T303,"")</f>
        <v>1.5</v>
      </c>
      <c r="V303" s="34" t="str">
        <f>IF(AND(E303=1,L303=0),T303,"")</f>
        <v/>
      </c>
      <c r="W303" s="33">
        <f>IF(U303="","",IF(U303&lt;=Breakdowns!$C$5,1,IF(U303&lt;=Breakdowns!$C$6,2,IF(U303&lt;=Breakdowns!$C$7,3,4))))</f>
        <v>4</v>
      </c>
      <c r="X303" s="33" t="str">
        <f>IF(V303="","",IF(V303&lt;=Breakdowns!$D$5,1,IF(V303&lt;=Breakdowns!$D$6,2,IF(V303&lt;=Breakdowns!$D$7,3,4))))</f>
        <v/>
      </c>
      <c r="Y303" s="34">
        <f>INDEX(Stores!$F$2:$F$21,MATCH(B303,Stores!$A$2:$A$21,0))</f>
        <v>2.19</v>
      </c>
      <c r="Z303" s="33">
        <f>IF(Y303&gt;Store_Summary!$M$2,1,0)</f>
        <v>0</v>
      </c>
      <c r="AA303" s="33">
        <f>INDEX(Stores!$C$2:$C$21,MATCH(B303,Stores!$A$2:$A$21,0))</f>
        <v>850</v>
      </c>
      <c r="AB303" s="33">
        <f>IF(AA303&lt;180,1,0)</f>
        <v>0</v>
      </c>
      <c r="AC303" s="32" t="str">
        <f>IF(Orders!D300="","",INDEX(Riders!$C$2:$C$81,MATCH(Orders!D300,Riders!$A$2:$A$81,0)))</f>
        <v>EV scooter</v>
      </c>
      <c r="AD303" s="33">
        <f>IF(Orders!D300="","",INDEX(Riders!$D$2:$D$81,MATCH(Orders!D300,Riders!$A$2:$A$81,0)))</f>
        <v>45</v>
      </c>
      <c r="AE303" s="33">
        <f>IF(Orders!D300="","",IF(INDEX(Riders!$B$2:$B$81,MATCH(Orders!D300,Riders!$A$2:$A$81,0))=B303,1,0))</f>
        <v>0</v>
      </c>
      <c r="AF303" s="34">
        <f>IF(E303=1,Orders!L300,"")</f>
        <v>2.79</v>
      </c>
      <c r="AG303" s="34">
        <f>IF(E303=1,Orders!P300,"")</f>
        <v>10.2</v>
      </c>
      <c r="AH303" s="34">
        <f>IF(E303=1,Orders!Q300,"")</f>
        <v>9.1</v>
      </c>
      <c r="AI303" s="34">
        <f>IF(E303=1,Orders!M300,"")</f>
        <v>1.8</v>
      </c>
      <c r="AJ303" s="34">
        <f>IF(E303=1,Orders!N300,"")</f>
        <v>3.5</v>
      </c>
      <c r="AK303" s="34">
        <f>IF(E303=1,Orders!O300,"")</f>
        <v>3.8</v>
      </c>
      <c r="AL303" s="33">
        <f>IF(E303=1,IF(ROUND(ABS(AI303+AJ303+AK303-AH303),6)&lt;=0.1,1,0),"")</f>
        <v>1</v>
      </c>
      <c r="AM303" s="36">
        <f>IF(E303=1,AI303/AH303,"")</f>
        <v>0.197802197802198</v>
      </c>
      <c r="AN303" s="36">
        <f>IF(E303=1,AJ303/AH303,"")</f>
        <v>0.384615384615385</v>
      </c>
      <c r="AO303" s="36">
        <f>IF(E303=1,AK303/AH303,"")</f>
        <v>0.417582417582418</v>
      </c>
      <c r="AP303" s="34">
        <f>IF(E303=1,Orders!Y300,"")</f>
        <v>0.8</v>
      </c>
      <c r="AQ303" s="33">
        <f>IF(Orders!X300,1,0)</f>
        <v>0</v>
      </c>
      <c r="AR303" s="34">
        <f>IF(AND(E303=1,L303=1),AJ303,"")</f>
        <v>3.5</v>
      </c>
      <c r="AS303" s="34" t="str">
        <f>IF(AND(E303=1,L303=0),AJ303,"")</f>
        <v/>
      </c>
      <c r="AT303" s="34">
        <f>IF(AND(E303=1,L303=1),AI303,"")</f>
        <v>1.8</v>
      </c>
      <c r="AU303" s="34" t="str">
        <f>IF(AND(E303=1,L303=0),AI303,"")</f>
        <v/>
      </c>
      <c r="AV303" s="34">
        <f>IF(AND(E303=1,L303=1),AG303,"")</f>
        <v>10.2</v>
      </c>
      <c r="AW303" s="34" t="str">
        <f>IF(AND(E303=1,L303=0),AG303,"")</f>
        <v/>
      </c>
      <c r="AX303" s="34">
        <f>IF(AND(E303=1,L303=1),AH303,"")</f>
        <v>9.1</v>
      </c>
      <c r="AY303" s="34" t="str">
        <f>IF(AND(E303=1,L303=0),AH303,"")</f>
        <v/>
      </c>
      <c r="AZ303" s="34" t="str">
        <f>IF(G303=1,F303,"")</f>
        <v/>
      </c>
      <c r="BA303" s="34" t="str">
        <f>IF(AND(G303=1,L303=1),F303,"")</f>
        <v/>
      </c>
      <c r="BB303" s="34" t="str">
        <f>IF(AND(G303=1,L303=0),F303,"")</f>
        <v/>
      </c>
      <c r="BC303" s="33">
        <f>IF(E303=1,IF(Orders!R300&gt;3,1,0),"")</f>
        <v>0</v>
      </c>
      <c r="BD303" s="33">
        <f>IF(E303=1,IF(Orders!R300&gt;7,1,0),"")</f>
        <v>0</v>
      </c>
      <c r="BE303" s="32" t="str">
        <f>IF(E303=1,IF(Orders!L300&lt;=1.5,"Up to 1.5 km",IF(Orders!L300&lt;=3,"1.5–3 km","Over 3 km")),"")</f>
        <v>1.5–3 km</v>
      </c>
      <c r="BF303" s="33">
        <f>IF(E303=1,IF(ABS((Orders!G300-Orders!F300)*1440-Orders!R300)&lt;0.06,1,0),"")</f>
        <v>1</v>
      </c>
      <c r="BG303" s="33">
        <f>IF(ABS((Orders!F300-Orders!E300)*1440-Orders!P300)&lt;0.06,1,0)</f>
        <v>1</v>
      </c>
      <c r="BH303" s="33">
        <f>IF(E303=1,IF(IF(Orders!S300,1,0)=1-G303,1,0),"")</f>
        <v>1</v>
      </c>
      <c r="BI303" s="32" t="str">
        <f>INDEX(Stores!$B$2:$B$21,MATCH(B303,Stores!$A$2:$A$21,0))</f>
        <v>Pune</v>
      </c>
    </row>
    <row r="304">
      <c r="A304" s="32" t="str">
        <f>Orders!A301</f>
        <v>O00300</v>
      </c>
      <c r="B304" s="32" t="str">
        <f>Orders!C301</f>
        <v>S007</v>
      </c>
      <c r="C304" s="32" t="str">
        <f>Orders!B301</f>
        <v>C0220</v>
      </c>
      <c r="D304" s="32" t="str">
        <f>Orders!H301</f>
        <v>Delivered</v>
      </c>
      <c r="E304" s="33">
        <f>IF(Orders!H301="Delivered",1,0)</f>
        <v>1</v>
      </c>
      <c r="F304" s="34">
        <f>IF(E304=1,Orders!R301,"")</f>
        <v>1.4</v>
      </c>
      <c r="G304" s="33">
        <f>IF(E304=1,IF(Orders!R301&gt;0,1,0),"")</f>
        <v>1</v>
      </c>
      <c r="H304" s="33">
        <f>IF(E304=1,IF(Orders!R301&gt;5,1,0),"")</f>
        <v>0</v>
      </c>
      <c r="I304" s="32" t="str">
        <f>IF(E304=1,"",IF(OR(Orders!T301="Rider unavailable",Orders!T301="Item unavailable"),"Company-caused","Unresolved"))</f>
        <v/>
      </c>
      <c r="J304" s="33">
        <f>IF(OR(E304=1,I304="Company-caused"),1,0)</f>
        <v>1</v>
      </c>
      <c r="K304" s="32" t="str">
        <f>IF(E304=0,IF(I304="Company-caused",IF(Orders!T301="Rider unavailable","C1 Rider unavailable","C2 Item unavailable"),"Outside root: unresolved"),IF(G304=0,"A On time",IF(H304=1,IF(L304=1,"B2a Severe, peak","B2b Severe, off-peak"),IF(L304=1,"B1a Slight, peak","B1b Slight, off-peak"))))</f>
        <v>B1b Slight, off-peak</v>
      </c>
      <c r="L304" s="33">
        <f>IF(AND(Orders!U301&gt;=19,Orders!U301&lt;22),1,0)</f>
        <v>0</v>
      </c>
      <c r="M304" s="33">
        <f>IF(L304=IF(Orders!V301,1,0),1,0)</f>
        <v>1</v>
      </c>
      <c r="N304" s="32" t="str">
        <f>IF(Orders!W301="","None",Orders!W301)</f>
        <v>None</v>
      </c>
      <c r="O304" s="35">
        <f>INT(Orders!E301)</f>
        <v>46270.0</v>
      </c>
      <c r="P304" s="33">
        <f>Orders!U301</f>
        <v>10</v>
      </c>
      <c r="Q304" s="33">
        <f>COUNTIFS(Demand!$A$2:$A$4481,B304,Demand!$B$2:$B$4481,O304,Demand!$C$2:$C$4481,P304)</f>
        <v>1</v>
      </c>
      <c r="R304" s="33">
        <f>IF(Q304=1,SUMIFS(Demand!$E$2:$E$4481,Demand!$A$2:$A$4481,B304,Demand!$B$2:$B$4481,O304,Demand!$C$2:$C$4481,P304),"")</f>
        <v>30</v>
      </c>
      <c r="S304" s="33">
        <f>INDEX(Stores!$G$2:$G$21,MATCH(B304,Stores!$A$2:$A$21,0))</f>
        <v>37</v>
      </c>
      <c r="T304" s="34">
        <f>IF(R304="","",R304/S304)</f>
        <v>0.810810810810811</v>
      </c>
      <c r="U304" s="34">
        <f>IF(E304=1,T304,"")</f>
        <v>0.810810810810811</v>
      </c>
      <c r="V304" s="34">
        <f>IF(AND(E304=1,L304=0),T304,"")</f>
        <v>0.810810810810811</v>
      </c>
      <c r="W304" s="33">
        <f>IF(U304="","",IF(U304&lt;=Breakdowns!$C$5,1,IF(U304&lt;=Breakdowns!$C$6,2,IF(U304&lt;=Breakdowns!$C$7,3,4))))</f>
        <v>2</v>
      </c>
      <c r="X304" s="33">
        <f>IF(V304="","",IF(V304&lt;=Breakdowns!$D$5,1,IF(V304&lt;=Breakdowns!$D$6,2,IF(V304&lt;=Breakdowns!$D$7,3,4))))</f>
        <v>2</v>
      </c>
      <c r="Y304" s="34">
        <f>INDEX(Stores!$F$2:$F$21,MATCH(B304,Stores!$A$2:$A$21,0))</f>
        <v>4.05</v>
      </c>
      <c r="Z304" s="33">
        <f>IF(Y304&gt;Store_Summary!$M$2,1,0)</f>
        <v>0</v>
      </c>
      <c r="AA304" s="33">
        <f>INDEX(Stores!$C$2:$C$21,MATCH(B304,Stores!$A$2:$A$21,0))</f>
        <v>661</v>
      </c>
      <c r="AB304" s="33">
        <f>IF(AA304&lt;180,1,0)</f>
        <v>0</v>
      </c>
      <c r="AC304" s="32" t="str">
        <f>IF(Orders!D301="","",INDEX(Riders!$C$2:$C$81,MATCH(Orders!D301,Riders!$A$2:$A$81,0)))</f>
        <v>Petrol scooter</v>
      </c>
      <c r="AD304" s="33">
        <f>IF(Orders!D301="","",INDEX(Riders!$D$2:$D$81,MATCH(Orders!D301,Riders!$A$2:$A$81,0)))</f>
        <v>29</v>
      </c>
      <c r="AE304" s="33">
        <f>IF(Orders!D301="","",IF(INDEX(Riders!$B$2:$B$81,MATCH(Orders!D301,Riders!$A$2:$A$81,0))=B304,1,0))</f>
        <v>0</v>
      </c>
      <c r="AF304" s="34">
        <f>IF(E304=1,Orders!L301,"")</f>
        <v>2.78</v>
      </c>
      <c r="AG304" s="34">
        <f>IF(E304=1,Orders!P301,"")</f>
        <v>10.7</v>
      </c>
      <c r="AH304" s="34">
        <f>IF(E304=1,Orders!Q301,"")</f>
        <v>12.1</v>
      </c>
      <c r="AI304" s="34">
        <f>IF(E304=1,Orders!M301,"")</f>
        <v>3.6</v>
      </c>
      <c r="AJ304" s="34">
        <f>IF(E304=1,Orders!N301,"")</f>
        <v>1.9</v>
      </c>
      <c r="AK304" s="34">
        <f>IF(E304=1,Orders!O301,"")</f>
        <v>6.7</v>
      </c>
      <c r="AL304" s="33">
        <f>IF(E304=1,IF(ROUND(ABS(AI304+AJ304+AK304-AH304),6)&lt;=0.1,1,0),"")</f>
        <v>1</v>
      </c>
      <c r="AM304" s="36">
        <f>IF(E304=1,AI304/AH304,"")</f>
        <v>0.297520661157025</v>
      </c>
      <c r="AN304" s="36">
        <f>IF(E304=1,AJ304/AH304,"")</f>
        <v>0.15702479338843</v>
      </c>
      <c r="AO304" s="36">
        <f>IF(E304=1,AK304/AH304,"")</f>
        <v>0.553719008264463</v>
      </c>
      <c r="AP304" s="34">
        <f>IF(E304=1,Orders!Y301,"")</f>
        <v>0.44</v>
      </c>
      <c r="AQ304" s="33">
        <f>IF(Orders!X301,1,0)</f>
        <v>0</v>
      </c>
      <c r="AR304" s="34" t="str">
        <f>IF(AND(E304=1,L304=1),AJ304,"")</f>
        <v/>
      </c>
      <c r="AS304" s="34">
        <f>IF(AND(E304=1,L304=0),AJ304,"")</f>
        <v>1.9</v>
      </c>
      <c r="AT304" s="34" t="str">
        <f>IF(AND(E304=1,L304=1),AI304,"")</f>
        <v/>
      </c>
      <c r="AU304" s="34">
        <f>IF(AND(E304=1,L304=0),AI304,"")</f>
        <v>3.6</v>
      </c>
      <c r="AV304" s="34" t="str">
        <f>IF(AND(E304=1,L304=1),AG304,"")</f>
        <v/>
      </c>
      <c r="AW304" s="34">
        <f>IF(AND(E304=1,L304=0),AG304,"")</f>
        <v>10.7</v>
      </c>
      <c r="AX304" s="34" t="str">
        <f>IF(AND(E304=1,L304=1),AH304,"")</f>
        <v/>
      </c>
      <c r="AY304" s="34">
        <f>IF(AND(E304=1,L304=0),AH304,"")</f>
        <v>12.1</v>
      </c>
      <c r="AZ304" s="34">
        <f>IF(G304=1,F304,"")</f>
        <v>1.4</v>
      </c>
      <c r="BA304" s="34" t="str">
        <f>IF(AND(G304=1,L304=1),F304,"")</f>
        <v/>
      </c>
      <c r="BB304" s="34">
        <f>IF(AND(G304=1,L304=0),F304,"")</f>
        <v>1.4</v>
      </c>
      <c r="BC304" s="33">
        <f>IF(E304=1,IF(Orders!R301&gt;3,1,0),"")</f>
        <v>0</v>
      </c>
      <c r="BD304" s="33">
        <f>IF(E304=1,IF(Orders!R301&gt;7,1,0),"")</f>
        <v>0</v>
      </c>
      <c r="BE304" s="32" t="str">
        <f>IF(E304=1,IF(Orders!L301&lt;=1.5,"Up to 1.5 km",IF(Orders!L301&lt;=3,"1.5–3 km","Over 3 km")),"")</f>
        <v>1.5–3 km</v>
      </c>
      <c r="BF304" s="33">
        <f>IF(E304=1,IF(ABS((Orders!G301-Orders!F301)*1440-Orders!R301)&lt;0.06,1,0),"")</f>
        <v>1</v>
      </c>
      <c r="BG304" s="33">
        <f>IF(ABS((Orders!F301-Orders!E301)*1440-Orders!P301)&lt;0.06,1,0)</f>
        <v>1</v>
      </c>
      <c r="BH304" s="33">
        <f>IF(E304=1,IF(IF(Orders!S301,1,0)=1-G304,1,0),"")</f>
        <v>1</v>
      </c>
      <c r="BI304" s="32" t="str">
        <f>INDEX(Stores!$B$2:$B$21,MATCH(B304,Stores!$A$2:$A$21,0))</f>
        <v>Hyderabad</v>
      </c>
    </row>
    <row r="305">
      <c r="A305" s="32" t="str">
        <f>Orders!A302</f>
        <v>O00301</v>
      </c>
      <c r="B305" s="32" t="str">
        <f>Orders!C302</f>
        <v>S014</v>
      </c>
      <c r="C305" s="32" t="str">
        <f>Orders!B302</f>
        <v>C0025</v>
      </c>
      <c r="D305" s="32" t="str">
        <f>Orders!H302</f>
        <v>Delivered</v>
      </c>
      <c r="E305" s="33">
        <f>IF(Orders!H302="Delivered",1,0)</f>
        <v>1</v>
      </c>
      <c r="F305" s="34">
        <f>IF(E305=1,Orders!R302,"")</f>
        <v>-0.2</v>
      </c>
      <c r="G305" s="33">
        <f>IF(E305=1,IF(Orders!R302&gt;0,1,0),"")</f>
        <v>0</v>
      </c>
      <c r="H305" s="33">
        <f>IF(E305=1,IF(Orders!R302&gt;5,1,0),"")</f>
        <v>0</v>
      </c>
      <c r="I305" s="32" t="str">
        <f>IF(E305=1,"",IF(OR(Orders!T302="Rider unavailable",Orders!T302="Item unavailable"),"Company-caused","Unresolved"))</f>
        <v/>
      </c>
      <c r="J305" s="33">
        <f>IF(OR(E305=1,I305="Company-caused"),1,0)</f>
        <v>1</v>
      </c>
      <c r="K305" s="32" t="str">
        <f>IF(E305=0,IF(I305="Company-caused",IF(Orders!T302="Rider unavailable","C1 Rider unavailable","C2 Item unavailable"),"Outside root: unresolved"),IF(G305=0,"A On time",IF(H305=1,IF(L305=1,"B2a Severe, peak","B2b Severe, off-peak"),IF(L305=1,"B1a Slight, peak","B1b Slight, off-peak"))))</f>
        <v>A On time</v>
      </c>
      <c r="L305" s="33">
        <f>IF(AND(Orders!U302&gt;=19,Orders!U302&lt;22),1,0)</f>
        <v>0</v>
      </c>
      <c r="M305" s="33">
        <f>IF(L305=IF(Orders!V302,1,0),1,0)</f>
        <v>1</v>
      </c>
      <c r="N305" s="32" t="str">
        <f>IF(Orders!W302="","None",Orders!W302)</f>
        <v>None</v>
      </c>
      <c r="O305" s="35">
        <f>INT(Orders!E302)</f>
        <v>46266.0</v>
      </c>
      <c r="P305" s="33">
        <f>Orders!U302</f>
        <v>12</v>
      </c>
      <c r="Q305" s="33">
        <f>COUNTIFS(Demand!$A$2:$A$4481,B305,Demand!$B$2:$B$4481,O305,Demand!$C$2:$C$4481,P305)</f>
        <v>1</v>
      </c>
      <c r="R305" s="33">
        <f>IF(Q305=1,SUMIFS(Demand!$E$2:$E$4481,Demand!$A$2:$A$4481,B305,Demand!$B$2:$B$4481,O305,Demand!$C$2:$C$4481,P305),"")</f>
        <v>41</v>
      </c>
      <c r="S305" s="33">
        <f>INDEX(Stores!$G$2:$G$21,MATCH(B305,Stores!$A$2:$A$21,0))</f>
        <v>37</v>
      </c>
      <c r="T305" s="34">
        <f>IF(R305="","",R305/S305)</f>
        <v>1.10810810810811</v>
      </c>
      <c r="U305" s="34">
        <f>IF(E305=1,T305,"")</f>
        <v>1.10810810810811</v>
      </c>
      <c r="V305" s="34">
        <f>IF(AND(E305=1,L305=0),T305,"")</f>
        <v>1.10810810810811</v>
      </c>
      <c r="W305" s="33">
        <f>IF(U305="","",IF(U305&lt;=Breakdowns!$C$5,1,IF(U305&lt;=Breakdowns!$C$6,2,IF(U305&lt;=Breakdowns!$C$7,3,4))))</f>
        <v>3</v>
      </c>
      <c r="X305" s="33">
        <f>IF(V305="","",IF(V305&lt;=Breakdowns!$D$5,1,IF(V305&lt;=Breakdowns!$D$6,2,IF(V305&lt;=Breakdowns!$D$7,3,4))))</f>
        <v>4</v>
      </c>
      <c r="Y305" s="34">
        <f>INDEX(Stores!$F$2:$F$21,MATCH(B305,Stores!$A$2:$A$21,0))</f>
        <v>5.55</v>
      </c>
      <c r="Z305" s="33">
        <f>IF(Y305&gt;Store_Summary!$M$2,1,0)</f>
        <v>1</v>
      </c>
      <c r="AA305" s="33">
        <f>INDEX(Stores!$C$2:$C$21,MATCH(B305,Stores!$A$2:$A$21,0))</f>
        <v>241</v>
      </c>
      <c r="AB305" s="33">
        <f>IF(AA305&lt;180,1,0)</f>
        <v>0</v>
      </c>
      <c r="AC305" s="32" t="str">
        <f>IF(Orders!D302="","",INDEX(Riders!$C$2:$C$81,MATCH(Orders!D302,Riders!$A$2:$A$81,0)))</f>
        <v>EV scooter</v>
      </c>
      <c r="AD305" s="33">
        <f>IF(Orders!D302="","",INDEX(Riders!$D$2:$D$81,MATCH(Orders!D302,Riders!$A$2:$A$81,0)))</f>
        <v>45</v>
      </c>
      <c r="AE305" s="33">
        <f>IF(Orders!D302="","",IF(INDEX(Riders!$B$2:$B$81,MATCH(Orders!D302,Riders!$A$2:$A$81,0))=B305,1,0))</f>
        <v>0</v>
      </c>
      <c r="AF305" s="34">
        <f>IF(E305=1,Orders!L302,"")</f>
        <v>3.3</v>
      </c>
      <c r="AG305" s="34">
        <f>IF(E305=1,Orders!P302,"")</f>
        <v>10.9</v>
      </c>
      <c r="AH305" s="34">
        <f>IF(E305=1,Orders!Q302,"")</f>
        <v>10.7</v>
      </c>
      <c r="AI305" s="34">
        <f>IF(E305=1,Orders!M302,"")</f>
        <v>4.1</v>
      </c>
      <c r="AJ305" s="34">
        <f>IF(E305=1,Orders!N302,"")</f>
        <v>2.2</v>
      </c>
      <c r="AK305" s="34">
        <f>IF(E305=1,Orders!O302,"")</f>
        <v>4.4</v>
      </c>
      <c r="AL305" s="33">
        <f>IF(E305=1,IF(ROUND(ABS(AI305+AJ305+AK305-AH305),6)&lt;=0.1,1,0),"")</f>
        <v>1</v>
      </c>
      <c r="AM305" s="36">
        <f>IF(E305=1,AI305/AH305,"")</f>
        <v>0.383177570093458</v>
      </c>
      <c r="AN305" s="36">
        <f>IF(E305=1,AJ305/AH305,"")</f>
        <v>0.205607476635514</v>
      </c>
      <c r="AO305" s="36">
        <f>IF(E305=1,AK305/AH305,"")</f>
        <v>0.411214953271028</v>
      </c>
      <c r="AP305" s="34">
        <f>IF(E305=1,Orders!Y302,"")</f>
        <v>0.06</v>
      </c>
      <c r="AQ305" s="33">
        <f>IF(Orders!X302,1,0)</f>
        <v>0</v>
      </c>
      <c r="AR305" s="34" t="str">
        <f>IF(AND(E305=1,L305=1),AJ305,"")</f>
        <v/>
      </c>
      <c r="AS305" s="34">
        <f>IF(AND(E305=1,L305=0),AJ305,"")</f>
        <v>2.2</v>
      </c>
      <c r="AT305" s="34" t="str">
        <f>IF(AND(E305=1,L305=1),AI305,"")</f>
        <v/>
      </c>
      <c r="AU305" s="34">
        <f>IF(AND(E305=1,L305=0),AI305,"")</f>
        <v>4.1</v>
      </c>
      <c r="AV305" s="34" t="str">
        <f>IF(AND(E305=1,L305=1),AG305,"")</f>
        <v/>
      </c>
      <c r="AW305" s="34">
        <f>IF(AND(E305=1,L305=0),AG305,"")</f>
        <v>10.9</v>
      </c>
      <c r="AX305" s="34" t="str">
        <f>IF(AND(E305=1,L305=1),AH305,"")</f>
        <v/>
      </c>
      <c r="AY305" s="34">
        <f>IF(AND(E305=1,L305=0),AH305,"")</f>
        <v>10.7</v>
      </c>
      <c r="AZ305" s="34" t="str">
        <f>IF(G305=1,F305,"")</f>
        <v/>
      </c>
      <c r="BA305" s="34" t="str">
        <f>IF(AND(G305=1,L305=1),F305,"")</f>
        <v/>
      </c>
      <c r="BB305" s="34" t="str">
        <f>IF(AND(G305=1,L305=0),F305,"")</f>
        <v/>
      </c>
      <c r="BC305" s="33">
        <f>IF(E305=1,IF(Orders!R302&gt;3,1,0),"")</f>
        <v>0</v>
      </c>
      <c r="BD305" s="33">
        <f>IF(E305=1,IF(Orders!R302&gt;7,1,0),"")</f>
        <v>0</v>
      </c>
      <c r="BE305" s="32" t="str">
        <f>IF(E305=1,IF(Orders!L302&lt;=1.5,"Up to 1.5 km",IF(Orders!L302&lt;=3,"1.5–3 km","Over 3 km")),"")</f>
        <v>Over 3 km</v>
      </c>
      <c r="BF305" s="33">
        <f>IF(E305=1,IF(ABS((Orders!G302-Orders!F302)*1440-Orders!R302)&lt;0.06,1,0),"")</f>
        <v>1</v>
      </c>
      <c r="BG305" s="33">
        <f>IF(ABS((Orders!F302-Orders!E302)*1440-Orders!P302)&lt;0.06,1,0)</f>
        <v>1</v>
      </c>
      <c r="BH305" s="33">
        <f>IF(E305=1,IF(IF(Orders!S302,1,0)=1-G305,1,0),"")</f>
        <v>1</v>
      </c>
      <c r="BI305" s="32" t="str">
        <f>INDEX(Stores!$B$2:$B$21,MATCH(B305,Stores!$A$2:$A$21,0))</f>
        <v>Pune</v>
      </c>
    </row>
    <row r="306">
      <c r="A306" s="32" t="str">
        <f>Orders!A303</f>
        <v>O00302</v>
      </c>
      <c r="B306" s="32" t="str">
        <f>Orders!C303</f>
        <v>S002</v>
      </c>
      <c r="C306" s="32" t="str">
        <f>Orders!B303</f>
        <v>C0223</v>
      </c>
      <c r="D306" s="32" t="str">
        <f>Orders!H303</f>
        <v>Delivered</v>
      </c>
      <c r="E306" s="33">
        <f>IF(Orders!H303="Delivered",1,0)</f>
        <v>1</v>
      </c>
      <c r="F306" s="34">
        <f>IF(E306=1,Orders!R303,"")</f>
        <v>-3.2</v>
      </c>
      <c r="G306" s="33">
        <f>IF(E306=1,IF(Orders!R303&gt;0,1,0),"")</f>
        <v>0</v>
      </c>
      <c r="H306" s="33">
        <f>IF(E306=1,IF(Orders!R303&gt;5,1,0),"")</f>
        <v>0</v>
      </c>
      <c r="I306" s="32" t="str">
        <f>IF(E306=1,"",IF(OR(Orders!T303="Rider unavailable",Orders!T303="Item unavailable"),"Company-caused","Unresolved"))</f>
        <v/>
      </c>
      <c r="J306" s="33">
        <f>IF(OR(E306=1,I306="Company-caused"),1,0)</f>
        <v>1</v>
      </c>
      <c r="K306" s="32" t="str">
        <f>IF(E306=0,IF(I306="Company-caused",IF(Orders!T303="Rider unavailable","C1 Rider unavailable","C2 Item unavailable"),"Outside root: unresolved"),IF(G306=0,"A On time",IF(H306=1,IF(L306=1,"B2a Severe, peak","B2b Severe, off-peak"),IF(L306=1,"B1a Slight, peak","B1b Slight, off-peak"))))</f>
        <v>A On time</v>
      </c>
      <c r="L306" s="33">
        <f>IF(AND(Orders!U303&gt;=19,Orders!U303&lt;22),1,0)</f>
        <v>0</v>
      </c>
      <c r="M306" s="33">
        <f>IF(L306=IF(Orders!V303,1,0),1,0)</f>
        <v>1</v>
      </c>
      <c r="N306" s="32" t="str">
        <f>IF(Orders!W303="","None",Orders!W303)</f>
        <v>Light</v>
      </c>
      <c r="O306" s="35">
        <f>INT(Orders!E303)</f>
        <v>46266.0</v>
      </c>
      <c r="P306" s="33">
        <f>Orders!U303</f>
        <v>9</v>
      </c>
      <c r="Q306" s="33">
        <f>COUNTIFS(Demand!$A$2:$A$4481,B306,Demand!$B$2:$B$4481,O306,Demand!$C$2:$C$4481,P306)</f>
        <v>1</v>
      </c>
      <c r="R306" s="33">
        <f>IF(Q306=1,SUMIFS(Demand!$E$2:$E$4481,Demand!$A$2:$A$4481,B306,Demand!$B$2:$B$4481,O306,Demand!$C$2:$C$4481,P306),"")</f>
        <v>28</v>
      </c>
      <c r="S306" s="33">
        <f>INDEX(Stores!$G$2:$G$21,MATCH(B306,Stores!$A$2:$A$21,0))</f>
        <v>33</v>
      </c>
      <c r="T306" s="34">
        <f>IF(R306="","",R306/S306)</f>
        <v>0.848484848484849</v>
      </c>
      <c r="U306" s="34">
        <f>IF(E306=1,T306,"")</f>
        <v>0.848484848484849</v>
      </c>
      <c r="V306" s="34">
        <f>IF(AND(E306=1,L306=0),T306,"")</f>
        <v>0.848484848484849</v>
      </c>
      <c r="W306" s="33">
        <f>IF(U306="","",IF(U306&lt;=Breakdowns!$C$5,1,IF(U306&lt;=Breakdowns!$C$6,2,IF(U306&lt;=Breakdowns!$C$7,3,4))))</f>
        <v>2</v>
      </c>
      <c r="X306" s="33">
        <f>IF(V306="","",IF(V306&lt;=Breakdowns!$D$5,1,IF(V306&lt;=Breakdowns!$D$6,2,IF(V306&lt;=Breakdowns!$D$7,3,4))))</f>
        <v>2</v>
      </c>
      <c r="Y306" s="34">
        <f>INDEX(Stores!$F$2:$F$21,MATCH(B306,Stores!$A$2:$A$21,0))</f>
        <v>2.39</v>
      </c>
      <c r="Z306" s="33">
        <f>IF(Y306&gt;Store_Summary!$M$2,1,0)</f>
        <v>0</v>
      </c>
      <c r="AA306" s="33">
        <f>INDEX(Stores!$C$2:$C$21,MATCH(B306,Stores!$A$2:$A$21,0))</f>
        <v>470</v>
      </c>
      <c r="AB306" s="33">
        <f>IF(AA306&lt;180,1,0)</f>
        <v>0</v>
      </c>
      <c r="AC306" s="32" t="str">
        <f>IF(Orders!D303="","",INDEX(Riders!$C$2:$C$81,MATCH(Orders!D303,Riders!$A$2:$A$81,0)))</f>
        <v>Petrol scooter</v>
      </c>
      <c r="AD306" s="33">
        <f>IF(Orders!D303="","",INDEX(Riders!$D$2:$D$81,MATCH(Orders!D303,Riders!$A$2:$A$81,0)))</f>
        <v>10</v>
      </c>
      <c r="AE306" s="33">
        <f>IF(Orders!D303="","",IF(INDEX(Riders!$B$2:$B$81,MATCH(Orders!D303,Riders!$A$2:$A$81,0))=B306,1,0))</f>
        <v>0</v>
      </c>
      <c r="AF306" s="34">
        <f>IF(E306=1,Orders!L303,"")</f>
        <v>0.5</v>
      </c>
      <c r="AG306" s="34">
        <f>IF(E306=1,Orders!P303,"")</f>
        <v>10</v>
      </c>
      <c r="AH306" s="34">
        <f>IF(E306=1,Orders!Q303,"")</f>
        <v>6.8</v>
      </c>
      <c r="AI306" s="34">
        <f>IF(E306=1,Orders!M303,"")</f>
        <v>2.2</v>
      </c>
      <c r="AJ306" s="34">
        <f>IF(E306=1,Orders!N303,"")</f>
        <v>1.9</v>
      </c>
      <c r="AK306" s="34">
        <f>IF(E306=1,Orders!O303,"")</f>
        <v>2.8</v>
      </c>
      <c r="AL306" s="33">
        <f>IF(E306=1,IF(ROUND(ABS(AI306+AJ306+AK306-AH306),6)&lt;=0.1,1,0),"")</f>
        <v>1</v>
      </c>
      <c r="AM306" s="36">
        <f>IF(E306=1,AI306/AH306,"")</f>
        <v>0.323529411764706</v>
      </c>
      <c r="AN306" s="36">
        <f>IF(E306=1,AJ306/AH306,"")</f>
        <v>0.279411764705882</v>
      </c>
      <c r="AO306" s="36">
        <f>IF(E306=1,AK306/AH306,"")</f>
        <v>0.411764705882353</v>
      </c>
      <c r="AP306" s="34">
        <f>IF(E306=1,Orders!Y303,"")</f>
        <v>0.35</v>
      </c>
      <c r="AQ306" s="33">
        <f>IF(Orders!X303,1,0)</f>
        <v>0</v>
      </c>
      <c r="AR306" s="34" t="str">
        <f>IF(AND(E306=1,L306=1),AJ306,"")</f>
        <v/>
      </c>
      <c r="AS306" s="34">
        <f>IF(AND(E306=1,L306=0),AJ306,"")</f>
        <v>1.9</v>
      </c>
      <c r="AT306" s="34" t="str">
        <f>IF(AND(E306=1,L306=1),AI306,"")</f>
        <v/>
      </c>
      <c r="AU306" s="34">
        <f>IF(AND(E306=1,L306=0),AI306,"")</f>
        <v>2.2</v>
      </c>
      <c r="AV306" s="34" t="str">
        <f>IF(AND(E306=1,L306=1),AG306,"")</f>
        <v/>
      </c>
      <c r="AW306" s="34">
        <f>IF(AND(E306=1,L306=0),AG306,"")</f>
        <v>10</v>
      </c>
      <c r="AX306" s="34" t="str">
        <f>IF(AND(E306=1,L306=1),AH306,"")</f>
        <v/>
      </c>
      <c r="AY306" s="34">
        <f>IF(AND(E306=1,L306=0),AH306,"")</f>
        <v>6.8</v>
      </c>
      <c r="AZ306" s="34" t="str">
        <f>IF(G306=1,F306,"")</f>
        <v/>
      </c>
      <c r="BA306" s="34" t="str">
        <f>IF(AND(G306=1,L306=1),F306,"")</f>
        <v/>
      </c>
      <c r="BB306" s="34" t="str">
        <f>IF(AND(G306=1,L306=0),F306,"")</f>
        <v/>
      </c>
      <c r="BC306" s="33">
        <f>IF(E306=1,IF(Orders!R303&gt;3,1,0),"")</f>
        <v>0</v>
      </c>
      <c r="BD306" s="33">
        <f>IF(E306=1,IF(Orders!R303&gt;7,1,0),"")</f>
        <v>0</v>
      </c>
      <c r="BE306" s="32" t="str">
        <f>IF(E306=1,IF(Orders!L303&lt;=1.5,"Up to 1.5 km",IF(Orders!L303&lt;=3,"1.5–3 km","Over 3 km")),"")</f>
        <v>Up to 1.5 km</v>
      </c>
      <c r="BF306" s="33">
        <f>IF(E306=1,IF(ABS((Orders!G303-Orders!F303)*1440-Orders!R303)&lt;0.06,1,0),"")</f>
        <v>1</v>
      </c>
      <c r="BG306" s="33">
        <f>IF(ABS((Orders!F303-Orders!E303)*1440-Orders!P303)&lt;0.06,1,0)</f>
        <v>1</v>
      </c>
      <c r="BH306" s="33">
        <f>IF(E306=1,IF(IF(Orders!S303,1,0)=1-G306,1,0),"")</f>
        <v>1</v>
      </c>
      <c r="BI306" s="32" t="str">
        <f>INDEX(Stores!$B$2:$B$21,MATCH(B306,Stores!$A$2:$A$21,0))</f>
        <v>Hyderabad</v>
      </c>
    </row>
    <row r="307">
      <c r="A307" s="32" t="str">
        <f>Orders!A304</f>
        <v>O00303</v>
      </c>
      <c r="B307" s="32" t="str">
        <f>Orders!C304</f>
        <v>S007</v>
      </c>
      <c r="C307" s="32" t="str">
        <f>Orders!B304</f>
        <v>C0177</v>
      </c>
      <c r="D307" s="32" t="str">
        <f>Orders!H304</f>
        <v>Delivered</v>
      </c>
      <c r="E307" s="33">
        <f>IF(Orders!H304="Delivered",1,0)</f>
        <v>1</v>
      </c>
      <c r="F307" s="34">
        <f>IF(E307=1,Orders!R304,"")</f>
        <v>8.4</v>
      </c>
      <c r="G307" s="33">
        <f>IF(E307=1,IF(Orders!R304&gt;0,1,0),"")</f>
        <v>1</v>
      </c>
      <c r="H307" s="33">
        <f>IF(E307=1,IF(Orders!R304&gt;5,1,0),"")</f>
        <v>1</v>
      </c>
      <c r="I307" s="32" t="str">
        <f>IF(E307=1,"",IF(OR(Orders!T304="Rider unavailable",Orders!T304="Item unavailable"),"Company-caused","Unresolved"))</f>
        <v/>
      </c>
      <c r="J307" s="33">
        <f>IF(OR(E307=1,I307="Company-caused"),1,0)</f>
        <v>1</v>
      </c>
      <c r="K307" s="32" t="str">
        <f>IF(E307=0,IF(I307="Company-caused",IF(Orders!T304="Rider unavailable","C1 Rider unavailable","C2 Item unavailable"),"Outside root: unresolved"),IF(G307=0,"A On time",IF(H307=1,IF(L307=1,"B2a Severe, peak","B2b Severe, off-peak"),IF(L307=1,"B1a Slight, peak","B1b Slight, off-peak"))))</f>
        <v>B2b Severe, off-peak</v>
      </c>
      <c r="L307" s="33">
        <f>IF(AND(Orders!U304&gt;=19,Orders!U304&lt;22),1,0)</f>
        <v>0</v>
      </c>
      <c r="M307" s="33">
        <f>IF(L307=IF(Orders!V304,1,0),1,0)</f>
        <v>1</v>
      </c>
      <c r="N307" s="32" t="str">
        <f>IF(Orders!W304="","None",Orders!W304)</f>
        <v>Heavy</v>
      </c>
      <c r="O307" s="35">
        <f>INT(Orders!E304)</f>
        <v>46278.0</v>
      </c>
      <c r="P307" s="33">
        <f>Orders!U304</f>
        <v>15</v>
      </c>
      <c r="Q307" s="33">
        <f>COUNTIFS(Demand!$A$2:$A$4481,B307,Demand!$B$2:$B$4481,O307,Demand!$C$2:$C$4481,P307)</f>
        <v>1</v>
      </c>
      <c r="R307" s="33">
        <f>IF(Q307=1,SUMIFS(Demand!$E$2:$E$4481,Demand!$A$2:$A$4481,B307,Demand!$B$2:$B$4481,O307,Demand!$C$2:$C$4481,P307),"")</f>
        <v>24</v>
      </c>
      <c r="S307" s="33">
        <f>INDEX(Stores!$G$2:$G$21,MATCH(B307,Stores!$A$2:$A$21,0))</f>
        <v>37</v>
      </c>
      <c r="T307" s="34">
        <f>IF(R307="","",R307/S307)</f>
        <v>0.648648648648649</v>
      </c>
      <c r="U307" s="34">
        <f>IF(E307=1,T307,"")</f>
        <v>0.648648648648649</v>
      </c>
      <c r="V307" s="34">
        <f>IF(AND(E307=1,L307=0),T307,"")</f>
        <v>0.648648648648649</v>
      </c>
      <c r="W307" s="33">
        <f>IF(U307="","",IF(U307&lt;=Breakdowns!$C$5,1,IF(U307&lt;=Breakdowns!$C$6,2,IF(U307&lt;=Breakdowns!$C$7,3,4))))</f>
        <v>1</v>
      </c>
      <c r="X307" s="33">
        <f>IF(V307="","",IF(V307&lt;=Breakdowns!$D$5,1,IF(V307&lt;=Breakdowns!$D$6,2,IF(V307&lt;=Breakdowns!$D$7,3,4))))</f>
        <v>1</v>
      </c>
      <c r="Y307" s="34">
        <f>INDEX(Stores!$F$2:$F$21,MATCH(B307,Stores!$A$2:$A$21,0))</f>
        <v>4.05</v>
      </c>
      <c r="Z307" s="33">
        <f>IF(Y307&gt;Store_Summary!$M$2,1,0)</f>
        <v>0</v>
      </c>
      <c r="AA307" s="33">
        <f>INDEX(Stores!$C$2:$C$21,MATCH(B307,Stores!$A$2:$A$21,0))</f>
        <v>661</v>
      </c>
      <c r="AB307" s="33">
        <f>IF(AA307&lt;180,1,0)</f>
        <v>0</v>
      </c>
      <c r="AC307" s="32" t="str">
        <f>IF(Orders!D304="","",INDEX(Riders!$C$2:$C$81,MATCH(Orders!D304,Riders!$A$2:$A$81,0)))</f>
        <v>EV scooter</v>
      </c>
      <c r="AD307" s="33">
        <f>IF(Orders!D304="","",INDEX(Riders!$D$2:$D$81,MATCH(Orders!D304,Riders!$A$2:$A$81,0)))</f>
        <v>12</v>
      </c>
      <c r="AE307" s="33">
        <f>IF(Orders!D304="","",IF(INDEX(Riders!$B$2:$B$81,MATCH(Orders!D304,Riders!$A$2:$A$81,0))=B307,1,0))</f>
        <v>0</v>
      </c>
      <c r="AF307" s="34">
        <f>IF(E307=1,Orders!L304,"")</f>
        <v>3.58</v>
      </c>
      <c r="AG307" s="34">
        <f>IF(E307=1,Orders!P304,"")</f>
        <v>11.7</v>
      </c>
      <c r="AH307" s="34">
        <f>IF(E307=1,Orders!Q304,"")</f>
        <v>20.1</v>
      </c>
      <c r="AI307" s="34">
        <f>IF(E307=1,Orders!M304,"")</f>
        <v>4.9</v>
      </c>
      <c r="AJ307" s="34">
        <f>IF(E307=1,Orders!N304,"")</f>
        <v>4.6</v>
      </c>
      <c r="AK307" s="34">
        <f>IF(E307=1,Orders!O304,"")</f>
        <v>10.6</v>
      </c>
      <c r="AL307" s="33">
        <f>IF(E307=1,IF(ROUND(ABS(AI307+AJ307+AK307-AH307),6)&lt;=0.1,1,0),"")</f>
        <v>1</v>
      </c>
      <c r="AM307" s="36">
        <f>IF(E307=1,AI307/AH307,"")</f>
        <v>0.243781094527363</v>
      </c>
      <c r="AN307" s="36">
        <f>IF(E307=1,AJ307/AH307,"")</f>
        <v>0.228855721393035</v>
      </c>
      <c r="AO307" s="36">
        <f>IF(E307=1,AK307/AH307,"")</f>
        <v>0.527363184079602</v>
      </c>
      <c r="AP307" s="34">
        <f>IF(E307=1,Orders!Y304,"")</f>
        <v>0.5</v>
      </c>
      <c r="AQ307" s="33">
        <f>IF(Orders!X304,1,0)</f>
        <v>0</v>
      </c>
      <c r="AR307" s="34" t="str">
        <f>IF(AND(E307=1,L307=1),AJ307,"")</f>
        <v/>
      </c>
      <c r="AS307" s="34">
        <f>IF(AND(E307=1,L307=0),AJ307,"")</f>
        <v>4.6</v>
      </c>
      <c r="AT307" s="34" t="str">
        <f>IF(AND(E307=1,L307=1),AI307,"")</f>
        <v/>
      </c>
      <c r="AU307" s="34">
        <f>IF(AND(E307=1,L307=0),AI307,"")</f>
        <v>4.9</v>
      </c>
      <c r="AV307" s="34" t="str">
        <f>IF(AND(E307=1,L307=1),AG307,"")</f>
        <v/>
      </c>
      <c r="AW307" s="34">
        <f>IF(AND(E307=1,L307=0),AG307,"")</f>
        <v>11.7</v>
      </c>
      <c r="AX307" s="34" t="str">
        <f>IF(AND(E307=1,L307=1),AH307,"")</f>
        <v/>
      </c>
      <c r="AY307" s="34">
        <f>IF(AND(E307=1,L307=0),AH307,"")</f>
        <v>20.1</v>
      </c>
      <c r="AZ307" s="34">
        <f>IF(G307=1,F307,"")</f>
        <v>8.4</v>
      </c>
      <c r="BA307" s="34" t="str">
        <f>IF(AND(G307=1,L307=1),F307,"")</f>
        <v/>
      </c>
      <c r="BB307" s="34">
        <f>IF(AND(G307=1,L307=0),F307,"")</f>
        <v>8.4</v>
      </c>
      <c r="BC307" s="33">
        <f>IF(E307=1,IF(Orders!R304&gt;3,1,0),"")</f>
        <v>1</v>
      </c>
      <c r="BD307" s="33">
        <f>IF(E307=1,IF(Orders!R304&gt;7,1,0),"")</f>
        <v>1</v>
      </c>
      <c r="BE307" s="32" t="str">
        <f>IF(E307=1,IF(Orders!L304&lt;=1.5,"Up to 1.5 km",IF(Orders!L304&lt;=3,"1.5–3 km","Over 3 km")),"")</f>
        <v>Over 3 km</v>
      </c>
      <c r="BF307" s="33">
        <f>IF(E307=1,IF(ABS((Orders!G304-Orders!F304)*1440-Orders!R304)&lt;0.06,1,0),"")</f>
        <v>1</v>
      </c>
      <c r="BG307" s="33">
        <f>IF(ABS((Orders!F304-Orders!E304)*1440-Orders!P304)&lt;0.06,1,0)</f>
        <v>1</v>
      </c>
      <c r="BH307" s="33">
        <f>IF(E307=1,IF(IF(Orders!S304,1,0)=1-G307,1,0),"")</f>
        <v>1</v>
      </c>
      <c r="BI307" s="32" t="str">
        <f>INDEX(Stores!$B$2:$B$21,MATCH(B307,Stores!$A$2:$A$21,0))</f>
        <v>Hyderabad</v>
      </c>
    </row>
    <row r="308">
      <c r="A308" s="32" t="str">
        <f>Orders!A305</f>
        <v>O00304</v>
      </c>
      <c r="B308" s="32" t="str">
        <f>Orders!C305</f>
        <v>S001</v>
      </c>
      <c r="C308" s="32" t="str">
        <f>Orders!B305</f>
        <v>C0013</v>
      </c>
      <c r="D308" s="32" t="str">
        <f>Orders!H305</f>
        <v>Cancelled</v>
      </c>
      <c r="E308" s="33">
        <f>IF(Orders!H305="Delivered",1,0)</f>
        <v>0</v>
      </c>
      <c r="F308" s="34" t="str">
        <f>IF(E308=1,Orders!R305,"")</f>
        <v/>
      </c>
      <c r="G308" s="33" t="str">
        <f>IF(E308=1,IF(Orders!R305&gt;0,1,0),"")</f>
        <v/>
      </c>
      <c r="H308" s="33" t="str">
        <f>IF(E308=1,IF(Orders!R305&gt;5,1,0),"")</f>
        <v/>
      </c>
      <c r="I308" s="32" t="str">
        <f>IF(E308=1,"",IF(OR(Orders!T305="Rider unavailable",Orders!T305="Item unavailable"),"Company-caused","Unresolved"))</f>
        <v>Company-caused</v>
      </c>
      <c r="J308" s="33">
        <f>IF(OR(E308=1,I308="Company-caused"),1,0)</f>
        <v>1</v>
      </c>
      <c r="K308" s="32" t="str">
        <f>IF(E308=0,IF(I308="Company-caused",IF(Orders!T305="Rider unavailable","C1 Rider unavailable","C2 Item unavailable"),"Outside root: unresolved"),IF(G308=0,"A On time",IF(H308=1,IF(L308=1,"B2a Severe, peak","B2b Severe, off-peak"),IF(L308=1,"B1a Slight, peak","B1b Slight, off-peak"))))</f>
        <v>C1 Rider unavailable</v>
      </c>
      <c r="L308" s="33">
        <f>IF(AND(Orders!U305&gt;=19,Orders!U305&lt;22),1,0)</f>
        <v>0</v>
      </c>
      <c r="M308" s="33">
        <f>IF(L308=IF(Orders!V305,1,0),1,0)</f>
        <v>1</v>
      </c>
      <c r="N308" s="32" t="str">
        <f>IF(Orders!W305="","None",Orders!W305)</f>
        <v>None</v>
      </c>
      <c r="O308" s="35">
        <f>INT(Orders!E305)</f>
        <v>46268.0</v>
      </c>
      <c r="P308" s="33">
        <f>Orders!U305</f>
        <v>16</v>
      </c>
      <c r="Q308" s="33">
        <f>COUNTIFS(Demand!$A$2:$A$4481,B308,Demand!$B$2:$B$4481,O308,Demand!$C$2:$C$4481,P308)</f>
        <v>1</v>
      </c>
      <c r="R308" s="33">
        <f>IF(Q308=1,SUMIFS(Demand!$E$2:$E$4481,Demand!$A$2:$A$4481,B308,Demand!$B$2:$B$4481,O308,Demand!$C$2:$C$4481,P308),"")</f>
        <v>22</v>
      </c>
      <c r="S308" s="33">
        <f>INDEX(Stores!$G$2:$G$21,MATCH(B308,Stores!$A$2:$A$21,0))</f>
        <v>16</v>
      </c>
      <c r="T308" s="34">
        <f>IF(R308="","",R308/S308)</f>
        <v>1.375</v>
      </c>
      <c r="U308" s="34" t="str">
        <f>IF(E308=1,T308,"")</f>
        <v/>
      </c>
      <c r="V308" s="34" t="str">
        <f>IF(AND(E308=1,L308=0),T308,"")</f>
        <v/>
      </c>
      <c r="W308" s="33" t="str">
        <f>IF(U308="","",IF(U308&lt;=Breakdowns!$C$5,1,IF(U308&lt;=Breakdowns!$C$6,2,IF(U308&lt;=Breakdowns!$C$7,3,4))))</f>
        <v/>
      </c>
      <c r="X308" s="33" t="str">
        <f>IF(V308="","",IF(V308&lt;=Breakdowns!$D$5,1,IF(V308&lt;=Breakdowns!$D$6,2,IF(V308&lt;=Breakdowns!$D$7,3,4))))</f>
        <v/>
      </c>
      <c r="Y308" s="34">
        <f>INDEX(Stores!$F$2:$F$21,MATCH(B308,Stores!$A$2:$A$21,0))</f>
        <v>4.59</v>
      </c>
      <c r="Z308" s="33">
        <f>IF(Y308&gt;Store_Summary!$M$2,1,0)</f>
        <v>0</v>
      </c>
      <c r="AA308" s="33">
        <f>INDEX(Stores!$C$2:$C$21,MATCH(B308,Stores!$A$2:$A$21,0))</f>
        <v>362</v>
      </c>
      <c r="AB308" s="33">
        <f>IF(AA308&lt;180,1,0)</f>
        <v>0</v>
      </c>
      <c r="AC308" s="32" t="str">
        <f>IF(Orders!D305="","",INDEX(Riders!$C$2:$C$81,MATCH(Orders!D305,Riders!$A$2:$A$81,0)))</f>
        <v/>
      </c>
      <c r="AD308" s="33" t="str">
        <f>IF(Orders!D305="","",INDEX(Riders!$D$2:$D$81,MATCH(Orders!D305,Riders!$A$2:$A$81,0)))</f>
        <v/>
      </c>
      <c r="AE308" s="33" t="str">
        <f>IF(Orders!D305="","",IF(INDEX(Riders!$B$2:$B$81,MATCH(Orders!D305,Riders!$A$2:$A$81,0))=B308,1,0))</f>
        <v/>
      </c>
      <c r="AF308" s="34" t="str">
        <f>IF(E308=1,Orders!L305,"")</f>
        <v/>
      </c>
      <c r="AG308" s="34" t="str">
        <f>IF(E308=1,Orders!P305,"")</f>
        <v/>
      </c>
      <c r="AH308" s="34" t="str">
        <f>IF(E308=1,Orders!Q305,"")</f>
        <v/>
      </c>
      <c r="AI308" s="34" t="str">
        <f>IF(E308=1,Orders!M305,"")</f>
        <v/>
      </c>
      <c r="AJ308" s="34" t="str">
        <f>IF(E308=1,Orders!N305,"")</f>
        <v/>
      </c>
      <c r="AK308" s="34" t="str">
        <f>IF(E308=1,Orders!O305,"")</f>
        <v/>
      </c>
      <c r="AL308" s="33" t="str">
        <f>IF(E308=1,IF(ROUND(ABS(AI308+AJ308+AK308-AH308),6)&lt;=0.1,1,0),"")</f>
        <v/>
      </c>
      <c r="AM308" s="36" t="str">
        <f>IF(E308=1,AI308/AH308,"")</f>
        <v/>
      </c>
      <c r="AN308" s="36" t="str">
        <f>IF(E308=1,AJ308/AH308,"")</f>
        <v/>
      </c>
      <c r="AO308" s="36" t="str">
        <f>IF(E308=1,AK308/AH308,"")</f>
        <v/>
      </c>
      <c r="AP308" s="34" t="str">
        <f>IF(E308=1,Orders!Y305,"")</f>
        <v/>
      </c>
      <c r="AQ308" s="33">
        <f>IF(Orders!X305,1,0)</f>
        <v>0</v>
      </c>
      <c r="AR308" s="34" t="str">
        <f>IF(AND(E308=1,L308=1),AJ308,"")</f>
        <v/>
      </c>
      <c r="AS308" s="34" t="str">
        <f>IF(AND(E308=1,L308=0),AJ308,"")</f>
        <v/>
      </c>
      <c r="AT308" s="34" t="str">
        <f>IF(AND(E308=1,L308=1),AI308,"")</f>
        <v/>
      </c>
      <c r="AU308" s="34" t="str">
        <f>IF(AND(E308=1,L308=0),AI308,"")</f>
        <v/>
      </c>
      <c r="AV308" s="34" t="str">
        <f>IF(AND(E308=1,L308=1),AG308,"")</f>
        <v/>
      </c>
      <c r="AW308" s="34" t="str">
        <f>IF(AND(E308=1,L308=0),AG308,"")</f>
        <v/>
      </c>
      <c r="AX308" s="34" t="str">
        <f>IF(AND(E308=1,L308=1),AH308,"")</f>
        <v/>
      </c>
      <c r="AY308" s="34" t="str">
        <f>IF(AND(E308=1,L308=0),AH308,"")</f>
        <v/>
      </c>
      <c r="AZ308" s="34" t="str">
        <f>IF(G308=1,F308,"")</f>
        <v/>
      </c>
      <c r="BA308" s="34" t="str">
        <f>IF(AND(G308=1,L308=1),F308,"")</f>
        <v/>
      </c>
      <c r="BB308" s="34" t="str">
        <f>IF(AND(G308=1,L308=0),F308,"")</f>
        <v/>
      </c>
      <c r="BC308" s="33" t="str">
        <f>IF(E308=1,IF(Orders!R305&gt;3,1,0),"")</f>
        <v/>
      </c>
      <c r="BD308" s="33" t="str">
        <f>IF(E308=1,IF(Orders!R305&gt;7,1,0),"")</f>
        <v/>
      </c>
      <c r="BE308" s="32" t="str">
        <f>IF(E308=1,IF(Orders!L305&lt;=1.5,"Up to 1.5 km",IF(Orders!L305&lt;=3,"1.5–3 km","Over 3 km")),"")</f>
        <v/>
      </c>
      <c r="BF308" s="33" t="str">
        <f>IF(E308=1,IF(ABS((Orders!G305-Orders!F305)*1440-Orders!R305)&lt;0.06,1,0),"")</f>
        <v/>
      </c>
      <c r="BG308" s="33">
        <f>IF(ABS((Orders!F305-Orders!E305)*1440-Orders!P305)&lt;0.06,1,0)</f>
        <v>1</v>
      </c>
      <c r="BH308" s="33" t="str">
        <f>IF(E308=1,IF(IF(Orders!S305,1,0)=1-G308,1,0),"")</f>
        <v/>
      </c>
      <c r="BI308" s="32" t="str">
        <f>INDEX(Stores!$B$2:$B$21,MATCH(B308,Stores!$A$2:$A$21,0))</f>
        <v>Bengaluru</v>
      </c>
    </row>
    <row r="309">
      <c r="A309" s="32" t="str">
        <f>Orders!A306</f>
        <v>O00305</v>
      </c>
      <c r="B309" s="32" t="str">
        <f>Orders!C306</f>
        <v>S003</v>
      </c>
      <c r="C309" s="32" t="str">
        <f>Orders!B306</f>
        <v>C0020</v>
      </c>
      <c r="D309" s="32" t="str">
        <f>Orders!H306</f>
        <v>Delivered</v>
      </c>
      <c r="E309" s="33">
        <f>IF(Orders!H306="Delivered",1,0)</f>
        <v>1</v>
      </c>
      <c r="F309" s="34">
        <f>IF(E309=1,Orders!R306,"")</f>
        <v>4.5</v>
      </c>
      <c r="G309" s="33">
        <f>IF(E309=1,IF(Orders!R306&gt;0,1,0),"")</f>
        <v>1</v>
      </c>
      <c r="H309" s="33">
        <f>IF(E309=1,IF(Orders!R306&gt;5,1,0),"")</f>
        <v>0</v>
      </c>
      <c r="I309" s="32" t="str">
        <f>IF(E309=1,"",IF(OR(Orders!T306="Rider unavailable",Orders!T306="Item unavailable"),"Company-caused","Unresolved"))</f>
        <v/>
      </c>
      <c r="J309" s="33">
        <f>IF(OR(E309=1,I309="Company-caused"),1,0)</f>
        <v>1</v>
      </c>
      <c r="K309" s="32" t="str">
        <f>IF(E309=0,IF(I309="Company-caused",IF(Orders!T306="Rider unavailable","C1 Rider unavailable","C2 Item unavailable"),"Outside root: unresolved"),IF(G309=0,"A On time",IF(H309=1,IF(L309=1,"B2a Severe, peak","B2b Severe, off-peak"),IF(L309=1,"B1a Slight, peak","B1b Slight, off-peak"))))</f>
        <v>B1a Slight, peak</v>
      </c>
      <c r="L309" s="33">
        <f>IF(AND(Orders!U306&gt;=19,Orders!U306&lt;22),1,0)</f>
        <v>1</v>
      </c>
      <c r="M309" s="33">
        <f>IF(L309=IF(Orders!V306,1,0),1,0)</f>
        <v>1</v>
      </c>
      <c r="N309" s="32" t="str">
        <f>IF(Orders!W306="","None",Orders!W306)</f>
        <v>None</v>
      </c>
      <c r="O309" s="35">
        <f>INT(Orders!E306)</f>
        <v>46278.0</v>
      </c>
      <c r="P309" s="33">
        <f>Orders!U306</f>
        <v>21</v>
      </c>
      <c r="Q309" s="33">
        <f>COUNTIFS(Demand!$A$2:$A$4481,B309,Demand!$B$2:$B$4481,O309,Demand!$C$2:$C$4481,P309)</f>
        <v>1</v>
      </c>
      <c r="R309" s="33">
        <f>IF(Q309=1,SUMIFS(Demand!$E$2:$E$4481,Demand!$A$2:$A$4481,B309,Demand!$B$2:$B$4481,O309,Demand!$C$2:$C$4481,P309),"")</f>
        <v>68</v>
      </c>
      <c r="S309" s="33">
        <f>INDEX(Stores!$G$2:$G$21,MATCH(B309,Stores!$A$2:$A$21,0))</f>
        <v>41</v>
      </c>
      <c r="T309" s="34">
        <f>IF(R309="","",R309/S309)</f>
        <v>1.65853658536585</v>
      </c>
      <c r="U309" s="34">
        <f>IF(E309=1,T309,"")</f>
        <v>1.65853658536585</v>
      </c>
      <c r="V309" s="34" t="str">
        <f>IF(AND(E309=1,L309=0),T309,"")</f>
        <v/>
      </c>
      <c r="W309" s="33">
        <f>IF(U309="","",IF(U309&lt;=Breakdowns!$C$5,1,IF(U309&lt;=Breakdowns!$C$6,2,IF(U309&lt;=Breakdowns!$C$7,3,4))))</f>
        <v>4</v>
      </c>
      <c r="X309" s="33" t="str">
        <f>IF(V309="","",IF(V309&lt;=Breakdowns!$D$5,1,IF(V309&lt;=Breakdowns!$D$6,2,IF(V309&lt;=Breakdowns!$D$7,3,4))))</f>
        <v/>
      </c>
      <c r="Y309" s="34">
        <f>INDEX(Stores!$F$2:$F$21,MATCH(B309,Stores!$A$2:$A$21,0))</f>
        <v>3.84</v>
      </c>
      <c r="Z309" s="33">
        <f>IF(Y309&gt;Store_Summary!$M$2,1,0)</f>
        <v>0</v>
      </c>
      <c r="AA309" s="33">
        <f>INDEX(Stores!$C$2:$C$21,MATCH(B309,Stores!$A$2:$A$21,0))</f>
        <v>426</v>
      </c>
      <c r="AB309" s="33">
        <f>IF(AA309&lt;180,1,0)</f>
        <v>0</v>
      </c>
      <c r="AC309" s="32" t="str">
        <f>IF(Orders!D306="","",INDEX(Riders!$C$2:$C$81,MATCH(Orders!D306,Riders!$A$2:$A$81,0)))</f>
        <v>EV scooter</v>
      </c>
      <c r="AD309" s="33">
        <f>IF(Orders!D306="","",INDEX(Riders!$D$2:$D$81,MATCH(Orders!D306,Riders!$A$2:$A$81,0)))</f>
        <v>44</v>
      </c>
      <c r="AE309" s="33">
        <f>IF(Orders!D306="","",IF(INDEX(Riders!$B$2:$B$81,MATCH(Orders!D306,Riders!$A$2:$A$81,0))=B309,1,0))</f>
        <v>0</v>
      </c>
      <c r="AF309" s="34">
        <f>IF(E309=1,Orders!L306,"")</f>
        <v>2.1</v>
      </c>
      <c r="AG309" s="34">
        <f>IF(E309=1,Orders!P306,"")</f>
        <v>9.7</v>
      </c>
      <c r="AH309" s="34">
        <f>IF(E309=1,Orders!Q306,"")</f>
        <v>14.2</v>
      </c>
      <c r="AI309" s="34">
        <f>IF(E309=1,Orders!M306,"")</f>
        <v>3.5</v>
      </c>
      <c r="AJ309" s="34">
        <f>IF(E309=1,Orders!N306,"")</f>
        <v>4.3</v>
      </c>
      <c r="AK309" s="34">
        <f>IF(E309=1,Orders!O306,"")</f>
        <v>6.4</v>
      </c>
      <c r="AL309" s="33">
        <f>IF(E309=1,IF(ROUND(ABS(AI309+AJ309+AK309-AH309),6)&lt;=0.1,1,0),"")</f>
        <v>1</v>
      </c>
      <c r="AM309" s="36">
        <f>IF(E309=1,AI309/AH309,"")</f>
        <v>0.246478873239437</v>
      </c>
      <c r="AN309" s="36">
        <f>IF(E309=1,AJ309/AH309,"")</f>
        <v>0.302816901408451</v>
      </c>
      <c r="AO309" s="36">
        <f>IF(E309=1,AK309/AH309,"")</f>
        <v>0.450704225352113</v>
      </c>
      <c r="AP309" s="34">
        <f>IF(E309=1,Orders!Y306,"")</f>
        <v>0.61</v>
      </c>
      <c r="AQ309" s="33">
        <f>IF(Orders!X306,1,0)</f>
        <v>0</v>
      </c>
      <c r="AR309" s="34">
        <f>IF(AND(E309=1,L309=1),AJ309,"")</f>
        <v>4.3</v>
      </c>
      <c r="AS309" s="34" t="str">
        <f>IF(AND(E309=1,L309=0),AJ309,"")</f>
        <v/>
      </c>
      <c r="AT309" s="34">
        <f>IF(AND(E309=1,L309=1),AI309,"")</f>
        <v>3.5</v>
      </c>
      <c r="AU309" s="34" t="str">
        <f>IF(AND(E309=1,L309=0),AI309,"")</f>
        <v/>
      </c>
      <c r="AV309" s="34">
        <f>IF(AND(E309=1,L309=1),AG309,"")</f>
        <v>9.7</v>
      </c>
      <c r="AW309" s="34" t="str">
        <f>IF(AND(E309=1,L309=0),AG309,"")</f>
        <v/>
      </c>
      <c r="AX309" s="34">
        <f>IF(AND(E309=1,L309=1),AH309,"")</f>
        <v>14.2</v>
      </c>
      <c r="AY309" s="34" t="str">
        <f>IF(AND(E309=1,L309=0),AH309,"")</f>
        <v/>
      </c>
      <c r="AZ309" s="34">
        <f>IF(G309=1,F309,"")</f>
        <v>4.5</v>
      </c>
      <c r="BA309" s="34">
        <f>IF(AND(G309=1,L309=1),F309,"")</f>
        <v>4.5</v>
      </c>
      <c r="BB309" s="34" t="str">
        <f>IF(AND(G309=1,L309=0),F309,"")</f>
        <v/>
      </c>
      <c r="BC309" s="33">
        <f>IF(E309=1,IF(Orders!R306&gt;3,1,0),"")</f>
        <v>1</v>
      </c>
      <c r="BD309" s="33">
        <f>IF(E309=1,IF(Orders!R306&gt;7,1,0),"")</f>
        <v>0</v>
      </c>
      <c r="BE309" s="32" t="str">
        <f>IF(E309=1,IF(Orders!L306&lt;=1.5,"Up to 1.5 km",IF(Orders!L306&lt;=3,"1.5–3 km","Over 3 km")),"")</f>
        <v>1.5–3 km</v>
      </c>
      <c r="BF309" s="33">
        <f>IF(E309=1,IF(ABS((Orders!G306-Orders!F306)*1440-Orders!R306)&lt;0.06,1,0),"")</f>
        <v>1</v>
      </c>
      <c r="BG309" s="33">
        <f>IF(ABS((Orders!F306-Orders!E306)*1440-Orders!P306)&lt;0.06,1,0)</f>
        <v>1</v>
      </c>
      <c r="BH309" s="33">
        <f>IF(E309=1,IF(IF(Orders!S306,1,0)=1-G309,1,0),"")</f>
        <v>1</v>
      </c>
      <c r="BI309" s="32" t="str">
        <f>INDEX(Stores!$B$2:$B$21,MATCH(B309,Stores!$A$2:$A$21,0))</f>
        <v>Mumbai</v>
      </c>
    </row>
    <row r="310">
      <c r="A310" s="32" t="str">
        <f>Orders!A307</f>
        <v>O00306</v>
      </c>
      <c r="B310" s="32" t="str">
        <f>Orders!C307</f>
        <v>S014</v>
      </c>
      <c r="C310" s="32" t="str">
        <f>Orders!B307</f>
        <v>C0242</v>
      </c>
      <c r="D310" s="32" t="str">
        <f>Orders!H307</f>
        <v>Delivered</v>
      </c>
      <c r="E310" s="33">
        <f>IF(Orders!H307="Delivered",1,0)</f>
        <v>1</v>
      </c>
      <c r="F310" s="34">
        <f>IF(E310=1,Orders!R307,"")</f>
        <v>-0.7</v>
      </c>
      <c r="G310" s="33">
        <f>IF(E310=1,IF(Orders!R307&gt;0,1,0),"")</f>
        <v>0</v>
      </c>
      <c r="H310" s="33">
        <f>IF(E310=1,IF(Orders!R307&gt;5,1,0),"")</f>
        <v>0</v>
      </c>
      <c r="I310" s="32" t="str">
        <f>IF(E310=1,"",IF(OR(Orders!T307="Rider unavailable",Orders!T307="Item unavailable"),"Company-caused","Unresolved"))</f>
        <v/>
      </c>
      <c r="J310" s="33">
        <f>IF(OR(E310=1,I310="Company-caused"),1,0)</f>
        <v>1</v>
      </c>
      <c r="K310" s="32" t="str">
        <f>IF(E310=0,IF(I310="Company-caused",IF(Orders!T307="Rider unavailable","C1 Rider unavailable","C2 Item unavailable"),"Outside root: unresolved"),IF(G310=0,"A On time",IF(H310=1,IF(L310=1,"B2a Severe, peak","B2b Severe, off-peak"),IF(L310=1,"B1a Slight, peak","B1b Slight, off-peak"))))</f>
        <v>A On time</v>
      </c>
      <c r="L310" s="33">
        <f>IF(AND(Orders!U307&gt;=19,Orders!U307&lt;22),1,0)</f>
        <v>0</v>
      </c>
      <c r="M310" s="33">
        <f>IF(L310=IF(Orders!V307,1,0),1,0)</f>
        <v>1</v>
      </c>
      <c r="N310" s="32" t="str">
        <f>IF(Orders!W307="","None",Orders!W307)</f>
        <v>Light</v>
      </c>
      <c r="O310" s="35">
        <f>INT(Orders!E307)</f>
        <v>46267.0</v>
      </c>
      <c r="P310" s="33">
        <f>Orders!U307</f>
        <v>12</v>
      </c>
      <c r="Q310" s="33">
        <f>COUNTIFS(Demand!$A$2:$A$4481,B310,Demand!$B$2:$B$4481,O310,Demand!$C$2:$C$4481,P310)</f>
        <v>1</v>
      </c>
      <c r="R310" s="33">
        <f>IF(Q310=1,SUMIFS(Demand!$E$2:$E$4481,Demand!$A$2:$A$4481,B310,Demand!$B$2:$B$4481,O310,Demand!$C$2:$C$4481,P310),"")</f>
        <v>30</v>
      </c>
      <c r="S310" s="33">
        <f>INDEX(Stores!$G$2:$G$21,MATCH(B310,Stores!$A$2:$A$21,0))</f>
        <v>37</v>
      </c>
      <c r="T310" s="34">
        <f>IF(R310="","",R310/S310)</f>
        <v>0.810810810810811</v>
      </c>
      <c r="U310" s="34">
        <f>IF(E310=1,T310,"")</f>
        <v>0.810810810810811</v>
      </c>
      <c r="V310" s="34">
        <f>IF(AND(E310=1,L310=0),T310,"")</f>
        <v>0.810810810810811</v>
      </c>
      <c r="W310" s="33">
        <f>IF(U310="","",IF(U310&lt;=Breakdowns!$C$5,1,IF(U310&lt;=Breakdowns!$C$6,2,IF(U310&lt;=Breakdowns!$C$7,3,4))))</f>
        <v>2</v>
      </c>
      <c r="X310" s="33">
        <f>IF(V310="","",IF(V310&lt;=Breakdowns!$D$5,1,IF(V310&lt;=Breakdowns!$D$6,2,IF(V310&lt;=Breakdowns!$D$7,3,4))))</f>
        <v>2</v>
      </c>
      <c r="Y310" s="34">
        <f>INDEX(Stores!$F$2:$F$21,MATCH(B310,Stores!$A$2:$A$21,0))</f>
        <v>5.55</v>
      </c>
      <c r="Z310" s="33">
        <f>IF(Y310&gt;Store_Summary!$M$2,1,0)</f>
        <v>1</v>
      </c>
      <c r="AA310" s="33">
        <f>INDEX(Stores!$C$2:$C$21,MATCH(B310,Stores!$A$2:$A$21,0))</f>
        <v>241</v>
      </c>
      <c r="AB310" s="33">
        <f>IF(AA310&lt;180,1,0)</f>
        <v>0</v>
      </c>
      <c r="AC310" s="32" t="str">
        <f>IF(Orders!D307="","",INDEX(Riders!$C$2:$C$81,MATCH(Orders!D307,Riders!$A$2:$A$81,0)))</f>
        <v>Bicycle</v>
      </c>
      <c r="AD310" s="33">
        <f>IF(Orders!D307="","",INDEX(Riders!$D$2:$D$81,MATCH(Orders!D307,Riders!$A$2:$A$81,0)))</f>
        <v>2</v>
      </c>
      <c r="AE310" s="33">
        <f>IF(Orders!D307="","",IF(INDEX(Riders!$B$2:$B$81,MATCH(Orders!D307,Riders!$A$2:$A$81,0))=B310,1,0))</f>
        <v>0</v>
      </c>
      <c r="AF310" s="34">
        <f>IF(E310=1,Orders!L307,"")</f>
        <v>1.47</v>
      </c>
      <c r="AG310" s="34">
        <f>IF(E310=1,Orders!P307,"")</f>
        <v>9.7</v>
      </c>
      <c r="AH310" s="34">
        <f>IF(E310=1,Orders!Q307,"")</f>
        <v>9</v>
      </c>
      <c r="AI310" s="34">
        <f>IF(E310=1,Orders!M307,"")</f>
        <v>3.2</v>
      </c>
      <c r="AJ310" s="34">
        <f>IF(E310=1,Orders!N307,"")</f>
        <v>2.2</v>
      </c>
      <c r="AK310" s="34">
        <f>IF(E310=1,Orders!O307,"")</f>
        <v>3.6</v>
      </c>
      <c r="AL310" s="33">
        <f>IF(E310=1,IF(ROUND(ABS(AI310+AJ310+AK310-AH310),6)&lt;=0.1,1,0),"")</f>
        <v>1</v>
      </c>
      <c r="AM310" s="36">
        <f>IF(E310=1,AI310/AH310,"")</f>
        <v>0.355555555555556</v>
      </c>
      <c r="AN310" s="36">
        <f>IF(E310=1,AJ310/AH310,"")</f>
        <v>0.244444444444444</v>
      </c>
      <c r="AO310" s="36">
        <f>IF(E310=1,AK310/AH310,"")</f>
        <v>0.4</v>
      </c>
      <c r="AP310" s="34">
        <f>IF(E310=1,Orders!Y307,"")</f>
        <v>0.61</v>
      </c>
      <c r="AQ310" s="33">
        <f>IF(Orders!X307,1,0)</f>
        <v>0</v>
      </c>
      <c r="AR310" s="34" t="str">
        <f>IF(AND(E310=1,L310=1),AJ310,"")</f>
        <v/>
      </c>
      <c r="AS310" s="34">
        <f>IF(AND(E310=1,L310=0),AJ310,"")</f>
        <v>2.2</v>
      </c>
      <c r="AT310" s="34" t="str">
        <f>IF(AND(E310=1,L310=1),AI310,"")</f>
        <v/>
      </c>
      <c r="AU310" s="34">
        <f>IF(AND(E310=1,L310=0),AI310,"")</f>
        <v>3.2</v>
      </c>
      <c r="AV310" s="34" t="str">
        <f>IF(AND(E310=1,L310=1),AG310,"")</f>
        <v/>
      </c>
      <c r="AW310" s="34">
        <f>IF(AND(E310=1,L310=0),AG310,"")</f>
        <v>9.7</v>
      </c>
      <c r="AX310" s="34" t="str">
        <f>IF(AND(E310=1,L310=1),AH310,"")</f>
        <v/>
      </c>
      <c r="AY310" s="34">
        <f>IF(AND(E310=1,L310=0),AH310,"")</f>
        <v>9</v>
      </c>
      <c r="AZ310" s="34" t="str">
        <f>IF(G310=1,F310,"")</f>
        <v/>
      </c>
      <c r="BA310" s="34" t="str">
        <f>IF(AND(G310=1,L310=1),F310,"")</f>
        <v/>
      </c>
      <c r="BB310" s="34" t="str">
        <f>IF(AND(G310=1,L310=0),F310,"")</f>
        <v/>
      </c>
      <c r="BC310" s="33">
        <f>IF(E310=1,IF(Orders!R307&gt;3,1,0),"")</f>
        <v>0</v>
      </c>
      <c r="BD310" s="33">
        <f>IF(E310=1,IF(Orders!R307&gt;7,1,0),"")</f>
        <v>0</v>
      </c>
      <c r="BE310" s="32" t="str">
        <f>IF(E310=1,IF(Orders!L307&lt;=1.5,"Up to 1.5 km",IF(Orders!L307&lt;=3,"1.5–3 km","Over 3 km")),"")</f>
        <v>Up to 1.5 km</v>
      </c>
      <c r="BF310" s="33">
        <f>IF(E310=1,IF(ABS((Orders!G307-Orders!F307)*1440-Orders!R307)&lt;0.06,1,0),"")</f>
        <v>1</v>
      </c>
      <c r="BG310" s="33">
        <f>IF(ABS((Orders!F307-Orders!E307)*1440-Orders!P307)&lt;0.06,1,0)</f>
        <v>1</v>
      </c>
      <c r="BH310" s="33">
        <f>IF(E310=1,IF(IF(Orders!S307,1,0)=1-G310,1,0),"")</f>
        <v>1</v>
      </c>
      <c r="BI310" s="32" t="str">
        <f>INDEX(Stores!$B$2:$B$21,MATCH(B310,Stores!$A$2:$A$21,0))</f>
        <v>Pune</v>
      </c>
    </row>
    <row r="311">
      <c r="A311" s="32" t="str">
        <f>Orders!A308</f>
        <v>O00307</v>
      </c>
      <c r="B311" s="32" t="str">
        <f>Orders!C308</f>
        <v>S010</v>
      </c>
      <c r="C311" s="32" t="str">
        <f>Orders!B308</f>
        <v>C0137</v>
      </c>
      <c r="D311" s="32" t="str">
        <f>Orders!H308</f>
        <v>Delivered</v>
      </c>
      <c r="E311" s="33">
        <f>IF(Orders!H308="Delivered",1,0)</f>
        <v>1</v>
      </c>
      <c r="F311" s="34">
        <f>IF(E311=1,Orders!R308,"")</f>
        <v>-1</v>
      </c>
      <c r="G311" s="33">
        <f>IF(E311=1,IF(Orders!R308&gt;0,1,0),"")</f>
        <v>0</v>
      </c>
      <c r="H311" s="33">
        <f>IF(E311=1,IF(Orders!R308&gt;5,1,0),"")</f>
        <v>0</v>
      </c>
      <c r="I311" s="32" t="str">
        <f>IF(E311=1,"",IF(OR(Orders!T308="Rider unavailable",Orders!T308="Item unavailable"),"Company-caused","Unresolved"))</f>
        <v/>
      </c>
      <c r="J311" s="33">
        <f>IF(OR(E311=1,I311="Company-caused"),1,0)</f>
        <v>1</v>
      </c>
      <c r="K311" s="32" t="str">
        <f>IF(E311=0,IF(I311="Company-caused",IF(Orders!T308="Rider unavailable","C1 Rider unavailable","C2 Item unavailable"),"Outside root: unresolved"),IF(G311=0,"A On time",IF(H311=1,IF(L311=1,"B2a Severe, peak","B2b Severe, off-peak"),IF(L311=1,"B1a Slight, peak","B1b Slight, off-peak"))))</f>
        <v>A On time</v>
      </c>
      <c r="L311" s="33">
        <f>IF(AND(Orders!U308&gt;=19,Orders!U308&lt;22),1,0)</f>
        <v>0</v>
      </c>
      <c r="M311" s="33">
        <f>IF(L311=IF(Orders!V308,1,0),1,0)</f>
        <v>1</v>
      </c>
      <c r="N311" s="32" t="str">
        <f>IF(Orders!W308="","None",Orders!W308)</f>
        <v>None</v>
      </c>
      <c r="O311" s="35">
        <f>INT(Orders!E308)</f>
        <v>46268.0</v>
      </c>
      <c r="P311" s="33">
        <f>Orders!U308</f>
        <v>16</v>
      </c>
      <c r="Q311" s="33">
        <f>COUNTIFS(Demand!$A$2:$A$4481,B311,Demand!$B$2:$B$4481,O311,Demand!$C$2:$C$4481,P311)</f>
        <v>1</v>
      </c>
      <c r="R311" s="33">
        <f>IF(Q311=1,SUMIFS(Demand!$E$2:$E$4481,Demand!$A$2:$A$4481,B311,Demand!$B$2:$B$4481,O311,Demand!$C$2:$C$4481,P311),"")</f>
        <v>24</v>
      </c>
      <c r="S311" s="33">
        <f>INDEX(Stores!$G$2:$G$21,MATCH(B311,Stores!$A$2:$A$21,0))</f>
        <v>22</v>
      </c>
      <c r="T311" s="34">
        <f>IF(R311="","",R311/S311)</f>
        <v>1.09090909090909</v>
      </c>
      <c r="U311" s="34">
        <f>IF(E311=1,T311,"")</f>
        <v>1.09090909090909</v>
      </c>
      <c r="V311" s="34">
        <f>IF(AND(E311=1,L311=0),T311,"")</f>
        <v>1.09090909090909</v>
      </c>
      <c r="W311" s="33">
        <f>IF(U311="","",IF(U311&lt;=Breakdowns!$C$5,1,IF(U311&lt;=Breakdowns!$C$6,2,IF(U311&lt;=Breakdowns!$C$7,3,4))))</f>
        <v>3</v>
      </c>
      <c r="X311" s="33">
        <f>IF(V311="","",IF(V311&lt;=Breakdowns!$D$5,1,IF(V311&lt;=Breakdowns!$D$6,2,IF(V311&lt;=Breakdowns!$D$7,3,4))))</f>
        <v>4</v>
      </c>
      <c r="Y311" s="34">
        <f>INDEX(Stores!$F$2:$F$21,MATCH(B311,Stores!$A$2:$A$21,0))</f>
        <v>5.61</v>
      </c>
      <c r="Z311" s="33">
        <f>IF(Y311&gt;Store_Summary!$M$2,1,0)</f>
        <v>1</v>
      </c>
      <c r="AA311" s="33">
        <f>INDEX(Stores!$C$2:$C$21,MATCH(B311,Stores!$A$2:$A$21,0))</f>
        <v>744</v>
      </c>
      <c r="AB311" s="33">
        <f>IF(AA311&lt;180,1,0)</f>
        <v>0</v>
      </c>
      <c r="AC311" s="32" t="str">
        <f>IF(Orders!D308="","",INDEX(Riders!$C$2:$C$81,MATCH(Orders!D308,Riders!$A$2:$A$81,0)))</f>
        <v>Bicycle</v>
      </c>
      <c r="AD311" s="33">
        <f>IF(Orders!D308="","",INDEX(Riders!$D$2:$D$81,MATCH(Orders!D308,Riders!$A$2:$A$81,0)))</f>
        <v>8</v>
      </c>
      <c r="AE311" s="33">
        <f>IF(Orders!D308="","",IF(INDEX(Riders!$B$2:$B$81,MATCH(Orders!D308,Riders!$A$2:$A$81,0))=B311,1,0))</f>
        <v>0</v>
      </c>
      <c r="AF311" s="34">
        <f>IF(E311=1,Orders!L308,"")</f>
        <v>2.54</v>
      </c>
      <c r="AG311" s="34">
        <f>IF(E311=1,Orders!P308,"")</f>
        <v>13.3</v>
      </c>
      <c r="AH311" s="34">
        <f>IF(E311=1,Orders!Q308,"")</f>
        <v>12.3</v>
      </c>
      <c r="AI311" s="34">
        <f>IF(E311=1,Orders!M308,"")</f>
        <v>4.8</v>
      </c>
      <c r="AJ311" s="34">
        <f>IF(E311=1,Orders!N308,"")</f>
        <v>2.9</v>
      </c>
      <c r="AK311" s="34">
        <f>IF(E311=1,Orders!O308,"")</f>
        <v>4.6</v>
      </c>
      <c r="AL311" s="33">
        <f>IF(E311=1,IF(ROUND(ABS(AI311+AJ311+AK311-AH311),6)&lt;=0.1,1,0),"")</f>
        <v>1</v>
      </c>
      <c r="AM311" s="36">
        <f>IF(E311=1,AI311/AH311,"")</f>
        <v>0.390243902439024</v>
      </c>
      <c r="AN311" s="36">
        <f>IF(E311=1,AJ311/AH311,"")</f>
        <v>0.235772357723577</v>
      </c>
      <c r="AO311" s="36">
        <f>IF(E311=1,AK311/AH311,"")</f>
        <v>0.373983739837398</v>
      </c>
      <c r="AP311" s="34">
        <f>IF(E311=1,Orders!Y308,"")</f>
        <v>0.66</v>
      </c>
      <c r="AQ311" s="33">
        <f>IF(Orders!X308,1,0)</f>
        <v>0</v>
      </c>
      <c r="AR311" s="34" t="str">
        <f>IF(AND(E311=1,L311=1),AJ311,"")</f>
        <v/>
      </c>
      <c r="AS311" s="34">
        <f>IF(AND(E311=1,L311=0),AJ311,"")</f>
        <v>2.9</v>
      </c>
      <c r="AT311" s="34" t="str">
        <f>IF(AND(E311=1,L311=1),AI311,"")</f>
        <v/>
      </c>
      <c r="AU311" s="34">
        <f>IF(AND(E311=1,L311=0),AI311,"")</f>
        <v>4.8</v>
      </c>
      <c r="AV311" s="34" t="str">
        <f>IF(AND(E311=1,L311=1),AG311,"")</f>
        <v/>
      </c>
      <c r="AW311" s="34">
        <f>IF(AND(E311=1,L311=0),AG311,"")</f>
        <v>13.3</v>
      </c>
      <c r="AX311" s="34" t="str">
        <f>IF(AND(E311=1,L311=1),AH311,"")</f>
        <v/>
      </c>
      <c r="AY311" s="34">
        <f>IF(AND(E311=1,L311=0),AH311,"")</f>
        <v>12.3</v>
      </c>
      <c r="AZ311" s="34" t="str">
        <f>IF(G311=1,F311,"")</f>
        <v/>
      </c>
      <c r="BA311" s="34" t="str">
        <f>IF(AND(G311=1,L311=1),F311,"")</f>
        <v/>
      </c>
      <c r="BB311" s="34" t="str">
        <f>IF(AND(G311=1,L311=0),F311,"")</f>
        <v/>
      </c>
      <c r="BC311" s="33">
        <f>IF(E311=1,IF(Orders!R308&gt;3,1,0),"")</f>
        <v>0</v>
      </c>
      <c r="BD311" s="33">
        <f>IF(E311=1,IF(Orders!R308&gt;7,1,0),"")</f>
        <v>0</v>
      </c>
      <c r="BE311" s="32" t="str">
        <f>IF(E311=1,IF(Orders!L308&lt;=1.5,"Up to 1.5 km",IF(Orders!L308&lt;=3,"1.5–3 km","Over 3 km")),"")</f>
        <v>1.5–3 km</v>
      </c>
      <c r="BF311" s="33">
        <f>IF(E311=1,IF(ABS((Orders!G308-Orders!F308)*1440-Orders!R308)&lt;0.06,1,0),"")</f>
        <v>1</v>
      </c>
      <c r="BG311" s="33">
        <f>IF(ABS((Orders!F308-Orders!E308)*1440-Orders!P308)&lt;0.06,1,0)</f>
        <v>1</v>
      </c>
      <c r="BH311" s="33">
        <f>IF(E311=1,IF(IF(Orders!S308,1,0)=1-G311,1,0),"")</f>
        <v>1</v>
      </c>
      <c r="BI311" s="32" t="str">
        <f>INDEX(Stores!$B$2:$B$21,MATCH(B311,Stores!$A$2:$A$21,0))</f>
        <v>Delhi</v>
      </c>
    </row>
    <row r="312">
      <c r="A312" s="32" t="str">
        <f>Orders!A309</f>
        <v>O00308</v>
      </c>
      <c r="B312" s="32" t="str">
        <f>Orders!C309</f>
        <v>S017</v>
      </c>
      <c r="C312" s="32" t="str">
        <f>Orders!B309</f>
        <v>C0130</v>
      </c>
      <c r="D312" s="32" t="str">
        <f>Orders!H309</f>
        <v>Delivered</v>
      </c>
      <c r="E312" s="33">
        <f>IF(Orders!H309="Delivered",1,0)</f>
        <v>1</v>
      </c>
      <c r="F312" s="34">
        <f>IF(E312=1,Orders!R309,"")</f>
        <v>-0.8</v>
      </c>
      <c r="G312" s="33">
        <f>IF(E312=1,IF(Orders!R309&gt;0,1,0),"")</f>
        <v>0</v>
      </c>
      <c r="H312" s="33">
        <f>IF(E312=1,IF(Orders!R309&gt;5,1,0),"")</f>
        <v>0</v>
      </c>
      <c r="I312" s="32" t="str">
        <f>IF(E312=1,"",IF(OR(Orders!T309="Rider unavailable",Orders!T309="Item unavailable"),"Company-caused","Unresolved"))</f>
        <v/>
      </c>
      <c r="J312" s="33">
        <f>IF(OR(E312=1,I312="Company-caused"),1,0)</f>
        <v>1</v>
      </c>
      <c r="K312" s="32" t="str">
        <f>IF(E312=0,IF(I312="Company-caused",IF(Orders!T309="Rider unavailable","C1 Rider unavailable","C2 Item unavailable"),"Outside root: unresolved"),IF(G312=0,"A On time",IF(H312=1,IF(L312=1,"B2a Severe, peak","B2b Severe, off-peak"),IF(L312=1,"B1a Slight, peak","B1b Slight, off-peak"))))</f>
        <v>A On time</v>
      </c>
      <c r="L312" s="33">
        <f>IF(AND(Orders!U309&gt;=19,Orders!U309&lt;22),1,0)</f>
        <v>1</v>
      </c>
      <c r="M312" s="33">
        <f>IF(L312=IF(Orders!V309,1,0),1,0)</f>
        <v>1</v>
      </c>
      <c r="N312" s="32" t="str">
        <f>IF(Orders!W309="","None",Orders!W309)</f>
        <v>Heavy</v>
      </c>
      <c r="O312" s="35">
        <f>INT(Orders!E309)</f>
        <v>46275.0</v>
      </c>
      <c r="P312" s="33">
        <f>Orders!U309</f>
        <v>19</v>
      </c>
      <c r="Q312" s="33">
        <f>COUNTIFS(Demand!$A$2:$A$4481,B312,Demand!$B$2:$B$4481,O312,Demand!$C$2:$C$4481,P312)</f>
        <v>1</v>
      </c>
      <c r="R312" s="33">
        <f>IF(Q312=1,SUMIFS(Demand!$E$2:$E$4481,Demand!$A$2:$A$4481,B312,Demand!$B$2:$B$4481,O312,Demand!$C$2:$C$4481,P312),"")</f>
        <v>50</v>
      </c>
      <c r="S312" s="33">
        <f>INDEX(Stores!$G$2:$G$21,MATCH(B312,Stores!$A$2:$A$21,0))</f>
        <v>36</v>
      </c>
      <c r="T312" s="34">
        <f>IF(R312="","",R312/S312)</f>
        <v>1.38888888888889</v>
      </c>
      <c r="U312" s="34">
        <f>IF(E312=1,T312,"")</f>
        <v>1.38888888888889</v>
      </c>
      <c r="V312" s="34" t="str">
        <f>IF(AND(E312=1,L312=0),T312,"")</f>
        <v/>
      </c>
      <c r="W312" s="33">
        <f>IF(U312="","",IF(U312&lt;=Breakdowns!$C$5,1,IF(U312&lt;=Breakdowns!$C$6,2,IF(U312&lt;=Breakdowns!$C$7,3,4))))</f>
        <v>4</v>
      </c>
      <c r="X312" s="33" t="str">
        <f>IF(V312="","",IF(V312&lt;=Breakdowns!$D$5,1,IF(V312&lt;=Breakdowns!$D$6,2,IF(V312&lt;=Breakdowns!$D$7,3,4))))</f>
        <v/>
      </c>
      <c r="Y312" s="34">
        <f>INDEX(Stores!$F$2:$F$21,MATCH(B312,Stores!$A$2:$A$21,0))</f>
        <v>2.16</v>
      </c>
      <c r="Z312" s="33">
        <f>IF(Y312&gt;Store_Summary!$M$2,1,0)</f>
        <v>0</v>
      </c>
      <c r="AA312" s="33">
        <f>INDEX(Stores!$C$2:$C$21,MATCH(B312,Stores!$A$2:$A$21,0))</f>
        <v>47</v>
      </c>
      <c r="AB312" s="33">
        <f>IF(AA312&lt;180,1,0)</f>
        <v>1</v>
      </c>
      <c r="AC312" s="32" t="str">
        <f>IF(Orders!D309="","",INDEX(Riders!$C$2:$C$81,MATCH(Orders!D309,Riders!$A$2:$A$81,0)))</f>
        <v>EV scooter</v>
      </c>
      <c r="AD312" s="33">
        <f>IF(Orders!D309="","",INDEX(Riders!$D$2:$D$81,MATCH(Orders!D309,Riders!$A$2:$A$81,0)))</f>
        <v>11</v>
      </c>
      <c r="AE312" s="33">
        <f>IF(Orders!D309="","",IF(INDEX(Riders!$B$2:$B$81,MATCH(Orders!D309,Riders!$A$2:$A$81,0))=B312,1,0))</f>
        <v>0</v>
      </c>
      <c r="AF312" s="34">
        <f>IF(E312=1,Orders!L309,"")</f>
        <v>0.5</v>
      </c>
      <c r="AG312" s="34">
        <f>IF(E312=1,Orders!P309,"")</f>
        <v>8.7</v>
      </c>
      <c r="AH312" s="34">
        <f>IF(E312=1,Orders!Q309,"")</f>
        <v>7.9</v>
      </c>
      <c r="AI312" s="34">
        <f>IF(E312=1,Orders!M309,"")</f>
        <v>1.4</v>
      </c>
      <c r="AJ312" s="34">
        <f>IF(E312=1,Orders!N309,"")</f>
        <v>3.5</v>
      </c>
      <c r="AK312" s="34">
        <f>IF(E312=1,Orders!O309,"")</f>
        <v>3</v>
      </c>
      <c r="AL312" s="33">
        <f>IF(E312=1,IF(ROUND(ABS(AI312+AJ312+AK312-AH312),6)&lt;=0.1,1,0),"")</f>
        <v>1</v>
      </c>
      <c r="AM312" s="36">
        <f>IF(E312=1,AI312/AH312,"")</f>
        <v>0.177215189873418</v>
      </c>
      <c r="AN312" s="36">
        <f>IF(E312=1,AJ312/AH312,"")</f>
        <v>0.443037974683544</v>
      </c>
      <c r="AO312" s="36">
        <f>IF(E312=1,AK312/AH312,"")</f>
        <v>0.379746835443038</v>
      </c>
      <c r="AP312" s="34">
        <f>IF(E312=1,Orders!Y309,"")</f>
        <v>0.6</v>
      </c>
      <c r="AQ312" s="33">
        <f>IF(Orders!X309,1,0)</f>
        <v>0</v>
      </c>
      <c r="AR312" s="34">
        <f>IF(AND(E312=1,L312=1),AJ312,"")</f>
        <v>3.5</v>
      </c>
      <c r="AS312" s="34" t="str">
        <f>IF(AND(E312=1,L312=0),AJ312,"")</f>
        <v/>
      </c>
      <c r="AT312" s="34">
        <f>IF(AND(E312=1,L312=1),AI312,"")</f>
        <v>1.4</v>
      </c>
      <c r="AU312" s="34" t="str">
        <f>IF(AND(E312=1,L312=0),AI312,"")</f>
        <v/>
      </c>
      <c r="AV312" s="34">
        <f>IF(AND(E312=1,L312=1),AG312,"")</f>
        <v>8.7</v>
      </c>
      <c r="AW312" s="34" t="str">
        <f>IF(AND(E312=1,L312=0),AG312,"")</f>
        <v/>
      </c>
      <c r="AX312" s="34">
        <f>IF(AND(E312=1,L312=1),AH312,"")</f>
        <v>7.9</v>
      </c>
      <c r="AY312" s="34" t="str">
        <f>IF(AND(E312=1,L312=0),AH312,"")</f>
        <v/>
      </c>
      <c r="AZ312" s="34" t="str">
        <f>IF(G312=1,F312,"")</f>
        <v/>
      </c>
      <c r="BA312" s="34" t="str">
        <f>IF(AND(G312=1,L312=1),F312,"")</f>
        <v/>
      </c>
      <c r="BB312" s="34" t="str">
        <f>IF(AND(G312=1,L312=0),F312,"")</f>
        <v/>
      </c>
      <c r="BC312" s="33">
        <f>IF(E312=1,IF(Orders!R309&gt;3,1,0),"")</f>
        <v>0</v>
      </c>
      <c r="BD312" s="33">
        <f>IF(E312=1,IF(Orders!R309&gt;7,1,0),"")</f>
        <v>0</v>
      </c>
      <c r="BE312" s="32" t="str">
        <f>IF(E312=1,IF(Orders!L309&lt;=1.5,"Up to 1.5 km",IF(Orders!L309&lt;=3,"1.5–3 km","Over 3 km")),"")</f>
        <v>Up to 1.5 km</v>
      </c>
      <c r="BF312" s="33">
        <f>IF(E312=1,IF(ABS((Orders!G309-Orders!F309)*1440-Orders!R309)&lt;0.06,1,0),"")</f>
        <v>1</v>
      </c>
      <c r="BG312" s="33">
        <f>IF(ABS((Orders!F309-Orders!E309)*1440-Orders!P309)&lt;0.06,1,0)</f>
        <v>1</v>
      </c>
      <c r="BH312" s="33">
        <f>IF(E312=1,IF(IF(Orders!S309,1,0)=1-G312,1,0),"")</f>
        <v>1</v>
      </c>
      <c r="BI312" s="32" t="str">
        <f>INDEX(Stores!$B$2:$B$21,MATCH(B312,Stores!$A$2:$A$21,0))</f>
        <v>Hyderabad</v>
      </c>
    </row>
    <row r="313">
      <c r="A313" s="32" t="str">
        <f>Orders!A310</f>
        <v>O00309</v>
      </c>
      <c r="B313" s="32" t="str">
        <f>Orders!C310</f>
        <v>S002</v>
      </c>
      <c r="C313" s="32" t="str">
        <f>Orders!B310</f>
        <v>C0117</v>
      </c>
      <c r="D313" s="32" t="str">
        <f>Orders!H310</f>
        <v>Delivered</v>
      </c>
      <c r="E313" s="33">
        <f>IF(Orders!H310="Delivered",1,0)</f>
        <v>1</v>
      </c>
      <c r="F313" s="34">
        <f>IF(E313=1,Orders!R310,"")</f>
        <v>-0.4</v>
      </c>
      <c r="G313" s="33">
        <f>IF(E313=1,IF(Orders!R310&gt;0,1,0),"")</f>
        <v>0</v>
      </c>
      <c r="H313" s="33">
        <f>IF(E313=1,IF(Orders!R310&gt;5,1,0),"")</f>
        <v>0</v>
      </c>
      <c r="I313" s="32" t="str">
        <f>IF(E313=1,"",IF(OR(Orders!T310="Rider unavailable",Orders!T310="Item unavailable"),"Company-caused","Unresolved"))</f>
        <v/>
      </c>
      <c r="J313" s="33">
        <f>IF(OR(E313=1,I313="Company-caused"),1,0)</f>
        <v>1</v>
      </c>
      <c r="K313" s="32" t="str">
        <f>IF(E313=0,IF(I313="Company-caused",IF(Orders!T310="Rider unavailable","C1 Rider unavailable","C2 Item unavailable"),"Outside root: unresolved"),IF(G313=0,"A On time",IF(H313=1,IF(L313=1,"B2a Severe, peak","B2b Severe, off-peak"),IF(L313=1,"B1a Slight, peak","B1b Slight, off-peak"))))</f>
        <v>A On time</v>
      </c>
      <c r="L313" s="33">
        <f>IF(AND(Orders!U310&gt;=19,Orders!U310&lt;22),1,0)</f>
        <v>0</v>
      </c>
      <c r="M313" s="33">
        <f>IF(L313=IF(Orders!V310,1,0),1,0)</f>
        <v>1</v>
      </c>
      <c r="N313" s="32" t="str">
        <f>IF(Orders!W310="","None",Orders!W310)</f>
        <v>None</v>
      </c>
      <c r="O313" s="35">
        <f>INT(Orders!E310)</f>
        <v>46267.0</v>
      </c>
      <c r="P313" s="33">
        <f>Orders!U310</f>
        <v>23</v>
      </c>
      <c r="Q313" s="33">
        <f>COUNTIFS(Demand!$A$2:$A$4481,B313,Demand!$B$2:$B$4481,O313,Demand!$C$2:$C$4481,P313)</f>
        <v>1</v>
      </c>
      <c r="R313" s="33">
        <f>IF(Q313=1,SUMIFS(Demand!$E$2:$E$4481,Demand!$A$2:$A$4481,B313,Demand!$B$2:$B$4481,O313,Demand!$C$2:$C$4481,P313),"")</f>
        <v>25</v>
      </c>
      <c r="S313" s="33">
        <f>INDEX(Stores!$G$2:$G$21,MATCH(B313,Stores!$A$2:$A$21,0))</f>
        <v>33</v>
      </c>
      <c r="T313" s="34">
        <f>IF(R313="","",R313/S313)</f>
        <v>0.757575757575758</v>
      </c>
      <c r="U313" s="34">
        <f>IF(E313=1,T313,"")</f>
        <v>0.757575757575758</v>
      </c>
      <c r="V313" s="34">
        <f>IF(AND(E313=1,L313=0),T313,"")</f>
        <v>0.757575757575758</v>
      </c>
      <c r="W313" s="33">
        <f>IF(U313="","",IF(U313&lt;=Breakdowns!$C$5,1,IF(U313&lt;=Breakdowns!$C$6,2,IF(U313&lt;=Breakdowns!$C$7,3,4))))</f>
        <v>1</v>
      </c>
      <c r="X313" s="33">
        <f>IF(V313="","",IF(V313&lt;=Breakdowns!$D$5,1,IF(V313&lt;=Breakdowns!$D$6,2,IF(V313&lt;=Breakdowns!$D$7,3,4))))</f>
        <v>2</v>
      </c>
      <c r="Y313" s="34">
        <f>INDEX(Stores!$F$2:$F$21,MATCH(B313,Stores!$A$2:$A$21,0))</f>
        <v>2.39</v>
      </c>
      <c r="Z313" s="33">
        <f>IF(Y313&gt;Store_Summary!$M$2,1,0)</f>
        <v>0</v>
      </c>
      <c r="AA313" s="33">
        <f>INDEX(Stores!$C$2:$C$21,MATCH(B313,Stores!$A$2:$A$21,0))</f>
        <v>470</v>
      </c>
      <c r="AB313" s="33">
        <f>IF(AA313&lt;180,1,0)</f>
        <v>0</v>
      </c>
      <c r="AC313" s="32" t="str">
        <f>IF(Orders!D310="","",INDEX(Riders!$C$2:$C$81,MATCH(Orders!D310,Riders!$A$2:$A$81,0)))</f>
        <v>Petrol scooter</v>
      </c>
      <c r="AD313" s="33">
        <f>IF(Orders!D310="","",INDEX(Riders!$D$2:$D$81,MATCH(Orders!D310,Riders!$A$2:$A$81,0)))</f>
        <v>37</v>
      </c>
      <c r="AE313" s="33">
        <f>IF(Orders!D310="","",IF(INDEX(Riders!$B$2:$B$81,MATCH(Orders!D310,Riders!$A$2:$A$81,0))=B313,1,0))</f>
        <v>0</v>
      </c>
      <c r="AF313" s="34">
        <f>IF(E313=1,Orders!L310,"")</f>
        <v>5</v>
      </c>
      <c r="AG313" s="34">
        <f>IF(E313=1,Orders!P310,"")</f>
        <v>12.1</v>
      </c>
      <c r="AH313" s="34">
        <f>IF(E313=1,Orders!Q310,"")</f>
        <v>11.7</v>
      </c>
      <c r="AI313" s="34">
        <f>IF(E313=1,Orders!M310,"")</f>
        <v>1.8</v>
      </c>
      <c r="AJ313" s="34">
        <f>IF(E313=1,Orders!N310,"")</f>
        <v>2.8</v>
      </c>
      <c r="AK313" s="34">
        <f>IF(E313=1,Orders!O310,"")</f>
        <v>7.1</v>
      </c>
      <c r="AL313" s="33">
        <f>IF(E313=1,IF(ROUND(ABS(AI313+AJ313+AK313-AH313),6)&lt;=0.1,1,0),"")</f>
        <v>1</v>
      </c>
      <c r="AM313" s="36">
        <f>IF(E313=1,AI313/AH313,"")</f>
        <v>0.153846153846154</v>
      </c>
      <c r="AN313" s="36">
        <f>IF(E313=1,AJ313/AH313,"")</f>
        <v>0.239316239316239</v>
      </c>
      <c r="AO313" s="36">
        <f>IF(E313=1,AK313/AH313,"")</f>
        <v>0.606837606837607</v>
      </c>
      <c r="AP313" s="34">
        <f>IF(E313=1,Orders!Y310,"")</f>
        <v>0.77</v>
      </c>
      <c r="AQ313" s="33">
        <f>IF(Orders!X310,1,0)</f>
        <v>0</v>
      </c>
      <c r="AR313" s="34" t="str">
        <f>IF(AND(E313=1,L313=1),AJ313,"")</f>
        <v/>
      </c>
      <c r="AS313" s="34">
        <f>IF(AND(E313=1,L313=0),AJ313,"")</f>
        <v>2.8</v>
      </c>
      <c r="AT313" s="34" t="str">
        <f>IF(AND(E313=1,L313=1),AI313,"")</f>
        <v/>
      </c>
      <c r="AU313" s="34">
        <f>IF(AND(E313=1,L313=0),AI313,"")</f>
        <v>1.8</v>
      </c>
      <c r="AV313" s="34" t="str">
        <f>IF(AND(E313=1,L313=1),AG313,"")</f>
        <v/>
      </c>
      <c r="AW313" s="34">
        <f>IF(AND(E313=1,L313=0),AG313,"")</f>
        <v>12.1</v>
      </c>
      <c r="AX313" s="34" t="str">
        <f>IF(AND(E313=1,L313=1),AH313,"")</f>
        <v/>
      </c>
      <c r="AY313" s="34">
        <f>IF(AND(E313=1,L313=0),AH313,"")</f>
        <v>11.7</v>
      </c>
      <c r="AZ313" s="34" t="str">
        <f>IF(G313=1,F313,"")</f>
        <v/>
      </c>
      <c r="BA313" s="34" t="str">
        <f>IF(AND(G313=1,L313=1),F313,"")</f>
        <v/>
      </c>
      <c r="BB313" s="34" t="str">
        <f>IF(AND(G313=1,L313=0),F313,"")</f>
        <v/>
      </c>
      <c r="BC313" s="33">
        <f>IF(E313=1,IF(Orders!R310&gt;3,1,0),"")</f>
        <v>0</v>
      </c>
      <c r="BD313" s="33">
        <f>IF(E313=1,IF(Orders!R310&gt;7,1,0),"")</f>
        <v>0</v>
      </c>
      <c r="BE313" s="32" t="str">
        <f>IF(E313=1,IF(Orders!L310&lt;=1.5,"Up to 1.5 km",IF(Orders!L310&lt;=3,"1.5–3 km","Over 3 km")),"")</f>
        <v>Over 3 km</v>
      </c>
      <c r="BF313" s="33">
        <f>IF(E313=1,IF(ABS((Orders!G310-Orders!F310)*1440-Orders!R310)&lt;0.06,1,0),"")</f>
        <v>1</v>
      </c>
      <c r="BG313" s="33">
        <f>IF(ABS((Orders!F310-Orders!E310)*1440-Orders!P310)&lt;0.06,1,0)</f>
        <v>1</v>
      </c>
      <c r="BH313" s="33">
        <f>IF(E313=1,IF(IF(Orders!S310,1,0)=1-G313,1,0),"")</f>
        <v>1</v>
      </c>
      <c r="BI313" s="32" t="str">
        <f>INDEX(Stores!$B$2:$B$21,MATCH(B313,Stores!$A$2:$A$21,0))</f>
        <v>Hyderabad</v>
      </c>
    </row>
    <row r="314">
      <c r="A314" s="32" t="str">
        <f>Orders!A311</f>
        <v>O00310</v>
      </c>
      <c r="B314" s="32" t="str">
        <f>Orders!C311</f>
        <v>S005</v>
      </c>
      <c r="C314" s="32" t="str">
        <f>Orders!B311</f>
        <v>C0052</v>
      </c>
      <c r="D314" s="32" t="str">
        <f>Orders!H311</f>
        <v>Delivered</v>
      </c>
      <c r="E314" s="33">
        <f>IF(Orders!H311="Delivered",1,0)</f>
        <v>1</v>
      </c>
      <c r="F314" s="34">
        <f>IF(E314=1,Orders!R311,"")</f>
        <v>-0.4</v>
      </c>
      <c r="G314" s="33">
        <f>IF(E314=1,IF(Orders!R311&gt;0,1,0),"")</f>
        <v>0</v>
      </c>
      <c r="H314" s="33">
        <f>IF(E314=1,IF(Orders!R311&gt;5,1,0),"")</f>
        <v>0</v>
      </c>
      <c r="I314" s="32" t="str">
        <f>IF(E314=1,"",IF(OR(Orders!T311="Rider unavailable",Orders!T311="Item unavailable"),"Company-caused","Unresolved"))</f>
        <v/>
      </c>
      <c r="J314" s="33">
        <f>IF(OR(E314=1,I314="Company-caused"),1,0)</f>
        <v>1</v>
      </c>
      <c r="K314" s="32" t="str">
        <f>IF(E314=0,IF(I314="Company-caused",IF(Orders!T311="Rider unavailable","C1 Rider unavailable","C2 Item unavailable"),"Outside root: unresolved"),IF(G314=0,"A On time",IF(H314=1,IF(L314=1,"B2a Severe, peak","B2b Severe, off-peak"),IF(L314=1,"B1a Slight, peak","B1b Slight, off-peak"))))</f>
        <v>A On time</v>
      </c>
      <c r="L314" s="33">
        <f>IF(AND(Orders!U311&gt;=19,Orders!U311&lt;22),1,0)</f>
        <v>1</v>
      </c>
      <c r="M314" s="33">
        <f>IF(L314=IF(Orders!V311,1,0),1,0)</f>
        <v>1</v>
      </c>
      <c r="N314" s="32" t="str">
        <f>IF(Orders!W311="","None",Orders!W311)</f>
        <v>None</v>
      </c>
      <c r="O314" s="35">
        <f>INT(Orders!E311)</f>
        <v>46274.0</v>
      </c>
      <c r="P314" s="33">
        <f>Orders!U311</f>
        <v>21</v>
      </c>
      <c r="Q314" s="33">
        <f>COUNTIFS(Demand!$A$2:$A$4481,B314,Demand!$B$2:$B$4481,O314,Demand!$C$2:$C$4481,P314)</f>
        <v>1</v>
      </c>
      <c r="R314" s="33">
        <f>IF(Q314=1,SUMIFS(Demand!$E$2:$E$4481,Demand!$A$2:$A$4481,B314,Demand!$B$2:$B$4481,O314,Demand!$C$2:$C$4481,P314),"")</f>
        <v>15</v>
      </c>
      <c r="S314" s="33">
        <f>INDEX(Stores!$G$2:$G$21,MATCH(B314,Stores!$A$2:$A$21,0))</f>
        <v>14</v>
      </c>
      <c r="T314" s="34">
        <f>IF(R314="","",R314/S314)</f>
        <v>1.07142857142857</v>
      </c>
      <c r="U314" s="34">
        <f>IF(E314=1,T314,"")</f>
        <v>1.07142857142857</v>
      </c>
      <c r="V314" s="34" t="str">
        <f>IF(AND(E314=1,L314=0),T314,"")</f>
        <v/>
      </c>
      <c r="W314" s="33">
        <f>IF(U314="","",IF(U314&lt;=Breakdowns!$C$5,1,IF(U314&lt;=Breakdowns!$C$6,2,IF(U314&lt;=Breakdowns!$C$7,3,4))))</f>
        <v>3</v>
      </c>
      <c r="X314" s="33" t="str">
        <f>IF(V314="","",IF(V314&lt;=Breakdowns!$D$5,1,IF(V314&lt;=Breakdowns!$D$6,2,IF(V314&lt;=Breakdowns!$D$7,3,4))))</f>
        <v/>
      </c>
      <c r="Y314" s="34">
        <f>INDEX(Stores!$F$2:$F$21,MATCH(B314,Stores!$A$2:$A$21,0))</f>
        <v>4.89</v>
      </c>
      <c r="Z314" s="33">
        <f>IF(Y314&gt;Store_Summary!$M$2,1,0)</f>
        <v>0</v>
      </c>
      <c r="AA314" s="33">
        <f>INDEX(Stores!$C$2:$C$21,MATCH(B314,Stores!$A$2:$A$21,0))</f>
        <v>138</v>
      </c>
      <c r="AB314" s="33">
        <f>IF(AA314&lt;180,1,0)</f>
        <v>1</v>
      </c>
      <c r="AC314" s="32" t="str">
        <f>IF(Orders!D311="","",INDEX(Riders!$C$2:$C$81,MATCH(Orders!D311,Riders!$A$2:$A$81,0)))</f>
        <v>EV scooter</v>
      </c>
      <c r="AD314" s="33">
        <f>IF(Orders!D311="","",INDEX(Riders!$D$2:$D$81,MATCH(Orders!D311,Riders!$A$2:$A$81,0)))</f>
        <v>3</v>
      </c>
      <c r="AE314" s="33">
        <f>IF(Orders!D311="","",IF(INDEX(Riders!$B$2:$B$81,MATCH(Orders!D311,Riders!$A$2:$A$81,0))=B314,1,0))</f>
        <v>0</v>
      </c>
      <c r="AF314" s="34">
        <f>IF(E314=1,Orders!L311,"")</f>
        <v>1.6</v>
      </c>
      <c r="AG314" s="34">
        <f>IF(E314=1,Orders!P311,"")</f>
        <v>10.3</v>
      </c>
      <c r="AH314" s="34">
        <f>IF(E314=1,Orders!Q311,"")</f>
        <v>9.9</v>
      </c>
      <c r="AI314" s="34">
        <f>IF(E314=1,Orders!M311,"")</f>
        <v>2.4</v>
      </c>
      <c r="AJ314" s="34">
        <f>IF(E314=1,Orders!N311,"")</f>
        <v>4.7</v>
      </c>
      <c r="AK314" s="34">
        <f>IF(E314=1,Orders!O311,"")</f>
        <v>2.8</v>
      </c>
      <c r="AL314" s="33">
        <f>IF(E314=1,IF(ROUND(ABS(AI314+AJ314+AK314-AH314),6)&lt;=0.1,1,0),"")</f>
        <v>1</v>
      </c>
      <c r="AM314" s="36">
        <f>IF(E314=1,AI314/AH314,"")</f>
        <v>0.242424242424242</v>
      </c>
      <c r="AN314" s="36">
        <f>IF(E314=1,AJ314/AH314,"")</f>
        <v>0.474747474747475</v>
      </c>
      <c r="AO314" s="36">
        <f>IF(E314=1,AK314/AH314,"")</f>
        <v>0.282828282828283</v>
      </c>
      <c r="AP314" s="34">
        <f>IF(E314=1,Orders!Y311,"")</f>
        <v>0.72</v>
      </c>
      <c r="AQ314" s="33">
        <f>IF(Orders!X311,1,0)</f>
        <v>0</v>
      </c>
      <c r="AR314" s="34">
        <f>IF(AND(E314=1,L314=1),AJ314,"")</f>
        <v>4.7</v>
      </c>
      <c r="AS314" s="34" t="str">
        <f>IF(AND(E314=1,L314=0),AJ314,"")</f>
        <v/>
      </c>
      <c r="AT314" s="34">
        <f>IF(AND(E314=1,L314=1),AI314,"")</f>
        <v>2.4</v>
      </c>
      <c r="AU314" s="34" t="str">
        <f>IF(AND(E314=1,L314=0),AI314,"")</f>
        <v/>
      </c>
      <c r="AV314" s="34">
        <f>IF(AND(E314=1,L314=1),AG314,"")</f>
        <v>10.3</v>
      </c>
      <c r="AW314" s="34" t="str">
        <f>IF(AND(E314=1,L314=0),AG314,"")</f>
        <v/>
      </c>
      <c r="AX314" s="34">
        <f>IF(AND(E314=1,L314=1),AH314,"")</f>
        <v>9.9</v>
      </c>
      <c r="AY314" s="34" t="str">
        <f>IF(AND(E314=1,L314=0),AH314,"")</f>
        <v/>
      </c>
      <c r="AZ314" s="34" t="str">
        <f>IF(G314=1,F314,"")</f>
        <v/>
      </c>
      <c r="BA314" s="34" t="str">
        <f>IF(AND(G314=1,L314=1),F314,"")</f>
        <v/>
      </c>
      <c r="BB314" s="34" t="str">
        <f>IF(AND(G314=1,L314=0),F314,"")</f>
        <v/>
      </c>
      <c r="BC314" s="33">
        <f>IF(E314=1,IF(Orders!R311&gt;3,1,0),"")</f>
        <v>0</v>
      </c>
      <c r="BD314" s="33">
        <f>IF(E314=1,IF(Orders!R311&gt;7,1,0),"")</f>
        <v>0</v>
      </c>
      <c r="BE314" s="32" t="str">
        <f>IF(E314=1,IF(Orders!L311&lt;=1.5,"Up to 1.5 km",IF(Orders!L311&lt;=3,"1.5–3 km","Over 3 km")),"")</f>
        <v>1.5–3 km</v>
      </c>
      <c r="BF314" s="33">
        <f>IF(E314=1,IF(ABS((Orders!G311-Orders!F311)*1440-Orders!R311)&lt;0.06,1,0),"")</f>
        <v>1</v>
      </c>
      <c r="BG314" s="33">
        <f>IF(ABS((Orders!F311-Orders!E311)*1440-Orders!P311)&lt;0.06,1,0)</f>
        <v>1</v>
      </c>
      <c r="BH314" s="33">
        <f>IF(E314=1,IF(IF(Orders!S311,1,0)=1-G314,1,0),"")</f>
        <v>1</v>
      </c>
      <c r="BI314" s="32" t="str">
        <f>INDEX(Stores!$B$2:$B$21,MATCH(B314,Stores!$A$2:$A$21,0))</f>
        <v>Delhi</v>
      </c>
    </row>
    <row r="315">
      <c r="A315" s="32" t="str">
        <f>Orders!A312</f>
        <v>O00311</v>
      </c>
      <c r="B315" s="32" t="str">
        <f>Orders!C312</f>
        <v>S005</v>
      </c>
      <c r="C315" s="32" t="str">
        <f>Orders!B312</f>
        <v>C0174</v>
      </c>
      <c r="D315" s="32" t="str">
        <f>Orders!H312</f>
        <v>Delivered</v>
      </c>
      <c r="E315" s="33">
        <f>IF(Orders!H312="Delivered",1,0)</f>
        <v>1</v>
      </c>
      <c r="F315" s="34">
        <f>IF(E315=1,Orders!R312,"")</f>
        <v>-0.4</v>
      </c>
      <c r="G315" s="33">
        <f>IF(E315=1,IF(Orders!R312&gt;0,1,0),"")</f>
        <v>0</v>
      </c>
      <c r="H315" s="33">
        <f>IF(E315=1,IF(Orders!R312&gt;5,1,0),"")</f>
        <v>0</v>
      </c>
      <c r="I315" s="32" t="str">
        <f>IF(E315=1,"",IF(OR(Orders!T312="Rider unavailable",Orders!T312="Item unavailable"),"Company-caused","Unresolved"))</f>
        <v/>
      </c>
      <c r="J315" s="33">
        <f>IF(OR(E315=1,I315="Company-caused"),1,0)</f>
        <v>1</v>
      </c>
      <c r="K315" s="32" t="str">
        <f>IF(E315=0,IF(I315="Company-caused",IF(Orders!T312="Rider unavailable","C1 Rider unavailable","C2 Item unavailable"),"Outside root: unresolved"),IF(G315=0,"A On time",IF(H315=1,IF(L315=1,"B2a Severe, peak","B2b Severe, off-peak"),IF(L315=1,"B1a Slight, peak","B1b Slight, off-peak"))))</f>
        <v>A On time</v>
      </c>
      <c r="L315" s="33">
        <f>IF(AND(Orders!U312&gt;=19,Orders!U312&lt;22),1,0)</f>
        <v>0</v>
      </c>
      <c r="M315" s="33">
        <f>IF(L315=IF(Orders!V312,1,0),1,0)</f>
        <v>1</v>
      </c>
      <c r="N315" s="32" t="str">
        <f>IF(Orders!W312="","None",Orders!W312)</f>
        <v>Light</v>
      </c>
      <c r="O315" s="35">
        <f>INT(Orders!E312)</f>
        <v>46268.0</v>
      </c>
      <c r="P315" s="33">
        <f>Orders!U312</f>
        <v>9</v>
      </c>
      <c r="Q315" s="33">
        <f>COUNTIFS(Demand!$A$2:$A$4481,B315,Demand!$B$2:$B$4481,O315,Demand!$C$2:$C$4481,P315)</f>
        <v>1</v>
      </c>
      <c r="R315" s="33">
        <f>IF(Q315=1,SUMIFS(Demand!$E$2:$E$4481,Demand!$A$2:$A$4481,B315,Demand!$B$2:$B$4481,O315,Demand!$C$2:$C$4481,P315),"")</f>
        <v>7</v>
      </c>
      <c r="S315" s="33">
        <f>INDEX(Stores!$G$2:$G$21,MATCH(B315,Stores!$A$2:$A$21,0))</f>
        <v>14</v>
      </c>
      <c r="T315" s="34">
        <f>IF(R315="","",R315/S315)</f>
        <v>0.5</v>
      </c>
      <c r="U315" s="34">
        <f>IF(E315=1,T315,"")</f>
        <v>0.5</v>
      </c>
      <c r="V315" s="34">
        <f>IF(AND(E315=1,L315=0),T315,"")</f>
        <v>0.5</v>
      </c>
      <c r="W315" s="33">
        <f>IF(U315="","",IF(U315&lt;=Breakdowns!$C$5,1,IF(U315&lt;=Breakdowns!$C$6,2,IF(U315&lt;=Breakdowns!$C$7,3,4))))</f>
        <v>1</v>
      </c>
      <c r="X315" s="33">
        <f>IF(V315="","",IF(V315&lt;=Breakdowns!$D$5,1,IF(V315&lt;=Breakdowns!$D$6,2,IF(V315&lt;=Breakdowns!$D$7,3,4))))</f>
        <v>1</v>
      </c>
      <c r="Y315" s="34">
        <f>INDEX(Stores!$F$2:$F$21,MATCH(B315,Stores!$A$2:$A$21,0))</f>
        <v>4.89</v>
      </c>
      <c r="Z315" s="33">
        <f>IF(Y315&gt;Store_Summary!$M$2,1,0)</f>
        <v>0</v>
      </c>
      <c r="AA315" s="33">
        <f>INDEX(Stores!$C$2:$C$21,MATCH(B315,Stores!$A$2:$A$21,0))</f>
        <v>138</v>
      </c>
      <c r="AB315" s="33">
        <f>IF(AA315&lt;180,1,0)</f>
        <v>1</v>
      </c>
      <c r="AC315" s="32" t="str">
        <f>IF(Orders!D312="","",INDEX(Riders!$C$2:$C$81,MATCH(Orders!D312,Riders!$A$2:$A$81,0)))</f>
        <v>EV scooter</v>
      </c>
      <c r="AD315" s="33">
        <f>IF(Orders!D312="","",INDEX(Riders!$D$2:$D$81,MATCH(Orders!D312,Riders!$A$2:$A$81,0)))</f>
        <v>9</v>
      </c>
      <c r="AE315" s="33">
        <f>IF(Orders!D312="","",IF(INDEX(Riders!$B$2:$B$81,MATCH(Orders!D312,Riders!$A$2:$A$81,0))=B315,1,0))</f>
        <v>0</v>
      </c>
      <c r="AF315" s="34">
        <f>IF(E315=1,Orders!L312,"")</f>
        <v>1.43</v>
      </c>
      <c r="AG315" s="34">
        <f>IF(E315=1,Orders!P312,"")</f>
        <v>9.8</v>
      </c>
      <c r="AH315" s="34">
        <f>IF(E315=1,Orders!Q312,"")</f>
        <v>9.4</v>
      </c>
      <c r="AI315" s="34">
        <f>IF(E315=1,Orders!M312,"")</f>
        <v>4.1</v>
      </c>
      <c r="AJ315" s="34">
        <f>IF(E315=1,Orders!N312,"")</f>
        <v>1</v>
      </c>
      <c r="AK315" s="34">
        <f>IF(E315=1,Orders!O312,"")</f>
        <v>4.3</v>
      </c>
      <c r="AL315" s="33">
        <f>IF(E315=1,IF(ROUND(ABS(AI315+AJ315+AK315-AH315),6)&lt;=0.1,1,0),"")</f>
        <v>1</v>
      </c>
      <c r="AM315" s="36">
        <f>IF(E315=1,AI315/AH315,"")</f>
        <v>0.436170212765957</v>
      </c>
      <c r="AN315" s="36">
        <f>IF(E315=1,AJ315/AH315,"")</f>
        <v>0.106382978723404</v>
      </c>
      <c r="AO315" s="36">
        <f>IF(E315=1,AK315/AH315,"")</f>
        <v>0.457446808510638</v>
      </c>
      <c r="AP315" s="34">
        <f>IF(E315=1,Orders!Y312,"")</f>
        <v>0.82</v>
      </c>
      <c r="AQ315" s="33">
        <f>IF(Orders!X312,1,0)</f>
        <v>0</v>
      </c>
      <c r="AR315" s="34" t="str">
        <f>IF(AND(E315=1,L315=1),AJ315,"")</f>
        <v/>
      </c>
      <c r="AS315" s="34">
        <f>IF(AND(E315=1,L315=0),AJ315,"")</f>
        <v>1</v>
      </c>
      <c r="AT315" s="34" t="str">
        <f>IF(AND(E315=1,L315=1),AI315,"")</f>
        <v/>
      </c>
      <c r="AU315" s="34">
        <f>IF(AND(E315=1,L315=0),AI315,"")</f>
        <v>4.1</v>
      </c>
      <c r="AV315" s="34" t="str">
        <f>IF(AND(E315=1,L315=1),AG315,"")</f>
        <v/>
      </c>
      <c r="AW315" s="34">
        <f>IF(AND(E315=1,L315=0),AG315,"")</f>
        <v>9.8</v>
      </c>
      <c r="AX315" s="34" t="str">
        <f>IF(AND(E315=1,L315=1),AH315,"")</f>
        <v/>
      </c>
      <c r="AY315" s="34">
        <f>IF(AND(E315=1,L315=0),AH315,"")</f>
        <v>9.4</v>
      </c>
      <c r="AZ315" s="34" t="str">
        <f>IF(G315=1,F315,"")</f>
        <v/>
      </c>
      <c r="BA315" s="34" t="str">
        <f>IF(AND(G315=1,L315=1),F315,"")</f>
        <v/>
      </c>
      <c r="BB315" s="34" t="str">
        <f>IF(AND(G315=1,L315=0),F315,"")</f>
        <v/>
      </c>
      <c r="BC315" s="33">
        <f>IF(E315=1,IF(Orders!R312&gt;3,1,0),"")</f>
        <v>0</v>
      </c>
      <c r="BD315" s="33">
        <f>IF(E315=1,IF(Orders!R312&gt;7,1,0),"")</f>
        <v>0</v>
      </c>
      <c r="BE315" s="32" t="str">
        <f>IF(E315=1,IF(Orders!L312&lt;=1.5,"Up to 1.5 km",IF(Orders!L312&lt;=3,"1.5–3 km","Over 3 km")),"")</f>
        <v>Up to 1.5 km</v>
      </c>
      <c r="BF315" s="33">
        <f>IF(E315=1,IF(ABS((Orders!G312-Orders!F312)*1440-Orders!R312)&lt;0.06,1,0),"")</f>
        <v>1</v>
      </c>
      <c r="BG315" s="33">
        <f>IF(ABS((Orders!F312-Orders!E312)*1440-Orders!P312)&lt;0.06,1,0)</f>
        <v>1</v>
      </c>
      <c r="BH315" s="33">
        <f>IF(E315=1,IF(IF(Orders!S312,1,0)=1-G315,1,0),"")</f>
        <v>1</v>
      </c>
      <c r="BI315" s="32" t="str">
        <f>INDEX(Stores!$B$2:$B$21,MATCH(B315,Stores!$A$2:$A$21,0))</f>
        <v>Delhi</v>
      </c>
    </row>
    <row r="316">
      <c r="A316" s="32" t="str">
        <f>Orders!A313</f>
        <v>O00312</v>
      </c>
      <c r="B316" s="32" t="str">
        <f>Orders!C313</f>
        <v>S017</v>
      </c>
      <c r="C316" s="32" t="str">
        <f>Orders!B313</f>
        <v>C0235</v>
      </c>
      <c r="D316" s="32" t="str">
        <f>Orders!H313</f>
        <v>Delivered</v>
      </c>
      <c r="E316" s="33">
        <f>IF(Orders!H313="Delivered",1,0)</f>
        <v>1</v>
      </c>
      <c r="F316" s="34">
        <f>IF(E316=1,Orders!R313,"")</f>
        <v>-1.1</v>
      </c>
      <c r="G316" s="33">
        <f>IF(E316=1,IF(Orders!R313&gt;0,1,0),"")</f>
        <v>0</v>
      </c>
      <c r="H316" s="33">
        <f>IF(E316=1,IF(Orders!R313&gt;5,1,0),"")</f>
        <v>0</v>
      </c>
      <c r="I316" s="32" t="str">
        <f>IF(E316=1,"",IF(OR(Orders!T313="Rider unavailable",Orders!T313="Item unavailable"),"Company-caused","Unresolved"))</f>
        <v/>
      </c>
      <c r="J316" s="33">
        <f>IF(OR(E316=1,I316="Company-caused"),1,0)</f>
        <v>1</v>
      </c>
      <c r="K316" s="32" t="str">
        <f>IF(E316=0,IF(I316="Company-caused",IF(Orders!T313="Rider unavailable","C1 Rider unavailable","C2 Item unavailable"),"Outside root: unresolved"),IF(G316=0,"A On time",IF(H316=1,IF(L316=1,"B2a Severe, peak","B2b Severe, off-peak"),IF(L316=1,"B1a Slight, peak","B1b Slight, off-peak"))))</f>
        <v>A On time</v>
      </c>
      <c r="L316" s="33">
        <f>IF(AND(Orders!U313&gt;=19,Orders!U313&lt;22),1,0)</f>
        <v>0</v>
      </c>
      <c r="M316" s="33">
        <f>IF(L316=IF(Orders!V313,1,0),1,0)</f>
        <v>1</v>
      </c>
      <c r="N316" s="32" t="str">
        <f>IF(Orders!W313="","None",Orders!W313)</f>
        <v>Light</v>
      </c>
      <c r="O316" s="35">
        <f>INT(Orders!E313)</f>
        <v>46274.0</v>
      </c>
      <c r="P316" s="33">
        <f>Orders!U313</f>
        <v>11</v>
      </c>
      <c r="Q316" s="33">
        <f>COUNTIFS(Demand!$A$2:$A$4481,B316,Demand!$B$2:$B$4481,O316,Demand!$C$2:$C$4481,P316)</f>
        <v>1</v>
      </c>
      <c r="R316" s="33">
        <f>IF(Q316=1,SUMIFS(Demand!$E$2:$E$4481,Demand!$A$2:$A$4481,B316,Demand!$B$2:$B$4481,O316,Demand!$C$2:$C$4481,P316),"")</f>
        <v>34</v>
      </c>
      <c r="S316" s="33">
        <f>INDEX(Stores!$G$2:$G$21,MATCH(B316,Stores!$A$2:$A$21,0))</f>
        <v>36</v>
      </c>
      <c r="T316" s="34">
        <f>IF(R316="","",R316/S316)</f>
        <v>0.944444444444444</v>
      </c>
      <c r="U316" s="34">
        <f>IF(E316=1,T316,"")</f>
        <v>0.944444444444444</v>
      </c>
      <c r="V316" s="34">
        <f>IF(AND(E316=1,L316=0),T316,"")</f>
        <v>0.944444444444444</v>
      </c>
      <c r="W316" s="33">
        <f>IF(U316="","",IF(U316&lt;=Breakdowns!$C$5,1,IF(U316&lt;=Breakdowns!$C$6,2,IF(U316&lt;=Breakdowns!$C$7,3,4))))</f>
        <v>2</v>
      </c>
      <c r="X316" s="33">
        <f>IF(V316="","",IF(V316&lt;=Breakdowns!$D$5,1,IF(V316&lt;=Breakdowns!$D$6,2,IF(V316&lt;=Breakdowns!$D$7,3,4))))</f>
        <v>3</v>
      </c>
      <c r="Y316" s="34">
        <f>INDEX(Stores!$F$2:$F$21,MATCH(B316,Stores!$A$2:$A$21,0))</f>
        <v>2.16</v>
      </c>
      <c r="Z316" s="33">
        <f>IF(Y316&gt;Store_Summary!$M$2,1,0)</f>
        <v>0</v>
      </c>
      <c r="AA316" s="33">
        <f>INDEX(Stores!$C$2:$C$21,MATCH(B316,Stores!$A$2:$A$21,0))</f>
        <v>47</v>
      </c>
      <c r="AB316" s="33">
        <f>IF(AA316&lt;180,1,0)</f>
        <v>1</v>
      </c>
      <c r="AC316" s="32" t="str">
        <f>IF(Orders!D313="","",INDEX(Riders!$C$2:$C$81,MATCH(Orders!D313,Riders!$A$2:$A$81,0)))</f>
        <v>Petrol scooter</v>
      </c>
      <c r="AD316" s="33">
        <f>IF(Orders!D313="","",INDEX(Riders!$D$2:$D$81,MATCH(Orders!D313,Riders!$A$2:$A$81,0)))</f>
        <v>48</v>
      </c>
      <c r="AE316" s="33">
        <f>IF(Orders!D313="","",IF(INDEX(Riders!$B$2:$B$81,MATCH(Orders!D313,Riders!$A$2:$A$81,0))=B316,1,0))</f>
        <v>0</v>
      </c>
      <c r="AF316" s="34">
        <f>IF(E316=1,Orders!L313,"")</f>
        <v>4</v>
      </c>
      <c r="AG316" s="34">
        <f>IF(E316=1,Orders!P313,"")</f>
        <v>12.5</v>
      </c>
      <c r="AH316" s="34">
        <f>IF(E316=1,Orders!Q313,"")</f>
        <v>11.4</v>
      </c>
      <c r="AI316" s="34">
        <f>IF(E316=1,Orders!M313,"")</f>
        <v>1.7</v>
      </c>
      <c r="AJ316" s="34">
        <f>IF(E316=1,Orders!N313,"")</f>
        <v>4</v>
      </c>
      <c r="AK316" s="34">
        <f>IF(E316=1,Orders!O313,"")</f>
        <v>5.7</v>
      </c>
      <c r="AL316" s="33">
        <f>IF(E316=1,IF(ROUND(ABS(AI316+AJ316+AK316-AH316),6)&lt;=0.1,1,0),"")</f>
        <v>1</v>
      </c>
      <c r="AM316" s="36">
        <f>IF(E316=1,AI316/AH316,"")</f>
        <v>0.149122807017544</v>
      </c>
      <c r="AN316" s="36">
        <f>IF(E316=1,AJ316/AH316,"")</f>
        <v>0.350877192982456</v>
      </c>
      <c r="AO316" s="36">
        <f>IF(E316=1,AK316/AH316,"")</f>
        <v>0.5</v>
      </c>
      <c r="AP316" s="34">
        <f>IF(E316=1,Orders!Y313,"")</f>
        <v>0.47</v>
      </c>
      <c r="AQ316" s="33">
        <f>IF(Orders!X313,1,0)</f>
        <v>0</v>
      </c>
      <c r="AR316" s="34" t="str">
        <f>IF(AND(E316=1,L316=1),AJ316,"")</f>
        <v/>
      </c>
      <c r="AS316" s="34">
        <f>IF(AND(E316=1,L316=0),AJ316,"")</f>
        <v>4</v>
      </c>
      <c r="AT316" s="34" t="str">
        <f>IF(AND(E316=1,L316=1),AI316,"")</f>
        <v/>
      </c>
      <c r="AU316" s="34">
        <f>IF(AND(E316=1,L316=0),AI316,"")</f>
        <v>1.7</v>
      </c>
      <c r="AV316" s="34" t="str">
        <f>IF(AND(E316=1,L316=1),AG316,"")</f>
        <v/>
      </c>
      <c r="AW316" s="34">
        <f>IF(AND(E316=1,L316=0),AG316,"")</f>
        <v>12.5</v>
      </c>
      <c r="AX316" s="34" t="str">
        <f>IF(AND(E316=1,L316=1),AH316,"")</f>
        <v/>
      </c>
      <c r="AY316" s="34">
        <f>IF(AND(E316=1,L316=0),AH316,"")</f>
        <v>11.4</v>
      </c>
      <c r="AZ316" s="34" t="str">
        <f>IF(G316=1,F316,"")</f>
        <v/>
      </c>
      <c r="BA316" s="34" t="str">
        <f>IF(AND(G316=1,L316=1),F316,"")</f>
        <v/>
      </c>
      <c r="BB316" s="34" t="str">
        <f>IF(AND(G316=1,L316=0),F316,"")</f>
        <v/>
      </c>
      <c r="BC316" s="33">
        <f>IF(E316=1,IF(Orders!R313&gt;3,1,0),"")</f>
        <v>0</v>
      </c>
      <c r="BD316" s="33">
        <f>IF(E316=1,IF(Orders!R313&gt;7,1,0),"")</f>
        <v>0</v>
      </c>
      <c r="BE316" s="32" t="str">
        <f>IF(E316=1,IF(Orders!L313&lt;=1.5,"Up to 1.5 km",IF(Orders!L313&lt;=3,"1.5–3 km","Over 3 km")),"")</f>
        <v>Over 3 km</v>
      </c>
      <c r="BF316" s="33">
        <f>IF(E316=1,IF(ABS((Orders!G313-Orders!F313)*1440-Orders!R313)&lt;0.06,1,0),"")</f>
        <v>1</v>
      </c>
      <c r="BG316" s="33">
        <f>IF(ABS((Orders!F313-Orders!E313)*1440-Orders!P313)&lt;0.06,1,0)</f>
        <v>1</v>
      </c>
      <c r="BH316" s="33">
        <f>IF(E316=1,IF(IF(Orders!S313,1,0)=1-G316,1,0),"")</f>
        <v>1</v>
      </c>
      <c r="BI316" s="32" t="str">
        <f>INDEX(Stores!$B$2:$B$21,MATCH(B316,Stores!$A$2:$A$21,0))</f>
        <v>Hyderabad</v>
      </c>
    </row>
    <row r="317">
      <c r="A317" s="32" t="str">
        <f>Orders!A314</f>
        <v>O00313</v>
      </c>
      <c r="B317" s="32" t="str">
        <f>Orders!C314</f>
        <v>S014</v>
      </c>
      <c r="C317" s="32" t="str">
        <f>Orders!B314</f>
        <v>C0116</v>
      </c>
      <c r="D317" s="32" t="str">
        <f>Orders!H314</f>
        <v>Delivered</v>
      </c>
      <c r="E317" s="33">
        <f>IF(Orders!H314="Delivered",1,0)</f>
        <v>1</v>
      </c>
      <c r="F317" s="34">
        <f>IF(E317=1,Orders!R314,"")</f>
        <v>8.4</v>
      </c>
      <c r="G317" s="33">
        <f>IF(E317=1,IF(Orders!R314&gt;0,1,0),"")</f>
        <v>1</v>
      </c>
      <c r="H317" s="33">
        <f>IF(E317=1,IF(Orders!R314&gt;5,1,0),"")</f>
        <v>1</v>
      </c>
      <c r="I317" s="32" t="str">
        <f>IF(E317=1,"",IF(OR(Orders!T314="Rider unavailable",Orders!T314="Item unavailable"),"Company-caused","Unresolved"))</f>
        <v/>
      </c>
      <c r="J317" s="33">
        <f>IF(OR(E317=1,I317="Company-caused"),1,0)</f>
        <v>1</v>
      </c>
      <c r="K317" s="32" t="str">
        <f>IF(E317=0,IF(I317="Company-caused",IF(Orders!T314="Rider unavailable","C1 Rider unavailable","C2 Item unavailable"),"Outside root: unresolved"),IF(G317=0,"A On time",IF(H317=1,IF(L317=1,"B2a Severe, peak","B2b Severe, off-peak"),IF(L317=1,"B1a Slight, peak","B1b Slight, off-peak"))))</f>
        <v>B2b Severe, off-peak</v>
      </c>
      <c r="L317" s="33">
        <f>IF(AND(Orders!U314&gt;=19,Orders!U314&lt;22),1,0)</f>
        <v>0</v>
      </c>
      <c r="M317" s="33">
        <f>IF(L317=IF(Orders!V314,1,0),1,0)</f>
        <v>1</v>
      </c>
      <c r="N317" s="32" t="str">
        <f>IF(Orders!W314="","None",Orders!W314)</f>
        <v>None</v>
      </c>
      <c r="O317" s="35">
        <f>INT(Orders!E314)</f>
        <v>46278.0</v>
      </c>
      <c r="P317" s="33">
        <f>Orders!U314</f>
        <v>8</v>
      </c>
      <c r="Q317" s="33">
        <f>COUNTIFS(Demand!$A$2:$A$4481,B317,Demand!$B$2:$B$4481,O317,Demand!$C$2:$C$4481,P317)</f>
        <v>1</v>
      </c>
      <c r="R317" s="33">
        <f>IF(Q317=1,SUMIFS(Demand!$E$2:$E$4481,Demand!$A$2:$A$4481,B317,Demand!$B$2:$B$4481,O317,Demand!$C$2:$C$4481,P317),"")</f>
        <v>33</v>
      </c>
      <c r="S317" s="33">
        <f>INDEX(Stores!$G$2:$G$21,MATCH(B317,Stores!$A$2:$A$21,0))</f>
        <v>37</v>
      </c>
      <c r="T317" s="34">
        <f>IF(R317="","",R317/S317)</f>
        <v>0.891891891891892</v>
      </c>
      <c r="U317" s="34">
        <f>IF(E317=1,T317,"")</f>
        <v>0.891891891891892</v>
      </c>
      <c r="V317" s="34">
        <f>IF(AND(E317=1,L317=0),T317,"")</f>
        <v>0.891891891891892</v>
      </c>
      <c r="W317" s="33">
        <f>IF(U317="","",IF(U317&lt;=Breakdowns!$C$5,1,IF(U317&lt;=Breakdowns!$C$6,2,IF(U317&lt;=Breakdowns!$C$7,3,4))))</f>
        <v>2</v>
      </c>
      <c r="X317" s="33">
        <f>IF(V317="","",IF(V317&lt;=Breakdowns!$D$5,1,IF(V317&lt;=Breakdowns!$D$6,2,IF(V317&lt;=Breakdowns!$D$7,3,4))))</f>
        <v>2</v>
      </c>
      <c r="Y317" s="34">
        <f>INDEX(Stores!$F$2:$F$21,MATCH(B317,Stores!$A$2:$A$21,0))</f>
        <v>5.55</v>
      </c>
      <c r="Z317" s="33">
        <f>IF(Y317&gt;Store_Summary!$M$2,1,0)</f>
        <v>1</v>
      </c>
      <c r="AA317" s="33">
        <f>INDEX(Stores!$C$2:$C$21,MATCH(B317,Stores!$A$2:$A$21,0))</f>
        <v>241</v>
      </c>
      <c r="AB317" s="33">
        <f>IF(AA317&lt;180,1,0)</f>
        <v>0</v>
      </c>
      <c r="AC317" s="32" t="str">
        <f>IF(Orders!D314="","",INDEX(Riders!$C$2:$C$81,MATCH(Orders!D314,Riders!$A$2:$A$81,0)))</f>
        <v>EV scooter</v>
      </c>
      <c r="AD317" s="33">
        <f>IF(Orders!D314="","",INDEX(Riders!$D$2:$D$81,MATCH(Orders!D314,Riders!$A$2:$A$81,0)))</f>
        <v>26</v>
      </c>
      <c r="AE317" s="33">
        <f>IF(Orders!D314="","",IF(INDEX(Riders!$B$2:$B$81,MATCH(Orders!D314,Riders!$A$2:$A$81,0))=B317,1,0))</f>
        <v>1</v>
      </c>
      <c r="AF317" s="34">
        <f>IF(E317=1,Orders!L314,"")</f>
        <v>1.49</v>
      </c>
      <c r="AG317" s="34">
        <f>IF(E317=1,Orders!P314,"")</f>
        <v>11.2</v>
      </c>
      <c r="AH317" s="34">
        <f>IF(E317=1,Orders!Q314,"")</f>
        <v>19.6</v>
      </c>
      <c r="AI317" s="34">
        <f>IF(E317=1,Orders!M314,"")</f>
        <v>5.5</v>
      </c>
      <c r="AJ317" s="34">
        <f>IF(E317=1,Orders!N314,"")</f>
        <v>9.9</v>
      </c>
      <c r="AK317" s="34">
        <f>IF(E317=1,Orders!O314,"")</f>
        <v>4.2</v>
      </c>
      <c r="AL317" s="33">
        <f>IF(E317=1,IF(ROUND(ABS(AI317+AJ317+AK317-AH317),6)&lt;=0.1,1,0),"")</f>
        <v>1</v>
      </c>
      <c r="AM317" s="36">
        <f>IF(E317=1,AI317/AH317,"")</f>
        <v>0.280612244897959</v>
      </c>
      <c r="AN317" s="36">
        <f>IF(E317=1,AJ317/AH317,"")</f>
        <v>0.505102040816327</v>
      </c>
      <c r="AO317" s="36">
        <f>IF(E317=1,AK317/AH317,"")</f>
        <v>0.214285714285714</v>
      </c>
      <c r="AP317" s="34">
        <f>IF(E317=1,Orders!Y314,"")</f>
        <v>0.27</v>
      </c>
      <c r="AQ317" s="33">
        <f>IF(Orders!X314,1,0)</f>
        <v>0</v>
      </c>
      <c r="AR317" s="34" t="str">
        <f>IF(AND(E317=1,L317=1),AJ317,"")</f>
        <v/>
      </c>
      <c r="AS317" s="34">
        <f>IF(AND(E317=1,L317=0),AJ317,"")</f>
        <v>9.9</v>
      </c>
      <c r="AT317" s="34" t="str">
        <f>IF(AND(E317=1,L317=1),AI317,"")</f>
        <v/>
      </c>
      <c r="AU317" s="34">
        <f>IF(AND(E317=1,L317=0),AI317,"")</f>
        <v>5.5</v>
      </c>
      <c r="AV317" s="34" t="str">
        <f>IF(AND(E317=1,L317=1),AG317,"")</f>
        <v/>
      </c>
      <c r="AW317" s="34">
        <f>IF(AND(E317=1,L317=0),AG317,"")</f>
        <v>11.2</v>
      </c>
      <c r="AX317" s="34" t="str">
        <f>IF(AND(E317=1,L317=1),AH317,"")</f>
        <v/>
      </c>
      <c r="AY317" s="34">
        <f>IF(AND(E317=1,L317=0),AH317,"")</f>
        <v>19.6</v>
      </c>
      <c r="AZ317" s="34">
        <f>IF(G317=1,F317,"")</f>
        <v>8.4</v>
      </c>
      <c r="BA317" s="34" t="str">
        <f>IF(AND(G317=1,L317=1),F317,"")</f>
        <v/>
      </c>
      <c r="BB317" s="34">
        <f>IF(AND(G317=1,L317=0),F317,"")</f>
        <v>8.4</v>
      </c>
      <c r="BC317" s="33">
        <f>IF(E317=1,IF(Orders!R314&gt;3,1,0),"")</f>
        <v>1</v>
      </c>
      <c r="BD317" s="33">
        <f>IF(E317=1,IF(Orders!R314&gt;7,1,0),"")</f>
        <v>1</v>
      </c>
      <c r="BE317" s="32" t="str">
        <f>IF(E317=1,IF(Orders!L314&lt;=1.5,"Up to 1.5 km",IF(Orders!L314&lt;=3,"1.5–3 km","Over 3 km")),"")</f>
        <v>Up to 1.5 km</v>
      </c>
      <c r="BF317" s="33">
        <f>IF(E317=1,IF(ABS((Orders!G314-Orders!F314)*1440-Orders!R314)&lt;0.06,1,0),"")</f>
        <v>1</v>
      </c>
      <c r="BG317" s="33">
        <f>IF(ABS((Orders!F314-Orders!E314)*1440-Orders!P314)&lt;0.06,1,0)</f>
        <v>1</v>
      </c>
      <c r="BH317" s="33">
        <f>IF(E317=1,IF(IF(Orders!S314,1,0)=1-G317,1,0),"")</f>
        <v>1</v>
      </c>
      <c r="BI317" s="32" t="str">
        <f>INDEX(Stores!$B$2:$B$21,MATCH(B317,Stores!$A$2:$A$21,0))</f>
        <v>Pune</v>
      </c>
    </row>
    <row r="318">
      <c r="A318" s="32" t="str">
        <f>Orders!A315</f>
        <v>O00314</v>
      </c>
      <c r="B318" s="32" t="str">
        <f>Orders!C315</f>
        <v>S005</v>
      </c>
      <c r="C318" s="32" t="str">
        <f>Orders!B315</f>
        <v>C0061</v>
      </c>
      <c r="D318" s="32" t="str">
        <f>Orders!H315</f>
        <v>Delivered</v>
      </c>
      <c r="E318" s="33">
        <f>IF(Orders!H315="Delivered",1,0)</f>
        <v>1</v>
      </c>
      <c r="F318" s="34">
        <f>IF(E318=1,Orders!R315,"")</f>
        <v>-0.3</v>
      </c>
      <c r="G318" s="33">
        <f>IF(E318=1,IF(Orders!R315&gt;0,1,0),"")</f>
        <v>0</v>
      </c>
      <c r="H318" s="33">
        <f>IF(E318=1,IF(Orders!R315&gt;5,1,0),"")</f>
        <v>0</v>
      </c>
      <c r="I318" s="32" t="str">
        <f>IF(E318=1,"",IF(OR(Orders!T315="Rider unavailable",Orders!T315="Item unavailable"),"Company-caused","Unresolved"))</f>
        <v/>
      </c>
      <c r="J318" s="33">
        <f>IF(OR(E318=1,I318="Company-caused"),1,0)</f>
        <v>1</v>
      </c>
      <c r="K318" s="32" t="str">
        <f>IF(E318=0,IF(I318="Company-caused",IF(Orders!T315="Rider unavailable","C1 Rider unavailable","C2 Item unavailable"),"Outside root: unresolved"),IF(G318=0,"A On time",IF(H318=1,IF(L318=1,"B2a Severe, peak","B2b Severe, off-peak"),IF(L318=1,"B1a Slight, peak","B1b Slight, off-peak"))))</f>
        <v>A On time</v>
      </c>
      <c r="L318" s="33">
        <f>IF(AND(Orders!U315&gt;=19,Orders!U315&lt;22),1,0)</f>
        <v>1</v>
      </c>
      <c r="M318" s="33">
        <f>IF(L318=IF(Orders!V315,1,0),1,0)</f>
        <v>1</v>
      </c>
      <c r="N318" s="32" t="str">
        <f>IF(Orders!W315="","None",Orders!W315)</f>
        <v>Heavy</v>
      </c>
      <c r="O318" s="35">
        <f>INT(Orders!E315)</f>
        <v>46266.0</v>
      </c>
      <c r="P318" s="33">
        <f>Orders!U315</f>
        <v>21</v>
      </c>
      <c r="Q318" s="33">
        <f>COUNTIFS(Demand!$A$2:$A$4481,B318,Demand!$B$2:$B$4481,O318,Demand!$C$2:$C$4481,P318)</f>
        <v>1</v>
      </c>
      <c r="R318" s="33">
        <f>IF(Q318=1,SUMIFS(Demand!$E$2:$E$4481,Demand!$A$2:$A$4481,B318,Demand!$B$2:$B$4481,O318,Demand!$C$2:$C$4481,P318),"")</f>
        <v>22</v>
      </c>
      <c r="S318" s="33">
        <f>INDEX(Stores!$G$2:$G$21,MATCH(B318,Stores!$A$2:$A$21,0))</f>
        <v>14</v>
      </c>
      <c r="T318" s="34">
        <f>IF(R318="","",R318/S318)</f>
        <v>1.57142857142857</v>
      </c>
      <c r="U318" s="34">
        <f>IF(E318=1,T318,"")</f>
        <v>1.57142857142857</v>
      </c>
      <c r="V318" s="34" t="str">
        <f>IF(AND(E318=1,L318=0),T318,"")</f>
        <v/>
      </c>
      <c r="W318" s="33">
        <f>IF(U318="","",IF(U318&lt;=Breakdowns!$C$5,1,IF(U318&lt;=Breakdowns!$C$6,2,IF(U318&lt;=Breakdowns!$C$7,3,4))))</f>
        <v>4</v>
      </c>
      <c r="X318" s="33" t="str">
        <f>IF(V318="","",IF(V318&lt;=Breakdowns!$D$5,1,IF(V318&lt;=Breakdowns!$D$6,2,IF(V318&lt;=Breakdowns!$D$7,3,4))))</f>
        <v/>
      </c>
      <c r="Y318" s="34">
        <f>INDEX(Stores!$F$2:$F$21,MATCH(B318,Stores!$A$2:$A$21,0))</f>
        <v>4.89</v>
      </c>
      <c r="Z318" s="33">
        <f>IF(Y318&gt;Store_Summary!$M$2,1,0)</f>
        <v>0</v>
      </c>
      <c r="AA318" s="33">
        <f>INDEX(Stores!$C$2:$C$21,MATCH(B318,Stores!$A$2:$A$21,0))</f>
        <v>138</v>
      </c>
      <c r="AB318" s="33">
        <f>IF(AA318&lt;180,1,0)</f>
        <v>1</v>
      </c>
      <c r="AC318" s="32" t="str">
        <f>IF(Orders!D315="","",INDEX(Riders!$C$2:$C$81,MATCH(Orders!D315,Riders!$A$2:$A$81,0)))</f>
        <v>Bicycle</v>
      </c>
      <c r="AD318" s="33">
        <f>IF(Orders!D315="","",INDEX(Riders!$D$2:$D$81,MATCH(Orders!D315,Riders!$A$2:$A$81,0)))</f>
        <v>44</v>
      </c>
      <c r="AE318" s="33">
        <f>IF(Orders!D315="","",IF(INDEX(Riders!$B$2:$B$81,MATCH(Orders!D315,Riders!$A$2:$A$81,0))=B318,1,0))</f>
        <v>0</v>
      </c>
      <c r="AF318" s="34">
        <f>IF(E318=1,Orders!L315,"")</f>
        <v>2.87</v>
      </c>
      <c r="AG318" s="34">
        <f>IF(E318=1,Orders!P315,"")</f>
        <v>10.8</v>
      </c>
      <c r="AH318" s="34">
        <f>IF(E318=1,Orders!Q315,"")</f>
        <v>10.5</v>
      </c>
      <c r="AI318" s="34">
        <f>IF(E318=1,Orders!M315,"")</f>
        <v>2.7</v>
      </c>
      <c r="AJ318" s="34">
        <f>IF(E318=1,Orders!N315,"")</f>
        <v>3.6</v>
      </c>
      <c r="AK318" s="34">
        <f>IF(E318=1,Orders!O315,"")</f>
        <v>4.2</v>
      </c>
      <c r="AL318" s="33">
        <f>IF(E318=1,IF(ROUND(ABS(AI318+AJ318+AK318-AH318),6)&lt;=0.1,1,0),"")</f>
        <v>1</v>
      </c>
      <c r="AM318" s="36">
        <f>IF(E318=1,AI318/AH318,"")</f>
        <v>0.257142857142857</v>
      </c>
      <c r="AN318" s="36">
        <f>IF(E318=1,AJ318/AH318,"")</f>
        <v>0.342857142857143</v>
      </c>
      <c r="AO318" s="36">
        <f>IF(E318=1,AK318/AH318,"")</f>
        <v>0.4</v>
      </c>
      <c r="AP318" s="34">
        <f>IF(E318=1,Orders!Y315,"")</f>
        <v>0.55</v>
      </c>
      <c r="AQ318" s="33">
        <f>IF(Orders!X315,1,0)</f>
        <v>0</v>
      </c>
      <c r="AR318" s="34">
        <f>IF(AND(E318=1,L318=1),AJ318,"")</f>
        <v>3.6</v>
      </c>
      <c r="AS318" s="34" t="str">
        <f>IF(AND(E318=1,L318=0),AJ318,"")</f>
        <v/>
      </c>
      <c r="AT318" s="34">
        <f>IF(AND(E318=1,L318=1),AI318,"")</f>
        <v>2.7</v>
      </c>
      <c r="AU318" s="34" t="str">
        <f>IF(AND(E318=1,L318=0),AI318,"")</f>
        <v/>
      </c>
      <c r="AV318" s="34">
        <f>IF(AND(E318=1,L318=1),AG318,"")</f>
        <v>10.8</v>
      </c>
      <c r="AW318" s="34" t="str">
        <f>IF(AND(E318=1,L318=0),AG318,"")</f>
        <v/>
      </c>
      <c r="AX318" s="34">
        <f>IF(AND(E318=1,L318=1),AH318,"")</f>
        <v>10.5</v>
      </c>
      <c r="AY318" s="34" t="str">
        <f>IF(AND(E318=1,L318=0),AH318,"")</f>
        <v/>
      </c>
      <c r="AZ318" s="34" t="str">
        <f>IF(G318=1,F318,"")</f>
        <v/>
      </c>
      <c r="BA318" s="34" t="str">
        <f>IF(AND(G318=1,L318=1),F318,"")</f>
        <v/>
      </c>
      <c r="BB318" s="34" t="str">
        <f>IF(AND(G318=1,L318=0),F318,"")</f>
        <v/>
      </c>
      <c r="BC318" s="33">
        <f>IF(E318=1,IF(Orders!R315&gt;3,1,0),"")</f>
        <v>0</v>
      </c>
      <c r="BD318" s="33">
        <f>IF(E318=1,IF(Orders!R315&gt;7,1,0),"")</f>
        <v>0</v>
      </c>
      <c r="BE318" s="32" t="str">
        <f>IF(E318=1,IF(Orders!L315&lt;=1.5,"Up to 1.5 km",IF(Orders!L315&lt;=3,"1.5–3 km","Over 3 km")),"")</f>
        <v>1.5–3 km</v>
      </c>
      <c r="BF318" s="33">
        <f>IF(E318=1,IF(ABS((Orders!G315-Orders!F315)*1440-Orders!R315)&lt;0.06,1,0),"")</f>
        <v>1</v>
      </c>
      <c r="BG318" s="33">
        <f>IF(ABS((Orders!F315-Orders!E315)*1440-Orders!P315)&lt;0.06,1,0)</f>
        <v>1</v>
      </c>
      <c r="BH318" s="33">
        <f>IF(E318=1,IF(IF(Orders!S315,1,0)=1-G318,1,0),"")</f>
        <v>1</v>
      </c>
      <c r="BI318" s="32" t="str">
        <f>INDEX(Stores!$B$2:$B$21,MATCH(B318,Stores!$A$2:$A$21,0))</f>
        <v>Delhi</v>
      </c>
    </row>
    <row r="319">
      <c r="A319" s="32" t="str">
        <f>Orders!A316</f>
        <v>O00315</v>
      </c>
      <c r="B319" s="32" t="str">
        <f>Orders!C316</f>
        <v>S007</v>
      </c>
      <c r="C319" s="32" t="str">
        <f>Orders!B316</f>
        <v>C0158</v>
      </c>
      <c r="D319" s="32" t="str">
        <f>Orders!H316</f>
        <v>Delivered</v>
      </c>
      <c r="E319" s="33">
        <f>IF(Orders!H316="Delivered",1,0)</f>
        <v>1</v>
      </c>
      <c r="F319" s="34">
        <f>IF(E319=1,Orders!R316,"")</f>
        <v>-0.4</v>
      </c>
      <c r="G319" s="33">
        <f>IF(E319=1,IF(Orders!R316&gt;0,1,0),"")</f>
        <v>0</v>
      </c>
      <c r="H319" s="33">
        <f>IF(E319=1,IF(Orders!R316&gt;5,1,0),"")</f>
        <v>0</v>
      </c>
      <c r="I319" s="32" t="str">
        <f>IF(E319=1,"",IF(OR(Orders!T316="Rider unavailable",Orders!T316="Item unavailable"),"Company-caused","Unresolved"))</f>
        <v/>
      </c>
      <c r="J319" s="33">
        <f>IF(OR(E319=1,I319="Company-caused"),1,0)</f>
        <v>1</v>
      </c>
      <c r="K319" s="32" t="str">
        <f>IF(E319=0,IF(I319="Company-caused",IF(Orders!T316="Rider unavailable","C1 Rider unavailable","C2 Item unavailable"),"Outside root: unresolved"),IF(G319=0,"A On time",IF(H319=1,IF(L319=1,"B2a Severe, peak","B2b Severe, off-peak"),IF(L319=1,"B1a Slight, peak","B1b Slight, off-peak"))))</f>
        <v>A On time</v>
      </c>
      <c r="L319" s="33">
        <f>IF(AND(Orders!U316&gt;=19,Orders!U316&lt;22),1,0)</f>
        <v>0</v>
      </c>
      <c r="M319" s="33">
        <f>IF(L319=IF(Orders!V316,1,0),1,0)</f>
        <v>1</v>
      </c>
      <c r="N319" s="32" t="str">
        <f>IF(Orders!W316="","None",Orders!W316)</f>
        <v>Light</v>
      </c>
      <c r="O319" s="35">
        <f>INT(Orders!E316)</f>
        <v>46272.0</v>
      </c>
      <c r="P319" s="33">
        <f>Orders!U316</f>
        <v>14</v>
      </c>
      <c r="Q319" s="33">
        <f>COUNTIFS(Demand!$A$2:$A$4481,B319,Demand!$B$2:$B$4481,O319,Demand!$C$2:$C$4481,P319)</f>
        <v>1</v>
      </c>
      <c r="R319" s="33">
        <f>IF(Q319=1,SUMIFS(Demand!$E$2:$E$4481,Demand!$A$2:$A$4481,B319,Demand!$B$2:$B$4481,O319,Demand!$C$2:$C$4481,P319),"")</f>
        <v>37</v>
      </c>
      <c r="S319" s="33">
        <f>INDEX(Stores!$G$2:$G$21,MATCH(B319,Stores!$A$2:$A$21,0))</f>
        <v>37</v>
      </c>
      <c r="T319" s="34">
        <f>IF(R319="","",R319/S319)</f>
        <v>1</v>
      </c>
      <c r="U319" s="34">
        <f>IF(E319=1,T319,"")</f>
        <v>1</v>
      </c>
      <c r="V319" s="34">
        <f>IF(AND(E319=1,L319=0),T319,"")</f>
        <v>1</v>
      </c>
      <c r="W319" s="33">
        <f>IF(U319="","",IF(U319&lt;=Breakdowns!$C$5,1,IF(U319&lt;=Breakdowns!$C$6,2,IF(U319&lt;=Breakdowns!$C$7,3,4))))</f>
        <v>2</v>
      </c>
      <c r="X319" s="33">
        <f>IF(V319="","",IF(V319&lt;=Breakdowns!$D$5,1,IF(V319&lt;=Breakdowns!$D$6,2,IF(V319&lt;=Breakdowns!$D$7,3,4))))</f>
        <v>3</v>
      </c>
      <c r="Y319" s="34">
        <f>INDEX(Stores!$F$2:$F$21,MATCH(B319,Stores!$A$2:$A$21,0))</f>
        <v>4.05</v>
      </c>
      <c r="Z319" s="33">
        <f>IF(Y319&gt;Store_Summary!$M$2,1,0)</f>
        <v>0</v>
      </c>
      <c r="AA319" s="33">
        <f>INDEX(Stores!$C$2:$C$21,MATCH(B319,Stores!$A$2:$A$21,0))</f>
        <v>661</v>
      </c>
      <c r="AB319" s="33">
        <f>IF(AA319&lt;180,1,0)</f>
        <v>0</v>
      </c>
      <c r="AC319" s="32" t="str">
        <f>IF(Orders!D316="","",INDEX(Riders!$C$2:$C$81,MATCH(Orders!D316,Riders!$A$2:$A$81,0)))</f>
        <v>EV scooter</v>
      </c>
      <c r="AD319" s="33">
        <f>IF(Orders!D316="","",INDEX(Riders!$D$2:$D$81,MATCH(Orders!D316,Riders!$A$2:$A$81,0)))</f>
        <v>14</v>
      </c>
      <c r="AE319" s="33">
        <f>IF(Orders!D316="","",IF(INDEX(Riders!$B$2:$B$81,MATCH(Orders!D316,Riders!$A$2:$A$81,0))=B319,1,0))</f>
        <v>0</v>
      </c>
      <c r="AF319" s="34">
        <f>IF(E319=1,Orders!L316,"")</f>
        <v>2.73</v>
      </c>
      <c r="AG319" s="34">
        <f>IF(E319=1,Orders!P316,"")</f>
        <v>12</v>
      </c>
      <c r="AH319" s="34">
        <f>IF(E319=1,Orders!Q316,"")</f>
        <v>11.6</v>
      </c>
      <c r="AI319" s="34">
        <f>IF(E319=1,Orders!M316,"")</f>
        <v>3.1</v>
      </c>
      <c r="AJ319" s="34">
        <f>IF(E319=1,Orders!N316,"")</f>
        <v>1.4</v>
      </c>
      <c r="AK319" s="34">
        <f>IF(E319=1,Orders!O316,"")</f>
        <v>7.1</v>
      </c>
      <c r="AL319" s="33">
        <f>IF(E319=1,IF(ROUND(ABS(AI319+AJ319+AK319-AH319),6)&lt;=0.1,1,0),"")</f>
        <v>1</v>
      </c>
      <c r="AM319" s="36">
        <f>IF(E319=1,AI319/AH319,"")</f>
        <v>0.267241379310345</v>
      </c>
      <c r="AN319" s="36">
        <f>IF(E319=1,AJ319/AH319,"")</f>
        <v>0.120689655172414</v>
      </c>
      <c r="AO319" s="36">
        <f>IF(E319=1,AK319/AH319,"")</f>
        <v>0.612068965517241</v>
      </c>
      <c r="AP319" s="34">
        <f>IF(E319=1,Orders!Y316,"")</f>
        <v>0.5</v>
      </c>
      <c r="AQ319" s="33">
        <f>IF(Orders!X316,1,0)</f>
        <v>0</v>
      </c>
      <c r="AR319" s="34" t="str">
        <f>IF(AND(E319=1,L319=1),AJ319,"")</f>
        <v/>
      </c>
      <c r="AS319" s="34">
        <f>IF(AND(E319=1,L319=0),AJ319,"")</f>
        <v>1.4</v>
      </c>
      <c r="AT319" s="34" t="str">
        <f>IF(AND(E319=1,L319=1),AI319,"")</f>
        <v/>
      </c>
      <c r="AU319" s="34">
        <f>IF(AND(E319=1,L319=0),AI319,"")</f>
        <v>3.1</v>
      </c>
      <c r="AV319" s="34" t="str">
        <f>IF(AND(E319=1,L319=1),AG319,"")</f>
        <v/>
      </c>
      <c r="AW319" s="34">
        <f>IF(AND(E319=1,L319=0),AG319,"")</f>
        <v>12</v>
      </c>
      <c r="AX319" s="34" t="str">
        <f>IF(AND(E319=1,L319=1),AH319,"")</f>
        <v/>
      </c>
      <c r="AY319" s="34">
        <f>IF(AND(E319=1,L319=0),AH319,"")</f>
        <v>11.6</v>
      </c>
      <c r="AZ319" s="34" t="str">
        <f>IF(G319=1,F319,"")</f>
        <v/>
      </c>
      <c r="BA319" s="34" t="str">
        <f>IF(AND(G319=1,L319=1),F319,"")</f>
        <v/>
      </c>
      <c r="BB319" s="34" t="str">
        <f>IF(AND(G319=1,L319=0),F319,"")</f>
        <v/>
      </c>
      <c r="BC319" s="33">
        <f>IF(E319=1,IF(Orders!R316&gt;3,1,0),"")</f>
        <v>0</v>
      </c>
      <c r="BD319" s="33">
        <f>IF(E319=1,IF(Orders!R316&gt;7,1,0),"")</f>
        <v>0</v>
      </c>
      <c r="BE319" s="32" t="str">
        <f>IF(E319=1,IF(Orders!L316&lt;=1.5,"Up to 1.5 km",IF(Orders!L316&lt;=3,"1.5–3 km","Over 3 km")),"")</f>
        <v>1.5–3 km</v>
      </c>
      <c r="BF319" s="33">
        <f>IF(E319=1,IF(ABS((Orders!G316-Orders!F316)*1440-Orders!R316)&lt;0.06,1,0),"")</f>
        <v>1</v>
      </c>
      <c r="BG319" s="33">
        <f>IF(ABS((Orders!F316-Orders!E316)*1440-Orders!P316)&lt;0.06,1,0)</f>
        <v>1</v>
      </c>
      <c r="BH319" s="33">
        <f>IF(E319=1,IF(IF(Orders!S316,1,0)=1-G319,1,0),"")</f>
        <v>1</v>
      </c>
      <c r="BI319" s="32" t="str">
        <f>INDEX(Stores!$B$2:$B$21,MATCH(B319,Stores!$A$2:$A$21,0))</f>
        <v>Hyderabad</v>
      </c>
    </row>
    <row r="320">
      <c r="A320" s="32" t="str">
        <f>Orders!A317</f>
        <v>O00316</v>
      </c>
      <c r="B320" s="32" t="str">
        <f>Orders!C317</f>
        <v>S019</v>
      </c>
      <c r="C320" s="32" t="str">
        <f>Orders!B317</f>
        <v>C0141</v>
      </c>
      <c r="D320" s="32" t="str">
        <f>Orders!H317</f>
        <v>Delivered</v>
      </c>
      <c r="E320" s="33">
        <f>IF(Orders!H317="Delivered",1,0)</f>
        <v>1</v>
      </c>
      <c r="F320" s="34">
        <f>IF(E320=1,Orders!R317,"")</f>
        <v>-0.5</v>
      </c>
      <c r="G320" s="33">
        <f>IF(E320=1,IF(Orders!R317&gt;0,1,0),"")</f>
        <v>0</v>
      </c>
      <c r="H320" s="33">
        <f>IF(E320=1,IF(Orders!R317&gt;5,1,0),"")</f>
        <v>0</v>
      </c>
      <c r="I320" s="32" t="str">
        <f>IF(E320=1,"",IF(OR(Orders!T317="Rider unavailable",Orders!T317="Item unavailable"),"Company-caused","Unresolved"))</f>
        <v/>
      </c>
      <c r="J320" s="33">
        <f>IF(OR(E320=1,I320="Company-caused"),1,0)</f>
        <v>1</v>
      </c>
      <c r="K320" s="32" t="str">
        <f>IF(E320=0,IF(I320="Company-caused",IF(Orders!T317="Rider unavailable","C1 Rider unavailable","C2 Item unavailable"),"Outside root: unresolved"),IF(G320=0,"A On time",IF(H320=1,IF(L320=1,"B2a Severe, peak","B2b Severe, off-peak"),IF(L320=1,"B1a Slight, peak","B1b Slight, off-peak"))))</f>
        <v>A On time</v>
      </c>
      <c r="L320" s="33">
        <f>IF(AND(Orders!U317&gt;=19,Orders!U317&lt;22),1,0)</f>
        <v>0</v>
      </c>
      <c r="M320" s="33">
        <f>IF(L320=IF(Orders!V317,1,0),1,0)</f>
        <v>1</v>
      </c>
      <c r="N320" s="32" t="str">
        <f>IF(Orders!W317="","None",Orders!W317)</f>
        <v>None</v>
      </c>
      <c r="O320" s="35">
        <f>INT(Orders!E317)</f>
        <v>46268.0</v>
      </c>
      <c r="P320" s="33">
        <f>Orders!U317</f>
        <v>17</v>
      </c>
      <c r="Q320" s="33">
        <f>COUNTIFS(Demand!$A$2:$A$4481,B320,Demand!$B$2:$B$4481,O320,Demand!$C$2:$C$4481,P320)</f>
        <v>1</v>
      </c>
      <c r="R320" s="33">
        <f>IF(Q320=1,SUMIFS(Demand!$E$2:$E$4481,Demand!$A$2:$A$4481,B320,Demand!$B$2:$B$4481,O320,Demand!$C$2:$C$4481,P320),"")</f>
        <v>26</v>
      </c>
      <c r="S320" s="33">
        <f>INDEX(Stores!$G$2:$G$21,MATCH(B320,Stores!$A$2:$A$21,0))</f>
        <v>22</v>
      </c>
      <c r="T320" s="34">
        <f>IF(R320="","",R320/S320)</f>
        <v>1.18181818181818</v>
      </c>
      <c r="U320" s="34">
        <f>IF(E320=1,T320,"")</f>
        <v>1.18181818181818</v>
      </c>
      <c r="V320" s="34">
        <f>IF(AND(E320=1,L320=0),T320,"")</f>
        <v>1.18181818181818</v>
      </c>
      <c r="W320" s="33">
        <f>IF(U320="","",IF(U320&lt;=Breakdowns!$C$5,1,IF(U320&lt;=Breakdowns!$C$6,2,IF(U320&lt;=Breakdowns!$C$7,3,4))))</f>
        <v>3</v>
      </c>
      <c r="X320" s="33">
        <f>IF(V320="","",IF(V320&lt;=Breakdowns!$D$5,1,IF(V320&lt;=Breakdowns!$D$6,2,IF(V320&lt;=Breakdowns!$D$7,3,4))))</f>
        <v>4</v>
      </c>
      <c r="Y320" s="34">
        <f>INDEX(Stores!$F$2:$F$21,MATCH(B320,Stores!$A$2:$A$21,0))</f>
        <v>4.99</v>
      </c>
      <c r="Z320" s="33">
        <f>IF(Y320&gt;Store_Summary!$M$2,1,0)</f>
        <v>1</v>
      </c>
      <c r="AA320" s="33">
        <f>INDEX(Stores!$C$2:$C$21,MATCH(B320,Stores!$A$2:$A$21,0))</f>
        <v>851</v>
      </c>
      <c r="AB320" s="33">
        <f>IF(AA320&lt;180,1,0)</f>
        <v>0</v>
      </c>
      <c r="AC320" s="32" t="str">
        <f>IF(Orders!D317="","",INDEX(Riders!$C$2:$C$81,MATCH(Orders!D317,Riders!$A$2:$A$81,0)))</f>
        <v>EV scooter</v>
      </c>
      <c r="AD320" s="33">
        <f>IF(Orders!D317="","",INDEX(Riders!$D$2:$D$81,MATCH(Orders!D317,Riders!$A$2:$A$81,0)))</f>
        <v>1</v>
      </c>
      <c r="AE320" s="33">
        <f>IF(Orders!D317="","",IF(INDEX(Riders!$B$2:$B$81,MATCH(Orders!D317,Riders!$A$2:$A$81,0))=B320,1,0))</f>
        <v>0</v>
      </c>
      <c r="AF320" s="34">
        <f>IF(E320=1,Orders!L317,"")</f>
        <v>2.29</v>
      </c>
      <c r="AG320" s="34">
        <f>IF(E320=1,Orders!P317,"")</f>
        <v>12.7</v>
      </c>
      <c r="AH320" s="34">
        <f>IF(E320=1,Orders!Q317,"")</f>
        <v>12.2</v>
      </c>
      <c r="AI320" s="34">
        <f>IF(E320=1,Orders!M317,"")</f>
        <v>4.6</v>
      </c>
      <c r="AJ320" s="34">
        <f>IF(E320=1,Orders!N317,"")</f>
        <v>3.2</v>
      </c>
      <c r="AK320" s="34">
        <f>IF(E320=1,Orders!O317,"")</f>
        <v>4.4</v>
      </c>
      <c r="AL320" s="33">
        <f>IF(E320=1,IF(ROUND(ABS(AI320+AJ320+AK320-AH320),6)&lt;=0.1,1,0),"")</f>
        <v>1</v>
      </c>
      <c r="AM320" s="36">
        <f>IF(E320=1,AI320/AH320,"")</f>
        <v>0.377049180327869</v>
      </c>
      <c r="AN320" s="36">
        <f>IF(E320=1,AJ320/AH320,"")</f>
        <v>0.262295081967213</v>
      </c>
      <c r="AO320" s="36">
        <f>IF(E320=1,AK320/AH320,"")</f>
        <v>0.360655737704918</v>
      </c>
      <c r="AP320" s="34">
        <f>IF(E320=1,Orders!Y317,"")</f>
        <v>0.07</v>
      </c>
      <c r="AQ320" s="33">
        <f>IF(Orders!X317,1,0)</f>
        <v>0</v>
      </c>
      <c r="AR320" s="34" t="str">
        <f>IF(AND(E320=1,L320=1),AJ320,"")</f>
        <v/>
      </c>
      <c r="AS320" s="34">
        <f>IF(AND(E320=1,L320=0),AJ320,"")</f>
        <v>3.2</v>
      </c>
      <c r="AT320" s="34" t="str">
        <f>IF(AND(E320=1,L320=1),AI320,"")</f>
        <v/>
      </c>
      <c r="AU320" s="34">
        <f>IF(AND(E320=1,L320=0),AI320,"")</f>
        <v>4.6</v>
      </c>
      <c r="AV320" s="34" t="str">
        <f>IF(AND(E320=1,L320=1),AG320,"")</f>
        <v/>
      </c>
      <c r="AW320" s="34">
        <f>IF(AND(E320=1,L320=0),AG320,"")</f>
        <v>12.7</v>
      </c>
      <c r="AX320" s="34" t="str">
        <f>IF(AND(E320=1,L320=1),AH320,"")</f>
        <v/>
      </c>
      <c r="AY320" s="34">
        <f>IF(AND(E320=1,L320=0),AH320,"")</f>
        <v>12.2</v>
      </c>
      <c r="AZ320" s="34" t="str">
        <f>IF(G320=1,F320,"")</f>
        <v/>
      </c>
      <c r="BA320" s="34" t="str">
        <f>IF(AND(G320=1,L320=1),F320,"")</f>
        <v/>
      </c>
      <c r="BB320" s="34" t="str">
        <f>IF(AND(G320=1,L320=0),F320,"")</f>
        <v/>
      </c>
      <c r="BC320" s="33">
        <f>IF(E320=1,IF(Orders!R317&gt;3,1,0),"")</f>
        <v>0</v>
      </c>
      <c r="BD320" s="33">
        <f>IF(E320=1,IF(Orders!R317&gt;7,1,0),"")</f>
        <v>0</v>
      </c>
      <c r="BE320" s="32" t="str">
        <f>IF(E320=1,IF(Orders!L317&lt;=1.5,"Up to 1.5 km",IF(Orders!L317&lt;=3,"1.5–3 km","Over 3 km")),"")</f>
        <v>1.5–3 km</v>
      </c>
      <c r="BF320" s="33">
        <f>IF(E320=1,IF(ABS((Orders!G317-Orders!F317)*1440-Orders!R317)&lt;0.06,1,0),"")</f>
        <v>1</v>
      </c>
      <c r="BG320" s="33">
        <f>IF(ABS((Orders!F317-Orders!E317)*1440-Orders!P317)&lt;0.06,1,0)</f>
        <v>1</v>
      </c>
      <c r="BH320" s="33">
        <f>IF(E320=1,IF(IF(Orders!S317,1,0)=1-G320,1,0),"")</f>
        <v>1</v>
      </c>
      <c r="BI320" s="32" t="str">
        <f>INDEX(Stores!$B$2:$B$21,MATCH(B320,Stores!$A$2:$A$21,0))</f>
        <v>Pune</v>
      </c>
    </row>
    <row r="321">
      <c r="A321" s="32" t="str">
        <f>Orders!A318</f>
        <v>O00317</v>
      </c>
      <c r="B321" s="32" t="str">
        <f>Orders!C318</f>
        <v>S016</v>
      </c>
      <c r="C321" s="32" t="str">
        <f>Orders!B318</f>
        <v>C0107</v>
      </c>
      <c r="D321" s="32" t="str">
        <f>Orders!H318</f>
        <v>Delivered</v>
      </c>
      <c r="E321" s="33">
        <f>IF(Orders!H318="Delivered",1,0)</f>
        <v>1</v>
      </c>
      <c r="F321" s="34">
        <f>IF(E321=1,Orders!R318,"")</f>
        <v>-0.7</v>
      </c>
      <c r="G321" s="33">
        <f>IF(E321=1,IF(Orders!R318&gt;0,1,0),"")</f>
        <v>0</v>
      </c>
      <c r="H321" s="33">
        <f>IF(E321=1,IF(Orders!R318&gt;5,1,0),"")</f>
        <v>0</v>
      </c>
      <c r="I321" s="32" t="str">
        <f>IF(E321=1,"",IF(OR(Orders!T318="Rider unavailable",Orders!T318="Item unavailable"),"Company-caused","Unresolved"))</f>
        <v/>
      </c>
      <c r="J321" s="33">
        <f>IF(OR(E321=1,I321="Company-caused"),1,0)</f>
        <v>1</v>
      </c>
      <c r="K321" s="32" t="str">
        <f>IF(E321=0,IF(I321="Company-caused",IF(Orders!T318="Rider unavailable","C1 Rider unavailable","C2 Item unavailable"),"Outside root: unresolved"),IF(G321=0,"A On time",IF(H321=1,IF(L321=1,"B2a Severe, peak","B2b Severe, off-peak"),IF(L321=1,"B1a Slight, peak","B1b Slight, off-peak"))))</f>
        <v>A On time</v>
      </c>
      <c r="L321" s="33">
        <f>IF(AND(Orders!U318&gt;=19,Orders!U318&lt;22),1,0)</f>
        <v>1</v>
      </c>
      <c r="M321" s="33">
        <f>IF(L321=IF(Orders!V318,1,0),1,0)</f>
        <v>1</v>
      </c>
      <c r="N321" s="32" t="str">
        <f>IF(Orders!W318="","None",Orders!W318)</f>
        <v>Light</v>
      </c>
      <c r="O321" s="35">
        <f>INT(Orders!E318)</f>
        <v>46268.0</v>
      </c>
      <c r="P321" s="33">
        <f>Orders!U318</f>
        <v>21</v>
      </c>
      <c r="Q321" s="33">
        <f>COUNTIFS(Demand!$A$2:$A$4481,B321,Demand!$B$2:$B$4481,O321,Demand!$C$2:$C$4481,P321)</f>
        <v>1</v>
      </c>
      <c r="R321" s="33">
        <f>IF(Q321=1,SUMIFS(Demand!$E$2:$E$4481,Demand!$A$2:$A$4481,B321,Demand!$B$2:$B$4481,O321,Demand!$C$2:$C$4481,P321),"")</f>
        <v>40</v>
      </c>
      <c r="S321" s="33">
        <f>INDEX(Stores!$G$2:$G$21,MATCH(B321,Stores!$A$2:$A$21,0))</f>
        <v>25</v>
      </c>
      <c r="T321" s="34">
        <f>IF(R321="","",R321/S321)</f>
        <v>1.6</v>
      </c>
      <c r="U321" s="34">
        <f>IF(E321=1,T321,"")</f>
        <v>1.6</v>
      </c>
      <c r="V321" s="34" t="str">
        <f>IF(AND(E321=1,L321=0),T321,"")</f>
        <v/>
      </c>
      <c r="W321" s="33">
        <f>IF(U321="","",IF(U321&lt;=Breakdowns!$C$5,1,IF(U321&lt;=Breakdowns!$C$6,2,IF(U321&lt;=Breakdowns!$C$7,3,4))))</f>
        <v>4</v>
      </c>
      <c r="X321" s="33" t="str">
        <f>IF(V321="","",IF(V321&lt;=Breakdowns!$D$5,1,IF(V321&lt;=Breakdowns!$D$6,2,IF(V321&lt;=Breakdowns!$D$7,3,4))))</f>
        <v/>
      </c>
      <c r="Y321" s="34">
        <f>INDEX(Stores!$F$2:$F$21,MATCH(B321,Stores!$A$2:$A$21,0))</f>
        <v>5.51</v>
      </c>
      <c r="Z321" s="33">
        <f>IF(Y321&gt;Store_Summary!$M$2,1,0)</f>
        <v>1</v>
      </c>
      <c r="AA321" s="33">
        <f>INDEX(Stores!$C$2:$C$21,MATCH(B321,Stores!$A$2:$A$21,0))</f>
        <v>792</v>
      </c>
      <c r="AB321" s="33">
        <f>IF(AA321&lt;180,1,0)</f>
        <v>0</v>
      </c>
      <c r="AC321" s="32" t="str">
        <f>IF(Orders!D318="","",INDEX(Riders!$C$2:$C$81,MATCH(Orders!D318,Riders!$A$2:$A$81,0)))</f>
        <v>EV scooter</v>
      </c>
      <c r="AD321" s="33">
        <f>IF(Orders!D318="","",INDEX(Riders!$D$2:$D$81,MATCH(Orders!D318,Riders!$A$2:$A$81,0)))</f>
        <v>33</v>
      </c>
      <c r="AE321" s="33">
        <f>IF(Orders!D318="","",IF(INDEX(Riders!$B$2:$B$81,MATCH(Orders!D318,Riders!$A$2:$A$81,0))=B321,1,0))</f>
        <v>0</v>
      </c>
      <c r="AF321" s="34">
        <f>IF(E321=1,Orders!L318,"")</f>
        <v>1.64</v>
      </c>
      <c r="AG321" s="34">
        <f>IF(E321=1,Orders!P318,"")</f>
        <v>8.2</v>
      </c>
      <c r="AH321" s="34">
        <f>IF(E321=1,Orders!Q318,"")</f>
        <v>7.5</v>
      </c>
      <c r="AI321" s="34">
        <f>IF(E321=1,Orders!M318,"")</f>
        <v>2.1</v>
      </c>
      <c r="AJ321" s="34">
        <f>IF(E321=1,Orders!N318,"")</f>
        <v>2.9</v>
      </c>
      <c r="AK321" s="34">
        <f>IF(E321=1,Orders!O318,"")</f>
        <v>2.5</v>
      </c>
      <c r="AL321" s="33">
        <f>IF(E321=1,IF(ROUND(ABS(AI321+AJ321+AK321-AH321),6)&lt;=0.1,1,0),"")</f>
        <v>1</v>
      </c>
      <c r="AM321" s="36">
        <f>IF(E321=1,AI321/AH321,"")</f>
        <v>0.28</v>
      </c>
      <c r="AN321" s="36">
        <f>IF(E321=1,AJ321/AH321,"")</f>
        <v>0.386666666666667</v>
      </c>
      <c r="AO321" s="36">
        <f>IF(E321=1,AK321/AH321,"")</f>
        <v>0.333333333333333</v>
      </c>
      <c r="AP321" s="34">
        <f>IF(E321=1,Orders!Y318,"")</f>
        <v>0.55</v>
      </c>
      <c r="AQ321" s="33">
        <f>IF(Orders!X318,1,0)</f>
        <v>0</v>
      </c>
      <c r="AR321" s="34">
        <f>IF(AND(E321=1,L321=1),AJ321,"")</f>
        <v>2.9</v>
      </c>
      <c r="AS321" s="34" t="str">
        <f>IF(AND(E321=1,L321=0),AJ321,"")</f>
        <v/>
      </c>
      <c r="AT321" s="34">
        <f>IF(AND(E321=1,L321=1),AI321,"")</f>
        <v>2.1</v>
      </c>
      <c r="AU321" s="34" t="str">
        <f>IF(AND(E321=1,L321=0),AI321,"")</f>
        <v/>
      </c>
      <c r="AV321" s="34">
        <f>IF(AND(E321=1,L321=1),AG321,"")</f>
        <v>8.2</v>
      </c>
      <c r="AW321" s="34" t="str">
        <f>IF(AND(E321=1,L321=0),AG321,"")</f>
        <v/>
      </c>
      <c r="AX321" s="34">
        <f>IF(AND(E321=1,L321=1),AH321,"")</f>
        <v>7.5</v>
      </c>
      <c r="AY321" s="34" t="str">
        <f>IF(AND(E321=1,L321=0),AH321,"")</f>
        <v/>
      </c>
      <c r="AZ321" s="34" t="str">
        <f>IF(G321=1,F321,"")</f>
        <v/>
      </c>
      <c r="BA321" s="34" t="str">
        <f>IF(AND(G321=1,L321=1),F321,"")</f>
        <v/>
      </c>
      <c r="BB321" s="34" t="str">
        <f>IF(AND(G321=1,L321=0),F321,"")</f>
        <v/>
      </c>
      <c r="BC321" s="33">
        <f>IF(E321=1,IF(Orders!R318&gt;3,1,0),"")</f>
        <v>0</v>
      </c>
      <c r="BD321" s="33">
        <f>IF(E321=1,IF(Orders!R318&gt;7,1,0),"")</f>
        <v>0</v>
      </c>
      <c r="BE321" s="32" t="str">
        <f>IF(E321=1,IF(Orders!L318&lt;=1.5,"Up to 1.5 km",IF(Orders!L318&lt;=3,"1.5–3 km","Over 3 km")),"")</f>
        <v>1.5–3 km</v>
      </c>
      <c r="BF321" s="33">
        <f>IF(E321=1,IF(ABS((Orders!G318-Orders!F318)*1440-Orders!R318)&lt;0.06,1,0),"")</f>
        <v>1</v>
      </c>
      <c r="BG321" s="33">
        <f>IF(ABS((Orders!F318-Orders!E318)*1440-Orders!P318)&lt;0.06,1,0)</f>
        <v>1</v>
      </c>
      <c r="BH321" s="33">
        <f>IF(E321=1,IF(IF(Orders!S318,1,0)=1-G321,1,0),"")</f>
        <v>1</v>
      </c>
      <c r="BI321" s="32" t="str">
        <f>INDEX(Stores!$B$2:$B$21,MATCH(B321,Stores!$A$2:$A$21,0))</f>
        <v>Bengaluru</v>
      </c>
    </row>
    <row r="322">
      <c r="A322" s="32" t="str">
        <f>Orders!A319</f>
        <v>O00318</v>
      </c>
      <c r="B322" s="32" t="str">
        <f>Orders!C319</f>
        <v>S005</v>
      </c>
      <c r="C322" s="32" t="str">
        <f>Orders!B319</f>
        <v>C0052</v>
      </c>
      <c r="D322" s="32" t="str">
        <f>Orders!H319</f>
        <v>Delivered</v>
      </c>
      <c r="E322" s="33">
        <f>IF(Orders!H319="Delivered",1,0)</f>
        <v>1</v>
      </c>
      <c r="F322" s="34">
        <f>IF(E322=1,Orders!R319,"")</f>
        <v>-0.8</v>
      </c>
      <c r="G322" s="33">
        <f>IF(E322=1,IF(Orders!R319&gt;0,1,0),"")</f>
        <v>0</v>
      </c>
      <c r="H322" s="33">
        <f>IF(E322=1,IF(Orders!R319&gt;5,1,0),"")</f>
        <v>0</v>
      </c>
      <c r="I322" s="32" t="str">
        <f>IF(E322=1,"",IF(OR(Orders!T319="Rider unavailable",Orders!T319="Item unavailable"),"Company-caused","Unresolved"))</f>
        <v/>
      </c>
      <c r="J322" s="33">
        <f>IF(OR(E322=1,I322="Company-caused"),1,0)</f>
        <v>1</v>
      </c>
      <c r="K322" s="32" t="str">
        <f>IF(E322=0,IF(I322="Company-caused",IF(Orders!T319="Rider unavailable","C1 Rider unavailable","C2 Item unavailable"),"Outside root: unresolved"),IF(G322=0,"A On time",IF(H322=1,IF(L322=1,"B2a Severe, peak","B2b Severe, off-peak"),IF(L322=1,"B1a Slight, peak","B1b Slight, off-peak"))))</f>
        <v>A On time</v>
      </c>
      <c r="L322" s="33">
        <f>IF(AND(Orders!U319&gt;=19,Orders!U319&lt;22),1,0)</f>
        <v>0</v>
      </c>
      <c r="M322" s="33">
        <f>IF(L322=IF(Orders!V319,1,0),1,0)</f>
        <v>1</v>
      </c>
      <c r="N322" s="32" t="str">
        <f>IF(Orders!W319="","None",Orders!W319)</f>
        <v>None</v>
      </c>
      <c r="O322" s="35">
        <f>INT(Orders!E319)</f>
        <v>46275.0</v>
      </c>
      <c r="P322" s="33">
        <f>Orders!U319</f>
        <v>12</v>
      </c>
      <c r="Q322" s="33">
        <f>COUNTIFS(Demand!$A$2:$A$4481,B322,Demand!$B$2:$B$4481,O322,Demand!$C$2:$C$4481,P322)</f>
        <v>1</v>
      </c>
      <c r="R322" s="33">
        <f>IF(Q322=1,SUMIFS(Demand!$E$2:$E$4481,Demand!$A$2:$A$4481,B322,Demand!$B$2:$B$4481,O322,Demand!$C$2:$C$4481,P322),"")</f>
        <v>9</v>
      </c>
      <c r="S322" s="33">
        <f>INDEX(Stores!$G$2:$G$21,MATCH(B322,Stores!$A$2:$A$21,0))</f>
        <v>14</v>
      </c>
      <c r="T322" s="34">
        <f>IF(R322="","",R322/S322)</f>
        <v>0.642857142857143</v>
      </c>
      <c r="U322" s="34">
        <f>IF(E322=1,T322,"")</f>
        <v>0.642857142857143</v>
      </c>
      <c r="V322" s="34">
        <f>IF(AND(E322=1,L322=0),T322,"")</f>
        <v>0.642857142857143</v>
      </c>
      <c r="W322" s="33">
        <f>IF(U322="","",IF(U322&lt;=Breakdowns!$C$5,1,IF(U322&lt;=Breakdowns!$C$6,2,IF(U322&lt;=Breakdowns!$C$7,3,4))))</f>
        <v>1</v>
      </c>
      <c r="X322" s="33">
        <f>IF(V322="","",IF(V322&lt;=Breakdowns!$D$5,1,IF(V322&lt;=Breakdowns!$D$6,2,IF(V322&lt;=Breakdowns!$D$7,3,4))))</f>
        <v>1</v>
      </c>
      <c r="Y322" s="34">
        <f>INDEX(Stores!$F$2:$F$21,MATCH(B322,Stores!$A$2:$A$21,0))</f>
        <v>4.89</v>
      </c>
      <c r="Z322" s="33">
        <f>IF(Y322&gt;Store_Summary!$M$2,1,0)</f>
        <v>0</v>
      </c>
      <c r="AA322" s="33">
        <f>INDEX(Stores!$C$2:$C$21,MATCH(B322,Stores!$A$2:$A$21,0))</f>
        <v>138</v>
      </c>
      <c r="AB322" s="33">
        <f>IF(AA322&lt;180,1,0)</f>
        <v>1</v>
      </c>
      <c r="AC322" s="32" t="str">
        <f>IF(Orders!D319="","",INDEX(Riders!$C$2:$C$81,MATCH(Orders!D319,Riders!$A$2:$A$81,0)))</f>
        <v>Bicycle</v>
      </c>
      <c r="AD322" s="33">
        <f>IF(Orders!D319="","",INDEX(Riders!$D$2:$D$81,MATCH(Orders!D319,Riders!$A$2:$A$81,0)))</f>
        <v>26</v>
      </c>
      <c r="AE322" s="33">
        <f>IF(Orders!D319="","",IF(INDEX(Riders!$B$2:$B$81,MATCH(Orders!D319,Riders!$A$2:$A$81,0))=B322,1,0))</f>
        <v>0</v>
      </c>
      <c r="AF322" s="34">
        <f>IF(E322=1,Orders!L319,"")</f>
        <v>2.8</v>
      </c>
      <c r="AG322" s="34">
        <f>IF(E322=1,Orders!P319,"")</f>
        <v>10.3</v>
      </c>
      <c r="AH322" s="34">
        <f>IF(E322=1,Orders!Q319,"")</f>
        <v>9.5</v>
      </c>
      <c r="AI322" s="34">
        <f>IF(E322=1,Orders!M319,"")</f>
        <v>3</v>
      </c>
      <c r="AJ322" s="34">
        <f>IF(E322=1,Orders!N319,"")</f>
        <v>2.6</v>
      </c>
      <c r="AK322" s="34">
        <f>IF(E322=1,Orders!O319,"")</f>
        <v>3.9</v>
      </c>
      <c r="AL322" s="33">
        <f>IF(E322=1,IF(ROUND(ABS(AI322+AJ322+AK322-AH322),6)&lt;=0.1,1,0),"")</f>
        <v>1</v>
      </c>
      <c r="AM322" s="36">
        <f>IF(E322=1,AI322/AH322,"")</f>
        <v>0.315789473684211</v>
      </c>
      <c r="AN322" s="36">
        <f>IF(E322=1,AJ322/AH322,"")</f>
        <v>0.273684210526316</v>
      </c>
      <c r="AO322" s="36">
        <f>IF(E322=1,AK322/AH322,"")</f>
        <v>0.410526315789474</v>
      </c>
      <c r="AP322" s="34">
        <f>IF(E322=1,Orders!Y319,"")</f>
        <v>0.6</v>
      </c>
      <c r="AQ322" s="33">
        <f>IF(Orders!X319,1,0)</f>
        <v>0</v>
      </c>
      <c r="AR322" s="34" t="str">
        <f>IF(AND(E322=1,L322=1),AJ322,"")</f>
        <v/>
      </c>
      <c r="AS322" s="34">
        <f>IF(AND(E322=1,L322=0),AJ322,"")</f>
        <v>2.6</v>
      </c>
      <c r="AT322" s="34" t="str">
        <f>IF(AND(E322=1,L322=1),AI322,"")</f>
        <v/>
      </c>
      <c r="AU322" s="34">
        <f>IF(AND(E322=1,L322=0),AI322,"")</f>
        <v>3</v>
      </c>
      <c r="AV322" s="34" t="str">
        <f>IF(AND(E322=1,L322=1),AG322,"")</f>
        <v/>
      </c>
      <c r="AW322" s="34">
        <f>IF(AND(E322=1,L322=0),AG322,"")</f>
        <v>10.3</v>
      </c>
      <c r="AX322" s="34" t="str">
        <f>IF(AND(E322=1,L322=1),AH322,"")</f>
        <v/>
      </c>
      <c r="AY322" s="34">
        <f>IF(AND(E322=1,L322=0),AH322,"")</f>
        <v>9.5</v>
      </c>
      <c r="AZ322" s="34" t="str">
        <f>IF(G322=1,F322,"")</f>
        <v/>
      </c>
      <c r="BA322" s="34" t="str">
        <f>IF(AND(G322=1,L322=1),F322,"")</f>
        <v/>
      </c>
      <c r="BB322" s="34" t="str">
        <f>IF(AND(G322=1,L322=0),F322,"")</f>
        <v/>
      </c>
      <c r="BC322" s="33">
        <f>IF(E322=1,IF(Orders!R319&gt;3,1,0),"")</f>
        <v>0</v>
      </c>
      <c r="BD322" s="33">
        <f>IF(E322=1,IF(Orders!R319&gt;7,1,0),"")</f>
        <v>0</v>
      </c>
      <c r="BE322" s="32" t="str">
        <f>IF(E322=1,IF(Orders!L319&lt;=1.5,"Up to 1.5 km",IF(Orders!L319&lt;=3,"1.5–3 km","Over 3 km")),"")</f>
        <v>1.5–3 km</v>
      </c>
      <c r="BF322" s="33">
        <f>IF(E322=1,IF(ABS((Orders!G319-Orders!F319)*1440-Orders!R319)&lt;0.06,1,0),"")</f>
        <v>1</v>
      </c>
      <c r="BG322" s="33">
        <f>IF(ABS((Orders!F319-Orders!E319)*1440-Orders!P319)&lt;0.06,1,0)</f>
        <v>1</v>
      </c>
      <c r="BH322" s="33">
        <f>IF(E322=1,IF(IF(Orders!S319,1,0)=1-G322,1,0),"")</f>
        <v>1</v>
      </c>
      <c r="BI322" s="32" t="str">
        <f>INDEX(Stores!$B$2:$B$21,MATCH(B322,Stores!$A$2:$A$21,0))</f>
        <v>Delhi</v>
      </c>
    </row>
    <row r="323">
      <c r="A323" s="32" t="str">
        <f>Orders!A320</f>
        <v>O00319</v>
      </c>
      <c r="B323" s="32" t="str">
        <f>Orders!C320</f>
        <v>S002</v>
      </c>
      <c r="C323" s="32" t="str">
        <f>Orders!B320</f>
        <v>C0034</v>
      </c>
      <c r="D323" s="32" t="str">
        <f>Orders!H320</f>
        <v>Delivered</v>
      </c>
      <c r="E323" s="33">
        <f>IF(Orders!H320="Delivered",1,0)</f>
        <v>1</v>
      </c>
      <c r="F323" s="34">
        <f>IF(E323=1,Orders!R320,"")</f>
        <v>-0.4</v>
      </c>
      <c r="G323" s="33">
        <f>IF(E323=1,IF(Orders!R320&gt;0,1,0),"")</f>
        <v>0</v>
      </c>
      <c r="H323" s="33">
        <f>IF(E323=1,IF(Orders!R320&gt;5,1,0),"")</f>
        <v>0</v>
      </c>
      <c r="I323" s="32" t="str">
        <f>IF(E323=1,"",IF(OR(Orders!T320="Rider unavailable",Orders!T320="Item unavailable"),"Company-caused","Unresolved"))</f>
        <v/>
      </c>
      <c r="J323" s="33">
        <f>IF(OR(E323=1,I323="Company-caused"),1,0)</f>
        <v>1</v>
      </c>
      <c r="K323" s="32" t="str">
        <f>IF(E323=0,IF(I323="Company-caused",IF(Orders!T320="Rider unavailable","C1 Rider unavailable","C2 Item unavailable"),"Outside root: unresolved"),IF(G323=0,"A On time",IF(H323=1,IF(L323=1,"B2a Severe, peak","B2b Severe, off-peak"),IF(L323=1,"B1a Slight, peak","B1b Slight, off-peak"))))</f>
        <v>A On time</v>
      </c>
      <c r="L323" s="33">
        <f>IF(AND(Orders!U320&gt;=19,Orders!U320&lt;22),1,0)</f>
        <v>0</v>
      </c>
      <c r="M323" s="33">
        <f>IF(L323=IF(Orders!V320,1,0),1,0)</f>
        <v>1</v>
      </c>
      <c r="N323" s="32" t="str">
        <f>IF(Orders!W320="","None",Orders!W320)</f>
        <v>None</v>
      </c>
      <c r="O323" s="35">
        <f>INT(Orders!E320)</f>
        <v>46272.0</v>
      </c>
      <c r="P323" s="33">
        <f>Orders!U320</f>
        <v>15</v>
      </c>
      <c r="Q323" s="33">
        <f>COUNTIFS(Demand!$A$2:$A$4481,B323,Demand!$B$2:$B$4481,O323,Demand!$C$2:$C$4481,P323)</f>
        <v>1</v>
      </c>
      <c r="R323" s="33">
        <f>IF(Q323=1,SUMIFS(Demand!$E$2:$E$4481,Demand!$A$2:$A$4481,B323,Demand!$B$2:$B$4481,O323,Demand!$C$2:$C$4481,P323),"")</f>
        <v>21</v>
      </c>
      <c r="S323" s="33">
        <f>INDEX(Stores!$G$2:$G$21,MATCH(B323,Stores!$A$2:$A$21,0))</f>
        <v>33</v>
      </c>
      <c r="T323" s="34">
        <f>IF(R323="","",R323/S323)</f>
        <v>0.636363636363636</v>
      </c>
      <c r="U323" s="34">
        <f>IF(E323=1,T323,"")</f>
        <v>0.636363636363636</v>
      </c>
      <c r="V323" s="34">
        <f>IF(AND(E323=1,L323=0),T323,"")</f>
        <v>0.636363636363636</v>
      </c>
      <c r="W323" s="33">
        <f>IF(U323="","",IF(U323&lt;=Breakdowns!$C$5,1,IF(U323&lt;=Breakdowns!$C$6,2,IF(U323&lt;=Breakdowns!$C$7,3,4))))</f>
        <v>1</v>
      </c>
      <c r="X323" s="33">
        <f>IF(V323="","",IF(V323&lt;=Breakdowns!$D$5,1,IF(V323&lt;=Breakdowns!$D$6,2,IF(V323&lt;=Breakdowns!$D$7,3,4))))</f>
        <v>1</v>
      </c>
      <c r="Y323" s="34">
        <f>INDEX(Stores!$F$2:$F$21,MATCH(B323,Stores!$A$2:$A$21,0))</f>
        <v>2.39</v>
      </c>
      <c r="Z323" s="33">
        <f>IF(Y323&gt;Store_Summary!$M$2,1,0)</f>
        <v>0</v>
      </c>
      <c r="AA323" s="33">
        <f>INDEX(Stores!$C$2:$C$21,MATCH(B323,Stores!$A$2:$A$21,0))</f>
        <v>470</v>
      </c>
      <c r="AB323" s="33">
        <f>IF(AA323&lt;180,1,0)</f>
        <v>0</v>
      </c>
      <c r="AC323" s="32" t="str">
        <f>IF(Orders!D320="","",INDEX(Riders!$C$2:$C$81,MATCH(Orders!D320,Riders!$A$2:$A$81,0)))</f>
        <v>EV scooter</v>
      </c>
      <c r="AD323" s="33">
        <f>IF(Orders!D320="","",INDEX(Riders!$D$2:$D$81,MATCH(Orders!D320,Riders!$A$2:$A$81,0)))</f>
        <v>38</v>
      </c>
      <c r="AE323" s="33">
        <f>IF(Orders!D320="","",IF(INDEX(Riders!$B$2:$B$81,MATCH(Orders!D320,Riders!$A$2:$A$81,0))=B323,1,0))</f>
        <v>0</v>
      </c>
      <c r="AF323" s="34">
        <f>IF(E323=1,Orders!L320,"")</f>
        <v>1.22</v>
      </c>
      <c r="AG323" s="34">
        <f>IF(E323=1,Orders!P320,"")</f>
        <v>9.7</v>
      </c>
      <c r="AH323" s="34">
        <f>IF(E323=1,Orders!Q320,"")</f>
        <v>9.3</v>
      </c>
      <c r="AI323" s="34">
        <f>IF(E323=1,Orders!M320,"")</f>
        <v>1.5</v>
      </c>
      <c r="AJ323" s="34">
        <f>IF(E323=1,Orders!N320,"")</f>
        <v>5.5</v>
      </c>
      <c r="AK323" s="34">
        <f>IF(E323=1,Orders!O320,"")</f>
        <v>2.3</v>
      </c>
      <c r="AL323" s="33">
        <f>IF(E323=1,IF(ROUND(ABS(AI323+AJ323+AK323-AH323),6)&lt;=0.1,1,0),"")</f>
        <v>1</v>
      </c>
      <c r="AM323" s="36">
        <f>IF(E323=1,AI323/AH323,"")</f>
        <v>0.161290322580645</v>
      </c>
      <c r="AN323" s="36">
        <f>IF(E323=1,AJ323/AH323,"")</f>
        <v>0.591397849462366</v>
      </c>
      <c r="AO323" s="36">
        <f>IF(E323=1,AK323/AH323,"")</f>
        <v>0.247311827956989</v>
      </c>
      <c r="AP323" s="34">
        <f>IF(E323=1,Orders!Y320,"")</f>
        <v>0.47</v>
      </c>
      <c r="AQ323" s="33">
        <f>IF(Orders!X320,1,0)</f>
        <v>0</v>
      </c>
      <c r="AR323" s="34" t="str">
        <f>IF(AND(E323=1,L323=1),AJ323,"")</f>
        <v/>
      </c>
      <c r="AS323" s="34">
        <f>IF(AND(E323=1,L323=0),AJ323,"")</f>
        <v>5.5</v>
      </c>
      <c r="AT323" s="34" t="str">
        <f>IF(AND(E323=1,L323=1),AI323,"")</f>
        <v/>
      </c>
      <c r="AU323" s="34">
        <f>IF(AND(E323=1,L323=0),AI323,"")</f>
        <v>1.5</v>
      </c>
      <c r="AV323" s="34" t="str">
        <f>IF(AND(E323=1,L323=1),AG323,"")</f>
        <v/>
      </c>
      <c r="AW323" s="34">
        <f>IF(AND(E323=1,L323=0),AG323,"")</f>
        <v>9.7</v>
      </c>
      <c r="AX323" s="34" t="str">
        <f>IF(AND(E323=1,L323=1),AH323,"")</f>
        <v/>
      </c>
      <c r="AY323" s="34">
        <f>IF(AND(E323=1,L323=0),AH323,"")</f>
        <v>9.3</v>
      </c>
      <c r="AZ323" s="34" t="str">
        <f>IF(G323=1,F323,"")</f>
        <v/>
      </c>
      <c r="BA323" s="34" t="str">
        <f>IF(AND(G323=1,L323=1),F323,"")</f>
        <v/>
      </c>
      <c r="BB323" s="34" t="str">
        <f>IF(AND(G323=1,L323=0),F323,"")</f>
        <v/>
      </c>
      <c r="BC323" s="33">
        <f>IF(E323=1,IF(Orders!R320&gt;3,1,0),"")</f>
        <v>0</v>
      </c>
      <c r="BD323" s="33">
        <f>IF(E323=1,IF(Orders!R320&gt;7,1,0),"")</f>
        <v>0</v>
      </c>
      <c r="BE323" s="32" t="str">
        <f>IF(E323=1,IF(Orders!L320&lt;=1.5,"Up to 1.5 km",IF(Orders!L320&lt;=3,"1.5–3 km","Over 3 km")),"")</f>
        <v>Up to 1.5 km</v>
      </c>
      <c r="BF323" s="33">
        <f>IF(E323=1,IF(ABS((Orders!G320-Orders!F320)*1440-Orders!R320)&lt;0.06,1,0),"")</f>
        <v>1</v>
      </c>
      <c r="BG323" s="33">
        <f>IF(ABS((Orders!F320-Orders!E320)*1440-Orders!P320)&lt;0.06,1,0)</f>
        <v>1</v>
      </c>
      <c r="BH323" s="33">
        <f>IF(E323=1,IF(IF(Orders!S320,1,0)=1-G323,1,0),"")</f>
        <v>1</v>
      </c>
      <c r="BI323" s="32" t="str">
        <f>INDEX(Stores!$B$2:$B$21,MATCH(B323,Stores!$A$2:$A$21,0))</f>
        <v>Hyderabad</v>
      </c>
    </row>
    <row r="324">
      <c r="A324" s="32" t="str">
        <f>Orders!A321</f>
        <v>O00320</v>
      </c>
      <c r="B324" s="32" t="str">
        <f>Orders!C321</f>
        <v>S005</v>
      </c>
      <c r="C324" s="32" t="str">
        <f>Orders!B321</f>
        <v>C0061</v>
      </c>
      <c r="D324" s="32" t="str">
        <f>Orders!H321</f>
        <v>Delivered</v>
      </c>
      <c r="E324" s="33">
        <f>IF(Orders!H321="Delivered",1,0)</f>
        <v>1</v>
      </c>
      <c r="F324" s="34">
        <f>IF(E324=1,Orders!R321,"")</f>
        <v>-0.7</v>
      </c>
      <c r="G324" s="33">
        <f>IF(E324=1,IF(Orders!R321&gt;0,1,0),"")</f>
        <v>0</v>
      </c>
      <c r="H324" s="33">
        <f>IF(E324=1,IF(Orders!R321&gt;5,1,0),"")</f>
        <v>0</v>
      </c>
      <c r="I324" s="32" t="str">
        <f>IF(E324=1,"",IF(OR(Orders!T321="Rider unavailable",Orders!T321="Item unavailable"),"Company-caused","Unresolved"))</f>
        <v/>
      </c>
      <c r="J324" s="33">
        <f>IF(OR(E324=1,I324="Company-caused"),1,0)</f>
        <v>1</v>
      </c>
      <c r="K324" s="32" t="str">
        <f>IF(E324=0,IF(I324="Company-caused",IF(Orders!T321="Rider unavailable","C1 Rider unavailable","C2 Item unavailable"),"Outside root: unresolved"),IF(G324=0,"A On time",IF(H324=1,IF(L324=1,"B2a Severe, peak","B2b Severe, off-peak"),IF(L324=1,"B1a Slight, peak","B1b Slight, off-peak"))))</f>
        <v>A On time</v>
      </c>
      <c r="L324" s="33">
        <f>IF(AND(Orders!U321&gt;=19,Orders!U321&lt;22),1,0)</f>
        <v>0</v>
      </c>
      <c r="M324" s="33">
        <f>IF(L324=IF(Orders!V321,1,0),1,0)</f>
        <v>1</v>
      </c>
      <c r="N324" s="32" t="str">
        <f>IF(Orders!W321="","None",Orders!W321)</f>
        <v>None</v>
      </c>
      <c r="O324" s="35">
        <f>INT(Orders!E321)</f>
        <v>46270.0</v>
      </c>
      <c r="P324" s="33">
        <f>Orders!U321</f>
        <v>13</v>
      </c>
      <c r="Q324" s="33">
        <f>COUNTIFS(Demand!$A$2:$A$4481,B324,Demand!$B$2:$B$4481,O324,Demand!$C$2:$C$4481,P324)</f>
        <v>1</v>
      </c>
      <c r="R324" s="33">
        <f>IF(Q324=1,SUMIFS(Demand!$E$2:$E$4481,Demand!$A$2:$A$4481,B324,Demand!$B$2:$B$4481,O324,Demand!$C$2:$C$4481,P324),"")</f>
        <v>19</v>
      </c>
      <c r="S324" s="33">
        <f>INDEX(Stores!$G$2:$G$21,MATCH(B324,Stores!$A$2:$A$21,0))</f>
        <v>14</v>
      </c>
      <c r="T324" s="34">
        <f>IF(R324="","",R324/S324)</f>
        <v>1.35714285714286</v>
      </c>
      <c r="U324" s="34">
        <f>IF(E324=1,T324,"")</f>
        <v>1.35714285714286</v>
      </c>
      <c r="V324" s="34">
        <f>IF(AND(E324=1,L324=0),T324,"")</f>
        <v>1.35714285714286</v>
      </c>
      <c r="W324" s="33">
        <f>IF(U324="","",IF(U324&lt;=Breakdowns!$C$5,1,IF(U324&lt;=Breakdowns!$C$6,2,IF(U324&lt;=Breakdowns!$C$7,3,4))))</f>
        <v>4</v>
      </c>
      <c r="X324" s="33">
        <f>IF(V324="","",IF(V324&lt;=Breakdowns!$D$5,1,IF(V324&lt;=Breakdowns!$D$6,2,IF(V324&lt;=Breakdowns!$D$7,3,4))))</f>
        <v>4</v>
      </c>
      <c r="Y324" s="34">
        <f>INDEX(Stores!$F$2:$F$21,MATCH(B324,Stores!$A$2:$A$21,0))</f>
        <v>4.89</v>
      </c>
      <c r="Z324" s="33">
        <f>IF(Y324&gt;Store_Summary!$M$2,1,0)</f>
        <v>0</v>
      </c>
      <c r="AA324" s="33">
        <f>INDEX(Stores!$C$2:$C$21,MATCH(B324,Stores!$A$2:$A$21,0))</f>
        <v>138</v>
      </c>
      <c r="AB324" s="33">
        <f>IF(AA324&lt;180,1,0)</f>
        <v>1</v>
      </c>
      <c r="AC324" s="32" t="str">
        <f>IF(Orders!D321="","",INDEX(Riders!$C$2:$C$81,MATCH(Orders!D321,Riders!$A$2:$A$81,0)))</f>
        <v>EV scooter</v>
      </c>
      <c r="AD324" s="33">
        <f>IF(Orders!D321="","",INDEX(Riders!$D$2:$D$81,MATCH(Orders!D321,Riders!$A$2:$A$81,0)))</f>
        <v>32</v>
      </c>
      <c r="AE324" s="33">
        <f>IF(Orders!D321="","",IF(INDEX(Riders!$B$2:$B$81,MATCH(Orders!D321,Riders!$A$2:$A$81,0))=B324,1,0))</f>
        <v>0</v>
      </c>
      <c r="AF324" s="34">
        <f>IF(E324=1,Orders!L321,"")</f>
        <v>1.21</v>
      </c>
      <c r="AG324" s="34">
        <f>IF(E324=1,Orders!P321,"")</f>
        <v>11.9</v>
      </c>
      <c r="AH324" s="34">
        <f>IF(E324=1,Orders!Q321,"")</f>
        <v>11.2</v>
      </c>
      <c r="AI324" s="34">
        <f>IF(E324=1,Orders!M321,"")</f>
        <v>5.4</v>
      </c>
      <c r="AJ324" s="34">
        <f>IF(E324=1,Orders!N321,"")</f>
        <v>2.6</v>
      </c>
      <c r="AK324" s="34">
        <f>IF(E324=1,Orders!O321,"")</f>
        <v>3.2</v>
      </c>
      <c r="AL324" s="33">
        <f>IF(E324=1,IF(ROUND(ABS(AI324+AJ324+AK324-AH324),6)&lt;=0.1,1,0),"")</f>
        <v>1</v>
      </c>
      <c r="AM324" s="36">
        <f>IF(E324=1,AI324/AH324,"")</f>
        <v>0.482142857142857</v>
      </c>
      <c r="AN324" s="36">
        <f>IF(E324=1,AJ324/AH324,"")</f>
        <v>0.232142857142857</v>
      </c>
      <c r="AO324" s="36">
        <f>IF(E324=1,AK324/AH324,"")</f>
        <v>0.285714285714286</v>
      </c>
      <c r="AP324" s="34">
        <f>IF(E324=1,Orders!Y321,"")</f>
        <v>0.31</v>
      </c>
      <c r="AQ324" s="33">
        <f>IF(Orders!X321,1,0)</f>
        <v>0</v>
      </c>
      <c r="AR324" s="34" t="str">
        <f>IF(AND(E324=1,L324=1),AJ324,"")</f>
        <v/>
      </c>
      <c r="AS324" s="34">
        <f>IF(AND(E324=1,L324=0),AJ324,"")</f>
        <v>2.6</v>
      </c>
      <c r="AT324" s="34" t="str">
        <f>IF(AND(E324=1,L324=1),AI324,"")</f>
        <v/>
      </c>
      <c r="AU324" s="34">
        <f>IF(AND(E324=1,L324=0),AI324,"")</f>
        <v>5.4</v>
      </c>
      <c r="AV324" s="34" t="str">
        <f>IF(AND(E324=1,L324=1),AG324,"")</f>
        <v/>
      </c>
      <c r="AW324" s="34">
        <f>IF(AND(E324=1,L324=0),AG324,"")</f>
        <v>11.9</v>
      </c>
      <c r="AX324" s="34" t="str">
        <f>IF(AND(E324=1,L324=1),AH324,"")</f>
        <v/>
      </c>
      <c r="AY324" s="34">
        <f>IF(AND(E324=1,L324=0),AH324,"")</f>
        <v>11.2</v>
      </c>
      <c r="AZ324" s="34" t="str">
        <f>IF(G324=1,F324,"")</f>
        <v/>
      </c>
      <c r="BA324" s="34" t="str">
        <f>IF(AND(G324=1,L324=1),F324,"")</f>
        <v/>
      </c>
      <c r="BB324" s="34" t="str">
        <f>IF(AND(G324=1,L324=0),F324,"")</f>
        <v/>
      </c>
      <c r="BC324" s="33">
        <f>IF(E324=1,IF(Orders!R321&gt;3,1,0),"")</f>
        <v>0</v>
      </c>
      <c r="BD324" s="33">
        <f>IF(E324=1,IF(Orders!R321&gt;7,1,0),"")</f>
        <v>0</v>
      </c>
      <c r="BE324" s="32" t="str">
        <f>IF(E324=1,IF(Orders!L321&lt;=1.5,"Up to 1.5 km",IF(Orders!L321&lt;=3,"1.5–3 km","Over 3 km")),"")</f>
        <v>Up to 1.5 km</v>
      </c>
      <c r="BF324" s="33">
        <f>IF(E324=1,IF(ABS((Orders!G321-Orders!F321)*1440-Orders!R321)&lt;0.06,1,0),"")</f>
        <v>1</v>
      </c>
      <c r="BG324" s="33">
        <f>IF(ABS((Orders!F321-Orders!E321)*1440-Orders!P321)&lt;0.06,1,0)</f>
        <v>1</v>
      </c>
      <c r="BH324" s="33">
        <f>IF(E324=1,IF(IF(Orders!S321,1,0)=1-G324,1,0),"")</f>
        <v>1</v>
      </c>
      <c r="BI324" s="32" t="str">
        <f>INDEX(Stores!$B$2:$B$21,MATCH(B324,Stores!$A$2:$A$21,0))</f>
        <v>Delhi</v>
      </c>
    </row>
    <row r="325">
      <c r="A325" s="32" t="str">
        <f>Orders!A322</f>
        <v>O00321</v>
      </c>
      <c r="B325" s="32" t="str">
        <f>Orders!C322</f>
        <v>S008</v>
      </c>
      <c r="C325" s="32" t="str">
        <f>Orders!B322</f>
        <v>C0086</v>
      </c>
      <c r="D325" s="32" t="str">
        <f>Orders!H322</f>
        <v>Delivered</v>
      </c>
      <c r="E325" s="33">
        <f>IF(Orders!H322="Delivered",1,0)</f>
        <v>1</v>
      </c>
      <c r="F325" s="34">
        <f>IF(E325=1,Orders!R322,"")</f>
        <v>-0.7</v>
      </c>
      <c r="G325" s="33">
        <f>IF(E325=1,IF(Orders!R322&gt;0,1,0),"")</f>
        <v>0</v>
      </c>
      <c r="H325" s="33">
        <f>IF(E325=1,IF(Orders!R322&gt;5,1,0),"")</f>
        <v>0</v>
      </c>
      <c r="I325" s="32" t="str">
        <f>IF(E325=1,"",IF(OR(Orders!T322="Rider unavailable",Orders!T322="Item unavailable"),"Company-caused","Unresolved"))</f>
        <v/>
      </c>
      <c r="J325" s="33">
        <f>IF(OR(E325=1,I325="Company-caused"),1,0)</f>
        <v>1</v>
      </c>
      <c r="K325" s="32" t="str">
        <f>IF(E325=0,IF(I325="Company-caused",IF(Orders!T322="Rider unavailable","C1 Rider unavailable","C2 Item unavailable"),"Outside root: unresolved"),IF(G325=0,"A On time",IF(H325=1,IF(L325=1,"B2a Severe, peak","B2b Severe, off-peak"),IF(L325=1,"B1a Slight, peak","B1b Slight, off-peak"))))</f>
        <v>A On time</v>
      </c>
      <c r="L325" s="33">
        <f>IF(AND(Orders!U322&gt;=19,Orders!U322&lt;22),1,0)</f>
        <v>0</v>
      </c>
      <c r="M325" s="33">
        <f>IF(L325=IF(Orders!V322,1,0),1,0)</f>
        <v>1</v>
      </c>
      <c r="N325" s="32" t="str">
        <f>IF(Orders!W322="","None",Orders!W322)</f>
        <v>None</v>
      </c>
      <c r="O325" s="35">
        <f>INT(Orders!E322)</f>
        <v>46277.0</v>
      </c>
      <c r="P325" s="33">
        <f>Orders!U322</f>
        <v>10</v>
      </c>
      <c r="Q325" s="33">
        <f>COUNTIFS(Demand!$A$2:$A$4481,B325,Demand!$B$2:$B$4481,O325,Demand!$C$2:$C$4481,P325)</f>
        <v>1</v>
      </c>
      <c r="R325" s="33">
        <f>IF(Q325=1,SUMIFS(Demand!$E$2:$E$4481,Demand!$A$2:$A$4481,B325,Demand!$B$2:$B$4481,O325,Demand!$C$2:$C$4481,P325),"")</f>
        <v>23</v>
      </c>
      <c r="S325" s="33">
        <f>INDEX(Stores!$G$2:$G$21,MATCH(B325,Stores!$A$2:$A$21,0))</f>
        <v>23</v>
      </c>
      <c r="T325" s="34">
        <f>IF(R325="","",R325/S325)</f>
        <v>1</v>
      </c>
      <c r="U325" s="34">
        <f>IF(E325=1,T325,"")</f>
        <v>1</v>
      </c>
      <c r="V325" s="34">
        <f>IF(AND(E325=1,L325=0),T325,"")</f>
        <v>1</v>
      </c>
      <c r="W325" s="33">
        <f>IF(U325="","",IF(U325&lt;=Breakdowns!$C$5,1,IF(U325&lt;=Breakdowns!$C$6,2,IF(U325&lt;=Breakdowns!$C$7,3,4))))</f>
        <v>2</v>
      </c>
      <c r="X325" s="33">
        <f>IF(V325="","",IF(V325&lt;=Breakdowns!$D$5,1,IF(V325&lt;=Breakdowns!$D$6,2,IF(V325&lt;=Breakdowns!$D$7,3,4))))</f>
        <v>3</v>
      </c>
      <c r="Y325" s="34">
        <f>INDEX(Stores!$F$2:$F$21,MATCH(B325,Stores!$A$2:$A$21,0))</f>
        <v>3.46</v>
      </c>
      <c r="Z325" s="33">
        <f>IF(Y325&gt;Store_Summary!$M$2,1,0)</f>
        <v>0</v>
      </c>
      <c r="AA325" s="33">
        <f>INDEX(Stores!$C$2:$C$21,MATCH(B325,Stores!$A$2:$A$21,0))</f>
        <v>825</v>
      </c>
      <c r="AB325" s="33">
        <f>IF(AA325&lt;180,1,0)</f>
        <v>0</v>
      </c>
      <c r="AC325" s="32" t="str">
        <f>IF(Orders!D322="","",INDEX(Riders!$C$2:$C$81,MATCH(Orders!D322,Riders!$A$2:$A$81,0)))</f>
        <v>Petrol scooter</v>
      </c>
      <c r="AD325" s="33">
        <f>IF(Orders!D322="","",INDEX(Riders!$D$2:$D$81,MATCH(Orders!D322,Riders!$A$2:$A$81,0)))</f>
        <v>29</v>
      </c>
      <c r="AE325" s="33">
        <f>IF(Orders!D322="","",IF(INDEX(Riders!$B$2:$B$81,MATCH(Orders!D322,Riders!$A$2:$A$81,0))=B325,1,0))</f>
        <v>0</v>
      </c>
      <c r="AF325" s="34">
        <f>IF(E325=1,Orders!L322,"")</f>
        <v>2.13</v>
      </c>
      <c r="AG325" s="34">
        <f>IF(E325=1,Orders!P322,"")</f>
        <v>8.8</v>
      </c>
      <c r="AH325" s="34">
        <f>IF(E325=1,Orders!Q322,"")</f>
        <v>8.1</v>
      </c>
      <c r="AI325" s="34">
        <f>IF(E325=1,Orders!M322,"")</f>
        <v>2.5</v>
      </c>
      <c r="AJ325" s="34">
        <f>IF(E325=1,Orders!N322,"")</f>
        <v>3.1</v>
      </c>
      <c r="AK325" s="34">
        <f>IF(E325=1,Orders!O322,"")</f>
        <v>2.5</v>
      </c>
      <c r="AL325" s="33">
        <f>IF(E325=1,IF(ROUND(ABS(AI325+AJ325+AK325-AH325),6)&lt;=0.1,1,0),"")</f>
        <v>1</v>
      </c>
      <c r="AM325" s="36">
        <f>IF(E325=1,AI325/AH325,"")</f>
        <v>0.308641975308642</v>
      </c>
      <c r="AN325" s="36">
        <f>IF(E325=1,AJ325/AH325,"")</f>
        <v>0.382716049382716</v>
      </c>
      <c r="AO325" s="36">
        <f>IF(E325=1,AK325/AH325,"")</f>
        <v>0.308641975308642</v>
      </c>
      <c r="AP325" s="34">
        <f>IF(E325=1,Orders!Y322,"")</f>
        <v>0.51</v>
      </c>
      <c r="AQ325" s="33">
        <f>IF(Orders!X322,1,0)</f>
        <v>0</v>
      </c>
      <c r="AR325" s="34" t="str">
        <f>IF(AND(E325=1,L325=1),AJ325,"")</f>
        <v/>
      </c>
      <c r="AS325" s="34">
        <f>IF(AND(E325=1,L325=0),AJ325,"")</f>
        <v>3.1</v>
      </c>
      <c r="AT325" s="34" t="str">
        <f>IF(AND(E325=1,L325=1),AI325,"")</f>
        <v/>
      </c>
      <c r="AU325" s="34">
        <f>IF(AND(E325=1,L325=0),AI325,"")</f>
        <v>2.5</v>
      </c>
      <c r="AV325" s="34" t="str">
        <f>IF(AND(E325=1,L325=1),AG325,"")</f>
        <v/>
      </c>
      <c r="AW325" s="34">
        <f>IF(AND(E325=1,L325=0),AG325,"")</f>
        <v>8.8</v>
      </c>
      <c r="AX325" s="34" t="str">
        <f>IF(AND(E325=1,L325=1),AH325,"")</f>
        <v/>
      </c>
      <c r="AY325" s="34">
        <f>IF(AND(E325=1,L325=0),AH325,"")</f>
        <v>8.1</v>
      </c>
      <c r="AZ325" s="34" t="str">
        <f>IF(G325=1,F325,"")</f>
        <v/>
      </c>
      <c r="BA325" s="34" t="str">
        <f>IF(AND(G325=1,L325=1),F325,"")</f>
        <v/>
      </c>
      <c r="BB325" s="34" t="str">
        <f>IF(AND(G325=1,L325=0),F325,"")</f>
        <v/>
      </c>
      <c r="BC325" s="33">
        <f>IF(E325=1,IF(Orders!R322&gt;3,1,0),"")</f>
        <v>0</v>
      </c>
      <c r="BD325" s="33">
        <f>IF(E325=1,IF(Orders!R322&gt;7,1,0),"")</f>
        <v>0</v>
      </c>
      <c r="BE325" s="32" t="str">
        <f>IF(E325=1,IF(Orders!L322&lt;=1.5,"Up to 1.5 km",IF(Orders!L322&lt;=3,"1.5–3 km","Over 3 km")),"")</f>
        <v>1.5–3 km</v>
      </c>
      <c r="BF325" s="33">
        <f>IF(E325=1,IF(ABS((Orders!G322-Orders!F322)*1440-Orders!R322)&lt;0.06,1,0),"")</f>
        <v>1</v>
      </c>
      <c r="BG325" s="33">
        <f>IF(ABS((Orders!F322-Orders!E322)*1440-Orders!P322)&lt;0.06,1,0)</f>
        <v>1</v>
      </c>
      <c r="BH325" s="33">
        <f>IF(E325=1,IF(IF(Orders!S322,1,0)=1-G325,1,0),"")</f>
        <v>1</v>
      </c>
      <c r="BI325" s="32" t="str">
        <f>INDEX(Stores!$B$2:$B$21,MATCH(B325,Stores!$A$2:$A$21,0))</f>
        <v>Mumbai</v>
      </c>
    </row>
    <row r="326">
      <c r="A326" s="32" t="str">
        <f>Orders!A323</f>
        <v>O00322</v>
      </c>
      <c r="B326" s="32" t="str">
        <f>Orders!C323</f>
        <v>S003</v>
      </c>
      <c r="C326" s="32" t="str">
        <f>Orders!B323</f>
        <v>C0032</v>
      </c>
      <c r="D326" s="32" t="str">
        <f>Orders!H323</f>
        <v>Delivered</v>
      </c>
      <c r="E326" s="33">
        <f>IF(Orders!H323="Delivered",1,0)</f>
        <v>1</v>
      </c>
      <c r="F326" s="34">
        <f>IF(E326=1,Orders!R323,"")</f>
        <v>-0.8</v>
      </c>
      <c r="G326" s="33">
        <f>IF(E326=1,IF(Orders!R323&gt;0,1,0),"")</f>
        <v>0</v>
      </c>
      <c r="H326" s="33">
        <f>IF(E326=1,IF(Orders!R323&gt;5,1,0),"")</f>
        <v>0</v>
      </c>
      <c r="I326" s="32" t="str">
        <f>IF(E326=1,"",IF(OR(Orders!T323="Rider unavailable",Orders!T323="Item unavailable"),"Company-caused","Unresolved"))</f>
        <v/>
      </c>
      <c r="J326" s="33">
        <f>IF(OR(E326=1,I326="Company-caused"),1,0)</f>
        <v>1</v>
      </c>
      <c r="K326" s="32" t="str">
        <f>IF(E326=0,IF(I326="Company-caused",IF(Orders!T323="Rider unavailable","C1 Rider unavailable","C2 Item unavailable"),"Outside root: unresolved"),IF(G326=0,"A On time",IF(H326=1,IF(L326=1,"B2a Severe, peak","B2b Severe, off-peak"),IF(L326=1,"B1a Slight, peak","B1b Slight, off-peak"))))</f>
        <v>A On time</v>
      </c>
      <c r="L326" s="33">
        <f>IF(AND(Orders!U323&gt;=19,Orders!U323&lt;22),1,0)</f>
        <v>1</v>
      </c>
      <c r="M326" s="33">
        <f>IF(L326=IF(Orders!V323,1,0),1,0)</f>
        <v>1</v>
      </c>
      <c r="N326" s="32" t="str">
        <f>IF(Orders!W323="","None",Orders!W323)</f>
        <v>None</v>
      </c>
      <c r="O326" s="35">
        <f>INT(Orders!E323)</f>
        <v>46267.0</v>
      </c>
      <c r="P326" s="33">
        <f>Orders!U323</f>
        <v>21</v>
      </c>
      <c r="Q326" s="33">
        <f>COUNTIFS(Demand!$A$2:$A$4481,B326,Demand!$B$2:$B$4481,O326,Demand!$C$2:$C$4481,P326)</f>
        <v>1</v>
      </c>
      <c r="R326" s="33">
        <f>IF(Q326=1,SUMIFS(Demand!$E$2:$E$4481,Demand!$A$2:$A$4481,B326,Demand!$B$2:$B$4481,O326,Demand!$C$2:$C$4481,P326),"")</f>
        <v>53</v>
      </c>
      <c r="S326" s="33">
        <f>INDEX(Stores!$G$2:$G$21,MATCH(B326,Stores!$A$2:$A$21,0))</f>
        <v>41</v>
      </c>
      <c r="T326" s="34">
        <f>IF(R326="","",R326/S326)</f>
        <v>1.29268292682927</v>
      </c>
      <c r="U326" s="34">
        <f>IF(E326=1,T326,"")</f>
        <v>1.29268292682927</v>
      </c>
      <c r="V326" s="34" t="str">
        <f>IF(AND(E326=1,L326=0),T326,"")</f>
        <v/>
      </c>
      <c r="W326" s="33">
        <f>IF(U326="","",IF(U326&lt;=Breakdowns!$C$5,1,IF(U326&lt;=Breakdowns!$C$6,2,IF(U326&lt;=Breakdowns!$C$7,3,4))))</f>
        <v>4</v>
      </c>
      <c r="X326" s="33" t="str">
        <f>IF(V326="","",IF(V326&lt;=Breakdowns!$D$5,1,IF(V326&lt;=Breakdowns!$D$6,2,IF(V326&lt;=Breakdowns!$D$7,3,4))))</f>
        <v/>
      </c>
      <c r="Y326" s="34">
        <f>INDEX(Stores!$F$2:$F$21,MATCH(B326,Stores!$A$2:$A$21,0))</f>
        <v>3.84</v>
      </c>
      <c r="Z326" s="33">
        <f>IF(Y326&gt;Store_Summary!$M$2,1,0)</f>
        <v>0</v>
      </c>
      <c r="AA326" s="33">
        <f>INDEX(Stores!$C$2:$C$21,MATCH(B326,Stores!$A$2:$A$21,0))</f>
        <v>426</v>
      </c>
      <c r="AB326" s="33">
        <f>IF(AA326&lt;180,1,0)</f>
        <v>0</v>
      </c>
      <c r="AC326" s="32" t="str">
        <f>IF(Orders!D323="","",INDEX(Riders!$C$2:$C$81,MATCH(Orders!D323,Riders!$A$2:$A$81,0)))</f>
        <v>EV scooter</v>
      </c>
      <c r="AD326" s="33">
        <f>IF(Orders!D323="","",INDEX(Riders!$D$2:$D$81,MATCH(Orders!D323,Riders!$A$2:$A$81,0)))</f>
        <v>45</v>
      </c>
      <c r="AE326" s="33">
        <f>IF(Orders!D323="","",IF(INDEX(Riders!$B$2:$B$81,MATCH(Orders!D323,Riders!$A$2:$A$81,0))=B326,1,0))</f>
        <v>0</v>
      </c>
      <c r="AF326" s="34">
        <f>IF(E326=1,Orders!L323,"")</f>
        <v>1.04</v>
      </c>
      <c r="AG326" s="34">
        <f>IF(E326=1,Orders!P323,"")</f>
        <v>9.2</v>
      </c>
      <c r="AH326" s="34">
        <f>IF(E326=1,Orders!Q323,"")</f>
        <v>8.4</v>
      </c>
      <c r="AI326" s="34">
        <f>IF(E326=1,Orders!M323,"")</f>
        <v>2.6</v>
      </c>
      <c r="AJ326" s="34">
        <f>IF(E326=1,Orders!N323,"")</f>
        <v>3.6</v>
      </c>
      <c r="AK326" s="34">
        <f>IF(E326=1,Orders!O323,"")</f>
        <v>2.2</v>
      </c>
      <c r="AL326" s="33">
        <f>IF(E326=1,IF(ROUND(ABS(AI326+AJ326+AK326-AH326),6)&lt;=0.1,1,0),"")</f>
        <v>1</v>
      </c>
      <c r="AM326" s="36">
        <f>IF(E326=1,AI326/AH326,"")</f>
        <v>0.30952380952381</v>
      </c>
      <c r="AN326" s="36">
        <f>IF(E326=1,AJ326/AH326,"")</f>
        <v>0.428571428571429</v>
      </c>
      <c r="AO326" s="36">
        <f>IF(E326=1,AK326/AH326,"")</f>
        <v>0.261904761904762</v>
      </c>
      <c r="AP326" s="34">
        <f>IF(E326=1,Orders!Y323,"")</f>
        <v>0.56</v>
      </c>
      <c r="AQ326" s="33">
        <f>IF(Orders!X323,1,0)</f>
        <v>0</v>
      </c>
      <c r="AR326" s="34">
        <f>IF(AND(E326=1,L326=1),AJ326,"")</f>
        <v>3.6</v>
      </c>
      <c r="AS326" s="34" t="str">
        <f>IF(AND(E326=1,L326=0),AJ326,"")</f>
        <v/>
      </c>
      <c r="AT326" s="34">
        <f>IF(AND(E326=1,L326=1),AI326,"")</f>
        <v>2.6</v>
      </c>
      <c r="AU326" s="34" t="str">
        <f>IF(AND(E326=1,L326=0),AI326,"")</f>
        <v/>
      </c>
      <c r="AV326" s="34">
        <f>IF(AND(E326=1,L326=1),AG326,"")</f>
        <v>9.2</v>
      </c>
      <c r="AW326" s="34" t="str">
        <f>IF(AND(E326=1,L326=0),AG326,"")</f>
        <v/>
      </c>
      <c r="AX326" s="34">
        <f>IF(AND(E326=1,L326=1),AH326,"")</f>
        <v>8.4</v>
      </c>
      <c r="AY326" s="34" t="str">
        <f>IF(AND(E326=1,L326=0),AH326,"")</f>
        <v/>
      </c>
      <c r="AZ326" s="34" t="str">
        <f>IF(G326=1,F326,"")</f>
        <v/>
      </c>
      <c r="BA326" s="34" t="str">
        <f>IF(AND(G326=1,L326=1),F326,"")</f>
        <v/>
      </c>
      <c r="BB326" s="34" t="str">
        <f>IF(AND(G326=1,L326=0),F326,"")</f>
        <v/>
      </c>
      <c r="BC326" s="33">
        <f>IF(E326=1,IF(Orders!R323&gt;3,1,0),"")</f>
        <v>0</v>
      </c>
      <c r="BD326" s="33">
        <f>IF(E326=1,IF(Orders!R323&gt;7,1,0),"")</f>
        <v>0</v>
      </c>
      <c r="BE326" s="32" t="str">
        <f>IF(E326=1,IF(Orders!L323&lt;=1.5,"Up to 1.5 km",IF(Orders!L323&lt;=3,"1.5–3 km","Over 3 km")),"")</f>
        <v>Up to 1.5 km</v>
      </c>
      <c r="BF326" s="33">
        <f>IF(E326=1,IF(ABS((Orders!G323-Orders!F323)*1440-Orders!R323)&lt;0.06,1,0),"")</f>
        <v>1</v>
      </c>
      <c r="BG326" s="33">
        <f>IF(ABS((Orders!F323-Orders!E323)*1440-Orders!P323)&lt;0.06,1,0)</f>
        <v>1</v>
      </c>
      <c r="BH326" s="33">
        <f>IF(E326=1,IF(IF(Orders!S323,1,0)=1-G326,1,0),"")</f>
        <v>1</v>
      </c>
      <c r="BI326" s="32" t="str">
        <f>INDEX(Stores!$B$2:$B$21,MATCH(B326,Stores!$A$2:$A$21,0))</f>
        <v>Mumbai</v>
      </c>
    </row>
    <row r="327">
      <c r="A327" s="32" t="str">
        <f>Orders!A324</f>
        <v>O00323</v>
      </c>
      <c r="B327" s="32" t="str">
        <f>Orders!C324</f>
        <v>S011</v>
      </c>
      <c r="C327" s="32" t="str">
        <f>Orders!B324</f>
        <v>C0007</v>
      </c>
      <c r="D327" s="32" t="str">
        <f>Orders!H324</f>
        <v>Delivered</v>
      </c>
      <c r="E327" s="33">
        <f>IF(Orders!H324="Delivered",1,0)</f>
        <v>1</v>
      </c>
      <c r="F327" s="34">
        <f>IF(E327=1,Orders!R324,"")</f>
        <v>8.5</v>
      </c>
      <c r="G327" s="33">
        <f>IF(E327=1,IF(Orders!R324&gt;0,1,0),"")</f>
        <v>1</v>
      </c>
      <c r="H327" s="33">
        <f>IF(E327=1,IF(Orders!R324&gt;5,1,0),"")</f>
        <v>1</v>
      </c>
      <c r="I327" s="32" t="str">
        <f>IF(E327=1,"",IF(OR(Orders!T324="Rider unavailable",Orders!T324="Item unavailable"),"Company-caused","Unresolved"))</f>
        <v/>
      </c>
      <c r="J327" s="33">
        <f>IF(OR(E327=1,I327="Company-caused"),1,0)</f>
        <v>1</v>
      </c>
      <c r="K327" s="32" t="str">
        <f>IF(E327=0,IF(I327="Company-caused",IF(Orders!T324="Rider unavailable","C1 Rider unavailable","C2 Item unavailable"),"Outside root: unresolved"),IF(G327=0,"A On time",IF(H327=1,IF(L327=1,"B2a Severe, peak","B2b Severe, off-peak"),IF(L327=1,"B1a Slight, peak","B1b Slight, off-peak"))))</f>
        <v>B2a Severe, peak</v>
      </c>
      <c r="L327" s="33">
        <f>IF(AND(Orders!U324&gt;=19,Orders!U324&lt;22),1,0)</f>
        <v>1</v>
      </c>
      <c r="M327" s="33">
        <f>IF(L327=IF(Orders!V324,1,0),1,0)</f>
        <v>1</v>
      </c>
      <c r="N327" s="32" t="str">
        <f>IF(Orders!W324="","None",Orders!W324)</f>
        <v>Heavy</v>
      </c>
      <c r="O327" s="35">
        <f>INT(Orders!E324)</f>
        <v>46273.0</v>
      </c>
      <c r="P327" s="33">
        <f>Orders!U324</f>
        <v>21</v>
      </c>
      <c r="Q327" s="33">
        <f>COUNTIFS(Demand!$A$2:$A$4481,B327,Demand!$B$2:$B$4481,O327,Demand!$C$2:$C$4481,P327)</f>
        <v>1</v>
      </c>
      <c r="R327" s="33">
        <f>IF(Q327=1,SUMIFS(Demand!$E$2:$E$4481,Demand!$A$2:$A$4481,B327,Demand!$B$2:$B$4481,O327,Demand!$C$2:$C$4481,P327),"")</f>
        <v>51</v>
      </c>
      <c r="S327" s="33">
        <f>INDEX(Stores!$G$2:$G$21,MATCH(B327,Stores!$A$2:$A$21,0))</f>
        <v>31</v>
      </c>
      <c r="T327" s="34">
        <f>IF(R327="","",R327/S327)</f>
        <v>1.64516129032258</v>
      </c>
      <c r="U327" s="34">
        <f>IF(E327=1,T327,"")</f>
        <v>1.64516129032258</v>
      </c>
      <c r="V327" s="34" t="str">
        <f>IF(AND(E327=1,L327=0),T327,"")</f>
        <v/>
      </c>
      <c r="W327" s="33">
        <f>IF(U327="","",IF(U327&lt;=Breakdowns!$C$5,1,IF(U327&lt;=Breakdowns!$C$6,2,IF(U327&lt;=Breakdowns!$C$7,3,4))))</f>
        <v>4</v>
      </c>
      <c r="X327" s="33" t="str">
        <f>IF(V327="","",IF(V327&lt;=Breakdowns!$D$5,1,IF(V327&lt;=Breakdowns!$D$6,2,IF(V327&lt;=Breakdowns!$D$7,3,4))))</f>
        <v/>
      </c>
      <c r="Y327" s="34">
        <f>INDEX(Stores!$F$2:$F$21,MATCH(B327,Stores!$A$2:$A$21,0))</f>
        <v>5.67</v>
      </c>
      <c r="Z327" s="33">
        <f>IF(Y327&gt;Store_Summary!$M$2,1,0)</f>
        <v>1</v>
      </c>
      <c r="AA327" s="33">
        <f>INDEX(Stores!$C$2:$C$21,MATCH(B327,Stores!$A$2:$A$21,0))</f>
        <v>732</v>
      </c>
      <c r="AB327" s="33">
        <f>IF(AA327&lt;180,1,0)</f>
        <v>0</v>
      </c>
      <c r="AC327" s="32" t="str">
        <f>IF(Orders!D324="","",INDEX(Riders!$C$2:$C$81,MATCH(Orders!D324,Riders!$A$2:$A$81,0)))</f>
        <v>EV scooter</v>
      </c>
      <c r="AD327" s="33">
        <f>IF(Orders!D324="","",INDEX(Riders!$D$2:$D$81,MATCH(Orders!D324,Riders!$A$2:$A$81,0)))</f>
        <v>1</v>
      </c>
      <c r="AE327" s="33">
        <f>IF(Orders!D324="","",IF(INDEX(Riders!$B$2:$B$81,MATCH(Orders!D324,Riders!$A$2:$A$81,0))=B327,1,0))</f>
        <v>0</v>
      </c>
      <c r="AF327" s="34">
        <f>IF(E327=1,Orders!L324,"")</f>
        <v>0.66</v>
      </c>
      <c r="AG327" s="34">
        <f>IF(E327=1,Orders!P324,"")</f>
        <v>7.3</v>
      </c>
      <c r="AH327" s="34">
        <f>IF(E327=1,Orders!Q324,"")</f>
        <v>15.8</v>
      </c>
      <c r="AI327" s="34">
        <f>IF(E327=1,Orders!M324,"")</f>
        <v>5.5</v>
      </c>
      <c r="AJ327" s="34">
        <f>IF(E327=1,Orders!N324,"")</f>
        <v>5.1</v>
      </c>
      <c r="AK327" s="34">
        <f>IF(E327=1,Orders!O324,"")</f>
        <v>5.3</v>
      </c>
      <c r="AL327" s="33">
        <f>IF(E327=1,IF(ROUND(ABS(AI327+AJ327+AK327-AH327),6)&lt;=0.1,1,0),"")</f>
        <v>1</v>
      </c>
      <c r="AM327" s="36">
        <f>IF(E327=1,AI327/AH327,"")</f>
        <v>0.348101265822785</v>
      </c>
      <c r="AN327" s="36">
        <f>IF(E327=1,AJ327/AH327,"")</f>
        <v>0.322784810126582</v>
      </c>
      <c r="AO327" s="36">
        <f>IF(E327=1,AK327/AH327,"")</f>
        <v>0.335443037974684</v>
      </c>
      <c r="AP327" s="34">
        <f>IF(E327=1,Orders!Y324,"")</f>
        <v>0.6</v>
      </c>
      <c r="AQ327" s="33">
        <f>IF(Orders!X324,1,0)</f>
        <v>0</v>
      </c>
      <c r="AR327" s="34">
        <f>IF(AND(E327=1,L327=1),AJ327,"")</f>
        <v>5.1</v>
      </c>
      <c r="AS327" s="34" t="str">
        <f>IF(AND(E327=1,L327=0),AJ327,"")</f>
        <v/>
      </c>
      <c r="AT327" s="34">
        <f>IF(AND(E327=1,L327=1),AI327,"")</f>
        <v>5.5</v>
      </c>
      <c r="AU327" s="34" t="str">
        <f>IF(AND(E327=1,L327=0),AI327,"")</f>
        <v/>
      </c>
      <c r="AV327" s="34">
        <f>IF(AND(E327=1,L327=1),AG327,"")</f>
        <v>7.3</v>
      </c>
      <c r="AW327" s="34" t="str">
        <f>IF(AND(E327=1,L327=0),AG327,"")</f>
        <v/>
      </c>
      <c r="AX327" s="34">
        <f>IF(AND(E327=1,L327=1),AH327,"")</f>
        <v>15.8</v>
      </c>
      <c r="AY327" s="34" t="str">
        <f>IF(AND(E327=1,L327=0),AH327,"")</f>
        <v/>
      </c>
      <c r="AZ327" s="34">
        <f>IF(G327=1,F327,"")</f>
        <v>8.5</v>
      </c>
      <c r="BA327" s="34">
        <f>IF(AND(G327=1,L327=1),F327,"")</f>
        <v>8.5</v>
      </c>
      <c r="BB327" s="34" t="str">
        <f>IF(AND(G327=1,L327=0),F327,"")</f>
        <v/>
      </c>
      <c r="BC327" s="33">
        <f>IF(E327=1,IF(Orders!R324&gt;3,1,0),"")</f>
        <v>1</v>
      </c>
      <c r="BD327" s="33">
        <f>IF(E327=1,IF(Orders!R324&gt;7,1,0),"")</f>
        <v>1</v>
      </c>
      <c r="BE327" s="32" t="str">
        <f>IF(E327=1,IF(Orders!L324&lt;=1.5,"Up to 1.5 km",IF(Orders!L324&lt;=3,"1.5–3 km","Over 3 km")),"")</f>
        <v>Up to 1.5 km</v>
      </c>
      <c r="BF327" s="33">
        <f>IF(E327=1,IF(ABS((Orders!G324-Orders!F324)*1440-Orders!R324)&lt;0.06,1,0),"")</f>
        <v>1</v>
      </c>
      <c r="BG327" s="33">
        <f>IF(ABS((Orders!F324-Orders!E324)*1440-Orders!P324)&lt;0.06,1,0)</f>
        <v>1</v>
      </c>
      <c r="BH327" s="33">
        <f>IF(E327=1,IF(IF(Orders!S324,1,0)=1-G327,1,0),"")</f>
        <v>1</v>
      </c>
      <c r="BI327" s="32" t="str">
        <f>INDEX(Stores!$B$2:$B$21,MATCH(B327,Stores!$A$2:$A$21,0))</f>
        <v>Bengaluru</v>
      </c>
    </row>
    <row r="328">
      <c r="A328" s="32" t="str">
        <f>Orders!A325</f>
        <v>O00324</v>
      </c>
      <c r="B328" s="32" t="str">
        <f>Orders!C325</f>
        <v>S006</v>
      </c>
      <c r="C328" s="32" t="str">
        <f>Orders!B325</f>
        <v>C0019</v>
      </c>
      <c r="D328" s="32" t="str">
        <f>Orders!H325</f>
        <v>Delivered</v>
      </c>
      <c r="E328" s="33">
        <f>IF(Orders!H325="Delivered",1,0)</f>
        <v>1</v>
      </c>
      <c r="F328" s="34">
        <f>IF(E328=1,Orders!R325,"")</f>
        <v>-0.6</v>
      </c>
      <c r="G328" s="33">
        <f>IF(E328=1,IF(Orders!R325&gt;0,1,0),"")</f>
        <v>0</v>
      </c>
      <c r="H328" s="33">
        <f>IF(E328=1,IF(Orders!R325&gt;5,1,0),"")</f>
        <v>0</v>
      </c>
      <c r="I328" s="32" t="str">
        <f>IF(E328=1,"",IF(OR(Orders!T325="Rider unavailable",Orders!T325="Item unavailable"),"Company-caused","Unresolved"))</f>
        <v/>
      </c>
      <c r="J328" s="33">
        <f>IF(OR(E328=1,I328="Company-caused"),1,0)</f>
        <v>1</v>
      </c>
      <c r="K328" s="32" t="str">
        <f>IF(E328=0,IF(I328="Company-caused",IF(Orders!T325="Rider unavailable","C1 Rider unavailable","C2 Item unavailable"),"Outside root: unresolved"),IF(G328=0,"A On time",IF(H328=1,IF(L328=1,"B2a Severe, peak","B2b Severe, off-peak"),IF(L328=1,"B1a Slight, peak","B1b Slight, off-peak"))))</f>
        <v>A On time</v>
      </c>
      <c r="L328" s="33">
        <f>IF(AND(Orders!U325&gt;=19,Orders!U325&lt;22),1,0)</f>
        <v>0</v>
      </c>
      <c r="M328" s="33">
        <f>IF(L328=IF(Orders!V325,1,0),1,0)</f>
        <v>1</v>
      </c>
      <c r="N328" s="32" t="str">
        <f>IF(Orders!W325="","None",Orders!W325)</f>
        <v>Light</v>
      </c>
      <c r="O328" s="35">
        <f>INT(Orders!E325)</f>
        <v>46275.0</v>
      </c>
      <c r="P328" s="33">
        <f>Orders!U325</f>
        <v>14</v>
      </c>
      <c r="Q328" s="33">
        <f>COUNTIFS(Demand!$A$2:$A$4481,B328,Demand!$B$2:$B$4481,O328,Demand!$C$2:$C$4481,P328)</f>
        <v>1</v>
      </c>
      <c r="R328" s="33">
        <f>IF(Q328=1,SUMIFS(Demand!$E$2:$E$4481,Demand!$A$2:$A$4481,B328,Demand!$B$2:$B$4481,O328,Demand!$C$2:$C$4481,P328),"")</f>
        <v>23</v>
      </c>
      <c r="S328" s="33">
        <f>INDEX(Stores!$G$2:$G$21,MATCH(B328,Stores!$A$2:$A$21,0))</f>
        <v>26</v>
      </c>
      <c r="T328" s="34">
        <f>IF(R328="","",R328/S328)</f>
        <v>0.884615384615385</v>
      </c>
      <c r="U328" s="34">
        <f>IF(E328=1,T328,"")</f>
        <v>0.884615384615385</v>
      </c>
      <c r="V328" s="34">
        <f>IF(AND(E328=1,L328=0),T328,"")</f>
        <v>0.884615384615385</v>
      </c>
      <c r="W328" s="33">
        <f>IF(U328="","",IF(U328&lt;=Breakdowns!$C$5,1,IF(U328&lt;=Breakdowns!$C$6,2,IF(U328&lt;=Breakdowns!$C$7,3,4))))</f>
        <v>2</v>
      </c>
      <c r="X328" s="33">
        <f>IF(V328="","",IF(V328&lt;=Breakdowns!$D$5,1,IF(V328&lt;=Breakdowns!$D$6,2,IF(V328&lt;=Breakdowns!$D$7,3,4))))</f>
        <v>2</v>
      </c>
      <c r="Y328" s="34">
        <f>INDEX(Stores!$F$2:$F$21,MATCH(B328,Stores!$A$2:$A$21,0))</f>
        <v>5.22</v>
      </c>
      <c r="Z328" s="33">
        <f>IF(Y328&gt;Store_Summary!$M$2,1,0)</f>
        <v>1</v>
      </c>
      <c r="AA328" s="33">
        <f>INDEX(Stores!$C$2:$C$21,MATCH(B328,Stores!$A$2:$A$21,0))</f>
        <v>412</v>
      </c>
      <c r="AB328" s="33">
        <f>IF(AA328&lt;180,1,0)</f>
        <v>0</v>
      </c>
      <c r="AC328" s="32" t="str">
        <f>IF(Orders!D325="","",INDEX(Riders!$C$2:$C$81,MATCH(Orders!D325,Riders!$A$2:$A$81,0)))</f>
        <v>EV scooter</v>
      </c>
      <c r="AD328" s="33">
        <f>IF(Orders!D325="","",INDEX(Riders!$D$2:$D$81,MATCH(Orders!D325,Riders!$A$2:$A$81,0)))</f>
        <v>46</v>
      </c>
      <c r="AE328" s="33">
        <f>IF(Orders!D325="","",IF(INDEX(Riders!$B$2:$B$81,MATCH(Orders!D325,Riders!$A$2:$A$81,0))=B328,1,0))</f>
        <v>0</v>
      </c>
      <c r="AF328" s="34">
        <f>IF(E328=1,Orders!L325,"")</f>
        <v>1.8</v>
      </c>
      <c r="AG328" s="34">
        <f>IF(E328=1,Orders!P325,"")</f>
        <v>12.2</v>
      </c>
      <c r="AH328" s="34">
        <f>IF(E328=1,Orders!Q325,"")</f>
        <v>11.6</v>
      </c>
      <c r="AI328" s="34">
        <f>IF(E328=1,Orders!M325,"")</f>
        <v>4.2</v>
      </c>
      <c r="AJ328" s="34">
        <f>IF(E328=1,Orders!N325,"")</f>
        <v>2.7</v>
      </c>
      <c r="AK328" s="34">
        <f>IF(E328=1,Orders!O325,"")</f>
        <v>4.7</v>
      </c>
      <c r="AL328" s="33">
        <f>IF(E328=1,IF(ROUND(ABS(AI328+AJ328+AK328-AH328),6)&lt;=0.1,1,0),"")</f>
        <v>1</v>
      </c>
      <c r="AM328" s="36">
        <f>IF(E328=1,AI328/AH328,"")</f>
        <v>0.362068965517241</v>
      </c>
      <c r="AN328" s="36">
        <f>IF(E328=1,AJ328/AH328,"")</f>
        <v>0.232758620689655</v>
      </c>
      <c r="AO328" s="36">
        <f>IF(E328=1,AK328/AH328,"")</f>
        <v>0.405172413793104</v>
      </c>
      <c r="AP328" s="34">
        <f>IF(E328=1,Orders!Y325,"")</f>
        <v>0.77</v>
      </c>
      <c r="AQ328" s="33">
        <f>IF(Orders!X325,1,0)</f>
        <v>0</v>
      </c>
      <c r="AR328" s="34" t="str">
        <f>IF(AND(E328=1,L328=1),AJ328,"")</f>
        <v/>
      </c>
      <c r="AS328" s="34">
        <f>IF(AND(E328=1,L328=0),AJ328,"")</f>
        <v>2.7</v>
      </c>
      <c r="AT328" s="34" t="str">
        <f>IF(AND(E328=1,L328=1),AI328,"")</f>
        <v/>
      </c>
      <c r="AU328" s="34">
        <f>IF(AND(E328=1,L328=0),AI328,"")</f>
        <v>4.2</v>
      </c>
      <c r="AV328" s="34" t="str">
        <f>IF(AND(E328=1,L328=1),AG328,"")</f>
        <v/>
      </c>
      <c r="AW328" s="34">
        <f>IF(AND(E328=1,L328=0),AG328,"")</f>
        <v>12.2</v>
      </c>
      <c r="AX328" s="34" t="str">
        <f>IF(AND(E328=1,L328=1),AH328,"")</f>
        <v/>
      </c>
      <c r="AY328" s="34">
        <f>IF(AND(E328=1,L328=0),AH328,"")</f>
        <v>11.6</v>
      </c>
      <c r="AZ328" s="34" t="str">
        <f>IF(G328=1,F328,"")</f>
        <v/>
      </c>
      <c r="BA328" s="34" t="str">
        <f>IF(AND(G328=1,L328=1),F328,"")</f>
        <v/>
      </c>
      <c r="BB328" s="34" t="str">
        <f>IF(AND(G328=1,L328=0),F328,"")</f>
        <v/>
      </c>
      <c r="BC328" s="33">
        <f>IF(E328=1,IF(Orders!R325&gt;3,1,0),"")</f>
        <v>0</v>
      </c>
      <c r="BD328" s="33">
        <f>IF(E328=1,IF(Orders!R325&gt;7,1,0),"")</f>
        <v>0</v>
      </c>
      <c r="BE328" s="32" t="str">
        <f>IF(E328=1,IF(Orders!L325&lt;=1.5,"Up to 1.5 km",IF(Orders!L325&lt;=3,"1.5–3 km","Over 3 km")),"")</f>
        <v>1.5–3 km</v>
      </c>
      <c r="BF328" s="33">
        <f>IF(E328=1,IF(ABS((Orders!G325-Orders!F325)*1440-Orders!R325)&lt;0.06,1,0),"")</f>
        <v>1</v>
      </c>
      <c r="BG328" s="33">
        <f>IF(ABS((Orders!F325-Orders!E325)*1440-Orders!P325)&lt;0.06,1,0)</f>
        <v>1</v>
      </c>
      <c r="BH328" s="33">
        <f>IF(E328=1,IF(IF(Orders!S325,1,0)=1-G328,1,0),"")</f>
        <v>1</v>
      </c>
      <c r="BI328" s="32" t="str">
        <f>INDEX(Stores!$B$2:$B$21,MATCH(B328,Stores!$A$2:$A$21,0))</f>
        <v>Bengaluru</v>
      </c>
    </row>
    <row r="329">
      <c r="A329" s="32" t="str">
        <f>Orders!A326</f>
        <v>O00325</v>
      </c>
      <c r="B329" s="32" t="str">
        <f>Orders!C326</f>
        <v>S016</v>
      </c>
      <c r="C329" s="32" t="str">
        <f>Orders!B326</f>
        <v>C0143</v>
      </c>
      <c r="D329" s="32" t="str">
        <f>Orders!H326</f>
        <v>Delivered</v>
      </c>
      <c r="E329" s="33">
        <f>IF(Orders!H326="Delivered",1,0)</f>
        <v>1</v>
      </c>
      <c r="F329" s="34">
        <f>IF(E329=1,Orders!R326,"")</f>
        <v>-0.6</v>
      </c>
      <c r="G329" s="33">
        <f>IF(E329=1,IF(Orders!R326&gt;0,1,0),"")</f>
        <v>0</v>
      </c>
      <c r="H329" s="33">
        <f>IF(E329=1,IF(Orders!R326&gt;5,1,0),"")</f>
        <v>0</v>
      </c>
      <c r="I329" s="32" t="str">
        <f>IF(E329=1,"",IF(OR(Orders!T326="Rider unavailable",Orders!T326="Item unavailable"),"Company-caused","Unresolved"))</f>
        <v/>
      </c>
      <c r="J329" s="33">
        <f>IF(OR(E329=1,I329="Company-caused"),1,0)</f>
        <v>1</v>
      </c>
      <c r="K329" s="32" t="str">
        <f>IF(E329=0,IF(I329="Company-caused",IF(Orders!T326="Rider unavailable","C1 Rider unavailable","C2 Item unavailable"),"Outside root: unresolved"),IF(G329=0,"A On time",IF(H329=1,IF(L329=1,"B2a Severe, peak","B2b Severe, off-peak"),IF(L329=1,"B1a Slight, peak","B1b Slight, off-peak"))))</f>
        <v>A On time</v>
      </c>
      <c r="L329" s="33">
        <f>IF(AND(Orders!U326&gt;=19,Orders!U326&lt;22),1,0)</f>
        <v>1</v>
      </c>
      <c r="M329" s="33">
        <f>IF(L329=IF(Orders!V326,1,0),1,0)</f>
        <v>1</v>
      </c>
      <c r="N329" s="32" t="str">
        <f>IF(Orders!W326="","None",Orders!W326)</f>
        <v>Light</v>
      </c>
      <c r="O329" s="35">
        <f>INT(Orders!E326)</f>
        <v>46266.0</v>
      </c>
      <c r="P329" s="33">
        <f>Orders!U326</f>
        <v>21</v>
      </c>
      <c r="Q329" s="33">
        <f>COUNTIFS(Demand!$A$2:$A$4481,B329,Demand!$B$2:$B$4481,O329,Demand!$C$2:$C$4481,P329)</f>
        <v>1</v>
      </c>
      <c r="R329" s="33">
        <f>IF(Q329=1,SUMIFS(Demand!$E$2:$E$4481,Demand!$A$2:$A$4481,B329,Demand!$B$2:$B$4481,O329,Demand!$C$2:$C$4481,P329),"")</f>
        <v>42</v>
      </c>
      <c r="S329" s="33">
        <f>INDEX(Stores!$G$2:$G$21,MATCH(B329,Stores!$A$2:$A$21,0))</f>
        <v>25</v>
      </c>
      <c r="T329" s="34">
        <f>IF(R329="","",R329/S329)</f>
        <v>1.68</v>
      </c>
      <c r="U329" s="34">
        <f>IF(E329=1,T329,"")</f>
        <v>1.68</v>
      </c>
      <c r="V329" s="34" t="str">
        <f>IF(AND(E329=1,L329=0),T329,"")</f>
        <v/>
      </c>
      <c r="W329" s="33">
        <f>IF(U329="","",IF(U329&lt;=Breakdowns!$C$5,1,IF(U329&lt;=Breakdowns!$C$6,2,IF(U329&lt;=Breakdowns!$C$7,3,4))))</f>
        <v>4</v>
      </c>
      <c r="X329" s="33" t="str">
        <f>IF(V329="","",IF(V329&lt;=Breakdowns!$D$5,1,IF(V329&lt;=Breakdowns!$D$6,2,IF(V329&lt;=Breakdowns!$D$7,3,4))))</f>
        <v/>
      </c>
      <c r="Y329" s="34">
        <f>INDEX(Stores!$F$2:$F$21,MATCH(B329,Stores!$A$2:$A$21,0))</f>
        <v>5.51</v>
      </c>
      <c r="Z329" s="33">
        <f>IF(Y329&gt;Store_Summary!$M$2,1,0)</f>
        <v>1</v>
      </c>
      <c r="AA329" s="33">
        <f>INDEX(Stores!$C$2:$C$21,MATCH(B329,Stores!$A$2:$A$21,0))</f>
        <v>792</v>
      </c>
      <c r="AB329" s="33">
        <f>IF(AA329&lt;180,1,0)</f>
        <v>0</v>
      </c>
      <c r="AC329" s="32" t="str">
        <f>IF(Orders!D326="","",INDEX(Riders!$C$2:$C$81,MATCH(Orders!D326,Riders!$A$2:$A$81,0)))</f>
        <v>EV scooter</v>
      </c>
      <c r="AD329" s="33">
        <f>IF(Orders!D326="","",INDEX(Riders!$D$2:$D$81,MATCH(Orders!D326,Riders!$A$2:$A$81,0)))</f>
        <v>3</v>
      </c>
      <c r="AE329" s="33">
        <f>IF(Orders!D326="","",IF(INDEX(Riders!$B$2:$B$81,MATCH(Orders!D326,Riders!$A$2:$A$81,0))=B329,1,0))</f>
        <v>0</v>
      </c>
      <c r="AF329" s="34">
        <f>IF(E329=1,Orders!L326,"")</f>
        <v>2.6</v>
      </c>
      <c r="AG329" s="34">
        <f>IF(E329=1,Orders!P326,"")</f>
        <v>11.1</v>
      </c>
      <c r="AH329" s="34">
        <f>IF(E329=1,Orders!Q326,"")</f>
        <v>10.5</v>
      </c>
      <c r="AI329" s="34">
        <f>IF(E329=1,Orders!M326,"")</f>
        <v>2.5</v>
      </c>
      <c r="AJ329" s="34">
        <f>IF(E329=1,Orders!N326,"")</f>
        <v>4.4</v>
      </c>
      <c r="AK329" s="34">
        <f>IF(E329=1,Orders!O326,"")</f>
        <v>3.6</v>
      </c>
      <c r="AL329" s="33">
        <f>IF(E329=1,IF(ROUND(ABS(AI329+AJ329+AK329-AH329),6)&lt;=0.1,1,0),"")</f>
        <v>1</v>
      </c>
      <c r="AM329" s="36">
        <f>IF(E329=1,AI329/AH329,"")</f>
        <v>0.238095238095238</v>
      </c>
      <c r="AN329" s="36">
        <f>IF(E329=1,AJ329/AH329,"")</f>
        <v>0.419047619047619</v>
      </c>
      <c r="AO329" s="36">
        <f>IF(E329=1,AK329/AH329,"")</f>
        <v>0.342857142857143</v>
      </c>
      <c r="AP329" s="34">
        <f>IF(E329=1,Orders!Y326,"")</f>
        <v>0.34</v>
      </c>
      <c r="AQ329" s="33">
        <f>IF(Orders!X326,1,0)</f>
        <v>0</v>
      </c>
      <c r="AR329" s="34">
        <f>IF(AND(E329=1,L329=1),AJ329,"")</f>
        <v>4.4</v>
      </c>
      <c r="AS329" s="34" t="str">
        <f>IF(AND(E329=1,L329=0),AJ329,"")</f>
        <v/>
      </c>
      <c r="AT329" s="34">
        <f>IF(AND(E329=1,L329=1),AI329,"")</f>
        <v>2.5</v>
      </c>
      <c r="AU329" s="34" t="str">
        <f>IF(AND(E329=1,L329=0),AI329,"")</f>
        <v/>
      </c>
      <c r="AV329" s="34">
        <f>IF(AND(E329=1,L329=1),AG329,"")</f>
        <v>11.1</v>
      </c>
      <c r="AW329" s="34" t="str">
        <f>IF(AND(E329=1,L329=0),AG329,"")</f>
        <v/>
      </c>
      <c r="AX329" s="34">
        <f>IF(AND(E329=1,L329=1),AH329,"")</f>
        <v>10.5</v>
      </c>
      <c r="AY329" s="34" t="str">
        <f>IF(AND(E329=1,L329=0),AH329,"")</f>
        <v/>
      </c>
      <c r="AZ329" s="34" t="str">
        <f>IF(G329=1,F329,"")</f>
        <v/>
      </c>
      <c r="BA329" s="34" t="str">
        <f>IF(AND(G329=1,L329=1),F329,"")</f>
        <v/>
      </c>
      <c r="BB329" s="34" t="str">
        <f>IF(AND(G329=1,L329=0),F329,"")</f>
        <v/>
      </c>
      <c r="BC329" s="33">
        <f>IF(E329=1,IF(Orders!R326&gt;3,1,0),"")</f>
        <v>0</v>
      </c>
      <c r="BD329" s="33">
        <f>IF(E329=1,IF(Orders!R326&gt;7,1,0),"")</f>
        <v>0</v>
      </c>
      <c r="BE329" s="32" t="str">
        <f>IF(E329=1,IF(Orders!L326&lt;=1.5,"Up to 1.5 km",IF(Orders!L326&lt;=3,"1.5–3 km","Over 3 km")),"")</f>
        <v>1.5–3 km</v>
      </c>
      <c r="BF329" s="33">
        <f>IF(E329=1,IF(ABS((Orders!G326-Orders!F326)*1440-Orders!R326)&lt;0.06,1,0),"")</f>
        <v>1</v>
      </c>
      <c r="BG329" s="33">
        <f>IF(ABS((Orders!F326-Orders!E326)*1440-Orders!P326)&lt;0.06,1,0)</f>
        <v>1</v>
      </c>
      <c r="BH329" s="33">
        <f>IF(E329=1,IF(IF(Orders!S326,1,0)=1-G329,1,0),"")</f>
        <v>1</v>
      </c>
      <c r="BI329" s="32" t="str">
        <f>INDEX(Stores!$B$2:$B$21,MATCH(B329,Stores!$A$2:$A$21,0))</f>
        <v>Bengaluru</v>
      </c>
    </row>
    <row r="330">
      <c r="A330" s="32" t="str">
        <f>Orders!A327</f>
        <v>O00326</v>
      </c>
      <c r="B330" s="32" t="str">
        <f>Orders!C327</f>
        <v>S007</v>
      </c>
      <c r="C330" s="32" t="str">
        <f>Orders!B327</f>
        <v>C0092</v>
      </c>
      <c r="D330" s="32" t="str">
        <f>Orders!H327</f>
        <v>Delivered</v>
      </c>
      <c r="E330" s="33">
        <f>IF(Orders!H327="Delivered",1,0)</f>
        <v>1</v>
      </c>
      <c r="F330" s="34">
        <f>IF(E330=1,Orders!R327,"")</f>
        <v>-0.6</v>
      </c>
      <c r="G330" s="33">
        <f>IF(E330=1,IF(Orders!R327&gt;0,1,0),"")</f>
        <v>0</v>
      </c>
      <c r="H330" s="33">
        <f>IF(E330=1,IF(Orders!R327&gt;5,1,0),"")</f>
        <v>0</v>
      </c>
      <c r="I330" s="32" t="str">
        <f>IF(E330=1,"",IF(OR(Orders!T327="Rider unavailable",Orders!T327="Item unavailable"),"Company-caused","Unresolved"))</f>
        <v/>
      </c>
      <c r="J330" s="33">
        <f>IF(OR(E330=1,I330="Company-caused"),1,0)</f>
        <v>1</v>
      </c>
      <c r="K330" s="32" t="str">
        <f>IF(E330=0,IF(I330="Company-caused",IF(Orders!T327="Rider unavailable","C1 Rider unavailable","C2 Item unavailable"),"Outside root: unresolved"),IF(G330=0,"A On time",IF(H330=1,IF(L330=1,"B2a Severe, peak","B2b Severe, off-peak"),IF(L330=1,"B1a Slight, peak","B1b Slight, off-peak"))))</f>
        <v>A On time</v>
      </c>
      <c r="L330" s="33">
        <f>IF(AND(Orders!U327&gt;=19,Orders!U327&lt;22),1,0)</f>
        <v>1</v>
      </c>
      <c r="M330" s="33">
        <f>IF(L330=IF(Orders!V327,1,0),1,0)</f>
        <v>1</v>
      </c>
      <c r="N330" s="32" t="str">
        <f>IF(Orders!W327="","None",Orders!W327)</f>
        <v>None</v>
      </c>
      <c r="O330" s="35">
        <f>INT(Orders!E327)</f>
        <v>46276.0</v>
      </c>
      <c r="P330" s="33">
        <f>Orders!U327</f>
        <v>19</v>
      </c>
      <c r="Q330" s="33">
        <f>COUNTIFS(Demand!$A$2:$A$4481,B330,Demand!$B$2:$B$4481,O330,Demand!$C$2:$C$4481,P330)</f>
        <v>1</v>
      </c>
      <c r="R330" s="33">
        <f>IF(Q330=1,SUMIFS(Demand!$E$2:$E$4481,Demand!$A$2:$A$4481,B330,Demand!$B$2:$B$4481,O330,Demand!$C$2:$C$4481,P330),"")</f>
        <v>63</v>
      </c>
      <c r="S330" s="33">
        <f>INDEX(Stores!$G$2:$G$21,MATCH(B330,Stores!$A$2:$A$21,0))</f>
        <v>37</v>
      </c>
      <c r="T330" s="34">
        <f>IF(R330="","",R330/S330)</f>
        <v>1.7027027027027</v>
      </c>
      <c r="U330" s="34">
        <f>IF(E330=1,T330,"")</f>
        <v>1.7027027027027</v>
      </c>
      <c r="V330" s="34" t="str">
        <f>IF(AND(E330=1,L330=0),T330,"")</f>
        <v/>
      </c>
      <c r="W330" s="33">
        <f>IF(U330="","",IF(U330&lt;=Breakdowns!$C$5,1,IF(U330&lt;=Breakdowns!$C$6,2,IF(U330&lt;=Breakdowns!$C$7,3,4))))</f>
        <v>4</v>
      </c>
      <c r="X330" s="33" t="str">
        <f>IF(V330="","",IF(V330&lt;=Breakdowns!$D$5,1,IF(V330&lt;=Breakdowns!$D$6,2,IF(V330&lt;=Breakdowns!$D$7,3,4))))</f>
        <v/>
      </c>
      <c r="Y330" s="34">
        <f>INDEX(Stores!$F$2:$F$21,MATCH(B330,Stores!$A$2:$A$21,0))</f>
        <v>4.05</v>
      </c>
      <c r="Z330" s="33">
        <f>IF(Y330&gt;Store_Summary!$M$2,1,0)</f>
        <v>0</v>
      </c>
      <c r="AA330" s="33">
        <f>INDEX(Stores!$C$2:$C$21,MATCH(B330,Stores!$A$2:$A$21,0))</f>
        <v>661</v>
      </c>
      <c r="AB330" s="33">
        <f>IF(AA330&lt;180,1,0)</f>
        <v>0</v>
      </c>
      <c r="AC330" s="32" t="str">
        <f>IF(Orders!D327="","",INDEX(Riders!$C$2:$C$81,MATCH(Orders!D327,Riders!$A$2:$A$81,0)))</f>
        <v>EV scooter</v>
      </c>
      <c r="AD330" s="33">
        <f>IF(Orders!D327="","",INDEX(Riders!$D$2:$D$81,MATCH(Orders!D327,Riders!$A$2:$A$81,0)))</f>
        <v>33</v>
      </c>
      <c r="AE330" s="33">
        <f>IF(Orders!D327="","",IF(INDEX(Riders!$B$2:$B$81,MATCH(Orders!D327,Riders!$A$2:$A$81,0))=B330,1,0))</f>
        <v>0</v>
      </c>
      <c r="AF330" s="34">
        <f>IF(E330=1,Orders!L327,"")</f>
        <v>0.5</v>
      </c>
      <c r="AG330" s="34">
        <f>IF(E330=1,Orders!P327,"")</f>
        <v>8.4</v>
      </c>
      <c r="AH330" s="34">
        <f>IF(E330=1,Orders!Q327,"")</f>
        <v>7.8</v>
      </c>
      <c r="AI330" s="34">
        <f>IF(E330=1,Orders!M327,"")</f>
        <v>2.6</v>
      </c>
      <c r="AJ330" s="34">
        <f>IF(E330=1,Orders!N327,"")</f>
        <v>3.9</v>
      </c>
      <c r="AK330" s="34">
        <f>IF(E330=1,Orders!O327,"")</f>
        <v>1.3</v>
      </c>
      <c r="AL330" s="33">
        <f>IF(E330=1,IF(ROUND(ABS(AI330+AJ330+AK330-AH330),6)&lt;=0.1,1,0),"")</f>
        <v>1</v>
      </c>
      <c r="AM330" s="36">
        <f>IF(E330=1,AI330/AH330,"")</f>
        <v>0.333333333333333</v>
      </c>
      <c r="AN330" s="36">
        <f>IF(E330=1,AJ330/AH330,"")</f>
        <v>0.5</v>
      </c>
      <c r="AO330" s="36">
        <f>IF(E330=1,AK330/AH330,"")</f>
        <v>0.166666666666667</v>
      </c>
      <c r="AP330" s="34">
        <f>IF(E330=1,Orders!Y327,"")</f>
        <v>0.58</v>
      </c>
      <c r="AQ330" s="33">
        <f>IF(Orders!X327,1,0)</f>
        <v>0</v>
      </c>
      <c r="AR330" s="34">
        <f>IF(AND(E330=1,L330=1),AJ330,"")</f>
        <v>3.9</v>
      </c>
      <c r="AS330" s="34" t="str">
        <f>IF(AND(E330=1,L330=0),AJ330,"")</f>
        <v/>
      </c>
      <c r="AT330" s="34">
        <f>IF(AND(E330=1,L330=1),AI330,"")</f>
        <v>2.6</v>
      </c>
      <c r="AU330" s="34" t="str">
        <f>IF(AND(E330=1,L330=0),AI330,"")</f>
        <v/>
      </c>
      <c r="AV330" s="34">
        <f>IF(AND(E330=1,L330=1),AG330,"")</f>
        <v>8.4</v>
      </c>
      <c r="AW330" s="34" t="str">
        <f>IF(AND(E330=1,L330=0),AG330,"")</f>
        <v/>
      </c>
      <c r="AX330" s="34">
        <f>IF(AND(E330=1,L330=1),AH330,"")</f>
        <v>7.8</v>
      </c>
      <c r="AY330" s="34" t="str">
        <f>IF(AND(E330=1,L330=0),AH330,"")</f>
        <v/>
      </c>
      <c r="AZ330" s="34" t="str">
        <f>IF(G330=1,F330,"")</f>
        <v/>
      </c>
      <c r="BA330" s="34" t="str">
        <f>IF(AND(G330=1,L330=1),F330,"")</f>
        <v/>
      </c>
      <c r="BB330" s="34" t="str">
        <f>IF(AND(G330=1,L330=0),F330,"")</f>
        <v/>
      </c>
      <c r="BC330" s="33">
        <f>IF(E330=1,IF(Orders!R327&gt;3,1,0),"")</f>
        <v>0</v>
      </c>
      <c r="BD330" s="33">
        <f>IF(E330=1,IF(Orders!R327&gt;7,1,0),"")</f>
        <v>0</v>
      </c>
      <c r="BE330" s="32" t="str">
        <f>IF(E330=1,IF(Orders!L327&lt;=1.5,"Up to 1.5 km",IF(Orders!L327&lt;=3,"1.5–3 km","Over 3 km")),"")</f>
        <v>Up to 1.5 km</v>
      </c>
      <c r="BF330" s="33">
        <f>IF(E330=1,IF(ABS((Orders!G327-Orders!F327)*1440-Orders!R327)&lt;0.06,1,0),"")</f>
        <v>1</v>
      </c>
      <c r="BG330" s="33">
        <f>IF(ABS((Orders!F327-Orders!E327)*1440-Orders!P327)&lt;0.06,1,0)</f>
        <v>1</v>
      </c>
      <c r="BH330" s="33">
        <f>IF(E330=1,IF(IF(Orders!S327,1,0)=1-G330,1,0),"")</f>
        <v>1</v>
      </c>
      <c r="BI330" s="32" t="str">
        <f>INDEX(Stores!$B$2:$B$21,MATCH(B330,Stores!$A$2:$A$21,0))</f>
        <v>Hyderabad</v>
      </c>
    </row>
    <row r="331">
      <c r="A331" s="32" t="str">
        <f>Orders!A328</f>
        <v>O00327</v>
      </c>
      <c r="B331" s="32" t="str">
        <f>Orders!C328</f>
        <v>S013</v>
      </c>
      <c r="C331" s="32" t="str">
        <f>Orders!B328</f>
        <v>C0078</v>
      </c>
      <c r="D331" s="32" t="str">
        <f>Orders!H328</f>
        <v>Delivered</v>
      </c>
      <c r="E331" s="33">
        <f>IF(Orders!H328="Delivered",1,0)</f>
        <v>1</v>
      </c>
      <c r="F331" s="34">
        <f>IF(E331=1,Orders!R328,"")</f>
        <v>-0.2</v>
      </c>
      <c r="G331" s="33">
        <f>IF(E331=1,IF(Orders!R328&gt;0,1,0),"")</f>
        <v>0</v>
      </c>
      <c r="H331" s="33">
        <f>IF(E331=1,IF(Orders!R328&gt;5,1,0),"")</f>
        <v>0</v>
      </c>
      <c r="I331" s="32" t="str">
        <f>IF(E331=1,"",IF(OR(Orders!T328="Rider unavailable",Orders!T328="Item unavailable"),"Company-caused","Unresolved"))</f>
        <v/>
      </c>
      <c r="J331" s="33">
        <f>IF(OR(E331=1,I331="Company-caused"),1,0)</f>
        <v>1</v>
      </c>
      <c r="K331" s="32" t="str">
        <f>IF(E331=0,IF(I331="Company-caused",IF(Orders!T328="Rider unavailable","C1 Rider unavailable","C2 Item unavailable"),"Outside root: unresolved"),IF(G331=0,"A On time",IF(H331=1,IF(L331=1,"B2a Severe, peak","B2b Severe, off-peak"),IF(L331=1,"B1a Slight, peak","B1b Slight, off-peak"))))</f>
        <v>A On time</v>
      </c>
      <c r="L331" s="33">
        <f>IF(AND(Orders!U328&gt;=19,Orders!U328&lt;22),1,0)</f>
        <v>0</v>
      </c>
      <c r="M331" s="33">
        <f>IF(L331=IF(Orders!V328,1,0),1,0)</f>
        <v>1</v>
      </c>
      <c r="N331" s="32" t="str">
        <f>IF(Orders!W328="","None",Orders!W328)</f>
        <v>None</v>
      </c>
      <c r="O331" s="35">
        <f>INT(Orders!E328)</f>
        <v>46277.0</v>
      </c>
      <c r="P331" s="33">
        <f>Orders!U328</f>
        <v>18</v>
      </c>
      <c r="Q331" s="33">
        <f>COUNTIFS(Demand!$A$2:$A$4481,B331,Demand!$B$2:$B$4481,O331,Demand!$C$2:$C$4481,P331)</f>
        <v>1</v>
      </c>
      <c r="R331" s="33">
        <f>IF(Q331=1,SUMIFS(Demand!$E$2:$E$4481,Demand!$A$2:$A$4481,B331,Demand!$B$2:$B$4481,O331,Demand!$C$2:$C$4481,P331),"")</f>
        <v>53</v>
      </c>
      <c r="S331" s="33">
        <f>INDEX(Stores!$G$2:$G$21,MATCH(B331,Stores!$A$2:$A$21,0))</f>
        <v>49</v>
      </c>
      <c r="T331" s="34">
        <f>IF(R331="","",R331/S331)</f>
        <v>1.08163265306122</v>
      </c>
      <c r="U331" s="34">
        <f>IF(E331=1,T331,"")</f>
        <v>1.08163265306122</v>
      </c>
      <c r="V331" s="34">
        <f>IF(AND(E331=1,L331=0),T331,"")</f>
        <v>1.08163265306122</v>
      </c>
      <c r="W331" s="33">
        <f>IF(U331="","",IF(U331&lt;=Breakdowns!$C$5,1,IF(U331&lt;=Breakdowns!$C$6,2,IF(U331&lt;=Breakdowns!$C$7,3,4))))</f>
        <v>3</v>
      </c>
      <c r="X331" s="33">
        <f>IF(V331="","",IF(V331&lt;=Breakdowns!$D$5,1,IF(V331&lt;=Breakdowns!$D$6,2,IF(V331&lt;=Breakdowns!$D$7,3,4))))</f>
        <v>4</v>
      </c>
      <c r="Y331" s="34">
        <f>INDEX(Stores!$F$2:$F$21,MATCH(B331,Stores!$A$2:$A$21,0))</f>
        <v>5.82</v>
      </c>
      <c r="Z331" s="33">
        <f>IF(Y331&gt;Store_Summary!$M$2,1,0)</f>
        <v>1</v>
      </c>
      <c r="AA331" s="33">
        <f>INDEX(Stores!$C$2:$C$21,MATCH(B331,Stores!$A$2:$A$21,0))</f>
        <v>705</v>
      </c>
      <c r="AB331" s="33">
        <f>IF(AA331&lt;180,1,0)</f>
        <v>0</v>
      </c>
      <c r="AC331" s="32" t="str">
        <f>IF(Orders!D328="","",INDEX(Riders!$C$2:$C$81,MATCH(Orders!D328,Riders!$A$2:$A$81,0)))</f>
        <v>EV scooter</v>
      </c>
      <c r="AD331" s="33">
        <f>IF(Orders!D328="","",INDEX(Riders!$D$2:$D$81,MATCH(Orders!D328,Riders!$A$2:$A$81,0)))</f>
        <v>33</v>
      </c>
      <c r="AE331" s="33">
        <f>IF(Orders!D328="","",IF(INDEX(Riders!$B$2:$B$81,MATCH(Orders!D328,Riders!$A$2:$A$81,0))=B331,1,0))</f>
        <v>0</v>
      </c>
      <c r="AF331" s="34">
        <f>IF(E331=1,Orders!L328,"")</f>
        <v>2.31</v>
      </c>
      <c r="AG331" s="34">
        <f>IF(E331=1,Orders!P328,"")</f>
        <v>10.3</v>
      </c>
      <c r="AH331" s="34">
        <f>IF(E331=1,Orders!Q328,"")</f>
        <v>10.1</v>
      </c>
      <c r="AI331" s="34">
        <f>IF(E331=1,Orders!M328,"")</f>
        <v>3.1</v>
      </c>
      <c r="AJ331" s="34">
        <f>IF(E331=1,Orders!N328,"")</f>
        <v>4.3</v>
      </c>
      <c r="AK331" s="34">
        <f>IF(E331=1,Orders!O328,"")</f>
        <v>2.7</v>
      </c>
      <c r="AL331" s="33">
        <f>IF(E331=1,IF(ROUND(ABS(AI331+AJ331+AK331-AH331),6)&lt;=0.1,1,0),"")</f>
        <v>1</v>
      </c>
      <c r="AM331" s="36">
        <f>IF(E331=1,AI331/AH331,"")</f>
        <v>0.306930693069307</v>
      </c>
      <c r="AN331" s="36">
        <f>IF(E331=1,AJ331/AH331,"")</f>
        <v>0.425742574257426</v>
      </c>
      <c r="AO331" s="36">
        <f>IF(E331=1,AK331/AH331,"")</f>
        <v>0.267326732673267</v>
      </c>
      <c r="AP331" s="34">
        <f>IF(E331=1,Orders!Y328,"")</f>
        <v>0.27</v>
      </c>
      <c r="AQ331" s="33">
        <f>IF(Orders!X328,1,0)</f>
        <v>0</v>
      </c>
      <c r="AR331" s="34" t="str">
        <f>IF(AND(E331=1,L331=1),AJ331,"")</f>
        <v/>
      </c>
      <c r="AS331" s="34">
        <f>IF(AND(E331=1,L331=0),AJ331,"")</f>
        <v>4.3</v>
      </c>
      <c r="AT331" s="34" t="str">
        <f>IF(AND(E331=1,L331=1),AI331,"")</f>
        <v/>
      </c>
      <c r="AU331" s="34">
        <f>IF(AND(E331=1,L331=0),AI331,"")</f>
        <v>3.1</v>
      </c>
      <c r="AV331" s="34" t="str">
        <f>IF(AND(E331=1,L331=1),AG331,"")</f>
        <v/>
      </c>
      <c r="AW331" s="34">
        <f>IF(AND(E331=1,L331=0),AG331,"")</f>
        <v>10.3</v>
      </c>
      <c r="AX331" s="34" t="str">
        <f>IF(AND(E331=1,L331=1),AH331,"")</f>
        <v/>
      </c>
      <c r="AY331" s="34">
        <f>IF(AND(E331=1,L331=0),AH331,"")</f>
        <v>10.1</v>
      </c>
      <c r="AZ331" s="34" t="str">
        <f>IF(G331=1,F331,"")</f>
        <v/>
      </c>
      <c r="BA331" s="34" t="str">
        <f>IF(AND(G331=1,L331=1),F331,"")</f>
        <v/>
      </c>
      <c r="BB331" s="34" t="str">
        <f>IF(AND(G331=1,L331=0),F331,"")</f>
        <v/>
      </c>
      <c r="BC331" s="33">
        <f>IF(E331=1,IF(Orders!R328&gt;3,1,0),"")</f>
        <v>0</v>
      </c>
      <c r="BD331" s="33">
        <f>IF(E331=1,IF(Orders!R328&gt;7,1,0),"")</f>
        <v>0</v>
      </c>
      <c r="BE331" s="32" t="str">
        <f>IF(E331=1,IF(Orders!L328&lt;=1.5,"Up to 1.5 km",IF(Orders!L328&lt;=3,"1.5–3 km","Over 3 km")),"")</f>
        <v>1.5–3 km</v>
      </c>
      <c r="BF331" s="33">
        <f>IF(E331=1,IF(ABS((Orders!G328-Orders!F328)*1440-Orders!R328)&lt;0.06,1,0),"")</f>
        <v>1</v>
      </c>
      <c r="BG331" s="33">
        <f>IF(ABS((Orders!F328-Orders!E328)*1440-Orders!P328)&lt;0.06,1,0)</f>
        <v>1</v>
      </c>
      <c r="BH331" s="33">
        <f>IF(E331=1,IF(IF(Orders!S328,1,0)=1-G331,1,0),"")</f>
        <v>1</v>
      </c>
      <c r="BI331" s="32" t="str">
        <f>INDEX(Stores!$B$2:$B$21,MATCH(B331,Stores!$A$2:$A$21,0))</f>
        <v>Mumbai</v>
      </c>
    </row>
    <row r="332">
      <c r="A332" s="32" t="str">
        <f>Orders!A329</f>
        <v>O00328</v>
      </c>
      <c r="B332" s="32" t="str">
        <f>Orders!C329</f>
        <v>S020</v>
      </c>
      <c r="C332" s="32" t="str">
        <f>Orders!B329</f>
        <v>C0212</v>
      </c>
      <c r="D332" s="32" t="str">
        <f>Orders!H329</f>
        <v>Delivered</v>
      </c>
      <c r="E332" s="33">
        <f>IF(Orders!H329="Delivered",1,0)</f>
        <v>1</v>
      </c>
      <c r="F332" s="34">
        <f>IF(E332=1,Orders!R329,"")</f>
        <v>-0.4</v>
      </c>
      <c r="G332" s="33">
        <f>IF(E332=1,IF(Orders!R329&gt;0,1,0),"")</f>
        <v>0</v>
      </c>
      <c r="H332" s="33">
        <f>IF(E332=1,IF(Orders!R329&gt;5,1,0),"")</f>
        <v>0</v>
      </c>
      <c r="I332" s="32" t="str">
        <f>IF(E332=1,"",IF(OR(Orders!T329="Rider unavailable",Orders!T329="Item unavailable"),"Company-caused","Unresolved"))</f>
        <v/>
      </c>
      <c r="J332" s="33">
        <f>IF(OR(E332=1,I332="Company-caused"),1,0)</f>
        <v>1</v>
      </c>
      <c r="K332" s="32" t="str">
        <f>IF(E332=0,IF(I332="Company-caused",IF(Orders!T329="Rider unavailable","C1 Rider unavailable","C2 Item unavailable"),"Outside root: unresolved"),IF(G332=0,"A On time",IF(H332=1,IF(L332=1,"B2a Severe, peak","B2b Severe, off-peak"),IF(L332=1,"B1a Slight, peak","B1b Slight, off-peak"))))</f>
        <v>A On time</v>
      </c>
      <c r="L332" s="33">
        <f>IF(AND(Orders!U329&gt;=19,Orders!U329&lt;22),1,0)</f>
        <v>1</v>
      </c>
      <c r="M332" s="33">
        <f>IF(L332=IF(Orders!V329,1,0),1,0)</f>
        <v>1</v>
      </c>
      <c r="N332" s="32" t="str">
        <f>IF(Orders!W329="","None",Orders!W329)</f>
        <v>Light</v>
      </c>
      <c r="O332" s="35">
        <f>INT(Orders!E329)</f>
        <v>46270.0</v>
      </c>
      <c r="P332" s="33">
        <f>Orders!U329</f>
        <v>21</v>
      </c>
      <c r="Q332" s="33">
        <f>COUNTIFS(Demand!$A$2:$A$4481,B332,Demand!$B$2:$B$4481,O332,Demand!$C$2:$C$4481,P332)</f>
        <v>1</v>
      </c>
      <c r="R332" s="33">
        <f>IF(Q332=1,SUMIFS(Demand!$E$2:$E$4481,Demand!$A$2:$A$4481,B332,Demand!$B$2:$B$4481,O332,Demand!$C$2:$C$4481,P332),"")</f>
        <v>30</v>
      </c>
      <c r="S332" s="33">
        <f>INDEX(Stores!$G$2:$G$21,MATCH(B332,Stores!$A$2:$A$21,0))</f>
        <v>15</v>
      </c>
      <c r="T332" s="34">
        <f>IF(R332="","",R332/S332)</f>
        <v>2</v>
      </c>
      <c r="U332" s="34">
        <f>IF(E332=1,T332,"")</f>
        <v>2</v>
      </c>
      <c r="V332" s="34" t="str">
        <f>IF(AND(E332=1,L332=0),T332,"")</f>
        <v/>
      </c>
      <c r="W332" s="33">
        <f>IF(U332="","",IF(U332&lt;=Breakdowns!$C$5,1,IF(U332&lt;=Breakdowns!$C$6,2,IF(U332&lt;=Breakdowns!$C$7,3,4))))</f>
        <v>4</v>
      </c>
      <c r="X332" s="33" t="str">
        <f>IF(V332="","",IF(V332&lt;=Breakdowns!$D$5,1,IF(V332&lt;=Breakdowns!$D$6,2,IF(V332&lt;=Breakdowns!$D$7,3,4))))</f>
        <v/>
      </c>
      <c r="Y332" s="34">
        <f>INDEX(Stores!$F$2:$F$21,MATCH(B332,Stores!$A$2:$A$21,0))</f>
        <v>5.74</v>
      </c>
      <c r="Z332" s="33">
        <f>IF(Y332&gt;Store_Summary!$M$2,1,0)</f>
        <v>1</v>
      </c>
      <c r="AA332" s="33">
        <f>INDEX(Stores!$C$2:$C$21,MATCH(B332,Stores!$A$2:$A$21,0))</f>
        <v>647</v>
      </c>
      <c r="AB332" s="33">
        <f>IF(AA332&lt;180,1,0)</f>
        <v>0</v>
      </c>
      <c r="AC332" s="32" t="str">
        <f>IF(Orders!D329="","",INDEX(Riders!$C$2:$C$81,MATCH(Orders!D329,Riders!$A$2:$A$81,0)))</f>
        <v>EV scooter</v>
      </c>
      <c r="AD332" s="33">
        <f>IF(Orders!D329="","",INDEX(Riders!$D$2:$D$81,MATCH(Orders!D329,Riders!$A$2:$A$81,0)))</f>
        <v>12</v>
      </c>
      <c r="AE332" s="33">
        <f>IF(Orders!D329="","",IF(INDEX(Riders!$B$2:$B$81,MATCH(Orders!D329,Riders!$A$2:$A$81,0))=B332,1,0))</f>
        <v>0</v>
      </c>
      <c r="AF332" s="34">
        <f>IF(E332=1,Orders!L329,"")</f>
        <v>0.5</v>
      </c>
      <c r="AG332" s="34">
        <f>IF(E332=1,Orders!P329,"")</f>
        <v>10.1</v>
      </c>
      <c r="AH332" s="34">
        <f>IF(E332=1,Orders!Q329,"")</f>
        <v>9.7</v>
      </c>
      <c r="AI332" s="34">
        <f>IF(E332=1,Orders!M329,"")</f>
        <v>3.8</v>
      </c>
      <c r="AJ332" s="34">
        <f>IF(E332=1,Orders!N329,"")</f>
        <v>3.8</v>
      </c>
      <c r="AK332" s="34">
        <f>IF(E332=1,Orders!O329,"")</f>
        <v>2.1</v>
      </c>
      <c r="AL332" s="33">
        <f>IF(E332=1,IF(ROUND(ABS(AI332+AJ332+AK332-AH332),6)&lt;=0.1,1,0),"")</f>
        <v>1</v>
      </c>
      <c r="AM332" s="36">
        <f>IF(E332=1,AI332/AH332,"")</f>
        <v>0.391752577319588</v>
      </c>
      <c r="AN332" s="36">
        <f>IF(E332=1,AJ332/AH332,"")</f>
        <v>0.391752577319588</v>
      </c>
      <c r="AO332" s="36">
        <f>IF(E332=1,AK332/AH332,"")</f>
        <v>0.216494845360825</v>
      </c>
      <c r="AP332" s="34">
        <f>IF(E332=1,Orders!Y329,"")</f>
        <v>0.92</v>
      </c>
      <c r="AQ332" s="33">
        <f>IF(Orders!X329,1,0)</f>
        <v>0</v>
      </c>
      <c r="AR332" s="34">
        <f>IF(AND(E332=1,L332=1),AJ332,"")</f>
        <v>3.8</v>
      </c>
      <c r="AS332" s="34" t="str">
        <f>IF(AND(E332=1,L332=0),AJ332,"")</f>
        <v/>
      </c>
      <c r="AT332" s="34">
        <f>IF(AND(E332=1,L332=1),AI332,"")</f>
        <v>3.8</v>
      </c>
      <c r="AU332" s="34" t="str">
        <f>IF(AND(E332=1,L332=0),AI332,"")</f>
        <v/>
      </c>
      <c r="AV332" s="34">
        <f>IF(AND(E332=1,L332=1),AG332,"")</f>
        <v>10.1</v>
      </c>
      <c r="AW332" s="34" t="str">
        <f>IF(AND(E332=1,L332=0),AG332,"")</f>
        <v/>
      </c>
      <c r="AX332" s="34">
        <f>IF(AND(E332=1,L332=1),AH332,"")</f>
        <v>9.7</v>
      </c>
      <c r="AY332" s="34" t="str">
        <f>IF(AND(E332=1,L332=0),AH332,"")</f>
        <v/>
      </c>
      <c r="AZ332" s="34" t="str">
        <f>IF(G332=1,F332,"")</f>
        <v/>
      </c>
      <c r="BA332" s="34" t="str">
        <f>IF(AND(G332=1,L332=1),F332,"")</f>
        <v/>
      </c>
      <c r="BB332" s="34" t="str">
        <f>IF(AND(G332=1,L332=0),F332,"")</f>
        <v/>
      </c>
      <c r="BC332" s="33">
        <f>IF(E332=1,IF(Orders!R329&gt;3,1,0),"")</f>
        <v>0</v>
      </c>
      <c r="BD332" s="33">
        <f>IF(E332=1,IF(Orders!R329&gt;7,1,0),"")</f>
        <v>0</v>
      </c>
      <c r="BE332" s="32" t="str">
        <f>IF(E332=1,IF(Orders!L329&lt;=1.5,"Up to 1.5 km",IF(Orders!L329&lt;=3,"1.5–3 km","Over 3 km")),"")</f>
        <v>Up to 1.5 km</v>
      </c>
      <c r="BF332" s="33">
        <f>IF(E332=1,IF(ABS((Orders!G329-Orders!F329)*1440-Orders!R329)&lt;0.06,1,0),"")</f>
        <v>1</v>
      </c>
      <c r="BG332" s="33">
        <f>IF(ABS((Orders!F329-Orders!E329)*1440-Orders!P329)&lt;0.06,1,0)</f>
        <v>1</v>
      </c>
      <c r="BH332" s="33">
        <f>IF(E332=1,IF(IF(Orders!S329,1,0)=1-G332,1,0),"")</f>
        <v>1</v>
      </c>
      <c r="BI332" s="32" t="str">
        <f>INDEX(Stores!$B$2:$B$21,MATCH(B332,Stores!$A$2:$A$21,0))</f>
        <v>Delhi</v>
      </c>
    </row>
    <row r="333">
      <c r="A333" s="32" t="str">
        <f>Orders!A330</f>
        <v>O00329</v>
      </c>
      <c r="B333" s="32" t="str">
        <f>Orders!C330</f>
        <v>S001</v>
      </c>
      <c r="C333" s="32" t="str">
        <f>Orders!B330</f>
        <v>C0109</v>
      </c>
      <c r="D333" s="32" t="str">
        <f>Orders!H330</f>
        <v>Delivered</v>
      </c>
      <c r="E333" s="33">
        <f>IF(Orders!H330="Delivered",1,0)</f>
        <v>1</v>
      </c>
      <c r="F333" s="34">
        <f>IF(E333=1,Orders!R330,"")</f>
        <v>-1.1</v>
      </c>
      <c r="G333" s="33">
        <f>IF(E333=1,IF(Orders!R330&gt;0,1,0),"")</f>
        <v>0</v>
      </c>
      <c r="H333" s="33">
        <f>IF(E333=1,IF(Orders!R330&gt;5,1,0),"")</f>
        <v>0</v>
      </c>
      <c r="I333" s="32" t="str">
        <f>IF(E333=1,"",IF(OR(Orders!T330="Rider unavailable",Orders!T330="Item unavailable"),"Company-caused","Unresolved"))</f>
        <v/>
      </c>
      <c r="J333" s="33">
        <f>IF(OR(E333=1,I333="Company-caused"),1,0)</f>
        <v>1</v>
      </c>
      <c r="K333" s="32" t="str">
        <f>IF(E333=0,IF(I333="Company-caused",IF(Orders!T330="Rider unavailable","C1 Rider unavailable","C2 Item unavailable"),"Outside root: unresolved"),IF(G333=0,"A On time",IF(H333=1,IF(L333=1,"B2a Severe, peak","B2b Severe, off-peak"),IF(L333=1,"B1a Slight, peak","B1b Slight, off-peak"))))</f>
        <v>A On time</v>
      </c>
      <c r="L333" s="33">
        <f>IF(AND(Orders!U330&gt;=19,Orders!U330&lt;22),1,0)</f>
        <v>0</v>
      </c>
      <c r="M333" s="33">
        <f>IF(L333=IF(Orders!V330,1,0),1,0)</f>
        <v>1</v>
      </c>
      <c r="N333" s="32" t="str">
        <f>IF(Orders!W330="","None",Orders!W330)</f>
        <v>None</v>
      </c>
      <c r="O333" s="35">
        <f>INT(Orders!E330)</f>
        <v>46266.0</v>
      </c>
      <c r="P333" s="33">
        <f>Orders!U330</f>
        <v>22</v>
      </c>
      <c r="Q333" s="33">
        <f>COUNTIFS(Demand!$A$2:$A$4481,B333,Demand!$B$2:$B$4481,O333,Demand!$C$2:$C$4481,P333)</f>
        <v>1</v>
      </c>
      <c r="R333" s="33">
        <f>IF(Q333=1,SUMIFS(Demand!$E$2:$E$4481,Demand!$A$2:$A$4481,B333,Demand!$B$2:$B$4481,O333,Demand!$C$2:$C$4481,P333),"")</f>
        <v>26</v>
      </c>
      <c r="S333" s="33">
        <f>INDEX(Stores!$G$2:$G$21,MATCH(B333,Stores!$A$2:$A$21,0))</f>
        <v>16</v>
      </c>
      <c r="T333" s="34">
        <f>IF(R333="","",R333/S333)</f>
        <v>1.625</v>
      </c>
      <c r="U333" s="34">
        <f>IF(E333=1,T333,"")</f>
        <v>1.625</v>
      </c>
      <c r="V333" s="34">
        <f>IF(AND(E333=1,L333=0),T333,"")</f>
        <v>1.625</v>
      </c>
      <c r="W333" s="33">
        <f>IF(U333="","",IF(U333&lt;=Breakdowns!$C$5,1,IF(U333&lt;=Breakdowns!$C$6,2,IF(U333&lt;=Breakdowns!$C$7,3,4))))</f>
        <v>4</v>
      </c>
      <c r="X333" s="33">
        <f>IF(V333="","",IF(V333&lt;=Breakdowns!$D$5,1,IF(V333&lt;=Breakdowns!$D$6,2,IF(V333&lt;=Breakdowns!$D$7,3,4))))</f>
        <v>4</v>
      </c>
      <c r="Y333" s="34">
        <f>INDEX(Stores!$F$2:$F$21,MATCH(B333,Stores!$A$2:$A$21,0))</f>
        <v>4.59</v>
      </c>
      <c r="Z333" s="33">
        <f>IF(Y333&gt;Store_Summary!$M$2,1,0)</f>
        <v>0</v>
      </c>
      <c r="AA333" s="33">
        <f>INDEX(Stores!$C$2:$C$21,MATCH(B333,Stores!$A$2:$A$21,0))</f>
        <v>362</v>
      </c>
      <c r="AB333" s="33">
        <f>IF(AA333&lt;180,1,0)</f>
        <v>0</v>
      </c>
      <c r="AC333" s="32" t="str">
        <f>IF(Orders!D330="","",INDEX(Riders!$C$2:$C$81,MATCH(Orders!D330,Riders!$A$2:$A$81,0)))</f>
        <v>Petrol scooter</v>
      </c>
      <c r="AD333" s="33">
        <f>IF(Orders!D330="","",INDEX(Riders!$D$2:$D$81,MATCH(Orders!D330,Riders!$A$2:$A$81,0)))</f>
        <v>35</v>
      </c>
      <c r="AE333" s="33">
        <f>IF(Orders!D330="","",IF(INDEX(Riders!$B$2:$B$81,MATCH(Orders!D330,Riders!$A$2:$A$81,0))=B333,1,0))</f>
        <v>0</v>
      </c>
      <c r="AF333" s="34">
        <f>IF(E333=1,Orders!L330,"")</f>
        <v>2.7</v>
      </c>
      <c r="AG333" s="34">
        <f>IF(E333=1,Orders!P330,"")</f>
        <v>13.8</v>
      </c>
      <c r="AH333" s="34">
        <f>IF(E333=1,Orders!Q330,"")</f>
        <v>12.7</v>
      </c>
      <c r="AI333" s="34">
        <f>IF(E333=1,Orders!M330,"")</f>
        <v>3.3</v>
      </c>
      <c r="AJ333" s="34">
        <f>IF(E333=1,Orders!N330,"")</f>
        <v>4.6</v>
      </c>
      <c r="AK333" s="34">
        <f>IF(E333=1,Orders!O330,"")</f>
        <v>4.8</v>
      </c>
      <c r="AL333" s="33">
        <f>IF(E333=1,IF(ROUND(ABS(AI333+AJ333+AK333-AH333),6)&lt;=0.1,1,0),"")</f>
        <v>1</v>
      </c>
      <c r="AM333" s="36">
        <f>IF(E333=1,AI333/AH333,"")</f>
        <v>0.259842519685039</v>
      </c>
      <c r="AN333" s="36">
        <f>IF(E333=1,AJ333/AH333,"")</f>
        <v>0.362204724409449</v>
      </c>
      <c r="AO333" s="36">
        <f>IF(E333=1,AK333/AH333,"")</f>
        <v>0.377952755905512</v>
      </c>
      <c r="AP333" s="34">
        <f>IF(E333=1,Orders!Y330,"")</f>
        <v>0.5</v>
      </c>
      <c r="AQ333" s="33">
        <f>IF(Orders!X330,1,0)</f>
        <v>0</v>
      </c>
      <c r="AR333" s="34" t="str">
        <f>IF(AND(E333=1,L333=1),AJ333,"")</f>
        <v/>
      </c>
      <c r="AS333" s="34">
        <f>IF(AND(E333=1,L333=0),AJ333,"")</f>
        <v>4.6</v>
      </c>
      <c r="AT333" s="34" t="str">
        <f>IF(AND(E333=1,L333=1),AI333,"")</f>
        <v/>
      </c>
      <c r="AU333" s="34">
        <f>IF(AND(E333=1,L333=0),AI333,"")</f>
        <v>3.3</v>
      </c>
      <c r="AV333" s="34" t="str">
        <f>IF(AND(E333=1,L333=1),AG333,"")</f>
        <v/>
      </c>
      <c r="AW333" s="34">
        <f>IF(AND(E333=1,L333=0),AG333,"")</f>
        <v>13.8</v>
      </c>
      <c r="AX333" s="34" t="str">
        <f>IF(AND(E333=1,L333=1),AH333,"")</f>
        <v/>
      </c>
      <c r="AY333" s="34">
        <f>IF(AND(E333=1,L333=0),AH333,"")</f>
        <v>12.7</v>
      </c>
      <c r="AZ333" s="34" t="str">
        <f>IF(G333=1,F333,"")</f>
        <v/>
      </c>
      <c r="BA333" s="34" t="str">
        <f>IF(AND(G333=1,L333=1),F333,"")</f>
        <v/>
      </c>
      <c r="BB333" s="34" t="str">
        <f>IF(AND(G333=1,L333=0),F333,"")</f>
        <v/>
      </c>
      <c r="BC333" s="33">
        <f>IF(E333=1,IF(Orders!R330&gt;3,1,0),"")</f>
        <v>0</v>
      </c>
      <c r="BD333" s="33">
        <f>IF(E333=1,IF(Orders!R330&gt;7,1,0),"")</f>
        <v>0</v>
      </c>
      <c r="BE333" s="32" t="str">
        <f>IF(E333=1,IF(Orders!L330&lt;=1.5,"Up to 1.5 km",IF(Orders!L330&lt;=3,"1.5–3 km","Over 3 km")),"")</f>
        <v>1.5–3 km</v>
      </c>
      <c r="BF333" s="33">
        <f>IF(E333=1,IF(ABS((Orders!G330-Orders!F330)*1440-Orders!R330)&lt;0.06,1,0),"")</f>
        <v>1</v>
      </c>
      <c r="BG333" s="33">
        <f>IF(ABS((Orders!F330-Orders!E330)*1440-Orders!P330)&lt;0.06,1,0)</f>
        <v>1</v>
      </c>
      <c r="BH333" s="33">
        <f>IF(E333=1,IF(IF(Orders!S330,1,0)=1-G333,1,0),"")</f>
        <v>1</v>
      </c>
      <c r="BI333" s="32" t="str">
        <f>INDEX(Stores!$B$2:$B$21,MATCH(B333,Stores!$A$2:$A$21,0))</f>
        <v>Bengaluru</v>
      </c>
    </row>
    <row r="334">
      <c r="A334" s="32" t="str">
        <f>Orders!A331</f>
        <v>O00330</v>
      </c>
      <c r="B334" s="32" t="str">
        <f>Orders!C331</f>
        <v>S003</v>
      </c>
      <c r="C334" s="32" t="str">
        <f>Orders!B331</f>
        <v>C0195</v>
      </c>
      <c r="D334" s="32" t="str">
        <f>Orders!H331</f>
        <v>Delivered</v>
      </c>
      <c r="E334" s="33">
        <f>IF(Orders!H331="Delivered",1,0)</f>
        <v>1</v>
      </c>
      <c r="F334" s="34">
        <f>IF(E334=1,Orders!R331,"")</f>
        <v>-0.3</v>
      </c>
      <c r="G334" s="33">
        <f>IF(E334=1,IF(Orders!R331&gt;0,1,0),"")</f>
        <v>0</v>
      </c>
      <c r="H334" s="33">
        <f>IF(E334=1,IF(Orders!R331&gt;5,1,0),"")</f>
        <v>0</v>
      </c>
      <c r="I334" s="32" t="str">
        <f>IF(E334=1,"",IF(OR(Orders!T331="Rider unavailable",Orders!T331="Item unavailable"),"Company-caused","Unresolved"))</f>
        <v/>
      </c>
      <c r="J334" s="33">
        <f>IF(OR(E334=1,I334="Company-caused"),1,0)</f>
        <v>1</v>
      </c>
      <c r="K334" s="32" t="str">
        <f>IF(E334=0,IF(I334="Company-caused",IF(Orders!T331="Rider unavailable","C1 Rider unavailable","C2 Item unavailable"),"Outside root: unresolved"),IF(G334=0,"A On time",IF(H334=1,IF(L334=1,"B2a Severe, peak","B2b Severe, off-peak"),IF(L334=1,"B1a Slight, peak","B1b Slight, off-peak"))))</f>
        <v>A On time</v>
      </c>
      <c r="L334" s="33">
        <f>IF(AND(Orders!U331&gt;=19,Orders!U331&lt;22),1,0)</f>
        <v>1</v>
      </c>
      <c r="M334" s="33">
        <f>IF(L334=IF(Orders!V331,1,0),1,0)</f>
        <v>1</v>
      </c>
      <c r="N334" s="32" t="str">
        <f>IF(Orders!W331="","None",Orders!W331)</f>
        <v>None</v>
      </c>
      <c r="O334" s="35">
        <f>INT(Orders!E331)</f>
        <v>46275.0</v>
      </c>
      <c r="P334" s="33">
        <f>Orders!U331</f>
        <v>20</v>
      </c>
      <c r="Q334" s="33">
        <f>COUNTIFS(Demand!$A$2:$A$4481,B334,Demand!$B$2:$B$4481,O334,Demand!$C$2:$C$4481,P334)</f>
        <v>1</v>
      </c>
      <c r="R334" s="33">
        <f>IF(Q334=1,SUMIFS(Demand!$E$2:$E$4481,Demand!$A$2:$A$4481,B334,Demand!$B$2:$B$4481,O334,Demand!$C$2:$C$4481,P334),"")</f>
        <v>70</v>
      </c>
      <c r="S334" s="33">
        <f>INDEX(Stores!$G$2:$G$21,MATCH(B334,Stores!$A$2:$A$21,0))</f>
        <v>41</v>
      </c>
      <c r="T334" s="34">
        <f>IF(R334="","",R334/S334)</f>
        <v>1.70731707317073</v>
      </c>
      <c r="U334" s="34">
        <f>IF(E334=1,T334,"")</f>
        <v>1.70731707317073</v>
      </c>
      <c r="V334" s="34" t="str">
        <f>IF(AND(E334=1,L334=0),T334,"")</f>
        <v/>
      </c>
      <c r="W334" s="33">
        <f>IF(U334="","",IF(U334&lt;=Breakdowns!$C$5,1,IF(U334&lt;=Breakdowns!$C$6,2,IF(U334&lt;=Breakdowns!$C$7,3,4))))</f>
        <v>4</v>
      </c>
      <c r="X334" s="33" t="str">
        <f>IF(V334="","",IF(V334&lt;=Breakdowns!$D$5,1,IF(V334&lt;=Breakdowns!$D$6,2,IF(V334&lt;=Breakdowns!$D$7,3,4))))</f>
        <v/>
      </c>
      <c r="Y334" s="34">
        <f>INDEX(Stores!$F$2:$F$21,MATCH(B334,Stores!$A$2:$A$21,0))</f>
        <v>3.84</v>
      </c>
      <c r="Z334" s="33">
        <f>IF(Y334&gt;Store_Summary!$M$2,1,0)</f>
        <v>0</v>
      </c>
      <c r="AA334" s="33">
        <f>INDEX(Stores!$C$2:$C$21,MATCH(B334,Stores!$A$2:$A$21,0))</f>
        <v>426</v>
      </c>
      <c r="AB334" s="33">
        <f>IF(AA334&lt;180,1,0)</f>
        <v>0</v>
      </c>
      <c r="AC334" s="32" t="str">
        <f>IF(Orders!D331="","",INDEX(Riders!$C$2:$C$81,MATCH(Orders!D331,Riders!$A$2:$A$81,0)))</f>
        <v>EV scooter</v>
      </c>
      <c r="AD334" s="33">
        <f>IF(Orders!D331="","",INDEX(Riders!$D$2:$D$81,MATCH(Orders!D331,Riders!$A$2:$A$81,0)))</f>
        <v>27</v>
      </c>
      <c r="AE334" s="33">
        <f>IF(Orders!D331="","",IF(INDEX(Riders!$B$2:$B$81,MATCH(Orders!D331,Riders!$A$2:$A$81,0))=B334,1,0))</f>
        <v>0</v>
      </c>
      <c r="AF334" s="34">
        <f>IF(E334=1,Orders!L331,"")</f>
        <v>2.1</v>
      </c>
      <c r="AG334" s="34">
        <f>IF(E334=1,Orders!P331,"")</f>
        <v>10.1</v>
      </c>
      <c r="AH334" s="34">
        <f>IF(E334=1,Orders!Q331,"")</f>
        <v>9.8</v>
      </c>
      <c r="AI334" s="34">
        <f>IF(E334=1,Orders!M331,"")</f>
        <v>2</v>
      </c>
      <c r="AJ334" s="34">
        <f>IF(E334=1,Orders!N331,"")</f>
        <v>3.7</v>
      </c>
      <c r="AK334" s="34">
        <f>IF(E334=1,Orders!O331,"")</f>
        <v>4.1</v>
      </c>
      <c r="AL334" s="33">
        <f>IF(E334=1,IF(ROUND(ABS(AI334+AJ334+AK334-AH334),6)&lt;=0.1,1,0),"")</f>
        <v>1</v>
      </c>
      <c r="AM334" s="36">
        <f>IF(E334=1,AI334/AH334,"")</f>
        <v>0.204081632653061</v>
      </c>
      <c r="AN334" s="36">
        <f>IF(E334=1,AJ334/AH334,"")</f>
        <v>0.377551020408163</v>
      </c>
      <c r="AO334" s="36">
        <f>IF(E334=1,AK334/AH334,"")</f>
        <v>0.418367346938775</v>
      </c>
      <c r="AP334" s="34">
        <f>IF(E334=1,Orders!Y331,"")</f>
        <v>0.8</v>
      </c>
      <c r="AQ334" s="33">
        <f>IF(Orders!X331,1,0)</f>
        <v>0</v>
      </c>
      <c r="AR334" s="34">
        <f>IF(AND(E334=1,L334=1),AJ334,"")</f>
        <v>3.7</v>
      </c>
      <c r="AS334" s="34" t="str">
        <f>IF(AND(E334=1,L334=0),AJ334,"")</f>
        <v/>
      </c>
      <c r="AT334" s="34">
        <f>IF(AND(E334=1,L334=1),AI334,"")</f>
        <v>2</v>
      </c>
      <c r="AU334" s="34" t="str">
        <f>IF(AND(E334=1,L334=0),AI334,"")</f>
        <v/>
      </c>
      <c r="AV334" s="34">
        <f>IF(AND(E334=1,L334=1),AG334,"")</f>
        <v>10.1</v>
      </c>
      <c r="AW334" s="34" t="str">
        <f>IF(AND(E334=1,L334=0),AG334,"")</f>
        <v/>
      </c>
      <c r="AX334" s="34">
        <f>IF(AND(E334=1,L334=1),AH334,"")</f>
        <v>9.8</v>
      </c>
      <c r="AY334" s="34" t="str">
        <f>IF(AND(E334=1,L334=0),AH334,"")</f>
        <v/>
      </c>
      <c r="AZ334" s="34" t="str">
        <f>IF(G334=1,F334,"")</f>
        <v/>
      </c>
      <c r="BA334" s="34" t="str">
        <f>IF(AND(G334=1,L334=1),F334,"")</f>
        <v/>
      </c>
      <c r="BB334" s="34" t="str">
        <f>IF(AND(G334=1,L334=0),F334,"")</f>
        <v/>
      </c>
      <c r="BC334" s="33">
        <f>IF(E334=1,IF(Orders!R331&gt;3,1,0),"")</f>
        <v>0</v>
      </c>
      <c r="BD334" s="33">
        <f>IF(E334=1,IF(Orders!R331&gt;7,1,0),"")</f>
        <v>0</v>
      </c>
      <c r="BE334" s="32" t="str">
        <f>IF(E334=1,IF(Orders!L331&lt;=1.5,"Up to 1.5 km",IF(Orders!L331&lt;=3,"1.5–3 km","Over 3 km")),"")</f>
        <v>1.5–3 km</v>
      </c>
      <c r="BF334" s="33">
        <f>IF(E334=1,IF(ABS((Orders!G331-Orders!F331)*1440-Orders!R331)&lt;0.06,1,0),"")</f>
        <v>1</v>
      </c>
      <c r="BG334" s="33">
        <f>IF(ABS((Orders!F331-Orders!E331)*1440-Orders!P331)&lt;0.06,1,0)</f>
        <v>1</v>
      </c>
      <c r="BH334" s="33">
        <f>IF(E334=1,IF(IF(Orders!S331,1,0)=1-G334,1,0),"")</f>
        <v>1</v>
      </c>
      <c r="BI334" s="32" t="str">
        <f>INDEX(Stores!$B$2:$B$21,MATCH(B334,Stores!$A$2:$A$21,0))</f>
        <v>Mumbai</v>
      </c>
    </row>
    <row r="335">
      <c r="A335" s="32" t="str">
        <f>Orders!A332</f>
        <v>O00331</v>
      </c>
      <c r="B335" s="32" t="str">
        <f>Orders!C332</f>
        <v>S001</v>
      </c>
      <c r="C335" s="32" t="str">
        <f>Orders!B332</f>
        <v>C0143</v>
      </c>
      <c r="D335" s="32" t="str">
        <f>Orders!H332</f>
        <v>Delivered</v>
      </c>
      <c r="E335" s="33">
        <f>IF(Orders!H332="Delivered",1,0)</f>
        <v>1</v>
      </c>
      <c r="F335" s="34">
        <f>IF(E335=1,Orders!R332,"")</f>
        <v>-0.2</v>
      </c>
      <c r="G335" s="33">
        <f>IF(E335=1,IF(Orders!R332&gt;0,1,0),"")</f>
        <v>0</v>
      </c>
      <c r="H335" s="33">
        <f>IF(E335=1,IF(Orders!R332&gt;5,1,0),"")</f>
        <v>0</v>
      </c>
      <c r="I335" s="32" t="str">
        <f>IF(E335=1,"",IF(OR(Orders!T332="Rider unavailable",Orders!T332="Item unavailable"),"Company-caused","Unresolved"))</f>
        <v/>
      </c>
      <c r="J335" s="33">
        <f>IF(OR(E335=1,I335="Company-caused"),1,0)</f>
        <v>1</v>
      </c>
      <c r="K335" s="32" t="str">
        <f>IF(E335=0,IF(I335="Company-caused",IF(Orders!T332="Rider unavailable","C1 Rider unavailable","C2 Item unavailable"),"Outside root: unresolved"),IF(G335=0,"A On time",IF(H335=1,IF(L335=1,"B2a Severe, peak","B2b Severe, off-peak"),IF(L335=1,"B1a Slight, peak","B1b Slight, off-peak"))))</f>
        <v>A On time</v>
      </c>
      <c r="L335" s="33">
        <f>IF(AND(Orders!U332&gt;=19,Orders!U332&lt;22),1,0)</f>
        <v>0</v>
      </c>
      <c r="M335" s="33">
        <f>IF(L335=IF(Orders!V332,1,0),1,0)</f>
        <v>1</v>
      </c>
      <c r="N335" s="32" t="str">
        <f>IF(Orders!W332="","None",Orders!W332)</f>
        <v>None</v>
      </c>
      <c r="O335" s="35">
        <f>INT(Orders!E332)</f>
        <v>46267.0</v>
      </c>
      <c r="P335" s="33">
        <f>Orders!U332</f>
        <v>13</v>
      </c>
      <c r="Q335" s="33">
        <f>COUNTIFS(Demand!$A$2:$A$4481,B335,Demand!$B$2:$B$4481,O335,Demand!$C$2:$C$4481,P335)</f>
        <v>1</v>
      </c>
      <c r="R335" s="33">
        <f>IF(Q335=1,SUMIFS(Demand!$E$2:$E$4481,Demand!$A$2:$A$4481,B335,Demand!$B$2:$B$4481,O335,Demand!$C$2:$C$4481,P335),"")</f>
        <v>11</v>
      </c>
      <c r="S335" s="33">
        <f>INDEX(Stores!$G$2:$G$21,MATCH(B335,Stores!$A$2:$A$21,0))</f>
        <v>16</v>
      </c>
      <c r="T335" s="34">
        <f>IF(R335="","",R335/S335)</f>
        <v>0.6875</v>
      </c>
      <c r="U335" s="34">
        <f>IF(E335=1,T335,"")</f>
        <v>0.6875</v>
      </c>
      <c r="V335" s="34">
        <f>IF(AND(E335=1,L335=0),T335,"")</f>
        <v>0.6875</v>
      </c>
      <c r="W335" s="33">
        <f>IF(U335="","",IF(U335&lt;=Breakdowns!$C$5,1,IF(U335&lt;=Breakdowns!$C$6,2,IF(U335&lt;=Breakdowns!$C$7,3,4))))</f>
        <v>1</v>
      </c>
      <c r="X335" s="33">
        <f>IF(V335="","",IF(V335&lt;=Breakdowns!$D$5,1,IF(V335&lt;=Breakdowns!$D$6,2,IF(V335&lt;=Breakdowns!$D$7,3,4))))</f>
        <v>1</v>
      </c>
      <c r="Y335" s="34">
        <f>INDEX(Stores!$F$2:$F$21,MATCH(B335,Stores!$A$2:$A$21,0))</f>
        <v>4.59</v>
      </c>
      <c r="Z335" s="33">
        <f>IF(Y335&gt;Store_Summary!$M$2,1,0)</f>
        <v>0</v>
      </c>
      <c r="AA335" s="33">
        <f>INDEX(Stores!$C$2:$C$21,MATCH(B335,Stores!$A$2:$A$21,0))</f>
        <v>362</v>
      </c>
      <c r="AB335" s="33">
        <f>IF(AA335&lt;180,1,0)</f>
        <v>0</v>
      </c>
      <c r="AC335" s="32" t="str">
        <f>IF(Orders!D332="","",INDEX(Riders!$C$2:$C$81,MATCH(Orders!D332,Riders!$A$2:$A$81,0)))</f>
        <v>Petrol scooter</v>
      </c>
      <c r="AD335" s="33">
        <f>IF(Orders!D332="","",INDEX(Riders!$D$2:$D$81,MATCH(Orders!D332,Riders!$A$2:$A$81,0)))</f>
        <v>4</v>
      </c>
      <c r="AE335" s="33">
        <f>IF(Orders!D332="","",IF(INDEX(Riders!$B$2:$B$81,MATCH(Orders!D332,Riders!$A$2:$A$81,0))=B335,1,0))</f>
        <v>0</v>
      </c>
      <c r="AF335" s="34">
        <f>IF(E335=1,Orders!L332,"")</f>
        <v>3.31</v>
      </c>
      <c r="AG335" s="34">
        <f>IF(E335=1,Orders!P332,"")</f>
        <v>11.5</v>
      </c>
      <c r="AH335" s="34">
        <f>IF(E335=1,Orders!Q332,"")</f>
        <v>11.3</v>
      </c>
      <c r="AI335" s="34">
        <f>IF(E335=1,Orders!M332,"")</f>
        <v>2.8</v>
      </c>
      <c r="AJ335" s="34">
        <f>IF(E335=1,Orders!N332,"")</f>
        <v>4.8</v>
      </c>
      <c r="AK335" s="34">
        <f>IF(E335=1,Orders!O332,"")</f>
        <v>3.7</v>
      </c>
      <c r="AL335" s="33">
        <f>IF(E335=1,IF(ROUND(ABS(AI335+AJ335+AK335-AH335),6)&lt;=0.1,1,0),"")</f>
        <v>1</v>
      </c>
      <c r="AM335" s="36">
        <f>IF(E335=1,AI335/AH335,"")</f>
        <v>0.247787610619469</v>
      </c>
      <c r="AN335" s="36">
        <f>IF(E335=1,AJ335/AH335,"")</f>
        <v>0.424778761061947</v>
      </c>
      <c r="AO335" s="36">
        <f>IF(E335=1,AK335/AH335,"")</f>
        <v>0.327433628318584</v>
      </c>
      <c r="AP335" s="34">
        <f>IF(E335=1,Orders!Y332,"")</f>
        <v>0.63</v>
      </c>
      <c r="AQ335" s="33">
        <f>IF(Orders!X332,1,0)</f>
        <v>0</v>
      </c>
      <c r="AR335" s="34" t="str">
        <f>IF(AND(E335=1,L335=1),AJ335,"")</f>
        <v/>
      </c>
      <c r="AS335" s="34">
        <f>IF(AND(E335=1,L335=0),AJ335,"")</f>
        <v>4.8</v>
      </c>
      <c r="AT335" s="34" t="str">
        <f>IF(AND(E335=1,L335=1),AI335,"")</f>
        <v/>
      </c>
      <c r="AU335" s="34">
        <f>IF(AND(E335=1,L335=0),AI335,"")</f>
        <v>2.8</v>
      </c>
      <c r="AV335" s="34" t="str">
        <f>IF(AND(E335=1,L335=1),AG335,"")</f>
        <v/>
      </c>
      <c r="AW335" s="34">
        <f>IF(AND(E335=1,L335=0),AG335,"")</f>
        <v>11.5</v>
      </c>
      <c r="AX335" s="34" t="str">
        <f>IF(AND(E335=1,L335=1),AH335,"")</f>
        <v/>
      </c>
      <c r="AY335" s="34">
        <f>IF(AND(E335=1,L335=0),AH335,"")</f>
        <v>11.3</v>
      </c>
      <c r="AZ335" s="34" t="str">
        <f>IF(G335=1,F335,"")</f>
        <v/>
      </c>
      <c r="BA335" s="34" t="str">
        <f>IF(AND(G335=1,L335=1),F335,"")</f>
        <v/>
      </c>
      <c r="BB335" s="34" t="str">
        <f>IF(AND(G335=1,L335=0),F335,"")</f>
        <v/>
      </c>
      <c r="BC335" s="33">
        <f>IF(E335=1,IF(Orders!R332&gt;3,1,0),"")</f>
        <v>0</v>
      </c>
      <c r="BD335" s="33">
        <f>IF(E335=1,IF(Orders!R332&gt;7,1,0),"")</f>
        <v>0</v>
      </c>
      <c r="BE335" s="32" t="str">
        <f>IF(E335=1,IF(Orders!L332&lt;=1.5,"Up to 1.5 km",IF(Orders!L332&lt;=3,"1.5–3 km","Over 3 km")),"")</f>
        <v>Over 3 km</v>
      </c>
      <c r="BF335" s="33">
        <f>IF(E335=1,IF(ABS((Orders!G332-Orders!F332)*1440-Orders!R332)&lt;0.06,1,0),"")</f>
        <v>1</v>
      </c>
      <c r="BG335" s="33">
        <f>IF(ABS((Orders!F332-Orders!E332)*1440-Orders!P332)&lt;0.06,1,0)</f>
        <v>1</v>
      </c>
      <c r="BH335" s="33">
        <f>IF(E335=1,IF(IF(Orders!S332,1,0)=1-G335,1,0),"")</f>
        <v>1</v>
      </c>
      <c r="BI335" s="32" t="str">
        <f>INDEX(Stores!$B$2:$B$21,MATCH(B335,Stores!$A$2:$A$21,0))</f>
        <v>Bengaluru</v>
      </c>
    </row>
    <row r="336">
      <c r="A336" s="32" t="str">
        <f>Orders!A333</f>
        <v>O00332</v>
      </c>
      <c r="B336" s="32" t="str">
        <f>Orders!C333</f>
        <v>S018</v>
      </c>
      <c r="C336" s="32" t="str">
        <f>Orders!B333</f>
        <v>C0241</v>
      </c>
      <c r="D336" s="32" t="str">
        <f>Orders!H333</f>
        <v>Delivered</v>
      </c>
      <c r="E336" s="33">
        <f>IF(Orders!H333="Delivered",1,0)</f>
        <v>1</v>
      </c>
      <c r="F336" s="34">
        <f>IF(E336=1,Orders!R333,"")</f>
        <v>7.7</v>
      </c>
      <c r="G336" s="33">
        <f>IF(E336=1,IF(Orders!R333&gt;0,1,0),"")</f>
        <v>1</v>
      </c>
      <c r="H336" s="33">
        <f>IF(E336=1,IF(Orders!R333&gt;5,1,0),"")</f>
        <v>1</v>
      </c>
      <c r="I336" s="32" t="str">
        <f>IF(E336=1,"",IF(OR(Orders!T333="Rider unavailable",Orders!T333="Item unavailable"),"Company-caused","Unresolved"))</f>
        <v/>
      </c>
      <c r="J336" s="33">
        <f>IF(OR(E336=1,I336="Company-caused"),1,0)</f>
        <v>1</v>
      </c>
      <c r="K336" s="32" t="str">
        <f>IF(E336=0,IF(I336="Company-caused",IF(Orders!T333="Rider unavailable","C1 Rider unavailable","C2 Item unavailable"),"Outside root: unresolved"),IF(G336=0,"A On time",IF(H336=1,IF(L336=1,"B2a Severe, peak","B2b Severe, off-peak"),IF(L336=1,"B1a Slight, peak","B1b Slight, off-peak"))))</f>
        <v>B2b Severe, off-peak</v>
      </c>
      <c r="L336" s="33">
        <f>IF(AND(Orders!U333&gt;=19,Orders!U333&lt;22),1,0)</f>
        <v>0</v>
      </c>
      <c r="M336" s="33">
        <f>IF(L336=IF(Orders!V333,1,0),1,0)</f>
        <v>1</v>
      </c>
      <c r="N336" s="32" t="str">
        <f>IF(Orders!W333="","None",Orders!W333)</f>
        <v>Light</v>
      </c>
      <c r="O336" s="35">
        <f>INT(Orders!E333)</f>
        <v>46268.0</v>
      </c>
      <c r="P336" s="33">
        <f>Orders!U333</f>
        <v>15</v>
      </c>
      <c r="Q336" s="33">
        <f>COUNTIFS(Demand!$A$2:$A$4481,B336,Demand!$B$2:$B$4481,O336,Demand!$C$2:$C$4481,P336)</f>
        <v>1</v>
      </c>
      <c r="R336" s="33">
        <f>IF(Q336=1,SUMIFS(Demand!$E$2:$E$4481,Demand!$A$2:$A$4481,B336,Demand!$B$2:$B$4481,O336,Demand!$C$2:$C$4481,P336),"")</f>
        <v>14</v>
      </c>
      <c r="S336" s="33">
        <f>INDEX(Stores!$G$2:$G$21,MATCH(B336,Stores!$A$2:$A$21,0))</f>
        <v>20</v>
      </c>
      <c r="T336" s="34">
        <f>IF(R336="","",R336/S336)</f>
        <v>0.7</v>
      </c>
      <c r="U336" s="34">
        <f>IF(E336=1,T336,"")</f>
        <v>0.7</v>
      </c>
      <c r="V336" s="34">
        <f>IF(AND(E336=1,L336=0),T336,"")</f>
        <v>0.7</v>
      </c>
      <c r="W336" s="33">
        <f>IF(U336="","",IF(U336&lt;=Breakdowns!$C$5,1,IF(U336&lt;=Breakdowns!$C$6,2,IF(U336&lt;=Breakdowns!$C$7,3,4))))</f>
        <v>1</v>
      </c>
      <c r="X336" s="33">
        <f>IF(V336="","",IF(V336&lt;=Breakdowns!$D$5,1,IF(V336&lt;=Breakdowns!$D$6,2,IF(V336&lt;=Breakdowns!$D$7,3,4))))</f>
        <v>1</v>
      </c>
      <c r="Y336" s="34">
        <f>INDEX(Stores!$F$2:$F$21,MATCH(B336,Stores!$A$2:$A$21,0))</f>
        <v>5.31</v>
      </c>
      <c r="Z336" s="33">
        <f>IF(Y336&gt;Store_Summary!$M$2,1,0)</f>
        <v>1</v>
      </c>
      <c r="AA336" s="33">
        <f>INDEX(Stores!$C$2:$C$21,MATCH(B336,Stores!$A$2:$A$21,0))</f>
        <v>214</v>
      </c>
      <c r="AB336" s="33">
        <f>IF(AA336&lt;180,1,0)</f>
        <v>0</v>
      </c>
      <c r="AC336" s="32" t="str">
        <f>IF(Orders!D333="","",INDEX(Riders!$C$2:$C$81,MATCH(Orders!D333,Riders!$A$2:$A$81,0)))</f>
        <v>EV scooter</v>
      </c>
      <c r="AD336" s="33">
        <f>IF(Orders!D333="","",INDEX(Riders!$D$2:$D$81,MATCH(Orders!D333,Riders!$A$2:$A$81,0)))</f>
        <v>38</v>
      </c>
      <c r="AE336" s="33">
        <f>IF(Orders!D333="","",IF(INDEX(Riders!$B$2:$B$81,MATCH(Orders!D333,Riders!$A$2:$A$81,0))=B336,1,0))</f>
        <v>0</v>
      </c>
      <c r="AF336" s="34">
        <f>IF(E336=1,Orders!L333,"")</f>
        <v>1.1</v>
      </c>
      <c r="AG336" s="34">
        <f>IF(E336=1,Orders!P333,"")</f>
        <v>10.8</v>
      </c>
      <c r="AH336" s="34">
        <f>IF(E336=1,Orders!Q333,"")</f>
        <v>18.5</v>
      </c>
      <c r="AI336" s="34">
        <f>IF(E336=1,Orders!M333,"")</f>
        <v>7</v>
      </c>
      <c r="AJ336" s="34">
        <f>IF(E336=1,Orders!N333,"")</f>
        <v>7.3</v>
      </c>
      <c r="AK336" s="34">
        <f>IF(E336=1,Orders!O333,"")</f>
        <v>4.3</v>
      </c>
      <c r="AL336" s="33">
        <f>IF(E336=1,IF(ROUND(ABS(AI336+AJ336+AK336-AH336),6)&lt;=0.1,1,0),"")</f>
        <v>1</v>
      </c>
      <c r="AM336" s="36">
        <f>IF(E336=1,AI336/AH336,"")</f>
        <v>0.378378378378378</v>
      </c>
      <c r="AN336" s="36">
        <f>IF(E336=1,AJ336/AH336,"")</f>
        <v>0.394594594594595</v>
      </c>
      <c r="AO336" s="36">
        <f>IF(E336=1,AK336/AH336,"")</f>
        <v>0.232432432432432</v>
      </c>
      <c r="AP336" s="34">
        <f>IF(E336=1,Orders!Y333,"")</f>
        <v>0.37</v>
      </c>
      <c r="AQ336" s="33">
        <f>IF(Orders!X333,1,0)</f>
        <v>0</v>
      </c>
      <c r="AR336" s="34" t="str">
        <f>IF(AND(E336=1,L336=1),AJ336,"")</f>
        <v/>
      </c>
      <c r="AS336" s="34">
        <f>IF(AND(E336=1,L336=0),AJ336,"")</f>
        <v>7.3</v>
      </c>
      <c r="AT336" s="34" t="str">
        <f>IF(AND(E336=1,L336=1),AI336,"")</f>
        <v/>
      </c>
      <c r="AU336" s="34">
        <f>IF(AND(E336=1,L336=0),AI336,"")</f>
        <v>7</v>
      </c>
      <c r="AV336" s="34" t="str">
        <f>IF(AND(E336=1,L336=1),AG336,"")</f>
        <v/>
      </c>
      <c r="AW336" s="34">
        <f>IF(AND(E336=1,L336=0),AG336,"")</f>
        <v>10.8</v>
      </c>
      <c r="AX336" s="34" t="str">
        <f>IF(AND(E336=1,L336=1),AH336,"")</f>
        <v/>
      </c>
      <c r="AY336" s="34">
        <f>IF(AND(E336=1,L336=0),AH336,"")</f>
        <v>18.5</v>
      </c>
      <c r="AZ336" s="34">
        <f>IF(G336=1,F336,"")</f>
        <v>7.7</v>
      </c>
      <c r="BA336" s="34" t="str">
        <f>IF(AND(G336=1,L336=1),F336,"")</f>
        <v/>
      </c>
      <c r="BB336" s="34">
        <f>IF(AND(G336=1,L336=0),F336,"")</f>
        <v>7.7</v>
      </c>
      <c r="BC336" s="33">
        <f>IF(E336=1,IF(Orders!R333&gt;3,1,0),"")</f>
        <v>1</v>
      </c>
      <c r="BD336" s="33">
        <f>IF(E336=1,IF(Orders!R333&gt;7,1,0),"")</f>
        <v>1</v>
      </c>
      <c r="BE336" s="32" t="str">
        <f>IF(E336=1,IF(Orders!L333&lt;=1.5,"Up to 1.5 km",IF(Orders!L333&lt;=3,"1.5–3 km","Over 3 km")),"")</f>
        <v>Up to 1.5 km</v>
      </c>
      <c r="BF336" s="33">
        <f>IF(E336=1,IF(ABS((Orders!G333-Orders!F333)*1440-Orders!R333)&lt;0.06,1,0),"")</f>
        <v>1</v>
      </c>
      <c r="BG336" s="33">
        <f>IF(ABS((Orders!F333-Orders!E333)*1440-Orders!P333)&lt;0.06,1,0)</f>
        <v>1</v>
      </c>
      <c r="BH336" s="33">
        <f>IF(E336=1,IF(IF(Orders!S333,1,0)=1-G336,1,0),"")</f>
        <v>1</v>
      </c>
      <c r="BI336" s="32" t="str">
        <f>INDEX(Stores!$B$2:$B$21,MATCH(B336,Stores!$A$2:$A$21,0))</f>
        <v>Mumbai</v>
      </c>
    </row>
    <row r="337">
      <c r="A337" s="32" t="str">
        <f>Orders!A334</f>
        <v>O00333</v>
      </c>
      <c r="B337" s="32" t="str">
        <f>Orders!C334</f>
        <v>S011</v>
      </c>
      <c r="C337" s="32" t="str">
        <f>Orders!B334</f>
        <v>C0197</v>
      </c>
      <c r="D337" s="32" t="str">
        <f>Orders!H334</f>
        <v>Delivered</v>
      </c>
      <c r="E337" s="33">
        <f>IF(Orders!H334="Delivered",1,0)</f>
        <v>1</v>
      </c>
      <c r="F337" s="34">
        <f>IF(E337=1,Orders!R334,"")</f>
        <v>-0.7</v>
      </c>
      <c r="G337" s="33">
        <f>IF(E337=1,IF(Orders!R334&gt;0,1,0),"")</f>
        <v>0</v>
      </c>
      <c r="H337" s="33">
        <f>IF(E337=1,IF(Orders!R334&gt;5,1,0),"")</f>
        <v>0</v>
      </c>
      <c r="I337" s="32" t="str">
        <f>IF(E337=1,"",IF(OR(Orders!T334="Rider unavailable",Orders!T334="Item unavailable"),"Company-caused","Unresolved"))</f>
        <v/>
      </c>
      <c r="J337" s="33">
        <f>IF(OR(E337=1,I337="Company-caused"),1,0)</f>
        <v>1</v>
      </c>
      <c r="K337" s="32" t="str">
        <f>IF(E337=0,IF(I337="Company-caused",IF(Orders!T334="Rider unavailable","C1 Rider unavailable","C2 Item unavailable"),"Outside root: unresolved"),IF(G337=0,"A On time",IF(H337=1,IF(L337=1,"B2a Severe, peak","B2b Severe, off-peak"),IF(L337=1,"B1a Slight, peak","B1b Slight, off-peak"))))</f>
        <v>A On time</v>
      </c>
      <c r="L337" s="33">
        <f>IF(AND(Orders!U334&gt;=19,Orders!U334&lt;22),1,0)</f>
        <v>0</v>
      </c>
      <c r="M337" s="33">
        <f>IF(L337=IF(Orders!V334,1,0),1,0)</f>
        <v>1</v>
      </c>
      <c r="N337" s="32" t="str">
        <f>IF(Orders!W334="","None",Orders!W334)</f>
        <v>None</v>
      </c>
      <c r="O337" s="35">
        <f>INT(Orders!E334)</f>
        <v>46268.0</v>
      </c>
      <c r="P337" s="33">
        <f>Orders!U334</f>
        <v>18</v>
      </c>
      <c r="Q337" s="33">
        <f>COUNTIFS(Demand!$A$2:$A$4481,B337,Demand!$B$2:$B$4481,O337,Demand!$C$2:$C$4481,P337)</f>
        <v>1</v>
      </c>
      <c r="R337" s="33">
        <f>IF(Q337=1,SUMIFS(Demand!$E$2:$E$4481,Demand!$A$2:$A$4481,B337,Demand!$B$2:$B$4481,O337,Demand!$C$2:$C$4481,P337),"")</f>
        <v>24</v>
      </c>
      <c r="S337" s="33">
        <f>INDEX(Stores!$G$2:$G$21,MATCH(B337,Stores!$A$2:$A$21,0))</f>
        <v>31</v>
      </c>
      <c r="T337" s="34">
        <f>IF(R337="","",R337/S337)</f>
        <v>0.774193548387097</v>
      </c>
      <c r="U337" s="34">
        <f>IF(E337=1,T337,"")</f>
        <v>0.774193548387097</v>
      </c>
      <c r="V337" s="34">
        <f>IF(AND(E337=1,L337=0),T337,"")</f>
        <v>0.774193548387097</v>
      </c>
      <c r="W337" s="33">
        <f>IF(U337="","",IF(U337&lt;=Breakdowns!$C$5,1,IF(U337&lt;=Breakdowns!$C$6,2,IF(U337&lt;=Breakdowns!$C$7,3,4))))</f>
        <v>1</v>
      </c>
      <c r="X337" s="33">
        <f>IF(V337="","",IF(V337&lt;=Breakdowns!$D$5,1,IF(V337&lt;=Breakdowns!$D$6,2,IF(V337&lt;=Breakdowns!$D$7,3,4))))</f>
        <v>2</v>
      </c>
      <c r="Y337" s="34">
        <f>INDEX(Stores!$F$2:$F$21,MATCH(B337,Stores!$A$2:$A$21,0))</f>
        <v>5.67</v>
      </c>
      <c r="Z337" s="33">
        <f>IF(Y337&gt;Store_Summary!$M$2,1,0)</f>
        <v>1</v>
      </c>
      <c r="AA337" s="33">
        <f>INDEX(Stores!$C$2:$C$21,MATCH(B337,Stores!$A$2:$A$21,0))</f>
        <v>732</v>
      </c>
      <c r="AB337" s="33">
        <f>IF(AA337&lt;180,1,0)</f>
        <v>0</v>
      </c>
      <c r="AC337" s="32" t="str">
        <f>IF(Orders!D334="","",INDEX(Riders!$C$2:$C$81,MATCH(Orders!D334,Riders!$A$2:$A$81,0)))</f>
        <v>EV scooter</v>
      </c>
      <c r="AD337" s="33">
        <f>IF(Orders!D334="","",INDEX(Riders!$D$2:$D$81,MATCH(Orders!D334,Riders!$A$2:$A$81,0)))</f>
        <v>38</v>
      </c>
      <c r="AE337" s="33">
        <f>IF(Orders!D334="","",IF(INDEX(Riders!$B$2:$B$81,MATCH(Orders!D334,Riders!$A$2:$A$81,0))=B337,1,0))</f>
        <v>0</v>
      </c>
      <c r="AF337" s="34">
        <f>IF(E337=1,Orders!L334,"")</f>
        <v>2.32</v>
      </c>
      <c r="AG337" s="34">
        <f>IF(E337=1,Orders!P334,"")</f>
        <v>9.1</v>
      </c>
      <c r="AH337" s="34">
        <f>IF(E337=1,Orders!Q334,"")</f>
        <v>8.4</v>
      </c>
      <c r="AI337" s="34">
        <f>IF(E337=1,Orders!M334,"")</f>
        <v>2.2</v>
      </c>
      <c r="AJ337" s="34">
        <f>IF(E337=1,Orders!N334,"")</f>
        <v>3.3</v>
      </c>
      <c r="AK337" s="34">
        <f>IF(E337=1,Orders!O334,"")</f>
        <v>2.9</v>
      </c>
      <c r="AL337" s="33">
        <f>IF(E337=1,IF(ROUND(ABS(AI337+AJ337+AK337-AH337),6)&lt;=0.1,1,0),"")</f>
        <v>1</v>
      </c>
      <c r="AM337" s="36">
        <f>IF(E337=1,AI337/AH337,"")</f>
        <v>0.261904761904762</v>
      </c>
      <c r="AN337" s="36">
        <f>IF(E337=1,AJ337/AH337,"")</f>
        <v>0.392857142857143</v>
      </c>
      <c r="AO337" s="36">
        <f>IF(E337=1,AK337/AH337,"")</f>
        <v>0.345238095238095</v>
      </c>
      <c r="AP337" s="34">
        <f>IF(E337=1,Orders!Y334,"")</f>
        <v>0.72</v>
      </c>
      <c r="AQ337" s="33">
        <f>IF(Orders!X334,1,0)</f>
        <v>0</v>
      </c>
      <c r="AR337" s="34" t="str">
        <f>IF(AND(E337=1,L337=1),AJ337,"")</f>
        <v/>
      </c>
      <c r="AS337" s="34">
        <f>IF(AND(E337=1,L337=0),AJ337,"")</f>
        <v>3.3</v>
      </c>
      <c r="AT337" s="34" t="str">
        <f>IF(AND(E337=1,L337=1),AI337,"")</f>
        <v/>
      </c>
      <c r="AU337" s="34">
        <f>IF(AND(E337=1,L337=0),AI337,"")</f>
        <v>2.2</v>
      </c>
      <c r="AV337" s="34" t="str">
        <f>IF(AND(E337=1,L337=1),AG337,"")</f>
        <v/>
      </c>
      <c r="AW337" s="34">
        <f>IF(AND(E337=1,L337=0),AG337,"")</f>
        <v>9.1</v>
      </c>
      <c r="AX337" s="34" t="str">
        <f>IF(AND(E337=1,L337=1),AH337,"")</f>
        <v/>
      </c>
      <c r="AY337" s="34">
        <f>IF(AND(E337=1,L337=0),AH337,"")</f>
        <v>8.4</v>
      </c>
      <c r="AZ337" s="34" t="str">
        <f>IF(G337=1,F337,"")</f>
        <v/>
      </c>
      <c r="BA337" s="34" t="str">
        <f>IF(AND(G337=1,L337=1),F337,"")</f>
        <v/>
      </c>
      <c r="BB337" s="34" t="str">
        <f>IF(AND(G337=1,L337=0),F337,"")</f>
        <v/>
      </c>
      <c r="BC337" s="33">
        <f>IF(E337=1,IF(Orders!R334&gt;3,1,0),"")</f>
        <v>0</v>
      </c>
      <c r="BD337" s="33">
        <f>IF(E337=1,IF(Orders!R334&gt;7,1,0),"")</f>
        <v>0</v>
      </c>
      <c r="BE337" s="32" t="str">
        <f>IF(E337=1,IF(Orders!L334&lt;=1.5,"Up to 1.5 km",IF(Orders!L334&lt;=3,"1.5–3 km","Over 3 km")),"")</f>
        <v>1.5–3 km</v>
      </c>
      <c r="BF337" s="33">
        <f>IF(E337=1,IF(ABS((Orders!G334-Orders!F334)*1440-Orders!R334)&lt;0.06,1,0),"")</f>
        <v>1</v>
      </c>
      <c r="BG337" s="33">
        <f>IF(ABS((Orders!F334-Orders!E334)*1440-Orders!P334)&lt;0.06,1,0)</f>
        <v>1</v>
      </c>
      <c r="BH337" s="33">
        <f>IF(E337=1,IF(IF(Orders!S334,1,0)=1-G337,1,0),"")</f>
        <v>1</v>
      </c>
      <c r="BI337" s="32" t="str">
        <f>INDEX(Stores!$B$2:$B$21,MATCH(B337,Stores!$A$2:$A$21,0))</f>
        <v>Bengaluru</v>
      </c>
    </row>
    <row r="338">
      <c r="A338" s="32" t="str">
        <f>Orders!A335</f>
        <v>O00334</v>
      </c>
      <c r="B338" s="32" t="str">
        <f>Orders!C335</f>
        <v>S005</v>
      </c>
      <c r="C338" s="32" t="str">
        <f>Orders!B335</f>
        <v>C0006</v>
      </c>
      <c r="D338" s="32" t="str">
        <f>Orders!H335</f>
        <v>Delivered</v>
      </c>
      <c r="E338" s="33">
        <f>IF(Orders!H335="Delivered",1,0)</f>
        <v>1</v>
      </c>
      <c r="F338" s="34">
        <f>IF(E338=1,Orders!R335,"")</f>
        <v>-0.2</v>
      </c>
      <c r="G338" s="33">
        <f>IF(E338=1,IF(Orders!R335&gt;0,1,0),"")</f>
        <v>0</v>
      </c>
      <c r="H338" s="33">
        <f>IF(E338=1,IF(Orders!R335&gt;5,1,0),"")</f>
        <v>0</v>
      </c>
      <c r="I338" s="32" t="str">
        <f>IF(E338=1,"",IF(OR(Orders!T335="Rider unavailable",Orders!T335="Item unavailable"),"Company-caused","Unresolved"))</f>
        <v/>
      </c>
      <c r="J338" s="33">
        <f>IF(OR(E338=1,I338="Company-caused"),1,0)</f>
        <v>1</v>
      </c>
      <c r="K338" s="32" t="str">
        <f>IF(E338=0,IF(I338="Company-caused",IF(Orders!T335="Rider unavailable","C1 Rider unavailable","C2 Item unavailable"),"Outside root: unresolved"),IF(G338=0,"A On time",IF(H338=1,IF(L338=1,"B2a Severe, peak","B2b Severe, off-peak"),IF(L338=1,"B1a Slight, peak","B1b Slight, off-peak"))))</f>
        <v>A On time</v>
      </c>
      <c r="L338" s="33">
        <f>IF(AND(Orders!U335&gt;=19,Orders!U335&lt;22),1,0)</f>
        <v>0</v>
      </c>
      <c r="M338" s="33">
        <f>IF(L338=IF(Orders!V335,1,0),1,0)</f>
        <v>1</v>
      </c>
      <c r="N338" s="32" t="str">
        <f>IF(Orders!W335="","None",Orders!W335)</f>
        <v>None</v>
      </c>
      <c r="O338" s="35">
        <f>INT(Orders!E335)</f>
        <v>46271.0</v>
      </c>
      <c r="P338" s="33">
        <f>Orders!U335</f>
        <v>8</v>
      </c>
      <c r="Q338" s="33">
        <f>COUNTIFS(Demand!$A$2:$A$4481,B338,Demand!$B$2:$B$4481,O338,Demand!$C$2:$C$4481,P338)</f>
        <v>1</v>
      </c>
      <c r="R338" s="33">
        <f>IF(Q338=1,SUMIFS(Demand!$E$2:$E$4481,Demand!$A$2:$A$4481,B338,Demand!$B$2:$B$4481,O338,Demand!$C$2:$C$4481,P338),"")</f>
        <v>11</v>
      </c>
      <c r="S338" s="33">
        <f>INDEX(Stores!$G$2:$G$21,MATCH(B338,Stores!$A$2:$A$21,0))</f>
        <v>14</v>
      </c>
      <c r="T338" s="34">
        <f>IF(R338="","",R338/S338)</f>
        <v>0.785714285714286</v>
      </c>
      <c r="U338" s="34">
        <f>IF(E338=1,T338,"")</f>
        <v>0.785714285714286</v>
      </c>
      <c r="V338" s="34">
        <f>IF(AND(E338=1,L338=0),T338,"")</f>
        <v>0.785714285714286</v>
      </c>
      <c r="W338" s="33">
        <f>IF(U338="","",IF(U338&lt;=Breakdowns!$C$5,1,IF(U338&lt;=Breakdowns!$C$6,2,IF(U338&lt;=Breakdowns!$C$7,3,4))))</f>
        <v>1</v>
      </c>
      <c r="X338" s="33">
        <f>IF(V338="","",IF(V338&lt;=Breakdowns!$D$5,1,IF(V338&lt;=Breakdowns!$D$6,2,IF(V338&lt;=Breakdowns!$D$7,3,4))))</f>
        <v>2</v>
      </c>
      <c r="Y338" s="34">
        <f>INDEX(Stores!$F$2:$F$21,MATCH(B338,Stores!$A$2:$A$21,0))</f>
        <v>4.89</v>
      </c>
      <c r="Z338" s="33">
        <f>IF(Y338&gt;Store_Summary!$M$2,1,0)</f>
        <v>0</v>
      </c>
      <c r="AA338" s="33">
        <f>INDEX(Stores!$C$2:$C$21,MATCH(B338,Stores!$A$2:$A$21,0))</f>
        <v>138</v>
      </c>
      <c r="AB338" s="33">
        <f>IF(AA338&lt;180,1,0)</f>
        <v>1</v>
      </c>
      <c r="AC338" s="32" t="str">
        <f>IF(Orders!D335="","",INDEX(Riders!$C$2:$C$81,MATCH(Orders!D335,Riders!$A$2:$A$81,0)))</f>
        <v>Petrol scooter</v>
      </c>
      <c r="AD338" s="33">
        <f>IF(Orders!D335="","",INDEX(Riders!$D$2:$D$81,MATCH(Orders!D335,Riders!$A$2:$A$81,0)))</f>
        <v>29</v>
      </c>
      <c r="AE338" s="33">
        <f>IF(Orders!D335="","",IF(INDEX(Riders!$B$2:$B$81,MATCH(Orders!D335,Riders!$A$2:$A$81,0))=B338,1,0))</f>
        <v>0</v>
      </c>
      <c r="AF338" s="34">
        <f>IF(E338=1,Orders!L335,"")</f>
        <v>0.58</v>
      </c>
      <c r="AG338" s="34">
        <f>IF(E338=1,Orders!P335,"")</f>
        <v>10</v>
      </c>
      <c r="AH338" s="34">
        <f>IF(E338=1,Orders!Q335,"")</f>
        <v>9.8</v>
      </c>
      <c r="AI338" s="34">
        <f>IF(E338=1,Orders!M335,"")</f>
        <v>5.7</v>
      </c>
      <c r="AJ338" s="34">
        <f>IF(E338=1,Orders!N335,"")</f>
        <v>2.1</v>
      </c>
      <c r="AK338" s="34">
        <f>IF(E338=1,Orders!O335,"")</f>
        <v>2</v>
      </c>
      <c r="AL338" s="33">
        <f>IF(E338=1,IF(ROUND(ABS(AI338+AJ338+AK338-AH338),6)&lt;=0.1,1,0),"")</f>
        <v>1</v>
      </c>
      <c r="AM338" s="36">
        <f>IF(E338=1,AI338/AH338,"")</f>
        <v>0.581632653061225</v>
      </c>
      <c r="AN338" s="36">
        <f>IF(E338=1,AJ338/AH338,"")</f>
        <v>0.214285714285714</v>
      </c>
      <c r="AO338" s="36">
        <f>IF(E338=1,AK338/AH338,"")</f>
        <v>0.204081632653061</v>
      </c>
      <c r="AP338" s="34">
        <f>IF(E338=1,Orders!Y335,"")</f>
        <v>0.17</v>
      </c>
      <c r="AQ338" s="33">
        <f>IF(Orders!X335,1,0)</f>
        <v>0</v>
      </c>
      <c r="AR338" s="34" t="str">
        <f>IF(AND(E338=1,L338=1),AJ338,"")</f>
        <v/>
      </c>
      <c r="AS338" s="34">
        <f>IF(AND(E338=1,L338=0),AJ338,"")</f>
        <v>2.1</v>
      </c>
      <c r="AT338" s="34" t="str">
        <f>IF(AND(E338=1,L338=1),AI338,"")</f>
        <v/>
      </c>
      <c r="AU338" s="34">
        <f>IF(AND(E338=1,L338=0),AI338,"")</f>
        <v>5.7</v>
      </c>
      <c r="AV338" s="34" t="str">
        <f>IF(AND(E338=1,L338=1),AG338,"")</f>
        <v/>
      </c>
      <c r="AW338" s="34">
        <f>IF(AND(E338=1,L338=0),AG338,"")</f>
        <v>10</v>
      </c>
      <c r="AX338" s="34" t="str">
        <f>IF(AND(E338=1,L338=1),AH338,"")</f>
        <v/>
      </c>
      <c r="AY338" s="34">
        <f>IF(AND(E338=1,L338=0),AH338,"")</f>
        <v>9.8</v>
      </c>
      <c r="AZ338" s="34" t="str">
        <f>IF(G338=1,F338,"")</f>
        <v/>
      </c>
      <c r="BA338" s="34" t="str">
        <f>IF(AND(G338=1,L338=1),F338,"")</f>
        <v/>
      </c>
      <c r="BB338" s="34" t="str">
        <f>IF(AND(G338=1,L338=0),F338,"")</f>
        <v/>
      </c>
      <c r="BC338" s="33">
        <f>IF(E338=1,IF(Orders!R335&gt;3,1,0),"")</f>
        <v>0</v>
      </c>
      <c r="BD338" s="33">
        <f>IF(E338=1,IF(Orders!R335&gt;7,1,0),"")</f>
        <v>0</v>
      </c>
      <c r="BE338" s="32" t="str">
        <f>IF(E338=1,IF(Orders!L335&lt;=1.5,"Up to 1.5 km",IF(Orders!L335&lt;=3,"1.5–3 km","Over 3 km")),"")</f>
        <v>Up to 1.5 km</v>
      </c>
      <c r="BF338" s="33">
        <f>IF(E338=1,IF(ABS((Orders!G335-Orders!F335)*1440-Orders!R335)&lt;0.06,1,0),"")</f>
        <v>1</v>
      </c>
      <c r="BG338" s="33">
        <f>IF(ABS((Orders!F335-Orders!E335)*1440-Orders!P335)&lt;0.06,1,0)</f>
        <v>1</v>
      </c>
      <c r="BH338" s="33">
        <f>IF(E338=1,IF(IF(Orders!S335,1,0)=1-G338,1,0),"")</f>
        <v>1</v>
      </c>
      <c r="BI338" s="32" t="str">
        <f>INDEX(Stores!$B$2:$B$21,MATCH(B338,Stores!$A$2:$A$21,0))</f>
        <v>Delhi</v>
      </c>
    </row>
    <row r="339">
      <c r="A339" s="32" t="str">
        <f>Orders!A336</f>
        <v>O00335</v>
      </c>
      <c r="B339" s="32" t="str">
        <f>Orders!C336</f>
        <v>S004</v>
      </c>
      <c r="C339" s="32" t="str">
        <f>Orders!B336</f>
        <v>C0064</v>
      </c>
      <c r="D339" s="32" t="str">
        <f>Orders!H336</f>
        <v>Delivered</v>
      </c>
      <c r="E339" s="33">
        <f>IF(Orders!H336="Delivered",1,0)</f>
        <v>1</v>
      </c>
      <c r="F339" s="34">
        <f>IF(E339=1,Orders!R336,"")</f>
        <v>-0.6</v>
      </c>
      <c r="G339" s="33">
        <f>IF(E339=1,IF(Orders!R336&gt;0,1,0),"")</f>
        <v>0</v>
      </c>
      <c r="H339" s="33">
        <f>IF(E339=1,IF(Orders!R336&gt;5,1,0),"")</f>
        <v>0</v>
      </c>
      <c r="I339" s="32" t="str">
        <f>IF(E339=1,"",IF(OR(Orders!T336="Rider unavailable",Orders!T336="Item unavailable"),"Company-caused","Unresolved"))</f>
        <v/>
      </c>
      <c r="J339" s="33">
        <f>IF(OR(E339=1,I339="Company-caused"),1,0)</f>
        <v>1</v>
      </c>
      <c r="K339" s="32" t="str">
        <f>IF(E339=0,IF(I339="Company-caused",IF(Orders!T336="Rider unavailable","C1 Rider unavailable","C2 Item unavailable"),"Outside root: unresolved"),IF(G339=0,"A On time",IF(H339=1,IF(L339=1,"B2a Severe, peak","B2b Severe, off-peak"),IF(L339=1,"B1a Slight, peak","B1b Slight, off-peak"))))</f>
        <v>A On time</v>
      </c>
      <c r="L339" s="33">
        <f>IF(AND(Orders!U336&gt;=19,Orders!U336&lt;22),1,0)</f>
        <v>1</v>
      </c>
      <c r="M339" s="33">
        <f>IF(L339=IF(Orders!V336,1,0),1,0)</f>
        <v>1</v>
      </c>
      <c r="N339" s="32" t="str">
        <f>IF(Orders!W336="","None",Orders!W336)</f>
        <v>None</v>
      </c>
      <c r="O339" s="35">
        <f>INT(Orders!E336)</f>
        <v>46273.0</v>
      </c>
      <c r="P339" s="33">
        <f>Orders!U336</f>
        <v>20</v>
      </c>
      <c r="Q339" s="33">
        <f>COUNTIFS(Demand!$A$2:$A$4481,B339,Demand!$B$2:$B$4481,O339,Demand!$C$2:$C$4481,P339)</f>
        <v>1</v>
      </c>
      <c r="R339" s="33">
        <f>IF(Q339=1,SUMIFS(Demand!$E$2:$E$4481,Demand!$A$2:$A$4481,B339,Demand!$B$2:$B$4481,O339,Demand!$C$2:$C$4481,P339),"")</f>
        <v>71</v>
      </c>
      <c r="S339" s="33">
        <f>INDEX(Stores!$G$2:$G$21,MATCH(B339,Stores!$A$2:$A$21,0))</f>
        <v>42</v>
      </c>
      <c r="T339" s="34">
        <f>IF(R339="","",R339/S339)</f>
        <v>1.69047619047619</v>
      </c>
      <c r="U339" s="34">
        <f>IF(E339=1,T339,"")</f>
        <v>1.69047619047619</v>
      </c>
      <c r="V339" s="34" t="str">
        <f>IF(AND(E339=1,L339=0),T339,"")</f>
        <v/>
      </c>
      <c r="W339" s="33">
        <f>IF(U339="","",IF(U339&lt;=Breakdowns!$C$5,1,IF(U339&lt;=Breakdowns!$C$6,2,IF(U339&lt;=Breakdowns!$C$7,3,4))))</f>
        <v>4</v>
      </c>
      <c r="X339" s="33" t="str">
        <f>IF(V339="","",IF(V339&lt;=Breakdowns!$D$5,1,IF(V339&lt;=Breakdowns!$D$6,2,IF(V339&lt;=Breakdowns!$D$7,3,4))))</f>
        <v/>
      </c>
      <c r="Y339" s="34">
        <f>INDEX(Stores!$F$2:$F$21,MATCH(B339,Stores!$A$2:$A$21,0))</f>
        <v>2.19</v>
      </c>
      <c r="Z339" s="33">
        <f>IF(Y339&gt;Store_Summary!$M$2,1,0)</f>
        <v>0</v>
      </c>
      <c r="AA339" s="33">
        <f>INDEX(Stores!$C$2:$C$21,MATCH(B339,Stores!$A$2:$A$21,0))</f>
        <v>850</v>
      </c>
      <c r="AB339" s="33">
        <f>IF(AA339&lt;180,1,0)</f>
        <v>0</v>
      </c>
      <c r="AC339" s="32" t="str">
        <f>IF(Orders!D336="","",INDEX(Riders!$C$2:$C$81,MATCH(Orders!D336,Riders!$A$2:$A$81,0)))</f>
        <v>Petrol scooter</v>
      </c>
      <c r="AD339" s="33">
        <f>IF(Orders!D336="","",INDEX(Riders!$D$2:$D$81,MATCH(Orders!D336,Riders!$A$2:$A$81,0)))</f>
        <v>29</v>
      </c>
      <c r="AE339" s="33">
        <f>IF(Orders!D336="","",IF(INDEX(Riders!$B$2:$B$81,MATCH(Orders!D336,Riders!$A$2:$A$81,0))=B339,1,0))</f>
        <v>0</v>
      </c>
      <c r="AF339" s="34">
        <f>IF(E339=1,Orders!L336,"")</f>
        <v>1.13</v>
      </c>
      <c r="AG339" s="34">
        <f>IF(E339=1,Orders!P336,"")</f>
        <v>7.9</v>
      </c>
      <c r="AH339" s="34">
        <f>IF(E339=1,Orders!Q336,"")</f>
        <v>7.3</v>
      </c>
      <c r="AI339" s="34">
        <f>IF(E339=1,Orders!M336,"")</f>
        <v>1.4</v>
      </c>
      <c r="AJ339" s="34">
        <f>IF(E339=1,Orders!N336,"")</f>
        <v>3.9</v>
      </c>
      <c r="AK339" s="34">
        <f>IF(E339=1,Orders!O336,"")</f>
        <v>2</v>
      </c>
      <c r="AL339" s="33">
        <f>IF(E339=1,IF(ROUND(ABS(AI339+AJ339+AK339-AH339),6)&lt;=0.1,1,0),"")</f>
        <v>1</v>
      </c>
      <c r="AM339" s="36">
        <f>IF(E339=1,AI339/AH339,"")</f>
        <v>0.191780821917808</v>
      </c>
      <c r="AN339" s="36">
        <f>IF(E339=1,AJ339/AH339,"")</f>
        <v>0.534246575342466</v>
      </c>
      <c r="AO339" s="36">
        <f>IF(E339=1,AK339/AH339,"")</f>
        <v>0.273972602739726</v>
      </c>
      <c r="AP339" s="34">
        <f>IF(E339=1,Orders!Y336,"")</f>
        <v>0.59</v>
      </c>
      <c r="AQ339" s="33">
        <f>IF(Orders!X336,1,0)</f>
        <v>1</v>
      </c>
      <c r="AR339" s="34">
        <f>IF(AND(E339=1,L339=1),AJ339,"")</f>
        <v>3.9</v>
      </c>
      <c r="AS339" s="34" t="str">
        <f>IF(AND(E339=1,L339=0),AJ339,"")</f>
        <v/>
      </c>
      <c r="AT339" s="34">
        <f>IF(AND(E339=1,L339=1),AI339,"")</f>
        <v>1.4</v>
      </c>
      <c r="AU339" s="34" t="str">
        <f>IF(AND(E339=1,L339=0),AI339,"")</f>
        <v/>
      </c>
      <c r="AV339" s="34">
        <f>IF(AND(E339=1,L339=1),AG339,"")</f>
        <v>7.9</v>
      </c>
      <c r="AW339" s="34" t="str">
        <f>IF(AND(E339=1,L339=0),AG339,"")</f>
        <v/>
      </c>
      <c r="AX339" s="34">
        <f>IF(AND(E339=1,L339=1),AH339,"")</f>
        <v>7.3</v>
      </c>
      <c r="AY339" s="34" t="str">
        <f>IF(AND(E339=1,L339=0),AH339,"")</f>
        <v/>
      </c>
      <c r="AZ339" s="34" t="str">
        <f>IF(G339=1,F339,"")</f>
        <v/>
      </c>
      <c r="BA339" s="34" t="str">
        <f>IF(AND(G339=1,L339=1),F339,"")</f>
        <v/>
      </c>
      <c r="BB339" s="34" t="str">
        <f>IF(AND(G339=1,L339=0),F339,"")</f>
        <v/>
      </c>
      <c r="BC339" s="33">
        <f>IF(E339=1,IF(Orders!R336&gt;3,1,0),"")</f>
        <v>0</v>
      </c>
      <c r="BD339" s="33">
        <f>IF(E339=1,IF(Orders!R336&gt;7,1,0),"")</f>
        <v>0</v>
      </c>
      <c r="BE339" s="32" t="str">
        <f>IF(E339=1,IF(Orders!L336&lt;=1.5,"Up to 1.5 km",IF(Orders!L336&lt;=3,"1.5–3 km","Over 3 km")),"")</f>
        <v>Up to 1.5 km</v>
      </c>
      <c r="BF339" s="33">
        <f>IF(E339=1,IF(ABS((Orders!G336-Orders!F336)*1440-Orders!R336)&lt;0.06,1,0),"")</f>
        <v>1</v>
      </c>
      <c r="BG339" s="33">
        <f>IF(ABS((Orders!F336-Orders!E336)*1440-Orders!P336)&lt;0.06,1,0)</f>
        <v>1</v>
      </c>
      <c r="BH339" s="33">
        <f>IF(E339=1,IF(IF(Orders!S336,1,0)=1-G339,1,0),"")</f>
        <v>1</v>
      </c>
      <c r="BI339" s="32" t="str">
        <f>INDEX(Stores!$B$2:$B$21,MATCH(B339,Stores!$A$2:$A$21,0))</f>
        <v>Pune</v>
      </c>
    </row>
    <row r="340">
      <c r="A340" s="32" t="str">
        <f>Orders!A337</f>
        <v>O00336</v>
      </c>
      <c r="B340" s="32" t="str">
        <f>Orders!C337</f>
        <v>S011</v>
      </c>
      <c r="C340" s="32" t="str">
        <f>Orders!B337</f>
        <v>C0013</v>
      </c>
      <c r="D340" s="32" t="str">
        <f>Orders!H337</f>
        <v>Delivered</v>
      </c>
      <c r="E340" s="33">
        <f>IF(Orders!H337="Delivered",1,0)</f>
        <v>1</v>
      </c>
      <c r="F340" s="34">
        <f>IF(E340=1,Orders!R337,"")</f>
        <v>-1.1</v>
      </c>
      <c r="G340" s="33">
        <f>IF(E340=1,IF(Orders!R337&gt;0,1,0),"")</f>
        <v>0</v>
      </c>
      <c r="H340" s="33">
        <f>IF(E340=1,IF(Orders!R337&gt;5,1,0),"")</f>
        <v>0</v>
      </c>
      <c r="I340" s="32" t="str">
        <f>IF(E340=1,"",IF(OR(Orders!T337="Rider unavailable",Orders!T337="Item unavailable"),"Company-caused","Unresolved"))</f>
        <v/>
      </c>
      <c r="J340" s="33">
        <f>IF(OR(E340=1,I340="Company-caused"),1,0)</f>
        <v>1</v>
      </c>
      <c r="K340" s="32" t="str">
        <f>IF(E340=0,IF(I340="Company-caused",IF(Orders!T337="Rider unavailable","C1 Rider unavailable","C2 Item unavailable"),"Outside root: unresolved"),IF(G340=0,"A On time",IF(H340=1,IF(L340=1,"B2a Severe, peak","B2b Severe, off-peak"),IF(L340=1,"B1a Slight, peak","B1b Slight, off-peak"))))</f>
        <v>A On time</v>
      </c>
      <c r="L340" s="33">
        <f>IF(AND(Orders!U337&gt;=19,Orders!U337&lt;22),1,0)</f>
        <v>0</v>
      </c>
      <c r="M340" s="33">
        <f>IF(L340=IF(Orders!V337,1,0),1,0)</f>
        <v>1</v>
      </c>
      <c r="N340" s="32" t="str">
        <f>IF(Orders!W337="","None",Orders!W337)</f>
        <v>None</v>
      </c>
      <c r="O340" s="35">
        <f>INT(Orders!E337)</f>
        <v>46271.0</v>
      </c>
      <c r="P340" s="33">
        <f>Orders!U337</f>
        <v>12</v>
      </c>
      <c r="Q340" s="33">
        <f>COUNTIFS(Demand!$A$2:$A$4481,B340,Demand!$B$2:$B$4481,O340,Demand!$C$2:$C$4481,P340)</f>
        <v>1</v>
      </c>
      <c r="R340" s="33">
        <f>IF(Q340=1,SUMIFS(Demand!$E$2:$E$4481,Demand!$A$2:$A$4481,B340,Demand!$B$2:$B$4481,O340,Demand!$C$2:$C$4481,P340),"")</f>
        <v>43</v>
      </c>
      <c r="S340" s="33">
        <f>INDEX(Stores!$G$2:$G$21,MATCH(B340,Stores!$A$2:$A$21,0))</f>
        <v>31</v>
      </c>
      <c r="T340" s="34">
        <f>IF(R340="","",R340/S340)</f>
        <v>1.38709677419355</v>
      </c>
      <c r="U340" s="34">
        <f>IF(E340=1,T340,"")</f>
        <v>1.38709677419355</v>
      </c>
      <c r="V340" s="34">
        <f>IF(AND(E340=1,L340=0),T340,"")</f>
        <v>1.38709677419355</v>
      </c>
      <c r="W340" s="33">
        <f>IF(U340="","",IF(U340&lt;=Breakdowns!$C$5,1,IF(U340&lt;=Breakdowns!$C$6,2,IF(U340&lt;=Breakdowns!$C$7,3,4))))</f>
        <v>4</v>
      </c>
      <c r="X340" s="33">
        <f>IF(V340="","",IF(V340&lt;=Breakdowns!$D$5,1,IF(V340&lt;=Breakdowns!$D$6,2,IF(V340&lt;=Breakdowns!$D$7,3,4))))</f>
        <v>4</v>
      </c>
      <c r="Y340" s="34">
        <f>INDEX(Stores!$F$2:$F$21,MATCH(B340,Stores!$A$2:$A$21,0))</f>
        <v>5.67</v>
      </c>
      <c r="Z340" s="33">
        <f>IF(Y340&gt;Store_Summary!$M$2,1,0)</f>
        <v>1</v>
      </c>
      <c r="AA340" s="33">
        <f>INDEX(Stores!$C$2:$C$21,MATCH(B340,Stores!$A$2:$A$21,0))</f>
        <v>732</v>
      </c>
      <c r="AB340" s="33">
        <f>IF(AA340&lt;180,1,0)</f>
        <v>0</v>
      </c>
      <c r="AC340" s="32" t="str">
        <f>IF(Orders!D337="","",INDEX(Riders!$C$2:$C$81,MATCH(Orders!D337,Riders!$A$2:$A$81,0)))</f>
        <v>EV scooter</v>
      </c>
      <c r="AD340" s="33">
        <f>IF(Orders!D337="","",INDEX(Riders!$D$2:$D$81,MATCH(Orders!D337,Riders!$A$2:$A$81,0)))</f>
        <v>1</v>
      </c>
      <c r="AE340" s="33">
        <f>IF(Orders!D337="","",IF(INDEX(Riders!$B$2:$B$81,MATCH(Orders!D337,Riders!$A$2:$A$81,0))=B340,1,0))</f>
        <v>0</v>
      </c>
      <c r="AF340" s="34">
        <f>IF(E340=1,Orders!L337,"")</f>
        <v>2.57</v>
      </c>
      <c r="AG340" s="34">
        <f>IF(E340=1,Orders!P337,"")</f>
        <v>10.2</v>
      </c>
      <c r="AH340" s="34">
        <f>IF(E340=1,Orders!Q337,"")</f>
        <v>9.1</v>
      </c>
      <c r="AI340" s="34">
        <f>IF(E340=1,Orders!M337,"")</f>
        <v>4.1</v>
      </c>
      <c r="AJ340" s="34">
        <f>IF(E340=1,Orders!N337,"")</f>
        <v>1.7</v>
      </c>
      <c r="AK340" s="34">
        <f>IF(E340=1,Orders!O337,"")</f>
        <v>3.3</v>
      </c>
      <c r="AL340" s="33">
        <f>IF(E340=1,IF(ROUND(ABS(AI340+AJ340+AK340-AH340),6)&lt;=0.1,1,0),"")</f>
        <v>1</v>
      </c>
      <c r="AM340" s="36">
        <f>IF(E340=1,AI340/AH340,"")</f>
        <v>0.450549450549451</v>
      </c>
      <c r="AN340" s="36">
        <f>IF(E340=1,AJ340/AH340,"")</f>
        <v>0.186813186813187</v>
      </c>
      <c r="AO340" s="36">
        <f>IF(E340=1,AK340/AH340,"")</f>
        <v>0.362637362637363</v>
      </c>
      <c r="AP340" s="34">
        <f>IF(E340=1,Orders!Y337,"")</f>
        <v>0.19</v>
      </c>
      <c r="AQ340" s="33">
        <f>IF(Orders!X337,1,0)</f>
        <v>0</v>
      </c>
      <c r="AR340" s="34" t="str">
        <f>IF(AND(E340=1,L340=1),AJ340,"")</f>
        <v/>
      </c>
      <c r="AS340" s="34">
        <f>IF(AND(E340=1,L340=0),AJ340,"")</f>
        <v>1.7</v>
      </c>
      <c r="AT340" s="34" t="str">
        <f>IF(AND(E340=1,L340=1),AI340,"")</f>
        <v/>
      </c>
      <c r="AU340" s="34">
        <f>IF(AND(E340=1,L340=0),AI340,"")</f>
        <v>4.1</v>
      </c>
      <c r="AV340" s="34" t="str">
        <f>IF(AND(E340=1,L340=1),AG340,"")</f>
        <v/>
      </c>
      <c r="AW340" s="34">
        <f>IF(AND(E340=1,L340=0),AG340,"")</f>
        <v>10.2</v>
      </c>
      <c r="AX340" s="34" t="str">
        <f>IF(AND(E340=1,L340=1),AH340,"")</f>
        <v/>
      </c>
      <c r="AY340" s="34">
        <f>IF(AND(E340=1,L340=0),AH340,"")</f>
        <v>9.1</v>
      </c>
      <c r="AZ340" s="34" t="str">
        <f>IF(G340=1,F340,"")</f>
        <v/>
      </c>
      <c r="BA340" s="34" t="str">
        <f>IF(AND(G340=1,L340=1),F340,"")</f>
        <v/>
      </c>
      <c r="BB340" s="34" t="str">
        <f>IF(AND(G340=1,L340=0),F340,"")</f>
        <v/>
      </c>
      <c r="BC340" s="33">
        <f>IF(E340=1,IF(Orders!R337&gt;3,1,0),"")</f>
        <v>0</v>
      </c>
      <c r="BD340" s="33">
        <f>IF(E340=1,IF(Orders!R337&gt;7,1,0),"")</f>
        <v>0</v>
      </c>
      <c r="BE340" s="32" t="str">
        <f>IF(E340=1,IF(Orders!L337&lt;=1.5,"Up to 1.5 km",IF(Orders!L337&lt;=3,"1.5–3 km","Over 3 km")),"")</f>
        <v>1.5–3 km</v>
      </c>
      <c r="BF340" s="33">
        <f>IF(E340=1,IF(ABS((Orders!G337-Orders!F337)*1440-Orders!R337)&lt;0.06,1,0),"")</f>
        <v>1</v>
      </c>
      <c r="BG340" s="33">
        <f>IF(ABS((Orders!F337-Orders!E337)*1440-Orders!P337)&lt;0.06,1,0)</f>
        <v>1</v>
      </c>
      <c r="BH340" s="33">
        <f>IF(E340=1,IF(IF(Orders!S337,1,0)=1-G340,1,0),"")</f>
        <v>1</v>
      </c>
      <c r="BI340" s="32" t="str">
        <f>INDEX(Stores!$B$2:$B$21,MATCH(B340,Stores!$A$2:$A$21,0))</f>
        <v>Bengaluru</v>
      </c>
    </row>
    <row r="341">
      <c r="A341" s="32" t="str">
        <f>Orders!A338</f>
        <v>O00337</v>
      </c>
      <c r="B341" s="32" t="str">
        <f>Orders!C338</f>
        <v>S001</v>
      </c>
      <c r="C341" s="32" t="str">
        <f>Orders!B338</f>
        <v>C0027</v>
      </c>
      <c r="D341" s="32" t="str">
        <f>Orders!H338</f>
        <v>Delivered</v>
      </c>
      <c r="E341" s="33">
        <f>IF(Orders!H338="Delivered",1,0)</f>
        <v>1</v>
      </c>
      <c r="F341" s="34">
        <f>IF(E341=1,Orders!R338,"")</f>
        <v>-1</v>
      </c>
      <c r="G341" s="33">
        <f>IF(E341=1,IF(Orders!R338&gt;0,1,0),"")</f>
        <v>0</v>
      </c>
      <c r="H341" s="33">
        <f>IF(E341=1,IF(Orders!R338&gt;5,1,0),"")</f>
        <v>0</v>
      </c>
      <c r="I341" s="32" t="str">
        <f>IF(E341=1,"",IF(OR(Orders!T338="Rider unavailable",Orders!T338="Item unavailable"),"Company-caused","Unresolved"))</f>
        <v/>
      </c>
      <c r="J341" s="33">
        <f>IF(OR(E341=1,I341="Company-caused"),1,0)</f>
        <v>1</v>
      </c>
      <c r="K341" s="32" t="str">
        <f>IF(E341=0,IF(I341="Company-caused",IF(Orders!T338="Rider unavailable","C1 Rider unavailable","C2 Item unavailable"),"Outside root: unresolved"),IF(G341=0,"A On time",IF(H341=1,IF(L341=1,"B2a Severe, peak","B2b Severe, off-peak"),IF(L341=1,"B1a Slight, peak","B1b Slight, off-peak"))))</f>
        <v>A On time</v>
      </c>
      <c r="L341" s="33">
        <f>IF(AND(Orders!U338&gt;=19,Orders!U338&lt;22),1,0)</f>
        <v>0</v>
      </c>
      <c r="M341" s="33">
        <f>IF(L341=IF(Orders!V338,1,0),1,0)</f>
        <v>1</v>
      </c>
      <c r="N341" s="32" t="str">
        <f>IF(Orders!W338="","None",Orders!W338)</f>
        <v>None</v>
      </c>
      <c r="O341" s="35">
        <f>INT(Orders!E338)</f>
        <v>46277.0</v>
      </c>
      <c r="P341" s="33">
        <f>Orders!U338</f>
        <v>22</v>
      </c>
      <c r="Q341" s="33">
        <f>COUNTIFS(Demand!$A$2:$A$4481,B341,Demand!$B$2:$B$4481,O341,Demand!$C$2:$C$4481,P341)</f>
        <v>1</v>
      </c>
      <c r="R341" s="33">
        <f>IF(Q341=1,SUMIFS(Demand!$E$2:$E$4481,Demand!$A$2:$A$4481,B341,Demand!$B$2:$B$4481,O341,Demand!$C$2:$C$4481,P341),"")</f>
        <v>17</v>
      </c>
      <c r="S341" s="33">
        <f>INDEX(Stores!$G$2:$G$21,MATCH(B341,Stores!$A$2:$A$21,0))</f>
        <v>16</v>
      </c>
      <c r="T341" s="34">
        <f>IF(R341="","",R341/S341)</f>
        <v>1.0625</v>
      </c>
      <c r="U341" s="34">
        <f>IF(E341=1,T341,"")</f>
        <v>1.0625</v>
      </c>
      <c r="V341" s="34">
        <f>IF(AND(E341=1,L341=0),T341,"")</f>
        <v>1.0625</v>
      </c>
      <c r="W341" s="33">
        <f>IF(U341="","",IF(U341&lt;=Breakdowns!$C$5,1,IF(U341&lt;=Breakdowns!$C$6,2,IF(U341&lt;=Breakdowns!$C$7,3,4))))</f>
        <v>3</v>
      </c>
      <c r="X341" s="33">
        <f>IF(V341="","",IF(V341&lt;=Breakdowns!$D$5,1,IF(V341&lt;=Breakdowns!$D$6,2,IF(V341&lt;=Breakdowns!$D$7,3,4))))</f>
        <v>3</v>
      </c>
      <c r="Y341" s="34">
        <f>INDEX(Stores!$F$2:$F$21,MATCH(B341,Stores!$A$2:$A$21,0))</f>
        <v>4.59</v>
      </c>
      <c r="Z341" s="33">
        <f>IF(Y341&gt;Store_Summary!$M$2,1,0)</f>
        <v>0</v>
      </c>
      <c r="AA341" s="33">
        <f>INDEX(Stores!$C$2:$C$21,MATCH(B341,Stores!$A$2:$A$21,0))</f>
        <v>362</v>
      </c>
      <c r="AB341" s="33">
        <f>IF(AA341&lt;180,1,0)</f>
        <v>0</v>
      </c>
      <c r="AC341" s="32" t="str">
        <f>IF(Orders!D338="","",INDEX(Riders!$C$2:$C$81,MATCH(Orders!D338,Riders!$A$2:$A$81,0)))</f>
        <v>EV scooter</v>
      </c>
      <c r="AD341" s="33">
        <f>IF(Orders!D338="","",INDEX(Riders!$D$2:$D$81,MATCH(Orders!D338,Riders!$A$2:$A$81,0)))</f>
        <v>37</v>
      </c>
      <c r="AE341" s="33">
        <f>IF(Orders!D338="","",IF(INDEX(Riders!$B$2:$B$81,MATCH(Orders!D338,Riders!$A$2:$A$81,0))=B341,1,0))</f>
        <v>0</v>
      </c>
      <c r="AF341" s="34">
        <f>IF(E341=1,Orders!L338,"")</f>
        <v>3.06</v>
      </c>
      <c r="AG341" s="34">
        <f>IF(E341=1,Orders!P338,"")</f>
        <v>10.6</v>
      </c>
      <c r="AH341" s="34">
        <f>IF(E341=1,Orders!Q338,"")</f>
        <v>9.6</v>
      </c>
      <c r="AI341" s="34">
        <f>IF(E341=1,Orders!M338,"")</f>
        <v>3.9</v>
      </c>
      <c r="AJ341" s="34">
        <f>IF(E341=1,Orders!N338,"")</f>
        <v>0.8</v>
      </c>
      <c r="AK341" s="34">
        <f>IF(E341=1,Orders!O338,"")</f>
        <v>4.9</v>
      </c>
      <c r="AL341" s="33">
        <f>IF(E341=1,IF(ROUND(ABS(AI341+AJ341+AK341-AH341),6)&lt;=0.1,1,0),"")</f>
        <v>1</v>
      </c>
      <c r="AM341" s="36">
        <f>IF(E341=1,AI341/AH341,"")</f>
        <v>0.40625</v>
      </c>
      <c r="AN341" s="36">
        <f>IF(E341=1,AJ341/AH341,"")</f>
        <v>0.0833333333333333</v>
      </c>
      <c r="AO341" s="36">
        <f>IF(E341=1,AK341/AH341,"")</f>
        <v>0.510416666666667</v>
      </c>
      <c r="AP341" s="34">
        <f>IF(E341=1,Orders!Y338,"")</f>
        <v>0.14</v>
      </c>
      <c r="AQ341" s="33">
        <f>IF(Orders!X338,1,0)</f>
        <v>0</v>
      </c>
      <c r="AR341" s="34" t="str">
        <f>IF(AND(E341=1,L341=1),AJ341,"")</f>
        <v/>
      </c>
      <c r="AS341" s="34">
        <f>IF(AND(E341=1,L341=0),AJ341,"")</f>
        <v>0.8</v>
      </c>
      <c r="AT341" s="34" t="str">
        <f>IF(AND(E341=1,L341=1),AI341,"")</f>
        <v/>
      </c>
      <c r="AU341" s="34">
        <f>IF(AND(E341=1,L341=0),AI341,"")</f>
        <v>3.9</v>
      </c>
      <c r="AV341" s="34" t="str">
        <f>IF(AND(E341=1,L341=1),AG341,"")</f>
        <v/>
      </c>
      <c r="AW341" s="34">
        <f>IF(AND(E341=1,L341=0),AG341,"")</f>
        <v>10.6</v>
      </c>
      <c r="AX341" s="34" t="str">
        <f>IF(AND(E341=1,L341=1),AH341,"")</f>
        <v/>
      </c>
      <c r="AY341" s="34">
        <f>IF(AND(E341=1,L341=0),AH341,"")</f>
        <v>9.6</v>
      </c>
      <c r="AZ341" s="34" t="str">
        <f>IF(G341=1,F341,"")</f>
        <v/>
      </c>
      <c r="BA341" s="34" t="str">
        <f>IF(AND(G341=1,L341=1),F341,"")</f>
        <v/>
      </c>
      <c r="BB341" s="34" t="str">
        <f>IF(AND(G341=1,L341=0),F341,"")</f>
        <v/>
      </c>
      <c r="BC341" s="33">
        <f>IF(E341=1,IF(Orders!R338&gt;3,1,0),"")</f>
        <v>0</v>
      </c>
      <c r="BD341" s="33">
        <f>IF(E341=1,IF(Orders!R338&gt;7,1,0),"")</f>
        <v>0</v>
      </c>
      <c r="BE341" s="32" t="str">
        <f>IF(E341=1,IF(Orders!L338&lt;=1.5,"Up to 1.5 km",IF(Orders!L338&lt;=3,"1.5–3 km","Over 3 km")),"")</f>
        <v>Over 3 km</v>
      </c>
      <c r="BF341" s="33">
        <f>IF(E341=1,IF(ABS((Orders!G338-Orders!F338)*1440-Orders!R338)&lt;0.06,1,0),"")</f>
        <v>1</v>
      </c>
      <c r="BG341" s="33">
        <f>IF(ABS((Orders!F338-Orders!E338)*1440-Orders!P338)&lt;0.06,1,0)</f>
        <v>1</v>
      </c>
      <c r="BH341" s="33">
        <f>IF(E341=1,IF(IF(Orders!S338,1,0)=1-G341,1,0),"")</f>
        <v>1</v>
      </c>
      <c r="BI341" s="32" t="str">
        <f>INDEX(Stores!$B$2:$B$21,MATCH(B341,Stores!$A$2:$A$21,0))</f>
        <v>Bengaluru</v>
      </c>
    </row>
    <row r="342">
      <c r="A342" s="32" t="str">
        <f>Orders!A339</f>
        <v>O00338</v>
      </c>
      <c r="B342" s="32" t="str">
        <f>Orders!C339</f>
        <v>S010</v>
      </c>
      <c r="C342" s="32" t="str">
        <f>Orders!B339</f>
        <v>C0111</v>
      </c>
      <c r="D342" s="32" t="str">
        <f>Orders!H339</f>
        <v>Delivered</v>
      </c>
      <c r="E342" s="33">
        <f>IF(Orders!H339="Delivered",1,0)</f>
        <v>1</v>
      </c>
      <c r="F342" s="34">
        <f>IF(E342=1,Orders!R339,"")</f>
        <v>-0.9</v>
      </c>
      <c r="G342" s="33">
        <f>IF(E342=1,IF(Orders!R339&gt;0,1,0),"")</f>
        <v>0</v>
      </c>
      <c r="H342" s="33">
        <f>IF(E342=1,IF(Orders!R339&gt;5,1,0),"")</f>
        <v>0</v>
      </c>
      <c r="I342" s="32" t="str">
        <f>IF(E342=1,"",IF(OR(Orders!T339="Rider unavailable",Orders!T339="Item unavailable"),"Company-caused","Unresolved"))</f>
        <v/>
      </c>
      <c r="J342" s="33">
        <f>IF(OR(E342=1,I342="Company-caused"),1,0)</f>
        <v>1</v>
      </c>
      <c r="K342" s="32" t="str">
        <f>IF(E342=0,IF(I342="Company-caused",IF(Orders!T339="Rider unavailable","C1 Rider unavailable","C2 Item unavailable"),"Outside root: unresolved"),IF(G342=0,"A On time",IF(H342=1,IF(L342=1,"B2a Severe, peak","B2b Severe, off-peak"),IF(L342=1,"B1a Slight, peak","B1b Slight, off-peak"))))</f>
        <v>A On time</v>
      </c>
      <c r="L342" s="33">
        <f>IF(AND(Orders!U339&gt;=19,Orders!U339&lt;22),1,0)</f>
        <v>0</v>
      </c>
      <c r="M342" s="33">
        <f>IF(L342=IF(Orders!V339,1,0),1,0)</f>
        <v>1</v>
      </c>
      <c r="N342" s="32" t="str">
        <f>IF(Orders!W339="","None",Orders!W339)</f>
        <v>None</v>
      </c>
      <c r="O342" s="35">
        <f>INT(Orders!E339)</f>
        <v>46269.0</v>
      </c>
      <c r="P342" s="33">
        <f>Orders!U339</f>
        <v>18</v>
      </c>
      <c r="Q342" s="33">
        <f>COUNTIFS(Demand!$A$2:$A$4481,B342,Demand!$B$2:$B$4481,O342,Demand!$C$2:$C$4481,P342)</f>
        <v>1</v>
      </c>
      <c r="R342" s="33">
        <f>IF(Q342=1,SUMIFS(Demand!$E$2:$E$4481,Demand!$A$2:$A$4481,B342,Demand!$B$2:$B$4481,O342,Demand!$C$2:$C$4481,P342),"")</f>
        <v>17</v>
      </c>
      <c r="S342" s="33">
        <f>INDEX(Stores!$G$2:$G$21,MATCH(B342,Stores!$A$2:$A$21,0))</f>
        <v>22</v>
      </c>
      <c r="T342" s="34">
        <f>IF(R342="","",R342/S342)</f>
        <v>0.772727272727273</v>
      </c>
      <c r="U342" s="34">
        <f>IF(E342=1,T342,"")</f>
        <v>0.772727272727273</v>
      </c>
      <c r="V342" s="34">
        <f>IF(AND(E342=1,L342=0),T342,"")</f>
        <v>0.772727272727273</v>
      </c>
      <c r="W342" s="33">
        <f>IF(U342="","",IF(U342&lt;=Breakdowns!$C$5,1,IF(U342&lt;=Breakdowns!$C$6,2,IF(U342&lt;=Breakdowns!$C$7,3,4))))</f>
        <v>1</v>
      </c>
      <c r="X342" s="33">
        <f>IF(V342="","",IF(V342&lt;=Breakdowns!$D$5,1,IF(V342&lt;=Breakdowns!$D$6,2,IF(V342&lt;=Breakdowns!$D$7,3,4))))</f>
        <v>2</v>
      </c>
      <c r="Y342" s="34">
        <f>INDEX(Stores!$F$2:$F$21,MATCH(B342,Stores!$A$2:$A$21,0))</f>
        <v>5.61</v>
      </c>
      <c r="Z342" s="33">
        <f>IF(Y342&gt;Store_Summary!$M$2,1,0)</f>
        <v>1</v>
      </c>
      <c r="AA342" s="33">
        <f>INDEX(Stores!$C$2:$C$21,MATCH(B342,Stores!$A$2:$A$21,0))</f>
        <v>744</v>
      </c>
      <c r="AB342" s="33">
        <f>IF(AA342&lt;180,1,0)</f>
        <v>0</v>
      </c>
      <c r="AC342" s="32" t="str">
        <f>IF(Orders!D339="","",INDEX(Riders!$C$2:$C$81,MATCH(Orders!D339,Riders!$A$2:$A$81,0)))</f>
        <v>Petrol scooter</v>
      </c>
      <c r="AD342" s="33">
        <f>IF(Orders!D339="","",INDEX(Riders!$D$2:$D$81,MATCH(Orders!D339,Riders!$A$2:$A$81,0)))</f>
        <v>15</v>
      </c>
      <c r="AE342" s="33">
        <f>IF(Orders!D339="","",IF(INDEX(Riders!$B$2:$B$81,MATCH(Orders!D339,Riders!$A$2:$A$81,0))=B342,1,0))</f>
        <v>0</v>
      </c>
      <c r="AF342" s="34">
        <f>IF(E342=1,Orders!L339,"")</f>
        <v>2.76</v>
      </c>
      <c r="AG342" s="34">
        <f>IF(E342=1,Orders!P339,"")</f>
        <v>12.3</v>
      </c>
      <c r="AH342" s="34">
        <f>IF(E342=1,Orders!Q339,"")</f>
        <v>11.4</v>
      </c>
      <c r="AI342" s="34">
        <f>IF(E342=1,Orders!M339,"")</f>
        <v>4.9</v>
      </c>
      <c r="AJ342" s="34">
        <f>IF(E342=1,Orders!N339,"")</f>
        <v>2.3</v>
      </c>
      <c r="AK342" s="34">
        <f>IF(E342=1,Orders!O339,"")</f>
        <v>4.2</v>
      </c>
      <c r="AL342" s="33">
        <f>IF(E342=1,IF(ROUND(ABS(AI342+AJ342+AK342-AH342),6)&lt;=0.1,1,0),"")</f>
        <v>1</v>
      </c>
      <c r="AM342" s="36">
        <f>IF(E342=1,AI342/AH342,"")</f>
        <v>0.429824561403509</v>
      </c>
      <c r="AN342" s="36">
        <f>IF(E342=1,AJ342/AH342,"")</f>
        <v>0.201754385964912</v>
      </c>
      <c r="AO342" s="36">
        <f>IF(E342=1,AK342/AH342,"")</f>
        <v>0.368421052631579</v>
      </c>
      <c r="AP342" s="34">
        <f>IF(E342=1,Orders!Y339,"")</f>
        <v>0.48</v>
      </c>
      <c r="AQ342" s="33">
        <f>IF(Orders!X339,1,0)</f>
        <v>0</v>
      </c>
      <c r="AR342" s="34" t="str">
        <f>IF(AND(E342=1,L342=1),AJ342,"")</f>
        <v/>
      </c>
      <c r="AS342" s="34">
        <f>IF(AND(E342=1,L342=0),AJ342,"")</f>
        <v>2.3</v>
      </c>
      <c r="AT342" s="34" t="str">
        <f>IF(AND(E342=1,L342=1),AI342,"")</f>
        <v/>
      </c>
      <c r="AU342" s="34">
        <f>IF(AND(E342=1,L342=0),AI342,"")</f>
        <v>4.9</v>
      </c>
      <c r="AV342" s="34" t="str">
        <f>IF(AND(E342=1,L342=1),AG342,"")</f>
        <v/>
      </c>
      <c r="AW342" s="34">
        <f>IF(AND(E342=1,L342=0),AG342,"")</f>
        <v>12.3</v>
      </c>
      <c r="AX342" s="34" t="str">
        <f>IF(AND(E342=1,L342=1),AH342,"")</f>
        <v/>
      </c>
      <c r="AY342" s="34">
        <f>IF(AND(E342=1,L342=0),AH342,"")</f>
        <v>11.4</v>
      </c>
      <c r="AZ342" s="34" t="str">
        <f>IF(G342=1,F342,"")</f>
        <v/>
      </c>
      <c r="BA342" s="34" t="str">
        <f>IF(AND(G342=1,L342=1),F342,"")</f>
        <v/>
      </c>
      <c r="BB342" s="34" t="str">
        <f>IF(AND(G342=1,L342=0),F342,"")</f>
        <v/>
      </c>
      <c r="BC342" s="33">
        <f>IF(E342=1,IF(Orders!R339&gt;3,1,0),"")</f>
        <v>0</v>
      </c>
      <c r="BD342" s="33">
        <f>IF(E342=1,IF(Orders!R339&gt;7,1,0),"")</f>
        <v>0</v>
      </c>
      <c r="BE342" s="32" t="str">
        <f>IF(E342=1,IF(Orders!L339&lt;=1.5,"Up to 1.5 km",IF(Orders!L339&lt;=3,"1.5–3 km","Over 3 km")),"")</f>
        <v>1.5–3 km</v>
      </c>
      <c r="BF342" s="33">
        <f>IF(E342=1,IF(ABS((Orders!G339-Orders!F339)*1440-Orders!R339)&lt;0.06,1,0),"")</f>
        <v>1</v>
      </c>
      <c r="BG342" s="33">
        <f>IF(ABS((Orders!F339-Orders!E339)*1440-Orders!P339)&lt;0.06,1,0)</f>
        <v>1</v>
      </c>
      <c r="BH342" s="33">
        <f>IF(E342=1,IF(IF(Orders!S339,1,0)=1-G342,1,0),"")</f>
        <v>1</v>
      </c>
      <c r="BI342" s="32" t="str">
        <f>INDEX(Stores!$B$2:$B$21,MATCH(B342,Stores!$A$2:$A$21,0))</f>
        <v>Delhi</v>
      </c>
    </row>
    <row r="343">
      <c r="A343" s="32" t="str">
        <f>Orders!A340</f>
        <v>O00339</v>
      </c>
      <c r="B343" s="32" t="str">
        <f>Orders!C340</f>
        <v>S001</v>
      </c>
      <c r="C343" s="32" t="str">
        <f>Orders!B340</f>
        <v>C0205</v>
      </c>
      <c r="D343" s="32" t="str">
        <f>Orders!H340</f>
        <v>Delivered</v>
      </c>
      <c r="E343" s="33">
        <f>IF(Orders!H340="Delivered",1,0)</f>
        <v>1</v>
      </c>
      <c r="F343" s="34">
        <f>IF(E343=1,Orders!R340,"")</f>
        <v>-1</v>
      </c>
      <c r="G343" s="33">
        <f>IF(E343=1,IF(Orders!R340&gt;0,1,0),"")</f>
        <v>0</v>
      </c>
      <c r="H343" s="33">
        <f>IF(E343=1,IF(Orders!R340&gt;5,1,0),"")</f>
        <v>0</v>
      </c>
      <c r="I343" s="32" t="str">
        <f>IF(E343=1,"",IF(OR(Orders!T340="Rider unavailable",Orders!T340="Item unavailable"),"Company-caused","Unresolved"))</f>
        <v/>
      </c>
      <c r="J343" s="33">
        <f>IF(OR(E343=1,I343="Company-caused"),1,0)</f>
        <v>1</v>
      </c>
      <c r="K343" s="32" t="str">
        <f>IF(E343=0,IF(I343="Company-caused",IF(Orders!T340="Rider unavailable","C1 Rider unavailable","C2 Item unavailable"),"Outside root: unresolved"),IF(G343=0,"A On time",IF(H343=1,IF(L343=1,"B2a Severe, peak","B2b Severe, off-peak"),IF(L343=1,"B1a Slight, peak","B1b Slight, off-peak"))))</f>
        <v>A On time</v>
      </c>
      <c r="L343" s="33">
        <f>IF(AND(Orders!U340&gt;=19,Orders!U340&lt;22),1,0)</f>
        <v>0</v>
      </c>
      <c r="M343" s="33">
        <f>IF(L343=IF(Orders!V340,1,0),1,0)</f>
        <v>1</v>
      </c>
      <c r="N343" s="32" t="str">
        <f>IF(Orders!W340="","None",Orders!W340)</f>
        <v>Light</v>
      </c>
      <c r="O343" s="35">
        <f>INT(Orders!E340)</f>
        <v>46274.0</v>
      </c>
      <c r="P343" s="33">
        <f>Orders!U340</f>
        <v>8</v>
      </c>
      <c r="Q343" s="33">
        <f>COUNTIFS(Demand!$A$2:$A$4481,B343,Demand!$B$2:$B$4481,O343,Demand!$C$2:$C$4481,P343)</f>
        <v>1</v>
      </c>
      <c r="R343" s="33">
        <f>IF(Q343=1,SUMIFS(Demand!$E$2:$E$4481,Demand!$A$2:$A$4481,B343,Demand!$B$2:$B$4481,O343,Demand!$C$2:$C$4481,P343),"")</f>
        <v>9</v>
      </c>
      <c r="S343" s="33">
        <f>INDEX(Stores!$G$2:$G$21,MATCH(B343,Stores!$A$2:$A$21,0))</f>
        <v>16</v>
      </c>
      <c r="T343" s="34">
        <f>IF(R343="","",R343/S343)</f>
        <v>0.5625</v>
      </c>
      <c r="U343" s="34">
        <f>IF(E343=1,T343,"")</f>
        <v>0.5625</v>
      </c>
      <c r="V343" s="34">
        <f>IF(AND(E343=1,L343=0),T343,"")</f>
        <v>0.5625</v>
      </c>
      <c r="W343" s="33">
        <f>IF(U343="","",IF(U343&lt;=Breakdowns!$C$5,1,IF(U343&lt;=Breakdowns!$C$6,2,IF(U343&lt;=Breakdowns!$C$7,3,4))))</f>
        <v>1</v>
      </c>
      <c r="X343" s="33">
        <f>IF(V343="","",IF(V343&lt;=Breakdowns!$D$5,1,IF(V343&lt;=Breakdowns!$D$6,2,IF(V343&lt;=Breakdowns!$D$7,3,4))))</f>
        <v>1</v>
      </c>
      <c r="Y343" s="34">
        <f>INDEX(Stores!$F$2:$F$21,MATCH(B343,Stores!$A$2:$A$21,0))</f>
        <v>4.59</v>
      </c>
      <c r="Z343" s="33">
        <f>IF(Y343&gt;Store_Summary!$M$2,1,0)</f>
        <v>0</v>
      </c>
      <c r="AA343" s="33">
        <f>INDEX(Stores!$C$2:$C$21,MATCH(B343,Stores!$A$2:$A$21,0))</f>
        <v>362</v>
      </c>
      <c r="AB343" s="33">
        <f>IF(AA343&lt;180,1,0)</f>
        <v>0</v>
      </c>
      <c r="AC343" s="32" t="str">
        <f>IF(Orders!D340="","",INDEX(Riders!$C$2:$C$81,MATCH(Orders!D340,Riders!$A$2:$A$81,0)))</f>
        <v>EV scooter</v>
      </c>
      <c r="AD343" s="33">
        <f>IF(Orders!D340="","",INDEX(Riders!$D$2:$D$81,MATCH(Orders!D340,Riders!$A$2:$A$81,0)))</f>
        <v>4</v>
      </c>
      <c r="AE343" s="33">
        <f>IF(Orders!D340="","",IF(INDEX(Riders!$B$2:$B$81,MATCH(Orders!D340,Riders!$A$2:$A$81,0))=B343,1,0))</f>
        <v>0</v>
      </c>
      <c r="AF343" s="34">
        <f>IF(E343=1,Orders!L340,"")</f>
        <v>2.23</v>
      </c>
      <c r="AG343" s="34">
        <f>IF(E343=1,Orders!P340,"")</f>
        <v>10.1</v>
      </c>
      <c r="AH343" s="34">
        <f>IF(E343=1,Orders!Q340,"")</f>
        <v>9.1</v>
      </c>
      <c r="AI343" s="34">
        <f>IF(E343=1,Orders!M340,"")</f>
        <v>2.8</v>
      </c>
      <c r="AJ343" s="34">
        <f>IF(E343=1,Orders!N340,"")</f>
        <v>0.7</v>
      </c>
      <c r="AK343" s="34">
        <f>IF(E343=1,Orders!O340,"")</f>
        <v>5.6</v>
      </c>
      <c r="AL343" s="33">
        <f>IF(E343=1,IF(ROUND(ABS(AI343+AJ343+AK343-AH343),6)&lt;=0.1,1,0),"")</f>
        <v>1</v>
      </c>
      <c r="AM343" s="36">
        <f>IF(E343=1,AI343/AH343,"")</f>
        <v>0.307692307692308</v>
      </c>
      <c r="AN343" s="36">
        <f>IF(E343=1,AJ343/AH343,"")</f>
        <v>0.0769230769230769</v>
      </c>
      <c r="AO343" s="36">
        <f>IF(E343=1,AK343/AH343,"")</f>
        <v>0.615384615384615</v>
      </c>
      <c r="AP343" s="34">
        <f>IF(E343=1,Orders!Y340,"")</f>
        <v>0.53</v>
      </c>
      <c r="AQ343" s="33">
        <f>IF(Orders!X340,1,0)</f>
        <v>0</v>
      </c>
      <c r="AR343" s="34" t="str">
        <f>IF(AND(E343=1,L343=1),AJ343,"")</f>
        <v/>
      </c>
      <c r="AS343" s="34">
        <f>IF(AND(E343=1,L343=0),AJ343,"")</f>
        <v>0.7</v>
      </c>
      <c r="AT343" s="34" t="str">
        <f>IF(AND(E343=1,L343=1),AI343,"")</f>
        <v/>
      </c>
      <c r="AU343" s="34">
        <f>IF(AND(E343=1,L343=0),AI343,"")</f>
        <v>2.8</v>
      </c>
      <c r="AV343" s="34" t="str">
        <f>IF(AND(E343=1,L343=1),AG343,"")</f>
        <v/>
      </c>
      <c r="AW343" s="34">
        <f>IF(AND(E343=1,L343=0),AG343,"")</f>
        <v>10.1</v>
      </c>
      <c r="AX343" s="34" t="str">
        <f>IF(AND(E343=1,L343=1),AH343,"")</f>
        <v/>
      </c>
      <c r="AY343" s="34">
        <f>IF(AND(E343=1,L343=0),AH343,"")</f>
        <v>9.1</v>
      </c>
      <c r="AZ343" s="34" t="str">
        <f>IF(G343=1,F343,"")</f>
        <v/>
      </c>
      <c r="BA343" s="34" t="str">
        <f>IF(AND(G343=1,L343=1),F343,"")</f>
        <v/>
      </c>
      <c r="BB343" s="34" t="str">
        <f>IF(AND(G343=1,L343=0),F343,"")</f>
        <v/>
      </c>
      <c r="BC343" s="33">
        <f>IF(E343=1,IF(Orders!R340&gt;3,1,0),"")</f>
        <v>0</v>
      </c>
      <c r="BD343" s="33">
        <f>IF(E343=1,IF(Orders!R340&gt;7,1,0),"")</f>
        <v>0</v>
      </c>
      <c r="BE343" s="32" t="str">
        <f>IF(E343=1,IF(Orders!L340&lt;=1.5,"Up to 1.5 km",IF(Orders!L340&lt;=3,"1.5–3 km","Over 3 km")),"")</f>
        <v>1.5–3 km</v>
      </c>
      <c r="BF343" s="33">
        <f>IF(E343=1,IF(ABS((Orders!G340-Orders!F340)*1440-Orders!R340)&lt;0.06,1,0),"")</f>
        <v>1</v>
      </c>
      <c r="BG343" s="33">
        <f>IF(ABS((Orders!F340-Orders!E340)*1440-Orders!P340)&lt;0.06,1,0)</f>
        <v>1</v>
      </c>
      <c r="BH343" s="33">
        <f>IF(E343=1,IF(IF(Orders!S340,1,0)=1-G343,1,0),"")</f>
        <v>1</v>
      </c>
      <c r="BI343" s="32" t="str">
        <f>INDEX(Stores!$B$2:$B$21,MATCH(B343,Stores!$A$2:$A$21,0))</f>
        <v>Bengaluru</v>
      </c>
    </row>
    <row r="344">
      <c r="A344" s="32" t="str">
        <f>Orders!A341</f>
        <v>O00340</v>
      </c>
      <c r="B344" s="32" t="str">
        <f>Orders!C341</f>
        <v>S007</v>
      </c>
      <c r="C344" s="32" t="str">
        <f>Orders!B341</f>
        <v>C0034</v>
      </c>
      <c r="D344" s="32" t="str">
        <f>Orders!H341</f>
        <v>Delivered</v>
      </c>
      <c r="E344" s="33">
        <f>IF(Orders!H341="Delivered",1,0)</f>
        <v>1</v>
      </c>
      <c r="F344" s="34">
        <f>IF(E344=1,Orders!R341,"")</f>
        <v>-0.7</v>
      </c>
      <c r="G344" s="33">
        <f>IF(E344=1,IF(Orders!R341&gt;0,1,0),"")</f>
        <v>0</v>
      </c>
      <c r="H344" s="33">
        <f>IF(E344=1,IF(Orders!R341&gt;5,1,0),"")</f>
        <v>0</v>
      </c>
      <c r="I344" s="32" t="str">
        <f>IF(E344=1,"",IF(OR(Orders!T341="Rider unavailable",Orders!T341="Item unavailable"),"Company-caused","Unresolved"))</f>
        <v/>
      </c>
      <c r="J344" s="33">
        <f>IF(OR(E344=1,I344="Company-caused"),1,0)</f>
        <v>1</v>
      </c>
      <c r="K344" s="32" t="str">
        <f>IF(E344=0,IF(I344="Company-caused",IF(Orders!T341="Rider unavailable","C1 Rider unavailable","C2 Item unavailable"),"Outside root: unresolved"),IF(G344=0,"A On time",IF(H344=1,IF(L344=1,"B2a Severe, peak","B2b Severe, off-peak"),IF(L344=1,"B1a Slight, peak","B1b Slight, off-peak"))))</f>
        <v>A On time</v>
      </c>
      <c r="L344" s="33">
        <f>IF(AND(Orders!U341&gt;=19,Orders!U341&lt;22),1,0)</f>
        <v>0</v>
      </c>
      <c r="M344" s="33">
        <f>IF(L344=IF(Orders!V341,1,0),1,0)</f>
        <v>1</v>
      </c>
      <c r="N344" s="32" t="str">
        <f>IF(Orders!W341="","None",Orders!W341)</f>
        <v>None</v>
      </c>
      <c r="O344" s="35">
        <f>INT(Orders!E341)</f>
        <v>46267.0</v>
      </c>
      <c r="P344" s="33">
        <f>Orders!U341</f>
        <v>23</v>
      </c>
      <c r="Q344" s="33">
        <f>COUNTIFS(Demand!$A$2:$A$4481,B344,Demand!$B$2:$B$4481,O344,Demand!$C$2:$C$4481,P344)</f>
        <v>1</v>
      </c>
      <c r="R344" s="33">
        <f>IF(Q344=1,SUMIFS(Demand!$E$2:$E$4481,Demand!$A$2:$A$4481,B344,Demand!$B$2:$B$4481,O344,Demand!$C$2:$C$4481,P344),"")</f>
        <v>45</v>
      </c>
      <c r="S344" s="33">
        <f>INDEX(Stores!$G$2:$G$21,MATCH(B344,Stores!$A$2:$A$21,0))</f>
        <v>37</v>
      </c>
      <c r="T344" s="34">
        <f>IF(R344="","",R344/S344)</f>
        <v>1.21621621621622</v>
      </c>
      <c r="U344" s="34">
        <f>IF(E344=1,T344,"")</f>
        <v>1.21621621621622</v>
      </c>
      <c r="V344" s="34">
        <f>IF(AND(E344=1,L344=0),T344,"")</f>
        <v>1.21621621621622</v>
      </c>
      <c r="W344" s="33">
        <f>IF(U344="","",IF(U344&lt;=Breakdowns!$C$5,1,IF(U344&lt;=Breakdowns!$C$6,2,IF(U344&lt;=Breakdowns!$C$7,3,4))))</f>
        <v>3</v>
      </c>
      <c r="X344" s="33">
        <f>IF(V344="","",IF(V344&lt;=Breakdowns!$D$5,1,IF(V344&lt;=Breakdowns!$D$6,2,IF(V344&lt;=Breakdowns!$D$7,3,4))))</f>
        <v>4</v>
      </c>
      <c r="Y344" s="34">
        <f>INDEX(Stores!$F$2:$F$21,MATCH(B344,Stores!$A$2:$A$21,0))</f>
        <v>4.05</v>
      </c>
      <c r="Z344" s="33">
        <f>IF(Y344&gt;Store_Summary!$M$2,1,0)</f>
        <v>0</v>
      </c>
      <c r="AA344" s="33">
        <f>INDEX(Stores!$C$2:$C$21,MATCH(B344,Stores!$A$2:$A$21,0))</f>
        <v>661</v>
      </c>
      <c r="AB344" s="33">
        <f>IF(AA344&lt;180,1,0)</f>
        <v>0</v>
      </c>
      <c r="AC344" s="32" t="str">
        <f>IF(Orders!D341="","",INDEX(Riders!$C$2:$C$81,MATCH(Orders!D341,Riders!$A$2:$A$81,0)))</f>
        <v>Bicycle</v>
      </c>
      <c r="AD344" s="33">
        <f>IF(Orders!D341="","",INDEX(Riders!$D$2:$D$81,MATCH(Orders!D341,Riders!$A$2:$A$81,0)))</f>
        <v>40</v>
      </c>
      <c r="AE344" s="33">
        <f>IF(Orders!D341="","",IF(INDEX(Riders!$B$2:$B$81,MATCH(Orders!D341,Riders!$A$2:$A$81,0))=B344,1,0))</f>
        <v>0</v>
      </c>
      <c r="AF344" s="34">
        <f>IF(E344=1,Orders!L341,"")</f>
        <v>4.05</v>
      </c>
      <c r="AG344" s="34">
        <f>IF(E344=1,Orders!P341,"")</f>
        <v>11.6</v>
      </c>
      <c r="AH344" s="34">
        <f>IF(E344=1,Orders!Q341,"")</f>
        <v>10.9</v>
      </c>
      <c r="AI344" s="34">
        <f>IF(E344=1,Orders!M341,"")</f>
        <v>2.6</v>
      </c>
      <c r="AJ344" s="34">
        <f>IF(E344=1,Orders!N341,"")</f>
        <v>1.3</v>
      </c>
      <c r="AK344" s="34">
        <f>IF(E344=1,Orders!O341,"")</f>
        <v>7</v>
      </c>
      <c r="AL344" s="33">
        <f>IF(E344=1,IF(ROUND(ABS(AI344+AJ344+AK344-AH344),6)&lt;=0.1,1,0),"")</f>
        <v>1</v>
      </c>
      <c r="AM344" s="36">
        <f>IF(E344=1,AI344/AH344,"")</f>
        <v>0.238532110091743</v>
      </c>
      <c r="AN344" s="36">
        <f>IF(E344=1,AJ344/AH344,"")</f>
        <v>0.119266055045872</v>
      </c>
      <c r="AO344" s="36">
        <f>IF(E344=1,AK344/AH344,"")</f>
        <v>0.642201834862385</v>
      </c>
      <c r="AP344" s="34">
        <f>IF(E344=1,Orders!Y341,"")</f>
        <v>0.39</v>
      </c>
      <c r="AQ344" s="33">
        <f>IF(Orders!X341,1,0)</f>
        <v>0</v>
      </c>
      <c r="AR344" s="34" t="str">
        <f>IF(AND(E344=1,L344=1),AJ344,"")</f>
        <v/>
      </c>
      <c r="AS344" s="34">
        <f>IF(AND(E344=1,L344=0),AJ344,"")</f>
        <v>1.3</v>
      </c>
      <c r="AT344" s="34" t="str">
        <f>IF(AND(E344=1,L344=1),AI344,"")</f>
        <v/>
      </c>
      <c r="AU344" s="34">
        <f>IF(AND(E344=1,L344=0),AI344,"")</f>
        <v>2.6</v>
      </c>
      <c r="AV344" s="34" t="str">
        <f>IF(AND(E344=1,L344=1),AG344,"")</f>
        <v/>
      </c>
      <c r="AW344" s="34">
        <f>IF(AND(E344=1,L344=0),AG344,"")</f>
        <v>11.6</v>
      </c>
      <c r="AX344" s="34" t="str">
        <f>IF(AND(E344=1,L344=1),AH344,"")</f>
        <v/>
      </c>
      <c r="AY344" s="34">
        <f>IF(AND(E344=1,L344=0),AH344,"")</f>
        <v>10.9</v>
      </c>
      <c r="AZ344" s="34" t="str">
        <f>IF(G344=1,F344,"")</f>
        <v/>
      </c>
      <c r="BA344" s="34" t="str">
        <f>IF(AND(G344=1,L344=1),F344,"")</f>
        <v/>
      </c>
      <c r="BB344" s="34" t="str">
        <f>IF(AND(G344=1,L344=0),F344,"")</f>
        <v/>
      </c>
      <c r="BC344" s="33">
        <f>IF(E344=1,IF(Orders!R341&gt;3,1,0),"")</f>
        <v>0</v>
      </c>
      <c r="BD344" s="33">
        <f>IF(E344=1,IF(Orders!R341&gt;7,1,0),"")</f>
        <v>0</v>
      </c>
      <c r="BE344" s="32" t="str">
        <f>IF(E344=1,IF(Orders!L341&lt;=1.5,"Up to 1.5 km",IF(Orders!L341&lt;=3,"1.5–3 km","Over 3 km")),"")</f>
        <v>Over 3 km</v>
      </c>
      <c r="BF344" s="33">
        <f>IF(E344=1,IF(ABS((Orders!G341-Orders!F341)*1440-Orders!R341)&lt;0.06,1,0),"")</f>
        <v>1</v>
      </c>
      <c r="BG344" s="33">
        <f>IF(ABS((Orders!F341-Orders!E341)*1440-Orders!P341)&lt;0.06,1,0)</f>
        <v>1</v>
      </c>
      <c r="BH344" s="33">
        <f>IF(E344=1,IF(IF(Orders!S341,1,0)=1-G344,1,0),"")</f>
        <v>1</v>
      </c>
      <c r="BI344" s="32" t="str">
        <f>INDEX(Stores!$B$2:$B$21,MATCH(B344,Stores!$A$2:$A$21,0))</f>
        <v>Hyderabad</v>
      </c>
    </row>
    <row r="345">
      <c r="A345" s="32" t="str">
        <f>Orders!A342</f>
        <v>O00341</v>
      </c>
      <c r="B345" s="32" t="str">
        <f>Orders!C342</f>
        <v>S016</v>
      </c>
      <c r="C345" s="32" t="str">
        <f>Orders!B342</f>
        <v>C0205</v>
      </c>
      <c r="D345" s="32" t="str">
        <f>Orders!H342</f>
        <v>Cancelled</v>
      </c>
      <c r="E345" s="33">
        <f>IF(Orders!H342="Delivered",1,0)</f>
        <v>0</v>
      </c>
      <c r="F345" s="34" t="str">
        <f>IF(E345=1,Orders!R342,"")</f>
        <v/>
      </c>
      <c r="G345" s="33" t="str">
        <f>IF(E345=1,IF(Orders!R342&gt;0,1,0),"")</f>
        <v/>
      </c>
      <c r="H345" s="33" t="str">
        <f>IF(E345=1,IF(Orders!R342&gt;5,1,0),"")</f>
        <v/>
      </c>
      <c r="I345" s="32" t="str">
        <f>IF(E345=1,"",IF(OR(Orders!T342="Rider unavailable",Orders!T342="Item unavailable"),"Company-caused","Unresolved"))</f>
        <v>Company-caused</v>
      </c>
      <c r="J345" s="33">
        <f>IF(OR(E345=1,I345="Company-caused"),1,0)</f>
        <v>1</v>
      </c>
      <c r="K345" s="32" t="str">
        <f>IF(E345=0,IF(I345="Company-caused",IF(Orders!T342="Rider unavailable","C1 Rider unavailable","C2 Item unavailable"),"Outside root: unresolved"),IF(G345=0,"A On time",IF(H345=1,IF(L345=1,"B2a Severe, peak","B2b Severe, off-peak"),IF(L345=1,"B1a Slight, peak","B1b Slight, off-peak"))))</f>
        <v>C2 Item unavailable</v>
      </c>
      <c r="L345" s="33">
        <f>IF(AND(Orders!U342&gt;=19,Orders!U342&lt;22),1,0)</f>
        <v>0</v>
      </c>
      <c r="M345" s="33">
        <f>IF(L345=IF(Orders!V342,1,0),1,0)</f>
        <v>1</v>
      </c>
      <c r="N345" s="32" t="str">
        <f>IF(Orders!W342="","None",Orders!W342)</f>
        <v>None</v>
      </c>
      <c r="O345" s="35">
        <f>INT(Orders!E342)</f>
        <v>46274.0</v>
      </c>
      <c r="P345" s="33">
        <f>Orders!U342</f>
        <v>12</v>
      </c>
      <c r="Q345" s="33">
        <f>COUNTIFS(Demand!$A$2:$A$4481,B345,Demand!$B$2:$B$4481,O345,Demand!$C$2:$C$4481,P345)</f>
        <v>1</v>
      </c>
      <c r="R345" s="33">
        <f>IF(Q345=1,SUMIFS(Demand!$E$2:$E$4481,Demand!$A$2:$A$4481,B345,Demand!$B$2:$B$4481,O345,Demand!$C$2:$C$4481,P345),"")</f>
        <v>31</v>
      </c>
      <c r="S345" s="33">
        <f>INDEX(Stores!$G$2:$G$21,MATCH(B345,Stores!$A$2:$A$21,0))</f>
        <v>25</v>
      </c>
      <c r="T345" s="34">
        <f>IF(R345="","",R345/S345)</f>
        <v>1.24</v>
      </c>
      <c r="U345" s="34" t="str">
        <f>IF(E345=1,T345,"")</f>
        <v/>
      </c>
      <c r="V345" s="34" t="str">
        <f>IF(AND(E345=1,L345=0),T345,"")</f>
        <v/>
      </c>
      <c r="W345" s="33" t="str">
        <f>IF(U345="","",IF(U345&lt;=Breakdowns!$C$5,1,IF(U345&lt;=Breakdowns!$C$6,2,IF(U345&lt;=Breakdowns!$C$7,3,4))))</f>
        <v/>
      </c>
      <c r="X345" s="33" t="str">
        <f>IF(V345="","",IF(V345&lt;=Breakdowns!$D$5,1,IF(V345&lt;=Breakdowns!$D$6,2,IF(V345&lt;=Breakdowns!$D$7,3,4))))</f>
        <v/>
      </c>
      <c r="Y345" s="34">
        <f>INDEX(Stores!$F$2:$F$21,MATCH(B345,Stores!$A$2:$A$21,0))</f>
        <v>5.51</v>
      </c>
      <c r="Z345" s="33">
        <f>IF(Y345&gt;Store_Summary!$M$2,1,0)</f>
        <v>1</v>
      </c>
      <c r="AA345" s="33">
        <f>INDEX(Stores!$C$2:$C$21,MATCH(B345,Stores!$A$2:$A$21,0))</f>
        <v>792</v>
      </c>
      <c r="AB345" s="33">
        <f>IF(AA345&lt;180,1,0)</f>
        <v>0</v>
      </c>
      <c r="AC345" s="32" t="str">
        <f>IF(Orders!D342="","",INDEX(Riders!$C$2:$C$81,MATCH(Orders!D342,Riders!$A$2:$A$81,0)))</f>
        <v/>
      </c>
      <c r="AD345" s="33" t="str">
        <f>IF(Orders!D342="","",INDEX(Riders!$D$2:$D$81,MATCH(Orders!D342,Riders!$A$2:$A$81,0)))</f>
        <v/>
      </c>
      <c r="AE345" s="33" t="str">
        <f>IF(Orders!D342="","",IF(INDEX(Riders!$B$2:$B$81,MATCH(Orders!D342,Riders!$A$2:$A$81,0))=B345,1,0))</f>
        <v/>
      </c>
      <c r="AF345" s="34" t="str">
        <f>IF(E345=1,Orders!L342,"")</f>
        <v/>
      </c>
      <c r="AG345" s="34" t="str">
        <f>IF(E345=1,Orders!P342,"")</f>
        <v/>
      </c>
      <c r="AH345" s="34" t="str">
        <f>IF(E345=1,Orders!Q342,"")</f>
        <v/>
      </c>
      <c r="AI345" s="34" t="str">
        <f>IF(E345=1,Orders!M342,"")</f>
        <v/>
      </c>
      <c r="AJ345" s="34" t="str">
        <f>IF(E345=1,Orders!N342,"")</f>
        <v/>
      </c>
      <c r="AK345" s="34" t="str">
        <f>IF(E345=1,Orders!O342,"")</f>
        <v/>
      </c>
      <c r="AL345" s="33" t="str">
        <f>IF(E345=1,IF(ROUND(ABS(AI345+AJ345+AK345-AH345),6)&lt;=0.1,1,0),"")</f>
        <v/>
      </c>
      <c r="AM345" s="36" t="str">
        <f>IF(E345=1,AI345/AH345,"")</f>
        <v/>
      </c>
      <c r="AN345" s="36" t="str">
        <f>IF(E345=1,AJ345/AH345,"")</f>
        <v/>
      </c>
      <c r="AO345" s="36" t="str">
        <f>IF(E345=1,AK345/AH345,"")</f>
        <v/>
      </c>
      <c r="AP345" s="34" t="str">
        <f>IF(E345=1,Orders!Y342,"")</f>
        <v/>
      </c>
      <c r="AQ345" s="33">
        <f>IF(Orders!X342,1,0)</f>
        <v>0</v>
      </c>
      <c r="AR345" s="34" t="str">
        <f>IF(AND(E345=1,L345=1),AJ345,"")</f>
        <v/>
      </c>
      <c r="AS345" s="34" t="str">
        <f>IF(AND(E345=1,L345=0),AJ345,"")</f>
        <v/>
      </c>
      <c r="AT345" s="34" t="str">
        <f>IF(AND(E345=1,L345=1),AI345,"")</f>
        <v/>
      </c>
      <c r="AU345" s="34" t="str">
        <f>IF(AND(E345=1,L345=0),AI345,"")</f>
        <v/>
      </c>
      <c r="AV345" s="34" t="str">
        <f>IF(AND(E345=1,L345=1),AG345,"")</f>
        <v/>
      </c>
      <c r="AW345" s="34" t="str">
        <f>IF(AND(E345=1,L345=0),AG345,"")</f>
        <v/>
      </c>
      <c r="AX345" s="34" t="str">
        <f>IF(AND(E345=1,L345=1),AH345,"")</f>
        <v/>
      </c>
      <c r="AY345" s="34" t="str">
        <f>IF(AND(E345=1,L345=0),AH345,"")</f>
        <v/>
      </c>
      <c r="AZ345" s="34" t="str">
        <f>IF(G345=1,F345,"")</f>
        <v/>
      </c>
      <c r="BA345" s="34" t="str">
        <f>IF(AND(G345=1,L345=1),F345,"")</f>
        <v/>
      </c>
      <c r="BB345" s="34" t="str">
        <f>IF(AND(G345=1,L345=0),F345,"")</f>
        <v/>
      </c>
      <c r="BC345" s="33" t="str">
        <f>IF(E345=1,IF(Orders!R342&gt;3,1,0),"")</f>
        <v/>
      </c>
      <c r="BD345" s="33" t="str">
        <f>IF(E345=1,IF(Orders!R342&gt;7,1,0),"")</f>
        <v/>
      </c>
      <c r="BE345" s="32" t="str">
        <f>IF(E345=1,IF(Orders!L342&lt;=1.5,"Up to 1.5 km",IF(Orders!L342&lt;=3,"1.5–3 km","Over 3 km")),"")</f>
        <v/>
      </c>
      <c r="BF345" s="33" t="str">
        <f>IF(E345=1,IF(ABS((Orders!G342-Orders!F342)*1440-Orders!R342)&lt;0.06,1,0),"")</f>
        <v/>
      </c>
      <c r="BG345" s="33">
        <f>IF(ABS((Orders!F342-Orders!E342)*1440-Orders!P342)&lt;0.06,1,0)</f>
        <v>1</v>
      </c>
      <c r="BH345" s="33" t="str">
        <f>IF(E345=1,IF(IF(Orders!S342,1,0)=1-G345,1,0),"")</f>
        <v/>
      </c>
      <c r="BI345" s="32" t="str">
        <f>INDEX(Stores!$B$2:$B$21,MATCH(B345,Stores!$A$2:$A$21,0))</f>
        <v>Bengaluru</v>
      </c>
    </row>
    <row r="346">
      <c r="A346" s="32" t="str">
        <f>Orders!A343</f>
        <v>O00342</v>
      </c>
      <c r="B346" s="32" t="str">
        <f>Orders!C343</f>
        <v>S015</v>
      </c>
      <c r="C346" s="32" t="str">
        <f>Orders!B343</f>
        <v>C0035</v>
      </c>
      <c r="D346" s="32" t="str">
        <f>Orders!H343</f>
        <v>Delivered</v>
      </c>
      <c r="E346" s="33">
        <f>IF(Orders!H343="Delivered",1,0)</f>
        <v>1</v>
      </c>
      <c r="F346" s="34">
        <f>IF(E346=1,Orders!R343,"")</f>
        <v>-0.9</v>
      </c>
      <c r="G346" s="33">
        <f>IF(E346=1,IF(Orders!R343&gt;0,1,0),"")</f>
        <v>0</v>
      </c>
      <c r="H346" s="33">
        <f>IF(E346=1,IF(Orders!R343&gt;5,1,0),"")</f>
        <v>0</v>
      </c>
      <c r="I346" s="32" t="str">
        <f>IF(E346=1,"",IF(OR(Orders!T343="Rider unavailable",Orders!T343="Item unavailable"),"Company-caused","Unresolved"))</f>
        <v/>
      </c>
      <c r="J346" s="33">
        <f>IF(OR(E346=1,I346="Company-caused"),1,0)</f>
        <v>1</v>
      </c>
      <c r="K346" s="32" t="str">
        <f>IF(E346=0,IF(I346="Company-caused",IF(Orders!T343="Rider unavailable","C1 Rider unavailable","C2 Item unavailable"),"Outside root: unresolved"),IF(G346=0,"A On time",IF(H346=1,IF(L346=1,"B2a Severe, peak","B2b Severe, off-peak"),IF(L346=1,"B1a Slight, peak","B1b Slight, off-peak"))))</f>
        <v>A On time</v>
      </c>
      <c r="L346" s="33">
        <f>IF(AND(Orders!U343&gt;=19,Orders!U343&lt;22),1,0)</f>
        <v>0</v>
      </c>
      <c r="M346" s="33">
        <f>IF(L346=IF(Orders!V343,1,0),1,0)</f>
        <v>1</v>
      </c>
      <c r="N346" s="32" t="str">
        <f>IF(Orders!W343="","None",Orders!W343)</f>
        <v>None</v>
      </c>
      <c r="O346" s="35">
        <f>INT(Orders!E343)</f>
        <v>46268.0</v>
      </c>
      <c r="P346" s="33">
        <f>Orders!U343</f>
        <v>18</v>
      </c>
      <c r="Q346" s="33">
        <f>COUNTIFS(Demand!$A$2:$A$4481,B346,Demand!$B$2:$B$4481,O346,Demand!$C$2:$C$4481,P346)</f>
        <v>1</v>
      </c>
      <c r="R346" s="33">
        <f>IF(Q346=1,SUMIFS(Demand!$E$2:$E$4481,Demand!$A$2:$A$4481,B346,Demand!$B$2:$B$4481,O346,Demand!$C$2:$C$4481,P346),"")</f>
        <v>23</v>
      </c>
      <c r="S346" s="33">
        <f>INDEX(Stores!$G$2:$G$21,MATCH(B346,Stores!$A$2:$A$21,0))</f>
        <v>23</v>
      </c>
      <c r="T346" s="34">
        <f>IF(R346="","",R346/S346)</f>
        <v>1</v>
      </c>
      <c r="U346" s="34">
        <f>IF(E346=1,T346,"")</f>
        <v>1</v>
      </c>
      <c r="V346" s="34">
        <f>IF(AND(E346=1,L346=0),T346,"")</f>
        <v>1</v>
      </c>
      <c r="W346" s="33">
        <f>IF(U346="","",IF(U346&lt;=Breakdowns!$C$5,1,IF(U346&lt;=Breakdowns!$C$6,2,IF(U346&lt;=Breakdowns!$C$7,3,4))))</f>
        <v>2</v>
      </c>
      <c r="X346" s="33">
        <f>IF(V346="","",IF(V346&lt;=Breakdowns!$D$5,1,IF(V346&lt;=Breakdowns!$D$6,2,IF(V346&lt;=Breakdowns!$D$7,3,4))))</f>
        <v>3</v>
      </c>
      <c r="Y346" s="34">
        <f>INDEX(Stores!$F$2:$F$21,MATCH(B346,Stores!$A$2:$A$21,0))</f>
        <v>4.66</v>
      </c>
      <c r="Z346" s="33">
        <f>IF(Y346&gt;Store_Summary!$M$2,1,0)</f>
        <v>0</v>
      </c>
      <c r="AA346" s="33">
        <f>INDEX(Stores!$C$2:$C$21,MATCH(B346,Stores!$A$2:$A$21,0))</f>
        <v>204</v>
      </c>
      <c r="AB346" s="33">
        <f>IF(AA346&lt;180,1,0)</f>
        <v>0</v>
      </c>
      <c r="AC346" s="32" t="str">
        <f>IF(Orders!D343="","",INDEX(Riders!$C$2:$C$81,MATCH(Orders!D343,Riders!$A$2:$A$81,0)))</f>
        <v>Petrol scooter</v>
      </c>
      <c r="AD346" s="33">
        <f>IF(Orders!D343="","",INDEX(Riders!$D$2:$D$81,MATCH(Orders!D343,Riders!$A$2:$A$81,0)))</f>
        <v>4</v>
      </c>
      <c r="AE346" s="33">
        <f>IF(Orders!D343="","",IF(INDEX(Riders!$B$2:$B$81,MATCH(Orders!D343,Riders!$A$2:$A$81,0))=B346,1,0))</f>
        <v>0</v>
      </c>
      <c r="AF346" s="34">
        <f>IF(E346=1,Orders!L343,"")</f>
        <v>2.27</v>
      </c>
      <c r="AG346" s="34">
        <f>IF(E346=1,Orders!P343,"")</f>
        <v>10.6</v>
      </c>
      <c r="AH346" s="34">
        <f>IF(E346=1,Orders!Q343,"")</f>
        <v>9.7</v>
      </c>
      <c r="AI346" s="34">
        <f>IF(E346=1,Orders!M343,"")</f>
        <v>3.2</v>
      </c>
      <c r="AJ346" s="34">
        <f>IF(E346=1,Orders!N343,"")</f>
        <v>3.8</v>
      </c>
      <c r="AK346" s="34">
        <f>IF(E346=1,Orders!O343,"")</f>
        <v>2.7</v>
      </c>
      <c r="AL346" s="33">
        <f>IF(E346=1,IF(ROUND(ABS(AI346+AJ346+AK346-AH346),6)&lt;=0.1,1,0),"")</f>
        <v>1</v>
      </c>
      <c r="AM346" s="36">
        <f>IF(E346=1,AI346/AH346,"")</f>
        <v>0.329896907216495</v>
      </c>
      <c r="AN346" s="36">
        <f>IF(E346=1,AJ346/AH346,"")</f>
        <v>0.391752577319588</v>
      </c>
      <c r="AO346" s="36">
        <f>IF(E346=1,AK346/AH346,"")</f>
        <v>0.278350515463918</v>
      </c>
      <c r="AP346" s="34">
        <f>IF(E346=1,Orders!Y343,"")</f>
        <v>0.39</v>
      </c>
      <c r="AQ346" s="33">
        <f>IF(Orders!X343,1,0)</f>
        <v>0</v>
      </c>
      <c r="AR346" s="34" t="str">
        <f>IF(AND(E346=1,L346=1),AJ346,"")</f>
        <v/>
      </c>
      <c r="AS346" s="34">
        <f>IF(AND(E346=1,L346=0),AJ346,"")</f>
        <v>3.8</v>
      </c>
      <c r="AT346" s="34" t="str">
        <f>IF(AND(E346=1,L346=1),AI346,"")</f>
        <v/>
      </c>
      <c r="AU346" s="34">
        <f>IF(AND(E346=1,L346=0),AI346,"")</f>
        <v>3.2</v>
      </c>
      <c r="AV346" s="34" t="str">
        <f>IF(AND(E346=1,L346=1),AG346,"")</f>
        <v/>
      </c>
      <c r="AW346" s="34">
        <f>IF(AND(E346=1,L346=0),AG346,"")</f>
        <v>10.6</v>
      </c>
      <c r="AX346" s="34" t="str">
        <f>IF(AND(E346=1,L346=1),AH346,"")</f>
        <v/>
      </c>
      <c r="AY346" s="34">
        <f>IF(AND(E346=1,L346=0),AH346,"")</f>
        <v>9.7</v>
      </c>
      <c r="AZ346" s="34" t="str">
        <f>IF(G346=1,F346,"")</f>
        <v/>
      </c>
      <c r="BA346" s="34" t="str">
        <f>IF(AND(G346=1,L346=1),F346,"")</f>
        <v/>
      </c>
      <c r="BB346" s="34" t="str">
        <f>IF(AND(G346=1,L346=0),F346,"")</f>
        <v/>
      </c>
      <c r="BC346" s="33">
        <f>IF(E346=1,IF(Orders!R343&gt;3,1,0),"")</f>
        <v>0</v>
      </c>
      <c r="BD346" s="33">
        <f>IF(E346=1,IF(Orders!R343&gt;7,1,0),"")</f>
        <v>0</v>
      </c>
      <c r="BE346" s="32" t="str">
        <f>IF(E346=1,IF(Orders!L343&lt;=1.5,"Up to 1.5 km",IF(Orders!L343&lt;=3,"1.5–3 km","Over 3 km")),"")</f>
        <v>1.5–3 km</v>
      </c>
      <c r="BF346" s="33">
        <f>IF(E346=1,IF(ABS((Orders!G343-Orders!F343)*1440-Orders!R343)&lt;0.06,1,0),"")</f>
        <v>1</v>
      </c>
      <c r="BG346" s="33">
        <f>IF(ABS((Orders!F343-Orders!E343)*1440-Orders!P343)&lt;0.06,1,0)</f>
        <v>1</v>
      </c>
      <c r="BH346" s="33">
        <f>IF(E346=1,IF(IF(Orders!S343,1,0)=1-G346,1,0),"")</f>
        <v>1</v>
      </c>
      <c r="BI346" s="32" t="str">
        <f>INDEX(Stores!$B$2:$B$21,MATCH(B346,Stores!$A$2:$A$21,0))</f>
        <v>Delhi</v>
      </c>
    </row>
    <row r="347">
      <c r="A347" s="32" t="str">
        <f>Orders!A344</f>
        <v>O00343</v>
      </c>
      <c r="B347" s="32" t="str">
        <f>Orders!C344</f>
        <v>S016</v>
      </c>
      <c r="C347" s="32" t="str">
        <f>Orders!B344</f>
        <v>C0008</v>
      </c>
      <c r="D347" s="32" t="str">
        <f>Orders!H344</f>
        <v>Delivered</v>
      </c>
      <c r="E347" s="33">
        <f>IF(Orders!H344="Delivered",1,0)</f>
        <v>1</v>
      </c>
      <c r="F347" s="34">
        <f>IF(E347=1,Orders!R344,"")</f>
        <v>-0.7</v>
      </c>
      <c r="G347" s="33">
        <f>IF(E347=1,IF(Orders!R344&gt;0,1,0),"")</f>
        <v>0</v>
      </c>
      <c r="H347" s="33">
        <f>IF(E347=1,IF(Orders!R344&gt;5,1,0),"")</f>
        <v>0</v>
      </c>
      <c r="I347" s="32" t="str">
        <f>IF(E347=1,"",IF(OR(Orders!T344="Rider unavailable",Orders!T344="Item unavailable"),"Company-caused","Unresolved"))</f>
        <v/>
      </c>
      <c r="J347" s="33">
        <f>IF(OR(E347=1,I347="Company-caused"),1,0)</f>
        <v>1</v>
      </c>
      <c r="K347" s="32" t="str">
        <f>IF(E347=0,IF(I347="Company-caused",IF(Orders!T344="Rider unavailable","C1 Rider unavailable","C2 Item unavailable"),"Outside root: unresolved"),IF(G347=0,"A On time",IF(H347=1,IF(L347=1,"B2a Severe, peak","B2b Severe, off-peak"),IF(L347=1,"B1a Slight, peak","B1b Slight, off-peak"))))</f>
        <v>A On time</v>
      </c>
      <c r="L347" s="33">
        <f>IF(AND(Orders!U344&gt;=19,Orders!U344&lt;22),1,0)</f>
        <v>0</v>
      </c>
      <c r="M347" s="33">
        <f>IF(L347=IF(Orders!V344,1,0),1,0)</f>
        <v>1</v>
      </c>
      <c r="N347" s="32" t="str">
        <f>IF(Orders!W344="","None",Orders!W344)</f>
        <v>Light</v>
      </c>
      <c r="O347" s="35">
        <f>INT(Orders!E344)</f>
        <v>46270.0</v>
      </c>
      <c r="P347" s="33">
        <f>Orders!U344</f>
        <v>13</v>
      </c>
      <c r="Q347" s="33">
        <f>COUNTIFS(Demand!$A$2:$A$4481,B347,Demand!$B$2:$B$4481,O347,Demand!$C$2:$C$4481,P347)</f>
        <v>1</v>
      </c>
      <c r="R347" s="33">
        <f>IF(Q347=1,SUMIFS(Demand!$E$2:$E$4481,Demand!$A$2:$A$4481,B347,Demand!$B$2:$B$4481,O347,Demand!$C$2:$C$4481,P347),"")</f>
        <v>31</v>
      </c>
      <c r="S347" s="33">
        <f>INDEX(Stores!$G$2:$G$21,MATCH(B347,Stores!$A$2:$A$21,0))</f>
        <v>25</v>
      </c>
      <c r="T347" s="34">
        <f>IF(R347="","",R347/S347)</f>
        <v>1.24</v>
      </c>
      <c r="U347" s="34">
        <f>IF(E347=1,T347,"")</f>
        <v>1.24</v>
      </c>
      <c r="V347" s="34">
        <f>IF(AND(E347=1,L347=0),T347,"")</f>
        <v>1.24</v>
      </c>
      <c r="W347" s="33">
        <f>IF(U347="","",IF(U347&lt;=Breakdowns!$C$5,1,IF(U347&lt;=Breakdowns!$C$6,2,IF(U347&lt;=Breakdowns!$C$7,3,4))))</f>
        <v>4</v>
      </c>
      <c r="X347" s="33">
        <f>IF(V347="","",IF(V347&lt;=Breakdowns!$D$5,1,IF(V347&lt;=Breakdowns!$D$6,2,IF(V347&lt;=Breakdowns!$D$7,3,4))))</f>
        <v>4</v>
      </c>
      <c r="Y347" s="34">
        <f>INDEX(Stores!$F$2:$F$21,MATCH(B347,Stores!$A$2:$A$21,0))</f>
        <v>5.51</v>
      </c>
      <c r="Z347" s="33">
        <f>IF(Y347&gt;Store_Summary!$M$2,1,0)</f>
        <v>1</v>
      </c>
      <c r="AA347" s="33">
        <f>INDEX(Stores!$C$2:$C$21,MATCH(B347,Stores!$A$2:$A$21,0))</f>
        <v>792</v>
      </c>
      <c r="AB347" s="33">
        <f>IF(AA347&lt;180,1,0)</f>
        <v>0</v>
      </c>
      <c r="AC347" s="32" t="str">
        <f>IF(Orders!D344="","",INDEX(Riders!$C$2:$C$81,MATCH(Orders!D344,Riders!$A$2:$A$81,0)))</f>
        <v>EV scooter</v>
      </c>
      <c r="AD347" s="33">
        <f>IF(Orders!D344="","",INDEX(Riders!$D$2:$D$81,MATCH(Orders!D344,Riders!$A$2:$A$81,0)))</f>
        <v>11</v>
      </c>
      <c r="AE347" s="33">
        <f>IF(Orders!D344="","",IF(INDEX(Riders!$B$2:$B$81,MATCH(Orders!D344,Riders!$A$2:$A$81,0))=B347,1,0))</f>
        <v>0</v>
      </c>
      <c r="AF347" s="34">
        <f>IF(E347=1,Orders!L344,"")</f>
        <v>2.6</v>
      </c>
      <c r="AG347" s="34">
        <f>IF(E347=1,Orders!P344,"")</f>
        <v>10.3</v>
      </c>
      <c r="AH347" s="34">
        <f>IF(E347=1,Orders!Q344,"")</f>
        <v>9.6</v>
      </c>
      <c r="AI347" s="34">
        <f>IF(E347=1,Orders!M344,"")</f>
        <v>3.3</v>
      </c>
      <c r="AJ347" s="34">
        <f>IF(E347=1,Orders!N344,"")</f>
        <v>2.6</v>
      </c>
      <c r="AK347" s="34">
        <f>IF(E347=1,Orders!O344,"")</f>
        <v>3.7</v>
      </c>
      <c r="AL347" s="33">
        <f>IF(E347=1,IF(ROUND(ABS(AI347+AJ347+AK347-AH347),6)&lt;=0.1,1,0),"")</f>
        <v>1</v>
      </c>
      <c r="AM347" s="36">
        <f>IF(E347=1,AI347/AH347,"")</f>
        <v>0.34375</v>
      </c>
      <c r="AN347" s="36">
        <f>IF(E347=1,AJ347/AH347,"")</f>
        <v>0.270833333333333</v>
      </c>
      <c r="AO347" s="36">
        <f>IF(E347=1,AK347/AH347,"")</f>
        <v>0.385416666666667</v>
      </c>
      <c r="AP347" s="34">
        <f>IF(E347=1,Orders!Y344,"")</f>
        <v>0.21</v>
      </c>
      <c r="AQ347" s="33">
        <f>IF(Orders!X344,1,0)</f>
        <v>0</v>
      </c>
      <c r="AR347" s="34" t="str">
        <f>IF(AND(E347=1,L347=1),AJ347,"")</f>
        <v/>
      </c>
      <c r="AS347" s="34">
        <f>IF(AND(E347=1,L347=0),AJ347,"")</f>
        <v>2.6</v>
      </c>
      <c r="AT347" s="34" t="str">
        <f>IF(AND(E347=1,L347=1),AI347,"")</f>
        <v/>
      </c>
      <c r="AU347" s="34">
        <f>IF(AND(E347=1,L347=0),AI347,"")</f>
        <v>3.3</v>
      </c>
      <c r="AV347" s="34" t="str">
        <f>IF(AND(E347=1,L347=1),AG347,"")</f>
        <v/>
      </c>
      <c r="AW347" s="34">
        <f>IF(AND(E347=1,L347=0),AG347,"")</f>
        <v>10.3</v>
      </c>
      <c r="AX347" s="34" t="str">
        <f>IF(AND(E347=1,L347=1),AH347,"")</f>
        <v/>
      </c>
      <c r="AY347" s="34">
        <f>IF(AND(E347=1,L347=0),AH347,"")</f>
        <v>9.6</v>
      </c>
      <c r="AZ347" s="34" t="str">
        <f>IF(G347=1,F347,"")</f>
        <v/>
      </c>
      <c r="BA347" s="34" t="str">
        <f>IF(AND(G347=1,L347=1),F347,"")</f>
        <v/>
      </c>
      <c r="BB347" s="34" t="str">
        <f>IF(AND(G347=1,L347=0),F347,"")</f>
        <v/>
      </c>
      <c r="BC347" s="33">
        <f>IF(E347=1,IF(Orders!R344&gt;3,1,0),"")</f>
        <v>0</v>
      </c>
      <c r="BD347" s="33">
        <f>IF(E347=1,IF(Orders!R344&gt;7,1,0),"")</f>
        <v>0</v>
      </c>
      <c r="BE347" s="32" t="str">
        <f>IF(E347=1,IF(Orders!L344&lt;=1.5,"Up to 1.5 km",IF(Orders!L344&lt;=3,"1.5–3 km","Over 3 km")),"")</f>
        <v>1.5–3 km</v>
      </c>
      <c r="BF347" s="33">
        <f>IF(E347=1,IF(ABS((Orders!G344-Orders!F344)*1440-Orders!R344)&lt;0.06,1,0),"")</f>
        <v>1</v>
      </c>
      <c r="BG347" s="33">
        <f>IF(ABS((Orders!F344-Orders!E344)*1440-Orders!P344)&lt;0.06,1,0)</f>
        <v>1</v>
      </c>
      <c r="BH347" s="33">
        <f>IF(E347=1,IF(IF(Orders!S344,1,0)=1-G347,1,0),"")</f>
        <v>1</v>
      </c>
      <c r="BI347" s="32" t="str">
        <f>INDEX(Stores!$B$2:$B$21,MATCH(B347,Stores!$A$2:$A$21,0))</f>
        <v>Bengaluru</v>
      </c>
    </row>
    <row r="348">
      <c r="A348" s="32" t="str">
        <f>Orders!A345</f>
        <v>O00344</v>
      </c>
      <c r="B348" s="32" t="str">
        <f>Orders!C345</f>
        <v>S018</v>
      </c>
      <c r="C348" s="32" t="str">
        <f>Orders!B345</f>
        <v>C0073</v>
      </c>
      <c r="D348" s="32" t="str">
        <f>Orders!H345</f>
        <v>Delivered</v>
      </c>
      <c r="E348" s="33">
        <f>IF(Orders!H345="Delivered",1,0)</f>
        <v>1</v>
      </c>
      <c r="F348" s="34">
        <f>IF(E348=1,Orders!R345,"")</f>
        <v>-0.1</v>
      </c>
      <c r="G348" s="33">
        <f>IF(E348=1,IF(Orders!R345&gt;0,1,0),"")</f>
        <v>0</v>
      </c>
      <c r="H348" s="33">
        <f>IF(E348=1,IF(Orders!R345&gt;5,1,0),"")</f>
        <v>0</v>
      </c>
      <c r="I348" s="32" t="str">
        <f>IF(E348=1,"",IF(OR(Orders!T345="Rider unavailable",Orders!T345="Item unavailable"),"Company-caused","Unresolved"))</f>
        <v/>
      </c>
      <c r="J348" s="33">
        <f>IF(OR(E348=1,I348="Company-caused"),1,0)</f>
        <v>1</v>
      </c>
      <c r="K348" s="32" t="str">
        <f>IF(E348=0,IF(I348="Company-caused",IF(Orders!T345="Rider unavailable","C1 Rider unavailable","C2 Item unavailable"),"Outside root: unresolved"),IF(G348=0,"A On time",IF(H348=1,IF(L348=1,"B2a Severe, peak","B2b Severe, off-peak"),IF(L348=1,"B1a Slight, peak","B1b Slight, off-peak"))))</f>
        <v>A On time</v>
      </c>
      <c r="L348" s="33">
        <f>IF(AND(Orders!U345&gt;=19,Orders!U345&lt;22),1,0)</f>
        <v>0</v>
      </c>
      <c r="M348" s="33">
        <f>IF(L348=IF(Orders!V345,1,0),1,0)</f>
        <v>1</v>
      </c>
      <c r="N348" s="32" t="str">
        <f>IF(Orders!W345="","None",Orders!W345)</f>
        <v>None</v>
      </c>
      <c r="O348" s="35">
        <f>INT(Orders!E345)</f>
        <v>46266.0</v>
      </c>
      <c r="P348" s="33">
        <f>Orders!U345</f>
        <v>17</v>
      </c>
      <c r="Q348" s="33">
        <f>COUNTIFS(Demand!$A$2:$A$4481,B348,Demand!$B$2:$B$4481,O348,Demand!$C$2:$C$4481,P348)</f>
        <v>1</v>
      </c>
      <c r="R348" s="33">
        <f>IF(Q348=1,SUMIFS(Demand!$E$2:$E$4481,Demand!$A$2:$A$4481,B348,Demand!$B$2:$B$4481,O348,Demand!$C$2:$C$4481,P348),"")</f>
        <v>30</v>
      </c>
      <c r="S348" s="33">
        <f>INDEX(Stores!$G$2:$G$21,MATCH(B348,Stores!$A$2:$A$21,0))</f>
        <v>20</v>
      </c>
      <c r="T348" s="34">
        <f>IF(R348="","",R348/S348)</f>
        <v>1.5</v>
      </c>
      <c r="U348" s="34">
        <f>IF(E348=1,T348,"")</f>
        <v>1.5</v>
      </c>
      <c r="V348" s="34">
        <f>IF(AND(E348=1,L348=0),T348,"")</f>
        <v>1.5</v>
      </c>
      <c r="W348" s="33">
        <f>IF(U348="","",IF(U348&lt;=Breakdowns!$C$5,1,IF(U348&lt;=Breakdowns!$C$6,2,IF(U348&lt;=Breakdowns!$C$7,3,4))))</f>
        <v>4</v>
      </c>
      <c r="X348" s="33">
        <f>IF(V348="","",IF(V348&lt;=Breakdowns!$D$5,1,IF(V348&lt;=Breakdowns!$D$6,2,IF(V348&lt;=Breakdowns!$D$7,3,4))))</f>
        <v>4</v>
      </c>
      <c r="Y348" s="34">
        <f>INDEX(Stores!$F$2:$F$21,MATCH(B348,Stores!$A$2:$A$21,0))</f>
        <v>5.31</v>
      </c>
      <c r="Z348" s="33">
        <f>IF(Y348&gt;Store_Summary!$M$2,1,0)</f>
        <v>1</v>
      </c>
      <c r="AA348" s="33">
        <f>INDEX(Stores!$C$2:$C$21,MATCH(B348,Stores!$A$2:$A$21,0))</f>
        <v>214</v>
      </c>
      <c r="AB348" s="33">
        <f>IF(AA348&lt;180,1,0)</f>
        <v>0</v>
      </c>
      <c r="AC348" s="32" t="str">
        <f>IF(Orders!D345="","",INDEX(Riders!$C$2:$C$81,MATCH(Orders!D345,Riders!$A$2:$A$81,0)))</f>
        <v>EV scooter</v>
      </c>
      <c r="AD348" s="33">
        <f>IF(Orders!D345="","",INDEX(Riders!$D$2:$D$81,MATCH(Orders!D345,Riders!$A$2:$A$81,0)))</f>
        <v>36</v>
      </c>
      <c r="AE348" s="33">
        <f>IF(Orders!D345="","",IF(INDEX(Riders!$B$2:$B$81,MATCH(Orders!D345,Riders!$A$2:$A$81,0))=B348,1,0))</f>
        <v>0</v>
      </c>
      <c r="AF348" s="34">
        <f>IF(E348=1,Orders!L345,"")</f>
        <v>1.05</v>
      </c>
      <c r="AG348" s="34">
        <f>IF(E348=1,Orders!P345,"")</f>
        <v>12.4</v>
      </c>
      <c r="AH348" s="34">
        <f>IF(E348=1,Orders!Q345,"")</f>
        <v>12.3</v>
      </c>
      <c r="AI348" s="34">
        <f>IF(E348=1,Orders!M345,"")</f>
        <v>5.9</v>
      </c>
      <c r="AJ348" s="34">
        <f>IF(E348=1,Orders!N345,"")</f>
        <v>2.9</v>
      </c>
      <c r="AK348" s="34">
        <f>IF(E348=1,Orders!O345,"")</f>
        <v>3.5</v>
      </c>
      <c r="AL348" s="33">
        <f>IF(E348=1,IF(ROUND(ABS(AI348+AJ348+AK348-AH348),6)&lt;=0.1,1,0),"")</f>
        <v>1</v>
      </c>
      <c r="AM348" s="36">
        <f>IF(E348=1,AI348/AH348,"")</f>
        <v>0.479674796747968</v>
      </c>
      <c r="AN348" s="36">
        <f>IF(E348=1,AJ348/AH348,"")</f>
        <v>0.235772357723577</v>
      </c>
      <c r="AO348" s="36">
        <f>IF(E348=1,AK348/AH348,"")</f>
        <v>0.284552845528455</v>
      </c>
      <c r="AP348" s="34">
        <f>IF(E348=1,Orders!Y345,"")</f>
        <v>0.63</v>
      </c>
      <c r="AQ348" s="33">
        <f>IF(Orders!X345,1,0)</f>
        <v>0</v>
      </c>
      <c r="AR348" s="34" t="str">
        <f>IF(AND(E348=1,L348=1),AJ348,"")</f>
        <v/>
      </c>
      <c r="AS348" s="34">
        <f>IF(AND(E348=1,L348=0),AJ348,"")</f>
        <v>2.9</v>
      </c>
      <c r="AT348" s="34" t="str">
        <f>IF(AND(E348=1,L348=1),AI348,"")</f>
        <v/>
      </c>
      <c r="AU348" s="34">
        <f>IF(AND(E348=1,L348=0),AI348,"")</f>
        <v>5.9</v>
      </c>
      <c r="AV348" s="34" t="str">
        <f>IF(AND(E348=1,L348=1),AG348,"")</f>
        <v/>
      </c>
      <c r="AW348" s="34">
        <f>IF(AND(E348=1,L348=0),AG348,"")</f>
        <v>12.4</v>
      </c>
      <c r="AX348" s="34" t="str">
        <f>IF(AND(E348=1,L348=1),AH348,"")</f>
        <v/>
      </c>
      <c r="AY348" s="34">
        <f>IF(AND(E348=1,L348=0),AH348,"")</f>
        <v>12.3</v>
      </c>
      <c r="AZ348" s="34" t="str">
        <f>IF(G348=1,F348,"")</f>
        <v/>
      </c>
      <c r="BA348" s="34" t="str">
        <f>IF(AND(G348=1,L348=1),F348,"")</f>
        <v/>
      </c>
      <c r="BB348" s="34" t="str">
        <f>IF(AND(G348=1,L348=0),F348,"")</f>
        <v/>
      </c>
      <c r="BC348" s="33">
        <f>IF(E348=1,IF(Orders!R345&gt;3,1,0),"")</f>
        <v>0</v>
      </c>
      <c r="BD348" s="33">
        <f>IF(E348=1,IF(Orders!R345&gt;7,1,0),"")</f>
        <v>0</v>
      </c>
      <c r="BE348" s="32" t="str">
        <f>IF(E348=1,IF(Orders!L345&lt;=1.5,"Up to 1.5 km",IF(Orders!L345&lt;=3,"1.5–3 km","Over 3 km")),"")</f>
        <v>Up to 1.5 km</v>
      </c>
      <c r="BF348" s="33">
        <f>IF(E348=1,IF(ABS((Orders!G345-Orders!F345)*1440-Orders!R345)&lt;0.06,1,0),"")</f>
        <v>1</v>
      </c>
      <c r="BG348" s="33">
        <f>IF(ABS((Orders!F345-Orders!E345)*1440-Orders!P345)&lt;0.06,1,0)</f>
        <v>1</v>
      </c>
      <c r="BH348" s="33">
        <f>IF(E348=1,IF(IF(Orders!S345,1,0)=1-G348,1,0),"")</f>
        <v>1</v>
      </c>
      <c r="BI348" s="32" t="str">
        <f>INDEX(Stores!$B$2:$B$21,MATCH(B348,Stores!$A$2:$A$21,0))</f>
        <v>Mumbai</v>
      </c>
    </row>
    <row r="349">
      <c r="A349" s="32" t="str">
        <f>Orders!A346</f>
        <v>O00345</v>
      </c>
      <c r="B349" s="32" t="str">
        <f>Orders!C346</f>
        <v>S015</v>
      </c>
      <c r="C349" s="32" t="str">
        <f>Orders!B346</f>
        <v>C0245</v>
      </c>
      <c r="D349" s="32" t="str">
        <f>Orders!H346</f>
        <v>Delivered</v>
      </c>
      <c r="E349" s="33">
        <f>IF(Orders!H346="Delivered",1,0)</f>
        <v>1</v>
      </c>
      <c r="F349" s="34">
        <f>IF(E349=1,Orders!R346,"")</f>
        <v>-0.8</v>
      </c>
      <c r="G349" s="33">
        <f>IF(E349=1,IF(Orders!R346&gt;0,1,0),"")</f>
        <v>0</v>
      </c>
      <c r="H349" s="33">
        <f>IF(E349=1,IF(Orders!R346&gt;5,1,0),"")</f>
        <v>0</v>
      </c>
      <c r="I349" s="32" t="str">
        <f>IF(E349=1,"",IF(OR(Orders!T346="Rider unavailable",Orders!T346="Item unavailable"),"Company-caused","Unresolved"))</f>
        <v/>
      </c>
      <c r="J349" s="33">
        <f>IF(OR(E349=1,I349="Company-caused"),1,0)</f>
        <v>1</v>
      </c>
      <c r="K349" s="32" t="str">
        <f>IF(E349=0,IF(I349="Company-caused",IF(Orders!T346="Rider unavailable","C1 Rider unavailable","C2 Item unavailable"),"Outside root: unresolved"),IF(G349=0,"A On time",IF(H349=1,IF(L349=1,"B2a Severe, peak","B2b Severe, off-peak"),IF(L349=1,"B1a Slight, peak","B1b Slight, off-peak"))))</f>
        <v>A On time</v>
      </c>
      <c r="L349" s="33">
        <f>IF(AND(Orders!U346&gt;=19,Orders!U346&lt;22),1,0)</f>
        <v>0</v>
      </c>
      <c r="M349" s="33">
        <f>IF(L349=IF(Orders!V346,1,0),1,0)</f>
        <v>1</v>
      </c>
      <c r="N349" s="32" t="str">
        <f>IF(Orders!W346="","None",Orders!W346)</f>
        <v>None</v>
      </c>
      <c r="O349" s="35">
        <f>INT(Orders!E346)</f>
        <v>46272.0</v>
      </c>
      <c r="P349" s="33">
        <f>Orders!U346</f>
        <v>17</v>
      </c>
      <c r="Q349" s="33">
        <f>COUNTIFS(Demand!$A$2:$A$4481,B349,Demand!$B$2:$B$4481,O349,Demand!$C$2:$C$4481,P349)</f>
        <v>1</v>
      </c>
      <c r="R349" s="33">
        <f>IF(Q349=1,SUMIFS(Demand!$E$2:$E$4481,Demand!$A$2:$A$4481,B349,Demand!$B$2:$B$4481,O349,Demand!$C$2:$C$4481,P349),"")</f>
        <v>28</v>
      </c>
      <c r="S349" s="33">
        <f>INDEX(Stores!$G$2:$G$21,MATCH(B349,Stores!$A$2:$A$21,0))</f>
        <v>23</v>
      </c>
      <c r="T349" s="34">
        <f>IF(R349="","",R349/S349)</f>
        <v>1.21739130434783</v>
      </c>
      <c r="U349" s="34">
        <f>IF(E349=1,T349,"")</f>
        <v>1.21739130434783</v>
      </c>
      <c r="V349" s="34">
        <f>IF(AND(E349=1,L349=0),T349,"")</f>
        <v>1.21739130434783</v>
      </c>
      <c r="W349" s="33">
        <f>IF(U349="","",IF(U349&lt;=Breakdowns!$C$5,1,IF(U349&lt;=Breakdowns!$C$6,2,IF(U349&lt;=Breakdowns!$C$7,3,4))))</f>
        <v>3</v>
      </c>
      <c r="X349" s="33">
        <f>IF(V349="","",IF(V349&lt;=Breakdowns!$D$5,1,IF(V349&lt;=Breakdowns!$D$6,2,IF(V349&lt;=Breakdowns!$D$7,3,4))))</f>
        <v>4</v>
      </c>
      <c r="Y349" s="34">
        <f>INDEX(Stores!$F$2:$F$21,MATCH(B349,Stores!$A$2:$A$21,0))</f>
        <v>4.66</v>
      </c>
      <c r="Z349" s="33">
        <f>IF(Y349&gt;Store_Summary!$M$2,1,0)</f>
        <v>0</v>
      </c>
      <c r="AA349" s="33">
        <f>INDEX(Stores!$C$2:$C$21,MATCH(B349,Stores!$A$2:$A$21,0))</f>
        <v>204</v>
      </c>
      <c r="AB349" s="33">
        <f>IF(AA349&lt;180,1,0)</f>
        <v>0</v>
      </c>
      <c r="AC349" s="32" t="str">
        <f>IF(Orders!D346="","",INDEX(Riders!$C$2:$C$81,MATCH(Orders!D346,Riders!$A$2:$A$81,0)))</f>
        <v>EV scooter</v>
      </c>
      <c r="AD349" s="33">
        <f>IF(Orders!D346="","",INDEX(Riders!$D$2:$D$81,MATCH(Orders!D346,Riders!$A$2:$A$81,0)))</f>
        <v>46</v>
      </c>
      <c r="AE349" s="33">
        <f>IF(Orders!D346="","",IF(INDEX(Riders!$B$2:$B$81,MATCH(Orders!D346,Riders!$A$2:$A$81,0))=B349,1,0))</f>
        <v>0</v>
      </c>
      <c r="AF349" s="34">
        <f>IF(E349=1,Orders!L346,"")</f>
        <v>3.21</v>
      </c>
      <c r="AG349" s="34">
        <f>IF(E349=1,Orders!P346,"")</f>
        <v>11.7</v>
      </c>
      <c r="AH349" s="34">
        <f>IF(E349=1,Orders!Q346,"")</f>
        <v>10.9</v>
      </c>
      <c r="AI349" s="34">
        <f>IF(E349=1,Orders!M346,"")</f>
        <v>3.3</v>
      </c>
      <c r="AJ349" s="34">
        <f>IF(E349=1,Orders!N346,"")</f>
        <v>2.6</v>
      </c>
      <c r="AK349" s="34">
        <f>IF(E349=1,Orders!O346,"")</f>
        <v>5</v>
      </c>
      <c r="AL349" s="33">
        <f>IF(E349=1,IF(ROUND(ABS(AI349+AJ349+AK349-AH349),6)&lt;=0.1,1,0),"")</f>
        <v>1</v>
      </c>
      <c r="AM349" s="36">
        <f>IF(E349=1,AI349/AH349,"")</f>
        <v>0.302752293577982</v>
      </c>
      <c r="AN349" s="36">
        <f>IF(E349=1,AJ349/AH349,"")</f>
        <v>0.238532110091743</v>
      </c>
      <c r="AO349" s="36">
        <f>IF(E349=1,AK349/AH349,"")</f>
        <v>0.458715596330275</v>
      </c>
      <c r="AP349" s="34">
        <f>IF(E349=1,Orders!Y346,"")</f>
        <v>0.76</v>
      </c>
      <c r="AQ349" s="33">
        <f>IF(Orders!X346,1,0)</f>
        <v>0</v>
      </c>
      <c r="AR349" s="34" t="str">
        <f>IF(AND(E349=1,L349=1),AJ349,"")</f>
        <v/>
      </c>
      <c r="AS349" s="34">
        <f>IF(AND(E349=1,L349=0),AJ349,"")</f>
        <v>2.6</v>
      </c>
      <c r="AT349" s="34" t="str">
        <f>IF(AND(E349=1,L349=1),AI349,"")</f>
        <v/>
      </c>
      <c r="AU349" s="34">
        <f>IF(AND(E349=1,L349=0),AI349,"")</f>
        <v>3.3</v>
      </c>
      <c r="AV349" s="34" t="str">
        <f>IF(AND(E349=1,L349=1),AG349,"")</f>
        <v/>
      </c>
      <c r="AW349" s="34">
        <f>IF(AND(E349=1,L349=0),AG349,"")</f>
        <v>11.7</v>
      </c>
      <c r="AX349" s="34" t="str">
        <f>IF(AND(E349=1,L349=1),AH349,"")</f>
        <v/>
      </c>
      <c r="AY349" s="34">
        <f>IF(AND(E349=1,L349=0),AH349,"")</f>
        <v>10.9</v>
      </c>
      <c r="AZ349" s="34" t="str">
        <f>IF(G349=1,F349,"")</f>
        <v/>
      </c>
      <c r="BA349" s="34" t="str">
        <f>IF(AND(G349=1,L349=1),F349,"")</f>
        <v/>
      </c>
      <c r="BB349" s="34" t="str">
        <f>IF(AND(G349=1,L349=0),F349,"")</f>
        <v/>
      </c>
      <c r="BC349" s="33">
        <f>IF(E349=1,IF(Orders!R346&gt;3,1,0),"")</f>
        <v>0</v>
      </c>
      <c r="BD349" s="33">
        <f>IF(E349=1,IF(Orders!R346&gt;7,1,0),"")</f>
        <v>0</v>
      </c>
      <c r="BE349" s="32" t="str">
        <f>IF(E349=1,IF(Orders!L346&lt;=1.5,"Up to 1.5 km",IF(Orders!L346&lt;=3,"1.5–3 km","Over 3 km")),"")</f>
        <v>Over 3 km</v>
      </c>
      <c r="BF349" s="33">
        <f>IF(E349=1,IF(ABS((Orders!G346-Orders!F346)*1440-Orders!R346)&lt;0.06,1,0),"")</f>
        <v>1</v>
      </c>
      <c r="BG349" s="33">
        <f>IF(ABS((Orders!F346-Orders!E346)*1440-Orders!P346)&lt;0.06,1,0)</f>
        <v>1</v>
      </c>
      <c r="BH349" s="33">
        <f>IF(E349=1,IF(IF(Orders!S346,1,0)=1-G349,1,0),"")</f>
        <v>1</v>
      </c>
      <c r="BI349" s="32" t="str">
        <f>INDEX(Stores!$B$2:$B$21,MATCH(B349,Stores!$A$2:$A$21,0))</f>
        <v>Delhi</v>
      </c>
    </row>
    <row r="350">
      <c r="A350" s="32" t="str">
        <f>Orders!A347</f>
        <v>O00346</v>
      </c>
      <c r="B350" s="32" t="str">
        <f>Orders!C347</f>
        <v>S010</v>
      </c>
      <c r="C350" s="32" t="str">
        <f>Orders!B347</f>
        <v>C0088</v>
      </c>
      <c r="D350" s="32" t="str">
        <f>Orders!H347</f>
        <v>Delivered</v>
      </c>
      <c r="E350" s="33">
        <f>IF(Orders!H347="Delivered",1,0)</f>
        <v>1</v>
      </c>
      <c r="F350" s="34">
        <f>IF(E350=1,Orders!R347,"")</f>
        <v>-0.3</v>
      </c>
      <c r="G350" s="33">
        <f>IF(E350=1,IF(Orders!R347&gt;0,1,0),"")</f>
        <v>0</v>
      </c>
      <c r="H350" s="33">
        <f>IF(E350=1,IF(Orders!R347&gt;5,1,0),"")</f>
        <v>0</v>
      </c>
      <c r="I350" s="32" t="str">
        <f>IF(E350=1,"",IF(OR(Orders!T347="Rider unavailable",Orders!T347="Item unavailable"),"Company-caused","Unresolved"))</f>
        <v/>
      </c>
      <c r="J350" s="33">
        <f>IF(OR(E350=1,I350="Company-caused"),1,0)</f>
        <v>1</v>
      </c>
      <c r="K350" s="32" t="str">
        <f>IF(E350=0,IF(I350="Company-caused",IF(Orders!T347="Rider unavailable","C1 Rider unavailable","C2 Item unavailable"),"Outside root: unresolved"),IF(G350=0,"A On time",IF(H350=1,IF(L350=1,"B2a Severe, peak","B2b Severe, off-peak"),IF(L350=1,"B1a Slight, peak","B1b Slight, off-peak"))))</f>
        <v>A On time</v>
      </c>
      <c r="L350" s="33">
        <f>IF(AND(Orders!U347&gt;=19,Orders!U347&lt;22),1,0)</f>
        <v>0</v>
      </c>
      <c r="M350" s="33">
        <f>IF(L350=IF(Orders!V347,1,0),1,0)</f>
        <v>1</v>
      </c>
      <c r="N350" s="32" t="str">
        <f>IF(Orders!W347="","None",Orders!W347)</f>
        <v>None</v>
      </c>
      <c r="O350" s="35">
        <f>INT(Orders!E347)</f>
        <v>46278.0</v>
      </c>
      <c r="P350" s="33">
        <f>Orders!U347</f>
        <v>17</v>
      </c>
      <c r="Q350" s="33">
        <f>COUNTIFS(Demand!$A$2:$A$4481,B350,Demand!$B$2:$B$4481,O350,Demand!$C$2:$C$4481,P350)</f>
        <v>1</v>
      </c>
      <c r="R350" s="33">
        <f>IF(Q350=1,SUMIFS(Demand!$E$2:$E$4481,Demand!$A$2:$A$4481,B350,Demand!$B$2:$B$4481,O350,Demand!$C$2:$C$4481,P350),"")</f>
        <v>24</v>
      </c>
      <c r="S350" s="33">
        <f>INDEX(Stores!$G$2:$G$21,MATCH(B350,Stores!$A$2:$A$21,0))</f>
        <v>22</v>
      </c>
      <c r="T350" s="34">
        <f>IF(R350="","",R350/S350)</f>
        <v>1.09090909090909</v>
      </c>
      <c r="U350" s="34">
        <f>IF(E350=1,T350,"")</f>
        <v>1.09090909090909</v>
      </c>
      <c r="V350" s="34">
        <f>IF(AND(E350=1,L350=0),T350,"")</f>
        <v>1.09090909090909</v>
      </c>
      <c r="W350" s="33">
        <f>IF(U350="","",IF(U350&lt;=Breakdowns!$C$5,1,IF(U350&lt;=Breakdowns!$C$6,2,IF(U350&lt;=Breakdowns!$C$7,3,4))))</f>
        <v>3</v>
      </c>
      <c r="X350" s="33">
        <f>IF(V350="","",IF(V350&lt;=Breakdowns!$D$5,1,IF(V350&lt;=Breakdowns!$D$6,2,IF(V350&lt;=Breakdowns!$D$7,3,4))))</f>
        <v>4</v>
      </c>
      <c r="Y350" s="34">
        <f>INDEX(Stores!$F$2:$F$21,MATCH(B350,Stores!$A$2:$A$21,0))</f>
        <v>5.61</v>
      </c>
      <c r="Z350" s="33">
        <f>IF(Y350&gt;Store_Summary!$M$2,1,0)</f>
        <v>1</v>
      </c>
      <c r="AA350" s="33">
        <f>INDEX(Stores!$C$2:$C$21,MATCH(B350,Stores!$A$2:$A$21,0))</f>
        <v>744</v>
      </c>
      <c r="AB350" s="33">
        <f>IF(AA350&lt;180,1,0)</f>
        <v>0</v>
      </c>
      <c r="AC350" s="32" t="str">
        <f>IF(Orders!D347="","",INDEX(Riders!$C$2:$C$81,MATCH(Orders!D347,Riders!$A$2:$A$81,0)))</f>
        <v>Petrol scooter</v>
      </c>
      <c r="AD350" s="33">
        <f>IF(Orders!D347="","",INDEX(Riders!$D$2:$D$81,MATCH(Orders!D347,Riders!$A$2:$A$81,0)))</f>
        <v>10</v>
      </c>
      <c r="AE350" s="33">
        <f>IF(Orders!D347="","",IF(INDEX(Riders!$B$2:$B$81,MATCH(Orders!D347,Riders!$A$2:$A$81,0))=B350,1,0))</f>
        <v>0</v>
      </c>
      <c r="AF350" s="34">
        <f>IF(E350=1,Orders!L347,"")</f>
        <v>4</v>
      </c>
      <c r="AG350" s="34">
        <f>IF(E350=1,Orders!P347,"")</f>
        <v>11.7</v>
      </c>
      <c r="AH350" s="34">
        <f>IF(E350=1,Orders!Q347,"")</f>
        <v>11.4</v>
      </c>
      <c r="AI350" s="34">
        <f>IF(E350=1,Orders!M347,"")</f>
        <v>4.6</v>
      </c>
      <c r="AJ350" s="34">
        <f>IF(E350=1,Orders!N347,"")</f>
        <v>0.7</v>
      </c>
      <c r="AK350" s="34">
        <f>IF(E350=1,Orders!O347,"")</f>
        <v>6.1</v>
      </c>
      <c r="AL350" s="33">
        <f>IF(E350=1,IF(ROUND(ABS(AI350+AJ350+AK350-AH350),6)&lt;=0.1,1,0),"")</f>
        <v>1</v>
      </c>
      <c r="AM350" s="36">
        <f>IF(E350=1,AI350/AH350,"")</f>
        <v>0.403508771929825</v>
      </c>
      <c r="AN350" s="36">
        <f>IF(E350=1,AJ350/AH350,"")</f>
        <v>0.0614035087719298</v>
      </c>
      <c r="AO350" s="36">
        <f>IF(E350=1,AK350/AH350,"")</f>
        <v>0.535087719298246</v>
      </c>
      <c r="AP350" s="34">
        <f>IF(E350=1,Orders!Y347,"")</f>
        <v>0.5</v>
      </c>
      <c r="AQ350" s="33">
        <f>IF(Orders!X347,1,0)</f>
        <v>0</v>
      </c>
      <c r="AR350" s="34" t="str">
        <f>IF(AND(E350=1,L350=1),AJ350,"")</f>
        <v/>
      </c>
      <c r="AS350" s="34">
        <f>IF(AND(E350=1,L350=0),AJ350,"")</f>
        <v>0.7</v>
      </c>
      <c r="AT350" s="34" t="str">
        <f>IF(AND(E350=1,L350=1),AI350,"")</f>
        <v/>
      </c>
      <c r="AU350" s="34">
        <f>IF(AND(E350=1,L350=0),AI350,"")</f>
        <v>4.6</v>
      </c>
      <c r="AV350" s="34" t="str">
        <f>IF(AND(E350=1,L350=1),AG350,"")</f>
        <v/>
      </c>
      <c r="AW350" s="34">
        <f>IF(AND(E350=1,L350=0),AG350,"")</f>
        <v>11.7</v>
      </c>
      <c r="AX350" s="34" t="str">
        <f>IF(AND(E350=1,L350=1),AH350,"")</f>
        <v/>
      </c>
      <c r="AY350" s="34">
        <f>IF(AND(E350=1,L350=0),AH350,"")</f>
        <v>11.4</v>
      </c>
      <c r="AZ350" s="34" t="str">
        <f>IF(G350=1,F350,"")</f>
        <v/>
      </c>
      <c r="BA350" s="34" t="str">
        <f>IF(AND(G350=1,L350=1),F350,"")</f>
        <v/>
      </c>
      <c r="BB350" s="34" t="str">
        <f>IF(AND(G350=1,L350=0),F350,"")</f>
        <v/>
      </c>
      <c r="BC350" s="33">
        <f>IF(E350=1,IF(Orders!R347&gt;3,1,0),"")</f>
        <v>0</v>
      </c>
      <c r="BD350" s="33">
        <f>IF(E350=1,IF(Orders!R347&gt;7,1,0),"")</f>
        <v>0</v>
      </c>
      <c r="BE350" s="32" t="str">
        <f>IF(E350=1,IF(Orders!L347&lt;=1.5,"Up to 1.5 km",IF(Orders!L347&lt;=3,"1.5–3 km","Over 3 km")),"")</f>
        <v>Over 3 km</v>
      </c>
      <c r="BF350" s="33">
        <f>IF(E350=1,IF(ABS((Orders!G347-Orders!F347)*1440-Orders!R347)&lt;0.06,1,0),"")</f>
        <v>1</v>
      </c>
      <c r="BG350" s="33">
        <f>IF(ABS((Orders!F347-Orders!E347)*1440-Orders!P347)&lt;0.06,1,0)</f>
        <v>1</v>
      </c>
      <c r="BH350" s="33">
        <f>IF(E350=1,IF(IF(Orders!S347,1,0)=1-G350,1,0),"")</f>
        <v>1</v>
      </c>
      <c r="BI350" s="32" t="str">
        <f>INDEX(Stores!$B$2:$B$21,MATCH(B350,Stores!$A$2:$A$21,0))</f>
        <v>Delhi</v>
      </c>
    </row>
    <row r="351">
      <c r="A351" s="32" t="str">
        <f>Orders!A348</f>
        <v>O00347</v>
      </c>
      <c r="B351" s="32" t="str">
        <f>Orders!C348</f>
        <v>S020</v>
      </c>
      <c r="C351" s="32" t="str">
        <f>Orders!B348</f>
        <v>C0154</v>
      </c>
      <c r="D351" s="32" t="str">
        <f>Orders!H348</f>
        <v>Delivered</v>
      </c>
      <c r="E351" s="33">
        <f>IF(Orders!H348="Delivered",1,0)</f>
        <v>1</v>
      </c>
      <c r="F351" s="34">
        <f>IF(E351=1,Orders!R348,"")</f>
        <v>-1</v>
      </c>
      <c r="G351" s="33">
        <f>IF(E351=1,IF(Orders!R348&gt;0,1,0),"")</f>
        <v>0</v>
      </c>
      <c r="H351" s="33">
        <f>IF(E351=1,IF(Orders!R348&gt;5,1,0),"")</f>
        <v>0</v>
      </c>
      <c r="I351" s="32" t="str">
        <f>IF(E351=1,"",IF(OR(Orders!T348="Rider unavailable",Orders!T348="Item unavailable"),"Company-caused","Unresolved"))</f>
        <v/>
      </c>
      <c r="J351" s="33">
        <f>IF(OR(E351=1,I351="Company-caused"),1,0)</f>
        <v>1</v>
      </c>
      <c r="K351" s="32" t="str">
        <f>IF(E351=0,IF(I351="Company-caused",IF(Orders!T348="Rider unavailable","C1 Rider unavailable","C2 Item unavailable"),"Outside root: unresolved"),IF(G351=0,"A On time",IF(H351=1,IF(L351=1,"B2a Severe, peak","B2b Severe, off-peak"),IF(L351=1,"B1a Slight, peak","B1b Slight, off-peak"))))</f>
        <v>A On time</v>
      </c>
      <c r="L351" s="33">
        <f>IF(AND(Orders!U348&gt;=19,Orders!U348&lt;22),1,0)</f>
        <v>0</v>
      </c>
      <c r="M351" s="33">
        <f>IF(L351=IF(Orders!V348,1,0),1,0)</f>
        <v>1</v>
      </c>
      <c r="N351" s="32" t="str">
        <f>IF(Orders!W348="","None",Orders!W348)</f>
        <v>Light</v>
      </c>
      <c r="O351" s="35">
        <f>INT(Orders!E348)</f>
        <v>46276.0</v>
      </c>
      <c r="P351" s="33">
        <f>Orders!U348</f>
        <v>12</v>
      </c>
      <c r="Q351" s="33">
        <f>COUNTIFS(Demand!$A$2:$A$4481,B351,Demand!$B$2:$B$4481,O351,Demand!$C$2:$C$4481,P351)</f>
        <v>1</v>
      </c>
      <c r="R351" s="33">
        <f>IF(Q351=1,SUMIFS(Demand!$E$2:$E$4481,Demand!$A$2:$A$4481,B351,Demand!$B$2:$B$4481,O351,Demand!$C$2:$C$4481,P351),"")</f>
        <v>21</v>
      </c>
      <c r="S351" s="33">
        <f>INDEX(Stores!$G$2:$G$21,MATCH(B351,Stores!$A$2:$A$21,0))</f>
        <v>15</v>
      </c>
      <c r="T351" s="34">
        <f>IF(R351="","",R351/S351)</f>
        <v>1.4</v>
      </c>
      <c r="U351" s="34">
        <f>IF(E351=1,T351,"")</f>
        <v>1.4</v>
      </c>
      <c r="V351" s="34">
        <f>IF(AND(E351=1,L351=0),T351,"")</f>
        <v>1.4</v>
      </c>
      <c r="W351" s="33">
        <f>IF(U351="","",IF(U351&lt;=Breakdowns!$C$5,1,IF(U351&lt;=Breakdowns!$C$6,2,IF(U351&lt;=Breakdowns!$C$7,3,4))))</f>
        <v>4</v>
      </c>
      <c r="X351" s="33">
        <f>IF(V351="","",IF(V351&lt;=Breakdowns!$D$5,1,IF(V351&lt;=Breakdowns!$D$6,2,IF(V351&lt;=Breakdowns!$D$7,3,4))))</f>
        <v>4</v>
      </c>
      <c r="Y351" s="34">
        <f>INDEX(Stores!$F$2:$F$21,MATCH(B351,Stores!$A$2:$A$21,0))</f>
        <v>5.74</v>
      </c>
      <c r="Z351" s="33">
        <f>IF(Y351&gt;Store_Summary!$M$2,1,0)</f>
        <v>1</v>
      </c>
      <c r="AA351" s="33">
        <f>INDEX(Stores!$C$2:$C$21,MATCH(B351,Stores!$A$2:$A$21,0))</f>
        <v>647</v>
      </c>
      <c r="AB351" s="33">
        <f>IF(AA351&lt;180,1,0)</f>
        <v>0</v>
      </c>
      <c r="AC351" s="32" t="str">
        <f>IF(Orders!D348="","",INDEX(Riders!$C$2:$C$81,MATCH(Orders!D348,Riders!$A$2:$A$81,0)))</f>
        <v>EV scooter</v>
      </c>
      <c r="AD351" s="33">
        <f>IF(Orders!D348="","",INDEX(Riders!$D$2:$D$81,MATCH(Orders!D348,Riders!$A$2:$A$81,0)))</f>
        <v>46</v>
      </c>
      <c r="AE351" s="33">
        <f>IF(Orders!D348="","",IF(INDEX(Riders!$B$2:$B$81,MATCH(Orders!D348,Riders!$A$2:$A$81,0))=B351,1,0))</f>
        <v>0</v>
      </c>
      <c r="AF351" s="34">
        <f>IF(E351=1,Orders!L348,"")</f>
        <v>1.06</v>
      </c>
      <c r="AG351" s="34">
        <f>IF(E351=1,Orders!P348,"")</f>
        <v>11.7</v>
      </c>
      <c r="AH351" s="34">
        <f>IF(E351=1,Orders!Q348,"")</f>
        <v>10.7</v>
      </c>
      <c r="AI351" s="34">
        <f>IF(E351=1,Orders!M348,"")</f>
        <v>5.7</v>
      </c>
      <c r="AJ351" s="34">
        <f>IF(E351=1,Orders!N348,"")</f>
        <v>1.6</v>
      </c>
      <c r="AK351" s="34">
        <f>IF(E351=1,Orders!O348,"")</f>
        <v>3.4</v>
      </c>
      <c r="AL351" s="33">
        <f>IF(E351=1,IF(ROUND(ABS(AI351+AJ351+AK351-AH351),6)&lt;=0.1,1,0),"")</f>
        <v>1</v>
      </c>
      <c r="AM351" s="36">
        <f>IF(E351=1,AI351/AH351,"")</f>
        <v>0.532710280373832</v>
      </c>
      <c r="AN351" s="36">
        <f>IF(E351=1,AJ351/AH351,"")</f>
        <v>0.149532710280374</v>
      </c>
      <c r="AO351" s="36">
        <f>IF(E351=1,AK351/AH351,"")</f>
        <v>0.317757009345794</v>
      </c>
      <c r="AP351" s="34">
        <f>IF(E351=1,Orders!Y348,"")</f>
        <v>0.43</v>
      </c>
      <c r="AQ351" s="33">
        <f>IF(Orders!X348,1,0)</f>
        <v>0</v>
      </c>
      <c r="AR351" s="34" t="str">
        <f>IF(AND(E351=1,L351=1),AJ351,"")</f>
        <v/>
      </c>
      <c r="AS351" s="34">
        <f>IF(AND(E351=1,L351=0),AJ351,"")</f>
        <v>1.6</v>
      </c>
      <c r="AT351" s="34" t="str">
        <f>IF(AND(E351=1,L351=1),AI351,"")</f>
        <v/>
      </c>
      <c r="AU351" s="34">
        <f>IF(AND(E351=1,L351=0),AI351,"")</f>
        <v>5.7</v>
      </c>
      <c r="AV351" s="34" t="str">
        <f>IF(AND(E351=1,L351=1),AG351,"")</f>
        <v/>
      </c>
      <c r="AW351" s="34">
        <f>IF(AND(E351=1,L351=0),AG351,"")</f>
        <v>11.7</v>
      </c>
      <c r="AX351" s="34" t="str">
        <f>IF(AND(E351=1,L351=1),AH351,"")</f>
        <v/>
      </c>
      <c r="AY351" s="34">
        <f>IF(AND(E351=1,L351=0),AH351,"")</f>
        <v>10.7</v>
      </c>
      <c r="AZ351" s="34" t="str">
        <f>IF(G351=1,F351,"")</f>
        <v/>
      </c>
      <c r="BA351" s="34" t="str">
        <f>IF(AND(G351=1,L351=1),F351,"")</f>
        <v/>
      </c>
      <c r="BB351" s="34" t="str">
        <f>IF(AND(G351=1,L351=0),F351,"")</f>
        <v/>
      </c>
      <c r="BC351" s="33">
        <f>IF(E351=1,IF(Orders!R348&gt;3,1,0),"")</f>
        <v>0</v>
      </c>
      <c r="BD351" s="33">
        <f>IF(E351=1,IF(Orders!R348&gt;7,1,0),"")</f>
        <v>0</v>
      </c>
      <c r="BE351" s="32" t="str">
        <f>IF(E351=1,IF(Orders!L348&lt;=1.5,"Up to 1.5 km",IF(Orders!L348&lt;=3,"1.5–3 km","Over 3 km")),"")</f>
        <v>Up to 1.5 km</v>
      </c>
      <c r="BF351" s="33">
        <f>IF(E351=1,IF(ABS((Orders!G348-Orders!F348)*1440-Orders!R348)&lt;0.06,1,0),"")</f>
        <v>1</v>
      </c>
      <c r="BG351" s="33">
        <f>IF(ABS((Orders!F348-Orders!E348)*1440-Orders!P348)&lt;0.06,1,0)</f>
        <v>1</v>
      </c>
      <c r="BH351" s="33">
        <f>IF(E351=1,IF(IF(Orders!S348,1,0)=1-G351,1,0),"")</f>
        <v>1</v>
      </c>
      <c r="BI351" s="32" t="str">
        <f>INDEX(Stores!$B$2:$B$21,MATCH(B351,Stores!$A$2:$A$21,0))</f>
        <v>Delhi</v>
      </c>
    </row>
    <row r="352">
      <c r="A352" s="32" t="str">
        <f>Orders!A349</f>
        <v>O00348</v>
      </c>
      <c r="B352" s="32" t="str">
        <f>Orders!C349</f>
        <v>S007</v>
      </c>
      <c r="C352" s="32" t="str">
        <f>Orders!B349</f>
        <v>C0223</v>
      </c>
      <c r="D352" s="32" t="str">
        <f>Orders!H349</f>
        <v>Delivered</v>
      </c>
      <c r="E352" s="33">
        <f>IF(Orders!H349="Delivered",1,0)</f>
        <v>1</v>
      </c>
      <c r="F352" s="34">
        <f>IF(E352=1,Orders!R349,"")</f>
        <v>-1</v>
      </c>
      <c r="G352" s="33">
        <f>IF(E352=1,IF(Orders!R349&gt;0,1,0),"")</f>
        <v>0</v>
      </c>
      <c r="H352" s="33">
        <f>IF(E352=1,IF(Orders!R349&gt;5,1,0),"")</f>
        <v>0</v>
      </c>
      <c r="I352" s="32" t="str">
        <f>IF(E352=1,"",IF(OR(Orders!T349="Rider unavailable",Orders!T349="Item unavailable"),"Company-caused","Unresolved"))</f>
        <v/>
      </c>
      <c r="J352" s="33">
        <f>IF(OR(E352=1,I352="Company-caused"),1,0)</f>
        <v>1</v>
      </c>
      <c r="K352" s="32" t="str">
        <f>IF(E352=0,IF(I352="Company-caused",IF(Orders!T349="Rider unavailable","C1 Rider unavailable","C2 Item unavailable"),"Outside root: unresolved"),IF(G352=0,"A On time",IF(H352=1,IF(L352=1,"B2a Severe, peak","B2b Severe, off-peak"),IF(L352=1,"B1a Slight, peak","B1b Slight, off-peak"))))</f>
        <v>A On time</v>
      </c>
      <c r="L352" s="33">
        <f>IF(AND(Orders!U349&gt;=19,Orders!U349&lt;22),1,0)</f>
        <v>0</v>
      </c>
      <c r="M352" s="33">
        <f>IF(L352=IF(Orders!V349,1,0),1,0)</f>
        <v>1</v>
      </c>
      <c r="N352" s="32" t="str">
        <f>IF(Orders!W349="","None",Orders!W349)</f>
        <v>Light</v>
      </c>
      <c r="O352" s="35">
        <f>INT(Orders!E349)</f>
        <v>46271.0</v>
      </c>
      <c r="P352" s="33">
        <f>Orders!U349</f>
        <v>13</v>
      </c>
      <c r="Q352" s="33">
        <f>COUNTIFS(Demand!$A$2:$A$4481,B352,Demand!$B$2:$B$4481,O352,Demand!$C$2:$C$4481,P352)</f>
        <v>1</v>
      </c>
      <c r="R352" s="33">
        <f>IF(Q352=1,SUMIFS(Demand!$E$2:$E$4481,Demand!$A$2:$A$4481,B352,Demand!$B$2:$B$4481,O352,Demand!$C$2:$C$4481,P352),"")</f>
        <v>40</v>
      </c>
      <c r="S352" s="33">
        <f>INDEX(Stores!$G$2:$G$21,MATCH(B352,Stores!$A$2:$A$21,0))</f>
        <v>37</v>
      </c>
      <c r="T352" s="34">
        <f>IF(R352="","",R352/S352)</f>
        <v>1.08108108108108</v>
      </c>
      <c r="U352" s="34">
        <f>IF(E352=1,T352,"")</f>
        <v>1.08108108108108</v>
      </c>
      <c r="V352" s="34">
        <f>IF(AND(E352=1,L352=0),T352,"")</f>
        <v>1.08108108108108</v>
      </c>
      <c r="W352" s="33">
        <f>IF(U352="","",IF(U352&lt;=Breakdowns!$C$5,1,IF(U352&lt;=Breakdowns!$C$6,2,IF(U352&lt;=Breakdowns!$C$7,3,4))))</f>
        <v>3</v>
      </c>
      <c r="X352" s="33">
        <f>IF(V352="","",IF(V352&lt;=Breakdowns!$D$5,1,IF(V352&lt;=Breakdowns!$D$6,2,IF(V352&lt;=Breakdowns!$D$7,3,4))))</f>
        <v>4</v>
      </c>
      <c r="Y352" s="34">
        <f>INDEX(Stores!$F$2:$F$21,MATCH(B352,Stores!$A$2:$A$21,0))</f>
        <v>4.05</v>
      </c>
      <c r="Z352" s="33">
        <f>IF(Y352&gt;Store_Summary!$M$2,1,0)</f>
        <v>0</v>
      </c>
      <c r="AA352" s="33">
        <f>INDEX(Stores!$C$2:$C$21,MATCH(B352,Stores!$A$2:$A$21,0))</f>
        <v>661</v>
      </c>
      <c r="AB352" s="33">
        <f>IF(AA352&lt;180,1,0)</f>
        <v>0</v>
      </c>
      <c r="AC352" s="32" t="str">
        <f>IF(Orders!D349="","",INDEX(Riders!$C$2:$C$81,MATCH(Orders!D349,Riders!$A$2:$A$81,0)))</f>
        <v>Bicycle</v>
      </c>
      <c r="AD352" s="33">
        <f>IF(Orders!D349="","",INDEX(Riders!$D$2:$D$81,MATCH(Orders!D349,Riders!$A$2:$A$81,0)))</f>
        <v>44</v>
      </c>
      <c r="AE352" s="33">
        <f>IF(Orders!D349="","",IF(INDEX(Riders!$B$2:$B$81,MATCH(Orders!D349,Riders!$A$2:$A$81,0))=B352,1,0))</f>
        <v>0</v>
      </c>
      <c r="AF352" s="34">
        <f>IF(E352=1,Orders!L349,"")</f>
        <v>4.4</v>
      </c>
      <c r="AG352" s="34">
        <f>IF(E352=1,Orders!P349,"")</f>
        <v>11.3</v>
      </c>
      <c r="AH352" s="34">
        <f>IF(E352=1,Orders!Q349,"")</f>
        <v>10.3</v>
      </c>
      <c r="AI352" s="34">
        <f>IF(E352=1,Orders!M349,"")</f>
        <v>2.4</v>
      </c>
      <c r="AJ352" s="34">
        <f>IF(E352=1,Orders!N349,"")</f>
        <v>2</v>
      </c>
      <c r="AK352" s="34">
        <f>IF(E352=1,Orders!O349,"")</f>
        <v>5.9</v>
      </c>
      <c r="AL352" s="33">
        <f>IF(E352=1,IF(ROUND(ABS(AI352+AJ352+AK352-AH352),6)&lt;=0.1,1,0),"")</f>
        <v>1</v>
      </c>
      <c r="AM352" s="36">
        <f>IF(E352=1,AI352/AH352,"")</f>
        <v>0.233009708737864</v>
      </c>
      <c r="AN352" s="36">
        <f>IF(E352=1,AJ352/AH352,"")</f>
        <v>0.194174757281553</v>
      </c>
      <c r="AO352" s="36">
        <f>IF(E352=1,AK352/AH352,"")</f>
        <v>0.572815533980583</v>
      </c>
      <c r="AP352" s="34">
        <f>IF(E352=1,Orders!Y349,"")</f>
        <v>0.83</v>
      </c>
      <c r="AQ352" s="33">
        <f>IF(Orders!X349,1,0)</f>
        <v>0</v>
      </c>
      <c r="AR352" s="34" t="str">
        <f>IF(AND(E352=1,L352=1),AJ352,"")</f>
        <v/>
      </c>
      <c r="AS352" s="34">
        <f>IF(AND(E352=1,L352=0),AJ352,"")</f>
        <v>2</v>
      </c>
      <c r="AT352" s="34" t="str">
        <f>IF(AND(E352=1,L352=1),AI352,"")</f>
        <v/>
      </c>
      <c r="AU352" s="34">
        <f>IF(AND(E352=1,L352=0),AI352,"")</f>
        <v>2.4</v>
      </c>
      <c r="AV352" s="34" t="str">
        <f>IF(AND(E352=1,L352=1),AG352,"")</f>
        <v/>
      </c>
      <c r="AW352" s="34">
        <f>IF(AND(E352=1,L352=0),AG352,"")</f>
        <v>11.3</v>
      </c>
      <c r="AX352" s="34" t="str">
        <f>IF(AND(E352=1,L352=1),AH352,"")</f>
        <v/>
      </c>
      <c r="AY352" s="34">
        <f>IF(AND(E352=1,L352=0),AH352,"")</f>
        <v>10.3</v>
      </c>
      <c r="AZ352" s="34" t="str">
        <f>IF(G352=1,F352,"")</f>
        <v/>
      </c>
      <c r="BA352" s="34" t="str">
        <f>IF(AND(G352=1,L352=1),F352,"")</f>
        <v/>
      </c>
      <c r="BB352" s="34" t="str">
        <f>IF(AND(G352=1,L352=0),F352,"")</f>
        <v/>
      </c>
      <c r="BC352" s="33">
        <f>IF(E352=1,IF(Orders!R349&gt;3,1,0),"")</f>
        <v>0</v>
      </c>
      <c r="BD352" s="33">
        <f>IF(E352=1,IF(Orders!R349&gt;7,1,0),"")</f>
        <v>0</v>
      </c>
      <c r="BE352" s="32" t="str">
        <f>IF(E352=1,IF(Orders!L349&lt;=1.5,"Up to 1.5 km",IF(Orders!L349&lt;=3,"1.5–3 km","Over 3 km")),"")</f>
        <v>Over 3 km</v>
      </c>
      <c r="BF352" s="33">
        <f>IF(E352=1,IF(ABS((Orders!G349-Orders!F349)*1440-Orders!R349)&lt;0.06,1,0),"")</f>
        <v>1</v>
      </c>
      <c r="BG352" s="33">
        <f>IF(ABS((Orders!F349-Orders!E349)*1440-Orders!P349)&lt;0.06,1,0)</f>
        <v>1</v>
      </c>
      <c r="BH352" s="33">
        <f>IF(E352=1,IF(IF(Orders!S349,1,0)=1-G352,1,0),"")</f>
        <v>1</v>
      </c>
      <c r="BI352" s="32" t="str">
        <f>INDEX(Stores!$B$2:$B$21,MATCH(B352,Stores!$A$2:$A$21,0))</f>
        <v>Hyderabad</v>
      </c>
    </row>
    <row r="353">
      <c r="A353" s="32" t="str">
        <f>Orders!A350</f>
        <v>O00349</v>
      </c>
      <c r="B353" s="32" t="str">
        <f>Orders!C350</f>
        <v>S014</v>
      </c>
      <c r="C353" s="32" t="str">
        <f>Orders!B350</f>
        <v>C0135</v>
      </c>
      <c r="D353" s="32" t="str">
        <f>Orders!H350</f>
        <v>Delivered</v>
      </c>
      <c r="E353" s="33">
        <f>IF(Orders!H350="Delivered",1,0)</f>
        <v>1</v>
      </c>
      <c r="F353" s="34">
        <f>IF(E353=1,Orders!R350,"")</f>
        <v>-0.4</v>
      </c>
      <c r="G353" s="33">
        <f>IF(E353=1,IF(Orders!R350&gt;0,1,0),"")</f>
        <v>0</v>
      </c>
      <c r="H353" s="33">
        <f>IF(E353=1,IF(Orders!R350&gt;5,1,0),"")</f>
        <v>0</v>
      </c>
      <c r="I353" s="32" t="str">
        <f>IF(E353=1,"",IF(OR(Orders!T350="Rider unavailable",Orders!T350="Item unavailable"),"Company-caused","Unresolved"))</f>
        <v/>
      </c>
      <c r="J353" s="33">
        <f>IF(OR(E353=1,I353="Company-caused"),1,0)</f>
        <v>1</v>
      </c>
      <c r="K353" s="32" t="str">
        <f>IF(E353=0,IF(I353="Company-caused",IF(Orders!T350="Rider unavailable","C1 Rider unavailable","C2 Item unavailable"),"Outside root: unresolved"),IF(G353=0,"A On time",IF(H353=1,IF(L353=1,"B2a Severe, peak","B2b Severe, off-peak"),IF(L353=1,"B1a Slight, peak","B1b Slight, off-peak"))))</f>
        <v>A On time</v>
      </c>
      <c r="L353" s="33">
        <f>IF(AND(Orders!U350&gt;=19,Orders!U350&lt;22),1,0)</f>
        <v>0</v>
      </c>
      <c r="M353" s="33">
        <f>IF(L353=IF(Orders!V350,1,0),1,0)</f>
        <v>1</v>
      </c>
      <c r="N353" s="32" t="str">
        <f>IF(Orders!W350="","None",Orders!W350)</f>
        <v>None</v>
      </c>
      <c r="O353" s="35">
        <f>INT(Orders!E350)</f>
        <v>46274.0</v>
      </c>
      <c r="P353" s="33">
        <f>Orders!U350</f>
        <v>17</v>
      </c>
      <c r="Q353" s="33">
        <f>COUNTIFS(Demand!$A$2:$A$4481,B353,Demand!$B$2:$B$4481,O353,Demand!$C$2:$C$4481,P353)</f>
        <v>1</v>
      </c>
      <c r="R353" s="33">
        <f>IF(Q353=1,SUMIFS(Demand!$E$2:$E$4481,Demand!$A$2:$A$4481,B353,Demand!$B$2:$B$4481,O353,Demand!$C$2:$C$4481,P353),"")</f>
        <v>36</v>
      </c>
      <c r="S353" s="33">
        <f>INDEX(Stores!$G$2:$G$21,MATCH(B353,Stores!$A$2:$A$21,0))</f>
        <v>37</v>
      </c>
      <c r="T353" s="34">
        <f>IF(R353="","",R353/S353)</f>
        <v>0.972972972972973</v>
      </c>
      <c r="U353" s="34">
        <f>IF(E353=1,T353,"")</f>
        <v>0.972972972972973</v>
      </c>
      <c r="V353" s="34">
        <f>IF(AND(E353=1,L353=0),T353,"")</f>
        <v>0.972972972972973</v>
      </c>
      <c r="W353" s="33">
        <f>IF(U353="","",IF(U353&lt;=Breakdowns!$C$5,1,IF(U353&lt;=Breakdowns!$C$6,2,IF(U353&lt;=Breakdowns!$C$7,3,4))))</f>
        <v>2</v>
      </c>
      <c r="X353" s="33">
        <f>IF(V353="","",IF(V353&lt;=Breakdowns!$D$5,1,IF(V353&lt;=Breakdowns!$D$6,2,IF(V353&lt;=Breakdowns!$D$7,3,4))))</f>
        <v>3</v>
      </c>
      <c r="Y353" s="34">
        <f>INDEX(Stores!$F$2:$F$21,MATCH(B353,Stores!$A$2:$A$21,0))</f>
        <v>5.55</v>
      </c>
      <c r="Z353" s="33">
        <f>IF(Y353&gt;Store_Summary!$M$2,1,0)</f>
        <v>1</v>
      </c>
      <c r="AA353" s="33">
        <f>INDEX(Stores!$C$2:$C$21,MATCH(B353,Stores!$A$2:$A$21,0))</f>
        <v>241</v>
      </c>
      <c r="AB353" s="33">
        <f>IF(AA353&lt;180,1,0)</f>
        <v>0</v>
      </c>
      <c r="AC353" s="32" t="str">
        <f>IF(Orders!D350="","",INDEX(Riders!$C$2:$C$81,MATCH(Orders!D350,Riders!$A$2:$A$81,0)))</f>
        <v>Bicycle</v>
      </c>
      <c r="AD353" s="33">
        <f>IF(Orders!D350="","",INDEX(Riders!$D$2:$D$81,MATCH(Orders!D350,Riders!$A$2:$A$81,0)))</f>
        <v>2</v>
      </c>
      <c r="AE353" s="33">
        <f>IF(Orders!D350="","",IF(INDEX(Riders!$B$2:$B$81,MATCH(Orders!D350,Riders!$A$2:$A$81,0))=B353,1,0))</f>
        <v>0</v>
      </c>
      <c r="AF353" s="34">
        <f>IF(E353=1,Orders!L350,"")</f>
        <v>3.09</v>
      </c>
      <c r="AG353" s="34">
        <f>IF(E353=1,Orders!P350,"")</f>
        <v>10.5</v>
      </c>
      <c r="AH353" s="34">
        <f>IF(E353=1,Orders!Q350,"")</f>
        <v>10.1</v>
      </c>
      <c r="AI353" s="34">
        <f>IF(E353=1,Orders!M350,"")</f>
        <v>3.1</v>
      </c>
      <c r="AJ353" s="34">
        <f>IF(E353=1,Orders!N350,"")</f>
        <v>3.3</v>
      </c>
      <c r="AK353" s="34">
        <f>IF(E353=1,Orders!O350,"")</f>
        <v>3.7</v>
      </c>
      <c r="AL353" s="33">
        <f>IF(E353=1,IF(ROUND(ABS(AI353+AJ353+AK353-AH353),6)&lt;=0.1,1,0),"")</f>
        <v>1</v>
      </c>
      <c r="AM353" s="36">
        <f>IF(E353=1,AI353/AH353,"")</f>
        <v>0.306930693069307</v>
      </c>
      <c r="AN353" s="36">
        <f>IF(E353=1,AJ353/AH353,"")</f>
        <v>0.326732673267327</v>
      </c>
      <c r="AO353" s="36">
        <f>IF(E353=1,AK353/AH353,"")</f>
        <v>0.366336633663366</v>
      </c>
      <c r="AP353" s="34">
        <f>IF(E353=1,Orders!Y350,"")</f>
        <v>0.3</v>
      </c>
      <c r="AQ353" s="33">
        <f>IF(Orders!X350,1,0)</f>
        <v>0</v>
      </c>
      <c r="AR353" s="34" t="str">
        <f>IF(AND(E353=1,L353=1),AJ353,"")</f>
        <v/>
      </c>
      <c r="AS353" s="34">
        <f>IF(AND(E353=1,L353=0),AJ353,"")</f>
        <v>3.3</v>
      </c>
      <c r="AT353" s="34" t="str">
        <f>IF(AND(E353=1,L353=1),AI353,"")</f>
        <v/>
      </c>
      <c r="AU353" s="34">
        <f>IF(AND(E353=1,L353=0),AI353,"")</f>
        <v>3.1</v>
      </c>
      <c r="AV353" s="34" t="str">
        <f>IF(AND(E353=1,L353=1),AG353,"")</f>
        <v/>
      </c>
      <c r="AW353" s="34">
        <f>IF(AND(E353=1,L353=0),AG353,"")</f>
        <v>10.5</v>
      </c>
      <c r="AX353" s="34" t="str">
        <f>IF(AND(E353=1,L353=1),AH353,"")</f>
        <v/>
      </c>
      <c r="AY353" s="34">
        <f>IF(AND(E353=1,L353=0),AH353,"")</f>
        <v>10.1</v>
      </c>
      <c r="AZ353" s="34" t="str">
        <f>IF(G353=1,F353,"")</f>
        <v/>
      </c>
      <c r="BA353" s="34" t="str">
        <f>IF(AND(G353=1,L353=1),F353,"")</f>
        <v/>
      </c>
      <c r="BB353" s="34" t="str">
        <f>IF(AND(G353=1,L353=0),F353,"")</f>
        <v/>
      </c>
      <c r="BC353" s="33">
        <f>IF(E353=1,IF(Orders!R350&gt;3,1,0),"")</f>
        <v>0</v>
      </c>
      <c r="BD353" s="33">
        <f>IF(E353=1,IF(Orders!R350&gt;7,1,0),"")</f>
        <v>0</v>
      </c>
      <c r="BE353" s="32" t="str">
        <f>IF(E353=1,IF(Orders!L350&lt;=1.5,"Up to 1.5 km",IF(Orders!L350&lt;=3,"1.5–3 km","Over 3 km")),"")</f>
        <v>Over 3 km</v>
      </c>
      <c r="BF353" s="33">
        <f>IF(E353=1,IF(ABS((Orders!G350-Orders!F350)*1440-Orders!R350)&lt;0.06,1,0),"")</f>
        <v>1</v>
      </c>
      <c r="BG353" s="33">
        <f>IF(ABS((Orders!F350-Orders!E350)*1440-Orders!P350)&lt;0.06,1,0)</f>
        <v>1</v>
      </c>
      <c r="BH353" s="33">
        <f>IF(E353=1,IF(IF(Orders!S350,1,0)=1-G353,1,0),"")</f>
        <v>1</v>
      </c>
      <c r="BI353" s="32" t="str">
        <f>INDEX(Stores!$B$2:$B$21,MATCH(B353,Stores!$A$2:$A$21,0))</f>
        <v>Pune</v>
      </c>
    </row>
    <row r="354">
      <c r="A354" s="32" t="str">
        <f>Orders!A351</f>
        <v>O00350</v>
      </c>
      <c r="B354" s="32" t="str">
        <f>Orders!C351</f>
        <v>S001</v>
      </c>
      <c r="C354" s="32" t="str">
        <f>Orders!B351</f>
        <v>C0204</v>
      </c>
      <c r="D354" s="32" t="str">
        <f>Orders!H351</f>
        <v>Delivered</v>
      </c>
      <c r="E354" s="33">
        <f>IF(Orders!H351="Delivered",1,0)</f>
        <v>1</v>
      </c>
      <c r="F354" s="34">
        <f>IF(E354=1,Orders!R351,"")</f>
        <v>-1.1</v>
      </c>
      <c r="G354" s="33">
        <f>IF(E354=1,IF(Orders!R351&gt;0,1,0),"")</f>
        <v>0</v>
      </c>
      <c r="H354" s="33">
        <f>IF(E354=1,IF(Orders!R351&gt;5,1,0),"")</f>
        <v>0</v>
      </c>
      <c r="I354" s="32" t="str">
        <f>IF(E354=1,"",IF(OR(Orders!T351="Rider unavailable",Orders!T351="Item unavailable"),"Company-caused","Unresolved"))</f>
        <v/>
      </c>
      <c r="J354" s="33">
        <f>IF(OR(E354=1,I354="Company-caused"),1,0)</f>
        <v>1</v>
      </c>
      <c r="K354" s="32" t="str">
        <f>IF(E354=0,IF(I354="Company-caused",IF(Orders!T351="Rider unavailable","C1 Rider unavailable","C2 Item unavailable"),"Outside root: unresolved"),IF(G354=0,"A On time",IF(H354=1,IF(L354=1,"B2a Severe, peak","B2b Severe, off-peak"),IF(L354=1,"B1a Slight, peak","B1b Slight, off-peak"))))</f>
        <v>A On time</v>
      </c>
      <c r="L354" s="33">
        <f>IF(AND(Orders!U351&gt;=19,Orders!U351&lt;22),1,0)</f>
        <v>1</v>
      </c>
      <c r="M354" s="33">
        <f>IF(L354=IF(Orders!V351,1,0),1,0)</f>
        <v>1</v>
      </c>
      <c r="N354" s="32" t="str">
        <f>IF(Orders!W351="","None",Orders!W351)</f>
        <v>None</v>
      </c>
      <c r="O354" s="35">
        <f>INT(Orders!E351)</f>
        <v>46268.0</v>
      </c>
      <c r="P354" s="33">
        <f>Orders!U351</f>
        <v>19</v>
      </c>
      <c r="Q354" s="33">
        <f>COUNTIFS(Demand!$A$2:$A$4481,B354,Demand!$B$2:$B$4481,O354,Demand!$C$2:$C$4481,P354)</f>
        <v>1</v>
      </c>
      <c r="R354" s="33">
        <f>IF(Q354=1,SUMIFS(Demand!$E$2:$E$4481,Demand!$A$2:$A$4481,B354,Demand!$B$2:$B$4481,O354,Demand!$C$2:$C$4481,P354),"")</f>
        <v>28</v>
      </c>
      <c r="S354" s="33">
        <f>INDEX(Stores!$G$2:$G$21,MATCH(B354,Stores!$A$2:$A$21,0))</f>
        <v>16</v>
      </c>
      <c r="T354" s="34">
        <f>IF(R354="","",R354/S354)</f>
        <v>1.75</v>
      </c>
      <c r="U354" s="34">
        <f>IF(E354=1,T354,"")</f>
        <v>1.75</v>
      </c>
      <c r="V354" s="34" t="str">
        <f>IF(AND(E354=1,L354=0),T354,"")</f>
        <v/>
      </c>
      <c r="W354" s="33">
        <f>IF(U354="","",IF(U354&lt;=Breakdowns!$C$5,1,IF(U354&lt;=Breakdowns!$C$6,2,IF(U354&lt;=Breakdowns!$C$7,3,4))))</f>
        <v>4</v>
      </c>
      <c r="X354" s="33" t="str">
        <f>IF(V354="","",IF(V354&lt;=Breakdowns!$D$5,1,IF(V354&lt;=Breakdowns!$D$6,2,IF(V354&lt;=Breakdowns!$D$7,3,4))))</f>
        <v/>
      </c>
      <c r="Y354" s="34">
        <f>INDEX(Stores!$F$2:$F$21,MATCH(B354,Stores!$A$2:$A$21,0))</f>
        <v>4.59</v>
      </c>
      <c r="Z354" s="33">
        <f>IF(Y354&gt;Store_Summary!$M$2,1,0)</f>
        <v>0</v>
      </c>
      <c r="AA354" s="33">
        <f>INDEX(Stores!$C$2:$C$21,MATCH(B354,Stores!$A$2:$A$21,0))</f>
        <v>362</v>
      </c>
      <c r="AB354" s="33">
        <f>IF(AA354&lt;180,1,0)</f>
        <v>0</v>
      </c>
      <c r="AC354" s="32" t="str">
        <f>IF(Orders!D351="","",INDEX(Riders!$C$2:$C$81,MATCH(Orders!D351,Riders!$A$2:$A$81,0)))</f>
        <v>EV scooter</v>
      </c>
      <c r="AD354" s="33">
        <f>IF(Orders!D351="","",INDEX(Riders!$D$2:$D$81,MATCH(Orders!D351,Riders!$A$2:$A$81,0)))</f>
        <v>18</v>
      </c>
      <c r="AE354" s="33">
        <f>IF(Orders!D351="","",IF(INDEX(Riders!$B$2:$B$81,MATCH(Orders!D351,Riders!$A$2:$A$81,0))=B354,1,0))</f>
        <v>0</v>
      </c>
      <c r="AF354" s="34">
        <f>IF(E354=1,Orders!L351,"")</f>
        <v>1.01</v>
      </c>
      <c r="AG354" s="34">
        <f>IF(E354=1,Orders!P351,"")</f>
        <v>10.7</v>
      </c>
      <c r="AH354" s="34">
        <f>IF(E354=1,Orders!Q351,"")</f>
        <v>9.6</v>
      </c>
      <c r="AI354" s="34">
        <f>IF(E354=1,Orders!M351,"")</f>
        <v>3.3</v>
      </c>
      <c r="AJ354" s="34">
        <f>IF(E354=1,Orders!N351,"")</f>
        <v>4.2</v>
      </c>
      <c r="AK354" s="34">
        <f>IF(E354=1,Orders!O351,"")</f>
        <v>2.1</v>
      </c>
      <c r="AL354" s="33">
        <f>IF(E354=1,IF(ROUND(ABS(AI354+AJ354+AK354-AH354),6)&lt;=0.1,1,0),"")</f>
        <v>1</v>
      </c>
      <c r="AM354" s="36">
        <f>IF(E354=1,AI354/AH354,"")</f>
        <v>0.34375</v>
      </c>
      <c r="AN354" s="36">
        <f>IF(E354=1,AJ354/AH354,"")</f>
        <v>0.4375</v>
      </c>
      <c r="AO354" s="36">
        <f>IF(E354=1,AK354/AH354,"")</f>
        <v>0.21875</v>
      </c>
      <c r="AP354" s="34">
        <f>IF(E354=1,Orders!Y351,"")</f>
        <v>0.2</v>
      </c>
      <c r="AQ354" s="33">
        <f>IF(Orders!X351,1,0)</f>
        <v>0</v>
      </c>
      <c r="AR354" s="34">
        <f>IF(AND(E354=1,L354=1),AJ354,"")</f>
        <v>4.2</v>
      </c>
      <c r="AS354" s="34" t="str">
        <f>IF(AND(E354=1,L354=0),AJ354,"")</f>
        <v/>
      </c>
      <c r="AT354" s="34">
        <f>IF(AND(E354=1,L354=1),AI354,"")</f>
        <v>3.3</v>
      </c>
      <c r="AU354" s="34" t="str">
        <f>IF(AND(E354=1,L354=0),AI354,"")</f>
        <v/>
      </c>
      <c r="AV354" s="34">
        <f>IF(AND(E354=1,L354=1),AG354,"")</f>
        <v>10.7</v>
      </c>
      <c r="AW354" s="34" t="str">
        <f>IF(AND(E354=1,L354=0),AG354,"")</f>
        <v/>
      </c>
      <c r="AX354" s="34">
        <f>IF(AND(E354=1,L354=1),AH354,"")</f>
        <v>9.6</v>
      </c>
      <c r="AY354" s="34" t="str">
        <f>IF(AND(E354=1,L354=0),AH354,"")</f>
        <v/>
      </c>
      <c r="AZ354" s="34" t="str">
        <f>IF(G354=1,F354,"")</f>
        <v/>
      </c>
      <c r="BA354" s="34" t="str">
        <f>IF(AND(G354=1,L354=1),F354,"")</f>
        <v/>
      </c>
      <c r="BB354" s="34" t="str">
        <f>IF(AND(G354=1,L354=0),F354,"")</f>
        <v/>
      </c>
      <c r="BC354" s="33">
        <f>IF(E354=1,IF(Orders!R351&gt;3,1,0),"")</f>
        <v>0</v>
      </c>
      <c r="BD354" s="33">
        <f>IF(E354=1,IF(Orders!R351&gt;7,1,0),"")</f>
        <v>0</v>
      </c>
      <c r="BE354" s="32" t="str">
        <f>IF(E354=1,IF(Orders!L351&lt;=1.5,"Up to 1.5 km",IF(Orders!L351&lt;=3,"1.5–3 km","Over 3 km")),"")</f>
        <v>Up to 1.5 km</v>
      </c>
      <c r="BF354" s="33">
        <f>IF(E354=1,IF(ABS((Orders!G351-Orders!F351)*1440-Orders!R351)&lt;0.06,1,0),"")</f>
        <v>1</v>
      </c>
      <c r="BG354" s="33">
        <f>IF(ABS((Orders!F351-Orders!E351)*1440-Orders!P351)&lt;0.06,1,0)</f>
        <v>1</v>
      </c>
      <c r="BH354" s="33">
        <f>IF(E354=1,IF(IF(Orders!S351,1,0)=1-G354,1,0),"")</f>
        <v>1</v>
      </c>
      <c r="BI354" s="32" t="str">
        <f>INDEX(Stores!$B$2:$B$21,MATCH(B354,Stores!$A$2:$A$21,0))</f>
        <v>Bengaluru</v>
      </c>
    </row>
    <row r="355">
      <c r="A355" s="32" t="str">
        <f>Orders!A352</f>
        <v>O00351</v>
      </c>
      <c r="B355" s="32" t="str">
        <f>Orders!C352</f>
        <v>S004</v>
      </c>
      <c r="C355" s="32" t="str">
        <f>Orders!B352</f>
        <v>C0054</v>
      </c>
      <c r="D355" s="32" t="str">
        <f>Orders!H352</f>
        <v>Delivered</v>
      </c>
      <c r="E355" s="33">
        <f>IF(Orders!H352="Delivered",1,0)</f>
        <v>1</v>
      </c>
      <c r="F355" s="34">
        <f>IF(E355=1,Orders!R352,"")</f>
        <v>2.9</v>
      </c>
      <c r="G355" s="33">
        <f>IF(E355=1,IF(Orders!R352&gt;0,1,0),"")</f>
        <v>1</v>
      </c>
      <c r="H355" s="33">
        <f>IF(E355=1,IF(Orders!R352&gt;5,1,0),"")</f>
        <v>0</v>
      </c>
      <c r="I355" s="32" t="str">
        <f>IF(E355=1,"",IF(OR(Orders!T352="Rider unavailable",Orders!T352="Item unavailable"),"Company-caused","Unresolved"))</f>
        <v/>
      </c>
      <c r="J355" s="33">
        <f>IF(OR(E355=1,I355="Company-caused"),1,0)</f>
        <v>1</v>
      </c>
      <c r="K355" s="32" t="str">
        <f>IF(E355=0,IF(I355="Company-caused",IF(Orders!T352="Rider unavailable","C1 Rider unavailable","C2 Item unavailable"),"Outside root: unresolved"),IF(G355=0,"A On time",IF(H355=1,IF(L355=1,"B2a Severe, peak","B2b Severe, off-peak"),IF(L355=1,"B1a Slight, peak","B1b Slight, off-peak"))))</f>
        <v>B1b Slight, off-peak</v>
      </c>
      <c r="L355" s="33">
        <f>IF(AND(Orders!U352&gt;=19,Orders!U352&lt;22),1,0)</f>
        <v>0</v>
      </c>
      <c r="M355" s="33">
        <f>IF(L355=IF(Orders!V352,1,0),1,0)</f>
        <v>1</v>
      </c>
      <c r="N355" s="32" t="str">
        <f>IF(Orders!W352="","None",Orders!W352)</f>
        <v>None</v>
      </c>
      <c r="O355" s="35">
        <f>INT(Orders!E352)</f>
        <v>46275.0</v>
      </c>
      <c r="P355" s="33">
        <f>Orders!U352</f>
        <v>13</v>
      </c>
      <c r="Q355" s="33">
        <f>COUNTIFS(Demand!$A$2:$A$4481,B355,Demand!$B$2:$B$4481,O355,Demand!$C$2:$C$4481,P355)</f>
        <v>1</v>
      </c>
      <c r="R355" s="33">
        <f>IF(Q355=1,SUMIFS(Demand!$E$2:$E$4481,Demand!$A$2:$A$4481,B355,Demand!$B$2:$B$4481,O355,Demand!$C$2:$C$4481,P355),"")</f>
        <v>47</v>
      </c>
      <c r="S355" s="33">
        <f>INDEX(Stores!$G$2:$G$21,MATCH(B355,Stores!$A$2:$A$21,0))</f>
        <v>42</v>
      </c>
      <c r="T355" s="34">
        <f>IF(R355="","",R355/S355)</f>
        <v>1.11904761904762</v>
      </c>
      <c r="U355" s="34">
        <f>IF(E355=1,T355,"")</f>
        <v>1.11904761904762</v>
      </c>
      <c r="V355" s="34">
        <f>IF(AND(E355=1,L355=0),T355,"")</f>
        <v>1.11904761904762</v>
      </c>
      <c r="W355" s="33">
        <f>IF(U355="","",IF(U355&lt;=Breakdowns!$C$5,1,IF(U355&lt;=Breakdowns!$C$6,2,IF(U355&lt;=Breakdowns!$C$7,3,4))))</f>
        <v>3</v>
      </c>
      <c r="X355" s="33">
        <f>IF(V355="","",IF(V355&lt;=Breakdowns!$D$5,1,IF(V355&lt;=Breakdowns!$D$6,2,IF(V355&lt;=Breakdowns!$D$7,3,4))))</f>
        <v>4</v>
      </c>
      <c r="Y355" s="34">
        <f>INDEX(Stores!$F$2:$F$21,MATCH(B355,Stores!$A$2:$A$21,0))</f>
        <v>2.19</v>
      </c>
      <c r="Z355" s="33">
        <f>IF(Y355&gt;Store_Summary!$M$2,1,0)</f>
        <v>0</v>
      </c>
      <c r="AA355" s="33">
        <f>INDEX(Stores!$C$2:$C$21,MATCH(B355,Stores!$A$2:$A$21,0))</f>
        <v>850</v>
      </c>
      <c r="AB355" s="33">
        <f>IF(AA355&lt;180,1,0)</f>
        <v>0</v>
      </c>
      <c r="AC355" s="32" t="str">
        <f>IF(Orders!D352="","",INDEX(Riders!$C$2:$C$81,MATCH(Orders!D352,Riders!$A$2:$A$81,0)))</f>
        <v>Bicycle</v>
      </c>
      <c r="AD355" s="33">
        <f>IF(Orders!D352="","",INDEX(Riders!$D$2:$D$81,MATCH(Orders!D352,Riders!$A$2:$A$81,0)))</f>
        <v>40</v>
      </c>
      <c r="AE355" s="33">
        <f>IF(Orders!D352="","",IF(INDEX(Riders!$B$2:$B$81,MATCH(Orders!D352,Riders!$A$2:$A$81,0))=B355,1,0))</f>
        <v>0</v>
      </c>
      <c r="AF355" s="34">
        <f>IF(E355=1,Orders!L352,"")</f>
        <v>3.28</v>
      </c>
      <c r="AG355" s="34">
        <f>IF(E355=1,Orders!P352,"")</f>
        <v>10.3</v>
      </c>
      <c r="AH355" s="34">
        <f>IF(E355=1,Orders!Q352,"")</f>
        <v>13.2</v>
      </c>
      <c r="AI355" s="34">
        <f>IF(E355=1,Orders!M352,"")</f>
        <v>3</v>
      </c>
      <c r="AJ355" s="34">
        <f>IF(E355=1,Orders!N352,"")</f>
        <v>1.5</v>
      </c>
      <c r="AK355" s="34">
        <f>IF(E355=1,Orders!O352,"")</f>
        <v>8.7</v>
      </c>
      <c r="AL355" s="33">
        <f>IF(E355=1,IF(ROUND(ABS(AI355+AJ355+AK355-AH355),6)&lt;=0.1,1,0),"")</f>
        <v>1</v>
      </c>
      <c r="AM355" s="36">
        <f>IF(E355=1,AI355/AH355,"")</f>
        <v>0.227272727272727</v>
      </c>
      <c r="AN355" s="36">
        <f>IF(E355=1,AJ355/AH355,"")</f>
        <v>0.113636363636364</v>
      </c>
      <c r="AO355" s="36">
        <f>IF(E355=1,AK355/AH355,"")</f>
        <v>0.659090909090909</v>
      </c>
      <c r="AP355" s="34">
        <f>IF(E355=1,Orders!Y352,"")</f>
        <v>0.41</v>
      </c>
      <c r="AQ355" s="33">
        <f>IF(Orders!X352,1,0)</f>
        <v>0</v>
      </c>
      <c r="AR355" s="34" t="str">
        <f>IF(AND(E355=1,L355=1),AJ355,"")</f>
        <v/>
      </c>
      <c r="AS355" s="34">
        <f>IF(AND(E355=1,L355=0),AJ355,"")</f>
        <v>1.5</v>
      </c>
      <c r="AT355" s="34" t="str">
        <f>IF(AND(E355=1,L355=1),AI355,"")</f>
        <v/>
      </c>
      <c r="AU355" s="34">
        <f>IF(AND(E355=1,L355=0),AI355,"")</f>
        <v>3</v>
      </c>
      <c r="AV355" s="34" t="str">
        <f>IF(AND(E355=1,L355=1),AG355,"")</f>
        <v/>
      </c>
      <c r="AW355" s="34">
        <f>IF(AND(E355=1,L355=0),AG355,"")</f>
        <v>10.3</v>
      </c>
      <c r="AX355" s="34" t="str">
        <f>IF(AND(E355=1,L355=1),AH355,"")</f>
        <v/>
      </c>
      <c r="AY355" s="34">
        <f>IF(AND(E355=1,L355=0),AH355,"")</f>
        <v>13.2</v>
      </c>
      <c r="AZ355" s="34">
        <f>IF(G355=1,F355,"")</f>
        <v>2.9</v>
      </c>
      <c r="BA355" s="34" t="str">
        <f>IF(AND(G355=1,L355=1),F355,"")</f>
        <v/>
      </c>
      <c r="BB355" s="34">
        <f>IF(AND(G355=1,L355=0),F355,"")</f>
        <v>2.9</v>
      </c>
      <c r="BC355" s="33">
        <f>IF(E355=1,IF(Orders!R352&gt;3,1,0),"")</f>
        <v>0</v>
      </c>
      <c r="BD355" s="33">
        <f>IF(E355=1,IF(Orders!R352&gt;7,1,0),"")</f>
        <v>0</v>
      </c>
      <c r="BE355" s="32" t="str">
        <f>IF(E355=1,IF(Orders!L352&lt;=1.5,"Up to 1.5 km",IF(Orders!L352&lt;=3,"1.5–3 km","Over 3 km")),"")</f>
        <v>Over 3 km</v>
      </c>
      <c r="BF355" s="33">
        <f>IF(E355=1,IF(ABS((Orders!G352-Orders!F352)*1440-Orders!R352)&lt;0.06,1,0),"")</f>
        <v>1</v>
      </c>
      <c r="BG355" s="33">
        <f>IF(ABS((Orders!F352-Orders!E352)*1440-Orders!P352)&lt;0.06,1,0)</f>
        <v>1</v>
      </c>
      <c r="BH355" s="33">
        <f>IF(E355=1,IF(IF(Orders!S352,1,0)=1-G355,1,0),"")</f>
        <v>1</v>
      </c>
      <c r="BI355" s="32" t="str">
        <f>INDEX(Stores!$B$2:$B$21,MATCH(B355,Stores!$A$2:$A$21,0))</f>
        <v>Pune</v>
      </c>
    </row>
    <row r="356">
      <c r="A356" s="32" t="str">
        <f>Orders!A353</f>
        <v>O00352</v>
      </c>
      <c r="B356" s="32" t="str">
        <f>Orders!C353</f>
        <v>S005</v>
      </c>
      <c r="C356" s="32" t="str">
        <f>Orders!B353</f>
        <v>C0052</v>
      </c>
      <c r="D356" s="32" t="str">
        <f>Orders!H353</f>
        <v>Delivered</v>
      </c>
      <c r="E356" s="33">
        <f>IF(Orders!H353="Delivered",1,0)</f>
        <v>1</v>
      </c>
      <c r="F356" s="34">
        <f>IF(E356=1,Orders!R353,"")</f>
        <v>-0.4</v>
      </c>
      <c r="G356" s="33">
        <f>IF(E356=1,IF(Orders!R353&gt;0,1,0),"")</f>
        <v>0</v>
      </c>
      <c r="H356" s="33">
        <f>IF(E356=1,IF(Orders!R353&gt;5,1,0),"")</f>
        <v>0</v>
      </c>
      <c r="I356" s="32" t="str">
        <f>IF(E356=1,"",IF(OR(Orders!T353="Rider unavailable",Orders!T353="Item unavailable"),"Company-caused","Unresolved"))</f>
        <v/>
      </c>
      <c r="J356" s="33">
        <f>IF(OR(E356=1,I356="Company-caused"),1,0)</f>
        <v>1</v>
      </c>
      <c r="K356" s="32" t="str">
        <f>IF(E356=0,IF(I356="Company-caused",IF(Orders!T353="Rider unavailable","C1 Rider unavailable","C2 Item unavailable"),"Outside root: unresolved"),IF(G356=0,"A On time",IF(H356=1,IF(L356=1,"B2a Severe, peak","B2b Severe, off-peak"),IF(L356=1,"B1a Slight, peak","B1b Slight, off-peak"))))</f>
        <v>A On time</v>
      </c>
      <c r="L356" s="33">
        <f>IF(AND(Orders!U353&gt;=19,Orders!U353&lt;22),1,0)</f>
        <v>0</v>
      </c>
      <c r="M356" s="33">
        <f>IF(L356=IF(Orders!V353,1,0),1,0)</f>
        <v>1</v>
      </c>
      <c r="N356" s="32" t="str">
        <f>IF(Orders!W353="","None",Orders!W353)</f>
        <v>None</v>
      </c>
      <c r="O356" s="35">
        <f>INT(Orders!E353)</f>
        <v>46273.0</v>
      </c>
      <c r="P356" s="33">
        <f>Orders!U353</f>
        <v>12</v>
      </c>
      <c r="Q356" s="33">
        <f>COUNTIFS(Demand!$A$2:$A$4481,B356,Demand!$B$2:$B$4481,O356,Demand!$C$2:$C$4481,P356)</f>
        <v>1</v>
      </c>
      <c r="R356" s="33">
        <f>IF(Q356=1,SUMIFS(Demand!$E$2:$E$4481,Demand!$A$2:$A$4481,B356,Demand!$B$2:$B$4481,O356,Demand!$C$2:$C$4481,P356),"")</f>
        <v>9</v>
      </c>
      <c r="S356" s="33">
        <f>INDEX(Stores!$G$2:$G$21,MATCH(B356,Stores!$A$2:$A$21,0))</f>
        <v>14</v>
      </c>
      <c r="T356" s="34">
        <f>IF(R356="","",R356/S356)</f>
        <v>0.642857142857143</v>
      </c>
      <c r="U356" s="34">
        <f>IF(E356=1,T356,"")</f>
        <v>0.642857142857143</v>
      </c>
      <c r="V356" s="34">
        <f>IF(AND(E356=1,L356=0),T356,"")</f>
        <v>0.642857142857143</v>
      </c>
      <c r="W356" s="33">
        <f>IF(U356="","",IF(U356&lt;=Breakdowns!$C$5,1,IF(U356&lt;=Breakdowns!$C$6,2,IF(U356&lt;=Breakdowns!$C$7,3,4))))</f>
        <v>1</v>
      </c>
      <c r="X356" s="33">
        <f>IF(V356="","",IF(V356&lt;=Breakdowns!$D$5,1,IF(V356&lt;=Breakdowns!$D$6,2,IF(V356&lt;=Breakdowns!$D$7,3,4))))</f>
        <v>1</v>
      </c>
      <c r="Y356" s="34">
        <f>INDEX(Stores!$F$2:$F$21,MATCH(B356,Stores!$A$2:$A$21,0))</f>
        <v>4.89</v>
      </c>
      <c r="Z356" s="33">
        <f>IF(Y356&gt;Store_Summary!$M$2,1,0)</f>
        <v>0</v>
      </c>
      <c r="AA356" s="33">
        <f>INDEX(Stores!$C$2:$C$21,MATCH(B356,Stores!$A$2:$A$21,0))</f>
        <v>138</v>
      </c>
      <c r="AB356" s="33">
        <f>IF(AA356&lt;180,1,0)</f>
        <v>1</v>
      </c>
      <c r="AC356" s="32" t="str">
        <f>IF(Orders!D353="","",INDEX(Riders!$C$2:$C$81,MATCH(Orders!D353,Riders!$A$2:$A$81,0)))</f>
        <v>EV scooter</v>
      </c>
      <c r="AD356" s="33">
        <f>IF(Orders!D353="","",INDEX(Riders!$D$2:$D$81,MATCH(Orders!D353,Riders!$A$2:$A$81,0)))</f>
        <v>1</v>
      </c>
      <c r="AE356" s="33">
        <f>IF(Orders!D353="","",IF(INDEX(Riders!$B$2:$B$81,MATCH(Orders!D353,Riders!$A$2:$A$81,0))=B356,1,0))</f>
        <v>0</v>
      </c>
      <c r="AF356" s="34">
        <f>IF(E356=1,Orders!L353,"")</f>
        <v>1.75</v>
      </c>
      <c r="AG356" s="34">
        <f>IF(E356=1,Orders!P353,"")</f>
        <v>10.9</v>
      </c>
      <c r="AH356" s="34">
        <f>IF(E356=1,Orders!Q353,"")</f>
        <v>10.5</v>
      </c>
      <c r="AI356" s="34">
        <f>IF(E356=1,Orders!M353,"")</f>
        <v>4.3</v>
      </c>
      <c r="AJ356" s="34">
        <f>IF(E356=1,Orders!N353,"")</f>
        <v>1.7</v>
      </c>
      <c r="AK356" s="34">
        <f>IF(E356=1,Orders!O353,"")</f>
        <v>4.5</v>
      </c>
      <c r="AL356" s="33">
        <f>IF(E356=1,IF(ROUND(ABS(AI356+AJ356+AK356-AH356),6)&lt;=0.1,1,0),"")</f>
        <v>1</v>
      </c>
      <c r="AM356" s="36">
        <f>IF(E356=1,AI356/AH356,"")</f>
        <v>0.40952380952381</v>
      </c>
      <c r="AN356" s="36">
        <f>IF(E356=1,AJ356/AH356,"")</f>
        <v>0.161904761904762</v>
      </c>
      <c r="AO356" s="36">
        <f>IF(E356=1,AK356/AH356,"")</f>
        <v>0.428571428571429</v>
      </c>
      <c r="AP356" s="34">
        <f>IF(E356=1,Orders!Y353,"")</f>
        <v>0.39</v>
      </c>
      <c r="AQ356" s="33">
        <f>IF(Orders!X353,1,0)</f>
        <v>0</v>
      </c>
      <c r="AR356" s="34" t="str">
        <f>IF(AND(E356=1,L356=1),AJ356,"")</f>
        <v/>
      </c>
      <c r="AS356" s="34">
        <f>IF(AND(E356=1,L356=0),AJ356,"")</f>
        <v>1.7</v>
      </c>
      <c r="AT356" s="34" t="str">
        <f>IF(AND(E356=1,L356=1),AI356,"")</f>
        <v/>
      </c>
      <c r="AU356" s="34">
        <f>IF(AND(E356=1,L356=0),AI356,"")</f>
        <v>4.3</v>
      </c>
      <c r="AV356" s="34" t="str">
        <f>IF(AND(E356=1,L356=1),AG356,"")</f>
        <v/>
      </c>
      <c r="AW356" s="34">
        <f>IF(AND(E356=1,L356=0),AG356,"")</f>
        <v>10.9</v>
      </c>
      <c r="AX356" s="34" t="str">
        <f>IF(AND(E356=1,L356=1),AH356,"")</f>
        <v/>
      </c>
      <c r="AY356" s="34">
        <f>IF(AND(E356=1,L356=0),AH356,"")</f>
        <v>10.5</v>
      </c>
      <c r="AZ356" s="34" t="str">
        <f>IF(G356=1,F356,"")</f>
        <v/>
      </c>
      <c r="BA356" s="34" t="str">
        <f>IF(AND(G356=1,L356=1),F356,"")</f>
        <v/>
      </c>
      <c r="BB356" s="34" t="str">
        <f>IF(AND(G356=1,L356=0),F356,"")</f>
        <v/>
      </c>
      <c r="BC356" s="33">
        <f>IF(E356=1,IF(Orders!R353&gt;3,1,0),"")</f>
        <v>0</v>
      </c>
      <c r="BD356" s="33">
        <f>IF(E356=1,IF(Orders!R353&gt;7,1,0),"")</f>
        <v>0</v>
      </c>
      <c r="BE356" s="32" t="str">
        <f>IF(E356=1,IF(Orders!L353&lt;=1.5,"Up to 1.5 km",IF(Orders!L353&lt;=3,"1.5–3 km","Over 3 km")),"")</f>
        <v>1.5–3 km</v>
      </c>
      <c r="BF356" s="33">
        <f>IF(E356=1,IF(ABS((Orders!G353-Orders!F353)*1440-Orders!R353)&lt;0.06,1,0),"")</f>
        <v>1</v>
      </c>
      <c r="BG356" s="33">
        <f>IF(ABS((Orders!F353-Orders!E353)*1440-Orders!P353)&lt;0.06,1,0)</f>
        <v>1</v>
      </c>
      <c r="BH356" s="33">
        <f>IF(E356=1,IF(IF(Orders!S353,1,0)=1-G356,1,0),"")</f>
        <v>1</v>
      </c>
      <c r="BI356" s="32" t="str">
        <f>INDEX(Stores!$B$2:$B$21,MATCH(B356,Stores!$A$2:$A$21,0))</f>
        <v>Delhi</v>
      </c>
    </row>
    <row r="357">
      <c r="A357" s="32" t="str">
        <f>Orders!A354</f>
        <v>O00353</v>
      </c>
      <c r="B357" s="32" t="str">
        <f>Orders!C354</f>
        <v>S014</v>
      </c>
      <c r="C357" s="32" t="str">
        <f>Orders!B354</f>
        <v>C0170</v>
      </c>
      <c r="D357" s="32" t="str">
        <f>Orders!H354</f>
        <v>Delivered</v>
      </c>
      <c r="E357" s="33">
        <f>IF(Orders!H354="Delivered",1,0)</f>
        <v>1</v>
      </c>
      <c r="F357" s="34">
        <f>IF(E357=1,Orders!R354,"")</f>
        <v>-0.9</v>
      </c>
      <c r="G357" s="33">
        <f>IF(E357=1,IF(Orders!R354&gt;0,1,0),"")</f>
        <v>0</v>
      </c>
      <c r="H357" s="33">
        <f>IF(E357=1,IF(Orders!R354&gt;5,1,0),"")</f>
        <v>0</v>
      </c>
      <c r="I357" s="32" t="str">
        <f>IF(E357=1,"",IF(OR(Orders!T354="Rider unavailable",Orders!T354="Item unavailable"),"Company-caused","Unresolved"))</f>
        <v/>
      </c>
      <c r="J357" s="33">
        <f>IF(OR(E357=1,I357="Company-caused"),1,0)</f>
        <v>1</v>
      </c>
      <c r="K357" s="32" t="str">
        <f>IF(E357=0,IF(I357="Company-caused",IF(Orders!T354="Rider unavailable","C1 Rider unavailable","C2 Item unavailable"),"Outside root: unresolved"),IF(G357=0,"A On time",IF(H357=1,IF(L357=1,"B2a Severe, peak","B2b Severe, off-peak"),IF(L357=1,"B1a Slight, peak","B1b Slight, off-peak"))))</f>
        <v>A On time</v>
      </c>
      <c r="L357" s="33">
        <f>IF(AND(Orders!U354&gt;=19,Orders!U354&lt;22),1,0)</f>
        <v>0</v>
      </c>
      <c r="M357" s="33">
        <f>IF(L357=IF(Orders!V354,1,0),1,0)</f>
        <v>1</v>
      </c>
      <c r="N357" s="32" t="str">
        <f>IF(Orders!W354="","None",Orders!W354)</f>
        <v>Light</v>
      </c>
      <c r="O357" s="35">
        <f>INT(Orders!E354)</f>
        <v>46279.0</v>
      </c>
      <c r="P357" s="33">
        <f>Orders!U354</f>
        <v>17</v>
      </c>
      <c r="Q357" s="33">
        <f>COUNTIFS(Demand!$A$2:$A$4481,B357,Demand!$B$2:$B$4481,O357,Demand!$C$2:$C$4481,P357)</f>
        <v>1</v>
      </c>
      <c r="R357" s="33">
        <f>IF(Q357=1,SUMIFS(Demand!$E$2:$E$4481,Demand!$A$2:$A$4481,B357,Demand!$B$2:$B$4481,O357,Demand!$C$2:$C$4481,P357),"")</f>
        <v>42</v>
      </c>
      <c r="S357" s="33">
        <f>INDEX(Stores!$G$2:$G$21,MATCH(B357,Stores!$A$2:$A$21,0))</f>
        <v>37</v>
      </c>
      <c r="T357" s="34">
        <f>IF(R357="","",R357/S357)</f>
        <v>1.13513513513514</v>
      </c>
      <c r="U357" s="34">
        <f>IF(E357=1,T357,"")</f>
        <v>1.13513513513514</v>
      </c>
      <c r="V357" s="34">
        <f>IF(AND(E357=1,L357=0),T357,"")</f>
        <v>1.13513513513514</v>
      </c>
      <c r="W357" s="33">
        <f>IF(U357="","",IF(U357&lt;=Breakdowns!$C$5,1,IF(U357&lt;=Breakdowns!$C$6,2,IF(U357&lt;=Breakdowns!$C$7,3,4))))</f>
        <v>3</v>
      </c>
      <c r="X357" s="33">
        <f>IF(V357="","",IF(V357&lt;=Breakdowns!$D$5,1,IF(V357&lt;=Breakdowns!$D$6,2,IF(V357&lt;=Breakdowns!$D$7,3,4))))</f>
        <v>4</v>
      </c>
      <c r="Y357" s="34">
        <f>INDEX(Stores!$F$2:$F$21,MATCH(B357,Stores!$A$2:$A$21,0))</f>
        <v>5.55</v>
      </c>
      <c r="Z357" s="33">
        <f>IF(Y357&gt;Store_Summary!$M$2,1,0)</f>
        <v>1</v>
      </c>
      <c r="AA357" s="33">
        <f>INDEX(Stores!$C$2:$C$21,MATCH(B357,Stores!$A$2:$A$21,0))</f>
        <v>241</v>
      </c>
      <c r="AB357" s="33">
        <f>IF(AA357&lt;180,1,0)</f>
        <v>0</v>
      </c>
      <c r="AC357" s="32" t="str">
        <f>IF(Orders!D354="","",INDEX(Riders!$C$2:$C$81,MATCH(Orders!D354,Riders!$A$2:$A$81,0)))</f>
        <v>EV scooter</v>
      </c>
      <c r="AD357" s="33">
        <f>IF(Orders!D354="","",INDEX(Riders!$D$2:$D$81,MATCH(Orders!D354,Riders!$A$2:$A$81,0)))</f>
        <v>2</v>
      </c>
      <c r="AE357" s="33">
        <f>IF(Orders!D354="","",IF(INDEX(Riders!$B$2:$B$81,MATCH(Orders!D354,Riders!$A$2:$A$81,0))=B357,1,0))</f>
        <v>0</v>
      </c>
      <c r="AF357" s="34">
        <f>IF(E357=1,Orders!L354,"")</f>
        <v>0.83</v>
      </c>
      <c r="AG357" s="34">
        <f>IF(E357=1,Orders!P354,"")</f>
        <v>12.6</v>
      </c>
      <c r="AH357" s="34">
        <f>IF(E357=1,Orders!Q354,"")</f>
        <v>11.7</v>
      </c>
      <c r="AI357" s="34">
        <f>IF(E357=1,Orders!M354,"")</f>
        <v>5.8</v>
      </c>
      <c r="AJ357" s="34">
        <f>IF(E357=1,Orders!N354,"")</f>
        <v>3</v>
      </c>
      <c r="AK357" s="34">
        <f>IF(E357=1,Orders!O354,"")</f>
        <v>2.9</v>
      </c>
      <c r="AL357" s="33">
        <f>IF(E357=1,IF(ROUND(ABS(AI357+AJ357+AK357-AH357),6)&lt;=0.1,1,0),"")</f>
        <v>1</v>
      </c>
      <c r="AM357" s="36">
        <f>IF(E357=1,AI357/AH357,"")</f>
        <v>0.495726495726496</v>
      </c>
      <c r="AN357" s="36">
        <f>IF(E357=1,AJ357/AH357,"")</f>
        <v>0.256410256410256</v>
      </c>
      <c r="AO357" s="36">
        <f>IF(E357=1,AK357/AH357,"")</f>
        <v>0.247863247863248</v>
      </c>
      <c r="AP357" s="34">
        <f>IF(E357=1,Orders!Y354,"")</f>
        <v>0.22</v>
      </c>
      <c r="AQ357" s="33">
        <f>IF(Orders!X354,1,0)</f>
        <v>0</v>
      </c>
      <c r="AR357" s="34" t="str">
        <f>IF(AND(E357=1,L357=1),AJ357,"")</f>
        <v/>
      </c>
      <c r="AS357" s="34">
        <f>IF(AND(E357=1,L357=0),AJ357,"")</f>
        <v>3</v>
      </c>
      <c r="AT357" s="34" t="str">
        <f>IF(AND(E357=1,L357=1),AI357,"")</f>
        <v/>
      </c>
      <c r="AU357" s="34">
        <f>IF(AND(E357=1,L357=0),AI357,"")</f>
        <v>5.8</v>
      </c>
      <c r="AV357" s="34" t="str">
        <f>IF(AND(E357=1,L357=1),AG357,"")</f>
        <v/>
      </c>
      <c r="AW357" s="34">
        <f>IF(AND(E357=1,L357=0),AG357,"")</f>
        <v>12.6</v>
      </c>
      <c r="AX357" s="34" t="str">
        <f>IF(AND(E357=1,L357=1),AH357,"")</f>
        <v/>
      </c>
      <c r="AY357" s="34">
        <f>IF(AND(E357=1,L357=0),AH357,"")</f>
        <v>11.7</v>
      </c>
      <c r="AZ357" s="34" t="str">
        <f>IF(G357=1,F357,"")</f>
        <v/>
      </c>
      <c r="BA357" s="34" t="str">
        <f>IF(AND(G357=1,L357=1),F357,"")</f>
        <v/>
      </c>
      <c r="BB357" s="34" t="str">
        <f>IF(AND(G357=1,L357=0),F357,"")</f>
        <v/>
      </c>
      <c r="BC357" s="33">
        <f>IF(E357=1,IF(Orders!R354&gt;3,1,0),"")</f>
        <v>0</v>
      </c>
      <c r="BD357" s="33">
        <f>IF(E357=1,IF(Orders!R354&gt;7,1,0),"")</f>
        <v>0</v>
      </c>
      <c r="BE357" s="32" t="str">
        <f>IF(E357=1,IF(Orders!L354&lt;=1.5,"Up to 1.5 km",IF(Orders!L354&lt;=3,"1.5–3 km","Over 3 km")),"")</f>
        <v>Up to 1.5 km</v>
      </c>
      <c r="BF357" s="33">
        <f>IF(E357=1,IF(ABS((Orders!G354-Orders!F354)*1440-Orders!R354)&lt;0.06,1,0),"")</f>
        <v>1</v>
      </c>
      <c r="BG357" s="33">
        <f>IF(ABS((Orders!F354-Orders!E354)*1440-Orders!P354)&lt;0.06,1,0)</f>
        <v>1</v>
      </c>
      <c r="BH357" s="33">
        <f>IF(E357=1,IF(IF(Orders!S354,1,0)=1-G357,1,0),"")</f>
        <v>1</v>
      </c>
      <c r="BI357" s="32" t="str">
        <f>INDEX(Stores!$B$2:$B$21,MATCH(B357,Stores!$A$2:$A$21,0))</f>
        <v>Pune</v>
      </c>
    </row>
    <row r="358">
      <c r="A358" s="32" t="str">
        <f>Orders!A355</f>
        <v>O00354</v>
      </c>
      <c r="B358" s="32" t="str">
        <f>Orders!C355</f>
        <v>S009</v>
      </c>
      <c r="C358" s="32" t="str">
        <f>Orders!B355</f>
        <v>C0098</v>
      </c>
      <c r="D358" s="32" t="str">
        <f>Orders!H355</f>
        <v>Delivered</v>
      </c>
      <c r="E358" s="33">
        <f>IF(Orders!H355="Delivered",1,0)</f>
        <v>1</v>
      </c>
      <c r="F358" s="34">
        <f>IF(E358=1,Orders!R355,"")</f>
        <v>-1.3</v>
      </c>
      <c r="G358" s="33">
        <f>IF(E358=1,IF(Orders!R355&gt;0,1,0),"")</f>
        <v>0</v>
      </c>
      <c r="H358" s="33">
        <f>IF(E358=1,IF(Orders!R355&gt;5,1,0),"")</f>
        <v>0</v>
      </c>
      <c r="I358" s="32" t="str">
        <f>IF(E358=1,"",IF(OR(Orders!T355="Rider unavailable",Orders!T355="Item unavailable"),"Company-caused","Unresolved"))</f>
        <v/>
      </c>
      <c r="J358" s="33">
        <f>IF(OR(E358=1,I358="Company-caused"),1,0)</f>
        <v>1</v>
      </c>
      <c r="K358" s="32" t="str">
        <f>IF(E358=0,IF(I358="Company-caused",IF(Orders!T355="Rider unavailable","C1 Rider unavailable","C2 Item unavailable"),"Outside root: unresolved"),IF(G358=0,"A On time",IF(H358=1,IF(L358=1,"B2a Severe, peak","B2b Severe, off-peak"),IF(L358=1,"B1a Slight, peak","B1b Slight, off-peak"))))</f>
        <v>A On time</v>
      </c>
      <c r="L358" s="33">
        <f>IF(AND(Orders!U355&gt;=19,Orders!U355&lt;22),1,0)</f>
        <v>0</v>
      </c>
      <c r="M358" s="33">
        <f>IF(L358=IF(Orders!V355,1,0),1,0)</f>
        <v>1</v>
      </c>
      <c r="N358" s="32" t="str">
        <f>IF(Orders!W355="","None",Orders!W355)</f>
        <v>None</v>
      </c>
      <c r="O358" s="35">
        <f>INT(Orders!E355)</f>
        <v>46278.0</v>
      </c>
      <c r="P358" s="33">
        <f>Orders!U355</f>
        <v>11</v>
      </c>
      <c r="Q358" s="33">
        <f>COUNTIFS(Demand!$A$2:$A$4481,B358,Demand!$B$2:$B$4481,O358,Demand!$C$2:$C$4481,P358)</f>
        <v>1</v>
      </c>
      <c r="R358" s="33">
        <f>IF(Q358=1,SUMIFS(Demand!$E$2:$E$4481,Demand!$A$2:$A$4481,B358,Demand!$B$2:$B$4481,O358,Demand!$C$2:$C$4481,P358),"")</f>
        <v>37</v>
      </c>
      <c r="S358" s="33">
        <f>INDEX(Stores!$G$2:$G$21,MATCH(B358,Stores!$A$2:$A$21,0))</f>
        <v>29</v>
      </c>
      <c r="T358" s="34">
        <f>IF(R358="","",R358/S358)</f>
        <v>1.27586206896552</v>
      </c>
      <c r="U358" s="34">
        <f>IF(E358=1,T358,"")</f>
        <v>1.27586206896552</v>
      </c>
      <c r="V358" s="34">
        <f>IF(AND(E358=1,L358=0),T358,"")</f>
        <v>1.27586206896552</v>
      </c>
      <c r="W358" s="33">
        <f>IF(U358="","",IF(U358&lt;=Breakdowns!$C$5,1,IF(U358&lt;=Breakdowns!$C$6,2,IF(U358&lt;=Breakdowns!$C$7,3,4))))</f>
        <v>4</v>
      </c>
      <c r="X358" s="33">
        <f>IF(V358="","",IF(V358&lt;=Breakdowns!$D$5,1,IF(V358&lt;=Breakdowns!$D$6,2,IF(V358&lt;=Breakdowns!$D$7,3,4))))</f>
        <v>4</v>
      </c>
      <c r="Y358" s="34">
        <f>INDEX(Stores!$F$2:$F$21,MATCH(B358,Stores!$A$2:$A$21,0))</f>
        <v>2.66</v>
      </c>
      <c r="Z358" s="33">
        <f>IF(Y358&gt;Store_Summary!$M$2,1,0)</f>
        <v>0</v>
      </c>
      <c r="AA358" s="33">
        <f>INDEX(Stores!$C$2:$C$21,MATCH(B358,Stores!$A$2:$A$21,0))</f>
        <v>645</v>
      </c>
      <c r="AB358" s="33">
        <f>IF(AA358&lt;180,1,0)</f>
        <v>0</v>
      </c>
      <c r="AC358" s="32" t="str">
        <f>IF(Orders!D355="","",INDEX(Riders!$C$2:$C$81,MATCH(Orders!D355,Riders!$A$2:$A$81,0)))</f>
        <v>EV scooter</v>
      </c>
      <c r="AD358" s="33">
        <f>IF(Orders!D355="","",INDEX(Riders!$D$2:$D$81,MATCH(Orders!D355,Riders!$A$2:$A$81,0)))</f>
        <v>37</v>
      </c>
      <c r="AE358" s="33">
        <f>IF(Orders!D355="","",IF(INDEX(Riders!$B$2:$B$81,MATCH(Orders!D355,Riders!$A$2:$A$81,0))=B358,1,0))</f>
        <v>0</v>
      </c>
      <c r="AF358" s="34">
        <f>IF(E358=1,Orders!L355,"")</f>
        <v>0.93</v>
      </c>
      <c r="AG358" s="34">
        <f>IF(E358=1,Orders!P355,"")</f>
        <v>10.5</v>
      </c>
      <c r="AH358" s="34">
        <f>IF(E358=1,Orders!Q355,"")</f>
        <v>9.2</v>
      </c>
      <c r="AI358" s="34">
        <f>IF(E358=1,Orders!M355,"")</f>
        <v>2.4</v>
      </c>
      <c r="AJ358" s="34">
        <f>IF(E358=1,Orders!N355,"")</f>
        <v>4.4</v>
      </c>
      <c r="AK358" s="34">
        <f>IF(E358=1,Orders!O355,"")</f>
        <v>2.4</v>
      </c>
      <c r="AL358" s="33">
        <f>IF(E358=1,IF(ROUND(ABS(AI358+AJ358+AK358-AH358),6)&lt;=0.1,1,0),"")</f>
        <v>1</v>
      </c>
      <c r="AM358" s="36">
        <f>IF(E358=1,AI358/AH358,"")</f>
        <v>0.260869565217391</v>
      </c>
      <c r="AN358" s="36">
        <f>IF(E358=1,AJ358/AH358,"")</f>
        <v>0.478260869565217</v>
      </c>
      <c r="AO358" s="36">
        <f>IF(E358=1,AK358/AH358,"")</f>
        <v>0.260869565217391</v>
      </c>
      <c r="AP358" s="34">
        <f>IF(E358=1,Orders!Y355,"")</f>
        <v>0.26</v>
      </c>
      <c r="AQ358" s="33">
        <f>IF(Orders!X355,1,0)</f>
        <v>0</v>
      </c>
      <c r="AR358" s="34" t="str">
        <f>IF(AND(E358=1,L358=1),AJ358,"")</f>
        <v/>
      </c>
      <c r="AS358" s="34">
        <f>IF(AND(E358=1,L358=0),AJ358,"")</f>
        <v>4.4</v>
      </c>
      <c r="AT358" s="34" t="str">
        <f>IF(AND(E358=1,L358=1),AI358,"")</f>
        <v/>
      </c>
      <c r="AU358" s="34">
        <f>IF(AND(E358=1,L358=0),AI358,"")</f>
        <v>2.4</v>
      </c>
      <c r="AV358" s="34" t="str">
        <f>IF(AND(E358=1,L358=1),AG358,"")</f>
        <v/>
      </c>
      <c r="AW358" s="34">
        <f>IF(AND(E358=1,L358=0),AG358,"")</f>
        <v>10.5</v>
      </c>
      <c r="AX358" s="34" t="str">
        <f>IF(AND(E358=1,L358=1),AH358,"")</f>
        <v/>
      </c>
      <c r="AY358" s="34">
        <f>IF(AND(E358=1,L358=0),AH358,"")</f>
        <v>9.2</v>
      </c>
      <c r="AZ358" s="34" t="str">
        <f>IF(G358=1,F358,"")</f>
        <v/>
      </c>
      <c r="BA358" s="34" t="str">
        <f>IF(AND(G358=1,L358=1),F358,"")</f>
        <v/>
      </c>
      <c r="BB358" s="34" t="str">
        <f>IF(AND(G358=1,L358=0),F358,"")</f>
        <v/>
      </c>
      <c r="BC358" s="33">
        <f>IF(E358=1,IF(Orders!R355&gt;3,1,0),"")</f>
        <v>0</v>
      </c>
      <c r="BD358" s="33">
        <f>IF(E358=1,IF(Orders!R355&gt;7,1,0),"")</f>
        <v>0</v>
      </c>
      <c r="BE358" s="32" t="str">
        <f>IF(E358=1,IF(Orders!L355&lt;=1.5,"Up to 1.5 km",IF(Orders!L355&lt;=3,"1.5–3 km","Over 3 km")),"")</f>
        <v>Up to 1.5 km</v>
      </c>
      <c r="BF358" s="33">
        <f>IF(E358=1,IF(ABS((Orders!G355-Orders!F355)*1440-Orders!R355)&lt;0.06,1,0),"")</f>
        <v>1</v>
      </c>
      <c r="BG358" s="33">
        <f>IF(ABS((Orders!F355-Orders!E355)*1440-Orders!P355)&lt;0.06,1,0)</f>
        <v>1</v>
      </c>
      <c r="BH358" s="33">
        <f>IF(E358=1,IF(IF(Orders!S355,1,0)=1-G358,1,0),"")</f>
        <v>1</v>
      </c>
      <c r="BI358" s="32" t="str">
        <f>INDEX(Stores!$B$2:$B$21,MATCH(B358,Stores!$A$2:$A$21,0))</f>
        <v>Pune</v>
      </c>
    </row>
    <row r="359">
      <c r="A359" s="32" t="str">
        <f>Orders!A356</f>
        <v>O00355</v>
      </c>
      <c r="B359" s="32" t="str">
        <f>Orders!C356</f>
        <v>S005</v>
      </c>
      <c r="C359" s="32" t="str">
        <f>Orders!B356</f>
        <v>C0084</v>
      </c>
      <c r="D359" s="32" t="str">
        <f>Orders!H356</f>
        <v>Delivered</v>
      </c>
      <c r="E359" s="33">
        <f>IF(Orders!H356="Delivered",1,0)</f>
        <v>1</v>
      </c>
      <c r="F359" s="34">
        <f>IF(E359=1,Orders!R356,"")</f>
        <v>-1.2</v>
      </c>
      <c r="G359" s="33">
        <f>IF(E359=1,IF(Orders!R356&gt;0,1,0),"")</f>
        <v>0</v>
      </c>
      <c r="H359" s="33">
        <f>IF(E359=1,IF(Orders!R356&gt;5,1,0),"")</f>
        <v>0</v>
      </c>
      <c r="I359" s="32" t="str">
        <f>IF(E359=1,"",IF(OR(Orders!T356="Rider unavailable",Orders!T356="Item unavailable"),"Company-caused","Unresolved"))</f>
        <v/>
      </c>
      <c r="J359" s="33">
        <f>IF(OR(E359=1,I359="Company-caused"),1,0)</f>
        <v>1</v>
      </c>
      <c r="K359" s="32" t="str">
        <f>IF(E359=0,IF(I359="Company-caused",IF(Orders!T356="Rider unavailable","C1 Rider unavailable","C2 Item unavailable"),"Outside root: unresolved"),IF(G359=0,"A On time",IF(H359=1,IF(L359=1,"B2a Severe, peak","B2b Severe, off-peak"),IF(L359=1,"B1a Slight, peak","B1b Slight, off-peak"))))</f>
        <v>A On time</v>
      </c>
      <c r="L359" s="33">
        <f>IF(AND(Orders!U356&gt;=19,Orders!U356&lt;22),1,0)</f>
        <v>0</v>
      </c>
      <c r="M359" s="33">
        <f>IF(L359=IF(Orders!V356,1,0),1,0)</f>
        <v>1</v>
      </c>
      <c r="N359" s="32" t="str">
        <f>IF(Orders!W356="","None",Orders!W356)</f>
        <v>Heavy</v>
      </c>
      <c r="O359" s="35">
        <f>INT(Orders!E356)</f>
        <v>46276.0</v>
      </c>
      <c r="P359" s="33">
        <f>Orders!U356</f>
        <v>11</v>
      </c>
      <c r="Q359" s="33">
        <f>COUNTIFS(Demand!$A$2:$A$4481,B359,Demand!$B$2:$B$4481,O359,Demand!$C$2:$C$4481,P359)</f>
        <v>1</v>
      </c>
      <c r="R359" s="33">
        <f>IF(Q359=1,SUMIFS(Demand!$E$2:$E$4481,Demand!$A$2:$A$4481,B359,Demand!$B$2:$B$4481,O359,Demand!$C$2:$C$4481,P359),"")</f>
        <v>13</v>
      </c>
      <c r="S359" s="33">
        <f>INDEX(Stores!$G$2:$G$21,MATCH(B359,Stores!$A$2:$A$21,0))</f>
        <v>14</v>
      </c>
      <c r="T359" s="34">
        <f>IF(R359="","",R359/S359)</f>
        <v>0.928571428571429</v>
      </c>
      <c r="U359" s="34">
        <f>IF(E359=1,T359,"")</f>
        <v>0.928571428571429</v>
      </c>
      <c r="V359" s="34">
        <f>IF(AND(E359=1,L359=0),T359,"")</f>
        <v>0.928571428571429</v>
      </c>
      <c r="W359" s="33">
        <f>IF(U359="","",IF(U359&lt;=Breakdowns!$C$5,1,IF(U359&lt;=Breakdowns!$C$6,2,IF(U359&lt;=Breakdowns!$C$7,3,4))))</f>
        <v>2</v>
      </c>
      <c r="X359" s="33">
        <f>IF(V359="","",IF(V359&lt;=Breakdowns!$D$5,1,IF(V359&lt;=Breakdowns!$D$6,2,IF(V359&lt;=Breakdowns!$D$7,3,4))))</f>
        <v>3</v>
      </c>
      <c r="Y359" s="34">
        <f>INDEX(Stores!$F$2:$F$21,MATCH(B359,Stores!$A$2:$A$21,0))</f>
        <v>4.89</v>
      </c>
      <c r="Z359" s="33">
        <f>IF(Y359&gt;Store_Summary!$M$2,1,0)</f>
        <v>0</v>
      </c>
      <c r="AA359" s="33">
        <f>INDEX(Stores!$C$2:$C$21,MATCH(B359,Stores!$A$2:$A$21,0))</f>
        <v>138</v>
      </c>
      <c r="AB359" s="33">
        <f>IF(AA359&lt;180,1,0)</f>
        <v>1</v>
      </c>
      <c r="AC359" s="32" t="str">
        <f>IF(Orders!D356="","",INDEX(Riders!$C$2:$C$81,MATCH(Orders!D356,Riders!$A$2:$A$81,0)))</f>
        <v>EV scooter</v>
      </c>
      <c r="AD359" s="33">
        <f>IF(Orders!D356="","",INDEX(Riders!$D$2:$D$81,MATCH(Orders!D356,Riders!$A$2:$A$81,0)))</f>
        <v>10</v>
      </c>
      <c r="AE359" s="33">
        <f>IF(Orders!D356="","",IF(INDEX(Riders!$B$2:$B$81,MATCH(Orders!D356,Riders!$A$2:$A$81,0))=B359,1,0))</f>
        <v>0</v>
      </c>
      <c r="AF359" s="34">
        <f>IF(E359=1,Orders!L356,"")</f>
        <v>3.5</v>
      </c>
      <c r="AG359" s="34">
        <f>IF(E359=1,Orders!P356,"")</f>
        <v>9.3</v>
      </c>
      <c r="AH359" s="34">
        <f>IF(E359=1,Orders!Q356,"")</f>
        <v>8.1</v>
      </c>
      <c r="AI359" s="34">
        <f>IF(E359=1,Orders!M356,"")</f>
        <v>1.6</v>
      </c>
      <c r="AJ359" s="34">
        <f>IF(E359=1,Orders!N356,"")</f>
        <v>2.9</v>
      </c>
      <c r="AK359" s="34">
        <f>IF(E359=1,Orders!O356,"")</f>
        <v>3.6</v>
      </c>
      <c r="AL359" s="33">
        <f>IF(E359=1,IF(ROUND(ABS(AI359+AJ359+AK359-AH359),6)&lt;=0.1,1,0),"")</f>
        <v>1</v>
      </c>
      <c r="AM359" s="36">
        <f>IF(E359=1,AI359/AH359,"")</f>
        <v>0.197530864197531</v>
      </c>
      <c r="AN359" s="36">
        <f>IF(E359=1,AJ359/AH359,"")</f>
        <v>0.358024691358025</v>
      </c>
      <c r="AO359" s="36">
        <f>IF(E359=1,AK359/AH359,"")</f>
        <v>0.444444444444445</v>
      </c>
      <c r="AP359" s="34">
        <f>IF(E359=1,Orders!Y356,"")</f>
        <v>0.45</v>
      </c>
      <c r="AQ359" s="33">
        <f>IF(Orders!X356,1,0)</f>
        <v>0</v>
      </c>
      <c r="AR359" s="34" t="str">
        <f>IF(AND(E359=1,L359=1),AJ359,"")</f>
        <v/>
      </c>
      <c r="AS359" s="34">
        <f>IF(AND(E359=1,L359=0),AJ359,"")</f>
        <v>2.9</v>
      </c>
      <c r="AT359" s="34" t="str">
        <f>IF(AND(E359=1,L359=1),AI359,"")</f>
        <v/>
      </c>
      <c r="AU359" s="34">
        <f>IF(AND(E359=1,L359=0),AI359,"")</f>
        <v>1.6</v>
      </c>
      <c r="AV359" s="34" t="str">
        <f>IF(AND(E359=1,L359=1),AG359,"")</f>
        <v/>
      </c>
      <c r="AW359" s="34">
        <f>IF(AND(E359=1,L359=0),AG359,"")</f>
        <v>9.3</v>
      </c>
      <c r="AX359" s="34" t="str">
        <f>IF(AND(E359=1,L359=1),AH359,"")</f>
        <v/>
      </c>
      <c r="AY359" s="34">
        <f>IF(AND(E359=1,L359=0),AH359,"")</f>
        <v>8.1</v>
      </c>
      <c r="AZ359" s="34" t="str">
        <f>IF(G359=1,F359,"")</f>
        <v/>
      </c>
      <c r="BA359" s="34" t="str">
        <f>IF(AND(G359=1,L359=1),F359,"")</f>
        <v/>
      </c>
      <c r="BB359" s="34" t="str">
        <f>IF(AND(G359=1,L359=0),F359,"")</f>
        <v/>
      </c>
      <c r="BC359" s="33">
        <f>IF(E359=1,IF(Orders!R356&gt;3,1,0),"")</f>
        <v>0</v>
      </c>
      <c r="BD359" s="33">
        <f>IF(E359=1,IF(Orders!R356&gt;7,1,0),"")</f>
        <v>0</v>
      </c>
      <c r="BE359" s="32" t="str">
        <f>IF(E359=1,IF(Orders!L356&lt;=1.5,"Up to 1.5 km",IF(Orders!L356&lt;=3,"1.5–3 km","Over 3 km")),"")</f>
        <v>Over 3 km</v>
      </c>
      <c r="BF359" s="33">
        <f>IF(E359=1,IF(ABS((Orders!G356-Orders!F356)*1440-Orders!R356)&lt;0.06,1,0),"")</f>
        <v>1</v>
      </c>
      <c r="BG359" s="33">
        <f>IF(ABS((Orders!F356-Orders!E356)*1440-Orders!P356)&lt;0.06,1,0)</f>
        <v>1</v>
      </c>
      <c r="BH359" s="33">
        <f>IF(E359=1,IF(IF(Orders!S356,1,0)=1-G359,1,0),"")</f>
        <v>1</v>
      </c>
      <c r="BI359" s="32" t="str">
        <f>INDEX(Stores!$B$2:$B$21,MATCH(B359,Stores!$A$2:$A$21,0))</f>
        <v>Delhi</v>
      </c>
    </row>
    <row r="360">
      <c r="A360" s="32" t="str">
        <f>Orders!A357</f>
        <v>O00356</v>
      </c>
      <c r="B360" s="32" t="str">
        <f>Orders!C357</f>
        <v>S014</v>
      </c>
      <c r="C360" s="32" t="str">
        <f>Orders!B357</f>
        <v>C0136</v>
      </c>
      <c r="D360" s="32" t="str">
        <f>Orders!H357</f>
        <v>Delivered</v>
      </c>
      <c r="E360" s="33">
        <f>IF(Orders!H357="Delivered",1,0)</f>
        <v>1</v>
      </c>
      <c r="F360" s="34">
        <f>IF(E360=1,Orders!R357,"")</f>
        <v>-0.3</v>
      </c>
      <c r="G360" s="33">
        <f>IF(E360=1,IF(Orders!R357&gt;0,1,0),"")</f>
        <v>0</v>
      </c>
      <c r="H360" s="33">
        <f>IF(E360=1,IF(Orders!R357&gt;5,1,0),"")</f>
        <v>0</v>
      </c>
      <c r="I360" s="32" t="str">
        <f>IF(E360=1,"",IF(OR(Orders!T357="Rider unavailable",Orders!T357="Item unavailable"),"Company-caused","Unresolved"))</f>
        <v/>
      </c>
      <c r="J360" s="33">
        <f>IF(OR(E360=1,I360="Company-caused"),1,0)</f>
        <v>1</v>
      </c>
      <c r="K360" s="32" t="str">
        <f>IF(E360=0,IF(I360="Company-caused",IF(Orders!T357="Rider unavailable","C1 Rider unavailable","C2 Item unavailable"),"Outside root: unresolved"),IF(G360=0,"A On time",IF(H360=1,IF(L360=1,"B2a Severe, peak","B2b Severe, off-peak"),IF(L360=1,"B1a Slight, peak","B1b Slight, off-peak"))))</f>
        <v>A On time</v>
      </c>
      <c r="L360" s="33">
        <f>IF(AND(Orders!U357&gt;=19,Orders!U357&lt;22),1,0)</f>
        <v>0</v>
      </c>
      <c r="M360" s="33">
        <f>IF(L360=IF(Orders!V357,1,0),1,0)</f>
        <v>1</v>
      </c>
      <c r="N360" s="32" t="str">
        <f>IF(Orders!W357="","None",Orders!W357)</f>
        <v>Light</v>
      </c>
      <c r="O360" s="35">
        <f>INT(Orders!E357)</f>
        <v>46275.0</v>
      </c>
      <c r="P360" s="33">
        <f>Orders!U357</f>
        <v>14</v>
      </c>
      <c r="Q360" s="33">
        <f>COUNTIFS(Demand!$A$2:$A$4481,B360,Demand!$B$2:$B$4481,O360,Demand!$C$2:$C$4481,P360)</f>
        <v>1</v>
      </c>
      <c r="R360" s="33">
        <f>IF(Q360=1,SUMIFS(Demand!$E$2:$E$4481,Demand!$A$2:$A$4481,B360,Demand!$B$2:$B$4481,O360,Demand!$C$2:$C$4481,P360),"")</f>
        <v>29</v>
      </c>
      <c r="S360" s="33">
        <f>INDEX(Stores!$G$2:$G$21,MATCH(B360,Stores!$A$2:$A$21,0))</f>
        <v>37</v>
      </c>
      <c r="T360" s="34">
        <f>IF(R360="","",R360/S360)</f>
        <v>0.783783783783784</v>
      </c>
      <c r="U360" s="34">
        <f>IF(E360=1,T360,"")</f>
        <v>0.783783783783784</v>
      </c>
      <c r="V360" s="34">
        <f>IF(AND(E360=1,L360=0),T360,"")</f>
        <v>0.783783783783784</v>
      </c>
      <c r="W360" s="33">
        <f>IF(U360="","",IF(U360&lt;=Breakdowns!$C$5,1,IF(U360&lt;=Breakdowns!$C$6,2,IF(U360&lt;=Breakdowns!$C$7,3,4))))</f>
        <v>1</v>
      </c>
      <c r="X360" s="33">
        <f>IF(V360="","",IF(V360&lt;=Breakdowns!$D$5,1,IF(V360&lt;=Breakdowns!$D$6,2,IF(V360&lt;=Breakdowns!$D$7,3,4))))</f>
        <v>2</v>
      </c>
      <c r="Y360" s="34">
        <f>INDEX(Stores!$F$2:$F$21,MATCH(B360,Stores!$A$2:$A$21,0))</f>
        <v>5.55</v>
      </c>
      <c r="Z360" s="33">
        <f>IF(Y360&gt;Store_Summary!$M$2,1,0)</f>
        <v>1</v>
      </c>
      <c r="AA360" s="33">
        <f>INDEX(Stores!$C$2:$C$21,MATCH(B360,Stores!$A$2:$A$21,0))</f>
        <v>241</v>
      </c>
      <c r="AB360" s="33">
        <f>IF(AA360&lt;180,1,0)</f>
        <v>0</v>
      </c>
      <c r="AC360" s="32" t="str">
        <f>IF(Orders!D357="","",INDEX(Riders!$C$2:$C$81,MATCH(Orders!D357,Riders!$A$2:$A$81,0)))</f>
        <v>EV scooter</v>
      </c>
      <c r="AD360" s="33">
        <f>IF(Orders!D357="","",INDEX(Riders!$D$2:$D$81,MATCH(Orders!D357,Riders!$A$2:$A$81,0)))</f>
        <v>37</v>
      </c>
      <c r="AE360" s="33">
        <f>IF(Orders!D357="","",IF(INDEX(Riders!$B$2:$B$81,MATCH(Orders!D357,Riders!$A$2:$A$81,0))=B360,1,0))</f>
        <v>0</v>
      </c>
      <c r="AF360" s="34">
        <f>IF(E360=1,Orders!L357,"")</f>
        <v>0.86</v>
      </c>
      <c r="AG360" s="34">
        <f>IF(E360=1,Orders!P357,"")</f>
        <v>7.9</v>
      </c>
      <c r="AH360" s="34">
        <f>IF(E360=1,Orders!Q357,"")</f>
        <v>7.6</v>
      </c>
      <c r="AI360" s="34">
        <f>IF(E360=1,Orders!M357,"")</f>
        <v>3.6</v>
      </c>
      <c r="AJ360" s="34">
        <f>IF(E360=1,Orders!N357,"")</f>
        <v>1.1</v>
      </c>
      <c r="AK360" s="34">
        <f>IF(E360=1,Orders!O357,"")</f>
        <v>2.9</v>
      </c>
      <c r="AL360" s="33">
        <f>IF(E360=1,IF(ROUND(ABS(AI360+AJ360+AK360-AH360),6)&lt;=0.1,1,0),"")</f>
        <v>1</v>
      </c>
      <c r="AM360" s="36">
        <f>IF(E360=1,AI360/AH360,"")</f>
        <v>0.473684210526316</v>
      </c>
      <c r="AN360" s="36">
        <f>IF(E360=1,AJ360/AH360,"")</f>
        <v>0.144736842105263</v>
      </c>
      <c r="AO360" s="36">
        <f>IF(E360=1,AK360/AH360,"")</f>
        <v>0.381578947368421</v>
      </c>
      <c r="AP360" s="34">
        <f>IF(E360=1,Orders!Y357,"")</f>
        <v>0.53</v>
      </c>
      <c r="AQ360" s="33">
        <f>IF(Orders!X357,1,0)</f>
        <v>0</v>
      </c>
      <c r="AR360" s="34" t="str">
        <f>IF(AND(E360=1,L360=1),AJ360,"")</f>
        <v/>
      </c>
      <c r="AS360" s="34">
        <f>IF(AND(E360=1,L360=0),AJ360,"")</f>
        <v>1.1</v>
      </c>
      <c r="AT360" s="34" t="str">
        <f>IF(AND(E360=1,L360=1),AI360,"")</f>
        <v/>
      </c>
      <c r="AU360" s="34">
        <f>IF(AND(E360=1,L360=0),AI360,"")</f>
        <v>3.6</v>
      </c>
      <c r="AV360" s="34" t="str">
        <f>IF(AND(E360=1,L360=1),AG360,"")</f>
        <v/>
      </c>
      <c r="AW360" s="34">
        <f>IF(AND(E360=1,L360=0),AG360,"")</f>
        <v>7.9</v>
      </c>
      <c r="AX360" s="34" t="str">
        <f>IF(AND(E360=1,L360=1),AH360,"")</f>
        <v/>
      </c>
      <c r="AY360" s="34">
        <f>IF(AND(E360=1,L360=0),AH360,"")</f>
        <v>7.6</v>
      </c>
      <c r="AZ360" s="34" t="str">
        <f>IF(G360=1,F360,"")</f>
        <v/>
      </c>
      <c r="BA360" s="34" t="str">
        <f>IF(AND(G360=1,L360=1),F360,"")</f>
        <v/>
      </c>
      <c r="BB360" s="34" t="str">
        <f>IF(AND(G360=1,L360=0),F360,"")</f>
        <v/>
      </c>
      <c r="BC360" s="33">
        <f>IF(E360=1,IF(Orders!R357&gt;3,1,0),"")</f>
        <v>0</v>
      </c>
      <c r="BD360" s="33">
        <f>IF(E360=1,IF(Orders!R357&gt;7,1,0),"")</f>
        <v>0</v>
      </c>
      <c r="BE360" s="32" t="str">
        <f>IF(E360=1,IF(Orders!L357&lt;=1.5,"Up to 1.5 km",IF(Orders!L357&lt;=3,"1.5–3 km","Over 3 km")),"")</f>
        <v>Up to 1.5 km</v>
      </c>
      <c r="BF360" s="33">
        <f>IF(E360=1,IF(ABS((Orders!G357-Orders!F357)*1440-Orders!R357)&lt;0.06,1,0),"")</f>
        <v>1</v>
      </c>
      <c r="BG360" s="33">
        <f>IF(ABS((Orders!F357-Orders!E357)*1440-Orders!P357)&lt;0.06,1,0)</f>
        <v>1</v>
      </c>
      <c r="BH360" s="33">
        <f>IF(E360=1,IF(IF(Orders!S357,1,0)=1-G360,1,0),"")</f>
        <v>1</v>
      </c>
      <c r="BI360" s="32" t="str">
        <f>INDEX(Stores!$B$2:$B$21,MATCH(B360,Stores!$A$2:$A$21,0))</f>
        <v>Pune</v>
      </c>
    </row>
    <row r="361">
      <c r="A361" s="32" t="str">
        <f>Orders!A358</f>
        <v>O00357</v>
      </c>
      <c r="B361" s="32" t="str">
        <f>Orders!C358</f>
        <v>S016</v>
      </c>
      <c r="C361" s="32" t="str">
        <f>Orders!B358</f>
        <v>C0109</v>
      </c>
      <c r="D361" s="32" t="str">
        <f>Orders!H358</f>
        <v>Delivered</v>
      </c>
      <c r="E361" s="33">
        <f>IF(Orders!H358="Delivered",1,0)</f>
        <v>1</v>
      </c>
      <c r="F361" s="34">
        <f>IF(E361=1,Orders!R358,"")</f>
        <v>2.6</v>
      </c>
      <c r="G361" s="33">
        <f>IF(E361=1,IF(Orders!R358&gt;0,1,0),"")</f>
        <v>1</v>
      </c>
      <c r="H361" s="33">
        <f>IF(E361=1,IF(Orders!R358&gt;5,1,0),"")</f>
        <v>0</v>
      </c>
      <c r="I361" s="32" t="str">
        <f>IF(E361=1,"",IF(OR(Orders!T358="Rider unavailable",Orders!T358="Item unavailable"),"Company-caused","Unresolved"))</f>
        <v/>
      </c>
      <c r="J361" s="33">
        <f>IF(OR(E361=1,I361="Company-caused"),1,0)</f>
        <v>1</v>
      </c>
      <c r="K361" s="32" t="str">
        <f>IF(E361=0,IF(I361="Company-caused",IF(Orders!T358="Rider unavailable","C1 Rider unavailable","C2 Item unavailable"),"Outside root: unresolved"),IF(G361=0,"A On time",IF(H361=1,IF(L361=1,"B2a Severe, peak","B2b Severe, off-peak"),IF(L361=1,"B1a Slight, peak","B1b Slight, off-peak"))))</f>
        <v>B1b Slight, off-peak</v>
      </c>
      <c r="L361" s="33">
        <f>IF(AND(Orders!U358&gt;=19,Orders!U358&lt;22),1,0)</f>
        <v>0</v>
      </c>
      <c r="M361" s="33">
        <f>IF(L361=IF(Orders!V358,1,0),1,0)</f>
        <v>1</v>
      </c>
      <c r="N361" s="32" t="str">
        <f>IF(Orders!W358="","None",Orders!W358)</f>
        <v>Light</v>
      </c>
      <c r="O361" s="35">
        <f>INT(Orders!E358)</f>
        <v>46275.0</v>
      </c>
      <c r="P361" s="33">
        <f>Orders!U358</f>
        <v>22</v>
      </c>
      <c r="Q361" s="33">
        <f>COUNTIFS(Demand!$A$2:$A$4481,B361,Demand!$B$2:$B$4481,O361,Demand!$C$2:$C$4481,P361)</f>
        <v>1</v>
      </c>
      <c r="R361" s="33">
        <f>IF(Q361=1,SUMIFS(Demand!$E$2:$E$4481,Demand!$A$2:$A$4481,B361,Demand!$B$2:$B$4481,O361,Demand!$C$2:$C$4481,P361),"")</f>
        <v>31</v>
      </c>
      <c r="S361" s="33">
        <f>INDEX(Stores!$G$2:$G$21,MATCH(B361,Stores!$A$2:$A$21,0))</f>
        <v>25</v>
      </c>
      <c r="T361" s="34">
        <f>IF(R361="","",R361/S361)</f>
        <v>1.24</v>
      </c>
      <c r="U361" s="34">
        <f>IF(E361=1,T361,"")</f>
        <v>1.24</v>
      </c>
      <c r="V361" s="34">
        <f>IF(AND(E361=1,L361=0),T361,"")</f>
        <v>1.24</v>
      </c>
      <c r="W361" s="33">
        <f>IF(U361="","",IF(U361&lt;=Breakdowns!$C$5,1,IF(U361&lt;=Breakdowns!$C$6,2,IF(U361&lt;=Breakdowns!$C$7,3,4))))</f>
        <v>4</v>
      </c>
      <c r="X361" s="33">
        <f>IF(V361="","",IF(V361&lt;=Breakdowns!$D$5,1,IF(V361&lt;=Breakdowns!$D$6,2,IF(V361&lt;=Breakdowns!$D$7,3,4))))</f>
        <v>4</v>
      </c>
      <c r="Y361" s="34">
        <f>INDEX(Stores!$F$2:$F$21,MATCH(B361,Stores!$A$2:$A$21,0))</f>
        <v>5.51</v>
      </c>
      <c r="Z361" s="33">
        <f>IF(Y361&gt;Store_Summary!$M$2,1,0)</f>
        <v>1</v>
      </c>
      <c r="AA361" s="33">
        <f>INDEX(Stores!$C$2:$C$21,MATCH(B361,Stores!$A$2:$A$21,0))</f>
        <v>792</v>
      </c>
      <c r="AB361" s="33">
        <f>IF(AA361&lt;180,1,0)</f>
        <v>0</v>
      </c>
      <c r="AC361" s="32" t="str">
        <f>IF(Orders!D358="","",INDEX(Riders!$C$2:$C$81,MATCH(Orders!D358,Riders!$A$2:$A$81,0)))</f>
        <v>Petrol scooter</v>
      </c>
      <c r="AD361" s="33">
        <f>IF(Orders!D358="","",INDEX(Riders!$D$2:$D$81,MATCH(Orders!D358,Riders!$A$2:$A$81,0)))</f>
        <v>37</v>
      </c>
      <c r="AE361" s="33">
        <f>IF(Orders!D358="","",IF(INDEX(Riders!$B$2:$B$81,MATCH(Orders!D358,Riders!$A$2:$A$81,0))=B361,1,0))</f>
        <v>0</v>
      </c>
      <c r="AF361" s="34">
        <f>IF(E361=1,Orders!L358,"")</f>
        <v>0.85</v>
      </c>
      <c r="AG361" s="34">
        <f>IF(E361=1,Orders!P358,"")</f>
        <v>9.8</v>
      </c>
      <c r="AH361" s="34">
        <f>IF(E361=1,Orders!Q358,"")</f>
        <v>12.4</v>
      </c>
      <c r="AI361" s="34">
        <f>IF(E361=1,Orders!M358,"")</f>
        <v>5.2</v>
      </c>
      <c r="AJ361" s="34">
        <f>IF(E361=1,Orders!N358,"")</f>
        <v>4.3</v>
      </c>
      <c r="AK361" s="34">
        <f>IF(E361=1,Orders!O358,"")</f>
        <v>2.9</v>
      </c>
      <c r="AL361" s="33">
        <f>IF(E361=1,IF(ROUND(ABS(AI361+AJ361+AK361-AH361),6)&lt;=0.1,1,0),"")</f>
        <v>1</v>
      </c>
      <c r="AM361" s="36">
        <f>IF(E361=1,AI361/AH361,"")</f>
        <v>0.419354838709677</v>
      </c>
      <c r="AN361" s="36">
        <f>IF(E361=1,AJ361/AH361,"")</f>
        <v>0.346774193548387</v>
      </c>
      <c r="AO361" s="36">
        <f>IF(E361=1,AK361/AH361,"")</f>
        <v>0.233870967741935</v>
      </c>
      <c r="AP361" s="34">
        <f>IF(E361=1,Orders!Y358,"")</f>
        <v>0</v>
      </c>
      <c r="AQ361" s="33">
        <f>IF(Orders!X358,1,0)</f>
        <v>0</v>
      </c>
      <c r="AR361" s="34" t="str">
        <f>IF(AND(E361=1,L361=1),AJ361,"")</f>
        <v/>
      </c>
      <c r="AS361" s="34">
        <f>IF(AND(E361=1,L361=0),AJ361,"")</f>
        <v>4.3</v>
      </c>
      <c r="AT361" s="34" t="str">
        <f>IF(AND(E361=1,L361=1),AI361,"")</f>
        <v/>
      </c>
      <c r="AU361" s="34">
        <f>IF(AND(E361=1,L361=0),AI361,"")</f>
        <v>5.2</v>
      </c>
      <c r="AV361" s="34" t="str">
        <f>IF(AND(E361=1,L361=1),AG361,"")</f>
        <v/>
      </c>
      <c r="AW361" s="34">
        <f>IF(AND(E361=1,L361=0),AG361,"")</f>
        <v>9.8</v>
      </c>
      <c r="AX361" s="34" t="str">
        <f>IF(AND(E361=1,L361=1),AH361,"")</f>
        <v/>
      </c>
      <c r="AY361" s="34">
        <f>IF(AND(E361=1,L361=0),AH361,"")</f>
        <v>12.4</v>
      </c>
      <c r="AZ361" s="34">
        <f>IF(G361=1,F361,"")</f>
        <v>2.6</v>
      </c>
      <c r="BA361" s="34" t="str">
        <f>IF(AND(G361=1,L361=1),F361,"")</f>
        <v/>
      </c>
      <c r="BB361" s="34">
        <f>IF(AND(G361=1,L361=0),F361,"")</f>
        <v>2.6</v>
      </c>
      <c r="BC361" s="33">
        <f>IF(E361=1,IF(Orders!R358&gt;3,1,0),"")</f>
        <v>0</v>
      </c>
      <c r="BD361" s="33">
        <f>IF(E361=1,IF(Orders!R358&gt;7,1,0),"")</f>
        <v>0</v>
      </c>
      <c r="BE361" s="32" t="str">
        <f>IF(E361=1,IF(Orders!L358&lt;=1.5,"Up to 1.5 km",IF(Orders!L358&lt;=3,"1.5–3 km","Over 3 km")),"")</f>
        <v>Up to 1.5 km</v>
      </c>
      <c r="BF361" s="33">
        <f>IF(E361=1,IF(ABS((Orders!G358-Orders!F358)*1440-Orders!R358)&lt;0.06,1,0),"")</f>
        <v>1</v>
      </c>
      <c r="BG361" s="33">
        <f>IF(ABS((Orders!F358-Orders!E358)*1440-Orders!P358)&lt;0.06,1,0)</f>
        <v>1</v>
      </c>
      <c r="BH361" s="33">
        <f>IF(E361=1,IF(IF(Orders!S358,1,0)=1-G361,1,0),"")</f>
        <v>1</v>
      </c>
      <c r="BI361" s="32" t="str">
        <f>INDEX(Stores!$B$2:$B$21,MATCH(B361,Stores!$A$2:$A$21,0))</f>
        <v>Bengaluru</v>
      </c>
    </row>
    <row r="362">
      <c r="A362" s="32" t="str">
        <f>Orders!A359</f>
        <v>O00358</v>
      </c>
      <c r="B362" s="32" t="str">
        <f>Orders!C359</f>
        <v>S013</v>
      </c>
      <c r="C362" s="32" t="str">
        <f>Orders!B359</f>
        <v>C0145</v>
      </c>
      <c r="D362" s="32" t="str">
        <f>Orders!H359</f>
        <v>Delivered</v>
      </c>
      <c r="E362" s="33">
        <f>IF(Orders!H359="Delivered",1,0)</f>
        <v>1</v>
      </c>
      <c r="F362" s="34">
        <f>IF(E362=1,Orders!R359,"")</f>
        <v>-1</v>
      </c>
      <c r="G362" s="33">
        <f>IF(E362=1,IF(Orders!R359&gt;0,1,0),"")</f>
        <v>0</v>
      </c>
      <c r="H362" s="33">
        <f>IF(E362=1,IF(Orders!R359&gt;5,1,0),"")</f>
        <v>0</v>
      </c>
      <c r="I362" s="32" t="str">
        <f>IF(E362=1,"",IF(OR(Orders!T359="Rider unavailable",Orders!T359="Item unavailable"),"Company-caused","Unresolved"))</f>
        <v/>
      </c>
      <c r="J362" s="33">
        <f>IF(OR(E362=1,I362="Company-caused"),1,0)</f>
        <v>1</v>
      </c>
      <c r="K362" s="32" t="str">
        <f>IF(E362=0,IF(I362="Company-caused",IF(Orders!T359="Rider unavailable","C1 Rider unavailable","C2 Item unavailable"),"Outside root: unresolved"),IF(G362=0,"A On time",IF(H362=1,IF(L362=1,"B2a Severe, peak","B2b Severe, off-peak"),IF(L362=1,"B1a Slight, peak","B1b Slight, off-peak"))))</f>
        <v>A On time</v>
      </c>
      <c r="L362" s="33">
        <f>IF(AND(Orders!U359&gt;=19,Orders!U359&lt;22),1,0)</f>
        <v>0</v>
      </c>
      <c r="M362" s="33">
        <f>IF(L362=IF(Orders!V359,1,0),1,0)</f>
        <v>1</v>
      </c>
      <c r="N362" s="32" t="str">
        <f>IF(Orders!W359="","None",Orders!W359)</f>
        <v>Heavy</v>
      </c>
      <c r="O362" s="35">
        <f>INT(Orders!E359)</f>
        <v>46267.0</v>
      </c>
      <c r="P362" s="33">
        <f>Orders!U359</f>
        <v>16</v>
      </c>
      <c r="Q362" s="33">
        <f>COUNTIFS(Demand!$A$2:$A$4481,B362,Demand!$B$2:$B$4481,O362,Demand!$C$2:$C$4481,P362)</f>
        <v>1</v>
      </c>
      <c r="R362" s="33">
        <f>IF(Q362=1,SUMIFS(Demand!$E$2:$E$4481,Demand!$A$2:$A$4481,B362,Demand!$B$2:$B$4481,O362,Demand!$C$2:$C$4481,P362),"")</f>
        <v>45</v>
      </c>
      <c r="S362" s="33">
        <f>INDEX(Stores!$G$2:$G$21,MATCH(B362,Stores!$A$2:$A$21,0))</f>
        <v>49</v>
      </c>
      <c r="T362" s="34">
        <f>IF(R362="","",R362/S362)</f>
        <v>0.918367346938776</v>
      </c>
      <c r="U362" s="34">
        <f>IF(E362=1,T362,"")</f>
        <v>0.918367346938776</v>
      </c>
      <c r="V362" s="34">
        <f>IF(AND(E362=1,L362=0),T362,"")</f>
        <v>0.918367346938776</v>
      </c>
      <c r="W362" s="33">
        <f>IF(U362="","",IF(U362&lt;=Breakdowns!$C$5,1,IF(U362&lt;=Breakdowns!$C$6,2,IF(U362&lt;=Breakdowns!$C$7,3,4))))</f>
        <v>2</v>
      </c>
      <c r="X362" s="33">
        <f>IF(V362="","",IF(V362&lt;=Breakdowns!$D$5,1,IF(V362&lt;=Breakdowns!$D$6,2,IF(V362&lt;=Breakdowns!$D$7,3,4))))</f>
        <v>3</v>
      </c>
      <c r="Y362" s="34">
        <f>INDEX(Stores!$F$2:$F$21,MATCH(B362,Stores!$A$2:$A$21,0))</f>
        <v>5.82</v>
      </c>
      <c r="Z362" s="33">
        <f>IF(Y362&gt;Store_Summary!$M$2,1,0)</f>
        <v>1</v>
      </c>
      <c r="AA362" s="33">
        <f>INDEX(Stores!$C$2:$C$21,MATCH(B362,Stores!$A$2:$A$21,0))</f>
        <v>705</v>
      </c>
      <c r="AB362" s="33">
        <f>IF(AA362&lt;180,1,0)</f>
        <v>0</v>
      </c>
      <c r="AC362" s="32" t="str">
        <f>IF(Orders!D359="","",INDEX(Riders!$C$2:$C$81,MATCH(Orders!D359,Riders!$A$2:$A$81,0)))</f>
        <v>EV scooter</v>
      </c>
      <c r="AD362" s="33">
        <f>IF(Orders!D359="","",INDEX(Riders!$D$2:$D$81,MATCH(Orders!D359,Riders!$A$2:$A$81,0)))</f>
        <v>45</v>
      </c>
      <c r="AE362" s="33">
        <f>IF(Orders!D359="","",IF(INDEX(Riders!$B$2:$B$81,MATCH(Orders!D359,Riders!$A$2:$A$81,0))=B362,1,0))</f>
        <v>0</v>
      </c>
      <c r="AF362" s="34">
        <f>IF(E362=1,Orders!L359,"")</f>
        <v>2.88</v>
      </c>
      <c r="AG362" s="34">
        <f>IF(E362=1,Orders!P359,"")</f>
        <v>10</v>
      </c>
      <c r="AH362" s="34">
        <f>IF(E362=1,Orders!Q359,"")</f>
        <v>9</v>
      </c>
      <c r="AI362" s="34">
        <f>IF(E362=1,Orders!M359,"")</f>
        <v>2.7</v>
      </c>
      <c r="AJ362" s="34">
        <f>IF(E362=1,Orders!N359,"")</f>
        <v>1.7</v>
      </c>
      <c r="AK362" s="34">
        <f>IF(E362=1,Orders!O359,"")</f>
        <v>4.6</v>
      </c>
      <c r="AL362" s="33">
        <f>IF(E362=1,IF(ROUND(ABS(AI362+AJ362+AK362-AH362),6)&lt;=0.1,1,0),"")</f>
        <v>1</v>
      </c>
      <c r="AM362" s="36">
        <f>IF(E362=1,AI362/AH362,"")</f>
        <v>0.3</v>
      </c>
      <c r="AN362" s="36">
        <f>IF(E362=1,AJ362/AH362,"")</f>
        <v>0.188888888888889</v>
      </c>
      <c r="AO362" s="36">
        <f>IF(E362=1,AK362/AH362,"")</f>
        <v>0.511111111111111</v>
      </c>
      <c r="AP362" s="34">
        <f>IF(E362=1,Orders!Y359,"")</f>
        <v>0.61</v>
      </c>
      <c r="AQ362" s="33">
        <f>IF(Orders!X359,1,0)</f>
        <v>0</v>
      </c>
      <c r="AR362" s="34" t="str">
        <f>IF(AND(E362=1,L362=1),AJ362,"")</f>
        <v/>
      </c>
      <c r="AS362" s="34">
        <f>IF(AND(E362=1,L362=0),AJ362,"")</f>
        <v>1.7</v>
      </c>
      <c r="AT362" s="34" t="str">
        <f>IF(AND(E362=1,L362=1),AI362,"")</f>
        <v/>
      </c>
      <c r="AU362" s="34">
        <f>IF(AND(E362=1,L362=0),AI362,"")</f>
        <v>2.7</v>
      </c>
      <c r="AV362" s="34" t="str">
        <f>IF(AND(E362=1,L362=1),AG362,"")</f>
        <v/>
      </c>
      <c r="AW362" s="34">
        <f>IF(AND(E362=1,L362=0),AG362,"")</f>
        <v>10</v>
      </c>
      <c r="AX362" s="34" t="str">
        <f>IF(AND(E362=1,L362=1),AH362,"")</f>
        <v/>
      </c>
      <c r="AY362" s="34">
        <f>IF(AND(E362=1,L362=0),AH362,"")</f>
        <v>9</v>
      </c>
      <c r="AZ362" s="34" t="str">
        <f>IF(G362=1,F362,"")</f>
        <v/>
      </c>
      <c r="BA362" s="34" t="str">
        <f>IF(AND(G362=1,L362=1),F362,"")</f>
        <v/>
      </c>
      <c r="BB362" s="34" t="str">
        <f>IF(AND(G362=1,L362=0),F362,"")</f>
        <v/>
      </c>
      <c r="BC362" s="33">
        <f>IF(E362=1,IF(Orders!R359&gt;3,1,0),"")</f>
        <v>0</v>
      </c>
      <c r="BD362" s="33">
        <f>IF(E362=1,IF(Orders!R359&gt;7,1,0),"")</f>
        <v>0</v>
      </c>
      <c r="BE362" s="32" t="str">
        <f>IF(E362=1,IF(Orders!L359&lt;=1.5,"Up to 1.5 km",IF(Orders!L359&lt;=3,"1.5–3 km","Over 3 km")),"")</f>
        <v>1.5–3 km</v>
      </c>
      <c r="BF362" s="33">
        <f>IF(E362=1,IF(ABS((Orders!G359-Orders!F359)*1440-Orders!R359)&lt;0.06,1,0),"")</f>
        <v>1</v>
      </c>
      <c r="BG362" s="33">
        <f>IF(ABS((Orders!F359-Orders!E359)*1440-Orders!P359)&lt;0.06,1,0)</f>
        <v>1</v>
      </c>
      <c r="BH362" s="33">
        <f>IF(E362=1,IF(IF(Orders!S359,1,0)=1-G362,1,0),"")</f>
        <v>1</v>
      </c>
      <c r="BI362" s="32" t="str">
        <f>INDEX(Stores!$B$2:$B$21,MATCH(B362,Stores!$A$2:$A$21,0))</f>
        <v>Mumbai</v>
      </c>
    </row>
    <row r="363">
      <c r="A363" s="32" t="str">
        <f>Orders!A360</f>
        <v>O00359</v>
      </c>
      <c r="B363" s="32" t="str">
        <f>Orders!C360</f>
        <v>S007</v>
      </c>
      <c r="C363" s="32" t="str">
        <f>Orders!B360</f>
        <v>C0184</v>
      </c>
      <c r="D363" s="32" t="str">
        <f>Orders!H360</f>
        <v>Delivered</v>
      </c>
      <c r="E363" s="33">
        <f>IF(Orders!H360="Delivered",1,0)</f>
        <v>1</v>
      </c>
      <c r="F363" s="34">
        <f>IF(E363=1,Orders!R360,"")</f>
        <v>5.5</v>
      </c>
      <c r="G363" s="33">
        <f>IF(E363=1,IF(Orders!R360&gt;0,1,0),"")</f>
        <v>1</v>
      </c>
      <c r="H363" s="33">
        <f>IF(E363=1,IF(Orders!R360&gt;5,1,0),"")</f>
        <v>1</v>
      </c>
      <c r="I363" s="32" t="str">
        <f>IF(E363=1,"",IF(OR(Orders!T360="Rider unavailable",Orders!T360="Item unavailable"),"Company-caused","Unresolved"))</f>
        <v/>
      </c>
      <c r="J363" s="33">
        <f>IF(OR(E363=1,I363="Company-caused"),1,0)</f>
        <v>1</v>
      </c>
      <c r="K363" s="32" t="str">
        <f>IF(E363=0,IF(I363="Company-caused",IF(Orders!T360="Rider unavailable","C1 Rider unavailable","C2 Item unavailable"),"Outside root: unresolved"),IF(G363=0,"A On time",IF(H363=1,IF(L363=1,"B2a Severe, peak","B2b Severe, off-peak"),IF(L363=1,"B1a Slight, peak","B1b Slight, off-peak"))))</f>
        <v>B2b Severe, off-peak</v>
      </c>
      <c r="L363" s="33">
        <f>IF(AND(Orders!U360&gt;=19,Orders!U360&lt;22),1,0)</f>
        <v>0</v>
      </c>
      <c r="M363" s="33">
        <f>IF(L363=IF(Orders!V360,1,0),1,0)</f>
        <v>1</v>
      </c>
      <c r="N363" s="32" t="str">
        <f>IF(Orders!W360="","None",Orders!W360)</f>
        <v>None</v>
      </c>
      <c r="O363" s="35">
        <f>INT(Orders!E360)</f>
        <v>46275.0</v>
      </c>
      <c r="P363" s="33">
        <f>Orders!U360</f>
        <v>11</v>
      </c>
      <c r="Q363" s="33">
        <f>COUNTIFS(Demand!$A$2:$A$4481,B363,Demand!$B$2:$B$4481,O363,Demand!$C$2:$C$4481,P363)</f>
        <v>1</v>
      </c>
      <c r="R363" s="33">
        <f>IF(Q363=1,SUMIFS(Demand!$E$2:$E$4481,Demand!$A$2:$A$4481,B363,Demand!$B$2:$B$4481,O363,Demand!$C$2:$C$4481,P363),"")</f>
        <v>43</v>
      </c>
      <c r="S363" s="33">
        <f>INDEX(Stores!$G$2:$G$21,MATCH(B363,Stores!$A$2:$A$21,0))</f>
        <v>37</v>
      </c>
      <c r="T363" s="34">
        <f>IF(R363="","",R363/S363)</f>
        <v>1.16216216216216</v>
      </c>
      <c r="U363" s="34">
        <f>IF(E363=1,T363,"")</f>
        <v>1.16216216216216</v>
      </c>
      <c r="V363" s="34">
        <f>IF(AND(E363=1,L363=0),T363,"")</f>
        <v>1.16216216216216</v>
      </c>
      <c r="W363" s="33">
        <f>IF(U363="","",IF(U363&lt;=Breakdowns!$C$5,1,IF(U363&lt;=Breakdowns!$C$6,2,IF(U363&lt;=Breakdowns!$C$7,3,4))))</f>
        <v>3</v>
      </c>
      <c r="X363" s="33">
        <f>IF(V363="","",IF(V363&lt;=Breakdowns!$D$5,1,IF(V363&lt;=Breakdowns!$D$6,2,IF(V363&lt;=Breakdowns!$D$7,3,4))))</f>
        <v>4</v>
      </c>
      <c r="Y363" s="34">
        <f>INDEX(Stores!$F$2:$F$21,MATCH(B363,Stores!$A$2:$A$21,0))</f>
        <v>4.05</v>
      </c>
      <c r="Z363" s="33">
        <f>IF(Y363&gt;Store_Summary!$M$2,1,0)</f>
        <v>0</v>
      </c>
      <c r="AA363" s="33">
        <f>INDEX(Stores!$C$2:$C$21,MATCH(B363,Stores!$A$2:$A$21,0))</f>
        <v>661</v>
      </c>
      <c r="AB363" s="33">
        <f>IF(AA363&lt;180,1,0)</f>
        <v>0</v>
      </c>
      <c r="AC363" s="32" t="str">
        <f>IF(Orders!D360="","",INDEX(Riders!$C$2:$C$81,MATCH(Orders!D360,Riders!$A$2:$A$81,0)))</f>
        <v>Petrol scooter</v>
      </c>
      <c r="AD363" s="33">
        <f>IF(Orders!D360="","",INDEX(Riders!$D$2:$D$81,MATCH(Orders!D360,Riders!$A$2:$A$81,0)))</f>
        <v>15</v>
      </c>
      <c r="AE363" s="33">
        <f>IF(Orders!D360="","",IF(INDEX(Riders!$B$2:$B$81,MATCH(Orders!D360,Riders!$A$2:$A$81,0))=B363,1,0))</f>
        <v>0</v>
      </c>
      <c r="AF363" s="34">
        <f>IF(E363=1,Orders!L360,"")</f>
        <v>2.73</v>
      </c>
      <c r="AG363" s="34">
        <f>IF(E363=1,Orders!P360,"")</f>
        <v>8.6</v>
      </c>
      <c r="AH363" s="34">
        <f>IF(E363=1,Orders!Q360,"")</f>
        <v>14.1</v>
      </c>
      <c r="AI363" s="34">
        <f>IF(E363=1,Orders!M360,"")</f>
        <v>4.1</v>
      </c>
      <c r="AJ363" s="34">
        <f>IF(E363=1,Orders!N360,"")</f>
        <v>2.4</v>
      </c>
      <c r="AK363" s="34">
        <f>IF(E363=1,Orders!O360,"")</f>
        <v>7.6</v>
      </c>
      <c r="AL363" s="33">
        <f>IF(E363=1,IF(ROUND(ABS(AI363+AJ363+AK363-AH363),6)&lt;=0.1,1,0),"")</f>
        <v>1</v>
      </c>
      <c r="AM363" s="36">
        <f>IF(E363=1,AI363/AH363,"")</f>
        <v>0.290780141843972</v>
      </c>
      <c r="AN363" s="36">
        <f>IF(E363=1,AJ363/AH363,"")</f>
        <v>0.170212765957447</v>
      </c>
      <c r="AO363" s="36">
        <f>IF(E363=1,AK363/AH363,"")</f>
        <v>0.539007092198582</v>
      </c>
      <c r="AP363" s="34">
        <f>IF(E363=1,Orders!Y360,"")</f>
        <v>0.36</v>
      </c>
      <c r="AQ363" s="33">
        <f>IF(Orders!X360,1,0)</f>
        <v>0</v>
      </c>
      <c r="AR363" s="34" t="str">
        <f>IF(AND(E363=1,L363=1),AJ363,"")</f>
        <v/>
      </c>
      <c r="AS363" s="34">
        <f>IF(AND(E363=1,L363=0),AJ363,"")</f>
        <v>2.4</v>
      </c>
      <c r="AT363" s="34" t="str">
        <f>IF(AND(E363=1,L363=1),AI363,"")</f>
        <v/>
      </c>
      <c r="AU363" s="34">
        <f>IF(AND(E363=1,L363=0),AI363,"")</f>
        <v>4.1</v>
      </c>
      <c r="AV363" s="34" t="str">
        <f>IF(AND(E363=1,L363=1),AG363,"")</f>
        <v/>
      </c>
      <c r="AW363" s="34">
        <f>IF(AND(E363=1,L363=0),AG363,"")</f>
        <v>8.6</v>
      </c>
      <c r="AX363" s="34" t="str">
        <f>IF(AND(E363=1,L363=1),AH363,"")</f>
        <v/>
      </c>
      <c r="AY363" s="34">
        <f>IF(AND(E363=1,L363=0),AH363,"")</f>
        <v>14.1</v>
      </c>
      <c r="AZ363" s="34">
        <f>IF(G363=1,F363,"")</f>
        <v>5.5</v>
      </c>
      <c r="BA363" s="34" t="str">
        <f>IF(AND(G363=1,L363=1),F363,"")</f>
        <v/>
      </c>
      <c r="BB363" s="34">
        <f>IF(AND(G363=1,L363=0),F363,"")</f>
        <v>5.5</v>
      </c>
      <c r="BC363" s="33">
        <f>IF(E363=1,IF(Orders!R360&gt;3,1,0),"")</f>
        <v>1</v>
      </c>
      <c r="BD363" s="33">
        <f>IF(E363=1,IF(Orders!R360&gt;7,1,0),"")</f>
        <v>0</v>
      </c>
      <c r="BE363" s="32" t="str">
        <f>IF(E363=1,IF(Orders!L360&lt;=1.5,"Up to 1.5 km",IF(Orders!L360&lt;=3,"1.5–3 km","Over 3 km")),"")</f>
        <v>1.5–3 km</v>
      </c>
      <c r="BF363" s="33">
        <f>IF(E363=1,IF(ABS((Orders!G360-Orders!F360)*1440-Orders!R360)&lt;0.06,1,0),"")</f>
        <v>1</v>
      </c>
      <c r="BG363" s="33">
        <f>IF(ABS((Orders!F360-Orders!E360)*1440-Orders!P360)&lt;0.06,1,0)</f>
        <v>1</v>
      </c>
      <c r="BH363" s="33">
        <f>IF(E363=1,IF(IF(Orders!S360,1,0)=1-G363,1,0),"")</f>
        <v>1</v>
      </c>
      <c r="BI363" s="32" t="str">
        <f>INDEX(Stores!$B$2:$B$21,MATCH(B363,Stores!$A$2:$A$21,0))</f>
        <v>Hyderabad</v>
      </c>
    </row>
    <row r="364">
      <c r="A364" s="32" t="str">
        <f>Orders!A361</f>
        <v>O00360</v>
      </c>
      <c r="B364" s="32" t="str">
        <f>Orders!C361</f>
        <v>S003</v>
      </c>
      <c r="C364" s="32" t="str">
        <f>Orders!B361</f>
        <v>C0014</v>
      </c>
      <c r="D364" s="32" t="str">
        <f>Orders!H361</f>
        <v>Delivered</v>
      </c>
      <c r="E364" s="33">
        <f>IF(Orders!H361="Delivered",1,0)</f>
        <v>1</v>
      </c>
      <c r="F364" s="34">
        <f>IF(E364=1,Orders!R361,"")</f>
        <v>0.2</v>
      </c>
      <c r="G364" s="33">
        <f>IF(E364=1,IF(Orders!R361&gt;0,1,0),"")</f>
        <v>1</v>
      </c>
      <c r="H364" s="33">
        <f>IF(E364=1,IF(Orders!R361&gt;5,1,0),"")</f>
        <v>0</v>
      </c>
      <c r="I364" s="32" t="str">
        <f>IF(E364=1,"",IF(OR(Orders!T361="Rider unavailable",Orders!T361="Item unavailable"),"Company-caused","Unresolved"))</f>
        <v/>
      </c>
      <c r="J364" s="33">
        <f>IF(OR(E364=1,I364="Company-caused"),1,0)</f>
        <v>1</v>
      </c>
      <c r="K364" s="32" t="str">
        <f>IF(E364=0,IF(I364="Company-caused",IF(Orders!T361="Rider unavailable","C1 Rider unavailable","C2 Item unavailable"),"Outside root: unresolved"),IF(G364=0,"A On time",IF(H364=1,IF(L364=1,"B2a Severe, peak","B2b Severe, off-peak"),IF(L364=1,"B1a Slight, peak","B1b Slight, off-peak"))))</f>
        <v>B1b Slight, off-peak</v>
      </c>
      <c r="L364" s="33">
        <f>IF(AND(Orders!U361&gt;=19,Orders!U361&lt;22),1,0)</f>
        <v>0</v>
      </c>
      <c r="M364" s="33">
        <f>IF(L364=IF(Orders!V361,1,0),1,0)</f>
        <v>1</v>
      </c>
      <c r="N364" s="32" t="str">
        <f>IF(Orders!W361="","None",Orders!W361)</f>
        <v>Light</v>
      </c>
      <c r="O364" s="35">
        <f>INT(Orders!E361)</f>
        <v>46266.0</v>
      </c>
      <c r="P364" s="33">
        <f>Orders!U361</f>
        <v>18</v>
      </c>
      <c r="Q364" s="33">
        <f>COUNTIFS(Demand!$A$2:$A$4481,B364,Demand!$B$2:$B$4481,O364,Demand!$C$2:$C$4481,P364)</f>
        <v>1</v>
      </c>
      <c r="R364" s="33">
        <f>IF(Q364=1,SUMIFS(Demand!$E$2:$E$4481,Demand!$A$2:$A$4481,B364,Demand!$B$2:$B$4481,O364,Demand!$C$2:$C$4481,P364),"")</f>
        <v>34</v>
      </c>
      <c r="S364" s="33">
        <f>INDEX(Stores!$G$2:$G$21,MATCH(B364,Stores!$A$2:$A$21,0))</f>
        <v>41</v>
      </c>
      <c r="T364" s="34">
        <f>IF(R364="","",R364/S364)</f>
        <v>0.829268292682927</v>
      </c>
      <c r="U364" s="34">
        <f>IF(E364=1,T364,"")</f>
        <v>0.829268292682927</v>
      </c>
      <c r="V364" s="34">
        <f>IF(AND(E364=1,L364=0),T364,"")</f>
        <v>0.829268292682927</v>
      </c>
      <c r="W364" s="33">
        <f>IF(U364="","",IF(U364&lt;=Breakdowns!$C$5,1,IF(U364&lt;=Breakdowns!$C$6,2,IF(U364&lt;=Breakdowns!$C$7,3,4))))</f>
        <v>2</v>
      </c>
      <c r="X364" s="33">
        <f>IF(V364="","",IF(V364&lt;=Breakdowns!$D$5,1,IF(V364&lt;=Breakdowns!$D$6,2,IF(V364&lt;=Breakdowns!$D$7,3,4))))</f>
        <v>2</v>
      </c>
      <c r="Y364" s="34">
        <f>INDEX(Stores!$F$2:$F$21,MATCH(B364,Stores!$A$2:$A$21,0))</f>
        <v>3.84</v>
      </c>
      <c r="Z364" s="33">
        <f>IF(Y364&gt;Store_Summary!$M$2,1,0)</f>
        <v>0</v>
      </c>
      <c r="AA364" s="33">
        <f>INDEX(Stores!$C$2:$C$21,MATCH(B364,Stores!$A$2:$A$21,0))</f>
        <v>426</v>
      </c>
      <c r="AB364" s="33">
        <f>IF(AA364&lt;180,1,0)</f>
        <v>0</v>
      </c>
      <c r="AC364" s="32" t="str">
        <f>IF(Orders!D361="","",INDEX(Riders!$C$2:$C$81,MATCH(Orders!D361,Riders!$A$2:$A$81,0)))</f>
        <v>Bicycle</v>
      </c>
      <c r="AD364" s="33">
        <f>IF(Orders!D361="","",INDEX(Riders!$D$2:$D$81,MATCH(Orders!D361,Riders!$A$2:$A$81,0)))</f>
        <v>40</v>
      </c>
      <c r="AE364" s="33">
        <f>IF(Orders!D361="","",IF(INDEX(Riders!$B$2:$B$81,MATCH(Orders!D361,Riders!$A$2:$A$81,0))=B364,1,0))</f>
        <v>0</v>
      </c>
      <c r="AF364" s="34">
        <f>IF(E364=1,Orders!L361,"")</f>
        <v>2.1</v>
      </c>
      <c r="AG364" s="34">
        <f>IF(E364=1,Orders!P361,"")</f>
        <v>10.9</v>
      </c>
      <c r="AH364" s="34">
        <f>IF(E364=1,Orders!Q361,"")</f>
        <v>11.1</v>
      </c>
      <c r="AI364" s="34">
        <f>IF(E364=1,Orders!M361,"")</f>
        <v>4.9</v>
      </c>
      <c r="AJ364" s="34">
        <f>IF(E364=1,Orders!N361,"")</f>
        <v>0</v>
      </c>
      <c r="AK364" s="34">
        <f>IF(E364=1,Orders!O361,"")</f>
        <v>6.2</v>
      </c>
      <c r="AL364" s="33">
        <f>IF(E364=1,IF(ROUND(ABS(AI364+AJ364+AK364-AH364),6)&lt;=0.1,1,0),"")</f>
        <v>1</v>
      </c>
      <c r="AM364" s="36">
        <f>IF(E364=1,AI364/AH364,"")</f>
        <v>0.441441441441442</v>
      </c>
      <c r="AN364" s="36">
        <f>IF(E364=1,AJ364/AH364,"")</f>
        <v>0</v>
      </c>
      <c r="AO364" s="36">
        <f>IF(E364=1,AK364/AH364,"")</f>
        <v>0.558558558558559</v>
      </c>
      <c r="AP364" s="34">
        <f>IF(E364=1,Orders!Y361,"")</f>
        <v>0.29</v>
      </c>
      <c r="AQ364" s="33">
        <f>IF(Orders!X361,1,0)</f>
        <v>0</v>
      </c>
      <c r="AR364" s="34" t="str">
        <f>IF(AND(E364=1,L364=1),AJ364,"")</f>
        <v/>
      </c>
      <c r="AS364" s="34">
        <f>IF(AND(E364=1,L364=0),AJ364,"")</f>
        <v>0</v>
      </c>
      <c r="AT364" s="34" t="str">
        <f>IF(AND(E364=1,L364=1),AI364,"")</f>
        <v/>
      </c>
      <c r="AU364" s="34">
        <f>IF(AND(E364=1,L364=0),AI364,"")</f>
        <v>4.9</v>
      </c>
      <c r="AV364" s="34" t="str">
        <f>IF(AND(E364=1,L364=1),AG364,"")</f>
        <v/>
      </c>
      <c r="AW364" s="34">
        <f>IF(AND(E364=1,L364=0),AG364,"")</f>
        <v>10.9</v>
      </c>
      <c r="AX364" s="34" t="str">
        <f>IF(AND(E364=1,L364=1),AH364,"")</f>
        <v/>
      </c>
      <c r="AY364" s="34">
        <f>IF(AND(E364=1,L364=0),AH364,"")</f>
        <v>11.1</v>
      </c>
      <c r="AZ364" s="34">
        <f>IF(G364=1,F364,"")</f>
        <v>0.2</v>
      </c>
      <c r="BA364" s="34" t="str">
        <f>IF(AND(G364=1,L364=1),F364,"")</f>
        <v/>
      </c>
      <c r="BB364" s="34">
        <f>IF(AND(G364=1,L364=0),F364,"")</f>
        <v>0.2</v>
      </c>
      <c r="BC364" s="33">
        <f>IF(E364=1,IF(Orders!R361&gt;3,1,0),"")</f>
        <v>0</v>
      </c>
      <c r="BD364" s="33">
        <f>IF(E364=1,IF(Orders!R361&gt;7,1,0),"")</f>
        <v>0</v>
      </c>
      <c r="BE364" s="32" t="str">
        <f>IF(E364=1,IF(Orders!L361&lt;=1.5,"Up to 1.5 km",IF(Orders!L361&lt;=3,"1.5–3 km","Over 3 km")),"")</f>
        <v>1.5–3 km</v>
      </c>
      <c r="BF364" s="33">
        <f>IF(E364=1,IF(ABS((Orders!G361-Orders!F361)*1440-Orders!R361)&lt;0.06,1,0),"")</f>
        <v>1</v>
      </c>
      <c r="BG364" s="33">
        <f>IF(ABS((Orders!F361-Orders!E361)*1440-Orders!P361)&lt;0.06,1,0)</f>
        <v>1</v>
      </c>
      <c r="BH364" s="33">
        <f>IF(E364=1,IF(IF(Orders!S361,1,0)=1-G364,1,0),"")</f>
        <v>1</v>
      </c>
      <c r="BI364" s="32" t="str">
        <f>INDEX(Stores!$B$2:$B$21,MATCH(B364,Stores!$A$2:$A$21,0))</f>
        <v>Mumbai</v>
      </c>
    </row>
    <row r="365">
      <c r="A365" s="32" t="str">
        <f>Orders!A362</f>
        <v>O00361</v>
      </c>
      <c r="B365" s="32" t="str">
        <f>Orders!C362</f>
        <v>S018</v>
      </c>
      <c r="C365" s="32" t="str">
        <f>Orders!B362</f>
        <v>C0129</v>
      </c>
      <c r="D365" s="32" t="str">
        <f>Orders!H362</f>
        <v>Delivered</v>
      </c>
      <c r="E365" s="33">
        <f>IF(Orders!H362="Delivered",1,0)</f>
        <v>1</v>
      </c>
      <c r="F365" s="34">
        <f>IF(E365=1,Orders!R362,"")</f>
        <v>14.3</v>
      </c>
      <c r="G365" s="33">
        <f>IF(E365=1,IF(Orders!R362&gt;0,1,0),"")</f>
        <v>1</v>
      </c>
      <c r="H365" s="33">
        <f>IF(E365=1,IF(Orders!R362&gt;5,1,0),"")</f>
        <v>1</v>
      </c>
      <c r="I365" s="32" t="str">
        <f>IF(E365=1,"",IF(OR(Orders!T362="Rider unavailable",Orders!T362="Item unavailable"),"Company-caused","Unresolved"))</f>
        <v/>
      </c>
      <c r="J365" s="33">
        <f>IF(OR(E365=1,I365="Company-caused"),1,0)</f>
        <v>1</v>
      </c>
      <c r="K365" s="32" t="str">
        <f>IF(E365=0,IF(I365="Company-caused",IF(Orders!T362="Rider unavailable","C1 Rider unavailable","C2 Item unavailable"),"Outside root: unresolved"),IF(G365=0,"A On time",IF(H365=1,IF(L365=1,"B2a Severe, peak","B2b Severe, off-peak"),IF(L365=1,"B1a Slight, peak","B1b Slight, off-peak"))))</f>
        <v>B2b Severe, off-peak</v>
      </c>
      <c r="L365" s="33">
        <f>IF(AND(Orders!U362&gt;=19,Orders!U362&lt;22),1,0)</f>
        <v>0</v>
      </c>
      <c r="M365" s="33">
        <f>IF(L365=IF(Orders!V362,1,0),1,0)</f>
        <v>1</v>
      </c>
      <c r="N365" s="32" t="str">
        <f>IF(Orders!W362="","None",Orders!W362)</f>
        <v>Heavy</v>
      </c>
      <c r="O365" s="35">
        <f>INT(Orders!E362)</f>
        <v>46273.0</v>
      </c>
      <c r="P365" s="33">
        <f>Orders!U362</f>
        <v>8</v>
      </c>
      <c r="Q365" s="33">
        <f>COUNTIFS(Demand!$A$2:$A$4481,B365,Demand!$B$2:$B$4481,O365,Demand!$C$2:$C$4481,P365)</f>
        <v>1</v>
      </c>
      <c r="R365" s="33">
        <f>IF(Q365=1,SUMIFS(Demand!$E$2:$E$4481,Demand!$A$2:$A$4481,B365,Demand!$B$2:$B$4481,O365,Demand!$C$2:$C$4481,P365),"")</f>
        <v>19</v>
      </c>
      <c r="S365" s="33">
        <f>INDEX(Stores!$G$2:$G$21,MATCH(B365,Stores!$A$2:$A$21,0))</f>
        <v>20</v>
      </c>
      <c r="T365" s="34">
        <f>IF(R365="","",R365/S365)</f>
        <v>0.95</v>
      </c>
      <c r="U365" s="34">
        <f>IF(E365=1,T365,"")</f>
        <v>0.95</v>
      </c>
      <c r="V365" s="34">
        <f>IF(AND(E365=1,L365=0),T365,"")</f>
        <v>0.95</v>
      </c>
      <c r="W365" s="33">
        <f>IF(U365="","",IF(U365&lt;=Breakdowns!$C$5,1,IF(U365&lt;=Breakdowns!$C$6,2,IF(U365&lt;=Breakdowns!$C$7,3,4))))</f>
        <v>2</v>
      </c>
      <c r="X365" s="33">
        <f>IF(V365="","",IF(V365&lt;=Breakdowns!$D$5,1,IF(V365&lt;=Breakdowns!$D$6,2,IF(V365&lt;=Breakdowns!$D$7,3,4))))</f>
        <v>3</v>
      </c>
      <c r="Y365" s="34">
        <f>INDEX(Stores!$F$2:$F$21,MATCH(B365,Stores!$A$2:$A$21,0))</f>
        <v>5.31</v>
      </c>
      <c r="Z365" s="33">
        <f>IF(Y365&gt;Store_Summary!$M$2,1,0)</f>
        <v>1</v>
      </c>
      <c r="AA365" s="33">
        <f>INDEX(Stores!$C$2:$C$21,MATCH(B365,Stores!$A$2:$A$21,0))</f>
        <v>214</v>
      </c>
      <c r="AB365" s="33">
        <f>IF(AA365&lt;180,1,0)</f>
        <v>0</v>
      </c>
      <c r="AC365" s="32" t="str">
        <f>IF(Orders!D362="","",INDEX(Riders!$C$2:$C$81,MATCH(Orders!D362,Riders!$A$2:$A$81,0)))</f>
        <v>EV scooter</v>
      </c>
      <c r="AD365" s="33">
        <f>IF(Orders!D362="","",INDEX(Riders!$D$2:$D$81,MATCH(Orders!D362,Riders!$A$2:$A$81,0)))</f>
        <v>38</v>
      </c>
      <c r="AE365" s="33">
        <f>IF(Orders!D362="","",IF(INDEX(Riders!$B$2:$B$81,MATCH(Orders!D362,Riders!$A$2:$A$81,0))=B365,1,0))</f>
        <v>0</v>
      </c>
      <c r="AF365" s="34">
        <f>IF(E365=1,Orders!L362,"")</f>
        <v>3.18</v>
      </c>
      <c r="AG365" s="34">
        <f>IF(E365=1,Orders!P362,"")</f>
        <v>7.6</v>
      </c>
      <c r="AH365" s="34">
        <f>IF(E365=1,Orders!Q362,"")</f>
        <v>21.9</v>
      </c>
      <c r="AI365" s="34">
        <f>IF(E365=1,Orders!M362,"")</f>
        <v>5.5</v>
      </c>
      <c r="AJ365" s="34">
        <f>IF(E365=1,Orders!N362,"")</f>
        <v>7.3</v>
      </c>
      <c r="AK365" s="34">
        <f>IF(E365=1,Orders!O362,"")</f>
        <v>9.1</v>
      </c>
      <c r="AL365" s="33">
        <f>IF(E365=1,IF(ROUND(ABS(AI365+AJ365+AK365-AH365),6)&lt;=0.1,1,0),"")</f>
        <v>1</v>
      </c>
      <c r="AM365" s="36">
        <f>IF(E365=1,AI365/AH365,"")</f>
        <v>0.251141552511416</v>
      </c>
      <c r="AN365" s="36">
        <f>IF(E365=1,AJ365/AH365,"")</f>
        <v>0.333333333333333</v>
      </c>
      <c r="AO365" s="36">
        <f>IF(E365=1,AK365/AH365,"")</f>
        <v>0.415525114155251</v>
      </c>
      <c r="AP365" s="34">
        <f>IF(E365=1,Orders!Y362,"")</f>
        <v>0.44</v>
      </c>
      <c r="AQ365" s="33">
        <f>IF(Orders!X362,1,0)</f>
        <v>0</v>
      </c>
      <c r="AR365" s="34" t="str">
        <f>IF(AND(E365=1,L365=1),AJ365,"")</f>
        <v/>
      </c>
      <c r="AS365" s="34">
        <f>IF(AND(E365=1,L365=0),AJ365,"")</f>
        <v>7.3</v>
      </c>
      <c r="AT365" s="34" t="str">
        <f>IF(AND(E365=1,L365=1),AI365,"")</f>
        <v/>
      </c>
      <c r="AU365" s="34">
        <f>IF(AND(E365=1,L365=0),AI365,"")</f>
        <v>5.5</v>
      </c>
      <c r="AV365" s="34" t="str">
        <f>IF(AND(E365=1,L365=1),AG365,"")</f>
        <v/>
      </c>
      <c r="AW365" s="34">
        <f>IF(AND(E365=1,L365=0),AG365,"")</f>
        <v>7.6</v>
      </c>
      <c r="AX365" s="34" t="str">
        <f>IF(AND(E365=1,L365=1),AH365,"")</f>
        <v/>
      </c>
      <c r="AY365" s="34">
        <f>IF(AND(E365=1,L365=0),AH365,"")</f>
        <v>21.9</v>
      </c>
      <c r="AZ365" s="34">
        <f>IF(G365=1,F365,"")</f>
        <v>14.3</v>
      </c>
      <c r="BA365" s="34" t="str">
        <f>IF(AND(G365=1,L365=1),F365,"")</f>
        <v/>
      </c>
      <c r="BB365" s="34">
        <f>IF(AND(G365=1,L365=0),F365,"")</f>
        <v>14.3</v>
      </c>
      <c r="BC365" s="33">
        <f>IF(E365=1,IF(Orders!R362&gt;3,1,0),"")</f>
        <v>1</v>
      </c>
      <c r="BD365" s="33">
        <f>IF(E365=1,IF(Orders!R362&gt;7,1,0),"")</f>
        <v>1</v>
      </c>
      <c r="BE365" s="32" t="str">
        <f>IF(E365=1,IF(Orders!L362&lt;=1.5,"Up to 1.5 km",IF(Orders!L362&lt;=3,"1.5–3 km","Over 3 km")),"")</f>
        <v>Over 3 km</v>
      </c>
      <c r="BF365" s="33">
        <f>IF(E365=1,IF(ABS((Orders!G362-Orders!F362)*1440-Orders!R362)&lt;0.06,1,0),"")</f>
        <v>1</v>
      </c>
      <c r="BG365" s="33">
        <f>IF(ABS((Orders!F362-Orders!E362)*1440-Orders!P362)&lt;0.06,1,0)</f>
        <v>1</v>
      </c>
      <c r="BH365" s="33">
        <f>IF(E365=1,IF(IF(Orders!S362,1,0)=1-G365,1,0),"")</f>
        <v>1</v>
      </c>
      <c r="BI365" s="32" t="str">
        <f>INDEX(Stores!$B$2:$B$21,MATCH(B365,Stores!$A$2:$A$21,0))</f>
        <v>Mumbai</v>
      </c>
    </row>
    <row r="366">
      <c r="A366" s="32" t="str">
        <f>Orders!A363</f>
        <v>O00362</v>
      </c>
      <c r="B366" s="32" t="str">
        <f>Orders!C363</f>
        <v>S008</v>
      </c>
      <c r="C366" s="32" t="str">
        <f>Orders!B363</f>
        <v>C0145</v>
      </c>
      <c r="D366" s="32" t="str">
        <f>Orders!H363</f>
        <v>Delivered</v>
      </c>
      <c r="E366" s="33">
        <f>IF(Orders!H363="Delivered",1,0)</f>
        <v>1</v>
      </c>
      <c r="F366" s="34">
        <f>IF(E366=1,Orders!R363,"")</f>
        <v>-0.9</v>
      </c>
      <c r="G366" s="33">
        <f>IF(E366=1,IF(Orders!R363&gt;0,1,0),"")</f>
        <v>0</v>
      </c>
      <c r="H366" s="33">
        <f>IF(E366=1,IF(Orders!R363&gt;5,1,0),"")</f>
        <v>0</v>
      </c>
      <c r="I366" s="32" t="str">
        <f>IF(E366=1,"",IF(OR(Orders!T363="Rider unavailable",Orders!T363="Item unavailable"),"Company-caused","Unresolved"))</f>
        <v/>
      </c>
      <c r="J366" s="33">
        <f>IF(OR(E366=1,I366="Company-caused"),1,0)</f>
        <v>1</v>
      </c>
      <c r="K366" s="32" t="str">
        <f>IF(E366=0,IF(I366="Company-caused",IF(Orders!T363="Rider unavailable","C1 Rider unavailable","C2 Item unavailable"),"Outside root: unresolved"),IF(G366=0,"A On time",IF(H366=1,IF(L366=1,"B2a Severe, peak","B2b Severe, off-peak"),IF(L366=1,"B1a Slight, peak","B1b Slight, off-peak"))))</f>
        <v>A On time</v>
      </c>
      <c r="L366" s="33">
        <f>IF(AND(Orders!U363&gt;=19,Orders!U363&lt;22),1,0)</f>
        <v>0</v>
      </c>
      <c r="M366" s="33">
        <f>IF(L366=IF(Orders!V363,1,0),1,0)</f>
        <v>1</v>
      </c>
      <c r="N366" s="32" t="str">
        <f>IF(Orders!W363="","None",Orders!W363)</f>
        <v>None</v>
      </c>
      <c r="O366" s="35">
        <f>INT(Orders!E363)</f>
        <v>46275.0</v>
      </c>
      <c r="P366" s="33">
        <f>Orders!U363</f>
        <v>16</v>
      </c>
      <c r="Q366" s="33">
        <f>COUNTIFS(Demand!$A$2:$A$4481,B366,Demand!$B$2:$B$4481,O366,Demand!$C$2:$C$4481,P366)</f>
        <v>1</v>
      </c>
      <c r="R366" s="33">
        <f>IF(Q366=1,SUMIFS(Demand!$E$2:$E$4481,Demand!$A$2:$A$4481,B366,Demand!$B$2:$B$4481,O366,Demand!$C$2:$C$4481,P366),"")</f>
        <v>18</v>
      </c>
      <c r="S366" s="33">
        <f>INDEX(Stores!$G$2:$G$21,MATCH(B366,Stores!$A$2:$A$21,0))</f>
        <v>23</v>
      </c>
      <c r="T366" s="34">
        <f>IF(R366="","",R366/S366)</f>
        <v>0.782608695652174</v>
      </c>
      <c r="U366" s="34">
        <f>IF(E366=1,T366,"")</f>
        <v>0.782608695652174</v>
      </c>
      <c r="V366" s="34">
        <f>IF(AND(E366=1,L366=0),T366,"")</f>
        <v>0.782608695652174</v>
      </c>
      <c r="W366" s="33">
        <f>IF(U366="","",IF(U366&lt;=Breakdowns!$C$5,1,IF(U366&lt;=Breakdowns!$C$6,2,IF(U366&lt;=Breakdowns!$C$7,3,4))))</f>
        <v>1</v>
      </c>
      <c r="X366" s="33">
        <f>IF(V366="","",IF(V366&lt;=Breakdowns!$D$5,1,IF(V366&lt;=Breakdowns!$D$6,2,IF(V366&lt;=Breakdowns!$D$7,3,4))))</f>
        <v>2</v>
      </c>
      <c r="Y366" s="34">
        <f>INDEX(Stores!$F$2:$F$21,MATCH(B366,Stores!$A$2:$A$21,0))</f>
        <v>3.46</v>
      </c>
      <c r="Z366" s="33">
        <f>IF(Y366&gt;Store_Summary!$M$2,1,0)</f>
        <v>0</v>
      </c>
      <c r="AA366" s="33">
        <f>INDEX(Stores!$C$2:$C$21,MATCH(B366,Stores!$A$2:$A$21,0))</f>
        <v>825</v>
      </c>
      <c r="AB366" s="33">
        <f>IF(AA366&lt;180,1,0)</f>
        <v>0</v>
      </c>
      <c r="AC366" s="32" t="str">
        <f>IF(Orders!D363="","",INDEX(Riders!$C$2:$C$81,MATCH(Orders!D363,Riders!$A$2:$A$81,0)))</f>
        <v>EV scooter</v>
      </c>
      <c r="AD366" s="33">
        <f>IF(Orders!D363="","",INDEX(Riders!$D$2:$D$81,MATCH(Orders!D363,Riders!$A$2:$A$81,0)))</f>
        <v>38</v>
      </c>
      <c r="AE366" s="33">
        <f>IF(Orders!D363="","",IF(INDEX(Riders!$B$2:$B$81,MATCH(Orders!D363,Riders!$A$2:$A$81,0))=B366,1,0))</f>
        <v>1</v>
      </c>
      <c r="AF366" s="34">
        <f>IF(E366=1,Orders!L363,"")</f>
        <v>2.05</v>
      </c>
      <c r="AG366" s="34">
        <f>IF(E366=1,Orders!P363,"")</f>
        <v>12.3</v>
      </c>
      <c r="AH366" s="34">
        <f>IF(E366=1,Orders!Q363,"")</f>
        <v>11.4</v>
      </c>
      <c r="AI366" s="34">
        <f>IF(E366=1,Orders!M363,"")</f>
        <v>2.7</v>
      </c>
      <c r="AJ366" s="34">
        <f>IF(E366=1,Orders!N363,"")</f>
        <v>5.9</v>
      </c>
      <c r="AK366" s="34">
        <f>IF(E366=1,Orders!O363,"")</f>
        <v>2.8</v>
      </c>
      <c r="AL366" s="33">
        <f>IF(E366=1,IF(ROUND(ABS(AI366+AJ366+AK366-AH366),6)&lt;=0.1,1,0),"")</f>
        <v>1</v>
      </c>
      <c r="AM366" s="36">
        <f>IF(E366=1,AI366/AH366,"")</f>
        <v>0.236842105263158</v>
      </c>
      <c r="AN366" s="36">
        <f>IF(E366=1,AJ366/AH366,"")</f>
        <v>0.517543859649123</v>
      </c>
      <c r="AO366" s="36">
        <f>IF(E366=1,AK366/AH366,"")</f>
        <v>0.245614035087719</v>
      </c>
      <c r="AP366" s="34">
        <f>IF(E366=1,Orders!Y363,"")</f>
        <v>0.26</v>
      </c>
      <c r="AQ366" s="33">
        <f>IF(Orders!X363,1,0)</f>
        <v>0</v>
      </c>
      <c r="AR366" s="34" t="str">
        <f>IF(AND(E366=1,L366=1),AJ366,"")</f>
        <v/>
      </c>
      <c r="AS366" s="34">
        <f>IF(AND(E366=1,L366=0),AJ366,"")</f>
        <v>5.9</v>
      </c>
      <c r="AT366" s="34" t="str">
        <f>IF(AND(E366=1,L366=1),AI366,"")</f>
        <v/>
      </c>
      <c r="AU366" s="34">
        <f>IF(AND(E366=1,L366=0),AI366,"")</f>
        <v>2.7</v>
      </c>
      <c r="AV366" s="34" t="str">
        <f>IF(AND(E366=1,L366=1),AG366,"")</f>
        <v/>
      </c>
      <c r="AW366" s="34">
        <f>IF(AND(E366=1,L366=0),AG366,"")</f>
        <v>12.3</v>
      </c>
      <c r="AX366" s="34" t="str">
        <f>IF(AND(E366=1,L366=1),AH366,"")</f>
        <v/>
      </c>
      <c r="AY366" s="34">
        <f>IF(AND(E366=1,L366=0),AH366,"")</f>
        <v>11.4</v>
      </c>
      <c r="AZ366" s="34" t="str">
        <f>IF(G366=1,F366,"")</f>
        <v/>
      </c>
      <c r="BA366" s="34" t="str">
        <f>IF(AND(G366=1,L366=1),F366,"")</f>
        <v/>
      </c>
      <c r="BB366" s="34" t="str">
        <f>IF(AND(G366=1,L366=0),F366,"")</f>
        <v/>
      </c>
      <c r="BC366" s="33">
        <f>IF(E366=1,IF(Orders!R363&gt;3,1,0),"")</f>
        <v>0</v>
      </c>
      <c r="BD366" s="33">
        <f>IF(E366=1,IF(Orders!R363&gt;7,1,0),"")</f>
        <v>0</v>
      </c>
      <c r="BE366" s="32" t="str">
        <f>IF(E366=1,IF(Orders!L363&lt;=1.5,"Up to 1.5 km",IF(Orders!L363&lt;=3,"1.5–3 km","Over 3 km")),"")</f>
        <v>1.5–3 km</v>
      </c>
      <c r="BF366" s="33">
        <f>IF(E366=1,IF(ABS((Orders!G363-Orders!F363)*1440-Orders!R363)&lt;0.06,1,0),"")</f>
        <v>1</v>
      </c>
      <c r="BG366" s="33">
        <f>IF(ABS((Orders!F363-Orders!E363)*1440-Orders!P363)&lt;0.06,1,0)</f>
        <v>1</v>
      </c>
      <c r="BH366" s="33">
        <f>IF(E366=1,IF(IF(Orders!S363,1,0)=1-G366,1,0),"")</f>
        <v>1</v>
      </c>
      <c r="BI366" s="32" t="str">
        <f>INDEX(Stores!$B$2:$B$21,MATCH(B366,Stores!$A$2:$A$21,0))</f>
        <v>Mumbai</v>
      </c>
    </row>
    <row r="367">
      <c r="A367" s="32" t="str">
        <f>Orders!A364</f>
        <v>O00363</v>
      </c>
      <c r="B367" s="32" t="str">
        <f>Orders!C364</f>
        <v>S010</v>
      </c>
      <c r="C367" s="32" t="str">
        <f>Orders!B364</f>
        <v>C0045</v>
      </c>
      <c r="D367" s="32" t="str">
        <f>Orders!H364</f>
        <v>Delivered</v>
      </c>
      <c r="E367" s="33">
        <f>IF(Orders!H364="Delivered",1,0)</f>
        <v>1</v>
      </c>
      <c r="F367" s="34">
        <f>IF(E367=1,Orders!R364,"")</f>
        <v>-0.6</v>
      </c>
      <c r="G367" s="33">
        <f>IF(E367=1,IF(Orders!R364&gt;0,1,0),"")</f>
        <v>0</v>
      </c>
      <c r="H367" s="33">
        <f>IF(E367=1,IF(Orders!R364&gt;5,1,0),"")</f>
        <v>0</v>
      </c>
      <c r="I367" s="32" t="str">
        <f>IF(E367=1,"",IF(OR(Orders!T364="Rider unavailable",Orders!T364="Item unavailable"),"Company-caused","Unresolved"))</f>
        <v/>
      </c>
      <c r="J367" s="33">
        <f>IF(OR(E367=1,I367="Company-caused"),1,0)</f>
        <v>1</v>
      </c>
      <c r="K367" s="32" t="str">
        <f>IF(E367=0,IF(I367="Company-caused",IF(Orders!T364="Rider unavailable","C1 Rider unavailable","C2 Item unavailable"),"Outside root: unresolved"),IF(G367=0,"A On time",IF(H367=1,IF(L367=1,"B2a Severe, peak","B2b Severe, off-peak"),IF(L367=1,"B1a Slight, peak","B1b Slight, off-peak"))))</f>
        <v>A On time</v>
      </c>
      <c r="L367" s="33">
        <f>IF(AND(Orders!U364&gt;=19,Orders!U364&lt;22),1,0)</f>
        <v>0</v>
      </c>
      <c r="M367" s="33">
        <f>IF(L367=IF(Orders!V364,1,0),1,0)</f>
        <v>1</v>
      </c>
      <c r="N367" s="32" t="str">
        <f>IF(Orders!W364="","None",Orders!W364)</f>
        <v>None</v>
      </c>
      <c r="O367" s="35">
        <f>INT(Orders!E364)</f>
        <v>46278.0</v>
      </c>
      <c r="P367" s="33">
        <f>Orders!U364</f>
        <v>10</v>
      </c>
      <c r="Q367" s="33">
        <f>COUNTIFS(Demand!$A$2:$A$4481,B367,Demand!$B$2:$B$4481,O367,Demand!$C$2:$C$4481,P367)</f>
        <v>1</v>
      </c>
      <c r="R367" s="33">
        <f>IF(Q367=1,SUMIFS(Demand!$E$2:$E$4481,Demand!$A$2:$A$4481,B367,Demand!$B$2:$B$4481,O367,Demand!$C$2:$C$4481,P367),"")</f>
        <v>21</v>
      </c>
      <c r="S367" s="33">
        <f>INDEX(Stores!$G$2:$G$21,MATCH(B367,Stores!$A$2:$A$21,0))</f>
        <v>22</v>
      </c>
      <c r="T367" s="34">
        <f>IF(R367="","",R367/S367)</f>
        <v>0.954545454545455</v>
      </c>
      <c r="U367" s="34">
        <f>IF(E367=1,T367,"")</f>
        <v>0.954545454545455</v>
      </c>
      <c r="V367" s="34">
        <f>IF(AND(E367=1,L367=0),T367,"")</f>
        <v>0.954545454545455</v>
      </c>
      <c r="W367" s="33">
        <f>IF(U367="","",IF(U367&lt;=Breakdowns!$C$5,1,IF(U367&lt;=Breakdowns!$C$6,2,IF(U367&lt;=Breakdowns!$C$7,3,4))))</f>
        <v>2</v>
      </c>
      <c r="X367" s="33">
        <f>IF(V367="","",IF(V367&lt;=Breakdowns!$D$5,1,IF(V367&lt;=Breakdowns!$D$6,2,IF(V367&lt;=Breakdowns!$D$7,3,4))))</f>
        <v>3</v>
      </c>
      <c r="Y367" s="34">
        <f>INDEX(Stores!$F$2:$F$21,MATCH(B367,Stores!$A$2:$A$21,0))</f>
        <v>5.61</v>
      </c>
      <c r="Z367" s="33">
        <f>IF(Y367&gt;Store_Summary!$M$2,1,0)</f>
        <v>1</v>
      </c>
      <c r="AA367" s="33">
        <f>INDEX(Stores!$C$2:$C$21,MATCH(B367,Stores!$A$2:$A$21,0))</f>
        <v>744</v>
      </c>
      <c r="AB367" s="33">
        <f>IF(AA367&lt;180,1,0)</f>
        <v>0</v>
      </c>
      <c r="AC367" s="32" t="str">
        <f>IF(Orders!D364="","",INDEX(Riders!$C$2:$C$81,MATCH(Orders!D364,Riders!$A$2:$A$81,0)))</f>
        <v>Petrol scooter</v>
      </c>
      <c r="AD367" s="33">
        <f>IF(Orders!D364="","",INDEX(Riders!$D$2:$D$81,MATCH(Orders!D364,Riders!$A$2:$A$81,0)))</f>
        <v>32</v>
      </c>
      <c r="AE367" s="33">
        <f>IF(Orders!D364="","",IF(INDEX(Riders!$B$2:$B$81,MATCH(Orders!D364,Riders!$A$2:$A$81,0))=B367,1,0))</f>
        <v>0</v>
      </c>
      <c r="AF367" s="34">
        <f>IF(E367=1,Orders!L364,"")</f>
        <v>0.5</v>
      </c>
      <c r="AG367" s="34">
        <f>IF(E367=1,Orders!P364,"")</f>
        <v>10.1</v>
      </c>
      <c r="AH367" s="34">
        <f>IF(E367=1,Orders!Q364,"")</f>
        <v>9.5</v>
      </c>
      <c r="AI367" s="34">
        <f>IF(E367=1,Orders!M364,"")</f>
        <v>4</v>
      </c>
      <c r="AJ367" s="34">
        <f>IF(E367=1,Orders!N364,"")</f>
        <v>3.3</v>
      </c>
      <c r="AK367" s="34">
        <f>IF(E367=1,Orders!O364,"")</f>
        <v>2.2</v>
      </c>
      <c r="AL367" s="33">
        <f>IF(E367=1,IF(ROUND(ABS(AI367+AJ367+AK367-AH367),6)&lt;=0.1,1,0),"")</f>
        <v>1</v>
      </c>
      <c r="AM367" s="36">
        <f>IF(E367=1,AI367/AH367,"")</f>
        <v>0.421052631578947</v>
      </c>
      <c r="AN367" s="36">
        <f>IF(E367=1,AJ367/AH367,"")</f>
        <v>0.347368421052632</v>
      </c>
      <c r="AO367" s="36">
        <f>IF(E367=1,AK367/AH367,"")</f>
        <v>0.231578947368421</v>
      </c>
      <c r="AP367" s="34">
        <f>IF(E367=1,Orders!Y364,"")</f>
        <v>0.55</v>
      </c>
      <c r="AQ367" s="33">
        <f>IF(Orders!X364,1,0)</f>
        <v>0</v>
      </c>
      <c r="AR367" s="34" t="str">
        <f>IF(AND(E367=1,L367=1),AJ367,"")</f>
        <v/>
      </c>
      <c r="AS367" s="34">
        <f>IF(AND(E367=1,L367=0),AJ367,"")</f>
        <v>3.3</v>
      </c>
      <c r="AT367" s="34" t="str">
        <f>IF(AND(E367=1,L367=1),AI367,"")</f>
        <v/>
      </c>
      <c r="AU367" s="34">
        <f>IF(AND(E367=1,L367=0),AI367,"")</f>
        <v>4</v>
      </c>
      <c r="AV367" s="34" t="str">
        <f>IF(AND(E367=1,L367=1),AG367,"")</f>
        <v/>
      </c>
      <c r="AW367" s="34">
        <f>IF(AND(E367=1,L367=0),AG367,"")</f>
        <v>10.1</v>
      </c>
      <c r="AX367" s="34" t="str">
        <f>IF(AND(E367=1,L367=1),AH367,"")</f>
        <v/>
      </c>
      <c r="AY367" s="34">
        <f>IF(AND(E367=1,L367=0),AH367,"")</f>
        <v>9.5</v>
      </c>
      <c r="AZ367" s="34" t="str">
        <f>IF(G367=1,F367,"")</f>
        <v/>
      </c>
      <c r="BA367" s="34" t="str">
        <f>IF(AND(G367=1,L367=1),F367,"")</f>
        <v/>
      </c>
      <c r="BB367" s="34" t="str">
        <f>IF(AND(G367=1,L367=0),F367,"")</f>
        <v/>
      </c>
      <c r="BC367" s="33">
        <f>IF(E367=1,IF(Orders!R364&gt;3,1,0),"")</f>
        <v>0</v>
      </c>
      <c r="BD367" s="33">
        <f>IF(E367=1,IF(Orders!R364&gt;7,1,0),"")</f>
        <v>0</v>
      </c>
      <c r="BE367" s="32" t="str">
        <f>IF(E367=1,IF(Orders!L364&lt;=1.5,"Up to 1.5 km",IF(Orders!L364&lt;=3,"1.5–3 km","Over 3 km")),"")</f>
        <v>Up to 1.5 km</v>
      </c>
      <c r="BF367" s="33">
        <f>IF(E367=1,IF(ABS((Orders!G364-Orders!F364)*1440-Orders!R364)&lt;0.06,1,0),"")</f>
        <v>1</v>
      </c>
      <c r="BG367" s="33">
        <f>IF(ABS((Orders!F364-Orders!E364)*1440-Orders!P364)&lt;0.06,1,0)</f>
        <v>1</v>
      </c>
      <c r="BH367" s="33">
        <f>IF(E367=1,IF(IF(Orders!S364,1,0)=1-G367,1,0),"")</f>
        <v>1</v>
      </c>
      <c r="BI367" s="32" t="str">
        <f>INDEX(Stores!$B$2:$B$21,MATCH(B367,Stores!$A$2:$A$21,0))</f>
        <v>Delhi</v>
      </c>
    </row>
    <row r="368">
      <c r="A368" s="32" t="str">
        <f>Orders!A365</f>
        <v>O00364</v>
      </c>
      <c r="B368" s="32" t="str">
        <f>Orders!C365</f>
        <v>S004</v>
      </c>
      <c r="C368" s="32" t="str">
        <f>Orders!B365</f>
        <v>C0028</v>
      </c>
      <c r="D368" s="32" t="str">
        <f>Orders!H365</f>
        <v>Delivered</v>
      </c>
      <c r="E368" s="33">
        <f>IF(Orders!H365="Delivered",1,0)</f>
        <v>1</v>
      </c>
      <c r="F368" s="34">
        <f>IF(E368=1,Orders!R365,"")</f>
        <v>-1.1</v>
      </c>
      <c r="G368" s="33">
        <f>IF(E368=1,IF(Orders!R365&gt;0,1,0),"")</f>
        <v>0</v>
      </c>
      <c r="H368" s="33">
        <f>IF(E368=1,IF(Orders!R365&gt;5,1,0),"")</f>
        <v>0</v>
      </c>
      <c r="I368" s="32" t="str">
        <f>IF(E368=1,"",IF(OR(Orders!T365="Rider unavailable",Orders!T365="Item unavailable"),"Company-caused","Unresolved"))</f>
        <v/>
      </c>
      <c r="J368" s="33">
        <f>IF(OR(E368=1,I368="Company-caused"),1,0)</f>
        <v>1</v>
      </c>
      <c r="K368" s="32" t="str">
        <f>IF(E368=0,IF(I368="Company-caused",IF(Orders!T365="Rider unavailable","C1 Rider unavailable","C2 Item unavailable"),"Outside root: unresolved"),IF(G368=0,"A On time",IF(H368=1,IF(L368=1,"B2a Severe, peak","B2b Severe, off-peak"),IF(L368=1,"B1a Slight, peak","B1b Slight, off-peak"))))</f>
        <v>A On time</v>
      </c>
      <c r="L368" s="33">
        <f>IF(AND(Orders!U365&gt;=19,Orders!U365&lt;22),1,0)</f>
        <v>0</v>
      </c>
      <c r="M368" s="33">
        <f>IF(L368=IF(Orders!V365,1,0),1,0)</f>
        <v>1</v>
      </c>
      <c r="N368" s="32" t="str">
        <f>IF(Orders!W365="","None",Orders!W365)</f>
        <v>None</v>
      </c>
      <c r="O368" s="35">
        <f>INT(Orders!E365)</f>
        <v>46276.0</v>
      </c>
      <c r="P368" s="33">
        <f>Orders!U365</f>
        <v>10</v>
      </c>
      <c r="Q368" s="33">
        <f>COUNTIFS(Demand!$A$2:$A$4481,B368,Demand!$B$2:$B$4481,O368,Demand!$C$2:$C$4481,P368)</f>
        <v>1</v>
      </c>
      <c r="R368" s="33">
        <f>IF(Q368=1,SUMIFS(Demand!$E$2:$E$4481,Demand!$A$2:$A$4481,B368,Demand!$B$2:$B$4481,O368,Demand!$C$2:$C$4481,P368),"")</f>
        <v>21</v>
      </c>
      <c r="S368" s="33">
        <f>INDEX(Stores!$G$2:$G$21,MATCH(B368,Stores!$A$2:$A$21,0))</f>
        <v>42</v>
      </c>
      <c r="T368" s="34">
        <f>IF(R368="","",R368/S368)</f>
        <v>0.5</v>
      </c>
      <c r="U368" s="34">
        <f>IF(E368=1,T368,"")</f>
        <v>0.5</v>
      </c>
      <c r="V368" s="34">
        <f>IF(AND(E368=1,L368=0),T368,"")</f>
        <v>0.5</v>
      </c>
      <c r="W368" s="33">
        <f>IF(U368="","",IF(U368&lt;=Breakdowns!$C$5,1,IF(U368&lt;=Breakdowns!$C$6,2,IF(U368&lt;=Breakdowns!$C$7,3,4))))</f>
        <v>1</v>
      </c>
      <c r="X368" s="33">
        <f>IF(V368="","",IF(V368&lt;=Breakdowns!$D$5,1,IF(V368&lt;=Breakdowns!$D$6,2,IF(V368&lt;=Breakdowns!$D$7,3,4))))</f>
        <v>1</v>
      </c>
      <c r="Y368" s="34">
        <f>INDEX(Stores!$F$2:$F$21,MATCH(B368,Stores!$A$2:$A$21,0))</f>
        <v>2.19</v>
      </c>
      <c r="Z368" s="33">
        <f>IF(Y368&gt;Store_Summary!$M$2,1,0)</f>
        <v>0</v>
      </c>
      <c r="AA368" s="33">
        <f>INDEX(Stores!$C$2:$C$21,MATCH(B368,Stores!$A$2:$A$21,0))</f>
        <v>850</v>
      </c>
      <c r="AB368" s="33">
        <f>IF(AA368&lt;180,1,0)</f>
        <v>0</v>
      </c>
      <c r="AC368" s="32" t="str">
        <f>IF(Orders!D365="","",INDEX(Riders!$C$2:$C$81,MATCH(Orders!D365,Riders!$A$2:$A$81,0)))</f>
        <v>EV scooter</v>
      </c>
      <c r="AD368" s="33">
        <f>IF(Orders!D365="","",INDEX(Riders!$D$2:$D$81,MATCH(Orders!D365,Riders!$A$2:$A$81,0)))</f>
        <v>30</v>
      </c>
      <c r="AE368" s="33">
        <f>IF(Orders!D365="","",IF(INDEX(Riders!$B$2:$B$81,MATCH(Orders!D365,Riders!$A$2:$A$81,0))=B368,1,0))</f>
        <v>0</v>
      </c>
      <c r="AF368" s="34">
        <f>IF(E368=1,Orders!L365,"")</f>
        <v>2.21</v>
      </c>
      <c r="AG368" s="34">
        <f>IF(E368=1,Orders!P365,"")</f>
        <v>11.5</v>
      </c>
      <c r="AH368" s="34">
        <f>IF(E368=1,Orders!Q365,"")</f>
        <v>10.4</v>
      </c>
      <c r="AI368" s="34">
        <f>IF(E368=1,Orders!M365,"")</f>
        <v>1.8</v>
      </c>
      <c r="AJ368" s="34">
        <f>IF(E368=1,Orders!N365,"")</f>
        <v>4</v>
      </c>
      <c r="AK368" s="34">
        <f>IF(E368=1,Orders!O365,"")</f>
        <v>4.6</v>
      </c>
      <c r="AL368" s="33">
        <f>IF(E368=1,IF(ROUND(ABS(AI368+AJ368+AK368-AH368),6)&lt;=0.1,1,0),"")</f>
        <v>1</v>
      </c>
      <c r="AM368" s="36">
        <f>IF(E368=1,AI368/AH368,"")</f>
        <v>0.173076923076923</v>
      </c>
      <c r="AN368" s="36">
        <f>IF(E368=1,AJ368/AH368,"")</f>
        <v>0.384615384615385</v>
      </c>
      <c r="AO368" s="36">
        <f>IF(E368=1,AK368/AH368,"")</f>
        <v>0.442307692307692</v>
      </c>
      <c r="AP368" s="34">
        <f>IF(E368=1,Orders!Y365,"")</f>
        <v>0.58</v>
      </c>
      <c r="AQ368" s="33">
        <f>IF(Orders!X365,1,0)</f>
        <v>0</v>
      </c>
      <c r="AR368" s="34" t="str">
        <f>IF(AND(E368=1,L368=1),AJ368,"")</f>
        <v/>
      </c>
      <c r="AS368" s="34">
        <f>IF(AND(E368=1,L368=0),AJ368,"")</f>
        <v>4</v>
      </c>
      <c r="AT368" s="34" t="str">
        <f>IF(AND(E368=1,L368=1),AI368,"")</f>
        <v/>
      </c>
      <c r="AU368" s="34">
        <f>IF(AND(E368=1,L368=0),AI368,"")</f>
        <v>1.8</v>
      </c>
      <c r="AV368" s="34" t="str">
        <f>IF(AND(E368=1,L368=1),AG368,"")</f>
        <v/>
      </c>
      <c r="AW368" s="34">
        <f>IF(AND(E368=1,L368=0),AG368,"")</f>
        <v>11.5</v>
      </c>
      <c r="AX368" s="34" t="str">
        <f>IF(AND(E368=1,L368=1),AH368,"")</f>
        <v/>
      </c>
      <c r="AY368" s="34">
        <f>IF(AND(E368=1,L368=0),AH368,"")</f>
        <v>10.4</v>
      </c>
      <c r="AZ368" s="34" t="str">
        <f>IF(G368=1,F368,"")</f>
        <v/>
      </c>
      <c r="BA368" s="34" t="str">
        <f>IF(AND(G368=1,L368=1),F368,"")</f>
        <v/>
      </c>
      <c r="BB368" s="34" t="str">
        <f>IF(AND(G368=1,L368=0),F368,"")</f>
        <v/>
      </c>
      <c r="BC368" s="33">
        <f>IF(E368=1,IF(Orders!R365&gt;3,1,0),"")</f>
        <v>0</v>
      </c>
      <c r="BD368" s="33">
        <f>IF(E368=1,IF(Orders!R365&gt;7,1,0),"")</f>
        <v>0</v>
      </c>
      <c r="BE368" s="32" t="str">
        <f>IF(E368=1,IF(Orders!L365&lt;=1.5,"Up to 1.5 km",IF(Orders!L365&lt;=3,"1.5–3 km","Over 3 km")),"")</f>
        <v>1.5–3 km</v>
      </c>
      <c r="BF368" s="33">
        <f>IF(E368=1,IF(ABS((Orders!G365-Orders!F365)*1440-Orders!R365)&lt;0.06,1,0),"")</f>
        <v>1</v>
      </c>
      <c r="BG368" s="33">
        <f>IF(ABS((Orders!F365-Orders!E365)*1440-Orders!P365)&lt;0.06,1,0)</f>
        <v>1</v>
      </c>
      <c r="BH368" s="33">
        <f>IF(E368=1,IF(IF(Orders!S365,1,0)=1-G368,1,0),"")</f>
        <v>1</v>
      </c>
      <c r="BI368" s="32" t="str">
        <f>INDEX(Stores!$B$2:$B$21,MATCH(B368,Stores!$A$2:$A$21,0))</f>
        <v>Pune</v>
      </c>
    </row>
    <row r="369">
      <c r="A369" s="32" t="str">
        <f>Orders!A366</f>
        <v>O00365</v>
      </c>
      <c r="B369" s="32" t="str">
        <f>Orders!C366</f>
        <v>S019</v>
      </c>
      <c r="C369" s="32" t="str">
        <f>Orders!B366</f>
        <v>C0123</v>
      </c>
      <c r="D369" s="32" t="str">
        <f>Orders!H366</f>
        <v>Delivered</v>
      </c>
      <c r="E369" s="33">
        <f>IF(Orders!H366="Delivered",1,0)</f>
        <v>1</v>
      </c>
      <c r="F369" s="34">
        <f>IF(E369=1,Orders!R366,"")</f>
        <v>-1.2</v>
      </c>
      <c r="G369" s="33">
        <f>IF(E369=1,IF(Orders!R366&gt;0,1,0),"")</f>
        <v>0</v>
      </c>
      <c r="H369" s="33">
        <f>IF(E369=1,IF(Orders!R366&gt;5,1,0),"")</f>
        <v>0</v>
      </c>
      <c r="I369" s="32" t="str">
        <f>IF(E369=1,"",IF(OR(Orders!T366="Rider unavailable",Orders!T366="Item unavailable"),"Company-caused","Unresolved"))</f>
        <v/>
      </c>
      <c r="J369" s="33">
        <f>IF(OR(E369=1,I369="Company-caused"),1,0)</f>
        <v>1</v>
      </c>
      <c r="K369" s="32" t="str">
        <f>IF(E369=0,IF(I369="Company-caused",IF(Orders!T366="Rider unavailable","C1 Rider unavailable","C2 Item unavailable"),"Outside root: unresolved"),IF(G369=0,"A On time",IF(H369=1,IF(L369=1,"B2a Severe, peak","B2b Severe, off-peak"),IF(L369=1,"B1a Slight, peak","B1b Slight, off-peak"))))</f>
        <v>A On time</v>
      </c>
      <c r="L369" s="33">
        <f>IF(AND(Orders!U366&gt;=19,Orders!U366&lt;22),1,0)</f>
        <v>0</v>
      </c>
      <c r="M369" s="33">
        <f>IF(L369=IF(Orders!V366,1,0),1,0)</f>
        <v>1</v>
      </c>
      <c r="N369" s="32" t="str">
        <f>IF(Orders!W366="","None",Orders!W366)</f>
        <v>Light</v>
      </c>
      <c r="O369" s="35">
        <f>INT(Orders!E366)</f>
        <v>46276.0</v>
      </c>
      <c r="P369" s="33">
        <f>Orders!U366</f>
        <v>18</v>
      </c>
      <c r="Q369" s="33">
        <f>COUNTIFS(Demand!$A$2:$A$4481,B369,Demand!$B$2:$B$4481,O369,Demand!$C$2:$C$4481,P369)</f>
        <v>1</v>
      </c>
      <c r="R369" s="33">
        <f>IF(Q369=1,SUMIFS(Demand!$E$2:$E$4481,Demand!$A$2:$A$4481,B369,Demand!$B$2:$B$4481,O369,Demand!$C$2:$C$4481,P369),"")</f>
        <v>22</v>
      </c>
      <c r="S369" s="33">
        <f>INDEX(Stores!$G$2:$G$21,MATCH(B369,Stores!$A$2:$A$21,0))</f>
        <v>22</v>
      </c>
      <c r="T369" s="34">
        <f>IF(R369="","",R369/S369)</f>
        <v>1</v>
      </c>
      <c r="U369" s="34">
        <f>IF(E369=1,T369,"")</f>
        <v>1</v>
      </c>
      <c r="V369" s="34">
        <f>IF(AND(E369=1,L369=0),T369,"")</f>
        <v>1</v>
      </c>
      <c r="W369" s="33">
        <f>IF(U369="","",IF(U369&lt;=Breakdowns!$C$5,1,IF(U369&lt;=Breakdowns!$C$6,2,IF(U369&lt;=Breakdowns!$C$7,3,4))))</f>
        <v>2</v>
      </c>
      <c r="X369" s="33">
        <f>IF(V369="","",IF(V369&lt;=Breakdowns!$D$5,1,IF(V369&lt;=Breakdowns!$D$6,2,IF(V369&lt;=Breakdowns!$D$7,3,4))))</f>
        <v>3</v>
      </c>
      <c r="Y369" s="34">
        <f>INDEX(Stores!$F$2:$F$21,MATCH(B369,Stores!$A$2:$A$21,0))</f>
        <v>4.99</v>
      </c>
      <c r="Z369" s="33">
        <f>IF(Y369&gt;Store_Summary!$M$2,1,0)</f>
        <v>1</v>
      </c>
      <c r="AA369" s="33">
        <f>INDEX(Stores!$C$2:$C$21,MATCH(B369,Stores!$A$2:$A$21,0))</f>
        <v>851</v>
      </c>
      <c r="AB369" s="33">
        <f>IF(AA369&lt;180,1,0)</f>
        <v>0</v>
      </c>
      <c r="AC369" s="32" t="str">
        <f>IF(Orders!D366="","",INDEX(Riders!$C$2:$C$81,MATCH(Orders!D366,Riders!$A$2:$A$81,0)))</f>
        <v>EV scooter</v>
      </c>
      <c r="AD369" s="33">
        <f>IF(Orders!D366="","",INDEX(Riders!$D$2:$D$81,MATCH(Orders!D366,Riders!$A$2:$A$81,0)))</f>
        <v>33</v>
      </c>
      <c r="AE369" s="33">
        <f>IF(Orders!D366="","",IF(INDEX(Riders!$B$2:$B$81,MATCH(Orders!D366,Riders!$A$2:$A$81,0))=B369,1,0))</f>
        <v>0</v>
      </c>
      <c r="AF369" s="34">
        <f>IF(E369=1,Orders!L366,"")</f>
        <v>1.4</v>
      </c>
      <c r="AG369" s="34">
        <f>IF(E369=1,Orders!P366,"")</f>
        <v>10</v>
      </c>
      <c r="AH369" s="34">
        <f>IF(E369=1,Orders!Q366,"")</f>
        <v>8.8</v>
      </c>
      <c r="AI369" s="34">
        <f>IF(E369=1,Orders!M366,"")</f>
        <v>3.1</v>
      </c>
      <c r="AJ369" s="34">
        <f>IF(E369=1,Orders!N366,"")</f>
        <v>2.9</v>
      </c>
      <c r="AK369" s="34">
        <f>IF(E369=1,Orders!O366,"")</f>
        <v>2.8</v>
      </c>
      <c r="AL369" s="33">
        <f>IF(E369=1,IF(ROUND(ABS(AI369+AJ369+AK369-AH369),6)&lt;=0.1,1,0),"")</f>
        <v>1</v>
      </c>
      <c r="AM369" s="36">
        <f>IF(E369=1,AI369/AH369,"")</f>
        <v>0.352272727272727</v>
      </c>
      <c r="AN369" s="36">
        <f>IF(E369=1,AJ369/AH369,"")</f>
        <v>0.329545454545455</v>
      </c>
      <c r="AO369" s="36">
        <f>IF(E369=1,AK369/AH369,"")</f>
        <v>0.318181818181818</v>
      </c>
      <c r="AP369" s="34">
        <f>IF(E369=1,Orders!Y366,"")</f>
        <v>0.39</v>
      </c>
      <c r="AQ369" s="33">
        <f>IF(Orders!X366,1,0)</f>
        <v>0</v>
      </c>
      <c r="AR369" s="34" t="str">
        <f>IF(AND(E369=1,L369=1),AJ369,"")</f>
        <v/>
      </c>
      <c r="AS369" s="34">
        <f>IF(AND(E369=1,L369=0),AJ369,"")</f>
        <v>2.9</v>
      </c>
      <c r="AT369" s="34" t="str">
        <f>IF(AND(E369=1,L369=1),AI369,"")</f>
        <v/>
      </c>
      <c r="AU369" s="34">
        <f>IF(AND(E369=1,L369=0),AI369,"")</f>
        <v>3.1</v>
      </c>
      <c r="AV369" s="34" t="str">
        <f>IF(AND(E369=1,L369=1),AG369,"")</f>
        <v/>
      </c>
      <c r="AW369" s="34">
        <f>IF(AND(E369=1,L369=0),AG369,"")</f>
        <v>10</v>
      </c>
      <c r="AX369" s="34" t="str">
        <f>IF(AND(E369=1,L369=1),AH369,"")</f>
        <v/>
      </c>
      <c r="AY369" s="34">
        <f>IF(AND(E369=1,L369=0),AH369,"")</f>
        <v>8.8</v>
      </c>
      <c r="AZ369" s="34" t="str">
        <f>IF(G369=1,F369,"")</f>
        <v/>
      </c>
      <c r="BA369" s="34" t="str">
        <f>IF(AND(G369=1,L369=1),F369,"")</f>
        <v/>
      </c>
      <c r="BB369" s="34" t="str">
        <f>IF(AND(G369=1,L369=0),F369,"")</f>
        <v/>
      </c>
      <c r="BC369" s="33">
        <f>IF(E369=1,IF(Orders!R366&gt;3,1,0),"")</f>
        <v>0</v>
      </c>
      <c r="BD369" s="33">
        <f>IF(E369=1,IF(Orders!R366&gt;7,1,0),"")</f>
        <v>0</v>
      </c>
      <c r="BE369" s="32" t="str">
        <f>IF(E369=1,IF(Orders!L366&lt;=1.5,"Up to 1.5 km",IF(Orders!L366&lt;=3,"1.5–3 km","Over 3 km")),"")</f>
        <v>Up to 1.5 km</v>
      </c>
      <c r="BF369" s="33">
        <f>IF(E369=1,IF(ABS((Orders!G366-Orders!F366)*1440-Orders!R366)&lt;0.06,1,0),"")</f>
        <v>1</v>
      </c>
      <c r="BG369" s="33">
        <f>IF(ABS((Orders!F366-Orders!E366)*1440-Orders!P366)&lt;0.06,1,0)</f>
        <v>1</v>
      </c>
      <c r="BH369" s="33">
        <f>IF(E369=1,IF(IF(Orders!S366,1,0)=1-G369,1,0),"")</f>
        <v>1</v>
      </c>
      <c r="BI369" s="32" t="str">
        <f>INDEX(Stores!$B$2:$B$21,MATCH(B369,Stores!$A$2:$A$21,0))</f>
        <v>Pune</v>
      </c>
    </row>
    <row r="370">
      <c r="A370" s="32" t="str">
        <f>Orders!A367</f>
        <v>O00366</v>
      </c>
      <c r="B370" s="32" t="str">
        <f>Orders!C367</f>
        <v>S010</v>
      </c>
      <c r="C370" s="32" t="str">
        <f>Orders!B367</f>
        <v>C0185</v>
      </c>
      <c r="D370" s="32" t="str">
        <f>Orders!H367</f>
        <v>Delivered</v>
      </c>
      <c r="E370" s="33">
        <f>IF(Orders!H367="Delivered",1,0)</f>
        <v>1</v>
      </c>
      <c r="F370" s="34">
        <f>IF(E370=1,Orders!R367,"")</f>
        <v>1</v>
      </c>
      <c r="G370" s="33">
        <f>IF(E370=1,IF(Orders!R367&gt;0,1,0),"")</f>
        <v>1</v>
      </c>
      <c r="H370" s="33">
        <f>IF(E370=1,IF(Orders!R367&gt;5,1,0),"")</f>
        <v>0</v>
      </c>
      <c r="I370" s="32" t="str">
        <f>IF(E370=1,"",IF(OR(Orders!T367="Rider unavailable",Orders!T367="Item unavailable"),"Company-caused","Unresolved"))</f>
        <v/>
      </c>
      <c r="J370" s="33">
        <f>IF(OR(E370=1,I370="Company-caused"),1,0)</f>
        <v>1</v>
      </c>
      <c r="K370" s="32" t="str">
        <f>IF(E370=0,IF(I370="Company-caused",IF(Orders!T367="Rider unavailable","C1 Rider unavailable","C2 Item unavailable"),"Outside root: unresolved"),IF(G370=0,"A On time",IF(H370=1,IF(L370=1,"B2a Severe, peak","B2b Severe, off-peak"),IF(L370=1,"B1a Slight, peak","B1b Slight, off-peak"))))</f>
        <v>B1b Slight, off-peak</v>
      </c>
      <c r="L370" s="33">
        <f>IF(AND(Orders!U367&gt;=19,Orders!U367&lt;22),1,0)</f>
        <v>0</v>
      </c>
      <c r="M370" s="33">
        <f>IF(L370=IF(Orders!V367,1,0),1,0)</f>
        <v>1</v>
      </c>
      <c r="N370" s="32" t="str">
        <f>IF(Orders!W367="","None",Orders!W367)</f>
        <v>None</v>
      </c>
      <c r="O370" s="35">
        <f>INT(Orders!E367)</f>
        <v>46278.0</v>
      </c>
      <c r="P370" s="33">
        <f>Orders!U367</f>
        <v>11</v>
      </c>
      <c r="Q370" s="33">
        <f>COUNTIFS(Demand!$A$2:$A$4481,B370,Demand!$B$2:$B$4481,O370,Demand!$C$2:$C$4481,P370)</f>
        <v>1</v>
      </c>
      <c r="R370" s="33">
        <f>IF(Q370=1,SUMIFS(Demand!$E$2:$E$4481,Demand!$A$2:$A$4481,B370,Demand!$B$2:$B$4481,O370,Demand!$C$2:$C$4481,P370),"")</f>
        <v>34</v>
      </c>
      <c r="S370" s="33">
        <f>INDEX(Stores!$G$2:$G$21,MATCH(B370,Stores!$A$2:$A$21,0))</f>
        <v>22</v>
      </c>
      <c r="T370" s="34">
        <f>IF(R370="","",R370/S370)</f>
        <v>1.54545454545455</v>
      </c>
      <c r="U370" s="34">
        <f>IF(E370=1,T370,"")</f>
        <v>1.54545454545455</v>
      </c>
      <c r="V370" s="34">
        <f>IF(AND(E370=1,L370=0),T370,"")</f>
        <v>1.54545454545455</v>
      </c>
      <c r="W370" s="33">
        <f>IF(U370="","",IF(U370&lt;=Breakdowns!$C$5,1,IF(U370&lt;=Breakdowns!$C$6,2,IF(U370&lt;=Breakdowns!$C$7,3,4))))</f>
        <v>4</v>
      </c>
      <c r="X370" s="33">
        <f>IF(V370="","",IF(V370&lt;=Breakdowns!$D$5,1,IF(V370&lt;=Breakdowns!$D$6,2,IF(V370&lt;=Breakdowns!$D$7,3,4))))</f>
        <v>4</v>
      </c>
      <c r="Y370" s="34">
        <f>INDEX(Stores!$F$2:$F$21,MATCH(B370,Stores!$A$2:$A$21,0))</f>
        <v>5.61</v>
      </c>
      <c r="Z370" s="33">
        <f>IF(Y370&gt;Store_Summary!$M$2,1,0)</f>
        <v>1</v>
      </c>
      <c r="AA370" s="33">
        <f>INDEX(Stores!$C$2:$C$21,MATCH(B370,Stores!$A$2:$A$21,0))</f>
        <v>744</v>
      </c>
      <c r="AB370" s="33">
        <f>IF(AA370&lt;180,1,0)</f>
        <v>0</v>
      </c>
      <c r="AC370" s="32" t="str">
        <f>IF(Orders!D367="","",INDEX(Riders!$C$2:$C$81,MATCH(Orders!D367,Riders!$A$2:$A$81,0)))</f>
        <v>EV scooter</v>
      </c>
      <c r="AD370" s="33">
        <f>IF(Orders!D367="","",INDEX(Riders!$D$2:$D$81,MATCH(Orders!D367,Riders!$A$2:$A$81,0)))</f>
        <v>18</v>
      </c>
      <c r="AE370" s="33">
        <f>IF(Orders!D367="","",IF(INDEX(Riders!$B$2:$B$81,MATCH(Orders!D367,Riders!$A$2:$A$81,0))=B370,1,0))</f>
        <v>0</v>
      </c>
      <c r="AF370" s="34">
        <f>IF(E370=1,Orders!L367,"")</f>
        <v>1.6</v>
      </c>
      <c r="AG370" s="34">
        <f>IF(E370=1,Orders!P367,"")</f>
        <v>11</v>
      </c>
      <c r="AH370" s="34">
        <f>IF(E370=1,Orders!Q367,"")</f>
        <v>12</v>
      </c>
      <c r="AI370" s="34">
        <f>IF(E370=1,Orders!M367,"")</f>
        <v>6.6</v>
      </c>
      <c r="AJ370" s="34">
        <f>IF(E370=1,Orders!N367,"")</f>
        <v>0.7</v>
      </c>
      <c r="AK370" s="34">
        <f>IF(E370=1,Orders!O367,"")</f>
        <v>4.7</v>
      </c>
      <c r="AL370" s="33">
        <f>IF(E370=1,IF(ROUND(ABS(AI370+AJ370+AK370-AH370),6)&lt;=0.1,1,0),"")</f>
        <v>1</v>
      </c>
      <c r="AM370" s="36">
        <f>IF(E370=1,AI370/AH370,"")</f>
        <v>0.55</v>
      </c>
      <c r="AN370" s="36">
        <f>IF(E370=1,AJ370/AH370,"")</f>
        <v>0.0583333333333333</v>
      </c>
      <c r="AO370" s="36">
        <f>IF(E370=1,AK370/AH370,"")</f>
        <v>0.391666666666667</v>
      </c>
      <c r="AP370" s="34">
        <f>IF(E370=1,Orders!Y367,"")</f>
        <v>0.52</v>
      </c>
      <c r="AQ370" s="33">
        <f>IF(Orders!X367,1,0)</f>
        <v>0</v>
      </c>
      <c r="AR370" s="34" t="str">
        <f>IF(AND(E370=1,L370=1),AJ370,"")</f>
        <v/>
      </c>
      <c r="AS370" s="34">
        <f>IF(AND(E370=1,L370=0),AJ370,"")</f>
        <v>0.7</v>
      </c>
      <c r="AT370" s="34" t="str">
        <f>IF(AND(E370=1,L370=1),AI370,"")</f>
        <v/>
      </c>
      <c r="AU370" s="34">
        <f>IF(AND(E370=1,L370=0),AI370,"")</f>
        <v>6.6</v>
      </c>
      <c r="AV370" s="34" t="str">
        <f>IF(AND(E370=1,L370=1),AG370,"")</f>
        <v/>
      </c>
      <c r="AW370" s="34">
        <f>IF(AND(E370=1,L370=0),AG370,"")</f>
        <v>11</v>
      </c>
      <c r="AX370" s="34" t="str">
        <f>IF(AND(E370=1,L370=1),AH370,"")</f>
        <v/>
      </c>
      <c r="AY370" s="34">
        <f>IF(AND(E370=1,L370=0),AH370,"")</f>
        <v>12</v>
      </c>
      <c r="AZ370" s="34">
        <f>IF(G370=1,F370,"")</f>
        <v>1</v>
      </c>
      <c r="BA370" s="34" t="str">
        <f>IF(AND(G370=1,L370=1),F370,"")</f>
        <v/>
      </c>
      <c r="BB370" s="34">
        <f>IF(AND(G370=1,L370=0),F370,"")</f>
        <v>1</v>
      </c>
      <c r="BC370" s="33">
        <f>IF(E370=1,IF(Orders!R367&gt;3,1,0),"")</f>
        <v>0</v>
      </c>
      <c r="BD370" s="33">
        <f>IF(E370=1,IF(Orders!R367&gt;7,1,0),"")</f>
        <v>0</v>
      </c>
      <c r="BE370" s="32" t="str">
        <f>IF(E370=1,IF(Orders!L367&lt;=1.5,"Up to 1.5 km",IF(Orders!L367&lt;=3,"1.5–3 km","Over 3 km")),"")</f>
        <v>1.5–3 km</v>
      </c>
      <c r="BF370" s="33">
        <f>IF(E370=1,IF(ABS((Orders!G367-Orders!F367)*1440-Orders!R367)&lt;0.06,1,0),"")</f>
        <v>1</v>
      </c>
      <c r="BG370" s="33">
        <f>IF(ABS((Orders!F367-Orders!E367)*1440-Orders!P367)&lt;0.06,1,0)</f>
        <v>1</v>
      </c>
      <c r="BH370" s="33">
        <f>IF(E370=1,IF(IF(Orders!S367,1,0)=1-G370,1,0),"")</f>
        <v>1</v>
      </c>
      <c r="BI370" s="32" t="str">
        <f>INDEX(Stores!$B$2:$B$21,MATCH(B370,Stores!$A$2:$A$21,0))</f>
        <v>Delhi</v>
      </c>
    </row>
    <row r="371">
      <c r="A371" s="32" t="str">
        <f>Orders!A368</f>
        <v>O00367</v>
      </c>
      <c r="B371" s="32" t="str">
        <f>Orders!C368</f>
        <v>S001</v>
      </c>
      <c r="C371" s="32" t="str">
        <f>Orders!B368</f>
        <v>C0080</v>
      </c>
      <c r="D371" s="32" t="str">
        <f>Orders!H368</f>
        <v>Delivered</v>
      </c>
      <c r="E371" s="33">
        <f>IF(Orders!H368="Delivered",1,0)</f>
        <v>1</v>
      </c>
      <c r="F371" s="34">
        <f>IF(E371=1,Orders!R368,"")</f>
        <v>-0.3</v>
      </c>
      <c r="G371" s="33">
        <f>IF(E371=1,IF(Orders!R368&gt;0,1,0),"")</f>
        <v>0</v>
      </c>
      <c r="H371" s="33">
        <f>IF(E371=1,IF(Orders!R368&gt;5,1,0),"")</f>
        <v>0</v>
      </c>
      <c r="I371" s="32" t="str">
        <f>IF(E371=1,"",IF(OR(Orders!T368="Rider unavailable",Orders!T368="Item unavailable"),"Company-caused","Unresolved"))</f>
        <v/>
      </c>
      <c r="J371" s="33">
        <f>IF(OR(E371=1,I371="Company-caused"),1,0)</f>
        <v>1</v>
      </c>
      <c r="K371" s="32" t="str">
        <f>IF(E371=0,IF(I371="Company-caused",IF(Orders!T368="Rider unavailable","C1 Rider unavailable","C2 Item unavailable"),"Outside root: unresolved"),IF(G371=0,"A On time",IF(H371=1,IF(L371=1,"B2a Severe, peak","B2b Severe, off-peak"),IF(L371=1,"B1a Slight, peak","B1b Slight, off-peak"))))</f>
        <v>A On time</v>
      </c>
      <c r="L371" s="33">
        <f>IF(AND(Orders!U368&gt;=19,Orders!U368&lt;22),1,0)</f>
        <v>0</v>
      </c>
      <c r="M371" s="33">
        <f>IF(L371=IF(Orders!V368,1,0),1,0)</f>
        <v>1</v>
      </c>
      <c r="N371" s="32" t="str">
        <f>IF(Orders!W368="","None",Orders!W368)</f>
        <v>None</v>
      </c>
      <c r="O371" s="35">
        <f>INT(Orders!E368)</f>
        <v>46272.0</v>
      </c>
      <c r="P371" s="33">
        <f>Orders!U368</f>
        <v>22</v>
      </c>
      <c r="Q371" s="33">
        <f>COUNTIFS(Demand!$A$2:$A$4481,B371,Demand!$B$2:$B$4481,O371,Demand!$C$2:$C$4481,P371)</f>
        <v>1</v>
      </c>
      <c r="R371" s="33">
        <f>IF(Q371=1,SUMIFS(Demand!$E$2:$E$4481,Demand!$A$2:$A$4481,B371,Demand!$B$2:$B$4481,O371,Demand!$C$2:$C$4481,P371),"")</f>
        <v>15</v>
      </c>
      <c r="S371" s="33">
        <f>INDEX(Stores!$G$2:$G$21,MATCH(B371,Stores!$A$2:$A$21,0))</f>
        <v>16</v>
      </c>
      <c r="T371" s="34">
        <f>IF(R371="","",R371/S371)</f>
        <v>0.9375</v>
      </c>
      <c r="U371" s="34">
        <f>IF(E371=1,T371,"")</f>
        <v>0.9375</v>
      </c>
      <c r="V371" s="34">
        <f>IF(AND(E371=1,L371=0),T371,"")</f>
        <v>0.9375</v>
      </c>
      <c r="W371" s="33">
        <f>IF(U371="","",IF(U371&lt;=Breakdowns!$C$5,1,IF(U371&lt;=Breakdowns!$C$6,2,IF(U371&lt;=Breakdowns!$C$7,3,4))))</f>
        <v>2</v>
      </c>
      <c r="X371" s="33">
        <f>IF(V371="","",IF(V371&lt;=Breakdowns!$D$5,1,IF(V371&lt;=Breakdowns!$D$6,2,IF(V371&lt;=Breakdowns!$D$7,3,4))))</f>
        <v>3</v>
      </c>
      <c r="Y371" s="34">
        <f>INDEX(Stores!$F$2:$F$21,MATCH(B371,Stores!$A$2:$A$21,0))</f>
        <v>4.59</v>
      </c>
      <c r="Z371" s="33">
        <f>IF(Y371&gt;Store_Summary!$M$2,1,0)</f>
        <v>0</v>
      </c>
      <c r="AA371" s="33">
        <f>INDEX(Stores!$C$2:$C$21,MATCH(B371,Stores!$A$2:$A$21,0))</f>
        <v>362</v>
      </c>
      <c r="AB371" s="33">
        <f>IF(AA371&lt;180,1,0)</f>
        <v>0</v>
      </c>
      <c r="AC371" s="32" t="str">
        <f>IF(Orders!D368="","",INDEX(Riders!$C$2:$C$81,MATCH(Orders!D368,Riders!$A$2:$A$81,0)))</f>
        <v>EV scooter</v>
      </c>
      <c r="AD371" s="33">
        <f>IF(Orders!D368="","",INDEX(Riders!$D$2:$D$81,MATCH(Orders!D368,Riders!$A$2:$A$81,0)))</f>
        <v>4</v>
      </c>
      <c r="AE371" s="33">
        <f>IF(Orders!D368="","",IF(INDEX(Riders!$B$2:$B$81,MATCH(Orders!D368,Riders!$A$2:$A$81,0))=B371,1,0))</f>
        <v>0</v>
      </c>
      <c r="AF371" s="34">
        <f>IF(E371=1,Orders!L368,"")</f>
        <v>0.94</v>
      </c>
      <c r="AG371" s="34">
        <f>IF(E371=1,Orders!P368,"")</f>
        <v>10.2</v>
      </c>
      <c r="AH371" s="34">
        <f>IF(E371=1,Orders!Q368,"")</f>
        <v>9.9</v>
      </c>
      <c r="AI371" s="34">
        <f>IF(E371=1,Orders!M368,"")</f>
        <v>3.9</v>
      </c>
      <c r="AJ371" s="34">
        <f>IF(E371=1,Orders!N368,"")</f>
        <v>3.2</v>
      </c>
      <c r="AK371" s="34">
        <f>IF(E371=1,Orders!O368,"")</f>
        <v>2.8</v>
      </c>
      <c r="AL371" s="33">
        <f>IF(E371=1,IF(ROUND(ABS(AI371+AJ371+AK371-AH371),6)&lt;=0.1,1,0),"")</f>
        <v>1</v>
      </c>
      <c r="AM371" s="36">
        <f>IF(E371=1,AI371/AH371,"")</f>
        <v>0.393939393939394</v>
      </c>
      <c r="AN371" s="36">
        <f>IF(E371=1,AJ371/AH371,"")</f>
        <v>0.323232323232323</v>
      </c>
      <c r="AO371" s="36">
        <f>IF(E371=1,AK371/AH371,"")</f>
        <v>0.282828282828283</v>
      </c>
      <c r="AP371" s="34">
        <f>IF(E371=1,Orders!Y368,"")</f>
        <v>0.48</v>
      </c>
      <c r="AQ371" s="33">
        <f>IF(Orders!X368,1,0)</f>
        <v>0</v>
      </c>
      <c r="AR371" s="34" t="str">
        <f>IF(AND(E371=1,L371=1),AJ371,"")</f>
        <v/>
      </c>
      <c r="AS371" s="34">
        <f>IF(AND(E371=1,L371=0),AJ371,"")</f>
        <v>3.2</v>
      </c>
      <c r="AT371" s="34" t="str">
        <f>IF(AND(E371=1,L371=1),AI371,"")</f>
        <v/>
      </c>
      <c r="AU371" s="34">
        <f>IF(AND(E371=1,L371=0),AI371,"")</f>
        <v>3.9</v>
      </c>
      <c r="AV371" s="34" t="str">
        <f>IF(AND(E371=1,L371=1),AG371,"")</f>
        <v/>
      </c>
      <c r="AW371" s="34">
        <f>IF(AND(E371=1,L371=0),AG371,"")</f>
        <v>10.2</v>
      </c>
      <c r="AX371" s="34" t="str">
        <f>IF(AND(E371=1,L371=1),AH371,"")</f>
        <v/>
      </c>
      <c r="AY371" s="34">
        <f>IF(AND(E371=1,L371=0),AH371,"")</f>
        <v>9.9</v>
      </c>
      <c r="AZ371" s="34" t="str">
        <f>IF(G371=1,F371,"")</f>
        <v/>
      </c>
      <c r="BA371" s="34" t="str">
        <f>IF(AND(G371=1,L371=1),F371,"")</f>
        <v/>
      </c>
      <c r="BB371" s="34" t="str">
        <f>IF(AND(G371=1,L371=0),F371,"")</f>
        <v/>
      </c>
      <c r="BC371" s="33">
        <f>IF(E371=1,IF(Orders!R368&gt;3,1,0),"")</f>
        <v>0</v>
      </c>
      <c r="BD371" s="33">
        <f>IF(E371=1,IF(Orders!R368&gt;7,1,0),"")</f>
        <v>0</v>
      </c>
      <c r="BE371" s="32" t="str">
        <f>IF(E371=1,IF(Orders!L368&lt;=1.5,"Up to 1.5 km",IF(Orders!L368&lt;=3,"1.5–3 km","Over 3 km")),"")</f>
        <v>Up to 1.5 km</v>
      </c>
      <c r="BF371" s="33">
        <f>IF(E371=1,IF(ABS((Orders!G368-Orders!F368)*1440-Orders!R368)&lt;0.06,1,0),"")</f>
        <v>1</v>
      </c>
      <c r="BG371" s="33">
        <f>IF(ABS((Orders!F368-Orders!E368)*1440-Orders!P368)&lt;0.06,1,0)</f>
        <v>1</v>
      </c>
      <c r="BH371" s="33">
        <f>IF(E371=1,IF(IF(Orders!S368,1,0)=1-G371,1,0),"")</f>
        <v>1</v>
      </c>
      <c r="BI371" s="32" t="str">
        <f>INDEX(Stores!$B$2:$B$21,MATCH(B371,Stores!$A$2:$A$21,0))</f>
        <v>Bengaluru</v>
      </c>
    </row>
    <row r="372">
      <c r="A372" s="32" t="str">
        <f>Orders!A369</f>
        <v>O00368</v>
      </c>
      <c r="B372" s="32" t="str">
        <f>Orders!C369</f>
        <v>S020</v>
      </c>
      <c r="C372" s="32" t="str">
        <f>Orders!B369</f>
        <v>C0150</v>
      </c>
      <c r="D372" s="32" t="str">
        <f>Orders!H369</f>
        <v>Delivered</v>
      </c>
      <c r="E372" s="33">
        <f>IF(Orders!H369="Delivered",1,0)</f>
        <v>1</v>
      </c>
      <c r="F372" s="34">
        <f>IF(E372=1,Orders!R369,"")</f>
        <v>-0.3</v>
      </c>
      <c r="G372" s="33">
        <f>IF(E372=1,IF(Orders!R369&gt;0,1,0),"")</f>
        <v>0</v>
      </c>
      <c r="H372" s="33">
        <f>IF(E372=1,IF(Orders!R369&gt;5,1,0),"")</f>
        <v>0</v>
      </c>
      <c r="I372" s="32" t="str">
        <f>IF(E372=1,"",IF(OR(Orders!T369="Rider unavailable",Orders!T369="Item unavailable"),"Company-caused","Unresolved"))</f>
        <v/>
      </c>
      <c r="J372" s="33">
        <f>IF(OR(E372=1,I372="Company-caused"),1,0)</f>
        <v>1</v>
      </c>
      <c r="K372" s="32" t="str">
        <f>IF(E372=0,IF(I372="Company-caused",IF(Orders!T369="Rider unavailable","C1 Rider unavailable","C2 Item unavailable"),"Outside root: unresolved"),IF(G372=0,"A On time",IF(H372=1,IF(L372=1,"B2a Severe, peak","B2b Severe, off-peak"),IF(L372=1,"B1a Slight, peak","B1b Slight, off-peak"))))</f>
        <v>A On time</v>
      </c>
      <c r="L372" s="33">
        <f>IF(AND(Orders!U369&gt;=19,Orders!U369&lt;22),1,0)</f>
        <v>0</v>
      </c>
      <c r="M372" s="33">
        <f>IF(L372=IF(Orders!V369,1,0),1,0)</f>
        <v>1</v>
      </c>
      <c r="N372" s="32" t="str">
        <f>IF(Orders!W369="","None",Orders!W369)</f>
        <v>None</v>
      </c>
      <c r="O372" s="35">
        <f>INT(Orders!E369)</f>
        <v>46269.0</v>
      </c>
      <c r="P372" s="33">
        <f>Orders!U369</f>
        <v>8</v>
      </c>
      <c r="Q372" s="33">
        <f>COUNTIFS(Demand!$A$2:$A$4481,B372,Demand!$B$2:$B$4481,O372,Demand!$C$2:$C$4481,P372)</f>
        <v>1</v>
      </c>
      <c r="R372" s="33">
        <f>IF(Q372=1,SUMIFS(Demand!$E$2:$E$4481,Demand!$A$2:$A$4481,B372,Demand!$B$2:$B$4481,O372,Demand!$C$2:$C$4481,P372),"")</f>
        <v>11</v>
      </c>
      <c r="S372" s="33">
        <f>INDEX(Stores!$G$2:$G$21,MATCH(B372,Stores!$A$2:$A$21,0))</f>
        <v>15</v>
      </c>
      <c r="T372" s="34">
        <f>IF(R372="","",R372/S372)</f>
        <v>0.733333333333333</v>
      </c>
      <c r="U372" s="34">
        <f>IF(E372=1,T372,"")</f>
        <v>0.733333333333333</v>
      </c>
      <c r="V372" s="34">
        <f>IF(AND(E372=1,L372=0),T372,"")</f>
        <v>0.733333333333333</v>
      </c>
      <c r="W372" s="33">
        <f>IF(U372="","",IF(U372&lt;=Breakdowns!$C$5,1,IF(U372&lt;=Breakdowns!$C$6,2,IF(U372&lt;=Breakdowns!$C$7,3,4))))</f>
        <v>1</v>
      </c>
      <c r="X372" s="33">
        <f>IF(V372="","",IF(V372&lt;=Breakdowns!$D$5,1,IF(V372&lt;=Breakdowns!$D$6,2,IF(V372&lt;=Breakdowns!$D$7,3,4))))</f>
        <v>1</v>
      </c>
      <c r="Y372" s="34">
        <f>INDEX(Stores!$F$2:$F$21,MATCH(B372,Stores!$A$2:$A$21,0))</f>
        <v>5.74</v>
      </c>
      <c r="Z372" s="33">
        <f>IF(Y372&gt;Store_Summary!$M$2,1,0)</f>
        <v>1</v>
      </c>
      <c r="AA372" s="33">
        <f>INDEX(Stores!$C$2:$C$21,MATCH(B372,Stores!$A$2:$A$21,0))</f>
        <v>647</v>
      </c>
      <c r="AB372" s="33">
        <f>IF(AA372&lt;180,1,0)</f>
        <v>0</v>
      </c>
      <c r="AC372" s="32" t="str">
        <f>IF(Orders!D369="","",INDEX(Riders!$C$2:$C$81,MATCH(Orders!D369,Riders!$A$2:$A$81,0)))</f>
        <v>EV scooter</v>
      </c>
      <c r="AD372" s="33">
        <f>IF(Orders!D369="","",INDEX(Riders!$D$2:$D$81,MATCH(Orders!D369,Riders!$A$2:$A$81,0)))</f>
        <v>27</v>
      </c>
      <c r="AE372" s="33">
        <f>IF(Orders!D369="","",IF(INDEX(Riders!$B$2:$B$81,MATCH(Orders!D369,Riders!$A$2:$A$81,0))=B372,1,0))</f>
        <v>0</v>
      </c>
      <c r="AF372" s="34">
        <f>IF(E372=1,Orders!L369,"")</f>
        <v>2.46</v>
      </c>
      <c r="AG372" s="34">
        <f>IF(E372=1,Orders!P369,"")</f>
        <v>10.8</v>
      </c>
      <c r="AH372" s="34">
        <f>IF(E372=1,Orders!Q369,"")</f>
        <v>10.5</v>
      </c>
      <c r="AI372" s="34">
        <f>IF(E372=1,Orders!M369,"")</f>
        <v>4.1</v>
      </c>
      <c r="AJ372" s="34">
        <f>IF(E372=1,Orders!N369,"")</f>
        <v>3</v>
      </c>
      <c r="AK372" s="34">
        <f>IF(E372=1,Orders!O369,"")</f>
        <v>3.4</v>
      </c>
      <c r="AL372" s="33">
        <f>IF(E372=1,IF(ROUND(ABS(AI372+AJ372+AK372-AH372),6)&lt;=0.1,1,0),"")</f>
        <v>1</v>
      </c>
      <c r="AM372" s="36">
        <f>IF(E372=1,AI372/AH372,"")</f>
        <v>0.39047619047619</v>
      </c>
      <c r="AN372" s="36">
        <f>IF(E372=1,AJ372/AH372,"")</f>
        <v>0.285714285714286</v>
      </c>
      <c r="AO372" s="36">
        <f>IF(E372=1,AK372/AH372,"")</f>
        <v>0.323809523809524</v>
      </c>
      <c r="AP372" s="34">
        <f>IF(E372=1,Orders!Y369,"")</f>
        <v>0.55</v>
      </c>
      <c r="AQ372" s="33">
        <f>IF(Orders!X369,1,0)</f>
        <v>0</v>
      </c>
      <c r="AR372" s="34" t="str">
        <f>IF(AND(E372=1,L372=1),AJ372,"")</f>
        <v/>
      </c>
      <c r="AS372" s="34">
        <f>IF(AND(E372=1,L372=0),AJ372,"")</f>
        <v>3</v>
      </c>
      <c r="AT372" s="34" t="str">
        <f>IF(AND(E372=1,L372=1),AI372,"")</f>
        <v/>
      </c>
      <c r="AU372" s="34">
        <f>IF(AND(E372=1,L372=0),AI372,"")</f>
        <v>4.1</v>
      </c>
      <c r="AV372" s="34" t="str">
        <f>IF(AND(E372=1,L372=1),AG372,"")</f>
        <v/>
      </c>
      <c r="AW372" s="34">
        <f>IF(AND(E372=1,L372=0),AG372,"")</f>
        <v>10.8</v>
      </c>
      <c r="AX372" s="34" t="str">
        <f>IF(AND(E372=1,L372=1),AH372,"")</f>
        <v/>
      </c>
      <c r="AY372" s="34">
        <f>IF(AND(E372=1,L372=0),AH372,"")</f>
        <v>10.5</v>
      </c>
      <c r="AZ372" s="34" t="str">
        <f>IF(G372=1,F372,"")</f>
        <v/>
      </c>
      <c r="BA372" s="34" t="str">
        <f>IF(AND(G372=1,L372=1),F372,"")</f>
        <v/>
      </c>
      <c r="BB372" s="34" t="str">
        <f>IF(AND(G372=1,L372=0),F372,"")</f>
        <v/>
      </c>
      <c r="BC372" s="33">
        <f>IF(E372=1,IF(Orders!R369&gt;3,1,0),"")</f>
        <v>0</v>
      </c>
      <c r="BD372" s="33">
        <f>IF(E372=1,IF(Orders!R369&gt;7,1,0),"")</f>
        <v>0</v>
      </c>
      <c r="BE372" s="32" t="str">
        <f>IF(E372=1,IF(Orders!L369&lt;=1.5,"Up to 1.5 km",IF(Orders!L369&lt;=3,"1.5–3 km","Over 3 km")),"")</f>
        <v>1.5–3 km</v>
      </c>
      <c r="BF372" s="33">
        <f>IF(E372=1,IF(ABS((Orders!G369-Orders!F369)*1440-Orders!R369)&lt;0.06,1,0),"")</f>
        <v>1</v>
      </c>
      <c r="BG372" s="33">
        <f>IF(ABS((Orders!F369-Orders!E369)*1440-Orders!P369)&lt;0.06,1,0)</f>
        <v>1</v>
      </c>
      <c r="BH372" s="33">
        <f>IF(E372=1,IF(IF(Orders!S369,1,0)=1-G372,1,0),"")</f>
        <v>1</v>
      </c>
      <c r="BI372" s="32" t="str">
        <f>INDEX(Stores!$B$2:$B$21,MATCH(B372,Stores!$A$2:$A$21,0))</f>
        <v>Delhi</v>
      </c>
    </row>
    <row r="373">
      <c r="A373" s="32" t="str">
        <f>Orders!A370</f>
        <v>O00369</v>
      </c>
      <c r="B373" s="32" t="str">
        <f>Orders!C370</f>
        <v>S008</v>
      </c>
      <c r="C373" s="32" t="str">
        <f>Orders!B370</f>
        <v>C0218</v>
      </c>
      <c r="D373" s="32" t="str">
        <f>Orders!H370</f>
        <v>Delivered</v>
      </c>
      <c r="E373" s="33">
        <f>IF(Orders!H370="Delivered",1,0)</f>
        <v>1</v>
      </c>
      <c r="F373" s="34">
        <f>IF(E373=1,Orders!R370,"")</f>
        <v>-1.1</v>
      </c>
      <c r="G373" s="33">
        <f>IF(E373=1,IF(Orders!R370&gt;0,1,0),"")</f>
        <v>0</v>
      </c>
      <c r="H373" s="33">
        <f>IF(E373=1,IF(Orders!R370&gt;5,1,0),"")</f>
        <v>0</v>
      </c>
      <c r="I373" s="32" t="str">
        <f>IF(E373=1,"",IF(OR(Orders!T370="Rider unavailable",Orders!T370="Item unavailable"),"Company-caused","Unresolved"))</f>
        <v/>
      </c>
      <c r="J373" s="33">
        <f>IF(OR(E373=1,I373="Company-caused"),1,0)</f>
        <v>1</v>
      </c>
      <c r="K373" s="32" t="str">
        <f>IF(E373=0,IF(I373="Company-caused",IF(Orders!T370="Rider unavailable","C1 Rider unavailable","C2 Item unavailable"),"Outside root: unresolved"),IF(G373=0,"A On time",IF(H373=1,IF(L373=1,"B2a Severe, peak","B2b Severe, off-peak"),IF(L373=1,"B1a Slight, peak","B1b Slight, off-peak"))))</f>
        <v>A On time</v>
      </c>
      <c r="L373" s="33">
        <f>IF(AND(Orders!U370&gt;=19,Orders!U370&lt;22),1,0)</f>
        <v>1</v>
      </c>
      <c r="M373" s="33">
        <f>IF(L373=IF(Orders!V370,1,0),1,0)</f>
        <v>1</v>
      </c>
      <c r="N373" s="32" t="str">
        <f>IF(Orders!W370="","None",Orders!W370)</f>
        <v>Light</v>
      </c>
      <c r="O373" s="35">
        <f>INT(Orders!E370)</f>
        <v>46268.0</v>
      </c>
      <c r="P373" s="33">
        <f>Orders!U370</f>
        <v>19</v>
      </c>
      <c r="Q373" s="33">
        <f>COUNTIFS(Demand!$A$2:$A$4481,B373,Demand!$B$2:$B$4481,O373,Demand!$C$2:$C$4481,P373)</f>
        <v>1</v>
      </c>
      <c r="R373" s="33">
        <f>IF(Q373=1,SUMIFS(Demand!$E$2:$E$4481,Demand!$A$2:$A$4481,B373,Demand!$B$2:$B$4481,O373,Demand!$C$2:$C$4481,P373),"")</f>
        <v>34</v>
      </c>
      <c r="S373" s="33">
        <f>INDEX(Stores!$G$2:$G$21,MATCH(B373,Stores!$A$2:$A$21,0))</f>
        <v>23</v>
      </c>
      <c r="T373" s="34">
        <f>IF(R373="","",R373/S373)</f>
        <v>1.47826086956522</v>
      </c>
      <c r="U373" s="34">
        <f>IF(E373=1,T373,"")</f>
        <v>1.47826086956522</v>
      </c>
      <c r="V373" s="34" t="str">
        <f>IF(AND(E373=1,L373=0),T373,"")</f>
        <v/>
      </c>
      <c r="W373" s="33">
        <f>IF(U373="","",IF(U373&lt;=Breakdowns!$C$5,1,IF(U373&lt;=Breakdowns!$C$6,2,IF(U373&lt;=Breakdowns!$C$7,3,4))))</f>
        <v>4</v>
      </c>
      <c r="X373" s="33" t="str">
        <f>IF(V373="","",IF(V373&lt;=Breakdowns!$D$5,1,IF(V373&lt;=Breakdowns!$D$6,2,IF(V373&lt;=Breakdowns!$D$7,3,4))))</f>
        <v/>
      </c>
      <c r="Y373" s="34">
        <f>INDEX(Stores!$F$2:$F$21,MATCH(B373,Stores!$A$2:$A$21,0))</f>
        <v>3.46</v>
      </c>
      <c r="Z373" s="33">
        <f>IF(Y373&gt;Store_Summary!$M$2,1,0)</f>
        <v>0</v>
      </c>
      <c r="AA373" s="33">
        <f>INDEX(Stores!$C$2:$C$21,MATCH(B373,Stores!$A$2:$A$21,0))</f>
        <v>825</v>
      </c>
      <c r="AB373" s="33">
        <f>IF(AA373&lt;180,1,0)</f>
        <v>0</v>
      </c>
      <c r="AC373" s="32" t="str">
        <f>IF(Orders!D370="","",INDEX(Riders!$C$2:$C$81,MATCH(Orders!D370,Riders!$A$2:$A$81,0)))</f>
        <v>EV scooter</v>
      </c>
      <c r="AD373" s="33">
        <f>IF(Orders!D370="","",INDEX(Riders!$D$2:$D$81,MATCH(Orders!D370,Riders!$A$2:$A$81,0)))</f>
        <v>27</v>
      </c>
      <c r="AE373" s="33">
        <f>IF(Orders!D370="","",IF(INDEX(Riders!$B$2:$B$81,MATCH(Orders!D370,Riders!$A$2:$A$81,0))=B373,1,0))</f>
        <v>1</v>
      </c>
      <c r="AF373" s="34">
        <f>IF(E373=1,Orders!L370,"")</f>
        <v>1.79</v>
      </c>
      <c r="AG373" s="34">
        <f>IF(E373=1,Orders!P370,"")</f>
        <v>7.2</v>
      </c>
      <c r="AH373" s="34">
        <f>IF(E373=1,Orders!Q370,"")</f>
        <v>6.1</v>
      </c>
      <c r="AI373" s="34">
        <f>IF(E373=1,Orders!M370,"")</f>
        <v>1.7</v>
      </c>
      <c r="AJ373" s="34">
        <f>IF(E373=1,Orders!N370,"")</f>
        <v>2.6</v>
      </c>
      <c r="AK373" s="34">
        <f>IF(E373=1,Orders!O370,"")</f>
        <v>1.8</v>
      </c>
      <c r="AL373" s="33">
        <f>IF(E373=1,IF(ROUND(ABS(AI373+AJ373+AK373-AH373),6)&lt;=0.1,1,0),"")</f>
        <v>1</v>
      </c>
      <c r="AM373" s="36">
        <f>IF(E373=1,AI373/AH373,"")</f>
        <v>0.278688524590164</v>
      </c>
      <c r="AN373" s="36">
        <f>IF(E373=1,AJ373/AH373,"")</f>
        <v>0.426229508196721</v>
      </c>
      <c r="AO373" s="36">
        <f>IF(E373=1,AK373/AH373,"")</f>
        <v>0.295081967213115</v>
      </c>
      <c r="AP373" s="34">
        <f>IF(E373=1,Orders!Y370,"")</f>
        <v>0.72</v>
      </c>
      <c r="AQ373" s="33">
        <f>IF(Orders!X370,1,0)</f>
        <v>0</v>
      </c>
      <c r="AR373" s="34">
        <f>IF(AND(E373=1,L373=1),AJ373,"")</f>
        <v>2.6</v>
      </c>
      <c r="AS373" s="34" t="str">
        <f>IF(AND(E373=1,L373=0),AJ373,"")</f>
        <v/>
      </c>
      <c r="AT373" s="34">
        <f>IF(AND(E373=1,L373=1),AI373,"")</f>
        <v>1.7</v>
      </c>
      <c r="AU373" s="34" t="str">
        <f>IF(AND(E373=1,L373=0),AI373,"")</f>
        <v/>
      </c>
      <c r="AV373" s="34">
        <f>IF(AND(E373=1,L373=1),AG373,"")</f>
        <v>7.2</v>
      </c>
      <c r="AW373" s="34" t="str">
        <f>IF(AND(E373=1,L373=0),AG373,"")</f>
        <v/>
      </c>
      <c r="AX373" s="34">
        <f>IF(AND(E373=1,L373=1),AH373,"")</f>
        <v>6.1</v>
      </c>
      <c r="AY373" s="34" t="str">
        <f>IF(AND(E373=1,L373=0),AH373,"")</f>
        <v/>
      </c>
      <c r="AZ373" s="34" t="str">
        <f>IF(G373=1,F373,"")</f>
        <v/>
      </c>
      <c r="BA373" s="34" t="str">
        <f>IF(AND(G373=1,L373=1),F373,"")</f>
        <v/>
      </c>
      <c r="BB373" s="34" t="str">
        <f>IF(AND(G373=1,L373=0),F373,"")</f>
        <v/>
      </c>
      <c r="BC373" s="33">
        <f>IF(E373=1,IF(Orders!R370&gt;3,1,0),"")</f>
        <v>0</v>
      </c>
      <c r="BD373" s="33">
        <f>IF(E373=1,IF(Orders!R370&gt;7,1,0),"")</f>
        <v>0</v>
      </c>
      <c r="BE373" s="32" t="str">
        <f>IF(E373=1,IF(Orders!L370&lt;=1.5,"Up to 1.5 km",IF(Orders!L370&lt;=3,"1.5–3 km","Over 3 km")),"")</f>
        <v>1.5–3 km</v>
      </c>
      <c r="BF373" s="33">
        <f>IF(E373=1,IF(ABS((Orders!G370-Orders!F370)*1440-Orders!R370)&lt;0.06,1,0),"")</f>
        <v>1</v>
      </c>
      <c r="BG373" s="33">
        <f>IF(ABS((Orders!F370-Orders!E370)*1440-Orders!P370)&lt;0.06,1,0)</f>
        <v>1</v>
      </c>
      <c r="BH373" s="33">
        <f>IF(E373=1,IF(IF(Orders!S370,1,0)=1-G373,1,0),"")</f>
        <v>1</v>
      </c>
      <c r="BI373" s="32" t="str">
        <f>INDEX(Stores!$B$2:$B$21,MATCH(B373,Stores!$A$2:$A$21,0))</f>
        <v>Mumbai</v>
      </c>
    </row>
    <row r="374">
      <c r="A374" s="32" t="str">
        <f>Orders!A371</f>
        <v>O00370</v>
      </c>
      <c r="B374" s="32" t="str">
        <f>Orders!C371</f>
        <v>S014</v>
      </c>
      <c r="C374" s="32" t="str">
        <f>Orders!B371</f>
        <v>C0042</v>
      </c>
      <c r="D374" s="32" t="str">
        <f>Orders!H371</f>
        <v>Delivered</v>
      </c>
      <c r="E374" s="33">
        <f>IF(Orders!H371="Delivered",1,0)</f>
        <v>1</v>
      </c>
      <c r="F374" s="34">
        <f>IF(E374=1,Orders!R371,"")</f>
        <v>5.9</v>
      </c>
      <c r="G374" s="33">
        <f>IF(E374=1,IF(Orders!R371&gt;0,1,0),"")</f>
        <v>1</v>
      </c>
      <c r="H374" s="33">
        <f>IF(E374=1,IF(Orders!R371&gt;5,1,0),"")</f>
        <v>1</v>
      </c>
      <c r="I374" s="32" t="str">
        <f>IF(E374=1,"",IF(OR(Orders!T371="Rider unavailable",Orders!T371="Item unavailable"),"Company-caused","Unresolved"))</f>
        <v/>
      </c>
      <c r="J374" s="33">
        <f>IF(OR(E374=1,I374="Company-caused"),1,0)</f>
        <v>1</v>
      </c>
      <c r="K374" s="32" t="str">
        <f>IF(E374=0,IF(I374="Company-caused",IF(Orders!T371="Rider unavailable","C1 Rider unavailable","C2 Item unavailable"),"Outside root: unresolved"),IF(G374=0,"A On time",IF(H374=1,IF(L374=1,"B2a Severe, peak","B2b Severe, off-peak"),IF(L374=1,"B1a Slight, peak","B1b Slight, off-peak"))))</f>
        <v>B2a Severe, peak</v>
      </c>
      <c r="L374" s="33">
        <f>IF(AND(Orders!U371&gt;=19,Orders!U371&lt;22),1,0)</f>
        <v>1</v>
      </c>
      <c r="M374" s="33">
        <f>IF(L374=IF(Orders!V371,1,0),1,0)</f>
        <v>1</v>
      </c>
      <c r="N374" s="32" t="str">
        <f>IF(Orders!W371="","None",Orders!W371)</f>
        <v>Light</v>
      </c>
      <c r="O374" s="35">
        <f>INT(Orders!E371)</f>
        <v>46271.0</v>
      </c>
      <c r="P374" s="33">
        <f>Orders!U371</f>
        <v>20</v>
      </c>
      <c r="Q374" s="33">
        <f>COUNTIFS(Demand!$A$2:$A$4481,B374,Demand!$B$2:$B$4481,O374,Demand!$C$2:$C$4481,P374)</f>
        <v>1</v>
      </c>
      <c r="R374" s="33">
        <f>IF(Q374=1,SUMIFS(Demand!$E$2:$E$4481,Demand!$A$2:$A$4481,B374,Demand!$B$2:$B$4481,O374,Demand!$C$2:$C$4481,P374),"")</f>
        <v>48</v>
      </c>
      <c r="S374" s="33">
        <f>INDEX(Stores!$G$2:$G$21,MATCH(B374,Stores!$A$2:$A$21,0))</f>
        <v>37</v>
      </c>
      <c r="T374" s="34">
        <f>IF(R374="","",R374/S374)</f>
        <v>1.2972972972973</v>
      </c>
      <c r="U374" s="34">
        <f>IF(E374=1,T374,"")</f>
        <v>1.2972972972973</v>
      </c>
      <c r="V374" s="34" t="str">
        <f>IF(AND(E374=1,L374=0),T374,"")</f>
        <v/>
      </c>
      <c r="W374" s="33">
        <f>IF(U374="","",IF(U374&lt;=Breakdowns!$C$5,1,IF(U374&lt;=Breakdowns!$C$6,2,IF(U374&lt;=Breakdowns!$C$7,3,4))))</f>
        <v>4</v>
      </c>
      <c r="X374" s="33" t="str">
        <f>IF(V374="","",IF(V374&lt;=Breakdowns!$D$5,1,IF(V374&lt;=Breakdowns!$D$6,2,IF(V374&lt;=Breakdowns!$D$7,3,4))))</f>
        <v/>
      </c>
      <c r="Y374" s="34">
        <f>INDEX(Stores!$F$2:$F$21,MATCH(B374,Stores!$A$2:$A$21,0))</f>
        <v>5.55</v>
      </c>
      <c r="Z374" s="33">
        <f>IF(Y374&gt;Store_Summary!$M$2,1,0)</f>
        <v>1</v>
      </c>
      <c r="AA374" s="33">
        <f>INDEX(Stores!$C$2:$C$21,MATCH(B374,Stores!$A$2:$A$21,0))</f>
        <v>241</v>
      </c>
      <c r="AB374" s="33">
        <f>IF(AA374&lt;180,1,0)</f>
        <v>0</v>
      </c>
      <c r="AC374" s="32" t="str">
        <f>IF(Orders!D371="","",INDEX(Riders!$C$2:$C$81,MATCH(Orders!D371,Riders!$A$2:$A$81,0)))</f>
        <v>Bicycle</v>
      </c>
      <c r="AD374" s="33">
        <f>IF(Orders!D371="","",INDEX(Riders!$D$2:$D$81,MATCH(Orders!D371,Riders!$A$2:$A$81,0)))</f>
        <v>44</v>
      </c>
      <c r="AE374" s="33">
        <f>IF(Orders!D371="","",IF(INDEX(Riders!$B$2:$B$81,MATCH(Orders!D371,Riders!$A$2:$A$81,0))=B374,1,0))</f>
        <v>0</v>
      </c>
      <c r="AF374" s="34">
        <f>IF(E374=1,Orders!L371,"")</f>
        <v>0.91</v>
      </c>
      <c r="AG374" s="34">
        <f>IF(E374=1,Orders!P371,"")</f>
        <v>11.1</v>
      </c>
      <c r="AH374" s="34">
        <f>IF(E374=1,Orders!Q371,"")</f>
        <v>17</v>
      </c>
      <c r="AI374" s="34">
        <f>IF(E374=1,Orders!M371,"")</f>
        <v>5.9</v>
      </c>
      <c r="AJ374" s="34">
        <f>IF(E374=1,Orders!N371,"")</f>
        <v>7.5</v>
      </c>
      <c r="AK374" s="34">
        <f>IF(E374=1,Orders!O371,"")</f>
        <v>3.7</v>
      </c>
      <c r="AL374" s="33">
        <f>IF(E374=1,IF(ROUND(ABS(AI374+AJ374+AK374-AH374),6)&lt;=0.1,1,0),"")</f>
        <v>1</v>
      </c>
      <c r="AM374" s="36">
        <f>IF(E374=1,AI374/AH374,"")</f>
        <v>0.347058823529412</v>
      </c>
      <c r="AN374" s="36">
        <f>IF(E374=1,AJ374/AH374,"")</f>
        <v>0.441176470588235</v>
      </c>
      <c r="AO374" s="36">
        <f>IF(E374=1,AK374/AH374,"")</f>
        <v>0.217647058823529</v>
      </c>
      <c r="AP374" s="34">
        <f>IF(E374=1,Orders!Y371,"")</f>
        <v>0.31</v>
      </c>
      <c r="AQ374" s="33">
        <f>IF(Orders!X371,1,0)</f>
        <v>0</v>
      </c>
      <c r="AR374" s="34">
        <f>IF(AND(E374=1,L374=1),AJ374,"")</f>
        <v>7.5</v>
      </c>
      <c r="AS374" s="34" t="str">
        <f>IF(AND(E374=1,L374=0),AJ374,"")</f>
        <v/>
      </c>
      <c r="AT374" s="34">
        <f>IF(AND(E374=1,L374=1),AI374,"")</f>
        <v>5.9</v>
      </c>
      <c r="AU374" s="34" t="str">
        <f>IF(AND(E374=1,L374=0),AI374,"")</f>
        <v/>
      </c>
      <c r="AV374" s="34">
        <f>IF(AND(E374=1,L374=1),AG374,"")</f>
        <v>11.1</v>
      </c>
      <c r="AW374" s="34" t="str">
        <f>IF(AND(E374=1,L374=0),AG374,"")</f>
        <v/>
      </c>
      <c r="AX374" s="34">
        <f>IF(AND(E374=1,L374=1),AH374,"")</f>
        <v>17</v>
      </c>
      <c r="AY374" s="34" t="str">
        <f>IF(AND(E374=1,L374=0),AH374,"")</f>
        <v/>
      </c>
      <c r="AZ374" s="34">
        <f>IF(G374=1,F374,"")</f>
        <v>5.9</v>
      </c>
      <c r="BA374" s="34">
        <f>IF(AND(G374=1,L374=1),F374,"")</f>
        <v>5.9</v>
      </c>
      <c r="BB374" s="34" t="str">
        <f>IF(AND(G374=1,L374=0),F374,"")</f>
        <v/>
      </c>
      <c r="BC374" s="33">
        <f>IF(E374=1,IF(Orders!R371&gt;3,1,0),"")</f>
        <v>1</v>
      </c>
      <c r="BD374" s="33">
        <f>IF(E374=1,IF(Orders!R371&gt;7,1,0),"")</f>
        <v>0</v>
      </c>
      <c r="BE374" s="32" t="str">
        <f>IF(E374=1,IF(Orders!L371&lt;=1.5,"Up to 1.5 km",IF(Orders!L371&lt;=3,"1.5–3 km","Over 3 km")),"")</f>
        <v>Up to 1.5 km</v>
      </c>
      <c r="BF374" s="33">
        <f>IF(E374=1,IF(ABS((Orders!G371-Orders!F371)*1440-Orders!R371)&lt;0.06,1,0),"")</f>
        <v>1</v>
      </c>
      <c r="BG374" s="33">
        <f>IF(ABS((Orders!F371-Orders!E371)*1440-Orders!P371)&lt;0.06,1,0)</f>
        <v>1</v>
      </c>
      <c r="BH374" s="33">
        <f>IF(E374=1,IF(IF(Orders!S371,1,0)=1-G374,1,0),"")</f>
        <v>1</v>
      </c>
      <c r="BI374" s="32" t="str">
        <f>INDEX(Stores!$B$2:$B$21,MATCH(B374,Stores!$A$2:$A$21,0))</f>
        <v>Pune</v>
      </c>
    </row>
    <row r="375">
      <c r="A375" s="32" t="str">
        <f>Orders!A372</f>
        <v>O00371</v>
      </c>
      <c r="B375" s="32" t="str">
        <f>Orders!C372</f>
        <v>S002</v>
      </c>
      <c r="C375" s="32" t="str">
        <f>Orders!B372</f>
        <v>C0164</v>
      </c>
      <c r="D375" s="32" t="str">
        <f>Orders!H372</f>
        <v>Delivered</v>
      </c>
      <c r="E375" s="33">
        <f>IF(Orders!H372="Delivered",1,0)</f>
        <v>1</v>
      </c>
      <c r="F375" s="34">
        <f>IF(E375=1,Orders!R372,"")</f>
        <v>-0.9</v>
      </c>
      <c r="G375" s="33">
        <f>IF(E375=1,IF(Orders!R372&gt;0,1,0),"")</f>
        <v>0</v>
      </c>
      <c r="H375" s="33">
        <f>IF(E375=1,IF(Orders!R372&gt;5,1,0),"")</f>
        <v>0</v>
      </c>
      <c r="I375" s="32" t="str">
        <f>IF(E375=1,"",IF(OR(Orders!T372="Rider unavailable",Orders!T372="Item unavailable"),"Company-caused","Unresolved"))</f>
        <v/>
      </c>
      <c r="J375" s="33">
        <f>IF(OR(E375=1,I375="Company-caused"),1,0)</f>
        <v>1</v>
      </c>
      <c r="K375" s="32" t="str">
        <f>IF(E375=0,IF(I375="Company-caused",IF(Orders!T372="Rider unavailable","C1 Rider unavailable","C2 Item unavailable"),"Outside root: unresolved"),IF(G375=0,"A On time",IF(H375=1,IF(L375=1,"B2a Severe, peak","B2b Severe, off-peak"),IF(L375=1,"B1a Slight, peak","B1b Slight, off-peak"))))</f>
        <v>A On time</v>
      </c>
      <c r="L375" s="33">
        <f>IF(AND(Orders!U372&gt;=19,Orders!U372&lt;22),1,0)</f>
        <v>0</v>
      </c>
      <c r="M375" s="33">
        <f>IF(L375=IF(Orders!V372,1,0),1,0)</f>
        <v>1</v>
      </c>
      <c r="N375" s="32" t="str">
        <f>IF(Orders!W372="","None",Orders!W372)</f>
        <v>None</v>
      </c>
      <c r="O375" s="35">
        <f>INT(Orders!E372)</f>
        <v>46279.0</v>
      </c>
      <c r="P375" s="33">
        <f>Orders!U372</f>
        <v>18</v>
      </c>
      <c r="Q375" s="33">
        <f>COUNTIFS(Demand!$A$2:$A$4481,B375,Demand!$B$2:$B$4481,O375,Demand!$C$2:$C$4481,P375)</f>
        <v>1</v>
      </c>
      <c r="R375" s="33">
        <f>IF(Q375=1,SUMIFS(Demand!$E$2:$E$4481,Demand!$A$2:$A$4481,B375,Demand!$B$2:$B$4481,O375,Demand!$C$2:$C$4481,P375),"")</f>
        <v>29</v>
      </c>
      <c r="S375" s="33">
        <f>INDEX(Stores!$G$2:$G$21,MATCH(B375,Stores!$A$2:$A$21,0))</f>
        <v>33</v>
      </c>
      <c r="T375" s="34">
        <f>IF(R375="","",R375/S375)</f>
        <v>0.878787878787879</v>
      </c>
      <c r="U375" s="34">
        <f>IF(E375=1,T375,"")</f>
        <v>0.878787878787879</v>
      </c>
      <c r="V375" s="34">
        <f>IF(AND(E375=1,L375=0),T375,"")</f>
        <v>0.878787878787879</v>
      </c>
      <c r="W375" s="33">
        <f>IF(U375="","",IF(U375&lt;=Breakdowns!$C$5,1,IF(U375&lt;=Breakdowns!$C$6,2,IF(U375&lt;=Breakdowns!$C$7,3,4))))</f>
        <v>2</v>
      </c>
      <c r="X375" s="33">
        <f>IF(V375="","",IF(V375&lt;=Breakdowns!$D$5,1,IF(V375&lt;=Breakdowns!$D$6,2,IF(V375&lt;=Breakdowns!$D$7,3,4))))</f>
        <v>2</v>
      </c>
      <c r="Y375" s="34">
        <f>INDEX(Stores!$F$2:$F$21,MATCH(B375,Stores!$A$2:$A$21,0))</f>
        <v>2.39</v>
      </c>
      <c r="Z375" s="33">
        <f>IF(Y375&gt;Store_Summary!$M$2,1,0)</f>
        <v>0</v>
      </c>
      <c r="AA375" s="33">
        <f>INDEX(Stores!$C$2:$C$21,MATCH(B375,Stores!$A$2:$A$21,0))</f>
        <v>470</v>
      </c>
      <c r="AB375" s="33">
        <f>IF(AA375&lt;180,1,0)</f>
        <v>0</v>
      </c>
      <c r="AC375" s="32" t="str">
        <f>IF(Orders!D372="","",INDEX(Riders!$C$2:$C$81,MATCH(Orders!D372,Riders!$A$2:$A$81,0)))</f>
        <v>EV scooter</v>
      </c>
      <c r="AD375" s="33">
        <f>IF(Orders!D372="","",INDEX(Riders!$D$2:$D$81,MATCH(Orders!D372,Riders!$A$2:$A$81,0)))</f>
        <v>24</v>
      </c>
      <c r="AE375" s="33">
        <f>IF(Orders!D372="","",IF(INDEX(Riders!$B$2:$B$81,MATCH(Orders!D372,Riders!$A$2:$A$81,0))=B375,1,0))</f>
        <v>0</v>
      </c>
      <c r="AF375" s="34">
        <f>IF(E375=1,Orders!L372,"")</f>
        <v>4.19</v>
      </c>
      <c r="AG375" s="34">
        <f>IF(E375=1,Orders!P372,"")</f>
        <v>11.6</v>
      </c>
      <c r="AH375" s="34">
        <f>IF(E375=1,Orders!Q372,"")</f>
        <v>10.7</v>
      </c>
      <c r="AI375" s="34">
        <f>IF(E375=1,Orders!M372,"")</f>
        <v>2.5</v>
      </c>
      <c r="AJ375" s="34">
        <f>IF(E375=1,Orders!N372,"")</f>
        <v>1.1</v>
      </c>
      <c r="AK375" s="34">
        <f>IF(E375=1,Orders!O372,"")</f>
        <v>7.1</v>
      </c>
      <c r="AL375" s="33">
        <f>IF(E375=1,IF(ROUND(ABS(AI375+AJ375+AK375-AH375),6)&lt;=0.1,1,0),"")</f>
        <v>1</v>
      </c>
      <c r="AM375" s="36">
        <f>IF(E375=1,AI375/AH375,"")</f>
        <v>0.233644859813084</v>
      </c>
      <c r="AN375" s="36">
        <f>IF(E375=1,AJ375/AH375,"")</f>
        <v>0.102803738317757</v>
      </c>
      <c r="AO375" s="36">
        <f>IF(E375=1,AK375/AH375,"")</f>
        <v>0.663551401869159</v>
      </c>
      <c r="AP375" s="34">
        <f>IF(E375=1,Orders!Y372,"")</f>
        <v>0.36</v>
      </c>
      <c r="AQ375" s="33">
        <f>IF(Orders!X372,1,0)</f>
        <v>0</v>
      </c>
      <c r="AR375" s="34" t="str">
        <f>IF(AND(E375=1,L375=1),AJ375,"")</f>
        <v/>
      </c>
      <c r="AS375" s="34">
        <f>IF(AND(E375=1,L375=0),AJ375,"")</f>
        <v>1.1</v>
      </c>
      <c r="AT375" s="34" t="str">
        <f>IF(AND(E375=1,L375=1),AI375,"")</f>
        <v/>
      </c>
      <c r="AU375" s="34">
        <f>IF(AND(E375=1,L375=0),AI375,"")</f>
        <v>2.5</v>
      </c>
      <c r="AV375" s="34" t="str">
        <f>IF(AND(E375=1,L375=1),AG375,"")</f>
        <v/>
      </c>
      <c r="AW375" s="34">
        <f>IF(AND(E375=1,L375=0),AG375,"")</f>
        <v>11.6</v>
      </c>
      <c r="AX375" s="34" t="str">
        <f>IF(AND(E375=1,L375=1),AH375,"")</f>
        <v/>
      </c>
      <c r="AY375" s="34">
        <f>IF(AND(E375=1,L375=0),AH375,"")</f>
        <v>10.7</v>
      </c>
      <c r="AZ375" s="34" t="str">
        <f>IF(G375=1,F375,"")</f>
        <v/>
      </c>
      <c r="BA375" s="34" t="str">
        <f>IF(AND(G375=1,L375=1),F375,"")</f>
        <v/>
      </c>
      <c r="BB375" s="34" t="str">
        <f>IF(AND(G375=1,L375=0),F375,"")</f>
        <v/>
      </c>
      <c r="BC375" s="33">
        <f>IF(E375=1,IF(Orders!R372&gt;3,1,0),"")</f>
        <v>0</v>
      </c>
      <c r="BD375" s="33">
        <f>IF(E375=1,IF(Orders!R372&gt;7,1,0),"")</f>
        <v>0</v>
      </c>
      <c r="BE375" s="32" t="str">
        <f>IF(E375=1,IF(Orders!L372&lt;=1.5,"Up to 1.5 km",IF(Orders!L372&lt;=3,"1.5–3 km","Over 3 km")),"")</f>
        <v>Over 3 km</v>
      </c>
      <c r="BF375" s="33">
        <f>IF(E375=1,IF(ABS((Orders!G372-Orders!F372)*1440-Orders!R372)&lt;0.06,1,0),"")</f>
        <v>1</v>
      </c>
      <c r="BG375" s="33">
        <f>IF(ABS((Orders!F372-Orders!E372)*1440-Orders!P372)&lt;0.06,1,0)</f>
        <v>1</v>
      </c>
      <c r="BH375" s="33">
        <f>IF(E375=1,IF(IF(Orders!S372,1,0)=1-G375,1,0),"")</f>
        <v>1</v>
      </c>
      <c r="BI375" s="32" t="str">
        <f>INDEX(Stores!$B$2:$B$21,MATCH(B375,Stores!$A$2:$A$21,0))</f>
        <v>Hyderabad</v>
      </c>
    </row>
    <row r="376">
      <c r="A376" s="32" t="str">
        <f>Orders!A373</f>
        <v>O00372</v>
      </c>
      <c r="B376" s="32" t="str">
        <f>Orders!C373</f>
        <v>S009</v>
      </c>
      <c r="C376" s="32" t="str">
        <f>Orders!B373</f>
        <v>C0025</v>
      </c>
      <c r="D376" s="32" t="str">
        <f>Orders!H373</f>
        <v>Delivered</v>
      </c>
      <c r="E376" s="33">
        <f>IF(Orders!H373="Delivered",1,0)</f>
        <v>1</v>
      </c>
      <c r="F376" s="34">
        <f>IF(E376=1,Orders!R373,"")</f>
        <v>-3.5</v>
      </c>
      <c r="G376" s="33">
        <f>IF(E376=1,IF(Orders!R373&gt;0,1,0),"")</f>
        <v>0</v>
      </c>
      <c r="H376" s="33">
        <f>IF(E376=1,IF(Orders!R373&gt;5,1,0),"")</f>
        <v>0</v>
      </c>
      <c r="I376" s="32" t="str">
        <f>IF(E376=1,"",IF(OR(Orders!T373="Rider unavailable",Orders!T373="Item unavailable"),"Company-caused","Unresolved"))</f>
        <v/>
      </c>
      <c r="J376" s="33">
        <f>IF(OR(E376=1,I376="Company-caused"),1,0)</f>
        <v>1</v>
      </c>
      <c r="K376" s="32" t="str">
        <f>IF(E376=0,IF(I376="Company-caused",IF(Orders!T373="Rider unavailable","C1 Rider unavailable","C2 Item unavailable"),"Outside root: unresolved"),IF(G376=0,"A On time",IF(H376=1,IF(L376=1,"B2a Severe, peak","B2b Severe, off-peak"),IF(L376=1,"B1a Slight, peak","B1b Slight, off-peak"))))</f>
        <v>A On time</v>
      </c>
      <c r="L376" s="33">
        <f>IF(AND(Orders!U373&gt;=19,Orders!U373&lt;22),1,0)</f>
        <v>0</v>
      </c>
      <c r="M376" s="33">
        <f>IF(L376=IF(Orders!V373,1,0),1,0)</f>
        <v>1</v>
      </c>
      <c r="N376" s="32" t="str">
        <f>IF(Orders!W373="","None",Orders!W373)</f>
        <v>None</v>
      </c>
      <c r="O376" s="35">
        <f>INT(Orders!E373)</f>
        <v>46272.0</v>
      </c>
      <c r="P376" s="33">
        <f>Orders!U373</f>
        <v>23</v>
      </c>
      <c r="Q376" s="33">
        <f>COUNTIFS(Demand!$A$2:$A$4481,B376,Demand!$B$2:$B$4481,O376,Demand!$C$2:$C$4481,P376)</f>
        <v>1</v>
      </c>
      <c r="R376" s="33">
        <f>IF(Q376=1,SUMIFS(Demand!$E$2:$E$4481,Demand!$A$2:$A$4481,B376,Demand!$B$2:$B$4481,O376,Demand!$C$2:$C$4481,P376),"")</f>
        <v>33</v>
      </c>
      <c r="S376" s="33">
        <f>INDEX(Stores!$G$2:$G$21,MATCH(B376,Stores!$A$2:$A$21,0))</f>
        <v>29</v>
      </c>
      <c r="T376" s="34">
        <f>IF(R376="","",R376/S376)</f>
        <v>1.13793103448276</v>
      </c>
      <c r="U376" s="34">
        <f>IF(E376=1,T376,"")</f>
        <v>1.13793103448276</v>
      </c>
      <c r="V376" s="34">
        <f>IF(AND(E376=1,L376=0),T376,"")</f>
        <v>1.13793103448276</v>
      </c>
      <c r="W376" s="33">
        <f>IF(U376="","",IF(U376&lt;=Breakdowns!$C$5,1,IF(U376&lt;=Breakdowns!$C$6,2,IF(U376&lt;=Breakdowns!$C$7,3,4))))</f>
        <v>3</v>
      </c>
      <c r="X376" s="33">
        <f>IF(V376="","",IF(V376&lt;=Breakdowns!$D$5,1,IF(V376&lt;=Breakdowns!$D$6,2,IF(V376&lt;=Breakdowns!$D$7,3,4))))</f>
        <v>4</v>
      </c>
      <c r="Y376" s="34">
        <f>INDEX(Stores!$F$2:$F$21,MATCH(B376,Stores!$A$2:$A$21,0))</f>
        <v>2.66</v>
      </c>
      <c r="Z376" s="33">
        <f>IF(Y376&gt;Store_Summary!$M$2,1,0)</f>
        <v>0</v>
      </c>
      <c r="AA376" s="33">
        <f>INDEX(Stores!$C$2:$C$21,MATCH(B376,Stores!$A$2:$A$21,0))</f>
        <v>645</v>
      </c>
      <c r="AB376" s="33">
        <f>IF(AA376&lt;180,1,0)</f>
        <v>0</v>
      </c>
      <c r="AC376" s="32" t="str">
        <f>IF(Orders!D373="","",INDEX(Riders!$C$2:$C$81,MATCH(Orders!D373,Riders!$A$2:$A$81,0)))</f>
        <v>EV scooter</v>
      </c>
      <c r="AD376" s="33">
        <f>IF(Orders!D373="","",INDEX(Riders!$D$2:$D$81,MATCH(Orders!D373,Riders!$A$2:$A$81,0)))</f>
        <v>2</v>
      </c>
      <c r="AE376" s="33">
        <f>IF(Orders!D373="","",IF(INDEX(Riders!$B$2:$B$81,MATCH(Orders!D373,Riders!$A$2:$A$81,0))=B376,1,0))</f>
        <v>0</v>
      </c>
      <c r="AF376" s="34">
        <f>IF(E376=1,Orders!L373,"")</f>
        <v>0.87</v>
      </c>
      <c r="AG376" s="34">
        <f>IF(E376=1,Orders!P373,"")</f>
        <v>9.2</v>
      </c>
      <c r="AH376" s="34">
        <f>IF(E376=1,Orders!Q373,"")</f>
        <v>5.7</v>
      </c>
      <c r="AI376" s="34">
        <f>IF(E376=1,Orders!M373,"")</f>
        <v>2.3</v>
      </c>
      <c r="AJ376" s="34">
        <f>IF(E376=1,Orders!N373,"")</f>
        <v>0</v>
      </c>
      <c r="AK376" s="34">
        <f>IF(E376=1,Orders!O373,"")</f>
        <v>3.4</v>
      </c>
      <c r="AL376" s="33">
        <f>IF(E376=1,IF(ROUND(ABS(AI376+AJ376+AK376-AH376),6)&lt;=0.1,1,0),"")</f>
        <v>1</v>
      </c>
      <c r="AM376" s="36">
        <f>IF(E376=1,AI376/AH376,"")</f>
        <v>0.403508771929825</v>
      </c>
      <c r="AN376" s="36">
        <f>IF(E376=1,AJ376/AH376,"")</f>
        <v>0</v>
      </c>
      <c r="AO376" s="36">
        <f>IF(E376=1,AK376/AH376,"")</f>
        <v>0.596491228070175</v>
      </c>
      <c r="AP376" s="34">
        <f>IF(E376=1,Orders!Y373,"")</f>
        <v>0.45</v>
      </c>
      <c r="AQ376" s="33">
        <f>IF(Orders!X373,1,0)</f>
        <v>0</v>
      </c>
      <c r="AR376" s="34" t="str">
        <f>IF(AND(E376=1,L376=1),AJ376,"")</f>
        <v/>
      </c>
      <c r="AS376" s="34">
        <f>IF(AND(E376=1,L376=0),AJ376,"")</f>
        <v>0</v>
      </c>
      <c r="AT376" s="34" t="str">
        <f>IF(AND(E376=1,L376=1),AI376,"")</f>
        <v/>
      </c>
      <c r="AU376" s="34">
        <f>IF(AND(E376=1,L376=0),AI376,"")</f>
        <v>2.3</v>
      </c>
      <c r="AV376" s="34" t="str">
        <f>IF(AND(E376=1,L376=1),AG376,"")</f>
        <v/>
      </c>
      <c r="AW376" s="34">
        <f>IF(AND(E376=1,L376=0),AG376,"")</f>
        <v>9.2</v>
      </c>
      <c r="AX376" s="34" t="str">
        <f>IF(AND(E376=1,L376=1),AH376,"")</f>
        <v/>
      </c>
      <c r="AY376" s="34">
        <f>IF(AND(E376=1,L376=0),AH376,"")</f>
        <v>5.7</v>
      </c>
      <c r="AZ376" s="34" t="str">
        <f>IF(G376=1,F376,"")</f>
        <v/>
      </c>
      <c r="BA376" s="34" t="str">
        <f>IF(AND(G376=1,L376=1),F376,"")</f>
        <v/>
      </c>
      <c r="BB376" s="34" t="str">
        <f>IF(AND(G376=1,L376=0),F376,"")</f>
        <v/>
      </c>
      <c r="BC376" s="33">
        <f>IF(E376=1,IF(Orders!R373&gt;3,1,0),"")</f>
        <v>0</v>
      </c>
      <c r="BD376" s="33">
        <f>IF(E376=1,IF(Orders!R373&gt;7,1,0),"")</f>
        <v>0</v>
      </c>
      <c r="BE376" s="32" t="str">
        <f>IF(E376=1,IF(Orders!L373&lt;=1.5,"Up to 1.5 km",IF(Orders!L373&lt;=3,"1.5–3 km","Over 3 km")),"")</f>
        <v>Up to 1.5 km</v>
      </c>
      <c r="BF376" s="33">
        <f>IF(E376=1,IF(ABS((Orders!G373-Orders!F373)*1440-Orders!R373)&lt;0.06,1,0),"")</f>
        <v>1</v>
      </c>
      <c r="BG376" s="33">
        <f>IF(ABS((Orders!F373-Orders!E373)*1440-Orders!P373)&lt;0.06,1,0)</f>
        <v>1</v>
      </c>
      <c r="BH376" s="33">
        <f>IF(E376=1,IF(IF(Orders!S373,1,0)=1-G376,1,0),"")</f>
        <v>1</v>
      </c>
      <c r="BI376" s="32" t="str">
        <f>INDEX(Stores!$B$2:$B$21,MATCH(B376,Stores!$A$2:$A$21,0))</f>
        <v>Pune</v>
      </c>
    </row>
    <row r="377">
      <c r="A377" s="32" t="str">
        <f>Orders!A374</f>
        <v>O00373</v>
      </c>
      <c r="B377" s="32" t="str">
        <f>Orders!C374</f>
        <v>S016</v>
      </c>
      <c r="C377" s="32" t="str">
        <f>Orders!B374</f>
        <v>C0142</v>
      </c>
      <c r="D377" s="32" t="str">
        <f>Orders!H374</f>
        <v>Delivered</v>
      </c>
      <c r="E377" s="33">
        <f>IF(Orders!H374="Delivered",1,0)</f>
        <v>1</v>
      </c>
      <c r="F377" s="34">
        <f>IF(E377=1,Orders!R374,"")</f>
        <v>4.7</v>
      </c>
      <c r="G377" s="33">
        <f>IF(E377=1,IF(Orders!R374&gt;0,1,0),"")</f>
        <v>1</v>
      </c>
      <c r="H377" s="33">
        <f>IF(E377=1,IF(Orders!R374&gt;5,1,0),"")</f>
        <v>0</v>
      </c>
      <c r="I377" s="32" t="str">
        <f>IF(E377=1,"",IF(OR(Orders!T374="Rider unavailable",Orders!T374="Item unavailable"),"Company-caused","Unresolved"))</f>
        <v/>
      </c>
      <c r="J377" s="33">
        <f>IF(OR(E377=1,I377="Company-caused"),1,0)</f>
        <v>1</v>
      </c>
      <c r="K377" s="32" t="str">
        <f>IF(E377=0,IF(I377="Company-caused",IF(Orders!T374="Rider unavailable","C1 Rider unavailable","C2 Item unavailable"),"Outside root: unresolved"),IF(G377=0,"A On time",IF(H377=1,IF(L377=1,"B2a Severe, peak","B2b Severe, off-peak"),IF(L377=1,"B1a Slight, peak","B1b Slight, off-peak"))))</f>
        <v>B1b Slight, off-peak</v>
      </c>
      <c r="L377" s="33">
        <f>IF(AND(Orders!U374&gt;=19,Orders!U374&lt;22),1,0)</f>
        <v>0</v>
      </c>
      <c r="M377" s="33">
        <f>IF(L377=IF(Orders!V374,1,0),1,0)</f>
        <v>1</v>
      </c>
      <c r="N377" s="32" t="str">
        <f>IF(Orders!W374="","None",Orders!W374)</f>
        <v>None</v>
      </c>
      <c r="O377" s="35">
        <f>INT(Orders!E374)</f>
        <v>46268.0</v>
      </c>
      <c r="P377" s="33">
        <f>Orders!U374</f>
        <v>15</v>
      </c>
      <c r="Q377" s="33">
        <f>COUNTIFS(Demand!$A$2:$A$4481,B377,Demand!$B$2:$B$4481,O377,Demand!$C$2:$C$4481,P377)</f>
        <v>1</v>
      </c>
      <c r="R377" s="33">
        <f>IF(Q377=1,SUMIFS(Demand!$E$2:$E$4481,Demand!$A$2:$A$4481,B377,Demand!$B$2:$B$4481,O377,Demand!$C$2:$C$4481,P377),"")</f>
        <v>21</v>
      </c>
      <c r="S377" s="33">
        <f>INDEX(Stores!$G$2:$G$21,MATCH(B377,Stores!$A$2:$A$21,0))</f>
        <v>25</v>
      </c>
      <c r="T377" s="34">
        <f>IF(R377="","",R377/S377)</f>
        <v>0.84</v>
      </c>
      <c r="U377" s="34">
        <f>IF(E377=1,T377,"")</f>
        <v>0.84</v>
      </c>
      <c r="V377" s="34">
        <f>IF(AND(E377=1,L377=0),T377,"")</f>
        <v>0.84</v>
      </c>
      <c r="W377" s="33">
        <f>IF(U377="","",IF(U377&lt;=Breakdowns!$C$5,1,IF(U377&lt;=Breakdowns!$C$6,2,IF(U377&lt;=Breakdowns!$C$7,3,4))))</f>
        <v>2</v>
      </c>
      <c r="X377" s="33">
        <f>IF(V377="","",IF(V377&lt;=Breakdowns!$D$5,1,IF(V377&lt;=Breakdowns!$D$6,2,IF(V377&lt;=Breakdowns!$D$7,3,4))))</f>
        <v>2</v>
      </c>
      <c r="Y377" s="34">
        <f>INDEX(Stores!$F$2:$F$21,MATCH(B377,Stores!$A$2:$A$21,0))</f>
        <v>5.51</v>
      </c>
      <c r="Z377" s="33">
        <f>IF(Y377&gt;Store_Summary!$M$2,1,0)</f>
        <v>1</v>
      </c>
      <c r="AA377" s="33">
        <f>INDEX(Stores!$C$2:$C$21,MATCH(B377,Stores!$A$2:$A$21,0))</f>
        <v>792</v>
      </c>
      <c r="AB377" s="33">
        <f>IF(AA377&lt;180,1,0)</f>
        <v>0</v>
      </c>
      <c r="AC377" s="32" t="str">
        <f>IF(Orders!D374="","",INDEX(Riders!$C$2:$C$81,MATCH(Orders!D374,Riders!$A$2:$A$81,0)))</f>
        <v>Petrol scooter</v>
      </c>
      <c r="AD377" s="33">
        <f>IF(Orders!D374="","",INDEX(Riders!$D$2:$D$81,MATCH(Orders!D374,Riders!$A$2:$A$81,0)))</f>
        <v>42</v>
      </c>
      <c r="AE377" s="33">
        <f>IF(Orders!D374="","",IF(INDEX(Riders!$B$2:$B$81,MATCH(Orders!D374,Riders!$A$2:$A$81,0))=B377,1,0))</f>
        <v>0</v>
      </c>
      <c r="AF377" s="34">
        <f>IF(E377=1,Orders!L374,"")</f>
        <v>2.6</v>
      </c>
      <c r="AG377" s="34">
        <f>IF(E377=1,Orders!P374,"")</f>
        <v>10.7</v>
      </c>
      <c r="AH377" s="34">
        <f>IF(E377=1,Orders!Q374,"")</f>
        <v>15.4</v>
      </c>
      <c r="AI377" s="34">
        <f>IF(E377=1,Orders!M374,"")</f>
        <v>5.3</v>
      </c>
      <c r="AJ377" s="34">
        <f>IF(E377=1,Orders!N374,"")</f>
        <v>4.7</v>
      </c>
      <c r="AK377" s="34">
        <f>IF(E377=1,Orders!O374,"")</f>
        <v>5.5</v>
      </c>
      <c r="AL377" s="33">
        <f>IF(E377=1,IF(ROUND(ABS(AI377+AJ377+AK377-AH377),6)&lt;=0.1,1,0),"")</f>
        <v>1</v>
      </c>
      <c r="AM377" s="36">
        <f>IF(E377=1,AI377/AH377,"")</f>
        <v>0.344155844155844</v>
      </c>
      <c r="AN377" s="36">
        <f>IF(E377=1,AJ377/AH377,"")</f>
        <v>0.305194805194805</v>
      </c>
      <c r="AO377" s="36">
        <f>IF(E377=1,AK377/AH377,"")</f>
        <v>0.357142857142857</v>
      </c>
      <c r="AP377" s="34">
        <f>IF(E377=1,Orders!Y374,"")</f>
        <v>0.2</v>
      </c>
      <c r="AQ377" s="33">
        <f>IF(Orders!X374,1,0)</f>
        <v>0</v>
      </c>
      <c r="AR377" s="34" t="str">
        <f>IF(AND(E377=1,L377=1),AJ377,"")</f>
        <v/>
      </c>
      <c r="AS377" s="34">
        <f>IF(AND(E377=1,L377=0),AJ377,"")</f>
        <v>4.7</v>
      </c>
      <c r="AT377" s="34" t="str">
        <f>IF(AND(E377=1,L377=1),AI377,"")</f>
        <v/>
      </c>
      <c r="AU377" s="34">
        <f>IF(AND(E377=1,L377=0),AI377,"")</f>
        <v>5.3</v>
      </c>
      <c r="AV377" s="34" t="str">
        <f>IF(AND(E377=1,L377=1),AG377,"")</f>
        <v/>
      </c>
      <c r="AW377" s="34">
        <f>IF(AND(E377=1,L377=0),AG377,"")</f>
        <v>10.7</v>
      </c>
      <c r="AX377" s="34" t="str">
        <f>IF(AND(E377=1,L377=1),AH377,"")</f>
        <v/>
      </c>
      <c r="AY377" s="34">
        <f>IF(AND(E377=1,L377=0),AH377,"")</f>
        <v>15.4</v>
      </c>
      <c r="AZ377" s="34">
        <f>IF(G377=1,F377,"")</f>
        <v>4.7</v>
      </c>
      <c r="BA377" s="34" t="str">
        <f>IF(AND(G377=1,L377=1),F377,"")</f>
        <v/>
      </c>
      <c r="BB377" s="34">
        <f>IF(AND(G377=1,L377=0),F377,"")</f>
        <v>4.7</v>
      </c>
      <c r="BC377" s="33">
        <f>IF(E377=1,IF(Orders!R374&gt;3,1,0),"")</f>
        <v>1</v>
      </c>
      <c r="BD377" s="33">
        <f>IF(E377=1,IF(Orders!R374&gt;7,1,0),"")</f>
        <v>0</v>
      </c>
      <c r="BE377" s="32" t="str">
        <f>IF(E377=1,IF(Orders!L374&lt;=1.5,"Up to 1.5 km",IF(Orders!L374&lt;=3,"1.5–3 km","Over 3 km")),"")</f>
        <v>1.5–3 km</v>
      </c>
      <c r="BF377" s="33">
        <f>IF(E377=1,IF(ABS((Orders!G374-Orders!F374)*1440-Orders!R374)&lt;0.06,1,0),"")</f>
        <v>1</v>
      </c>
      <c r="BG377" s="33">
        <f>IF(ABS((Orders!F374-Orders!E374)*1440-Orders!P374)&lt;0.06,1,0)</f>
        <v>1</v>
      </c>
      <c r="BH377" s="33">
        <f>IF(E377=1,IF(IF(Orders!S374,1,0)=1-G377,1,0),"")</f>
        <v>1</v>
      </c>
      <c r="BI377" s="32" t="str">
        <f>INDEX(Stores!$B$2:$B$21,MATCH(B377,Stores!$A$2:$A$21,0))</f>
        <v>Bengaluru</v>
      </c>
    </row>
    <row r="378">
      <c r="A378" s="32" t="str">
        <f>Orders!A375</f>
        <v>O00374</v>
      </c>
      <c r="B378" s="32" t="str">
        <f>Orders!C375</f>
        <v>S017</v>
      </c>
      <c r="C378" s="32" t="str">
        <f>Orders!B375</f>
        <v>C0173</v>
      </c>
      <c r="D378" s="32" t="str">
        <f>Orders!H375</f>
        <v>Delivered</v>
      </c>
      <c r="E378" s="33">
        <f>IF(Orders!H375="Delivered",1,0)</f>
        <v>1</v>
      </c>
      <c r="F378" s="34">
        <f>IF(E378=1,Orders!R375,"")</f>
        <v>-2.2</v>
      </c>
      <c r="G378" s="33">
        <f>IF(E378=1,IF(Orders!R375&gt;0,1,0),"")</f>
        <v>0</v>
      </c>
      <c r="H378" s="33">
        <f>IF(E378=1,IF(Orders!R375&gt;5,1,0),"")</f>
        <v>0</v>
      </c>
      <c r="I378" s="32" t="str">
        <f>IF(E378=1,"",IF(OR(Orders!T375="Rider unavailable",Orders!T375="Item unavailable"),"Company-caused","Unresolved"))</f>
        <v/>
      </c>
      <c r="J378" s="33">
        <f>IF(OR(E378=1,I378="Company-caused"),1,0)</f>
        <v>1</v>
      </c>
      <c r="K378" s="32" t="str">
        <f>IF(E378=0,IF(I378="Company-caused",IF(Orders!T375="Rider unavailable","C1 Rider unavailable","C2 Item unavailable"),"Outside root: unresolved"),IF(G378=0,"A On time",IF(H378=1,IF(L378=1,"B2a Severe, peak","B2b Severe, off-peak"),IF(L378=1,"B1a Slight, peak","B1b Slight, off-peak"))))</f>
        <v>A On time</v>
      </c>
      <c r="L378" s="33">
        <f>IF(AND(Orders!U375&gt;=19,Orders!U375&lt;22),1,0)</f>
        <v>0</v>
      </c>
      <c r="M378" s="33">
        <f>IF(L378=IF(Orders!V375,1,0),1,0)</f>
        <v>1</v>
      </c>
      <c r="N378" s="32" t="str">
        <f>IF(Orders!W375="","None",Orders!W375)</f>
        <v>None</v>
      </c>
      <c r="O378" s="35">
        <f>INT(Orders!E375)</f>
        <v>46266.0</v>
      </c>
      <c r="P378" s="33">
        <f>Orders!U375</f>
        <v>17</v>
      </c>
      <c r="Q378" s="33">
        <f>COUNTIFS(Demand!$A$2:$A$4481,B378,Demand!$B$2:$B$4481,O378,Demand!$C$2:$C$4481,P378)</f>
        <v>1</v>
      </c>
      <c r="R378" s="33">
        <f>IF(Q378=1,SUMIFS(Demand!$E$2:$E$4481,Demand!$A$2:$A$4481,B378,Demand!$B$2:$B$4481,O378,Demand!$C$2:$C$4481,P378),"")</f>
        <v>35</v>
      </c>
      <c r="S378" s="33">
        <f>INDEX(Stores!$G$2:$G$21,MATCH(B378,Stores!$A$2:$A$21,0))</f>
        <v>36</v>
      </c>
      <c r="T378" s="34">
        <f>IF(R378="","",R378/S378)</f>
        <v>0.972222222222222</v>
      </c>
      <c r="U378" s="34">
        <f>IF(E378=1,T378,"")</f>
        <v>0.972222222222222</v>
      </c>
      <c r="V378" s="34">
        <f>IF(AND(E378=1,L378=0),T378,"")</f>
        <v>0.972222222222222</v>
      </c>
      <c r="W378" s="33">
        <f>IF(U378="","",IF(U378&lt;=Breakdowns!$C$5,1,IF(U378&lt;=Breakdowns!$C$6,2,IF(U378&lt;=Breakdowns!$C$7,3,4))))</f>
        <v>2</v>
      </c>
      <c r="X378" s="33">
        <f>IF(V378="","",IF(V378&lt;=Breakdowns!$D$5,1,IF(V378&lt;=Breakdowns!$D$6,2,IF(V378&lt;=Breakdowns!$D$7,3,4))))</f>
        <v>3</v>
      </c>
      <c r="Y378" s="34">
        <f>INDEX(Stores!$F$2:$F$21,MATCH(B378,Stores!$A$2:$A$21,0))</f>
        <v>2.16</v>
      </c>
      <c r="Z378" s="33">
        <f>IF(Y378&gt;Store_Summary!$M$2,1,0)</f>
        <v>0</v>
      </c>
      <c r="AA378" s="33">
        <f>INDEX(Stores!$C$2:$C$21,MATCH(B378,Stores!$A$2:$A$21,0))</f>
        <v>47</v>
      </c>
      <c r="AB378" s="33">
        <f>IF(AA378&lt;180,1,0)</f>
        <v>1</v>
      </c>
      <c r="AC378" s="32" t="str">
        <f>IF(Orders!D375="","",INDEX(Riders!$C$2:$C$81,MATCH(Orders!D375,Riders!$A$2:$A$81,0)))</f>
        <v>EV scooter</v>
      </c>
      <c r="AD378" s="33">
        <f>IF(Orders!D375="","",INDEX(Riders!$D$2:$D$81,MATCH(Orders!D375,Riders!$A$2:$A$81,0)))</f>
        <v>36</v>
      </c>
      <c r="AE378" s="33">
        <f>IF(Orders!D375="","",IF(INDEX(Riders!$B$2:$B$81,MATCH(Orders!D375,Riders!$A$2:$A$81,0))=B378,1,0))</f>
        <v>0</v>
      </c>
      <c r="AF378" s="34">
        <f>IF(E378=1,Orders!L375,"")</f>
        <v>0.5</v>
      </c>
      <c r="AG378" s="34">
        <f>IF(E378=1,Orders!P375,"")</f>
        <v>11.3</v>
      </c>
      <c r="AH378" s="34">
        <f>IF(E378=1,Orders!Q375,"")</f>
        <v>9.1</v>
      </c>
      <c r="AI378" s="34">
        <f>IF(E378=1,Orders!M375,"")</f>
        <v>3.4</v>
      </c>
      <c r="AJ378" s="34">
        <f>IF(E378=1,Orders!N375,"")</f>
        <v>2.7</v>
      </c>
      <c r="AK378" s="34">
        <f>IF(E378=1,Orders!O375,"")</f>
        <v>3</v>
      </c>
      <c r="AL378" s="33">
        <f>IF(E378=1,IF(ROUND(ABS(AI378+AJ378+AK378-AH378),6)&lt;=0.1,1,0),"")</f>
        <v>1</v>
      </c>
      <c r="AM378" s="36">
        <f>IF(E378=1,AI378/AH378,"")</f>
        <v>0.373626373626374</v>
      </c>
      <c r="AN378" s="36">
        <f>IF(E378=1,AJ378/AH378,"")</f>
        <v>0.296703296703297</v>
      </c>
      <c r="AO378" s="36">
        <f>IF(E378=1,AK378/AH378,"")</f>
        <v>0.32967032967033</v>
      </c>
      <c r="AP378" s="34">
        <f>IF(E378=1,Orders!Y375,"")</f>
        <v>0.6</v>
      </c>
      <c r="AQ378" s="33">
        <f>IF(Orders!X375,1,0)</f>
        <v>0</v>
      </c>
      <c r="AR378" s="34" t="str">
        <f>IF(AND(E378=1,L378=1),AJ378,"")</f>
        <v/>
      </c>
      <c r="AS378" s="34">
        <f>IF(AND(E378=1,L378=0),AJ378,"")</f>
        <v>2.7</v>
      </c>
      <c r="AT378" s="34" t="str">
        <f>IF(AND(E378=1,L378=1),AI378,"")</f>
        <v/>
      </c>
      <c r="AU378" s="34">
        <f>IF(AND(E378=1,L378=0),AI378,"")</f>
        <v>3.4</v>
      </c>
      <c r="AV378" s="34" t="str">
        <f>IF(AND(E378=1,L378=1),AG378,"")</f>
        <v/>
      </c>
      <c r="AW378" s="34">
        <f>IF(AND(E378=1,L378=0),AG378,"")</f>
        <v>11.3</v>
      </c>
      <c r="AX378" s="34" t="str">
        <f>IF(AND(E378=1,L378=1),AH378,"")</f>
        <v/>
      </c>
      <c r="AY378" s="34">
        <f>IF(AND(E378=1,L378=0),AH378,"")</f>
        <v>9.1</v>
      </c>
      <c r="AZ378" s="34" t="str">
        <f>IF(G378=1,F378,"")</f>
        <v/>
      </c>
      <c r="BA378" s="34" t="str">
        <f>IF(AND(G378=1,L378=1),F378,"")</f>
        <v/>
      </c>
      <c r="BB378" s="34" t="str">
        <f>IF(AND(G378=1,L378=0),F378,"")</f>
        <v/>
      </c>
      <c r="BC378" s="33">
        <f>IF(E378=1,IF(Orders!R375&gt;3,1,0),"")</f>
        <v>0</v>
      </c>
      <c r="BD378" s="33">
        <f>IF(E378=1,IF(Orders!R375&gt;7,1,0),"")</f>
        <v>0</v>
      </c>
      <c r="BE378" s="32" t="str">
        <f>IF(E378=1,IF(Orders!L375&lt;=1.5,"Up to 1.5 km",IF(Orders!L375&lt;=3,"1.5–3 km","Over 3 km")),"")</f>
        <v>Up to 1.5 km</v>
      </c>
      <c r="BF378" s="33">
        <f>IF(E378=1,IF(ABS((Orders!G375-Orders!F375)*1440-Orders!R375)&lt;0.06,1,0),"")</f>
        <v>1</v>
      </c>
      <c r="BG378" s="33">
        <f>IF(ABS((Orders!F375-Orders!E375)*1440-Orders!P375)&lt;0.06,1,0)</f>
        <v>1</v>
      </c>
      <c r="BH378" s="33">
        <f>IF(E378=1,IF(IF(Orders!S375,1,0)=1-G378,1,0),"")</f>
        <v>1</v>
      </c>
      <c r="BI378" s="32" t="str">
        <f>INDEX(Stores!$B$2:$B$21,MATCH(B378,Stores!$A$2:$A$21,0))</f>
        <v>Hyderabad</v>
      </c>
    </row>
    <row r="379">
      <c r="A379" s="32" t="str">
        <f>Orders!A376</f>
        <v>O00375</v>
      </c>
      <c r="B379" s="32" t="str">
        <f>Orders!C376</f>
        <v>S002</v>
      </c>
      <c r="C379" s="32" t="str">
        <f>Orders!B376</f>
        <v>C0206</v>
      </c>
      <c r="D379" s="32" t="str">
        <f>Orders!H376</f>
        <v>Delivered</v>
      </c>
      <c r="E379" s="33">
        <f>IF(Orders!H376="Delivered",1,0)</f>
        <v>1</v>
      </c>
      <c r="F379" s="34">
        <f>IF(E379=1,Orders!R376,"")</f>
        <v>-1.2</v>
      </c>
      <c r="G379" s="33">
        <f>IF(E379=1,IF(Orders!R376&gt;0,1,0),"")</f>
        <v>0</v>
      </c>
      <c r="H379" s="33">
        <f>IF(E379=1,IF(Orders!R376&gt;5,1,0),"")</f>
        <v>0</v>
      </c>
      <c r="I379" s="32" t="str">
        <f>IF(E379=1,"",IF(OR(Orders!T376="Rider unavailable",Orders!T376="Item unavailable"),"Company-caused","Unresolved"))</f>
        <v/>
      </c>
      <c r="J379" s="33">
        <f>IF(OR(E379=1,I379="Company-caused"),1,0)</f>
        <v>1</v>
      </c>
      <c r="K379" s="32" t="str">
        <f>IF(E379=0,IF(I379="Company-caused",IF(Orders!T376="Rider unavailable","C1 Rider unavailable","C2 Item unavailable"),"Outside root: unresolved"),IF(G379=0,"A On time",IF(H379=1,IF(L379=1,"B2a Severe, peak","B2b Severe, off-peak"),IF(L379=1,"B1a Slight, peak","B1b Slight, off-peak"))))</f>
        <v>A On time</v>
      </c>
      <c r="L379" s="33">
        <f>IF(AND(Orders!U376&gt;=19,Orders!U376&lt;22),1,0)</f>
        <v>0</v>
      </c>
      <c r="M379" s="33">
        <f>IF(L379=IF(Orders!V376,1,0),1,0)</f>
        <v>1</v>
      </c>
      <c r="N379" s="32" t="str">
        <f>IF(Orders!W376="","None",Orders!W376)</f>
        <v>Heavy</v>
      </c>
      <c r="O379" s="35">
        <f>INT(Orders!E376)</f>
        <v>46266.0</v>
      </c>
      <c r="P379" s="33">
        <f>Orders!U376</f>
        <v>8</v>
      </c>
      <c r="Q379" s="33">
        <f>COUNTIFS(Demand!$A$2:$A$4481,B379,Demand!$B$2:$B$4481,O379,Demand!$C$2:$C$4481,P379)</f>
        <v>1</v>
      </c>
      <c r="R379" s="33">
        <f>IF(Q379=1,SUMIFS(Demand!$E$2:$E$4481,Demand!$A$2:$A$4481,B379,Demand!$B$2:$B$4481,O379,Demand!$C$2:$C$4481,P379),"")</f>
        <v>25</v>
      </c>
      <c r="S379" s="33">
        <f>INDEX(Stores!$G$2:$G$21,MATCH(B379,Stores!$A$2:$A$21,0))</f>
        <v>33</v>
      </c>
      <c r="T379" s="34">
        <f>IF(R379="","",R379/S379)</f>
        <v>0.757575757575758</v>
      </c>
      <c r="U379" s="34">
        <f>IF(E379=1,T379,"")</f>
        <v>0.757575757575758</v>
      </c>
      <c r="V379" s="34">
        <f>IF(AND(E379=1,L379=0),T379,"")</f>
        <v>0.757575757575758</v>
      </c>
      <c r="W379" s="33">
        <f>IF(U379="","",IF(U379&lt;=Breakdowns!$C$5,1,IF(U379&lt;=Breakdowns!$C$6,2,IF(U379&lt;=Breakdowns!$C$7,3,4))))</f>
        <v>1</v>
      </c>
      <c r="X379" s="33">
        <f>IF(V379="","",IF(V379&lt;=Breakdowns!$D$5,1,IF(V379&lt;=Breakdowns!$D$6,2,IF(V379&lt;=Breakdowns!$D$7,3,4))))</f>
        <v>2</v>
      </c>
      <c r="Y379" s="34">
        <f>INDEX(Stores!$F$2:$F$21,MATCH(B379,Stores!$A$2:$A$21,0))</f>
        <v>2.39</v>
      </c>
      <c r="Z379" s="33">
        <f>IF(Y379&gt;Store_Summary!$M$2,1,0)</f>
        <v>0</v>
      </c>
      <c r="AA379" s="33">
        <f>INDEX(Stores!$C$2:$C$21,MATCH(B379,Stores!$A$2:$A$21,0))</f>
        <v>470</v>
      </c>
      <c r="AB379" s="33">
        <f>IF(AA379&lt;180,1,0)</f>
        <v>0</v>
      </c>
      <c r="AC379" s="32" t="str">
        <f>IF(Orders!D376="","",INDEX(Riders!$C$2:$C$81,MATCH(Orders!D376,Riders!$A$2:$A$81,0)))</f>
        <v>Bicycle</v>
      </c>
      <c r="AD379" s="33">
        <f>IF(Orders!D376="","",INDEX(Riders!$D$2:$D$81,MATCH(Orders!D376,Riders!$A$2:$A$81,0)))</f>
        <v>8</v>
      </c>
      <c r="AE379" s="33">
        <f>IF(Orders!D376="","",IF(INDEX(Riders!$B$2:$B$81,MATCH(Orders!D376,Riders!$A$2:$A$81,0))=B379,1,0))</f>
        <v>0</v>
      </c>
      <c r="AF379" s="34">
        <f>IF(E379=1,Orders!L376,"")</f>
        <v>2.72</v>
      </c>
      <c r="AG379" s="34">
        <f>IF(E379=1,Orders!P376,"")</f>
        <v>10.2</v>
      </c>
      <c r="AH379" s="34">
        <f>IF(E379=1,Orders!Q376,"")</f>
        <v>9</v>
      </c>
      <c r="AI379" s="34">
        <f>IF(E379=1,Orders!M376,"")</f>
        <v>1.6</v>
      </c>
      <c r="AJ379" s="34">
        <f>IF(E379=1,Orders!N376,"")</f>
        <v>2.3</v>
      </c>
      <c r="AK379" s="34">
        <f>IF(E379=1,Orders!O376,"")</f>
        <v>5.1</v>
      </c>
      <c r="AL379" s="33">
        <f>IF(E379=1,IF(ROUND(ABS(AI379+AJ379+AK379-AH379),6)&lt;=0.1,1,0),"")</f>
        <v>1</v>
      </c>
      <c r="AM379" s="36">
        <f>IF(E379=1,AI379/AH379,"")</f>
        <v>0.177777777777778</v>
      </c>
      <c r="AN379" s="36">
        <f>IF(E379=1,AJ379/AH379,"")</f>
        <v>0.255555555555556</v>
      </c>
      <c r="AO379" s="36">
        <f>IF(E379=1,AK379/AH379,"")</f>
        <v>0.566666666666667</v>
      </c>
      <c r="AP379" s="34">
        <f>IF(E379=1,Orders!Y376,"")</f>
        <v>0.42</v>
      </c>
      <c r="AQ379" s="33">
        <f>IF(Orders!X376,1,0)</f>
        <v>0</v>
      </c>
      <c r="AR379" s="34" t="str">
        <f>IF(AND(E379=1,L379=1),AJ379,"")</f>
        <v/>
      </c>
      <c r="AS379" s="34">
        <f>IF(AND(E379=1,L379=0),AJ379,"")</f>
        <v>2.3</v>
      </c>
      <c r="AT379" s="34" t="str">
        <f>IF(AND(E379=1,L379=1),AI379,"")</f>
        <v/>
      </c>
      <c r="AU379" s="34">
        <f>IF(AND(E379=1,L379=0),AI379,"")</f>
        <v>1.6</v>
      </c>
      <c r="AV379" s="34" t="str">
        <f>IF(AND(E379=1,L379=1),AG379,"")</f>
        <v/>
      </c>
      <c r="AW379" s="34">
        <f>IF(AND(E379=1,L379=0),AG379,"")</f>
        <v>10.2</v>
      </c>
      <c r="AX379" s="34" t="str">
        <f>IF(AND(E379=1,L379=1),AH379,"")</f>
        <v/>
      </c>
      <c r="AY379" s="34">
        <f>IF(AND(E379=1,L379=0),AH379,"")</f>
        <v>9</v>
      </c>
      <c r="AZ379" s="34" t="str">
        <f>IF(G379=1,F379,"")</f>
        <v/>
      </c>
      <c r="BA379" s="34" t="str">
        <f>IF(AND(G379=1,L379=1),F379,"")</f>
        <v/>
      </c>
      <c r="BB379" s="34" t="str">
        <f>IF(AND(G379=1,L379=0),F379,"")</f>
        <v/>
      </c>
      <c r="BC379" s="33">
        <f>IF(E379=1,IF(Orders!R376&gt;3,1,0),"")</f>
        <v>0</v>
      </c>
      <c r="BD379" s="33">
        <f>IF(E379=1,IF(Orders!R376&gt;7,1,0),"")</f>
        <v>0</v>
      </c>
      <c r="BE379" s="32" t="str">
        <f>IF(E379=1,IF(Orders!L376&lt;=1.5,"Up to 1.5 km",IF(Orders!L376&lt;=3,"1.5–3 km","Over 3 km")),"")</f>
        <v>1.5–3 km</v>
      </c>
      <c r="BF379" s="33">
        <f>IF(E379=1,IF(ABS((Orders!G376-Orders!F376)*1440-Orders!R376)&lt;0.06,1,0),"")</f>
        <v>1</v>
      </c>
      <c r="BG379" s="33">
        <f>IF(ABS((Orders!F376-Orders!E376)*1440-Orders!P376)&lt;0.06,1,0)</f>
        <v>1</v>
      </c>
      <c r="BH379" s="33">
        <f>IF(E379=1,IF(IF(Orders!S376,1,0)=1-G379,1,0),"")</f>
        <v>1</v>
      </c>
      <c r="BI379" s="32" t="str">
        <f>INDEX(Stores!$B$2:$B$21,MATCH(B379,Stores!$A$2:$A$21,0))</f>
        <v>Hyderabad</v>
      </c>
    </row>
    <row r="380">
      <c r="A380" s="32" t="str">
        <f>Orders!A377</f>
        <v>O00376</v>
      </c>
      <c r="B380" s="32" t="str">
        <f>Orders!C377</f>
        <v>S013</v>
      </c>
      <c r="C380" s="32" t="str">
        <f>Orders!B377</f>
        <v>C0014</v>
      </c>
      <c r="D380" s="32" t="str">
        <f>Orders!H377</f>
        <v>Delivered</v>
      </c>
      <c r="E380" s="33">
        <f>IF(Orders!H377="Delivered",1,0)</f>
        <v>1</v>
      </c>
      <c r="F380" s="34">
        <f>IF(E380=1,Orders!R377,"")</f>
        <v>-1.1</v>
      </c>
      <c r="G380" s="33">
        <f>IF(E380=1,IF(Orders!R377&gt;0,1,0),"")</f>
        <v>0</v>
      </c>
      <c r="H380" s="33">
        <f>IF(E380=1,IF(Orders!R377&gt;5,1,0),"")</f>
        <v>0</v>
      </c>
      <c r="I380" s="32" t="str">
        <f>IF(E380=1,"",IF(OR(Orders!T377="Rider unavailable",Orders!T377="Item unavailable"),"Company-caused","Unresolved"))</f>
        <v/>
      </c>
      <c r="J380" s="33">
        <f>IF(OR(E380=1,I380="Company-caused"),1,0)</f>
        <v>1</v>
      </c>
      <c r="K380" s="32" t="str">
        <f>IF(E380=0,IF(I380="Company-caused",IF(Orders!T377="Rider unavailable","C1 Rider unavailable","C2 Item unavailable"),"Outside root: unresolved"),IF(G380=0,"A On time",IF(H380=1,IF(L380=1,"B2a Severe, peak","B2b Severe, off-peak"),IF(L380=1,"B1a Slight, peak","B1b Slight, off-peak"))))</f>
        <v>A On time</v>
      </c>
      <c r="L380" s="33">
        <f>IF(AND(Orders!U377&gt;=19,Orders!U377&lt;22),1,0)</f>
        <v>0</v>
      </c>
      <c r="M380" s="33">
        <f>IF(L380=IF(Orders!V377,1,0),1,0)</f>
        <v>1</v>
      </c>
      <c r="N380" s="32" t="str">
        <f>IF(Orders!W377="","None",Orders!W377)</f>
        <v>None</v>
      </c>
      <c r="O380" s="35">
        <f>INT(Orders!E377)</f>
        <v>46275.0</v>
      </c>
      <c r="P380" s="33">
        <f>Orders!U377</f>
        <v>16</v>
      </c>
      <c r="Q380" s="33">
        <f>COUNTIFS(Demand!$A$2:$A$4481,B380,Demand!$B$2:$B$4481,O380,Demand!$C$2:$C$4481,P380)</f>
        <v>1</v>
      </c>
      <c r="R380" s="33">
        <f>IF(Q380=1,SUMIFS(Demand!$E$2:$E$4481,Demand!$A$2:$A$4481,B380,Demand!$B$2:$B$4481,O380,Demand!$C$2:$C$4481,P380),"")</f>
        <v>52</v>
      </c>
      <c r="S380" s="33">
        <f>INDEX(Stores!$G$2:$G$21,MATCH(B380,Stores!$A$2:$A$21,0))</f>
        <v>49</v>
      </c>
      <c r="T380" s="34">
        <f>IF(R380="","",R380/S380)</f>
        <v>1.06122448979592</v>
      </c>
      <c r="U380" s="34">
        <f>IF(E380=1,T380,"")</f>
        <v>1.06122448979592</v>
      </c>
      <c r="V380" s="34">
        <f>IF(AND(E380=1,L380=0),T380,"")</f>
        <v>1.06122448979592</v>
      </c>
      <c r="W380" s="33">
        <f>IF(U380="","",IF(U380&lt;=Breakdowns!$C$5,1,IF(U380&lt;=Breakdowns!$C$6,2,IF(U380&lt;=Breakdowns!$C$7,3,4))))</f>
        <v>3</v>
      </c>
      <c r="X380" s="33">
        <f>IF(V380="","",IF(V380&lt;=Breakdowns!$D$5,1,IF(V380&lt;=Breakdowns!$D$6,2,IF(V380&lt;=Breakdowns!$D$7,3,4))))</f>
        <v>3</v>
      </c>
      <c r="Y380" s="34">
        <f>INDEX(Stores!$F$2:$F$21,MATCH(B380,Stores!$A$2:$A$21,0))</f>
        <v>5.82</v>
      </c>
      <c r="Z380" s="33">
        <f>IF(Y380&gt;Store_Summary!$M$2,1,0)</f>
        <v>1</v>
      </c>
      <c r="AA380" s="33">
        <f>INDEX(Stores!$C$2:$C$21,MATCH(B380,Stores!$A$2:$A$21,0))</f>
        <v>705</v>
      </c>
      <c r="AB380" s="33">
        <f>IF(AA380&lt;180,1,0)</f>
        <v>0</v>
      </c>
      <c r="AC380" s="32" t="str">
        <f>IF(Orders!D377="","",INDEX(Riders!$C$2:$C$81,MATCH(Orders!D377,Riders!$A$2:$A$81,0)))</f>
        <v>Petrol scooter</v>
      </c>
      <c r="AD380" s="33">
        <f>IF(Orders!D377="","",INDEX(Riders!$D$2:$D$81,MATCH(Orders!D377,Riders!$A$2:$A$81,0)))</f>
        <v>37</v>
      </c>
      <c r="AE380" s="33">
        <f>IF(Orders!D377="","",IF(INDEX(Riders!$B$2:$B$81,MATCH(Orders!D377,Riders!$A$2:$A$81,0))=B380,1,0))</f>
        <v>0</v>
      </c>
      <c r="AF380" s="34">
        <f>IF(E380=1,Orders!L377,"")</f>
        <v>0.5</v>
      </c>
      <c r="AG380" s="34">
        <f>IF(E380=1,Orders!P377,"")</f>
        <v>10.2</v>
      </c>
      <c r="AH380" s="34">
        <f>IF(E380=1,Orders!Q377,"")</f>
        <v>9.1</v>
      </c>
      <c r="AI380" s="34">
        <f>IF(E380=1,Orders!M377,"")</f>
        <v>3.3</v>
      </c>
      <c r="AJ380" s="34">
        <f>IF(E380=1,Orders!N377,"")</f>
        <v>4.5</v>
      </c>
      <c r="AK380" s="34">
        <f>IF(E380=1,Orders!O377,"")</f>
        <v>1.3</v>
      </c>
      <c r="AL380" s="33">
        <f>IF(E380=1,IF(ROUND(ABS(AI380+AJ380+AK380-AH380),6)&lt;=0.1,1,0),"")</f>
        <v>1</v>
      </c>
      <c r="AM380" s="36">
        <f>IF(E380=1,AI380/AH380,"")</f>
        <v>0.362637362637363</v>
      </c>
      <c r="AN380" s="36">
        <f>IF(E380=1,AJ380/AH380,"")</f>
        <v>0.494505494505495</v>
      </c>
      <c r="AO380" s="36">
        <f>IF(E380=1,AK380/AH380,"")</f>
        <v>0.142857142857143</v>
      </c>
      <c r="AP380" s="34">
        <f>IF(E380=1,Orders!Y377,"")</f>
        <v>0.54</v>
      </c>
      <c r="AQ380" s="33">
        <f>IF(Orders!X377,1,0)</f>
        <v>0</v>
      </c>
      <c r="AR380" s="34" t="str">
        <f>IF(AND(E380=1,L380=1),AJ380,"")</f>
        <v/>
      </c>
      <c r="AS380" s="34">
        <f>IF(AND(E380=1,L380=0),AJ380,"")</f>
        <v>4.5</v>
      </c>
      <c r="AT380" s="34" t="str">
        <f>IF(AND(E380=1,L380=1),AI380,"")</f>
        <v/>
      </c>
      <c r="AU380" s="34">
        <f>IF(AND(E380=1,L380=0),AI380,"")</f>
        <v>3.3</v>
      </c>
      <c r="AV380" s="34" t="str">
        <f>IF(AND(E380=1,L380=1),AG380,"")</f>
        <v/>
      </c>
      <c r="AW380" s="34">
        <f>IF(AND(E380=1,L380=0),AG380,"")</f>
        <v>10.2</v>
      </c>
      <c r="AX380" s="34" t="str">
        <f>IF(AND(E380=1,L380=1),AH380,"")</f>
        <v/>
      </c>
      <c r="AY380" s="34">
        <f>IF(AND(E380=1,L380=0),AH380,"")</f>
        <v>9.1</v>
      </c>
      <c r="AZ380" s="34" t="str">
        <f>IF(G380=1,F380,"")</f>
        <v/>
      </c>
      <c r="BA380" s="34" t="str">
        <f>IF(AND(G380=1,L380=1),F380,"")</f>
        <v/>
      </c>
      <c r="BB380" s="34" t="str">
        <f>IF(AND(G380=1,L380=0),F380,"")</f>
        <v/>
      </c>
      <c r="BC380" s="33">
        <f>IF(E380=1,IF(Orders!R377&gt;3,1,0),"")</f>
        <v>0</v>
      </c>
      <c r="BD380" s="33">
        <f>IF(E380=1,IF(Orders!R377&gt;7,1,0),"")</f>
        <v>0</v>
      </c>
      <c r="BE380" s="32" t="str">
        <f>IF(E380=1,IF(Orders!L377&lt;=1.5,"Up to 1.5 km",IF(Orders!L377&lt;=3,"1.5–3 km","Over 3 km")),"")</f>
        <v>Up to 1.5 km</v>
      </c>
      <c r="BF380" s="33">
        <f>IF(E380=1,IF(ABS((Orders!G377-Orders!F377)*1440-Orders!R377)&lt;0.06,1,0),"")</f>
        <v>1</v>
      </c>
      <c r="BG380" s="33">
        <f>IF(ABS((Orders!F377-Orders!E377)*1440-Orders!P377)&lt;0.06,1,0)</f>
        <v>1</v>
      </c>
      <c r="BH380" s="33">
        <f>IF(E380=1,IF(IF(Orders!S377,1,0)=1-G380,1,0),"")</f>
        <v>1</v>
      </c>
      <c r="BI380" s="32" t="str">
        <f>INDEX(Stores!$B$2:$B$21,MATCH(B380,Stores!$A$2:$A$21,0))</f>
        <v>Mumbai</v>
      </c>
    </row>
    <row r="381">
      <c r="A381" s="32" t="str">
        <f>Orders!A378</f>
        <v>O00377</v>
      </c>
      <c r="B381" s="32" t="str">
        <f>Orders!C378</f>
        <v>S017</v>
      </c>
      <c r="C381" s="32" t="str">
        <f>Orders!B378</f>
        <v>C0235</v>
      </c>
      <c r="D381" s="32" t="str">
        <f>Orders!H378</f>
        <v>Delivered</v>
      </c>
      <c r="E381" s="33">
        <f>IF(Orders!H378="Delivered",1,0)</f>
        <v>1</v>
      </c>
      <c r="F381" s="34">
        <f>IF(E381=1,Orders!R378,"")</f>
        <v>1.1</v>
      </c>
      <c r="G381" s="33">
        <f>IF(E381=1,IF(Orders!R378&gt;0,1,0),"")</f>
        <v>1</v>
      </c>
      <c r="H381" s="33">
        <f>IF(E381=1,IF(Orders!R378&gt;5,1,0),"")</f>
        <v>0</v>
      </c>
      <c r="I381" s="32" t="str">
        <f>IF(E381=1,"",IF(OR(Orders!T378="Rider unavailable",Orders!T378="Item unavailable"),"Company-caused","Unresolved"))</f>
        <v/>
      </c>
      <c r="J381" s="33">
        <f>IF(OR(E381=1,I381="Company-caused"),1,0)</f>
        <v>1</v>
      </c>
      <c r="K381" s="32" t="str">
        <f>IF(E381=0,IF(I381="Company-caused",IF(Orders!T378="Rider unavailable","C1 Rider unavailable","C2 Item unavailable"),"Outside root: unresolved"),IF(G381=0,"A On time",IF(H381=1,IF(L381=1,"B2a Severe, peak","B2b Severe, off-peak"),IF(L381=1,"B1a Slight, peak","B1b Slight, off-peak"))))</f>
        <v>B1b Slight, off-peak</v>
      </c>
      <c r="L381" s="33">
        <f>IF(AND(Orders!U378&gt;=19,Orders!U378&lt;22),1,0)</f>
        <v>0</v>
      </c>
      <c r="M381" s="33">
        <f>IF(L381=IF(Orders!V378,1,0),1,0)</f>
        <v>1</v>
      </c>
      <c r="N381" s="32" t="str">
        <f>IF(Orders!W378="","None",Orders!W378)</f>
        <v>None</v>
      </c>
      <c r="O381" s="35">
        <f>INT(Orders!E378)</f>
        <v>46270.0</v>
      </c>
      <c r="P381" s="33">
        <f>Orders!U378</f>
        <v>17</v>
      </c>
      <c r="Q381" s="33">
        <f>COUNTIFS(Demand!$A$2:$A$4481,B381,Demand!$B$2:$B$4481,O381,Demand!$C$2:$C$4481,P381)</f>
        <v>1</v>
      </c>
      <c r="R381" s="33">
        <f>IF(Q381=1,SUMIFS(Demand!$E$2:$E$4481,Demand!$A$2:$A$4481,B381,Demand!$B$2:$B$4481,O381,Demand!$C$2:$C$4481,P381),"")</f>
        <v>51</v>
      </c>
      <c r="S381" s="33">
        <f>INDEX(Stores!$G$2:$G$21,MATCH(B381,Stores!$A$2:$A$21,0))</f>
        <v>36</v>
      </c>
      <c r="T381" s="34">
        <f>IF(R381="","",R381/S381)</f>
        <v>1.41666666666667</v>
      </c>
      <c r="U381" s="34">
        <f>IF(E381=1,T381,"")</f>
        <v>1.41666666666667</v>
      </c>
      <c r="V381" s="34">
        <f>IF(AND(E381=1,L381=0),T381,"")</f>
        <v>1.41666666666667</v>
      </c>
      <c r="W381" s="33">
        <f>IF(U381="","",IF(U381&lt;=Breakdowns!$C$5,1,IF(U381&lt;=Breakdowns!$C$6,2,IF(U381&lt;=Breakdowns!$C$7,3,4))))</f>
        <v>4</v>
      </c>
      <c r="X381" s="33">
        <f>IF(V381="","",IF(V381&lt;=Breakdowns!$D$5,1,IF(V381&lt;=Breakdowns!$D$6,2,IF(V381&lt;=Breakdowns!$D$7,3,4))))</f>
        <v>4</v>
      </c>
      <c r="Y381" s="34">
        <f>INDEX(Stores!$F$2:$F$21,MATCH(B381,Stores!$A$2:$A$21,0))</f>
        <v>2.16</v>
      </c>
      <c r="Z381" s="33">
        <f>IF(Y381&gt;Store_Summary!$M$2,1,0)</f>
        <v>0</v>
      </c>
      <c r="AA381" s="33">
        <f>INDEX(Stores!$C$2:$C$21,MATCH(B381,Stores!$A$2:$A$21,0))</f>
        <v>47</v>
      </c>
      <c r="AB381" s="33">
        <f>IF(AA381&lt;180,1,0)</f>
        <v>1</v>
      </c>
      <c r="AC381" s="32" t="str">
        <f>IF(Orders!D378="","",INDEX(Riders!$C$2:$C$81,MATCH(Orders!D378,Riders!$A$2:$A$81,0)))</f>
        <v>EV scooter</v>
      </c>
      <c r="AD381" s="33">
        <f>IF(Orders!D378="","",INDEX(Riders!$D$2:$D$81,MATCH(Orders!D378,Riders!$A$2:$A$81,0)))</f>
        <v>36</v>
      </c>
      <c r="AE381" s="33">
        <f>IF(Orders!D378="","",IF(INDEX(Riders!$B$2:$B$81,MATCH(Orders!D378,Riders!$A$2:$A$81,0))=B381,1,0))</f>
        <v>0</v>
      </c>
      <c r="AF381" s="34">
        <f>IF(E381=1,Orders!L378,"")</f>
        <v>1.14</v>
      </c>
      <c r="AG381" s="34">
        <f>IF(E381=1,Orders!P378,"")</f>
        <v>9.6</v>
      </c>
      <c r="AH381" s="34">
        <f>IF(E381=1,Orders!Q378,"")</f>
        <v>10.7</v>
      </c>
      <c r="AI381" s="34">
        <f>IF(E381=1,Orders!M378,"")</f>
        <v>4.5</v>
      </c>
      <c r="AJ381" s="34">
        <f>IF(E381=1,Orders!N378,"")</f>
        <v>3.6</v>
      </c>
      <c r="AK381" s="34">
        <f>IF(E381=1,Orders!O378,"")</f>
        <v>2.6</v>
      </c>
      <c r="AL381" s="33">
        <f>IF(E381=1,IF(ROUND(ABS(AI381+AJ381+AK381-AH381),6)&lt;=0.1,1,0),"")</f>
        <v>1</v>
      </c>
      <c r="AM381" s="36">
        <f>IF(E381=1,AI381/AH381,"")</f>
        <v>0.420560747663551</v>
      </c>
      <c r="AN381" s="36">
        <f>IF(E381=1,AJ381/AH381,"")</f>
        <v>0.336448598130841</v>
      </c>
      <c r="AO381" s="36">
        <f>IF(E381=1,AK381/AH381,"")</f>
        <v>0.242990654205608</v>
      </c>
      <c r="AP381" s="34">
        <f>IF(E381=1,Orders!Y378,"")</f>
        <v>0.11</v>
      </c>
      <c r="AQ381" s="33">
        <f>IF(Orders!X378,1,0)</f>
        <v>0</v>
      </c>
      <c r="AR381" s="34" t="str">
        <f>IF(AND(E381=1,L381=1),AJ381,"")</f>
        <v/>
      </c>
      <c r="AS381" s="34">
        <f>IF(AND(E381=1,L381=0),AJ381,"")</f>
        <v>3.6</v>
      </c>
      <c r="AT381" s="34" t="str">
        <f>IF(AND(E381=1,L381=1),AI381,"")</f>
        <v/>
      </c>
      <c r="AU381" s="34">
        <f>IF(AND(E381=1,L381=0),AI381,"")</f>
        <v>4.5</v>
      </c>
      <c r="AV381" s="34" t="str">
        <f>IF(AND(E381=1,L381=1),AG381,"")</f>
        <v/>
      </c>
      <c r="AW381" s="34">
        <f>IF(AND(E381=1,L381=0),AG381,"")</f>
        <v>9.6</v>
      </c>
      <c r="AX381" s="34" t="str">
        <f>IF(AND(E381=1,L381=1),AH381,"")</f>
        <v/>
      </c>
      <c r="AY381" s="34">
        <f>IF(AND(E381=1,L381=0),AH381,"")</f>
        <v>10.7</v>
      </c>
      <c r="AZ381" s="34">
        <f>IF(G381=1,F381,"")</f>
        <v>1.1</v>
      </c>
      <c r="BA381" s="34" t="str">
        <f>IF(AND(G381=1,L381=1),F381,"")</f>
        <v/>
      </c>
      <c r="BB381" s="34">
        <f>IF(AND(G381=1,L381=0),F381,"")</f>
        <v>1.1</v>
      </c>
      <c r="BC381" s="33">
        <f>IF(E381=1,IF(Orders!R378&gt;3,1,0),"")</f>
        <v>0</v>
      </c>
      <c r="BD381" s="33">
        <f>IF(E381=1,IF(Orders!R378&gt;7,1,0),"")</f>
        <v>0</v>
      </c>
      <c r="BE381" s="32" t="str">
        <f>IF(E381=1,IF(Orders!L378&lt;=1.5,"Up to 1.5 km",IF(Orders!L378&lt;=3,"1.5–3 km","Over 3 km")),"")</f>
        <v>Up to 1.5 km</v>
      </c>
      <c r="BF381" s="33">
        <f>IF(E381=1,IF(ABS((Orders!G378-Orders!F378)*1440-Orders!R378)&lt;0.06,1,0),"")</f>
        <v>1</v>
      </c>
      <c r="BG381" s="33">
        <f>IF(ABS((Orders!F378-Orders!E378)*1440-Orders!P378)&lt;0.06,1,0)</f>
        <v>1</v>
      </c>
      <c r="BH381" s="33">
        <f>IF(E381=1,IF(IF(Orders!S378,1,0)=1-G381,1,0),"")</f>
        <v>1</v>
      </c>
      <c r="BI381" s="32" t="str">
        <f>INDEX(Stores!$B$2:$B$21,MATCH(B381,Stores!$A$2:$A$21,0))</f>
        <v>Hyderabad</v>
      </c>
    </row>
    <row r="382">
      <c r="A382" s="32" t="str">
        <f>Orders!A379</f>
        <v>O00378</v>
      </c>
      <c r="B382" s="32" t="str">
        <f>Orders!C379</f>
        <v>S008</v>
      </c>
      <c r="C382" s="32" t="str">
        <f>Orders!B379</f>
        <v>C0183</v>
      </c>
      <c r="D382" s="32" t="str">
        <f>Orders!H379</f>
        <v>Delivered</v>
      </c>
      <c r="E382" s="33">
        <f>IF(Orders!H379="Delivered",1,0)</f>
        <v>1</v>
      </c>
      <c r="F382" s="34">
        <f>IF(E382=1,Orders!R379,"")</f>
        <v>8.2</v>
      </c>
      <c r="G382" s="33">
        <f>IF(E382=1,IF(Orders!R379&gt;0,1,0),"")</f>
        <v>1</v>
      </c>
      <c r="H382" s="33">
        <f>IF(E382=1,IF(Orders!R379&gt;5,1,0),"")</f>
        <v>1</v>
      </c>
      <c r="I382" s="32" t="str">
        <f>IF(E382=1,"",IF(OR(Orders!T379="Rider unavailable",Orders!T379="Item unavailable"),"Company-caused","Unresolved"))</f>
        <v/>
      </c>
      <c r="J382" s="33">
        <f>IF(OR(E382=1,I382="Company-caused"),1,0)</f>
        <v>1</v>
      </c>
      <c r="K382" s="32" t="str">
        <f>IF(E382=0,IF(I382="Company-caused",IF(Orders!T379="Rider unavailable","C1 Rider unavailable","C2 Item unavailable"),"Outside root: unresolved"),IF(G382=0,"A On time",IF(H382=1,IF(L382=1,"B2a Severe, peak","B2b Severe, off-peak"),IF(L382=1,"B1a Slight, peak","B1b Slight, off-peak"))))</f>
        <v>B2a Severe, peak</v>
      </c>
      <c r="L382" s="33">
        <f>IF(AND(Orders!U379&gt;=19,Orders!U379&lt;22),1,0)</f>
        <v>1</v>
      </c>
      <c r="M382" s="33">
        <f>IF(L382=IF(Orders!V379,1,0),1,0)</f>
        <v>1</v>
      </c>
      <c r="N382" s="32" t="str">
        <f>IF(Orders!W379="","None",Orders!W379)</f>
        <v>Light</v>
      </c>
      <c r="O382" s="35">
        <f>INT(Orders!E379)</f>
        <v>46272.0</v>
      </c>
      <c r="P382" s="33">
        <f>Orders!U379</f>
        <v>20</v>
      </c>
      <c r="Q382" s="33">
        <f>COUNTIFS(Demand!$A$2:$A$4481,B382,Demand!$B$2:$B$4481,O382,Demand!$C$2:$C$4481,P382)</f>
        <v>1</v>
      </c>
      <c r="R382" s="33">
        <f>IF(Q382=1,SUMIFS(Demand!$E$2:$E$4481,Demand!$A$2:$A$4481,B382,Demand!$B$2:$B$4481,O382,Demand!$C$2:$C$4481,P382),"")</f>
        <v>33</v>
      </c>
      <c r="S382" s="33">
        <f>INDEX(Stores!$G$2:$G$21,MATCH(B382,Stores!$A$2:$A$21,0))</f>
        <v>23</v>
      </c>
      <c r="T382" s="34">
        <f>IF(R382="","",R382/S382)</f>
        <v>1.43478260869565</v>
      </c>
      <c r="U382" s="34">
        <f>IF(E382=1,T382,"")</f>
        <v>1.43478260869565</v>
      </c>
      <c r="V382" s="34" t="str">
        <f>IF(AND(E382=1,L382=0),T382,"")</f>
        <v/>
      </c>
      <c r="W382" s="33">
        <f>IF(U382="","",IF(U382&lt;=Breakdowns!$C$5,1,IF(U382&lt;=Breakdowns!$C$6,2,IF(U382&lt;=Breakdowns!$C$7,3,4))))</f>
        <v>4</v>
      </c>
      <c r="X382" s="33" t="str">
        <f>IF(V382="","",IF(V382&lt;=Breakdowns!$D$5,1,IF(V382&lt;=Breakdowns!$D$6,2,IF(V382&lt;=Breakdowns!$D$7,3,4))))</f>
        <v/>
      </c>
      <c r="Y382" s="34">
        <f>INDEX(Stores!$F$2:$F$21,MATCH(B382,Stores!$A$2:$A$21,0))</f>
        <v>3.46</v>
      </c>
      <c r="Z382" s="33">
        <f>IF(Y382&gt;Store_Summary!$M$2,1,0)</f>
        <v>0</v>
      </c>
      <c r="AA382" s="33">
        <f>INDEX(Stores!$C$2:$C$21,MATCH(B382,Stores!$A$2:$A$21,0))</f>
        <v>825</v>
      </c>
      <c r="AB382" s="33">
        <f>IF(AA382&lt;180,1,0)</f>
        <v>0</v>
      </c>
      <c r="AC382" s="32" t="str">
        <f>IF(Orders!D379="","",INDEX(Riders!$C$2:$C$81,MATCH(Orders!D379,Riders!$A$2:$A$81,0)))</f>
        <v>EV scooter</v>
      </c>
      <c r="AD382" s="33">
        <f>IF(Orders!D379="","",INDEX(Riders!$D$2:$D$81,MATCH(Orders!D379,Riders!$A$2:$A$81,0)))</f>
        <v>46</v>
      </c>
      <c r="AE382" s="33">
        <f>IF(Orders!D379="","",IF(INDEX(Riders!$B$2:$B$81,MATCH(Orders!D379,Riders!$A$2:$A$81,0))=B382,1,0))</f>
        <v>0</v>
      </c>
      <c r="AF382" s="34">
        <f>IF(E382=1,Orders!L379,"")</f>
        <v>1.9</v>
      </c>
      <c r="AG382" s="34">
        <f>IF(E382=1,Orders!P379,"")</f>
        <v>10.5</v>
      </c>
      <c r="AH382" s="34">
        <f>IF(E382=1,Orders!Q379,"")</f>
        <v>18.7</v>
      </c>
      <c r="AI382" s="34">
        <f>IF(E382=1,Orders!M379,"")</f>
        <v>4.2</v>
      </c>
      <c r="AJ382" s="34">
        <f>IF(E382=1,Orders!N379,"")</f>
        <v>7.2</v>
      </c>
      <c r="AK382" s="34">
        <f>IF(E382=1,Orders!O379,"")</f>
        <v>7.3</v>
      </c>
      <c r="AL382" s="33">
        <f>IF(E382=1,IF(ROUND(ABS(AI382+AJ382+AK382-AH382),6)&lt;=0.1,1,0),"")</f>
        <v>1</v>
      </c>
      <c r="AM382" s="36">
        <f>IF(E382=1,AI382/AH382,"")</f>
        <v>0.224598930481283</v>
      </c>
      <c r="AN382" s="36">
        <f>IF(E382=1,AJ382/AH382,"")</f>
        <v>0.385026737967915</v>
      </c>
      <c r="AO382" s="36">
        <f>IF(E382=1,AK382/AH382,"")</f>
        <v>0.390374331550802</v>
      </c>
      <c r="AP382" s="34">
        <f>IF(E382=1,Orders!Y379,"")</f>
        <v>0.68</v>
      </c>
      <c r="AQ382" s="33">
        <f>IF(Orders!X379,1,0)</f>
        <v>0</v>
      </c>
      <c r="AR382" s="34">
        <f>IF(AND(E382=1,L382=1),AJ382,"")</f>
        <v>7.2</v>
      </c>
      <c r="AS382" s="34" t="str">
        <f>IF(AND(E382=1,L382=0),AJ382,"")</f>
        <v/>
      </c>
      <c r="AT382" s="34">
        <f>IF(AND(E382=1,L382=1),AI382,"")</f>
        <v>4.2</v>
      </c>
      <c r="AU382" s="34" t="str">
        <f>IF(AND(E382=1,L382=0),AI382,"")</f>
        <v/>
      </c>
      <c r="AV382" s="34">
        <f>IF(AND(E382=1,L382=1),AG382,"")</f>
        <v>10.5</v>
      </c>
      <c r="AW382" s="34" t="str">
        <f>IF(AND(E382=1,L382=0),AG382,"")</f>
        <v/>
      </c>
      <c r="AX382" s="34">
        <f>IF(AND(E382=1,L382=1),AH382,"")</f>
        <v>18.7</v>
      </c>
      <c r="AY382" s="34" t="str">
        <f>IF(AND(E382=1,L382=0),AH382,"")</f>
        <v/>
      </c>
      <c r="AZ382" s="34">
        <f>IF(G382=1,F382,"")</f>
        <v>8.2</v>
      </c>
      <c r="BA382" s="34">
        <f>IF(AND(G382=1,L382=1),F382,"")</f>
        <v>8.2</v>
      </c>
      <c r="BB382" s="34" t="str">
        <f>IF(AND(G382=1,L382=0),F382,"")</f>
        <v/>
      </c>
      <c r="BC382" s="33">
        <f>IF(E382=1,IF(Orders!R379&gt;3,1,0),"")</f>
        <v>1</v>
      </c>
      <c r="BD382" s="33">
        <f>IF(E382=1,IF(Orders!R379&gt;7,1,0),"")</f>
        <v>1</v>
      </c>
      <c r="BE382" s="32" t="str">
        <f>IF(E382=1,IF(Orders!L379&lt;=1.5,"Up to 1.5 km",IF(Orders!L379&lt;=3,"1.5–3 km","Over 3 km")),"")</f>
        <v>1.5–3 km</v>
      </c>
      <c r="BF382" s="33">
        <f>IF(E382=1,IF(ABS((Orders!G379-Orders!F379)*1440-Orders!R379)&lt;0.06,1,0),"")</f>
        <v>1</v>
      </c>
      <c r="BG382" s="33">
        <f>IF(ABS((Orders!F379-Orders!E379)*1440-Orders!P379)&lt;0.06,1,0)</f>
        <v>1</v>
      </c>
      <c r="BH382" s="33">
        <f>IF(E382=1,IF(IF(Orders!S379,1,0)=1-G382,1,0),"")</f>
        <v>1</v>
      </c>
      <c r="BI382" s="32" t="str">
        <f>INDEX(Stores!$B$2:$B$21,MATCH(B382,Stores!$A$2:$A$21,0))</f>
        <v>Mumbai</v>
      </c>
    </row>
    <row r="383">
      <c r="A383" s="32" t="str">
        <f>Orders!A380</f>
        <v>O00379</v>
      </c>
      <c r="B383" s="32" t="str">
        <f>Orders!C380</f>
        <v>S010</v>
      </c>
      <c r="C383" s="32" t="str">
        <f>Orders!B380</f>
        <v>C0245</v>
      </c>
      <c r="D383" s="32" t="str">
        <f>Orders!H380</f>
        <v>Delivered</v>
      </c>
      <c r="E383" s="33">
        <f>IF(Orders!H380="Delivered",1,0)</f>
        <v>1</v>
      </c>
      <c r="F383" s="34">
        <f>IF(E383=1,Orders!R380,"")</f>
        <v>-1.1</v>
      </c>
      <c r="G383" s="33">
        <f>IF(E383=1,IF(Orders!R380&gt;0,1,0),"")</f>
        <v>0</v>
      </c>
      <c r="H383" s="33">
        <f>IF(E383=1,IF(Orders!R380&gt;5,1,0),"")</f>
        <v>0</v>
      </c>
      <c r="I383" s="32" t="str">
        <f>IF(E383=1,"",IF(OR(Orders!T380="Rider unavailable",Orders!T380="Item unavailable"),"Company-caused","Unresolved"))</f>
        <v/>
      </c>
      <c r="J383" s="33">
        <f>IF(OR(E383=1,I383="Company-caused"),1,0)</f>
        <v>1</v>
      </c>
      <c r="K383" s="32" t="str">
        <f>IF(E383=0,IF(I383="Company-caused",IF(Orders!T380="Rider unavailable","C1 Rider unavailable","C2 Item unavailable"),"Outside root: unresolved"),IF(G383=0,"A On time",IF(H383=1,IF(L383=1,"B2a Severe, peak","B2b Severe, off-peak"),IF(L383=1,"B1a Slight, peak","B1b Slight, off-peak"))))</f>
        <v>A On time</v>
      </c>
      <c r="L383" s="33">
        <f>IF(AND(Orders!U380&gt;=19,Orders!U380&lt;22),1,0)</f>
        <v>1</v>
      </c>
      <c r="M383" s="33">
        <f>IF(L383=IF(Orders!V380,1,0),1,0)</f>
        <v>1</v>
      </c>
      <c r="N383" s="32" t="str">
        <f>IF(Orders!W380="","None",Orders!W380)</f>
        <v>Heavy</v>
      </c>
      <c r="O383" s="35">
        <f>INT(Orders!E380)</f>
        <v>46272.0</v>
      </c>
      <c r="P383" s="33">
        <f>Orders!U380</f>
        <v>20</v>
      </c>
      <c r="Q383" s="33">
        <f>COUNTIFS(Demand!$A$2:$A$4481,B383,Demand!$B$2:$B$4481,O383,Demand!$C$2:$C$4481,P383)</f>
        <v>1</v>
      </c>
      <c r="R383" s="33">
        <f>IF(Q383=1,SUMIFS(Demand!$E$2:$E$4481,Demand!$A$2:$A$4481,B383,Demand!$B$2:$B$4481,O383,Demand!$C$2:$C$4481,P383),"")</f>
        <v>32</v>
      </c>
      <c r="S383" s="33">
        <f>INDEX(Stores!$G$2:$G$21,MATCH(B383,Stores!$A$2:$A$21,0))</f>
        <v>22</v>
      </c>
      <c r="T383" s="34">
        <f>IF(R383="","",R383/S383)</f>
        <v>1.45454545454545</v>
      </c>
      <c r="U383" s="34">
        <f>IF(E383=1,T383,"")</f>
        <v>1.45454545454545</v>
      </c>
      <c r="V383" s="34" t="str">
        <f>IF(AND(E383=1,L383=0),T383,"")</f>
        <v/>
      </c>
      <c r="W383" s="33">
        <f>IF(U383="","",IF(U383&lt;=Breakdowns!$C$5,1,IF(U383&lt;=Breakdowns!$C$6,2,IF(U383&lt;=Breakdowns!$C$7,3,4))))</f>
        <v>4</v>
      </c>
      <c r="X383" s="33" t="str">
        <f>IF(V383="","",IF(V383&lt;=Breakdowns!$D$5,1,IF(V383&lt;=Breakdowns!$D$6,2,IF(V383&lt;=Breakdowns!$D$7,3,4))))</f>
        <v/>
      </c>
      <c r="Y383" s="34">
        <f>INDEX(Stores!$F$2:$F$21,MATCH(B383,Stores!$A$2:$A$21,0))</f>
        <v>5.61</v>
      </c>
      <c r="Z383" s="33">
        <f>IF(Y383&gt;Store_Summary!$M$2,1,0)</f>
        <v>1</v>
      </c>
      <c r="AA383" s="33">
        <f>INDEX(Stores!$C$2:$C$21,MATCH(B383,Stores!$A$2:$A$21,0))</f>
        <v>744</v>
      </c>
      <c r="AB383" s="33">
        <f>IF(AA383&lt;180,1,0)</f>
        <v>0</v>
      </c>
      <c r="AC383" s="32" t="str">
        <f>IF(Orders!D380="","",INDEX(Riders!$C$2:$C$81,MATCH(Orders!D380,Riders!$A$2:$A$81,0)))</f>
        <v>EV scooter</v>
      </c>
      <c r="AD383" s="33">
        <f>IF(Orders!D380="","",INDEX(Riders!$D$2:$D$81,MATCH(Orders!D380,Riders!$A$2:$A$81,0)))</f>
        <v>33</v>
      </c>
      <c r="AE383" s="33">
        <f>IF(Orders!D380="","",IF(INDEX(Riders!$B$2:$B$81,MATCH(Orders!D380,Riders!$A$2:$A$81,0))=B383,1,0))</f>
        <v>0</v>
      </c>
      <c r="AF383" s="34">
        <f>IF(E383=1,Orders!L380,"")</f>
        <v>1.67</v>
      </c>
      <c r="AG383" s="34">
        <f>IF(E383=1,Orders!P380,"")</f>
        <v>11.2</v>
      </c>
      <c r="AH383" s="34">
        <f>IF(E383=1,Orders!Q380,"")</f>
        <v>10.1</v>
      </c>
      <c r="AI383" s="34">
        <f>IF(E383=1,Orders!M380,"")</f>
        <v>2.2</v>
      </c>
      <c r="AJ383" s="34">
        <f>IF(E383=1,Orders!N380,"")</f>
        <v>4.6</v>
      </c>
      <c r="AK383" s="34">
        <f>IF(E383=1,Orders!O380,"")</f>
        <v>3.3</v>
      </c>
      <c r="AL383" s="33">
        <f>IF(E383=1,IF(ROUND(ABS(AI383+AJ383+AK383-AH383),6)&lt;=0.1,1,0),"")</f>
        <v>1</v>
      </c>
      <c r="AM383" s="36">
        <f>IF(E383=1,AI383/AH383,"")</f>
        <v>0.217821782178218</v>
      </c>
      <c r="AN383" s="36">
        <f>IF(E383=1,AJ383/AH383,"")</f>
        <v>0.455445544554455</v>
      </c>
      <c r="AO383" s="36">
        <f>IF(E383=1,AK383/AH383,"")</f>
        <v>0.326732673267327</v>
      </c>
      <c r="AP383" s="34">
        <f>IF(E383=1,Orders!Y380,"")</f>
        <v>0.74</v>
      </c>
      <c r="AQ383" s="33">
        <f>IF(Orders!X380,1,0)</f>
        <v>0</v>
      </c>
      <c r="AR383" s="34">
        <f>IF(AND(E383=1,L383=1),AJ383,"")</f>
        <v>4.6</v>
      </c>
      <c r="AS383" s="34" t="str">
        <f>IF(AND(E383=1,L383=0),AJ383,"")</f>
        <v/>
      </c>
      <c r="AT383" s="34">
        <f>IF(AND(E383=1,L383=1),AI383,"")</f>
        <v>2.2</v>
      </c>
      <c r="AU383" s="34" t="str">
        <f>IF(AND(E383=1,L383=0),AI383,"")</f>
        <v/>
      </c>
      <c r="AV383" s="34">
        <f>IF(AND(E383=1,L383=1),AG383,"")</f>
        <v>11.2</v>
      </c>
      <c r="AW383" s="34" t="str">
        <f>IF(AND(E383=1,L383=0),AG383,"")</f>
        <v/>
      </c>
      <c r="AX383" s="34">
        <f>IF(AND(E383=1,L383=1),AH383,"")</f>
        <v>10.1</v>
      </c>
      <c r="AY383" s="34" t="str">
        <f>IF(AND(E383=1,L383=0),AH383,"")</f>
        <v/>
      </c>
      <c r="AZ383" s="34" t="str">
        <f>IF(G383=1,F383,"")</f>
        <v/>
      </c>
      <c r="BA383" s="34" t="str">
        <f>IF(AND(G383=1,L383=1),F383,"")</f>
        <v/>
      </c>
      <c r="BB383" s="34" t="str">
        <f>IF(AND(G383=1,L383=0),F383,"")</f>
        <v/>
      </c>
      <c r="BC383" s="33">
        <f>IF(E383=1,IF(Orders!R380&gt;3,1,0),"")</f>
        <v>0</v>
      </c>
      <c r="BD383" s="33">
        <f>IF(E383=1,IF(Orders!R380&gt;7,1,0),"")</f>
        <v>0</v>
      </c>
      <c r="BE383" s="32" t="str">
        <f>IF(E383=1,IF(Orders!L380&lt;=1.5,"Up to 1.5 km",IF(Orders!L380&lt;=3,"1.5–3 km","Over 3 km")),"")</f>
        <v>1.5–3 km</v>
      </c>
      <c r="BF383" s="33">
        <f>IF(E383=1,IF(ABS((Orders!G380-Orders!F380)*1440-Orders!R380)&lt;0.06,1,0),"")</f>
        <v>1</v>
      </c>
      <c r="BG383" s="33">
        <f>IF(ABS((Orders!F380-Orders!E380)*1440-Orders!P380)&lt;0.06,1,0)</f>
        <v>1</v>
      </c>
      <c r="BH383" s="33">
        <f>IF(E383=1,IF(IF(Orders!S380,1,0)=1-G383,1,0),"")</f>
        <v>1</v>
      </c>
      <c r="BI383" s="32" t="str">
        <f>INDEX(Stores!$B$2:$B$21,MATCH(B383,Stores!$A$2:$A$21,0))</f>
        <v>Delhi</v>
      </c>
    </row>
    <row r="384">
      <c r="A384" s="32" t="str">
        <f>Orders!A381</f>
        <v>O00380</v>
      </c>
      <c r="B384" s="32" t="str">
        <f>Orders!C381</f>
        <v>S007</v>
      </c>
      <c r="C384" s="32" t="str">
        <f>Orders!B381</f>
        <v>C0055</v>
      </c>
      <c r="D384" s="32" t="str">
        <f>Orders!H381</f>
        <v>Delivered</v>
      </c>
      <c r="E384" s="33">
        <f>IF(Orders!H381="Delivered",1,0)</f>
        <v>1</v>
      </c>
      <c r="F384" s="34">
        <f>IF(E384=1,Orders!R381,"")</f>
        <v>-1</v>
      </c>
      <c r="G384" s="33">
        <f>IF(E384=1,IF(Orders!R381&gt;0,1,0),"")</f>
        <v>0</v>
      </c>
      <c r="H384" s="33">
        <f>IF(E384=1,IF(Orders!R381&gt;5,1,0),"")</f>
        <v>0</v>
      </c>
      <c r="I384" s="32" t="str">
        <f>IF(E384=1,"",IF(OR(Orders!T381="Rider unavailable",Orders!T381="Item unavailable"),"Company-caused","Unresolved"))</f>
        <v/>
      </c>
      <c r="J384" s="33">
        <f>IF(OR(E384=1,I384="Company-caused"),1,0)</f>
        <v>1</v>
      </c>
      <c r="K384" s="32" t="str">
        <f>IF(E384=0,IF(I384="Company-caused",IF(Orders!T381="Rider unavailable","C1 Rider unavailable","C2 Item unavailable"),"Outside root: unresolved"),IF(G384=0,"A On time",IF(H384=1,IF(L384=1,"B2a Severe, peak","B2b Severe, off-peak"),IF(L384=1,"B1a Slight, peak","B1b Slight, off-peak"))))</f>
        <v>A On time</v>
      </c>
      <c r="L384" s="33">
        <f>IF(AND(Orders!U381&gt;=19,Orders!U381&lt;22),1,0)</f>
        <v>0</v>
      </c>
      <c r="M384" s="33">
        <f>IF(L384=IF(Orders!V381,1,0),1,0)</f>
        <v>1</v>
      </c>
      <c r="N384" s="32" t="str">
        <f>IF(Orders!W381="","None",Orders!W381)</f>
        <v>None</v>
      </c>
      <c r="O384" s="35">
        <f>INT(Orders!E381)</f>
        <v>46273.0</v>
      </c>
      <c r="P384" s="33">
        <f>Orders!U381</f>
        <v>14</v>
      </c>
      <c r="Q384" s="33">
        <f>COUNTIFS(Demand!$A$2:$A$4481,B384,Demand!$B$2:$B$4481,O384,Demand!$C$2:$C$4481,P384)</f>
        <v>1</v>
      </c>
      <c r="R384" s="33">
        <f>IF(Q384=1,SUMIFS(Demand!$E$2:$E$4481,Demand!$A$2:$A$4481,B384,Demand!$B$2:$B$4481,O384,Demand!$C$2:$C$4481,P384),"")</f>
        <v>34</v>
      </c>
      <c r="S384" s="33">
        <f>INDEX(Stores!$G$2:$G$21,MATCH(B384,Stores!$A$2:$A$21,0))</f>
        <v>37</v>
      </c>
      <c r="T384" s="34">
        <f>IF(R384="","",R384/S384)</f>
        <v>0.918918918918919</v>
      </c>
      <c r="U384" s="34">
        <f>IF(E384=1,T384,"")</f>
        <v>0.918918918918919</v>
      </c>
      <c r="V384" s="34">
        <f>IF(AND(E384=1,L384=0),T384,"")</f>
        <v>0.918918918918919</v>
      </c>
      <c r="W384" s="33">
        <f>IF(U384="","",IF(U384&lt;=Breakdowns!$C$5,1,IF(U384&lt;=Breakdowns!$C$6,2,IF(U384&lt;=Breakdowns!$C$7,3,4))))</f>
        <v>2</v>
      </c>
      <c r="X384" s="33">
        <f>IF(V384="","",IF(V384&lt;=Breakdowns!$D$5,1,IF(V384&lt;=Breakdowns!$D$6,2,IF(V384&lt;=Breakdowns!$D$7,3,4))))</f>
        <v>3</v>
      </c>
      <c r="Y384" s="34">
        <f>INDEX(Stores!$F$2:$F$21,MATCH(B384,Stores!$A$2:$A$21,0))</f>
        <v>4.05</v>
      </c>
      <c r="Z384" s="33">
        <f>IF(Y384&gt;Store_Summary!$M$2,1,0)</f>
        <v>0</v>
      </c>
      <c r="AA384" s="33">
        <f>INDEX(Stores!$C$2:$C$21,MATCH(B384,Stores!$A$2:$A$21,0))</f>
        <v>661</v>
      </c>
      <c r="AB384" s="33">
        <f>IF(AA384&lt;180,1,0)</f>
        <v>0</v>
      </c>
      <c r="AC384" s="32" t="str">
        <f>IF(Orders!D381="","",INDEX(Riders!$C$2:$C$81,MATCH(Orders!D381,Riders!$A$2:$A$81,0)))</f>
        <v>EV scooter</v>
      </c>
      <c r="AD384" s="33">
        <f>IF(Orders!D381="","",INDEX(Riders!$D$2:$D$81,MATCH(Orders!D381,Riders!$A$2:$A$81,0)))</f>
        <v>41</v>
      </c>
      <c r="AE384" s="33">
        <f>IF(Orders!D381="","",IF(INDEX(Riders!$B$2:$B$81,MATCH(Orders!D381,Riders!$A$2:$A$81,0))=B384,1,0))</f>
        <v>0</v>
      </c>
      <c r="AF384" s="34">
        <f>IF(E384=1,Orders!L381,"")</f>
        <v>2.03</v>
      </c>
      <c r="AG384" s="34">
        <f>IF(E384=1,Orders!P381,"")</f>
        <v>11.1</v>
      </c>
      <c r="AH384" s="34">
        <f>IF(E384=1,Orders!Q381,"")</f>
        <v>10.1</v>
      </c>
      <c r="AI384" s="34">
        <f>IF(E384=1,Orders!M381,"")</f>
        <v>2.4</v>
      </c>
      <c r="AJ384" s="34">
        <f>IF(E384=1,Orders!N381,"")</f>
        <v>4.6</v>
      </c>
      <c r="AK384" s="34">
        <f>IF(E384=1,Orders!O381,"")</f>
        <v>3.1</v>
      </c>
      <c r="AL384" s="33">
        <f>IF(E384=1,IF(ROUND(ABS(AI384+AJ384+AK384-AH384),6)&lt;=0.1,1,0),"")</f>
        <v>1</v>
      </c>
      <c r="AM384" s="36">
        <f>IF(E384=1,AI384/AH384,"")</f>
        <v>0.237623762376238</v>
      </c>
      <c r="AN384" s="36">
        <f>IF(E384=1,AJ384/AH384,"")</f>
        <v>0.455445544554455</v>
      </c>
      <c r="AO384" s="36">
        <f>IF(E384=1,AK384/AH384,"")</f>
        <v>0.306930693069307</v>
      </c>
      <c r="AP384" s="34">
        <f>IF(E384=1,Orders!Y381,"")</f>
        <v>0.56</v>
      </c>
      <c r="AQ384" s="33">
        <f>IF(Orders!X381,1,0)</f>
        <v>0</v>
      </c>
      <c r="AR384" s="34" t="str">
        <f>IF(AND(E384=1,L384=1),AJ384,"")</f>
        <v/>
      </c>
      <c r="AS384" s="34">
        <f>IF(AND(E384=1,L384=0),AJ384,"")</f>
        <v>4.6</v>
      </c>
      <c r="AT384" s="34" t="str">
        <f>IF(AND(E384=1,L384=1),AI384,"")</f>
        <v/>
      </c>
      <c r="AU384" s="34">
        <f>IF(AND(E384=1,L384=0),AI384,"")</f>
        <v>2.4</v>
      </c>
      <c r="AV384" s="34" t="str">
        <f>IF(AND(E384=1,L384=1),AG384,"")</f>
        <v/>
      </c>
      <c r="AW384" s="34">
        <f>IF(AND(E384=1,L384=0),AG384,"")</f>
        <v>11.1</v>
      </c>
      <c r="AX384" s="34" t="str">
        <f>IF(AND(E384=1,L384=1),AH384,"")</f>
        <v/>
      </c>
      <c r="AY384" s="34">
        <f>IF(AND(E384=1,L384=0),AH384,"")</f>
        <v>10.1</v>
      </c>
      <c r="AZ384" s="34" t="str">
        <f>IF(G384=1,F384,"")</f>
        <v/>
      </c>
      <c r="BA384" s="34" t="str">
        <f>IF(AND(G384=1,L384=1),F384,"")</f>
        <v/>
      </c>
      <c r="BB384" s="34" t="str">
        <f>IF(AND(G384=1,L384=0),F384,"")</f>
        <v/>
      </c>
      <c r="BC384" s="33">
        <f>IF(E384=1,IF(Orders!R381&gt;3,1,0),"")</f>
        <v>0</v>
      </c>
      <c r="BD384" s="33">
        <f>IF(E384=1,IF(Orders!R381&gt;7,1,0),"")</f>
        <v>0</v>
      </c>
      <c r="BE384" s="32" t="str">
        <f>IF(E384=1,IF(Orders!L381&lt;=1.5,"Up to 1.5 km",IF(Orders!L381&lt;=3,"1.5–3 km","Over 3 km")),"")</f>
        <v>1.5–3 km</v>
      </c>
      <c r="BF384" s="33">
        <f>IF(E384=1,IF(ABS((Orders!G381-Orders!F381)*1440-Orders!R381)&lt;0.06,1,0),"")</f>
        <v>1</v>
      </c>
      <c r="BG384" s="33">
        <f>IF(ABS((Orders!F381-Orders!E381)*1440-Orders!P381)&lt;0.06,1,0)</f>
        <v>1</v>
      </c>
      <c r="BH384" s="33">
        <f>IF(E384=1,IF(IF(Orders!S381,1,0)=1-G384,1,0),"")</f>
        <v>1</v>
      </c>
      <c r="BI384" s="32" t="str">
        <f>INDEX(Stores!$B$2:$B$21,MATCH(B384,Stores!$A$2:$A$21,0))</f>
        <v>Hyderabad</v>
      </c>
    </row>
    <row r="385">
      <c r="A385" s="32" t="str">
        <f>Orders!A382</f>
        <v>O00381</v>
      </c>
      <c r="B385" s="32" t="str">
        <f>Orders!C382</f>
        <v>S020</v>
      </c>
      <c r="C385" s="32" t="str">
        <f>Orders!B382</f>
        <v>C0198</v>
      </c>
      <c r="D385" s="32" t="str">
        <f>Orders!H382</f>
        <v>Delivered</v>
      </c>
      <c r="E385" s="33">
        <f>IF(Orders!H382="Delivered",1,0)</f>
        <v>1</v>
      </c>
      <c r="F385" s="34">
        <f>IF(E385=1,Orders!R382,"")</f>
        <v>-0.6</v>
      </c>
      <c r="G385" s="33">
        <f>IF(E385=1,IF(Orders!R382&gt;0,1,0),"")</f>
        <v>0</v>
      </c>
      <c r="H385" s="33">
        <f>IF(E385=1,IF(Orders!R382&gt;5,1,0),"")</f>
        <v>0</v>
      </c>
      <c r="I385" s="32" t="str">
        <f>IF(E385=1,"",IF(OR(Orders!T382="Rider unavailable",Orders!T382="Item unavailable"),"Company-caused","Unresolved"))</f>
        <v/>
      </c>
      <c r="J385" s="33">
        <f>IF(OR(E385=1,I385="Company-caused"),1,0)</f>
        <v>1</v>
      </c>
      <c r="K385" s="32" t="str">
        <f>IF(E385=0,IF(I385="Company-caused",IF(Orders!T382="Rider unavailable","C1 Rider unavailable","C2 Item unavailable"),"Outside root: unresolved"),IF(G385=0,"A On time",IF(H385=1,IF(L385=1,"B2a Severe, peak","B2b Severe, off-peak"),IF(L385=1,"B1a Slight, peak","B1b Slight, off-peak"))))</f>
        <v>A On time</v>
      </c>
      <c r="L385" s="33">
        <f>IF(AND(Orders!U382&gt;=19,Orders!U382&lt;22),1,0)</f>
        <v>1</v>
      </c>
      <c r="M385" s="33">
        <f>IF(L385=IF(Orders!V382,1,0),1,0)</f>
        <v>1</v>
      </c>
      <c r="N385" s="32" t="str">
        <f>IF(Orders!W382="","None",Orders!W382)</f>
        <v>None</v>
      </c>
      <c r="O385" s="35">
        <f>INT(Orders!E382)</f>
        <v>46271.0</v>
      </c>
      <c r="P385" s="33">
        <f>Orders!U382</f>
        <v>21</v>
      </c>
      <c r="Q385" s="33">
        <f>COUNTIFS(Demand!$A$2:$A$4481,B385,Demand!$B$2:$B$4481,O385,Demand!$C$2:$C$4481,P385)</f>
        <v>1</v>
      </c>
      <c r="R385" s="33">
        <f>IF(Q385=1,SUMIFS(Demand!$E$2:$E$4481,Demand!$A$2:$A$4481,B385,Demand!$B$2:$B$4481,O385,Demand!$C$2:$C$4481,P385),"")</f>
        <v>22</v>
      </c>
      <c r="S385" s="33">
        <f>INDEX(Stores!$G$2:$G$21,MATCH(B385,Stores!$A$2:$A$21,0))</f>
        <v>15</v>
      </c>
      <c r="T385" s="34">
        <f>IF(R385="","",R385/S385)</f>
        <v>1.46666666666667</v>
      </c>
      <c r="U385" s="34">
        <f>IF(E385=1,T385,"")</f>
        <v>1.46666666666667</v>
      </c>
      <c r="V385" s="34" t="str">
        <f>IF(AND(E385=1,L385=0),T385,"")</f>
        <v/>
      </c>
      <c r="W385" s="33">
        <f>IF(U385="","",IF(U385&lt;=Breakdowns!$C$5,1,IF(U385&lt;=Breakdowns!$C$6,2,IF(U385&lt;=Breakdowns!$C$7,3,4))))</f>
        <v>4</v>
      </c>
      <c r="X385" s="33" t="str">
        <f>IF(V385="","",IF(V385&lt;=Breakdowns!$D$5,1,IF(V385&lt;=Breakdowns!$D$6,2,IF(V385&lt;=Breakdowns!$D$7,3,4))))</f>
        <v/>
      </c>
      <c r="Y385" s="34">
        <f>INDEX(Stores!$F$2:$F$21,MATCH(B385,Stores!$A$2:$A$21,0))</f>
        <v>5.74</v>
      </c>
      <c r="Z385" s="33">
        <f>IF(Y385&gt;Store_Summary!$M$2,1,0)</f>
        <v>1</v>
      </c>
      <c r="AA385" s="33">
        <f>INDEX(Stores!$C$2:$C$21,MATCH(B385,Stores!$A$2:$A$21,0))</f>
        <v>647</v>
      </c>
      <c r="AB385" s="33">
        <f>IF(AA385&lt;180,1,0)</f>
        <v>0</v>
      </c>
      <c r="AC385" s="32" t="str">
        <f>IF(Orders!D382="","",INDEX(Riders!$C$2:$C$81,MATCH(Orders!D382,Riders!$A$2:$A$81,0)))</f>
        <v>Petrol scooter</v>
      </c>
      <c r="AD385" s="33">
        <f>IF(Orders!D382="","",INDEX(Riders!$D$2:$D$81,MATCH(Orders!D382,Riders!$A$2:$A$81,0)))</f>
        <v>6</v>
      </c>
      <c r="AE385" s="33">
        <f>IF(Orders!D382="","",IF(INDEX(Riders!$B$2:$B$81,MATCH(Orders!D382,Riders!$A$2:$A$81,0))=B385,1,0))</f>
        <v>0</v>
      </c>
      <c r="AF385" s="34">
        <f>IF(E385=1,Orders!L382,"")</f>
        <v>1.95</v>
      </c>
      <c r="AG385" s="34">
        <f>IF(E385=1,Orders!P382,"")</f>
        <v>9.1</v>
      </c>
      <c r="AH385" s="34">
        <f>IF(E385=1,Orders!Q382,"")</f>
        <v>8.5</v>
      </c>
      <c r="AI385" s="34">
        <f>IF(E385=1,Orders!M382,"")</f>
        <v>4.4</v>
      </c>
      <c r="AJ385" s="34">
        <f>IF(E385=1,Orders!N382,"")</f>
        <v>1</v>
      </c>
      <c r="AK385" s="34">
        <f>IF(E385=1,Orders!O382,"")</f>
        <v>3.1</v>
      </c>
      <c r="AL385" s="33">
        <f>IF(E385=1,IF(ROUND(ABS(AI385+AJ385+AK385-AH385),6)&lt;=0.1,1,0),"")</f>
        <v>1</v>
      </c>
      <c r="AM385" s="36">
        <f>IF(E385=1,AI385/AH385,"")</f>
        <v>0.51764705882353</v>
      </c>
      <c r="AN385" s="36">
        <f>IF(E385=1,AJ385/AH385,"")</f>
        <v>0.117647058823529</v>
      </c>
      <c r="AO385" s="36">
        <f>IF(E385=1,AK385/AH385,"")</f>
        <v>0.364705882352941</v>
      </c>
      <c r="AP385" s="34">
        <f>IF(E385=1,Orders!Y382,"")</f>
        <v>0.3</v>
      </c>
      <c r="AQ385" s="33">
        <f>IF(Orders!X382,1,0)</f>
        <v>0</v>
      </c>
      <c r="AR385" s="34">
        <f>IF(AND(E385=1,L385=1),AJ385,"")</f>
        <v>1</v>
      </c>
      <c r="AS385" s="34" t="str">
        <f>IF(AND(E385=1,L385=0),AJ385,"")</f>
        <v/>
      </c>
      <c r="AT385" s="34">
        <f>IF(AND(E385=1,L385=1),AI385,"")</f>
        <v>4.4</v>
      </c>
      <c r="AU385" s="34" t="str">
        <f>IF(AND(E385=1,L385=0),AI385,"")</f>
        <v/>
      </c>
      <c r="AV385" s="34">
        <f>IF(AND(E385=1,L385=1),AG385,"")</f>
        <v>9.1</v>
      </c>
      <c r="AW385" s="34" t="str">
        <f>IF(AND(E385=1,L385=0),AG385,"")</f>
        <v/>
      </c>
      <c r="AX385" s="34">
        <f>IF(AND(E385=1,L385=1),AH385,"")</f>
        <v>8.5</v>
      </c>
      <c r="AY385" s="34" t="str">
        <f>IF(AND(E385=1,L385=0),AH385,"")</f>
        <v/>
      </c>
      <c r="AZ385" s="34" t="str">
        <f>IF(G385=1,F385,"")</f>
        <v/>
      </c>
      <c r="BA385" s="34" t="str">
        <f>IF(AND(G385=1,L385=1),F385,"")</f>
        <v/>
      </c>
      <c r="BB385" s="34" t="str">
        <f>IF(AND(G385=1,L385=0),F385,"")</f>
        <v/>
      </c>
      <c r="BC385" s="33">
        <f>IF(E385=1,IF(Orders!R382&gt;3,1,0),"")</f>
        <v>0</v>
      </c>
      <c r="BD385" s="33">
        <f>IF(E385=1,IF(Orders!R382&gt;7,1,0),"")</f>
        <v>0</v>
      </c>
      <c r="BE385" s="32" t="str">
        <f>IF(E385=1,IF(Orders!L382&lt;=1.5,"Up to 1.5 km",IF(Orders!L382&lt;=3,"1.5–3 km","Over 3 km")),"")</f>
        <v>1.5–3 km</v>
      </c>
      <c r="BF385" s="33">
        <f>IF(E385=1,IF(ABS((Orders!G382-Orders!F382)*1440-Orders!R382)&lt;0.06,1,0),"")</f>
        <v>1</v>
      </c>
      <c r="BG385" s="33">
        <f>IF(ABS((Orders!F382-Orders!E382)*1440-Orders!P382)&lt;0.06,1,0)</f>
        <v>1</v>
      </c>
      <c r="BH385" s="33">
        <f>IF(E385=1,IF(IF(Orders!S382,1,0)=1-G385,1,0),"")</f>
        <v>1</v>
      </c>
      <c r="BI385" s="32" t="str">
        <f>INDEX(Stores!$B$2:$B$21,MATCH(B385,Stores!$A$2:$A$21,0))</f>
        <v>Delhi</v>
      </c>
    </row>
    <row r="386">
      <c r="A386" s="32" t="str">
        <f>Orders!A383</f>
        <v>O00382</v>
      </c>
      <c r="B386" s="32" t="str">
        <f>Orders!C383</f>
        <v>S005</v>
      </c>
      <c r="C386" s="32" t="str">
        <f>Orders!B383</f>
        <v>C0127</v>
      </c>
      <c r="D386" s="32" t="str">
        <f>Orders!H383</f>
        <v>Delivered</v>
      </c>
      <c r="E386" s="33">
        <f>IF(Orders!H383="Delivered",1,0)</f>
        <v>1</v>
      </c>
      <c r="F386" s="34">
        <f>IF(E386=1,Orders!R383,"")</f>
        <v>-0.9</v>
      </c>
      <c r="G386" s="33">
        <f>IF(E386=1,IF(Orders!R383&gt;0,1,0),"")</f>
        <v>0</v>
      </c>
      <c r="H386" s="33">
        <f>IF(E386=1,IF(Orders!R383&gt;5,1,0),"")</f>
        <v>0</v>
      </c>
      <c r="I386" s="32" t="str">
        <f>IF(E386=1,"",IF(OR(Orders!T383="Rider unavailable",Orders!T383="Item unavailable"),"Company-caused","Unresolved"))</f>
        <v/>
      </c>
      <c r="J386" s="33">
        <f>IF(OR(E386=1,I386="Company-caused"),1,0)</f>
        <v>1</v>
      </c>
      <c r="K386" s="32" t="str">
        <f>IF(E386=0,IF(I386="Company-caused",IF(Orders!T383="Rider unavailable","C1 Rider unavailable","C2 Item unavailable"),"Outside root: unresolved"),IF(G386=0,"A On time",IF(H386=1,IF(L386=1,"B2a Severe, peak","B2b Severe, off-peak"),IF(L386=1,"B1a Slight, peak","B1b Slight, off-peak"))))</f>
        <v>A On time</v>
      </c>
      <c r="L386" s="33">
        <f>IF(AND(Orders!U383&gt;=19,Orders!U383&lt;22),1,0)</f>
        <v>0</v>
      </c>
      <c r="M386" s="33">
        <f>IF(L386=IF(Orders!V383,1,0),1,0)</f>
        <v>1</v>
      </c>
      <c r="N386" s="32" t="str">
        <f>IF(Orders!W383="","None",Orders!W383)</f>
        <v>None</v>
      </c>
      <c r="O386" s="35">
        <f>INT(Orders!E383)</f>
        <v>46277.0</v>
      </c>
      <c r="P386" s="33">
        <f>Orders!U383</f>
        <v>10</v>
      </c>
      <c r="Q386" s="33">
        <f>COUNTIFS(Demand!$A$2:$A$4481,B386,Demand!$B$2:$B$4481,O386,Demand!$C$2:$C$4481,P386)</f>
        <v>1</v>
      </c>
      <c r="R386" s="33">
        <f>IF(Q386=1,SUMIFS(Demand!$E$2:$E$4481,Demand!$A$2:$A$4481,B386,Demand!$B$2:$B$4481,O386,Demand!$C$2:$C$4481,P386),"")</f>
        <v>14</v>
      </c>
      <c r="S386" s="33">
        <f>INDEX(Stores!$G$2:$G$21,MATCH(B386,Stores!$A$2:$A$21,0))</f>
        <v>14</v>
      </c>
      <c r="T386" s="34">
        <f>IF(R386="","",R386/S386)</f>
        <v>1</v>
      </c>
      <c r="U386" s="34">
        <f>IF(E386=1,T386,"")</f>
        <v>1</v>
      </c>
      <c r="V386" s="34">
        <f>IF(AND(E386=1,L386=0),T386,"")</f>
        <v>1</v>
      </c>
      <c r="W386" s="33">
        <f>IF(U386="","",IF(U386&lt;=Breakdowns!$C$5,1,IF(U386&lt;=Breakdowns!$C$6,2,IF(U386&lt;=Breakdowns!$C$7,3,4))))</f>
        <v>2</v>
      </c>
      <c r="X386" s="33">
        <f>IF(V386="","",IF(V386&lt;=Breakdowns!$D$5,1,IF(V386&lt;=Breakdowns!$D$6,2,IF(V386&lt;=Breakdowns!$D$7,3,4))))</f>
        <v>3</v>
      </c>
      <c r="Y386" s="34">
        <f>INDEX(Stores!$F$2:$F$21,MATCH(B386,Stores!$A$2:$A$21,0))</f>
        <v>4.89</v>
      </c>
      <c r="Z386" s="33">
        <f>IF(Y386&gt;Store_Summary!$M$2,1,0)</f>
        <v>0</v>
      </c>
      <c r="AA386" s="33">
        <f>INDEX(Stores!$C$2:$C$21,MATCH(B386,Stores!$A$2:$A$21,0))</f>
        <v>138</v>
      </c>
      <c r="AB386" s="33">
        <f>IF(AA386&lt;180,1,0)</f>
        <v>1</v>
      </c>
      <c r="AC386" s="32" t="str">
        <f>IF(Orders!D383="","",INDEX(Riders!$C$2:$C$81,MATCH(Orders!D383,Riders!$A$2:$A$81,0)))</f>
        <v>EV scooter</v>
      </c>
      <c r="AD386" s="33">
        <f>IF(Orders!D383="","",INDEX(Riders!$D$2:$D$81,MATCH(Orders!D383,Riders!$A$2:$A$81,0)))</f>
        <v>27</v>
      </c>
      <c r="AE386" s="33">
        <f>IF(Orders!D383="","",IF(INDEX(Riders!$B$2:$B$81,MATCH(Orders!D383,Riders!$A$2:$A$81,0))=B386,1,0))</f>
        <v>0</v>
      </c>
      <c r="AF386" s="34">
        <f>IF(E386=1,Orders!L383,"")</f>
        <v>0.95</v>
      </c>
      <c r="AG386" s="34">
        <f>IF(E386=1,Orders!P383,"")</f>
        <v>12.6</v>
      </c>
      <c r="AH386" s="34">
        <f>IF(E386=1,Orders!Q383,"")</f>
        <v>11.7</v>
      </c>
      <c r="AI386" s="34">
        <f>IF(E386=1,Orders!M383,"")</f>
        <v>4.7</v>
      </c>
      <c r="AJ386" s="34">
        <f>IF(E386=1,Orders!N383,"")</f>
        <v>3.3</v>
      </c>
      <c r="AK386" s="34">
        <f>IF(E386=1,Orders!O383,"")</f>
        <v>3.7</v>
      </c>
      <c r="AL386" s="33">
        <f>IF(E386=1,IF(ROUND(ABS(AI386+AJ386+AK386-AH386),6)&lt;=0.1,1,0),"")</f>
        <v>1</v>
      </c>
      <c r="AM386" s="36">
        <f>IF(E386=1,AI386/AH386,"")</f>
        <v>0.401709401709402</v>
      </c>
      <c r="AN386" s="36">
        <f>IF(E386=1,AJ386/AH386,"")</f>
        <v>0.282051282051282</v>
      </c>
      <c r="AO386" s="36">
        <f>IF(E386=1,AK386/AH386,"")</f>
        <v>0.316239316239316</v>
      </c>
      <c r="AP386" s="34">
        <f>IF(E386=1,Orders!Y383,"")</f>
        <v>0.66</v>
      </c>
      <c r="AQ386" s="33">
        <f>IF(Orders!X383,1,0)</f>
        <v>0</v>
      </c>
      <c r="AR386" s="34" t="str">
        <f>IF(AND(E386=1,L386=1),AJ386,"")</f>
        <v/>
      </c>
      <c r="AS386" s="34">
        <f>IF(AND(E386=1,L386=0),AJ386,"")</f>
        <v>3.3</v>
      </c>
      <c r="AT386" s="34" t="str">
        <f>IF(AND(E386=1,L386=1),AI386,"")</f>
        <v/>
      </c>
      <c r="AU386" s="34">
        <f>IF(AND(E386=1,L386=0),AI386,"")</f>
        <v>4.7</v>
      </c>
      <c r="AV386" s="34" t="str">
        <f>IF(AND(E386=1,L386=1),AG386,"")</f>
        <v/>
      </c>
      <c r="AW386" s="34">
        <f>IF(AND(E386=1,L386=0),AG386,"")</f>
        <v>12.6</v>
      </c>
      <c r="AX386" s="34" t="str">
        <f>IF(AND(E386=1,L386=1),AH386,"")</f>
        <v/>
      </c>
      <c r="AY386" s="34">
        <f>IF(AND(E386=1,L386=0),AH386,"")</f>
        <v>11.7</v>
      </c>
      <c r="AZ386" s="34" t="str">
        <f>IF(G386=1,F386,"")</f>
        <v/>
      </c>
      <c r="BA386" s="34" t="str">
        <f>IF(AND(G386=1,L386=1),F386,"")</f>
        <v/>
      </c>
      <c r="BB386" s="34" t="str">
        <f>IF(AND(G386=1,L386=0),F386,"")</f>
        <v/>
      </c>
      <c r="BC386" s="33">
        <f>IF(E386=1,IF(Orders!R383&gt;3,1,0),"")</f>
        <v>0</v>
      </c>
      <c r="BD386" s="33">
        <f>IF(E386=1,IF(Orders!R383&gt;7,1,0),"")</f>
        <v>0</v>
      </c>
      <c r="BE386" s="32" t="str">
        <f>IF(E386=1,IF(Orders!L383&lt;=1.5,"Up to 1.5 km",IF(Orders!L383&lt;=3,"1.5–3 km","Over 3 km")),"")</f>
        <v>Up to 1.5 km</v>
      </c>
      <c r="BF386" s="33">
        <f>IF(E386=1,IF(ABS((Orders!G383-Orders!F383)*1440-Orders!R383)&lt;0.06,1,0),"")</f>
        <v>1</v>
      </c>
      <c r="BG386" s="33">
        <f>IF(ABS((Orders!F383-Orders!E383)*1440-Orders!P383)&lt;0.06,1,0)</f>
        <v>1</v>
      </c>
      <c r="BH386" s="33">
        <f>IF(E386=1,IF(IF(Orders!S383,1,0)=1-G386,1,0),"")</f>
        <v>1</v>
      </c>
      <c r="BI386" s="32" t="str">
        <f>INDEX(Stores!$B$2:$B$21,MATCH(B386,Stores!$A$2:$A$21,0))</f>
        <v>Delhi</v>
      </c>
    </row>
    <row r="387">
      <c r="A387" s="32" t="str">
        <f>Orders!A384</f>
        <v>O00383</v>
      </c>
      <c r="B387" s="32" t="str">
        <f>Orders!C384</f>
        <v>S009</v>
      </c>
      <c r="C387" s="32" t="str">
        <f>Orders!B384</f>
        <v>C0024</v>
      </c>
      <c r="D387" s="32" t="str">
        <f>Orders!H384</f>
        <v>Delivered</v>
      </c>
      <c r="E387" s="33">
        <f>IF(Orders!H384="Delivered",1,0)</f>
        <v>1</v>
      </c>
      <c r="F387" s="34">
        <f>IF(E387=1,Orders!R384,"")</f>
        <v>-1.1</v>
      </c>
      <c r="G387" s="33">
        <f>IF(E387=1,IF(Orders!R384&gt;0,1,0),"")</f>
        <v>0</v>
      </c>
      <c r="H387" s="33">
        <f>IF(E387=1,IF(Orders!R384&gt;5,1,0),"")</f>
        <v>0</v>
      </c>
      <c r="I387" s="32" t="str">
        <f>IF(E387=1,"",IF(OR(Orders!T384="Rider unavailable",Orders!T384="Item unavailable"),"Company-caused","Unresolved"))</f>
        <v/>
      </c>
      <c r="J387" s="33">
        <f>IF(OR(E387=1,I387="Company-caused"),1,0)</f>
        <v>1</v>
      </c>
      <c r="K387" s="32" t="str">
        <f>IF(E387=0,IF(I387="Company-caused",IF(Orders!T384="Rider unavailable","C1 Rider unavailable","C2 Item unavailable"),"Outside root: unresolved"),IF(G387=0,"A On time",IF(H387=1,IF(L387=1,"B2a Severe, peak","B2b Severe, off-peak"),IF(L387=1,"B1a Slight, peak","B1b Slight, off-peak"))))</f>
        <v>A On time</v>
      </c>
      <c r="L387" s="33">
        <f>IF(AND(Orders!U384&gt;=19,Orders!U384&lt;22),1,0)</f>
        <v>0</v>
      </c>
      <c r="M387" s="33">
        <f>IF(L387=IF(Orders!V384,1,0),1,0)</f>
        <v>1</v>
      </c>
      <c r="N387" s="32" t="str">
        <f>IF(Orders!W384="","None",Orders!W384)</f>
        <v>Light</v>
      </c>
      <c r="O387" s="35">
        <f>INT(Orders!E384)</f>
        <v>46277.0</v>
      </c>
      <c r="P387" s="33">
        <f>Orders!U384</f>
        <v>15</v>
      </c>
      <c r="Q387" s="33">
        <f>COUNTIFS(Demand!$A$2:$A$4481,B387,Demand!$B$2:$B$4481,O387,Demand!$C$2:$C$4481,P387)</f>
        <v>1</v>
      </c>
      <c r="R387" s="33">
        <f>IF(Q387=1,SUMIFS(Demand!$E$2:$E$4481,Demand!$A$2:$A$4481,B387,Demand!$B$2:$B$4481,O387,Demand!$C$2:$C$4481,P387),"")</f>
        <v>29</v>
      </c>
      <c r="S387" s="33">
        <f>INDEX(Stores!$G$2:$G$21,MATCH(B387,Stores!$A$2:$A$21,0))</f>
        <v>29</v>
      </c>
      <c r="T387" s="34">
        <f>IF(R387="","",R387/S387)</f>
        <v>1</v>
      </c>
      <c r="U387" s="34">
        <f>IF(E387=1,T387,"")</f>
        <v>1</v>
      </c>
      <c r="V387" s="34">
        <f>IF(AND(E387=1,L387=0),T387,"")</f>
        <v>1</v>
      </c>
      <c r="W387" s="33">
        <f>IF(U387="","",IF(U387&lt;=Breakdowns!$C$5,1,IF(U387&lt;=Breakdowns!$C$6,2,IF(U387&lt;=Breakdowns!$C$7,3,4))))</f>
        <v>2</v>
      </c>
      <c r="X387" s="33">
        <f>IF(V387="","",IF(V387&lt;=Breakdowns!$D$5,1,IF(V387&lt;=Breakdowns!$D$6,2,IF(V387&lt;=Breakdowns!$D$7,3,4))))</f>
        <v>3</v>
      </c>
      <c r="Y387" s="34">
        <f>INDEX(Stores!$F$2:$F$21,MATCH(B387,Stores!$A$2:$A$21,0))</f>
        <v>2.66</v>
      </c>
      <c r="Z387" s="33">
        <f>IF(Y387&gt;Store_Summary!$M$2,1,0)</f>
        <v>0</v>
      </c>
      <c r="AA387" s="33">
        <f>INDEX(Stores!$C$2:$C$21,MATCH(B387,Stores!$A$2:$A$21,0))</f>
        <v>645</v>
      </c>
      <c r="AB387" s="33">
        <f>IF(AA387&lt;180,1,0)</f>
        <v>0</v>
      </c>
      <c r="AC387" s="32" t="str">
        <f>IF(Orders!D384="","",INDEX(Riders!$C$2:$C$81,MATCH(Orders!D384,Riders!$A$2:$A$81,0)))</f>
        <v>Petrol scooter</v>
      </c>
      <c r="AD387" s="33">
        <f>IF(Orders!D384="","",INDEX(Riders!$D$2:$D$81,MATCH(Orders!D384,Riders!$A$2:$A$81,0)))</f>
        <v>2</v>
      </c>
      <c r="AE387" s="33">
        <f>IF(Orders!D384="","",IF(INDEX(Riders!$B$2:$B$81,MATCH(Orders!D384,Riders!$A$2:$A$81,0))=B387,1,0))</f>
        <v>0</v>
      </c>
      <c r="AF387" s="34">
        <f>IF(E387=1,Orders!L384,"")</f>
        <v>0.5</v>
      </c>
      <c r="AG387" s="34">
        <f>IF(E387=1,Orders!P384,"")</f>
        <v>11.5</v>
      </c>
      <c r="AH387" s="34">
        <f>IF(E387=1,Orders!Q384,"")</f>
        <v>10.4</v>
      </c>
      <c r="AI387" s="34">
        <f>IF(E387=1,Orders!M384,"")</f>
        <v>4.3</v>
      </c>
      <c r="AJ387" s="34">
        <f>IF(E387=1,Orders!N384,"")</f>
        <v>4.1</v>
      </c>
      <c r="AK387" s="34">
        <f>IF(E387=1,Orders!O384,"")</f>
        <v>2</v>
      </c>
      <c r="AL387" s="33">
        <f>IF(E387=1,IF(ROUND(ABS(AI387+AJ387+AK387-AH387),6)&lt;=0.1,1,0),"")</f>
        <v>1</v>
      </c>
      <c r="AM387" s="36">
        <f>IF(E387=1,AI387/AH387,"")</f>
        <v>0.413461538461538</v>
      </c>
      <c r="AN387" s="36">
        <f>IF(E387=1,AJ387/AH387,"")</f>
        <v>0.394230769230769</v>
      </c>
      <c r="AO387" s="36">
        <f>IF(E387=1,AK387/AH387,"")</f>
        <v>0.192307692307692</v>
      </c>
      <c r="AP387" s="34">
        <f>IF(E387=1,Orders!Y384,"")</f>
        <v>0.04</v>
      </c>
      <c r="AQ387" s="33">
        <f>IF(Orders!X384,1,0)</f>
        <v>0</v>
      </c>
      <c r="AR387" s="34" t="str">
        <f>IF(AND(E387=1,L387=1),AJ387,"")</f>
        <v/>
      </c>
      <c r="AS387" s="34">
        <f>IF(AND(E387=1,L387=0),AJ387,"")</f>
        <v>4.1</v>
      </c>
      <c r="AT387" s="34" t="str">
        <f>IF(AND(E387=1,L387=1),AI387,"")</f>
        <v/>
      </c>
      <c r="AU387" s="34">
        <f>IF(AND(E387=1,L387=0),AI387,"")</f>
        <v>4.3</v>
      </c>
      <c r="AV387" s="34" t="str">
        <f>IF(AND(E387=1,L387=1),AG387,"")</f>
        <v/>
      </c>
      <c r="AW387" s="34">
        <f>IF(AND(E387=1,L387=0),AG387,"")</f>
        <v>11.5</v>
      </c>
      <c r="AX387" s="34" t="str">
        <f>IF(AND(E387=1,L387=1),AH387,"")</f>
        <v/>
      </c>
      <c r="AY387" s="34">
        <f>IF(AND(E387=1,L387=0),AH387,"")</f>
        <v>10.4</v>
      </c>
      <c r="AZ387" s="34" t="str">
        <f>IF(G387=1,F387,"")</f>
        <v/>
      </c>
      <c r="BA387" s="34" t="str">
        <f>IF(AND(G387=1,L387=1),F387,"")</f>
        <v/>
      </c>
      <c r="BB387" s="34" t="str">
        <f>IF(AND(G387=1,L387=0),F387,"")</f>
        <v/>
      </c>
      <c r="BC387" s="33">
        <f>IF(E387=1,IF(Orders!R384&gt;3,1,0),"")</f>
        <v>0</v>
      </c>
      <c r="BD387" s="33">
        <f>IF(E387=1,IF(Orders!R384&gt;7,1,0),"")</f>
        <v>0</v>
      </c>
      <c r="BE387" s="32" t="str">
        <f>IF(E387=1,IF(Orders!L384&lt;=1.5,"Up to 1.5 km",IF(Orders!L384&lt;=3,"1.5–3 km","Over 3 km")),"")</f>
        <v>Up to 1.5 km</v>
      </c>
      <c r="BF387" s="33">
        <f>IF(E387=1,IF(ABS((Orders!G384-Orders!F384)*1440-Orders!R384)&lt;0.06,1,0),"")</f>
        <v>1</v>
      </c>
      <c r="BG387" s="33">
        <f>IF(ABS((Orders!F384-Orders!E384)*1440-Orders!P384)&lt;0.06,1,0)</f>
        <v>1</v>
      </c>
      <c r="BH387" s="33">
        <f>IF(E387=1,IF(IF(Orders!S384,1,0)=1-G387,1,0),"")</f>
        <v>1</v>
      </c>
      <c r="BI387" s="32" t="str">
        <f>INDEX(Stores!$B$2:$B$21,MATCH(B387,Stores!$A$2:$A$21,0))</f>
        <v>Pune</v>
      </c>
    </row>
    <row r="388">
      <c r="A388" s="32" t="str">
        <f>Orders!A385</f>
        <v>O00384</v>
      </c>
      <c r="B388" s="32" t="str">
        <f>Orders!C385</f>
        <v>S020</v>
      </c>
      <c r="C388" s="32" t="str">
        <f>Orders!B385</f>
        <v>C0154</v>
      </c>
      <c r="D388" s="32" t="str">
        <f>Orders!H385</f>
        <v>Delivered</v>
      </c>
      <c r="E388" s="33">
        <f>IF(Orders!H385="Delivered",1,0)</f>
        <v>1</v>
      </c>
      <c r="F388" s="34">
        <f>IF(E388=1,Orders!R385,"")</f>
        <v>1.8</v>
      </c>
      <c r="G388" s="33">
        <f>IF(E388=1,IF(Orders!R385&gt;0,1,0),"")</f>
        <v>1</v>
      </c>
      <c r="H388" s="33">
        <f>IF(E388=1,IF(Orders!R385&gt;5,1,0),"")</f>
        <v>0</v>
      </c>
      <c r="I388" s="32" t="str">
        <f>IF(E388=1,"",IF(OR(Orders!T385="Rider unavailable",Orders!T385="Item unavailable"),"Company-caused","Unresolved"))</f>
        <v/>
      </c>
      <c r="J388" s="33">
        <f>IF(OR(E388=1,I388="Company-caused"),1,0)</f>
        <v>1</v>
      </c>
      <c r="K388" s="32" t="str">
        <f>IF(E388=0,IF(I388="Company-caused",IF(Orders!T385="Rider unavailable","C1 Rider unavailable","C2 Item unavailable"),"Outside root: unresolved"),IF(G388=0,"A On time",IF(H388=1,IF(L388=1,"B2a Severe, peak","B2b Severe, off-peak"),IF(L388=1,"B1a Slight, peak","B1b Slight, off-peak"))))</f>
        <v>B1b Slight, off-peak</v>
      </c>
      <c r="L388" s="33">
        <f>IF(AND(Orders!U385&gt;=19,Orders!U385&lt;22),1,0)</f>
        <v>0</v>
      </c>
      <c r="M388" s="33">
        <f>IF(L388=IF(Orders!V385,1,0),1,0)</f>
        <v>1</v>
      </c>
      <c r="N388" s="32" t="str">
        <f>IF(Orders!W385="","None",Orders!W385)</f>
        <v>Light</v>
      </c>
      <c r="O388" s="35">
        <f>INT(Orders!E385)</f>
        <v>46272.0</v>
      </c>
      <c r="P388" s="33">
        <f>Orders!U385</f>
        <v>9</v>
      </c>
      <c r="Q388" s="33">
        <f>COUNTIFS(Demand!$A$2:$A$4481,B388,Demand!$B$2:$B$4481,O388,Demand!$C$2:$C$4481,P388)</f>
        <v>1</v>
      </c>
      <c r="R388" s="33">
        <f>IF(Q388=1,SUMIFS(Demand!$E$2:$E$4481,Demand!$A$2:$A$4481,B388,Demand!$B$2:$B$4481,O388,Demand!$C$2:$C$4481,P388),"")</f>
        <v>7</v>
      </c>
      <c r="S388" s="33">
        <f>INDEX(Stores!$G$2:$G$21,MATCH(B388,Stores!$A$2:$A$21,0))</f>
        <v>15</v>
      </c>
      <c r="T388" s="34">
        <f>IF(R388="","",R388/S388)</f>
        <v>0.466666666666667</v>
      </c>
      <c r="U388" s="34">
        <f>IF(E388=1,T388,"")</f>
        <v>0.466666666666667</v>
      </c>
      <c r="V388" s="34">
        <f>IF(AND(E388=1,L388=0),T388,"")</f>
        <v>0.466666666666667</v>
      </c>
      <c r="W388" s="33">
        <f>IF(U388="","",IF(U388&lt;=Breakdowns!$C$5,1,IF(U388&lt;=Breakdowns!$C$6,2,IF(U388&lt;=Breakdowns!$C$7,3,4))))</f>
        <v>1</v>
      </c>
      <c r="X388" s="33">
        <f>IF(V388="","",IF(V388&lt;=Breakdowns!$D$5,1,IF(V388&lt;=Breakdowns!$D$6,2,IF(V388&lt;=Breakdowns!$D$7,3,4))))</f>
        <v>1</v>
      </c>
      <c r="Y388" s="34">
        <f>INDEX(Stores!$F$2:$F$21,MATCH(B388,Stores!$A$2:$A$21,0))</f>
        <v>5.74</v>
      </c>
      <c r="Z388" s="33">
        <f>IF(Y388&gt;Store_Summary!$M$2,1,0)</f>
        <v>1</v>
      </c>
      <c r="AA388" s="33">
        <f>INDEX(Stores!$C$2:$C$21,MATCH(B388,Stores!$A$2:$A$21,0))</f>
        <v>647</v>
      </c>
      <c r="AB388" s="33">
        <f>IF(AA388&lt;180,1,0)</f>
        <v>0</v>
      </c>
      <c r="AC388" s="32" t="str">
        <f>IF(Orders!D385="","",INDEX(Riders!$C$2:$C$81,MATCH(Orders!D385,Riders!$A$2:$A$81,0)))</f>
        <v>EV scooter</v>
      </c>
      <c r="AD388" s="33">
        <f>IF(Orders!D385="","",INDEX(Riders!$D$2:$D$81,MATCH(Orders!D385,Riders!$A$2:$A$81,0)))</f>
        <v>37</v>
      </c>
      <c r="AE388" s="33">
        <f>IF(Orders!D385="","",IF(INDEX(Riders!$B$2:$B$81,MATCH(Orders!D385,Riders!$A$2:$A$81,0))=B388,1,0))</f>
        <v>0</v>
      </c>
      <c r="AF388" s="34">
        <f>IF(E388=1,Orders!L385,"")</f>
        <v>1.99</v>
      </c>
      <c r="AG388" s="34">
        <f>IF(E388=1,Orders!P385,"")</f>
        <v>11.3</v>
      </c>
      <c r="AH388" s="34">
        <f>IF(E388=1,Orders!Q385,"")</f>
        <v>13.1</v>
      </c>
      <c r="AI388" s="34">
        <f>IF(E388=1,Orders!M385,"")</f>
        <v>6</v>
      </c>
      <c r="AJ388" s="34">
        <f>IF(E388=1,Orders!N385,"")</f>
        <v>0.6</v>
      </c>
      <c r="AK388" s="34">
        <f>IF(E388=1,Orders!O385,"")</f>
        <v>6.5</v>
      </c>
      <c r="AL388" s="33">
        <f>IF(E388=1,IF(ROUND(ABS(AI388+AJ388+AK388-AH388),6)&lt;=0.1,1,0),"")</f>
        <v>1</v>
      </c>
      <c r="AM388" s="36">
        <f>IF(E388=1,AI388/AH388,"")</f>
        <v>0.458015267175573</v>
      </c>
      <c r="AN388" s="36">
        <f>IF(E388=1,AJ388/AH388,"")</f>
        <v>0.0458015267175573</v>
      </c>
      <c r="AO388" s="36">
        <f>IF(E388=1,AK388/AH388,"")</f>
        <v>0.49618320610687</v>
      </c>
      <c r="AP388" s="34">
        <f>IF(E388=1,Orders!Y385,"")</f>
        <v>0.27</v>
      </c>
      <c r="AQ388" s="33">
        <f>IF(Orders!X385,1,0)</f>
        <v>0</v>
      </c>
      <c r="AR388" s="34" t="str">
        <f>IF(AND(E388=1,L388=1),AJ388,"")</f>
        <v/>
      </c>
      <c r="AS388" s="34">
        <f>IF(AND(E388=1,L388=0),AJ388,"")</f>
        <v>0.6</v>
      </c>
      <c r="AT388" s="34" t="str">
        <f>IF(AND(E388=1,L388=1),AI388,"")</f>
        <v/>
      </c>
      <c r="AU388" s="34">
        <f>IF(AND(E388=1,L388=0),AI388,"")</f>
        <v>6</v>
      </c>
      <c r="AV388" s="34" t="str">
        <f>IF(AND(E388=1,L388=1),AG388,"")</f>
        <v/>
      </c>
      <c r="AW388" s="34">
        <f>IF(AND(E388=1,L388=0),AG388,"")</f>
        <v>11.3</v>
      </c>
      <c r="AX388" s="34" t="str">
        <f>IF(AND(E388=1,L388=1),AH388,"")</f>
        <v/>
      </c>
      <c r="AY388" s="34">
        <f>IF(AND(E388=1,L388=0),AH388,"")</f>
        <v>13.1</v>
      </c>
      <c r="AZ388" s="34">
        <f>IF(G388=1,F388,"")</f>
        <v>1.8</v>
      </c>
      <c r="BA388" s="34" t="str">
        <f>IF(AND(G388=1,L388=1),F388,"")</f>
        <v/>
      </c>
      <c r="BB388" s="34">
        <f>IF(AND(G388=1,L388=0),F388,"")</f>
        <v>1.8</v>
      </c>
      <c r="BC388" s="33">
        <f>IF(E388=1,IF(Orders!R385&gt;3,1,0),"")</f>
        <v>0</v>
      </c>
      <c r="BD388" s="33">
        <f>IF(E388=1,IF(Orders!R385&gt;7,1,0),"")</f>
        <v>0</v>
      </c>
      <c r="BE388" s="32" t="str">
        <f>IF(E388=1,IF(Orders!L385&lt;=1.5,"Up to 1.5 km",IF(Orders!L385&lt;=3,"1.5–3 km","Over 3 km")),"")</f>
        <v>1.5–3 km</v>
      </c>
      <c r="BF388" s="33">
        <f>IF(E388=1,IF(ABS((Orders!G385-Orders!F385)*1440-Orders!R385)&lt;0.06,1,0),"")</f>
        <v>1</v>
      </c>
      <c r="BG388" s="33">
        <f>IF(ABS((Orders!F385-Orders!E385)*1440-Orders!P385)&lt;0.06,1,0)</f>
        <v>1</v>
      </c>
      <c r="BH388" s="33">
        <f>IF(E388=1,IF(IF(Orders!S385,1,0)=1-G388,1,0),"")</f>
        <v>1</v>
      </c>
      <c r="BI388" s="32" t="str">
        <f>INDEX(Stores!$B$2:$B$21,MATCH(B388,Stores!$A$2:$A$21,0))</f>
        <v>Delhi</v>
      </c>
    </row>
    <row r="389">
      <c r="A389" s="32" t="str">
        <f>Orders!A386</f>
        <v>O00385</v>
      </c>
      <c r="B389" s="32" t="str">
        <f>Orders!C386</f>
        <v>S017</v>
      </c>
      <c r="C389" s="32" t="str">
        <f>Orders!B386</f>
        <v>C0157</v>
      </c>
      <c r="D389" s="32" t="str">
        <f>Orders!H386</f>
        <v>Delivered</v>
      </c>
      <c r="E389" s="33">
        <f>IF(Orders!H386="Delivered",1,0)</f>
        <v>1</v>
      </c>
      <c r="F389" s="34">
        <f>IF(E389=1,Orders!R386,"")</f>
        <v>-1</v>
      </c>
      <c r="G389" s="33">
        <f>IF(E389=1,IF(Orders!R386&gt;0,1,0),"")</f>
        <v>0</v>
      </c>
      <c r="H389" s="33">
        <f>IF(E389=1,IF(Orders!R386&gt;5,1,0),"")</f>
        <v>0</v>
      </c>
      <c r="I389" s="32" t="str">
        <f>IF(E389=1,"",IF(OR(Orders!T386="Rider unavailable",Orders!T386="Item unavailable"),"Company-caused","Unresolved"))</f>
        <v/>
      </c>
      <c r="J389" s="33">
        <f>IF(OR(E389=1,I389="Company-caused"),1,0)</f>
        <v>1</v>
      </c>
      <c r="K389" s="32" t="str">
        <f>IF(E389=0,IF(I389="Company-caused",IF(Orders!T386="Rider unavailable","C1 Rider unavailable","C2 Item unavailable"),"Outside root: unresolved"),IF(G389=0,"A On time",IF(H389=1,IF(L389=1,"B2a Severe, peak","B2b Severe, off-peak"),IF(L389=1,"B1a Slight, peak","B1b Slight, off-peak"))))</f>
        <v>A On time</v>
      </c>
      <c r="L389" s="33">
        <f>IF(AND(Orders!U386&gt;=19,Orders!U386&lt;22),1,0)</f>
        <v>1</v>
      </c>
      <c r="M389" s="33">
        <f>IF(L389=IF(Orders!V386,1,0),1,0)</f>
        <v>1</v>
      </c>
      <c r="N389" s="32" t="str">
        <f>IF(Orders!W386="","None",Orders!W386)</f>
        <v>None</v>
      </c>
      <c r="O389" s="35">
        <f>INT(Orders!E386)</f>
        <v>46274.0</v>
      </c>
      <c r="P389" s="33">
        <f>Orders!U386</f>
        <v>21</v>
      </c>
      <c r="Q389" s="33">
        <f>COUNTIFS(Demand!$A$2:$A$4481,B389,Demand!$B$2:$B$4481,O389,Demand!$C$2:$C$4481,P389)</f>
        <v>1</v>
      </c>
      <c r="R389" s="33">
        <f>IF(Q389=1,SUMIFS(Demand!$E$2:$E$4481,Demand!$A$2:$A$4481,B389,Demand!$B$2:$B$4481,O389,Demand!$C$2:$C$4481,P389),"")</f>
        <v>66</v>
      </c>
      <c r="S389" s="33">
        <f>INDEX(Stores!$G$2:$G$21,MATCH(B389,Stores!$A$2:$A$21,0))</f>
        <v>36</v>
      </c>
      <c r="T389" s="34">
        <f>IF(R389="","",R389/S389)</f>
        <v>1.83333333333333</v>
      </c>
      <c r="U389" s="34">
        <f>IF(E389=1,T389,"")</f>
        <v>1.83333333333333</v>
      </c>
      <c r="V389" s="34" t="str">
        <f>IF(AND(E389=1,L389=0),T389,"")</f>
        <v/>
      </c>
      <c r="W389" s="33">
        <f>IF(U389="","",IF(U389&lt;=Breakdowns!$C$5,1,IF(U389&lt;=Breakdowns!$C$6,2,IF(U389&lt;=Breakdowns!$C$7,3,4))))</f>
        <v>4</v>
      </c>
      <c r="X389" s="33" t="str">
        <f>IF(V389="","",IF(V389&lt;=Breakdowns!$D$5,1,IF(V389&lt;=Breakdowns!$D$6,2,IF(V389&lt;=Breakdowns!$D$7,3,4))))</f>
        <v/>
      </c>
      <c r="Y389" s="34">
        <f>INDEX(Stores!$F$2:$F$21,MATCH(B389,Stores!$A$2:$A$21,0))</f>
        <v>2.16</v>
      </c>
      <c r="Z389" s="33">
        <f>IF(Y389&gt;Store_Summary!$M$2,1,0)</f>
        <v>0</v>
      </c>
      <c r="AA389" s="33">
        <f>INDEX(Stores!$C$2:$C$21,MATCH(B389,Stores!$A$2:$A$21,0))</f>
        <v>47</v>
      </c>
      <c r="AB389" s="33">
        <f>IF(AA389&lt;180,1,0)</f>
        <v>1</v>
      </c>
      <c r="AC389" s="32" t="str">
        <f>IF(Orders!D386="","",INDEX(Riders!$C$2:$C$81,MATCH(Orders!D386,Riders!$A$2:$A$81,0)))</f>
        <v>EV scooter</v>
      </c>
      <c r="AD389" s="33">
        <f>IF(Orders!D386="","",INDEX(Riders!$D$2:$D$81,MATCH(Orders!D386,Riders!$A$2:$A$81,0)))</f>
        <v>2</v>
      </c>
      <c r="AE389" s="33">
        <f>IF(Orders!D386="","",IF(INDEX(Riders!$B$2:$B$81,MATCH(Orders!D386,Riders!$A$2:$A$81,0))=B389,1,0))</f>
        <v>0</v>
      </c>
      <c r="AF389" s="34">
        <f>IF(E389=1,Orders!L386,"")</f>
        <v>0.53</v>
      </c>
      <c r="AG389" s="34">
        <f>IF(E389=1,Orders!P386,"")</f>
        <v>9.8</v>
      </c>
      <c r="AH389" s="34">
        <f>IF(E389=1,Orders!Q386,"")</f>
        <v>8.8</v>
      </c>
      <c r="AI389" s="34">
        <f>IF(E389=1,Orders!M386,"")</f>
        <v>1.8</v>
      </c>
      <c r="AJ389" s="34">
        <f>IF(E389=1,Orders!N386,"")</f>
        <v>4.9</v>
      </c>
      <c r="AK389" s="34">
        <f>IF(E389=1,Orders!O386,"")</f>
        <v>2.1</v>
      </c>
      <c r="AL389" s="33">
        <f>IF(E389=1,IF(ROUND(ABS(AI389+AJ389+AK389-AH389),6)&lt;=0.1,1,0),"")</f>
        <v>1</v>
      </c>
      <c r="AM389" s="36">
        <f>IF(E389=1,AI389/AH389,"")</f>
        <v>0.204545454545455</v>
      </c>
      <c r="AN389" s="36">
        <f>IF(E389=1,AJ389/AH389,"")</f>
        <v>0.556818181818182</v>
      </c>
      <c r="AO389" s="36">
        <f>IF(E389=1,AK389/AH389,"")</f>
        <v>0.238636363636364</v>
      </c>
      <c r="AP389" s="34">
        <f>IF(E389=1,Orders!Y386,"")</f>
        <v>0.52</v>
      </c>
      <c r="AQ389" s="33">
        <f>IF(Orders!X386,1,0)</f>
        <v>0</v>
      </c>
      <c r="AR389" s="34">
        <f>IF(AND(E389=1,L389=1),AJ389,"")</f>
        <v>4.9</v>
      </c>
      <c r="AS389" s="34" t="str">
        <f>IF(AND(E389=1,L389=0),AJ389,"")</f>
        <v/>
      </c>
      <c r="AT389" s="34">
        <f>IF(AND(E389=1,L389=1),AI389,"")</f>
        <v>1.8</v>
      </c>
      <c r="AU389" s="34" t="str">
        <f>IF(AND(E389=1,L389=0),AI389,"")</f>
        <v/>
      </c>
      <c r="AV389" s="34">
        <f>IF(AND(E389=1,L389=1),AG389,"")</f>
        <v>9.8</v>
      </c>
      <c r="AW389" s="34" t="str">
        <f>IF(AND(E389=1,L389=0),AG389,"")</f>
        <v/>
      </c>
      <c r="AX389" s="34">
        <f>IF(AND(E389=1,L389=1),AH389,"")</f>
        <v>8.8</v>
      </c>
      <c r="AY389" s="34" t="str">
        <f>IF(AND(E389=1,L389=0),AH389,"")</f>
        <v/>
      </c>
      <c r="AZ389" s="34" t="str">
        <f>IF(G389=1,F389,"")</f>
        <v/>
      </c>
      <c r="BA389" s="34" t="str">
        <f>IF(AND(G389=1,L389=1),F389,"")</f>
        <v/>
      </c>
      <c r="BB389" s="34" t="str">
        <f>IF(AND(G389=1,L389=0),F389,"")</f>
        <v/>
      </c>
      <c r="BC389" s="33">
        <f>IF(E389=1,IF(Orders!R386&gt;3,1,0),"")</f>
        <v>0</v>
      </c>
      <c r="BD389" s="33">
        <f>IF(E389=1,IF(Orders!R386&gt;7,1,0),"")</f>
        <v>0</v>
      </c>
      <c r="BE389" s="32" t="str">
        <f>IF(E389=1,IF(Orders!L386&lt;=1.5,"Up to 1.5 km",IF(Orders!L386&lt;=3,"1.5–3 km","Over 3 km")),"")</f>
        <v>Up to 1.5 km</v>
      </c>
      <c r="BF389" s="33">
        <f>IF(E389=1,IF(ABS((Orders!G386-Orders!F386)*1440-Orders!R386)&lt;0.06,1,0),"")</f>
        <v>1</v>
      </c>
      <c r="BG389" s="33">
        <f>IF(ABS((Orders!F386-Orders!E386)*1440-Orders!P386)&lt;0.06,1,0)</f>
        <v>1</v>
      </c>
      <c r="BH389" s="33">
        <f>IF(E389=1,IF(IF(Orders!S386,1,0)=1-G389,1,0),"")</f>
        <v>1</v>
      </c>
      <c r="BI389" s="32" t="str">
        <f>INDEX(Stores!$B$2:$B$21,MATCH(B389,Stores!$A$2:$A$21,0))</f>
        <v>Hyderabad</v>
      </c>
    </row>
    <row r="390">
      <c r="A390" s="32" t="str">
        <f>Orders!A387</f>
        <v>O00386</v>
      </c>
      <c r="B390" s="32" t="str">
        <f>Orders!C387</f>
        <v>S015</v>
      </c>
      <c r="C390" s="32" t="str">
        <f>Orders!B387</f>
        <v>C0245</v>
      </c>
      <c r="D390" s="32" t="str">
        <f>Orders!H387</f>
        <v>Delivered</v>
      </c>
      <c r="E390" s="33">
        <f>IF(Orders!H387="Delivered",1,0)</f>
        <v>1</v>
      </c>
      <c r="F390" s="34">
        <f>IF(E390=1,Orders!R387,"")</f>
        <v>11</v>
      </c>
      <c r="G390" s="33">
        <f>IF(E390=1,IF(Orders!R387&gt;0,1,0),"")</f>
        <v>1</v>
      </c>
      <c r="H390" s="33">
        <f>IF(E390=1,IF(Orders!R387&gt;5,1,0),"")</f>
        <v>1</v>
      </c>
      <c r="I390" s="32" t="str">
        <f>IF(E390=1,"",IF(OR(Orders!T387="Rider unavailable",Orders!T387="Item unavailable"),"Company-caused","Unresolved"))</f>
        <v/>
      </c>
      <c r="J390" s="33">
        <f>IF(OR(E390=1,I390="Company-caused"),1,0)</f>
        <v>1</v>
      </c>
      <c r="K390" s="32" t="str">
        <f>IF(E390=0,IF(I390="Company-caused",IF(Orders!T387="Rider unavailable","C1 Rider unavailable","C2 Item unavailable"),"Outside root: unresolved"),IF(G390=0,"A On time",IF(H390=1,IF(L390=1,"B2a Severe, peak","B2b Severe, off-peak"),IF(L390=1,"B1a Slight, peak","B1b Slight, off-peak"))))</f>
        <v>B2b Severe, off-peak</v>
      </c>
      <c r="L390" s="33">
        <f>IF(AND(Orders!U387&gt;=19,Orders!U387&lt;22),1,0)</f>
        <v>0</v>
      </c>
      <c r="M390" s="33">
        <f>IF(L390=IF(Orders!V387,1,0),1,0)</f>
        <v>1</v>
      </c>
      <c r="N390" s="32" t="str">
        <f>IF(Orders!W387="","None",Orders!W387)</f>
        <v>Light</v>
      </c>
      <c r="O390" s="35">
        <f>INT(Orders!E387)</f>
        <v>46267.0</v>
      </c>
      <c r="P390" s="33">
        <f>Orders!U387</f>
        <v>23</v>
      </c>
      <c r="Q390" s="33">
        <f>COUNTIFS(Demand!$A$2:$A$4481,B390,Demand!$B$2:$B$4481,O390,Demand!$C$2:$C$4481,P390)</f>
        <v>1</v>
      </c>
      <c r="R390" s="33">
        <f>IF(Q390=1,SUMIFS(Demand!$E$2:$E$4481,Demand!$A$2:$A$4481,B390,Demand!$B$2:$B$4481,O390,Demand!$C$2:$C$4481,P390),"")</f>
        <v>24</v>
      </c>
      <c r="S390" s="33">
        <f>INDEX(Stores!$G$2:$G$21,MATCH(B390,Stores!$A$2:$A$21,0))</f>
        <v>23</v>
      </c>
      <c r="T390" s="34">
        <f>IF(R390="","",R390/S390)</f>
        <v>1.04347826086957</v>
      </c>
      <c r="U390" s="34">
        <f>IF(E390=1,T390,"")</f>
        <v>1.04347826086957</v>
      </c>
      <c r="V390" s="34">
        <f>IF(AND(E390=1,L390=0),T390,"")</f>
        <v>1.04347826086957</v>
      </c>
      <c r="W390" s="33">
        <f>IF(U390="","",IF(U390&lt;=Breakdowns!$C$5,1,IF(U390&lt;=Breakdowns!$C$6,2,IF(U390&lt;=Breakdowns!$C$7,3,4))))</f>
        <v>3</v>
      </c>
      <c r="X390" s="33">
        <f>IF(V390="","",IF(V390&lt;=Breakdowns!$D$5,1,IF(V390&lt;=Breakdowns!$D$6,2,IF(V390&lt;=Breakdowns!$D$7,3,4))))</f>
        <v>3</v>
      </c>
      <c r="Y390" s="34">
        <f>INDEX(Stores!$F$2:$F$21,MATCH(B390,Stores!$A$2:$A$21,0))</f>
        <v>4.66</v>
      </c>
      <c r="Z390" s="33">
        <f>IF(Y390&gt;Store_Summary!$M$2,1,0)</f>
        <v>0</v>
      </c>
      <c r="AA390" s="33">
        <f>INDEX(Stores!$C$2:$C$21,MATCH(B390,Stores!$A$2:$A$21,0))</f>
        <v>204</v>
      </c>
      <c r="AB390" s="33">
        <f>IF(AA390&lt;180,1,0)</f>
        <v>0</v>
      </c>
      <c r="AC390" s="32" t="str">
        <f>IF(Orders!D387="","",INDEX(Riders!$C$2:$C$81,MATCH(Orders!D387,Riders!$A$2:$A$81,0)))</f>
        <v>Petrol scooter</v>
      </c>
      <c r="AD390" s="33">
        <f>IF(Orders!D387="","",INDEX(Riders!$D$2:$D$81,MATCH(Orders!D387,Riders!$A$2:$A$81,0)))</f>
        <v>20</v>
      </c>
      <c r="AE390" s="33">
        <f>IF(Orders!D387="","",IF(INDEX(Riders!$B$2:$B$81,MATCH(Orders!D387,Riders!$A$2:$A$81,0))=B390,1,0))</f>
        <v>0</v>
      </c>
      <c r="AF390" s="34">
        <f>IF(E390=1,Orders!L387,"")</f>
        <v>3.93</v>
      </c>
      <c r="AG390" s="34">
        <f>IF(E390=1,Orders!P387,"")</f>
        <v>9.5</v>
      </c>
      <c r="AH390" s="34">
        <f>IF(E390=1,Orders!Q387,"")</f>
        <v>20.5</v>
      </c>
      <c r="AI390" s="34">
        <f>IF(E390=1,Orders!M387,"")</f>
        <v>4.3</v>
      </c>
      <c r="AJ390" s="34">
        <f>IF(E390=1,Orders!N387,"")</f>
        <v>5.7</v>
      </c>
      <c r="AK390" s="34">
        <f>IF(E390=1,Orders!O387,"")</f>
        <v>10.6</v>
      </c>
      <c r="AL390" s="33">
        <f>IF(E390=1,IF(ROUND(ABS(AI390+AJ390+AK390-AH390),6)&lt;=0.1,1,0),"")</f>
        <v>1</v>
      </c>
      <c r="AM390" s="36">
        <f>IF(E390=1,AI390/AH390,"")</f>
        <v>0.209756097560976</v>
      </c>
      <c r="AN390" s="36">
        <f>IF(E390=1,AJ390/AH390,"")</f>
        <v>0.278048780487805</v>
      </c>
      <c r="AO390" s="36">
        <f>IF(E390=1,AK390/AH390,"")</f>
        <v>0.517073170731707</v>
      </c>
      <c r="AP390" s="34">
        <f>IF(E390=1,Orders!Y387,"")</f>
        <v>0.35</v>
      </c>
      <c r="AQ390" s="33">
        <f>IF(Orders!X387,1,0)</f>
        <v>0</v>
      </c>
      <c r="AR390" s="34" t="str">
        <f>IF(AND(E390=1,L390=1),AJ390,"")</f>
        <v/>
      </c>
      <c r="AS390" s="34">
        <f>IF(AND(E390=1,L390=0),AJ390,"")</f>
        <v>5.7</v>
      </c>
      <c r="AT390" s="34" t="str">
        <f>IF(AND(E390=1,L390=1),AI390,"")</f>
        <v/>
      </c>
      <c r="AU390" s="34">
        <f>IF(AND(E390=1,L390=0),AI390,"")</f>
        <v>4.3</v>
      </c>
      <c r="AV390" s="34" t="str">
        <f>IF(AND(E390=1,L390=1),AG390,"")</f>
        <v/>
      </c>
      <c r="AW390" s="34">
        <f>IF(AND(E390=1,L390=0),AG390,"")</f>
        <v>9.5</v>
      </c>
      <c r="AX390" s="34" t="str">
        <f>IF(AND(E390=1,L390=1),AH390,"")</f>
        <v/>
      </c>
      <c r="AY390" s="34">
        <f>IF(AND(E390=1,L390=0),AH390,"")</f>
        <v>20.5</v>
      </c>
      <c r="AZ390" s="34">
        <f>IF(G390=1,F390,"")</f>
        <v>11</v>
      </c>
      <c r="BA390" s="34" t="str">
        <f>IF(AND(G390=1,L390=1),F390,"")</f>
        <v/>
      </c>
      <c r="BB390" s="34">
        <f>IF(AND(G390=1,L390=0),F390,"")</f>
        <v>11</v>
      </c>
      <c r="BC390" s="33">
        <f>IF(E390=1,IF(Orders!R387&gt;3,1,0),"")</f>
        <v>1</v>
      </c>
      <c r="BD390" s="33">
        <f>IF(E390=1,IF(Orders!R387&gt;7,1,0),"")</f>
        <v>1</v>
      </c>
      <c r="BE390" s="32" t="str">
        <f>IF(E390=1,IF(Orders!L387&lt;=1.5,"Up to 1.5 km",IF(Orders!L387&lt;=3,"1.5–3 km","Over 3 km")),"")</f>
        <v>Over 3 km</v>
      </c>
      <c r="BF390" s="33">
        <f>IF(E390=1,IF(ABS((Orders!G387-Orders!F387)*1440-Orders!R387)&lt;0.06,1,0),"")</f>
        <v>1</v>
      </c>
      <c r="BG390" s="33">
        <f>IF(ABS((Orders!F387-Orders!E387)*1440-Orders!P387)&lt;0.06,1,0)</f>
        <v>1</v>
      </c>
      <c r="BH390" s="33">
        <f>IF(E390=1,IF(IF(Orders!S387,1,0)=1-G390,1,0),"")</f>
        <v>1</v>
      </c>
      <c r="BI390" s="32" t="str">
        <f>INDEX(Stores!$B$2:$B$21,MATCH(B390,Stores!$A$2:$A$21,0))</f>
        <v>Delhi</v>
      </c>
    </row>
    <row r="391">
      <c r="A391" s="32" t="str">
        <f>Orders!A388</f>
        <v>O00387</v>
      </c>
      <c r="B391" s="32" t="str">
        <f>Orders!C388</f>
        <v>S019</v>
      </c>
      <c r="C391" s="32" t="str">
        <f>Orders!B388</f>
        <v>C0207</v>
      </c>
      <c r="D391" s="32" t="str">
        <f>Orders!H388</f>
        <v>Delivered</v>
      </c>
      <c r="E391" s="33">
        <f>IF(Orders!H388="Delivered",1,0)</f>
        <v>1</v>
      </c>
      <c r="F391" s="34">
        <f>IF(E391=1,Orders!R388,"")</f>
        <v>0.4</v>
      </c>
      <c r="G391" s="33">
        <f>IF(E391=1,IF(Orders!R388&gt;0,1,0),"")</f>
        <v>1</v>
      </c>
      <c r="H391" s="33">
        <f>IF(E391=1,IF(Orders!R388&gt;5,1,0),"")</f>
        <v>0</v>
      </c>
      <c r="I391" s="32" t="str">
        <f>IF(E391=1,"",IF(OR(Orders!T388="Rider unavailable",Orders!T388="Item unavailable"),"Company-caused","Unresolved"))</f>
        <v/>
      </c>
      <c r="J391" s="33">
        <f>IF(OR(E391=1,I391="Company-caused"),1,0)</f>
        <v>1</v>
      </c>
      <c r="K391" s="32" t="str">
        <f>IF(E391=0,IF(I391="Company-caused",IF(Orders!T388="Rider unavailable","C1 Rider unavailable","C2 Item unavailable"),"Outside root: unresolved"),IF(G391=0,"A On time",IF(H391=1,IF(L391=1,"B2a Severe, peak","B2b Severe, off-peak"),IF(L391=1,"B1a Slight, peak","B1b Slight, off-peak"))))</f>
        <v>B1b Slight, off-peak</v>
      </c>
      <c r="L391" s="33">
        <f>IF(AND(Orders!U388&gt;=19,Orders!U388&lt;22),1,0)</f>
        <v>0</v>
      </c>
      <c r="M391" s="33">
        <f>IF(L391=IF(Orders!V388,1,0),1,0)</f>
        <v>1</v>
      </c>
      <c r="N391" s="32" t="str">
        <f>IF(Orders!W388="","None",Orders!W388)</f>
        <v>None</v>
      </c>
      <c r="O391" s="35">
        <f>INT(Orders!E388)</f>
        <v>46270.0</v>
      </c>
      <c r="P391" s="33">
        <f>Orders!U388</f>
        <v>14</v>
      </c>
      <c r="Q391" s="33">
        <f>COUNTIFS(Demand!$A$2:$A$4481,B391,Demand!$B$2:$B$4481,O391,Demand!$C$2:$C$4481,P391)</f>
        <v>1</v>
      </c>
      <c r="R391" s="33">
        <f>IF(Q391=1,SUMIFS(Demand!$E$2:$E$4481,Demand!$A$2:$A$4481,B391,Demand!$B$2:$B$4481,O391,Demand!$C$2:$C$4481,P391),"")</f>
        <v>12</v>
      </c>
      <c r="S391" s="33">
        <f>INDEX(Stores!$G$2:$G$21,MATCH(B391,Stores!$A$2:$A$21,0))</f>
        <v>22</v>
      </c>
      <c r="T391" s="34">
        <f>IF(R391="","",R391/S391)</f>
        <v>0.545454545454545</v>
      </c>
      <c r="U391" s="34">
        <f>IF(E391=1,T391,"")</f>
        <v>0.545454545454545</v>
      </c>
      <c r="V391" s="34">
        <f>IF(AND(E391=1,L391=0),T391,"")</f>
        <v>0.545454545454545</v>
      </c>
      <c r="W391" s="33">
        <f>IF(U391="","",IF(U391&lt;=Breakdowns!$C$5,1,IF(U391&lt;=Breakdowns!$C$6,2,IF(U391&lt;=Breakdowns!$C$7,3,4))))</f>
        <v>1</v>
      </c>
      <c r="X391" s="33">
        <f>IF(V391="","",IF(V391&lt;=Breakdowns!$D$5,1,IF(V391&lt;=Breakdowns!$D$6,2,IF(V391&lt;=Breakdowns!$D$7,3,4))))</f>
        <v>1</v>
      </c>
      <c r="Y391" s="34">
        <f>INDEX(Stores!$F$2:$F$21,MATCH(B391,Stores!$A$2:$A$21,0))</f>
        <v>4.99</v>
      </c>
      <c r="Z391" s="33">
        <f>IF(Y391&gt;Store_Summary!$M$2,1,0)</f>
        <v>1</v>
      </c>
      <c r="AA391" s="33">
        <f>INDEX(Stores!$C$2:$C$21,MATCH(B391,Stores!$A$2:$A$21,0))</f>
        <v>851</v>
      </c>
      <c r="AB391" s="33">
        <f>IF(AA391&lt;180,1,0)</f>
        <v>0</v>
      </c>
      <c r="AC391" s="32" t="str">
        <f>IF(Orders!D388="","",INDEX(Riders!$C$2:$C$81,MATCH(Orders!D388,Riders!$A$2:$A$81,0)))</f>
        <v>EV scooter</v>
      </c>
      <c r="AD391" s="33">
        <f>IF(Orders!D388="","",INDEX(Riders!$D$2:$D$81,MATCH(Orders!D388,Riders!$A$2:$A$81,0)))</f>
        <v>2</v>
      </c>
      <c r="AE391" s="33">
        <f>IF(Orders!D388="","",IF(INDEX(Riders!$B$2:$B$81,MATCH(Orders!D388,Riders!$A$2:$A$81,0))=B391,1,0))</f>
        <v>0</v>
      </c>
      <c r="AF391" s="34">
        <f>IF(E391=1,Orders!L388,"")</f>
        <v>0.5</v>
      </c>
      <c r="AG391" s="34">
        <f>IF(E391=1,Orders!P388,"")</f>
        <v>10.4</v>
      </c>
      <c r="AH391" s="34">
        <f>IF(E391=1,Orders!Q388,"")</f>
        <v>10.8</v>
      </c>
      <c r="AI391" s="34">
        <f>IF(E391=1,Orders!M388,"")</f>
        <v>4.4</v>
      </c>
      <c r="AJ391" s="34">
        <f>IF(E391=1,Orders!N388,"")</f>
        <v>4.2</v>
      </c>
      <c r="AK391" s="34">
        <f>IF(E391=1,Orders!O388,"")</f>
        <v>2.2</v>
      </c>
      <c r="AL391" s="33">
        <f>IF(E391=1,IF(ROUND(ABS(AI391+AJ391+AK391-AH391),6)&lt;=0.1,1,0),"")</f>
        <v>1</v>
      </c>
      <c r="AM391" s="36">
        <f>IF(E391=1,AI391/AH391,"")</f>
        <v>0.407407407407407</v>
      </c>
      <c r="AN391" s="36">
        <f>IF(E391=1,AJ391/AH391,"")</f>
        <v>0.388888888888889</v>
      </c>
      <c r="AO391" s="36">
        <f>IF(E391=1,AK391/AH391,"")</f>
        <v>0.203703703703704</v>
      </c>
      <c r="AP391" s="34">
        <f>IF(E391=1,Orders!Y388,"")</f>
        <v>0.33</v>
      </c>
      <c r="AQ391" s="33">
        <f>IF(Orders!X388,1,0)</f>
        <v>0</v>
      </c>
      <c r="AR391" s="34" t="str">
        <f>IF(AND(E391=1,L391=1),AJ391,"")</f>
        <v/>
      </c>
      <c r="AS391" s="34">
        <f>IF(AND(E391=1,L391=0),AJ391,"")</f>
        <v>4.2</v>
      </c>
      <c r="AT391" s="34" t="str">
        <f>IF(AND(E391=1,L391=1),AI391,"")</f>
        <v/>
      </c>
      <c r="AU391" s="34">
        <f>IF(AND(E391=1,L391=0),AI391,"")</f>
        <v>4.4</v>
      </c>
      <c r="AV391" s="34" t="str">
        <f>IF(AND(E391=1,L391=1),AG391,"")</f>
        <v/>
      </c>
      <c r="AW391" s="34">
        <f>IF(AND(E391=1,L391=0),AG391,"")</f>
        <v>10.4</v>
      </c>
      <c r="AX391" s="34" t="str">
        <f>IF(AND(E391=1,L391=1),AH391,"")</f>
        <v/>
      </c>
      <c r="AY391" s="34">
        <f>IF(AND(E391=1,L391=0),AH391,"")</f>
        <v>10.8</v>
      </c>
      <c r="AZ391" s="34">
        <f>IF(G391=1,F391,"")</f>
        <v>0.4</v>
      </c>
      <c r="BA391" s="34" t="str">
        <f>IF(AND(G391=1,L391=1),F391,"")</f>
        <v/>
      </c>
      <c r="BB391" s="34">
        <f>IF(AND(G391=1,L391=0),F391,"")</f>
        <v>0.4</v>
      </c>
      <c r="BC391" s="33">
        <f>IF(E391=1,IF(Orders!R388&gt;3,1,0),"")</f>
        <v>0</v>
      </c>
      <c r="BD391" s="33">
        <f>IF(E391=1,IF(Orders!R388&gt;7,1,0),"")</f>
        <v>0</v>
      </c>
      <c r="BE391" s="32" t="str">
        <f>IF(E391=1,IF(Orders!L388&lt;=1.5,"Up to 1.5 km",IF(Orders!L388&lt;=3,"1.5–3 km","Over 3 km")),"")</f>
        <v>Up to 1.5 km</v>
      </c>
      <c r="BF391" s="33">
        <f>IF(E391=1,IF(ABS((Orders!G388-Orders!F388)*1440-Orders!R388)&lt;0.06,1,0),"")</f>
        <v>1</v>
      </c>
      <c r="BG391" s="33">
        <f>IF(ABS((Orders!F388-Orders!E388)*1440-Orders!P388)&lt;0.06,1,0)</f>
        <v>1</v>
      </c>
      <c r="BH391" s="33">
        <f>IF(E391=1,IF(IF(Orders!S388,1,0)=1-G391,1,0),"")</f>
        <v>1</v>
      </c>
      <c r="BI391" s="32" t="str">
        <f>INDEX(Stores!$B$2:$B$21,MATCH(B391,Stores!$A$2:$A$21,0))</f>
        <v>Pune</v>
      </c>
    </row>
    <row r="392">
      <c r="A392" s="32" t="str">
        <f>Orders!A389</f>
        <v>O00388</v>
      </c>
      <c r="B392" s="32" t="str">
        <f>Orders!C389</f>
        <v>S011</v>
      </c>
      <c r="C392" s="32" t="str">
        <f>Orders!B389</f>
        <v>C0236</v>
      </c>
      <c r="D392" s="32" t="str">
        <f>Orders!H389</f>
        <v>Delivered</v>
      </c>
      <c r="E392" s="33">
        <f>IF(Orders!H389="Delivered",1,0)</f>
        <v>1</v>
      </c>
      <c r="F392" s="34">
        <f>IF(E392=1,Orders!R389,"")</f>
        <v>7.5</v>
      </c>
      <c r="G392" s="33">
        <f>IF(E392=1,IF(Orders!R389&gt;0,1,0),"")</f>
        <v>1</v>
      </c>
      <c r="H392" s="33">
        <f>IF(E392=1,IF(Orders!R389&gt;5,1,0),"")</f>
        <v>1</v>
      </c>
      <c r="I392" s="32" t="str">
        <f>IF(E392=1,"",IF(OR(Orders!T389="Rider unavailable",Orders!T389="Item unavailable"),"Company-caused","Unresolved"))</f>
        <v/>
      </c>
      <c r="J392" s="33">
        <f>IF(OR(E392=1,I392="Company-caused"),1,0)</f>
        <v>1</v>
      </c>
      <c r="K392" s="32" t="str">
        <f>IF(E392=0,IF(I392="Company-caused",IF(Orders!T389="Rider unavailable","C1 Rider unavailable","C2 Item unavailable"),"Outside root: unresolved"),IF(G392=0,"A On time",IF(H392=1,IF(L392=1,"B2a Severe, peak","B2b Severe, off-peak"),IF(L392=1,"B1a Slight, peak","B1b Slight, off-peak"))))</f>
        <v>B2b Severe, off-peak</v>
      </c>
      <c r="L392" s="33">
        <f>IF(AND(Orders!U389&gt;=19,Orders!U389&lt;22),1,0)</f>
        <v>0</v>
      </c>
      <c r="M392" s="33">
        <f>IF(L392=IF(Orders!V389,1,0),1,0)</f>
        <v>1</v>
      </c>
      <c r="N392" s="32" t="str">
        <f>IF(Orders!W389="","None",Orders!W389)</f>
        <v>Light</v>
      </c>
      <c r="O392" s="35">
        <f>INT(Orders!E389)</f>
        <v>46277.0</v>
      </c>
      <c r="P392" s="33">
        <f>Orders!U389</f>
        <v>17</v>
      </c>
      <c r="Q392" s="33">
        <f>COUNTIFS(Demand!$A$2:$A$4481,B392,Demand!$B$2:$B$4481,O392,Demand!$C$2:$C$4481,P392)</f>
        <v>1</v>
      </c>
      <c r="R392" s="33">
        <f>IF(Q392=1,SUMIFS(Demand!$E$2:$E$4481,Demand!$A$2:$A$4481,B392,Demand!$B$2:$B$4481,O392,Demand!$C$2:$C$4481,P392),"")</f>
        <v>29</v>
      </c>
      <c r="S392" s="33">
        <f>INDEX(Stores!$G$2:$G$21,MATCH(B392,Stores!$A$2:$A$21,0))</f>
        <v>31</v>
      </c>
      <c r="T392" s="34">
        <f>IF(R392="","",R392/S392)</f>
        <v>0.935483870967742</v>
      </c>
      <c r="U392" s="34">
        <f>IF(E392=1,T392,"")</f>
        <v>0.935483870967742</v>
      </c>
      <c r="V392" s="34">
        <f>IF(AND(E392=1,L392=0),T392,"")</f>
        <v>0.935483870967742</v>
      </c>
      <c r="W392" s="33">
        <f>IF(U392="","",IF(U392&lt;=Breakdowns!$C$5,1,IF(U392&lt;=Breakdowns!$C$6,2,IF(U392&lt;=Breakdowns!$C$7,3,4))))</f>
        <v>2</v>
      </c>
      <c r="X392" s="33">
        <f>IF(V392="","",IF(V392&lt;=Breakdowns!$D$5,1,IF(V392&lt;=Breakdowns!$D$6,2,IF(V392&lt;=Breakdowns!$D$7,3,4))))</f>
        <v>3</v>
      </c>
      <c r="Y392" s="34">
        <f>INDEX(Stores!$F$2:$F$21,MATCH(B392,Stores!$A$2:$A$21,0))</f>
        <v>5.67</v>
      </c>
      <c r="Z392" s="33">
        <f>IF(Y392&gt;Store_Summary!$M$2,1,0)</f>
        <v>1</v>
      </c>
      <c r="AA392" s="33">
        <f>INDEX(Stores!$C$2:$C$21,MATCH(B392,Stores!$A$2:$A$21,0))</f>
        <v>732</v>
      </c>
      <c r="AB392" s="33">
        <f>IF(AA392&lt;180,1,0)</f>
        <v>0</v>
      </c>
      <c r="AC392" s="32" t="str">
        <f>IF(Orders!D389="","",INDEX(Riders!$C$2:$C$81,MATCH(Orders!D389,Riders!$A$2:$A$81,0)))</f>
        <v>Bicycle</v>
      </c>
      <c r="AD392" s="33">
        <f>IF(Orders!D389="","",INDEX(Riders!$D$2:$D$81,MATCH(Orders!D389,Riders!$A$2:$A$81,0)))</f>
        <v>26</v>
      </c>
      <c r="AE392" s="33">
        <f>IF(Orders!D389="","",IF(INDEX(Riders!$B$2:$B$81,MATCH(Orders!D389,Riders!$A$2:$A$81,0))=B392,1,0))</f>
        <v>0</v>
      </c>
      <c r="AF392" s="34">
        <f>IF(E392=1,Orders!L389,"")</f>
        <v>0.5</v>
      </c>
      <c r="AG392" s="34">
        <f>IF(E392=1,Orders!P389,"")</f>
        <v>9.5</v>
      </c>
      <c r="AH392" s="34">
        <f>IF(E392=1,Orders!Q389,"")</f>
        <v>17</v>
      </c>
      <c r="AI392" s="34">
        <f>IF(E392=1,Orders!M389,"")</f>
        <v>8</v>
      </c>
      <c r="AJ392" s="34">
        <f>IF(E392=1,Orders!N389,"")</f>
        <v>5.3</v>
      </c>
      <c r="AK392" s="34">
        <f>IF(E392=1,Orders!O389,"")</f>
        <v>3.6</v>
      </c>
      <c r="AL392" s="33">
        <f>IF(E392=1,IF(ROUND(ABS(AI392+AJ392+AK392-AH392),6)&lt;=0.1,1,0),"")</f>
        <v>1</v>
      </c>
      <c r="AM392" s="36">
        <f>IF(E392=1,AI392/AH392,"")</f>
        <v>0.470588235294118</v>
      </c>
      <c r="AN392" s="36">
        <f>IF(E392=1,AJ392/AH392,"")</f>
        <v>0.311764705882353</v>
      </c>
      <c r="AO392" s="36">
        <f>IF(E392=1,AK392/AH392,"")</f>
        <v>0.211764705882353</v>
      </c>
      <c r="AP392" s="34">
        <f>IF(E392=1,Orders!Y389,"")</f>
        <v>0.57</v>
      </c>
      <c r="AQ392" s="33">
        <f>IF(Orders!X389,1,0)</f>
        <v>0</v>
      </c>
      <c r="AR392" s="34" t="str">
        <f>IF(AND(E392=1,L392=1),AJ392,"")</f>
        <v/>
      </c>
      <c r="AS392" s="34">
        <f>IF(AND(E392=1,L392=0),AJ392,"")</f>
        <v>5.3</v>
      </c>
      <c r="AT392" s="34" t="str">
        <f>IF(AND(E392=1,L392=1),AI392,"")</f>
        <v/>
      </c>
      <c r="AU392" s="34">
        <f>IF(AND(E392=1,L392=0),AI392,"")</f>
        <v>8</v>
      </c>
      <c r="AV392" s="34" t="str">
        <f>IF(AND(E392=1,L392=1),AG392,"")</f>
        <v/>
      </c>
      <c r="AW392" s="34">
        <f>IF(AND(E392=1,L392=0),AG392,"")</f>
        <v>9.5</v>
      </c>
      <c r="AX392" s="34" t="str">
        <f>IF(AND(E392=1,L392=1),AH392,"")</f>
        <v/>
      </c>
      <c r="AY392" s="34">
        <f>IF(AND(E392=1,L392=0),AH392,"")</f>
        <v>17</v>
      </c>
      <c r="AZ392" s="34">
        <f>IF(G392=1,F392,"")</f>
        <v>7.5</v>
      </c>
      <c r="BA392" s="34" t="str">
        <f>IF(AND(G392=1,L392=1),F392,"")</f>
        <v/>
      </c>
      <c r="BB392" s="34">
        <f>IF(AND(G392=1,L392=0),F392,"")</f>
        <v>7.5</v>
      </c>
      <c r="BC392" s="33">
        <f>IF(E392=1,IF(Orders!R389&gt;3,1,0),"")</f>
        <v>1</v>
      </c>
      <c r="BD392" s="33">
        <f>IF(E392=1,IF(Orders!R389&gt;7,1,0),"")</f>
        <v>1</v>
      </c>
      <c r="BE392" s="32" t="str">
        <f>IF(E392=1,IF(Orders!L389&lt;=1.5,"Up to 1.5 km",IF(Orders!L389&lt;=3,"1.5–3 km","Over 3 km")),"")</f>
        <v>Up to 1.5 km</v>
      </c>
      <c r="BF392" s="33">
        <f>IF(E392=1,IF(ABS((Orders!G389-Orders!F389)*1440-Orders!R389)&lt;0.06,1,0),"")</f>
        <v>1</v>
      </c>
      <c r="BG392" s="33">
        <f>IF(ABS((Orders!F389-Orders!E389)*1440-Orders!P389)&lt;0.06,1,0)</f>
        <v>1</v>
      </c>
      <c r="BH392" s="33">
        <f>IF(E392=1,IF(IF(Orders!S389,1,0)=1-G392,1,0),"")</f>
        <v>1</v>
      </c>
      <c r="BI392" s="32" t="str">
        <f>INDEX(Stores!$B$2:$B$21,MATCH(B392,Stores!$A$2:$A$21,0))</f>
        <v>Bengaluru</v>
      </c>
    </row>
    <row r="393">
      <c r="A393" s="32" t="str">
        <f>Orders!A390</f>
        <v>O00389</v>
      </c>
      <c r="B393" s="32" t="str">
        <f>Orders!C390</f>
        <v>S009</v>
      </c>
      <c r="C393" s="32" t="str">
        <f>Orders!B390</f>
        <v>C0229</v>
      </c>
      <c r="D393" s="32" t="str">
        <f>Orders!H390</f>
        <v>Delivered</v>
      </c>
      <c r="E393" s="33">
        <f>IF(Orders!H390="Delivered",1,0)</f>
        <v>1</v>
      </c>
      <c r="F393" s="34">
        <f>IF(E393=1,Orders!R390,"")</f>
        <v>9.3</v>
      </c>
      <c r="G393" s="33">
        <f>IF(E393=1,IF(Orders!R390&gt;0,1,0),"")</f>
        <v>1</v>
      </c>
      <c r="H393" s="33">
        <f>IF(E393=1,IF(Orders!R390&gt;5,1,0),"")</f>
        <v>1</v>
      </c>
      <c r="I393" s="32" t="str">
        <f>IF(E393=1,"",IF(OR(Orders!T390="Rider unavailable",Orders!T390="Item unavailable"),"Company-caused","Unresolved"))</f>
        <v/>
      </c>
      <c r="J393" s="33">
        <f>IF(OR(E393=1,I393="Company-caused"),1,0)</f>
        <v>1</v>
      </c>
      <c r="K393" s="32" t="str">
        <f>IF(E393=0,IF(I393="Company-caused",IF(Orders!T390="Rider unavailable","C1 Rider unavailable","C2 Item unavailable"),"Outside root: unresolved"),IF(G393=0,"A On time",IF(H393=1,IF(L393=1,"B2a Severe, peak","B2b Severe, off-peak"),IF(L393=1,"B1a Slight, peak","B1b Slight, off-peak"))))</f>
        <v>B2b Severe, off-peak</v>
      </c>
      <c r="L393" s="33">
        <f>IF(AND(Orders!U390&gt;=19,Orders!U390&lt;22),1,0)</f>
        <v>0</v>
      </c>
      <c r="M393" s="33">
        <f>IF(L393=IF(Orders!V390,1,0),1,0)</f>
        <v>1</v>
      </c>
      <c r="N393" s="32" t="str">
        <f>IF(Orders!W390="","None",Orders!W390)</f>
        <v>Heavy</v>
      </c>
      <c r="O393" s="35">
        <f>INT(Orders!E390)</f>
        <v>46277.0</v>
      </c>
      <c r="P393" s="33">
        <f>Orders!U390</f>
        <v>8</v>
      </c>
      <c r="Q393" s="33">
        <f>COUNTIFS(Demand!$A$2:$A$4481,B393,Demand!$B$2:$B$4481,O393,Demand!$C$2:$C$4481,P393)</f>
        <v>1</v>
      </c>
      <c r="R393" s="33">
        <f>IF(Q393=1,SUMIFS(Demand!$E$2:$E$4481,Demand!$A$2:$A$4481,B393,Demand!$B$2:$B$4481,O393,Demand!$C$2:$C$4481,P393),"")</f>
        <v>26</v>
      </c>
      <c r="S393" s="33">
        <f>INDEX(Stores!$G$2:$G$21,MATCH(B393,Stores!$A$2:$A$21,0))</f>
        <v>29</v>
      </c>
      <c r="T393" s="34">
        <f>IF(R393="","",R393/S393)</f>
        <v>0.896551724137931</v>
      </c>
      <c r="U393" s="34">
        <f>IF(E393=1,T393,"")</f>
        <v>0.896551724137931</v>
      </c>
      <c r="V393" s="34">
        <f>IF(AND(E393=1,L393=0),T393,"")</f>
        <v>0.896551724137931</v>
      </c>
      <c r="W393" s="33">
        <f>IF(U393="","",IF(U393&lt;=Breakdowns!$C$5,1,IF(U393&lt;=Breakdowns!$C$6,2,IF(U393&lt;=Breakdowns!$C$7,3,4))))</f>
        <v>2</v>
      </c>
      <c r="X393" s="33">
        <f>IF(V393="","",IF(V393&lt;=Breakdowns!$D$5,1,IF(V393&lt;=Breakdowns!$D$6,2,IF(V393&lt;=Breakdowns!$D$7,3,4))))</f>
        <v>2</v>
      </c>
      <c r="Y393" s="34">
        <f>INDEX(Stores!$F$2:$F$21,MATCH(B393,Stores!$A$2:$A$21,0))</f>
        <v>2.66</v>
      </c>
      <c r="Z393" s="33">
        <f>IF(Y393&gt;Store_Summary!$M$2,1,0)</f>
        <v>0</v>
      </c>
      <c r="AA393" s="33">
        <f>INDEX(Stores!$C$2:$C$21,MATCH(B393,Stores!$A$2:$A$21,0))</f>
        <v>645</v>
      </c>
      <c r="AB393" s="33">
        <f>IF(AA393&lt;180,1,0)</f>
        <v>0</v>
      </c>
      <c r="AC393" s="32" t="str">
        <f>IF(Orders!D390="","",INDEX(Riders!$C$2:$C$81,MATCH(Orders!D390,Riders!$A$2:$A$81,0)))</f>
        <v>EV scooter</v>
      </c>
      <c r="AD393" s="33">
        <f>IF(Orders!D390="","",INDEX(Riders!$D$2:$D$81,MATCH(Orders!D390,Riders!$A$2:$A$81,0)))</f>
        <v>10</v>
      </c>
      <c r="AE393" s="33">
        <f>IF(Orders!D390="","",IF(INDEX(Riders!$B$2:$B$81,MATCH(Orders!D390,Riders!$A$2:$A$81,0))=B393,1,0))</f>
        <v>0</v>
      </c>
      <c r="AF393" s="34">
        <f>IF(E393=1,Orders!L390,"")</f>
        <v>2.8</v>
      </c>
      <c r="AG393" s="34">
        <f>IF(E393=1,Orders!P390,"")</f>
        <v>10.8</v>
      </c>
      <c r="AH393" s="34">
        <f>IF(E393=1,Orders!Q390,"")</f>
        <v>20.1</v>
      </c>
      <c r="AI393" s="34">
        <f>IF(E393=1,Orders!M390,"")</f>
        <v>3.6</v>
      </c>
      <c r="AJ393" s="34">
        <f>IF(E393=1,Orders!N390,"")</f>
        <v>7</v>
      </c>
      <c r="AK393" s="34">
        <f>IF(E393=1,Orders!O390,"")</f>
        <v>9.5</v>
      </c>
      <c r="AL393" s="33">
        <f>IF(E393=1,IF(ROUND(ABS(AI393+AJ393+AK393-AH393),6)&lt;=0.1,1,0),"")</f>
        <v>1</v>
      </c>
      <c r="AM393" s="36">
        <f>IF(E393=1,AI393/AH393,"")</f>
        <v>0.17910447761194</v>
      </c>
      <c r="AN393" s="36">
        <f>IF(E393=1,AJ393/AH393,"")</f>
        <v>0.348258706467662</v>
      </c>
      <c r="AO393" s="36">
        <f>IF(E393=1,AK393/AH393,"")</f>
        <v>0.472636815920398</v>
      </c>
      <c r="AP393" s="34">
        <f>IF(E393=1,Orders!Y390,"")</f>
        <v>0.68</v>
      </c>
      <c r="AQ393" s="33">
        <f>IF(Orders!X390,1,0)</f>
        <v>0</v>
      </c>
      <c r="AR393" s="34" t="str">
        <f>IF(AND(E393=1,L393=1),AJ393,"")</f>
        <v/>
      </c>
      <c r="AS393" s="34">
        <f>IF(AND(E393=1,L393=0),AJ393,"")</f>
        <v>7</v>
      </c>
      <c r="AT393" s="34" t="str">
        <f>IF(AND(E393=1,L393=1),AI393,"")</f>
        <v/>
      </c>
      <c r="AU393" s="34">
        <f>IF(AND(E393=1,L393=0),AI393,"")</f>
        <v>3.6</v>
      </c>
      <c r="AV393" s="34" t="str">
        <f>IF(AND(E393=1,L393=1),AG393,"")</f>
        <v/>
      </c>
      <c r="AW393" s="34">
        <f>IF(AND(E393=1,L393=0),AG393,"")</f>
        <v>10.8</v>
      </c>
      <c r="AX393" s="34" t="str">
        <f>IF(AND(E393=1,L393=1),AH393,"")</f>
        <v/>
      </c>
      <c r="AY393" s="34">
        <f>IF(AND(E393=1,L393=0),AH393,"")</f>
        <v>20.1</v>
      </c>
      <c r="AZ393" s="34">
        <f>IF(G393=1,F393,"")</f>
        <v>9.3</v>
      </c>
      <c r="BA393" s="34" t="str">
        <f>IF(AND(G393=1,L393=1),F393,"")</f>
        <v/>
      </c>
      <c r="BB393" s="34">
        <f>IF(AND(G393=1,L393=0),F393,"")</f>
        <v>9.3</v>
      </c>
      <c r="BC393" s="33">
        <f>IF(E393=1,IF(Orders!R390&gt;3,1,0),"")</f>
        <v>1</v>
      </c>
      <c r="BD393" s="33">
        <f>IF(E393=1,IF(Orders!R390&gt;7,1,0),"")</f>
        <v>1</v>
      </c>
      <c r="BE393" s="32" t="str">
        <f>IF(E393=1,IF(Orders!L390&lt;=1.5,"Up to 1.5 km",IF(Orders!L390&lt;=3,"1.5–3 km","Over 3 km")),"")</f>
        <v>1.5–3 km</v>
      </c>
      <c r="BF393" s="33">
        <f>IF(E393=1,IF(ABS((Orders!G390-Orders!F390)*1440-Orders!R390)&lt;0.06,1,0),"")</f>
        <v>1</v>
      </c>
      <c r="BG393" s="33">
        <f>IF(ABS((Orders!F390-Orders!E390)*1440-Orders!P390)&lt;0.06,1,0)</f>
        <v>1</v>
      </c>
      <c r="BH393" s="33">
        <f>IF(E393=1,IF(IF(Orders!S390,1,0)=1-G393,1,0),"")</f>
        <v>1</v>
      </c>
      <c r="BI393" s="32" t="str">
        <f>INDEX(Stores!$B$2:$B$21,MATCH(B393,Stores!$A$2:$A$21,0))</f>
        <v>Pune</v>
      </c>
    </row>
    <row r="394">
      <c r="A394" s="32" t="str">
        <f>Orders!A391</f>
        <v>O00390</v>
      </c>
      <c r="B394" s="32" t="str">
        <f>Orders!C391</f>
        <v>S016</v>
      </c>
      <c r="C394" s="32" t="str">
        <f>Orders!B391</f>
        <v>C0143</v>
      </c>
      <c r="D394" s="32" t="str">
        <f>Orders!H391</f>
        <v>Delivered</v>
      </c>
      <c r="E394" s="33">
        <f>IF(Orders!H391="Delivered",1,0)</f>
        <v>1</v>
      </c>
      <c r="F394" s="34">
        <f>IF(E394=1,Orders!R391,"")</f>
        <v>7.6</v>
      </c>
      <c r="G394" s="33">
        <f>IF(E394=1,IF(Orders!R391&gt;0,1,0),"")</f>
        <v>1</v>
      </c>
      <c r="H394" s="33">
        <f>IF(E394=1,IF(Orders!R391&gt;5,1,0),"")</f>
        <v>1</v>
      </c>
      <c r="I394" s="32" t="str">
        <f>IF(E394=1,"",IF(OR(Orders!T391="Rider unavailable",Orders!T391="Item unavailable"),"Company-caused","Unresolved"))</f>
        <v/>
      </c>
      <c r="J394" s="33">
        <f>IF(OR(E394=1,I394="Company-caused"),1,0)</f>
        <v>1</v>
      </c>
      <c r="K394" s="32" t="str">
        <f>IF(E394=0,IF(I394="Company-caused",IF(Orders!T391="Rider unavailable","C1 Rider unavailable","C2 Item unavailable"),"Outside root: unresolved"),IF(G394=0,"A On time",IF(H394=1,IF(L394=1,"B2a Severe, peak","B2b Severe, off-peak"),IF(L394=1,"B1a Slight, peak","B1b Slight, off-peak"))))</f>
        <v>B2a Severe, peak</v>
      </c>
      <c r="L394" s="33">
        <f>IF(AND(Orders!U391&gt;=19,Orders!U391&lt;22),1,0)</f>
        <v>1</v>
      </c>
      <c r="M394" s="33">
        <f>IF(L394=IF(Orders!V391,1,0),1,0)</f>
        <v>1</v>
      </c>
      <c r="N394" s="32" t="str">
        <f>IF(Orders!W391="","None",Orders!W391)</f>
        <v>Light</v>
      </c>
      <c r="O394" s="35">
        <f>INT(Orders!E391)</f>
        <v>46267.0</v>
      </c>
      <c r="P394" s="33">
        <f>Orders!U391</f>
        <v>19</v>
      </c>
      <c r="Q394" s="33">
        <f>COUNTIFS(Demand!$A$2:$A$4481,B394,Demand!$B$2:$B$4481,O394,Demand!$C$2:$C$4481,P394)</f>
        <v>1</v>
      </c>
      <c r="R394" s="33">
        <f>IF(Q394=1,SUMIFS(Demand!$E$2:$E$4481,Demand!$A$2:$A$4481,B394,Demand!$B$2:$B$4481,O394,Demand!$C$2:$C$4481,P394),"")</f>
        <v>32</v>
      </c>
      <c r="S394" s="33">
        <f>INDEX(Stores!$G$2:$G$21,MATCH(B394,Stores!$A$2:$A$21,0))</f>
        <v>25</v>
      </c>
      <c r="T394" s="34">
        <f>IF(R394="","",R394/S394)</f>
        <v>1.28</v>
      </c>
      <c r="U394" s="34">
        <f>IF(E394=1,T394,"")</f>
        <v>1.28</v>
      </c>
      <c r="V394" s="34" t="str">
        <f>IF(AND(E394=1,L394=0),T394,"")</f>
        <v/>
      </c>
      <c r="W394" s="33">
        <f>IF(U394="","",IF(U394&lt;=Breakdowns!$C$5,1,IF(U394&lt;=Breakdowns!$C$6,2,IF(U394&lt;=Breakdowns!$C$7,3,4))))</f>
        <v>4</v>
      </c>
      <c r="X394" s="33" t="str">
        <f>IF(V394="","",IF(V394&lt;=Breakdowns!$D$5,1,IF(V394&lt;=Breakdowns!$D$6,2,IF(V394&lt;=Breakdowns!$D$7,3,4))))</f>
        <v/>
      </c>
      <c r="Y394" s="34">
        <f>INDEX(Stores!$F$2:$F$21,MATCH(B394,Stores!$A$2:$A$21,0))</f>
        <v>5.51</v>
      </c>
      <c r="Z394" s="33">
        <f>IF(Y394&gt;Store_Summary!$M$2,1,0)</f>
        <v>1</v>
      </c>
      <c r="AA394" s="33">
        <f>INDEX(Stores!$C$2:$C$21,MATCH(B394,Stores!$A$2:$A$21,0))</f>
        <v>792</v>
      </c>
      <c r="AB394" s="33">
        <f>IF(AA394&lt;180,1,0)</f>
        <v>0</v>
      </c>
      <c r="AC394" s="32" t="str">
        <f>IF(Orders!D391="","",INDEX(Riders!$C$2:$C$81,MATCH(Orders!D391,Riders!$A$2:$A$81,0)))</f>
        <v>EV scooter</v>
      </c>
      <c r="AD394" s="33">
        <f>IF(Orders!D391="","",INDEX(Riders!$D$2:$D$81,MATCH(Orders!D391,Riders!$A$2:$A$81,0)))</f>
        <v>39</v>
      </c>
      <c r="AE394" s="33">
        <f>IF(Orders!D391="","",IF(INDEX(Riders!$B$2:$B$81,MATCH(Orders!D391,Riders!$A$2:$A$81,0))=B394,1,0))</f>
        <v>0</v>
      </c>
      <c r="AF394" s="34">
        <f>IF(E394=1,Orders!L391,"")</f>
        <v>2.26</v>
      </c>
      <c r="AG394" s="34">
        <f>IF(E394=1,Orders!P391,"")</f>
        <v>8.7</v>
      </c>
      <c r="AH394" s="34">
        <f>IF(E394=1,Orders!Q391,"")</f>
        <v>16.3</v>
      </c>
      <c r="AI394" s="34">
        <f>IF(E394=1,Orders!M391,"")</f>
        <v>5.5</v>
      </c>
      <c r="AJ394" s="34">
        <f>IF(E394=1,Orders!N391,"")</f>
        <v>4.7</v>
      </c>
      <c r="AK394" s="34">
        <f>IF(E394=1,Orders!O391,"")</f>
        <v>6</v>
      </c>
      <c r="AL394" s="33">
        <f>IF(E394=1,IF(ROUND(ABS(AI394+AJ394+AK394-AH394),6)&lt;=0.1,1,0),"")</f>
        <v>1</v>
      </c>
      <c r="AM394" s="36">
        <f>IF(E394=1,AI394/AH394,"")</f>
        <v>0.337423312883436</v>
      </c>
      <c r="AN394" s="36">
        <f>IF(E394=1,AJ394/AH394,"")</f>
        <v>0.288343558282209</v>
      </c>
      <c r="AO394" s="36">
        <f>IF(E394=1,AK394/AH394,"")</f>
        <v>0.368098159509202</v>
      </c>
      <c r="AP394" s="34">
        <f>IF(E394=1,Orders!Y391,"")</f>
        <v>0.31</v>
      </c>
      <c r="AQ394" s="33">
        <f>IF(Orders!X391,1,0)</f>
        <v>0</v>
      </c>
      <c r="AR394" s="34">
        <f>IF(AND(E394=1,L394=1),AJ394,"")</f>
        <v>4.7</v>
      </c>
      <c r="AS394" s="34" t="str">
        <f>IF(AND(E394=1,L394=0),AJ394,"")</f>
        <v/>
      </c>
      <c r="AT394" s="34">
        <f>IF(AND(E394=1,L394=1),AI394,"")</f>
        <v>5.5</v>
      </c>
      <c r="AU394" s="34" t="str">
        <f>IF(AND(E394=1,L394=0),AI394,"")</f>
        <v/>
      </c>
      <c r="AV394" s="34">
        <f>IF(AND(E394=1,L394=1),AG394,"")</f>
        <v>8.7</v>
      </c>
      <c r="AW394" s="34" t="str">
        <f>IF(AND(E394=1,L394=0),AG394,"")</f>
        <v/>
      </c>
      <c r="AX394" s="34">
        <f>IF(AND(E394=1,L394=1),AH394,"")</f>
        <v>16.3</v>
      </c>
      <c r="AY394" s="34" t="str">
        <f>IF(AND(E394=1,L394=0),AH394,"")</f>
        <v/>
      </c>
      <c r="AZ394" s="34">
        <f>IF(G394=1,F394,"")</f>
        <v>7.6</v>
      </c>
      <c r="BA394" s="34">
        <f>IF(AND(G394=1,L394=1),F394,"")</f>
        <v>7.6</v>
      </c>
      <c r="BB394" s="34" t="str">
        <f>IF(AND(G394=1,L394=0),F394,"")</f>
        <v/>
      </c>
      <c r="BC394" s="33">
        <f>IF(E394=1,IF(Orders!R391&gt;3,1,0),"")</f>
        <v>1</v>
      </c>
      <c r="BD394" s="33">
        <f>IF(E394=1,IF(Orders!R391&gt;7,1,0),"")</f>
        <v>1</v>
      </c>
      <c r="BE394" s="32" t="str">
        <f>IF(E394=1,IF(Orders!L391&lt;=1.5,"Up to 1.5 km",IF(Orders!L391&lt;=3,"1.5–3 km","Over 3 km")),"")</f>
        <v>1.5–3 km</v>
      </c>
      <c r="BF394" s="33">
        <f>IF(E394=1,IF(ABS((Orders!G391-Orders!F391)*1440-Orders!R391)&lt;0.06,1,0),"")</f>
        <v>1</v>
      </c>
      <c r="BG394" s="33">
        <f>IF(ABS((Orders!F391-Orders!E391)*1440-Orders!P391)&lt;0.06,1,0)</f>
        <v>1</v>
      </c>
      <c r="BH394" s="33">
        <f>IF(E394=1,IF(IF(Orders!S391,1,0)=1-G394,1,0),"")</f>
        <v>1</v>
      </c>
      <c r="BI394" s="32" t="str">
        <f>INDEX(Stores!$B$2:$B$21,MATCH(B394,Stores!$A$2:$A$21,0))</f>
        <v>Bengaluru</v>
      </c>
    </row>
    <row r="395">
      <c r="A395" s="32" t="str">
        <f>Orders!A392</f>
        <v>O00391</v>
      </c>
      <c r="B395" s="32" t="str">
        <f>Orders!C392</f>
        <v>S012</v>
      </c>
      <c r="C395" s="32" t="str">
        <f>Orders!B392</f>
        <v>C0214</v>
      </c>
      <c r="D395" s="32" t="str">
        <f>Orders!H392</f>
        <v>Delivered</v>
      </c>
      <c r="E395" s="33">
        <f>IF(Orders!H392="Delivered",1,0)</f>
        <v>1</v>
      </c>
      <c r="F395" s="34">
        <f>IF(E395=1,Orders!R392,"")</f>
        <v>-0.6</v>
      </c>
      <c r="G395" s="33">
        <f>IF(E395=1,IF(Orders!R392&gt;0,1,0),"")</f>
        <v>0</v>
      </c>
      <c r="H395" s="33">
        <f>IF(E395=1,IF(Orders!R392&gt;5,1,0),"")</f>
        <v>0</v>
      </c>
      <c r="I395" s="32" t="str">
        <f>IF(E395=1,"",IF(OR(Orders!T392="Rider unavailable",Orders!T392="Item unavailable"),"Company-caused","Unresolved"))</f>
        <v/>
      </c>
      <c r="J395" s="33">
        <f>IF(OR(E395=1,I395="Company-caused"),1,0)</f>
        <v>1</v>
      </c>
      <c r="K395" s="32" t="str">
        <f>IF(E395=0,IF(I395="Company-caused",IF(Orders!T392="Rider unavailable","C1 Rider unavailable","C2 Item unavailable"),"Outside root: unresolved"),IF(G395=0,"A On time",IF(H395=1,IF(L395=1,"B2a Severe, peak","B2b Severe, off-peak"),IF(L395=1,"B1a Slight, peak","B1b Slight, off-peak"))))</f>
        <v>A On time</v>
      </c>
      <c r="L395" s="33">
        <f>IF(AND(Orders!U392&gt;=19,Orders!U392&lt;22),1,0)</f>
        <v>1</v>
      </c>
      <c r="M395" s="33">
        <f>IF(L395=IF(Orders!V392,1,0),1,0)</f>
        <v>1</v>
      </c>
      <c r="N395" s="32" t="str">
        <f>IF(Orders!W392="","None",Orders!W392)</f>
        <v>Heavy</v>
      </c>
      <c r="O395" s="35">
        <f>INT(Orders!E392)</f>
        <v>46270.0</v>
      </c>
      <c r="P395" s="33">
        <f>Orders!U392</f>
        <v>21</v>
      </c>
      <c r="Q395" s="33">
        <f>COUNTIFS(Demand!$A$2:$A$4481,B395,Demand!$B$2:$B$4481,O395,Demand!$C$2:$C$4481,P395)</f>
        <v>1</v>
      </c>
      <c r="R395" s="33">
        <f>IF(Q395=1,SUMIFS(Demand!$E$2:$E$4481,Demand!$A$2:$A$4481,B395,Demand!$B$2:$B$4481,O395,Demand!$C$2:$C$4481,P395),"")</f>
        <v>23</v>
      </c>
      <c r="S395" s="33">
        <f>INDEX(Stores!$G$2:$G$21,MATCH(B395,Stores!$A$2:$A$21,0))</f>
        <v>15</v>
      </c>
      <c r="T395" s="34">
        <f>IF(R395="","",R395/S395)</f>
        <v>1.53333333333333</v>
      </c>
      <c r="U395" s="34">
        <f>IF(E395=1,T395,"")</f>
        <v>1.53333333333333</v>
      </c>
      <c r="V395" s="34" t="str">
        <f>IF(AND(E395=1,L395=0),T395,"")</f>
        <v/>
      </c>
      <c r="W395" s="33">
        <f>IF(U395="","",IF(U395&lt;=Breakdowns!$C$5,1,IF(U395&lt;=Breakdowns!$C$6,2,IF(U395&lt;=Breakdowns!$C$7,3,4))))</f>
        <v>4</v>
      </c>
      <c r="X395" s="33" t="str">
        <f>IF(V395="","",IF(V395&lt;=Breakdowns!$D$5,1,IF(V395&lt;=Breakdowns!$D$6,2,IF(V395&lt;=Breakdowns!$D$7,3,4))))</f>
        <v/>
      </c>
      <c r="Y395" s="34">
        <f>INDEX(Stores!$F$2:$F$21,MATCH(B395,Stores!$A$2:$A$21,0))</f>
        <v>5.23</v>
      </c>
      <c r="Z395" s="33">
        <f>IF(Y395&gt;Store_Summary!$M$2,1,0)</f>
        <v>1</v>
      </c>
      <c r="AA395" s="33">
        <f>INDEX(Stores!$C$2:$C$21,MATCH(B395,Stores!$A$2:$A$21,0))</f>
        <v>300</v>
      </c>
      <c r="AB395" s="33">
        <f>IF(AA395&lt;180,1,0)</f>
        <v>0</v>
      </c>
      <c r="AC395" s="32" t="str">
        <f>IF(Orders!D392="","",INDEX(Riders!$C$2:$C$81,MATCH(Orders!D392,Riders!$A$2:$A$81,0)))</f>
        <v>Bicycle</v>
      </c>
      <c r="AD395" s="33">
        <f>IF(Orders!D392="","",INDEX(Riders!$D$2:$D$81,MATCH(Orders!D392,Riders!$A$2:$A$81,0)))</f>
        <v>8</v>
      </c>
      <c r="AE395" s="33">
        <f>IF(Orders!D392="","",IF(INDEX(Riders!$B$2:$B$81,MATCH(Orders!D392,Riders!$A$2:$A$81,0))=B395,1,0))</f>
        <v>0</v>
      </c>
      <c r="AF395" s="34">
        <f>IF(E395=1,Orders!L392,"")</f>
        <v>1.14</v>
      </c>
      <c r="AG395" s="34">
        <f>IF(E395=1,Orders!P392,"")</f>
        <v>9.3</v>
      </c>
      <c r="AH395" s="34">
        <f>IF(E395=1,Orders!Q392,"")</f>
        <v>8.7</v>
      </c>
      <c r="AI395" s="34">
        <f>IF(E395=1,Orders!M392,"")</f>
        <v>2.8</v>
      </c>
      <c r="AJ395" s="34">
        <f>IF(E395=1,Orders!N392,"")</f>
        <v>2.2</v>
      </c>
      <c r="AK395" s="34">
        <f>IF(E395=1,Orders!O392,"")</f>
        <v>3.7</v>
      </c>
      <c r="AL395" s="33">
        <f>IF(E395=1,IF(ROUND(ABS(AI395+AJ395+AK395-AH395),6)&lt;=0.1,1,0),"")</f>
        <v>1</v>
      </c>
      <c r="AM395" s="36">
        <f>IF(E395=1,AI395/AH395,"")</f>
        <v>0.32183908045977</v>
      </c>
      <c r="AN395" s="36">
        <f>IF(E395=1,AJ395/AH395,"")</f>
        <v>0.252873563218391</v>
      </c>
      <c r="AO395" s="36">
        <f>IF(E395=1,AK395/AH395,"")</f>
        <v>0.425287356321839</v>
      </c>
      <c r="AP395" s="34">
        <f>IF(E395=1,Orders!Y392,"")</f>
        <v>0.84</v>
      </c>
      <c r="AQ395" s="33">
        <f>IF(Orders!X392,1,0)</f>
        <v>0</v>
      </c>
      <c r="AR395" s="34">
        <f>IF(AND(E395=1,L395=1),AJ395,"")</f>
        <v>2.2</v>
      </c>
      <c r="AS395" s="34" t="str">
        <f>IF(AND(E395=1,L395=0),AJ395,"")</f>
        <v/>
      </c>
      <c r="AT395" s="34">
        <f>IF(AND(E395=1,L395=1),AI395,"")</f>
        <v>2.8</v>
      </c>
      <c r="AU395" s="34" t="str">
        <f>IF(AND(E395=1,L395=0),AI395,"")</f>
        <v/>
      </c>
      <c r="AV395" s="34">
        <f>IF(AND(E395=1,L395=1),AG395,"")</f>
        <v>9.3</v>
      </c>
      <c r="AW395" s="34" t="str">
        <f>IF(AND(E395=1,L395=0),AG395,"")</f>
        <v/>
      </c>
      <c r="AX395" s="34">
        <f>IF(AND(E395=1,L395=1),AH395,"")</f>
        <v>8.7</v>
      </c>
      <c r="AY395" s="34" t="str">
        <f>IF(AND(E395=1,L395=0),AH395,"")</f>
        <v/>
      </c>
      <c r="AZ395" s="34" t="str">
        <f>IF(G395=1,F395,"")</f>
        <v/>
      </c>
      <c r="BA395" s="34" t="str">
        <f>IF(AND(G395=1,L395=1),F395,"")</f>
        <v/>
      </c>
      <c r="BB395" s="34" t="str">
        <f>IF(AND(G395=1,L395=0),F395,"")</f>
        <v/>
      </c>
      <c r="BC395" s="33">
        <f>IF(E395=1,IF(Orders!R392&gt;3,1,0),"")</f>
        <v>0</v>
      </c>
      <c r="BD395" s="33">
        <f>IF(E395=1,IF(Orders!R392&gt;7,1,0),"")</f>
        <v>0</v>
      </c>
      <c r="BE395" s="32" t="str">
        <f>IF(E395=1,IF(Orders!L392&lt;=1.5,"Up to 1.5 km",IF(Orders!L392&lt;=3,"1.5–3 km","Over 3 km")),"")</f>
        <v>Up to 1.5 km</v>
      </c>
      <c r="BF395" s="33">
        <f>IF(E395=1,IF(ABS((Orders!G392-Orders!F392)*1440-Orders!R392)&lt;0.06,1,0),"")</f>
        <v>1</v>
      </c>
      <c r="BG395" s="33">
        <f>IF(ABS((Orders!F392-Orders!E392)*1440-Orders!P392)&lt;0.06,1,0)</f>
        <v>1</v>
      </c>
      <c r="BH395" s="33">
        <f>IF(E395=1,IF(IF(Orders!S392,1,0)=1-G395,1,0),"")</f>
        <v>1</v>
      </c>
      <c r="BI395" s="32" t="str">
        <f>INDEX(Stores!$B$2:$B$21,MATCH(B395,Stores!$A$2:$A$21,0))</f>
        <v>Hyderabad</v>
      </c>
    </row>
    <row r="396">
      <c r="A396" s="32" t="str">
        <f>Orders!A393</f>
        <v>O00392</v>
      </c>
      <c r="B396" s="32" t="str">
        <f>Orders!C393</f>
        <v>S001</v>
      </c>
      <c r="C396" s="32" t="str">
        <f>Orders!B393</f>
        <v>C0040</v>
      </c>
      <c r="D396" s="32" t="str">
        <f>Orders!H393</f>
        <v>Cancelled</v>
      </c>
      <c r="E396" s="33">
        <f>IF(Orders!H393="Delivered",1,0)</f>
        <v>0</v>
      </c>
      <c r="F396" s="34" t="str">
        <f>IF(E396=1,Orders!R393,"")</f>
        <v/>
      </c>
      <c r="G396" s="33" t="str">
        <f>IF(E396=1,IF(Orders!R393&gt;0,1,0),"")</f>
        <v/>
      </c>
      <c r="H396" s="33" t="str">
        <f>IF(E396=1,IF(Orders!R393&gt;5,1,0),"")</f>
        <v/>
      </c>
      <c r="I396" s="32" t="str">
        <f>IF(E396=1,"",IF(OR(Orders!T393="Rider unavailable",Orders!T393="Item unavailable"),"Company-caused","Unresolved"))</f>
        <v>Company-caused</v>
      </c>
      <c r="J396" s="33">
        <f>IF(OR(E396=1,I396="Company-caused"),1,0)</f>
        <v>1</v>
      </c>
      <c r="K396" s="32" t="str">
        <f>IF(E396=0,IF(I396="Company-caused",IF(Orders!T393="Rider unavailable","C1 Rider unavailable","C2 Item unavailable"),"Outside root: unresolved"),IF(G396=0,"A On time",IF(H396=1,IF(L396=1,"B2a Severe, peak","B2b Severe, off-peak"),IF(L396=1,"B1a Slight, peak","B1b Slight, off-peak"))))</f>
        <v>C1 Rider unavailable</v>
      </c>
      <c r="L396" s="33">
        <f>IF(AND(Orders!U393&gt;=19,Orders!U393&lt;22),1,0)</f>
        <v>0</v>
      </c>
      <c r="M396" s="33">
        <f>IF(L396=IF(Orders!V393,1,0),1,0)</f>
        <v>1</v>
      </c>
      <c r="N396" s="32" t="str">
        <f>IF(Orders!W393="","None",Orders!W393)</f>
        <v>None</v>
      </c>
      <c r="O396" s="35">
        <f>INT(Orders!E393)</f>
        <v>46277.0</v>
      </c>
      <c r="P396" s="33">
        <f>Orders!U393</f>
        <v>22</v>
      </c>
      <c r="Q396" s="33">
        <f>COUNTIFS(Demand!$A$2:$A$4481,B396,Demand!$B$2:$B$4481,O396,Demand!$C$2:$C$4481,P396)</f>
        <v>1</v>
      </c>
      <c r="R396" s="33">
        <f>IF(Q396=1,SUMIFS(Demand!$E$2:$E$4481,Demand!$A$2:$A$4481,B396,Demand!$B$2:$B$4481,O396,Demand!$C$2:$C$4481,P396),"")</f>
        <v>17</v>
      </c>
      <c r="S396" s="33">
        <f>INDEX(Stores!$G$2:$G$21,MATCH(B396,Stores!$A$2:$A$21,0))</f>
        <v>16</v>
      </c>
      <c r="T396" s="34">
        <f>IF(R396="","",R396/S396)</f>
        <v>1.0625</v>
      </c>
      <c r="U396" s="34" t="str">
        <f>IF(E396=1,T396,"")</f>
        <v/>
      </c>
      <c r="V396" s="34" t="str">
        <f>IF(AND(E396=1,L396=0),T396,"")</f>
        <v/>
      </c>
      <c r="W396" s="33" t="str">
        <f>IF(U396="","",IF(U396&lt;=Breakdowns!$C$5,1,IF(U396&lt;=Breakdowns!$C$6,2,IF(U396&lt;=Breakdowns!$C$7,3,4))))</f>
        <v/>
      </c>
      <c r="X396" s="33" t="str">
        <f>IF(V396="","",IF(V396&lt;=Breakdowns!$D$5,1,IF(V396&lt;=Breakdowns!$D$6,2,IF(V396&lt;=Breakdowns!$D$7,3,4))))</f>
        <v/>
      </c>
      <c r="Y396" s="34">
        <f>INDEX(Stores!$F$2:$F$21,MATCH(B396,Stores!$A$2:$A$21,0))</f>
        <v>4.59</v>
      </c>
      <c r="Z396" s="33">
        <f>IF(Y396&gt;Store_Summary!$M$2,1,0)</f>
        <v>0</v>
      </c>
      <c r="AA396" s="33">
        <f>INDEX(Stores!$C$2:$C$21,MATCH(B396,Stores!$A$2:$A$21,0))</f>
        <v>362</v>
      </c>
      <c r="AB396" s="33">
        <f>IF(AA396&lt;180,1,0)</f>
        <v>0</v>
      </c>
      <c r="AC396" s="32" t="str">
        <f>IF(Orders!D393="","",INDEX(Riders!$C$2:$C$81,MATCH(Orders!D393,Riders!$A$2:$A$81,0)))</f>
        <v/>
      </c>
      <c r="AD396" s="33" t="str">
        <f>IF(Orders!D393="","",INDEX(Riders!$D$2:$D$81,MATCH(Orders!D393,Riders!$A$2:$A$81,0)))</f>
        <v/>
      </c>
      <c r="AE396" s="33" t="str">
        <f>IF(Orders!D393="","",IF(INDEX(Riders!$B$2:$B$81,MATCH(Orders!D393,Riders!$A$2:$A$81,0))=B396,1,0))</f>
        <v/>
      </c>
      <c r="AF396" s="34" t="str">
        <f>IF(E396=1,Orders!L393,"")</f>
        <v/>
      </c>
      <c r="AG396" s="34" t="str">
        <f>IF(E396=1,Orders!P393,"")</f>
        <v/>
      </c>
      <c r="AH396" s="34" t="str">
        <f>IF(E396=1,Orders!Q393,"")</f>
        <v/>
      </c>
      <c r="AI396" s="34" t="str">
        <f>IF(E396=1,Orders!M393,"")</f>
        <v/>
      </c>
      <c r="AJ396" s="34" t="str">
        <f>IF(E396=1,Orders!N393,"")</f>
        <v/>
      </c>
      <c r="AK396" s="34" t="str">
        <f>IF(E396=1,Orders!O393,"")</f>
        <v/>
      </c>
      <c r="AL396" s="33" t="str">
        <f>IF(E396=1,IF(ROUND(ABS(AI396+AJ396+AK396-AH396),6)&lt;=0.1,1,0),"")</f>
        <v/>
      </c>
      <c r="AM396" s="36" t="str">
        <f>IF(E396=1,AI396/AH396,"")</f>
        <v/>
      </c>
      <c r="AN396" s="36" t="str">
        <f>IF(E396=1,AJ396/AH396,"")</f>
        <v/>
      </c>
      <c r="AO396" s="36" t="str">
        <f>IF(E396=1,AK396/AH396,"")</f>
        <v/>
      </c>
      <c r="AP396" s="34" t="str">
        <f>IF(E396=1,Orders!Y393,"")</f>
        <v/>
      </c>
      <c r="AQ396" s="33">
        <f>IF(Orders!X393,1,0)</f>
        <v>0</v>
      </c>
      <c r="AR396" s="34" t="str">
        <f>IF(AND(E396=1,L396=1),AJ396,"")</f>
        <v/>
      </c>
      <c r="AS396" s="34" t="str">
        <f>IF(AND(E396=1,L396=0),AJ396,"")</f>
        <v/>
      </c>
      <c r="AT396" s="34" t="str">
        <f>IF(AND(E396=1,L396=1),AI396,"")</f>
        <v/>
      </c>
      <c r="AU396" s="34" t="str">
        <f>IF(AND(E396=1,L396=0),AI396,"")</f>
        <v/>
      </c>
      <c r="AV396" s="34" t="str">
        <f>IF(AND(E396=1,L396=1),AG396,"")</f>
        <v/>
      </c>
      <c r="AW396" s="34" t="str">
        <f>IF(AND(E396=1,L396=0),AG396,"")</f>
        <v/>
      </c>
      <c r="AX396" s="34" t="str">
        <f>IF(AND(E396=1,L396=1),AH396,"")</f>
        <v/>
      </c>
      <c r="AY396" s="34" t="str">
        <f>IF(AND(E396=1,L396=0),AH396,"")</f>
        <v/>
      </c>
      <c r="AZ396" s="34" t="str">
        <f>IF(G396=1,F396,"")</f>
        <v/>
      </c>
      <c r="BA396" s="34" t="str">
        <f>IF(AND(G396=1,L396=1),F396,"")</f>
        <v/>
      </c>
      <c r="BB396" s="34" t="str">
        <f>IF(AND(G396=1,L396=0),F396,"")</f>
        <v/>
      </c>
      <c r="BC396" s="33" t="str">
        <f>IF(E396=1,IF(Orders!R393&gt;3,1,0),"")</f>
        <v/>
      </c>
      <c r="BD396" s="33" t="str">
        <f>IF(E396=1,IF(Orders!R393&gt;7,1,0),"")</f>
        <v/>
      </c>
      <c r="BE396" s="32" t="str">
        <f>IF(E396=1,IF(Orders!L393&lt;=1.5,"Up to 1.5 km",IF(Orders!L393&lt;=3,"1.5–3 km","Over 3 km")),"")</f>
        <v/>
      </c>
      <c r="BF396" s="33" t="str">
        <f>IF(E396=1,IF(ABS((Orders!G393-Orders!F393)*1440-Orders!R393)&lt;0.06,1,0),"")</f>
        <v/>
      </c>
      <c r="BG396" s="33">
        <f>IF(ABS((Orders!F393-Orders!E393)*1440-Orders!P393)&lt;0.06,1,0)</f>
        <v>1</v>
      </c>
      <c r="BH396" s="33" t="str">
        <f>IF(E396=1,IF(IF(Orders!S393,1,0)=1-G396,1,0),"")</f>
        <v/>
      </c>
      <c r="BI396" s="32" t="str">
        <f>INDEX(Stores!$B$2:$B$21,MATCH(B396,Stores!$A$2:$A$21,0))</f>
        <v>Bengaluru</v>
      </c>
    </row>
    <row r="397">
      <c r="A397" s="32" t="str">
        <f>Orders!A394</f>
        <v>O00393</v>
      </c>
      <c r="B397" s="32" t="str">
        <f>Orders!C394</f>
        <v>S004</v>
      </c>
      <c r="C397" s="32" t="str">
        <f>Orders!B394</f>
        <v>C0132</v>
      </c>
      <c r="D397" s="32" t="str">
        <f>Orders!H394</f>
        <v>Delivered</v>
      </c>
      <c r="E397" s="33">
        <f>IF(Orders!H394="Delivered",1,0)</f>
        <v>1</v>
      </c>
      <c r="F397" s="34">
        <f>IF(E397=1,Orders!R394,"")</f>
        <v>8.6</v>
      </c>
      <c r="G397" s="33">
        <f>IF(E397=1,IF(Orders!R394&gt;0,1,0),"")</f>
        <v>1</v>
      </c>
      <c r="H397" s="33">
        <f>IF(E397=1,IF(Orders!R394&gt;5,1,0),"")</f>
        <v>1</v>
      </c>
      <c r="I397" s="32" t="str">
        <f>IF(E397=1,"",IF(OR(Orders!T394="Rider unavailable",Orders!T394="Item unavailable"),"Company-caused","Unresolved"))</f>
        <v/>
      </c>
      <c r="J397" s="33">
        <f>IF(OR(E397=1,I397="Company-caused"),1,0)</f>
        <v>1</v>
      </c>
      <c r="K397" s="32" t="str">
        <f>IF(E397=0,IF(I397="Company-caused",IF(Orders!T394="Rider unavailable","C1 Rider unavailable","C2 Item unavailable"),"Outside root: unresolved"),IF(G397=0,"A On time",IF(H397=1,IF(L397=1,"B2a Severe, peak","B2b Severe, off-peak"),IF(L397=1,"B1a Slight, peak","B1b Slight, off-peak"))))</f>
        <v>B2b Severe, off-peak</v>
      </c>
      <c r="L397" s="33">
        <f>IF(AND(Orders!U394&gt;=19,Orders!U394&lt;22),1,0)</f>
        <v>0</v>
      </c>
      <c r="M397" s="33">
        <f>IF(L397=IF(Orders!V394,1,0),1,0)</f>
        <v>1</v>
      </c>
      <c r="N397" s="32" t="str">
        <f>IF(Orders!W394="","None",Orders!W394)</f>
        <v>None</v>
      </c>
      <c r="O397" s="35">
        <f>INT(Orders!E394)</f>
        <v>46270.0</v>
      </c>
      <c r="P397" s="33">
        <f>Orders!U394</f>
        <v>13</v>
      </c>
      <c r="Q397" s="33">
        <f>COUNTIFS(Demand!$A$2:$A$4481,B397,Demand!$B$2:$B$4481,O397,Demand!$C$2:$C$4481,P397)</f>
        <v>1</v>
      </c>
      <c r="R397" s="33">
        <f>IF(Q397=1,SUMIFS(Demand!$E$2:$E$4481,Demand!$A$2:$A$4481,B397,Demand!$B$2:$B$4481,O397,Demand!$C$2:$C$4481,P397),"")</f>
        <v>40</v>
      </c>
      <c r="S397" s="33">
        <f>INDEX(Stores!$G$2:$G$21,MATCH(B397,Stores!$A$2:$A$21,0))</f>
        <v>42</v>
      </c>
      <c r="T397" s="34">
        <f>IF(R397="","",R397/S397)</f>
        <v>0.952380952380952</v>
      </c>
      <c r="U397" s="34">
        <f>IF(E397=1,T397,"")</f>
        <v>0.952380952380952</v>
      </c>
      <c r="V397" s="34">
        <f>IF(AND(E397=1,L397=0),T397,"")</f>
        <v>0.952380952380952</v>
      </c>
      <c r="W397" s="33">
        <f>IF(U397="","",IF(U397&lt;=Breakdowns!$C$5,1,IF(U397&lt;=Breakdowns!$C$6,2,IF(U397&lt;=Breakdowns!$C$7,3,4))))</f>
        <v>2</v>
      </c>
      <c r="X397" s="33">
        <f>IF(V397="","",IF(V397&lt;=Breakdowns!$D$5,1,IF(V397&lt;=Breakdowns!$D$6,2,IF(V397&lt;=Breakdowns!$D$7,3,4))))</f>
        <v>3</v>
      </c>
      <c r="Y397" s="34">
        <f>INDEX(Stores!$F$2:$F$21,MATCH(B397,Stores!$A$2:$A$21,0))</f>
        <v>2.19</v>
      </c>
      <c r="Z397" s="33">
        <f>IF(Y397&gt;Store_Summary!$M$2,1,0)</f>
        <v>0</v>
      </c>
      <c r="AA397" s="33">
        <f>INDEX(Stores!$C$2:$C$21,MATCH(B397,Stores!$A$2:$A$21,0))</f>
        <v>850</v>
      </c>
      <c r="AB397" s="33">
        <f>IF(AA397&lt;180,1,0)</f>
        <v>0</v>
      </c>
      <c r="AC397" s="32" t="str">
        <f>IF(Orders!D394="","",INDEX(Riders!$C$2:$C$81,MATCH(Orders!D394,Riders!$A$2:$A$81,0)))</f>
        <v>Petrol scooter</v>
      </c>
      <c r="AD397" s="33">
        <f>IF(Orders!D394="","",INDEX(Riders!$D$2:$D$81,MATCH(Orders!D394,Riders!$A$2:$A$81,0)))</f>
        <v>48</v>
      </c>
      <c r="AE397" s="33">
        <f>IF(Orders!D394="","",IF(INDEX(Riders!$B$2:$B$81,MATCH(Orders!D394,Riders!$A$2:$A$81,0))=B397,1,0))</f>
        <v>0</v>
      </c>
      <c r="AF397" s="34">
        <f>IF(E397=1,Orders!L394,"")</f>
        <v>3.3</v>
      </c>
      <c r="AG397" s="34">
        <f>IF(E397=1,Orders!P394,"")</f>
        <v>12</v>
      </c>
      <c r="AH397" s="34">
        <f>IF(E397=1,Orders!Q394,"")</f>
        <v>20.6</v>
      </c>
      <c r="AI397" s="34">
        <f>IF(E397=1,Orders!M394,"")</f>
        <v>3.7</v>
      </c>
      <c r="AJ397" s="34">
        <f>IF(E397=1,Orders!N394,"")</f>
        <v>8.4</v>
      </c>
      <c r="AK397" s="34">
        <f>IF(E397=1,Orders!O394,"")</f>
        <v>8.5</v>
      </c>
      <c r="AL397" s="33">
        <f>IF(E397=1,IF(ROUND(ABS(AI397+AJ397+AK397-AH397),6)&lt;=0.1,1,0),"")</f>
        <v>1</v>
      </c>
      <c r="AM397" s="36">
        <f>IF(E397=1,AI397/AH397,"")</f>
        <v>0.179611650485437</v>
      </c>
      <c r="AN397" s="36">
        <f>IF(E397=1,AJ397/AH397,"")</f>
        <v>0.407766990291262</v>
      </c>
      <c r="AO397" s="36">
        <f>IF(E397=1,AK397/AH397,"")</f>
        <v>0.412621359223301</v>
      </c>
      <c r="AP397" s="34">
        <f>IF(E397=1,Orders!Y394,"")</f>
        <v>0.2</v>
      </c>
      <c r="AQ397" s="33">
        <f>IF(Orders!X394,1,0)</f>
        <v>0</v>
      </c>
      <c r="AR397" s="34" t="str">
        <f>IF(AND(E397=1,L397=1),AJ397,"")</f>
        <v/>
      </c>
      <c r="AS397" s="34">
        <f>IF(AND(E397=1,L397=0),AJ397,"")</f>
        <v>8.4</v>
      </c>
      <c r="AT397" s="34" t="str">
        <f>IF(AND(E397=1,L397=1),AI397,"")</f>
        <v/>
      </c>
      <c r="AU397" s="34">
        <f>IF(AND(E397=1,L397=0),AI397,"")</f>
        <v>3.7</v>
      </c>
      <c r="AV397" s="34" t="str">
        <f>IF(AND(E397=1,L397=1),AG397,"")</f>
        <v/>
      </c>
      <c r="AW397" s="34">
        <f>IF(AND(E397=1,L397=0),AG397,"")</f>
        <v>12</v>
      </c>
      <c r="AX397" s="34" t="str">
        <f>IF(AND(E397=1,L397=1),AH397,"")</f>
        <v/>
      </c>
      <c r="AY397" s="34">
        <f>IF(AND(E397=1,L397=0),AH397,"")</f>
        <v>20.6</v>
      </c>
      <c r="AZ397" s="34">
        <f>IF(G397=1,F397,"")</f>
        <v>8.6</v>
      </c>
      <c r="BA397" s="34" t="str">
        <f>IF(AND(G397=1,L397=1),F397,"")</f>
        <v/>
      </c>
      <c r="BB397" s="34">
        <f>IF(AND(G397=1,L397=0),F397,"")</f>
        <v>8.6</v>
      </c>
      <c r="BC397" s="33">
        <f>IF(E397=1,IF(Orders!R394&gt;3,1,0),"")</f>
        <v>1</v>
      </c>
      <c r="BD397" s="33">
        <f>IF(E397=1,IF(Orders!R394&gt;7,1,0),"")</f>
        <v>1</v>
      </c>
      <c r="BE397" s="32" t="str">
        <f>IF(E397=1,IF(Orders!L394&lt;=1.5,"Up to 1.5 km",IF(Orders!L394&lt;=3,"1.5–3 km","Over 3 km")),"")</f>
        <v>Over 3 km</v>
      </c>
      <c r="BF397" s="33">
        <f>IF(E397=1,IF(ABS((Orders!G394-Orders!F394)*1440-Orders!R394)&lt;0.06,1,0),"")</f>
        <v>1</v>
      </c>
      <c r="BG397" s="33">
        <f>IF(ABS((Orders!F394-Orders!E394)*1440-Orders!P394)&lt;0.06,1,0)</f>
        <v>1</v>
      </c>
      <c r="BH397" s="33">
        <f>IF(E397=1,IF(IF(Orders!S394,1,0)=1-G397,1,0),"")</f>
        <v>1</v>
      </c>
      <c r="BI397" s="32" t="str">
        <f>INDEX(Stores!$B$2:$B$21,MATCH(B397,Stores!$A$2:$A$21,0))</f>
        <v>Pune</v>
      </c>
    </row>
    <row r="398">
      <c r="A398" s="32" t="str">
        <f>Orders!A395</f>
        <v>O00394</v>
      </c>
      <c r="B398" s="32" t="str">
        <f>Orders!C395</f>
        <v>S015</v>
      </c>
      <c r="C398" s="32" t="str">
        <f>Orders!B395</f>
        <v>C0113</v>
      </c>
      <c r="D398" s="32" t="str">
        <f>Orders!H395</f>
        <v>Delivered</v>
      </c>
      <c r="E398" s="33">
        <f>IF(Orders!H395="Delivered",1,0)</f>
        <v>1</v>
      </c>
      <c r="F398" s="34">
        <f>IF(E398=1,Orders!R395,"")</f>
        <v>-0.5</v>
      </c>
      <c r="G398" s="33">
        <f>IF(E398=1,IF(Orders!R395&gt;0,1,0),"")</f>
        <v>0</v>
      </c>
      <c r="H398" s="33">
        <f>IF(E398=1,IF(Orders!R395&gt;5,1,0),"")</f>
        <v>0</v>
      </c>
      <c r="I398" s="32" t="str">
        <f>IF(E398=1,"",IF(OR(Orders!T395="Rider unavailable",Orders!T395="Item unavailable"),"Company-caused","Unresolved"))</f>
        <v/>
      </c>
      <c r="J398" s="33">
        <f>IF(OR(E398=1,I398="Company-caused"),1,0)</f>
        <v>1</v>
      </c>
      <c r="K398" s="32" t="str">
        <f>IF(E398=0,IF(I398="Company-caused",IF(Orders!T395="Rider unavailable","C1 Rider unavailable","C2 Item unavailable"),"Outside root: unresolved"),IF(G398=0,"A On time",IF(H398=1,IF(L398=1,"B2a Severe, peak","B2b Severe, off-peak"),IF(L398=1,"B1a Slight, peak","B1b Slight, off-peak"))))</f>
        <v>A On time</v>
      </c>
      <c r="L398" s="33">
        <f>IF(AND(Orders!U395&gt;=19,Orders!U395&lt;22),1,0)</f>
        <v>0</v>
      </c>
      <c r="M398" s="33">
        <f>IF(L398=IF(Orders!V395,1,0),1,0)</f>
        <v>1</v>
      </c>
      <c r="N398" s="32" t="str">
        <f>IF(Orders!W395="","None",Orders!W395)</f>
        <v>Light</v>
      </c>
      <c r="O398" s="35">
        <f>INT(Orders!E395)</f>
        <v>46276.0</v>
      </c>
      <c r="P398" s="33">
        <f>Orders!U395</f>
        <v>16</v>
      </c>
      <c r="Q398" s="33">
        <f>COUNTIFS(Demand!$A$2:$A$4481,B398,Demand!$B$2:$B$4481,O398,Demand!$C$2:$C$4481,P398)</f>
        <v>1</v>
      </c>
      <c r="R398" s="33">
        <f>IF(Q398=1,SUMIFS(Demand!$E$2:$E$4481,Demand!$A$2:$A$4481,B398,Demand!$B$2:$B$4481,O398,Demand!$C$2:$C$4481,P398),"")</f>
        <v>12</v>
      </c>
      <c r="S398" s="33">
        <f>INDEX(Stores!$G$2:$G$21,MATCH(B398,Stores!$A$2:$A$21,0))</f>
        <v>23</v>
      </c>
      <c r="T398" s="34">
        <f>IF(R398="","",R398/S398)</f>
        <v>0.521739130434783</v>
      </c>
      <c r="U398" s="34">
        <f>IF(E398=1,T398,"")</f>
        <v>0.521739130434783</v>
      </c>
      <c r="V398" s="34">
        <f>IF(AND(E398=1,L398=0),T398,"")</f>
        <v>0.521739130434783</v>
      </c>
      <c r="W398" s="33">
        <f>IF(U398="","",IF(U398&lt;=Breakdowns!$C$5,1,IF(U398&lt;=Breakdowns!$C$6,2,IF(U398&lt;=Breakdowns!$C$7,3,4))))</f>
        <v>1</v>
      </c>
      <c r="X398" s="33">
        <f>IF(V398="","",IF(V398&lt;=Breakdowns!$D$5,1,IF(V398&lt;=Breakdowns!$D$6,2,IF(V398&lt;=Breakdowns!$D$7,3,4))))</f>
        <v>1</v>
      </c>
      <c r="Y398" s="34">
        <f>INDEX(Stores!$F$2:$F$21,MATCH(B398,Stores!$A$2:$A$21,0))</f>
        <v>4.66</v>
      </c>
      <c r="Z398" s="33">
        <f>IF(Y398&gt;Store_Summary!$M$2,1,0)</f>
        <v>0</v>
      </c>
      <c r="AA398" s="33">
        <f>INDEX(Stores!$C$2:$C$21,MATCH(B398,Stores!$A$2:$A$21,0))</f>
        <v>204</v>
      </c>
      <c r="AB398" s="33">
        <f>IF(AA398&lt;180,1,0)</f>
        <v>0</v>
      </c>
      <c r="AC398" s="32" t="str">
        <f>IF(Orders!D395="","",INDEX(Riders!$C$2:$C$81,MATCH(Orders!D395,Riders!$A$2:$A$81,0)))</f>
        <v>EV scooter</v>
      </c>
      <c r="AD398" s="33">
        <f>IF(Orders!D395="","",INDEX(Riders!$D$2:$D$81,MATCH(Orders!D395,Riders!$A$2:$A$81,0)))</f>
        <v>39</v>
      </c>
      <c r="AE398" s="33">
        <f>IF(Orders!D395="","",IF(INDEX(Riders!$B$2:$B$81,MATCH(Orders!D395,Riders!$A$2:$A$81,0))=B398,1,0))</f>
        <v>0</v>
      </c>
      <c r="AF398" s="34">
        <f>IF(E398=1,Orders!L395,"")</f>
        <v>1.96</v>
      </c>
      <c r="AG398" s="34">
        <f>IF(E398=1,Orders!P395,"")</f>
        <v>9.6</v>
      </c>
      <c r="AH398" s="34">
        <f>IF(E398=1,Orders!Q395,"")</f>
        <v>9.1</v>
      </c>
      <c r="AI398" s="34">
        <f>IF(E398=1,Orders!M395,"")</f>
        <v>3.7</v>
      </c>
      <c r="AJ398" s="34">
        <f>IF(E398=1,Orders!N395,"")</f>
        <v>1.5</v>
      </c>
      <c r="AK398" s="34">
        <f>IF(E398=1,Orders!O395,"")</f>
        <v>3.9</v>
      </c>
      <c r="AL398" s="33">
        <f>IF(E398=1,IF(ROUND(ABS(AI398+AJ398+AK398-AH398),6)&lt;=0.1,1,0),"")</f>
        <v>1</v>
      </c>
      <c r="AM398" s="36">
        <f>IF(E398=1,AI398/AH398,"")</f>
        <v>0.406593406593407</v>
      </c>
      <c r="AN398" s="36">
        <f>IF(E398=1,AJ398/AH398,"")</f>
        <v>0.164835164835165</v>
      </c>
      <c r="AO398" s="36">
        <f>IF(E398=1,AK398/AH398,"")</f>
        <v>0.428571428571429</v>
      </c>
      <c r="AP398" s="34">
        <f>IF(E398=1,Orders!Y395,"")</f>
        <v>0.52</v>
      </c>
      <c r="AQ398" s="33">
        <f>IF(Orders!X395,1,0)</f>
        <v>0</v>
      </c>
      <c r="AR398" s="34" t="str">
        <f>IF(AND(E398=1,L398=1),AJ398,"")</f>
        <v/>
      </c>
      <c r="AS398" s="34">
        <f>IF(AND(E398=1,L398=0),AJ398,"")</f>
        <v>1.5</v>
      </c>
      <c r="AT398" s="34" t="str">
        <f>IF(AND(E398=1,L398=1),AI398,"")</f>
        <v/>
      </c>
      <c r="AU398" s="34">
        <f>IF(AND(E398=1,L398=0),AI398,"")</f>
        <v>3.7</v>
      </c>
      <c r="AV398" s="34" t="str">
        <f>IF(AND(E398=1,L398=1),AG398,"")</f>
        <v/>
      </c>
      <c r="AW398" s="34">
        <f>IF(AND(E398=1,L398=0),AG398,"")</f>
        <v>9.6</v>
      </c>
      <c r="AX398" s="34" t="str">
        <f>IF(AND(E398=1,L398=1),AH398,"")</f>
        <v/>
      </c>
      <c r="AY398" s="34">
        <f>IF(AND(E398=1,L398=0),AH398,"")</f>
        <v>9.1</v>
      </c>
      <c r="AZ398" s="34" t="str">
        <f>IF(G398=1,F398,"")</f>
        <v/>
      </c>
      <c r="BA398" s="34" t="str">
        <f>IF(AND(G398=1,L398=1),F398,"")</f>
        <v/>
      </c>
      <c r="BB398" s="34" t="str">
        <f>IF(AND(G398=1,L398=0),F398,"")</f>
        <v/>
      </c>
      <c r="BC398" s="33">
        <f>IF(E398=1,IF(Orders!R395&gt;3,1,0),"")</f>
        <v>0</v>
      </c>
      <c r="BD398" s="33">
        <f>IF(E398=1,IF(Orders!R395&gt;7,1,0),"")</f>
        <v>0</v>
      </c>
      <c r="BE398" s="32" t="str">
        <f>IF(E398=1,IF(Orders!L395&lt;=1.5,"Up to 1.5 km",IF(Orders!L395&lt;=3,"1.5–3 km","Over 3 km")),"")</f>
        <v>1.5–3 km</v>
      </c>
      <c r="BF398" s="33">
        <f>IF(E398=1,IF(ABS((Orders!G395-Orders!F395)*1440-Orders!R395)&lt;0.06,1,0),"")</f>
        <v>1</v>
      </c>
      <c r="BG398" s="33">
        <f>IF(ABS((Orders!F395-Orders!E395)*1440-Orders!P395)&lt;0.06,1,0)</f>
        <v>1</v>
      </c>
      <c r="BH398" s="33">
        <f>IF(E398=1,IF(IF(Orders!S395,1,0)=1-G398,1,0),"")</f>
        <v>1</v>
      </c>
      <c r="BI398" s="32" t="str">
        <f>INDEX(Stores!$B$2:$B$21,MATCH(B398,Stores!$A$2:$A$21,0))</f>
        <v>Delhi</v>
      </c>
    </row>
    <row r="399">
      <c r="A399" s="32" t="str">
        <f>Orders!A396</f>
        <v>O00395</v>
      </c>
      <c r="B399" s="32" t="str">
        <f>Orders!C396</f>
        <v>S011</v>
      </c>
      <c r="C399" s="32" t="str">
        <f>Orders!B396</f>
        <v>C0033</v>
      </c>
      <c r="D399" s="32" t="str">
        <f>Orders!H396</f>
        <v>Delivered</v>
      </c>
      <c r="E399" s="33">
        <f>IF(Orders!H396="Delivered",1,0)</f>
        <v>1</v>
      </c>
      <c r="F399" s="34">
        <f>IF(E399=1,Orders!R396,"")</f>
        <v>-0.5</v>
      </c>
      <c r="G399" s="33">
        <f>IF(E399=1,IF(Orders!R396&gt;0,1,0),"")</f>
        <v>0</v>
      </c>
      <c r="H399" s="33">
        <f>IF(E399=1,IF(Orders!R396&gt;5,1,0),"")</f>
        <v>0</v>
      </c>
      <c r="I399" s="32" t="str">
        <f>IF(E399=1,"",IF(OR(Orders!T396="Rider unavailable",Orders!T396="Item unavailable"),"Company-caused","Unresolved"))</f>
        <v/>
      </c>
      <c r="J399" s="33">
        <f>IF(OR(E399=1,I399="Company-caused"),1,0)</f>
        <v>1</v>
      </c>
      <c r="K399" s="32" t="str">
        <f>IF(E399=0,IF(I399="Company-caused",IF(Orders!T396="Rider unavailable","C1 Rider unavailable","C2 Item unavailable"),"Outside root: unresolved"),IF(G399=0,"A On time",IF(H399=1,IF(L399=1,"B2a Severe, peak","B2b Severe, off-peak"),IF(L399=1,"B1a Slight, peak","B1b Slight, off-peak"))))</f>
        <v>A On time</v>
      </c>
      <c r="L399" s="33">
        <f>IF(AND(Orders!U396&gt;=19,Orders!U396&lt;22),1,0)</f>
        <v>0</v>
      </c>
      <c r="M399" s="33">
        <f>IF(L399=IF(Orders!V396,1,0),1,0)</f>
        <v>1</v>
      </c>
      <c r="N399" s="32" t="str">
        <f>IF(Orders!W396="","None",Orders!W396)</f>
        <v>None</v>
      </c>
      <c r="O399" s="35">
        <f>INT(Orders!E396)</f>
        <v>46277.0</v>
      </c>
      <c r="P399" s="33">
        <f>Orders!U396</f>
        <v>12</v>
      </c>
      <c r="Q399" s="33">
        <f>COUNTIFS(Demand!$A$2:$A$4481,B399,Demand!$B$2:$B$4481,O399,Demand!$C$2:$C$4481,P399)</f>
        <v>1</v>
      </c>
      <c r="R399" s="33">
        <f>IF(Q399=1,SUMIFS(Demand!$E$2:$E$4481,Demand!$A$2:$A$4481,B399,Demand!$B$2:$B$4481,O399,Demand!$C$2:$C$4481,P399),"")</f>
        <v>38</v>
      </c>
      <c r="S399" s="33">
        <f>INDEX(Stores!$G$2:$G$21,MATCH(B399,Stores!$A$2:$A$21,0))</f>
        <v>31</v>
      </c>
      <c r="T399" s="34">
        <f>IF(R399="","",R399/S399)</f>
        <v>1.2258064516129</v>
      </c>
      <c r="U399" s="34">
        <f>IF(E399=1,T399,"")</f>
        <v>1.2258064516129</v>
      </c>
      <c r="V399" s="34">
        <f>IF(AND(E399=1,L399=0),T399,"")</f>
        <v>1.2258064516129</v>
      </c>
      <c r="W399" s="33">
        <f>IF(U399="","",IF(U399&lt;=Breakdowns!$C$5,1,IF(U399&lt;=Breakdowns!$C$6,2,IF(U399&lt;=Breakdowns!$C$7,3,4))))</f>
        <v>4</v>
      </c>
      <c r="X399" s="33">
        <f>IF(V399="","",IF(V399&lt;=Breakdowns!$D$5,1,IF(V399&lt;=Breakdowns!$D$6,2,IF(V399&lt;=Breakdowns!$D$7,3,4))))</f>
        <v>4</v>
      </c>
      <c r="Y399" s="34">
        <f>INDEX(Stores!$F$2:$F$21,MATCH(B399,Stores!$A$2:$A$21,0))</f>
        <v>5.67</v>
      </c>
      <c r="Z399" s="33">
        <f>IF(Y399&gt;Store_Summary!$M$2,1,0)</f>
        <v>1</v>
      </c>
      <c r="AA399" s="33">
        <f>INDEX(Stores!$C$2:$C$21,MATCH(B399,Stores!$A$2:$A$21,0))</f>
        <v>732</v>
      </c>
      <c r="AB399" s="33">
        <f>IF(AA399&lt;180,1,0)</f>
        <v>0</v>
      </c>
      <c r="AC399" s="32" t="str">
        <f>IF(Orders!D396="","",INDEX(Riders!$C$2:$C$81,MATCH(Orders!D396,Riders!$A$2:$A$81,0)))</f>
        <v>Bicycle</v>
      </c>
      <c r="AD399" s="33">
        <f>IF(Orders!D396="","",INDEX(Riders!$D$2:$D$81,MATCH(Orders!D396,Riders!$A$2:$A$81,0)))</f>
        <v>2</v>
      </c>
      <c r="AE399" s="33">
        <f>IF(Orders!D396="","",IF(INDEX(Riders!$B$2:$B$81,MATCH(Orders!D396,Riders!$A$2:$A$81,0))=B399,1,0))</f>
        <v>0</v>
      </c>
      <c r="AF399" s="34">
        <f>IF(E399=1,Orders!L396,"")</f>
        <v>0.5</v>
      </c>
      <c r="AG399" s="34">
        <f>IF(E399=1,Orders!P396,"")</f>
        <v>8.2</v>
      </c>
      <c r="AH399" s="34">
        <f>IF(E399=1,Orders!Q396,"")</f>
        <v>7.7</v>
      </c>
      <c r="AI399" s="34">
        <f>IF(E399=1,Orders!M396,"")</f>
        <v>3.7</v>
      </c>
      <c r="AJ399" s="34">
        <f>IF(E399=1,Orders!N396,"")</f>
        <v>2.9</v>
      </c>
      <c r="AK399" s="34">
        <f>IF(E399=1,Orders!O396,"")</f>
        <v>1.1</v>
      </c>
      <c r="AL399" s="33">
        <f>IF(E399=1,IF(ROUND(ABS(AI399+AJ399+AK399-AH399),6)&lt;=0.1,1,0),"")</f>
        <v>1</v>
      </c>
      <c r="AM399" s="36">
        <f>IF(E399=1,AI399/AH399,"")</f>
        <v>0.480519480519481</v>
      </c>
      <c r="AN399" s="36">
        <f>IF(E399=1,AJ399/AH399,"")</f>
        <v>0.376623376623377</v>
      </c>
      <c r="AO399" s="36">
        <f>IF(E399=1,AK399/AH399,"")</f>
        <v>0.142857142857143</v>
      </c>
      <c r="AP399" s="34">
        <f>IF(E399=1,Orders!Y396,"")</f>
        <v>0.38</v>
      </c>
      <c r="AQ399" s="33">
        <f>IF(Orders!X396,1,0)</f>
        <v>0</v>
      </c>
      <c r="AR399" s="34" t="str">
        <f>IF(AND(E399=1,L399=1),AJ399,"")</f>
        <v/>
      </c>
      <c r="AS399" s="34">
        <f>IF(AND(E399=1,L399=0),AJ399,"")</f>
        <v>2.9</v>
      </c>
      <c r="AT399" s="34" t="str">
        <f>IF(AND(E399=1,L399=1),AI399,"")</f>
        <v/>
      </c>
      <c r="AU399" s="34">
        <f>IF(AND(E399=1,L399=0),AI399,"")</f>
        <v>3.7</v>
      </c>
      <c r="AV399" s="34" t="str">
        <f>IF(AND(E399=1,L399=1),AG399,"")</f>
        <v/>
      </c>
      <c r="AW399" s="34">
        <f>IF(AND(E399=1,L399=0),AG399,"")</f>
        <v>8.2</v>
      </c>
      <c r="AX399" s="34" t="str">
        <f>IF(AND(E399=1,L399=1),AH399,"")</f>
        <v/>
      </c>
      <c r="AY399" s="34">
        <f>IF(AND(E399=1,L399=0),AH399,"")</f>
        <v>7.7</v>
      </c>
      <c r="AZ399" s="34" t="str">
        <f>IF(G399=1,F399,"")</f>
        <v/>
      </c>
      <c r="BA399" s="34" t="str">
        <f>IF(AND(G399=1,L399=1),F399,"")</f>
        <v/>
      </c>
      <c r="BB399" s="34" t="str">
        <f>IF(AND(G399=1,L399=0),F399,"")</f>
        <v/>
      </c>
      <c r="BC399" s="33">
        <f>IF(E399=1,IF(Orders!R396&gt;3,1,0),"")</f>
        <v>0</v>
      </c>
      <c r="BD399" s="33">
        <f>IF(E399=1,IF(Orders!R396&gt;7,1,0),"")</f>
        <v>0</v>
      </c>
      <c r="BE399" s="32" t="str">
        <f>IF(E399=1,IF(Orders!L396&lt;=1.5,"Up to 1.5 km",IF(Orders!L396&lt;=3,"1.5–3 km","Over 3 km")),"")</f>
        <v>Up to 1.5 km</v>
      </c>
      <c r="BF399" s="33">
        <f>IF(E399=1,IF(ABS((Orders!G396-Orders!F396)*1440-Orders!R396)&lt;0.06,1,0),"")</f>
        <v>1</v>
      </c>
      <c r="BG399" s="33">
        <f>IF(ABS((Orders!F396-Orders!E396)*1440-Orders!P396)&lt;0.06,1,0)</f>
        <v>1</v>
      </c>
      <c r="BH399" s="33">
        <f>IF(E399=1,IF(IF(Orders!S396,1,0)=1-G399,1,0),"")</f>
        <v>1</v>
      </c>
      <c r="BI399" s="32" t="str">
        <f>INDEX(Stores!$B$2:$B$21,MATCH(B399,Stores!$A$2:$A$21,0))</f>
        <v>Bengaluru</v>
      </c>
    </row>
    <row r="400">
      <c r="A400" s="32" t="str">
        <f>Orders!A397</f>
        <v>O00396</v>
      </c>
      <c r="B400" s="32" t="str">
        <f>Orders!C397</f>
        <v>S006</v>
      </c>
      <c r="C400" s="32" t="str">
        <f>Orders!B397</f>
        <v>C0204</v>
      </c>
      <c r="D400" s="32" t="str">
        <f>Orders!H397</f>
        <v>Delivered</v>
      </c>
      <c r="E400" s="33">
        <f>IF(Orders!H397="Delivered",1,0)</f>
        <v>1</v>
      </c>
      <c r="F400" s="34">
        <f>IF(E400=1,Orders!R397,"")</f>
        <v>-0.8</v>
      </c>
      <c r="G400" s="33">
        <f>IF(E400=1,IF(Orders!R397&gt;0,1,0),"")</f>
        <v>0</v>
      </c>
      <c r="H400" s="33">
        <f>IF(E400=1,IF(Orders!R397&gt;5,1,0),"")</f>
        <v>0</v>
      </c>
      <c r="I400" s="32" t="str">
        <f>IF(E400=1,"",IF(OR(Orders!T397="Rider unavailable",Orders!T397="Item unavailable"),"Company-caused","Unresolved"))</f>
        <v/>
      </c>
      <c r="J400" s="33">
        <f>IF(OR(E400=1,I400="Company-caused"),1,0)</f>
        <v>1</v>
      </c>
      <c r="K400" s="32" t="str">
        <f>IF(E400=0,IF(I400="Company-caused",IF(Orders!T397="Rider unavailable","C1 Rider unavailable","C2 Item unavailable"),"Outside root: unresolved"),IF(G400=0,"A On time",IF(H400=1,IF(L400=1,"B2a Severe, peak","B2b Severe, off-peak"),IF(L400=1,"B1a Slight, peak","B1b Slight, off-peak"))))</f>
        <v>A On time</v>
      </c>
      <c r="L400" s="33">
        <f>IF(AND(Orders!U397&gt;=19,Orders!U397&lt;22),1,0)</f>
        <v>1</v>
      </c>
      <c r="M400" s="33">
        <f>IF(L400=IF(Orders!V397,1,0),1,0)</f>
        <v>1</v>
      </c>
      <c r="N400" s="32" t="str">
        <f>IF(Orders!W397="","None",Orders!W397)</f>
        <v>Heavy</v>
      </c>
      <c r="O400" s="35">
        <f>INT(Orders!E397)</f>
        <v>46273.0</v>
      </c>
      <c r="P400" s="33">
        <f>Orders!U397</f>
        <v>20</v>
      </c>
      <c r="Q400" s="33">
        <f>COUNTIFS(Demand!$A$2:$A$4481,B400,Demand!$B$2:$B$4481,O400,Demand!$C$2:$C$4481,P400)</f>
        <v>1</v>
      </c>
      <c r="R400" s="33">
        <f>IF(Q400=1,SUMIFS(Demand!$E$2:$E$4481,Demand!$A$2:$A$4481,B400,Demand!$B$2:$B$4481,O400,Demand!$C$2:$C$4481,P400),"")</f>
        <v>39</v>
      </c>
      <c r="S400" s="33">
        <f>INDEX(Stores!$G$2:$G$21,MATCH(B400,Stores!$A$2:$A$21,0))</f>
        <v>26</v>
      </c>
      <c r="T400" s="34">
        <f>IF(R400="","",R400/S400)</f>
        <v>1.5</v>
      </c>
      <c r="U400" s="34">
        <f>IF(E400=1,T400,"")</f>
        <v>1.5</v>
      </c>
      <c r="V400" s="34" t="str">
        <f>IF(AND(E400=1,L400=0),T400,"")</f>
        <v/>
      </c>
      <c r="W400" s="33">
        <f>IF(U400="","",IF(U400&lt;=Breakdowns!$C$5,1,IF(U400&lt;=Breakdowns!$C$6,2,IF(U400&lt;=Breakdowns!$C$7,3,4))))</f>
        <v>4</v>
      </c>
      <c r="X400" s="33" t="str">
        <f>IF(V400="","",IF(V400&lt;=Breakdowns!$D$5,1,IF(V400&lt;=Breakdowns!$D$6,2,IF(V400&lt;=Breakdowns!$D$7,3,4))))</f>
        <v/>
      </c>
      <c r="Y400" s="34">
        <f>INDEX(Stores!$F$2:$F$21,MATCH(B400,Stores!$A$2:$A$21,0))</f>
        <v>5.22</v>
      </c>
      <c r="Z400" s="33">
        <f>IF(Y400&gt;Store_Summary!$M$2,1,0)</f>
        <v>1</v>
      </c>
      <c r="AA400" s="33">
        <f>INDEX(Stores!$C$2:$C$21,MATCH(B400,Stores!$A$2:$A$21,0))</f>
        <v>412</v>
      </c>
      <c r="AB400" s="33">
        <f>IF(AA400&lt;180,1,0)</f>
        <v>0</v>
      </c>
      <c r="AC400" s="32" t="str">
        <f>IF(Orders!D397="","",INDEX(Riders!$C$2:$C$81,MATCH(Orders!D397,Riders!$A$2:$A$81,0)))</f>
        <v>Bicycle</v>
      </c>
      <c r="AD400" s="33">
        <f>IF(Orders!D397="","",INDEX(Riders!$D$2:$D$81,MATCH(Orders!D397,Riders!$A$2:$A$81,0)))</f>
        <v>2</v>
      </c>
      <c r="AE400" s="33">
        <f>IF(Orders!D397="","",IF(INDEX(Riders!$B$2:$B$81,MATCH(Orders!D397,Riders!$A$2:$A$81,0))=B400,1,0))</f>
        <v>0</v>
      </c>
      <c r="AF400" s="34">
        <f>IF(E400=1,Orders!L397,"")</f>
        <v>2.61</v>
      </c>
      <c r="AG400" s="34">
        <f>IF(E400=1,Orders!P397,"")</f>
        <v>8.5</v>
      </c>
      <c r="AH400" s="34">
        <f>IF(E400=1,Orders!Q397,"")</f>
        <v>7.7</v>
      </c>
      <c r="AI400" s="34">
        <f>IF(E400=1,Orders!M397,"")</f>
        <v>1.9</v>
      </c>
      <c r="AJ400" s="34">
        <f>IF(E400=1,Orders!N397,"")</f>
        <v>2.7</v>
      </c>
      <c r="AK400" s="34">
        <f>IF(E400=1,Orders!O397,"")</f>
        <v>3.1</v>
      </c>
      <c r="AL400" s="33">
        <f>IF(E400=1,IF(ROUND(ABS(AI400+AJ400+AK400-AH400),6)&lt;=0.1,1,0),"")</f>
        <v>1</v>
      </c>
      <c r="AM400" s="36">
        <f>IF(E400=1,AI400/AH400,"")</f>
        <v>0.246753246753247</v>
      </c>
      <c r="AN400" s="36">
        <f>IF(E400=1,AJ400/AH400,"")</f>
        <v>0.350649350649351</v>
      </c>
      <c r="AO400" s="36">
        <f>IF(E400=1,AK400/AH400,"")</f>
        <v>0.402597402597403</v>
      </c>
      <c r="AP400" s="34">
        <f>IF(E400=1,Orders!Y397,"")</f>
        <v>0.99</v>
      </c>
      <c r="AQ400" s="33">
        <f>IF(Orders!X397,1,0)</f>
        <v>0</v>
      </c>
      <c r="AR400" s="34">
        <f>IF(AND(E400=1,L400=1),AJ400,"")</f>
        <v>2.7</v>
      </c>
      <c r="AS400" s="34" t="str">
        <f>IF(AND(E400=1,L400=0),AJ400,"")</f>
        <v/>
      </c>
      <c r="AT400" s="34">
        <f>IF(AND(E400=1,L400=1),AI400,"")</f>
        <v>1.9</v>
      </c>
      <c r="AU400" s="34" t="str">
        <f>IF(AND(E400=1,L400=0),AI400,"")</f>
        <v/>
      </c>
      <c r="AV400" s="34">
        <f>IF(AND(E400=1,L400=1),AG400,"")</f>
        <v>8.5</v>
      </c>
      <c r="AW400" s="34" t="str">
        <f>IF(AND(E400=1,L400=0),AG400,"")</f>
        <v/>
      </c>
      <c r="AX400" s="34">
        <f>IF(AND(E400=1,L400=1),AH400,"")</f>
        <v>7.7</v>
      </c>
      <c r="AY400" s="34" t="str">
        <f>IF(AND(E400=1,L400=0),AH400,"")</f>
        <v/>
      </c>
      <c r="AZ400" s="34" t="str">
        <f>IF(G400=1,F400,"")</f>
        <v/>
      </c>
      <c r="BA400" s="34" t="str">
        <f>IF(AND(G400=1,L400=1),F400,"")</f>
        <v/>
      </c>
      <c r="BB400" s="34" t="str">
        <f>IF(AND(G400=1,L400=0),F400,"")</f>
        <v/>
      </c>
      <c r="BC400" s="33">
        <f>IF(E400=1,IF(Orders!R397&gt;3,1,0),"")</f>
        <v>0</v>
      </c>
      <c r="BD400" s="33">
        <f>IF(E400=1,IF(Orders!R397&gt;7,1,0),"")</f>
        <v>0</v>
      </c>
      <c r="BE400" s="32" t="str">
        <f>IF(E400=1,IF(Orders!L397&lt;=1.5,"Up to 1.5 km",IF(Orders!L397&lt;=3,"1.5–3 km","Over 3 km")),"")</f>
        <v>1.5–3 km</v>
      </c>
      <c r="BF400" s="33">
        <f>IF(E400=1,IF(ABS((Orders!G397-Orders!F397)*1440-Orders!R397)&lt;0.06,1,0),"")</f>
        <v>1</v>
      </c>
      <c r="BG400" s="33">
        <f>IF(ABS((Orders!F397-Orders!E397)*1440-Orders!P397)&lt;0.06,1,0)</f>
        <v>1</v>
      </c>
      <c r="BH400" s="33">
        <f>IF(E400=1,IF(IF(Orders!S397,1,0)=1-G400,1,0),"")</f>
        <v>1</v>
      </c>
      <c r="BI400" s="32" t="str">
        <f>INDEX(Stores!$B$2:$B$21,MATCH(B400,Stores!$A$2:$A$21,0))</f>
        <v>Bengaluru</v>
      </c>
    </row>
    <row r="401">
      <c r="A401" s="32" t="str">
        <f>Orders!A398</f>
        <v>O00397</v>
      </c>
      <c r="B401" s="32" t="str">
        <f>Orders!C398</f>
        <v>S012</v>
      </c>
      <c r="C401" s="32" t="str">
        <f>Orders!B398</f>
        <v>C0235</v>
      </c>
      <c r="D401" s="32" t="str">
        <f>Orders!H398</f>
        <v>Delivered</v>
      </c>
      <c r="E401" s="33">
        <f>IF(Orders!H398="Delivered",1,0)</f>
        <v>1</v>
      </c>
      <c r="F401" s="34">
        <f>IF(E401=1,Orders!R398,"")</f>
        <v>5</v>
      </c>
      <c r="G401" s="33">
        <f>IF(E401=1,IF(Orders!R398&gt;0,1,0),"")</f>
        <v>1</v>
      </c>
      <c r="H401" s="33">
        <f>IF(E401=1,IF(Orders!R398&gt;5,1,0),"")</f>
        <v>0</v>
      </c>
      <c r="I401" s="32" t="str">
        <f>IF(E401=1,"",IF(OR(Orders!T398="Rider unavailable",Orders!T398="Item unavailable"),"Company-caused","Unresolved"))</f>
        <v/>
      </c>
      <c r="J401" s="33">
        <f>IF(OR(E401=1,I401="Company-caused"),1,0)</f>
        <v>1</v>
      </c>
      <c r="K401" s="32" t="str">
        <f>IF(E401=0,IF(I401="Company-caused",IF(Orders!T398="Rider unavailable","C1 Rider unavailable","C2 Item unavailable"),"Outside root: unresolved"),IF(G401=0,"A On time",IF(H401=1,IF(L401=1,"B2a Severe, peak","B2b Severe, off-peak"),IF(L401=1,"B1a Slight, peak","B1b Slight, off-peak"))))</f>
        <v>B1b Slight, off-peak</v>
      </c>
      <c r="L401" s="33">
        <f>IF(AND(Orders!U398&gt;=19,Orders!U398&lt;22),1,0)</f>
        <v>0</v>
      </c>
      <c r="M401" s="33">
        <f>IF(L401=IF(Orders!V398,1,0),1,0)</f>
        <v>1</v>
      </c>
      <c r="N401" s="32" t="str">
        <f>IF(Orders!W398="","None",Orders!W398)</f>
        <v>None</v>
      </c>
      <c r="O401" s="35">
        <f>INT(Orders!E398)</f>
        <v>46278.0</v>
      </c>
      <c r="P401" s="33">
        <f>Orders!U398</f>
        <v>16</v>
      </c>
      <c r="Q401" s="33">
        <f>COUNTIFS(Demand!$A$2:$A$4481,B401,Demand!$B$2:$B$4481,O401,Demand!$C$2:$C$4481,P401)</f>
        <v>1</v>
      </c>
      <c r="R401" s="33">
        <f>IF(Q401=1,SUMIFS(Demand!$E$2:$E$4481,Demand!$A$2:$A$4481,B401,Demand!$B$2:$B$4481,O401,Demand!$C$2:$C$4481,P401),"")</f>
        <v>14</v>
      </c>
      <c r="S401" s="33">
        <f>INDEX(Stores!$G$2:$G$21,MATCH(B401,Stores!$A$2:$A$21,0))</f>
        <v>15</v>
      </c>
      <c r="T401" s="34">
        <f>IF(R401="","",R401/S401)</f>
        <v>0.933333333333333</v>
      </c>
      <c r="U401" s="34">
        <f>IF(E401=1,T401,"")</f>
        <v>0.933333333333333</v>
      </c>
      <c r="V401" s="34">
        <f>IF(AND(E401=1,L401=0),T401,"")</f>
        <v>0.933333333333333</v>
      </c>
      <c r="W401" s="33">
        <f>IF(U401="","",IF(U401&lt;=Breakdowns!$C$5,1,IF(U401&lt;=Breakdowns!$C$6,2,IF(U401&lt;=Breakdowns!$C$7,3,4))))</f>
        <v>2</v>
      </c>
      <c r="X401" s="33">
        <f>IF(V401="","",IF(V401&lt;=Breakdowns!$D$5,1,IF(V401&lt;=Breakdowns!$D$6,2,IF(V401&lt;=Breakdowns!$D$7,3,4))))</f>
        <v>3</v>
      </c>
      <c r="Y401" s="34">
        <f>INDEX(Stores!$F$2:$F$21,MATCH(B401,Stores!$A$2:$A$21,0))</f>
        <v>5.23</v>
      </c>
      <c r="Z401" s="33">
        <f>IF(Y401&gt;Store_Summary!$M$2,1,0)</f>
        <v>1</v>
      </c>
      <c r="AA401" s="33">
        <f>INDEX(Stores!$C$2:$C$21,MATCH(B401,Stores!$A$2:$A$21,0))</f>
        <v>300</v>
      </c>
      <c r="AB401" s="33">
        <f>IF(AA401&lt;180,1,0)</f>
        <v>0</v>
      </c>
      <c r="AC401" s="32" t="str">
        <f>IF(Orders!D398="","",INDEX(Riders!$C$2:$C$81,MATCH(Orders!D398,Riders!$A$2:$A$81,0)))</f>
        <v>Bicycle</v>
      </c>
      <c r="AD401" s="33">
        <f>IF(Orders!D398="","",INDEX(Riders!$D$2:$D$81,MATCH(Orders!D398,Riders!$A$2:$A$81,0)))</f>
        <v>40</v>
      </c>
      <c r="AE401" s="33">
        <f>IF(Orders!D398="","",IF(INDEX(Riders!$B$2:$B$81,MATCH(Orders!D398,Riders!$A$2:$A$81,0))=B401,1,0))</f>
        <v>0</v>
      </c>
      <c r="AF401" s="34">
        <f>IF(E401=1,Orders!L398,"")</f>
        <v>2.6</v>
      </c>
      <c r="AG401" s="34">
        <f>IF(E401=1,Orders!P398,"")</f>
        <v>11.8</v>
      </c>
      <c r="AH401" s="34">
        <f>IF(E401=1,Orders!Q398,"")</f>
        <v>16.8</v>
      </c>
      <c r="AI401" s="34">
        <f>IF(E401=1,Orders!M398,"")</f>
        <v>5.2</v>
      </c>
      <c r="AJ401" s="34">
        <f>IF(E401=1,Orders!N398,"")</f>
        <v>4.6</v>
      </c>
      <c r="AK401" s="34">
        <f>IF(E401=1,Orders!O398,"")</f>
        <v>7.1</v>
      </c>
      <c r="AL401" s="33">
        <f>IF(E401=1,IF(ROUND(ABS(AI401+AJ401+AK401-AH401),6)&lt;=0.1,1,0),"")</f>
        <v>1</v>
      </c>
      <c r="AM401" s="36">
        <f>IF(E401=1,AI401/AH401,"")</f>
        <v>0.30952380952381</v>
      </c>
      <c r="AN401" s="36">
        <f>IF(E401=1,AJ401/AH401,"")</f>
        <v>0.273809523809524</v>
      </c>
      <c r="AO401" s="36">
        <f>IF(E401=1,AK401/AH401,"")</f>
        <v>0.422619047619048</v>
      </c>
      <c r="AP401" s="34">
        <f>IF(E401=1,Orders!Y398,"")</f>
        <v>0.34</v>
      </c>
      <c r="AQ401" s="33">
        <f>IF(Orders!X398,1,0)</f>
        <v>0</v>
      </c>
      <c r="AR401" s="34" t="str">
        <f>IF(AND(E401=1,L401=1),AJ401,"")</f>
        <v/>
      </c>
      <c r="AS401" s="34">
        <f>IF(AND(E401=1,L401=0),AJ401,"")</f>
        <v>4.6</v>
      </c>
      <c r="AT401" s="34" t="str">
        <f>IF(AND(E401=1,L401=1),AI401,"")</f>
        <v/>
      </c>
      <c r="AU401" s="34">
        <f>IF(AND(E401=1,L401=0),AI401,"")</f>
        <v>5.2</v>
      </c>
      <c r="AV401" s="34" t="str">
        <f>IF(AND(E401=1,L401=1),AG401,"")</f>
        <v/>
      </c>
      <c r="AW401" s="34">
        <f>IF(AND(E401=1,L401=0),AG401,"")</f>
        <v>11.8</v>
      </c>
      <c r="AX401" s="34" t="str">
        <f>IF(AND(E401=1,L401=1),AH401,"")</f>
        <v/>
      </c>
      <c r="AY401" s="34">
        <f>IF(AND(E401=1,L401=0),AH401,"")</f>
        <v>16.8</v>
      </c>
      <c r="AZ401" s="34">
        <f>IF(G401=1,F401,"")</f>
        <v>5</v>
      </c>
      <c r="BA401" s="34" t="str">
        <f>IF(AND(G401=1,L401=1),F401,"")</f>
        <v/>
      </c>
      <c r="BB401" s="34">
        <f>IF(AND(G401=1,L401=0),F401,"")</f>
        <v>5</v>
      </c>
      <c r="BC401" s="33">
        <f>IF(E401=1,IF(Orders!R398&gt;3,1,0),"")</f>
        <v>1</v>
      </c>
      <c r="BD401" s="33">
        <f>IF(E401=1,IF(Orders!R398&gt;7,1,0),"")</f>
        <v>0</v>
      </c>
      <c r="BE401" s="32" t="str">
        <f>IF(E401=1,IF(Orders!L398&lt;=1.5,"Up to 1.5 km",IF(Orders!L398&lt;=3,"1.5–3 km","Over 3 km")),"")</f>
        <v>1.5–3 km</v>
      </c>
      <c r="BF401" s="33">
        <f>IF(E401=1,IF(ABS((Orders!G398-Orders!F398)*1440-Orders!R398)&lt;0.06,1,0),"")</f>
        <v>1</v>
      </c>
      <c r="BG401" s="33">
        <f>IF(ABS((Orders!F398-Orders!E398)*1440-Orders!P398)&lt;0.06,1,0)</f>
        <v>1</v>
      </c>
      <c r="BH401" s="33">
        <f>IF(E401=1,IF(IF(Orders!S398,1,0)=1-G401,1,0),"")</f>
        <v>1</v>
      </c>
      <c r="BI401" s="32" t="str">
        <f>INDEX(Stores!$B$2:$B$21,MATCH(B401,Stores!$A$2:$A$21,0))</f>
        <v>Hyderabad</v>
      </c>
    </row>
    <row r="402">
      <c r="A402" s="32" t="str">
        <f>Orders!A399</f>
        <v>O00398</v>
      </c>
      <c r="B402" s="32" t="str">
        <f>Orders!C399</f>
        <v>S017</v>
      </c>
      <c r="C402" s="32" t="str">
        <f>Orders!B399</f>
        <v>C0030</v>
      </c>
      <c r="D402" s="32" t="str">
        <f>Orders!H399</f>
        <v>Delivered</v>
      </c>
      <c r="E402" s="33">
        <f>IF(Orders!H399="Delivered",1,0)</f>
        <v>1</v>
      </c>
      <c r="F402" s="34">
        <f>IF(E402=1,Orders!R399,"")</f>
        <v>-1.1</v>
      </c>
      <c r="G402" s="33">
        <f>IF(E402=1,IF(Orders!R399&gt;0,1,0),"")</f>
        <v>0</v>
      </c>
      <c r="H402" s="33">
        <f>IF(E402=1,IF(Orders!R399&gt;5,1,0),"")</f>
        <v>0</v>
      </c>
      <c r="I402" s="32" t="str">
        <f>IF(E402=1,"",IF(OR(Orders!T399="Rider unavailable",Orders!T399="Item unavailable"),"Company-caused","Unresolved"))</f>
        <v/>
      </c>
      <c r="J402" s="33">
        <f>IF(OR(E402=1,I402="Company-caused"),1,0)</f>
        <v>1</v>
      </c>
      <c r="K402" s="32" t="str">
        <f>IF(E402=0,IF(I402="Company-caused",IF(Orders!T399="Rider unavailable","C1 Rider unavailable","C2 Item unavailable"),"Outside root: unresolved"),IF(G402=0,"A On time",IF(H402=1,IF(L402=1,"B2a Severe, peak","B2b Severe, off-peak"),IF(L402=1,"B1a Slight, peak","B1b Slight, off-peak"))))</f>
        <v>A On time</v>
      </c>
      <c r="L402" s="33">
        <f>IF(AND(Orders!U399&gt;=19,Orders!U399&lt;22),1,0)</f>
        <v>0</v>
      </c>
      <c r="M402" s="33">
        <f>IF(L402=IF(Orders!V399,1,0),1,0)</f>
        <v>1</v>
      </c>
      <c r="N402" s="32" t="str">
        <f>IF(Orders!W399="","None",Orders!W399)</f>
        <v>None</v>
      </c>
      <c r="O402" s="35">
        <f>INT(Orders!E399)</f>
        <v>46276.0</v>
      </c>
      <c r="P402" s="33">
        <f>Orders!U399</f>
        <v>8</v>
      </c>
      <c r="Q402" s="33">
        <f>COUNTIFS(Demand!$A$2:$A$4481,B402,Demand!$B$2:$B$4481,O402,Demand!$C$2:$C$4481,P402)</f>
        <v>1</v>
      </c>
      <c r="R402" s="33">
        <f>IF(Q402=1,SUMIFS(Demand!$E$2:$E$4481,Demand!$A$2:$A$4481,B402,Demand!$B$2:$B$4481,O402,Demand!$C$2:$C$4481,P402),"")</f>
        <v>17</v>
      </c>
      <c r="S402" s="33">
        <f>INDEX(Stores!$G$2:$G$21,MATCH(B402,Stores!$A$2:$A$21,0))</f>
        <v>36</v>
      </c>
      <c r="T402" s="34">
        <f>IF(R402="","",R402/S402)</f>
        <v>0.472222222222222</v>
      </c>
      <c r="U402" s="34">
        <f>IF(E402=1,T402,"")</f>
        <v>0.472222222222222</v>
      </c>
      <c r="V402" s="34">
        <f>IF(AND(E402=1,L402=0),T402,"")</f>
        <v>0.472222222222222</v>
      </c>
      <c r="W402" s="33">
        <f>IF(U402="","",IF(U402&lt;=Breakdowns!$C$5,1,IF(U402&lt;=Breakdowns!$C$6,2,IF(U402&lt;=Breakdowns!$C$7,3,4))))</f>
        <v>1</v>
      </c>
      <c r="X402" s="33">
        <f>IF(V402="","",IF(V402&lt;=Breakdowns!$D$5,1,IF(V402&lt;=Breakdowns!$D$6,2,IF(V402&lt;=Breakdowns!$D$7,3,4))))</f>
        <v>1</v>
      </c>
      <c r="Y402" s="34">
        <f>INDEX(Stores!$F$2:$F$21,MATCH(B402,Stores!$A$2:$A$21,0))</f>
        <v>2.16</v>
      </c>
      <c r="Z402" s="33">
        <f>IF(Y402&gt;Store_Summary!$M$2,1,0)</f>
        <v>0</v>
      </c>
      <c r="AA402" s="33">
        <f>INDEX(Stores!$C$2:$C$21,MATCH(B402,Stores!$A$2:$A$21,0))</f>
        <v>47</v>
      </c>
      <c r="AB402" s="33">
        <f>IF(AA402&lt;180,1,0)</f>
        <v>1</v>
      </c>
      <c r="AC402" s="32" t="str">
        <f>IF(Orders!D399="","",INDEX(Riders!$C$2:$C$81,MATCH(Orders!D399,Riders!$A$2:$A$81,0)))</f>
        <v>Petrol scooter</v>
      </c>
      <c r="AD402" s="33">
        <f>IF(Orders!D399="","",INDEX(Riders!$D$2:$D$81,MATCH(Orders!D399,Riders!$A$2:$A$81,0)))</f>
        <v>29</v>
      </c>
      <c r="AE402" s="33">
        <f>IF(Orders!D399="","",IF(INDEX(Riders!$B$2:$B$81,MATCH(Orders!D399,Riders!$A$2:$A$81,0))=B402,1,0))</f>
        <v>0</v>
      </c>
      <c r="AF402" s="34">
        <f>IF(E402=1,Orders!L399,"")</f>
        <v>0.76</v>
      </c>
      <c r="AG402" s="34">
        <f>IF(E402=1,Orders!P399,"")</f>
        <v>11.5</v>
      </c>
      <c r="AH402" s="34">
        <f>IF(E402=1,Orders!Q399,"")</f>
        <v>10.4</v>
      </c>
      <c r="AI402" s="34">
        <f>IF(E402=1,Orders!M399,"")</f>
        <v>3.3</v>
      </c>
      <c r="AJ402" s="34">
        <f>IF(E402=1,Orders!N399,"")</f>
        <v>4.4</v>
      </c>
      <c r="AK402" s="34">
        <f>IF(E402=1,Orders!O399,"")</f>
        <v>2.7</v>
      </c>
      <c r="AL402" s="33">
        <f>IF(E402=1,IF(ROUND(ABS(AI402+AJ402+AK402-AH402),6)&lt;=0.1,1,0),"")</f>
        <v>1</v>
      </c>
      <c r="AM402" s="36">
        <f>IF(E402=1,AI402/AH402,"")</f>
        <v>0.317307692307692</v>
      </c>
      <c r="AN402" s="36">
        <f>IF(E402=1,AJ402/AH402,"")</f>
        <v>0.423076923076923</v>
      </c>
      <c r="AO402" s="36">
        <f>IF(E402=1,AK402/AH402,"")</f>
        <v>0.259615384615385</v>
      </c>
      <c r="AP402" s="34">
        <f>IF(E402=1,Orders!Y399,"")</f>
        <v>0.57</v>
      </c>
      <c r="AQ402" s="33">
        <f>IF(Orders!X399,1,0)</f>
        <v>0</v>
      </c>
      <c r="AR402" s="34" t="str">
        <f>IF(AND(E402=1,L402=1),AJ402,"")</f>
        <v/>
      </c>
      <c r="AS402" s="34">
        <f>IF(AND(E402=1,L402=0),AJ402,"")</f>
        <v>4.4</v>
      </c>
      <c r="AT402" s="34" t="str">
        <f>IF(AND(E402=1,L402=1),AI402,"")</f>
        <v/>
      </c>
      <c r="AU402" s="34">
        <f>IF(AND(E402=1,L402=0),AI402,"")</f>
        <v>3.3</v>
      </c>
      <c r="AV402" s="34" t="str">
        <f>IF(AND(E402=1,L402=1),AG402,"")</f>
        <v/>
      </c>
      <c r="AW402" s="34">
        <f>IF(AND(E402=1,L402=0),AG402,"")</f>
        <v>11.5</v>
      </c>
      <c r="AX402" s="34" t="str">
        <f>IF(AND(E402=1,L402=1),AH402,"")</f>
        <v/>
      </c>
      <c r="AY402" s="34">
        <f>IF(AND(E402=1,L402=0),AH402,"")</f>
        <v>10.4</v>
      </c>
      <c r="AZ402" s="34" t="str">
        <f>IF(G402=1,F402,"")</f>
        <v/>
      </c>
      <c r="BA402" s="34" t="str">
        <f>IF(AND(G402=1,L402=1),F402,"")</f>
        <v/>
      </c>
      <c r="BB402" s="34" t="str">
        <f>IF(AND(G402=1,L402=0),F402,"")</f>
        <v/>
      </c>
      <c r="BC402" s="33">
        <f>IF(E402=1,IF(Orders!R399&gt;3,1,0),"")</f>
        <v>0</v>
      </c>
      <c r="BD402" s="33">
        <f>IF(E402=1,IF(Orders!R399&gt;7,1,0),"")</f>
        <v>0</v>
      </c>
      <c r="BE402" s="32" t="str">
        <f>IF(E402=1,IF(Orders!L399&lt;=1.5,"Up to 1.5 km",IF(Orders!L399&lt;=3,"1.5–3 km","Over 3 km")),"")</f>
        <v>Up to 1.5 km</v>
      </c>
      <c r="BF402" s="33">
        <f>IF(E402=1,IF(ABS((Orders!G399-Orders!F399)*1440-Orders!R399)&lt;0.06,1,0),"")</f>
        <v>1</v>
      </c>
      <c r="BG402" s="33">
        <f>IF(ABS((Orders!F399-Orders!E399)*1440-Orders!P399)&lt;0.06,1,0)</f>
        <v>1</v>
      </c>
      <c r="BH402" s="33">
        <f>IF(E402=1,IF(IF(Orders!S399,1,0)=1-G402,1,0),"")</f>
        <v>1</v>
      </c>
      <c r="BI402" s="32" t="str">
        <f>INDEX(Stores!$B$2:$B$21,MATCH(B402,Stores!$A$2:$A$21,0))</f>
        <v>Hyderabad</v>
      </c>
    </row>
    <row r="403">
      <c r="A403" s="32" t="str">
        <f>Orders!A400</f>
        <v>O00399</v>
      </c>
      <c r="B403" s="32" t="str">
        <f>Orders!C400</f>
        <v>S008</v>
      </c>
      <c r="C403" s="32" t="str">
        <f>Orders!B400</f>
        <v>C0215</v>
      </c>
      <c r="D403" s="32" t="str">
        <f>Orders!H400</f>
        <v>Delivered</v>
      </c>
      <c r="E403" s="33">
        <f>IF(Orders!H400="Delivered",1,0)</f>
        <v>1</v>
      </c>
      <c r="F403" s="34">
        <f>IF(E403=1,Orders!R400,"")</f>
        <v>-0.9</v>
      </c>
      <c r="G403" s="33">
        <f>IF(E403=1,IF(Orders!R400&gt;0,1,0),"")</f>
        <v>0</v>
      </c>
      <c r="H403" s="33">
        <f>IF(E403=1,IF(Orders!R400&gt;5,1,0),"")</f>
        <v>0</v>
      </c>
      <c r="I403" s="32" t="str">
        <f>IF(E403=1,"",IF(OR(Orders!T400="Rider unavailable",Orders!T400="Item unavailable"),"Company-caused","Unresolved"))</f>
        <v/>
      </c>
      <c r="J403" s="33">
        <f>IF(OR(E403=1,I403="Company-caused"),1,0)</f>
        <v>1</v>
      </c>
      <c r="K403" s="32" t="str">
        <f>IF(E403=0,IF(I403="Company-caused",IF(Orders!T400="Rider unavailable","C1 Rider unavailable","C2 Item unavailable"),"Outside root: unresolved"),IF(G403=0,"A On time",IF(H403=1,IF(L403=1,"B2a Severe, peak","B2b Severe, off-peak"),IF(L403=1,"B1a Slight, peak","B1b Slight, off-peak"))))</f>
        <v>A On time</v>
      </c>
      <c r="L403" s="33">
        <f>IF(AND(Orders!U400&gt;=19,Orders!U400&lt;22),1,0)</f>
        <v>1</v>
      </c>
      <c r="M403" s="33">
        <f>IF(L403=IF(Orders!V400,1,0),1,0)</f>
        <v>1</v>
      </c>
      <c r="N403" s="32" t="str">
        <f>IF(Orders!W400="","None",Orders!W400)</f>
        <v>Light</v>
      </c>
      <c r="O403" s="35">
        <f>INT(Orders!E400)</f>
        <v>46277.0</v>
      </c>
      <c r="P403" s="33">
        <f>Orders!U400</f>
        <v>20</v>
      </c>
      <c r="Q403" s="33">
        <f>COUNTIFS(Demand!$A$2:$A$4481,B403,Demand!$B$2:$B$4481,O403,Demand!$C$2:$C$4481,P403)</f>
        <v>1</v>
      </c>
      <c r="R403" s="33">
        <f>IF(Q403=1,SUMIFS(Demand!$E$2:$E$4481,Demand!$A$2:$A$4481,B403,Demand!$B$2:$B$4481,O403,Demand!$C$2:$C$4481,P403),"")</f>
        <v>36</v>
      </c>
      <c r="S403" s="33">
        <f>INDEX(Stores!$G$2:$G$21,MATCH(B403,Stores!$A$2:$A$21,0))</f>
        <v>23</v>
      </c>
      <c r="T403" s="34">
        <f>IF(R403="","",R403/S403)</f>
        <v>1.56521739130435</v>
      </c>
      <c r="U403" s="34">
        <f>IF(E403=1,T403,"")</f>
        <v>1.56521739130435</v>
      </c>
      <c r="V403" s="34" t="str">
        <f>IF(AND(E403=1,L403=0),T403,"")</f>
        <v/>
      </c>
      <c r="W403" s="33">
        <f>IF(U403="","",IF(U403&lt;=Breakdowns!$C$5,1,IF(U403&lt;=Breakdowns!$C$6,2,IF(U403&lt;=Breakdowns!$C$7,3,4))))</f>
        <v>4</v>
      </c>
      <c r="X403" s="33" t="str">
        <f>IF(V403="","",IF(V403&lt;=Breakdowns!$D$5,1,IF(V403&lt;=Breakdowns!$D$6,2,IF(V403&lt;=Breakdowns!$D$7,3,4))))</f>
        <v/>
      </c>
      <c r="Y403" s="34">
        <f>INDEX(Stores!$F$2:$F$21,MATCH(B403,Stores!$A$2:$A$21,0))</f>
        <v>3.46</v>
      </c>
      <c r="Z403" s="33">
        <f>IF(Y403&gt;Store_Summary!$M$2,1,0)</f>
        <v>0</v>
      </c>
      <c r="AA403" s="33">
        <f>INDEX(Stores!$C$2:$C$21,MATCH(B403,Stores!$A$2:$A$21,0))</f>
        <v>825</v>
      </c>
      <c r="AB403" s="33">
        <f>IF(AA403&lt;180,1,0)</f>
        <v>0</v>
      </c>
      <c r="AC403" s="32" t="str">
        <f>IF(Orders!D400="","",INDEX(Riders!$C$2:$C$81,MATCH(Orders!D400,Riders!$A$2:$A$81,0)))</f>
        <v>EV scooter</v>
      </c>
      <c r="AD403" s="33">
        <f>IF(Orders!D400="","",INDEX(Riders!$D$2:$D$81,MATCH(Orders!D400,Riders!$A$2:$A$81,0)))</f>
        <v>38</v>
      </c>
      <c r="AE403" s="33">
        <f>IF(Orders!D400="","",IF(INDEX(Riders!$B$2:$B$81,MATCH(Orders!D400,Riders!$A$2:$A$81,0))=B403,1,0))</f>
        <v>0</v>
      </c>
      <c r="AF403" s="34">
        <f>IF(E403=1,Orders!L400,"")</f>
        <v>3.31</v>
      </c>
      <c r="AG403" s="34">
        <f>IF(E403=1,Orders!P400,"")</f>
        <v>9.3</v>
      </c>
      <c r="AH403" s="34">
        <f>IF(E403=1,Orders!Q400,"")</f>
        <v>8.4</v>
      </c>
      <c r="AI403" s="34">
        <f>IF(E403=1,Orders!M400,"")</f>
        <v>1.8</v>
      </c>
      <c r="AJ403" s="34">
        <f>IF(E403=1,Orders!N400,"")</f>
        <v>3.2</v>
      </c>
      <c r="AK403" s="34">
        <f>IF(E403=1,Orders!O400,"")</f>
        <v>3.4</v>
      </c>
      <c r="AL403" s="33">
        <f>IF(E403=1,IF(ROUND(ABS(AI403+AJ403+AK403-AH403),6)&lt;=0.1,1,0),"")</f>
        <v>1</v>
      </c>
      <c r="AM403" s="36">
        <f>IF(E403=1,AI403/AH403,"")</f>
        <v>0.214285714285714</v>
      </c>
      <c r="AN403" s="36">
        <f>IF(E403=1,AJ403/AH403,"")</f>
        <v>0.380952380952381</v>
      </c>
      <c r="AO403" s="36">
        <f>IF(E403=1,AK403/AH403,"")</f>
        <v>0.404761904761905</v>
      </c>
      <c r="AP403" s="34">
        <f>IF(E403=1,Orders!Y400,"")</f>
        <v>0.64</v>
      </c>
      <c r="AQ403" s="33">
        <f>IF(Orders!X400,1,0)</f>
        <v>0</v>
      </c>
      <c r="AR403" s="34">
        <f>IF(AND(E403=1,L403=1),AJ403,"")</f>
        <v>3.2</v>
      </c>
      <c r="AS403" s="34" t="str">
        <f>IF(AND(E403=1,L403=0),AJ403,"")</f>
        <v/>
      </c>
      <c r="AT403" s="34">
        <f>IF(AND(E403=1,L403=1),AI403,"")</f>
        <v>1.8</v>
      </c>
      <c r="AU403" s="34" t="str">
        <f>IF(AND(E403=1,L403=0),AI403,"")</f>
        <v/>
      </c>
      <c r="AV403" s="34">
        <f>IF(AND(E403=1,L403=1),AG403,"")</f>
        <v>9.3</v>
      </c>
      <c r="AW403" s="34" t="str">
        <f>IF(AND(E403=1,L403=0),AG403,"")</f>
        <v/>
      </c>
      <c r="AX403" s="34">
        <f>IF(AND(E403=1,L403=1),AH403,"")</f>
        <v>8.4</v>
      </c>
      <c r="AY403" s="34" t="str">
        <f>IF(AND(E403=1,L403=0),AH403,"")</f>
        <v/>
      </c>
      <c r="AZ403" s="34" t="str">
        <f>IF(G403=1,F403,"")</f>
        <v/>
      </c>
      <c r="BA403" s="34" t="str">
        <f>IF(AND(G403=1,L403=1),F403,"")</f>
        <v/>
      </c>
      <c r="BB403" s="34" t="str">
        <f>IF(AND(G403=1,L403=0),F403,"")</f>
        <v/>
      </c>
      <c r="BC403" s="33">
        <f>IF(E403=1,IF(Orders!R400&gt;3,1,0),"")</f>
        <v>0</v>
      </c>
      <c r="BD403" s="33">
        <f>IF(E403=1,IF(Orders!R400&gt;7,1,0),"")</f>
        <v>0</v>
      </c>
      <c r="BE403" s="32" t="str">
        <f>IF(E403=1,IF(Orders!L400&lt;=1.5,"Up to 1.5 km",IF(Orders!L400&lt;=3,"1.5–3 km","Over 3 km")),"")</f>
        <v>Over 3 km</v>
      </c>
      <c r="BF403" s="33">
        <f>IF(E403=1,IF(ABS((Orders!G400-Orders!F400)*1440-Orders!R400)&lt;0.06,1,0),"")</f>
        <v>1</v>
      </c>
      <c r="BG403" s="33">
        <f>IF(ABS((Orders!F400-Orders!E400)*1440-Orders!P400)&lt;0.06,1,0)</f>
        <v>1</v>
      </c>
      <c r="BH403" s="33">
        <f>IF(E403=1,IF(IF(Orders!S400,1,0)=1-G403,1,0),"")</f>
        <v>1</v>
      </c>
      <c r="BI403" s="32" t="str">
        <f>INDEX(Stores!$B$2:$B$21,MATCH(B403,Stores!$A$2:$A$21,0))</f>
        <v>Mumbai</v>
      </c>
    </row>
    <row r="404">
      <c r="A404" s="32" t="str">
        <f>Orders!A401</f>
        <v>O00400</v>
      </c>
      <c r="B404" s="32" t="str">
        <f>Orders!C401</f>
        <v>S006</v>
      </c>
      <c r="C404" s="32" t="str">
        <f>Orders!B401</f>
        <v>C0108</v>
      </c>
      <c r="D404" s="32" t="str">
        <f>Orders!H401</f>
        <v>Delivered</v>
      </c>
      <c r="E404" s="33">
        <f>IF(Orders!H401="Delivered",1,0)</f>
        <v>1</v>
      </c>
      <c r="F404" s="34">
        <f>IF(E404=1,Orders!R401,"")</f>
        <v>-0.4</v>
      </c>
      <c r="G404" s="33">
        <f>IF(E404=1,IF(Orders!R401&gt;0,1,0),"")</f>
        <v>0</v>
      </c>
      <c r="H404" s="33">
        <f>IF(E404=1,IF(Orders!R401&gt;5,1,0),"")</f>
        <v>0</v>
      </c>
      <c r="I404" s="32" t="str">
        <f>IF(E404=1,"",IF(OR(Orders!T401="Rider unavailable",Orders!T401="Item unavailable"),"Company-caused","Unresolved"))</f>
        <v/>
      </c>
      <c r="J404" s="33">
        <f>IF(OR(E404=1,I404="Company-caused"),1,0)</f>
        <v>1</v>
      </c>
      <c r="K404" s="32" t="str">
        <f>IF(E404=0,IF(I404="Company-caused",IF(Orders!T401="Rider unavailable","C1 Rider unavailable","C2 Item unavailable"),"Outside root: unresolved"),IF(G404=0,"A On time",IF(H404=1,IF(L404=1,"B2a Severe, peak","B2b Severe, off-peak"),IF(L404=1,"B1a Slight, peak","B1b Slight, off-peak"))))</f>
        <v>A On time</v>
      </c>
      <c r="L404" s="33">
        <f>IF(AND(Orders!U401&gt;=19,Orders!U401&lt;22),1,0)</f>
        <v>0</v>
      </c>
      <c r="M404" s="33">
        <f>IF(L404=IF(Orders!V401,1,0),1,0)</f>
        <v>1</v>
      </c>
      <c r="N404" s="32" t="str">
        <f>IF(Orders!W401="","None",Orders!W401)</f>
        <v>None</v>
      </c>
      <c r="O404" s="35">
        <f>INT(Orders!E401)</f>
        <v>46276.0</v>
      </c>
      <c r="P404" s="33">
        <f>Orders!U401</f>
        <v>17</v>
      </c>
      <c r="Q404" s="33">
        <f>COUNTIFS(Demand!$A$2:$A$4481,B404,Demand!$B$2:$B$4481,O404,Demand!$C$2:$C$4481,P404)</f>
        <v>1</v>
      </c>
      <c r="R404" s="33">
        <f>IF(Q404=1,SUMIFS(Demand!$E$2:$E$4481,Demand!$A$2:$A$4481,B404,Demand!$B$2:$B$4481,O404,Demand!$C$2:$C$4481,P404),"")</f>
        <v>25</v>
      </c>
      <c r="S404" s="33">
        <f>INDEX(Stores!$G$2:$G$21,MATCH(B404,Stores!$A$2:$A$21,0))</f>
        <v>26</v>
      </c>
      <c r="T404" s="34">
        <f>IF(R404="","",R404/S404)</f>
        <v>0.961538461538462</v>
      </c>
      <c r="U404" s="34">
        <f>IF(E404=1,T404,"")</f>
        <v>0.961538461538462</v>
      </c>
      <c r="V404" s="34">
        <f>IF(AND(E404=1,L404=0),T404,"")</f>
        <v>0.961538461538462</v>
      </c>
      <c r="W404" s="33">
        <f>IF(U404="","",IF(U404&lt;=Breakdowns!$C$5,1,IF(U404&lt;=Breakdowns!$C$6,2,IF(U404&lt;=Breakdowns!$C$7,3,4))))</f>
        <v>2</v>
      </c>
      <c r="X404" s="33">
        <f>IF(V404="","",IF(V404&lt;=Breakdowns!$D$5,1,IF(V404&lt;=Breakdowns!$D$6,2,IF(V404&lt;=Breakdowns!$D$7,3,4))))</f>
        <v>3</v>
      </c>
      <c r="Y404" s="34">
        <f>INDEX(Stores!$F$2:$F$21,MATCH(B404,Stores!$A$2:$A$21,0))</f>
        <v>5.22</v>
      </c>
      <c r="Z404" s="33">
        <f>IF(Y404&gt;Store_Summary!$M$2,1,0)</f>
        <v>1</v>
      </c>
      <c r="AA404" s="33">
        <f>INDEX(Stores!$C$2:$C$21,MATCH(B404,Stores!$A$2:$A$21,0))</f>
        <v>412</v>
      </c>
      <c r="AB404" s="33">
        <f>IF(AA404&lt;180,1,0)</f>
        <v>0</v>
      </c>
      <c r="AC404" s="32" t="str">
        <f>IF(Orders!D401="","",INDEX(Riders!$C$2:$C$81,MATCH(Orders!D401,Riders!$A$2:$A$81,0)))</f>
        <v>Petrol scooter</v>
      </c>
      <c r="AD404" s="33">
        <f>IF(Orders!D401="","",INDEX(Riders!$D$2:$D$81,MATCH(Orders!D401,Riders!$A$2:$A$81,0)))</f>
        <v>15</v>
      </c>
      <c r="AE404" s="33">
        <f>IF(Orders!D401="","",IF(INDEX(Riders!$B$2:$B$81,MATCH(Orders!D401,Riders!$A$2:$A$81,0))=B404,1,0))</f>
        <v>0</v>
      </c>
      <c r="AF404" s="34">
        <f>IF(E404=1,Orders!L401,"")</f>
        <v>1.92</v>
      </c>
      <c r="AG404" s="34">
        <f>IF(E404=1,Orders!P401,"")</f>
        <v>9.6</v>
      </c>
      <c r="AH404" s="34">
        <f>IF(E404=1,Orders!Q401,"")</f>
        <v>9.2</v>
      </c>
      <c r="AI404" s="34">
        <f>IF(E404=1,Orders!M401,"")</f>
        <v>4</v>
      </c>
      <c r="AJ404" s="34">
        <f>IF(E404=1,Orders!N401,"")</f>
        <v>1.9</v>
      </c>
      <c r="AK404" s="34">
        <f>IF(E404=1,Orders!O401,"")</f>
        <v>3.3</v>
      </c>
      <c r="AL404" s="33">
        <f>IF(E404=1,IF(ROUND(ABS(AI404+AJ404+AK404-AH404),6)&lt;=0.1,1,0),"")</f>
        <v>1</v>
      </c>
      <c r="AM404" s="36">
        <f>IF(E404=1,AI404/AH404,"")</f>
        <v>0.434782608695652</v>
      </c>
      <c r="AN404" s="36">
        <f>IF(E404=1,AJ404/AH404,"")</f>
        <v>0.206521739130435</v>
      </c>
      <c r="AO404" s="36">
        <f>IF(E404=1,AK404/AH404,"")</f>
        <v>0.358695652173913</v>
      </c>
      <c r="AP404" s="34">
        <f>IF(E404=1,Orders!Y401,"")</f>
        <v>0.45</v>
      </c>
      <c r="AQ404" s="33">
        <f>IF(Orders!X401,1,0)</f>
        <v>0</v>
      </c>
      <c r="AR404" s="34" t="str">
        <f>IF(AND(E404=1,L404=1),AJ404,"")</f>
        <v/>
      </c>
      <c r="AS404" s="34">
        <f>IF(AND(E404=1,L404=0),AJ404,"")</f>
        <v>1.9</v>
      </c>
      <c r="AT404" s="34" t="str">
        <f>IF(AND(E404=1,L404=1),AI404,"")</f>
        <v/>
      </c>
      <c r="AU404" s="34">
        <f>IF(AND(E404=1,L404=0),AI404,"")</f>
        <v>4</v>
      </c>
      <c r="AV404" s="34" t="str">
        <f>IF(AND(E404=1,L404=1),AG404,"")</f>
        <v/>
      </c>
      <c r="AW404" s="34">
        <f>IF(AND(E404=1,L404=0),AG404,"")</f>
        <v>9.6</v>
      </c>
      <c r="AX404" s="34" t="str">
        <f>IF(AND(E404=1,L404=1),AH404,"")</f>
        <v/>
      </c>
      <c r="AY404" s="34">
        <f>IF(AND(E404=1,L404=0),AH404,"")</f>
        <v>9.2</v>
      </c>
      <c r="AZ404" s="34" t="str">
        <f>IF(G404=1,F404,"")</f>
        <v/>
      </c>
      <c r="BA404" s="34" t="str">
        <f>IF(AND(G404=1,L404=1),F404,"")</f>
        <v/>
      </c>
      <c r="BB404" s="34" t="str">
        <f>IF(AND(G404=1,L404=0),F404,"")</f>
        <v/>
      </c>
      <c r="BC404" s="33">
        <f>IF(E404=1,IF(Orders!R401&gt;3,1,0),"")</f>
        <v>0</v>
      </c>
      <c r="BD404" s="33">
        <f>IF(E404=1,IF(Orders!R401&gt;7,1,0),"")</f>
        <v>0</v>
      </c>
      <c r="BE404" s="32" t="str">
        <f>IF(E404=1,IF(Orders!L401&lt;=1.5,"Up to 1.5 km",IF(Orders!L401&lt;=3,"1.5–3 km","Over 3 km")),"")</f>
        <v>1.5–3 km</v>
      </c>
      <c r="BF404" s="33">
        <f>IF(E404=1,IF(ABS((Orders!G401-Orders!F401)*1440-Orders!R401)&lt;0.06,1,0),"")</f>
        <v>1</v>
      </c>
      <c r="BG404" s="33">
        <f>IF(ABS((Orders!F401-Orders!E401)*1440-Orders!P401)&lt;0.06,1,0)</f>
        <v>1</v>
      </c>
      <c r="BH404" s="33">
        <f>IF(E404=1,IF(IF(Orders!S401,1,0)=1-G404,1,0),"")</f>
        <v>1</v>
      </c>
      <c r="BI404" s="32" t="str">
        <f>INDEX(Stores!$B$2:$B$21,MATCH(B404,Stores!$A$2:$A$21,0))</f>
        <v>Bengaluru</v>
      </c>
    </row>
    <row r="405">
      <c r="A405" s="32" t="str">
        <f>Orders!A402</f>
        <v>O00401</v>
      </c>
      <c r="B405" s="32" t="str">
        <f>Orders!C402</f>
        <v>S018</v>
      </c>
      <c r="C405" s="32" t="str">
        <f>Orders!B402</f>
        <v>C0243</v>
      </c>
      <c r="D405" s="32" t="str">
        <f>Orders!H402</f>
        <v>Delivered</v>
      </c>
      <c r="E405" s="33">
        <f>IF(Orders!H402="Delivered",1,0)</f>
        <v>1</v>
      </c>
      <c r="F405" s="34">
        <f>IF(E405=1,Orders!R402,"")</f>
        <v>7.5</v>
      </c>
      <c r="G405" s="33">
        <f>IF(E405=1,IF(Orders!R402&gt;0,1,0),"")</f>
        <v>1</v>
      </c>
      <c r="H405" s="33">
        <f>IF(E405=1,IF(Orders!R402&gt;5,1,0),"")</f>
        <v>1</v>
      </c>
      <c r="I405" s="32" t="str">
        <f>IF(E405=1,"",IF(OR(Orders!T402="Rider unavailable",Orders!T402="Item unavailable"),"Company-caused","Unresolved"))</f>
        <v/>
      </c>
      <c r="J405" s="33">
        <f>IF(OR(E405=1,I405="Company-caused"),1,0)</f>
        <v>1</v>
      </c>
      <c r="K405" s="32" t="str">
        <f>IF(E405=0,IF(I405="Company-caused",IF(Orders!T402="Rider unavailable","C1 Rider unavailable","C2 Item unavailable"),"Outside root: unresolved"),IF(G405=0,"A On time",IF(H405=1,IF(L405=1,"B2a Severe, peak","B2b Severe, off-peak"),IF(L405=1,"B1a Slight, peak","B1b Slight, off-peak"))))</f>
        <v>B2b Severe, off-peak</v>
      </c>
      <c r="L405" s="33">
        <f>IF(AND(Orders!U402&gt;=19,Orders!U402&lt;22),1,0)</f>
        <v>0</v>
      </c>
      <c r="M405" s="33">
        <f>IF(L405=IF(Orders!V402,1,0),1,0)</f>
        <v>1</v>
      </c>
      <c r="N405" s="32" t="str">
        <f>IF(Orders!W402="","None",Orders!W402)</f>
        <v>Light</v>
      </c>
      <c r="O405" s="35">
        <f>INT(Orders!E402)</f>
        <v>46276.0</v>
      </c>
      <c r="P405" s="33">
        <f>Orders!U402</f>
        <v>15</v>
      </c>
      <c r="Q405" s="33">
        <f>COUNTIFS(Demand!$A$2:$A$4481,B405,Demand!$B$2:$B$4481,O405,Demand!$C$2:$C$4481,P405)</f>
        <v>1</v>
      </c>
      <c r="R405" s="33">
        <f>IF(Q405=1,SUMIFS(Demand!$E$2:$E$4481,Demand!$A$2:$A$4481,B405,Demand!$B$2:$B$4481,O405,Demand!$C$2:$C$4481,P405),"")</f>
        <v>15</v>
      </c>
      <c r="S405" s="33">
        <f>INDEX(Stores!$G$2:$G$21,MATCH(B405,Stores!$A$2:$A$21,0))</f>
        <v>20</v>
      </c>
      <c r="T405" s="34">
        <f>IF(R405="","",R405/S405)</f>
        <v>0.75</v>
      </c>
      <c r="U405" s="34">
        <f>IF(E405=1,T405,"")</f>
        <v>0.75</v>
      </c>
      <c r="V405" s="34">
        <f>IF(AND(E405=1,L405=0),T405,"")</f>
        <v>0.75</v>
      </c>
      <c r="W405" s="33">
        <f>IF(U405="","",IF(U405&lt;=Breakdowns!$C$5,1,IF(U405&lt;=Breakdowns!$C$6,2,IF(U405&lt;=Breakdowns!$C$7,3,4))))</f>
        <v>1</v>
      </c>
      <c r="X405" s="33">
        <f>IF(V405="","",IF(V405&lt;=Breakdowns!$D$5,1,IF(V405&lt;=Breakdowns!$D$6,2,IF(V405&lt;=Breakdowns!$D$7,3,4))))</f>
        <v>1</v>
      </c>
      <c r="Y405" s="34">
        <f>INDEX(Stores!$F$2:$F$21,MATCH(B405,Stores!$A$2:$A$21,0))</f>
        <v>5.31</v>
      </c>
      <c r="Z405" s="33">
        <f>IF(Y405&gt;Store_Summary!$M$2,1,0)</f>
        <v>1</v>
      </c>
      <c r="AA405" s="33">
        <f>INDEX(Stores!$C$2:$C$21,MATCH(B405,Stores!$A$2:$A$21,0))</f>
        <v>214</v>
      </c>
      <c r="AB405" s="33">
        <f>IF(AA405&lt;180,1,0)</f>
        <v>0</v>
      </c>
      <c r="AC405" s="32" t="str">
        <f>IF(Orders!D402="","",INDEX(Riders!$C$2:$C$81,MATCH(Orders!D402,Riders!$A$2:$A$81,0)))</f>
        <v>EV scooter</v>
      </c>
      <c r="AD405" s="33">
        <f>IF(Orders!D402="","",INDEX(Riders!$D$2:$D$81,MATCH(Orders!D402,Riders!$A$2:$A$81,0)))</f>
        <v>39</v>
      </c>
      <c r="AE405" s="33">
        <f>IF(Orders!D402="","",IF(INDEX(Riders!$B$2:$B$81,MATCH(Orders!D402,Riders!$A$2:$A$81,0))=B405,1,0))</f>
        <v>0</v>
      </c>
      <c r="AF405" s="34">
        <f>IF(E405=1,Orders!L402,"")</f>
        <v>3.82</v>
      </c>
      <c r="AG405" s="34">
        <f>IF(E405=1,Orders!P402,"")</f>
        <v>11.6</v>
      </c>
      <c r="AH405" s="34">
        <f>IF(E405=1,Orders!Q402,"")</f>
        <v>19.1</v>
      </c>
      <c r="AI405" s="34">
        <f>IF(E405=1,Orders!M402,"")</f>
        <v>5.5</v>
      </c>
      <c r="AJ405" s="34">
        <f>IF(E405=1,Orders!N402,"")</f>
        <v>3.2</v>
      </c>
      <c r="AK405" s="34">
        <f>IF(E405=1,Orders!O402,"")</f>
        <v>10.4</v>
      </c>
      <c r="AL405" s="33">
        <f>IF(E405=1,IF(ROUND(ABS(AI405+AJ405+AK405-AH405),6)&lt;=0.1,1,0),"")</f>
        <v>1</v>
      </c>
      <c r="AM405" s="36">
        <f>IF(E405=1,AI405/AH405,"")</f>
        <v>0.287958115183246</v>
      </c>
      <c r="AN405" s="36">
        <f>IF(E405=1,AJ405/AH405,"")</f>
        <v>0.167539267015707</v>
      </c>
      <c r="AO405" s="36">
        <f>IF(E405=1,AK405/AH405,"")</f>
        <v>0.544502617801047</v>
      </c>
      <c r="AP405" s="34">
        <f>IF(E405=1,Orders!Y402,"")</f>
        <v>0.66</v>
      </c>
      <c r="AQ405" s="33">
        <f>IF(Orders!X402,1,0)</f>
        <v>0</v>
      </c>
      <c r="AR405" s="34" t="str">
        <f>IF(AND(E405=1,L405=1),AJ405,"")</f>
        <v/>
      </c>
      <c r="AS405" s="34">
        <f>IF(AND(E405=1,L405=0),AJ405,"")</f>
        <v>3.2</v>
      </c>
      <c r="AT405" s="34" t="str">
        <f>IF(AND(E405=1,L405=1),AI405,"")</f>
        <v/>
      </c>
      <c r="AU405" s="34">
        <f>IF(AND(E405=1,L405=0),AI405,"")</f>
        <v>5.5</v>
      </c>
      <c r="AV405" s="34" t="str">
        <f>IF(AND(E405=1,L405=1),AG405,"")</f>
        <v/>
      </c>
      <c r="AW405" s="34">
        <f>IF(AND(E405=1,L405=0),AG405,"")</f>
        <v>11.6</v>
      </c>
      <c r="AX405" s="34" t="str">
        <f>IF(AND(E405=1,L405=1),AH405,"")</f>
        <v/>
      </c>
      <c r="AY405" s="34">
        <f>IF(AND(E405=1,L405=0),AH405,"")</f>
        <v>19.1</v>
      </c>
      <c r="AZ405" s="34">
        <f>IF(G405=1,F405,"")</f>
        <v>7.5</v>
      </c>
      <c r="BA405" s="34" t="str">
        <f>IF(AND(G405=1,L405=1),F405,"")</f>
        <v/>
      </c>
      <c r="BB405" s="34">
        <f>IF(AND(G405=1,L405=0),F405,"")</f>
        <v>7.5</v>
      </c>
      <c r="BC405" s="33">
        <f>IF(E405=1,IF(Orders!R402&gt;3,1,0),"")</f>
        <v>1</v>
      </c>
      <c r="BD405" s="33">
        <f>IF(E405=1,IF(Orders!R402&gt;7,1,0),"")</f>
        <v>1</v>
      </c>
      <c r="BE405" s="32" t="str">
        <f>IF(E405=1,IF(Orders!L402&lt;=1.5,"Up to 1.5 km",IF(Orders!L402&lt;=3,"1.5–3 km","Over 3 km")),"")</f>
        <v>Over 3 km</v>
      </c>
      <c r="BF405" s="33">
        <f>IF(E405=1,IF(ABS((Orders!G402-Orders!F402)*1440-Orders!R402)&lt;0.06,1,0),"")</f>
        <v>1</v>
      </c>
      <c r="BG405" s="33">
        <f>IF(ABS((Orders!F402-Orders!E402)*1440-Orders!P402)&lt;0.06,1,0)</f>
        <v>1</v>
      </c>
      <c r="BH405" s="33">
        <f>IF(E405=1,IF(IF(Orders!S402,1,0)=1-G405,1,0),"")</f>
        <v>1</v>
      </c>
      <c r="BI405" s="32" t="str">
        <f>INDEX(Stores!$B$2:$B$21,MATCH(B405,Stores!$A$2:$A$21,0))</f>
        <v>Mumbai</v>
      </c>
    </row>
    <row r="406">
      <c r="A406" s="32" t="str">
        <f>Orders!A403</f>
        <v>O00402</v>
      </c>
      <c r="B406" s="32" t="str">
        <f>Orders!C403</f>
        <v>S004</v>
      </c>
      <c r="C406" s="32" t="str">
        <f>Orders!B403</f>
        <v>C0004</v>
      </c>
      <c r="D406" s="32" t="str">
        <f>Orders!H403</f>
        <v>Delivered</v>
      </c>
      <c r="E406" s="33">
        <f>IF(Orders!H403="Delivered",1,0)</f>
        <v>1</v>
      </c>
      <c r="F406" s="34">
        <f>IF(E406=1,Orders!R403,"")</f>
        <v>11.8</v>
      </c>
      <c r="G406" s="33">
        <f>IF(E406=1,IF(Orders!R403&gt;0,1,0),"")</f>
        <v>1</v>
      </c>
      <c r="H406" s="33">
        <f>IF(E406=1,IF(Orders!R403&gt;5,1,0),"")</f>
        <v>1</v>
      </c>
      <c r="I406" s="32" t="str">
        <f>IF(E406=1,"",IF(OR(Orders!T403="Rider unavailable",Orders!T403="Item unavailable"),"Company-caused","Unresolved"))</f>
        <v/>
      </c>
      <c r="J406" s="33">
        <f>IF(OR(E406=1,I406="Company-caused"),1,0)</f>
        <v>1</v>
      </c>
      <c r="K406" s="32" t="str">
        <f>IF(E406=0,IF(I406="Company-caused",IF(Orders!T403="Rider unavailable","C1 Rider unavailable","C2 Item unavailable"),"Outside root: unresolved"),IF(G406=0,"A On time",IF(H406=1,IF(L406=1,"B2a Severe, peak","B2b Severe, off-peak"),IF(L406=1,"B1a Slight, peak","B1b Slight, off-peak"))))</f>
        <v>B2a Severe, peak</v>
      </c>
      <c r="L406" s="33">
        <f>IF(AND(Orders!U403&gt;=19,Orders!U403&lt;22),1,0)</f>
        <v>1</v>
      </c>
      <c r="M406" s="33">
        <f>IF(L406=IF(Orders!V403,1,0),1,0)</f>
        <v>1</v>
      </c>
      <c r="N406" s="32" t="str">
        <f>IF(Orders!W403="","None",Orders!W403)</f>
        <v>Light</v>
      </c>
      <c r="O406" s="35">
        <f>INT(Orders!E403)</f>
        <v>46278.0</v>
      </c>
      <c r="P406" s="33">
        <f>Orders!U403</f>
        <v>19</v>
      </c>
      <c r="Q406" s="33">
        <f>COUNTIFS(Demand!$A$2:$A$4481,B406,Demand!$B$2:$B$4481,O406,Demand!$C$2:$C$4481,P406)</f>
        <v>1</v>
      </c>
      <c r="R406" s="33">
        <f>IF(Q406=1,SUMIFS(Demand!$E$2:$E$4481,Demand!$A$2:$A$4481,B406,Demand!$B$2:$B$4481,O406,Demand!$C$2:$C$4481,P406),"")</f>
        <v>63</v>
      </c>
      <c r="S406" s="33">
        <f>INDEX(Stores!$G$2:$G$21,MATCH(B406,Stores!$A$2:$A$21,0))</f>
        <v>42</v>
      </c>
      <c r="T406" s="34">
        <f>IF(R406="","",R406/S406)</f>
        <v>1.5</v>
      </c>
      <c r="U406" s="34">
        <f>IF(E406=1,T406,"")</f>
        <v>1.5</v>
      </c>
      <c r="V406" s="34" t="str">
        <f>IF(AND(E406=1,L406=0),T406,"")</f>
        <v/>
      </c>
      <c r="W406" s="33">
        <f>IF(U406="","",IF(U406&lt;=Breakdowns!$C$5,1,IF(U406&lt;=Breakdowns!$C$6,2,IF(U406&lt;=Breakdowns!$C$7,3,4))))</f>
        <v>4</v>
      </c>
      <c r="X406" s="33" t="str">
        <f>IF(V406="","",IF(V406&lt;=Breakdowns!$D$5,1,IF(V406&lt;=Breakdowns!$D$6,2,IF(V406&lt;=Breakdowns!$D$7,3,4))))</f>
        <v/>
      </c>
      <c r="Y406" s="34">
        <f>INDEX(Stores!$F$2:$F$21,MATCH(B406,Stores!$A$2:$A$21,0))</f>
        <v>2.19</v>
      </c>
      <c r="Z406" s="33">
        <f>IF(Y406&gt;Store_Summary!$M$2,1,0)</f>
        <v>0</v>
      </c>
      <c r="AA406" s="33">
        <f>INDEX(Stores!$C$2:$C$21,MATCH(B406,Stores!$A$2:$A$21,0))</f>
        <v>850</v>
      </c>
      <c r="AB406" s="33">
        <f>IF(AA406&lt;180,1,0)</f>
        <v>0</v>
      </c>
      <c r="AC406" s="32" t="str">
        <f>IF(Orders!D403="","",INDEX(Riders!$C$2:$C$81,MATCH(Orders!D403,Riders!$A$2:$A$81,0)))</f>
        <v>EV scooter</v>
      </c>
      <c r="AD406" s="33">
        <f>IF(Orders!D403="","",INDEX(Riders!$D$2:$D$81,MATCH(Orders!D403,Riders!$A$2:$A$81,0)))</f>
        <v>41</v>
      </c>
      <c r="AE406" s="33">
        <f>IF(Orders!D403="","",IF(INDEX(Riders!$B$2:$B$81,MATCH(Orders!D403,Riders!$A$2:$A$81,0))=B406,1,0))</f>
        <v>0</v>
      </c>
      <c r="AF406" s="34">
        <f>IF(E406=1,Orders!L403,"")</f>
        <v>1.71</v>
      </c>
      <c r="AG406" s="34">
        <f>IF(E406=1,Orders!P403,"")</f>
        <v>10.6</v>
      </c>
      <c r="AH406" s="34">
        <f>IF(E406=1,Orders!Q403,"")</f>
        <v>22.4</v>
      </c>
      <c r="AI406" s="34">
        <f>IF(E406=1,Orders!M403,"")</f>
        <v>2.6</v>
      </c>
      <c r="AJ406" s="34">
        <f>IF(E406=1,Orders!N403,"")</f>
        <v>13.1</v>
      </c>
      <c r="AK406" s="34">
        <f>IF(E406=1,Orders!O403,"")</f>
        <v>6.7</v>
      </c>
      <c r="AL406" s="33">
        <f>IF(E406=1,IF(ROUND(ABS(AI406+AJ406+AK406-AH406),6)&lt;=0.1,1,0),"")</f>
        <v>1</v>
      </c>
      <c r="AM406" s="36">
        <f>IF(E406=1,AI406/AH406,"")</f>
        <v>0.116071428571429</v>
      </c>
      <c r="AN406" s="36">
        <f>IF(E406=1,AJ406/AH406,"")</f>
        <v>0.584821428571429</v>
      </c>
      <c r="AO406" s="36">
        <f>IF(E406=1,AK406/AH406,"")</f>
        <v>0.299107142857143</v>
      </c>
      <c r="AP406" s="34">
        <f>IF(E406=1,Orders!Y403,"")</f>
        <v>0.91</v>
      </c>
      <c r="AQ406" s="33">
        <f>IF(Orders!X403,1,0)</f>
        <v>0</v>
      </c>
      <c r="AR406" s="34">
        <f>IF(AND(E406=1,L406=1),AJ406,"")</f>
        <v>13.1</v>
      </c>
      <c r="AS406" s="34" t="str">
        <f>IF(AND(E406=1,L406=0),AJ406,"")</f>
        <v/>
      </c>
      <c r="AT406" s="34">
        <f>IF(AND(E406=1,L406=1),AI406,"")</f>
        <v>2.6</v>
      </c>
      <c r="AU406" s="34" t="str">
        <f>IF(AND(E406=1,L406=0),AI406,"")</f>
        <v/>
      </c>
      <c r="AV406" s="34">
        <f>IF(AND(E406=1,L406=1),AG406,"")</f>
        <v>10.6</v>
      </c>
      <c r="AW406" s="34" t="str">
        <f>IF(AND(E406=1,L406=0),AG406,"")</f>
        <v/>
      </c>
      <c r="AX406" s="34">
        <f>IF(AND(E406=1,L406=1),AH406,"")</f>
        <v>22.4</v>
      </c>
      <c r="AY406" s="34" t="str">
        <f>IF(AND(E406=1,L406=0),AH406,"")</f>
        <v/>
      </c>
      <c r="AZ406" s="34">
        <f>IF(G406=1,F406,"")</f>
        <v>11.8</v>
      </c>
      <c r="BA406" s="34">
        <f>IF(AND(G406=1,L406=1),F406,"")</f>
        <v>11.8</v>
      </c>
      <c r="BB406" s="34" t="str">
        <f>IF(AND(G406=1,L406=0),F406,"")</f>
        <v/>
      </c>
      <c r="BC406" s="33">
        <f>IF(E406=1,IF(Orders!R403&gt;3,1,0),"")</f>
        <v>1</v>
      </c>
      <c r="BD406" s="33">
        <f>IF(E406=1,IF(Orders!R403&gt;7,1,0),"")</f>
        <v>1</v>
      </c>
      <c r="BE406" s="32" t="str">
        <f>IF(E406=1,IF(Orders!L403&lt;=1.5,"Up to 1.5 km",IF(Orders!L403&lt;=3,"1.5–3 km","Over 3 km")),"")</f>
        <v>1.5–3 km</v>
      </c>
      <c r="BF406" s="33">
        <f>IF(E406=1,IF(ABS((Orders!G403-Orders!F403)*1440-Orders!R403)&lt;0.06,1,0),"")</f>
        <v>1</v>
      </c>
      <c r="BG406" s="33">
        <f>IF(ABS((Orders!F403-Orders!E403)*1440-Orders!P403)&lt;0.06,1,0)</f>
        <v>1</v>
      </c>
      <c r="BH406" s="33">
        <f>IF(E406=1,IF(IF(Orders!S403,1,0)=1-G406,1,0),"")</f>
        <v>1</v>
      </c>
      <c r="BI406" s="32" t="str">
        <f>INDEX(Stores!$B$2:$B$21,MATCH(B406,Stores!$A$2:$A$21,0))</f>
        <v>Pune</v>
      </c>
    </row>
    <row r="407">
      <c r="A407" s="32" t="str">
        <f>Orders!A404</f>
        <v>O00403</v>
      </c>
      <c r="B407" s="32" t="str">
        <f>Orders!C404</f>
        <v>S007</v>
      </c>
      <c r="C407" s="32" t="str">
        <f>Orders!B404</f>
        <v>C0231</v>
      </c>
      <c r="D407" s="32" t="str">
        <f>Orders!H404</f>
        <v>Delivered</v>
      </c>
      <c r="E407" s="33">
        <f>IF(Orders!H404="Delivered",1,0)</f>
        <v>1</v>
      </c>
      <c r="F407" s="34">
        <f>IF(E407=1,Orders!R404,"")</f>
        <v>-0.4</v>
      </c>
      <c r="G407" s="33">
        <f>IF(E407=1,IF(Orders!R404&gt;0,1,0),"")</f>
        <v>0</v>
      </c>
      <c r="H407" s="33">
        <f>IF(E407=1,IF(Orders!R404&gt;5,1,0),"")</f>
        <v>0</v>
      </c>
      <c r="I407" s="32" t="str">
        <f>IF(E407=1,"",IF(OR(Orders!T404="Rider unavailable",Orders!T404="Item unavailable"),"Company-caused","Unresolved"))</f>
        <v/>
      </c>
      <c r="J407" s="33">
        <f>IF(OR(E407=1,I407="Company-caused"),1,0)</f>
        <v>1</v>
      </c>
      <c r="K407" s="32" t="str">
        <f>IF(E407=0,IF(I407="Company-caused",IF(Orders!T404="Rider unavailable","C1 Rider unavailable","C2 Item unavailable"),"Outside root: unresolved"),IF(G407=0,"A On time",IF(H407=1,IF(L407=1,"B2a Severe, peak","B2b Severe, off-peak"),IF(L407=1,"B1a Slight, peak","B1b Slight, off-peak"))))</f>
        <v>A On time</v>
      </c>
      <c r="L407" s="33">
        <f>IF(AND(Orders!U404&gt;=19,Orders!U404&lt;22),1,0)</f>
        <v>1</v>
      </c>
      <c r="M407" s="33">
        <f>IF(L407=IF(Orders!V404,1,0),1,0)</f>
        <v>1</v>
      </c>
      <c r="N407" s="32" t="str">
        <f>IF(Orders!W404="","None",Orders!W404)</f>
        <v>None</v>
      </c>
      <c r="O407" s="35">
        <f>INT(Orders!E404)</f>
        <v>46268.0</v>
      </c>
      <c r="P407" s="33">
        <f>Orders!U404</f>
        <v>21</v>
      </c>
      <c r="Q407" s="33">
        <f>COUNTIFS(Demand!$A$2:$A$4481,B407,Demand!$B$2:$B$4481,O407,Demand!$C$2:$C$4481,P407)</f>
        <v>1</v>
      </c>
      <c r="R407" s="33">
        <f>IF(Q407=1,SUMIFS(Demand!$E$2:$E$4481,Demand!$A$2:$A$4481,B407,Demand!$B$2:$B$4481,O407,Demand!$C$2:$C$4481,P407),"")</f>
        <v>59</v>
      </c>
      <c r="S407" s="33">
        <f>INDEX(Stores!$G$2:$G$21,MATCH(B407,Stores!$A$2:$A$21,0))</f>
        <v>37</v>
      </c>
      <c r="T407" s="34">
        <f>IF(R407="","",R407/S407)</f>
        <v>1.59459459459459</v>
      </c>
      <c r="U407" s="34">
        <f>IF(E407=1,T407,"")</f>
        <v>1.59459459459459</v>
      </c>
      <c r="V407" s="34" t="str">
        <f>IF(AND(E407=1,L407=0),T407,"")</f>
        <v/>
      </c>
      <c r="W407" s="33">
        <f>IF(U407="","",IF(U407&lt;=Breakdowns!$C$5,1,IF(U407&lt;=Breakdowns!$C$6,2,IF(U407&lt;=Breakdowns!$C$7,3,4))))</f>
        <v>4</v>
      </c>
      <c r="X407" s="33" t="str">
        <f>IF(V407="","",IF(V407&lt;=Breakdowns!$D$5,1,IF(V407&lt;=Breakdowns!$D$6,2,IF(V407&lt;=Breakdowns!$D$7,3,4))))</f>
        <v/>
      </c>
      <c r="Y407" s="34">
        <f>INDEX(Stores!$F$2:$F$21,MATCH(B407,Stores!$A$2:$A$21,0))</f>
        <v>4.05</v>
      </c>
      <c r="Z407" s="33">
        <f>IF(Y407&gt;Store_Summary!$M$2,1,0)</f>
        <v>0</v>
      </c>
      <c r="AA407" s="33">
        <f>INDEX(Stores!$C$2:$C$21,MATCH(B407,Stores!$A$2:$A$21,0))</f>
        <v>661</v>
      </c>
      <c r="AB407" s="33">
        <f>IF(AA407&lt;180,1,0)</f>
        <v>0</v>
      </c>
      <c r="AC407" s="32" t="str">
        <f>IF(Orders!D404="","",INDEX(Riders!$C$2:$C$81,MATCH(Orders!D404,Riders!$A$2:$A$81,0)))</f>
        <v>Petrol scooter</v>
      </c>
      <c r="AD407" s="33">
        <f>IF(Orders!D404="","",INDEX(Riders!$D$2:$D$81,MATCH(Orders!D404,Riders!$A$2:$A$81,0)))</f>
        <v>42</v>
      </c>
      <c r="AE407" s="33">
        <f>IF(Orders!D404="","",IF(INDEX(Riders!$B$2:$B$81,MATCH(Orders!D404,Riders!$A$2:$A$81,0))=B407,1,0))</f>
        <v>0</v>
      </c>
      <c r="AF407" s="34">
        <f>IF(E407=1,Orders!L404,"")</f>
        <v>4.4</v>
      </c>
      <c r="AG407" s="34">
        <f>IF(E407=1,Orders!P404,"")</f>
        <v>9.6</v>
      </c>
      <c r="AH407" s="34">
        <f>IF(E407=1,Orders!Q404,"")</f>
        <v>9.2</v>
      </c>
      <c r="AI407" s="34">
        <f>IF(E407=1,Orders!M404,"")</f>
        <v>2.3</v>
      </c>
      <c r="AJ407" s="34">
        <f>IF(E407=1,Orders!N404,"")</f>
        <v>3.2</v>
      </c>
      <c r="AK407" s="34">
        <f>IF(E407=1,Orders!O404,"")</f>
        <v>3.7</v>
      </c>
      <c r="AL407" s="33">
        <f>IF(E407=1,IF(ROUND(ABS(AI407+AJ407+AK407-AH407),6)&lt;=0.1,1,0),"")</f>
        <v>1</v>
      </c>
      <c r="AM407" s="36">
        <f>IF(E407=1,AI407/AH407,"")</f>
        <v>0.25</v>
      </c>
      <c r="AN407" s="36">
        <f>IF(E407=1,AJ407/AH407,"")</f>
        <v>0.347826086956522</v>
      </c>
      <c r="AO407" s="36">
        <f>IF(E407=1,AK407/AH407,"")</f>
        <v>0.402173913043478</v>
      </c>
      <c r="AP407" s="34">
        <f>IF(E407=1,Orders!Y404,"")</f>
        <v>0.35</v>
      </c>
      <c r="AQ407" s="33">
        <f>IF(Orders!X404,1,0)</f>
        <v>0</v>
      </c>
      <c r="AR407" s="34">
        <f>IF(AND(E407=1,L407=1),AJ407,"")</f>
        <v>3.2</v>
      </c>
      <c r="AS407" s="34" t="str">
        <f>IF(AND(E407=1,L407=0),AJ407,"")</f>
        <v/>
      </c>
      <c r="AT407" s="34">
        <f>IF(AND(E407=1,L407=1),AI407,"")</f>
        <v>2.3</v>
      </c>
      <c r="AU407" s="34" t="str">
        <f>IF(AND(E407=1,L407=0),AI407,"")</f>
        <v/>
      </c>
      <c r="AV407" s="34">
        <f>IF(AND(E407=1,L407=1),AG407,"")</f>
        <v>9.6</v>
      </c>
      <c r="AW407" s="34" t="str">
        <f>IF(AND(E407=1,L407=0),AG407,"")</f>
        <v/>
      </c>
      <c r="AX407" s="34">
        <f>IF(AND(E407=1,L407=1),AH407,"")</f>
        <v>9.2</v>
      </c>
      <c r="AY407" s="34" t="str">
        <f>IF(AND(E407=1,L407=0),AH407,"")</f>
        <v/>
      </c>
      <c r="AZ407" s="34" t="str">
        <f>IF(G407=1,F407,"")</f>
        <v/>
      </c>
      <c r="BA407" s="34" t="str">
        <f>IF(AND(G407=1,L407=1),F407,"")</f>
        <v/>
      </c>
      <c r="BB407" s="34" t="str">
        <f>IF(AND(G407=1,L407=0),F407,"")</f>
        <v/>
      </c>
      <c r="BC407" s="33">
        <f>IF(E407=1,IF(Orders!R404&gt;3,1,0),"")</f>
        <v>0</v>
      </c>
      <c r="BD407" s="33">
        <f>IF(E407=1,IF(Orders!R404&gt;7,1,0),"")</f>
        <v>0</v>
      </c>
      <c r="BE407" s="32" t="str">
        <f>IF(E407=1,IF(Orders!L404&lt;=1.5,"Up to 1.5 km",IF(Orders!L404&lt;=3,"1.5–3 km","Over 3 km")),"")</f>
        <v>Over 3 km</v>
      </c>
      <c r="BF407" s="33">
        <f>IF(E407=1,IF(ABS((Orders!G404-Orders!F404)*1440-Orders!R404)&lt;0.06,1,0),"")</f>
        <v>1</v>
      </c>
      <c r="BG407" s="33">
        <f>IF(ABS((Orders!F404-Orders!E404)*1440-Orders!P404)&lt;0.06,1,0)</f>
        <v>1</v>
      </c>
      <c r="BH407" s="33">
        <f>IF(E407=1,IF(IF(Orders!S404,1,0)=1-G407,1,0),"")</f>
        <v>1</v>
      </c>
      <c r="BI407" s="32" t="str">
        <f>INDEX(Stores!$B$2:$B$21,MATCH(B407,Stores!$A$2:$A$21,0))</f>
        <v>Hyderabad</v>
      </c>
    </row>
    <row r="408">
      <c r="A408" s="32" t="str">
        <f>Orders!A405</f>
        <v>O00404</v>
      </c>
      <c r="B408" s="32" t="str">
        <f>Orders!C405</f>
        <v>S009</v>
      </c>
      <c r="C408" s="32" t="str">
        <f>Orders!B405</f>
        <v>C0076</v>
      </c>
      <c r="D408" s="32" t="str">
        <f>Orders!H405</f>
        <v>Delivered</v>
      </c>
      <c r="E408" s="33">
        <f>IF(Orders!H405="Delivered",1,0)</f>
        <v>1</v>
      </c>
      <c r="F408" s="34">
        <f>IF(E408=1,Orders!R405,"")</f>
        <v>-0.2</v>
      </c>
      <c r="G408" s="33">
        <f>IF(E408=1,IF(Orders!R405&gt;0,1,0),"")</f>
        <v>0</v>
      </c>
      <c r="H408" s="33">
        <f>IF(E408=1,IF(Orders!R405&gt;5,1,0),"")</f>
        <v>0</v>
      </c>
      <c r="I408" s="32" t="str">
        <f>IF(E408=1,"",IF(OR(Orders!T405="Rider unavailable",Orders!T405="Item unavailable"),"Company-caused","Unresolved"))</f>
        <v/>
      </c>
      <c r="J408" s="33">
        <f>IF(OR(E408=1,I408="Company-caused"),1,0)</f>
        <v>1</v>
      </c>
      <c r="K408" s="32" t="str">
        <f>IF(E408=0,IF(I408="Company-caused",IF(Orders!T405="Rider unavailable","C1 Rider unavailable","C2 Item unavailable"),"Outside root: unresolved"),IF(G408=0,"A On time",IF(H408=1,IF(L408=1,"B2a Severe, peak","B2b Severe, off-peak"),IF(L408=1,"B1a Slight, peak","B1b Slight, off-peak"))))</f>
        <v>A On time</v>
      </c>
      <c r="L408" s="33">
        <f>IF(AND(Orders!U405&gt;=19,Orders!U405&lt;22),1,0)</f>
        <v>0</v>
      </c>
      <c r="M408" s="33">
        <f>IF(L408=IF(Orders!V405,1,0),1,0)</f>
        <v>1</v>
      </c>
      <c r="N408" s="32" t="str">
        <f>IF(Orders!W405="","None",Orders!W405)</f>
        <v>None</v>
      </c>
      <c r="O408" s="35">
        <f>INT(Orders!E405)</f>
        <v>46277.0</v>
      </c>
      <c r="P408" s="33">
        <f>Orders!U405</f>
        <v>17</v>
      </c>
      <c r="Q408" s="33">
        <f>COUNTIFS(Demand!$A$2:$A$4481,B408,Demand!$B$2:$B$4481,O408,Demand!$C$2:$C$4481,P408)</f>
        <v>1</v>
      </c>
      <c r="R408" s="33">
        <f>IF(Q408=1,SUMIFS(Demand!$E$2:$E$4481,Demand!$A$2:$A$4481,B408,Demand!$B$2:$B$4481,O408,Demand!$C$2:$C$4481,P408),"")</f>
        <v>30</v>
      </c>
      <c r="S408" s="33">
        <f>INDEX(Stores!$G$2:$G$21,MATCH(B408,Stores!$A$2:$A$21,0))</f>
        <v>29</v>
      </c>
      <c r="T408" s="34">
        <f>IF(R408="","",R408/S408)</f>
        <v>1.03448275862069</v>
      </c>
      <c r="U408" s="34">
        <f>IF(E408=1,T408,"")</f>
        <v>1.03448275862069</v>
      </c>
      <c r="V408" s="34">
        <f>IF(AND(E408=1,L408=0),T408,"")</f>
        <v>1.03448275862069</v>
      </c>
      <c r="W408" s="33">
        <f>IF(U408="","",IF(U408&lt;=Breakdowns!$C$5,1,IF(U408&lt;=Breakdowns!$C$6,2,IF(U408&lt;=Breakdowns!$C$7,3,4))))</f>
        <v>3</v>
      </c>
      <c r="X408" s="33">
        <f>IF(V408="","",IF(V408&lt;=Breakdowns!$D$5,1,IF(V408&lt;=Breakdowns!$D$6,2,IF(V408&lt;=Breakdowns!$D$7,3,4))))</f>
        <v>3</v>
      </c>
      <c r="Y408" s="34">
        <f>INDEX(Stores!$F$2:$F$21,MATCH(B408,Stores!$A$2:$A$21,0))</f>
        <v>2.66</v>
      </c>
      <c r="Z408" s="33">
        <f>IF(Y408&gt;Store_Summary!$M$2,1,0)</f>
        <v>0</v>
      </c>
      <c r="AA408" s="33">
        <f>INDEX(Stores!$C$2:$C$21,MATCH(B408,Stores!$A$2:$A$21,0))</f>
        <v>645</v>
      </c>
      <c r="AB408" s="33">
        <f>IF(AA408&lt;180,1,0)</f>
        <v>0</v>
      </c>
      <c r="AC408" s="32" t="str">
        <f>IF(Orders!D405="","",INDEX(Riders!$C$2:$C$81,MATCH(Orders!D405,Riders!$A$2:$A$81,0)))</f>
        <v>EV scooter</v>
      </c>
      <c r="AD408" s="33">
        <f>IF(Orders!D405="","",INDEX(Riders!$D$2:$D$81,MATCH(Orders!D405,Riders!$A$2:$A$81,0)))</f>
        <v>2</v>
      </c>
      <c r="AE408" s="33">
        <f>IF(Orders!D405="","",IF(INDEX(Riders!$B$2:$B$81,MATCH(Orders!D405,Riders!$A$2:$A$81,0))=B408,1,0))</f>
        <v>0</v>
      </c>
      <c r="AF408" s="34">
        <f>IF(E408=1,Orders!L405,"")</f>
        <v>2.48</v>
      </c>
      <c r="AG408" s="34">
        <f>IF(E408=1,Orders!P405,"")</f>
        <v>8.3</v>
      </c>
      <c r="AH408" s="34">
        <f>IF(E408=1,Orders!Q405,"")</f>
        <v>8.1</v>
      </c>
      <c r="AI408" s="34">
        <f>IF(E408=1,Orders!M405,"")</f>
        <v>2.3</v>
      </c>
      <c r="AJ408" s="34">
        <f>IF(E408=1,Orders!N405,"")</f>
        <v>1.9</v>
      </c>
      <c r="AK408" s="34">
        <f>IF(E408=1,Orders!O405,"")</f>
        <v>3.9</v>
      </c>
      <c r="AL408" s="33">
        <f>IF(E408=1,IF(ROUND(ABS(AI408+AJ408+AK408-AH408),6)&lt;=0.1,1,0),"")</f>
        <v>1</v>
      </c>
      <c r="AM408" s="36">
        <f>IF(E408=1,AI408/AH408,"")</f>
        <v>0.283950617283951</v>
      </c>
      <c r="AN408" s="36">
        <f>IF(E408=1,AJ408/AH408,"")</f>
        <v>0.234567901234568</v>
      </c>
      <c r="AO408" s="36">
        <f>IF(E408=1,AK408/AH408,"")</f>
        <v>0.481481481481482</v>
      </c>
      <c r="AP408" s="34">
        <f>IF(E408=1,Orders!Y405,"")</f>
        <v>0.54</v>
      </c>
      <c r="AQ408" s="33">
        <f>IF(Orders!X405,1,0)</f>
        <v>0</v>
      </c>
      <c r="AR408" s="34" t="str">
        <f>IF(AND(E408=1,L408=1),AJ408,"")</f>
        <v/>
      </c>
      <c r="AS408" s="34">
        <f>IF(AND(E408=1,L408=0),AJ408,"")</f>
        <v>1.9</v>
      </c>
      <c r="AT408" s="34" t="str">
        <f>IF(AND(E408=1,L408=1),AI408,"")</f>
        <v/>
      </c>
      <c r="AU408" s="34">
        <f>IF(AND(E408=1,L408=0),AI408,"")</f>
        <v>2.3</v>
      </c>
      <c r="AV408" s="34" t="str">
        <f>IF(AND(E408=1,L408=1),AG408,"")</f>
        <v/>
      </c>
      <c r="AW408" s="34">
        <f>IF(AND(E408=1,L408=0),AG408,"")</f>
        <v>8.3</v>
      </c>
      <c r="AX408" s="34" t="str">
        <f>IF(AND(E408=1,L408=1),AH408,"")</f>
        <v/>
      </c>
      <c r="AY408" s="34">
        <f>IF(AND(E408=1,L408=0),AH408,"")</f>
        <v>8.1</v>
      </c>
      <c r="AZ408" s="34" t="str">
        <f>IF(G408=1,F408,"")</f>
        <v/>
      </c>
      <c r="BA408" s="34" t="str">
        <f>IF(AND(G408=1,L408=1),F408,"")</f>
        <v/>
      </c>
      <c r="BB408" s="34" t="str">
        <f>IF(AND(G408=1,L408=0),F408,"")</f>
        <v/>
      </c>
      <c r="BC408" s="33">
        <f>IF(E408=1,IF(Orders!R405&gt;3,1,0),"")</f>
        <v>0</v>
      </c>
      <c r="BD408" s="33">
        <f>IF(E408=1,IF(Orders!R405&gt;7,1,0),"")</f>
        <v>0</v>
      </c>
      <c r="BE408" s="32" t="str">
        <f>IF(E408=1,IF(Orders!L405&lt;=1.5,"Up to 1.5 km",IF(Orders!L405&lt;=3,"1.5–3 km","Over 3 km")),"")</f>
        <v>1.5–3 km</v>
      </c>
      <c r="BF408" s="33">
        <f>IF(E408=1,IF(ABS((Orders!G405-Orders!F405)*1440-Orders!R405)&lt;0.06,1,0),"")</f>
        <v>1</v>
      </c>
      <c r="BG408" s="33">
        <f>IF(ABS((Orders!F405-Orders!E405)*1440-Orders!P405)&lt;0.06,1,0)</f>
        <v>1</v>
      </c>
      <c r="BH408" s="33">
        <f>IF(E408=1,IF(IF(Orders!S405,1,0)=1-G408,1,0),"")</f>
        <v>1</v>
      </c>
      <c r="BI408" s="32" t="str">
        <f>INDEX(Stores!$B$2:$B$21,MATCH(B408,Stores!$A$2:$A$21,0))</f>
        <v>Pune</v>
      </c>
    </row>
    <row r="409">
      <c r="A409" s="32" t="str">
        <f>Orders!A406</f>
        <v>O00405</v>
      </c>
      <c r="B409" s="32" t="str">
        <f>Orders!C406</f>
        <v>S008</v>
      </c>
      <c r="C409" s="32" t="str">
        <f>Orders!B406</f>
        <v>C0133</v>
      </c>
      <c r="D409" s="32" t="str">
        <f>Orders!H406</f>
        <v>Delivered</v>
      </c>
      <c r="E409" s="33">
        <f>IF(Orders!H406="Delivered",1,0)</f>
        <v>1</v>
      </c>
      <c r="F409" s="34">
        <f>IF(E409=1,Orders!R406,"")</f>
        <v>1</v>
      </c>
      <c r="G409" s="33">
        <f>IF(E409=1,IF(Orders!R406&gt;0,1,0),"")</f>
        <v>1</v>
      </c>
      <c r="H409" s="33">
        <f>IF(E409=1,IF(Orders!R406&gt;5,1,0),"")</f>
        <v>0</v>
      </c>
      <c r="I409" s="32" t="str">
        <f>IF(E409=1,"",IF(OR(Orders!T406="Rider unavailable",Orders!T406="Item unavailable"),"Company-caused","Unresolved"))</f>
        <v/>
      </c>
      <c r="J409" s="33">
        <f>IF(OR(E409=1,I409="Company-caused"),1,0)</f>
        <v>1</v>
      </c>
      <c r="K409" s="32" t="str">
        <f>IF(E409=0,IF(I409="Company-caused",IF(Orders!T406="Rider unavailable","C1 Rider unavailable","C2 Item unavailable"),"Outside root: unresolved"),IF(G409=0,"A On time",IF(H409=1,IF(L409=1,"B2a Severe, peak","B2b Severe, off-peak"),IF(L409=1,"B1a Slight, peak","B1b Slight, off-peak"))))</f>
        <v>B1b Slight, off-peak</v>
      </c>
      <c r="L409" s="33">
        <f>IF(AND(Orders!U406&gt;=19,Orders!U406&lt;22),1,0)</f>
        <v>0</v>
      </c>
      <c r="M409" s="33">
        <f>IF(L409=IF(Orders!V406,1,0),1,0)</f>
        <v>1</v>
      </c>
      <c r="N409" s="32" t="str">
        <f>IF(Orders!W406="","None",Orders!W406)</f>
        <v>None</v>
      </c>
      <c r="O409" s="35">
        <f>INT(Orders!E406)</f>
        <v>46276.0</v>
      </c>
      <c r="P409" s="33">
        <f>Orders!U406</f>
        <v>14</v>
      </c>
      <c r="Q409" s="33">
        <f>COUNTIFS(Demand!$A$2:$A$4481,B409,Demand!$B$2:$B$4481,O409,Demand!$C$2:$C$4481,P409)</f>
        <v>1</v>
      </c>
      <c r="R409" s="33">
        <f>IF(Q409=1,SUMIFS(Demand!$E$2:$E$4481,Demand!$A$2:$A$4481,B409,Demand!$B$2:$B$4481,O409,Demand!$C$2:$C$4481,P409),"")</f>
        <v>21</v>
      </c>
      <c r="S409" s="33">
        <f>INDEX(Stores!$G$2:$G$21,MATCH(B409,Stores!$A$2:$A$21,0))</f>
        <v>23</v>
      </c>
      <c r="T409" s="34">
        <f>IF(R409="","",R409/S409)</f>
        <v>0.91304347826087</v>
      </c>
      <c r="U409" s="34">
        <f>IF(E409=1,T409,"")</f>
        <v>0.91304347826087</v>
      </c>
      <c r="V409" s="34">
        <f>IF(AND(E409=1,L409=0),T409,"")</f>
        <v>0.91304347826087</v>
      </c>
      <c r="W409" s="33">
        <f>IF(U409="","",IF(U409&lt;=Breakdowns!$C$5,1,IF(U409&lt;=Breakdowns!$C$6,2,IF(U409&lt;=Breakdowns!$C$7,3,4))))</f>
        <v>2</v>
      </c>
      <c r="X409" s="33">
        <f>IF(V409="","",IF(V409&lt;=Breakdowns!$D$5,1,IF(V409&lt;=Breakdowns!$D$6,2,IF(V409&lt;=Breakdowns!$D$7,3,4))))</f>
        <v>2</v>
      </c>
      <c r="Y409" s="34">
        <f>INDEX(Stores!$F$2:$F$21,MATCH(B409,Stores!$A$2:$A$21,0))</f>
        <v>3.46</v>
      </c>
      <c r="Z409" s="33">
        <f>IF(Y409&gt;Store_Summary!$M$2,1,0)</f>
        <v>0</v>
      </c>
      <c r="AA409" s="33">
        <f>INDEX(Stores!$C$2:$C$21,MATCH(B409,Stores!$A$2:$A$21,0))</f>
        <v>825</v>
      </c>
      <c r="AB409" s="33">
        <f>IF(AA409&lt;180,1,0)</f>
        <v>0</v>
      </c>
      <c r="AC409" s="32" t="str">
        <f>IF(Orders!D406="","",INDEX(Riders!$C$2:$C$81,MATCH(Orders!D406,Riders!$A$2:$A$81,0)))</f>
        <v>Petrol scooter</v>
      </c>
      <c r="AD409" s="33">
        <f>IF(Orders!D406="","",INDEX(Riders!$D$2:$D$81,MATCH(Orders!D406,Riders!$A$2:$A$81,0)))</f>
        <v>40</v>
      </c>
      <c r="AE409" s="33">
        <f>IF(Orders!D406="","",IF(INDEX(Riders!$B$2:$B$81,MATCH(Orders!D406,Riders!$A$2:$A$81,0))=B409,1,0))</f>
        <v>0</v>
      </c>
      <c r="AF409" s="34">
        <f>IF(E409=1,Orders!L406,"")</f>
        <v>1.34</v>
      </c>
      <c r="AG409" s="34">
        <f>IF(E409=1,Orders!P406,"")</f>
        <v>10.1</v>
      </c>
      <c r="AH409" s="34">
        <f>IF(E409=1,Orders!Q406,"")</f>
        <v>11.1</v>
      </c>
      <c r="AI409" s="34">
        <f>IF(E409=1,Orders!M406,"")</f>
        <v>4</v>
      </c>
      <c r="AJ409" s="34">
        <f>IF(E409=1,Orders!N406,"")</f>
        <v>3.7</v>
      </c>
      <c r="AK409" s="34">
        <f>IF(E409=1,Orders!O406,"")</f>
        <v>3.4</v>
      </c>
      <c r="AL409" s="33">
        <f>IF(E409=1,IF(ROUND(ABS(AI409+AJ409+AK409-AH409),6)&lt;=0.1,1,0),"")</f>
        <v>1</v>
      </c>
      <c r="AM409" s="36">
        <f>IF(E409=1,AI409/AH409,"")</f>
        <v>0.36036036036036</v>
      </c>
      <c r="AN409" s="36">
        <f>IF(E409=1,AJ409/AH409,"")</f>
        <v>0.333333333333333</v>
      </c>
      <c r="AO409" s="36">
        <f>IF(E409=1,AK409/AH409,"")</f>
        <v>0.306306306306306</v>
      </c>
      <c r="AP409" s="34">
        <f>IF(E409=1,Orders!Y406,"")</f>
        <v>0.11</v>
      </c>
      <c r="AQ409" s="33">
        <f>IF(Orders!X406,1,0)</f>
        <v>0</v>
      </c>
      <c r="AR409" s="34" t="str">
        <f>IF(AND(E409=1,L409=1),AJ409,"")</f>
        <v/>
      </c>
      <c r="AS409" s="34">
        <f>IF(AND(E409=1,L409=0),AJ409,"")</f>
        <v>3.7</v>
      </c>
      <c r="AT409" s="34" t="str">
        <f>IF(AND(E409=1,L409=1),AI409,"")</f>
        <v/>
      </c>
      <c r="AU409" s="34">
        <f>IF(AND(E409=1,L409=0),AI409,"")</f>
        <v>4</v>
      </c>
      <c r="AV409" s="34" t="str">
        <f>IF(AND(E409=1,L409=1),AG409,"")</f>
        <v/>
      </c>
      <c r="AW409" s="34">
        <f>IF(AND(E409=1,L409=0),AG409,"")</f>
        <v>10.1</v>
      </c>
      <c r="AX409" s="34" t="str">
        <f>IF(AND(E409=1,L409=1),AH409,"")</f>
        <v/>
      </c>
      <c r="AY409" s="34">
        <f>IF(AND(E409=1,L409=0),AH409,"")</f>
        <v>11.1</v>
      </c>
      <c r="AZ409" s="34">
        <f>IF(G409=1,F409,"")</f>
        <v>1</v>
      </c>
      <c r="BA409" s="34" t="str">
        <f>IF(AND(G409=1,L409=1),F409,"")</f>
        <v/>
      </c>
      <c r="BB409" s="34">
        <f>IF(AND(G409=1,L409=0),F409,"")</f>
        <v>1</v>
      </c>
      <c r="BC409" s="33">
        <f>IF(E409=1,IF(Orders!R406&gt;3,1,0),"")</f>
        <v>0</v>
      </c>
      <c r="BD409" s="33">
        <f>IF(E409=1,IF(Orders!R406&gt;7,1,0),"")</f>
        <v>0</v>
      </c>
      <c r="BE409" s="32" t="str">
        <f>IF(E409=1,IF(Orders!L406&lt;=1.5,"Up to 1.5 km",IF(Orders!L406&lt;=3,"1.5–3 km","Over 3 km")),"")</f>
        <v>Up to 1.5 km</v>
      </c>
      <c r="BF409" s="33">
        <f>IF(E409=1,IF(ABS((Orders!G406-Orders!F406)*1440-Orders!R406)&lt;0.06,1,0),"")</f>
        <v>1</v>
      </c>
      <c r="BG409" s="33">
        <f>IF(ABS((Orders!F406-Orders!E406)*1440-Orders!P406)&lt;0.06,1,0)</f>
        <v>1</v>
      </c>
      <c r="BH409" s="33">
        <f>IF(E409=1,IF(IF(Orders!S406,1,0)=1-G409,1,0),"")</f>
        <v>1</v>
      </c>
      <c r="BI409" s="32" t="str">
        <f>INDEX(Stores!$B$2:$B$21,MATCH(B409,Stores!$A$2:$A$21,0))</f>
        <v>Mumbai</v>
      </c>
    </row>
    <row r="410">
      <c r="A410" s="32" t="str">
        <f>Orders!A407</f>
        <v>O00406</v>
      </c>
      <c r="B410" s="32" t="str">
        <f>Orders!C407</f>
        <v>S018</v>
      </c>
      <c r="C410" s="32" t="str">
        <f>Orders!B407</f>
        <v>C0047</v>
      </c>
      <c r="D410" s="32" t="str">
        <f>Orders!H407</f>
        <v>Delivered</v>
      </c>
      <c r="E410" s="33">
        <f>IF(Orders!H407="Delivered",1,0)</f>
        <v>1</v>
      </c>
      <c r="F410" s="34">
        <f>IF(E410=1,Orders!R407,"")</f>
        <v>-0.9</v>
      </c>
      <c r="G410" s="33">
        <f>IF(E410=1,IF(Orders!R407&gt;0,1,0),"")</f>
        <v>0</v>
      </c>
      <c r="H410" s="33">
        <f>IF(E410=1,IF(Orders!R407&gt;5,1,0),"")</f>
        <v>0</v>
      </c>
      <c r="I410" s="32" t="str">
        <f>IF(E410=1,"",IF(OR(Orders!T407="Rider unavailable",Orders!T407="Item unavailable"),"Company-caused","Unresolved"))</f>
        <v/>
      </c>
      <c r="J410" s="33">
        <f>IF(OR(E410=1,I410="Company-caused"),1,0)</f>
        <v>1</v>
      </c>
      <c r="K410" s="32" t="str">
        <f>IF(E410=0,IF(I410="Company-caused",IF(Orders!T407="Rider unavailable","C1 Rider unavailable","C2 Item unavailable"),"Outside root: unresolved"),IF(G410=0,"A On time",IF(H410=1,IF(L410=1,"B2a Severe, peak","B2b Severe, off-peak"),IF(L410=1,"B1a Slight, peak","B1b Slight, off-peak"))))</f>
        <v>A On time</v>
      </c>
      <c r="L410" s="33">
        <f>IF(AND(Orders!U407&gt;=19,Orders!U407&lt;22),1,0)</f>
        <v>0</v>
      </c>
      <c r="M410" s="33">
        <f>IF(L410=IF(Orders!V407,1,0),1,0)</f>
        <v>1</v>
      </c>
      <c r="N410" s="32" t="str">
        <f>IF(Orders!W407="","None",Orders!W407)</f>
        <v>None</v>
      </c>
      <c r="O410" s="35">
        <f>INT(Orders!E407)</f>
        <v>46266.0</v>
      </c>
      <c r="P410" s="33">
        <f>Orders!U407</f>
        <v>10</v>
      </c>
      <c r="Q410" s="33">
        <f>COUNTIFS(Demand!$A$2:$A$4481,B410,Demand!$B$2:$B$4481,O410,Demand!$C$2:$C$4481,P410)</f>
        <v>1</v>
      </c>
      <c r="R410" s="33">
        <f>IF(Q410=1,SUMIFS(Demand!$E$2:$E$4481,Demand!$A$2:$A$4481,B410,Demand!$B$2:$B$4481,O410,Demand!$C$2:$C$4481,P410),"")</f>
        <v>14</v>
      </c>
      <c r="S410" s="33">
        <f>INDEX(Stores!$G$2:$G$21,MATCH(B410,Stores!$A$2:$A$21,0))</f>
        <v>20</v>
      </c>
      <c r="T410" s="34">
        <f>IF(R410="","",R410/S410)</f>
        <v>0.7</v>
      </c>
      <c r="U410" s="34">
        <f>IF(E410=1,T410,"")</f>
        <v>0.7</v>
      </c>
      <c r="V410" s="34">
        <f>IF(AND(E410=1,L410=0),T410,"")</f>
        <v>0.7</v>
      </c>
      <c r="W410" s="33">
        <f>IF(U410="","",IF(U410&lt;=Breakdowns!$C$5,1,IF(U410&lt;=Breakdowns!$C$6,2,IF(U410&lt;=Breakdowns!$C$7,3,4))))</f>
        <v>1</v>
      </c>
      <c r="X410" s="33">
        <f>IF(V410="","",IF(V410&lt;=Breakdowns!$D$5,1,IF(V410&lt;=Breakdowns!$D$6,2,IF(V410&lt;=Breakdowns!$D$7,3,4))))</f>
        <v>1</v>
      </c>
      <c r="Y410" s="34">
        <f>INDEX(Stores!$F$2:$F$21,MATCH(B410,Stores!$A$2:$A$21,0))</f>
        <v>5.31</v>
      </c>
      <c r="Z410" s="33">
        <f>IF(Y410&gt;Store_Summary!$M$2,1,0)</f>
        <v>1</v>
      </c>
      <c r="AA410" s="33">
        <f>INDEX(Stores!$C$2:$C$21,MATCH(B410,Stores!$A$2:$A$21,0))</f>
        <v>214</v>
      </c>
      <c r="AB410" s="33">
        <f>IF(AA410&lt;180,1,0)</f>
        <v>0</v>
      </c>
      <c r="AC410" s="32" t="str">
        <f>IF(Orders!D407="","",INDEX(Riders!$C$2:$C$81,MATCH(Orders!D407,Riders!$A$2:$A$81,0)))</f>
        <v>Petrol scooter</v>
      </c>
      <c r="AD410" s="33">
        <f>IF(Orders!D407="","",INDEX(Riders!$D$2:$D$81,MATCH(Orders!D407,Riders!$A$2:$A$81,0)))</f>
        <v>15</v>
      </c>
      <c r="AE410" s="33">
        <f>IF(Orders!D407="","",IF(INDEX(Riders!$B$2:$B$81,MATCH(Orders!D407,Riders!$A$2:$A$81,0))=B410,1,0))</f>
        <v>0</v>
      </c>
      <c r="AF410" s="34">
        <f>IF(E410=1,Orders!L407,"")</f>
        <v>1.99</v>
      </c>
      <c r="AG410" s="34">
        <f>IF(E410=1,Orders!P407,"")</f>
        <v>10.5</v>
      </c>
      <c r="AH410" s="34">
        <f>IF(E410=1,Orders!Q407,"")</f>
        <v>9.6</v>
      </c>
      <c r="AI410" s="34">
        <f>IF(E410=1,Orders!M407,"")</f>
        <v>4</v>
      </c>
      <c r="AJ410" s="34">
        <f>IF(E410=1,Orders!N407,"")</f>
        <v>2.7</v>
      </c>
      <c r="AK410" s="34">
        <f>IF(E410=1,Orders!O407,"")</f>
        <v>2.9</v>
      </c>
      <c r="AL410" s="33">
        <f>IF(E410=1,IF(ROUND(ABS(AI410+AJ410+AK410-AH410),6)&lt;=0.1,1,0),"")</f>
        <v>1</v>
      </c>
      <c r="AM410" s="36">
        <f>IF(E410=1,AI410/AH410,"")</f>
        <v>0.416666666666667</v>
      </c>
      <c r="AN410" s="36">
        <f>IF(E410=1,AJ410/AH410,"")</f>
        <v>0.28125</v>
      </c>
      <c r="AO410" s="36">
        <f>IF(E410=1,AK410/AH410,"")</f>
        <v>0.302083333333333</v>
      </c>
      <c r="AP410" s="34">
        <f>IF(E410=1,Orders!Y407,"")</f>
        <v>0.45</v>
      </c>
      <c r="AQ410" s="33">
        <f>IF(Orders!X407,1,0)</f>
        <v>0</v>
      </c>
      <c r="AR410" s="34" t="str">
        <f>IF(AND(E410=1,L410=1),AJ410,"")</f>
        <v/>
      </c>
      <c r="AS410" s="34">
        <f>IF(AND(E410=1,L410=0),AJ410,"")</f>
        <v>2.7</v>
      </c>
      <c r="AT410" s="34" t="str">
        <f>IF(AND(E410=1,L410=1),AI410,"")</f>
        <v/>
      </c>
      <c r="AU410" s="34">
        <f>IF(AND(E410=1,L410=0),AI410,"")</f>
        <v>4</v>
      </c>
      <c r="AV410" s="34" t="str">
        <f>IF(AND(E410=1,L410=1),AG410,"")</f>
        <v/>
      </c>
      <c r="AW410" s="34">
        <f>IF(AND(E410=1,L410=0),AG410,"")</f>
        <v>10.5</v>
      </c>
      <c r="AX410" s="34" t="str">
        <f>IF(AND(E410=1,L410=1),AH410,"")</f>
        <v/>
      </c>
      <c r="AY410" s="34">
        <f>IF(AND(E410=1,L410=0),AH410,"")</f>
        <v>9.6</v>
      </c>
      <c r="AZ410" s="34" t="str">
        <f>IF(G410=1,F410,"")</f>
        <v/>
      </c>
      <c r="BA410" s="34" t="str">
        <f>IF(AND(G410=1,L410=1),F410,"")</f>
        <v/>
      </c>
      <c r="BB410" s="34" t="str">
        <f>IF(AND(G410=1,L410=0),F410,"")</f>
        <v/>
      </c>
      <c r="BC410" s="33">
        <f>IF(E410=1,IF(Orders!R407&gt;3,1,0),"")</f>
        <v>0</v>
      </c>
      <c r="BD410" s="33">
        <f>IF(E410=1,IF(Orders!R407&gt;7,1,0),"")</f>
        <v>0</v>
      </c>
      <c r="BE410" s="32" t="str">
        <f>IF(E410=1,IF(Orders!L407&lt;=1.5,"Up to 1.5 km",IF(Orders!L407&lt;=3,"1.5–3 km","Over 3 km")),"")</f>
        <v>1.5–3 km</v>
      </c>
      <c r="BF410" s="33">
        <f>IF(E410=1,IF(ABS((Orders!G407-Orders!F407)*1440-Orders!R407)&lt;0.06,1,0),"")</f>
        <v>1</v>
      </c>
      <c r="BG410" s="33">
        <f>IF(ABS((Orders!F407-Orders!E407)*1440-Orders!P407)&lt;0.06,1,0)</f>
        <v>1</v>
      </c>
      <c r="BH410" s="33">
        <f>IF(E410=1,IF(IF(Orders!S407,1,0)=1-G410,1,0),"")</f>
        <v>1</v>
      </c>
      <c r="BI410" s="32" t="str">
        <f>INDEX(Stores!$B$2:$B$21,MATCH(B410,Stores!$A$2:$A$21,0))</f>
        <v>Mumbai</v>
      </c>
    </row>
    <row r="411">
      <c r="A411" s="32" t="str">
        <f>Orders!A408</f>
        <v>O00407</v>
      </c>
      <c r="B411" s="32" t="str">
        <f>Orders!C408</f>
        <v>S001</v>
      </c>
      <c r="C411" s="32" t="str">
        <f>Orders!B408</f>
        <v>C0249</v>
      </c>
      <c r="D411" s="32" t="str">
        <f>Orders!H408</f>
        <v>Delivered</v>
      </c>
      <c r="E411" s="33">
        <f>IF(Orders!H408="Delivered",1,0)</f>
        <v>1</v>
      </c>
      <c r="F411" s="34">
        <f>IF(E411=1,Orders!R408,"")</f>
        <v>-1</v>
      </c>
      <c r="G411" s="33">
        <f>IF(E411=1,IF(Orders!R408&gt;0,1,0),"")</f>
        <v>0</v>
      </c>
      <c r="H411" s="33">
        <f>IF(E411=1,IF(Orders!R408&gt;5,1,0),"")</f>
        <v>0</v>
      </c>
      <c r="I411" s="32" t="str">
        <f>IF(E411=1,"",IF(OR(Orders!T408="Rider unavailable",Orders!T408="Item unavailable"),"Company-caused","Unresolved"))</f>
        <v/>
      </c>
      <c r="J411" s="33">
        <f>IF(OR(E411=1,I411="Company-caused"),1,0)</f>
        <v>1</v>
      </c>
      <c r="K411" s="32" t="str">
        <f>IF(E411=0,IF(I411="Company-caused",IF(Orders!T408="Rider unavailable","C1 Rider unavailable","C2 Item unavailable"),"Outside root: unresolved"),IF(G411=0,"A On time",IF(H411=1,IF(L411=1,"B2a Severe, peak","B2b Severe, off-peak"),IF(L411=1,"B1a Slight, peak","B1b Slight, off-peak"))))</f>
        <v>A On time</v>
      </c>
      <c r="L411" s="33">
        <f>IF(AND(Orders!U408&gt;=19,Orders!U408&lt;22),1,0)</f>
        <v>0</v>
      </c>
      <c r="M411" s="33">
        <f>IF(L411=IF(Orders!V408,1,0),1,0)</f>
        <v>1</v>
      </c>
      <c r="N411" s="32" t="str">
        <f>IF(Orders!W408="","None",Orders!W408)</f>
        <v>Light</v>
      </c>
      <c r="O411" s="35">
        <f>INT(Orders!E408)</f>
        <v>46279.0</v>
      </c>
      <c r="P411" s="33">
        <f>Orders!U408</f>
        <v>13</v>
      </c>
      <c r="Q411" s="33">
        <f>COUNTIFS(Demand!$A$2:$A$4481,B411,Demand!$B$2:$B$4481,O411,Demand!$C$2:$C$4481,P411)</f>
        <v>1</v>
      </c>
      <c r="R411" s="33">
        <f>IF(Q411=1,SUMIFS(Demand!$E$2:$E$4481,Demand!$A$2:$A$4481,B411,Demand!$B$2:$B$4481,O411,Demand!$C$2:$C$4481,P411),"")</f>
        <v>22</v>
      </c>
      <c r="S411" s="33">
        <f>INDEX(Stores!$G$2:$G$21,MATCH(B411,Stores!$A$2:$A$21,0))</f>
        <v>16</v>
      </c>
      <c r="T411" s="34">
        <f>IF(R411="","",R411/S411)</f>
        <v>1.375</v>
      </c>
      <c r="U411" s="34">
        <f>IF(E411=1,T411,"")</f>
        <v>1.375</v>
      </c>
      <c r="V411" s="34">
        <f>IF(AND(E411=1,L411=0),T411,"")</f>
        <v>1.375</v>
      </c>
      <c r="W411" s="33">
        <f>IF(U411="","",IF(U411&lt;=Breakdowns!$C$5,1,IF(U411&lt;=Breakdowns!$C$6,2,IF(U411&lt;=Breakdowns!$C$7,3,4))))</f>
        <v>4</v>
      </c>
      <c r="X411" s="33">
        <f>IF(V411="","",IF(V411&lt;=Breakdowns!$D$5,1,IF(V411&lt;=Breakdowns!$D$6,2,IF(V411&lt;=Breakdowns!$D$7,3,4))))</f>
        <v>4</v>
      </c>
      <c r="Y411" s="34">
        <f>INDEX(Stores!$F$2:$F$21,MATCH(B411,Stores!$A$2:$A$21,0))</f>
        <v>4.59</v>
      </c>
      <c r="Z411" s="33">
        <f>IF(Y411&gt;Store_Summary!$M$2,1,0)</f>
        <v>0</v>
      </c>
      <c r="AA411" s="33">
        <f>INDEX(Stores!$C$2:$C$21,MATCH(B411,Stores!$A$2:$A$21,0))</f>
        <v>362</v>
      </c>
      <c r="AB411" s="33">
        <f>IF(AA411&lt;180,1,0)</f>
        <v>0</v>
      </c>
      <c r="AC411" s="32" t="str">
        <f>IF(Orders!D408="","",INDEX(Riders!$C$2:$C$81,MATCH(Orders!D408,Riders!$A$2:$A$81,0)))</f>
        <v>EV scooter</v>
      </c>
      <c r="AD411" s="33">
        <f>IF(Orders!D408="","",INDEX(Riders!$D$2:$D$81,MATCH(Orders!D408,Riders!$A$2:$A$81,0)))</f>
        <v>3</v>
      </c>
      <c r="AE411" s="33">
        <f>IF(Orders!D408="","",IF(INDEX(Riders!$B$2:$B$81,MATCH(Orders!D408,Riders!$A$2:$A$81,0))=B411,1,0))</f>
        <v>0</v>
      </c>
      <c r="AF411" s="34">
        <f>IF(E411=1,Orders!L408,"")</f>
        <v>0.89</v>
      </c>
      <c r="AG411" s="34">
        <f>IF(E411=1,Orders!P408,"")</f>
        <v>7.8</v>
      </c>
      <c r="AH411" s="34">
        <f>IF(E411=1,Orders!Q408,"")</f>
        <v>6.8</v>
      </c>
      <c r="AI411" s="34">
        <f>IF(E411=1,Orders!M408,"")</f>
        <v>1.6</v>
      </c>
      <c r="AJ411" s="34">
        <f>IF(E411=1,Orders!N408,"")</f>
        <v>3.5</v>
      </c>
      <c r="AK411" s="34">
        <f>IF(E411=1,Orders!O408,"")</f>
        <v>1.7</v>
      </c>
      <c r="AL411" s="33">
        <f>IF(E411=1,IF(ROUND(ABS(AI411+AJ411+AK411-AH411),6)&lt;=0.1,1,0),"")</f>
        <v>1</v>
      </c>
      <c r="AM411" s="36">
        <f>IF(E411=1,AI411/AH411,"")</f>
        <v>0.235294117647059</v>
      </c>
      <c r="AN411" s="36">
        <f>IF(E411=1,AJ411/AH411,"")</f>
        <v>0.514705882352941</v>
      </c>
      <c r="AO411" s="36">
        <f>IF(E411=1,AK411/AH411,"")</f>
        <v>0.25</v>
      </c>
      <c r="AP411" s="34">
        <f>IF(E411=1,Orders!Y408,"")</f>
        <v>0.68</v>
      </c>
      <c r="AQ411" s="33">
        <f>IF(Orders!X408,1,0)</f>
        <v>0</v>
      </c>
      <c r="AR411" s="34" t="str">
        <f>IF(AND(E411=1,L411=1),AJ411,"")</f>
        <v/>
      </c>
      <c r="AS411" s="34">
        <f>IF(AND(E411=1,L411=0),AJ411,"")</f>
        <v>3.5</v>
      </c>
      <c r="AT411" s="34" t="str">
        <f>IF(AND(E411=1,L411=1),AI411,"")</f>
        <v/>
      </c>
      <c r="AU411" s="34">
        <f>IF(AND(E411=1,L411=0),AI411,"")</f>
        <v>1.6</v>
      </c>
      <c r="AV411" s="34" t="str">
        <f>IF(AND(E411=1,L411=1),AG411,"")</f>
        <v/>
      </c>
      <c r="AW411" s="34">
        <f>IF(AND(E411=1,L411=0),AG411,"")</f>
        <v>7.8</v>
      </c>
      <c r="AX411" s="34" t="str">
        <f>IF(AND(E411=1,L411=1),AH411,"")</f>
        <v/>
      </c>
      <c r="AY411" s="34">
        <f>IF(AND(E411=1,L411=0),AH411,"")</f>
        <v>6.8</v>
      </c>
      <c r="AZ411" s="34" t="str">
        <f>IF(G411=1,F411,"")</f>
        <v/>
      </c>
      <c r="BA411" s="34" t="str">
        <f>IF(AND(G411=1,L411=1),F411,"")</f>
        <v/>
      </c>
      <c r="BB411" s="34" t="str">
        <f>IF(AND(G411=1,L411=0),F411,"")</f>
        <v/>
      </c>
      <c r="BC411" s="33">
        <f>IF(E411=1,IF(Orders!R408&gt;3,1,0),"")</f>
        <v>0</v>
      </c>
      <c r="BD411" s="33">
        <f>IF(E411=1,IF(Orders!R408&gt;7,1,0),"")</f>
        <v>0</v>
      </c>
      <c r="BE411" s="32" t="str">
        <f>IF(E411=1,IF(Orders!L408&lt;=1.5,"Up to 1.5 km",IF(Orders!L408&lt;=3,"1.5–3 km","Over 3 km")),"")</f>
        <v>Up to 1.5 km</v>
      </c>
      <c r="BF411" s="33">
        <f>IF(E411=1,IF(ABS((Orders!G408-Orders!F408)*1440-Orders!R408)&lt;0.06,1,0),"")</f>
        <v>1</v>
      </c>
      <c r="BG411" s="33">
        <f>IF(ABS((Orders!F408-Orders!E408)*1440-Orders!P408)&lt;0.06,1,0)</f>
        <v>1</v>
      </c>
      <c r="BH411" s="33">
        <f>IF(E411=1,IF(IF(Orders!S408,1,0)=1-G411,1,0),"")</f>
        <v>1</v>
      </c>
      <c r="BI411" s="32" t="str">
        <f>INDEX(Stores!$B$2:$B$21,MATCH(B411,Stores!$A$2:$A$21,0))</f>
        <v>Bengaluru</v>
      </c>
    </row>
    <row r="412">
      <c r="A412" s="32" t="str">
        <f>Orders!A409</f>
        <v>O00408</v>
      </c>
      <c r="B412" s="32" t="str">
        <f>Orders!C409</f>
        <v>S001</v>
      </c>
      <c r="C412" s="32" t="str">
        <f>Orders!B409</f>
        <v>C0120</v>
      </c>
      <c r="D412" s="32" t="str">
        <f>Orders!H409</f>
        <v>Delivered</v>
      </c>
      <c r="E412" s="33">
        <f>IF(Orders!H409="Delivered",1,0)</f>
        <v>1</v>
      </c>
      <c r="F412" s="34">
        <f>IF(E412=1,Orders!R409,"")</f>
        <v>-1</v>
      </c>
      <c r="G412" s="33">
        <f>IF(E412=1,IF(Orders!R409&gt;0,1,0),"")</f>
        <v>0</v>
      </c>
      <c r="H412" s="33">
        <f>IF(E412=1,IF(Orders!R409&gt;5,1,0),"")</f>
        <v>0</v>
      </c>
      <c r="I412" s="32" t="str">
        <f>IF(E412=1,"",IF(OR(Orders!T409="Rider unavailable",Orders!T409="Item unavailable"),"Company-caused","Unresolved"))</f>
        <v/>
      </c>
      <c r="J412" s="33">
        <f>IF(OR(E412=1,I412="Company-caused"),1,0)</f>
        <v>1</v>
      </c>
      <c r="K412" s="32" t="str">
        <f>IF(E412=0,IF(I412="Company-caused",IF(Orders!T409="Rider unavailable","C1 Rider unavailable","C2 Item unavailable"),"Outside root: unresolved"),IF(G412=0,"A On time",IF(H412=1,IF(L412=1,"B2a Severe, peak","B2b Severe, off-peak"),IF(L412=1,"B1a Slight, peak","B1b Slight, off-peak"))))</f>
        <v>A On time</v>
      </c>
      <c r="L412" s="33">
        <f>IF(AND(Orders!U409&gt;=19,Orders!U409&lt;22),1,0)</f>
        <v>0</v>
      </c>
      <c r="M412" s="33">
        <f>IF(L412=IF(Orders!V409,1,0),1,0)</f>
        <v>1</v>
      </c>
      <c r="N412" s="32" t="str">
        <f>IF(Orders!W409="","None",Orders!W409)</f>
        <v>None</v>
      </c>
      <c r="O412" s="35">
        <f>INT(Orders!E409)</f>
        <v>46272.0</v>
      </c>
      <c r="P412" s="33">
        <f>Orders!U409</f>
        <v>16</v>
      </c>
      <c r="Q412" s="33">
        <f>COUNTIFS(Demand!$A$2:$A$4481,B412,Demand!$B$2:$B$4481,O412,Demand!$C$2:$C$4481,P412)</f>
        <v>1</v>
      </c>
      <c r="R412" s="33">
        <f>IF(Q412=1,SUMIFS(Demand!$E$2:$E$4481,Demand!$A$2:$A$4481,B412,Demand!$B$2:$B$4481,O412,Demand!$C$2:$C$4481,P412),"")</f>
        <v>13</v>
      </c>
      <c r="S412" s="33">
        <f>INDEX(Stores!$G$2:$G$21,MATCH(B412,Stores!$A$2:$A$21,0))</f>
        <v>16</v>
      </c>
      <c r="T412" s="34">
        <f>IF(R412="","",R412/S412)</f>
        <v>0.8125</v>
      </c>
      <c r="U412" s="34">
        <f>IF(E412=1,T412,"")</f>
        <v>0.8125</v>
      </c>
      <c r="V412" s="34">
        <f>IF(AND(E412=1,L412=0),T412,"")</f>
        <v>0.8125</v>
      </c>
      <c r="W412" s="33">
        <f>IF(U412="","",IF(U412&lt;=Breakdowns!$C$5,1,IF(U412&lt;=Breakdowns!$C$6,2,IF(U412&lt;=Breakdowns!$C$7,3,4))))</f>
        <v>2</v>
      </c>
      <c r="X412" s="33">
        <f>IF(V412="","",IF(V412&lt;=Breakdowns!$D$5,1,IF(V412&lt;=Breakdowns!$D$6,2,IF(V412&lt;=Breakdowns!$D$7,3,4))))</f>
        <v>2</v>
      </c>
      <c r="Y412" s="34">
        <f>INDEX(Stores!$F$2:$F$21,MATCH(B412,Stores!$A$2:$A$21,0))</f>
        <v>4.59</v>
      </c>
      <c r="Z412" s="33">
        <f>IF(Y412&gt;Store_Summary!$M$2,1,0)</f>
        <v>0</v>
      </c>
      <c r="AA412" s="33">
        <f>INDEX(Stores!$C$2:$C$21,MATCH(B412,Stores!$A$2:$A$21,0))</f>
        <v>362</v>
      </c>
      <c r="AB412" s="33">
        <f>IF(AA412&lt;180,1,0)</f>
        <v>0</v>
      </c>
      <c r="AC412" s="32" t="str">
        <f>IF(Orders!D409="","",INDEX(Riders!$C$2:$C$81,MATCH(Orders!D409,Riders!$A$2:$A$81,0)))</f>
        <v>EV scooter</v>
      </c>
      <c r="AD412" s="33">
        <f>IF(Orders!D409="","",INDEX(Riders!$D$2:$D$81,MATCH(Orders!D409,Riders!$A$2:$A$81,0)))</f>
        <v>36</v>
      </c>
      <c r="AE412" s="33">
        <f>IF(Orders!D409="","",IF(INDEX(Riders!$B$2:$B$81,MATCH(Orders!D409,Riders!$A$2:$A$81,0))=B412,1,0))</f>
        <v>0</v>
      </c>
      <c r="AF412" s="34">
        <f>IF(E412=1,Orders!L409,"")</f>
        <v>0.97</v>
      </c>
      <c r="AG412" s="34">
        <f>IF(E412=1,Orders!P409,"")</f>
        <v>9.8</v>
      </c>
      <c r="AH412" s="34">
        <f>IF(E412=1,Orders!Q409,"")</f>
        <v>8.8</v>
      </c>
      <c r="AI412" s="34">
        <f>IF(E412=1,Orders!M409,"")</f>
        <v>4.5</v>
      </c>
      <c r="AJ412" s="34">
        <f>IF(E412=1,Orders!N409,"")</f>
        <v>2.2</v>
      </c>
      <c r="AK412" s="34">
        <f>IF(E412=1,Orders!O409,"")</f>
        <v>2.1</v>
      </c>
      <c r="AL412" s="33">
        <f>IF(E412=1,IF(ROUND(ABS(AI412+AJ412+AK412-AH412),6)&lt;=0.1,1,0),"")</f>
        <v>1</v>
      </c>
      <c r="AM412" s="36">
        <f>IF(E412=1,AI412/AH412,"")</f>
        <v>0.511363636363636</v>
      </c>
      <c r="AN412" s="36">
        <f>IF(E412=1,AJ412/AH412,"")</f>
        <v>0.25</v>
      </c>
      <c r="AO412" s="36">
        <f>IF(E412=1,AK412/AH412,"")</f>
        <v>0.238636363636364</v>
      </c>
      <c r="AP412" s="34">
        <f>IF(E412=1,Orders!Y409,"")</f>
        <v>0</v>
      </c>
      <c r="AQ412" s="33">
        <f>IF(Orders!X409,1,0)</f>
        <v>0</v>
      </c>
      <c r="AR412" s="34" t="str">
        <f>IF(AND(E412=1,L412=1),AJ412,"")</f>
        <v/>
      </c>
      <c r="AS412" s="34">
        <f>IF(AND(E412=1,L412=0),AJ412,"")</f>
        <v>2.2</v>
      </c>
      <c r="AT412" s="34" t="str">
        <f>IF(AND(E412=1,L412=1),AI412,"")</f>
        <v/>
      </c>
      <c r="AU412" s="34">
        <f>IF(AND(E412=1,L412=0),AI412,"")</f>
        <v>4.5</v>
      </c>
      <c r="AV412" s="34" t="str">
        <f>IF(AND(E412=1,L412=1),AG412,"")</f>
        <v/>
      </c>
      <c r="AW412" s="34">
        <f>IF(AND(E412=1,L412=0),AG412,"")</f>
        <v>9.8</v>
      </c>
      <c r="AX412" s="34" t="str">
        <f>IF(AND(E412=1,L412=1),AH412,"")</f>
        <v/>
      </c>
      <c r="AY412" s="34">
        <f>IF(AND(E412=1,L412=0),AH412,"")</f>
        <v>8.8</v>
      </c>
      <c r="AZ412" s="34" t="str">
        <f>IF(G412=1,F412,"")</f>
        <v/>
      </c>
      <c r="BA412" s="34" t="str">
        <f>IF(AND(G412=1,L412=1),F412,"")</f>
        <v/>
      </c>
      <c r="BB412" s="34" t="str">
        <f>IF(AND(G412=1,L412=0),F412,"")</f>
        <v/>
      </c>
      <c r="BC412" s="33">
        <f>IF(E412=1,IF(Orders!R409&gt;3,1,0),"")</f>
        <v>0</v>
      </c>
      <c r="BD412" s="33">
        <f>IF(E412=1,IF(Orders!R409&gt;7,1,0),"")</f>
        <v>0</v>
      </c>
      <c r="BE412" s="32" t="str">
        <f>IF(E412=1,IF(Orders!L409&lt;=1.5,"Up to 1.5 km",IF(Orders!L409&lt;=3,"1.5–3 km","Over 3 km")),"")</f>
        <v>Up to 1.5 km</v>
      </c>
      <c r="BF412" s="33">
        <f>IF(E412=1,IF(ABS((Orders!G409-Orders!F409)*1440-Orders!R409)&lt;0.06,1,0),"")</f>
        <v>1</v>
      </c>
      <c r="BG412" s="33">
        <f>IF(ABS((Orders!F409-Orders!E409)*1440-Orders!P409)&lt;0.06,1,0)</f>
        <v>1</v>
      </c>
      <c r="BH412" s="33">
        <f>IF(E412=1,IF(IF(Orders!S409,1,0)=1-G412,1,0),"")</f>
        <v>1</v>
      </c>
      <c r="BI412" s="32" t="str">
        <f>INDEX(Stores!$B$2:$B$21,MATCH(B412,Stores!$A$2:$A$21,0))</f>
        <v>Bengaluru</v>
      </c>
    </row>
    <row r="413">
      <c r="A413" s="32" t="str">
        <f>Orders!A410</f>
        <v>O00409</v>
      </c>
      <c r="B413" s="32" t="str">
        <f>Orders!C410</f>
        <v>S009</v>
      </c>
      <c r="C413" s="32" t="str">
        <f>Orders!B410</f>
        <v>C0242</v>
      </c>
      <c r="D413" s="32" t="str">
        <f>Orders!H410</f>
        <v>Delivered</v>
      </c>
      <c r="E413" s="33">
        <f>IF(Orders!H410="Delivered",1,0)</f>
        <v>1</v>
      </c>
      <c r="F413" s="34">
        <f>IF(E413=1,Orders!R410,"")</f>
        <v>-0.3</v>
      </c>
      <c r="G413" s="33">
        <f>IF(E413=1,IF(Orders!R410&gt;0,1,0),"")</f>
        <v>0</v>
      </c>
      <c r="H413" s="33">
        <f>IF(E413=1,IF(Orders!R410&gt;5,1,0),"")</f>
        <v>0</v>
      </c>
      <c r="I413" s="32" t="str">
        <f>IF(E413=1,"",IF(OR(Orders!T410="Rider unavailable",Orders!T410="Item unavailable"),"Company-caused","Unresolved"))</f>
        <v/>
      </c>
      <c r="J413" s="33">
        <f>IF(OR(E413=1,I413="Company-caused"),1,0)</f>
        <v>1</v>
      </c>
      <c r="K413" s="32" t="str">
        <f>IF(E413=0,IF(I413="Company-caused",IF(Orders!T410="Rider unavailable","C1 Rider unavailable","C2 Item unavailable"),"Outside root: unresolved"),IF(G413=0,"A On time",IF(H413=1,IF(L413=1,"B2a Severe, peak","B2b Severe, off-peak"),IF(L413=1,"B1a Slight, peak","B1b Slight, off-peak"))))</f>
        <v>A On time</v>
      </c>
      <c r="L413" s="33">
        <f>IF(AND(Orders!U410&gt;=19,Orders!U410&lt;22),1,0)</f>
        <v>0</v>
      </c>
      <c r="M413" s="33">
        <f>IF(L413=IF(Orders!V410,1,0),1,0)</f>
        <v>1</v>
      </c>
      <c r="N413" s="32" t="str">
        <f>IF(Orders!W410="","None",Orders!W410)</f>
        <v>None</v>
      </c>
      <c r="O413" s="35">
        <f>INT(Orders!E410)</f>
        <v>46279.0</v>
      </c>
      <c r="P413" s="33">
        <f>Orders!U410</f>
        <v>23</v>
      </c>
      <c r="Q413" s="33">
        <f>COUNTIFS(Demand!$A$2:$A$4481,B413,Demand!$B$2:$B$4481,O413,Demand!$C$2:$C$4481,P413)</f>
        <v>1</v>
      </c>
      <c r="R413" s="33">
        <f>IF(Q413=1,SUMIFS(Demand!$E$2:$E$4481,Demand!$A$2:$A$4481,B413,Demand!$B$2:$B$4481,O413,Demand!$C$2:$C$4481,P413),"")</f>
        <v>20</v>
      </c>
      <c r="S413" s="33">
        <f>INDEX(Stores!$G$2:$G$21,MATCH(B413,Stores!$A$2:$A$21,0))</f>
        <v>29</v>
      </c>
      <c r="T413" s="34">
        <f>IF(R413="","",R413/S413)</f>
        <v>0.689655172413793</v>
      </c>
      <c r="U413" s="34">
        <f>IF(E413=1,T413,"")</f>
        <v>0.689655172413793</v>
      </c>
      <c r="V413" s="34">
        <f>IF(AND(E413=1,L413=0),T413,"")</f>
        <v>0.689655172413793</v>
      </c>
      <c r="W413" s="33">
        <f>IF(U413="","",IF(U413&lt;=Breakdowns!$C$5,1,IF(U413&lt;=Breakdowns!$C$6,2,IF(U413&lt;=Breakdowns!$C$7,3,4))))</f>
        <v>1</v>
      </c>
      <c r="X413" s="33">
        <f>IF(V413="","",IF(V413&lt;=Breakdowns!$D$5,1,IF(V413&lt;=Breakdowns!$D$6,2,IF(V413&lt;=Breakdowns!$D$7,3,4))))</f>
        <v>1</v>
      </c>
      <c r="Y413" s="34">
        <f>INDEX(Stores!$F$2:$F$21,MATCH(B413,Stores!$A$2:$A$21,0))</f>
        <v>2.66</v>
      </c>
      <c r="Z413" s="33">
        <f>IF(Y413&gt;Store_Summary!$M$2,1,0)</f>
        <v>0</v>
      </c>
      <c r="AA413" s="33">
        <f>INDEX(Stores!$C$2:$C$21,MATCH(B413,Stores!$A$2:$A$21,0))</f>
        <v>645</v>
      </c>
      <c r="AB413" s="33">
        <f>IF(AA413&lt;180,1,0)</f>
        <v>0</v>
      </c>
      <c r="AC413" s="32" t="str">
        <f>IF(Orders!D410="","",INDEX(Riders!$C$2:$C$81,MATCH(Orders!D410,Riders!$A$2:$A$81,0)))</f>
        <v>Bicycle</v>
      </c>
      <c r="AD413" s="33">
        <f>IF(Orders!D410="","",INDEX(Riders!$D$2:$D$81,MATCH(Orders!D410,Riders!$A$2:$A$81,0)))</f>
        <v>2</v>
      </c>
      <c r="AE413" s="33">
        <f>IF(Orders!D410="","",IF(INDEX(Riders!$B$2:$B$81,MATCH(Orders!D410,Riders!$A$2:$A$81,0))=B413,1,0))</f>
        <v>0</v>
      </c>
      <c r="AF413" s="34">
        <f>IF(E413=1,Orders!L410,"")</f>
        <v>0.5</v>
      </c>
      <c r="AG413" s="34">
        <f>IF(E413=1,Orders!P410,"")</f>
        <v>9.9</v>
      </c>
      <c r="AH413" s="34">
        <f>IF(E413=1,Orders!Q410,"")</f>
        <v>9.6</v>
      </c>
      <c r="AI413" s="34">
        <f>IF(E413=1,Orders!M410,"")</f>
        <v>2.2</v>
      </c>
      <c r="AJ413" s="34">
        <f>IF(E413=1,Orders!N410,"")</f>
        <v>5.7</v>
      </c>
      <c r="AK413" s="34">
        <f>IF(E413=1,Orders!O410,"")</f>
        <v>1.7</v>
      </c>
      <c r="AL413" s="33">
        <f>IF(E413=1,IF(ROUND(ABS(AI413+AJ413+AK413-AH413),6)&lt;=0.1,1,0),"")</f>
        <v>1</v>
      </c>
      <c r="AM413" s="36">
        <f>IF(E413=1,AI413/AH413,"")</f>
        <v>0.229166666666667</v>
      </c>
      <c r="AN413" s="36">
        <f>IF(E413=1,AJ413/AH413,"")</f>
        <v>0.59375</v>
      </c>
      <c r="AO413" s="36">
        <f>IF(E413=1,AK413/AH413,"")</f>
        <v>0.177083333333333</v>
      </c>
      <c r="AP413" s="34">
        <f>IF(E413=1,Orders!Y410,"")</f>
        <v>0.47</v>
      </c>
      <c r="AQ413" s="33">
        <f>IF(Orders!X410,1,0)</f>
        <v>0</v>
      </c>
      <c r="AR413" s="34" t="str">
        <f>IF(AND(E413=1,L413=1),AJ413,"")</f>
        <v/>
      </c>
      <c r="AS413" s="34">
        <f>IF(AND(E413=1,L413=0),AJ413,"")</f>
        <v>5.7</v>
      </c>
      <c r="AT413" s="34" t="str">
        <f>IF(AND(E413=1,L413=1),AI413,"")</f>
        <v/>
      </c>
      <c r="AU413" s="34">
        <f>IF(AND(E413=1,L413=0),AI413,"")</f>
        <v>2.2</v>
      </c>
      <c r="AV413" s="34" t="str">
        <f>IF(AND(E413=1,L413=1),AG413,"")</f>
        <v/>
      </c>
      <c r="AW413" s="34">
        <f>IF(AND(E413=1,L413=0),AG413,"")</f>
        <v>9.9</v>
      </c>
      <c r="AX413" s="34" t="str">
        <f>IF(AND(E413=1,L413=1),AH413,"")</f>
        <v/>
      </c>
      <c r="AY413" s="34">
        <f>IF(AND(E413=1,L413=0),AH413,"")</f>
        <v>9.6</v>
      </c>
      <c r="AZ413" s="34" t="str">
        <f>IF(G413=1,F413,"")</f>
        <v/>
      </c>
      <c r="BA413" s="34" t="str">
        <f>IF(AND(G413=1,L413=1),F413,"")</f>
        <v/>
      </c>
      <c r="BB413" s="34" t="str">
        <f>IF(AND(G413=1,L413=0),F413,"")</f>
        <v/>
      </c>
      <c r="BC413" s="33">
        <f>IF(E413=1,IF(Orders!R410&gt;3,1,0),"")</f>
        <v>0</v>
      </c>
      <c r="BD413" s="33">
        <f>IF(E413=1,IF(Orders!R410&gt;7,1,0),"")</f>
        <v>0</v>
      </c>
      <c r="BE413" s="32" t="str">
        <f>IF(E413=1,IF(Orders!L410&lt;=1.5,"Up to 1.5 km",IF(Orders!L410&lt;=3,"1.5–3 km","Over 3 km")),"")</f>
        <v>Up to 1.5 km</v>
      </c>
      <c r="BF413" s="33">
        <f>IF(E413=1,IF(ABS((Orders!G410-Orders!F410)*1440-Orders!R410)&lt;0.06,1,0),"")</f>
        <v>1</v>
      </c>
      <c r="BG413" s="33">
        <f>IF(ABS((Orders!F410-Orders!E410)*1440-Orders!P410)&lt;0.06,1,0)</f>
        <v>1</v>
      </c>
      <c r="BH413" s="33">
        <f>IF(E413=1,IF(IF(Orders!S410,1,0)=1-G413,1,0),"")</f>
        <v>1</v>
      </c>
      <c r="BI413" s="32" t="str">
        <f>INDEX(Stores!$B$2:$B$21,MATCH(B413,Stores!$A$2:$A$21,0))</f>
        <v>Pune</v>
      </c>
    </row>
    <row r="414">
      <c r="A414" s="32" t="str">
        <f>Orders!A411</f>
        <v>O00410</v>
      </c>
      <c r="B414" s="32" t="str">
        <f>Orders!C411</f>
        <v>S003</v>
      </c>
      <c r="C414" s="32" t="str">
        <f>Orders!B411</f>
        <v>C0073</v>
      </c>
      <c r="D414" s="32" t="str">
        <f>Orders!H411</f>
        <v>Delivered</v>
      </c>
      <c r="E414" s="33">
        <f>IF(Orders!H411="Delivered",1,0)</f>
        <v>1</v>
      </c>
      <c r="F414" s="34">
        <f>IF(E414=1,Orders!R411,"")</f>
        <v>-1.2</v>
      </c>
      <c r="G414" s="33">
        <f>IF(E414=1,IF(Orders!R411&gt;0,1,0),"")</f>
        <v>0</v>
      </c>
      <c r="H414" s="33">
        <f>IF(E414=1,IF(Orders!R411&gt;5,1,0),"")</f>
        <v>0</v>
      </c>
      <c r="I414" s="32" t="str">
        <f>IF(E414=1,"",IF(OR(Orders!T411="Rider unavailable",Orders!T411="Item unavailable"),"Company-caused","Unresolved"))</f>
        <v/>
      </c>
      <c r="J414" s="33">
        <f>IF(OR(E414=1,I414="Company-caused"),1,0)</f>
        <v>1</v>
      </c>
      <c r="K414" s="32" t="str">
        <f>IF(E414=0,IF(I414="Company-caused",IF(Orders!T411="Rider unavailable","C1 Rider unavailable","C2 Item unavailable"),"Outside root: unresolved"),IF(G414=0,"A On time",IF(H414=1,IF(L414=1,"B2a Severe, peak","B2b Severe, off-peak"),IF(L414=1,"B1a Slight, peak","B1b Slight, off-peak"))))</f>
        <v>A On time</v>
      </c>
      <c r="L414" s="33">
        <f>IF(AND(Orders!U411&gt;=19,Orders!U411&lt;22),1,0)</f>
        <v>0</v>
      </c>
      <c r="M414" s="33">
        <f>IF(L414=IF(Orders!V411,1,0),1,0)</f>
        <v>1</v>
      </c>
      <c r="N414" s="32" t="str">
        <f>IF(Orders!W411="","None",Orders!W411)</f>
        <v>None</v>
      </c>
      <c r="O414" s="35">
        <f>INT(Orders!E411)</f>
        <v>46277.0</v>
      </c>
      <c r="P414" s="33">
        <f>Orders!U411</f>
        <v>11</v>
      </c>
      <c r="Q414" s="33">
        <f>COUNTIFS(Demand!$A$2:$A$4481,B414,Demand!$B$2:$B$4481,O414,Demand!$C$2:$C$4481,P414)</f>
        <v>1</v>
      </c>
      <c r="R414" s="33">
        <f>IF(Q414=1,SUMIFS(Demand!$E$2:$E$4481,Demand!$A$2:$A$4481,B414,Demand!$B$2:$B$4481,O414,Demand!$C$2:$C$4481,P414),"")</f>
        <v>54</v>
      </c>
      <c r="S414" s="33">
        <f>INDEX(Stores!$G$2:$G$21,MATCH(B414,Stores!$A$2:$A$21,0))</f>
        <v>41</v>
      </c>
      <c r="T414" s="34">
        <f>IF(R414="","",R414/S414)</f>
        <v>1.31707317073171</v>
      </c>
      <c r="U414" s="34">
        <f>IF(E414=1,T414,"")</f>
        <v>1.31707317073171</v>
      </c>
      <c r="V414" s="34">
        <f>IF(AND(E414=1,L414=0),T414,"")</f>
        <v>1.31707317073171</v>
      </c>
      <c r="W414" s="33">
        <f>IF(U414="","",IF(U414&lt;=Breakdowns!$C$5,1,IF(U414&lt;=Breakdowns!$C$6,2,IF(U414&lt;=Breakdowns!$C$7,3,4))))</f>
        <v>4</v>
      </c>
      <c r="X414" s="33">
        <f>IF(V414="","",IF(V414&lt;=Breakdowns!$D$5,1,IF(V414&lt;=Breakdowns!$D$6,2,IF(V414&lt;=Breakdowns!$D$7,3,4))))</f>
        <v>4</v>
      </c>
      <c r="Y414" s="34">
        <f>INDEX(Stores!$F$2:$F$21,MATCH(B414,Stores!$A$2:$A$21,0))</f>
        <v>3.84</v>
      </c>
      <c r="Z414" s="33">
        <f>IF(Y414&gt;Store_Summary!$M$2,1,0)</f>
        <v>0</v>
      </c>
      <c r="AA414" s="33">
        <f>INDEX(Stores!$C$2:$C$21,MATCH(B414,Stores!$A$2:$A$21,0))</f>
        <v>426</v>
      </c>
      <c r="AB414" s="33">
        <f>IF(AA414&lt;180,1,0)</f>
        <v>0</v>
      </c>
      <c r="AC414" s="32" t="str">
        <f>IF(Orders!D411="","",INDEX(Riders!$C$2:$C$81,MATCH(Orders!D411,Riders!$A$2:$A$81,0)))</f>
        <v>EV scooter</v>
      </c>
      <c r="AD414" s="33">
        <f>IF(Orders!D411="","",INDEX(Riders!$D$2:$D$81,MATCH(Orders!D411,Riders!$A$2:$A$81,0)))</f>
        <v>32</v>
      </c>
      <c r="AE414" s="33">
        <f>IF(Orders!D411="","",IF(INDEX(Riders!$B$2:$B$81,MATCH(Orders!D411,Riders!$A$2:$A$81,0))=B414,1,0))</f>
        <v>1</v>
      </c>
      <c r="AF414" s="34">
        <f>IF(E414=1,Orders!L411,"")</f>
        <v>0.78</v>
      </c>
      <c r="AG414" s="34">
        <f>IF(E414=1,Orders!P411,"")</f>
        <v>11.3</v>
      </c>
      <c r="AH414" s="34">
        <f>IF(E414=1,Orders!Q411,"")</f>
        <v>10.1</v>
      </c>
      <c r="AI414" s="34">
        <f>IF(E414=1,Orders!M411,"")</f>
        <v>4.2</v>
      </c>
      <c r="AJ414" s="34">
        <f>IF(E414=1,Orders!N411,"")</f>
        <v>4.1</v>
      </c>
      <c r="AK414" s="34">
        <f>IF(E414=1,Orders!O411,"")</f>
        <v>1.8</v>
      </c>
      <c r="AL414" s="33">
        <f>IF(E414=1,IF(ROUND(ABS(AI414+AJ414+AK414-AH414),6)&lt;=0.1,1,0),"")</f>
        <v>1</v>
      </c>
      <c r="AM414" s="36">
        <f>IF(E414=1,AI414/AH414,"")</f>
        <v>0.415841584158416</v>
      </c>
      <c r="AN414" s="36">
        <f>IF(E414=1,AJ414/AH414,"")</f>
        <v>0.405940594059406</v>
      </c>
      <c r="AO414" s="36">
        <f>IF(E414=1,AK414/AH414,"")</f>
        <v>0.178217821782178</v>
      </c>
      <c r="AP414" s="34">
        <f>IF(E414=1,Orders!Y411,"")</f>
        <v>0.4</v>
      </c>
      <c r="AQ414" s="33">
        <f>IF(Orders!X411,1,0)</f>
        <v>0</v>
      </c>
      <c r="AR414" s="34" t="str">
        <f>IF(AND(E414=1,L414=1),AJ414,"")</f>
        <v/>
      </c>
      <c r="AS414" s="34">
        <f>IF(AND(E414=1,L414=0),AJ414,"")</f>
        <v>4.1</v>
      </c>
      <c r="AT414" s="34" t="str">
        <f>IF(AND(E414=1,L414=1),AI414,"")</f>
        <v/>
      </c>
      <c r="AU414" s="34">
        <f>IF(AND(E414=1,L414=0),AI414,"")</f>
        <v>4.2</v>
      </c>
      <c r="AV414" s="34" t="str">
        <f>IF(AND(E414=1,L414=1),AG414,"")</f>
        <v/>
      </c>
      <c r="AW414" s="34">
        <f>IF(AND(E414=1,L414=0),AG414,"")</f>
        <v>11.3</v>
      </c>
      <c r="AX414" s="34" t="str">
        <f>IF(AND(E414=1,L414=1),AH414,"")</f>
        <v/>
      </c>
      <c r="AY414" s="34">
        <f>IF(AND(E414=1,L414=0),AH414,"")</f>
        <v>10.1</v>
      </c>
      <c r="AZ414" s="34" t="str">
        <f>IF(G414=1,F414,"")</f>
        <v/>
      </c>
      <c r="BA414" s="34" t="str">
        <f>IF(AND(G414=1,L414=1),F414,"")</f>
        <v/>
      </c>
      <c r="BB414" s="34" t="str">
        <f>IF(AND(G414=1,L414=0),F414,"")</f>
        <v/>
      </c>
      <c r="BC414" s="33">
        <f>IF(E414=1,IF(Orders!R411&gt;3,1,0),"")</f>
        <v>0</v>
      </c>
      <c r="BD414" s="33">
        <f>IF(E414=1,IF(Orders!R411&gt;7,1,0),"")</f>
        <v>0</v>
      </c>
      <c r="BE414" s="32" t="str">
        <f>IF(E414=1,IF(Orders!L411&lt;=1.5,"Up to 1.5 km",IF(Orders!L411&lt;=3,"1.5–3 km","Over 3 km")),"")</f>
        <v>Up to 1.5 km</v>
      </c>
      <c r="BF414" s="33">
        <f>IF(E414=1,IF(ABS((Orders!G411-Orders!F411)*1440-Orders!R411)&lt;0.06,1,0),"")</f>
        <v>1</v>
      </c>
      <c r="BG414" s="33">
        <f>IF(ABS((Orders!F411-Orders!E411)*1440-Orders!P411)&lt;0.06,1,0)</f>
        <v>1</v>
      </c>
      <c r="BH414" s="33">
        <f>IF(E414=1,IF(IF(Orders!S411,1,0)=1-G414,1,0),"")</f>
        <v>1</v>
      </c>
      <c r="BI414" s="32" t="str">
        <f>INDEX(Stores!$B$2:$B$21,MATCH(B414,Stores!$A$2:$A$21,0))</f>
        <v>Mumbai</v>
      </c>
    </row>
    <row r="415">
      <c r="A415" s="32" t="str">
        <f>Orders!A412</f>
        <v>O00411</v>
      </c>
      <c r="B415" s="32" t="str">
        <f>Orders!C412</f>
        <v>S006</v>
      </c>
      <c r="C415" s="32" t="str">
        <f>Orders!B412</f>
        <v>C0216</v>
      </c>
      <c r="D415" s="32" t="str">
        <f>Orders!H412</f>
        <v>Delivered</v>
      </c>
      <c r="E415" s="33">
        <f>IF(Orders!H412="Delivered",1,0)</f>
        <v>1</v>
      </c>
      <c r="F415" s="34">
        <f>IF(E415=1,Orders!R412,"")</f>
        <v>1.5</v>
      </c>
      <c r="G415" s="33">
        <f>IF(E415=1,IF(Orders!R412&gt;0,1,0),"")</f>
        <v>1</v>
      </c>
      <c r="H415" s="33">
        <f>IF(E415=1,IF(Orders!R412&gt;5,1,0),"")</f>
        <v>0</v>
      </c>
      <c r="I415" s="32" t="str">
        <f>IF(E415=1,"",IF(OR(Orders!T412="Rider unavailable",Orders!T412="Item unavailable"),"Company-caused","Unresolved"))</f>
        <v/>
      </c>
      <c r="J415" s="33">
        <f>IF(OR(E415=1,I415="Company-caused"),1,0)</f>
        <v>1</v>
      </c>
      <c r="K415" s="32" t="str">
        <f>IF(E415=0,IF(I415="Company-caused",IF(Orders!T412="Rider unavailable","C1 Rider unavailable","C2 Item unavailable"),"Outside root: unresolved"),IF(G415=0,"A On time",IF(H415=1,IF(L415=1,"B2a Severe, peak","B2b Severe, off-peak"),IF(L415=1,"B1a Slight, peak","B1b Slight, off-peak"))))</f>
        <v>B1b Slight, off-peak</v>
      </c>
      <c r="L415" s="33">
        <f>IF(AND(Orders!U412&gt;=19,Orders!U412&lt;22),1,0)</f>
        <v>0</v>
      </c>
      <c r="M415" s="33">
        <f>IF(L415=IF(Orders!V412,1,0),1,0)</f>
        <v>1</v>
      </c>
      <c r="N415" s="32" t="str">
        <f>IF(Orders!W412="","None",Orders!W412)</f>
        <v>None</v>
      </c>
      <c r="O415" s="35">
        <f>INT(Orders!E412)</f>
        <v>46274.0</v>
      </c>
      <c r="P415" s="33">
        <f>Orders!U412</f>
        <v>14</v>
      </c>
      <c r="Q415" s="33">
        <f>COUNTIFS(Demand!$A$2:$A$4481,B415,Demand!$B$2:$B$4481,O415,Demand!$C$2:$C$4481,P415)</f>
        <v>1</v>
      </c>
      <c r="R415" s="33">
        <f>IF(Q415=1,SUMIFS(Demand!$E$2:$E$4481,Demand!$A$2:$A$4481,B415,Demand!$B$2:$B$4481,O415,Demand!$C$2:$C$4481,P415),"")</f>
        <v>15</v>
      </c>
      <c r="S415" s="33">
        <f>INDEX(Stores!$G$2:$G$21,MATCH(B415,Stores!$A$2:$A$21,0))</f>
        <v>26</v>
      </c>
      <c r="T415" s="34">
        <f>IF(R415="","",R415/S415)</f>
        <v>0.576923076923077</v>
      </c>
      <c r="U415" s="34">
        <f>IF(E415=1,T415,"")</f>
        <v>0.576923076923077</v>
      </c>
      <c r="V415" s="34">
        <f>IF(AND(E415=1,L415=0),T415,"")</f>
        <v>0.576923076923077</v>
      </c>
      <c r="W415" s="33">
        <f>IF(U415="","",IF(U415&lt;=Breakdowns!$C$5,1,IF(U415&lt;=Breakdowns!$C$6,2,IF(U415&lt;=Breakdowns!$C$7,3,4))))</f>
        <v>1</v>
      </c>
      <c r="X415" s="33">
        <f>IF(V415="","",IF(V415&lt;=Breakdowns!$D$5,1,IF(V415&lt;=Breakdowns!$D$6,2,IF(V415&lt;=Breakdowns!$D$7,3,4))))</f>
        <v>1</v>
      </c>
      <c r="Y415" s="34">
        <f>INDEX(Stores!$F$2:$F$21,MATCH(B415,Stores!$A$2:$A$21,0))</f>
        <v>5.22</v>
      </c>
      <c r="Z415" s="33">
        <f>IF(Y415&gt;Store_Summary!$M$2,1,0)</f>
        <v>1</v>
      </c>
      <c r="AA415" s="33">
        <f>INDEX(Stores!$C$2:$C$21,MATCH(B415,Stores!$A$2:$A$21,0))</f>
        <v>412</v>
      </c>
      <c r="AB415" s="33">
        <f>IF(AA415&lt;180,1,0)</f>
        <v>0</v>
      </c>
      <c r="AC415" s="32" t="str">
        <f>IF(Orders!D412="","",INDEX(Riders!$C$2:$C$81,MATCH(Orders!D412,Riders!$A$2:$A$81,0)))</f>
        <v>EV scooter</v>
      </c>
      <c r="AD415" s="33">
        <f>IF(Orders!D412="","",INDEX(Riders!$D$2:$D$81,MATCH(Orders!D412,Riders!$A$2:$A$81,0)))</f>
        <v>46</v>
      </c>
      <c r="AE415" s="33">
        <f>IF(Orders!D412="","",IF(INDEX(Riders!$B$2:$B$81,MATCH(Orders!D412,Riders!$A$2:$A$81,0))=B415,1,0))</f>
        <v>0</v>
      </c>
      <c r="AF415" s="34">
        <f>IF(E415=1,Orders!L412,"")</f>
        <v>0.5</v>
      </c>
      <c r="AG415" s="34">
        <f>IF(E415=1,Orders!P412,"")</f>
        <v>8.9</v>
      </c>
      <c r="AH415" s="34">
        <f>IF(E415=1,Orders!Q412,"")</f>
        <v>10.4</v>
      </c>
      <c r="AI415" s="34">
        <f>IF(E415=1,Orders!M412,"")</f>
        <v>5.2</v>
      </c>
      <c r="AJ415" s="34">
        <f>IF(E415=1,Orders!N412,"")</f>
        <v>3</v>
      </c>
      <c r="AK415" s="34">
        <f>IF(E415=1,Orders!O412,"")</f>
        <v>2.2</v>
      </c>
      <c r="AL415" s="33">
        <f>IF(E415=1,IF(ROUND(ABS(AI415+AJ415+AK415-AH415),6)&lt;=0.1,1,0),"")</f>
        <v>1</v>
      </c>
      <c r="AM415" s="36">
        <f>IF(E415=1,AI415/AH415,"")</f>
        <v>0.5</v>
      </c>
      <c r="AN415" s="36">
        <f>IF(E415=1,AJ415/AH415,"")</f>
        <v>0.288461538461538</v>
      </c>
      <c r="AO415" s="36">
        <f>IF(E415=1,AK415/AH415,"")</f>
        <v>0.211538461538462</v>
      </c>
      <c r="AP415" s="34">
        <f>IF(E415=1,Orders!Y412,"")</f>
        <v>0.37</v>
      </c>
      <c r="AQ415" s="33">
        <f>IF(Orders!X412,1,0)</f>
        <v>0</v>
      </c>
      <c r="AR415" s="34" t="str">
        <f>IF(AND(E415=1,L415=1),AJ415,"")</f>
        <v/>
      </c>
      <c r="AS415" s="34">
        <f>IF(AND(E415=1,L415=0),AJ415,"")</f>
        <v>3</v>
      </c>
      <c r="AT415" s="34" t="str">
        <f>IF(AND(E415=1,L415=1),AI415,"")</f>
        <v/>
      </c>
      <c r="AU415" s="34">
        <f>IF(AND(E415=1,L415=0),AI415,"")</f>
        <v>5.2</v>
      </c>
      <c r="AV415" s="34" t="str">
        <f>IF(AND(E415=1,L415=1),AG415,"")</f>
        <v/>
      </c>
      <c r="AW415" s="34">
        <f>IF(AND(E415=1,L415=0),AG415,"")</f>
        <v>8.9</v>
      </c>
      <c r="AX415" s="34" t="str">
        <f>IF(AND(E415=1,L415=1),AH415,"")</f>
        <v/>
      </c>
      <c r="AY415" s="34">
        <f>IF(AND(E415=1,L415=0),AH415,"")</f>
        <v>10.4</v>
      </c>
      <c r="AZ415" s="34">
        <f>IF(G415=1,F415,"")</f>
        <v>1.5</v>
      </c>
      <c r="BA415" s="34" t="str">
        <f>IF(AND(G415=1,L415=1),F415,"")</f>
        <v/>
      </c>
      <c r="BB415" s="34">
        <f>IF(AND(G415=1,L415=0),F415,"")</f>
        <v>1.5</v>
      </c>
      <c r="BC415" s="33">
        <f>IF(E415=1,IF(Orders!R412&gt;3,1,0),"")</f>
        <v>0</v>
      </c>
      <c r="BD415" s="33">
        <f>IF(E415=1,IF(Orders!R412&gt;7,1,0),"")</f>
        <v>0</v>
      </c>
      <c r="BE415" s="32" t="str">
        <f>IF(E415=1,IF(Orders!L412&lt;=1.5,"Up to 1.5 km",IF(Orders!L412&lt;=3,"1.5–3 km","Over 3 km")),"")</f>
        <v>Up to 1.5 km</v>
      </c>
      <c r="BF415" s="33">
        <f>IF(E415=1,IF(ABS((Orders!G412-Orders!F412)*1440-Orders!R412)&lt;0.06,1,0),"")</f>
        <v>1</v>
      </c>
      <c r="BG415" s="33">
        <f>IF(ABS((Orders!F412-Orders!E412)*1440-Orders!P412)&lt;0.06,1,0)</f>
        <v>1</v>
      </c>
      <c r="BH415" s="33">
        <f>IF(E415=1,IF(IF(Orders!S412,1,0)=1-G415,1,0),"")</f>
        <v>1</v>
      </c>
      <c r="BI415" s="32" t="str">
        <f>INDEX(Stores!$B$2:$B$21,MATCH(B415,Stores!$A$2:$A$21,0))</f>
        <v>Bengaluru</v>
      </c>
    </row>
    <row r="416">
      <c r="A416" s="32" t="str">
        <f>Orders!A413</f>
        <v>O00412</v>
      </c>
      <c r="B416" s="32" t="str">
        <f>Orders!C413</f>
        <v>S012</v>
      </c>
      <c r="C416" s="32" t="str">
        <f>Orders!B413</f>
        <v>C0002</v>
      </c>
      <c r="D416" s="32" t="str">
        <f>Orders!H413</f>
        <v>Delivered</v>
      </c>
      <c r="E416" s="33">
        <f>IF(Orders!H413="Delivered",1,0)</f>
        <v>1</v>
      </c>
      <c r="F416" s="34">
        <f>IF(E416=1,Orders!R413,"")</f>
        <v>5.5</v>
      </c>
      <c r="G416" s="33">
        <f>IF(E416=1,IF(Orders!R413&gt;0,1,0),"")</f>
        <v>1</v>
      </c>
      <c r="H416" s="33">
        <f>IF(E416=1,IF(Orders!R413&gt;5,1,0),"")</f>
        <v>1</v>
      </c>
      <c r="I416" s="32" t="str">
        <f>IF(E416=1,"",IF(OR(Orders!T413="Rider unavailable",Orders!T413="Item unavailable"),"Company-caused","Unresolved"))</f>
        <v/>
      </c>
      <c r="J416" s="33">
        <f>IF(OR(E416=1,I416="Company-caused"),1,0)</f>
        <v>1</v>
      </c>
      <c r="K416" s="32" t="str">
        <f>IF(E416=0,IF(I416="Company-caused",IF(Orders!T413="Rider unavailable","C1 Rider unavailable","C2 Item unavailable"),"Outside root: unresolved"),IF(G416=0,"A On time",IF(H416=1,IF(L416=1,"B2a Severe, peak","B2b Severe, off-peak"),IF(L416=1,"B1a Slight, peak","B1b Slight, off-peak"))))</f>
        <v>B2b Severe, off-peak</v>
      </c>
      <c r="L416" s="33">
        <f>IF(AND(Orders!U413&gt;=19,Orders!U413&lt;22),1,0)</f>
        <v>0</v>
      </c>
      <c r="M416" s="33">
        <f>IF(L416=IF(Orders!V413,1,0),1,0)</f>
        <v>1</v>
      </c>
      <c r="N416" s="32" t="str">
        <f>IF(Orders!W413="","None",Orders!W413)</f>
        <v>None</v>
      </c>
      <c r="O416" s="35">
        <f>INT(Orders!E413)</f>
        <v>46270.0</v>
      </c>
      <c r="P416" s="33">
        <f>Orders!U413</f>
        <v>12</v>
      </c>
      <c r="Q416" s="33">
        <f>COUNTIFS(Demand!$A$2:$A$4481,B416,Demand!$B$2:$B$4481,O416,Demand!$C$2:$C$4481,P416)</f>
        <v>1</v>
      </c>
      <c r="R416" s="33">
        <f>IF(Q416=1,SUMIFS(Demand!$E$2:$E$4481,Demand!$A$2:$A$4481,B416,Demand!$B$2:$B$4481,O416,Demand!$C$2:$C$4481,P416),"")</f>
        <v>20</v>
      </c>
      <c r="S416" s="33">
        <f>INDEX(Stores!$G$2:$G$21,MATCH(B416,Stores!$A$2:$A$21,0))</f>
        <v>15</v>
      </c>
      <c r="T416" s="34">
        <f>IF(R416="","",R416/S416)</f>
        <v>1.33333333333333</v>
      </c>
      <c r="U416" s="34">
        <f>IF(E416=1,T416,"")</f>
        <v>1.33333333333333</v>
      </c>
      <c r="V416" s="34">
        <f>IF(AND(E416=1,L416=0),T416,"")</f>
        <v>1.33333333333333</v>
      </c>
      <c r="W416" s="33">
        <f>IF(U416="","",IF(U416&lt;=Breakdowns!$C$5,1,IF(U416&lt;=Breakdowns!$C$6,2,IF(U416&lt;=Breakdowns!$C$7,3,4))))</f>
        <v>4</v>
      </c>
      <c r="X416" s="33">
        <f>IF(V416="","",IF(V416&lt;=Breakdowns!$D$5,1,IF(V416&lt;=Breakdowns!$D$6,2,IF(V416&lt;=Breakdowns!$D$7,3,4))))</f>
        <v>4</v>
      </c>
      <c r="Y416" s="34">
        <f>INDEX(Stores!$F$2:$F$21,MATCH(B416,Stores!$A$2:$A$21,0))</f>
        <v>5.23</v>
      </c>
      <c r="Z416" s="33">
        <f>IF(Y416&gt;Store_Summary!$M$2,1,0)</f>
        <v>1</v>
      </c>
      <c r="AA416" s="33">
        <f>INDEX(Stores!$C$2:$C$21,MATCH(B416,Stores!$A$2:$A$21,0))</f>
        <v>300</v>
      </c>
      <c r="AB416" s="33">
        <f>IF(AA416&lt;180,1,0)</f>
        <v>0</v>
      </c>
      <c r="AC416" s="32" t="str">
        <f>IF(Orders!D413="","",INDEX(Riders!$C$2:$C$81,MATCH(Orders!D413,Riders!$A$2:$A$81,0)))</f>
        <v>EV scooter</v>
      </c>
      <c r="AD416" s="33">
        <f>IF(Orders!D413="","",INDEX(Riders!$D$2:$D$81,MATCH(Orders!D413,Riders!$A$2:$A$81,0)))</f>
        <v>22</v>
      </c>
      <c r="AE416" s="33">
        <f>IF(Orders!D413="","",IF(INDEX(Riders!$B$2:$B$81,MATCH(Orders!D413,Riders!$A$2:$A$81,0))=B416,1,0))</f>
        <v>0</v>
      </c>
      <c r="AF416" s="34">
        <f>IF(E416=1,Orders!L413,"")</f>
        <v>2.5</v>
      </c>
      <c r="AG416" s="34">
        <f>IF(E416=1,Orders!P413,"")</f>
        <v>11</v>
      </c>
      <c r="AH416" s="34">
        <f>IF(E416=1,Orders!Q413,"")</f>
        <v>16.5</v>
      </c>
      <c r="AI416" s="34">
        <f>IF(E416=1,Orders!M413,"")</f>
        <v>7.1</v>
      </c>
      <c r="AJ416" s="34">
        <f>IF(E416=1,Orders!N413,"")</f>
        <v>2.7</v>
      </c>
      <c r="AK416" s="34">
        <f>IF(E416=1,Orders!O413,"")</f>
        <v>6.6</v>
      </c>
      <c r="AL416" s="33">
        <f>IF(E416=1,IF(ROUND(ABS(AI416+AJ416+AK416-AH416),6)&lt;=0.1,1,0),"")</f>
        <v>1</v>
      </c>
      <c r="AM416" s="36">
        <f>IF(E416=1,AI416/AH416,"")</f>
        <v>0.43030303030303</v>
      </c>
      <c r="AN416" s="36">
        <f>IF(E416=1,AJ416/AH416,"")</f>
        <v>0.163636363636364</v>
      </c>
      <c r="AO416" s="36">
        <f>IF(E416=1,AK416/AH416,"")</f>
        <v>0.4</v>
      </c>
      <c r="AP416" s="34">
        <f>IF(E416=1,Orders!Y413,"")</f>
        <v>0.53</v>
      </c>
      <c r="AQ416" s="33">
        <f>IF(Orders!X413,1,0)</f>
        <v>0</v>
      </c>
      <c r="AR416" s="34" t="str">
        <f>IF(AND(E416=1,L416=1),AJ416,"")</f>
        <v/>
      </c>
      <c r="AS416" s="34">
        <f>IF(AND(E416=1,L416=0),AJ416,"")</f>
        <v>2.7</v>
      </c>
      <c r="AT416" s="34" t="str">
        <f>IF(AND(E416=1,L416=1),AI416,"")</f>
        <v/>
      </c>
      <c r="AU416" s="34">
        <f>IF(AND(E416=1,L416=0),AI416,"")</f>
        <v>7.1</v>
      </c>
      <c r="AV416" s="34" t="str">
        <f>IF(AND(E416=1,L416=1),AG416,"")</f>
        <v/>
      </c>
      <c r="AW416" s="34">
        <f>IF(AND(E416=1,L416=0),AG416,"")</f>
        <v>11</v>
      </c>
      <c r="AX416" s="34" t="str">
        <f>IF(AND(E416=1,L416=1),AH416,"")</f>
        <v/>
      </c>
      <c r="AY416" s="34">
        <f>IF(AND(E416=1,L416=0),AH416,"")</f>
        <v>16.5</v>
      </c>
      <c r="AZ416" s="34">
        <f>IF(G416=1,F416,"")</f>
        <v>5.5</v>
      </c>
      <c r="BA416" s="34" t="str">
        <f>IF(AND(G416=1,L416=1),F416,"")</f>
        <v/>
      </c>
      <c r="BB416" s="34">
        <f>IF(AND(G416=1,L416=0),F416,"")</f>
        <v>5.5</v>
      </c>
      <c r="BC416" s="33">
        <f>IF(E416=1,IF(Orders!R413&gt;3,1,0),"")</f>
        <v>1</v>
      </c>
      <c r="BD416" s="33">
        <f>IF(E416=1,IF(Orders!R413&gt;7,1,0),"")</f>
        <v>0</v>
      </c>
      <c r="BE416" s="32" t="str">
        <f>IF(E416=1,IF(Orders!L413&lt;=1.5,"Up to 1.5 km",IF(Orders!L413&lt;=3,"1.5–3 km","Over 3 km")),"")</f>
        <v>1.5–3 km</v>
      </c>
      <c r="BF416" s="33">
        <f>IF(E416=1,IF(ABS((Orders!G413-Orders!F413)*1440-Orders!R413)&lt;0.06,1,0),"")</f>
        <v>1</v>
      </c>
      <c r="BG416" s="33">
        <f>IF(ABS((Orders!F413-Orders!E413)*1440-Orders!P413)&lt;0.06,1,0)</f>
        <v>1</v>
      </c>
      <c r="BH416" s="33">
        <f>IF(E416=1,IF(IF(Orders!S413,1,0)=1-G416,1,0),"")</f>
        <v>1</v>
      </c>
      <c r="BI416" s="32" t="str">
        <f>INDEX(Stores!$B$2:$B$21,MATCH(B416,Stores!$A$2:$A$21,0))</f>
        <v>Hyderabad</v>
      </c>
    </row>
    <row r="417">
      <c r="A417" s="32" t="str">
        <f>Orders!A414</f>
        <v>O00413</v>
      </c>
      <c r="B417" s="32" t="str">
        <f>Orders!C414</f>
        <v>S008</v>
      </c>
      <c r="C417" s="32" t="str">
        <f>Orders!B414</f>
        <v>C0234</v>
      </c>
      <c r="D417" s="32" t="str">
        <f>Orders!H414</f>
        <v>Delivered</v>
      </c>
      <c r="E417" s="33">
        <f>IF(Orders!H414="Delivered",1,0)</f>
        <v>1</v>
      </c>
      <c r="F417" s="34">
        <f>IF(E417=1,Orders!R414,"")</f>
        <v>-0.8</v>
      </c>
      <c r="G417" s="33">
        <f>IF(E417=1,IF(Orders!R414&gt;0,1,0),"")</f>
        <v>0</v>
      </c>
      <c r="H417" s="33">
        <f>IF(E417=1,IF(Orders!R414&gt;5,1,0),"")</f>
        <v>0</v>
      </c>
      <c r="I417" s="32" t="str">
        <f>IF(E417=1,"",IF(OR(Orders!T414="Rider unavailable",Orders!T414="Item unavailable"),"Company-caused","Unresolved"))</f>
        <v/>
      </c>
      <c r="J417" s="33">
        <f>IF(OR(E417=1,I417="Company-caused"),1,0)</f>
        <v>1</v>
      </c>
      <c r="K417" s="32" t="str">
        <f>IF(E417=0,IF(I417="Company-caused",IF(Orders!T414="Rider unavailable","C1 Rider unavailable","C2 Item unavailable"),"Outside root: unresolved"),IF(G417=0,"A On time",IF(H417=1,IF(L417=1,"B2a Severe, peak","B2b Severe, off-peak"),IF(L417=1,"B1a Slight, peak","B1b Slight, off-peak"))))</f>
        <v>A On time</v>
      </c>
      <c r="L417" s="33">
        <f>IF(AND(Orders!U414&gt;=19,Orders!U414&lt;22),1,0)</f>
        <v>0</v>
      </c>
      <c r="M417" s="33">
        <f>IF(L417=IF(Orders!V414,1,0),1,0)</f>
        <v>1</v>
      </c>
      <c r="N417" s="32" t="str">
        <f>IF(Orders!W414="","None",Orders!W414)</f>
        <v>Light</v>
      </c>
      <c r="O417" s="35">
        <f>INT(Orders!E414)</f>
        <v>46274.0</v>
      </c>
      <c r="P417" s="33">
        <f>Orders!U414</f>
        <v>17</v>
      </c>
      <c r="Q417" s="33">
        <f>COUNTIFS(Demand!$A$2:$A$4481,B417,Demand!$B$2:$B$4481,O417,Demand!$C$2:$C$4481,P417)</f>
        <v>1</v>
      </c>
      <c r="R417" s="33">
        <f>IF(Q417=1,SUMIFS(Demand!$E$2:$E$4481,Demand!$A$2:$A$4481,B417,Demand!$B$2:$B$4481,O417,Demand!$C$2:$C$4481,P417),"")</f>
        <v>28</v>
      </c>
      <c r="S417" s="33">
        <f>INDEX(Stores!$G$2:$G$21,MATCH(B417,Stores!$A$2:$A$21,0))</f>
        <v>23</v>
      </c>
      <c r="T417" s="34">
        <f>IF(R417="","",R417/S417)</f>
        <v>1.21739130434783</v>
      </c>
      <c r="U417" s="34">
        <f>IF(E417=1,T417,"")</f>
        <v>1.21739130434783</v>
      </c>
      <c r="V417" s="34">
        <f>IF(AND(E417=1,L417=0),T417,"")</f>
        <v>1.21739130434783</v>
      </c>
      <c r="W417" s="33">
        <f>IF(U417="","",IF(U417&lt;=Breakdowns!$C$5,1,IF(U417&lt;=Breakdowns!$C$6,2,IF(U417&lt;=Breakdowns!$C$7,3,4))))</f>
        <v>3</v>
      </c>
      <c r="X417" s="33">
        <f>IF(V417="","",IF(V417&lt;=Breakdowns!$D$5,1,IF(V417&lt;=Breakdowns!$D$6,2,IF(V417&lt;=Breakdowns!$D$7,3,4))))</f>
        <v>4</v>
      </c>
      <c r="Y417" s="34">
        <f>INDEX(Stores!$F$2:$F$21,MATCH(B417,Stores!$A$2:$A$21,0))</f>
        <v>3.46</v>
      </c>
      <c r="Z417" s="33">
        <f>IF(Y417&gt;Store_Summary!$M$2,1,0)</f>
        <v>0</v>
      </c>
      <c r="AA417" s="33">
        <f>INDEX(Stores!$C$2:$C$21,MATCH(B417,Stores!$A$2:$A$21,0))</f>
        <v>825</v>
      </c>
      <c r="AB417" s="33">
        <f>IF(AA417&lt;180,1,0)</f>
        <v>0</v>
      </c>
      <c r="AC417" s="32" t="str">
        <f>IF(Orders!D414="","",INDEX(Riders!$C$2:$C$81,MATCH(Orders!D414,Riders!$A$2:$A$81,0)))</f>
        <v>EV scooter</v>
      </c>
      <c r="AD417" s="33">
        <f>IF(Orders!D414="","",INDEX(Riders!$D$2:$D$81,MATCH(Orders!D414,Riders!$A$2:$A$81,0)))</f>
        <v>21</v>
      </c>
      <c r="AE417" s="33">
        <f>IF(Orders!D414="","",IF(INDEX(Riders!$B$2:$B$81,MATCH(Orders!D414,Riders!$A$2:$A$81,0))=B417,1,0))</f>
        <v>0</v>
      </c>
      <c r="AF417" s="34">
        <f>IF(E417=1,Orders!L414,"")</f>
        <v>1.59</v>
      </c>
      <c r="AG417" s="34">
        <f>IF(E417=1,Orders!P414,"")</f>
        <v>10.9</v>
      </c>
      <c r="AH417" s="34">
        <f>IF(E417=1,Orders!Q414,"")</f>
        <v>10.1</v>
      </c>
      <c r="AI417" s="34">
        <f>IF(E417=1,Orders!M414,"")</f>
        <v>2.8</v>
      </c>
      <c r="AJ417" s="34">
        <f>IF(E417=1,Orders!N414,"")</f>
        <v>4.3</v>
      </c>
      <c r="AK417" s="34">
        <f>IF(E417=1,Orders!O414,"")</f>
        <v>3</v>
      </c>
      <c r="AL417" s="33">
        <f>IF(E417=1,IF(ROUND(ABS(AI417+AJ417+AK417-AH417),6)&lt;=0.1,1,0),"")</f>
        <v>1</v>
      </c>
      <c r="AM417" s="36">
        <f>IF(E417=1,AI417/AH417,"")</f>
        <v>0.277227722772277</v>
      </c>
      <c r="AN417" s="36">
        <f>IF(E417=1,AJ417/AH417,"")</f>
        <v>0.425742574257426</v>
      </c>
      <c r="AO417" s="36">
        <f>IF(E417=1,AK417/AH417,"")</f>
        <v>0.297029702970297</v>
      </c>
      <c r="AP417" s="34">
        <f>IF(E417=1,Orders!Y414,"")</f>
        <v>0.26</v>
      </c>
      <c r="AQ417" s="33">
        <f>IF(Orders!X414,1,0)</f>
        <v>0</v>
      </c>
      <c r="AR417" s="34" t="str">
        <f>IF(AND(E417=1,L417=1),AJ417,"")</f>
        <v/>
      </c>
      <c r="AS417" s="34">
        <f>IF(AND(E417=1,L417=0),AJ417,"")</f>
        <v>4.3</v>
      </c>
      <c r="AT417" s="34" t="str">
        <f>IF(AND(E417=1,L417=1),AI417,"")</f>
        <v/>
      </c>
      <c r="AU417" s="34">
        <f>IF(AND(E417=1,L417=0),AI417,"")</f>
        <v>2.8</v>
      </c>
      <c r="AV417" s="34" t="str">
        <f>IF(AND(E417=1,L417=1),AG417,"")</f>
        <v/>
      </c>
      <c r="AW417" s="34">
        <f>IF(AND(E417=1,L417=0),AG417,"")</f>
        <v>10.9</v>
      </c>
      <c r="AX417" s="34" t="str">
        <f>IF(AND(E417=1,L417=1),AH417,"")</f>
        <v/>
      </c>
      <c r="AY417" s="34">
        <f>IF(AND(E417=1,L417=0),AH417,"")</f>
        <v>10.1</v>
      </c>
      <c r="AZ417" s="34" t="str">
        <f>IF(G417=1,F417,"")</f>
        <v/>
      </c>
      <c r="BA417" s="34" t="str">
        <f>IF(AND(G417=1,L417=1),F417,"")</f>
        <v/>
      </c>
      <c r="BB417" s="34" t="str">
        <f>IF(AND(G417=1,L417=0),F417,"")</f>
        <v/>
      </c>
      <c r="BC417" s="33">
        <f>IF(E417=1,IF(Orders!R414&gt;3,1,0),"")</f>
        <v>0</v>
      </c>
      <c r="BD417" s="33">
        <f>IF(E417=1,IF(Orders!R414&gt;7,1,0),"")</f>
        <v>0</v>
      </c>
      <c r="BE417" s="32" t="str">
        <f>IF(E417=1,IF(Orders!L414&lt;=1.5,"Up to 1.5 km",IF(Orders!L414&lt;=3,"1.5–3 km","Over 3 km")),"")</f>
        <v>1.5–3 km</v>
      </c>
      <c r="BF417" s="33">
        <f>IF(E417=1,IF(ABS((Orders!G414-Orders!F414)*1440-Orders!R414)&lt;0.06,1,0),"")</f>
        <v>1</v>
      </c>
      <c r="BG417" s="33">
        <f>IF(ABS((Orders!F414-Orders!E414)*1440-Orders!P414)&lt;0.06,1,0)</f>
        <v>1</v>
      </c>
      <c r="BH417" s="33">
        <f>IF(E417=1,IF(IF(Orders!S414,1,0)=1-G417,1,0),"")</f>
        <v>1</v>
      </c>
      <c r="BI417" s="32" t="str">
        <f>INDEX(Stores!$B$2:$B$21,MATCH(B417,Stores!$A$2:$A$21,0))</f>
        <v>Mumbai</v>
      </c>
    </row>
    <row r="418">
      <c r="A418" s="32" t="str">
        <f>Orders!A415</f>
        <v>O00414</v>
      </c>
      <c r="B418" s="32" t="str">
        <f>Orders!C415</f>
        <v>S001</v>
      </c>
      <c r="C418" s="32" t="str">
        <f>Orders!B415</f>
        <v>C0027</v>
      </c>
      <c r="D418" s="32" t="str">
        <f>Orders!H415</f>
        <v>Delivered</v>
      </c>
      <c r="E418" s="33">
        <f>IF(Orders!H415="Delivered",1,0)</f>
        <v>1</v>
      </c>
      <c r="F418" s="34">
        <f>IF(E418=1,Orders!R415,"")</f>
        <v>-0.3</v>
      </c>
      <c r="G418" s="33">
        <f>IF(E418=1,IF(Orders!R415&gt;0,1,0),"")</f>
        <v>0</v>
      </c>
      <c r="H418" s="33">
        <f>IF(E418=1,IF(Orders!R415&gt;5,1,0),"")</f>
        <v>0</v>
      </c>
      <c r="I418" s="32" t="str">
        <f>IF(E418=1,"",IF(OR(Orders!T415="Rider unavailable",Orders!T415="Item unavailable"),"Company-caused","Unresolved"))</f>
        <v/>
      </c>
      <c r="J418" s="33">
        <f>IF(OR(E418=1,I418="Company-caused"),1,0)</f>
        <v>1</v>
      </c>
      <c r="K418" s="32" t="str">
        <f>IF(E418=0,IF(I418="Company-caused",IF(Orders!T415="Rider unavailable","C1 Rider unavailable","C2 Item unavailable"),"Outside root: unresolved"),IF(G418=0,"A On time",IF(H418=1,IF(L418=1,"B2a Severe, peak","B2b Severe, off-peak"),IF(L418=1,"B1a Slight, peak","B1b Slight, off-peak"))))</f>
        <v>A On time</v>
      </c>
      <c r="L418" s="33">
        <f>IF(AND(Orders!U415&gt;=19,Orders!U415&lt;22),1,0)</f>
        <v>0</v>
      </c>
      <c r="M418" s="33">
        <f>IF(L418=IF(Orders!V415,1,0),1,0)</f>
        <v>1</v>
      </c>
      <c r="N418" s="32" t="str">
        <f>IF(Orders!W415="","None",Orders!W415)</f>
        <v>None</v>
      </c>
      <c r="O418" s="35">
        <f>INT(Orders!E415)</f>
        <v>46274.0</v>
      </c>
      <c r="P418" s="33">
        <f>Orders!U415</f>
        <v>17</v>
      </c>
      <c r="Q418" s="33">
        <f>COUNTIFS(Demand!$A$2:$A$4481,B418,Demand!$B$2:$B$4481,O418,Demand!$C$2:$C$4481,P418)</f>
        <v>1</v>
      </c>
      <c r="R418" s="33">
        <f>IF(Q418=1,SUMIFS(Demand!$E$2:$E$4481,Demand!$A$2:$A$4481,B418,Demand!$B$2:$B$4481,O418,Demand!$C$2:$C$4481,P418),"")</f>
        <v>16</v>
      </c>
      <c r="S418" s="33">
        <f>INDEX(Stores!$G$2:$G$21,MATCH(B418,Stores!$A$2:$A$21,0))</f>
        <v>16</v>
      </c>
      <c r="T418" s="34">
        <f>IF(R418="","",R418/S418)</f>
        <v>1</v>
      </c>
      <c r="U418" s="34">
        <f>IF(E418=1,T418,"")</f>
        <v>1</v>
      </c>
      <c r="V418" s="34">
        <f>IF(AND(E418=1,L418=0),T418,"")</f>
        <v>1</v>
      </c>
      <c r="W418" s="33">
        <f>IF(U418="","",IF(U418&lt;=Breakdowns!$C$5,1,IF(U418&lt;=Breakdowns!$C$6,2,IF(U418&lt;=Breakdowns!$C$7,3,4))))</f>
        <v>2</v>
      </c>
      <c r="X418" s="33">
        <f>IF(V418="","",IF(V418&lt;=Breakdowns!$D$5,1,IF(V418&lt;=Breakdowns!$D$6,2,IF(V418&lt;=Breakdowns!$D$7,3,4))))</f>
        <v>3</v>
      </c>
      <c r="Y418" s="34">
        <f>INDEX(Stores!$F$2:$F$21,MATCH(B418,Stores!$A$2:$A$21,0))</f>
        <v>4.59</v>
      </c>
      <c r="Z418" s="33">
        <f>IF(Y418&gt;Store_Summary!$M$2,1,0)</f>
        <v>0</v>
      </c>
      <c r="AA418" s="33">
        <f>INDEX(Stores!$C$2:$C$21,MATCH(B418,Stores!$A$2:$A$21,0))</f>
        <v>362</v>
      </c>
      <c r="AB418" s="33">
        <f>IF(AA418&lt;180,1,0)</f>
        <v>0</v>
      </c>
      <c r="AC418" s="32" t="str">
        <f>IF(Orders!D415="","",INDEX(Riders!$C$2:$C$81,MATCH(Orders!D415,Riders!$A$2:$A$81,0)))</f>
        <v>Petrol scooter</v>
      </c>
      <c r="AD418" s="33">
        <f>IF(Orders!D415="","",INDEX(Riders!$D$2:$D$81,MATCH(Orders!D415,Riders!$A$2:$A$81,0)))</f>
        <v>6</v>
      </c>
      <c r="AE418" s="33">
        <f>IF(Orders!D415="","",IF(INDEX(Riders!$B$2:$B$81,MATCH(Orders!D415,Riders!$A$2:$A$81,0))=B418,1,0))</f>
        <v>0</v>
      </c>
      <c r="AF418" s="34">
        <f>IF(E418=1,Orders!L415,"")</f>
        <v>1.48</v>
      </c>
      <c r="AG418" s="34">
        <f>IF(E418=1,Orders!P415,"")</f>
        <v>9.7</v>
      </c>
      <c r="AH418" s="34">
        <f>IF(E418=1,Orders!Q415,"")</f>
        <v>9.4</v>
      </c>
      <c r="AI418" s="34">
        <f>IF(E418=1,Orders!M415,"")</f>
        <v>4.4</v>
      </c>
      <c r="AJ418" s="34">
        <f>IF(E418=1,Orders!N415,"")</f>
        <v>1.7</v>
      </c>
      <c r="AK418" s="34">
        <f>IF(E418=1,Orders!O415,"")</f>
        <v>3.3</v>
      </c>
      <c r="AL418" s="33">
        <f>IF(E418=1,IF(ROUND(ABS(AI418+AJ418+AK418-AH418),6)&lt;=0.1,1,0),"")</f>
        <v>1</v>
      </c>
      <c r="AM418" s="36">
        <f>IF(E418=1,AI418/AH418,"")</f>
        <v>0.468085106382979</v>
      </c>
      <c r="AN418" s="36">
        <f>IF(E418=1,AJ418/AH418,"")</f>
        <v>0.180851063829787</v>
      </c>
      <c r="AO418" s="36">
        <f>IF(E418=1,AK418/AH418,"")</f>
        <v>0.351063829787234</v>
      </c>
      <c r="AP418" s="34">
        <f>IF(E418=1,Orders!Y415,"")</f>
        <v>0.45</v>
      </c>
      <c r="AQ418" s="33">
        <f>IF(Orders!X415,1,0)</f>
        <v>0</v>
      </c>
      <c r="AR418" s="34" t="str">
        <f>IF(AND(E418=1,L418=1),AJ418,"")</f>
        <v/>
      </c>
      <c r="AS418" s="34">
        <f>IF(AND(E418=1,L418=0),AJ418,"")</f>
        <v>1.7</v>
      </c>
      <c r="AT418" s="34" t="str">
        <f>IF(AND(E418=1,L418=1),AI418,"")</f>
        <v/>
      </c>
      <c r="AU418" s="34">
        <f>IF(AND(E418=1,L418=0),AI418,"")</f>
        <v>4.4</v>
      </c>
      <c r="AV418" s="34" t="str">
        <f>IF(AND(E418=1,L418=1),AG418,"")</f>
        <v/>
      </c>
      <c r="AW418" s="34">
        <f>IF(AND(E418=1,L418=0),AG418,"")</f>
        <v>9.7</v>
      </c>
      <c r="AX418" s="34" t="str">
        <f>IF(AND(E418=1,L418=1),AH418,"")</f>
        <v/>
      </c>
      <c r="AY418" s="34">
        <f>IF(AND(E418=1,L418=0),AH418,"")</f>
        <v>9.4</v>
      </c>
      <c r="AZ418" s="34" t="str">
        <f>IF(G418=1,F418,"")</f>
        <v/>
      </c>
      <c r="BA418" s="34" t="str">
        <f>IF(AND(G418=1,L418=1),F418,"")</f>
        <v/>
      </c>
      <c r="BB418" s="34" t="str">
        <f>IF(AND(G418=1,L418=0),F418,"")</f>
        <v/>
      </c>
      <c r="BC418" s="33">
        <f>IF(E418=1,IF(Orders!R415&gt;3,1,0),"")</f>
        <v>0</v>
      </c>
      <c r="BD418" s="33">
        <f>IF(E418=1,IF(Orders!R415&gt;7,1,0),"")</f>
        <v>0</v>
      </c>
      <c r="BE418" s="32" t="str">
        <f>IF(E418=1,IF(Orders!L415&lt;=1.5,"Up to 1.5 km",IF(Orders!L415&lt;=3,"1.5–3 km","Over 3 km")),"")</f>
        <v>Up to 1.5 km</v>
      </c>
      <c r="BF418" s="33">
        <f>IF(E418=1,IF(ABS((Orders!G415-Orders!F415)*1440-Orders!R415)&lt;0.06,1,0),"")</f>
        <v>1</v>
      </c>
      <c r="BG418" s="33">
        <f>IF(ABS((Orders!F415-Orders!E415)*1440-Orders!P415)&lt;0.06,1,0)</f>
        <v>1</v>
      </c>
      <c r="BH418" s="33">
        <f>IF(E418=1,IF(IF(Orders!S415,1,0)=1-G418,1,0),"")</f>
        <v>1</v>
      </c>
      <c r="BI418" s="32" t="str">
        <f>INDEX(Stores!$B$2:$B$21,MATCH(B418,Stores!$A$2:$A$21,0))</f>
        <v>Bengaluru</v>
      </c>
    </row>
    <row r="419">
      <c r="A419" s="32" t="str">
        <f>Orders!A416</f>
        <v>O00415</v>
      </c>
      <c r="B419" s="32" t="str">
        <f>Orders!C416</f>
        <v>S009</v>
      </c>
      <c r="C419" s="32" t="str">
        <f>Orders!B416</f>
        <v>C0004</v>
      </c>
      <c r="D419" s="32" t="str">
        <f>Orders!H416</f>
        <v>Delivered</v>
      </c>
      <c r="E419" s="33">
        <f>IF(Orders!H416="Delivered",1,0)</f>
        <v>1</v>
      </c>
      <c r="F419" s="34">
        <f>IF(E419=1,Orders!R416,"")</f>
        <v>-0.9</v>
      </c>
      <c r="G419" s="33">
        <f>IF(E419=1,IF(Orders!R416&gt;0,1,0),"")</f>
        <v>0</v>
      </c>
      <c r="H419" s="33">
        <f>IF(E419=1,IF(Orders!R416&gt;5,1,0),"")</f>
        <v>0</v>
      </c>
      <c r="I419" s="32" t="str">
        <f>IF(E419=1,"",IF(OR(Orders!T416="Rider unavailable",Orders!T416="Item unavailable"),"Company-caused","Unresolved"))</f>
        <v/>
      </c>
      <c r="J419" s="33">
        <f>IF(OR(E419=1,I419="Company-caused"),1,0)</f>
        <v>1</v>
      </c>
      <c r="K419" s="32" t="str">
        <f>IF(E419=0,IF(I419="Company-caused",IF(Orders!T416="Rider unavailable","C1 Rider unavailable","C2 Item unavailable"),"Outside root: unresolved"),IF(G419=0,"A On time",IF(H419=1,IF(L419=1,"B2a Severe, peak","B2b Severe, off-peak"),IF(L419=1,"B1a Slight, peak","B1b Slight, off-peak"))))</f>
        <v>A On time</v>
      </c>
      <c r="L419" s="33">
        <f>IF(AND(Orders!U416&gt;=19,Orders!U416&lt;22),1,0)</f>
        <v>0</v>
      </c>
      <c r="M419" s="33">
        <f>IF(L419=IF(Orders!V416,1,0),1,0)</f>
        <v>1</v>
      </c>
      <c r="N419" s="32" t="str">
        <f>IF(Orders!W416="","None",Orders!W416)</f>
        <v>None</v>
      </c>
      <c r="O419" s="35">
        <f>INT(Orders!E416)</f>
        <v>46270.0</v>
      </c>
      <c r="P419" s="33">
        <f>Orders!U416</f>
        <v>10</v>
      </c>
      <c r="Q419" s="33">
        <f>COUNTIFS(Demand!$A$2:$A$4481,B419,Demand!$B$2:$B$4481,O419,Demand!$C$2:$C$4481,P419)</f>
        <v>1</v>
      </c>
      <c r="R419" s="33">
        <f>IF(Q419=1,SUMIFS(Demand!$E$2:$E$4481,Demand!$A$2:$A$4481,B419,Demand!$B$2:$B$4481,O419,Demand!$C$2:$C$4481,P419),"")</f>
        <v>28</v>
      </c>
      <c r="S419" s="33">
        <f>INDEX(Stores!$G$2:$G$21,MATCH(B419,Stores!$A$2:$A$21,0))</f>
        <v>29</v>
      </c>
      <c r="T419" s="34">
        <f>IF(R419="","",R419/S419)</f>
        <v>0.96551724137931</v>
      </c>
      <c r="U419" s="34">
        <f>IF(E419=1,T419,"")</f>
        <v>0.96551724137931</v>
      </c>
      <c r="V419" s="34">
        <f>IF(AND(E419=1,L419=0),T419,"")</f>
        <v>0.96551724137931</v>
      </c>
      <c r="W419" s="33">
        <f>IF(U419="","",IF(U419&lt;=Breakdowns!$C$5,1,IF(U419&lt;=Breakdowns!$C$6,2,IF(U419&lt;=Breakdowns!$C$7,3,4))))</f>
        <v>2</v>
      </c>
      <c r="X419" s="33">
        <f>IF(V419="","",IF(V419&lt;=Breakdowns!$D$5,1,IF(V419&lt;=Breakdowns!$D$6,2,IF(V419&lt;=Breakdowns!$D$7,3,4))))</f>
        <v>3</v>
      </c>
      <c r="Y419" s="34">
        <f>INDEX(Stores!$F$2:$F$21,MATCH(B419,Stores!$A$2:$A$21,0))</f>
        <v>2.66</v>
      </c>
      <c r="Z419" s="33">
        <f>IF(Y419&gt;Store_Summary!$M$2,1,0)</f>
        <v>0</v>
      </c>
      <c r="AA419" s="33">
        <f>INDEX(Stores!$C$2:$C$21,MATCH(B419,Stores!$A$2:$A$21,0))</f>
        <v>645</v>
      </c>
      <c r="AB419" s="33">
        <f>IF(AA419&lt;180,1,0)</f>
        <v>0</v>
      </c>
      <c r="AC419" s="32" t="str">
        <f>IF(Orders!D416="","",INDEX(Riders!$C$2:$C$81,MATCH(Orders!D416,Riders!$A$2:$A$81,0)))</f>
        <v>Petrol scooter</v>
      </c>
      <c r="AD419" s="33">
        <f>IF(Orders!D416="","",INDEX(Riders!$D$2:$D$81,MATCH(Orders!D416,Riders!$A$2:$A$81,0)))</f>
        <v>44</v>
      </c>
      <c r="AE419" s="33">
        <f>IF(Orders!D416="","",IF(INDEX(Riders!$B$2:$B$81,MATCH(Orders!D416,Riders!$A$2:$A$81,0))=B419,1,0))</f>
        <v>0</v>
      </c>
      <c r="AF419" s="34">
        <f>IF(E419=1,Orders!L416,"")</f>
        <v>2.8</v>
      </c>
      <c r="AG419" s="34">
        <f>IF(E419=1,Orders!P416,"")</f>
        <v>11.7</v>
      </c>
      <c r="AH419" s="34">
        <f>IF(E419=1,Orders!Q416,"")</f>
        <v>10.8</v>
      </c>
      <c r="AI419" s="34">
        <f>IF(E419=1,Orders!M416,"")</f>
        <v>2.5</v>
      </c>
      <c r="AJ419" s="34">
        <f>IF(E419=1,Orders!N416,"")</f>
        <v>2.9</v>
      </c>
      <c r="AK419" s="34">
        <f>IF(E419=1,Orders!O416,"")</f>
        <v>5.4</v>
      </c>
      <c r="AL419" s="33">
        <f>IF(E419=1,IF(ROUND(ABS(AI419+AJ419+AK419-AH419),6)&lt;=0.1,1,0),"")</f>
        <v>1</v>
      </c>
      <c r="AM419" s="36">
        <f>IF(E419=1,AI419/AH419,"")</f>
        <v>0.231481481481481</v>
      </c>
      <c r="AN419" s="36">
        <f>IF(E419=1,AJ419/AH419,"")</f>
        <v>0.268518518518519</v>
      </c>
      <c r="AO419" s="36">
        <f>IF(E419=1,AK419/AH419,"")</f>
        <v>0.5</v>
      </c>
      <c r="AP419" s="34">
        <f>IF(E419=1,Orders!Y416,"")</f>
        <v>0.17</v>
      </c>
      <c r="AQ419" s="33">
        <f>IF(Orders!X416,1,0)</f>
        <v>0</v>
      </c>
      <c r="AR419" s="34" t="str">
        <f>IF(AND(E419=1,L419=1),AJ419,"")</f>
        <v/>
      </c>
      <c r="AS419" s="34">
        <f>IF(AND(E419=1,L419=0),AJ419,"")</f>
        <v>2.9</v>
      </c>
      <c r="AT419" s="34" t="str">
        <f>IF(AND(E419=1,L419=1),AI419,"")</f>
        <v/>
      </c>
      <c r="AU419" s="34">
        <f>IF(AND(E419=1,L419=0),AI419,"")</f>
        <v>2.5</v>
      </c>
      <c r="AV419" s="34" t="str">
        <f>IF(AND(E419=1,L419=1),AG419,"")</f>
        <v/>
      </c>
      <c r="AW419" s="34">
        <f>IF(AND(E419=1,L419=0),AG419,"")</f>
        <v>11.7</v>
      </c>
      <c r="AX419" s="34" t="str">
        <f>IF(AND(E419=1,L419=1),AH419,"")</f>
        <v/>
      </c>
      <c r="AY419" s="34">
        <f>IF(AND(E419=1,L419=0),AH419,"")</f>
        <v>10.8</v>
      </c>
      <c r="AZ419" s="34" t="str">
        <f>IF(G419=1,F419,"")</f>
        <v/>
      </c>
      <c r="BA419" s="34" t="str">
        <f>IF(AND(G419=1,L419=1),F419,"")</f>
        <v/>
      </c>
      <c r="BB419" s="34" t="str">
        <f>IF(AND(G419=1,L419=0),F419,"")</f>
        <v/>
      </c>
      <c r="BC419" s="33">
        <f>IF(E419=1,IF(Orders!R416&gt;3,1,0),"")</f>
        <v>0</v>
      </c>
      <c r="BD419" s="33">
        <f>IF(E419=1,IF(Orders!R416&gt;7,1,0),"")</f>
        <v>0</v>
      </c>
      <c r="BE419" s="32" t="str">
        <f>IF(E419=1,IF(Orders!L416&lt;=1.5,"Up to 1.5 km",IF(Orders!L416&lt;=3,"1.5–3 km","Over 3 km")),"")</f>
        <v>1.5–3 km</v>
      </c>
      <c r="BF419" s="33">
        <f>IF(E419=1,IF(ABS((Orders!G416-Orders!F416)*1440-Orders!R416)&lt;0.06,1,0),"")</f>
        <v>1</v>
      </c>
      <c r="BG419" s="33">
        <f>IF(ABS((Orders!F416-Orders!E416)*1440-Orders!P416)&lt;0.06,1,0)</f>
        <v>1</v>
      </c>
      <c r="BH419" s="33">
        <f>IF(E419=1,IF(IF(Orders!S416,1,0)=1-G419,1,0),"")</f>
        <v>1</v>
      </c>
      <c r="BI419" s="32" t="str">
        <f>INDEX(Stores!$B$2:$B$21,MATCH(B419,Stores!$A$2:$A$21,0))</f>
        <v>Pune</v>
      </c>
    </row>
    <row r="420">
      <c r="A420" s="32" t="str">
        <f>Orders!A417</f>
        <v>O00416</v>
      </c>
      <c r="B420" s="32" t="str">
        <f>Orders!C417</f>
        <v>S003</v>
      </c>
      <c r="C420" s="32" t="str">
        <f>Orders!B417</f>
        <v>C0071</v>
      </c>
      <c r="D420" s="32" t="str">
        <f>Orders!H417</f>
        <v>Delivered</v>
      </c>
      <c r="E420" s="33">
        <f>IF(Orders!H417="Delivered",1,0)</f>
        <v>1</v>
      </c>
      <c r="F420" s="34">
        <f>IF(E420=1,Orders!R417,"")</f>
        <v>0.9</v>
      </c>
      <c r="G420" s="33">
        <f>IF(E420=1,IF(Orders!R417&gt;0,1,0),"")</f>
        <v>1</v>
      </c>
      <c r="H420" s="33">
        <f>IF(E420=1,IF(Orders!R417&gt;5,1,0),"")</f>
        <v>0</v>
      </c>
      <c r="I420" s="32" t="str">
        <f>IF(E420=1,"",IF(OR(Orders!T417="Rider unavailable",Orders!T417="Item unavailable"),"Company-caused","Unresolved"))</f>
        <v/>
      </c>
      <c r="J420" s="33">
        <f>IF(OR(E420=1,I420="Company-caused"),1,0)</f>
        <v>1</v>
      </c>
      <c r="K420" s="32" t="str">
        <f>IF(E420=0,IF(I420="Company-caused",IF(Orders!T417="Rider unavailable","C1 Rider unavailable","C2 Item unavailable"),"Outside root: unresolved"),IF(G420=0,"A On time",IF(H420=1,IF(L420=1,"B2a Severe, peak","B2b Severe, off-peak"),IF(L420=1,"B1a Slight, peak","B1b Slight, off-peak"))))</f>
        <v>B1b Slight, off-peak</v>
      </c>
      <c r="L420" s="33">
        <f>IF(AND(Orders!U417&gt;=19,Orders!U417&lt;22),1,0)</f>
        <v>0</v>
      </c>
      <c r="M420" s="33">
        <f>IF(L420=IF(Orders!V417,1,0),1,0)</f>
        <v>1</v>
      </c>
      <c r="N420" s="32" t="str">
        <f>IF(Orders!W417="","None",Orders!W417)</f>
        <v>None</v>
      </c>
      <c r="O420" s="35">
        <f>INT(Orders!E417)</f>
        <v>46273.0</v>
      </c>
      <c r="P420" s="33">
        <f>Orders!U417</f>
        <v>22</v>
      </c>
      <c r="Q420" s="33">
        <f>COUNTIFS(Demand!$A$2:$A$4481,B420,Demand!$B$2:$B$4481,O420,Demand!$C$2:$C$4481,P420)</f>
        <v>1</v>
      </c>
      <c r="R420" s="33">
        <f>IF(Q420=1,SUMIFS(Demand!$E$2:$E$4481,Demand!$A$2:$A$4481,B420,Demand!$B$2:$B$4481,O420,Demand!$C$2:$C$4481,P420),"")</f>
        <v>24</v>
      </c>
      <c r="S420" s="33">
        <f>INDEX(Stores!$G$2:$G$21,MATCH(B420,Stores!$A$2:$A$21,0))</f>
        <v>41</v>
      </c>
      <c r="T420" s="34">
        <f>IF(R420="","",R420/S420)</f>
        <v>0.585365853658537</v>
      </c>
      <c r="U420" s="34">
        <f>IF(E420=1,T420,"")</f>
        <v>0.585365853658537</v>
      </c>
      <c r="V420" s="34">
        <f>IF(AND(E420=1,L420=0),T420,"")</f>
        <v>0.585365853658537</v>
      </c>
      <c r="W420" s="33">
        <f>IF(U420="","",IF(U420&lt;=Breakdowns!$C$5,1,IF(U420&lt;=Breakdowns!$C$6,2,IF(U420&lt;=Breakdowns!$C$7,3,4))))</f>
        <v>1</v>
      </c>
      <c r="X420" s="33">
        <f>IF(V420="","",IF(V420&lt;=Breakdowns!$D$5,1,IF(V420&lt;=Breakdowns!$D$6,2,IF(V420&lt;=Breakdowns!$D$7,3,4))))</f>
        <v>1</v>
      </c>
      <c r="Y420" s="34">
        <f>INDEX(Stores!$F$2:$F$21,MATCH(B420,Stores!$A$2:$A$21,0))</f>
        <v>3.84</v>
      </c>
      <c r="Z420" s="33">
        <f>IF(Y420&gt;Store_Summary!$M$2,1,0)</f>
        <v>0</v>
      </c>
      <c r="AA420" s="33">
        <f>INDEX(Stores!$C$2:$C$21,MATCH(B420,Stores!$A$2:$A$21,0))</f>
        <v>426</v>
      </c>
      <c r="AB420" s="33">
        <f>IF(AA420&lt;180,1,0)</f>
        <v>0</v>
      </c>
      <c r="AC420" s="32" t="str">
        <f>IF(Orders!D417="","",INDEX(Riders!$C$2:$C$81,MATCH(Orders!D417,Riders!$A$2:$A$81,0)))</f>
        <v>EV scooter</v>
      </c>
      <c r="AD420" s="33">
        <f>IF(Orders!D417="","",INDEX(Riders!$D$2:$D$81,MATCH(Orders!D417,Riders!$A$2:$A$81,0)))</f>
        <v>2</v>
      </c>
      <c r="AE420" s="33">
        <f>IF(Orders!D417="","",IF(INDEX(Riders!$B$2:$B$81,MATCH(Orders!D417,Riders!$A$2:$A$81,0))=B420,1,0))</f>
        <v>0</v>
      </c>
      <c r="AF420" s="34">
        <f>IF(E420=1,Orders!L417,"")</f>
        <v>2.1</v>
      </c>
      <c r="AG420" s="34">
        <f>IF(E420=1,Orders!P417,"")</f>
        <v>9.9</v>
      </c>
      <c r="AH420" s="34">
        <f>IF(E420=1,Orders!Q417,"")</f>
        <v>10.8</v>
      </c>
      <c r="AI420" s="34">
        <f>IF(E420=1,Orders!M417,"")</f>
        <v>2.9</v>
      </c>
      <c r="AJ420" s="34">
        <f>IF(E420=1,Orders!N417,"")</f>
        <v>2.8</v>
      </c>
      <c r="AK420" s="34">
        <f>IF(E420=1,Orders!O417,"")</f>
        <v>5.1</v>
      </c>
      <c r="AL420" s="33">
        <f>IF(E420=1,IF(ROUND(ABS(AI420+AJ420+AK420-AH420),6)&lt;=0.1,1,0),"")</f>
        <v>1</v>
      </c>
      <c r="AM420" s="36">
        <f>IF(E420=1,AI420/AH420,"")</f>
        <v>0.268518518518519</v>
      </c>
      <c r="AN420" s="36">
        <f>IF(E420=1,AJ420/AH420,"")</f>
        <v>0.259259259259259</v>
      </c>
      <c r="AO420" s="36">
        <f>IF(E420=1,AK420/AH420,"")</f>
        <v>0.472222222222222</v>
      </c>
      <c r="AP420" s="34">
        <f>IF(E420=1,Orders!Y417,"")</f>
        <v>0.34</v>
      </c>
      <c r="AQ420" s="33">
        <f>IF(Orders!X417,1,0)</f>
        <v>1</v>
      </c>
      <c r="AR420" s="34" t="str">
        <f>IF(AND(E420=1,L420=1),AJ420,"")</f>
        <v/>
      </c>
      <c r="AS420" s="34">
        <f>IF(AND(E420=1,L420=0),AJ420,"")</f>
        <v>2.8</v>
      </c>
      <c r="AT420" s="34" t="str">
        <f>IF(AND(E420=1,L420=1),AI420,"")</f>
        <v/>
      </c>
      <c r="AU420" s="34">
        <f>IF(AND(E420=1,L420=0),AI420,"")</f>
        <v>2.9</v>
      </c>
      <c r="AV420" s="34" t="str">
        <f>IF(AND(E420=1,L420=1),AG420,"")</f>
        <v/>
      </c>
      <c r="AW420" s="34">
        <f>IF(AND(E420=1,L420=0),AG420,"")</f>
        <v>9.9</v>
      </c>
      <c r="AX420" s="34" t="str">
        <f>IF(AND(E420=1,L420=1),AH420,"")</f>
        <v/>
      </c>
      <c r="AY420" s="34">
        <f>IF(AND(E420=1,L420=0),AH420,"")</f>
        <v>10.8</v>
      </c>
      <c r="AZ420" s="34">
        <f>IF(G420=1,F420,"")</f>
        <v>0.9</v>
      </c>
      <c r="BA420" s="34" t="str">
        <f>IF(AND(G420=1,L420=1),F420,"")</f>
        <v/>
      </c>
      <c r="BB420" s="34">
        <f>IF(AND(G420=1,L420=0),F420,"")</f>
        <v>0.9</v>
      </c>
      <c r="BC420" s="33">
        <f>IF(E420=1,IF(Orders!R417&gt;3,1,0),"")</f>
        <v>0</v>
      </c>
      <c r="BD420" s="33">
        <f>IF(E420=1,IF(Orders!R417&gt;7,1,0),"")</f>
        <v>0</v>
      </c>
      <c r="BE420" s="32" t="str">
        <f>IF(E420=1,IF(Orders!L417&lt;=1.5,"Up to 1.5 km",IF(Orders!L417&lt;=3,"1.5–3 km","Over 3 km")),"")</f>
        <v>1.5–3 km</v>
      </c>
      <c r="BF420" s="33">
        <f>IF(E420=1,IF(ABS((Orders!G417-Orders!F417)*1440-Orders!R417)&lt;0.06,1,0),"")</f>
        <v>1</v>
      </c>
      <c r="BG420" s="33">
        <f>IF(ABS((Orders!F417-Orders!E417)*1440-Orders!P417)&lt;0.06,1,0)</f>
        <v>1</v>
      </c>
      <c r="BH420" s="33">
        <f>IF(E420=1,IF(IF(Orders!S417,1,0)=1-G420,1,0),"")</f>
        <v>1</v>
      </c>
      <c r="BI420" s="32" t="str">
        <f>INDEX(Stores!$B$2:$B$21,MATCH(B420,Stores!$A$2:$A$21,0))</f>
        <v>Mumbai</v>
      </c>
    </row>
    <row r="421">
      <c r="A421" s="32" t="str">
        <f>Orders!A418</f>
        <v>O00417</v>
      </c>
      <c r="B421" s="32" t="str">
        <f>Orders!C418</f>
        <v>S006</v>
      </c>
      <c r="C421" s="32" t="str">
        <f>Orders!B418</f>
        <v>C0108</v>
      </c>
      <c r="D421" s="32" t="str">
        <f>Orders!H418</f>
        <v>Delivered</v>
      </c>
      <c r="E421" s="33">
        <f>IF(Orders!H418="Delivered",1,0)</f>
        <v>1</v>
      </c>
      <c r="F421" s="34">
        <f>IF(E421=1,Orders!R418,"")</f>
        <v>-0.6</v>
      </c>
      <c r="G421" s="33">
        <f>IF(E421=1,IF(Orders!R418&gt;0,1,0),"")</f>
        <v>0</v>
      </c>
      <c r="H421" s="33">
        <f>IF(E421=1,IF(Orders!R418&gt;5,1,0),"")</f>
        <v>0</v>
      </c>
      <c r="I421" s="32" t="str">
        <f>IF(E421=1,"",IF(OR(Orders!T418="Rider unavailable",Orders!T418="Item unavailable"),"Company-caused","Unresolved"))</f>
        <v/>
      </c>
      <c r="J421" s="33">
        <f>IF(OR(E421=1,I421="Company-caused"),1,0)</f>
        <v>1</v>
      </c>
      <c r="K421" s="32" t="str">
        <f>IF(E421=0,IF(I421="Company-caused",IF(Orders!T418="Rider unavailable","C1 Rider unavailable","C2 Item unavailable"),"Outside root: unresolved"),IF(G421=0,"A On time",IF(H421=1,IF(L421=1,"B2a Severe, peak","B2b Severe, off-peak"),IF(L421=1,"B1a Slight, peak","B1b Slight, off-peak"))))</f>
        <v>A On time</v>
      </c>
      <c r="L421" s="33">
        <f>IF(AND(Orders!U418&gt;=19,Orders!U418&lt;22),1,0)</f>
        <v>0</v>
      </c>
      <c r="M421" s="33">
        <f>IF(L421=IF(Orders!V418,1,0),1,0)</f>
        <v>1</v>
      </c>
      <c r="N421" s="32" t="str">
        <f>IF(Orders!W418="","None",Orders!W418)</f>
        <v>None</v>
      </c>
      <c r="O421" s="35">
        <f>INT(Orders!E418)</f>
        <v>46269.0</v>
      </c>
      <c r="P421" s="33">
        <f>Orders!U418</f>
        <v>15</v>
      </c>
      <c r="Q421" s="33">
        <f>COUNTIFS(Demand!$A$2:$A$4481,B421,Demand!$B$2:$B$4481,O421,Demand!$C$2:$C$4481,P421)</f>
        <v>1</v>
      </c>
      <c r="R421" s="33">
        <f>IF(Q421=1,SUMIFS(Demand!$E$2:$E$4481,Demand!$A$2:$A$4481,B421,Demand!$B$2:$B$4481,O421,Demand!$C$2:$C$4481,P421),"")</f>
        <v>23</v>
      </c>
      <c r="S421" s="33">
        <f>INDEX(Stores!$G$2:$G$21,MATCH(B421,Stores!$A$2:$A$21,0))</f>
        <v>26</v>
      </c>
      <c r="T421" s="34">
        <f>IF(R421="","",R421/S421)</f>
        <v>0.884615384615385</v>
      </c>
      <c r="U421" s="34">
        <f>IF(E421=1,T421,"")</f>
        <v>0.884615384615385</v>
      </c>
      <c r="V421" s="34">
        <f>IF(AND(E421=1,L421=0),T421,"")</f>
        <v>0.884615384615385</v>
      </c>
      <c r="W421" s="33">
        <f>IF(U421="","",IF(U421&lt;=Breakdowns!$C$5,1,IF(U421&lt;=Breakdowns!$C$6,2,IF(U421&lt;=Breakdowns!$C$7,3,4))))</f>
        <v>2</v>
      </c>
      <c r="X421" s="33">
        <f>IF(V421="","",IF(V421&lt;=Breakdowns!$D$5,1,IF(V421&lt;=Breakdowns!$D$6,2,IF(V421&lt;=Breakdowns!$D$7,3,4))))</f>
        <v>2</v>
      </c>
      <c r="Y421" s="34">
        <f>INDEX(Stores!$F$2:$F$21,MATCH(B421,Stores!$A$2:$A$21,0))</f>
        <v>5.22</v>
      </c>
      <c r="Z421" s="33">
        <f>IF(Y421&gt;Store_Summary!$M$2,1,0)</f>
        <v>1</v>
      </c>
      <c r="AA421" s="33">
        <f>INDEX(Stores!$C$2:$C$21,MATCH(B421,Stores!$A$2:$A$21,0))</f>
        <v>412</v>
      </c>
      <c r="AB421" s="33">
        <f>IF(AA421&lt;180,1,0)</f>
        <v>0</v>
      </c>
      <c r="AC421" s="32" t="str">
        <f>IF(Orders!D418="","",INDEX(Riders!$C$2:$C$81,MATCH(Orders!D418,Riders!$A$2:$A$81,0)))</f>
        <v>EV scooter</v>
      </c>
      <c r="AD421" s="33">
        <f>IF(Orders!D418="","",INDEX(Riders!$D$2:$D$81,MATCH(Orders!D418,Riders!$A$2:$A$81,0)))</f>
        <v>11</v>
      </c>
      <c r="AE421" s="33">
        <f>IF(Orders!D418="","",IF(INDEX(Riders!$B$2:$B$81,MATCH(Orders!D418,Riders!$A$2:$A$81,0))=B421,1,0))</f>
        <v>0</v>
      </c>
      <c r="AF421" s="34">
        <f>IF(E421=1,Orders!L418,"")</f>
        <v>0.5</v>
      </c>
      <c r="AG421" s="34">
        <f>IF(E421=1,Orders!P418,"")</f>
        <v>9.5</v>
      </c>
      <c r="AH421" s="34">
        <f>IF(E421=1,Orders!Q418,"")</f>
        <v>8.9</v>
      </c>
      <c r="AI421" s="34">
        <f>IF(E421=1,Orders!M418,"")</f>
        <v>5.3</v>
      </c>
      <c r="AJ421" s="34">
        <f>IF(E421=1,Orders!N418,"")</f>
        <v>0.7</v>
      </c>
      <c r="AK421" s="34">
        <f>IF(E421=1,Orders!O418,"")</f>
        <v>2.9</v>
      </c>
      <c r="AL421" s="33">
        <f>IF(E421=1,IF(ROUND(ABS(AI421+AJ421+AK421-AH421),6)&lt;=0.1,1,0),"")</f>
        <v>1</v>
      </c>
      <c r="AM421" s="36">
        <f>IF(E421=1,AI421/AH421,"")</f>
        <v>0.595505617977528</v>
      </c>
      <c r="AN421" s="36">
        <f>IF(E421=1,AJ421/AH421,"")</f>
        <v>0.0786516853932584</v>
      </c>
      <c r="AO421" s="36">
        <f>IF(E421=1,AK421/AH421,"")</f>
        <v>0.325842696629213</v>
      </c>
      <c r="AP421" s="34">
        <f>IF(E421=1,Orders!Y418,"")</f>
        <v>0.6</v>
      </c>
      <c r="AQ421" s="33">
        <f>IF(Orders!X418,1,0)</f>
        <v>0</v>
      </c>
      <c r="AR421" s="34" t="str">
        <f>IF(AND(E421=1,L421=1),AJ421,"")</f>
        <v/>
      </c>
      <c r="AS421" s="34">
        <f>IF(AND(E421=1,L421=0),AJ421,"")</f>
        <v>0.7</v>
      </c>
      <c r="AT421" s="34" t="str">
        <f>IF(AND(E421=1,L421=1),AI421,"")</f>
        <v/>
      </c>
      <c r="AU421" s="34">
        <f>IF(AND(E421=1,L421=0),AI421,"")</f>
        <v>5.3</v>
      </c>
      <c r="AV421" s="34" t="str">
        <f>IF(AND(E421=1,L421=1),AG421,"")</f>
        <v/>
      </c>
      <c r="AW421" s="34">
        <f>IF(AND(E421=1,L421=0),AG421,"")</f>
        <v>9.5</v>
      </c>
      <c r="AX421" s="34" t="str">
        <f>IF(AND(E421=1,L421=1),AH421,"")</f>
        <v/>
      </c>
      <c r="AY421" s="34">
        <f>IF(AND(E421=1,L421=0),AH421,"")</f>
        <v>8.9</v>
      </c>
      <c r="AZ421" s="34" t="str">
        <f>IF(G421=1,F421,"")</f>
        <v/>
      </c>
      <c r="BA421" s="34" t="str">
        <f>IF(AND(G421=1,L421=1),F421,"")</f>
        <v/>
      </c>
      <c r="BB421" s="34" t="str">
        <f>IF(AND(G421=1,L421=0),F421,"")</f>
        <v/>
      </c>
      <c r="BC421" s="33">
        <f>IF(E421=1,IF(Orders!R418&gt;3,1,0),"")</f>
        <v>0</v>
      </c>
      <c r="BD421" s="33">
        <f>IF(E421=1,IF(Orders!R418&gt;7,1,0),"")</f>
        <v>0</v>
      </c>
      <c r="BE421" s="32" t="str">
        <f>IF(E421=1,IF(Orders!L418&lt;=1.5,"Up to 1.5 km",IF(Orders!L418&lt;=3,"1.5–3 km","Over 3 km")),"")</f>
        <v>Up to 1.5 km</v>
      </c>
      <c r="BF421" s="33">
        <f>IF(E421=1,IF(ABS((Orders!G418-Orders!F418)*1440-Orders!R418)&lt;0.06,1,0),"")</f>
        <v>1</v>
      </c>
      <c r="BG421" s="33">
        <f>IF(ABS((Orders!F418-Orders!E418)*1440-Orders!P418)&lt;0.06,1,0)</f>
        <v>1</v>
      </c>
      <c r="BH421" s="33">
        <f>IF(E421=1,IF(IF(Orders!S418,1,0)=1-G421,1,0),"")</f>
        <v>1</v>
      </c>
      <c r="BI421" s="32" t="str">
        <f>INDEX(Stores!$B$2:$B$21,MATCH(B421,Stores!$A$2:$A$21,0))</f>
        <v>Bengaluru</v>
      </c>
    </row>
    <row r="422">
      <c r="A422" s="32" t="str">
        <f>Orders!A419</f>
        <v>O00418</v>
      </c>
      <c r="B422" s="32" t="str">
        <f>Orders!C419</f>
        <v>S012</v>
      </c>
      <c r="C422" s="32" t="str">
        <f>Orders!B419</f>
        <v>C0140</v>
      </c>
      <c r="D422" s="32" t="str">
        <f>Orders!H419</f>
        <v>Delivered</v>
      </c>
      <c r="E422" s="33">
        <f>IF(Orders!H419="Delivered",1,0)</f>
        <v>1</v>
      </c>
      <c r="F422" s="34">
        <f>IF(E422=1,Orders!R419,"")</f>
        <v>-0.3</v>
      </c>
      <c r="G422" s="33">
        <f>IF(E422=1,IF(Orders!R419&gt;0,1,0),"")</f>
        <v>0</v>
      </c>
      <c r="H422" s="33">
        <f>IF(E422=1,IF(Orders!R419&gt;5,1,0),"")</f>
        <v>0</v>
      </c>
      <c r="I422" s="32" t="str">
        <f>IF(E422=1,"",IF(OR(Orders!T419="Rider unavailable",Orders!T419="Item unavailable"),"Company-caused","Unresolved"))</f>
        <v/>
      </c>
      <c r="J422" s="33">
        <f>IF(OR(E422=1,I422="Company-caused"),1,0)</f>
        <v>1</v>
      </c>
      <c r="K422" s="32" t="str">
        <f>IF(E422=0,IF(I422="Company-caused",IF(Orders!T419="Rider unavailable","C1 Rider unavailable","C2 Item unavailable"),"Outside root: unresolved"),IF(G422=0,"A On time",IF(H422=1,IF(L422=1,"B2a Severe, peak","B2b Severe, off-peak"),IF(L422=1,"B1a Slight, peak","B1b Slight, off-peak"))))</f>
        <v>A On time</v>
      </c>
      <c r="L422" s="33">
        <f>IF(AND(Orders!U419&gt;=19,Orders!U419&lt;22),1,0)</f>
        <v>0</v>
      </c>
      <c r="M422" s="33">
        <f>IF(L422=IF(Orders!V419,1,0),1,0)</f>
        <v>1</v>
      </c>
      <c r="N422" s="32" t="str">
        <f>IF(Orders!W419="","None",Orders!W419)</f>
        <v>None</v>
      </c>
      <c r="O422" s="35">
        <f>INT(Orders!E419)</f>
        <v>46278.0</v>
      </c>
      <c r="P422" s="33">
        <f>Orders!U419</f>
        <v>11</v>
      </c>
      <c r="Q422" s="33">
        <f>COUNTIFS(Demand!$A$2:$A$4481,B422,Demand!$B$2:$B$4481,O422,Demand!$C$2:$C$4481,P422)</f>
        <v>1</v>
      </c>
      <c r="R422" s="33">
        <f>IF(Q422=1,SUMIFS(Demand!$E$2:$E$4481,Demand!$A$2:$A$4481,B422,Demand!$B$2:$B$4481,O422,Demand!$C$2:$C$4481,P422),"")</f>
        <v>15</v>
      </c>
      <c r="S422" s="33">
        <f>INDEX(Stores!$G$2:$G$21,MATCH(B422,Stores!$A$2:$A$21,0))</f>
        <v>15</v>
      </c>
      <c r="T422" s="34">
        <f>IF(R422="","",R422/S422)</f>
        <v>1</v>
      </c>
      <c r="U422" s="34">
        <f>IF(E422=1,T422,"")</f>
        <v>1</v>
      </c>
      <c r="V422" s="34">
        <f>IF(AND(E422=1,L422=0),T422,"")</f>
        <v>1</v>
      </c>
      <c r="W422" s="33">
        <f>IF(U422="","",IF(U422&lt;=Breakdowns!$C$5,1,IF(U422&lt;=Breakdowns!$C$6,2,IF(U422&lt;=Breakdowns!$C$7,3,4))))</f>
        <v>2</v>
      </c>
      <c r="X422" s="33">
        <f>IF(V422="","",IF(V422&lt;=Breakdowns!$D$5,1,IF(V422&lt;=Breakdowns!$D$6,2,IF(V422&lt;=Breakdowns!$D$7,3,4))))</f>
        <v>3</v>
      </c>
      <c r="Y422" s="34">
        <f>INDEX(Stores!$F$2:$F$21,MATCH(B422,Stores!$A$2:$A$21,0))</f>
        <v>5.23</v>
      </c>
      <c r="Z422" s="33">
        <f>IF(Y422&gt;Store_Summary!$M$2,1,0)</f>
        <v>1</v>
      </c>
      <c r="AA422" s="33">
        <f>INDEX(Stores!$C$2:$C$21,MATCH(B422,Stores!$A$2:$A$21,0))</f>
        <v>300</v>
      </c>
      <c r="AB422" s="33">
        <f>IF(AA422&lt;180,1,0)</f>
        <v>0</v>
      </c>
      <c r="AC422" s="32" t="str">
        <f>IF(Orders!D419="","",INDEX(Riders!$C$2:$C$81,MATCH(Orders!D419,Riders!$A$2:$A$81,0)))</f>
        <v>EV scooter</v>
      </c>
      <c r="AD422" s="33">
        <f>IF(Orders!D419="","",INDEX(Riders!$D$2:$D$81,MATCH(Orders!D419,Riders!$A$2:$A$81,0)))</f>
        <v>10</v>
      </c>
      <c r="AE422" s="33">
        <f>IF(Orders!D419="","",IF(INDEX(Riders!$B$2:$B$81,MATCH(Orders!D419,Riders!$A$2:$A$81,0))=B422,1,0))</f>
        <v>0</v>
      </c>
      <c r="AF422" s="34">
        <f>IF(E422=1,Orders!L419,"")</f>
        <v>3.7</v>
      </c>
      <c r="AG422" s="34">
        <f>IF(E422=1,Orders!P419,"")</f>
        <v>12.4</v>
      </c>
      <c r="AH422" s="34">
        <f>IF(E422=1,Orders!Q419,"")</f>
        <v>12.1</v>
      </c>
      <c r="AI422" s="34">
        <f>IF(E422=1,Orders!M419,"")</f>
        <v>2.8</v>
      </c>
      <c r="AJ422" s="34">
        <f>IF(E422=1,Orders!N419,"")</f>
        <v>3.5</v>
      </c>
      <c r="AK422" s="34">
        <f>IF(E422=1,Orders!O419,"")</f>
        <v>5.8</v>
      </c>
      <c r="AL422" s="33">
        <f>IF(E422=1,IF(ROUND(ABS(AI422+AJ422+AK422-AH422),6)&lt;=0.1,1,0),"")</f>
        <v>1</v>
      </c>
      <c r="AM422" s="36">
        <f>IF(E422=1,AI422/AH422,"")</f>
        <v>0.231404958677686</v>
      </c>
      <c r="AN422" s="36">
        <f>IF(E422=1,AJ422/AH422,"")</f>
        <v>0.289256198347108</v>
      </c>
      <c r="AO422" s="36">
        <f>IF(E422=1,AK422/AH422,"")</f>
        <v>0.479338842975207</v>
      </c>
      <c r="AP422" s="34">
        <f>IF(E422=1,Orders!Y419,"")</f>
        <v>0.53</v>
      </c>
      <c r="AQ422" s="33">
        <f>IF(Orders!X419,1,0)</f>
        <v>0</v>
      </c>
      <c r="AR422" s="34" t="str">
        <f>IF(AND(E422=1,L422=1),AJ422,"")</f>
        <v/>
      </c>
      <c r="AS422" s="34">
        <f>IF(AND(E422=1,L422=0),AJ422,"")</f>
        <v>3.5</v>
      </c>
      <c r="AT422" s="34" t="str">
        <f>IF(AND(E422=1,L422=1),AI422,"")</f>
        <v/>
      </c>
      <c r="AU422" s="34">
        <f>IF(AND(E422=1,L422=0),AI422,"")</f>
        <v>2.8</v>
      </c>
      <c r="AV422" s="34" t="str">
        <f>IF(AND(E422=1,L422=1),AG422,"")</f>
        <v/>
      </c>
      <c r="AW422" s="34">
        <f>IF(AND(E422=1,L422=0),AG422,"")</f>
        <v>12.4</v>
      </c>
      <c r="AX422" s="34" t="str">
        <f>IF(AND(E422=1,L422=1),AH422,"")</f>
        <v/>
      </c>
      <c r="AY422" s="34">
        <f>IF(AND(E422=1,L422=0),AH422,"")</f>
        <v>12.1</v>
      </c>
      <c r="AZ422" s="34" t="str">
        <f>IF(G422=1,F422,"")</f>
        <v/>
      </c>
      <c r="BA422" s="34" t="str">
        <f>IF(AND(G422=1,L422=1),F422,"")</f>
        <v/>
      </c>
      <c r="BB422" s="34" t="str">
        <f>IF(AND(G422=1,L422=0),F422,"")</f>
        <v/>
      </c>
      <c r="BC422" s="33">
        <f>IF(E422=1,IF(Orders!R419&gt;3,1,0),"")</f>
        <v>0</v>
      </c>
      <c r="BD422" s="33">
        <f>IF(E422=1,IF(Orders!R419&gt;7,1,0),"")</f>
        <v>0</v>
      </c>
      <c r="BE422" s="32" t="str">
        <f>IF(E422=1,IF(Orders!L419&lt;=1.5,"Up to 1.5 km",IF(Orders!L419&lt;=3,"1.5–3 km","Over 3 km")),"")</f>
        <v>Over 3 km</v>
      </c>
      <c r="BF422" s="33">
        <f>IF(E422=1,IF(ABS((Orders!G419-Orders!F419)*1440-Orders!R419)&lt;0.06,1,0),"")</f>
        <v>1</v>
      </c>
      <c r="BG422" s="33">
        <f>IF(ABS((Orders!F419-Orders!E419)*1440-Orders!P419)&lt;0.06,1,0)</f>
        <v>1</v>
      </c>
      <c r="BH422" s="33">
        <f>IF(E422=1,IF(IF(Orders!S419,1,0)=1-G422,1,0),"")</f>
        <v>1</v>
      </c>
      <c r="BI422" s="32" t="str">
        <f>INDEX(Stores!$B$2:$B$21,MATCH(B422,Stores!$A$2:$A$21,0))</f>
        <v>Hyderabad</v>
      </c>
    </row>
    <row r="423">
      <c r="A423" s="32" t="str">
        <f>Orders!A420</f>
        <v>O00419</v>
      </c>
      <c r="B423" s="32" t="str">
        <f>Orders!C420</f>
        <v>S012</v>
      </c>
      <c r="C423" s="32" t="str">
        <f>Orders!B420</f>
        <v>C0034</v>
      </c>
      <c r="D423" s="32" t="str">
        <f>Orders!H420</f>
        <v>Delivered</v>
      </c>
      <c r="E423" s="33">
        <f>IF(Orders!H420="Delivered",1,0)</f>
        <v>1</v>
      </c>
      <c r="F423" s="34">
        <f>IF(E423=1,Orders!R420,"")</f>
        <v>-0.9</v>
      </c>
      <c r="G423" s="33">
        <f>IF(E423=1,IF(Orders!R420&gt;0,1,0),"")</f>
        <v>0</v>
      </c>
      <c r="H423" s="33">
        <f>IF(E423=1,IF(Orders!R420&gt;5,1,0),"")</f>
        <v>0</v>
      </c>
      <c r="I423" s="32" t="str">
        <f>IF(E423=1,"",IF(OR(Orders!T420="Rider unavailable",Orders!T420="Item unavailable"),"Company-caused","Unresolved"))</f>
        <v/>
      </c>
      <c r="J423" s="33">
        <f>IF(OR(E423=1,I423="Company-caused"),1,0)</f>
        <v>1</v>
      </c>
      <c r="K423" s="32" t="str">
        <f>IF(E423=0,IF(I423="Company-caused",IF(Orders!T420="Rider unavailable","C1 Rider unavailable","C2 Item unavailable"),"Outside root: unresolved"),IF(G423=0,"A On time",IF(H423=1,IF(L423=1,"B2a Severe, peak","B2b Severe, off-peak"),IF(L423=1,"B1a Slight, peak","B1b Slight, off-peak"))))</f>
        <v>A On time</v>
      </c>
      <c r="L423" s="33">
        <f>IF(AND(Orders!U420&gt;=19,Orders!U420&lt;22),1,0)</f>
        <v>1</v>
      </c>
      <c r="M423" s="33">
        <f>IF(L423=IF(Orders!V420,1,0),1,0)</f>
        <v>1</v>
      </c>
      <c r="N423" s="32" t="str">
        <f>IF(Orders!W420="","None",Orders!W420)</f>
        <v>None</v>
      </c>
      <c r="O423" s="35">
        <f>INT(Orders!E420)</f>
        <v>46279.0</v>
      </c>
      <c r="P423" s="33">
        <f>Orders!U420</f>
        <v>19</v>
      </c>
      <c r="Q423" s="33">
        <f>COUNTIFS(Demand!$A$2:$A$4481,B423,Demand!$B$2:$B$4481,O423,Demand!$C$2:$C$4481,P423)</f>
        <v>1</v>
      </c>
      <c r="R423" s="33">
        <f>IF(Q423=1,SUMIFS(Demand!$E$2:$E$4481,Demand!$A$2:$A$4481,B423,Demand!$B$2:$B$4481,O423,Demand!$C$2:$C$4481,P423),"")</f>
        <v>26</v>
      </c>
      <c r="S423" s="33">
        <f>INDEX(Stores!$G$2:$G$21,MATCH(B423,Stores!$A$2:$A$21,0))</f>
        <v>15</v>
      </c>
      <c r="T423" s="34">
        <f>IF(R423="","",R423/S423)</f>
        <v>1.73333333333333</v>
      </c>
      <c r="U423" s="34">
        <f>IF(E423=1,T423,"")</f>
        <v>1.73333333333333</v>
      </c>
      <c r="V423" s="34" t="str">
        <f>IF(AND(E423=1,L423=0),T423,"")</f>
        <v/>
      </c>
      <c r="W423" s="33">
        <f>IF(U423="","",IF(U423&lt;=Breakdowns!$C$5,1,IF(U423&lt;=Breakdowns!$C$6,2,IF(U423&lt;=Breakdowns!$C$7,3,4))))</f>
        <v>4</v>
      </c>
      <c r="X423" s="33" t="str">
        <f>IF(V423="","",IF(V423&lt;=Breakdowns!$D$5,1,IF(V423&lt;=Breakdowns!$D$6,2,IF(V423&lt;=Breakdowns!$D$7,3,4))))</f>
        <v/>
      </c>
      <c r="Y423" s="34">
        <f>INDEX(Stores!$F$2:$F$21,MATCH(B423,Stores!$A$2:$A$21,0))</f>
        <v>5.23</v>
      </c>
      <c r="Z423" s="33">
        <f>IF(Y423&gt;Store_Summary!$M$2,1,0)</f>
        <v>1</v>
      </c>
      <c r="AA423" s="33">
        <f>INDEX(Stores!$C$2:$C$21,MATCH(B423,Stores!$A$2:$A$21,0))</f>
        <v>300</v>
      </c>
      <c r="AB423" s="33">
        <f>IF(AA423&lt;180,1,0)</f>
        <v>0</v>
      </c>
      <c r="AC423" s="32" t="str">
        <f>IF(Orders!D420="","",INDEX(Riders!$C$2:$C$81,MATCH(Orders!D420,Riders!$A$2:$A$81,0)))</f>
        <v>EV scooter</v>
      </c>
      <c r="AD423" s="33">
        <f>IF(Orders!D420="","",INDEX(Riders!$D$2:$D$81,MATCH(Orders!D420,Riders!$A$2:$A$81,0)))</f>
        <v>4</v>
      </c>
      <c r="AE423" s="33">
        <f>IF(Orders!D420="","",IF(INDEX(Riders!$B$2:$B$81,MATCH(Orders!D420,Riders!$A$2:$A$81,0))=B423,1,0))</f>
        <v>0</v>
      </c>
      <c r="AF423" s="34">
        <f>IF(E423=1,Orders!L420,"")</f>
        <v>1.77</v>
      </c>
      <c r="AG423" s="34">
        <f>IF(E423=1,Orders!P420,"")</f>
        <v>10.7</v>
      </c>
      <c r="AH423" s="34">
        <f>IF(E423=1,Orders!Q420,"")</f>
        <v>9.8</v>
      </c>
      <c r="AI423" s="34">
        <f>IF(E423=1,Orders!M420,"")</f>
        <v>3.2</v>
      </c>
      <c r="AJ423" s="34">
        <f>IF(E423=1,Orders!N420,"")</f>
        <v>2.7</v>
      </c>
      <c r="AK423" s="34">
        <f>IF(E423=1,Orders!O420,"")</f>
        <v>3.9</v>
      </c>
      <c r="AL423" s="33">
        <f>IF(E423=1,IF(ROUND(ABS(AI423+AJ423+AK423-AH423),6)&lt;=0.1,1,0),"")</f>
        <v>1</v>
      </c>
      <c r="AM423" s="36">
        <f>IF(E423=1,AI423/AH423,"")</f>
        <v>0.326530612244898</v>
      </c>
      <c r="AN423" s="36">
        <f>IF(E423=1,AJ423/AH423,"")</f>
        <v>0.275510204081633</v>
      </c>
      <c r="AO423" s="36">
        <f>IF(E423=1,AK423/AH423,"")</f>
        <v>0.397959183673469</v>
      </c>
      <c r="AP423" s="34">
        <f>IF(E423=1,Orders!Y420,"")</f>
        <v>0.87</v>
      </c>
      <c r="AQ423" s="33">
        <f>IF(Orders!X420,1,0)</f>
        <v>0</v>
      </c>
      <c r="AR423" s="34">
        <f>IF(AND(E423=1,L423=1),AJ423,"")</f>
        <v>2.7</v>
      </c>
      <c r="AS423" s="34" t="str">
        <f>IF(AND(E423=1,L423=0),AJ423,"")</f>
        <v/>
      </c>
      <c r="AT423" s="34">
        <f>IF(AND(E423=1,L423=1),AI423,"")</f>
        <v>3.2</v>
      </c>
      <c r="AU423" s="34" t="str">
        <f>IF(AND(E423=1,L423=0),AI423,"")</f>
        <v/>
      </c>
      <c r="AV423" s="34">
        <f>IF(AND(E423=1,L423=1),AG423,"")</f>
        <v>10.7</v>
      </c>
      <c r="AW423" s="34" t="str">
        <f>IF(AND(E423=1,L423=0),AG423,"")</f>
        <v/>
      </c>
      <c r="AX423" s="34">
        <f>IF(AND(E423=1,L423=1),AH423,"")</f>
        <v>9.8</v>
      </c>
      <c r="AY423" s="34" t="str">
        <f>IF(AND(E423=1,L423=0),AH423,"")</f>
        <v/>
      </c>
      <c r="AZ423" s="34" t="str">
        <f>IF(G423=1,F423,"")</f>
        <v/>
      </c>
      <c r="BA423" s="34" t="str">
        <f>IF(AND(G423=1,L423=1),F423,"")</f>
        <v/>
      </c>
      <c r="BB423" s="34" t="str">
        <f>IF(AND(G423=1,L423=0),F423,"")</f>
        <v/>
      </c>
      <c r="BC423" s="33">
        <f>IF(E423=1,IF(Orders!R420&gt;3,1,0),"")</f>
        <v>0</v>
      </c>
      <c r="BD423" s="33">
        <f>IF(E423=1,IF(Orders!R420&gt;7,1,0),"")</f>
        <v>0</v>
      </c>
      <c r="BE423" s="32" t="str">
        <f>IF(E423=1,IF(Orders!L420&lt;=1.5,"Up to 1.5 km",IF(Orders!L420&lt;=3,"1.5–3 km","Over 3 km")),"")</f>
        <v>1.5–3 km</v>
      </c>
      <c r="BF423" s="33">
        <f>IF(E423=1,IF(ABS((Orders!G420-Orders!F420)*1440-Orders!R420)&lt;0.06,1,0),"")</f>
        <v>1</v>
      </c>
      <c r="BG423" s="33">
        <f>IF(ABS((Orders!F420-Orders!E420)*1440-Orders!P420)&lt;0.06,1,0)</f>
        <v>1</v>
      </c>
      <c r="BH423" s="33">
        <f>IF(E423=1,IF(IF(Orders!S420,1,0)=1-G423,1,0),"")</f>
        <v>1</v>
      </c>
      <c r="BI423" s="32" t="str">
        <f>INDEX(Stores!$B$2:$B$21,MATCH(B423,Stores!$A$2:$A$21,0))</f>
        <v>Hyderabad</v>
      </c>
    </row>
    <row r="424">
      <c r="A424" s="32" t="str">
        <f>Orders!A421</f>
        <v>O00420</v>
      </c>
      <c r="B424" s="32" t="str">
        <f>Orders!C421</f>
        <v>S007</v>
      </c>
      <c r="C424" s="32" t="str">
        <f>Orders!B421</f>
        <v>C0103</v>
      </c>
      <c r="D424" s="32" t="str">
        <f>Orders!H421</f>
        <v>Delivered</v>
      </c>
      <c r="E424" s="33">
        <f>IF(Orders!H421="Delivered",1,0)</f>
        <v>1</v>
      </c>
      <c r="F424" s="34">
        <f>IF(E424=1,Orders!R421,"")</f>
        <v>9.4</v>
      </c>
      <c r="G424" s="33">
        <f>IF(E424=1,IF(Orders!R421&gt;0,1,0),"")</f>
        <v>1</v>
      </c>
      <c r="H424" s="33">
        <f>IF(E424=1,IF(Orders!R421&gt;5,1,0),"")</f>
        <v>1</v>
      </c>
      <c r="I424" s="32" t="str">
        <f>IF(E424=1,"",IF(OR(Orders!T421="Rider unavailable",Orders!T421="Item unavailable"),"Company-caused","Unresolved"))</f>
        <v/>
      </c>
      <c r="J424" s="33">
        <f>IF(OR(E424=1,I424="Company-caused"),1,0)</f>
        <v>1</v>
      </c>
      <c r="K424" s="32" t="str">
        <f>IF(E424=0,IF(I424="Company-caused",IF(Orders!T421="Rider unavailable","C1 Rider unavailable","C2 Item unavailable"),"Outside root: unresolved"),IF(G424=0,"A On time",IF(H424=1,IF(L424=1,"B2a Severe, peak","B2b Severe, off-peak"),IF(L424=1,"B1a Slight, peak","B1b Slight, off-peak"))))</f>
        <v>B2a Severe, peak</v>
      </c>
      <c r="L424" s="33">
        <f>IF(AND(Orders!U421&gt;=19,Orders!U421&lt;22),1,0)</f>
        <v>1</v>
      </c>
      <c r="M424" s="33">
        <f>IF(L424=IF(Orders!V421,1,0),1,0)</f>
        <v>1</v>
      </c>
      <c r="N424" s="32" t="str">
        <f>IF(Orders!W421="","None",Orders!W421)</f>
        <v>None</v>
      </c>
      <c r="O424" s="35">
        <f>INT(Orders!E421)</f>
        <v>46273.0</v>
      </c>
      <c r="P424" s="33">
        <f>Orders!U421</f>
        <v>19</v>
      </c>
      <c r="Q424" s="33">
        <f>COUNTIFS(Demand!$A$2:$A$4481,B424,Demand!$B$2:$B$4481,O424,Demand!$C$2:$C$4481,P424)</f>
        <v>1</v>
      </c>
      <c r="R424" s="33">
        <f>IF(Q424=1,SUMIFS(Demand!$E$2:$E$4481,Demand!$A$2:$A$4481,B424,Demand!$B$2:$B$4481,O424,Demand!$C$2:$C$4481,P424),"")</f>
        <v>53</v>
      </c>
      <c r="S424" s="33">
        <f>INDEX(Stores!$G$2:$G$21,MATCH(B424,Stores!$A$2:$A$21,0))</f>
        <v>37</v>
      </c>
      <c r="T424" s="34">
        <f>IF(R424="","",R424/S424)</f>
        <v>1.43243243243243</v>
      </c>
      <c r="U424" s="34">
        <f>IF(E424=1,T424,"")</f>
        <v>1.43243243243243</v>
      </c>
      <c r="V424" s="34" t="str">
        <f>IF(AND(E424=1,L424=0),T424,"")</f>
        <v/>
      </c>
      <c r="W424" s="33">
        <f>IF(U424="","",IF(U424&lt;=Breakdowns!$C$5,1,IF(U424&lt;=Breakdowns!$C$6,2,IF(U424&lt;=Breakdowns!$C$7,3,4))))</f>
        <v>4</v>
      </c>
      <c r="X424" s="33" t="str">
        <f>IF(V424="","",IF(V424&lt;=Breakdowns!$D$5,1,IF(V424&lt;=Breakdowns!$D$6,2,IF(V424&lt;=Breakdowns!$D$7,3,4))))</f>
        <v/>
      </c>
      <c r="Y424" s="34">
        <f>INDEX(Stores!$F$2:$F$21,MATCH(B424,Stores!$A$2:$A$21,0))</f>
        <v>4.05</v>
      </c>
      <c r="Z424" s="33">
        <f>IF(Y424&gt;Store_Summary!$M$2,1,0)</f>
        <v>0</v>
      </c>
      <c r="AA424" s="33">
        <f>INDEX(Stores!$C$2:$C$21,MATCH(B424,Stores!$A$2:$A$21,0))</f>
        <v>661</v>
      </c>
      <c r="AB424" s="33">
        <f>IF(AA424&lt;180,1,0)</f>
        <v>0</v>
      </c>
      <c r="AC424" s="32" t="str">
        <f>IF(Orders!D421="","",INDEX(Riders!$C$2:$C$81,MATCH(Orders!D421,Riders!$A$2:$A$81,0)))</f>
        <v>Petrol scooter</v>
      </c>
      <c r="AD424" s="33">
        <f>IF(Orders!D421="","",INDEX(Riders!$D$2:$D$81,MATCH(Orders!D421,Riders!$A$2:$A$81,0)))</f>
        <v>11</v>
      </c>
      <c r="AE424" s="33">
        <f>IF(Orders!D421="","",IF(INDEX(Riders!$B$2:$B$81,MATCH(Orders!D421,Riders!$A$2:$A$81,0))=B424,1,0))</f>
        <v>0</v>
      </c>
      <c r="AF424" s="34">
        <f>IF(E424=1,Orders!L421,"")</f>
        <v>2.54</v>
      </c>
      <c r="AG424" s="34">
        <f>IF(E424=1,Orders!P421,"")</f>
        <v>8.7</v>
      </c>
      <c r="AH424" s="34">
        <f>IF(E424=1,Orders!Q421,"")</f>
        <v>18.1</v>
      </c>
      <c r="AI424" s="34">
        <f>IF(E424=1,Orders!M421,"")</f>
        <v>4.8</v>
      </c>
      <c r="AJ424" s="34">
        <f>IF(E424=1,Orders!N421,"")</f>
        <v>5.9</v>
      </c>
      <c r="AK424" s="34">
        <f>IF(E424=1,Orders!O421,"")</f>
        <v>7.4</v>
      </c>
      <c r="AL424" s="33">
        <f>IF(E424=1,IF(ROUND(ABS(AI424+AJ424+AK424-AH424),6)&lt;=0.1,1,0),"")</f>
        <v>1</v>
      </c>
      <c r="AM424" s="36">
        <f>IF(E424=1,AI424/AH424,"")</f>
        <v>0.265193370165746</v>
      </c>
      <c r="AN424" s="36">
        <f>IF(E424=1,AJ424/AH424,"")</f>
        <v>0.325966850828729</v>
      </c>
      <c r="AO424" s="36">
        <f>IF(E424=1,AK424/AH424,"")</f>
        <v>0.408839779005525</v>
      </c>
      <c r="AP424" s="34">
        <f>IF(E424=1,Orders!Y421,"")</f>
        <v>0.9</v>
      </c>
      <c r="AQ424" s="33">
        <f>IF(Orders!X421,1,0)</f>
        <v>0</v>
      </c>
      <c r="AR424" s="34">
        <f>IF(AND(E424=1,L424=1),AJ424,"")</f>
        <v>5.9</v>
      </c>
      <c r="AS424" s="34" t="str">
        <f>IF(AND(E424=1,L424=0),AJ424,"")</f>
        <v/>
      </c>
      <c r="AT424" s="34">
        <f>IF(AND(E424=1,L424=1),AI424,"")</f>
        <v>4.8</v>
      </c>
      <c r="AU424" s="34" t="str">
        <f>IF(AND(E424=1,L424=0),AI424,"")</f>
        <v/>
      </c>
      <c r="AV424" s="34">
        <f>IF(AND(E424=1,L424=1),AG424,"")</f>
        <v>8.7</v>
      </c>
      <c r="AW424" s="34" t="str">
        <f>IF(AND(E424=1,L424=0),AG424,"")</f>
        <v/>
      </c>
      <c r="AX424" s="34">
        <f>IF(AND(E424=1,L424=1),AH424,"")</f>
        <v>18.1</v>
      </c>
      <c r="AY424" s="34" t="str">
        <f>IF(AND(E424=1,L424=0),AH424,"")</f>
        <v/>
      </c>
      <c r="AZ424" s="34">
        <f>IF(G424=1,F424,"")</f>
        <v>9.4</v>
      </c>
      <c r="BA424" s="34">
        <f>IF(AND(G424=1,L424=1),F424,"")</f>
        <v>9.4</v>
      </c>
      <c r="BB424" s="34" t="str">
        <f>IF(AND(G424=1,L424=0),F424,"")</f>
        <v/>
      </c>
      <c r="BC424" s="33">
        <f>IF(E424=1,IF(Orders!R421&gt;3,1,0),"")</f>
        <v>1</v>
      </c>
      <c r="BD424" s="33">
        <f>IF(E424=1,IF(Orders!R421&gt;7,1,0),"")</f>
        <v>1</v>
      </c>
      <c r="BE424" s="32" t="str">
        <f>IF(E424=1,IF(Orders!L421&lt;=1.5,"Up to 1.5 km",IF(Orders!L421&lt;=3,"1.5–3 km","Over 3 km")),"")</f>
        <v>1.5–3 km</v>
      </c>
      <c r="BF424" s="33">
        <f>IF(E424=1,IF(ABS((Orders!G421-Orders!F421)*1440-Orders!R421)&lt;0.06,1,0),"")</f>
        <v>1</v>
      </c>
      <c r="BG424" s="33">
        <f>IF(ABS((Orders!F421-Orders!E421)*1440-Orders!P421)&lt;0.06,1,0)</f>
        <v>1</v>
      </c>
      <c r="BH424" s="33">
        <f>IF(E424=1,IF(IF(Orders!S421,1,0)=1-G424,1,0),"")</f>
        <v>1</v>
      </c>
      <c r="BI424" s="32" t="str">
        <f>INDEX(Stores!$B$2:$B$21,MATCH(B424,Stores!$A$2:$A$21,0))</f>
        <v>Hyderabad</v>
      </c>
    </row>
    <row r="425">
      <c r="A425" s="32" t="str">
        <f>Orders!A422</f>
        <v>O00421</v>
      </c>
      <c r="B425" s="32" t="str">
        <f>Orders!C422</f>
        <v>S008</v>
      </c>
      <c r="C425" s="32" t="str">
        <f>Orders!B422</f>
        <v>C0086</v>
      </c>
      <c r="D425" s="32" t="str">
        <f>Orders!H422</f>
        <v>Delivered</v>
      </c>
      <c r="E425" s="33">
        <f>IF(Orders!H422="Delivered",1,0)</f>
        <v>1</v>
      </c>
      <c r="F425" s="34">
        <f>IF(E425=1,Orders!R422,"")</f>
        <v>-1.2</v>
      </c>
      <c r="G425" s="33">
        <f>IF(E425=1,IF(Orders!R422&gt;0,1,0),"")</f>
        <v>0</v>
      </c>
      <c r="H425" s="33">
        <f>IF(E425=1,IF(Orders!R422&gt;5,1,0),"")</f>
        <v>0</v>
      </c>
      <c r="I425" s="32" t="str">
        <f>IF(E425=1,"",IF(OR(Orders!T422="Rider unavailable",Orders!T422="Item unavailable"),"Company-caused","Unresolved"))</f>
        <v/>
      </c>
      <c r="J425" s="33">
        <f>IF(OR(E425=1,I425="Company-caused"),1,0)</f>
        <v>1</v>
      </c>
      <c r="K425" s="32" t="str">
        <f>IF(E425=0,IF(I425="Company-caused",IF(Orders!T422="Rider unavailable","C1 Rider unavailable","C2 Item unavailable"),"Outside root: unresolved"),IF(G425=0,"A On time",IF(H425=1,IF(L425=1,"B2a Severe, peak","B2b Severe, off-peak"),IF(L425=1,"B1a Slight, peak","B1b Slight, off-peak"))))</f>
        <v>A On time</v>
      </c>
      <c r="L425" s="33">
        <f>IF(AND(Orders!U422&gt;=19,Orders!U422&lt;22),1,0)</f>
        <v>0</v>
      </c>
      <c r="M425" s="33">
        <f>IF(L425=IF(Orders!V422,1,0),1,0)</f>
        <v>1</v>
      </c>
      <c r="N425" s="32" t="str">
        <f>IF(Orders!W422="","None",Orders!W422)</f>
        <v>None</v>
      </c>
      <c r="O425" s="35">
        <f>INT(Orders!E422)</f>
        <v>46277.0</v>
      </c>
      <c r="P425" s="33">
        <f>Orders!U422</f>
        <v>9</v>
      </c>
      <c r="Q425" s="33">
        <f>COUNTIFS(Demand!$A$2:$A$4481,B425,Demand!$B$2:$B$4481,O425,Demand!$C$2:$C$4481,P425)</f>
        <v>1</v>
      </c>
      <c r="R425" s="33">
        <f>IF(Q425=1,SUMIFS(Demand!$E$2:$E$4481,Demand!$A$2:$A$4481,B425,Demand!$B$2:$B$4481,O425,Demand!$C$2:$C$4481,P425),"")</f>
        <v>18</v>
      </c>
      <c r="S425" s="33">
        <f>INDEX(Stores!$G$2:$G$21,MATCH(B425,Stores!$A$2:$A$21,0))</f>
        <v>23</v>
      </c>
      <c r="T425" s="34">
        <f>IF(R425="","",R425/S425)</f>
        <v>0.782608695652174</v>
      </c>
      <c r="U425" s="34">
        <f>IF(E425=1,T425,"")</f>
        <v>0.782608695652174</v>
      </c>
      <c r="V425" s="34">
        <f>IF(AND(E425=1,L425=0),T425,"")</f>
        <v>0.782608695652174</v>
      </c>
      <c r="W425" s="33">
        <f>IF(U425="","",IF(U425&lt;=Breakdowns!$C$5,1,IF(U425&lt;=Breakdowns!$C$6,2,IF(U425&lt;=Breakdowns!$C$7,3,4))))</f>
        <v>1</v>
      </c>
      <c r="X425" s="33">
        <f>IF(V425="","",IF(V425&lt;=Breakdowns!$D$5,1,IF(V425&lt;=Breakdowns!$D$6,2,IF(V425&lt;=Breakdowns!$D$7,3,4))))</f>
        <v>2</v>
      </c>
      <c r="Y425" s="34">
        <f>INDEX(Stores!$F$2:$F$21,MATCH(B425,Stores!$A$2:$A$21,0))</f>
        <v>3.46</v>
      </c>
      <c r="Z425" s="33">
        <f>IF(Y425&gt;Store_Summary!$M$2,1,0)</f>
        <v>0</v>
      </c>
      <c r="AA425" s="33">
        <f>INDEX(Stores!$C$2:$C$21,MATCH(B425,Stores!$A$2:$A$21,0))</f>
        <v>825</v>
      </c>
      <c r="AB425" s="33">
        <f>IF(AA425&lt;180,1,0)</f>
        <v>0</v>
      </c>
      <c r="AC425" s="32" t="str">
        <f>IF(Orders!D422="","",INDEX(Riders!$C$2:$C$81,MATCH(Orders!D422,Riders!$A$2:$A$81,0)))</f>
        <v>Petrol scooter</v>
      </c>
      <c r="AD425" s="33">
        <f>IF(Orders!D422="","",INDEX(Riders!$D$2:$D$81,MATCH(Orders!D422,Riders!$A$2:$A$81,0)))</f>
        <v>42</v>
      </c>
      <c r="AE425" s="33">
        <f>IF(Orders!D422="","",IF(INDEX(Riders!$B$2:$B$81,MATCH(Orders!D422,Riders!$A$2:$A$81,0))=B425,1,0))</f>
        <v>0</v>
      </c>
      <c r="AF425" s="34">
        <f>IF(E425=1,Orders!L422,"")</f>
        <v>1.6</v>
      </c>
      <c r="AG425" s="34">
        <f>IF(E425=1,Orders!P422,"")</f>
        <v>10.9</v>
      </c>
      <c r="AH425" s="34">
        <f>IF(E425=1,Orders!Q422,"")</f>
        <v>9.7</v>
      </c>
      <c r="AI425" s="34">
        <f>IF(E425=1,Orders!M422,"")</f>
        <v>2.9</v>
      </c>
      <c r="AJ425" s="34">
        <f>IF(E425=1,Orders!N422,"")</f>
        <v>3.7</v>
      </c>
      <c r="AK425" s="34">
        <f>IF(E425=1,Orders!O422,"")</f>
        <v>3.1</v>
      </c>
      <c r="AL425" s="33">
        <f>IF(E425=1,IF(ROUND(ABS(AI425+AJ425+AK425-AH425),6)&lt;=0.1,1,0),"")</f>
        <v>1</v>
      </c>
      <c r="AM425" s="36">
        <f>IF(E425=1,AI425/AH425,"")</f>
        <v>0.298969072164948</v>
      </c>
      <c r="AN425" s="36">
        <f>IF(E425=1,AJ425/AH425,"")</f>
        <v>0.381443298969072</v>
      </c>
      <c r="AO425" s="36">
        <f>IF(E425=1,AK425/AH425,"")</f>
        <v>0.319587628865979</v>
      </c>
      <c r="AP425" s="34">
        <f>IF(E425=1,Orders!Y422,"")</f>
        <v>0.05</v>
      </c>
      <c r="AQ425" s="33">
        <f>IF(Orders!X422,1,0)</f>
        <v>0</v>
      </c>
      <c r="AR425" s="34" t="str">
        <f>IF(AND(E425=1,L425=1),AJ425,"")</f>
        <v/>
      </c>
      <c r="AS425" s="34">
        <f>IF(AND(E425=1,L425=0),AJ425,"")</f>
        <v>3.7</v>
      </c>
      <c r="AT425" s="34" t="str">
        <f>IF(AND(E425=1,L425=1),AI425,"")</f>
        <v/>
      </c>
      <c r="AU425" s="34">
        <f>IF(AND(E425=1,L425=0),AI425,"")</f>
        <v>2.9</v>
      </c>
      <c r="AV425" s="34" t="str">
        <f>IF(AND(E425=1,L425=1),AG425,"")</f>
        <v/>
      </c>
      <c r="AW425" s="34">
        <f>IF(AND(E425=1,L425=0),AG425,"")</f>
        <v>10.9</v>
      </c>
      <c r="AX425" s="34" t="str">
        <f>IF(AND(E425=1,L425=1),AH425,"")</f>
        <v/>
      </c>
      <c r="AY425" s="34">
        <f>IF(AND(E425=1,L425=0),AH425,"")</f>
        <v>9.7</v>
      </c>
      <c r="AZ425" s="34" t="str">
        <f>IF(G425=1,F425,"")</f>
        <v/>
      </c>
      <c r="BA425" s="34" t="str">
        <f>IF(AND(G425=1,L425=1),F425,"")</f>
        <v/>
      </c>
      <c r="BB425" s="34" t="str">
        <f>IF(AND(G425=1,L425=0),F425,"")</f>
        <v/>
      </c>
      <c r="BC425" s="33">
        <f>IF(E425=1,IF(Orders!R422&gt;3,1,0),"")</f>
        <v>0</v>
      </c>
      <c r="BD425" s="33">
        <f>IF(E425=1,IF(Orders!R422&gt;7,1,0),"")</f>
        <v>0</v>
      </c>
      <c r="BE425" s="32" t="str">
        <f>IF(E425=1,IF(Orders!L422&lt;=1.5,"Up to 1.5 km",IF(Orders!L422&lt;=3,"1.5–3 km","Over 3 km")),"")</f>
        <v>1.5–3 km</v>
      </c>
      <c r="BF425" s="33">
        <f>IF(E425=1,IF(ABS((Orders!G422-Orders!F422)*1440-Orders!R422)&lt;0.06,1,0),"")</f>
        <v>1</v>
      </c>
      <c r="BG425" s="33">
        <f>IF(ABS((Orders!F422-Orders!E422)*1440-Orders!P422)&lt;0.06,1,0)</f>
        <v>1</v>
      </c>
      <c r="BH425" s="33">
        <f>IF(E425=1,IF(IF(Orders!S422,1,0)=1-G425,1,0),"")</f>
        <v>1</v>
      </c>
      <c r="BI425" s="32" t="str">
        <f>INDEX(Stores!$B$2:$B$21,MATCH(B425,Stores!$A$2:$A$21,0))</f>
        <v>Mumbai</v>
      </c>
    </row>
    <row r="426">
      <c r="A426" s="32" t="str">
        <f>Orders!A423</f>
        <v>O00422</v>
      </c>
      <c r="B426" s="32" t="str">
        <f>Orders!C423</f>
        <v>S001</v>
      </c>
      <c r="C426" s="32" t="str">
        <f>Orders!B423</f>
        <v>C0072</v>
      </c>
      <c r="D426" s="32" t="str">
        <f>Orders!H423</f>
        <v>Delivered</v>
      </c>
      <c r="E426" s="33">
        <f>IF(Orders!H423="Delivered",1,0)</f>
        <v>1</v>
      </c>
      <c r="F426" s="34">
        <f>IF(E426=1,Orders!R423,"")</f>
        <v>4.6</v>
      </c>
      <c r="G426" s="33">
        <f>IF(E426=1,IF(Orders!R423&gt;0,1,0),"")</f>
        <v>1</v>
      </c>
      <c r="H426" s="33">
        <f>IF(E426=1,IF(Orders!R423&gt;5,1,0),"")</f>
        <v>0</v>
      </c>
      <c r="I426" s="32" t="str">
        <f>IF(E426=1,"",IF(OR(Orders!T423="Rider unavailable",Orders!T423="Item unavailable"),"Company-caused","Unresolved"))</f>
        <v/>
      </c>
      <c r="J426" s="33">
        <f>IF(OR(E426=1,I426="Company-caused"),1,0)</f>
        <v>1</v>
      </c>
      <c r="K426" s="32" t="str">
        <f>IF(E426=0,IF(I426="Company-caused",IF(Orders!T423="Rider unavailable","C1 Rider unavailable","C2 Item unavailable"),"Outside root: unresolved"),IF(G426=0,"A On time",IF(H426=1,IF(L426=1,"B2a Severe, peak","B2b Severe, off-peak"),IF(L426=1,"B1a Slight, peak","B1b Slight, off-peak"))))</f>
        <v>B1b Slight, off-peak</v>
      </c>
      <c r="L426" s="33">
        <f>IF(AND(Orders!U423&gt;=19,Orders!U423&lt;22),1,0)</f>
        <v>0</v>
      </c>
      <c r="M426" s="33">
        <f>IF(L426=IF(Orders!V423,1,0),1,0)</f>
        <v>1</v>
      </c>
      <c r="N426" s="32" t="str">
        <f>IF(Orders!W423="","None",Orders!W423)</f>
        <v>None</v>
      </c>
      <c r="O426" s="35">
        <f>INT(Orders!E423)</f>
        <v>46279.0</v>
      </c>
      <c r="P426" s="33">
        <f>Orders!U423</f>
        <v>23</v>
      </c>
      <c r="Q426" s="33">
        <f>COUNTIFS(Demand!$A$2:$A$4481,B426,Demand!$B$2:$B$4481,O426,Demand!$C$2:$C$4481,P426)</f>
        <v>1</v>
      </c>
      <c r="R426" s="33">
        <f>IF(Q426=1,SUMIFS(Demand!$E$2:$E$4481,Demand!$A$2:$A$4481,B426,Demand!$B$2:$B$4481,O426,Demand!$C$2:$C$4481,P426),"")</f>
        <v>11</v>
      </c>
      <c r="S426" s="33">
        <f>INDEX(Stores!$G$2:$G$21,MATCH(B426,Stores!$A$2:$A$21,0))</f>
        <v>16</v>
      </c>
      <c r="T426" s="34">
        <f>IF(R426="","",R426/S426)</f>
        <v>0.6875</v>
      </c>
      <c r="U426" s="34">
        <f>IF(E426=1,T426,"")</f>
        <v>0.6875</v>
      </c>
      <c r="V426" s="34">
        <f>IF(AND(E426=1,L426=0),T426,"")</f>
        <v>0.6875</v>
      </c>
      <c r="W426" s="33">
        <f>IF(U426="","",IF(U426&lt;=Breakdowns!$C$5,1,IF(U426&lt;=Breakdowns!$C$6,2,IF(U426&lt;=Breakdowns!$C$7,3,4))))</f>
        <v>1</v>
      </c>
      <c r="X426" s="33">
        <f>IF(V426="","",IF(V426&lt;=Breakdowns!$D$5,1,IF(V426&lt;=Breakdowns!$D$6,2,IF(V426&lt;=Breakdowns!$D$7,3,4))))</f>
        <v>1</v>
      </c>
      <c r="Y426" s="34">
        <f>INDEX(Stores!$F$2:$F$21,MATCH(B426,Stores!$A$2:$A$21,0))</f>
        <v>4.59</v>
      </c>
      <c r="Z426" s="33">
        <f>IF(Y426&gt;Store_Summary!$M$2,1,0)</f>
        <v>0</v>
      </c>
      <c r="AA426" s="33">
        <f>INDEX(Stores!$C$2:$C$21,MATCH(B426,Stores!$A$2:$A$21,0))</f>
        <v>362</v>
      </c>
      <c r="AB426" s="33">
        <f>IF(AA426&lt;180,1,0)</f>
        <v>0</v>
      </c>
      <c r="AC426" s="32" t="str">
        <f>IF(Orders!D423="","",INDEX(Riders!$C$2:$C$81,MATCH(Orders!D423,Riders!$A$2:$A$81,0)))</f>
        <v>EV scooter</v>
      </c>
      <c r="AD426" s="33">
        <f>IF(Orders!D423="","",INDEX(Riders!$D$2:$D$81,MATCH(Orders!D423,Riders!$A$2:$A$81,0)))</f>
        <v>2</v>
      </c>
      <c r="AE426" s="33">
        <f>IF(Orders!D423="","",IF(INDEX(Riders!$B$2:$B$81,MATCH(Orders!D423,Riders!$A$2:$A$81,0))=B426,1,0))</f>
        <v>0</v>
      </c>
      <c r="AF426" s="34">
        <f>IF(E426=1,Orders!L423,"")</f>
        <v>4.3</v>
      </c>
      <c r="AG426" s="34">
        <f>IF(E426=1,Orders!P423,"")</f>
        <v>12.5</v>
      </c>
      <c r="AH426" s="34">
        <f>IF(E426=1,Orders!Q423,"")</f>
        <v>17.1</v>
      </c>
      <c r="AI426" s="34">
        <f>IF(E426=1,Orders!M423,"")</f>
        <v>6.3</v>
      </c>
      <c r="AJ426" s="34">
        <f>IF(E426=1,Orders!N423,"")</f>
        <v>2</v>
      </c>
      <c r="AK426" s="34">
        <f>IF(E426=1,Orders!O423,"")</f>
        <v>8.8</v>
      </c>
      <c r="AL426" s="33">
        <f>IF(E426=1,IF(ROUND(ABS(AI426+AJ426+AK426-AH426),6)&lt;=0.1,1,0),"")</f>
        <v>1</v>
      </c>
      <c r="AM426" s="36">
        <f>IF(E426=1,AI426/AH426,"")</f>
        <v>0.368421052631579</v>
      </c>
      <c r="AN426" s="36">
        <f>IF(E426=1,AJ426/AH426,"")</f>
        <v>0.116959064327485</v>
      </c>
      <c r="AO426" s="36">
        <f>IF(E426=1,AK426/AH426,"")</f>
        <v>0.514619883040936</v>
      </c>
      <c r="AP426" s="34">
        <f>IF(E426=1,Orders!Y423,"")</f>
        <v>0.2</v>
      </c>
      <c r="AQ426" s="33">
        <f>IF(Orders!X423,1,0)</f>
        <v>0</v>
      </c>
      <c r="AR426" s="34" t="str">
        <f>IF(AND(E426=1,L426=1),AJ426,"")</f>
        <v/>
      </c>
      <c r="AS426" s="34">
        <f>IF(AND(E426=1,L426=0),AJ426,"")</f>
        <v>2</v>
      </c>
      <c r="AT426" s="34" t="str">
        <f>IF(AND(E426=1,L426=1),AI426,"")</f>
        <v/>
      </c>
      <c r="AU426" s="34">
        <f>IF(AND(E426=1,L426=0),AI426,"")</f>
        <v>6.3</v>
      </c>
      <c r="AV426" s="34" t="str">
        <f>IF(AND(E426=1,L426=1),AG426,"")</f>
        <v/>
      </c>
      <c r="AW426" s="34">
        <f>IF(AND(E426=1,L426=0),AG426,"")</f>
        <v>12.5</v>
      </c>
      <c r="AX426" s="34" t="str">
        <f>IF(AND(E426=1,L426=1),AH426,"")</f>
        <v/>
      </c>
      <c r="AY426" s="34">
        <f>IF(AND(E426=1,L426=0),AH426,"")</f>
        <v>17.1</v>
      </c>
      <c r="AZ426" s="34">
        <f>IF(G426=1,F426,"")</f>
        <v>4.6</v>
      </c>
      <c r="BA426" s="34" t="str">
        <f>IF(AND(G426=1,L426=1),F426,"")</f>
        <v/>
      </c>
      <c r="BB426" s="34">
        <f>IF(AND(G426=1,L426=0),F426,"")</f>
        <v>4.6</v>
      </c>
      <c r="BC426" s="33">
        <f>IF(E426=1,IF(Orders!R423&gt;3,1,0),"")</f>
        <v>1</v>
      </c>
      <c r="BD426" s="33">
        <f>IF(E426=1,IF(Orders!R423&gt;7,1,0),"")</f>
        <v>0</v>
      </c>
      <c r="BE426" s="32" t="str">
        <f>IF(E426=1,IF(Orders!L423&lt;=1.5,"Up to 1.5 km",IF(Orders!L423&lt;=3,"1.5–3 km","Over 3 km")),"")</f>
        <v>Over 3 km</v>
      </c>
      <c r="BF426" s="33">
        <f>IF(E426=1,IF(ABS((Orders!G423-Orders!F423)*1440-Orders!R423)&lt;0.06,1,0),"")</f>
        <v>1</v>
      </c>
      <c r="BG426" s="33">
        <f>IF(ABS((Orders!F423-Orders!E423)*1440-Orders!P423)&lt;0.06,1,0)</f>
        <v>1</v>
      </c>
      <c r="BH426" s="33">
        <f>IF(E426=1,IF(IF(Orders!S423,1,0)=1-G426,1,0),"")</f>
        <v>1</v>
      </c>
      <c r="BI426" s="32" t="str">
        <f>INDEX(Stores!$B$2:$B$21,MATCH(B426,Stores!$A$2:$A$21,0))</f>
        <v>Bengaluru</v>
      </c>
    </row>
    <row r="427">
      <c r="A427" s="32" t="str">
        <f>Orders!A424</f>
        <v>O00423</v>
      </c>
      <c r="B427" s="32" t="str">
        <f>Orders!C424</f>
        <v>S004</v>
      </c>
      <c r="C427" s="32" t="str">
        <f>Orders!B424</f>
        <v>C0123</v>
      </c>
      <c r="D427" s="32" t="str">
        <f>Orders!H424</f>
        <v>Delivered</v>
      </c>
      <c r="E427" s="33">
        <f>IF(Orders!H424="Delivered",1,0)</f>
        <v>1</v>
      </c>
      <c r="F427" s="34">
        <f>IF(E427=1,Orders!R424,"")</f>
        <v>-0.9</v>
      </c>
      <c r="G427" s="33">
        <f>IF(E427=1,IF(Orders!R424&gt;0,1,0),"")</f>
        <v>0</v>
      </c>
      <c r="H427" s="33">
        <f>IF(E427=1,IF(Orders!R424&gt;5,1,0),"")</f>
        <v>0</v>
      </c>
      <c r="I427" s="32" t="str">
        <f>IF(E427=1,"",IF(OR(Orders!T424="Rider unavailable",Orders!T424="Item unavailable"),"Company-caused","Unresolved"))</f>
        <v/>
      </c>
      <c r="J427" s="33">
        <f>IF(OR(E427=1,I427="Company-caused"),1,0)</f>
        <v>1</v>
      </c>
      <c r="K427" s="32" t="str">
        <f>IF(E427=0,IF(I427="Company-caused",IF(Orders!T424="Rider unavailable","C1 Rider unavailable","C2 Item unavailable"),"Outside root: unresolved"),IF(G427=0,"A On time",IF(H427=1,IF(L427=1,"B2a Severe, peak","B2b Severe, off-peak"),IF(L427=1,"B1a Slight, peak","B1b Slight, off-peak"))))</f>
        <v>A On time</v>
      </c>
      <c r="L427" s="33">
        <f>IF(AND(Orders!U424&gt;=19,Orders!U424&lt;22),1,0)</f>
        <v>0</v>
      </c>
      <c r="M427" s="33">
        <f>IF(L427=IF(Orders!V424,1,0),1,0)</f>
        <v>1</v>
      </c>
      <c r="N427" s="32" t="str">
        <f>IF(Orders!W424="","None",Orders!W424)</f>
        <v>None</v>
      </c>
      <c r="O427" s="35">
        <f>INT(Orders!E424)</f>
        <v>46275.0</v>
      </c>
      <c r="P427" s="33">
        <f>Orders!U424</f>
        <v>8</v>
      </c>
      <c r="Q427" s="33">
        <f>COUNTIFS(Demand!$A$2:$A$4481,B427,Demand!$B$2:$B$4481,O427,Demand!$C$2:$C$4481,P427)</f>
        <v>1</v>
      </c>
      <c r="R427" s="33">
        <f>IF(Q427=1,SUMIFS(Demand!$E$2:$E$4481,Demand!$A$2:$A$4481,B427,Demand!$B$2:$B$4481,O427,Demand!$C$2:$C$4481,P427),"")</f>
        <v>43</v>
      </c>
      <c r="S427" s="33">
        <f>INDEX(Stores!$G$2:$G$21,MATCH(B427,Stores!$A$2:$A$21,0))</f>
        <v>42</v>
      </c>
      <c r="T427" s="34">
        <f>IF(R427="","",R427/S427)</f>
        <v>1.02380952380952</v>
      </c>
      <c r="U427" s="34">
        <f>IF(E427=1,T427,"")</f>
        <v>1.02380952380952</v>
      </c>
      <c r="V427" s="34">
        <f>IF(AND(E427=1,L427=0),T427,"")</f>
        <v>1.02380952380952</v>
      </c>
      <c r="W427" s="33">
        <f>IF(U427="","",IF(U427&lt;=Breakdowns!$C$5,1,IF(U427&lt;=Breakdowns!$C$6,2,IF(U427&lt;=Breakdowns!$C$7,3,4))))</f>
        <v>3</v>
      </c>
      <c r="X427" s="33">
        <f>IF(V427="","",IF(V427&lt;=Breakdowns!$D$5,1,IF(V427&lt;=Breakdowns!$D$6,2,IF(V427&lt;=Breakdowns!$D$7,3,4))))</f>
        <v>3</v>
      </c>
      <c r="Y427" s="34">
        <f>INDEX(Stores!$F$2:$F$21,MATCH(B427,Stores!$A$2:$A$21,0))</f>
        <v>2.19</v>
      </c>
      <c r="Z427" s="33">
        <f>IF(Y427&gt;Store_Summary!$M$2,1,0)</f>
        <v>0</v>
      </c>
      <c r="AA427" s="33">
        <f>INDEX(Stores!$C$2:$C$21,MATCH(B427,Stores!$A$2:$A$21,0))</f>
        <v>850</v>
      </c>
      <c r="AB427" s="33">
        <f>IF(AA427&lt;180,1,0)</f>
        <v>0</v>
      </c>
      <c r="AC427" s="32" t="str">
        <f>IF(Orders!D424="","",INDEX(Riders!$C$2:$C$81,MATCH(Orders!D424,Riders!$A$2:$A$81,0)))</f>
        <v>EV scooter</v>
      </c>
      <c r="AD427" s="33">
        <f>IF(Orders!D424="","",INDEX(Riders!$D$2:$D$81,MATCH(Orders!D424,Riders!$A$2:$A$81,0)))</f>
        <v>39</v>
      </c>
      <c r="AE427" s="33">
        <f>IF(Orders!D424="","",IF(INDEX(Riders!$B$2:$B$81,MATCH(Orders!D424,Riders!$A$2:$A$81,0))=B427,1,0))</f>
        <v>0</v>
      </c>
      <c r="AF427" s="34">
        <f>IF(E427=1,Orders!L424,"")</f>
        <v>2.45</v>
      </c>
      <c r="AG427" s="34">
        <f>IF(E427=1,Orders!P424,"")</f>
        <v>8.7</v>
      </c>
      <c r="AH427" s="34">
        <f>IF(E427=1,Orders!Q424,"")</f>
        <v>7.8</v>
      </c>
      <c r="AI427" s="34">
        <f>IF(E427=1,Orders!M424,"")</f>
        <v>2.1</v>
      </c>
      <c r="AJ427" s="34">
        <f>IF(E427=1,Orders!N424,"")</f>
        <v>2.6</v>
      </c>
      <c r="AK427" s="34">
        <f>IF(E427=1,Orders!O424,"")</f>
        <v>3.1</v>
      </c>
      <c r="AL427" s="33">
        <f>IF(E427=1,IF(ROUND(ABS(AI427+AJ427+AK427-AH427),6)&lt;=0.1,1,0),"")</f>
        <v>1</v>
      </c>
      <c r="AM427" s="36">
        <f>IF(E427=1,AI427/AH427,"")</f>
        <v>0.269230769230769</v>
      </c>
      <c r="AN427" s="36">
        <f>IF(E427=1,AJ427/AH427,"")</f>
        <v>0.333333333333333</v>
      </c>
      <c r="AO427" s="36">
        <f>IF(E427=1,AK427/AH427,"")</f>
        <v>0.397435897435897</v>
      </c>
      <c r="AP427" s="34">
        <f>IF(E427=1,Orders!Y424,"")</f>
        <v>0.18</v>
      </c>
      <c r="AQ427" s="33">
        <f>IF(Orders!X424,1,0)</f>
        <v>0</v>
      </c>
      <c r="AR427" s="34" t="str">
        <f>IF(AND(E427=1,L427=1),AJ427,"")</f>
        <v/>
      </c>
      <c r="AS427" s="34">
        <f>IF(AND(E427=1,L427=0),AJ427,"")</f>
        <v>2.6</v>
      </c>
      <c r="AT427" s="34" t="str">
        <f>IF(AND(E427=1,L427=1),AI427,"")</f>
        <v/>
      </c>
      <c r="AU427" s="34">
        <f>IF(AND(E427=1,L427=0),AI427,"")</f>
        <v>2.1</v>
      </c>
      <c r="AV427" s="34" t="str">
        <f>IF(AND(E427=1,L427=1),AG427,"")</f>
        <v/>
      </c>
      <c r="AW427" s="34">
        <f>IF(AND(E427=1,L427=0),AG427,"")</f>
        <v>8.7</v>
      </c>
      <c r="AX427" s="34" t="str">
        <f>IF(AND(E427=1,L427=1),AH427,"")</f>
        <v/>
      </c>
      <c r="AY427" s="34">
        <f>IF(AND(E427=1,L427=0),AH427,"")</f>
        <v>7.8</v>
      </c>
      <c r="AZ427" s="34" t="str">
        <f>IF(G427=1,F427,"")</f>
        <v/>
      </c>
      <c r="BA427" s="34" t="str">
        <f>IF(AND(G427=1,L427=1),F427,"")</f>
        <v/>
      </c>
      <c r="BB427" s="34" t="str">
        <f>IF(AND(G427=1,L427=0),F427,"")</f>
        <v/>
      </c>
      <c r="BC427" s="33">
        <f>IF(E427=1,IF(Orders!R424&gt;3,1,0),"")</f>
        <v>0</v>
      </c>
      <c r="BD427" s="33">
        <f>IF(E427=1,IF(Orders!R424&gt;7,1,0),"")</f>
        <v>0</v>
      </c>
      <c r="BE427" s="32" t="str">
        <f>IF(E427=1,IF(Orders!L424&lt;=1.5,"Up to 1.5 km",IF(Orders!L424&lt;=3,"1.5–3 km","Over 3 km")),"")</f>
        <v>1.5–3 km</v>
      </c>
      <c r="BF427" s="33">
        <f>IF(E427=1,IF(ABS((Orders!G424-Orders!F424)*1440-Orders!R424)&lt;0.06,1,0),"")</f>
        <v>1</v>
      </c>
      <c r="BG427" s="33">
        <f>IF(ABS((Orders!F424-Orders!E424)*1440-Orders!P424)&lt;0.06,1,0)</f>
        <v>1</v>
      </c>
      <c r="BH427" s="33">
        <f>IF(E427=1,IF(IF(Orders!S424,1,0)=1-G427,1,0),"")</f>
        <v>1</v>
      </c>
      <c r="BI427" s="32" t="str">
        <f>INDEX(Stores!$B$2:$B$21,MATCH(B427,Stores!$A$2:$A$21,0))</f>
        <v>Pune</v>
      </c>
    </row>
    <row r="428">
      <c r="A428" s="32" t="str">
        <f>Orders!A425</f>
        <v>O00424</v>
      </c>
      <c r="B428" s="32" t="str">
        <f>Orders!C425</f>
        <v>S002</v>
      </c>
      <c r="C428" s="32" t="str">
        <f>Orders!B425</f>
        <v>C0231</v>
      </c>
      <c r="D428" s="32" t="str">
        <f>Orders!H425</f>
        <v>Delivered</v>
      </c>
      <c r="E428" s="33">
        <f>IF(Orders!H425="Delivered",1,0)</f>
        <v>1</v>
      </c>
      <c r="F428" s="34">
        <f>IF(E428=1,Orders!R425,"")</f>
        <v>1.9</v>
      </c>
      <c r="G428" s="33">
        <f>IF(E428=1,IF(Orders!R425&gt;0,1,0),"")</f>
        <v>1</v>
      </c>
      <c r="H428" s="33">
        <f>IF(E428=1,IF(Orders!R425&gt;5,1,0),"")</f>
        <v>0</v>
      </c>
      <c r="I428" s="32" t="str">
        <f>IF(E428=1,"",IF(OR(Orders!T425="Rider unavailable",Orders!T425="Item unavailable"),"Company-caused","Unresolved"))</f>
        <v/>
      </c>
      <c r="J428" s="33">
        <f>IF(OR(E428=1,I428="Company-caused"),1,0)</f>
        <v>1</v>
      </c>
      <c r="K428" s="32" t="str">
        <f>IF(E428=0,IF(I428="Company-caused",IF(Orders!T425="Rider unavailable","C1 Rider unavailable","C2 Item unavailable"),"Outside root: unresolved"),IF(G428=0,"A On time",IF(H428=1,IF(L428=1,"B2a Severe, peak","B2b Severe, off-peak"),IF(L428=1,"B1a Slight, peak","B1b Slight, off-peak"))))</f>
        <v>B1b Slight, off-peak</v>
      </c>
      <c r="L428" s="33">
        <f>IF(AND(Orders!U425&gt;=19,Orders!U425&lt;22),1,0)</f>
        <v>0</v>
      </c>
      <c r="M428" s="33">
        <f>IF(L428=IF(Orders!V425,1,0),1,0)</f>
        <v>1</v>
      </c>
      <c r="N428" s="32" t="str">
        <f>IF(Orders!W425="","None",Orders!W425)</f>
        <v>Heavy</v>
      </c>
      <c r="O428" s="35">
        <f>INT(Orders!E425)</f>
        <v>46278.0</v>
      </c>
      <c r="P428" s="33">
        <f>Orders!U425</f>
        <v>9</v>
      </c>
      <c r="Q428" s="33">
        <f>COUNTIFS(Demand!$A$2:$A$4481,B428,Demand!$B$2:$B$4481,O428,Demand!$C$2:$C$4481,P428)</f>
        <v>1</v>
      </c>
      <c r="R428" s="33">
        <f>IF(Q428=1,SUMIFS(Demand!$E$2:$E$4481,Demand!$A$2:$A$4481,B428,Demand!$B$2:$B$4481,O428,Demand!$C$2:$C$4481,P428),"")</f>
        <v>20</v>
      </c>
      <c r="S428" s="33">
        <f>INDEX(Stores!$G$2:$G$21,MATCH(B428,Stores!$A$2:$A$21,0))</f>
        <v>33</v>
      </c>
      <c r="T428" s="34">
        <f>IF(R428="","",R428/S428)</f>
        <v>0.606060606060606</v>
      </c>
      <c r="U428" s="34">
        <f>IF(E428=1,T428,"")</f>
        <v>0.606060606060606</v>
      </c>
      <c r="V428" s="34">
        <f>IF(AND(E428=1,L428=0),T428,"")</f>
        <v>0.606060606060606</v>
      </c>
      <c r="W428" s="33">
        <f>IF(U428="","",IF(U428&lt;=Breakdowns!$C$5,1,IF(U428&lt;=Breakdowns!$C$6,2,IF(U428&lt;=Breakdowns!$C$7,3,4))))</f>
        <v>1</v>
      </c>
      <c r="X428" s="33">
        <f>IF(V428="","",IF(V428&lt;=Breakdowns!$D$5,1,IF(V428&lt;=Breakdowns!$D$6,2,IF(V428&lt;=Breakdowns!$D$7,3,4))))</f>
        <v>1</v>
      </c>
      <c r="Y428" s="34">
        <f>INDEX(Stores!$F$2:$F$21,MATCH(B428,Stores!$A$2:$A$21,0))</f>
        <v>2.39</v>
      </c>
      <c r="Z428" s="33">
        <f>IF(Y428&gt;Store_Summary!$M$2,1,0)</f>
        <v>0</v>
      </c>
      <c r="AA428" s="33">
        <f>INDEX(Stores!$C$2:$C$21,MATCH(B428,Stores!$A$2:$A$21,0))</f>
        <v>470</v>
      </c>
      <c r="AB428" s="33">
        <f>IF(AA428&lt;180,1,0)</f>
        <v>0</v>
      </c>
      <c r="AC428" s="32" t="str">
        <f>IF(Orders!D425="","",INDEX(Riders!$C$2:$C$81,MATCH(Orders!D425,Riders!$A$2:$A$81,0)))</f>
        <v>EV scooter</v>
      </c>
      <c r="AD428" s="33">
        <f>IF(Orders!D425="","",INDEX(Riders!$D$2:$D$81,MATCH(Orders!D425,Riders!$A$2:$A$81,0)))</f>
        <v>27</v>
      </c>
      <c r="AE428" s="33">
        <f>IF(Orders!D425="","",IF(INDEX(Riders!$B$2:$B$81,MATCH(Orders!D425,Riders!$A$2:$A$81,0))=B428,1,0))</f>
        <v>0</v>
      </c>
      <c r="AF428" s="34">
        <f>IF(E428=1,Orders!L425,"")</f>
        <v>0.81</v>
      </c>
      <c r="AG428" s="34">
        <f>IF(E428=1,Orders!P425,"")</f>
        <v>9.7</v>
      </c>
      <c r="AH428" s="34">
        <f>IF(E428=1,Orders!Q425,"")</f>
        <v>11.6</v>
      </c>
      <c r="AI428" s="34">
        <f>IF(E428=1,Orders!M425,"")</f>
        <v>2.7</v>
      </c>
      <c r="AJ428" s="34">
        <f>IF(E428=1,Orders!N425,"")</f>
        <v>3.7</v>
      </c>
      <c r="AK428" s="34">
        <f>IF(E428=1,Orders!O425,"")</f>
        <v>5.2</v>
      </c>
      <c r="AL428" s="33">
        <f>IF(E428=1,IF(ROUND(ABS(AI428+AJ428+AK428-AH428),6)&lt;=0.1,1,0),"")</f>
        <v>1</v>
      </c>
      <c r="AM428" s="36">
        <f>IF(E428=1,AI428/AH428,"")</f>
        <v>0.232758620689655</v>
      </c>
      <c r="AN428" s="36">
        <f>IF(E428=1,AJ428/AH428,"")</f>
        <v>0.318965517241379</v>
      </c>
      <c r="AO428" s="36">
        <f>IF(E428=1,AK428/AH428,"")</f>
        <v>0.448275862068966</v>
      </c>
      <c r="AP428" s="34">
        <f>IF(E428=1,Orders!Y425,"")</f>
        <v>0.39</v>
      </c>
      <c r="AQ428" s="33">
        <f>IF(Orders!X425,1,0)</f>
        <v>0</v>
      </c>
      <c r="AR428" s="34" t="str">
        <f>IF(AND(E428=1,L428=1),AJ428,"")</f>
        <v/>
      </c>
      <c r="AS428" s="34">
        <f>IF(AND(E428=1,L428=0),AJ428,"")</f>
        <v>3.7</v>
      </c>
      <c r="AT428" s="34" t="str">
        <f>IF(AND(E428=1,L428=1),AI428,"")</f>
        <v/>
      </c>
      <c r="AU428" s="34">
        <f>IF(AND(E428=1,L428=0),AI428,"")</f>
        <v>2.7</v>
      </c>
      <c r="AV428" s="34" t="str">
        <f>IF(AND(E428=1,L428=1),AG428,"")</f>
        <v/>
      </c>
      <c r="AW428" s="34">
        <f>IF(AND(E428=1,L428=0),AG428,"")</f>
        <v>9.7</v>
      </c>
      <c r="AX428" s="34" t="str">
        <f>IF(AND(E428=1,L428=1),AH428,"")</f>
        <v/>
      </c>
      <c r="AY428" s="34">
        <f>IF(AND(E428=1,L428=0),AH428,"")</f>
        <v>11.6</v>
      </c>
      <c r="AZ428" s="34">
        <f>IF(G428=1,F428,"")</f>
        <v>1.9</v>
      </c>
      <c r="BA428" s="34" t="str">
        <f>IF(AND(G428=1,L428=1),F428,"")</f>
        <v/>
      </c>
      <c r="BB428" s="34">
        <f>IF(AND(G428=1,L428=0),F428,"")</f>
        <v>1.9</v>
      </c>
      <c r="BC428" s="33">
        <f>IF(E428=1,IF(Orders!R425&gt;3,1,0),"")</f>
        <v>0</v>
      </c>
      <c r="BD428" s="33">
        <f>IF(E428=1,IF(Orders!R425&gt;7,1,0),"")</f>
        <v>0</v>
      </c>
      <c r="BE428" s="32" t="str">
        <f>IF(E428=1,IF(Orders!L425&lt;=1.5,"Up to 1.5 km",IF(Orders!L425&lt;=3,"1.5–3 km","Over 3 km")),"")</f>
        <v>Up to 1.5 km</v>
      </c>
      <c r="BF428" s="33">
        <f>IF(E428=1,IF(ABS((Orders!G425-Orders!F425)*1440-Orders!R425)&lt;0.06,1,0),"")</f>
        <v>1</v>
      </c>
      <c r="BG428" s="33">
        <f>IF(ABS((Orders!F425-Orders!E425)*1440-Orders!P425)&lt;0.06,1,0)</f>
        <v>1</v>
      </c>
      <c r="BH428" s="33">
        <f>IF(E428=1,IF(IF(Orders!S425,1,0)=1-G428,1,0),"")</f>
        <v>1</v>
      </c>
      <c r="BI428" s="32" t="str">
        <f>INDEX(Stores!$B$2:$B$21,MATCH(B428,Stores!$A$2:$A$21,0))</f>
        <v>Hyderabad</v>
      </c>
    </row>
    <row r="429">
      <c r="A429" s="32" t="str">
        <f>Orders!A426</f>
        <v>O00425</v>
      </c>
      <c r="B429" s="32" t="str">
        <f>Orders!C426</f>
        <v>S020</v>
      </c>
      <c r="C429" s="32" t="str">
        <f>Orders!B426</f>
        <v>C0199</v>
      </c>
      <c r="D429" s="32" t="str">
        <f>Orders!H426</f>
        <v>Delivered</v>
      </c>
      <c r="E429" s="33">
        <f>IF(Orders!H426="Delivered",1,0)</f>
        <v>1</v>
      </c>
      <c r="F429" s="34">
        <f>IF(E429=1,Orders!R426,"")</f>
        <v>-0.9</v>
      </c>
      <c r="G429" s="33">
        <f>IF(E429=1,IF(Orders!R426&gt;0,1,0),"")</f>
        <v>0</v>
      </c>
      <c r="H429" s="33">
        <f>IF(E429=1,IF(Orders!R426&gt;5,1,0),"")</f>
        <v>0</v>
      </c>
      <c r="I429" s="32" t="str">
        <f>IF(E429=1,"",IF(OR(Orders!T426="Rider unavailable",Orders!T426="Item unavailable"),"Company-caused","Unresolved"))</f>
        <v/>
      </c>
      <c r="J429" s="33">
        <f>IF(OR(E429=1,I429="Company-caused"),1,0)</f>
        <v>1</v>
      </c>
      <c r="K429" s="32" t="str">
        <f>IF(E429=0,IF(I429="Company-caused",IF(Orders!T426="Rider unavailable","C1 Rider unavailable","C2 Item unavailable"),"Outside root: unresolved"),IF(G429=0,"A On time",IF(H429=1,IF(L429=1,"B2a Severe, peak","B2b Severe, off-peak"),IF(L429=1,"B1a Slight, peak","B1b Slight, off-peak"))))</f>
        <v>A On time</v>
      </c>
      <c r="L429" s="33">
        <f>IF(AND(Orders!U426&gt;=19,Orders!U426&lt;22),1,0)</f>
        <v>0</v>
      </c>
      <c r="M429" s="33">
        <f>IF(L429=IF(Orders!V426,1,0),1,0)</f>
        <v>1</v>
      </c>
      <c r="N429" s="32" t="str">
        <f>IF(Orders!W426="","None",Orders!W426)</f>
        <v>Heavy</v>
      </c>
      <c r="O429" s="35">
        <f>INT(Orders!E426)</f>
        <v>46271.0</v>
      </c>
      <c r="P429" s="33">
        <f>Orders!U426</f>
        <v>15</v>
      </c>
      <c r="Q429" s="33">
        <f>COUNTIFS(Demand!$A$2:$A$4481,B429,Demand!$B$2:$B$4481,O429,Demand!$C$2:$C$4481,P429)</f>
        <v>1</v>
      </c>
      <c r="R429" s="33">
        <f>IF(Q429=1,SUMIFS(Demand!$E$2:$E$4481,Demand!$A$2:$A$4481,B429,Demand!$B$2:$B$4481,O429,Demand!$C$2:$C$4481,P429),"")</f>
        <v>9</v>
      </c>
      <c r="S429" s="33">
        <f>INDEX(Stores!$G$2:$G$21,MATCH(B429,Stores!$A$2:$A$21,0))</f>
        <v>15</v>
      </c>
      <c r="T429" s="34">
        <f>IF(R429="","",R429/S429)</f>
        <v>0.6</v>
      </c>
      <c r="U429" s="34">
        <f>IF(E429=1,T429,"")</f>
        <v>0.6</v>
      </c>
      <c r="V429" s="34">
        <f>IF(AND(E429=1,L429=0),T429,"")</f>
        <v>0.6</v>
      </c>
      <c r="W429" s="33">
        <f>IF(U429="","",IF(U429&lt;=Breakdowns!$C$5,1,IF(U429&lt;=Breakdowns!$C$6,2,IF(U429&lt;=Breakdowns!$C$7,3,4))))</f>
        <v>1</v>
      </c>
      <c r="X429" s="33">
        <f>IF(V429="","",IF(V429&lt;=Breakdowns!$D$5,1,IF(V429&lt;=Breakdowns!$D$6,2,IF(V429&lt;=Breakdowns!$D$7,3,4))))</f>
        <v>1</v>
      </c>
      <c r="Y429" s="34">
        <f>INDEX(Stores!$F$2:$F$21,MATCH(B429,Stores!$A$2:$A$21,0))</f>
        <v>5.74</v>
      </c>
      <c r="Z429" s="33">
        <f>IF(Y429&gt;Store_Summary!$M$2,1,0)</f>
        <v>1</v>
      </c>
      <c r="AA429" s="33">
        <f>INDEX(Stores!$C$2:$C$21,MATCH(B429,Stores!$A$2:$A$21,0))</f>
        <v>647</v>
      </c>
      <c r="AB429" s="33">
        <f>IF(AA429&lt;180,1,0)</f>
        <v>0</v>
      </c>
      <c r="AC429" s="32" t="str">
        <f>IF(Orders!D426="","",INDEX(Riders!$C$2:$C$81,MATCH(Orders!D426,Riders!$A$2:$A$81,0)))</f>
        <v>Petrol scooter</v>
      </c>
      <c r="AD429" s="33">
        <f>IF(Orders!D426="","",INDEX(Riders!$D$2:$D$81,MATCH(Orders!D426,Riders!$A$2:$A$81,0)))</f>
        <v>4</v>
      </c>
      <c r="AE429" s="33">
        <f>IF(Orders!D426="","",IF(INDEX(Riders!$B$2:$B$81,MATCH(Orders!D426,Riders!$A$2:$A$81,0))=B429,1,0))</f>
        <v>1</v>
      </c>
      <c r="AF429" s="34">
        <f>IF(E429=1,Orders!L426,"")</f>
        <v>2.03</v>
      </c>
      <c r="AG429" s="34">
        <f>IF(E429=1,Orders!P426,"")</f>
        <v>9.2</v>
      </c>
      <c r="AH429" s="34">
        <f>IF(E429=1,Orders!Q426,"")</f>
        <v>8.3</v>
      </c>
      <c r="AI429" s="34">
        <f>IF(E429=1,Orders!M426,"")</f>
        <v>2.2</v>
      </c>
      <c r="AJ429" s="34">
        <f>IF(E429=1,Orders!N426,"")</f>
        <v>3.2</v>
      </c>
      <c r="AK429" s="34">
        <f>IF(E429=1,Orders!O426,"")</f>
        <v>2.9</v>
      </c>
      <c r="AL429" s="33">
        <f>IF(E429=1,IF(ROUND(ABS(AI429+AJ429+AK429-AH429),6)&lt;=0.1,1,0),"")</f>
        <v>1</v>
      </c>
      <c r="AM429" s="36">
        <f>IF(E429=1,AI429/AH429,"")</f>
        <v>0.265060240963855</v>
      </c>
      <c r="AN429" s="36">
        <f>IF(E429=1,AJ429/AH429,"")</f>
        <v>0.385542168674699</v>
      </c>
      <c r="AO429" s="36">
        <f>IF(E429=1,AK429/AH429,"")</f>
        <v>0.349397590361446</v>
      </c>
      <c r="AP429" s="34">
        <f>IF(E429=1,Orders!Y426,"")</f>
        <v>0.53</v>
      </c>
      <c r="AQ429" s="33">
        <f>IF(Orders!X426,1,0)</f>
        <v>0</v>
      </c>
      <c r="AR429" s="34" t="str">
        <f>IF(AND(E429=1,L429=1),AJ429,"")</f>
        <v/>
      </c>
      <c r="AS429" s="34">
        <f>IF(AND(E429=1,L429=0),AJ429,"")</f>
        <v>3.2</v>
      </c>
      <c r="AT429" s="34" t="str">
        <f>IF(AND(E429=1,L429=1),AI429,"")</f>
        <v/>
      </c>
      <c r="AU429" s="34">
        <f>IF(AND(E429=1,L429=0),AI429,"")</f>
        <v>2.2</v>
      </c>
      <c r="AV429" s="34" t="str">
        <f>IF(AND(E429=1,L429=1),AG429,"")</f>
        <v/>
      </c>
      <c r="AW429" s="34">
        <f>IF(AND(E429=1,L429=0),AG429,"")</f>
        <v>9.2</v>
      </c>
      <c r="AX429" s="34" t="str">
        <f>IF(AND(E429=1,L429=1),AH429,"")</f>
        <v/>
      </c>
      <c r="AY429" s="34">
        <f>IF(AND(E429=1,L429=0),AH429,"")</f>
        <v>8.3</v>
      </c>
      <c r="AZ429" s="34" t="str">
        <f>IF(G429=1,F429,"")</f>
        <v/>
      </c>
      <c r="BA429" s="34" t="str">
        <f>IF(AND(G429=1,L429=1),F429,"")</f>
        <v/>
      </c>
      <c r="BB429" s="34" t="str">
        <f>IF(AND(G429=1,L429=0),F429,"")</f>
        <v/>
      </c>
      <c r="BC429" s="33">
        <f>IF(E429=1,IF(Orders!R426&gt;3,1,0),"")</f>
        <v>0</v>
      </c>
      <c r="BD429" s="33">
        <f>IF(E429=1,IF(Orders!R426&gt;7,1,0),"")</f>
        <v>0</v>
      </c>
      <c r="BE429" s="32" t="str">
        <f>IF(E429=1,IF(Orders!L426&lt;=1.5,"Up to 1.5 km",IF(Orders!L426&lt;=3,"1.5–3 km","Over 3 km")),"")</f>
        <v>1.5–3 km</v>
      </c>
      <c r="BF429" s="33">
        <f>IF(E429=1,IF(ABS((Orders!G426-Orders!F426)*1440-Orders!R426)&lt;0.06,1,0),"")</f>
        <v>1</v>
      </c>
      <c r="BG429" s="33">
        <f>IF(ABS((Orders!F426-Orders!E426)*1440-Orders!P426)&lt;0.06,1,0)</f>
        <v>1</v>
      </c>
      <c r="BH429" s="33">
        <f>IF(E429=1,IF(IF(Orders!S426,1,0)=1-G429,1,0),"")</f>
        <v>1</v>
      </c>
      <c r="BI429" s="32" t="str">
        <f>INDEX(Stores!$B$2:$B$21,MATCH(B429,Stores!$A$2:$A$21,0))</f>
        <v>Delhi</v>
      </c>
    </row>
    <row r="430">
      <c r="A430" s="32" t="str">
        <f>Orders!A427</f>
        <v>O00426</v>
      </c>
      <c r="B430" s="32" t="str">
        <f>Orders!C427</f>
        <v>S020</v>
      </c>
      <c r="C430" s="32" t="str">
        <f>Orders!B427</f>
        <v>C0127</v>
      </c>
      <c r="D430" s="32" t="str">
        <f>Orders!H427</f>
        <v>Delivered</v>
      </c>
      <c r="E430" s="33">
        <f>IF(Orders!H427="Delivered",1,0)</f>
        <v>1</v>
      </c>
      <c r="F430" s="34">
        <f>IF(E430=1,Orders!R427,"")</f>
        <v>-0.9</v>
      </c>
      <c r="G430" s="33">
        <f>IF(E430=1,IF(Orders!R427&gt;0,1,0),"")</f>
        <v>0</v>
      </c>
      <c r="H430" s="33">
        <f>IF(E430=1,IF(Orders!R427&gt;5,1,0),"")</f>
        <v>0</v>
      </c>
      <c r="I430" s="32" t="str">
        <f>IF(E430=1,"",IF(OR(Orders!T427="Rider unavailable",Orders!T427="Item unavailable"),"Company-caused","Unresolved"))</f>
        <v/>
      </c>
      <c r="J430" s="33">
        <f>IF(OR(E430=1,I430="Company-caused"),1,0)</f>
        <v>1</v>
      </c>
      <c r="K430" s="32" t="str">
        <f>IF(E430=0,IF(I430="Company-caused",IF(Orders!T427="Rider unavailable","C1 Rider unavailable","C2 Item unavailable"),"Outside root: unresolved"),IF(G430=0,"A On time",IF(H430=1,IF(L430=1,"B2a Severe, peak","B2b Severe, off-peak"),IF(L430=1,"B1a Slight, peak","B1b Slight, off-peak"))))</f>
        <v>A On time</v>
      </c>
      <c r="L430" s="33">
        <f>IF(AND(Orders!U427&gt;=19,Orders!U427&lt;22),1,0)</f>
        <v>1</v>
      </c>
      <c r="M430" s="33">
        <f>IF(L430=IF(Orders!V427,1,0),1,0)</f>
        <v>1</v>
      </c>
      <c r="N430" s="32" t="str">
        <f>IF(Orders!W427="","None",Orders!W427)</f>
        <v>None</v>
      </c>
      <c r="O430" s="35">
        <f>INT(Orders!E427)</f>
        <v>46276.0</v>
      </c>
      <c r="P430" s="33">
        <f>Orders!U427</f>
        <v>21</v>
      </c>
      <c r="Q430" s="33">
        <f>COUNTIFS(Demand!$A$2:$A$4481,B430,Demand!$B$2:$B$4481,O430,Demand!$C$2:$C$4481,P430)</f>
        <v>1</v>
      </c>
      <c r="R430" s="33">
        <f>IF(Q430=1,SUMIFS(Demand!$E$2:$E$4481,Demand!$A$2:$A$4481,B430,Demand!$B$2:$B$4481,O430,Demand!$C$2:$C$4481,P430),"")</f>
        <v>19</v>
      </c>
      <c r="S430" s="33">
        <f>INDEX(Stores!$G$2:$G$21,MATCH(B430,Stores!$A$2:$A$21,0))</f>
        <v>15</v>
      </c>
      <c r="T430" s="34">
        <f>IF(R430="","",R430/S430)</f>
        <v>1.26666666666667</v>
      </c>
      <c r="U430" s="34">
        <f>IF(E430=1,T430,"")</f>
        <v>1.26666666666667</v>
      </c>
      <c r="V430" s="34" t="str">
        <f>IF(AND(E430=1,L430=0),T430,"")</f>
        <v/>
      </c>
      <c r="W430" s="33">
        <f>IF(U430="","",IF(U430&lt;=Breakdowns!$C$5,1,IF(U430&lt;=Breakdowns!$C$6,2,IF(U430&lt;=Breakdowns!$C$7,3,4))))</f>
        <v>4</v>
      </c>
      <c r="X430" s="33" t="str">
        <f>IF(V430="","",IF(V430&lt;=Breakdowns!$D$5,1,IF(V430&lt;=Breakdowns!$D$6,2,IF(V430&lt;=Breakdowns!$D$7,3,4))))</f>
        <v/>
      </c>
      <c r="Y430" s="34">
        <f>INDEX(Stores!$F$2:$F$21,MATCH(B430,Stores!$A$2:$A$21,0))</f>
        <v>5.74</v>
      </c>
      <c r="Z430" s="33">
        <f>IF(Y430&gt;Store_Summary!$M$2,1,0)</f>
        <v>1</v>
      </c>
      <c r="AA430" s="33">
        <f>INDEX(Stores!$C$2:$C$21,MATCH(B430,Stores!$A$2:$A$21,0))</f>
        <v>647</v>
      </c>
      <c r="AB430" s="33">
        <f>IF(AA430&lt;180,1,0)</f>
        <v>0</v>
      </c>
      <c r="AC430" s="32" t="str">
        <f>IF(Orders!D427="","",INDEX(Riders!$C$2:$C$81,MATCH(Orders!D427,Riders!$A$2:$A$81,0)))</f>
        <v>Petrol scooter</v>
      </c>
      <c r="AD430" s="33">
        <f>IF(Orders!D427="","",INDEX(Riders!$D$2:$D$81,MATCH(Orders!D427,Riders!$A$2:$A$81,0)))</f>
        <v>40</v>
      </c>
      <c r="AE430" s="33">
        <f>IF(Orders!D427="","",IF(INDEX(Riders!$B$2:$B$81,MATCH(Orders!D427,Riders!$A$2:$A$81,0))=B430,1,0))</f>
        <v>0</v>
      </c>
      <c r="AF430" s="34">
        <f>IF(E430=1,Orders!L427,"")</f>
        <v>3.8</v>
      </c>
      <c r="AG430" s="34">
        <f>IF(E430=1,Orders!P427,"")</f>
        <v>12.3</v>
      </c>
      <c r="AH430" s="34">
        <f>IF(E430=1,Orders!Q427,"")</f>
        <v>11.4</v>
      </c>
      <c r="AI430" s="34">
        <f>IF(E430=1,Orders!M427,"")</f>
        <v>2.9</v>
      </c>
      <c r="AJ430" s="34">
        <f>IF(E430=1,Orders!N427,"")</f>
        <v>2.7</v>
      </c>
      <c r="AK430" s="34">
        <f>IF(E430=1,Orders!O427,"")</f>
        <v>5.8</v>
      </c>
      <c r="AL430" s="33">
        <f>IF(E430=1,IF(ROUND(ABS(AI430+AJ430+AK430-AH430),6)&lt;=0.1,1,0),"")</f>
        <v>1</v>
      </c>
      <c r="AM430" s="36">
        <f>IF(E430=1,AI430/AH430,"")</f>
        <v>0.254385964912281</v>
      </c>
      <c r="AN430" s="36">
        <f>IF(E430=1,AJ430/AH430,"")</f>
        <v>0.236842105263158</v>
      </c>
      <c r="AO430" s="36">
        <f>IF(E430=1,AK430/AH430,"")</f>
        <v>0.508771929824561</v>
      </c>
      <c r="AP430" s="34">
        <f>IF(E430=1,Orders!Y427,"")</f>
        <v>0.53</v>
      </c>
      <c r="AQ430" s="33">
        <f>IF(Orders!X427,1,0)</f>
        <v>0</v>
      </c>
      <c r="AR430" s="34">
        <f>IF(AND(E430=1,L430=1),AJ430,"")</f>
        <v>2.7</v>
      </c>
      <c r="AS430" s="34" t="str">
        <f>IF(AND(E430=1,L430=0),AJ430,"")</f>
        <v/>
      </c>
      <c r="AT430" s="34">
        <f>IF(AND(E430=1,L430=1),AI430,"")</f>
        <v>2.9</v>
      </c>
      <c r="AU430" s="34" t="str">
        <f>IF(AND(E430=1,L430=0),AI430,"")</f>
        <v/>
      </c>
      <c r="AV430" s="34">
        <f>IF(AND(E430=1,L430=1),AG430,"")</f>
        <v>12.3</v>
      </c>
      <c r="AW430" s="34" t="str">
        <f>IF(AND(E430=1,L430=0),AG430,"")</f>
        <v/>
      </c>
      <c r="AX430" s="34">
        <f>IF(AND(E430=1,L430=1),AH430,"")</f>
        <v>11.4</v>
      </c>
      <c r="AY430" s="34" t="str">
        <f>IF(AND(E430=1,L430=0),AH430,"")</f>
        <v/>
      </c>
      <c r="AZ430" s="34" t="str">
        <f>IF(G430=1,F430,"")</f>
        <v/>
      </c>
      <c r="BA430" s="34" t="str">
        <f>IF(AND(G430=1,L430=1),F430,"")</f>
        <v/>
      </c>
      <c r="BB430" s="34" t="str">
        <f>IF(AND(G430=1,L430=0),F430,"")</f>
        <v/>
      </c>
      <c r="BC430" s="33">
        <f>IF(E430=1,IF(Orders!R427&gt;3,1,0),"")</f>
        <v>0</v>
      </c>
      <c r="BD430" s="33">
        <f>IF(E430=1,IF(Orders!R427&gt;7,1,0),"")</f>
        <v>0</v>
      </c>
      <c r="BE430" s="32" t="str">
        <f>IF(E430=1,IF(Orders!L427&lt;=1.5,"Up to 1.5 km",IF(Orders!L427&lt;=3,"1.5–3 km","Over 3 km")),"")</f>
        <v>Over 3 km</v>
      </c>
      <c r="BF430" s="33">
        <f>IF(E430=1,IF(ABS((Orders!G427-Orders!F427)*1440-Orders!R427)&lt;0.06,1,0),"")</f>
        <v>1</v>
      </c>
      <c r="BG430" s="33">
        <f>IF(ABS((Orders!F427-Orders!E427)*1440-Orders!P427)&lt;0.06,1,0)</f>
        <v>1</v>
      </c>
      <c r="BH430" s="33">
        <f>IF(E430=1,IF(IF(Orders!S427,1,0)=1-G430,1,0),"")</f>
        <v>1</v>
      </c>
      <c r="BI430" s="32" t="str">
        <f>INDEX(Stores!$B$2:$B$21,MATCH(B430,Stores!$A$2:$A$21,0))</f>
        <v>Delhi</v>
      </c>
    </row>
    <row r="431">
      <c r="A431" s="32" t="str">
        <f>Orders!A428</f>
        <v>O00427</v>
      </c>
      <c r="B431" s="32" t="str">
        <f>Orders!C428</f>
        <v>S010</v>
      </c>
      <c r="C431" s="32" t="str">
        <f>Orders!B428</f>
        <v>C0137</v>
      </c>
      <c r="D431" s="32" t="str">
        <f>Orders!H428</f>
        <v>Delivered</v>
      </c>
      <c r="E431" s="33">
        <f>IF(Orders!H428="Delivered",1,0)</f>
        <v>1</v>
      </c>
      <c r="F431" s="34">
        <f>IF(E431=1,Orders!R428,"")</f>
        <v>-1</v>
      </c>
      <c r="G431" s="33">
        <f>IF(E431=1,IF(Orders!R428&gt;0,1,0),"")</f>
        <v>0</v>
      </c>
      <c r="H431" s="33">
        <f>IF(E431=1,IF(Orders!R428&gt;5,1,0),"")</f>
        <v>0</v>
      </c>
      <c r="I431" s="32" t="str">
        <f>IF(E431=1,"",IF(OR(Orders!T428="Rider unavailable",Orders!T428="Item unavailable"),"Company-caused","Unresolved"))</f>
        <v/>
      </c>
      <c r="J431" s="33">
        <f>IF(OR(E431=1,I431="Company-caused"),1,0)</f>
        <v>1</v>
      </c>
      <c r="K431" s="32" t="str">
        <f>IF(E431=0,IF(I431="Company-caused",IF(Orders!T428="Rider unavailable","C1 Rider unavailable","C2 Item unavailable"),"Outside root: unresolved"),IF(G431=0,"A On time",IF(H431=1,IF(L431=1,"B2a Severe, peak","B2b Severe, off-peak"),IF(L431=1,"B1a Slight, peak","B1b Slight, off-peak"))))</f>
        <v>A On time</v>
      </c>
      <c r="L431" s="33">
        <f>IF(AND(Orders!U428&gt;=19,Orders!U428&lt;22),1,0)</f>
        <v>0</v>
      </c>
      <c r="M431" s="33">
        <f>IF(L431=IF(Orders!V428,1,0),1,0)</f>
        <v>1</v>
      </c>
      <c r="N431" s="32" t="str">
        <f>IF(Orders!W428="","None",Orders!W428)</f>
        <v>Light</v>
      </c>
      <c r="O431" s="35">
        <f>INT(Orders!E428)</f>
        <v>46273.0</v>
      </c>
      <c r="P431" s="33">
        <f>Orders!U428</f>
        <v>12</v>
      </c>
      <c r="Q431" s="33">
        <f>COUNTIFS(Demand!$A$2:$A$4481,B431,Demand!$B$2:$B$4481,O431,Demand!$C$2:$C$4481,P431)</f>
        <v>1</v>
      </c>
      <c r="R431" s="33">
        <f>IF(Q431=1,SUMIFS(Demand!$E$2:$E$4481,Demand!$A$2:$A$4481,B431,Demand!$B$2:$B$4481,O431,Demand!$C$2:$C$4481,P431),"")</f>
        <v>30</v>
      </c>
      <c r="S431" s="33">
        <f>INDEX(Stores!$G$2:$G$21,MATCH(B431,Stores!$A$2:$A$21,0))</f>
        <v>22</v>
      </c>
      <c r="T431" s="34">
        <f>IF(R431="","",R431/S431)</f>
        <v>1.36363636363636</v>
      </c>
      <c r="U431" s="34">
        <f>IF(E431=1,T431,"")</f>
        <v>1.36363636363636</v>
      </c>
      <c r="V431" s="34">
        <f>IF(AND(E431=1,L431=0),T431,"")</f>
        <v>1.36363636363636</v>
      </c>
      <c r="W431" s="33">
        <f>IF(U431="","",IF(U431&lt;=Breakdowns!$C$5,1,IF(U431&lt;=Breakdowns!$C$6,2,IF(U431&lt;=Breakdowns!$C$7,3,4))))</f>
        <v>4</v>
      </c>
      <c r="X431" s="33">
        <f>IF(V431="","",IF(V431&lt;=Breakdowns!$D$5,1,IF(V431&lt;=Breakdowns!$D$6,2,IF(V431&lt;=Breakdowns!$D$7,3,4))))</f>
        <v>4</v>
      </c>
      <c r="Y431" s="34">
        <f>INDEX(Stores!$F$2:$F$21,MATCH(B431,Stores!$A$2:$A$21,0))</f>
        <v>5.61</v>
      </c>
      <c r="Z431" s="33">
        <f>IF(Y431&gt;Store_Summary!$M$2,1,0)</f>
        <v>1</v>
      </c>
      <c r="AA431" s="33">
        <f>INDEX(Stores!$C$2:$C$21,MATCH(B431,Stores!$A$2:$A$21,0))</f>
        <v>744</v>
      </c>
      <c r="AB431" s="33">
        <f>IF(AA431&lt;180,1,0)</f>
        <v>0</v>
      </c>
      <c r="AC431" s="32" t="str">
        <f>IF(Orders!D428="","",INDEX(Riders!$C$2:$C$81,MATCH(Orders!D428,Riders!$A$2:$A$81,0)))</f>
        <v>EV scooter</v>
      </c>
      <c r="AD431" s="33">
        <f>IF(Orders!D428="","",INDEX(Riders!$D$2:$D$81,MATCH(Orders!D428,Riders!$A$2:$A$81,0)))</f>
        <v>44</v>
      </c>
      <c r="AE431" s="33">
        <f>IF(Orders!D428="","",IF(INDEX(Riders!$B$2:$B$81,MATCH(Orders!D428,Riders!$A$2:$A$81,0))=B431,1,0))</f>
        <v>0</v>
      </c>
      <c r="AF431" s="34">
        <f>IF(E431=1,Orders!L428,"")</f>
        <v>1.81</v>
      </c>
      <c r="AG431" s="34">
        <f>IF(E431=1,Orders!P428,"")</f>
        <v>10.1</v>
      </c>
      <c r="AH431" s="34">
        <f>IF(E431=1,Orders!Q428,"")</f>
        <v>9.1</v>
      </c>
      <c r="AI431" s="34">
        <f>IF(E431=1,Orders!M428,"")</f>
        <v>4.1</v>
      </c>
      <c r="AJ431" s="34">
        <f>IF(E431=1,Orders!N428,"")</f>
        <v>0.9</v>
      </c>
      <c r="AK431" s="34">
        <f>IF(E431=1,Orders!O428,"")</f>
        <v>4.1</v>
      </c>
      <c r="AL431" s="33">
        <f>IF(E431=1,IF(ROUND(ABS(AI431+AJ431+AK431-AH431),6)&lt;=0.1,1,0),"")</f>
        <v>1</v>
      </c>
      <c r="AM431" s="36">
        <f>IF(E431=1,AI431/AH431,"")</f>
        <v>0.450549450549451</v>
      </c>
      <c r="AN431" s="36">
        <f>IF(E431=1,AJ431/AH431,"")</f>
        <v>0.0989010989010989</v>
      </c>
      <c r="AO431" s="36">
        <f>IF(E431=1,AK431/AH431,"")</f>
        <v>0.450549450549451</v>
      </c>
      <c r="AP431" s="34">
        <f>IF(E431=1,Orders!Y428,"")</f>
        <v>0.44</v>
      </c>
      <c r="AQ431" s="33">
        <f>IF(Orders!X428,1,0)</f>
        <v>0</v>
      </c>
      <c r="AR431" s="34" t="str">
        <f>IF(AND(E431=1,L431=1),AJ431,"")</f>
        <v/>
      </c>
      <c r="AS431" s="34">
        <f>IF(AND(E431=1,L431=0),AJ431,"")</f>
        <v>0.9</v>
      </c>
      <c r="AT431" s="34" t="str">
        <f>IF(AND(E431=1,L431=1),AI431,"")</f>
        <v/>
      </c>
      <c r="AU431" s="34">
        <f>IF(AND(E431=1,L431=0),AI431,"")</f>
        <v>4.1</v>
      </c>
      <c r="AV431" s="34" t="str">
        <f>IF(AND(E431=1,L431=1),AG431,"")</f>
        <v/>
      </c>
      <c r="AW431" s="34">
        <f>IF(AND(E431=1,L431=0),AG431,"")</f>
        <v>10.1</v>
      </c>
      <c r="AX431" s="34" t="str">
        <f>IF(AND(E431=1,L431=1),AH431,"")</f>
        <v/>
      </c>
      <c r="AY431" s="34">
        <f>IF(AND(E431=1,L431=0),AH431,"")</f>
        <v>9.1</v>
      </c>
      <c r="AZ431" s="34" t="str">
        <f>IF(G431=1,F431,"")</f>
        <v/>
      </c>
      <c r="BA431" s="34" t="str">
        <f>IF(AND(G431=1,L431=1),F431,"")</f>
        <v/>
      </c>
      <c r="BB431" s="34" t="str">
        <f>IF(AND(G431=1,L431=0),F431,"")</f>
        <v/>
      </c>
      <c r="BC431" s="33">
        <f>IF(E431=1,IF(Orders!R428&gt;3,1,0),"")</f>
        <v>0</v>
      </c>
      <c r="BD431" s="33">
        <f>IF(E431=1,IF(Orders!R428&gt;7,1,0),"")</f>
        <v>0</v>
      </c>
      <c r="BE431" s="32" t="str">
        <f>IF(E431=1,IF(Orders!L428&lt;=1.5,"Up to 1.5 km",IF(Orders!L428&lt;=3,"1.5–3 km","Over 3 km")),"")</f>
        <v>1.5–3 km</v>
      </c>
      <c r="BF431" s="33">
        <f>IF(E431=1,IF(ABS((Orders!G428-Orders!F428)*1440-Orders!R428)&lt;0.06,1,0),"")</f>
        <v>1</v>
      </c>
      <c r="BG431" s="33">
        <f>IF(ABS((Orders!F428-Orders!E428)*1440-Orders!P428)&lt;0.06,1,0)</f>
        <v>1</v>
      </c>
      <c r="BH431" s="33">
        <f>IF(E431=1,IF(IF(Orders!S428,1,0)=1-G431,1,0),"")</f>
        <v>1</v>
      </c>
      <c r="BI431" s="32" t="str">
        <f>INDEX(Stores!$B$2:$B$21,MATCH(B431,Stores!$A$2:$A$21,0))</f>
        <v>Delhi</v>
      </c>
    </row>
    <row r="432">
      <c r="A432" s="32" t="str">
        <f>Orders!A429</f>
        <v>O00428</v>
      </c>
      <c r="B432" s="32" t="str">
        <f>Orders!C429</f>
        <v>S019</v>
      </c>
      <c r="C432" s="32" t="str">
        <f>Orders!B429</f>
        <v>C0115</v>
      </c>
      <c r="D432" s="32" t="str">
        <f>Orders!H429</f>
        <v>Delivered</v>
      </c>
      <c r="E432" s="33">
        <f>IF(Orders!H429="Delivered",1,0)</f>
        <v>1</v>
      </c>
      <c r="F432" s="34">
        <f>IF(E432=1,Orders!R429,"")</f>
        <v>9.2</v>
      </c>
      <c r="G432" s="33">
        <f>IF(E432=1,IF(Orders!R429&gt;0,1,0),"")</f>
        <v>1</v>
      </c>
      <c r="H432" s="33">
        <f>IF(E432=1,IF(Orders!R429&gt;5,1,0),"")</f>
        <v>1</v>
      </c>
      <c r="I432" s="32" t="str">
        <f>IF(E432=1,"",IF(OR(Orders!T429="Rider unavailable",Orders!T429="Item unavailable"),"Company-caused","Unresolved"))</f>
        <v/>
      </c>
      <c r="J432" s="33">
        <f>IF(OR(E432=1,I432="Company-caused"),1,0)</f>
        <v>1</v>
      </c>
      <c r="K432" s="32" t="str">
        <f>IF(E432=0,IF(I432="Company-caused",IF(Orders!T429="Rider unavailable","C1 Rider unavailable","C2 Item unavailable"),"Outside root: unresolved"),IF(G432=0,"A On time",IF(H432=1,IF(L432=1,"B2a Severe, peak","B2b Severe, off-peak"),IF(L432=1,"B1a Slight, peak","B1b Slight, off-peak"))))</f>
        <v>B2a Severe, peak</v>
      </c>
      <c r="L432" s="33">
        <f>IF(AND(Orders!U429&gt;=19,Orders!U429&lt;22),1,0)</f>
        <v>1</v>
      </c>
      <c r="M432" s="33">
        <f>IF(L432=IF(Orders!V429,1,0),1,0)</f>
        <v>1</v>
      </c>
      <c r="N432" s="32" t="str">
        <f>IF(Orders!W429="","None",Orders!W429)</f>
        <v>None</v>
      </c>
      <c r="O432" s="35">
        <f>INT(Orders!E429)</f>
        <v>46266.0</v>
      </c>
      <c r="P432" s="33">
        <f>Orders!U429</f>
        <v>20</v>
      </c>
      <c r="Q432" s="33">
        <f>COUNTIFS(Demand!$A$2:$A$4481,B432,Demand!$B$2:$B$4481,O432,Demand!$C$2:$C$4481,P432)</f>
        <v>1</v>
      </c>
      <c r="R432" s="33">
        <f>IF(Q432=1,SUMIFS(Demand!$E$2:$E$4481,Demand!$A$2:$A$4481,B432,Demand!$B$2:$B$4481,O432,Demand!$C$2:$C$4481,P432),"")</f>
        <v>26</v>
      </c>
      <c r="S432" s="33">
        <f>INDEX(Stores!$G$2:$G$21,MATCH(B432,Stores!$A$2:$A$21,0))</f>
        <v>22</v>
      </c>
      <c r="T432" s="34">
        <f>IF(R432="","",R432/S432)</f>
        <v>1.18181818181818</v>
      </c>
      <c r="U432" s="34">
        <f>IF(E432=1,T432,"")</f>
        <v>1.18181818181818</v>
      </c>
      <c r="V432" s="34" t="str">
        <f>IF(AND(E432=1,L432=0),T432,"")</f>
        <v/>
      </c>
      <c r="W432" s="33">
        <f>IF(U432="","",IF(U432&lt;=Breakdowns!$C$5,1,IF(U432&lt;=Breakdowns!$C$6,2,IF(U432&lt;=Breakdowns!$C$7,3,4))))</f>
        <v>3</v>
      </c>
      <c r="X432" s="33" t="str">
        <f>IF(V432="","",IF(V432&lt;=Breakdowns!$D$5,1,IF(V432&lt;=Breakdowns!$D$6,2,IF(V432&lt;=Breakdowns!$D$7,3,4))))</f>
        <v/>
      </c>
      <c r="Y432" s="34">
        <f>INDEX(Stores!$F$2:$F$21,MATCH(B432,Stores!$A$2:$A$21,0))</f>
        <v>4.99</v>
      </c>
      <c r="Z432" s="33">
        <f>IF(Y432&gt;Store_Summary!$M$2,1,0)</f>
        <v>1</v>
      </c>
      <c r="AA432" s="33">
        <f>INDEX(Stores!$C$2:$C$21,MATCH(B432,Stores!$A$2:$A$21,0))</f>
        <v>851</v>
      </c>
      <c r="AB432" s="33">
        <f>IF(AA432&lt;180,1,0)</f>
        <v>0</v>
      </c>
      <c r="AC432" s="32" t="str">
        <f>IF(Orders!D429="","",INDEX(Riders!$C$2:$C$81,MATCH(Orders!D429,Riders!$A$2:$A$81,0)))</f>
        <v>EV scooter</v>
      </c>
      <c r="AD432" s="33">
        <f>IF(Orders!D429="","",INDEX(Riders!$D$2:$D$81,MATCH(Orders!D429,Riders!$A$2:$A$81,0)))</f>
        <v>45</v>
      </c>
      <c r="AE432" s="33">
        <f>IF(Orders!D429="","",IF(INDEX(Riders!$B$2:$B$81,MATCH(Orders!D429,Riders!$A$2:$A$81,0))=B432,1,0))</f>
        <v>0</v>
      </c>
      <c r="AF432" s="34">
        <f>IF(E432=1,Orders!L429,"")</f>
        <v>1.3</v>
      </c>
      <c r="AG432" s="34">
        <f>IF(E432=1,Orders!P429,"")</f>
        <v>9.8</v>
      </c>
      <c r="AH432" s="34">
        <f>IF(E432=1,Orders!Q429,"")</f>
        <v>19</v>
      </c>
      <c r="AI432" s="34">
        <f>IF(E432=1,Orders!M429,"")</f>
        <v>5.8</v>
      </c>
      <c r="AJ432" s="34">
        <f>IF(E432=1,Orders!N429,"")</f>
        <v>8.3</v>
      </c>
      <c r="AK432" s="34">
        <f>IF(E432=1,Orders!O429,"")</f>
        <v>5</v>
      </c>
      <c r="AL432" s="33">
        <f>IF(E432=1,IF(ROUND(ABS(AI432+AJ432+AK432-AH432),6)&lt;=0.1,1,0),"")</f>
        <v>1</v>
      </c>
      <c r="AM432" s="36">
        <f>IF(E432=1,AI432/AH432,"")</f>
        <v>0.305263157894737</v>
      </c>
      <c r="AN432" s="36">
        <f>IF(E432=1,AJ432/AH432,"")</f>
        <v>0.436842105263158</v>
      </c>
      <c r="AO432" s="36">
        <f>IF(E432=1,AK432/AH432,"")</f>
        <v>0.263157894736842</v>
      </c>
      <c r="AP432" s="34">
        <f>IF(E432=1,Orders!Y429,"")</f>
        <v>0.68</v>
      </c>
      <c r="AQ432" s="33">
        <f>IF(Orders!X429,1,0)</f>
        <v>0</v>
      </c>
      <c r="AR432" s="34">
        <f>IF(AND(E432=1,L432=1),AJ432,"")</f>
        <v>8.3</v>
      </c>
      <c r="AS432" s="34" t="str">
        <f>IF(AND(E432=1,L432=0),AJ432,"")</f>
        <v/>
      </c>
      <c r="AT432" s="34">
        <f>IF(AND(E432=1,L432=1),AI432,"")</f>
        <v>5.8</v>
      </c>
      <c r="AU432" s="34" t="str">
        <f>IF(AND(E432=1,L432=0),AI432,"")</f>
        <v/>
      </c>
      <c r="AV432" s="34">
        <f>IF(AND(E432=1,L432=1),AG432,"")</f>
        <v>9.8</v>
      </c>
      <c r="AW432" s="34" t="str">
        <f>IF(AND(E432=1,L432=0),AG432,"")</f>
        <v/>
      </c>
      <c r="AX432" s="34">
        <f>IF(AND(E432=1,L432=1),AH432,"")</f>
        <v>19</v>
      </c>
      <c r="AY432" s="34" t="str">
        <f>IF(AND(E432=1,L432=0),AH432,"")</f>
        <v/>
      </c>
      <c r="AZ432" s="34">
        <f>IF(G432=1,F432,"")</f>
        <v>9.2</v>
      </c>
      <c r="BA432" s="34">
        <f>IF(AND(G432=1,L432=1),F432,"")</f>
        <v>9.2</v>
      </c>
      <c r="BB432" s="34" t="str">
        <f>IF(AND(G432=1,L432=0),F432,"")</f>
        <v/>
      </c>
      <c r="BC432" s="33">
        <f>IF(E432=1,IF(Orders!R429&gt;3,1,0),"")</f>
        <v>1</v>
      </c>
      <c r="BD432" s="33">
        <f>IF(E432=1,IF(Orders!R429&gt;7,1,0),"")</f>
        <v>1</v>
      </c>
      <c r="BE432" s="32" t="str">
        <f>IF(E432=1,IF(Orders!L429&lt;=1.5,"Up to 1.5 km",IF(Orders!L429&lt;=3,"1.5–3 km","Over 3 km")),"")</f>
        <v>Up to 1.5 km</v>
      </c>
      <c r="BF432" s="33">
        <f>IF(E432=1,IF(ABS((Orders!G429-Orders!F429)*1440-Orders!R429)&lt;0.06,1,0),"")</f>
        <v>1</v>
      </c>
      <c r="BG432" s="33">
        <f>IF(ABS((Orders!F429-Orders!E429)*1440-Orders!P429)&lt;0.06,1,0)</f>
        <v>1</v>
      </c>
      <c r="BH432" s="33">
        <f>IF(E432=1,IF(IF(Orders!S429,1,0)=1-G432,1,0),"")</f>
        <v>1</v>
      </c>
      <c r="BI432" s="32" t="str">
        <f>INDEX(Stores!$B$2:$B$21,MATCH(B432,Stores!$A$2:$A$21,0))</f>
        <v>Pune</v>
      </c>
    </row>
    <row r="433">
      <c r="A433" s="32" t="str">
        <f>Orders!A430</f>
        <v>O00429</v>
      </c>
      <c r="B433" s="32" t="str">
        <f>Orders!C430</f>
        <v>S001</v>
      </c>
      <c r="C433" s="32" t="str">
        <f>Orders!B430</f>
        <v>C0151</v>
      </c>
      <c r="D433" s="32" t="str">
        <f>Orders!H430</f>
        <v>Delivered</v>
      </c>
      <c r="E433" s="33">
        <f>IF(Orders!H430="Delivered",1,0)</f>
        <v>1</v>
      </c>
      <c r="F433" s="34">
        <f>IF(E433=1,Orders!R430,"")</f>
        <v>-0.5</v>
      </c>
      <c r="G433" s="33">
        <f>IF(E433=1,IF(Orders!R430&gt;0,1,0),"")</f>
        <v>0</v>
      </c>
      <c r="H433" s="33">
        <f>IF(E433=1,IF(Orders!R430&gt;5,1,0),"")</f>
        <v>0</v>
      </c>
      <c r="I433" s="32" t="str">
        <f>IF(E433=1,"",IF(OR(Orders!T430="Rider unavailable",Orders!T430="Item unavailable"),"Company-caused","Unresolved"))</f>
        <v/>
      </c>
      <c r="J433" s="33">
        <f>IF(OR(E433=1,I433="Company-caused"),1,0)</f>
        <v>1</v>
      </c>
      <c r="K433" s="32" t="str">
        <f>IF(E433=0,IF(I433="Company-caused",IF(Orders!T430="Rider unavailable","C1 Rider unavailable","C2 Item unavailable"),"Outside root: unresolved"),IF(G433=0,"A On time",IF(H433=1,IF(L433=1,"B2a Severe, peak","B2b Severe, off-peak"),IF(L433=1,"B1a Slight, peak","B1b Slight, off-peak"))))</f>
        <v>A On time</v>
      </c>
      <c r="L433" s="33">
        <f>IF(AND(Orders!U430&gt;=19,Orders!U430&lt;22),1,0)</f>
        <v>1</v>
      </c>
      <c r="M433" s="33">
        <f>IF(L433=IF(Orders!V430,1,0),1,0)</f>
        <v>1</v>
      </c>
      <c r="N433" s="32" t="str">
        <f>IF(Orders!W430="","None",Orders!W430)</f>
        <v>None</v>
      </c>
      <c r="O433" s="35">
        <f>INT(Orders!E430)</f>
        <v>46269.0</v>
      </c>
      <c r="P433" s="33">
        <f>Orders!U430</f>
        <v>20</v>
      </c>
      <c r="Q433" s="33">
        <f>COUNTIFS(Demand!$A$2:$A$4481,B433,Demand!$B$2:$B$4481,O433,Demand!$C$2:$C$4481,P433)</f>
        <v>1</v>
      </c>
      <c r="R433" s="33">
        <f>IF(Q433=1,SUMIFS(Demand!$E$2:$E$4481,Demand!$A$2:$A$4481,B433,Demand!$B$2:$B$4481,O433,Demand!$C$2:$C$4481,P433),"")</f>
        <v>27</v>
      </c>
      <c r="S433" s="33">
        <f>INDEX(Stores!$G$2:$G$21,MATCH(B433,Stores!$A$2:$A$21,0))</f>
        <v>16</v>
      </c>
      <c r="T433" s="34">
        <f>IF(R433="","",R433/S433)</f>
        <v>1.6875</v>
      </c>
      <c r="U433" s="34">
        <f>IF(E433=1,T433,"")</f>
        <v>1.6875</v>
      </c>
      <c r="V433" s="34" t="str">
        <f>IF(AND(E433=1,L433=0),T433,"")</f>
        <v/>
      </c>
      <c r="W433" s="33">
        <f>IF(U433="","",IF(U433&lt;=Breakdowns!$C$5,1,IF(U433&lt;=Breakdowns!$C$6,2,IF(U433&lt;=Breakdowns!$C$7,3,4))))</f>
        <v>4</v>
      </c>
      <c r="X433" s="33" t="str">
        <f>IF(V433="","",IF(V433&lt;=Breakdowns!$D$5,1,IF(V433&lt;=Breakdowns!$D$6,2,IF(V433&lt;=Breakdowns!$D$7,3,4))))</f>
        <v/>
      </c>
      <c r="Y433" s="34">
        <f>INDEX(Stores!$F$2:$F$21,MATCH(B433,Stores!$A$2:$A$21,0))</f>
        <v>4.59</v>
      </c>
      <c r="Z433" s="33">
        <f>IF(Y433&gt;Store_Summary!$M$2,1,0)</f>
        <v>0</v>
      </c>
      <c r="AA433" s="33">
        <f>INDEX(Stores!$C$2:$C$21,MATCH(B433,Stores!$A$2:$A$21,0))</f>
        <v>362</v>
      </c>
      <c r="AB433" s="33">
        <f>IF(AA433&lt;180,1,0)</f>
        <v>0</v>
      </c>
      <c r="AC433" s="32" t="str">
        <f>IF(Orders!D430="","",INDEX(Riders!$C$2:$C$81,MATCH(Orders!D430,Riders!$A$2:$A$81,0)))</f>
        <v>Petrol scooter</v>
      </c>
      <c r="AD433" s="33">
        <f>IF(Orders!D430="","",INDEX(Riders!$D$2:$D$81,MATCH(Orders!D430,Riders!$A$2:$A$81,0)))</f>
        <v>29</v>
      </c>
      <c r="AE433" s="33">
        <f>IF(Orders!D430="","",IF(INDEX(Riders!$B$2:$B$81,MATCH(Orders!D430,Riders!$A$2:$A$81,0))=B433,1,0))</f>
        <v>0</v>
      </c>
      <c r="AF433" s="34">
        <f>IF(E433=1,Orders!L430,"")</f>
        <v>1.05</v>
      </c>
      <c r="AG433" s="34">
        <f>IF(E433=1,Orders!P430,"")</f>
        <v>8.1</v>
      </c>
      <c r="AH433" s="34">
        <f>IF(E433=1,Orders!Q430,"")</f>
        <v>7.6</v>
      </c>
      <c r="AI433" s="34">
        <f>IF(E433=1,Orders!M430,"")</f>
        <v>1.5</v>
      </c>
      <c r="AJ433" s="34">
        <f>IF(E433=1,Orders!N430,"")</f>
        <v>4.1</v>
      </c>
      <c r="AK433" s="34">
        <f>IF(E433=1,Orders!O430,"")</f>
        <v>2</v>
      </c>
      <c r="AL433" s="33">
        <f>IF(E433=1,IF(ROUND(ABS(AI433+AJ433+AK433-AH433),6)&lt;=0.1,1,0),"")</f>
        <v>1</v>
      </c>
      <c r="AM433" s="36">
        <f>IF(E433=1,AI433/AH433,"")</f>
        <v>0.197368421052632</v>
      </c>
      <c r="AN433" s="36">
        <f>IF(E433=1,AJ433/AH433,"")</f>
        <v>0.539473684210526</v>
      </c>
      <c r="AO433" s="36">
        <f>IF(E433=1,AK433/AH433,"")</f>
        <v>0.263157894736842</v>
      </c>
      <c r="AP433" s="34">
        <f>IF(E433=1,Orders!Y430,"")</f>
        <v>0.56</v>
      </c>
      <c r="AQ433" s="33">
        <f>IF(Orders!X430,1,0)</f>
        <v>0</v>
      </c>
      <c r="AR433" s="34">
        <f>IF(AND(E433=1,L433=1),AJ433,"")</f>
        <v>4.1</v>
      </c>
      <c r="AS433" s="34" t="str">
        <f>IF(AND(E433=1,L433=0),AJ433,"")</f>
        <v/>
      </c>
      <c r="AT433" s="34">
        <f>IF(AND(E433=1,L433=1),AI433,"")</f>
        <v>1.5</v>
      </c>
      <c r="AU433" s="34" t="str">
        <f>IF(AND(E433=1,L433=0),AI433,"")</f>
        <v/>
      </c>
      <c r="AV433" s="34">
        <f>IF(AND(E433=1,L433=1),AG433,"")</f>
        <v>8.1</v>
      </c>
      <c r="AW433" s="34" t="str">
        <f>IF(AND(E433=1,L433=0),AG433,"")</f>
        <v/>
      </c>
      <c r="AX433" s="34">
        <f>IF(AND(E433=1,L433=1),AH433,"")</f>
        <v>7.6</v>
      </c>
      <c r="AY433" s="34" t="str">
        <f>IF(AND(E433=1,L433=0),AH433,"")</f>
        <v/>
      </c>
      <c r="AZ433" s="34" t="str">
        <f>IF(G433=1,F433,"")</f>
        <v/>
      </c>
      <c r="BA433" s="34" t="str">
        <f>IF(AND(G433=1,L433=1),F433,"")</f>
        <v/>
      </c>
      <c r="BB433" s="34" t="str">
        <f>IF(AND(G433=1,L433=0),F433,"")</f>
        <v/>
      </c>
      <c r="BC433" s="33">
        <f>IF(E433=1,IF(Orders!R430&gt;3,1,0),"")</f>
        <v>0</v>
      </c>
      <c r="BD433" s="33">
        <f>IF(E433=1,IF(Orders!R430&gt;7,1,0),"")</f>
        <v>0</v>
      </c>
      <c r="BE433" s="32" t="str">
        <f>IF(E433=1,IF(Orders!L430&lt;=1.5,"Up to 1.5 km",IF(Orders!L430&lt;=3,"1.5–3 km","Over 3 km")),"")</f>
        <v>Up to 1.5 km</v>
      </c>
      <c r="BF433" s="33">
        <f>IF(E433=1,IF(ABS((Orders!G430-Orders!F430)*1440-Orders!R430)&lt;0.06,1,0),"")</f>
        <v>1</v>
      </c>
      <c r="BG433" s="33">
        <f>IF(ABS((Orders!F430-Orders!E430)*1440-Orders!P430)&lt;0.06,1,0)</f>
        <v>1</v>
      </c>
      <c r="BH433" s="33">
        <f>IF(E433=1,IF(IF(Orders!S430,1,0)=1-G433,1,0),"")</f>
        <v>1</v>
      </c>
      <c r="BI433" s="32" t="str">
        <f>INDEX(Stores!$B$2:$B$21,MATCH(B433,Stores!$A$2:$A$21,0))</f>
        <v>Bengaluru</v>
      </c>
    </row>
    <row r="434">
      <c r="A434" s="32" t="str">
        <f>Orders!A431</f>
        <v>O00430</v>
      </c>
      <c r="B434" s="32" t="str">
        <f>Orders!C431</f>
        <v>S013</v>
      </c>
      <c r="C434" s="32" t="str">
        <f>Orders!B431</f>
        <v>C0139</v>
      </c>
      <c r="D434" s="32" t="str">
        <f>Orders!H431</f>
        <v>Delivered</v>
      </c>
      <c r="E434" s="33">
        <f>IF(Orders!H431="Delivered",1,0)</f>
        <v>1</v>
      </c>
      <c r="F434" s="34">
        <f>IF(E434=1,Orders!R431,"")</f>
        <v>4.8</v>
      </c>
      <c r="G434" s="33">
        <f>IF(E434=1,IF(Orders!R431&gt;0,1,0),"")</f>
        <v>1</v>
      </c>
      <c r="H434" s="33">
        <f>IF(E434=1,IF(Orders!R431&gt;5,1,0),"")</f>
        <v>0</v>
      </c>
      <c r="I434" s="32" t="str">
        <f>IF(E434=1,"",IF(OR(Orders!T431="Rider unavailable",Orders!T431="Item unavailable"),"Company-caused","Unresolved"))</f>
        <v/>
      </c>
      <c r="J434" s="33">
        <f>IF(OR(E434=1,I434="Company-caused"),1,0)</f>
        <v>1</v>
      </c>
      <c r="K434" s="32" t="str">
        <f>IF(E434=0,IF(I434="Company-caused",IF(Orders!T431="Rider unavailable","C1 Rider unavailable","C2 Item unavailable"),"Outside root: unresolved"),IF(G434=0,"A On time",IF(H434=1,IF(L434=1,"B2a Severe, peak","B2b Severe, off-peak"),IF(L434=1,"B1a Slight, peak","B1b Slight, off-peak"))))</f>
        <v>B1b Slight, off-peak</v>
      </c>
      <c r="L434" s="33">
        <f>IF(AND(Orders!U431&gt;=19,Orders!U431&lt;22),1,0)</f>
        <v>0</v>
      </c>
      <c r="M434" s="33">
        <f>IF(L434=IF(Orders!V431,1,0),1,0)</f>
        <v>1</v>
      </c>
      <c r="N434" s="32" t="str">
        <f>IF(Orders!W431="","None",Orders!W431)</f>
        <v>Heavy</v>
      </c>
      <c r="O434" s="35">
        <f>INT(Orders!E431)</f>
        <v>46279.0</v>
      </c>
      <c r="P434" s="33">
        <f>Orders!U431</f>
        <v>8</v>
      </c>
      <c r="Q434" s="33">
        <f>COUNTIFS(Demand!$A$2:$A$4481,B434,Demand!$B$2:$B$4481,O434,Demand!$C$2:$C$4481,P434)</f>
        <v>1</v>
      </c>
      <c r="R434" s="33">
        <f>IF(Q434=1,SUMIFS(Demand!$E$2:$E$4481,Demand!$A$2:$A$4481,B434,Demand!$B$2:$B$4481,O434,Demand!$C$2:$C$4481,P434),"")</f>
        <v>36</v>
      </c>
      <c r="S434" s="33">
        <f>INDEX(Stores!$G$2:$G$21,MATCH(B434,Stores!$A$2:$A$21,0))</f>
        <v>49</v>
      </c>
      <c r="T434" s="34">
        <f>IF(R434="","",R434/S434)</f>
        <v>0.73469387755102</v>
      </c>
      <c r="U434" s="34">
        <f>IF(E434=1,T434,"")</f>
        <v>0.73469387755102</v>
      </c>
      <c r="V434" s="34">
        <f>IF(AND(E434=1,L434=0),T434,"")</f>
        <v>0.73469387755102</v>
      </c>
      <c r="W434" s="33">
        <f>IF(U434="","",IF(U434&lt;=Breakdowns!$C$5,1,IF(U434&lt;=Breakdowns!$C$6,2,IF(U434&lt;=Breakdowns!$C$7,3,4))))</f>
        <v>1</v>
      </c>
      <c r="X434" s="33">
        <f>IF(V434="","",IF(V434&lt;=Breakdowns!$D$5,1,IF(V434&lt;=Breakdowns!$D$6,2,IF(V434&lt;=Breakdowns!$D$7,3,4))))</f>
        <v>1</v>
      </c>
      <c r="Y434" s="34">
        <f>INDEX(Stores!$F$2:$F$21,MATCH(B434,Stores!$A$2:$A$21,0))</f>
        <v>5.82</v>
      </c>
      <c r="Z434" s="33">
        <f>IF(Y434&gt;Store_Summary!$M$2,1,0)</f>
        <v>1</v>
      </c>
      <c r="AA434" s="33">
        <f>INDEX(Stores!$C$2:$C$21,MATCH(B434,Stores!$A$2:$A$21,0))</f>
        <v>705</v>
      </c>
      <c r="AB434" s="33">
        <f>IF(AA434&lt;180,1,0)</f>
        <v>0</v>
      </c>
      <c r="AC434" s="32" t="str">
        <f>IF(Orders!D431="","",INDEX(Riders!$C$2:$C$81,MATCH(Orders!D431,Riders!$A$2:$A$81,0)))</f>
        <v>EV scooter</v>
      </c>
      <c r="AD434" s="33">
        <f>IF(Orders!D431="","",INDEX(Riders!$D$2:$D$81,MATCH(Orders!D431,Riders!$A$2:$A$81,0)))</f>
        <v>40</v>
      </c>
      <c r="AE434" s="33">
        <f>IF(Orders!D431="","",IF(INDEX(Riders!$B$2:$B$81,MATCH(Orders!D431,Riders!$A$2:$A$81,0))=B434,1,0))</f>
        <v>0</v>
      </c>
      <c r="AF434" s="34">
        <f>IF(E434=1,Orders!L431,"")</f>
        <v>0.5</v>
      </c>
      <c r="AG434" s="34">
        <f>IF(E434=1,Orders!P431,"")</f>
        <v>9</v>
      </c>
      <c r="AH434" s="34">
        <f>IF(E434=1,Orders!Q431,"")</f>
        <v>13.8</v>
      </c>
      <c r="AI434" s="34">
        <f>IF(E434=1,Orders!M431,"")</f>
        <v>5.9</v>
      </c>
      <c r="AJ434" s="34">
        <f>IF(E434=1,Orders!N431,"")</f>
        <v>4.1</v>
      </c>
      <c r="AK434" s="34">
        <f>IF(E434=1,Orders!O431,"")</f>
        <v>3.8</v>
      </c>
      <c r="AL434" s="33">
        <f>IF(E434=1,IF(ROUND(ABS(AI434+AJ434+AK434-AH434),6)&lt;=0.1,1,0),"")</f>
        <v>1</v>
      </c>
      <c r="AM434" s="36">
        <f>IF(E434=1,AI434/AH434,"")</f>
        <v>0.427536231884058</v>
      </c>
      <c r="AN434" s="36">
        <f>IF(E434=1,AJ434/AH434,"")</f>
        <v>0.297101449275362</v>
      </c>
      <c r="AO434" s="36">
        <f>IF(E434=1,AK434/AH434,"")</f>
        <v>0.27536231884058</v>
      </c>
      <c r="AP434" s="34">
        <f>IF(E434=1,Orders!Y431,"")</f>
        <v>0.31</v>
      </c>
      <c r="AQ434" s="33">
        <f>IF(Orders!X431,1,0)</f>
        <v>0</v>
      </c>
      <c r="AR434" s="34" t="str">
        <f>IF(AND(E434=1,L434=1),AJ434,"")</f>
        <v/>
      </c>
      <c r="AS434" s="34">
        <f>IF(AND(E434=1,L434=0),AJ434,"")</f>
        <v>4.1</v>
      </c>
      <c r="AT434" s="34" t="str">
        <f>IF(AND(E434=1,L434=1),AI434,"")</f>
        <v/>
      </c>
      <c r="AU434" s="34">
        <f>IF(AND(E434=1,L434=0),AI434,"")</f>
        <v>5.9</v>
      </c>
      <c r="AV434" s="34" t="str">
        <f>IF(AND(E434=1,L434=1),AG434,"")</f>
        <v/>
      </c>
      <c r="AW434" s="34">
        <f>IF(AND(E434=1,L434=0),AG434,"")</f>
        <v>9</v>
      </c>
      <c r="AX434" s="34" t="str">
        <f>IF(AND(E434=1,L434=1),AH434,"")</f>
        <v/>
      </c>
      <c r="AY434" s="34">
        <f>IF(AND(E434=1,L434=0),AH434,"")</f>
        <v>13.8</v>
      </c>
      <c r="AZ434" s="34">
        <f>IF(G434=1,F434,"")</f>
        <v>4.8</v>
      </c>
      <c r="BA434" s="34" t="str">
        <f>IF(AND(G434=1,L434=1),F434,"")</f>
        <v/>
      </c>
      <c r="BB434" s="34">
        <f>IF(AND(G434=1,L434=0),F434,"")</f>
        <v>4.8</v>
      </c>
      <c r="BC434" s="33">
        <f>IF(E434=1,IF(Orders!R431&gt;3,1,0),"")</f>
        <v>1</v>
      </c>
      <c r="BD434" s="33">
        <f>IF(E434=1,IF(Orders!R431&gt;7,1,0),"")</f>
        <v>0</v>
      </c>
      <c r="BE434" s="32" t="str">
        <f>IF(E434=1,IF(Orders!L431&lt;=1.5,"Up to 1.5 km",IF(Orders!L431&lt;=3,"1.5–3 km","Over 3 km")),"")</f>
        <v>Up to 1.5 km</v>
      </c>
      <c r="BF434" s="33">
        <f>IF(E434=1,IF(ABS((Orders!G431-Orders!F431)*1440-Orders!R431)&lt;0.06,1,0),"")</f>
        <v>1</v>
      </c>
      <c r="BG434" s="33">
        <f>IF(ABS((Orders!F431-Orders!E431)*1440-Orders!P431)&lt;0.06,1,0)</f>
        <v>1</v>
      </c>
      <c r="BH434" s="33">
        <f>IF(E434=1,IF(IF(Orders!S431,1,0)=1-G434,1,0),"")</f>
        <v>1</v>
      </c>
      <c r="BI434" s="32" t="str">
        <f>INDEX(Stores!$B$2:$B$21,MATCH(B434,Stores!$A$2:$A$21,0))</f>
        <v>Mumbai</v>
      </c>
    </row>
    <row r="435">
      <c r="A435" s="32" t="str">
        <f>Orders!A432</f>
        <v>O00431</v>
      </c>
      <c r="B435" s="32" t="str">
        <f>Orders!C432</f>
        <v>S019</v>
      </c>
      <c r="C435" s="32" t="str">
        <f>Orders!B432</f>
        <v>C0224</v>
      </c>
      <c r="D435" s="32" t="str">
        <f>Orders!H432</f>
        <v>Delivered</v>
      </c>
      <c r="E435" s="33">
        <f>IF(Orders!H432="Delivered",1,0)</f>
        <v>1</v>
      </c>
      <c r="F435" s="34">
        <f>IF(E435=1,Orders!R432,"")</f>
        <v>-0.2</v>
      </c>
      <c r="G435" s="33">
        <f>IF(E435=1,IF(Orders!R432&gt;0,1,0),"")</f>
        <v>0</v>
      </c>
      <c r="H435" s="33">
        <f>IF(E435=1,IF(Orders!R432&gt;5,1,0),"")</f>
        <v>0</v>
      </c>
      <c r="I435" s="32" t="str">
        <f>IF(E435=1,"",IF(OR(Orders!T432="Rider unavailable",Orders!T432="Item unavailable"),"Company-caused","Unresolved"))</f>
        <v/>
      </c>
      <c r="J435" s="33">
        <f>IF(OR(E435=1,I435="Company-caused"),1,0)</f>
        <v>1</v>
      </c>
      <c r="K435" s="32" t="str">
        <f>IF(E435=0,IF(I435="Company-caused",IF(Orders!T432="Rider unavailable","C1 Rider unavailable","C2 Item unavailable"),"Outside root: unresolved"),IF(G435=0,"A On time",IF(H435=1,IF(L435=1,"B2a Severe, peak","B2b Severe, off-peak"),IF(L435=1,"B1a Slight, peak","B1b Slight, off-peak"))))</f>
        <v>A On time</v>
      </c>
      <c r="L435" s="33">
        <f>IF(AND(Orders!U432&gt;=19,Orders!U432&lt;22),1,0)</f>
        <v>0</v>
      </c>
      <c r="M435" s="33">
        <f>IF(L435=IF(Orders!V432,1,0),1,0)</f>
        <v>1</v>
      </c>
      <c r="N435" s="32" t="str">
        <f>IF(Orders!W432="","None",Orders!W432)</f>
        <v>None</v>
      </c>
      <c r="O435" s="35">
        <f>INT(Orders!E432)</f>
        <v>46267.0</v>
      </c>
      <c r="P435" s="33">
        <f>Orders!U432</f>
        <v>9</v>
      </c>
      <c r="Q435" s="33">
        <f>COUNTIFS(Demand!$A$2:$A$4481,B435,Demand!$B$2:$B$4481,O435,Demand!$C$2:$C$4481,P435)</f>
        <v>1</v>
      </c>
      <c r="R435" s="33">
        <f>IF(Q435=1,SUMIFS(Demand!$E$2:$E$4481,Demand!$A$2:$A$4481,B435,Demand!$B$2:$B$4481,O435,Demand!$C$2:$C$4481,P435),"")</f>
        <v>25</v>
      </c>
      <c r="S435" s="33">
        <f>INDEX(Stores!$G$2:$G$21,MATCH(B435,Stores!$A$2:$A$21,0))</f>
        <v>22</v>
      </c>
      <c r="T435" s="34">
        <f>IF(R435="","",R435/S435)</f>
        <v>1.13636363636364</v>
      </c>
      <c r="U435" s="34">
        <f>IF(E435=1,T435,"")</f>
        <v>1.13636363636364</v>
      </c>
      <c r="V435" s="34">
        <f>IF(AND(E435=1,L435=0),T435,"")</f>
        <v>1.13636363636364</v>
      </c>
      <c r="W435" s="33">
        <f>IF(U435="","",IF(U435&lt;=Breakdowns!$C$5,1,IF(U435&lt;=Breakdowns!$C$6,2,IF(U435&lt;=Breakdowns!$C$7,3,4))))</f>
        <v>3</v>
      </c>
      <c r="X435" s="33">
        <f>IF(V435="","",IF(V435&lt;=Breakdowns!$D$5,1,IF(V435&lt;=Breakdowns!$D$6,2,IF(V435&lt;=Breakdowns!$D$7,3,4))))</f>
        <v>4</v>
      </c>
      <c r="Y435" s="34">
        <f>INDEX(Stores!$F$2:$F$21,MATCH(B435,Stores!$A$2:$A$21,0))</f>
        <v>4.99</v>
      </c>
      <c r="Z435" s="33">
        <f>IF(Y435&gt;Store_Summary!$M$2,1,0)</f>
        <v>1</v>
      </c>
      <c r="AA435" s="33">
        <f>INDEX(Stores!$C$2:$C$21,MATCH(B435,Stores!$A$2:$A$21,0))</f>
        <v>851</v>
      </c>
      <c r="AB435" s="33">
        <f>IF(AA435&lt;180,1,0)</f>
        <v>0</v>
      </c>
      <c r="AC435" s="32" t="str">
        <f>IF(Orders!D432="","",INDEX(Riders!$C$2:$C$81,MATCH(Orders!D432,Riders!$A$2:$A$81,0)))</f>
        <v>Petrol scooter</v>
      </c>
      <c r="AD435" s="33">
        <f>IF(Orders!D432="","",INDEX(Riders!$D$2:$D$81,MATCH(Orders!D432,Riders!$A$2:$A$81,0)))</f>
        <v>6</v>
      </c>
      <c r="AE435" s="33">
        <f>IF(Orders!D432="","",IF(INDEX(Riders!$B$2:$B$81,MATCH(Orders!D432,Riders!$A$2:$A$81,0))=B435,1,0))</f>
        <v>0</v>
      </c>
      <c r="AF435" s="34">
        <f>IF(E435=1,Orders!L432,"")</f>
        <v>1.15</v>
      </c>
      <c r="AG435" s="34">
        <f>IF(E435=1,Orders!P432,"")</f>
        <v>10.2</v>
      </c>
      <c r="AH435" s="34">
        <f>IF(E435=1,Orders!Q432,"")</f>
        <v>10</v>
      </c>
      <c r="AI435" s="34">
        <f>IF(E435=1,Orders!M432,"")</f>
        <v>5.5</v>
      </c>
      <c r="AJ435" s="34">
        <f>IF(E435=1,Orders!N432,"")</f>
        <v>0.4</v>
      </c>
      <c r="AK435" s="34">
        <f>IF(E435=1,Orders!O432,"")</f>
        <v>4.1</v>
      </c>
      <c r="AL435" s="33">
        <f>IF(E435=1,IF(ROUND(ABS(AI435+AJ435+AK435-AH435),6)&lt;=0.1,1,0),"")</f>
        <v>1</v>
      </c>
      <c r="AM435" s="36">
        <f>IF(E435=1,AI435/AH435,"")</f>
        <v>0.55</v>
      </c>
      <c r="AN435" s="36">
        <f>IF(E435=1,AJ435/AH435,"")</f>
        <v>0.04</v>
      </c>
      <c r="AO435" s="36">
        <f>IF(E435=1,AK435/AH435,"")</f>
        <v>0.41</v>
      </c>
      <c r="AP435" s="34">
        <f>IF(E435=1,Orders!Y432,"")</f>
        <v>0.48</v>
      </c>
      <c r="AQ435" s="33">
        <f>IF(Orders!X432,1,0)</f>
        <v>0</v>
      </c>
      <c r="AR435" s="34" t="str">
        <f>IF(AND(E435=1,L435=1),AJ435,"")</f>
        <v/>
      </c>
      <c r="AS435" s="34">
        <f>IF(AND(E435=1,L435=0),AJ435,"")</f>
        <v>0.4</v>
      </c>
      <c r="AT435" s="34" t="str">
        <f>IF(AND(E435=1,L435=1),AI435,"")</f>
        <v/>
      </c>
      <c r="AU435" s="34">
        <f>IF(AND(E435=1,L435=0),AI435,"")</f>
        <v>5.5</v>
      </c>
      <c r="AV435" s="34" t="str">
        <f>IF(AND(E435=1,L435=1),AG435,"")</f>
        <v/>
      </c>
      <c r="AW435" s="34">
        <f>IF(AND(E435=1,L435=0),AG435,"")</f>
        <v>10.2</v>
      </c>
      <c r="AX435" s="34" t="str">
        <f>IF(AND(E435=1,L435=1),AH435,"")</f>
        <v/>
      </c>
      <c r="AY435" s="34">
        <f>IF(AND(E435=1,L435=0),AH435,"")</f>
        <v>10</v>
      </c>
      <c r="AZ435" s="34" t="str">
        <f>IF(G435=1,F435,"")</f>
        <v/>
      </c>
      <c r="BA435" s="34" t="str">
        <f>IF(AND(G435=1,L435=1),F435,"")</f>
        <v/>
      </c>
      <c r="BB435" s="34" t="str">
        <f>IF(AND(G435=1,L435=0),F435,"")</f>
        <v/>
      </c>
      <c r="BC435" s="33">
        <f>IF(E435=1,IF(Orders!R432&gt;3,1,0),"")</f>
        <v>0</v>
      </c>
      <c r="BD435" s="33">
        <f>IF(E435=1,IF(Orders!R432&gt;7,1,0),"")</f>
        <v>0</v>
      </c>
      <c r="BE435" s="32" t="str">
        <f>IF(E435=1,IF(Orders!L432&lt;=1.5,"Up to 1.5 km",IF(Orders!L432&lt;=3,"1.5–3 km","Over 3 km")),"")</f>
        <v>Up to 1.5 km</v>
      </c>
      <c r="BF435" s="33">
        <f>IF(E435=1,IF(ABS((Orders!G432-Orders!F432)*1440-Orders!R432)&lt;0.06,1,0),"")</f>
        <v>1</v>
      </c>
      <c r="BG435" s="33">
        <f>IF(ABS((Orders!F432-Orders!E432)*1440-Orders!P432)&lt;0.06,1,0)</f>
        <v>1</v>
      </c>
      <c r="BH435" s="33">
        <f>IF(E435=1,IF(IF(Orders!S432,1,0)=1-G435,1,0),"")</f>
        <v>1</v>
      </c>
      <c r="BI435" s="32" t="str">
        <f>INDEX(Stores!$B$2:$B$21,MATCH(B435,Stores!$A$2:$A$21,0))</f>
        <v>Pune</v>
      </c>
    </row>
    <row r="436">
      <c r="A436" s="32" t="str">
        <f>Orders!A433</f>
        <v>O00432</v>
      </c>
      <c r="B436" s="32" t="str">
        <f>Orders!C433</f>
        <v>S004</v>
      </c>
      <c r="C436" s="32" t="str">
        <f>Orders!B433</f>
        <v>C0131</v>
      </c>
      <c r="D436" s="32" t="str">
        <f>Orders!H433</f>
        <v>Delivered</v>
      </c>
      <c r="E436" s="33">
        <f>IF(Orders!H433="Delivered",1,0)</f>
        <v>1</v>
      </c>
      <c r="F436" s="34">
        <f>IF(E436=1,Orders!R433,"")</f>
        <v>6.2</v>
      </c>
      <c r="G436" s="33">
        <f>IF(E436=1,IF(Orders!R433&gt;0,1,0),"")</f>
        <v>1</v>
      </c>
      <c r="H436" s="33">
        <f>IF(E436=1,IF(Orders!R433&gt;5,1,0),"")</f>
        <v>1</v>
      </c>
      <c r="I436" s="32" t="str">
        <f>IF(E436=1,"",IF(OR(Orders!T433="Rider unavailable",Orders!T433="Item unavailable"),"Company-caused","Unresolved"))</f>
        <v/>
      </c>
      <c r="J436" s="33">
        <f>IF(OR(E436=1,I436="Company-caused"),1,0)</f>
        <v>1</v>
      </c>
      <c r="K436" s="32" t="str">
        <f>IF(E436=0,IF(I436="Company-caused",IF(Orders!T433="Rider unavailable","C1 Rider unavailable","C2 Item unavailable"),"Outside root: unresolved"),IF(G436=0,"A On time",IF(H436=1,IF(L436=1,"B2a Severe, peak","B2b Severe, off-peak"),IF(L436=1,"B1a Slight, peak","B1b Slight, off-peak"))))</f>
        <v>B2b Severe, off-peak</v>
      </c>
      <c r="L436" s="33">
        <f>IF(AND(Orders!U433&gt;=19,Orders!U433&lt;22),1,0)</f>
        <v>0</v>
      </c>
      <c r="M436" s="33">
        <f>IF(L436=IF(Orders!V433,1,0),1,0)</f>
        <v>1</v>
      </c>
      <c r="N436" s="32" t="str">
        <f>IF(Orders!W433="","None",Orders!W433)</f>
        <v>None</v>
      </c>
      <c r="O436" s="35">
        <f>INT(Orders!E433)</f>
        <v>46270.0</v>
      </c>
      <c r="P436" s="33">
        <f>Orders!U433</f>
        <v>13</v>
      </c>
      <c r="Q436" s="33">
        <f>COUNTIFS(Demand!$A$2:$A$4481,B436,Demand!$B$2:$B$4481,O436,Demand!$C$2:$C$4481,P436)</f>
        <v>1</v>
      </c>
      <c r="R436" s="33">
        <f>IF(Q436=1,SUMIFS(Demand!$E$2:$E$4481,Demand!$A$2:$A$4481,B436,Demand!$B$2:$B$4481,O436,Demand!$C$2:$C$4481,P436),"")</f>
        <v>40</v>
      </c>
      <c r="S436" s="33">
        <f>INDEX(Stores!$G$2:$G$21,MATCH(B436,Stores!$A$2:$A$21,0))</f>
        <v>42</v>
      </c>
      <c r="T436" s="34">
        <f>IF(R436="","",R436/S436)</f>
        <v>0.952380952380952</v>
      </c>
      <c r="U436" s="34">
        <f>IF(E436=1,T436,"")</f>
        <v>0.952380952380952</v>
      </c>
      <c r="V436" s="34">
        <f>IF(AND(E436=1,L436=0),T436,"")</f>
        <v>0.952380952380952</v>
      </c>
      <c r="W436" s="33">
        <f>IF(U436="","",IF(U436&lt;=Breakdowns!$C$5,1,IF(U436&lt;=Breakdowns!$C$6,2,IF(U436&lt;=Breakdowns!$C$7,3,4))))</f>
        <v>2</v>
      </c>
      <c r="X436" s="33">
        <f>IF(V436="","",IF(V436&lt;=Breakdowns!$D$5,1,IF(V436&lt;=Breakdowns!$D$6,2,IF(V436&lt;=Breakdowns!$D$7,3,4))))</f>
        <v>3</v>
      </c>
      <c r="Y436" s="34">
        <f>INDEX(Stores!$F$2:$F$21,MATCH(B436,Stores!$A$2:$A$21,0))</f>
        <v>2.19</v>
      </c>
      <c r="Z436" s="33">
        <f>IF(Y436&gt;Store_Summary!$M$2,1,0)</f>
        <v>0</v>
      </c>
      <c r="AA436" s="33">
        <f>INDEX(Stores!$C$2:$C$21,MATCH(B436,Stores!$A$2:$A$21,0))</f>
        <v>850</v>
      </c>
      <c r="AB436" s="33">
        <f>IF(AA436&lt;180,1,0)</f>
        <v>0</v>
      </c>
      <c r="AC436" s="32" t="str">
        <f>IF(Orders!D433="","",INDEX(Riders!$C$2:$C$81,MATCH(Orders!D433,Riders!$A$2:$A$81,0)))</f>
        <v>EV scooter</v>
      </c>
      <c r="AD436" s="33">
        <f>IF(Orders!D433="","",INDEX(Riders!$D$2:$D$81,MATCH(Orders!D433,Riders!$A$2:$A$81,0)))</f>
        <v>12</v>
      </c>
      <c r="AE436" s="33">
        <f>IF(Orders!D433="","",IF(INDEX(Riders!$B$2:$B$81,MATCH(Orders!D433,Riders!$A$2:$A$81,0))=B436,1,0))</f>
        <v>0</v>
      </c>
      <c r="AF436" s="34">
        <f>IF(E436=1,Orders!L433,"")</f>
        <v>2.09</v>
      </c>
      <c r="AG436" s="34">
        <f>IF(E436=1,Orders!P433,"")</f>
        <v>9.2</v>
      </c>
      <c r="AH436" s="34">
        <f>IF(E436=1,Orders!Q433,"")</f>
        <v>15.4</v>
      </c>
      <c r="AI436" s="34">
        <f>IF(E436=1,Orders!M433,"")</f>
        <v>2.9</v>
      </c>
      <c r="AJ436" s="34">
        <f>IF(E436=1,Orders!N433,"")</f>
        <v>6.7</v>
      </c>
      <c r="AK436" s="34">
        <f>IF(E436=1,Orders!O433,"")</f>
        <v>5.8</v>
      </c>
      <c r="AL436" s="33">
        <f>IF(E436=1,IF(ROUND(ABS(AI436+AJ436+AK436-AH436),6)&lt;=0.1,1,0),"")</f>
        <v>1</v>
      </c>
      <c r="AM436" s="36">
        <f>IF(E436=1,AI436/AH436,"")</f>
        <v>0.188311688311688</v>
      </c>
      <c r="AN436" s="36">
        <f>IF(E436=1,AJ436/AH436,"")</f>
        <v>0.435064935064935</v>
      </c>
      <c r="AO436" s="36">
        <f>IF(E436=1,AK436/AH436,"")</f>
        <v>0.376623376623377</v>
      </c>
      <c r="AP436" s="34">
        <f>IF(E436=1,Orders!Y433,"")</f>
        <v>0.44</v>
      </c>
      <c r="AQ436" s="33">
        <f>IF(Orders!X433,1,0)</f>
        <v>0</v>
      </c>
      <c r="AR436" s="34" t="str">
        <f>IF(AND(E436=1,L436=1),AJ436,"")</f>
        <v/>
      </c>
      <c r="AS436" s="34">
        <f>IF(AND(E436=1,L436=0),AJ436,"")</f>
        <v>6.7</v>
      </c>
      <c r="AT436" s="34" t="str">
        <f>IF(AND(E436=1,L436=1),AI436,"")</f>
        <v/>
      </c>
      <c r="AU436" s="34">
        <f>IF(AND(E436=1,L436=0),AI436,"")</f>
        <v>2.9</v>
      </c>
      <c r="AV436" s="34" t="str">
        <f>IF(AND(E436=1,L436=1),AG436,"")</f>
        <v/>
      </c>
      <c r="AW436" s="34">
        <f>IF(AND(E436=1,L436=0),AG436,"")</f>
        <v>9.2</v>
      </c>
      <c r="AX436" s="34" t="str">
        <f>IF(AND(E436=1,L436=1),AH436,"")</f>
        <v/>
      </c>
      <c r="AY436" s="34">
        <f>IF(AND(E436=1,L436=0),AH436,"")</f>
        <v>15.4</v>
      </c>
      <c r="AZ436" s="34">
        <f>IF(G436=1,F436,"")</f>
        <v>6.2</v>
      </c>
      <c r="BA436" s="34" t="str">
        <f>IF(AND(G436=1,L436=1),F436,"")</f>
        <v/>
      </c>
      <c r="BB436" s="34">
        <f>IF(AND(G436=1,L436=0),F436,"")</f>
        <v>6.2</v>
      </c>
      <c r="BC436" s="33">
        <f>IF(E436=1,IF(Orders!R433&gt;3,1,0),"")</f>
        <v>1</v>
      </c>
      <c r="BD436" s="33">
        <f>IF(E436=1,IF(Orders!R433&gt;7,1,0),"")</f>
        <v>0</v>
      </c>
      <c r="BE436" s="32" t="str">
        <f>IF(E436=1,IF(Orders!L433&lt;=1.5,"Up to 1.5 km",IF(Orders!L433&lt;=3,"1.5–3 km","Over 3 km")),"")</f>
        <v>1.5–3 km</v>
      </c>
      <c r="BF436" s="33">
        <f>IF(E436=1,IF(ABS((Orders!G433-Orders!F433)*1440-Orders!R433)&lt;0.06,1,0),"")</f>
        <v>1</v>
      </c>
      <c r="BG436" s="33">
        <f>IF(ABS((Orders!F433-Orders!E433)*1440-Orders!P433)&lt;0.06,1,0)</f>
        <v>1</v>
      </c>
      <c r="BH436" s="33">
        <f>IF(E436=1,IF(IF(Orders!S433,1,0)=1-G436,1,0),"")</f>
        <v>1</v>
      </c>
      <c r="BI436" s="32" t="str">
        <f>INDEX(Stores!$B$2:$B$21,MATCH(B436,Stores!$A$2:$A$21,0))</f>
        <v>Pune</v>
      </c>
    </row>
    <row r="437">
      <c r="A437" s="32" t="str">
        <f>Orders!A434</f>
        <v>O00433</v>
      </c>
      <c r="B437" s="32" t="str">
        <f>Orders!C434</f>
        <v>S014</v>
      </c>
      <c r="C437" s="32" t="str">
        <f>Orders!B434</f>
        <v>C0131</v>
      </c>
      <c r="D437" s="32" t="str">
        <f>Orders!H434</f>
        <v>Delivered</v>
      </c>
      <c r="E437" s="33">
        <f>IF(Orders!H434="Delivered",1,0)</f>
        <v>1</v>
      </c>
      <c r="F437" s="34">
        <f>IF(E437=1,Orders!R434,"")</f>
        <v>-1.2</v>
      </c>
      <c r="G437" s="33">
        <f>IF(E437=1,IF(Orders!R434&gt;0,1,0),"")</f>
        <v>0</v>
      </c>
      <c r="H437" s="33">
        <f>IF(E437=1,IF(Orders!R434&gt;5,1,0),"")</f>
        <v>0</v>
      </c>
      <c r="I437" s="32" t="str">
        <f>IF(E437=1,"",IF(OR(Orders!T434="Rider unavailable",Orders!T434="Item unavailable"),"Company-caused","Unresolved"))</f>
        <v/>
      </c>
      <c r="J437" s="33">
        <f>IF(OR(E437=1,I437="Company-caused"),1,0)</f>
        <v>1</v>
      </c>
      <c r="K437" s="32" t="str">
        <f>IF(E437=0,IF(I437="Company-caused",IF(Orders!T434="Rider unavailable","C1 Rider unavailable","C2 Item unavailable"),"Outside root: unresolved"),IF(G437=0,"A On time",IF(H437=1,IF(L437=1,"B2a Severe, peak","B2b Severe, off-peak"),IF(L437=1,"B1a Slight, peak","B1b Slight, off-peak"))))</f>
        <v>A On time</v>
      </c>
      <c r="L437" s="33">
        <f>IF(AND(Orders!U434&gt;=19,Orders!U434&lt;22),1,0)</f>
        <v>0</v>
      </c>
      <c r="M437" s="33">
        <f>IF(L437=IF(Orders!V434,1,0),1,0)</f>
        <v>1</v>
      </c>
      <c r="N437" s="32" t="str">
        <f>IF(Orders!W434="","None",Orders!W434)</f>
        <v>Light</v>
      </c>
      <c r="O437" s="35">
        <f>INT(Orders!E434)</f>
        <v>46266.0</v>
      </c>
      <c r="P437" s="33">
        <f>Orders!U434</f>
        <v>16</v>
      </c>
      <c r="Q437" s="33">
        <f>COUNTIFS(Demand!$A$2:$A$4481,B437,Demand!$B$2:$B$4481,O437,Demand!$C$2:$C$4481,P437)</f>
        <v>1</v>
      </c>
      <c r="R437" s="33">
        <f>IF(Q437=1,SUMIFS(Demand!$E$2:$E$4481,Demand!$A$2:$A$4481,B437,Demand!$B$2:$B$4481,O437,Demand!$C$2:$C$4481,P437),"")</f>
        <v>48</v>
      </c>
      <c r="S437" s="33">
        <f>INDEX(Stores!$G$2:$G$21,MATCH(B437,Stores!$A$2:$A$21,0))</f>
        <v>37</v>
      </c>
      <c r="T437" s="34">
        <f>IF(R437="","",R437/S437)</f>
        <v>1.2972972972973</v>
      </c>
      <c r="U437" s="34">
        <f>IF(E437=1,T437,"")</f>
        <v>1.2972972972973</v>
      </c>
      <c r="V437" s="34">
        <f>IF(AND(E437=1,L437=0),T437,"")</f>
        <v>1.2972972972973</v>
      </c>
      <c r="W437" s="33">
        <f>IF(U437="","",IF(U437&lt;=Breakdowns!$C$5,1,IF(U437&lt;=Breakdowns!$C$6,2,IF(U437&lt;=Breakdowns!$C$7,3,4))))</f>
        <v>4</v>
      </c>
      <c r="X437" s="33">
        <f>IF(V437="","",IF(V437&lt;=Breakdowns!$D$5,1,IF(V437&lt;=Breakdowns!$D$6,2,IF(V437&lt;=Breakdowns!$D$7,3,4))))</f>
        <v>4</v>
      </c>
      <c r="Y437" s="34">
        <f>INDEX(Stores!$F$2:$F$21,MATCH(B437,Stores!$A$2:$A$21,0))</f>
        <v>5.55</v>
      </c>
      <c r="Z437" s="33">
        <f>IF(Y437&gt;Store_Summary!$M$2,1,0)</f>
        <v>1</v>
      </c>
      <c r="AA437" s="33">
        <f>INDEX(Stores!$C$2:$C$21,MATCH(B437,Stores!$A$2:$A$21,0))</f>
        <v>241</v>
      </c>
      <c r="AB437" s="33">
        <f>IF(AA437&lt;180,1,0)</f>
        <v>0</v>
      </c>
      <c r="AC437" s="32" t="str">
        <f>IF(Orders!D434="","",INDEX(Riders!$C$2:$C$81,MATCH(Orders!D434,Riders!$A$2:$A$81,0)))</f>
        <v>Petrol scooter</v>
      </c>
      <c r="AD437" s="33">
        <f>IF(Orders!D434="","",INDEX(Riders!$D$2:$D$81,MATCH(Orders!D434,Riders!$A$2:$A$81,0)))</f>
        <v>24</v>
      </c>
      <c r="AE437" s="33">
        <f>IF(Orders!D434="","",IF(INDEX(Riders!$B$2:$B$81,MATCH(Orders!D434,Riders!$A$2:$A$81,0))=B437,1,0))</f>
        <v>0</v>
      </c>
      <c r="AF437" s="34">
        <f>IF(E437=1,Orders!L434,"")</f>
        <v>2.39</v>
      </c>
      <c r="AG437" s="34">
        <f>IF(E437=1,Orders!P434,"")</f>
        <v>13</v>
      </c>
      <c r="AH437" s="34">
        <f>IF(E437=1,Orders!Q434,"")</f>
        <v>11.8</v>
      </c>
      <c r="AI437" s="34">
        <f>IF(E437=1,Orders!M434,"")</f>
        <v>3.3</v>
      </c>
      <c r="AJ437" s="34">
        <f>IF(E437=1,Orders!N434,"")</f>
        <v>3</v>
      </c>
      <c r="AK437" s="34">
        <f>IF(E437=1,Orders!O434,"")</f>
        <v>5.5</v>
      </c>
      <c r="AL437" s="33">
        <f>IF(E437=1,IF(ROUND(ABS(AI437+AJ437+AK437-AH437),6)&lt;=0.1,1,0),"")</f>
        <v>1</v>
      </c>
      <c r="AM437" s="36">
        <f>IF(E437=1,AI437/AH437,"")</f>
        <v>0.279661016949153</v>
      </c>
      <c r="AN437" s="36">
        <f>IF(E437=1,AJ437/AH437,"")</f>
        <v>0.254237288135593</v>
      </c>
      <c r="AO437" s="36">
        <f>IF(E437=1,AK437/AH437,"")</f>
        <v>0.466101694915254</v>
      </c>
      <c r="AP437" s="34">
        <f>IF(E437=1,Orders!Y434,"")</f>
        <v>0.5</v>
      </c>
      <c r="AQ437" s="33">
        <f>IF(Orders!X434,1,0)</f>
        <v>0</v>
      </c>
      <c r="AR437" s="34" t="str">
        <f>IF(AND(E437=1,L437=1),AJ437,"")</f>
        <v/>
      </c>
      <c r="AS437" s="34">
        <f>IF(AND(E437=1,L437=0),AJ437,"")</f>
        <v>3</v>
      </c>
      <c r="AT437" s="34" t="str">
        <f>IF(AND(E437=1,L437=1),AI437,"")</f>
        <v/>
      </c>
      <c r="AU437" s="34">
        <f>IF(AND(E437=1,L437=0),AI437,"")</f>
        <v>3.3</v>
      </c>
      <c r="AV437" s="34" t="str">
        <f>IF(AND(E437=1,L437=1),AG437,"")</f>
        <v/>
      </c>
      <c r="AW437" s="34">
        <f>IF(AND(E437=1,L437=0),AG437,"")</f>
        <v>13</v>
      </c>
      <c r="AX437" s="34" t="str">
        <f>IF(AND(E437=1,L437=1),AH437,"")</f>
        <v/>
      </c>
      <c r="AY437" s="34">
        <f>IF(AND(E437=1,L437=0),AH437,"")</f>
        <v>11.8</v>
      </c>
      <c r="AZ437" s="34" t="str">
        <f>IF(G437=1,F437,"")</f>
        <v/>
      </c>
      <c r="BA437" s="34" t="str">
        <f>IF(AND(G437=1,L437=1),F437,"")</f>
        <v/>
      </c>
      <c r="BB437" s="34" t="str">
        <f>IF(AND(G437=1,L437=0),F437,"")</f>
        <v/>
      </c>
      <c r="BC437" s="33">
        <f>IF(E437=1,IF(Orders!R434&gt;3,1,0),"")</f>
        <v>0</v>
      </c>
      <c r="BD437" s="33">
        <f>IF(E437=1,IF(Orders!R434&gt;7,1,0),"")</f>
        <v>0</v>
      </c>
      <c r="BE437" s="32" t="str">
        <f>IF(E437=1,IF(Orders!L434&lt;=1.5,"Up to 1.5 km",IF(Orders!L434&lt;=3,"1.5–3 km","Over 3 km")),"")</f>
        <v>1.5–3 km</v>
      </c>
      <c r="BF437" s="33">
        <f>IF(E437=1,IF(ABS((Orders!G434-Orders!F434)*1440-Orders!R434)&lt;0.06,1,0),"")</f>
        <v>1</v>
      </c>
      <c r="BG437" s="33">
        <f>IF(ABS((Orders!F434-Orders!E434)*1440-Orders!P434)&lt;0.06,1,0)</f>
        <v>1</v>
      </c>
      <c r="BH437" s="33">
        <f>IF(E437=1,IF(IF(Orders!S434,1,0)=1-G437,1,0),"")</f>
        <v>1</v>
      </c>
      <c r="BI437" s="32" t="str">
        <f>INDEX(Stores!$B$2:$B$21,MATCH(B437,Stores!$A$2:$A$21,0))</f>
        <v>Pune</v>
      </c>
    </row>
    <row r="438">
      <c r="A438" s="32" t="str">
        <f>Orders!A435</f>
        <v>O00434</v>
      </c>
      <c r="B438" s="32" t="str">
        <f>Orders!C435</f>
        <v>S010</v>
      </c>
      <c r="C438" s="32" t="str">
        <f>Orders!B435</f>
        <v>C0244</v>
      </c>
      <c r="D438" s="32" t="str">
        <f>Orders!H435</f>
        <v>Delivered</v>
      </c>
      <c r="E438" s="33">
        <f>IF(Orders!H435="Delivered",1,0)</f>
        <v>1</v>
      </c>
      <c r="F438" s="34">
        <f>IF(E438=1,Orders!R435,"")</f>
        <v>-0.2</v>
      </c>
      <c r="G438" s="33">
        <f>IF(E438=1,IF(Orders!R435&gt;0,1,0),"")</f>
        <v>0</v>
      </c>
      <c r="H438" s="33">
        <f>IF(E438=1,IF(Orders!R435&gt;5,1,0),"")</f>
        <v>0</v>
      </c>
      <c r="I438" s="32" t="str">
        <f>IF(E438=1,"",IF(OR(Orders!T435="Rider unavailable",Orders!T435="Item unavailable"),"Company-caused","Unresolved"))</f>
        <v/>
      </c>
      <c r="J438" s="33">
        <f>IF(OR(E438=1,I438="Company-caused"),1,0)</f>
        <v>1</v>
      </c>
      <c r="K438" s="32" t="str">
        <f>IF(E438=0,IF(I438="Company-caused",IF(Orders!T435="Rider unavailable","C1 Rider unavailable","C2 Item unavailable"),"Outside root: unresolved"),IF(G438=0,"A On time",IF(H438=1,IF(L438=1,"B2a Severe, peak","B2b Severe, off-peak"),IF(L438=1,"B1a Slight, peak","B1b Slight, off-peak"))))</f>
        <v>A On time</v>
      </c>
      <c r="L438" s="33">
        <f>IF(AND(Orders!U435&gt;=19,Orders!U435&lt;22),1,0)</f>
        <v>1</v>
      </c>
      <c r="M438" s="33">
        <f>IF(L438=IF(Orders!V435,1,0),1,0)</f>
        <v>1</v>
      </c>
      <c r="N438" s="32" t="str">
        <f>IF(Orders!W435="","None",Orders!W435)</f>
        <v>None</v>
      </c>
      <c r="O438" s="35">
        <f>INT(Orders!E435)</f>
        <v>46270.0</v>
      </c>
      <c r="P438" s="33">
        <f>Orders!U435</f>
        <v>20</v>
      </c>
      <c r="Q438" s="33">
        <f>COUNTIFS(Demand!$A$2:$A$4481,B438,Demand!$B$2:$B$4481,O438,Demand!$C$2:$C$4481,P438)</f>
        <v>1</v>
      </c>
      <c r="R438" s="33">
        <f>IF(Q438=1,SUMIFS(Demand!$E$2:$E$4481,Demand!$A$2:$A$4481,B438,Demand!$B$2:$B$4481,O438,Demand!$C$2:$C$4481,P438),"")</f>
        <v>29</v>
      </c>
      <c r="S438" s="33">
        <f>INDEX(Stores!$G$2:$G$21,MATCH(B438,Stores!$A$2:$A$21,0))</f>
        <v>22</v>
      </c>
      <c r="T438" s="34">
        <f>IF(R438="","",R438/S438)</f>
        <v>1.31818181818182</v>
      </c>
      <c r="U438" s="34">
        <f>IF(E438=1,T438,"")</f>
        <v>1.31818181818182</v>
      </c>
      <c r="V438" s="34" t="str">
        <f>IF(AND(E438=1,L438=0),T438,"")</f>
        <v/>
      </c>
      <c r="W438" s="33">
        <f>IF(U438="","",IF(U438&lt;=Breakdowns!$C$5,1,IF(U438&lt;=Breakdowns!$C$6,2,IF(U438&lt;=Breakdowns!$C$7,3,4))))</f>
        <v>4</v>
      </c>
      <c r="X438" s="33" t="str">
        <f>IF(V438="","",IF(V438&lt;=Breakdowns!$D$5,1,IF(V438&lt;=Breakdowns!$D$6,2,IF(V438&lt;=Breakdowns!$D$7,3,4))))</f>
        <v/>
      </c>
      <c r="Y438" s="34">
        <f>INDEX(Stores!$F$2:$F$21,MATCH(B438,Stores!$A$2:$A$21,0))</f>
        <v>5.61</v>
      </c>
      <c r="Z438" s="33">
        <f>IF(Y438&gt;Store_Summary!$M$2,1,0)</f>
        <v>1</v>
      </c>
      <c r="AA438" s="33">
        <f>INDEX(Stores!$C$2:$C$21,MATCH(B438,Stores!$A$2:$A$21,0))</f>
        <v>744</v>
      </c>
      <c r="AB438" s="33">
        <f>IF(AA438&lt;180,1,0)</f>
        <v>0</v>
      </c>
      <c r="AC438" s="32" t="str">
        <f>IF(Orders!D435="","",INDEX(Riders!$C$2:$C$81,MATCH(Orders!D435,Riders!$A$2:$A$81,0)))</f>
        <v>Petrol scooter</v>
      </c>
      <c r="AD438" s="33">
        <f>IF(Orders!D435="","",INDEX(Riders!$D$2:$D$81,MATCH(Orders!D435,Riders!$A$2:$A$81,0)))</f>
        <v>6</v>
      </c>
      <c r="AE438" s="33">
        <f>IF(Orders!D435="","",IF(INDEX(Riders!$B$2:$B$81,MATCH(Orders!D435,Riders!$A$2:$A$81,0))=B438,1,0))</f>
        <v>0</v>
      </c>
      <c r="AF438" s="34">
        <f>IF(E438=1,Orders!L435,"")</f>
        <v>2.57</v>
      </c>
      <c r="AG438" s="34">
        <f>IF(E438=1,Orders!P435,"")</f>
        <v>11</v>
      </c>
      <c r="AH438" s="34">
        <f>IF(E438=1,Orders!Q435,"")</f>
        <v>10.8</v>
      </c>
      <c r="AI438" s="34">
        <f>IF(E438=1,Orders!M435,"")</f>
        <v>4.5</v>
      </c>
      <c r="AJ438" s="34">
        <f>IF(E438=1,Orders!N435,"")</f>
        <v>2</v>
      </c>
      <c r="AK438" s="34">
        <f>IF(E438=1,Orders!O435,"")</f>
        <v>4.3</v>
      </c>
      <c r="AL438" s="33">
        <f>IF(E438=1,IF(ROUND(ABS(AI438+AJ438+AK438-AH438),6)&lt;=0.1,1,0),"")</f>
        <v>1</v>
      </c>
      <c r="AM438" s="36">
        <f>IF(E438=1,AI438/AH438,"")</f>
        <v>0.416666666666667</v>
      </c>
      <c r="AN438" s="36">
        <f>IF(E438=1,AJ438/AH438,"")</f>
        <v>0.185185185185185</v>
      </c>
      <c r="AO438" s="36">
        <f>IF(E438=1,AK438/AH438,"")</f>
        <v>0.398148148148148</v>
      </c>
      <c r="AP438" s="34">
        <f>IF(E438=1,Orders!Y435,"")</f>
        <v>0.41</v>
      </c>
      <c r="AQ438" s="33">
        <f>IF(Orders!X435,1,0)</f>
        <v>0</v>
      </c>
      <c r="AR438" s="34">
        <f>IF(AND(E438=1,L438=1),AJ438,"")</f>
        <v>2</v>
      </c>
      <c r="AS438" s="34" t="str">
        <f>IF(AND(E438=1,L438=0),AJ438,"")</f>
        <v/>
      </c>
      <c r="AT438" s="34">
        <f>IF(AND(E438=1,L438=1),AI438,"")</f>
        <v>4.5</v>
      </c>
      <c r="AU438" s="34" t="str">
        <f>IF(AND(E438=1,L438=0),AI438,"")</f>
        <v/>
      </c>
      <c r="AV438" s="34">
        <f>IF(AND(E438=1,L438=1),AG438,"")</f>
        <v>11</v>
      </c>
      <c r="AW438" s="34" t="str">
        <f>IF(AND(E438=1,L438=0),AG438,"")</f>
        <v/>
      </c>
      <c r="AX438" s="34">
        <f>IF(AND(E438=1,L438=1),AH438,"")</f>
        <v>10.8</v>
      </c>
      <c r="AY438" s="34" t="str">
        <f>IF(AND(E438=1,L438=0),AH438,"")</f>
        <v/>
      </c>
      <c r="AZ438" s="34" t="str">
        <f>IF(G438=1,F438,"")</f>
        <v/>
      </c>
      <c r="BA438" s="34" t="str">
        <f>IF(AND(G438=1,L438=1),F438,"")</f>
        <v/>
      </c>
      <c r="BB438" s="34" t="str">
        <f>IF(AND(G438=1,L438=0),F438,"")</f>
        <v/>
      </c>
      <c r="BC438" s="33">
        <f>IF(E438=1,IF(Orders!R435&gt;3,1,0),"")</f>
        <v>0</v>
      </c>
      <c r="BD438" s="33">
        <f>IF(E438=1,IF(Orders!R435&gt;7,1,0),"")</f>
        <v>0</v>
      </c>
      <c r="BE438" s="32" t="str">
        <f>IF(E438=1,IF(Orders!L435&lt;=1.5,"Up to 1.5 km",IF(Orders!L435&lt;=3,"1.5–3 km","Over 3 km")),"")</f>
        <v>1.5–3 km</v>
      </c>
      <c r="BF438" s="33">
        <f>IF(E438=1,IF(ABS((Orders!G435-Orders!F435)*1440-Orders!R435)&lt;0.06,1,0),"")</f>
        <v>1</v>
      </c>
      <c r="BG438" s="33">
        <f>IF(ABS((Orders!F435-Orders!E435)*1440-Orders!P435)&lt;0.06,1,0)</f>
        <v>1</v>
      </c>
      <c r="BH438" s="33">
        <f>IF(E438=1,IF(IF(Orders!S435,1,0)=1-G438,1,0),"")</f>
        <v>1</v>
      </c>
      <c r="BI438" s="32" t="str">
        <f>INDEX(Stores!$B$2:$B$21,MATCH(B438,Stores!$A$2:$A$21,0))</f>
        <v>Delhi</v>
      </c>
    </row>
    <row r="439">
      <c r="A439" s="32" t="str">
        <f>Orders!A436</f>
        <v>O00435</v>
      </c>
      <c r="B439" s="32" t="str">
        <f>Orders!C436</f>
        <v>S003</v>
      </c>
      <c r="C439" s="32" t="str">
        <f>Orders!B436</f>
        <v>C0129</v>
      </c>
      <c r="D439" s="32" t="str">
        <f>Orders!H436</f>
        <v>Delivered</v>
      </c>
      <c r="E439" s="33">
        <f>IF(Orders!H436="Delivered",1,0)</f>
        <v>1</v>
      </c>
      <c r="F439" s="34">
        <f>IF(E439=1,Orders!R436,"")</f>
        <v>-0.6</v>
      </c>
      <c r="G439" s="33">
        <f>IF(E439=1,IF(Orders!R436&gt;0,1,0),"")</f>
        <v>0</v>
      </c>
      <c r="H439" s="33">
        <f>IF(E439=1,IF(Orders!R436&gt;5,1,0),"")</f>
        <v>0</v>
      </c>
      <c r="I439" s="32" t="str">
        <f>IF(E439=1,"",IF(OR(Orders!T436="Rider unavailable",Orders!T436="Item unavailable"),"Company-caused","Unresolved"))</f>
        <v/>
      </c>
      <c r="J439" s="33">
        <f>IF(OR(E439=1,I439="Company-caused"),1,0)</f>
        <v>1</v>
      </c>
      <c r="K439" s="32" t="str">
        <f>IF(E439=0,IF(I439="Company-caused",IF(Orders!T436="Rider unavailable","C1 Rider unavailable","C2 Item unavailable"),"Outside root: unresolved"),IF(G439=0,"A On time",IF(H439=1,IF(L439=1,"B2a Severe, peak","B2b Severe, off-peak"),IF(L439=1,"B1a Slight, peak","B1b Slight, off-peak"))))</f>
        <v>A On time</v>
      </c>
      <c r="L439" s="33">
        <f>IF(AND(Orders!U436&gt;=19,Orders!U436&lt;22),1,0)</f>
        <v>0</v>
      </c>
      <c r="M439" s="33">
        <f>IF(L439=IF(Orders!V436,1,0),1,0)</f>
        <v>1</v>
      </c>
      <c r="N439" s="32" t="str">
        <f>IF(Orders!W436="","None",Orders!W436)</f>
        <v>None</v>
      </c>
      <c r="O439" s="35">
        <f>INT(Orders!E436)</f>
        <v>46276.0</v>
      </c>
      <c r="P439" s="33">
        <f>Orders!U436</f>
        <v>8</v>
      </c>
      <c r="Q439" s="33">
        <f>COUNTIFS(Demand!$A$2:$A$4481,B439,Demand!$B$2:$B$4481,O439,Demand!$C$2:$C$4481,P439)</f>
        <v>1</v>
      </c>
      <c r="R439" s="33">
        <f>IF(Q439=1,SUMIFS(Demand!$E$2:$E$4481,Demand!$A$2:$A$4481,B439,Demand!$B$2:$B$4481,O439,Demand!$C$2:$C$4481,P439),"")</f>
        <v>20</v>
      </c>
      <c r="S439" s="33">
        <f>INDEX(Stores!$G$2:$G$21,MATCH(B439,Stores!$A$2:$A$21,0))</f>
        <v>41</v>
      </c>
      <c r="T439" s="34">
        <f>IF(R439="","",R439/S439)</f>
        <v>0.487804878048781</v>
      </c>
      <c r="U439" s="34">
        <f>IF(E439=1,T439,"")</f>
        <v>0.487804878048781</v>
      </c>
      <c r="V439" s="34">
        <f>IF(AND(E439=1,L439=0),T439,"")</f>
        <v>0.487804878048781</v>
      </c>
      <c r="W439" s="33">
        <f>IF(U439="","",IF(U439&lt;=Breakdowns!$C$5,1,IF(U439&lt;=Breakdowns!$C$6,2,IF(U439&lt;=Breakdowns!$C$7,3,4))))</f>
        <v>1</v>
      </c>
      <c r="X439" s="33">
        <f>IF(V439="","",IF(V439&lt;=Breakdowns!$D$5,1,IF(V439&lt;=Breakdowns!$D$6,2,IF(V439&lt;=Breakdowns!$D$7,3,4))))</f>
        <v>1</v>
      </c>
      <c r="Y439" s="34">
        <f>INDEX(Stores!$F$2:$F$21,MATCH(B439,Stores!$A$2:$A$21,0))</f>
        <v>3.84</v>
      </c>
      <c r="Z439" s="33">
        <f>IF(Y439&gt;Store_Summary!$M$2,1,0)</f>
        <v>0</v>
      </c>
      <c r="AA439" s="33">
        <f>INDEX(Stores!$C$2:$C$21,MATCH(B439,Stores!$A$2:$A$21,0))</f>
        <v>426</v>
      </c>
      <c r="AB439" s="33">
        <f>IF(AA439&lt;180,1,0)</f>
        <v>0</v>
      </c>
      <c r="AC439" s="32" t="str">
        <f>IF(Orders!D436="","",INDEX(Riders!$C$2:$C$81,MATCH(Orders!D436,Riders!$A$2:$A$81,0)))</f>
        <v>EV scooter</v>
      </c>
      <c r="AD439" s="33">
        <f>IF(Orders!D436="","",INDEX(Riders!$D$2:$D$81,MATCH(Orders!D436,Riders!$A$2:$A$81,0)))</f>
        <v>12</v>
      </c>
      <c r="AE439" s="33">
        <f>IF(Orders!D436="","",IF(INDEX(Riders!$B$2:$B$81,MATCH(Orders!D436,Riders!$A$2:$A$81,0))=B439,1,0))</f>
        <v>0</v>
      </c>
      <c r="AF439" s="34">
        <f>IF(E439=1,Orders!L436,"")</f>
        <v>1.28</v>
      </c>
      <c r="AG439" s="34">
        <f>IF(E439=1,Orders!P436,"")</f>
        <v>11.2</v>
      </c>
      <c r="AH439" s="34">
        <f>IF(E439=1,Orders!Q436,"")</f>
        <v>10.6</v>
      </c>
      <c r="AI439" s="34">
        <f>IF(E439=1,Orders!M436,"")</f>
        <v>3.1</v>
      </c>
      <c r="AJ439" s="34">
        <f>IF(E439=1,Orders!N436,"")</f>
        <v>4.9</v>
      </c>
      <c r="AK439" s="34">
        <f>IF(E439=1,Orders!O436,"")</f>
        <v>2.6</v>
      </c>
      <c r="AL439" s="33">
        <f>IF(E439=1,IF(ROUND(ABS(AI439+AJ439+AK439-AH439),6)&lt;=0.1,1,0),"")</f>
        <v>1</v>
      </c>
      <c r="AM439" s="36">
        <f>IF(E439=1,AI439/AH439,"")</f>
        <v>0.292452830188679</v>
      </c>
      <c r="AN439" s="36">
        <f>IF(E439=1,AJ439/AH439,"")</f>
        <v>0.462264150943396</v>
      </c>
      <c r="AO439" s="36">
        <f>IF(E439=1,AK439/AH439,"")</f>
        <v>0.245283018867925</v>
      </c>
      <c r="AP439" s="34">
        <f>IF(E439=1,Orders!Y436,"")</f>
        <v>0.13</v>
      </c>
      <c r="AQ439" s="33">
        <f>IF(Orders!X436,1,0)</f>
        <v>0</v>
      </c>
      <c r="AR439" s="34" t="str">
        <f>IF(AND(E439=1,L439=1),AJ439,"")</f>
        <v/>
      </c>
      <c r="AS439" s="34">
        <f>IF(AND(E439=1,L439=0),AJ439,"")</f>
        <v>4.9</v>
      </c>
      <c r="AT439" s="34" t="str">
        <f>IF(AND(E439=1,L439=1),AI439,"")</f>
        <v/>
      </c>
      <c r="AU439" s="34">
        <f>IF(AND(E439=1,L439=0),AI439,"")</f>
        <v>3.1</v>
      </c>
      <c r="AV439" s="34" t="str">
        <f>IF(AND(E439=1,L439=1),AG439,"")</f>
        <v/>
      </c>
      <c r="AW439" s="34">
        <f>IF(AND(E439=1,L439=0),AG439,"")</f>
        <v>11.2</v>
      </c>
      <c r="AX439" s="34" t="str">
        <f>IF(AND(E439=1,L439=1),AH439,"")</f>
        <v/>
      </c>
      <c r="AY439" s="34">
        <f>IF(AND(E439=1,L439=0),AH439,"")</f>
        <v>10.6</v>
      </c>
      <c r="AZ439" s="34" t="str">
        <f>IF(G439=1,F439,"")</f>
        <v/>
      </c>
      <c r="BA439" s="34" t="str">
        <f>IF(AND(G439=1,L439=1),F439,"")</f>
        <v/>
      </c>
      <c r="BB439" s="34" t="str">
        <f>IF(AND(G439=1,L439=0),F439,"")</f>
        <v/>
      </c>
      <c r="BC439" s="33">
        <f>IF(E439=1,IF(Orders!R436&gt;3,1,0),"")</f>
        <v>0</v>
      </c>
      <c r="BD439" s="33">
        <f>IF(E439=1,IF(Orders!R436&gt;7,1,0),"")</f>
        <v>0</v>
      </c>
      <c r="BE439" s="32" t="str">
        <f>IF(E439=1,IF(Orders!L436&lt;=1.5,"Up to 1.5 km",IF(Orders!L436&lt;=3,"1.5–3 km","Over 3 km")),"")</f>
        <v>Up to 1.5 km</v>
      </c>
      <c r="BF439" s="33">
        <f>IF(E439=1,IF(ABS((Orders!G436-Orders!F436)*1440-Orders!R436)&lt;0.06,1,0),"")</f>
        <v>1</v>
      </c>
      <c r="BG439" s="33">
        <f>IF(ABS((Orders!F436-Orders!E436)*1440-Orders!P436)&lt;0.06,1,0)</f>
        <v>1</v>
      </c>
      <c r="BH439" s="33">
        <f>IF(E439=1,IF(IF(Orders!S436,1,0)=1-G439,1,0),"")</f>
        <v>1</v>
      </c>
      <c r="BI439" s="32" t="str">
        <f>INDEX(Stores!$B$2:$B$21,MATCH(B439,Stores!$A$2:$A$21,0))</f>
        <v>Mumbai</v>
      </c>
    </row>
    <row r="440">
      <c r="A440" s="32" t="str">
        <f>Orders!A437</f>
        <v>O00436</v>
      </c>
      <c r="B440" s="32" t="str">
        <f>Orders!C437</f>
        <v>S001</v>
      </c>
      <c r="C440" s="32" t="str">
        <f>Orders!B437</f>
        <v>C0041</v>
      </c>
      <c r="D440" s="32" t="str">
        <f>Orders!H437</f>
        <v>Delivered</v>
      </c>
      <c r="E440" s="33">
        <f>IF(Orders!H437="Delivered",1,0)</f>
        <v>1</v>
      </c>
      <c r="F440" s="34">
        <f>IF(E440=1,Orders!R437,"")</f>
        <v>-0.6</v>
      </c>
      <c r="G440" s="33">
        <f>IF(E440=1,IF(Orders!R437&gt;0,1,0),"")</f>
        <v>0</v>
      </c>
      <c r="H440" s="33">
        <f>IF(E440=1,IF(Orders!R437&gt;5,1,0),"")</f>
        <v>0</v>
      </c>
      <c r="I440" s="32" t="str">
        <f>IF(E440=1,"",IF(OR(Orders!T437="Rider unavailable",Orders!T437="Item unavailable"),"Company-caused","Unresolved"))</f>
        <v/>
      </c>
      <c r="J440" s="33">
        <f>IF(OR(E440=1,I440="Company-caused"),1,0)</f>
        <v>1</v>
      </c>
      <c r="K440" s="32" t="str">
        <f>IF(E440=0,IF(I440="Company-caused",IF(Orders!T437="Rider unavailable","C1 Rider unavailable","C2 Item unavailable"),"Outside root: unresolved"),IF(G440=0,"A On time",IF(H440=1,IF(L440=1,"B2a Severe, peak","B2b Severe, off-peak"),IF(L440=1,"B1a Slight, peak","B1b Slight, off-peak"))))</f>
        <v>A On time</v>
      </c>
      <c r="L440" s="33">
        <f>IF(AND(Orders!U437&gt;=19,Orders!U437&lt;22),1,0)</f>
        <v>0</v>
      </c>
      <c r="M440" s="33">
        <f>IF(L440=IF(Orders!V437,1,0),1,0)</f>
        <v>1</v>
      </c>
      <c r="N440" s="32" t="str">
        <f>IF(Orders!W437="","None",Orders!W437)</f>
        <v>Light</v>
      </c>
      <c r="O440" s="35">
        <f>INT(Orders!E437)</f>
        <v>46275.0</v>
      </c>
      <c r="P440" s="33">
        <f>Orders!U437</f>
        <v>13</v>
      </c>
      <c r="Q440" s="33">
        <f>COUNTIFS(Demand!$A$2:$A$4481,B440,Demand!$B$2:$B$4481,O440,Demand!$C$2:$C$4481,P440)</f>
        <v>1</v>
      </c>
      <c r="R440" s="33">
        <f>IF(Q440=1,SUMIFS(Demand!$E$2:$E$4481,Demand!$A$2:$A$4481,B440,Demand!$B$2:$B$4481,O440,Demand!$C$2:$C$4481,P440),"")</f>
        <v>23</v>
      </c>
      <c r="S440" s="33">
        <f>INDEX(Stores!$G$2:$G$21,MATCH(B440,Stores!$A$2:$A$21,0))</f>
        <v>16</v>
      </c>
      <c r="T440" s="34">
        <f>IF(R440="","",R440/S440)</f>
        <v>1.4375</v>
      </c>
      <c r="U440" s="34">
        <f>IF(E440=1,T440,"")</f>
        <v>1.4375</v>
      </c>
      <c r="V440" s="34">
        <f>IF(AND(E440=1,L440=0),T440,"")</f>
        <v>1.4375</v>
      </c>
      <c r="W440" s="33">
        <f>IF(U440="","",IF(U440&lt;=Breakdowns!$C$5,1,IF(U440&lt;=Breakdowns!$C$6,2,IF(U440&lt;=Breakdowns!$C$7,3,4))))</f>
        <v>4</v>
      </c>
      <c r="X440" s="33">
        <f>IF(V440="","",IF(V440&lt;=Breakdowns!$D$5,1,IF(V440&lt;=Breakdowns!$D$6,2,IF(V440&lt;=Breakdowns!$D$7,3,4))))</f>
        <v>4</v>
      </c>
      <c r="Y440" s="34">
        <f>INDEX(Stores!$F$2:$F$21,MATCH(B440,Stores!$A$2:$A$21,0))</f>
        <v>4.59</v>
      </c>
      <c r="Z440" s="33">
        <f>IF(Y440&gt;Store_Summary!$M$2,1,0)</f>
        <v>0</v>
      </c>
      <c r="AA440" s="33">
        <f>INDEX(Stores!$C$2:$C$21,MATCH(B440,Stores!$A$2:$A$21,0))</f>
        <v>362</v>
      </c>
      <c r="AB440" s="33">
        <f>IF(AA440&lt;180,1,0)</f>
        <v>0</v>
      </c>
      <c r="AC440" s="32" t="str">
        <f>IF(Orders!D437="","",INDEX(Riders!$C$2:$C$81,MATCH(Orders!D437,Riders!$A$2:$A$81,0)))</f>
        <v>EV scooter</v>
      </c>
      <c r="AD440" s="33">
        <f>IF(Orders!D437="","",INDEX(Riders!$D$2:$D$81,MATCH(Orders!D437,Riders!$A$2:$A$81,0)))</f>
        <v>36</v>
      </c>
      <c r="AE440" s="33">
        <f>IF(Orders!D437="","",IF(INDEX(Riders!$B$2:$B$81,MATCH(Orders!D437,Riders!$A$2:$A$81,0))=B440,1,0))</f>
        <v>0</v>
      </c>
      <c r="AF440" s="34">
        <f>IF(E440=1,Orders!L437,"")</f>
        <v>1.74</v>
      </c>
      <c r="AG440" s="34">
        <f>IF(E440=1,Orders!P437,"")</f>
        <v>12</v>
      </c>
      <c r="AH440" s="34">
        <f>IF(E440=1,Orders!Q437,"")</f>
        <v>11.4</v>
      </c>
      <c r="AI440" s="34">
        <f>IF(E440=1,Orders!M437,"")</f>
        <v>3.8</v>
      </c>
      <c r="AJ440" s="34">
        <f>IF(E440=1,Orders!N437,"")</f>
        <v>4.5</v>
      </c>
      <c r="AK440" s="34">
        <f>IF(E440=1,Orders!O437,"")</f>
        <v>3.1</v>
      </c>
      <c r="AL440" s="33">
        <f>IF(E440=1,IF(ROUND(ABS(AI440+AJ440+AK440-AH440),6)&lt;=0.1,1,0),"")</f>
        <v>1</v>
      </c>
      <c r="AM440" s="36">
        <f>IF(E440=1,AI440/AH440,"")</f>
        <v>0.333333333333333</v>
      </c>
      <c r="AN440" s="36">
        <f>IF(E440=1,AJ440/AH440,"")</f>
        <v>0.394736842105263</v>
      </c>
      <c r="AO440" s="36">
        <f>IF(E440=1,AK440/AH440,"")</f>
        <v>0.271929824561404</v>
      </c>
      <c r="AP440" s="34">
        <f>IF(E440=1,Orders!Y437,"")</f>
        <v>0.1</v>
      </c>
      <c r="AQ440" s="33">
        <f>IF(Orders!X437,1,0)</f>
        <v>0</v>
      </c>
      <c r="AR440" s="34" t="str">
        <f>IF(AND(E440=1,L440=1),AJ440,"")</f>
        <v/>
      </c>
      <c r="AS440" s="34">
        <f>IF(AND(E440=1,L440=0),AJ440,"")</f>
        <v>4.5</v>
      </c>
      <c r="AT440" s="34" t="str">
        <f>IF(AND(E440=1,L440=1),AI440,"")</f>
        <v/>
      </c>
      <c r="AU440" s="34">
        <f>IF(AND(E440=1,L440=0),AI440,"")</f>
        <v>3.8</v>
      </c>
      <c r="AV440" s="34" t="str">
        <f>IF(AND(E440=1,L440=1),AG440,"")</f>
        <v/>
      </c>
      <c r="AW440" s="34">
        <f>IF(AND(E440=1,L440=0),AG440,"")</f>
        <v>12</v>
      </c>
      <c r="AX440" s="34" t="str">
        <f>IF(AND(E440=1,L440=1),AH440,"")</f>
        <v/>
      </c>
      <c r="AY440" s="34">
        <f>IF(AND(E440=1,L440=0),AH440,"")</f>
        <v>11.4</v>
      </c>
      <c r="AZ440" s="34" t="str">
        <f>IF(G440=1,F440,"")</f>
        <v/>
      </c>
      <c r="BA440" s="34" t="str">
        <f>IF(AND(G440=1,L440=1),F440,"")</f>
        <v/>
      </c>
      <c r="BB440" s="34" t="str">
        <f>IF(AND(G440=1,L440=0),F440,"")</f>
        <v/>
      </c>
      <c r="BC440" s="33">
        <f>IF(E440=1,IF(Orders!R437&gt;3,1,0),"")</f>
        <v>0</v>
      </c>
      <c r="BD440" s="33">
        <f>IF(E440=1,IF(Orders!R437&gt;7,1,0),"")</f>
        <v>0</v>
      </c>
      <c r="BE440" s="32" t="str">
        <f>IF(E440=1,IF(Orders!L437&lt;=1.5,"Up to 1.5 km",IF(Orders!L437&lt;=3,"1.5–3 km","Over 3 km")),"")</f>
        <v>1.5–3 km</v>
      </c>
      <c r="BF440" s="33">
        <f>IF(E440=1,IF(ABS((Orders!G437-Orders!F437)*1440-Orders!R437)&lt;0.06,1,0),"")</f>
        <v>1</v>
      </c>
      <c r="BG440" s="33">
        <f>IF(ABS((Orders!F437-Orders!E437)*1440-Orders!P437)&lt;0.06,1,0)</f>
        <v>1</v>
      </c>
      <c r="BH440" s="33">
        <f>IF(E440=1,IF(IF(Orders!S437,1,0)=1-G440,1,0),"")</f>
        <v>1</v>
      </c>
      <c r="BI440" s="32" t="str">
        <f>INDEX(Stores!$B$2:$B$21,MATCH(B440,Stores!$A$2:$A$21,0))</f>
        <v>Bengaluru</v>
      </c>
    </row>
    <row r="441">
      <c r="A441" s="32" t="str">
        <f>Orders!A438</f>
        <v>O00437</v>
      </c>
      <c r="B441" s="32" t="str">
        <f>Orders!C438</f>
        <v>S005</v>
      </c>
      <c r="C441" s="32" t="str">
        <f>Orders!B438</f>
        <v>C0222</v>
      </c>
      <c r="D441" s="32" t="str">
        <f>Orders!H438</f>
        <v>Delivered</v>
      </c>
      <c r="E441" s="33">
        <f>IF(Orders!H438="Delivered",1,0)</f>
        <v>1</v>
      </c>
      <c r="F441" s="34">
        <f>IF(E441=1,Orders!R438,"")</f>
        <v>-0.3</v>
      </c>
      <c r="G441" s="33">
        <f>IF(E441=1,IF(Orders!R438&gt;0,1,0),"")</f>
        <v>0</v>
      </c>
      <c r="H441" s="33">
        <f>IF(E441=1,IF(Orders!R438&gt;5,1,0),"")</f>
        <v>0</v>
      </c>
      <c r="I441" s="32" t="str">
        <f>IF(E441=1,"",IF(OR(Orders!T438="Rider unavailable",Orders!T438="Item unavailable"),"Company-caused","Unresolved"))</f>
        <v/>
      </c>
      <c r="J441" s="33">
        <f>IF(OR(E441=1,I441="Company-caused"),1,0)</f>
        <v>1</v>
      </c>
      <c r="K441" s="32" t="str">
        <f>IF(E441=0,IF(I441="Company-caused",IF(Orders!T438="Rider unavailable","C1 Rider unavailable","C2 Item unavailable"),"Outside root: unresolved"),IF(G441=0,"A On time",IF(H441=1,IF(L441=1,"B2a Severe, peak","B2b Severe, off-peak"),IF(L441=1,"B1a Slight, peak","B1b Slight, off-peak"))))</f>
        <v>A On time</v>
      </c>
      <c r="L441" s="33">
        <f>IF(AND(Orders!U438&gt;=19,Orders!U438&lt;22),1,0)</f>
        <v>1</v>
      </c>
      <c r="M441" s="33">
        <f>IF(L441=IF(Orders!V438,1,0),1,0)</f>
        <v>1</v>
      </c>
      <c r="N441" s="32" t="str">
        <f>IF(Orders!W438="","None",Orders!W438)</f>
        <v>None</v>
      </c>
      <c r="O441" s="35">
        <f>INT(Orders!E438)</f>
        <v>46273.0</v>
      </c>
      <c r="P441" s="33">
        <f>Orders!U438</f>
        <v>19</v>
      </c>
      <c r="Q441" s="33">
        <f>COUNTIFS(Demand!$A$2:$A$4481,B441,Demand!$B$2:$B$4481,O441,Demand!$C$2:$C$4481,P441)</f>
        <v>1</v>
      </c>
      <c r="R441" s="33">
        <f>IF(Q441=1,SUMIFS(Demand!$E$2:$E$4481,Demand!$A$2:$A$4481,B441,Demand!$B$2:$B$4481,O441,Demand!$C$2:$C$4481,P441),"")</f>
        <v>15</v>
      </c>
      <c r="S441" s="33">
        <f>INDEX(Stores!$G$2:$G$21,MATCH(B441,Stores!$A$2:$A$21,0))</f>
        <v>14</v>
      </c>
      <c r="T441" s="34">
        <f>IF(R441="","",R441/S441)</f>
        <v>1.07142857142857</v>
      </c>
      <c r="U441" s="34">
        <f>IF(E441=1,T441,"")</f>
        <v>1.07142857142857</v>
      </c>
      <c r="V441" s="34" t="str">
        <f>IF(AND(E441=1,L441=0),T441,"")</f>
        <v/>
      </c>
      <c r="W441" s="33">
        <f>IF(U441="","",IF(U441&lt;=Breakdowns!$C$5,1,IF(U441&lt;=Breakdowns!$C$6,2,IF(U441&lt;=Breakdowns!$C$7,3,4))))</f>
        <v>3</v>
      </c>
      <c r="X441" s="33" t="str">
        <f>IF(V441="","",IF(V441&lt;=Breakdowns!$D$5,1,IF(V441&lt;=Breakdowns!$D$6,2,IF(V441&lt;=Breakdowns!$D$7,3,4))))</f>
        <v/>
      </c>
      <c r="Y441" s="34">
        <f>INDEX(Stores!$F$2:$F$21,MATCH(B441,Stores!$A$2:$A$21,0))</f>
        <v>4.89</v>
      </c>
      <c r="Z441" s="33">
        <f>IF(Y441&gt;Store_Summary!$M$2,1,0)</f>
        <v>0</v>
      </c>
      <c r="AA441" s="33">
        <f>INDEX(Stores!$C$2:$C$21,MATCH(B441,Stores!$A$2:$A$21,0))</f>
        <v>138</v>
      </c>
      <c r="AB441" s="33">
        <f>IF(AA441&lt;180,1,0)</f>
        <v>1</v>
      </c>
      <c r="AC441" s="32" t="str">
        <f>IF(Orders!D438="","",INDEX(Riders!$C$2:$C$81,MATCH(Orders!D438,Riders!$A$2:$A$81,0)))</f>
        <v>Petrol scooter</v>
      </c>
      <c r="AD441" s="33">
        <f>IF(Orders!D438="","",INDEX(Riders!$D$2:$D$81,MATCH(Orders!D438,Riders!$A$2:$A$81,0)))</f>
        <v>24</v>
      </c>
      <c r="AE441" s="33">
        <f>IF(Orders!D438="","",IF(INDEX(Riders!$B$2:$B$81,MATCH(Orders!D438,Riders!$A$2:$A$81,0))=B441,1,0))</f>
        <v>0</v>
      </c>
      <c r="AF441" s="34">
        <f>IF(E441=1,Orders!L438,"")</f>
        <v>3.41</v>
      </c>
      <c r="AG441" s="34">
        <f>IF(E441=1,Orders!P438,"")</f>
        <v>8.8</v>
      </c>
      <c r="AH441" s="34">
        <f>IF(E441=1,Orders!Q438,"")</f>
        <v>8.5</v>
      </c>
      <c r="AI441" s="34">
        <f>IF(E441=1,Orders!M438,"")</f>
        <v>1.9</v>
      </c>
      <c r="AJ441" s="34">
        <f>IF(E441=1,Orders!N438,"")</f>
        <v>2.4</v>
      </c>
      <c r="AK441" s="34">
        <f>IF(E441=1,Orders!O438,"")</f>
        <v>4.2</v>
      </c>
      <c r="AL441" s="33">
        <f>IF(E441=1,IF(ROUND(ABS(AI441+AJ441+AK441-AH441),6)&lt;=0.1,1,0),"")</f>
        <v>1</v>
      </c>
      <c r="AM441" s="36">
        <f>IF(E441=1,AI441/AH441,"")</f>
        <v>0.223529411764706</v>
      </c>
      <c r="AN441" s="36">
        <f>IF(E441=1,AJ441/AH441,"")</f>
        <v>0.282352941176471</v>
      </c>
      <c r="AO441" s="36">
        <f>IF(E441=1,AK441/AH441,"")</f>
        <v>0.494117647058824</v>
      </c>
      <c r="AP441" s="34">
        <f>IF(E441=1,Orders!Y438,"")</f>
        <v>0.61</v>
      </c>
      <c r="AQ441" s="33">
        <f>IF(Orders!X438,1,0)</f>
        <v>0</v>
      </c>
      <c r="AR441" s="34">
        <f>IF(AND(E441=1,L441=1),AJ441,"")</f>
        <v>2.4</v>
      </c>
      <c r="AS441" s="34" t="str">
        <f>IF(AND(E441=1,L441=0),AJ441,"")</f>
        <v/>
      </c>
      <c r="AT441" s="34">
        <f>IF(AND(E441=1,L441=1),AI441,"")</f>
        <v>1.9</v>
      </c>
      <c r="AU441" s="34" t="str">
        <f>IF(AND(E441=1,L441=0),AI441,"")</f>
        <v/>
      </c>
      <c r="AV441" s="34">
        <f>IF(AND(E441=1,L441=1),AG441,"")</f>
        <v>8.8</v>
      </c>
      <c r="AW441" s="34" t="str">
        <f>IF(AND(E441=1,L441=0),AG441,"")</f>
        <v/>
      </c>
      <c r="AX441" s="34">
        <f>IF(AND(E441=1,L441=1),AH441,"")</f>
        <v>8.5</v>
      </c>
      <c r="AY441" s="34" t="str">
        <f>IF(AND(E441=1,L441=0),AH441,"")</f>
        <v/>
      </c>
      <c r="AZ441" s="34" t="str">
        <f>IF(G441=1,F441,"")</f>
        <v/>
      </c>
      <c r="BA441" s="34" t="str">
        <f>IF(AND(G441=1,L441=1),F441,"")</f>
        <v/>
      </c>
      <c r="BB441" s="34" t="str">
        <f>IF(AND(G441=1,L441=0),F441,"")</f>
        <v/>
      </c>
      <c r="BC441" s="33">
        <f>IF(E441=1,IF(Orders!R438&gt;3,1,0),"")</f>
        <v>0</v>
      </c>
      <c r="BD441" s="33">
        <f>IF(E441=1,IF(Orders!R438&gt;7,1,0),"")</f>
        <v>0</v>
      </c>
      <c r="BE441" s="32" t="str">
        <f>IF(E441=1,IF(Orders!L438&lt;=1.5,"Up to 1.5 km",IF(Orders!L438&lt;=3,"1.5–3 km","Over 3 km")),"")</f>
        <v>Over 3 km</v>
      </c>
      <c r="BF441" s="33">
        <f>IF(E441=1,IF(ABS((Orders!G438-Orders!F438)*1440-Orders!R438)&lt;0.06,1,0),"")</f>
        <v>1</v>
      </c>
      <c r="BG441" s="33">
        <f>IF(ABS((Orders!F438-Orders!E438)*1440-Orders!P438)&lt;0.06,1,0)</f>
        <v>1</v>
      </c>
      <c r="BH441" s="33">
        <f>IF(E441=1,IF(IF(Orders!S438,1,0)=1-G441,1,0),"")</f>
        <v>1</v>
      </c>
      <c r="BI441" s="32" t="str">
        <f>INDEX(Stores!$B$2:$B$21,MATCH(B441,Stores!$A$2:$A$21,0))</f>
        <v>Delhi</v>
      </c>
    </row>
    <row r="442">
      <c r="A442" s="32" t="str">
        <f>Orders!A439</f>
        <v>O00438</v>
      </c>
      <c r="B442" s="32" t="str">
        <f>Orders!C439</f>
        <v>S011</v>
      </c>
      <c r="C442" s="32" t="str">
        <f>Orders!B439</f>
        <v>C0041</v>
      </c>
      <c r="D442" s="32" t="str">
        <f>Orders!H439</f>
        <v>Delivered</v>
      </c>
      <c r="E442" s="33">
        <f>IF(Orders!H439="Delivered",1,0)</f>
        <v>1</v>
      </c>
      <c r="F442" s="34">
        <f>IF(E442=1,Orders!R439,"")</f>
        <v>-1</v>
      </c>
      <c r="G442" s="33">
        <f>IF(E442=1,IF(Orders!R439&gt;0,1,0),"")</f>
        <v>0</v>
      </c>
      <c r="H442" s="33">
        <f>IF(E442=1,IF(Orders!R439&gt;5,1,0),"")</f>
        <v>0</v>
      </c>
      <c r="I442" s="32" t="str">
        <f>IF(E442=1,"",IF(OR(Orders!T439="Rider unavailable",Orders!T439="Item unavailable"),"Company-caused","Unresolved"))</f>
        <v/>
      </c>
      <c r="J442" s="33">
        <f>IF(OR(E442=1,I442="Company-caused"),1,0)</f>
        <v>1</v>
      </c>
      <c r="K442" s="32" t="str">
        <f>IF(E442=0,IF(I442="Company-caused",IF(Orders!T439="Rider unavailable","C1 Rider unavailable","C2 Item unavailable"),"Outside root: unresolved"),IF(G442=0,"A On time",IF(H442=1,IF(L442=1,"B2a Severe, peak","B2b Severe, off-peak"),IF(L442=1,"B1a Slight, peak","B1b Slight, off-peak"))))</f>
        <v>A On time</v>
      </c>
      <c r="L442" s="33">
        <f>IF(AND(Orders!U439&gt;=19,Orders!U439&lt;22),1,0)</f>
        <v>0</v>
      </c>
      <c r="M442" s="33">
        <f>IF(L442=IF(Orders!V439,1,0),1,0)</f>
        <v>1</v>
      </c>
      <c r="N442" s="32" t="str">
        <f>IF(Orders!W439="","None",Orders!W439)</f>
        <v>None</v>
      </c>
      <c r="O442" s="35">
        <f>INT(Orders!E439)</f>
        <v>46266.0</v>
      </c>
      <c r="P442" s="33">
        <f>Orders!U439</f>
        <v>11</v>
      </c>
      <c r="Q442" s="33">
        <f>COUNTIFS(Demand!$A$2:$A$4481,B442,Demand!$B$2:$B$4481,O442,Demand!$C$2:$C$4481,P442)</f>
        <v>1</v>
      </c>
      <c r="R442" s="33">
        <f>IF(Q442=1,SUMIFS(Demand!$E$2:$E$4481,Demand!$A$2:$A$4481,B442,Demand!$B$2:$B$4481,O442,Demand!$C$2:$C$4481,P442),"")</f>
        <v>34</v>
      </c>
      <c r="S442" s="33">
        <f>INDEX(Stores!$G$2:$G$21,MATCH(B442,Stores!$A$2:$A$21,0))</f>
        <v>31</v>
      </c>
      <c r="T442" s="34">
        <f>IF(R442="","",R442/S442)</f>
        <v>1.09677419354839</v>
      </c>
      <c r="U442" s="34">
        <f>IF(E442=1,T442,"")</f>
        <v>1.09677419354839</v>
      </c>
      <c r="V442" s="34">
        <f>IF(AND(E442=1,L442=0),T442,"")</f>
        <v>1.09677419354839</v>
      </c>
      <c r="W442" s="33">
        <f>IF(U442="","",IF(U442&lt;=Breakdowns!$C$5,1,IF(U442&lt;=Breakdowns!$C$6,2,IF(U442&lt;=Breakdowns!$C$7,3,4))))</f>
        <v>3</v>
      </c>
      <c r="X442" s="33">
        <f>IF(V442="","",IF(V442&lt;=Breakdowns!$D$5,1,IF(V442&lt;=Breakdowns!$D$6,2,IF(V442&lt;=Breakdowns!$D$7,3,4))))</f>
        <v>4</v>
      </c>
      <c r="Y442" s="34">
        <f>INDEX(Stores!$F$2:$F$21,MATCH(B442,Stores!$A$2:$A$21,0))</f>
        <v>5.67</v>
      </c>
      <c r="Z442" s="33">
        <f>IF(Y442&gt;Store_Summary!$M$2,1,0)</f>
        <v>1</v>
      </c>
      <c r="AA442" s="33">
        <f>INDEX(Stores!$C$2:$C$21,MATCH(B442,Stores!$A$2:$A$21,0))</f>
        <v>732</v>
      </c>
      <c r="AB442" s="33">
        <f>IF(AA442&lt;180,1,0)</f>
        <v>0</v>
      </c>
      <c r="AC442" s="32" t="str">
        <f>IF(Orders!D439="","",INDEX(Riders!$C$2:$C$81,MATCH(Orders!D439,Riders!$A$2:$A$81,0)))</f>
        <v>EV scooter</v>
      </c>
      <c r="AD442" s="33">
        <f>IF(Orders!D439="","",INDEX(Riders!$D$2:$D$81,MATCH(Orders!D439,Riders!$A$2:$A$81,0)))</f>
        <v>1</v>
      </c>
      <c r="AE442" s="33">
        <f>IF(Orders!D439="","",IF(INDEX(Riders!$B$2:$B$81,MATCH(Orders!D439,Riders!$A$2:$A$81,0))=B442,1,0))</f>
        <v>0</v>
      </c>
      <c r="AF442" s="34">
        <f>IF(E442=1,Orders!L439,"")</f>
        <v>1.01</v>
      </c>
      <c r="AG442" s="34">
        <f>IF(E442=1,Orders!P439,"")</f>
        <v>10.4</v>
      </c>
      <c r="AH442" s="34">
        <f>IF(E442=1,Orders!Q439,"")</f>
        <v>9.4</v>
      </c>
      <c r="AI442" s="34">
        <f>IF(E442=1,Orders!M439,"")</f>
        <v>2.8</v>
      </c>
      <c r="AJ442" s="34">
        <f>IF(E442=1,Orders!N439,"")</f>
        <v>4.2</v>
      </c>
      <c r="AK442" s="34">
        <f>IF(E442=1,Orders!O439,"")</f>
        <v>2.4</v>
      </c>
      <c r="AL442" s="33">
        <f>IF(E442=1,IF(ROUND(ABS(AI442+AJ442+AK442-AH442),6)&lt;=0.1,1,0),"")</f>
        <v>1</v>
      </c>
      <c r="AM442" s="36">
        <f>IF(E442=1,AI442/AH442,"")</f>
        <v>0.297872340425532</v>
      </c>
      <c r="AN442" s="36">
        <f>IF(E442=1,AJ442/AH442,"")</f>
        <v>0.446808510638298</v>
      </c>
      <c r="AO442" s="36">
        <f>IF(E442=1,AK442/AH442,"")</f>
        <v>0.25531914893617</v>
      </c>
      <c r="AP442" s="34">
        <f>IF(E442=1,Orders!Y439,"")</f>
        <v>0.73</v>
      </c>
      <c r="AQ442" s="33">
        <f>IF(Orders!X439,1,0)</f>
        <v>0</v>
      </c>
      <c r="AR442" s="34" t="str">
        <f>IF(AND(E442=1,L442=1),AJ442,"")</f>
        <v/>
      </c>
      <c r="AS442" s="34">
        <f>IF(AND(E442=1,L442=0),AJ442,"")</f>
        <v>4.2</v>
      </c>
      <c r="AT442" s="34" t="str">
        <f>IF(AND(E442=1,L442=1),AI442,"")</f>
        <v/>
      </c>
      <c r="AU442" s="34">
        <f>IF(AND(E442=1,L442=0),AI442,"")</f>
        <v>2.8</v>
      </c>
      <c r="AV442" s="34" t="str">
        <f>IF(AND(E442=1,L442=1),AG442,"")</f>
        <v/>
      </c>
      <c r="AW442" s="34">
        <f>IF(AND(E442=1,L442=0),AG442,"")</f>
        <v>10.4</v>
      </c>
      <c r="AX442" s="34" t="str">
        <f>IF(AND(E442=1,L442=1),AH442,"")</f>
        <v/>
      </c>
      <c r="AY442" s="34">
        <f>IF(AND(E442=1,L442=0),AH442,"")</f>
        <v>9.4</v>
      </c>
      <c r="AZ442" s="34" t="str">
        <f>IF(G442=1,F442,"")</f>
        <v/>
      </c>
      <c r="BA442" s="34" t="str">
        <f>IF(AND(G442=1,L442=1),F442,"")</f>
        <v/>
      </c>
      <c r="BB442" s="34" t="str">
        <f>IF(AND(G442=1,L442=0),F442,"")</f>
        <v/>
      </c>
      <c r="BC442" s="33">
        <f>IF(E442=1,IF(Orders!R439&gt;3,1,0),"")</f>
        <v>0</v>
      </c>
      <c r="BD442" s="33">
        <f>IF(E442=1,IF(Orders!R439&gt;7,1,0),"")</f>
        <v>0</v>
      </c>
      <c r="BE442" s="32" t="str">
        <f>IF(E442=1,IF(Orders!L439&lt;=1.5,"Up to 1.5 km",IF(Orders!L439&lt;=3,"1.5–3 km","Over 3 km")),"")</f>
        <v>Up to 1.5 km</v>
      </c>
      <c r="BF442" s="33">
        <f>IF(E442=1,IF(ABS((Orders!G439-Orders!F439)*1440-Orders!R439)&lt;0.06,1,0),"")</f>
        <v>1</v>
      </c>
      <c r="BG442" s="33">
        <f>IF(ABS((Orders!F439-Orders!E439)*1440-Orders!P439)&lt;0.06,1,0)</f>
        <v>1</v>
      </c>
      <c r="BH442" s="33">
        <f>IF(E442=1,IF(IF(Orders!S439,1,0)=1-G442,1,0),"")</f>
        <v>1</v>
      </c>
      <c r="BI442" s="32" t="str">
        <f>INDEX(Stores!$B$2:$B$21,MATCH(B442,Stores!$A$2:$A$21,0))</f>
        <v>Bengaluru</v>
      </c>
    </row>
    <row r="443">
      <c r="A443" s="32" t="str">
        <f>Orders!A440</f>
        <v>O00439</v>
      </c>
      <c r="B443" s="32" t="str">
        <f>Orders!C440</f>
        <v>S013</v>
      </c>
      <c r="C443" s="32" t="str">
        <f>Orders!B440</f>
        <v>C0101</v>
      </c>
      <c r="D443" s="32" t="str">
        <f>Orders!H440</f>
        <v>Delivered</v>
      </c>
      <c r="E443" s="33">
        <f>IF(Orders!H440="Delivered",1,0)</f>
        <v>1</v>
      </c>
      <c r="F443" s="34">
        <f>IF(E443=1,Orders!R440,"")</f>
        <v>8.8</v>
      </c>
      <c r="G443" s="33">
        <f>IF(E443=1,IF(Orders!R440&gt;0,1,0),"")</f>
        <v>1</v>
      </c>
      <c r="H443" s="33">
        <f>IF(E443=1,IF(Orders!R440&gt;5,1,0),"")</f>
        <v>1</v>
      </c>
      <c r="I443" s="32" t="str">
        <f>IF(E443=1,"",IF(OR(Orders!T440="Rider unavailable",Orders!T440="Item unavailable"),"Company-caused","Unresolved"))</f>
        <v/>
      </c>
      <c r="J443" s="33">
        <f>IF(OR(E443=1,I443="Company-caused"),1,0)</f>
        <v>1</v>
      </c>
      <c r="K443" s="32" t="str">
        <f>IF(E443=0,IF(I443="Company-caused",IF(Orders!T440="Rider unavailable","C1 Rider unavailable","C2 Item unavailable"),"Outside root: unresolved"),IF(G443=0,"A On time",IF(H443=1,IF(L443=1,"B2a Severe, peak","B2b Severe, off-peak"),IF(L443=1,"B1a Slight, peak","B1b Slight, off-peak"))))</f>
        <v>B2b Severe, off-peak</v>
      </c>
      <c r="L443" s="33">
        <f>IF(AND(Orders!U440&gt;=19,Orders!U440&lt;22),1,0)</f>
        <v>0</v>
      </c>
      <c r="M443" s="33">
        <f>IF(L443=IF(Orders!V440,1,0),1,0)</f>
        <v>1</v>
      </c>
      <c r="N443" s="32" t="str">
        <f>IF(Orders!W440="","None",Orders!W440)</f>
        <v>None</v>
      </c>
      <c r="O443" s="35">
        <f>INT(Orders!E440)</f>
        <v>46267.0</v>
      </c>
      <c r="P443" s="33">
        <f>Orders!U440</f>
        <v>13</v>
      </c>
      <c r="Q443" s="33">
        <f>COUNTIFS(Demand!$A$2:$A$4481,B443,Demand!$B$2:$B$4481,O443,Demand!$C$2:$C$4481,P443)</f>
        <v>1</v>
      </c>
      <c r="R443" s="33">
        <f>IF(Q443=1,SUMIFS(Demand!$E$2:$E$4481,Demand!$A$2:$A$4481,B443,Demand!$B$2:$B$4481,O443,Demand!$C$2:$C$4481,P443),"")</f>
        <v>49</v>
      </c>
      <c r="S443" s="33">
        <f>INDEX(Stores!$G$2:$G$21,MATCH(B443,Stores!$A$2:$A$21,0))</f>
        <v>49</v>
      </c>
      <c r="T443" s="34">
        <f>IF(R443="","",R443/S443)</f>
        <v>1</v>
      </c>
      <c r="U443" s="34">
        <f>IF(E443=1,T443,"")</f>
        <v>1</v>
      </c>
      <c r="V443" s="34">
        <f>IF(AND(E443=1,L443=0),T443,"")</f>
        <v>1</v>
      </c>
      <c r="W443" s="33">
        <f>IF(U443="","",IF(U443&lt;=Breakdowns!$C$5,1,IF(U443&lt;=Breakdowns!$C$6,2,IF(U443&lt;=Breakdowns!$C$7,3,4))))</f>
        <v>2</v>
      </c>
      <c r="X443" s="33">
        <f>IF(V443="","",IF(V443&lt;=Breakdowns!$D$5,1,IF(V443&lt;=Breakdowns!$D$6,2,IF(V443&lt;=Breakdowns!$D$7,3,4))))</f>
        <v>3</v>
      </c>
      <c r="Y443" s="34">
        <f>INDEX(Stores!$F$2:$F$21,MATCH(B443,Stores!$A$2:$A$21,0))</f>
        <v>5.82</v>
      </c>
      <c r="Z443" s="33">
        <f>IF(Y443&gt;Store_Summary!$M$2,1,0)</f>
        <v>1</v>
      </c>
      <c r="AA443" s="33">
        <f>INDEX(Stores!$C$2:$C$21,MATCH(B443,Stores!$A$2:$A$21,0))</f>
        <v>705</v>
      </c>
      <c r="AB443" s="33">
        <f>IF(AA443&lt;180,1,0)</f>
        <v>0</v>
      </c>
      <c r="AC443" s="32" t="str">
        <f>IF(Orders!D440="","",INDEX(Riders!$C$2:$C$81,MATCH(Orders!D440,Riders!$A$2:$A$81,0)))</f>
        <v>EV scooter</v>
      </c>
      <c r="AD443" s="33">
        <f>IF(Orders!D440="","",INDEX(Riders!$D$2:$D$81,MATCH(Orders!D440,Riders!$A$2:$A$81,0)))</f>
        <v>41</v>
      </c>
      <c r="AE443" s="33">
        <f>IF(Orders!D440="","",IF(INDEX(Riders!$B$2:$B$81,MATCH(Orders!D440,Riders!$A$2:$A$81,0))=B443,1,0))</f>
        <v>0</v>
      </c>
      <c r="AF443" s="34">
        <f>IF(E443=1,Orders!L440,"")</f>
        <v>2.83</v>
      </c>
      <c r="AG443" s="34">
        <f>IF(E443=1,Orders!P440,"")</f>
        <v>13.6</v>
      </c>
      <c r="AH443" s="34">
        <f>IF(E443=1,Orders!Q440,"")</f>
        <v>22.4</v>
      </c>
      <c r="AI443" s="34">
        <f>IF(E443=1,Orders!M440,"")</f>
        <v>7.2</v>
      </c>
      <c r="AJ443" s="34">
        <f>IF(E443=1,Orders!N440,"")</f>
        <v>8.7</v>
      </c>
      <c r="AK443" s="34">
        <f>IF(E443=1,Orders!O440,"")</f>
        <v>6.5</v>
      </c>
      <c r="AL443" s="33">
        <f>IF(E443=1,IF(ROUND(ABS(AI443+AJ443+AK443-AH443),6)&lt;=0.1,1,0),"")</f>
        <v>1</v>
      </c>
      <c r="AM443" s="36">
        <f>IF(E443=1,AI443/AH443,"")</f>
        <v>0.321428571428571</v>
      </c>
      <c r="AN443" s="36">
        <f>IF(E443=1,AJ443/AH443,"")</f>
        <v>0.388392857142857</v>
      </c>
      <c r="AO443" s="36">
        <f>IF(E443=1,AK443/AH443,"")</f>
        <v>0.290178571428571</v>
      </c>
      <c r="AP443" s="34">
        <f>IF(E443=1,Orders!Y440,"")</f>
        <v>0.52</v>
      </c>
      <c r="AQ443" s="33">
        <f>IF(Orders!X440,1,0)</f>
        <v>0</v>
      </c>
      <c r="AR443" s="34" t="str">
        <f>IF(AND(E443=1,L443=1),AJ443,"")</f>
        <v/>
      </c>
      <c r="AS443" s="34">
        <f>IF(AND(E443=1,L443=0),AJ443,"")</f>
        <v>8.7</v>
      </c>
      <c r="AT443" s="34" t="str">
        <f>IF(AND(E443=1,L443=1),AI443,"")</f>
        <v/>
      </c>
      <c r="AU443" s="34">
        <f>IF(AND(E443=1,L443=0),AI443,"")</f>
        <v>7.2</v>
      </c>
      <c r="AV443" s="34" t="str">
        <f>IF(AND(E443=1,L443=1),AG443,"")</f>
        <v/>
      </c>
      <c r="AW443" s="34">
        <f>IF(AND(E443=1,L443=0),AG443,"")</f>
        <v>13.6</v>
      </c>
      <c r="AX443" s="34" t="str">
        <f>IF(AND(E443=1,L443=1),AH443,"")</f>
        <v/>
      </c>
      <c r="AY443" s="34">
        <f>IF(AND(E443=1,L443=0),AH443,"")</f>
        <v>22.4</v>
      </c>
      <c r="AZ443" s="34">
        <f>IF(G443=1,F443,"")</f>
        <v>8.8</v>
      </c>
      <c r="BA443" s="34" t="str">
        <f>IF(AND(G443=1,L443=1),F443,"")</f>
        <v/>
      </c>
      <c r="BB443" s="34">
        <f>IF(AND(G443=1,L443=0),F443,"")</f>
        <v>8.8</v>
      </c>
      <c r="BC443" s="33">
        <f>IF(E443=1,IF(Orders!R440&gt;3,1,0),"")</f>
        <v>1</v>
      </c>
      <c r="BD443" s="33">
        <f>IF(E443=1,IF(Orders!R440&gt;7,1,0),"")</f>
        <v>1</v>
      </c>
      <c r="BE443" s="32" t="str">
        <f>IF(E443=1,IF(Orders!L440&lt;=1.5,"Up to 1.5 km",IF(Orders!L440&lt;=3,"1.5–3 km","Over 3 km")),"")</f>
        <v>1.5–3 km</v>
      </c>
      <c r="BF443" s="33">
        <f>IF(E443=1,IF(ABS((Orders!G440-Orders!F440)*1440-Orders!R440)&lt;0.06,1,0),"")</f>
        <v>1</v>
      </c>
      <c r="BG443" s="33">
        <f>IF(ABS((Orders!F440-Orders!E440)*1440-Orders!P440)&lt;0.06,1,0)</f>
        <v>1</v>
      </c>
      <c r="BH443" s="33">
        <f>IF(E443=1,IF(IF(Orders!S440,1,0)=1-G443,1,0),"")</f>
        <v>1</v>
      </c>
      <c r="BI443" s="32" t="str">
        <f>INDEX(Stores!$B$2:$B$21,MATCH(B443,Stores!$A$2:$A$21,0))</f>
        <v>Mumbai</v>
      </c>
    </row>
    <row r="444">
      <c r="A444" s="32" t="str">
        <f>Orders!A441</f>
        <v>O00440</v>
      </c>
      <c r="B444" s="32" t="str">
        <f>Orders!C441</f>
        <v>S005</v>
      </c>
      <c r="C444" s="32" t="str">
        <f>Orders!B441</f>
        <v>C0070</v>
      </c>
      <c r="D444" s="32" t="str">
        <f>Orders!H441</f>
        <v>Delivered</v>
      </c>
      <c r="E444" s="33">
        <f>IF(Orders!H441="Delivered",1,0)</f>
        <v>1</v>
      </c>
      <c r="F444" s="34">
        <f>IF(E444=1,Orders!R441,"")</f>
        <v>-0.9</v>
      </c>
      <c r="G444" s="33">
        <f>IF(E444=1,IF(Orders!R441&gt;0,1,0),"")</f>
        <v>0</v>
      </c>
      <c r="H444" s="33">
        <f>IF(E444=1,IF(Orders!R441&gt;5,1,0),"")</f>
        <v>0</v>
      </c>
      <c r="I444" s="32" t="str">
        <f>IF(E444=1,"",IF(OR(Orders!T441="Rider unavailable",Orders!T441="Item unavailable"),"Company-caused","Unresolved"))</f>
        <v/>
      </c>
      <c r="J444" s="33">
        <f>IF(OR(E444=1,I444="Company-caused"),1,0)</f>
        <v>1</v>
      </c>
      <c r="K444" s="32" t="str">
        <f>IF(E444=0,IF(I444="Company-caused",IF(Orders!T441="Rider unavailable","C1 Rider unavailable","C2 Item unavailable"),"Outside root: unresolved"),IF(G444=0,"A On time",IF(H444=1,IF(L444=1,"B2a Severe, peak","B2b Severe, off-peak"),IF(L444=1,"B1a Slight, peak","B1b Slight, off-peak"))))</f>
        <v>A On time</v>
      </c>
      <c r="L444" s="33">
        <f>IF(AND(Orders!U441&gt;=19,Orders!U441&lt;22),1,0)</f>
        <v>0</v>
      </c>
      <c r="M444" s="33">
        <f>IF(L444=IF(Orders!V441,1,0),1,0)</f>
        <v>1</v>
      </c>
      <c r="N444" s="32" t="str">
        <f>IF(Orders!W441="","None",Orders!W441)</f>
        <v>None</v>
      </c>
      <c r="O444" s="35">
        <f>INT(Orders!E441)</f>
        <v>46277.0</v>
      </c>
      <c r="P444" s="33">
        <f>Orders!U441</f>
        <v>23</v>
      </c>
      <c r="Q444" s="33">
        <f>COUNTIFS(Demand!$A$2:$A$4481,B444,Demand!$B$2:$B$4481,O444,Demand!$C$2:$C$4481,P444)</f>
        <v>1</v>
      </c>
      <c r="R444" s="33">
        <f>IF(Q444=1,SUMIFS(Demand!$E$2:$E$4481,Demand!$A$2:$A$4481,B444,Demand!$B$2:$B$4481,O444,Demand!$C$2:$C$4481,P444),"")</f>
        <v>10</v>
      </c>
      <c r="S444" s="33">
        <f>INDEX(Stores!$G$2:$G$21,MATCH(B444,Stores!$A$2:$A$21,0))</f>
        <v>14</v>
      </c>
      <c r="T444" s="34">
        <f>IF(R444="","",R444/S444)</f>
        <v>0.714285714285714</v>
      </c>
      <c r="U444" s="34">
        <f>IF(E444=1,T444,"")</f>
        <v>0.714285714285714</v>
      </c>
      <c r="V444" s="34">
        <f>IF(AND(E444=1,L444=0),T444,"")</f>
        <v>0.714285714285714</v>
      </c>
      <c r="W444" s="33">
        <f>IF(U444="","",IF(U444&lt;=Breakdowns!$C$5,1,IF(U444&lt;=Breakdowns!$C$6,2,IF(U444&lt;=Breakdowns!$C$7,3,4))))</f>
        <v>1</v>
      </c>
      <c r="X444" s="33">
        <f>IF(V444="","",IF(V444&lt;=Breakdowns!$D$5,1,IF(V444&lt;=Breakdowns!$D$6,2,IF(V444&lt;=Breakdowns!$D$7,3,4))))</f>
        <v>1</v>
      </c>
      <c r="Y444" s="34">
        <f>INDEX(Stores!$F$2:$F$21,MATCH(B444,Stores!$A$2:$A$21,0))</f>
        <v>4.89</v>
      </c>
      <c r="Z444" s="33">
        <f>IF(Y444&gt;Store_Summary!$M$2,1,0)</f>
        <v>0</v>
      </c>
      <c r="AA444" s="33">
        <f>INDEX(Stores!$C$2:$C$21,MATCH(B444,Stores!$A$2:$A$21,0))</f>
        <v>138</v>
      </c>
      <c r="AB444" s="33">
        <f>IF(AA444&lt;180,1,0)</f>
        <v>1</v>
      </c>
      <c r="AC444" s="32" t="str">
        <f>IF(Orders!D441="","",INDEX(Riders!$C$2:$C$81,MATCH(Orders!D441,Riders!$A$2:$A$81,0)))</f>
        <v>Petrol scooter</v>
      </c>
      <c r="AD444" s="33">
        <f>IF(Orders!D441="","",INDEX(Riders!$D$2:$D$81,MATCH(Orders!D441,Riders!$A$2:$A$81,0)))</f>
        <v>48</v>
      </c>
      <c r="AE444" s="33">
        <f>IF(Orders!D441="","",IF(INDEX(Riders!$B$2:$B$81,MATCH(Orders!D441,Riders!$A$2:$A$81,0))=B444,1,0))</f>
        <v>0</v>
      </c>
      <c r="AF444" s="34">
        <f>IF(E444=1,Orders!L441,"")</f>
        <v>0.5</v>
      </c>
      <c r="AG444" s="34">
        <f>IF(E444=1,Orders!P441,"")</f>
        <v>12.6</v>
      </c>
      <c r="AH444" s="34">
        <f>IF(E444=1,Orders!Q441,"")</f>
        <v>11.7</v>
      </c>
      <c r="AI444" s="34">
        <f>IF(E444=1,Orders!M441,"")</f>
        <v>5.2</v>
      </c>
      <c r="AJ444" s="34">
        <f>IF(E444=1,Orders!N441,"")</f>
        <v>3.7</v>
      </c>
      <c r="AK444" s="34">
        <f>IF(E444=1,Orders!O441,"")</f>
        <v>2.8</v>
      </c>
      <c r="AL444" s="33">
        <f>IF(E444=1,IF(ROUND(ABS(AI444+AJ444+AK444-AH444),6)&lt;=0.1,1,0),"")</f>
        <v>1</v>
      </c>
      <c r="AM444" s="36">
        <f>IF(E444=1,AI444/AH444,"")</f>
        <v>0.444444444444445</v>
      </c>
      <c r="AN444" s="36">
        <f>IF(E444=1,AJ444/AH444,"")</f>
        <v>0.316239316239316</v>
      </c>
      <c r="AO444" s="36">
        <f>IF(E444=1,AK444/AH444,"")</f>
        <v>0.239316239316239</v>
      </c>
      <c r="AP444" s="34">
        <f>IF(E444=1,Orders!Y441,"")</f>
        <v>0.65</v>
      </c>
      <c r="AQ444" s="33">
        <f>IF(Orders!X441,1,0)</f>
        <v>0</v>
      </c>
      <c r="AR444" s="34" t="str">
        <f>IF(AND(E444=1,L444=1),AJ444,"")</f>
        <v/>
      </c>
      <c r="AS444" s="34">
        <f>IF(AND(E444=1,L444=0),AJ444,"")</f>
        <v>3.7</v>
      </c>
      <c r="AT444" s="34" t="str">
        <f>IF(AND(E444=1,L444=1),AI444,"")</f>
        <v/>
      </c>
      <c r="AU444" s="34">
        <f>IF(AND(E444=1,L444=0),AI444,"")</f>
        <v>5.2</v>
      </c>
      <c r="AV444" s="34" t="str">
        <f>IF(AND(E444=1,L444=1),AG444,"")</f>
        <v/>
      </c>
      <c r="AW444" s="34">
        <f>IF(AND(E444=1,L444=0),AG444,"")</f>
        <v>12.6</v>
      </c>
      <c r="AX444" s="34" t="str">
        <f>IF(AND(E444=1,L444=1),AH444,"")</f>
        <v/>
      </c>
      <c r="AY444" s="34">
        <f>IF(AND(E444=1,L444=0),AH444,"")</f>
        <v>11.7</v>
      </c>
      <c r="AZ444" s="34" t="str">
        <f>IF(G444=1,F444,"")</f>
        <v/>
      </c>
      <c r="BA444" s="34" t="str">
        <f>IF(AND(G444=1,L444=1),F444,"")</f>
        <v/>
      </c>
      <c r="BB444" s="34" t="str">
        <f>IF(AND(G444=1,L444=0),F444,"")</f>
        <v/>
      </c>
      <c r="BC444" s="33">
        <f>IF(E444=1,IF(Orders!R441&gt;3,1,0),"")</f>
        <v>0</v>
      </c>
      <c r="BD444" s="33">
        <f>IF(E444=1,IF(Orders!R441&gt;7,1,0),"")</f>
        <v>0</v>
      </c>
      <c r="BE444" s="32" t="str">
        <f>IF(E444=1,IF(Orders!L441&lt;=1.5,"Up to 1.5 km",IF(Orders!L441&lt;=3,"1.5–3 km","Over 3 km")),"")</f>
        <v>Up to 1.5 km</v>
      </c>
      <c r="BF444" s="33">
        <f>IF(E444=1,IF(ABS((Orders!G441-Orders!F441)*1440-Orders!R441)&lt;0.06,1,0),"")</f>
        <v>1</v>
      </c>
      <c r="BG444" s="33">
        <f>IF(ABS((Orders!F441-Orders!E441)*1440-Orders!P441)&lt;0.06,1,0)</f>
        <v>1</v>
      </c>
      <c r="BH444" s="33">
        <f>IF(E444=1,IF(IF(Orders!S441,1,0)=1-G444,1,0),"")</f>
        <v>1</v>
      </c>
      <c r="BI444" s="32" t="str">
        <f>INDEX(Stores!$B$2:$B$21,MATCH(B444,Stores!$A$2:$A$21,0))</f>
        <v>Delhi</v>
      </c>
    </row>
    <row r="445">
      <c r="A445" s="32" t="str">
        <f>Orders!A442</f>
        <v>O00441</v>
      </c>
      <c r="B445" s="32" t="str">
        <f>Orders!C442</f>
        <v>S011</v>
      </c>
      <c r="C445" s="32" t="str">
        <f>Orders!B442</f>
        <v>C0104</v>
      </c>
      <c r="D445" s="32" t="str">
        <f>Orders!H442</f>
        <v>Delivered</v>
      </c>
      <c r="E445" s="33">
        <f>IF(Orders!H442="Delivered",1,0)</f>
        <v>1</v>
      </c>
      <c r="F445" s="34">
        <f>IF(E445=1,Orders!R442,"")</f>
        <v>-0.5</v>
      </c>
      <c r="G445" s="33">
        <f>IF(E445=1,IF(Orders!R442&gt;0,1,0),"")</f>
        <v>0</v>
      </c>
      <c r="H445" s="33">
        <f>IF(E445=1,IF(Orders!R442&gt;5,1,0),"")</f>
        <v>0</v>
      </c>
      <c r="I445" s="32" t="str">
        <f>IF(E445=1,"",IF(OR(Orders!T442="Rider unavailable",Orders!T442="Item unavailable"),"Company-caused","Unresolved"))</f>
        <v/>
      </c>
      <c r="J445" s="33">
        <f>IF(OR(E445=1,I445="Company-caused"),1,0)</f>
        <v>1</v>
      </c>
      <c r="K445" s="32" t="str">
        <f>IF(E445=0,IF(I445="Company-caused",IF(Orders!T442="Rider unavailable","C1 Rider unavailable","C2 Item unavailable"),"Outside root: unresolved"),IF(G445=0,"A On time",IF(H445=1,IF(L445=1,"B2a Severe, peak","B2b Severe, off-peak"),IF(L445=1,"B1a Slight, peak","B1b Slight, off-peak"))))</f>
        <v>A On time</v>
      </c>
      <c r="L445" s="33">
        <f>IF(AND(Orders!U442&gt;=19,Orders!U442&lt;22),1,0)</f>
        <v>0</v>
      </c>
      <c r="M445" s="33">
        <f>IF(L445=IF(Orders!V442,1,0),1,0)</f>
        <v>1</v>
      </c>
      <c r="N445" s="32" t="str">
        <f>IF(Orders!W442="","None",Orders!W442)</f>
        <v>None</v>
      </c>
      <c r="O445" s="35">
        <f>INT(Orders!E442)</f>
        <v>46279.0</v>
      </c>
      <c r="P445" s="33">
        <f>Orders!U442</f>
        <v>13</v>
      </c>
      <c r="Q445" s="33">
        <f>COUNTIFS(Demand!$A$2:$A$4481,B445,Demand!$B$2:$B$4481,O445,Demand!$C$2:$C$4481,P445)</f>
        <v>1</v>
      </c>
      <c r="R445" s="33">
        <f>IF(Q445=1,SUMIFS(Demand!$E$2:$E$4481,Demand!$A$2:$A$4481,B445,Demand!$B$2:$B$4481,O445,Demand!$C$2:$C$4481,P445),"")</f>
        <v>28</v>
      </c>
      <c r="S445" s="33">
        <f>INDEX(Stores!$G$2:$G$21,MATCH(B445,Stores!$A$2:$A$21,0))</f>
        <v>31</v>
      </c>
      <c r="T445" s="34">
        <f>IF(R445="","",R445/S445)</f>
        <v>0.903225806451613</v>
      </c>
      <c r="U445" s="34">
        <f>IF(E445=1,T445,"")</f>
        <v>0.903225806451613</v>
      </c>
      <c r="V445" s="34">
        <f>IF(AND(E445=1,L445=0),T445,"")</f>
        <v>0.903225806451613</v>
      </c>
      <c r="W445" s="33">
        <f>IF(U445="","",IF(U445&lt;=Breakdowns!$C$5,1,IF(U445&lt;=Breakdowns!$C$6,2,IF(U445&lt;=Breakdowns!$C$7,3,4))))</f>
        <v>2</v>
      </c>
      <c r="X445" s="33">
        <f>IF(V445="","",IF(V445&lt;=Breakdowns!$D$5,1,IF(V445&lt;=Breakdowns!$D$6,2,IF(V445&lt;=Breakdowns!$D$7,3,4))))</f>
        <v>2</v>
      </c>
      <c r="Y445" s="34">
        <f>INDEX(Stores!$F$2:$F$21,MATCH(B445,Stores!$A$2:$A$21,0))</f>
        <v>5.67</v>
      </c>
      <c r="Z445" s="33">
        <f>IF(Y445&gt;Store_Summary!$M$2,1,0)</f>
        <v>1</v>
      </c>
      <c r="AA445" s="33">
        <f>INDEX(Stores!$C$2:$C$21,MATCH(B445,Stores!$A$2:$A$21,0))</f>
        <v>732</v>
      </c>
      <c r="AB445" s="33">
        <f>IF(AA445&lt;180,1,0)</f>
        <v>0</v>
      </c>
      <c r="AC445" s="32" t="str">
        <f>IF(Orders!D442="","",INDEX(Riders!$C$2:$C$81,MATCH(Orders!D442,Riders!$A$2:$A$81,0)))</f>
        <v>Bicycle</v>
      </c>
      <c r="AD445" s="33">
        <f>IF(Orders!D442="","",INDEX(Riders!$D$2:$D$81,MATCH(Orders!D442,Riders!$A$2:$A$81,0)))</f>
        <v>44</v>
      </c>
      <c r="AE445" s="33">
        <f>IF(Orders!D442="","",IF(INDEX(Riders!$B$2:$B$81,MATCH(Orders!D442,Riders!$A$2:$A$81,0))=B445,1,0))</f>
        <v>0</v>
      </c>
      <c r="AF445" s="34">
        <f>IF(E445=1,Orders!L442,"")</f>
        <v>2.73</v>
      </c>
      <c r="AG445" s="34">
        <f>IF(E445=1,Orders!P442,"")</f>
        <v>10.4</v>
      </c>
      <c r="AH445" s="34">
        <f>IF(E445=1,Orders!Q442,"")</f>
        <v>9.9</v>
      </c>
      <c r="AI445" s="34">
        <f>IF(E445=1,Orders!M442,"")</f>
        <v>3.6</v>
      </c>
      <c r="AJ445" s="34">
        <f>IF(E445=1,Orders!N442,"")</f>
        <v>2.5</v>
      </c>
      <c r="AK445" s="34">
        <f>IF(E445=1,Orders!O442,"")</f>
        <v>3.8</v>
      </c>
      <c r="AL445" s="33">
        <f>IF(E445=1,IF(ROUND(ABS(AI445+AJ445+AK445-AH445),6)&lt;=0.1,1,0),"")</f>
        <v>1</v>
      </c>
      <c r="AM445" s="36">
        <f>IF(E445=1,AI445/AH445,"")</f>
        <v>0.363636363636364</v>
      </c>
      <c r="AN445" s="36">
        <f>IF(E445=1,AJ445/AH445,"")</f>
        <v>0.252525252525253</v>
      </c>
      <c r="AO445" s="36">
        <f>IF(E445=1,AK445/AH445,"")</f>
        <v>0.383838383838384</v>
      </c>
      <c r="AP445" s="34">
        <f>IF(E445=1,Orders!Y442,"")</f>
        <v>0.32</v>
      </c>
      <c r="AQ445" s="33">
        <f>IF(Orders!X442,1,0)</f>
        <v>0</v>
      </c>
      <c r="AR445" s="34" t="str">
        <f>IF(AND(E445=1,L445=1),AJ445,"")</f>
        <v/>
      </c>
      <c r="AS445" s="34">
        <f>IF(AND(E445=1,L445=0),AJ445,"")</f>
        <v>2.5</v>
      </c>
      <c r="AT445" s="34" t="str">
        <f>IF(AND(E445=1,L445=1),AI445,"")</f>
        <v/>
      </c>
      <c r="AU445" s="34">
        <f>IF(AND(E445=1,L445=0),AI445,"")</f>
        <v>3.6</v>
      </c>
      <c r="AV445" s="34" t="str">
        <f>IF(AND(E445=1,L445=1),AG445,"")</f>
        <v/>
      </c>
      <c r="AW445" s="34">
        <f>IF(AND(E445=1,L445=0),AG445,"")</f>
        <v>10.4</v>
      </c>
      <c r="AX445" s="34" t="str">
        <f>IF(AND(E445=1,L445=1),AH445,"")</f>
        <v/>
      </c>
      <c r="AY445" s="34">
        <f>IF(AND(E445=1,L445=0),AH445,"")</f>
        <v>9.9</v>
      </c>
      <c r="AZ445" s="34" t="str">
        <f>IF(G445=1,F445,"")</f>
        <v/>
      </c>
      <c r="BA445" s="34" t="str">
        <f>IF(AND(G445=1,L445=1),F445,"")</f>
        <v/>
      </c>
      <c r="BB445" s="34" t="str">
        <f>IF(AND(G445=1,L445=0),F445,"")</f>
        <v/>
      </c>
      <c r="BC445" s="33">
        <f>IF(E445=1,IF(Orders!R442&gt;3,1,0),"")</f>
        <v>0</v>
      </c>
      <c r="BD445" s="33">
        <f>IF(E445=1,IF(Orders!R442&gt;7,1,0),"")</f>
        <v>0</v>
      </c>
      <c r="BE445" s="32" t="str">
        <f>IF(E445=1,IF(Orders!L442&lt;=1.5,"Up to 1.5 km",IF(Orders!L442&lt;=3,"1.5–3 km","Over 3 km")),"")</f>
        <v>1.5–3 km</v>
      </c>
      <c r="BF445" s="33">
        <f>IF(E445=1,IF(ABS((Orders!G442-Orders!F442)*1440-Orders!R442)&lt;0.06,1,0),"")</f>
        <v>1</v>
      </c>
      <c r="BG445" s="33">
        <f>IF(ABS((Orders!F442-Orders!E442)*1440-Orders!P442)&lt;0.06,1,0)</f>
        <v>1</v>
      </c>
      <c r="BH445" s="33">
        <f>IF(E445=1,IF(IF(Orders!S442,1,0)=1-G445,1,0),"")</f>
        <v>1</v>
      </c>
      <c r="BI445" s="32" t="str">
        <f>INDEX(Stores!$B$2:$B$21,MATCH(B445,Stores!$A$2:$A$21,0))</f>
        <v>Bengaluru</v>
      </c>
    </row>
    <row r="446">
      <c r="A446" s="32" t="str">
        <f>Orders!A443</f>
        <v>O00442</v>
      </c>
      <c r="B446" s="32" t="str">
        <f>Orders!C443</f>
        <v>S015</v>
      </c>
      <c r="C446" s="32" t="str">
        <f>Orders!B443</f>
        <v>C0152</v>
      </c>
      <c r="D446" s="32" t="str">
        <f>Orders!H443</f>
        <v>Delivered</v>
      </c>
      <c r="E446" s="33">
        <f>IF(Orders!H443="Delivered",1,0)</f>
        <v>1</v>
      </c>
      <c r="F446" s="34">
        <f>IF(E446=1,Orders!R443,"")</f>
        <v>7.1</v>
      </c>
      <c r="G446" s="33">
        <f>IF(E446=1,IF(Orders!R443&gt;0,1,0),"")</f>
        <v>1</v>
      </c>
      <c r="H446" s="33">
        <f>IF(E446=1,IF(Orders!R443&gt;5,1,0),"")</f>
        <v>1</v>
      </c>
      <c r="I446" s="32" t="str">
        <f>IF(E446=1,"",IF(OR(Orders!T443="Rider unavailable",Orders!T443="Item unavailable"),"Company-caused","Unresolved"))</f>
        <v/>
      </c>
      <c r="J446" s="33">
        <f>IF(OR(E446=1,I446="Company-caused"),1,0)</f>
        <v>1</v>
      </c>
      <c r="K446" s="32" t="str">
        <f>IF(E446=0,IF(I446="Company-caused",IF(Orders!T443="Rider unavailable","C1 Rider unavailable","C2 Item unavailable"),"Outside root: unresolved"),IF(G446=0,"A On time",IF(H446=1,IF(L446=1,"B2a Severe, peak","B2b Severe, off-peak"),IF(L446=1,"B1a Slight, peak","B1b Slight, off-peak"))))</f>
        <v>B2a Severe, peak</v>
      </c>
      <c r="L446" s="33">
        <f>IF(AND(Orders!U443&gt;=19,Orders!U443&lt;22),1,0)</f>
        <v>1</v>
      </c>
      <c r="M446" s="33">
        <f>IF(L446=IF(Orders!V443,1,0),1,0)</f>
        <v>1</v>
      </c>
      <c r="N446" s="32" t="str">
        <f>IF(Orders!W443="","None",Orders!W443)</f>
        <v>None</v>
      </c>
      <c r="O446" s="35">
        <f>INT(Orders!E443)</f>
        <v>46278.0</v>
      </c>
      <c r="P446" s="33">
        <f>Orders!U443</f>
        <v>20</v>
      </c>
      <c r="Q446" s="33">
        <f>COUNTIFS(Demand!$A$2:$A$4481,B446,Demand!$B$2:$B$4481,O446,Demand!$C$2:$C$4481,P446)</f>
        <v>1</v>
      </c>
      <c r="R446" s="33">
        <f>IF(Q446=1,SUMIFS(Demand!$E$2:$E$4481,Demand!$A$2:$A$4481,B446,Demand!$B$2:$B$4481,O446,Demand!$C$2:$C$4481,P446),"")</f>
        <v>38</v>
      </c>
      <c r="S446" s="33">
        <f>INDEX(Stores!$G$2:$G$21,MATCH(B446,Stores!$A$2:$A$21,0))</f>
        <v>23</v>
      </c>
      <c r="T446" s="34">
        <f>IF(R446="","",R446/S446)</f>
        <v>1.65217391304348</v>
      </c>
      <c r="U446" s="34">
        <f>IF(E446=1,T446,"")</f>
        <v>1.65217391304348</v>
      </c>
      <c r="V446" s="34" t="str">
        <f>IF(AND(E446=1,L446=0),T446,"")</f>
        <v/>
      </c>
      <c r="W446" s="33">
        <f>IF(U446="","",IF(U446&lt;=Breakdowns!$C$5,1,IF(U446&lt;=Breakdowns!$C$6,2,IF(U446&lt;=Breakdowns!$C$7,3,4))))</f>
        <v>4</v>
      </c>
      <c r="X446" s="33" t="str">
        <f>IF(V446="","",IF(V446&lt;=Breakdowns!$D$5,1,IF(V446&lt;=Breakdowns!$D$6,2,IF(V446&lt;=Breakdowns!$D$7,3,4))))</f>
        <v/>
      </c>
      <c r="Y446" s="34">
        <f>INDEX(Stores!$F$2:$F$21,MATCH(B446,Stores!$A$2:$A$21,0))</f>
        <v>4.66</v>
      </c>
      <c r="Z446" s="33">
        <f>IF(Y446&gt;Store_Summary!$M$2,1,0)</f>
        <v>0</v>
      </c>
      <c r="AA446" s="33">
        <f>INDEX(Stores!$C$2:$C$21,MATCH(B446,Stores!$A$2:$A$21,0))</f>
        <v>204</v>
      </c>
      <c r="AB446" s="33">
        <f>IF(AA446&lt;180,1,0)</f>
        <v>0</v>
      </c>
      <c r="AC446" s="32" t="str">
        <f>IF(Orders!D443="","",INDEX(Riders!$C$2:$C$81,MATCH(Orders!D443,Riders!$A$2:$A$81,0)))</f>
        <v>EV scooter</v>
      </c>
      <c r="AD446" s="33">
        <f>IF(Orders!D443="","",INDEX(Riders!$D$2:$D$81,MATCH(Orders!D443,Riders!$A$2:$A$81,0)))</f>
        <v>40</v>
      </c>
      <c r="AE446" s="33">
        <f>IF(Orders!D443="","",IF(INDEX(Riders!$B$2:$B$81,MATCH(Orders!D443,Riders!$A$2:$A$81,0))=B446,1,0))</f>
        <v>0</v>
      </c>
      <c r="AF446" s="34">
        <f>IF(E446=1,Orders!L443,"")</f>
        <v>1.44</v>
      </c>
      <c r="AG446" s="34">
        <f>IF(E446=1,Orders!P443,"")</f>
        <v>9.1</v>
      </c>
      <c r="AH446" s="34">
        <f>IF(E446=1,Orders!Q443,"")</f>
        <v>16.2</v>
      </c>
      <c r="AI446" s="34">
        <f>IF(E446=1,Orders!M443,"")</f>
        <v>5.5</v>
      </c>
      <c r="AJ446" s="34">
        <f>IF(E446=1,Orders!N443,"")</f>
        <v>6.8</v>
      </c>
      <c r="AK446" s="34">
        <f>IF(E446=1,Orders!O443,"")</f>
        <v>4</v>
      </c>
      <c r="AL446" s="33">
        <f>IF(E446=1,IF(ROUND(ABS(AI446+AJ446+AK446-AH446),6)&lt;=0.1,1,0),"")</f>
        <v>1</v>
      </c>
      <c r="AM446" s="36">
        <f>IF(E446=1,AI446/AH446,"")</f>
        <v>0.339506172839506</v>
      </c>
      <c r="AN446" s="36">
        <f>IF(E446=1,AJ446/AH446,"")</f>
        <v>0.419753086419753</v>
      </c>
      <c r="AO446" s="36">
        <f>IF(E446=1,AK446/AH446,"")</f>
        <v>0.246913580246914</v>
      </c>
      <c r="AP446" s="34">
        <f>IF(E446=1,Orders!Y443,"")</f>
        <v>0.43</v>
      </c>
      <c r="AQ446" s="33">
        <f>IF(Orders!X443,1,0)</f>
        <v>0</v>
      </c>
      <c r="AR446" s="34">
        <f>IF(AND(E446=1,L446=1),AJ446,"")</f>
        <v>6.8</v>
      </c>
      <c r="AS446" s="34" t="str">
        <f>IF(AND(E446=1,L446=0),AJ446,"")</f>
        <v/>
      </c>
      <c r="AT446" s="34">
        <f>IF(AND(E446=1,L446=1),AI446,"")</f>
        <v>5.5</v>
      </c>
      <c r="AU446" s="34" t="str">
        <f>IF(AND(E446=1,L446=0),AI446,"")</f>
        <v/>
      </c>
      <c r="AV446" s="34">
        <f>IF(AND(E446=1,L446=1),AG446,"")</f>
        <v>9.1</v>
      </c>
      <c r="AW446" s="34" t="str">
        <f>IF(AND(E446=1,L446=0),AG446,"")</f>
        <v/>
      </c>
      <c r="AX446" s="34">
        <f>IF(AND(E446=1,L446=1),AH446,"")</f>
        <v>16.2</v>
      </c>
      <c r="AY446" s="34" t="str">
        <f>IF(AND(E446=1,L446=0),AH446,"")</f>
        <v/>
      </c>
      <c r="AZ446" s="34">
        <f>IF(G446=1,F446,"")</f>
        <v>7.1</v>
      </c>
      <c r="BA446" s="34">
        <f>IF(AND(G446=1,L446=1),F446,"")</f>
        <v>7.1</v>
      </c>
      <c r="BB446" s="34" t="str">
        <f>IF(AND(G446=1,L446=0),F446,"")</f>
        <v/>
      </c>
      <c r="BC446" s="33">
        <f>IF(E446=1,IF(Orders!R443&gt;3,1,0),"")</f>
        <v>1</v>
      </c>
      <c r="BD446" s="33">
        <f>IF(E446=1,IF(Orders!R443&gt;7,1,0),"")</f>
        <v>1</v>
      </c>
      <c r="BE446" s="32" t="str">
        <f>IF(E446=1,IF(Orders!L443&lt;=1.5,"Up to 1.5 km",IF(Orders!L443&lt;=3,"1.5–3 km","Over 3 km")),"")</f>
        <v>Up to 1.5 km</v>
      </c>
      <c r="BF446" s="33">
        <f>IF(E446=1,IF(ABS((Orders!G443-Orders!F443)*1440-Orders!R443)&lt;0.06,1,0),"")</f>
        <v>1</v>
      </c>
      <c r="BG446" s="33">
        <f>IF(ABS((Orders!F443-Orders!E443)*1440-Orders!P443)&lt;0.06,1,0)</f>
        <v>1</v>
      </c>
      <c r="BH446" s="33">
        <f>IF(E446=1,IF(IF(Orders!S443,1,0)=1-G446,1,0),"")</f>
        <v>1</v>
      </c>
      <c r="BI446" s="32" t="str">
        <f>INDEX(Stores!$B$2:$B$21,MATCH(B446,Stores!$A$2:$A$21,0))</f>
        <v>Delhi</v>
      </c>
    </row>
    <row r="447">
      <c r="A447" s="32" t="str">
        <f>Orders!A444</f>
        <v>O00443</v>
      </c>
      <c r="B447" s="32" t="str">
        <f>Orders!C444</f>
        <v>S013</v>
      </c>
      <c r="C447" s="32" t="str">
        <f>Orders!B444</f>
        <v>C0001</v>
      </c>
      <c r="D447" s="32" t="str">
        <f>Orders!H444</f>
        <v>Delivered</v>
      </c>
      <c r="E447" s="33">
        <f>IF(Orders!H444="Delivered",1,0)</f>
        <v>1</v>
      </c>
      <c r="F447" s="34">
        <f>IF(E447=1,Orders!R444,"")</f>
        <v>-1.1</v>
      </c>
      <c r="G447" s="33">
        <f>IF(E447=1,IF(Orders!R444&gt;0,1,0),"")</f>
        <v>0</v>
      </c>
      <c r="H447" s="33">
        <f>IF(E447=1,IF(Orders!R444&gt;5,1,0),"")</f>
        <v>0</v>
      </c>
      <c r="I447" s="32" t="str">
        <f>IF(E447=1,"",IF(OR(Orders!T444="Rider unavailable",Orders!T444="Item unavailable"),"Company-caused","Unresolved"))</f>
        <v/>
      </c>
      <c r="J447" s="33">
        <f>IF(OR(E447=1,I447="Company-caused"),1,0)</f>
        <v>1</v>
      </c>
      <c r="K447" s="32" t="str">
        <f>IF(E447=0,IF(I447="Company-caused",IF(Orders!T444="Rider unavailable","C1 Rider unavailable","C2 Item unavailable"),"Outside root: unresolved"),IF(G447=0,"A On time",IF(H447=1,IF(L447=1,"B2a Severe, peak","B2b Severe, off-peak"),IF(L447=1,"B1a Slight, peak","B1b Slight, off-peak"))))</f>
        <v>A On time</v>
      </c>
      <c r="L447" s="33">
        <f>IF(AND(Orders!U444&gt;=19,Orders!U444&lt;22),1,0)</f>
        <v>0</v>
      </c>
      <c r="M447" s="33">
        <f>IF(L447=IF(Orders!V444,1,0),1,0)</f>
        <v>1</v>
      </c>
      <c r="N447" s="32" t="str">
        <f>IF(Orders!W444="","None",Orders!W444)</f>
        <v>None</v>
      </c>
      <c r="O447" s="35">
        <f>INT(Orders!E444)</f>
        <v>46270.0</v>
      </c>
      <c r="P447" s="33">
        <f>Orders!U444</f>
        <v>10</v>
      </c>
      <c r="Q447" s="33">
        <f>COUNTIFS(Demand!$A$2:$A$4481,B447,Demand!$B$2:$B$4481,O447,Demand!$C$2:$C$4481,P447)</f>
        <v>1</v>
      </c>
      <c r="R447" s="33">
        <f>IF(Q447=1,SUMIFS(Demand!$E$2:$E$4481,Demand!$A$2:$A$4481,B447,Demand!$B$2:$B$4481,O447,Demand!$C$2:$C$4481,P447),"")</f>
        <v>40</v>
      </c>
      <c r="S447" s="33">
        <f>INDEX(Stores!$G$2:$G$21,MATCH(B447,Stores!$A$2:$A$21,0))</f>
        <v>49</v>
      </c>
      <c r="T447" s="34">
        <f>IF(R447="","",R447/S447)</f>
        <v>0.816326530612245</v>
      </c>
      <c r="U447" s="34">
        <f>IF(E447=1,T447,"")</f>
        <v>0.816326530612245</v>
      </c>
      <c r="V447" s="34">
        <f>IF(AND(E447=1,L447=0),T447,"")</f>
        <v>0.816326530612245</v>
      </c>
      <c r="W447" s="33">
        <f>IF(U447="","",IF(U447&lt;=Breakdowns!$C$5,1,IF(U447&lt;=Breakdowns!$C$6,2,IF(U447&lt;=Breakdowns!$C$7,3,4))))</f>
        <v>2</v>
      </c>
      <c r="X447" s="33">
        <f>IF(V447="","",IF(V447&lt;=Breakdowns!$D$5,1,IF(V447&lt;=Breakdowns!$D$6,2,IF(V447&lt;=Breakdowns!$D$7,3,4))))</f>
        <v>2</v>
      </c>
      <c r="Y447" s="34">
        <f>INDEX(Stores!$F$2:$F$21,MATCH(B447,Stores!$A$2:$A$21,0))</f>
        <v>5.82</v>
      </c>
      <c r="Z447" s="33">
        <f>IF(Y447&gt;Store_Summary!$M$2,1,0)</f>
        <v>1</v>
      </c>
      <c r="AA447" s="33">
        <f>INDEX(Stores!$C$2:$C$21,MATCH(B447,Stores!$A$2:$A$21,0))</f>
        <v>705</v>
      </c>
      <c r="AB447" s="33">
        <f>IF(AA447&lt;180,1,0)</f>
        <v>0</v>
      </c>
      <c r="AC447" s="32" t="str">
        <f>IF(Orders!D444="","",INDEX(Riders!$C$2:$C$81,MATCH(Orders!D444,Riders!$A$2:$A$81,0)))</f>
        <v>Petrol scooter</v>
      </c>
      <c r="AD447" s="33">
        <f>IF(Orders!D444="","",INDEX(Riders!$D$2:$D$81,MATCH(Orders!D444,Riders!$A$2:$A$81,0)))</f>
        <v>13</v>
      </c>
      <c r="AE447" s="33">
        <f>IF(Orders!D444="","",IF(INDEX(Riders!$B$2:$B$81,MATCH(Orders!D444,Riders!$A$2:$A$81,0))=B447,1,0))</f>
        <v>1</v>
      </c>
      <c r="AF447" s="34">
        <f>IF(E447=1,Orders!L444,"")</f>
        <v>2.18</v>
      </c>
      <c r="AG447" s="34">
        <f>IF(E447=1,Orders!P444,"")</f>
        <v>9.3</v>
      </c>
      <c r="AH447" s="34">
        <f>IF(E447=1,Orders!Q444,"")</f>
        <v>8.2</v>
      </c>
      <c r="AI447" s="34">
        <f>IF(E447=1,Orders!M444,"")</f>
        <v>2.9</v>
      </c>
      <c r="AJ447" s="34">
        <f>IF(E447=1,Orders!N444,"")</f>
        <v>2.9</v>
      </c>
      <c r="AK447" s="34">
        <f>IF(E447=1,Orders!O444,"")</f>
        <v>2.4</v>
      </c>
      <c r="AL447" s="33">
        <f>IF(E447=1,IF(ROUND(ABS(AI447+AJ447+AK447-AH447),6)&lt;=0.1,1,0),"")</f>
        <v>1</v>
      </c>
      <c r="AM447" s="36">
        <f>IF(E447=1,AI447/AH447,"")</f>
        <v>0.353658536585366</v>
      </c>
      <c r="AN447" s="36">
        <f>IF(E447=1,AJ447/AH447,"")</f>
        <v>0.353658536585366</v>
      </c>
      <c r="AO447" s="36">
        <f>IF(E447=1,AK447/AH447,"")</f>
        <v>0.292682926829268</v>
      </c>
      <c r="AP447" s="34">
        <f>IF(E447=1,Orders!Y444,"")</f>
        <v>0.36</v>
      </c>
      <c r="AQ447" s="33">
        <f>IF(Orders!X444,1,0)</f>
        <v>0</v>
      </c>
      <c r="AR447" s="34" t="str">
        <f>IF(AND(E447=1,L447=1),AJ447,"")</f>
        <v/>
      </c>
      <c r="AS447" s="34">
        <f>IF(AND(E447=1,L447=0),AJ447,"")</f>
        <v>2.9</v>
      </c>
      <c r="AT447" s="34" t="str">
        <f>IF(AND(E447=1,L447=1),AI447,"")</f>
        <v/>
      </c>
      <c r="AU447" s="34">
        <f>IF(AND(E447=1,L447=0),AI447,"")</f>
        <v>2.9</v>
      </c>
      <c r="AV447" s="34" t="str">
        <f>IF(AND(E447=1,L447=1),AG447,"")</f>
        <v/>
      </c>
      <c r="AW447" s="34">
        <f>IF(AND(E447=1,L447=0),AG447,"")</f>
        <v>9.3</v>
      </c>
      <c r="AX447" s="34" t="str">
        <f>IF(AND(E447=1,L447=1),AH447,"")</f>
        <v/>
      </c>
      <c r="AY447" s="34">
        <f>IF(AND(E447=1,L447=0),AH447,"")</f>
        <v>8.2</v>
      </c>
      <c r="AZ447" s="34" t="str">
        <f>IF(G447=1,F447,"")</f>
        <v/>
      </c>
      <c r="BA447" s="34" t="str">
        <f>IF(AND(G447=1,L447=1),F447,"")</f>
        <v/>
      </c>
      <c r="BB447" s="34" t="str">
        <f>IF(AND(G447=1,L447=0),F447,"")</f>
        <v/>
      </c>
      <c r="BC447" s="33">
        <f>IF(E447=1,IF(Orders!R444&gt;3,1,0),"")</f>
        <v>0</v>
      </c>
      <c r="BD447" s="33">
        <f>IF(E447=1,IF(Orders!R444&gt;7,1,0),"")</f>
        <v>0</v>
      </c>
      <c r="BE447" s="32" t="str">
        <f>IF(E447=1,IF(Orders!L444&lt;=1.5,"Up to 1.5 km",IF(Orders!L444&lt;=3,"1.5–3 km","Over 3 km")),"")</f>
        <v>1.5–3 km</v>
      </c>
      <c r="BF447" s="33">
        <f>IF(E447=1,IF(ABS((Orders!G444-Orders!F444)*1440-Orders!R444)&lt;0.06,1,0),"")</f>
        <v>1</v>
      </c>
      <c r="BG447" s="33">
        <f>IF(ABS((Orders!F444-Orders!E444)*1440-Orders!P444)&lt;0.06,1,0)</f>
        <v>1</v>
      </c>
      <c r="BH447" s="33">
        <f>IF(E447=1,IF(IF(Orders!S444,1,0)=1-G447,1,0),"")</f>
        <v>1</v>
      </c>
      <c r="BI447" s="32" t="str">
        <f>INDEX(Stores!$B$2:$B$21,MATCH(B447,Stores!$A$2:$A$21,0))</f>
        <v>Mumbai</v>
      </c>
    </row>
    <row r="448">
      <c r="A448" s="32" t="str">
        <f>Orders!A445</f>
        <v>O00444</v>
      </c>
      <c r="B448" s="32" t="str">
        <f>Orders!C445</f>
        <v>S009</v>
      </c>
      <c r="C448" s="32" t="str">
        <f>Orders!B445</f>
        <v>C0022</v>
      </c>
      <c r="D448" s="32" t="str">
        <f>Orders!H445</f>
        <v>Delivered</v>
      </c>
      <c r="E448" s="33">
        <f>IF(Orders!H445="Delivered",1,0)</f>
        <v>1</v>
      </c>
      <c r="F448" s="34">
        <f>IF(E448=1,Orders!R445,"")</f>
        <v>-0.7</v>
      </c>
      <c r="G448" s="33">
        <f>IF(E448=1,IF(Orders!R445&gt;0,1,0),"")</f>
        <v>0</v>
      </c>
      <c r="H448" s="33">
        <f>IF(E448=1,IF(Orders!R445&gt;5,1,0),"")</f>
        <v>0</v>
      </c>
      <c r="I448" s="32" t="str">
        <f>IF(E448=1,"",IF(OR(Orders!T445="Rider unavailable",Orders!T445="Item unavailable"),"Company-caused","Unresolved"))</f>
        <v/>
      </c>
      <c r="J448" s="33">
        <f>IF(OR(E448=1,I448="Company-caused"),1,0)</f>
        <v>1</v>
      </c>
      <c r="K448" s="32" t="str">
        <f>IF(E448=0,IF(I448="Company-caused",IF(Orders!T445="Rider unavailable","C1 Rider unavailable","C2 Item unavailable"),"Outside root: unresolved"),IF(G448=0,"A On time",IF(H448=1,IF(L448=1,"B2a Severe, peak","B2b Severe, off-peak"),IF(L448=1,"B1a Slight, peak","B1b Slight, off-peak"))))</f>
        <v>A On time</v>
      </c>
      <c r="L448" s="33">
        <f>IF(AND(Orders!U445&gt;=19,Orders!U445&lt;22),1,0)</f>
        <v>0</v>
      </c>
      <c r="M448" s="33">
        <f>IF(L448=IF(Orders!V445,1,0),1,0)</f>
        <v>1</v>
      </c>
      <c r="N448" s="32" t="str">
        <f>IF(Orders!W445="","None",Orders!W445)</f>
        <v>None</v>
      </c>
      <c r="O448" s="35">
        <f>INT(Orders!E445)</f>
        <v>46270.0</v>
      </c>
      <c r="P448" s="33">
        <f>Orders!U445</f>
        <v>14</v>
      </c>
      <c r="Q448" s="33">
        <f>COUNTIFS(Demand!$A$2:$A$4481,B448,Demand!$B$2:$B$4481,O448,Demand!$C$2:$C$4481,P448)</f>
        <v>1</v>
      </c>
      <c r="R448" s="33">
        <f>IF(Q448=1,SUMIFS(Demand!$E$2:$E$4481,Demand!$A$2:$A$4481,B448,Demand!$B$2:$B$4481,O448,Demand!$C$2:$C$4481,P448),"")</f>
        <v>22</v>
      </c>
      <c r="S448" s="33">
        <f>INDEX(Stores!$G$2:$G$21,MATCH(B448,Stores!$A$2:$A$21,0))</f>
        <v>29</v>
      </c>
      <c r="T448" s="34">
        <f>IF(R448="","",R448/S448)</f>
        <v>0.758620689655172</v>
      </c>
      <c r="U448" s="34">
        <f>IF(E448=1,T448,"")</f>
        <v>0.758620689655172</v>
      </c>
      <c r="V448" s="34">
        <f>IF(AND(E448=1,L448=0),T448,"")</f>
        <v>0.758620689655172</v>
      </c>
      <c r="W448" s="33">
        <f>IF(U448="","",IF(U448&lt;=Breakdowns!$C$5,1,IF(U448&lt;=Breakdowns!$C$6,2,IF(U448&lt;=Breakdowns!$C$7,3,4))))</f>
        <v>1</v>
      </c>
      <c r="X448" s="33">
        <f>IF(V448="","",IF(V448&lt;=Breakdowns!$D$5,1,IF(V448&lt;=Breakdowns!$D$6,2,IF(V448&lt;=Breakdowns!$D$7,3,4))))</f>
        <v>2</v>
      </c>
      <c r="Y448" s="34">
        <f>INDEX(Stores!$F$2:$F$21,MATCH(B448,Stores!$A$2:$A$21,0))</f>
        <v>2.66</v>
      </c>
      <c r="Z448" s="33">
        <f>IF(Y448&gt;Store_Summary!$M$2,1,0)</f>
        <v>0</v>
      </c>
      <c r="AA448" s="33">
        <f>INDEX(Stores!$C$2:$C$21,MATCH(B448,Stores!$A$2:$A$21,0))</f>
        <v>645</v>
      </c>
      <c r="AB448" s="33">
        <f>IF(AA448&lt;180,1,0)</f>
        <v>0</v>
      </c>
      <c r="AC448" s="32" t="str">
        <f>IF(Orders!D445="","",INDEX(Riders!$C$2:$C$81,MATCH(Orders!D445,Riders!$A$2:$A$81,0)))</f>
        <v>EV scooter</v>
      </c>
      <c r="AD448" s="33">
        <f>IF(Orders!D445="","",INDEX(Riders!$D$2:$D$81,MATCH(Orders!D445,Riders!$A$2:$A$81,0)))</f>
        <v>11</v>
      </c>
      <c r="AE448" s="33">
        <f>IF(Orders!D445="","",IF(INDEX(Riders!$B$2:$B$81,MATCH(Orders!D445,Riders!$A$2:$A$81,0))=B448,1,0))</f>
        <v>0</v>
      </c>
      <c r="AF448" s="34">
        <f>IF(E448=1,Orders!L445,"")</f>
        <v>0.5</v>
      </c>
      <c r="AG448" s="34">
        <f>IF(E448=1,Orders!P445,"")</f>
        <v>10.3</v>
      </c>
      <c r="AH448" s="34">
        <f>IF(E448=1,Orders!Q445,"")</f>
        <v>9.6</v>
      </c>
      <c r="AI448" s="34">
        <f>IF(E448=1,Orders!M445,"")</f>
        <v>4.6</v>
      </c>
      <c r="AJ448" s="34">
        <f>IF(E448=1,Orders!N445,"")</f>
        <v>3</v>
      </c>
      <c r="AK448" s="34">
        <f>IF(E448=1,Orders!O445,"")</f>
        <v>2</v>
      </c>
      <c r="AL448" s="33">
        <f>IF(E448=1,IF(ROUND(ABS(AI448+AJ448+AK448-AH448),6)&lt;=0.1,1,0),"")</f>
        <v>1</v>
      </c>
      <c r="AM448" s="36">
        <f>IF(E448=1,AI448/AH448,"")</f>
        <v>0.479166666666667</v>
      </c>
      <c r="AN448" s="36">
        <f>IF(E448=1,AJ448/AH448,"")</f>
        <v>0.3125</v>
      </c>
      <c r="AO448" s="36">
        <f>IF(E448=1,AK448/AH448,"")</f>
        <v>0.208333333333333</v>
      </c>
      <c r="AP448" s="34">
        <f>IF(E448=1,Orders!Y445,"")</f>
        <v>0.18</v>
      </c>
      <c r="AQ448" s="33">
        <f>IF(Orders!X445,1,0)</f>
        <v>0</v>
      </c>
      <c r="AR448" s="34" t="str">
        <f>IF(AND(E448=1,L448=1),AJ448,"")</f>
        <v/>
      </c>
      <c r="AS448" s="34">
        <f>IF(AND(E448=1,L448=0),AJ448,"")</f>
        <v>3</v>
      </c>
      <c r="AT448" s="34" t="str">
        <f>IF(AND(E448=1,L448=1),AI448,"")</f>
        <v/>
      </c>
      <c r="AU448" s="34">
        <f>IF(AND(E448=1,L448=0),AI448,"")</f>
        <v>4.6</v>
      </c>
      <c r="AV448" s="34" t="str">
        <f>IF(AND(E448=1,L448=1),AG448,"")</f>
        <v/>
      </c>
      <c r="AW448" s="34">
        <f>IF(AND(E448=1,L448=0),AG448,"")</f>
        <v>10.3</v>
      </c>
      <c r="AX448" s="34" t="str">
        <f>IF(AND(E448=1,L448=1),AH448,"")</f>
        <v/>
      </c>
      <c r="AY448" s="34">
        <f>IF(AND(E448=1,L448=0),AH448,"")</f>
        <v>9.6</v>
      </c>
      <c r="AZ448" s="34" t="str">
        <f>IF(G448=1,F448,"")</f>
        <v/>
      </c>
      <c r="BA448" s="34" t="str">
        <f>IF(AND(G448=1,L448=1),F448,"")</f>
        <v/>
      </c>
      <c r="BB448" s="34" t="str">
        <f>IF(AND(G448=1,L448=0),F448,"")</f>
        <v/>
      </c>
      <c r="BC448" s="33">
        <f>IF(E448=1,IF(Orders!R445&gt;3,1,0),"")</f>
        <v>0</v>
      </c>
      <c r="BD448" s="33">
        <f>IF(E448=1,IF(Orders!R445&gt;7,1,0),"")</f>
        <v>0</v>
      </c>
      <c r="BE448" s="32" t="str">
        <f>IF(E448=1,IF(Orders!L445&lt;=1.5,"Up to 1.5 km",IF(Orders!L445&lt;=3,"1.5–3 km","Over 3 km")),"")</f>
        <v>Up to 1.5 km</v>
      </c>
      <c r="BF448" s="33">
        <f>IF(E448=1,IF(ABS((Orders!G445-Orders!F445)*1440-Orders!R445)&lt;0.06,1,0),"")</f>
        <v>1</v>
      </c>
      <c r="BG448" s="33">
        <f>IF(ABS((Orders!F445-Orders!E445)*1440-Orders!P445)&lt;0.06,1,0)</f>
        <v>1</v>
      </c>
      <c r="BH448" s="33">
        <f>IF(E448=1,IF(IF(Orders!S445,1,0)=1-G448,1,0),"")</f>
        <v>1</v>
      </c>
      <c r="BI448" s="32" t="str">
        <f>INDEX(Stores!$B$2:$B$21,MATCH(B448,Stores!$A$2:$A$21,0))</f>
        <v>Pune</v>
      </c>
    </row>
    <row r="449">
      <c r="A449" s="32" t="str">
        <f>Orders!A446</f>
        <v>O00445</v>
      </c>
      <c r="B449" s="32" t="str">
        <f>Orders!C446</f>
        <v>S002</v>
      </c>
      <c r="C449" s="32" t="str">
        <f>Orders!B446</f>
        <v>C0217</v>
      </c>
      <c r="D449" s="32" t="str">
        <f>Orders!H446</f>
        <v>Delivered</v>
      </c>
      <c r="E449" s="33">
        <f>IF(Orders!H446="Delivered",1,0)</f>
        <v>1</v>
      </c>
      <c r="F449" s="34">
        <f>IF(E449=1,Orders!R446,"")</f>
        <v>2.2</v>
      </c>
      <c r="G449" s="33">
        <f>IF(E449=1,IF(Orders!R446&gt;0,1,0),"")</f>
        <v>1</v>
      </c>
      <c r="H449" s="33">
        <f>IF(E449=1,IF(Orders!R446&gt;5,1,0),"")</f>
        <v>0</v>
      </c>
      <c r="I449" s="32" t="str">
        <f>IF(E449=1,"",IF(OR(Orders!T446="Rider unavailable",Orders!T446="Item unavailable"),"Company-caused","Unresolved"))</f>
        <v/>
      </c>
      <c r="J449" s="33">
        <f>IF(OR(E449=1,I449="Company-caused"),1,0)</f>
        <v>1</v>
      </c>
      <c r="K449" s="32" t="str">
        <f>IF(E449=0,IF(I449="Company-caused",IF(Orders!T446="Rider unavailable","C1 Rider unavailable","C2 Item unavailable"),"Outside root: unresolved"),IF(G449=0,"A On time",IF(H449=1,IF(L449=1,"B2a Severe, peak","B2b Severe, off-peak"),IF(L449=1,"B1a Slight, peak","B1b Slight, off-peak"))))</f>
        <v>B1b Slight, off-peak</v>
      </c>
      <c r="L449" s="33">
        <f>IF(AND(Orders!U446&gt;=19,Orders!U446&lt;22),1,0)</f>
        <v>0</v>
      </c>
      <c r="M449" s="33">
        <f>IF(L449=IF(Orders!V446,1,0),1,0)</f>
        <v>1</v>
      </c>
      <c r="N449" s="32" t="str">
        <f>IF(Orders!W446="","None",Orders!W446)</f>
        <v>None</v>
      </c>
      <c r="O449" s="35">
        <f>INT(Orders!E446)</f>
        <v>46275.0</v>
      </c>
      <c r="P449" s="33">
        <f>Orders!U446</f>
        <v>17</v>
      </c>
      <c r="Q449" s="33">
        <f>COUNTIFS(Demand!$A$2:$A$4481,B449,Demand!$B$2:$B$4481,O449,Demand!$C$2:$C$4481,P449)</f>
        <v>1</v>
      </c>
      <c r="R449" s="33">
        <f>IF(Q449=1,SUMIFS(Demand!$E$2:$E$4481,Demand!$A$2:$A$4481,B449,Demand!$B$2:$B$4481,O449,Demand!$C$2:$C$4481,P449),"")</f>
        <v>37</v>
      </c>
      <c r="S449" s="33">
        <f>INDEX(Stores!$G$2:$G$21,MATCH(B449,Stores!$A$2:$A$21,0))</f>
        <v>33</v>
      </c>
      <c r="T449" s="34">
        <f>IF(R449="","",R449/S449)</f>
        <v>1.12121212121212</v>
      </c>
      <c r="U449" s="34">
        <f>IF(E449=1,T449,"")</f>
        <v>1.12121212121212</v>
      </c>
      <c r="V449" s="34">
        <f>IF(AND(E449=1,L449=0),T449,"")</f>
        <v>1.12121212121212</v>
      </c>
      <c r="W449" s="33">
        <f>IF(U449="","",IF(U449&lt;=Breakdowns!$C$5,1,IF(U449&lt;=Breakdowns!$C$6,2,IF(U449&lt;=Breakdowns!$C$7,3,4))))</f>
        <v>3</v>
      </c>
      <c r="X449" s="33">
        <f>IF(V449="","",IF(V449&lt;=Breakdowns!$D$5,1,IF(V449&lt;=Breakdowns!$D$6,2,IF(V449&lt;=Breakdowns!$D$7,3,4))))</f>
        <v>4</v>
      </c>
      <c r="Y449" s="34">
        <f>INDEX(Stores!$F$2:$F$21,MATCH(B449,Stores!$A$2:$A$21,0))</f>
        <v>2.39</v>
      </c>
      <c r="Z449" s="33">
        <f>IF(Y449&gt;Store_Summary!$M$2,1,0)</f>
        <v>0</v>
      </c>
      <c r="AA449" s="33">
        <f>INDEX(Stores!$C$2:$C$21,MATCH(B449,Stores!$A$2:$A$21,0))</f>
        <v>470</v>
      </c>
      <c r="AB449" s="33">
        <f>IF(AA449&lt;180,1,0)</f>
        <v>0</v>
      </c>
      <c r="AC449" s="32" t="str">
        <f>IF(Orders!D446="","",INDEX(Riders!$C$2:$C$81,MATCH(Orders!D446,Riders!$A$2:$A$81,0)))</f>
        <v>EV scooter</v>
      </c>
      <c r="AD449" s="33">
        <f>IF(Orders!D446="","",INDEX(Riders!$D$2:$D$81,MATCH(Orders!D446,Riders!$A$2:$A$81,0)))</f>
        <v>21</v>
      </c>
      <c r="AE449" s="33">
        <f>IF(Orders!D446="","",IF(INDEX(Riders!$B$2:$B$81,MATCH(Orders!D446,Riders!$A$2:$A$81,0))=B449,1,0))</f>
        <v>0</v>
      </c>
      <c r="AF449" s="34">
        <f>IF(E449=1,Orders!L446,"")</f>
        <v>0.5</v>
      </c>
      <c r="AG449" s="34">
        <f>IF(E449=1,Orders!P446,"")</f>
        <v>12.4</v>
      </c>
      <c r="AH449" s="34">
        <f>IF(E449=1,Orders!Q446,"")</f>
        <v>14.6</v>
      </c>
      <c r="AI449" s="34">
        <f>IF(E449=1,Orders!M446,"")</f>
        <v>3.5</v>
      </c>
      <c r="AJ449" s="34">
        <f>IF(E449=1,Orders!N446,"")</f>
        <v>8.9</v>
      </c>
      <c r="AK449" s="34">
        <f>IF(E449=1,Orders!O446,"")</f>
        <v>2.2</v>
      </c>
      <c r="AL449" s="33">
        <f>IF(E449=1,IF(ROUND(ABS(AI449+AJ449+AK449-AH449),6)&lt;=0.1,1,0),"")</f>
        <v>1</v>
      </c>
      <c r="AM449" s="36">
        <f>IF(E449=1,AI449/AH449,"")</f>
        <v>0.23972602739726</v>
      </c>
      <c r="AN449" s="36">
        <f>IF(E449=1,AJ449/AH449,"")</f>
        <v>0.60958904109589</v>
      </c>
      <c r="AO449" s="36">
        <f>IF(E449=1,AK449/AH449,"")</f>
        <v>0.150684931506849</v>
      </c>
      <c r="AP449" s="34">
        <f>IF(E449=1,Orders!Y446,"")</f>
        <v>0.42</v>
      </c>
      <c r="AQ449" s="33">
        <f>IF(Orders!X446,1,0)</f>
        <v>0</v>
      </c>
      <c r="AR449" s="34" t="str">
        <f>IF(AND(E449=1,L449=1),AJ449,"")</f>
        <v/>
      </c>
      <c r="AS449" s="34">
        <f>IF(AND(E449=1,L449=0),AJ449,"")</f>
        <v>8.9</v>
      </c>
      <c r="AT449" s="34" t="str">
        <f>IF(AND(E449=1,L449=1),AI449,"")</f>
        <v/>
      </c>
      <c r="AU449" s="34">
        <f>IF(AND(E449=1,L449=0),AI449,"")</f>
        <v>3.5</v>
      </c>
      <c r="AV449" s="34" t="str">
        <f>IF(AND(E449=1,L449=1),AG449,"")</f>
        <v/>
      </c>
      <c r="AW449" s="34">
        <f>IF(AND(E449=1,L449=0),AG449,"")</f>
        <v>12.4</v>
      </c>
      <c r="AX449" s="34" t="str">
        <f>IF(AND(E449=1,L449=1),AH449,"")</f>
        <v/>
      </c>
      <c r="AY449" s="34">
        <f>IF(AND(E449=1,L449=0),AH449,"")</f>
        <v>14.6</v>
      </c>
      <c r="AZ449" s="34">
        <f>IF(G449=1,F449,"")</f>
        <v>2.2</v>
      </c>
      <c r="BA449" s="34" t="str">
        <f>IF(AND(G449=1,L449=1),F449,"")</f>
        <v/>
      </c>
      <c r="BB449" s="34">
        <f>IF(AND(G449=1,L449=0),F449,"")</f>
        <v>2.2</v>
      </c>
      <c r="BC449" s="33">
        <f>IF(E449=1,IF(Orders!R446&gt;3,1,0),"")</f>
        <v>0</v>
      </c>
      <c r="BD449" s="33">
        <f>IF(E449=1,IF(Orders!R446&gt;7,1,0),"")</f>
        <v>0</v>
      </c>
      <c r="BE449" s="32" t="str">
        <f>IF(E449=1,IF(Orders!L446&lt;=1.5,"Up to 1.5 km",IF(Orders!L446&lt;=3,"1.5–3 km","Over 3 km")),"")</f>
        <v>Up to 1.5 km</v>
      </c>
      <c r="BF449" s="33">
        <f>IF(E449=1,IF(ABS((Orders!G446-Orders!F446)*1440-Orders!R446)&lt;0.06,1,0),"")</f>
        <v>1</v>
      </c>
      <c r="BG449" s="33">
        <f>IF(ABS((Orders!F446-Orders!E446)*1440-Orders!P446)&lt;0.06,1,0)</f>
        <v>1</v>
      </c>
      <c r="BH449" s="33">
        <f>IF(E449=1,IF(IF(Orders!S446,1,0)=1-G449,1,0),"")</f>
        <v>1</v>
      </c>
      <c r="BI449" s="32" t="str">
        <f>INDEX(Stores!$B$2:$B$21,MATCH(B449,Stores!$A$2:$A$21,0))</f>
        <v>Hyderabad</v>
      </c>
    </row>
    <row r="450">
      <c r="A450" s="32" t="str">
        <f>Orders!A447</f>
        <v>O00446</v>
      </c>
      <c r="B450" s="32" t="str">
        <f>Orders!C447</f>
        <v>S008</v>
      </c>
      <c r="C450" s="32" t="str">
        <f>Orders!B447</f>
        <v>C0089</v>
      </c>
      <c r="D450" s="32" t="str">
        <f>Orders!H447</f>
        <v>Delivered</v>
      </c>
      <c r="E450" s="33">
        <f>IF(Orders!H447="Delivered",1,0)</f>
        <v>1</v>
      </c>
      <c r="F450" s="34">
        <f>IF(E450=1,Orders!R447,"")</f>
        <v>8.7</v>
      </c>
      <c r="G450" s="33">
        <f>IF(E450=1,IF(Orders!R447&gt;0,1,0),"")</f>
        <v>1</v>
      </c>
      <c r="H450" s="33">
        <f>IF(E450=1,IF(Orders!R447&gt;5,1,0),"")</f>
        <v>1</v>
      </c>
      <c r="I450" s="32" t="str">
        <f>IF(E450=1,"",IF(OR(Orders!T447="Rider unavailable",Orders!T447="Item unavailable"),"Company-caused","Unresolved"))</f>
        <v/>
      </c>
      <c r="J450" s="33">
        <f>IF(OR(E450=1,I450="Company-caused"),1,0)</f>
        <v>1</v>
      </c>
      <c r="K450" s="32" t="str">
        <f>IF(E450=0,IF(I450="Company-caused",IF(Orders!T447="Rider unavailable","C1 Rider unavailable","C2 Item unavailable"),"Outside root: unresolved"),IF(G450=0,"A On time",IF(H450=1,IF(L450=1,"B2a Severe, peak","B2b Severe, off-peak"),IF(L450=1,"B1a Slight, peak","B1b Slight, off-peak"))))</f>
        <v>B2b Severe, off-peak</v>
      </c>
      <c r="L450" s="33">
        <f>IF(AND(Orders!U447&gt;=19,Orders!U447&lt;22),1,0)</f>
        <v>0</v>
      </c>
      <c r="M450" s="33">
        <f>IF(L450=IF(Orders!V447,1,0),1,0)</f>
        <v>1</v>
      </c>
      <c r="N450" s="32" t="str">
        <f>IF(Orders!W447="","None",Orders!W447)</f>
        <v>None</v>
      </c>
      <c r="O450" s="35">
        <f>INT(Orders!E447)</f>
        <v>46271.0</v>
      </c>
      <c r="P450" s="33">
        <f>Orders!U447</f>
        <v>13</v>
      </c>
      <c r="Q450" s="33">
        <f>COUNTIFS(Demand!$A$2:$A$4481,B450,Demand!$B$2:$B$4481,O450,Demand!$C$2:$C$4481,P450)</f>
        <v>1</v>
      </c>
      <c r="R450" s="33">
        <f>IF(Q450=1,SUMIFS(Demand!$E$2:$E$4481,Demand!$A$2:$A$4481,B450,Demand!$B$2:$B$4481,O450,Demand!$C$2:$C$4481,P450),"")</f>
        <v>24</v>
      </c>
      <c r="S450" s="33">
        <f>INDEX(Stores!$G$2:$G$21,MATCH(B450,Stores!$A$2:$A$21,0))</f>
        <v>23</v>
      </c>
      <c r="T450" s="34">
        <f>IF(R450="","",R450/S450)</f>
        <v>1.04347826086957</v>
      </c>
      <c r="U450" s="34">
        <f>IF(E450=1,T450,"")</f>
        <v>1.04347826086957</v>
      </c>
      <c r="V450" s="34">
        <f>IF(AND(E450=1,L450=0),T450,"")</f>
        <v>1.04347826086957</v>
      </c>
      <c r="W450" s="33">
        <f>IF(U450="","",IF(U450&lt;=Breakdowns!$C$5,1,IF(U450&lt;=Breakdowns!$C$6,2,IF(U450&lt;=Breakdowns!$C$7,3,4))))</f>
        <v>3</v>
      </c>
      <c r="X450" s="33">
        <f>IF(V450="","",IF(V450&lt;=Breakdowns!$D$5,1,IF(V450&lt;=Breakdowns!$D$6,2,IF(V450&lt;=Breakdowns!$D$7,3,4))))</f>
        <v>3</v>
      </c>
      <c r="Y450" s="34">
        <f>INDEX(Stores!$F$2:$F$21,MATCH(B450,Stores!$A$2:$A$21,0))</f>
        <v>3.46</v>
      </c>
      <c r="Z450" s="33">
        <f>IF(Y450&gt;Store_Summary!$M$2,1,0)</f>
        <v>0</v>
      </c>
      <c r="AA450" s="33">
        <f>INDEX(Stores!$C$2:$C$21,MATCH(B450,Stores!$A$2:$A$21,0))</f>
        <v>825</v>
      </c>
      <c r="AB450" s="33">
        <f>IF(AA450&lt;180,1,0)</f>
        <v>0</v>
      </c>
      <c r="AC450" s="32" t="str">
        <f>IF(Orders!D447="","",INDEX(Riders!$C$2:$C$81,MATCH(Orders!D447,Riders!$A$2:$A$81,0)))</f>
        <v>EV scooter</v>
      </c>
      <c r="AD450" s="33">
        <f>IF(Orders!D447="","",INDEX(Riders!$D$2:$D$81,MATCH(Orders!D447,Riders!$A$2:$A$81,0)))</f>
        <v>38</v>
      </c>
      <c r="AE450" s="33">
        <f>IF(Orders!D447="","",IF(INDEX(Riders!$B$2:$B$81,MATCH(Orders!D447,Riders!$A$2:$A$81,0))=B450,1,0))</f>
        <v>0</v>
      </c>
      <c r="AF450" s="34">
        <f>IF(E450=1,Orders!L447,"")</f>
        <v>2.5</v>
      </c>
      <c r="AG450" s="34">
        <f>IF(E450=1,Orders!P447,"")</f>
        <v>10</v>
      </c>
      <c r="AH450" s="34">
        <f>IF(E450=1,Orders!Q447,"")</f>
        <v>18.7</v>
      </c>
      <c r="AI450" s="34">
        <f>IF(E450=1,Orders!M447,"")</f>
        <v>4.3</v>
      </c>
      <c r="AJ450" s="34">
        <f>IF(E450=1,Orders!N447,"")</f>
        <v>8.9</v>
      </c>
      <c r="AK450" s="34">
        <f>IF(E450=1,Orders!O447,"")</f>
        <v>5.6</v>
      </c>
      <c r="AL450" s="33">
        <f>IF(E450=1,IF(ROUND(ABS(AI450+AJ450+AK450-AH450),6)&lt;=0.1,1,0),"")</f>
        <v>1</v>
      </c>
      <c r="AM450" s="36">
        <f>IF(E450=1,AI450/AH450,"")</f>
        <v>0.229946524064171</v>
      </c>
      <c r="AN450" s="36">
        <f>IF(E450=1,AJ450/AH450,"")</f>
        <v>0.475935828877005</v>
      </c>
      <c r="AO450" s="36">
        <f>IF(E450=1,AK450/AH450,"")</f>
        <v>0.299465240641711</v>
      </c>
      <c r="AP450" s="34">
        <f>IF(E450=1,Orders!Y447,"")</f>
        <v>0.36</v>
      </c>
      <c r="AQ450" s="33">
        <f>IF(Orders!X447,1,0)</f>
        <v>1</v>
      </c>
      <c r="AR450" s="34" t="str">
        <f>IF(AND(E450=1,L450=1),AJ450,"")</f>
        <v/>
      </c>
      <c r="AS450" s="34">
        <f>IF(AND(E450=1,L450=0),AJ450,"")</f>
        <v>8.9</v>
      </c>
      <c r="AT450" s="34" t="str">
        <f>IF(AND(E450=1,L450=1),AI450,"")</f>
        <v/>
      </c>
      <c r="AU450" s="34">
        <f>IF(AND(E450=1,L450=0),AI450,"")</f>
        <v>4.3</v>
      </c>
      <c r="AV450" s="34" t="str">
        <f>IF(AND(E450=1,L450=1),AG450,"")</f>
        <v/>
      </c>
      <c r="AW450" s="34">
        <f>IF(AND(E450=1,L450=0),AG450,"")</f>
        <v>10</v>
      </c>
      <c r="AX450" s="34" t="str">
        <f>IF(AND(E450=1,L450=1),AH450,"")</f>
        <v/>
      </c>
      <c r="AY450" s="34">
        <f>IF(AND(E450=1,L450=0),AH450,"")</f>
        <v>18.7</v>
      </c>
      <c r="AZ450" s="34">
        <f>IF(G450=1,F450,"")</f>
        <v>8.7</v>
      </c>
      <c r="BA450" s="34" t="str">
        <f>IF(AND(G450=1,L450=1),F450,"")</f>
        <v/>
      </c>
      <c r="BB450" s="34">
        <f>IF(AND(G450=1,L450=0),F450,"")</f>
        <v>8.7</v>
      </c>
      <c r="BC450" s="33">
        <f>IF(E450=1,IF(Orders!R447&gt;3,1,0),"")</f>
        <v>1</v>
      </c>
      <c r="BD450" s="33">
        <f>IF(E450=1,IF(Orders!R447&gt;7,1,0),"")</f>
        <v>1</v>
      </c>
      <c r="BE450" s="32" t="str">
        <f>IF(E450=1,IF(Orders!L447&lt;=1.5,"Up to 1.5 km",IF(Orders!L447&lt;=3,"1.5–3 km","Over 3 km")),"")</f>
        <v>1.5–3 km</v>
      </c>
      <c r="BF450" s="33">
        <f>IF(E450=1,IF(ABS((Orders!G447-Orders!F447)*1440-Orders!R447)&lt;0.06,1,0),"")</f>
        <v>1</v>
      </c>
      <c r="BG450" s="33">
        <f>IF(ABS((Orders!F447-Orders!E447)*1440-Orders!P447)&lt;0.06,1,0)</f>
        <v>1</v>
      </c>
      <c r="BH450" s="33">
        <f>IF(E450=1,IF(IF(Orders!S447,1,0)=1-G450,1,0),"")</f>
        <v>1</v>
      </c>
      <c r="BI450" s="32" t="str">
        <f>INDEX(Stores!$B$2:$B$21,MATCH(B450,Stores!$A$2:$A$21,0))</f>
        <v>Mumbai</v>
      </c>
    </row>
    <row r="451">
      <c r="A451" s="32" t="str">
        <f>Orders!A448</f>
        <v>O00447</v>
      </c>
      <c r="B451" s="32" t="str">
        <f>Orders!C448</f>
        <v>S015</v>
      </c>
      <c r="C451" s="32" t="str">
        <f>Orders!B448</f>
        <v>C0156</v>
      </c>
      <c r="D451" s="32" t="str">
        <f>Orders!H448</f>
        <v>Delivered</v>
      </c>
      <c r="E451" s="33">
        <f>IF(Orders!H448="Delivered",1,0)</f>
        <v>1</v>
      </c>
      <c r="F451" s="34">
        <f>IF(E451=1,Orders!R448,"")</f>
        <v>4.9</v>
      </c>
      <c r="G451" s="33">
        <f>IF(E451=1,IF(Orders!R448&gt;0,1,0),"")</f>
        <v>1</v>
      </c>
      <c r="H451" s="33">
        <f>IF(E451=1,IF(Orders!R448&gt;5,1,0),"")</f>
        <v>0</v>
      </c>
      <c r="I451" s="32" t="str">
        <f>IF(E451=1,"",IF(OR(Orders!T448="Rider unavailable",Orders!T448="Item unavailable"),"Company-caused","Unresolved"))</f>
        <v/>
      </c>
      <c r="J451" s="33">
        <f>IF(OR(E451=1,I451="Company-caused"),1,0)</f>
        <v>1</v>
      </c>
      <c r="K451" s="32" t="str">
        <f>IF(E451=0,IF(I451="Company-caused",IF(Orders!T448="Rider unavailable","C1 Rider unavailable","C2 Item unavailable"),"Outside root: unresolved"),IF(G451=0,"A On time",IF(H451=1,IF(L451=1,"B2a Severe, peak","B2b Severe, off-peak"),IF(L451=1,"B1a Slight, peak","B1b Slight, off-peak"))))</f>
        <v>B1b Slight, off-peak</v>
      </c>
      <c r="L451" s="33">
        <f>IF(AND(Orders!U448&gt;=19,Orders!U448&lt;22),1,0)</f>
        <v>0</v>
      </c>
      <c r="M451" s="33">
        <f>IF(L451=IF(Orders!V448,1,0),1,0)</f>
        <v>1</v>
      </c>
      <c r="N451" s="32" t="str">
        <f>IF(Orders!W448="","None",Orders!W448)</f>
        <v>None</v>
      </c>
      <c r="O451" s="35">
        <f>INT(Orders!E448)</f>
        <v>46267.0</v>
      </c>
      <c r="P451" s="33">
        <f>Orders!U448</f>
        <v>12</v>
      </c>
      <c r="Q451" s="33">
        <f>COUNTIFS(Demand!$A$2:$A$4481,B451,Demand!$B$2:$B$4481,O451,Demand!$C$2:$C$4481,P451)</f>
        <v>1</v>
      </c>
      <c r="R451" s="33">
        <f>IF(Q451=1,SUMIFS(Demand!$E$2:$E$4481,Demand!$A$2:$A$4481,B451,Demand!$B$2:$B$4481,O451,Demand!$C$2:$C$4481,P451),"")</f>
        <v>21</v>
      </c>
      <c r="S451" s="33">
        <f>INDEX(Stores!$G$2:$G$21,MATCH(B451,Stores!$A$2:$A$21,0))</f>
        <v>23</v>
      </c>
      <c r="T451" s="34">
        <f>IF(R451="","",R451/S451)</f>
        <v>0.91304347826087</v>
      </c>
      <c r="U451" s="34">
        <f>IF(E451=1,T451,"")</f>
        <v>0.91304347826087</v>
      </c>
      <c r="V451" s="34">
        <f>IF(AND(E451=1,L451=0),T451,"")</f>
        <v>0.91304347826087</v>
      </c>
      <c r="W451" s="33">
        <f>IF(U451="","",IF(U451&lt;=Breakdowns!$C$5,1,IF(U451&lt;=Breakdowns!$C$6,2,IF(U451&lt;=Breakdowns!$C$7,3,4))))</f>
        <v>2</v>
      </c>
      <c r="X451" s="33">
        <f>IF(V451="","",IF(V451&lt;=Breakdowns!$D$5,1,IF(V451&lt;=Breakdowns!$D$6,2,IF(V451&lt;=Breakdowns!$D$7,3,4))))</f>
        <v>2</v>
      </c>
      <c r="Y451" s="34">
        <f>INDEX(Stores!$F$2:$F$21,MATCH(B451,Stores!$A$2:$A$21,0))</f>
        <v>4.66</v>
      </c>
      <c r="Z451" s="33">
        <f>IF(Y451&gt;Store_Summary!$M$2,1,0)</f>
        <v>0</v>
      </c>
      <c r="AA451" s="33">
        <f>INDEX(Stores!$C$2:$C$21,MATCH(B451,Stores!$A$2:$A$21,0))</f>
        <v>204</v>
      </c>
      <c r="AB451" s="33">
        <f>IF(AA451&lt;180,1,0)</f>
        <v>0</v>
      </c>
      <c r="AC451" s="32" t="str">
        <f>IF(Orders!D448="","",INDEX(Riders!$C$2:$C$81,MATCH(Orders!D448,Riders!$A$2:$A$81,0)))</f>
        <v>EV scooter</v>
      </c>
      <c r="AD451" s="33">
        <f>IF(Orders!D448="","",INDEX(Riders!$D$2:$D$81,MATCH(Orders!D448,Riders!$A$2:$A$81,0)))</f>
        <v>45</v>
      </c>
      <c r="AE451" s="33">
        <f>IF(Orders!D448="","",IF(INDEX(Riders!$B$2:$B$81,MATCH(Orders!D448,Riders!$A$2:$A$81,0))=B451,1,0))</f>
        <v>0</v>
      </c>
      <c r="AF451" s="34">
        <f>IF(E451=1,Orders!L448,"")</f>
        <v>0.56</v>
      </c>
      <c r="AG451" s="34">
        <f>IF(E451=1,Orders!P448,"")</f>
        <v>8.5</v>
      </c>
      <c r="AH451" s="34">
        <f>IF(E451=1,Orders!Q448,"")</f>
        <v>13.4</v>
      </c>
      <c r="AI451" s="34">
        <f>IF(E451=1,Orders!M448,"")</f>
        <v>4.2</v>
      </c>
      <c r="AJ451" s="34">
        <f>IF(E451=1,Orders!N448,"")</f>
        <v>7</v>
      </c>
      <c r="AK451" s="34">
        <f>IF(E451=1,Orders!O448,"")</f>
        <v>2.2</v>
      </c>
      <c r="AL451" s="33">
        <f>IF(E451=1,IF(ROUND(ABS(AI451+AJ451+AK451-AH451),6)&lt;=0.1,1,0),"")</f>
        <v>1</v>
      </c>
      <c r="AM451" s="36">
        <f>IF(E451=1,AI451/AH451,"")</f>
        <v>0.313432835820896</v>
      </c>
      <c r="AN451" s="36">
        <f>IF(E451=1,AJ451/AH451,"")</f>
        <v>0.522388059701493</v>
      </c>
      <c r="AO451" s="36">
        <f>IF(E451=1,AK451/AH451,"")</f>
        <v>0.164179104477612</v>
      </c>
      <c r="AP451" s="34">
        <f>IF(E451=1,Orders!Y448,"")</f>
        <v>0.27</v>
      </c>
      <c r="AQ451" s="33">
        <f>IF(Orders!X448,1,0)</f>
        <v>0</v>
      </c>
      <c r="AR451" s="34" t="str">
        <f>IF(AND(E451=1,L451=1),AJ451,"")</f>
        <v/>
      </c>
      <c r="AS451" s="34">
        <f>IF(AND(E451=1,L451=0),AJ451,"")</f>
        <v>7</v>
      </c>
      <c r="AT451" s="34" t="str">
        <f>IF(AND(E451=1,L451=1),AI451,"")</f>
        <v/>
      </c>
      <c r="AU451" s="34">
        <f>IF(AND(E451=1,L451=0),AI451,"")</f>
        <v>4.2</v>
      </c>
      <c r="AV451" s="34" t="str">
        <f>IF(AND(E451=1,L451=1),AG451,"")</f>
        <v/>
      </c>
      <c r="AW451" s="34">
        <f>IF(AND(E451=1,L451=0),AG451,"")</f>
        <v>8.5</v>
      </c>
      <c r="AX451" s="34" t="str">
        <f>IF(AND(E451=1,L451=1),AH451,"")</f>
        <v/>
      </c>
      <c r="AY451" s="34">
        <f>IF(AND(E451=1,L451=0),AH451,"")</f>
        <v>13.4</v>
      </c>
      <c r="AZ451" s="34">
        <f>IF(G451=1,F451,"")</f>
        <v>4.9</v>
      </c>
      <c r="BA451" s="34" t="str">
        <f>IF(AND(G451=1,L451=1),F451,"")</f>
        <v/>
      </c>
      <c r="BB451" s="34">
        <f>IF(AND(G451=1,L451=0),F451,"")</f>
        <v>4.9</v>
      </c>
      <c r="BC451" s="33">
        <f>IF(E451=1,IF(Orders!R448&gt;3,1,0),"")</f>
        <v>1</v>
      </c>
      <c r="BD451" s="33">
        <f>IF(E451=1,IF(Orders!R448&gt;7,1,0),"")</f>
        <v>0</v>
      </c>
      <c r="BE451" s="32" t="str">
        <f>IF(E451=1,IF(Orders!L448&lt;=1.5,"Up to 1.5 km",IF(Orders!L448&lt;=3,"1.5–3 km","Over 3 km")),"")</f>
        <v>Up to 1.5 km</v>
      </c>
      <c r="BF451" s="33">
        <f>IF(E451=1,IF(ABS((Orders!G448-Orders!F448)*1440-Orders!R448)&lt;0.06,1,0),"")</f>
        <v>1</v>
      </c>
      <c r="BG451" s="33">
        <f>IF(ABS((Orders!F448-Orders!E448)*1440-Orders!P448)&lt;0.06,1,0)</f>
        <v>1</v>
      </c>
      <c r="BH451" s="33">
        <f>IF(E451=1,IF(IF(Orders!S448,1,0)=1-G451,1,0),"")</f>
        <v>1</v>
      </c>
      <c r="BI451" s="32" t="str">
        <f>INDEX(Stores!$B$2:$B$21,MATCH(B451,Stores!$A$2:$A$21,0))</f>
        <v>Delhi</v>
      </c>
    </row>
    <row r="452">
      <c r="A452" s="32" t="str">
        <f>Orders!A449</f>
        <v>O00448</v>
      </c>
      <c r="B452" s="32" t="str">
        <f>Orders!C449</f>
        <v>S009</v>
      </c>
      <c r="C452" s="32" t="str">
        <f>Orders!B449</f>
        <v>C0076</v>
      </c>
      <c r="D452" s="32" t="str">
        <f>Orders!H449</f>
        <v>Delivered</v>
      </c>
      <c r="E452" s="33">
        <f>IF(Orders!H449="Delivered",1,0)</f>
        <v>1</v>
      </c>
      <c r="F452" s="34">
        <f>IF(E452=1,Orders!R449,"")</f>
        <v>-0.4</v>
      </c>
      <c r="G452" s="33">
        <f>IF(E452=1,IF(Orders!R449&gt;0,1,0),"")</f>
        <v>0</v>
      </c>
      <c r="H452" s="33">
        <f>IF(E452=1,IF(Orders!R449&gt;5,1,0),"")</f>
        <v>0</v>
      </c>
      <c r="I452" s="32" t="str">
        <f>IF(E452=1,"",IF(OR(Orders!T449="Rider unavailable",Orders!T449="Item unavailable"),"Company-caused","Unresolved"))</f>
        <v/>
      </c>
      <c r="J452" s="33">
        <f>IF(OR(E452=1,I452="Company-caused"),1,0)</f>
        <v>1</v>
      </c>
      <c r="K452" s="32" t="str">
        <f>IF(E452=0,IF(I452="Company-caused",IF(Orders!T449="Rider unavailable","C1 Rider unavailable","C2 Item unavailable"),"Outside root: unresolved"),IF(G452=0,"A On time",IF(H452=1,IF(L452=1,"B2a Severe, peak","B2b Severe, off-peak"),IF(L452=1,"B1a Slight, peak","B1b Slight, off-peak"))))</f>
        <v>A On time</v>
      </c>
      <c r="L452" s="33">
        <f>IF(AND(Orders!U449&gt;=19,Orders!U449&lt;22),1,0)</f>
        <v>0</v>
      </c>
      <c r="M452" s="33">
        <f>IF(L452=IF(Orders!V449,1,0),1,0)</f>
        <v>1</v>
      </c>
      <c r="N452" s="32" t="str">
        <f>IF(Orders!W449="","None",Orders!W449)</f>
        <v>None</v>
      </c>
      <c r="O452" s="35">
        <f>INT(Orders!E449)</f>
        <v>46277.0</v>
      </c>
      <c r="P452" s="33">
        <f>Orders!U449</f>
        <v>10</v>
      </c>
      <c r="Q452" s="33">
        <f>COUNTIFS(Demand!$A$2:$A$4481,B452,Demand!$B$2:$B$4481,O452,Demand!$C$2:$C$4481,P452)</f>
        <v>1</v>
      </c>
      <c r="R452" s="33">
        <f>IF(Q452=1,SUMIFS(Demand!$E$2:$E$4481,Demand!$A$2:$A$4481,B452,Demand!$B$2:$B$4481,O452,Demand!$C$2:$C$4481,P452),"")</f>
        <v>20</v>
      </c>
      <c r="S452" s="33">
        <f>INDEX(Stores!$G$2:$G$21,MATCH(B452,Stores!$A$2:$A$21,0))</f>
        <v>29</v>
      </c>
      <c r="T452" s="34">
        <f>IF(R452="","",R452/S452)</f>
        <v>0.689655172413793</v>
      </c>
      <c r="U452" s="34">
        <f>IF(E452=1,T452,"")</f>
        <v>0.689655172413793</v>
      </c>
      <c r="V452" s="34">
        <f>IF(AND(E452=1,L452=0),T452,"")</f>
        <v>0.689655172413793</v>
      </c>
      <c r="W452" s="33">
        <f>IF(U452="","",IF(U452&lt;=Breakdowns!$C$5,1,IF(U452&lt;=Breakdowns!$C$6,2,IF(U452&lt;=Breakdowns!$C$7,3,4))))</f>
        <v>1</v>
      </c>
      <c r="X452" s="33">
        <f>IF(V452="","",IF(V452&lt;=Breakdowns!$D$5,1,IF(V452&lt;=Breakdowns!$D$6,2,IF(V452&lt;=Breakdowns!$D$7,3,4))))</f>
        <v>1</v>
      </c>
      <c r="Y452" s="34">
        <f>INDEX(Stores!$F$2:$F$21,MATCH(B452,Stores!$A$2:$A$21,0))</f>
        <v>2.66</v>
      </c>
      <c r="Z452" s="33">
        <f>IF(Y452&gt;Store_Summary!$M$2,1,0)</f>
        <v>0</v>
      </c>
      <c r="AA452" s="33">
        <f>INDEX(Stores!$C$2:$C$21,MATCH(B452,Stores!$A$2:$A$21,0))</f>
        <v>645</v>
      </c>
      <c r="AB452" s="33">
        <f>IF(AA452&lt;180,1,0)</f>
        <v>0</v>
      </c>
      <c r="AC452" s="32" t="str">
        <f>IF(Orders!D449="","",INDEX(Riders!$C$2:$C$81,MATCH(Orders!D449,Riders!$A$2:$A$81,0)))</f>
        <v>Bicycle</v>
      </c>
      <c r="AD452" s="33">
        <f>IF(Orders!D449="","",INDEX(Riders!$D$2:$D$81,MATCH(Orders!D449,Riders!$A$2:$A$81,0)))</f>
        <v>14</v>
      </c>
      <c r="AE452" s="33">
        <f>IF(Orders!D449="","",IF(INDEX(Riders!$B$2:$B$81,MATCH(Orders!D449,Riders!$A$2:$A$81,0))=B452,1,0))</f>
        <v>0</v>
      </c>
      <c r="AF452" s="34">
        <f>IF(E452=1,Orders!L449,"")</f>
        <v>2.68</v>
      </c>
      <c r="AG452" s="34">
        <f>IF(E452=1,Orders!P449,"")</f>
        <v>11</v>
      </c>
      <c r="AH452" s="34">
        <f>IF(E452=1,Orders!Q449,"")</f>
        <v>10.6</v>
      </c>
      <c r="AI452" s="34">
        <f>IF(E452=1,Orders!M449,"")</f>
        <v>2.6</v>
      </c>
      <c r="AJ452" s="34">
        <f>IF(E452=1,Orders!N449,"")</f>
        <v>2.4</v>
      </c>
      <c r="AK452" s="34">
        <f>IF(E452=1,Orders!O449,"")</f>
        <v>5.6</v>
      </c>
      <c r="AL452" s="33">
        <f>IF(E452=1,IF(ROUND(ABS(AI452+AJ452+AK452-AH452),6)&lt;=0.1,1,0),"")</f>
        <v>1</v>
      </c>
      <c r="AM452" s="36">
        <f>IF(E452=1,AI452/AH452,"")</f>
        <v>0.245283018867925</v>
      </c>
      <c r="AN452" s="36">
        <f>IF(E452=1,AJ452/AH452,"")</f>
        <v>0.226415094339623</v>
      </c>
      <c r="AO452" s="36">
        <f>IF(E452=1,AK452/AH452,"")</f>
        <v>0.528301886792453</v>
      </c>
      <c r="AP452" s="34">
        <f>IF(E452=1,Orders!Y449,"")</f>
        <v>0.57</v>
      </c>
      <c r="AQ452" s="33">
        <f>IF(Orders!X449,1,0)</f>
        <v>0</v>
      </c>
      <c r="AR452" s="34" t="str">
        <f>IF(AND(E452=1,L452=1),AJ452,"")</f>
        <v/>
      </c>
      <c r="AS452" s="34">
        <f>IF(AND(E452=1,L452=0),AJ452,"")</f>
        <v>2.4</v>
      </c>
      <c r="AT452" s="34" t="str">
        <f>IF(AND(E452=1,L452=1),AI452,"")</f>
        <v/>
      </c>
      <c r="AU452" s="34">
        <f>IF(AND(E452=1,L452=0),AI452,"")</f>
        <v>2.6</v>
      </c>
      <c r="AV452" s="34" t="str">
        <f>IF(AND(E452=1,L452=1),AG452,"")</f>
        <v/>
      </c>
      <c r="AW452" s="34">
        <f>IF(AND(E452=1,L452=0),AG452,"")</f>
        <v>11</v>
      </c>
      <c r="AX452" s="34" t="str">
        <f>IF(AND(E452=1,L452=1),AH452,"")</f>
        <v/>
      </c>
      <c r="AY452" s="34">
        <f>IF(AND(E452=1,L452=0),AH452,"")</f>
        <v>10.6</v>
      </c>
      <c r="AZ452" s="34" t="str">
        <f>IF(G452=1,F452,"")</f>
        <v/>
      </c>
      <c r="BA452" s="34" t="str">
        <f>IF(AND(G452=1,L452=1),F452,"")</f>
        <v/>
      </c>
      <c r="BB452" s="34" t="str">
        <f>IF(AND(G452=1,L452=0),F452,"")</f>
        <v/>
      </c>
      <c r="BC452" s="33">
        <f>IF(E452=1,IF(Orders!R449&gt;3,1,0),"")</f>
        <v>0</v>
      </c>
      <c r="BD452" s="33">
        <f>IF(E452=1,IF(Orders!R449&gt;7,1,0),"")</f>
        <v>0</v>
      </c>
      <c r="BE452" s="32" t="str">
        <f>IF(E452=1,IF(Orders!L449&lt;=1.5,"Up to 1.5 km",IF(Orders!L449&lt;=3,"1.5–3 km","Over 3 km")),"")</f>
        <v>1.5–3 km</v>
      </c>
      <c r="BF452" s="33">
        <f>IF(E452=1,IF(ABS((Orders!G449-Orders!F449)*1440-Orders!R449)&lt;0.06,1,0),"")</f>
        <v>1</v>
      </c>
      <c r="BG452" s="33">
        <f>IF(ABS((Orders!F449-Orders!E449)*1440-Orders!P449)&lt;0.06,1,0)</f>
        <v>1</v>
      </c>
      <c r="BH452" s="33">
        <f>IF(E452=1,IF(IF(Orders!S449,1,0)=1-G452,1,0),"")</f>
        <v>1</v>
      </c>
      <c r="BI452" s="32" t="str">
        <f>INDEX(Stores!$B$2:$B$21,MATCH(B452,Stores!$A$2:$A$21,0))</f>
        <v>Pune</v>
      </c>
    </row>
    <row r="453">
      <c r="A453" s="32" t="str">
        <f>Orders!A450</f>
        <v>O00449</v>
      </c>
      <c r="B453" s="32" t="str">
        <f>Orders!C450</f>
        <v>S008</v>
      </c>
      <c r="C453" s="32" t="str">
        <f>Orders!B450</f>
        <v>C0237</v>
      </c>
      <c r="D453" s="32" t="str">
        <f>Orders!H450</f>
        <v>Delivered</v>
      </c>
      <c r="E453" s="33">
        <f>IF(Orders!H450="Delivered",1,0)</f>
        <v>1</v>
      </c>
      <c r="F453" s="34">
        <f>IF(E453=1,Orders!R450,"")</f>
        <v>-0.6</v>
      </c>
      <c r="G453" s="33">
        <f>IF(E453=1,IF(Orders!R450&gt;0,1,0),"")</f>
        <v>0</v>
      </c>
      <c r="H453" s="33">
        <f>IF(E453=1,IF(Orders!R450&gt;5,1,0),"")</f>
        <v>0</v>
      </c>
      <c r="I453" s="32" t="str">
        <f>IF(E453=1,"",IF(OR(Orders!T450="Rider unavailable",Orders!T450="Item unavailable"),"Company-caused","Unresolved"))</f>
        <v/>
      </c>
      <c r="J453" s="33">
        <f>IF(OR(E453=1,I453="Company-caused"),1,0)</f>
        <v>1</v>
      </c>
      <c r="K453" s="32" t="str">
        <f>IF(E453=0,IF(I453="Company-caused",IF(Orders!T450="Rider unavailable","C1 Rider unavailable","C2 Item unavailable"),"Outside root: unresolved"),IF(G453=0,"A On time",IF(H453=1,IF(L453=1,"B2a Severe, peak","B2b Severe, off-peak"),IF(L453=1,"B1a Slight, peak","B1b Slight, off-peak"))))</f>
        <v>A On time</v>
      </c>
      <c r="L453" s="33">
        <f>IF(AND(Orders!U450&gt;=19,Orders!U450&lt;22),1,0)</f>
        <v>0</v>
      </c>
      <c r="M453" s="33">
        <f>IF(L453=IF(Orders!V450,1,0),1,0)</f>
        <v>1</v>
      </c>
      <c r="N453" s="32" t="str">
        <f>IF(Orders!W450="","None",Orders!W450)</f>
        <v>None</v>
      </c>
      <c r="O453" s="35">
        <f>INT(Orders!E450)</f>
        <v>46275.0</v>
      </c>
      <c r="P453" s="33">
        <f>Orders!U450</f>
        <v>16</v>
      </c>
      <c r="Q453" s="33">
        <f>COUNTIFS(Demand!$A$2:$A$4481,B453,Demand!$B$2:$B$4481,O453,Demand!$C$2:$C$4481,P453)</f>
        <v>1</v>
      </c>
      <c r="R453" s="33">
        <f>IF(Q453=1,SUMIFS(Demand!$E$2:$E$4481,Demand!$A$2:$A$4481,B453,Demand!$B$2:$B$4481,O453,Demand!$C$2:$C$4481,P453),"")</f>
        <v>18</v>
      </c>
      <c r="S453" s="33">
        <f>INDEX(Stores!$G$2:$G$21,MATCH(B453,Stores!$A$2:$A$21,0))</f>
        <v>23</v>
      </c>
      <c r="T453" s="34">
        <f>IF(R453="","",R453/S453)</f>
        <v>0.782608695652174</v>
      </c>
      <c r="U453" s="34">
        <f>IF(E453=1,T453,"")</f>
        <v>0.782608695652174</v>
      </c>
      <c r="V453" s="34">
        <f>IF(AND(E453=1,L453=0),T453,"")</f>
        <v>0.782608695652174</v>
      </c>
      <c r="W453" s="33">
        <f>IF(U453="","",IF(U453&lt;=Breakdowns!$C$5,1,IF(U453&lt;=Breakdowns!$C$6,2,IF(U453&lt;=Breakdowns!$C$7,3,4))))</f>
        <v>1</v>
      </c>
      <c r="X453" s="33">
        <f>IF(V453="","",IF(V453&lt;=Breakdowns!$D$5,1,IF(V453&lt;=Breakdowns!$D$6,2,IF(V453&lt;=Breakdowns!$D$7,3,4))))</f>
        <v>2</v>
      </c>
      <c r="Y453" s="34">
        <f>INDEX(Stores!$F$2:$F$21,MATCH(B453,Stores!$A$2:$A$21,0))</f>
        <v>3.46</v>
      </c>
      <c r="Z453" s="33">
        <f>IF(Y453&gt;Store_Summary!$M$2,1,0)</f>
        <v>0</v>
      </c>
      <c r="AA453" s="33">
        <f>INDEX(Stores!$C$2:$C$21,MATCH(B453,Stores!$A$2:$A$21,0))</f>
        <v>825</v>
      </c>
      <c r="AB453" s="33">
        <f>IF(AA453&lt;180,1,0)</f>
        <v>0</v>
      </c>
      <c r="AC453" s="32" t="str">
        <f>IF(Orders!D450="","",INDEX(Riders!$C$2:$C$81,MATCH(Orders!D450,Riders!$A$2:$A$81,0)))</f>
        <v>Petrol scooter</v>
      </c>
      <c r="AD453" s="33">
        <f>IF(Orders!D450="","",INDEX(Riders!$D$2:$D$81,MATCH(Orders!D450,Riders!$A$2:$A$81,0)))</f>
        <v>48</v>
      </c>
      <c r="AE453" s="33">
        <f>IF(Orders!D450="","",IF(INDEX(Riders!$B$2:$B$81,MATCH(Orders!D450,Riders!$A$2:$A$81,0))=B453,1,0))</f>
        <v>0</v>
      </c>
      <c r="AF453" s="34">
        <f>IF(E453=1,Orders!L450,"")</f>
        <v>3.19</v>
      </c>
      <c r="AG453" s="34">
        <f>IF(E453=1,Orders!P450,"")</f>
        <v>14.1</v>
      </c>
      <c r="AH453" s="34">
        <f>IF(E453=1,Orders!Q450,"")</f>
        <v>13.5</v>
      </c>
      <c r="AI453" s="34">
        <f>IF(E453=1,Orders!M450,"")</f>
        <v>3.6</v>
      </c>
      <c r="AJ453" s="34">
        <f>IF(E453=1,Orders!N450,"")</f>
        <v>4.4</v>
      </c>
      <c r="AK453" s="34">
        <f>IF(E453=1,Orders!O450,"")</f>
        <v>5.5</v>
      </c>
      <c r="AL453" s="33">
        <f>IF(E453=1,IF(ROUND(ABS(AI453+AJ453+AK453-AH453),6)&lt;=0.1,1,0),"")</f>
        <v>1</v>
      </c>
      <c r="AM453" s="36">
        <f>IF(E453=1,AI453/AH453,"")</f>
        <v>0.266666666666667</v>
      </c>
      <c r="AN453" s="36">
        <f>IF(E453=1,AJ453/AH453,"")</f>
        <v>0.325925925925926</v>
      </c>
      <c r="AO453" s="36">
        <f>IF(E453=1,AK453/AH453,"")</f>
        <v>0.407407407407407</v>
      </c>
      <c r="AP453" s="34">
        <f>IF(E453=1,Orders!Y450,"")</f>
        <v>0.36</v>
      </c>
      <c r="AQ453" s="33">
        <f>IF(Orders!X450,1,0)</f>
        <v>0</v>
      </c>
      <c r="AR453" s="34" t="str">
        <f>IF(AND(E453=1,L453=1),AJ453,"")</f>
        <v/>
      </c>
      <c r="AS453" s="34">
        <f>IF(AND(E453=1,L453=0),AJ453,"")</f>
        <v>4.4</v>
      </c>
      <c r="AT453" s="34" t="str">
        <f>IF(AND(E453=1,L453=1),AI453,"")</f>
        <v/>
      </c>
      <c r="AU453" s="34">
        <f>IF(AND(E453=1,L453=0),AI453,"")</f>
        <v>3.6</v>
      </c>
      <c r="AV453" s="34" t="str">
        <f>IF(AND(E453=1,L453=1),AG453,"")</f>
        <v/>
      </c>
      <c r="AW453" s="34">
        <f>IF(AND(E453=1,L453=0),AG453,"")</f>
        <v>14.1</v>
      </c>
      <c r="AX453" s="34" t="str">
        <f>IF(AND(E453=1,L453=1),AH453,"")</f>
        <v/>
      </c>
      <c r="AY453" s="34">
        <f>IF(AND(E453=1,L453=0),AH453,"")</f>
        <v>13.5</v>
      </c>
      <c r="AZ453" s="34" t="str">
        <f>IF(G453=1,F453,"")</f>
        <v/>
      </c>
      <c r="BA453" s="34" t="str">
        <f>IF(AND(G453=1,L453=1),F453,"")</f>
        <v/>
      </c>
      <c r="BB453" s="34" t="str">
        <f>IF(AND(G453=1,L453=0),F453,"")</f>
        <v/>
      </c>
      <c r="BC453" s="33">
        <f>IF(E453=1,IF(Orders!R450&gt;3,1,0),"")</f>
        <v>0</v>
      </c>
      <c r="BD453" s="33">
        <f>IF(E453=1,IF(Orders!R450&gt;7,1,0),"")</f>
        <v>0</v>
      </c>
      <c r="BE453" s="32" t="str">
        <f>IF(E453=1,IF(Orders!L450&lt;=1.5,"Up to 1.5 km",IF(Orders!L450&lt;=3,"1.5–3 km","Over 3 km")),"")</f>
        <v>Over 3 km</v>
      </c>
      <c r="BF453" s="33">
        <f>IF(E453=1,IF(ABS((Orders!G450-Orders!F450)*1440-Orders!R450)&lt;0.06,1,0),"")</f>
        <v>1</v>
      </c>
      <c r="BG453" s="33">
        <f>IF(ABS((Orders!F450-Orders!E450)*1440-Orders!P450)&lt;0.06,1,0)</f>
        <v>1</v>
      </c>
      <c r="BH453" s="33">
        <f>IF(E453=1,IF(IF(Orders!S450,1,0)=1-G453,1,0),"")</f>
        <v>1</v>
      </c>
      <c r="BI453" s="32" t="str">
        <f>INDEX(Stores!$B$2:$B$21,MATCH(B453,Stores!$A$2:$A$21,0))</f>
        <v>Mumbai</v>
      </c>
    </row>
    <row r="454">
      <c r="A454" s="32" t="str">
        <f>Orders!A451</f>
        <v>O00450</v>
      </c>
      <c r="B454" s="32" t="str">
        <f>Orders!C451</f>
        <v>S011</v>
      </c>
      <c r="C454" s="32" t="str">
        <f>Orders!B451</f>
        <v>C0040</v>
      </c>
      <c r="D454" s="32" t="str">
        <f>Orders!H451</f>
        <v>Delivered</v>
      </c>
      <c r="E454" s="33">
        <f>IF(Orders!H451="Delivered",1,0)</f>
        <v>1</v>
      </c>
      <c r="F454" s="34">
        <f>IF(E454=1,Orders!R451,"")</f>
        <v>6.3</v>
      </c>
      <c r="G454" s="33">
        <f>IF(E454=1,IF(Orders!R451&gt;0,1,0),"")</f>
        <v>1</v>
      </c>
      <c r="H454" s="33">
        <f>IF(E454=1,IF(Orders!R451&gt;5,1,0),"")</f>
        <v>1</v>
      </c>
      <c r="I454" s="32" t="str">
        <f>IF(E454=1,"",IF(OR(Orders!T451="Rider unavailable",Orders!T451="Item unavailable"),"Company-caused","Unresolved"))</f>
        <v/>
      </c>
      <c r="J454" s="33">
        <f>IF(OR(E454=1,I454="Company-caused"),1,0)</f>
        <v>1</v>
      </c>
      <c r="K454" s="32" t="str">
        <f>IF(E454=0,IF(I454="Company-caused",IF(Orders!T451="Rider unavailable","C1 Rider unavailable","C2 Item unavailable"),"Outside root: unresolved"),IF(G454=0,"A On time",IF(H454=1,IF(L454=1,"B2a Severe, peak","B2b Severe, off-peak"),IF(L454=1,"B1a Slight, peak","B1b Slight, off-peak"))))</f>
        <v>B2b Severe, off-peak</v>
      </c>
      <c r="L454" s="33">
        <f>IF(AND(Orders!U451&gt;=19,Orders!U451&lt;22),1,0)</f>
        <v>0</v>
      </c>
      <c r="M454" s="33">
        <f>IF(L454=IF(Orders!V451,1,0),1,0)</f>
        <v>1</v>
      </c>
      <c r="N454" s="32" t="str">
        <f>IF(Orders!W451="","None",Orders!W451)</f>
        <v>None</v>
      </c>
      <c r="O454" s="35">
        <f>INT(Orders!E451)</f>
        <v>46266.0</v>
      </c>
      <c r="P454" s="33">
        <f>Orders!U451</f>
        <v>23</v>
      </c>
      <c r="Q454" s="33">
        <f>COUNTIFS(Demand!$A$2:$A$4481,B454,Demand!$B$2:$B$4481,O454,Demand!$C$2:$C$4481,P454)</f>
        <v>1</v>
      </c>
      <c r="R454" s="33">
        <f>IF(Q454=1,SUMIFS(Demand!$E$2:$E$4481,Demand!$A$2:$A$4481,B454,Demand!$B$2:$B$4481,O454,Demand!$C$2:$C$4481,P454),"")</f>
        <v>32</v>
      </c>
      <c r="S454" s="33">
        <f>INDEX(Stores!$G$2:$G$21,MATCH(B454,Stores!$A$2:$A$21,0))</f>
        <v>31</v>
      </c>
      <c r="T454" s="34">
        <f>IF(R454="","",R454/S454)</f>
        <v>1.03225806451613</v>
      </c>
      <c r="U454" s="34">
        <f>IF(E454=1,T454,"")</f>
        <v>1.03225806451613</v>
      </c>
      <c r="V454" s="34">
        <f>IF(AND(E454=1,L454=0),T454,"")</f>
        <v>1.03225806451613</v>
      </c>
      <c r="W454" s="33">
        <f>IF(U454="","",IF(U454&lt;=Breakdowns!$C$5,1,IF(U454&lt;=Breakdowns!$C$6,2,IF(U454&lt;=Breakdowns!$C$7,3,4))))</f>
        <v>3</v>
      </c>
      <c r="X454" s="33">
        <f>IF(V454="","",IF(V454&lt;=Breakdowns!$D$5,1,IF(V454&lt;=Breakdowns!$D$6,2,IF(V454&lt;=Breakdowns!$D$7,3,4))))</f>
        <v>3</v>
      </c>
      <c r="Y454" s="34">
        <f>INDEX(Stores!$F$2:$F$21,MATCH(B454,Stores!$A$2:$A$21,0))</f>
        <v>5.67</v>
      </c>
      <c r="Z454" s="33">
        <f>IF(Y454&gt;Store_Summary!$M$2,1,0)</f>
        <v>1</v>
      </c>
      <c r="AA454" s="33">
        <f>INDEX(Stores!$C$2:$C$21,MATCH(B454,Stores!$A$2:$A$21,0))</f>
        <v>732</v>
      </c>
      <c r="AB454" s="33">
        <f>IF(AA454&lt;180,1,0)</f>
        <v>0</v>
      </c>
      <c r="AC454" s="32" t="str">
        <f>IF(Orders!D451="","",INDEX(Riders!$C$2:$C$81,MATCH(Orders!D451,Riders!$A$2:$A$81,0)))</f>
        <v>EV scooter</v>
      </c>
      <c r="AD454" s="33">
        <f>IF(Orders!D451="","",INDEX(Riders!$D$2:$D$81,MATCH(Orders!D451,Riders!$A$2:$A$81,0)))</f>
        <v>46</v>
      </c>
      <c r="AE454" s="33">
        <f>IF(Orders!D451="","",IF(INDEX(Riders!$B$2:$B$81,MATCH(Orders!D451,Riders!$A$2:$A$81,0))=B454,1,0))</f>
        <v>0</v>
      </c>
      <c r="AF454" s="34">
        <f>IF(E454=1,Orders!L451,"")</f>
        <v>0.92</v>
      </c>
      <c r="AG454" s="34">
        <f>IF(E454=1,Orders!P451,"")</f>
        <v>10</v>
      </c>
      <c r="AH454" s="34">
        <f>IF(E454=1,Orders!Q451,"")</f>
        <v>16.3</v>
      </c>
      <c r="AI454" s="34">
        <f>IF(E454=1,Orders!M451,"")</f>
        <v>7.2</v>
      </c>
      <c r="AJ454" s="34">
        <f>IF(E454=1,Orders!N451,"")</f>
        <v>5.2</v>
      </c>
      <c r="AK454" s="34">
        <f>IF(E454=1,Orders!O451,"")</f>
        <v>3.9</v>
      </c>
      <c r="AL454" s="33">
        <f>IF(E454=1,IF(ROUND(ABS(AI454+AJ454+AK454-AH454),6)&lt;=0.1,1,0),"")</f>
        <v>1</v>
      </c>
      <c r="AM454" s="36">
        <f>IF(E454=1,AI454/AH454,"")</f>
        <v>0.441717791411043</v>
      </c>
      <c r="AN454" s="36">
        <f>IF(E454=1,AJ454/AH454,"")</f>
        <v>0.319018404907975</v>
      </c>
      <c r="AO454" s="36">
        <f>IF(E454=1,AK454/AH454,"")</f>
        <v>0.239263803680982</v>
      </c>
      <c r="AP454" s="34">
        <f>IF(E454=1,Orders!Y451,"")</f>
        <v>0.58</v>
      </c>
      <c r="AQ454" s="33">
        <f>IF(Orders!X451,1,0)</f>
        <v>0</v>
      </c>
      <c r="AR454" s="34" t="str">
        <f>IF(AND(E454=1,L454=1),AJ454,"")</f>
        <v/>
      </c>
      <c r="AS454" s="34">
        <f>IF(AND(E454=1,L454=0),AJ454,"")</f>
        <v>5.2</v>
      </c>
      <c r="AT454" s="34" t="str">
        <f>IF(AND(E454=1,L454=1),AI454,"")</f>
        <v/>
      </c>
      <c r="AU454" s="34">
        <f>IF(AND(E454=1,L454=0),AI454,"")</f>
        <v>7.2</v>
      </c>
      <c r="AV454" s="34" t="str">
        <f>IF(AND(E454=1,L454=1),AG454,"")</f>
        <v/>
      </c>
      <c r="AW454" s="34">
        <f>IF(AND(E454=1,L454=0),AG454,"")</f>
        <v>10</v>
      </c>
      <c r="AX454" s="34" t="str">
        <f>IF(AND(E454=1,L454=1),AH454,"")</f>
        <v/>
      </c>
      <c r="AY454" s="34">
        <f>IF(AND(E454=1,L454=0),AH454,"")</f>
        <v>16.3</v>
      </c>
      <c r="AZ454" s="34">
        <f>IF(G454=1,F454,"")</f>
        <v>6.3</v>
      </c>
      <c r="BA454" s="34" t="str">
        <f>IF(AND(G454=1,L454=1),F454,"")</f>
        <v/>
      </c>
      <c r="BB454" s="34">
        <f>IF(AND(G454=1,L454=0),F454,"")</f>
        <v>6.3</v>
      </c>
      <c r="BC454" s="33">
        <f>IF(E454=1,IF(Orders!R451&gt;3,1,0),"")</f>
        <v>1</v>
      </c>
      <c r="BD454" s="33">
        <f>IF(E454=1,IF(Orders!R451&gt;7,1,0),"")</f>
        <v>0</v>
      </c>
      <c r="BE454" s="32" t="str">
        <f>IF(E454=1,IF(Orders!L451&lt;=1.5,"Up to 1.5 km",IF(Orders!L451&lt;=3,"1.5–3 km","Over 3 km")),"")</f>
        <v>Up to 1.5 km</v>
      </c>
      <c r="BF454" s="33">
        <f>IF(E454=1,IF(ABS((Orders!G451-Orders!F451)*1440-Orders!R451)&lt;0.06,1,0),"")</f>
        <v>1</v>
      </c>
      <c r="BG454" s="33">
        <f>IF(ABS((Orders!F451-Orders!E451)*1440-Orders!P451)&lt;0.06,1,0)</f>
        <v>1</v>
      </c>
      <c r="BH454" s="33">
        <f>IF(E454=1,IF(IF(Orders!S451,1,0)=1-G454,1,0),"")</f>
        <v>1</v>
      </c>
      <c r="BI454" s="32" t="str">
        <f>INDEX(Stores!$B$2:$B$21,MATCH(B454,Stores!$A$2:$A$21,0))</f>
        <v>Bengaluru</v>
      </c>
    </row>
    <row r="455">
      <c r="A455" s="32" t="str">
        <f>Orders!A452</f>
        <v>O00451</v>
      </c>
      <c r="B455" s="32" t="str">
        <f>Orders!C452</f>
        <v>S002</v>
      </c>
      <c r="C455" s="32" t="str">
        <f>Orders!B452</f>
        <v>C0173</v>
      </c>
      <c r="D455" s="32" t="str">
        <f>Orders!H452</f>
        <v>Delivered</v>
      </c>
      <c r="E455" s="33">
        <f>IF(Orders!H452="Delivered",1,0)</f>
        <v>1</v>
      </c>
      <c r="F455" s="34">
        <f>IF(E455=1,Orders!R452,"")</f>
        <v>-0.7</v>
      </c>
      <c r="G455" s="33">
        <f>IF(E455=1,IF(Orders!R452&gt;0,1,0),"")</f>
        <v>0</v>
      </c>
      <c r="H455" s="33">
        <f>IF(E455=1,IF(Orders!R452&gt;5,1,0),"")</f>
        <v>0</v>
      </c>
      <c r="I455" s="32" t="str">
        <f>IF(E455=1,"",IF(OR(Orders!T452="Rider unavailable",Orders!T452="Item unavailable"),"Company-caused","Unresolved"))</f>
        <v/>
      </c>
      <c r="J455" s="33">
        <f>IF(OR(E455=1,I455="Company-caused"),1,0)</f>
        <v>1</v>
      </c>
      <c r="K455" s="32" t="str">
        <f>IF(E455=0,IF(I455="Company-caused",IF(Orders!T452="Rider unavailable","C1 Rider unavailable","C2 Item unavailable"),"Outside root: unresolved"),IF(G455=0,"A On time",IF(H455=1,IF(L455=1,"B2a Severe, peak","B2b Severe, off-peak"),IF(L455=1,"B1a Slight, peak","B1b Slight, off-peak"))))</f>
        <v>A On time</v>
      </c>
      <c r="L455" s="33">
        <f>IF(AND(Orders!U452&gt;=19,Orders!U452&lt;22),1,0)</f>
        <v>0</v>
      </c>
      <c r="M455" s="33">
        <f>IF(L455=IF(Orders!V452,1,0),1,0)</f>
        <v>1</v>
      </c>
      <c r="N455" s="32" t="str">
        <f>IF(Orders!W452="","None",Orders!W452)</f>
        <v>None</v>
      </c>
      <c r="O455" s="35">
        <f>INT(Orders!E452)</f>
        <v>46268.0</v>
      </c>
      <c r="P455" s="33">
        <f>Orders!U452</f>
        <v>22</v>
      </c>
      <c r="Q455" s="33">
        <f>COUNTIFS(Demand!$A$2:$A$4481,B455,Demand!$B$2:$B$4481,O455,Demand!$C$2:$C$4481,P455)</f>
        <v>1</v>
      </c>
      <c r="R455" s="33">
        <f>IF(Q455=1,SUMIFS(Demand!$E$2:$E$4481,Demand!$A$2:$A$4481,B455,Demand!$B$2:$B$4481,O455,Demand!$C$2:$C$4481,P455),"")</f>
        <v>28</v>
      </c>
      <c r="S455" s="33">
        <f>INDEX(Stores!$G$2:$G$21,MATCH(B455,Stores!$A$2:$A$21,0))</f>
        <v>33</v>
      </c>
      <c r="T455" s="34">
        <f>IF(R455="","",R455/S455)</f>
        <v>0.848484848484849</v>
      </c>
      <c r="U455" s="34">
        <f>IF(E455=1,T455,"")</f>
        <v>0.848484848484849</v>
      </c>
      <c r="V455" s="34">
        <f>IF(AND(E455=1,L455=0),T455,"")</f>
        <v>0.848484848484849</v>
      </c>
      <c r="W455" s="33">
        <f>IF(U455="","",IF(U455&lt;=Breakdowns!$C$5,1,IF(U455&lt;=Breakdowns!$C$6,2,IF(U455&lt;=Breakdowns!$C$7,3,4))))</f>
        <v>2</v>
      </c>
      <c r="X455" s="33">
        <f>IF(V455="","",IF(V455&lt;=Breakdowns!$D$5,1,IF(V455&lt;=Breakdowns!$D$6,2,IF(V455&lt;=Breakdowns!$D$7,3,4))))</f>
        <v>2</v>
      </c>
      <c r="Y455" s="34">
        <f>INDEX(Stores!$F$2:$F$21,MATCH(B455,Stores!$A$2:$A$21,0))</f>
        <v>2.39</v>
      </c>
      <c r="Z455" s="33">
        <f>IF(Y455&gt;Store_Summary!$M$2,1,0)</f>
        <v>0</v>
      </c>
      <c r="AA455" s="33">
        <f>INDEX(Stores!$C$2:$C$21,MATCH(B455,Stores!$A$2:$A$21,0))</f>
        <v>470</v>
      </c>
      <c r="AB455" s="33">
        <f>IF(AA455&lt;180,1,0)</f>
        <v>0</v>
      </c>
      <c r="AC455" s="32" t="str">
        <f>IF(Orders!D452="","",INDEX(Riders!$C$2:$C$81,MATCH(Orders!D452,Riders!$A$2:$A$81,0)))</f>
        <v>Bicycle</v>
      </c>
      <c r="AD455" s="33">
        <f>IF(Orders!D452="","",INDEX(Riders!$D$2:$D$81,MATCH(Orders!D452,Riders!$A$2:$A$81,0)))</f>
        <v>2</v>
      </c>
      <c r="AE455" s="33">
        <f>IF(Orders!D452="","",IF(INDEX(Riders!$B$2:$B$81,MATCH(Orders!D452,Riders!$A$2:$A$81,0))=B455,1,0))</f>
        <v>0</v>
      </c>
      <c r="AF455" s="34">
        <f>IF(E455=1,Orders!L452,"")</f>
        <v>2.19</v>
      </c>
      <c r="AG455" s="34">
        <f>IF(E455=1,Orders!P452,"")</f>
        <v>9.8</v>
      </c>
      <c r="AH455" s="34">
        <f>IF(E455=1,Orders!Q452,"")</f>
        <v>9.1</v>
      </c>
      <c r="AI455" s="34">
        <f>IF(E455=1,Orders!M452,"")</f>
        <v>1.7</v>
      </c>
      <c r="AJ455" s="34">
        <f>IF(E455=1,Orders!N452,"")</f>
        <v>3.2</v>
      </c>
      <c r="AK455" s="34">
        <f>IF(E455=1,Orders!O452,"")</f>
        <v>4.2</v>
      </c>
      <c r="AL455" s="33">
        <f>IF(E455=1,IF(ROUND(ABS(AI455+AJ455+AK455-AH455),6)&lt;=0.1,1,0),"")</f>
        <v>1</v>
      </c>
      <c r="AM455" s="36">
        <f>IF(E455=1,AI455/AH455,"")</f>
        <v>0.186813186813187</v>
      </c>
      <c r="AN455" s="36">
        <f>IF(E455=1,AJ455/AH455,"")</f>
        <v>0.351648351648352</v>
      </c>
      <c r="AO455" s="36">
        <f>IF(E455=1,AK455/AH455,"")</f>
        <v>0.461538461538462</v>
      </c>
      <c r="AP455" s="34">
        <f>IF(E455=1,Orders!Y452,"")</f>
        <v>0.3</v>
      </c>
      <c r="AQ455" s="33">
        <f>IF(Orders!X452,1,0)</f>
        <v>1</v>
      </c>
      <c r="AR455" s="34" t="str">
        <f>IF(AND(E455=1,L455=1),AJ455,"")</f>
        <v/>
      </c>
      <c r="AS455" s="34">
        <f>IF(AND(E455=1,L455=0),AJ455,"")</f>
        <v>3.2</v>
      </c>
      <c r="AT455" s="34" t="str">
        <f>IF(AND(E455=1,L455=1),AI455,"")</f>
        <v/>
      </c>
      <c r="AU455" s="34">
        <f>IF(AND(E455=1,L455=0),AI455,"")</f>
        <v>1.7</v>
      </c>
      <c r="AV455" s="34" t="str">
        <f>IF(AND(E455=1,L455=1),AG455,"")</f>
        <v/>
      </c>
      <c r="AW455" s="34">
        <f>IF(AND(E455=1,L455=0),AG455,"")</f>
        <v>9.8</v>
      </c>
      <c r="AX455" s="34" t="str">
        <f>IF(AND(E455=1,L455=1),AH455,"")</f>
        <v/>
      </c>
      <c r="AY455" s="34">
        <f>IF(AND(E455=1,L455=0),AH455,"")</f>
        <v>9.1</v>
      </c>
      <c r="AZ455" s="34" t="str">
        <f>IF(G455=1,F455,"")</f>
        <v/>
      </c>
      <c r="BA455" s="34" t="str">
        <f>IF(AND(G455=1,L455=1),F455,"")</f>
        <v/>
      </c>
      <c r="BB455" s="34" t="str">
        <f>IF(AND(G455=1,L455=0),F455,"")</f>
        <v/>
      </c>
      <c r="BC455" s="33">
        <f>IF(E455=1,IF(Orders!R452&gt;3,1,0),"")</f>
        <v>0</v>
      </c>
      <c r="BD455" s="33">
        <f>IF(E455=1,IF(Orders!R452&gt;7,1,0),"")</f>
        <v>0</v>
      </c>
      <c r="BE455" s="32" t="str">
        <f>IF(E455=1,IF(Orders!L452&lt;=1.5,"Up to 1.5 km",IF(Orders!L452&lt;=3,"1.5–3 km","Over 3 km")),"")</f>
        <v>1.5–3 km</v>
      </c>
      <c r="BF455" s="33">
        <f>IF(E455=1,IF(ABS((Orders!G452-Orders!F452)*1440-Orders!R452)&lt;0.06,1,0),"")</f>
        <v>1</v>
      </c>
      <c r="BG455" s="33">
        <f>IF(ABS((Orders!F452-Orders!E452)*1440-Orders!P452)&lt;0.06,1,0)</f>
        <v>1</v>
      </c>
      <c r="BH455" s="33">
        <f>IF(E455=1,IF(IF(Orders!S452,1,0)=1-G455,1,0),"")</f>
        <v>1</v>
      </c>
      <c r="BI455" s="32" t="str">
        <f>INDEX(Stores!$B$2:$B$21,MATCH(B455,Stores!$A$2:$A$21,0))</f>
        <v>Hyderabad</v>
      </c>
    </row>
    <row r="456">
      <c r="A456" s="32" t="str">
        <f>Orders!A453</f>
        <v>O00452</v>
      </c>
      <c r="B456" s="32" t="str">
        <f>Orders!C453</f>
        <v>S020</v>
      </c>
      <c r="C456" s="32" t="str">
        <f>Orders!B453</f>
        <v>C0102</v>
      </c>
      <c r="D456" s="32" t="str">
        <f>Orders!H453</f>
        <v>Delivered</v>
      </c>
      <c r="E456" s="33">
        <f>IF(Orders!H453="Delivered",1,0)</f>
        <v>1</v>
      </c>
      <c r="F456" s="34">
        <f>IF(E456=1,Orders!R453,"")</f>
        <v>-0.6</v>
      </c>
      <c r="G456" s="33">
        <f>IF(E456=1,IF(Orders!R453&gt;0,1,0),"")</f>
        <v>0</v>
      </c>
      <c r="H456" s="33">
        <f>IF(E456=1,IF(Orders!R453&gt;5,1,0),"")</f>
        <v>0</v>
      </c>
      <c r="I456" s="32" t="str">
        <f>IF(E456=1,"",IF(OR(Orders!T453="Rider unavailable",Orders!T453="Item unavailable"),"Company-caused","Unresolved"))</f>
        <v/>
      </c>
      <c r="J456" s="33">
        <f>IF(OR(E456=1,I456="Company-caused"),1,0)</f>
        <v>1</v>
      </c>
      <c r="K456" s="32" t="str">
        <f>IF(E456=0,IF(I456="Company-caused",IF(Orders!T453="Rider unavailable","C1 Rider unavailable","C2 Item unavailable"),"Outside root: unresolved"),IF(G456=0,"A On time",IF(H456=1,IF(L456=1,"B2a Severe, peak","B2b Severe, off-peak"),IF(L456=1,"B1a Slight, peak","B1b Slight, off-peak"))))</f>
        <v>A On time</v>
      </c>
      <c r="L456" s="33">
        <f>IF(AND(Orders!U453&gt;=19,Orders!U453&lt;22),1,0)</f>
        <v>0</v>
      </c>
      <c r="M456" s="33">
        <f>IF(L456=IF(Orders!V453,1,0),1,0)</f>
        <v>1</v>
      </c>
      <c r="N456" s="32" t="str">
        <f>IF(Orders!W453="","None",Orders!W453)</f>
        <v>Light</v>
      </c>
      <c r="O456" s="35">
        <f>INT(Orders!E453)</f>
        <v>46267.0</v>
      </c>
      <c r="P456" s="33">
        <f>Orders!U453</f>
        <v>16</v>
      </c>
      <c r="Q456" s="33">
        <f>COUNTIFS(Demand!$A$2:$A$4481,B456,Demand!$B$2:$B$4481,O456,Demand!$C$2:$C$4481,P456)</f>
        <v>1</v>
      </c>
      <c r="R456" s="33">
        <f>IF(Q456=1,SUMIFS(Demand!$E$2:$E$4481,Demand!$A$2:$A$4481,B456,Demand!$B$2:$B$4481,O456,Demand!$C$2:$C$4481,P456),"")</f>
        <v>13</v>
      </c>
      <c r="S456" s="33">
        <f>INDEX(Stores!$G$2:$G$21,MATCH(B456,Stores!$A$2:$A$21,0))</f>
        <v>15</v>
      </c>
      <c r="T456" s="34">
        <f>IF(R456="","",R456/S456)</f>
        <v>0.866666666666667</v>
      </c>
      <c r="U456" s="34">
        <f>IF(E456=1,T456,"")</f>
        <v>0.866666666666667</v>
      </c>
      <c r="V456" s="34">
        <f>IF(AND(E456=1,L456=0),T456,"")</f>
        <v>0.866666666666667</v>
      </c>
      <c r="W456" s="33">
        <f>IF(U456="","",IF(U456&lt;=Breakdowns!$C$5,1,IF(U456&lt;=Breakdowns!$C$6,2,IF(U456&lt;=Breakdowns!$C$7,3,4))))</f>
        <v>2</v>
      </c>
      <c r="X456" s="33">
        <f>IF(V456="","",IF(V456&lt;=Breakdowns!$D$5,1,IF(V456&lt;=Breakdowns!$D$6,2,IF(V456&lt;=Breakdowns!$D$7,3,4))))</f>
        <v>2</v>
      </c>
      <c r="Y456" s="34">
        <f>INDEX(Stores!$F$2:$F$21,MATCH(B456,Stores!$A$2:$A$21,0))</f>
        <v>5.74</v>
      </c>
      <c r="Z456" s="33">
        <f>IF(Y456&gt;Store_Summary!$M$2,1,0)</f>
        <v>1</v>
      </c>
      <c r="AA456" s="33">
        <f>INDEX(Stores!$C$2:$C$21,MATCH(B456,Stores!$A$2:$A$21,0))</f>
        <v>647</v>
      </c>
      <c r="AB456" s="33">
        <f>IF(AA456&lt;180,1,0)</f>
        <v>0</v>
      </c>
      <c r="AC456" s="32" t="str">
        <f>IF(Orders!D453="","",INDEX(Riders!$C$2:$C$81,MATCH(Orders!D453,Riders!$A$2:$A$81,0)))</f>
        <v>Petrol scooter</v>
      </c>
      <c r="AD456" s="33">
        <f>IF(Orders!D453="","",INDEX(Riders!$D$2:$D$81,MATCH(Orders!D453,Riders!$A$2:$A$81,0)))</f>
        <v>1</v>
      </c>
      <c r="AE456" s="33">
        <f>IF(Orders!D453="","",IF(INDEX(Riders!$B$2:$B$81,MATCH(Orders!D453,Riders!$A$2:$A$81,0))=B456,1,0))</f>
        <v>0</v>
      </c>
      <c r="AF456" s="34">
        <f>IF(E456=1,Orders!L453,"")</f>
        <v>0.76</v>
      </c>
      <c r="AG456" s="34">
        <f>IF(E456=1,Orders!P453,"")</f>
        <v>11.6</v>
      </c>
      <c r="AH456" s="34">
        <f>IF(E456=1,Orders!Q453,"")</f>
        <v>11</v>
      </c>
      <c r="AI456" s="34">
        <f>IF(E456=1,Orders!M453,"")</f>
        <v>5.9</v>
      </c>
      <c r="AJ456" s="34">
        <f>IF(E456=1,Orders!N453,"")</f>
        <v>1.6</v>
      </c>
      <c r="AK456" s="34">
        <f>IF(E456=1,Orders!O453,"")</f>
        <v>3.5</v>
      </c>
      <c r="AL456" s="33">
        <f>IF(E456=1,IF(ROUND(ABS(AI456+AJ456+AK456-AH456),6)&lt;=0.1,1,0),"")</f>
        <v>1</v>
      </c>
      <c r="AM456" s="36">
        <f>IF(E456=1,AI456/AH456,"")</f>
        <v>0.536363636363636</v>
      </c>
      <c r="AN456" s="36">
        <f>IF(E456=1,AJ456/AH456,"")</f>
        <v>0.145454545454545</v>
      </c>
      <c r="AO456" s="36">
        <f>IF(E456=1,AK456/AH456,"")</f>
        <v>0.318181818181818</v>
      </c>
      <c r="AP456" s="34">
        <f>IF(E456=1,Orders!Y453,"")</f>
        <v>0.36</v>
      </c>
      <c r="AQ456" s="33">
        <f>IF(Orders!X453,1,0)</f>
        <v>0</v>
      </c>
      <c r="AR456" s="34" t="str">
        <f>IF(AND(E456=1,L456=1),AJ456,"")</f>
        <v/>
      </c>
      <c r="AS456" s="34">
        <f>IF(AND(E456=1,L456=0),AJ456,"")</f>
        <v>1.6</v>
      </c>
      <c r="AT456" s="34" t="str">
        <f>IF(AND(E456=1,L456=1),AI456,"")</f>
        <v/>
      </c>
      <c r="AU456" s="34">
        <f>IF(AND(E456=1,L456=0),AI456,"")</f>
        <v>5.9</v>
      </c>
      <c r="AV456" s="34" t="str">
        <f>IF(AND(E456=1,L456=1),AG456,"")</f>
        <v/>
      </c>
      <c r="AW456" s="34">
        <f>IF(AND(E456=1,L456=0),AG456,"")</f>
        <v>11.6</v>
      </c>
      <c r="AX456" s="34" t="str">
        <f>IF(AND(E456=1,L456=1),AH456,"")</f>
        <v/>
      </c>
      <c r="AY456" s="34">
        <f>IF(AND(E456=1,L456=0),AH456,"")</f>
        <v>11</v>
      </c>
      <c r="AZ456" s="34" t="str">
        <f>IF(G456=1,F456,"")</f>
        <v/>
      </c>
      <c r="BA456" s="34" t="str">
        <f>IF(AND(G456=1,L456=1),F456,"")</f>
        <v/>
      </c>
      <c r="BB456" s="34" t="str">
        <f>IF(AND(G456=1,L456=0),F456,"")</f>
        <v/>
      </c>
      <c r="BC456" s="33">
        <f>IF(E456=1,IF(Orders!R453&gt;3,1,0),"")</f>
        <v>0</v>
      </c>
      <c r="BD456" s="33">
        <f>IF(E456=1,IF(Orders!R453&gt;7,1,0),"")</f>
        <v>0</v>
      </c>
      <c r="BE456" s="32" t="str">
        <f>IF(E456=1,IF(Orders!L453&lt;=1.5,"Up to 1.5 km",IF(Orders!L453&lt;=3,"1.5–3 km","Over 3 km")),"")</f>
        <v>Up to 1.5 km</v>
      </c>
      <c r="BF456" s="33">
        <f>IF(E456=1,IF(ABS((Orders!G453-Orders!F453)*1440-Orders!R453)&lt;0.06,1,0),"")</f>
        <v>1</v>
      </c>
      <c r="BG456" s="33">
        <f>IF(ABS((Orders!F453-Orders!E453)*1440-Orders!P453)&lt;0.06,1,0)</f>
        <v>1</v>
      </c>
      <c r="BH456" s="33">
        <f>IF(E456=1,IF(IF(Orders!S453,1,0)=1-G456,1,0),"")</f>
        <v>1</v>
      </c>
      <c r="BI456" s="32" t="str">
        <f>INDEX(Stores!$B$2:$B$21,MATCH(B456,Stores!$A$2:$A$21,0))</f>
        <v>Delhi</v>
      </c>
    </row>
    <row r="457">
      <c r="A457" s="32" t="str">
        <f>Orders!A454</f>
        <v>O00453</v>
      </c>
      <c r="B457" s="32" t="str">
        <f>Orders!C454</f>
        <v>S009</v>
      </c>
      <c r="C457" s="32" t="str">
        <f>Orders!B454</f>
        <v>C0024</v>
      </c>
      <c r="D457" s="32" t="str">
        <f>Orders!H454</f>
        <v>Delivered</v>
      </c>
      <c r="E457" s="33">
        <f>IF(Orders!H454="Delivered",1,0)</f>
        <v>1</v>
      </c>
      <c r="F457" s="34">
        <f>IF(E457=1,Orders!R454,"")</f>
        <v>-1</v>
      </c>
      <c r="G457" s="33">
        <f>IF(E457=1,IF(Orders!R454&gt;0,1,0),"")</f>
        <v>0</v>
      </c>
      <c r="H457" s="33">
        <f>IF(E457=1,IF(Orders!R454&gt;5,1,0),"")</f>
        <v>0</v>
      </c>
      <c r="I457" s="32" t="str">
        <f>IF(E457=1,"",IF(OR(Orders!T454="Rider unavailable",Orders!T454="Item unavailable"),"Company-caused","Unresolved"))</f>
        <v/>
      </c>
      <c r="J457" s="33">
        <f>IF(OR(E457=1,I457="Company-caused"),1,0)</f>
        <v>1</v>
      </c>
      <c r="K457" s="32" t="str">
        <f>IF(E457=0,IF(I457="Company-caused",IF(Orders!T454="Rider unavailable","C1 Rider unavailable","C2 Item unavailable"),"Outside root: unresolved"),IF(G457=0,"A On time",IF(H457=1,IF(L457=1,"B2a Severe, peak","B2b Severe, off-peak"),IF(L457=1,"B1a Slight, peak","B1b Slight, off-peak"))))</f>
        <v>A On time</v>
      </c>
      <c r="L457" s="33">
        <f>IF(AND(Orders!U454&gt;=19,Orders!U454&lt;22),1,0)</f>
        <v>1</v>
      </c>
      <c r="M457" s="33">
        <f>IF(L457=IF(Orders!V454,1,0),1,0)</f>
        <v>1</v>
      </c>
      <c r="N457" s="32" t="str">
        <f>IF(Orders!W454="","None",Orders!W454)</f>
        <v>Heavy</v>
      </c>
      <c r="O457" s="35">
        <f>INT(Orders!E454)</f>
        <v>46268.0</v>
      </c>
      <c r="P457" s="33">
        <f>Orders!U454</f>
        <v>19</v>
      </c>
      <c r="Q457" s="33">
        <f>COUNTIFS(Demand!$A$2:$A$4481,B457,Demand!$B$2:$B$4481,O457,Demand!$C$2:$C$4481,P457)</f>
        <v>1</v>
      </c>
      <c r="R457" s="33">
        <f>IF(Q457=1,SUMIFS(Demand!$E$2:$E$4481,Demand!$A$2:$A$4481,B457,Demand!$B$2:$B$4481,O457,Demand!$C$2:$C$4481,P457),"")</f>
        <v>37</v>
      </c>
      <c r="S457" s="33">
        <f>INDEX(Stores!$G$2:$G$21,MATCH(B457,Stores!$A$2:$A$21,0))</f>
        <v>29</v>
      </c>
      <c r="T457" s="34">
        <f>IF(R457="","",R457/S457)</f>
        <v>1.27586206896552</v>
      </c>
      <c r="U457" s="34">
        <f>IF(E457=1,T457,"")</f>
        <v>1.27586206896552</v>
      </c>
      <c r="V457" s="34" t="str">
        <f>IF(AND(E457=1,L457=0),T457,"")</f>
        <v/>
      </c>
      <c r="W457" s="33">
        <f>IF(U457="","",IF(U457&lt;=Breakdowns!$C$5,1,IF(U457&lt;=Breakdowns!$C$6,2,IF(U457&lt;=Breakdowns!$C$7,3,4))))</f>
        <v>4</v>
      </c>
      <c r="X457" s="33" t="str">
        <f>IF(V457="","",IF(V457&lt;=Breakdowns!$D$5,1,IF(V457&lt;=Breakdowns!$D$6,2,IF(V457&lt;=Breakdowns!$D$7,3,4))))</f>
        <v/>
      </c>
      <c r="Y457" s="34">
        <f>INDEX(Stores!$F$2:$F$21,MATCH(B457,Stores!$A$2:$A$21,0))</f>
        <v>2.66</v>
      </c>
      <c r="Z457" s="33">
        <f>IF(Y457&gt;Store_Summary!$M$2,1,0)</f>
        <v>0</v>
      </c>
      <c r="AA457" s="33">
        <f>INDEX(Stores!$C$2:$C$21,MATCH(B457,Stores!$A$2:$A$21,0))</f>
        <v>645</v>
      </c>
      <c r="AB457" s="33">
        <f>IF(AA457&lt;180,1,0)</f>
        <v>0</v>
      </c>
      <c r="AC457" s="32" t="str">
        <f>IF(Orders!D454="","",INDEX(Riders!$C$2:$C$81,MATCH(Orders!D454,Riders!$A$2:$A$81,0)))</f>
        <v>EV scooter</v>
      </c>
      <c r="AD457" s="33">
        <f>IF(Orders!D454="","",INDEX(Riders!$D$2:$D$81,MATCH(Orders!D454,Riders!$A$2:$A$81,0)))</f>
        <v>27</v>
      </c>
      <c r="AE457" s="33">
        <f>IF(Orders!D454="","",IF(INDEX(Riders!$B$2:$B$81,MATCH(Orders!D454,Riders!$A$2:$A$81,0))=B457,1,0))</f>
        <v>0</v>
      </c>
      <c r="AF457" s="34">
        <f>IF(E457=1,Orders!L454,"")</f>
        <v>2.8</v>
      </c>
      <c r="AG457" s="34">
        <f>IF(E457=1,Orders!P454,"")</f>
        <v>10.3</v>
      </c>
      <c r="AH457" s="34">
        <f>IF(E457=1,Orders!Q454,"")</f>
        <v>9.3</v>
      </c>
      <c r="AI457" s="34">
        <f>IF(E457=1,Orders!M454,"")</f>
        <v>1.4</v>
      </c>
      <c r="AJ457" s="34">
        <f>IF(E457=1,Orders!N454,"")</f>
        <v>3</v>
      </c>
      <c r="AK457" s="34">
        <f>IF(E457=1,Orders!O454,"")</f>
        <v>4.9</v>
      </c>
      <c r="AL457" s="33">
        <f>IF(E457=1,IF(ROUND(ABS(AI457+AJ457+AK457-AH457),6)&lt;=0.1,1,0),"")</f>
        <v>1</v>
      </c>
      <c r="AM457" s="36">
        <f>IF(E457=1,AI457/AH457,"")</f>
        <v>0.150537634408602</v>
      </c>
      <c r="AN457" s="36">
        <f>IF(E457=1,AJ457/AH457,"")</f>
        <v>0.32258064516129</v>
      </c>
      <c r="AO457" s="36">
        <f>IF(E457=1,AK457/AH457,"")</f>
        <v>0.526881720430108</v>
      </c>
      <c r="AP457" s="34">
        <f>IF(E457=1,Orders!Y454,"")</f>
        <v>0.33</v>
      </c>
      <c r="AQ457" s="33">
        <f>IF(Orders!X454,1,0)</f>
        <v>0</v>
      </c>
      <c r="AR457" s="34">
        <f>IF(AND(E457=1,L457=1),AJ457,"")</f>
        <v>3</v>
      </c>
      <c r="AS457" s="34" t="str">
        <f>IF(AND(E457=1,L457=0),AJ457,"")</f>
        <v/>
      </c>
      <c r="AT457" s="34">
        <f>IF(AND(E457=1,L457=1),AI457,"")</f>
        <v>1.4</v>
      </c>
      <c r="AU457" s="34" t="str">
        <f>IF(AND(E457=1,L457=0),AI457,"")</f>
        <v/>
      </c>
      <c r="AV457" s="34">
        <f>IF(AND(E457=1,L457=1),AG457,"")</f>
        <v>10.3</v>
      </c>
      <c r="AW457" s="34" t="str">
        <f>IF(AND(E457=1,L457=0),AG457,"")</f>
        <v/>
      </c>
      <c r="AX457" s="34">
        <f>IF(AND(E457=1,L457=1),AH457,"")</f>
        <v>9.3</v>
      </c>
      <c r="AY457" s="34" t="str">
        <f>IF(AND(E457=1,L457=0),AH457,"")</f>
        <v/>
      </c>
      <c r="AZ457" s="34" t="str">
        <f>IF(G457=1,F457,"")</f>
        <v/>
      </c>
      <c r="BA457" s="34" t="str">
        <f>IF(AND(G457=1,L457=1),F457,"")</f>
        <v/>
      </c>
      <c r="BB457" s="34" t="str">
        <f>IF(AND(G457=1,L457=0),F457,"")</f>
        <v/>
      </c>
      <c r="BC457" s="33">
        <f>IF(E457=1,IF(Orders!R454&gt;3,1,0),"")</f>
        <v>0</v>
      </c>
      <c r="BD457" s="33">
        <f>IF(E457=1,IF(Orders!R454&gt;7,1,0),"")</f>
        <v>0</v>
      </c>
      <c r="BE457" s="32" t="str">
        <f>IF(E457=1,IF(Orders!L454&lt;=1.5,"Up to 1.5 km",IF(Orders!L454&lt;=3,"1.5–3 km","Over 3 km")),"")</f>
        <v>1.5–3 km</v>
      </c>
      <c r="BF457" s="33">
        <f>IF(E457=1,IF(ABS((Orders!G454-Orders!F454)*1440-Orders!R454)&lt;0.06,1,0),"")</f>
        <v>1</v>
      </c>
      <c r="BG457" s="33">
        <f>IF(ABS((Orders!F454-Orders!E454)*1440-Orders!P454)&lt;0.06,1,0)</f>
        <v>1</v>
      </c>
      <c r="BH457" s="33">
        <f>IF(E457=1,IF(IF(Orders!S454,1,0)=1-G457,1,0),"")</f>
        <v>1</v>
      </c>
      <c r="BI457" s="32" t="str">
        <f>INDEX(Stores!$B$2:$B$21,MATCH(B457,Stores!$A$2:$A$21,0))</f>
        <v>Pune</v>
      </c>
    </row>
    <row r="458">
      <c r="A458" s="32" t="str">
        <f>Orders!A455</f>
        <v>O00454</v>
      </c>
      <c r="B458" s="32" t="str">
        <f>Orders!C455</f>
        <v>S008</v>
      </c>
      <c r="C458" s="32" t="str">
        <f>Orders!B455</f>
        <v>C0201</v>
      </c>
      <c r="D458" s="32" t="str">
        <f>Orders!H455</f>
        <v>Delivered</v>
      </c>
      <c r="E458" s="33">
        <f>IF(Orders!H455="Delivered",1,0)</f>
        <v>1</v>
      </c>
      <c r="F458" s="34">
        <f>IF(E458=1,Orders!R455,"")</f>
        <v>-1.2</v>
      </c>
      <c r="G458" s="33">
        <f>IF(E458=1,IF(Orders!R455&gt;0,1,0),"")</f>
        <v>0</v>
      </c>
      <c r="H458" s="33">
        <f>IF(E458=1,IF(Orders!R455&gt;5,1,0),"")</f>
        <v>0</v>
      </c>
      <c r="I458" s="32" t="str">
        <f>IF(E458=1,"",IF(OR(Orders!T455="Rider unavailable",Orders!T455="Item unavailable"),"Company-caused","Unresolved"))</f>
        <v/>
      </c>
      <c r="J458" s="33">
        <f>IF(OR(E458=1,I458="Company-caused"),1,0)</f>
        <v>1</v>
      </c>
      <c r="K458" s="32" t="str">
        <f>IF(E458=0,IF(I458="Company-caused",IF(Orders!T455="Rider unavailable","C1 Rider unavailable","C2 Item unavailable"),"Outside root: unresolved"),IF(G458=0,"A On time",IF(H458=1,IF(L458=1,"B2a Severe, peak","B2b Severe, off-peak"),IF(L458=1,"B1a Slight, peak","B1b Slight, off-peak"))))</f>
        <v>A On time</v>
      </c>
      <c r="L458" s="33">
        <f>IF(AND(Orders!U455&gt;=19,Orders!U455&lt;22),1,0)</f>
        <v>0</v>
      </c>
      <c r="M458" s="33">
        <f>IF(L458=IF(Orders!V455,1,0),1,0)</f>
        <v>1</v>
      </c>
      <c r="N458" s="32" t="str">
        <f>IF(Orders!W455="","None",Orders!W455)</f>
        <v>None</v>
      </c>
      <c r="O458" s="35">
        <f>INT(Orders!E455)</f>
        <v>46276.0</v>
      </c>
      <c r="P458" s="33">
        <f>Orders!U455</f>
        <v>11</v>
      </c>
      <c r="Q458" s="33">
        <f>COUNTIFS(Demand!$A$2:$A$4481,B458,Demand!$B$2:$B$4481,O458,Demand!$C$2:$C$4481,P458)</f>
        <v>1</v>
      </c>
      <c r="R458" s="33">
        <f>IF(Q458=1,SUMIFS(Demand!$E$2:$E$4481,Demand!$A$2:$A$4481,B458,Demand!$B$2:$B$4481,O458,Demand!$C$2:$C$4481,P458),"")</f>
        <v>23</v>
      </c>
      <c r="S458" s="33">
        <f>INDEX(Stores!$G$2:$G$21,MATCH(B458,Stores!$A$2:$A$21,0))</f>
        <v>23</v>
      </c>
      <c r="T458" s="34">
        <f>IF(R458="","",R458/S458)</f>
        <v>1</v>
      </c>
      <c r="U458" s="34">
        <f>IF(E458=1,T458,"")</f>
        <v>1</v>
      </c>
      <c r="V458" s="34">
        <f>IF(AND(E458=1,L458=0),T458,"")</f>
        <v>1</v>
      </c>
      <c r="W458" s="33">
        <f>IF(U458="","",IF(U458&lt;=Breakdowns!$C$5,1,IF(U458&lt;=Breakdowns!$C$6,2,IF(U458&lt;=Breakdowns!$C$7,3,4))))</f>
        <v>2</v>
      </c>
      <c r="X458" s="33">
        <f>IF(V458="","",IF(V458&lt;=Breakdowns!$D$5,1,IF(V458&lt;=Breakdowns!$D$6,2,IF(V458&lt;=Breakdowns!$D$7,3,4))))</f>
        <v>3</v>
      </c>
      <c r="Y458" s="34">
        <f>INDEX(Stores!$F$2:$F$21,MATCH(B458,Stores!$A$2:$A$21,0))</f>
        <v>3.46</v>
      </c>
      <c r="Z458" s="33">
        <f>IF(Y458&gt;Store_Summary!$M$2,1,0)</f>
        <v>0</v>
      </c>
      <c r="AA458" s="33">
        <f>INDEX(Stores!$C$2:$C$21,MATCH(B458,Stores!$A$2:$A$21,0))</f>
        <v>825</v>
      </c>
      <c r="AB458" s="33">
        <f>IF(AA458&lt;180,1,0)</f>
        <v>0</v>
      </c>
      <c r="AC458" s="32" t="str">
        <f>IF(Orders!D455="","",INDEX(Riders!$C$2:$C$81,MATCH(Orders!D455,Riders!$A$2:$A$81,0)))</f>
        <v>EV scooter</v>
      </c>
      <c r="AD458" s="33">
        <f>IF(Orders!D455="","",INDEX(Riders!$D$2:$D$81,MATCH(Orders!D455,Riders!$A$2:$A$81,0)))</f>
        <v>12</v>
      </c>
      <c r="AE458" s="33">
        <f>IF(Orders!D455="","",IF(INDEX(Riders!$B$2:$B$81,MATCH(Orders!D455,Riders!$A$2:$A$81,0))=B458,1,0))</f>
        <v>0</v>
      </c>
      <c r="AF458" s="34">
        <f>IF(E458=1,Orders!L455,"")</f>
        <v>4.9</v>
      </c>
      <c r="AG458" s="34">
        <f>IF(E458=1,Orders!P455,"")</f>
        <v>12</v>
      </c>
      <c r="AH458" s="34">
        <f>IF(E458=1,Orders!Q455,"")</f>
        <v>10.8</v>
      </c>
      <c r="AI458" s="34">
        <f>IF(E458=1,Orders!M455,"")</f>
        <v>2.3</v>
      </c>
      <c r="AJ458" s="34">
        <f>IF(E458=1,Orders!N455,"")</f>
        <v>2.8</v>
      </c>
      <c r="AK458" s="34">
        <f>IF(E458=1,Orders!O455,"")</f>
        <v>5.7</v>
      </c>
      <c r="AL458" s="33">
        <f>IF(E458=1,IF(ROUND(ABS(AI458+AJ458+AK458-AH458),6)&lt;=0.1,1,0),"")</f>
        <v>1</v>
      </c>
      <c r="AM458" s="36">
        <f>IF(E458=1,AI458/AH458,"")</f>
        <v>0.212962962962963</v>
      </c>
      <c r="AN458" s="36">
        <f>IF(E458=1,AJ458/AH458,"")</f>
        <v>0.259259259259259</v>
      </c>
      <c r="AO458" s="36">
        <f>IF(E458=1,AK458/AH458,"")</f>
        <v>0.527777777777778</v>
      </c>
      <c r="AP458" s="34">
        <f>IF(E458=1,Orders!Y455,"")</f>
        <v>0.57</v>
      </c>
      <c r="AQ458" s="33">
        <f>IF(Orders!X455,1,0)</f>
        <v>0</v>
      </c>
      <c r="AR458" s="34" t="str">
        <f>IF(AND(E458=1,L458=1),AJ458,"")</f>
        <v/>
      </c>
      <c r="AS458" s="34">
        <f>IF(AND(E458=1,L458=0),AJ458,"")</f>
        <v>2.8</v>
      </c>
      <c r="AT458" s="34" t="str">
        <f>IF(AND(E458=1,L458=1),AI458,"")</f>
        <v/>
      </c>
      <c r="AU458" s="34">
        <f>IF(AND(E458=1,L458=0),AI458,"")</f>
        <v>2.3</v>
      </c>
      <c r="AV458" s="34" t="str">
        <f>IF(AND(E458=1,L458=1),AG458,"")</f>
        <v/>
      </c>
      <c r="AW458" s="34">
        <f>IF(AND(E458=1,L458=0),AG458,"")</f>
        <v>12</v>
      </c>
      <c r="AX458" s="34" t="str">
        <f>IF(AND(E458=1,L458=1),AH458,"")</f>
        <v/>
      </c>
      <c r="AY458" s="34">
        <f>IF(AND(E458=1,L458=0),AH458,"")</f>
        <v>10.8</v>
      </c>
      <c r="AZ458" s="34" t="str">
        <f>IF(G458=1,F458,"")</f>
        <v/>
      </c>
      <c r="BA458" s="34" t="str">
        <f>IF(AND(G458=1,L458=1),F458,"")</f>
        <v/>
      </c>
      <c r="BB458" s="34" t="str">
        <f>IF(AND(G458=1,L458=0),F458,"")</f>
        <v/>
      </c>
      <c r="BC458" s="33">
        <f>IF(E458=1,IF(Orders!R455&gt;3,1,0),"")</f>
        <v>0</v>
      </c>
      <c r="BD458" s="33">
        <f>IF(E458=1,IF(Orders!R455&gt;7,1,0),"")</f>
        <v>0</v>
      </c>
      <c r="BE458" s="32" t="str">
        <f>IF(E458=1,IF(Orders!L455&lt;=1.5,"Up to 1.5 km",IF(Orders!L455&lt;=3,"1.5–3 km","Over 3 km")),"")</f>
        <v>Over 3 km</v>
      </c>
      <c r="BF458" s="33">
        <f>IF(E458=1,IF(ABS((Orders!G455-Orders!F455)*1440-Orders!R455)&lt;0.06,1,0),"")</f>
        <v>1</v>
      </c>
      <c r="BG458" s="33">
        <f>IF(ABS((Orders!F455-Orders!E455)*1440-Orders!P455)&lt;0.06,1,0)</f>
        <v>1</v>
      </c>
      <c r="BH458" s="33">
        <f>IF(E458=1,IF(IF(Orders!S455,1,0)=1-G458,1,0),"")</f>
        <v>1</v>
      </c>
      <c r="BI458" s="32" t="str">
        <f>INDEX(Stores!$B$2:$B$21,MATCH(B458,Stores!$A$2:$A$21,0))</f>
        <v>Mumbai</v>
      </c>
    </row>
    <row r="459">
      <c r="A459" s="32" t="str">
        <f>Orders!A456</f>
        <v>O00455</v>
      </c>
      <c r="B459" s="32" t="str">
        <f>Orders!C456</f>
        <v>S001</v>
      </c>
      <c r="C459" s="32" t="str">
        <f>Orders!B456</f>
        <v>C0007</v>
      </c>
      <c r="D459" s="32" t="str">
        <f>Orders!H456</f>
        <v>Delivered</v>
      </c>
      <c r="E459" s="33">
        <f>IF(Orders!H456="Delivered",1,0)</f>
        <v>1</v>
      </c>
      <c r="F459" s="34">
        <f>IF(E459=1,Orders!R456,"")</f>
        <v>-0.9</v>
      </c>
      <c r="G459" s="33">
        <f>IF(E459=1,IF(Orders!R456&gt;0,1,0),"")</f>
        <v>0</v>
      </c>
      <c r="H459" s="33">
        <f>IF(E459=1,IF(Orders!R456&gt;5,1,0),"")</f>
        <v>0</v>
      </c>
      <c r="I459" s="32" t="str">
        <f>IF(E459=1,"",IF(OR(Orders!T456="Rider unavailable",Orders!T456="Item unavailable"),"Company-caused","Unresolved"))</f>
        <v/>
      </c>
      <c r="J459" s="33">
        <f>IF(OR(E459=1,I459="Company-caused"),1,0)</f>
        <v>1</v>
      </c>
      <c r="K459" s="32" t="str">
        <f>IF(E459=0,IF(I459="Company-caused",IF(Orders!T456="Rider unavailable","C1 Rider unavailable","C2 Item unavailable"),"Outside root: unresolved"),IF(G459=0,"A On time",IF(H459=1,IF(L459=1,"B2a Severe, peak","B2b Severe, off-peak"),IF(L459=1,"B1a Slight, peak","B1b Slight, off-peak"))))</f>
        <v>A On time</v>
      </c>
      <c r="L459" s="33">
        <f>IF(AND(Orders!U456&gt;=19,Orders!U456&lt;22),1,0)</f>
        <v>0</v>
      </c>
      <c r="M459" s="33">
        <f>IF(L459=IF(Orders!V456,1,0),1,0)</f>
        <v>1</v>
      </c>
      <c r="N459" s="32" t="str">
        <f>IF(Orders!W456="","None",Orders!W456)</f>
        <v>None</v>
      </c>
      <c r="O459" s="35">
        <f>INT(Orders!E456)</f>
        <v>46270.0</v>
      </c>
      <c r="P459" s="33">
        <f>Orders!U456</f>
        <v>11</v>
      </c>
      <c r="Q459" s="33">
        <f>COUNTIFS(Demand!$A$2:$A$4481,B459,Demand!$B$2:$B$4481,O459,Demand!$C$2:$C$4481,P459)</f>
        <v>1</v>
      </c>
      <c r="R459" s="33">
        <f>IF(Q459=1,SUMIFS(Demand!$E$2:$E$4481,Demand!$A$2:$A$4481,B459,Demand!$B$2:$B$4481,O459,Demand!$C$2:$C$4481,P459),"")</f>
        <v>15</v>
      </c>
      <c r="S459" s="33">
        <f>INDEX(Stores!$G$2:$G$21,MATCH(B459,Stores!$A$2:$A$21,0))</f>
        <v>16</v>
      </c>
      <c r="T459" s="34">
        <f>IF(R459="","",R459/S459)</f>
        <v>0.9375</v>
      </c>
      <c r="U459" s="34">
        <f>IF(E459=1,T459,"")</f>
        <v>0.9375</v>
      </c>
      <c r="V459" s="34">
        <f>IF(AND(E459=1,L459=0),T459,"")</f>
        <v>0.9375</v>
      </c>
      <c r="W459" s="33">
        <f>IF(U459="","",IF(U459&lt;=Breakdowns!$C$5,1,IF(U459&lt;=Breakdowns!$C$6,2,IF(U459&lt;=Breakdowns!$C$7,3,4))))</f>
        <v>2</v>
      </c>
      <c r="X459" s="33">
        <f>IF(V459="","",IF(V459&lt;=Breakdowns!$D$5,1,IF(V459&lt;=Breakdowns!$D$6,2,IF(V459&lt;=Breakdowns!$D$7,3,4))))</f>
        <v>3</v>
      </c>
      <c r="Y459" s="34">
        <f>INDEX(Stores!$F$2:$F$21,MATCH(B459,Stores!$A$2:$A$21,0))</f>
        <v>4.59</v>
      </c>
      <c r="Z459" s="33">
        <f>IF(Y459&gt;Store_Summary!$M$2,1,0)</f>
        <v>0</v>
      </c>
      <c r="AA459" s="33">
        <f>INDEX(Stores!$C$2:$C$21,MATCH(B459,Stores!$A$2:$A$21,0))</f>
        <v>362</v>
      </c>
      <c r="AB459" s="33">
        <f>IF(AA459&lt;180,1,0)</f>
        <v>0</v>
      </c>
      <c r="AC459" s="32" t="str">
        <f>IF(Orders!D456="","",INDEX(Riders!$C$2:$C$81,MATCH(Orders!D456,Riders!$A$2:$A$81,0)))</f>
        <v>EV scooter</v>
      </c>
      <c r="AD459" s="33">
        <f>IF(Orders!D456="","",INDEX(Riders!$D$2:$D$81,MATCH(Orders!D456,Riders!$A$2:$A$81,0)))</f>
        <v>11</v>
      </c>
      <c r="AE459" s="33">
        <f>IF(Orders!D456="","",IF(INDEX(Riders!$B$2:$B$81,MATCH(Orders!D456,Riders!$A$2:$A$81,0))=B459,1,0))</f>
        <v>0</v>
      </c>
      <c r="AF459" s="34">
        <f>IF(E459=1,Orders!L456,"")</f>
        <v>0.93</v>
      </c>
      <c r="AG459" s="34">
        <f>IF(E459=1,Orders!P456,"")</f>
        <v>11</v>
      </c>
      <c r="AH459" s="34">
        <f>IF(E459=1,Orders!Q456,"")</f>
        <v>10.1</v>
      </c>
      <c r="AI459" s="34">
        <f>IF(E459=1,Orders!M456,"")</f>
        <v>3.1</v>
      </c>
      <c r="AJ459" s="34">
        <f>IF(E459=1,Orders!N456,"")</f>
        <v>4.2</v>
      </c>
      <c r="AK459" s="34">
        <f>IF(E459=1,Orders!O456,"")</f>
        <v>2.8</v>
      </c>
      <c r="AL459" s="33">
        <f>IF(E459=1,IF(ROUND(ABS(AI459+AJ459+AK459-AH459),6)&lt;=0.1,1,0),"")</f>
        <v>1</v>
      </c>
      <c r="AM459" s="36">
        <f>IF(E459=1,AI459/AH459,"")</f>
        <v>0.306930693069307</v>
      </c>
      <c r="AN459" s="36">
        <f>IF(E459=1,AJ459/AH459,"")</f>
        <v>0.415841584158416</v>
      </c>
      <c r="AO459" s="36">
        <f>IF(E459=1,AK459/AH459,"")</f>
        <v>0.277227722772277</v>
      </c>
      <c r="AP459" s="34">
        <f>IF(E459=1,Orders!Y456,"")</f>
        <v>0.78</v>
      </c>
      <c r="AQ459" s="33">
        <f>IF(Orders!X456,1,0)</f>
        <v>0</v>
      </c>
      <c r="AR459" s="34" t="str">
        <f>IF(AND(E459=1,L459=1),AJ459,"")</f>
        <v/>
      </c>
      <c r="AS459" s="34">
        <f>IF(AND(E459=1,L459=0),AJ459,"")</f>
        <v>4.2</v>
      </c>
      <c r="AT459" s="34" t="str">
        <f>IF(AND(E459=1,L459=1),AI459,"")</f>
        <v/>
      </c>
      <c r="AU459" s="34">
        <f>IF(AND(E459=1,L459=0),AI459,"")</f>
        <v>3.1</v>
      </c>
      <c r="AV459" s="34" t="str">
        <f>IF(AND(E459=1,L459=1),AG459,"")</f>
        <v/>
      </c>
      <c r="AW459" s="34">
        <f>IF(AND(E459=1,L459=0),AG459,"")</f>
        <v>11</v>
      </c>
      <c r="AX459" s="34" t="str">
        <f>IF(AND(E459=1,L459=1),AH459,"")</f>
        <v/>
      </c>
      <c r="AY459" s="34">
        <f>IF(AND(E459=1,L459=0),AH459,"")</f>
        <v>10.1</v>
      </c>
      <c r="AZ459" s="34" t="str">
        <f>IF(G459=1,F459,"")</f>
        <v/>
      </c>
      <c r="BA459" s="34" t="str">
        <f>IF(AND(G459=1,L459=1),F459,"")</f>
        <v/>
      </c>
      <c r="BB459" s="34" t="str">
        <f>IF(AND(G459=1,L459=0),F459,"")</f>
        <v/>
      </c>
      <c r="BC459" s="33">
        <f>IF(E459=1,IF(Orders!R456&gt;3,1,0),"")</f>
        <v>0</v>
      </c>
      <c r="BD459" s="33">
        <f>IF(E459=1,IF(Orders!R456&gt;7,1,0),"")</f>
        <v>0</v>
      </c>
      <c r="BE459" s="32" t="str">
        <f>IF(E459=1,IF(Orders!L456&lt;=1.5,"Up to 1.5 km",IF(Orders!L456&lt;=3,"1.5–3 km","Over 3 km")),"")</f>
        <v>Up to 1.5 km</v>
      </c>
      <c r="BF459" s="33">
        <f>IF(E459=1,IF(ABS((Orders!G456-Orders!F456)*1440-Orders!R456)&lt;0.06,1,0),"")</f>
        <v>1</v>
      </c>
      <c r="BG459" s="33">
        <f>IF(ABS((Orders!F456-Orders!E456)*1440-Orders!P456)&lt;0.06,1,0)</f>
        <v>1</v>
      </c>
      <c r="BH459" s="33">
        <f>IF(E459=1,IF(IF(Orders!S456,1,0)=1-G459,1,0),"")</f>
        <v>1</v>
      </c>
      <c r="BI459" s="32" t="str">
        <f>INDEX(Stores!$B$2:$B$21,MATCH(B459,Stores!$A$2:$A$21,0))</f>
        <v>Bengaluru</v>
      </c>
    </row>
    <row r="460">
      <c r="A460" s="32" t="str">
        <f>Orders!A457</f>
        <v>O00456</v>
      </c>
      <c r="B460" s="32" t="str">
        <f>Orders!C457</f>
        <v>S004</v>
      </c>
      <c r="C460" s="32" t="str">
        <f>Orders!B457</f>
        <v>C0132</v>
      </c>
      <c r="D460" s="32" t="str">
        <f>Orders!H457</f>
        <v>Delivered</v>
      </c>
      <c r="E460" s="33">
        <f>IF(Orders!H457="Delivered",1,0)</f>
        <v>1</v>
      </c>
      <c r="F460" s="34">
        <f>IF(E460=1,Orders!R457,"")</f>
        <v>-1.6</v>
      </c>
      <c r="G460" s="33">
        <f>IF(E460=1,IF(Orders!R457&gt;0,1,0),"")</f>
        <v>0</v>
      </c>
      <c r="H460" s="33">
        <f>IF(E460=1,IF(Orders!R457&gt;5,1,0),"")</f>
        <v>0</v>
      </c>
      <c r="I460" s="32" t="str">
        <f>IF(E460=1,"",IF(OR(Orders!T457="Rider unavailable",Orders!T457="Item unavailable"),"Company-caused","Unresolved"))</f>
        <v/>
      </c>
      <c r="J460" s="33">
        <f>IF(OR(E460=1,I460="Company-caused"),1,0)</f>
        <v>1</v>
      </c>
      <c r="K460" s="32" t="str">
        <f>IF(E460=0,IF(I460="Company-caused",IF(Orders!T457="Rider unavailable","C1 Rider unavailable","C2 Item unavailable"),"Outside root: unresolved"),IF(G460=0,"A On time",IF(H460=1,IF(L460=1,"B2a Severe, peak","B2b Severe, off-peak"),IF(L460=1,"B1a Slight, peak","B1b Slight, off-peak"))))</f>
        <v>A On time</v>
      </c>
      <c r="L460" s="33">
        <f>IF(AND(Orders!U457&gt;=19,Orders!U457&lt;22),1,0)</f>
        <v>0</v>
      </c>
      <c r="M460" s="33">
        <f>IF(L460=IF(Orders!V457,1,0),1,0)</f>
        <v>1</v>
      </c>
      <c r="N460" s="32" t="str">
        <f>IF(Orders!W457="","None",Orders!W457)</f>
        <v>None</v>
      </c>
      <c r="O460" s="35">
        <f>INT(Orders!E457)</f>
        <v>46272.0</v>
      </c>
      <c r="P460" s="33">
        <f>Orders!U457</f>
        <v>16</v>
      </c>
      <c r="Q460" s="33">
        <f>COUNTIFS(Demand!$A$2:$A$4481,B460,Demand!$B$2:$B$4481,O460,Demand!$C$2:$C$4481,P460)</f>
        <v>1</v>
      </c>
      <c r="R460" s="33">
        <f>IF(Q460=1,SUMIFS(Demand!$E$2:$E$4481,Demand!$A$2:$A$4481,B460,Demand!$B$2:$B$4481,O460,Demand!$C$2:$C$4481,P460),"")</f>
        <v>32</v>
      </c>
      <c r="S460" s="33">
        <f>INDEX(Stores!$G$2:$G$21,MATCH(B460,Stores!$A$2:$A$21,0))</f>
        <v>42</v>
      </c>
      <c r="T460" s="34">
        <f>IF(R460="","",R460/S460)</f>
        <v>0.761904761904762</v>
      </c>
      <c r="U460" s="34">
        <f>IF(E460=1,T460,"")</f>
        <v>0.761904761904762</v>
      </c>
      <c r="V460" s="34">
        <f>IF(AND(E460=1,L460=0),T460,"")</f>
        <v>0.761904761904762</v>
      </c>
      <c r="W460" s="33">
        <f>IF(U460="","",IF(U460&lt;=Breakdowns!$C$5,1,IF(U460&lt;=Breakdowns!$C$6,2,IF(U460&lt;=Breakdowns!$C$7,3,4))))</f>
        <v>1</v>
      </c>
      <c r="X460" s="33">
        <f>IF(V460="","",IF(V460&lt;=Breakdowns!$D$5,1,IF(V460&lt;=Breakdowns!$D$6,2,IF(V460&lt;=Breakdowns!$D$7,3,4))))</f>
        <v>2</v>
      </c>
      <c r="Y460" s="34">
        <f>INDEX(Stores!$F$2:$F$21,MATCH(B460,Stores!$A$2:$A$21,0))</f>
        <v>2.19</v>
      </c>
      <c r="Z460" s="33">
        <f>IF(Y460&gt;Store_Summary!$M$2,1,0)</f>
        <v>0</v>
      </c>
      <c r="AA460" s="33">
        <f>INDEX(Stores!$C$2:$C$21,MATCH(B460,Stores!$A$2:$A$21,0))</f>
        <v>850</v>
      </c>
      <c r="AB460" s="33">
        <f>IF(AA460&lt;180,1,0)</f>
        <v>0</v>
      </c>
      <c r="AC460" s="32" t="str">
        <f>IF(Orders!D457="","",INDEX(Riders!$C$2:$C$81,MATCH(Orders!D457,Riders!$A$2:$A$81,0)))</f>
        <v>Petrol scooter</v>
      </c>
      <c r="AD460" s="33">
        <f>IF(Orders!D457="","",INDEX(Riders!$D$2:$D$81,MATCH(Orders!D457,Riders!$A$2:$A$81,0)))</f>
        <v>15</v>
      </c>
      <c r="AE460" s="33">
        <f>IF(Orders!D457="","",IF(INDEX(Riders!$B$2:$B$81,MATCH(Orders!D457,Riders!$A$2:$A$81,0))=B460,1,0))</f>
        <v>1</v>
      </c>
      <c r="AF460" s="34">
        <f>IF(E460=1,Orders!L457,"")</f>
        <v>1.46</v>
      </c>
      <c r="AG460" s="34">
        <f>IF(E460=1,Orders!P457,"")</f>
        <v>11.5</v>
      </c>
      <c r="AH460" s="34">
        <f>IF(E460=1,Orders!Q457,"")</f>
        <v>9.9</v>
      </c>
      <c r="AI460" s="34">
        <f>IF(E460=1,Orders!M457,"")</f>
        <v>4</v>
      </c>
      <c r="AJ460" s="34">
        <f>IF(E460=1,Orders!N457,"")</f>
        <v>2.3</v>
      </c>
      <c r="AK460" s="34">
        <f>IF(E460=1,Orders!O457,"")</f>
        <v>3.6</v>
      </c>
      <c r="AL460" s="33">
        <f>IF(E460=1,IF(ROUND(ABS(AI460+AJ460+AK460-AH460),6)&lt;=0.1,1,0),"")</f>
        <v>1</v>
      </c>
      <c r="AM460" s="36">
        <f>IF(E460=1,AI460/AH460,"")</f>
        <v>0.404040404040404</v>
      </c>
      <c r="AN460" s="36">
        <f>IF(E460=1,AJ460/AH460,"")</f>
        <v>0.232323232323232</v>
      </c>
      <c r="AO460" s="36">
        <f>IF(E460=1,AK460/AH460,"")</f>
        <v>0.363636363636364</v>
      </c>
      <c r="AP460" s="34">
        <f>IF(E460=1,Orders!Y457,"")</f>
        <v>0.23</v>
      </c>
      <c r="AQ460" s="33">
        <f>IF(Orders!X457,1,0)</f>
        <v>0</v>
      </c>
      <c r="AR460" s="34" t="str">
        <f>IF(AND(E460=1,L460=1),AJ460,"")</f>
        <v/>
      </c>
      <c r="AS460" s="34">
        <f>IF(AND(E460=1,L460=0),AJ460,"")</f>
        <v>2.3</v>
      </c>
      <c r="AT460" s="34" t="str">
        <f>IF(AND(E460=1,L460=1),AI460,"")</f>
        <v/>
      </c>
      <c r="AU460" s="34">
        <f>IF(AND(E460=1,L460=0),AI460,"")</f>
        <v>4</v>
      </c>
      <c r="AV460" s="34" t="str">
        <f>IF(AND(E460=1,L460=1),AG460,"")</f>
        <v/>
      </c>
      <c r="AW460" s="34">
        <f>IF(AND(E460=1,L460=0),AG460,"")</f>
        <v>11.5</v>
      </c>
      <c r="AX460" s="34" t="str">
        <f>IF(AND(E460=1,L460=1),AH460,"")</f>
        <v/>
      </c>
      <c r="AY460" s="34">
        <f>IF(AND(E460=1,L460=0),AH460,"")</f>
        <v>9.9</v>
      </c>
      <c r="AZ460" s="34" t="str">
        <f>IF(G460=1,F460,"")</f>
        <v/>
      </c>
      <c r="BA460" s="34" t="str">
        <f>IF(AND(G460=1,L460=1),F460,"")</f>
        <v/>
      </c>
      <c r="BB460" s="34" t="str">
        <f>IF(AND(G460=1,L460=0),F460,"")</f>
        <v/>
      </c>
      <c r="BC460" s="33">
        <f>IF(E460=1,IF(Orders!R457&gt;3,1,0),"")</f>
        <v>0</v>
      </c>
      <c r="BD460" s="33">
        <f>IF(E460=1,IF(Orders!R457&gt;7,1,0),"")</f>
        <v>0</v>
      </c>
      <c r="BE460" s="32" t="str">
        <f>IF(E460=1,IF(Orders!L457&lt;=1.5,"Up to 1.5 km",IF(Orders!L457&lt;=3,"1.5–3 km","Over 3 km")),"")</f>
        <v>Up to 1.5 km</v>
      </c>
      <c r="BF460" s="33">
        <f>IF(E460=1,IF(ABS((Orders!G457-Orders!F457)*1440-Orders!R457)&lt;0.06,1,0),"")</f>
        <v>1</v>
      </c>
      <c r="BG460" s="33">
        <f>IF(ABS((Orders!F457-Orders!E457)*1440-Orders!P457)&lt;0.06,1,0)</f>
        <v>1</v>
      </c>
      <c r="BH460" s="33">
        <f>IF(E460=1,IF(IF(Orders!S457,1,0)=1-G460,1,0),"")</f>
        <v>1</v>
      </c>
      <c r="BI460" s="32" t="str">
        <f>INDEX(Stores!$B$2:$B$21,MATCH(B460,Stores!$A$2:$A$21,0))</f>
        <v>Pune</v>
      </c>
    </row>
    <row r="461">
      <c r="A461" s="32" t="str">
        <f>Orders!A458</f>
        <v>O00457</v>
      </c>
      <c r="B461" s="32" t="str">
        <f>Orders!C458</f>
        <v>S008</v>
      </c>
      <c r="C461" s="32" t="str">
        <f>Orders!B458</f>
        <v>C0167</v>
      </c>
      <c r="D461" s="32" t="str">
        <f>Orders!H458</f>
        <v>Delivered</v>
      </c>
      <c r="E461" s="33">
        <f>IF(Orders!H458="Delivered",1,0)</f>
        <v>1</v>
      </c>
      <c r="F461" s="34">
        <f>IF(E461=1,Orders!R458,"")</f>
        <v>-2.2</v>
      </c>
      <c r="G461" s="33">
        <f>IF(E461=1,IF(Orders!R458&gt;0,1,0),"")</f>
        <v>0</v>
      </c>
      <c r="H461" s="33">
        <f>IF(E461=1,IF(Orders!R458&gt;5,1,0),"")</f>
        <v>0</v>
      </c>
      <c r="I461" s="32" t="str">
        <f>IF(E461=1,"",IF(OR(Orders!T458="Rider unavailable",Orders!T458="Item unavailable"),"Company-caused","Unresolved"))</f>
        <v/>
      </c>
      <c r="J461" s="33">
        <f>IF(OR(E461=1,I461="Company-caused"),1,0)</f>
        <v>1</v>
      </c>
      <c r="K461" s="32" t="str">
        <f>IF(E461=0,IF(I461="Company-caused",IF(Orders!T458="Rider unavailable","C1 Rider unavailable","C2 Item unavailable"),"Outside root: unresolved"),IF(G461=0,"A On time",IF(H461=1,IF(L461=1,"B2a Severe, peak","B2b Severe, off-peak"),IF(L461=1,"B1a Slight, peak","B1b Slight, off-peak"))))</f>
        <v>A On time</v>
      </c>
      <c r="L461" s="33">
        <f>IF(AND(Orders!U458&gt;=19,Orders!U458&lt;22),1,0)</f>
        <v>0</v>
      </c>
      <c r="M461" s="33">
        <f>IF(L461=IF(Orders!V458,1,0),1,0)</f>
        <v>1</v>
      </c>
      <c r="N461" s="32" t="str">
        <f>IF(Orders!W458="","None",Orders!W458)</f>
        <v>None</v>
      </c>
      <c r="O461" s="35">
        <f>INT(Orders!E458)</f>
        <v>46277.0</v>
      </c>
      <c r="P461" s="33">
        <f>Orders!U458</f>
        <v>22</v>
      </c>
      <c r="Q461" s="33">
        <f>COUNTIFS(Demand!$A$2:$A$4481,B461,Demand!$B$2:$B$4481,O461,Demand!$C$2:$C$4481,P461)</f>
        <v>1</v>
      </c>
      <c r="R461" s="33">
        <f>IF(Q461=1,SUMIFS(Demand!$E$2:$E$4481,Demand!$A$2:$A$4481,B461,Demand!$B$2:$B$4481,O461,Demand!$C$2:$C$4481,P461),"")</f>
        <v>24</v>
      </c>
      <c r="S461" s="33">
        <f>INDEX(Stores!$G$2:$G$21,MATCH(B461,Stores!$A$2:$A$21,0))</f>
        <v>23</v>
      </c>
      <c r="T461" s="34">
        <f>IF(R461="","",R461/S461)</f>
        <v>1.04347826086957</v>
      </c>
      <c r="U461" s="34">
        <f>IF(E461=1,T461,"")</f>
        <v>1.04347826086957</v>
      </c>
      <c r="V461" s="34">
        <f>IF(AND(E461=1,L461=0),T461,"")</f>
        <v>1.04347826086957</v>
      </c>
      <c r="W461" s="33">
        <f>IF(U461="","",IF(U461&lt;=Breakdowns!$C$5,1,IF(U461&lt;=Breakdowns!$C$6,2,IF(U461&lt;=Breakdowns!$C$7,3,4))))</f>
        <v>3</v>
      </c>
      <c r="X461" s="33">
        <f>IF(V461="","",IF(V461&lt;=Breakdowns!$D$5,1,IF(V461&lt;=Breakdowns!$D$6,2,IF(V461&lt;=Breakdowns!$D$7,3,4))))</f>
        <v>3</v>
      </c>
      <c r="Y461" s="34">
        <f>INDEX(Stores!$F$2:$F$21,MATCH(B461,Stores!$A$2:$A$21,0))</f>
        <v>3.46</v>
      </c>
      <c r="Z461" s="33">
        <f>IF(Y461&gt;Store_Summary!$M$2,1,0)</f>
        <v>0</v>
      </c>
      <c r="AA461" s="33">
        <f>INDEX(Stores!$C$2:$C$21,MATCH(B461,Stores!$A$2:$A$21,0))</f>
        <v>825</v>
      </c>
      <c r="AB461" s="33">
        <f>IF(AA461&lt;180,1,0)</f>
        <v>0</v>
      </c>
      <c r="AC461" s="32" t="str">
        <f>IF(Orders!D458="","",INDEX(Riders!$C$2:$C$81,MATCH(Orders!D458,Riders!$A$2:$A$81,0)))</f>
        <v>EV scooter</v>
      </c>
      <c r="AD461" s="33">
        <f>IF(Orders!D458="","",INDEX(Riders!$D$2:$D$81,MATCH(Orders!D458,Riders!$A$2:$A$81,0)))</f>
        <v>32</v>
      </c>
      <c r="AE461" s="33">
        <f>IF(Orders!D458="","",IF(INDEX(Riders!$B$2:$B$81,MATCH(Orders!D458,Riders!$A$2:$A$81,0))=B461,1,0))</f>
        <v>0</v>
      </c>
      <c r="AF461" s="34">
        <f>IF(E461=1,Orders!L458,"")</f>
        <v>0.5</v>
      </c>
      <c r="AG461" s="34">
        <f>IF(E461=1,Orders!P458,"")</f>
        <v>10.9</v>
      </c>
      <c r="AH461" s="34">
        <f>IF(E461=1,Orders!Q458,"")</f>
        <v>8.7</v>
      </c>
      <c r="AI461" s="34">
        <f>IF(E461=1,Orders!M458,"")</f>
        <v>4.4</v>
      </c>
      <c r="AJ461" s="34">
        <f>IF(E461=1,Orders!N458,"")</f>
        <v>2.3</v>
      </c>
      <c r="AK461" s="34">
        <f>IF(E461=1,Orders!O458,"")</f>
        <v>2</v>
      </c>
      <c r="AL461" s="33">
        <f>IF(E461=1,IF(ROUND(ABS(AI461+AJ461+AK461-AH461),6)&lt;=0.1,1,0),"")</f>
        <v>1</v>
      </c>
      <c r="AM461" s="36">
        <f>IF(E461=1,AI461/AH461,"")</f>
        <v>0.505747126436782</v>
      </c>
      <c r="AN461" s="36">
        <f>IF(E461=1,AJ461/AH461,"")</f>
        <v>0.264367816091954</v>
      </c>
      <c r="AO461" s="36">
        <f>IF(E461=1,AK461/AH461,"")</f>
        <v>0.229885057471264</v>
      </c>
      <c r="AP461" s="34">
        <f>IF(E461=1,Orders!Y458,"")</f>
        <v>0.25</v>
      </c>
      <c r="AQ461" s="33">
        <f>IF(Orders!X458,1,0)</f>
        <v>0</v>
      </c>
      <c r="AR461" s="34" t="str">
        <f>IF(AND(E461=1,L461=1),AJ461,"")</f>
        <v/>
      </c>
      <c r="AS461" s="34">
        <f>IF(AND(E461=1,L461=0),AJ461,"")</f>
        <v>2.3</v>
      </c>
      <c r="AT461" s="34" t="str">
        <f>IF(AND(E461=1,L461=1),AI461,"")</f>
        <v/>
      </c>
      <c r="AU461" s="34">
        <f>IF(AND(E461=1,L461=0),AI461,"")</f>
        <v>4.4</v>
      </c>
      <c r="AV461" s="34" t="str">
        <f>IF(AND(E461=1,L461=1),AG461,"")</f>
        <v/>
      </c>
      <c r="AW461" s="34">
        <f>IF(AND(E461=1,L461=0),AG461,"")</f>
        <v>10.9</v>
      </c>
      <c r="AX461" s="34" t="str">
        <f>IF(AND(E461=1,L461=1),AH461,"")</f>
        <v/>
      </c>
      <c r="AY461" s="34">
        <f>IF(AND(E461=1,L461=0),AH461,"")</f>
        <v>8.7</v>
      </c>
      <c r="AZ461" s="34" t="str">
        <f>IF(G461=1,F461,"")</f>
        <v/>
      </c>
      <c r="BA461" s="34" t="str">
        <f>IF(AND(G461=1,L461=1),F461,"")</f>
        <v/>
      </c>
      <c r="BB461" s="34" t="str">
        <f>IF(AND(G461=1,L461=0),F461,"")</f>
        <v/>
      </c>
      <c r="BC461" s="33">
        <f>IF(E461=1,IF(Orders!R458&gt;3,1,0),"")</f>
        <v>0</v>
      </c>
      <c r="BD461" s="33">
        <f>IF(E461=1,IF(Orders!R458&gt;7,1,0),"")</f>
        <v>0</v>
      </c>
      <c r="BE461" s="32" t="str">
        <f>IF(E461=1,IF(Orders!L458&lt;=1.5,"Up to 1.5 km",IF(Orders!L458&lt;=3,"1.5–3 km","Over 3 km")),"")</f>
        <v>Up to 1.5 km</v>
      </c>
      <c r="BF461" s="33">
        <f>IF(E461=1,IF(ABS((Orders!G458-Orders!F458)*1440-Orders!R458)&lt;0.06,1,0),"")</f>
        <v>1</v>
      </c>
      <c r="BG461" s="33">
        <f>IF(ABS((Orders!F458-Orders!E458)*1440-Orders!P458)&lt;0.06,1,0)</f>
        <v>1</v>
      </c>
      <c r="BH461" s="33">
        <f>IF(E461=1,IF(IF(Orders!S458,1,0)=1-G461,1,0),"")</f>
        <v>1</v>
      </c>
      <c r="BI461" s="32" t="str">
        <f>INDEX(Stores!$B$2:$B$21,MATCH(B461,Stores!$A$2:$A$21,0))</f>
        <v>Mumbai</v>
      </c>
    </row>
    <row r="462">
      <c r="A462" s="32" t="str">
        <f>Orders!A459</f>
        <v>O00458</v>
      </c>
      <c r="B462" s="32" t="str">
        <f>Orders!C459</f>
        <v>S013</v>
      </c>
      <c r="C462" s="32" t="str">
        <f>Orders!B459</f>
        <v>C0014</v>
      </c>
      <c r="D462" s="32" t="str">
        <f>Orders!H459</f>
        <v>Delivered</v>
      </c>
      <c r="E462" s="33">
        <f>IF(Orders!H459="Delivered",1,0)</f>
        <v>1</v>
      </c>
      <c r="F462" s="34">
        <f>IF(E462=1,Orders!R459,"")</f>
        <v>2.4</v>
      </c>
      <c r="G462" s="33">
        <f>IF(E462=1,IF(Orders!R459&gt;0,1,0),"")</f>
        <v>1</v>
      </c>
      <c r="H462" s="33">
        <f>IF(E462=1,IF(Orders!R459&gt;5,1,0),"")</f>
        <v>0</v>
      </c>
      <c r="I462" s="32" t="str">
        <f>IF(E462=1,"",IF(OR(Orders!T459="Rider unavailable",Orders!T459="Item unavailable"),"Company-caused","Unresolved"))</f>
        <v/>
      </c>
      <c r="J462" s="33">
        <f>IF(OR(E462=1,I462="Company-caused"),1,0)</f>
        <v>1</v>
      </c>
      <c r="K462" s="32" t="str">
        <f>IF(E462=0,IF(I462="Company-caused",IF(Orders!T459="Rider unavailable","C1 Rider unavailable","C2 Item unavailable"),"Outside root: unresolved"),IF(G462=0,"A On time",IF(H462=1,IF(L462=1,"B2a Severe, peak","B2b Severe, off-peak"),IF(L462=1,"B1a Slight, peak","B1b Slight, off-peak"))))</f>
        <v>B1b Slight, off-peak</v>
      </c>
      <c r="L462" s="33">
        <f>IF(AND(Orders!U459&gt;=19,Orders!U459&lt;22),1,0)</f>
        <v>0</v>
      </c>
      <c r="M462" s="33">
        <f>IF(L462=IF(Orders!V459,1,0),1,0)</f>
        <v>1</v>
      </c>
      <c r="N462" s="32" t="str">
        <f>IF(Orders!W459="","None",Orders!W459)</f>
        <v>None</v>
      </c>
      <c r="O462" s="35">
        <f>INT(Orders!E459)</f>
        <v>46267.0</v>
      </c>
      <c r="P462" s="33">
        <f>Orders!U459</f>
        <v>11</v>
      </c>
      <c r="Q462" s="33">
        <f>COUNTIFS(Demand!$A$2:$A$4481,B462,Demand!$B$2:$B$4481,O462,Demand!$C$2:$C$4481,P462)</f>
        <v>1</v>
      </c>
      <c r="R462" s="33">
        <f>IF(Q462=1,SUMIFS(Demand!$E$2:$E$4481,Demand!$A$2:$A$4481,B462,Demand!$B$2:$B$4481,O462,Demand!$C$2:$C$4481,P462),"")</f>
        <v>46</v>
      </c>
      <c r="S462" s="33">
        <f>INDEX(Stores!$G$2:$G$21,MATCH(B462,Stores!$A$2:$A$21,0))</f>
        <v>49</v>
      </c>
      <c r="T462" s="34">
        <f>IF(R462="","",R462/S462)</f>
        <v>0.938775510204082</v>
      </c>
      <c r="U462" s="34">
        <f>IF(E462=1,T462,"")</f>
        <v>0.938775510204082</v>
      </c>
      <c r="V462" s="34">
        <f>IF(AND(E462=1,L462=0),T462,"")</f>
        <v>0.938775510204082</v>
      </c>
      <c r="W462" s="33">
        <f>IF(U462="","",IF(U462&lt;=Breakdowns!$C$5,1,IF(U462&lt;=Breakdowns!$C$6,2,IF(U462&lt;=Breakdowns!$C$7,3,4))))</f>
        <v>2</v>
      </c>
      <c r="X462" s="33">
        <f>IF(V462="","",IF(V462&lt;=Breakdowns!$D$5,1,IF(V462&lt;=Breakdowns!$D$6,2,IF(V462&lt;=Breakdowns!$D$7,3,4))))</f>
        <v>3</v>
      </c>
      <c r="Y462" s="34">
        <f>INDEX(Stores!$F$2:$F$21,MATCH(B462,Stores!$A$2:$A$21,0))</f>
        <v>5.82</v>
      </c>
      <c r="Z462" s="33">
        <f>IF(Y462&gt;Store_Summary!$M$2,1,0)</f>
        <v>1</v>
      </c>
      <c r="AA462" s="33">
        <f>INDEX(Stores!$C$2:$C$21,MATCH(B462,Stores!$A$2:$A$21,0))</f>
        <v>705</v>
      </c>
      <c r="AB462" s="33">
        <f>IF(AA462&lt;180,1,0)</f>
        <v>0</v>
      </c>
      <c r="AC462" s="32" t="str">
        <f>IF(Orders!D459="","",INDEX(Riders!$C$2:$C$81,MATCH(Orders!D459,Riders!$A$2:$A$81,0)))</f>
        <v>Petrol scooter</v>
      </c>
      <c r="AD462" s="33">
        <f>IF(Orders!D459="","",INDEX(Riders!$D$2:$D$81,MATCH(Orders!D459,Riders!$A$2:$A$81,0)))</f>
        <v>10</v>
      </c>
      <c r="AE462" s="33">
        <f>IF(Orders!D459="","",IF(INDEX(Riders!$B$2:$B$81,MATCH(Orders!D459,Riders!$A$2:$A$81,0))=B462,1,0))</f>
        <v>0</v>
      </c>
      <c r="AF462" s="34">
        <f>IF(E462=1,Orders!L459,"")</f>
        <v>0.65</v>
      </c>
      <c r="AG462" s="34">
        <f>IF(E462=1,Orders!P459,"")</f>
        <v>9.4</v>
      </c>
      <c r="AH462" s="34">
        <f>IF(E462=1,Orders!Q459,"")</f>
        <v>11.8</v>
      </c>
      <c r="AI462" s="34">
        <f>IF(E462=1,Orders!M459,"")</f>
        <v>6</v>
      </c>
      <c r="AJ462" s="34">
        <f>IF(E462=1,Orders!N459,"")</f>
        <v>2.7</v>
      </c>
      <c r="AK462" s="34">
        <f>IF(E462=1,Orders!O459,"")</f>
        <v>3.1</v>
      </c>
      <c r="AL462" s="33">
        <f>IF(E462=1,IF(ROUND(ABS(AI462+AJ462+AK462-AH462),6)&lt;=0.1,1,0),"")</f>
        <v>1</v>
      </c>
      <c r="AM462" s="36">
        <f>IF(E462=1,AI462/AH462,"")</f>
        <v>0.508474576271186</v>
      </c>
      <c r="AN462" s="36">
        <f>IF(E462=1,AJ462/AH462,"")</f>
        <v>0.228813559322034</v>
      </c>
      <c r="AO462" s="36">
        <f>IF(E462=1,AK462/AH462,"")</f>
        <v>0.26271186440678</v>
      </c>
      <c r="AP462" s="34">
        <f>IF(E462=1,Orders!Y459,"")</f>
        <v>0.55</v>
      </c>
      <c r="AQ462" s="33">
        <f>IF(Orders!X459,1,0)</f>
        <v>0</v>
      </c>
      <c r="AR462" s="34" t="str">
        <f>IF(AND(E462=1,L462=1),AJ462,"")</f>
        <v/>
      </c>
      <c r="AS462" s="34">
        <f>IF(AND(E462=1,L462=0),AJ462,"")</f>
        <v>2.7</v>
      </c>
      <c r="AT462" s="34" t="str">
        <f>IF(AND(E462=1,L462=1),AI462,"")</f>
        <v/>
      </c>
      <c r="AU462" s="34">
        <f>IF(AND(E462=1,L462=0),AI462,"")</f>
        <v>6</v>
      </c>
      <c r="AV462" s="34" t="str">
        <f>IF(AND(E462=1,L462=1),AG462,"")</f>
        <v/>
      </c>
      <c r="AW462" s="34">
        <f>IF(AND(E462=1,L462=0),AG462,"")</f>
        <v>9.4</v>
      </c>
      <c r="AX462" s="34" t="str">
        <f>IF(AND(E462=1,L462=1),AH462,"")</f>
        <v/>
      </c>
      <c r="AY462" s="34">
        <f>IF(AND(E462=1,L462=0),AH462,"")</f>
        <v>11.8</v>
      </c>
      <c r="AZ462" s="34">
        <f>IF(G462=1,F462,"")</f>
        <v>2.4</v>
      </c>
      <c r="BA462" s="34" t="str">
        <f>IF(AND(G462=1,L462=1),F462,"")</f>
        <v/>
      </c>
      <c r="BB462" s="34">
        <f>IF(AND(G462=1,L462=0),F462,"")</f>
        <v>2.4</v>
      </c>
      <c r="BC462" s="33">
        <f>IF(E462=1,IF(Orders!R459&gt;3,1,0),"")</f>
        <v>0</v>
      </c>
      <c r="BD462" s="33">
        <f>IF(E462=1,IF(Orders!R459&gt;7,1,0),"")</f>
        <v>0</v>
      </c>
      <c r="BE462" s="32" t="str">
        <f>IF(E462=1,IF(Orders!L459&lt;=1.5,"Up to 1.5 km",IF(Orders!L459&lt;=3,"1.5–3 km","Over 3 km")),"")</f>
        <v>Up to 1.5 km</v>
      </c>
      <c r="BF462" s="33">
        <f>IF(E462=1,IF(ABS((Orders!G459-Orders!F459)*1440-Orders!R459)&lt;0.06,1,0),"")</f>
        <v>1</v>
      </c>
      <c r="BG462" s="33">
        <f>IF(ABS((Orders!F459-Orders!E459)*1440-Orders!P459)&lt;0.06,1,0)</f>
        <v>1</v>
      </c>
      <c r="BH462" s="33">
        <f>IF(E462=1,IF(IF(Orders!S459,1,0)=1-G462,1,0),"")</f>
        <v>1</v>
      </c>
      <c r="BI462" s="32" t="str">
        <f>INDEX(Stores!$B$2:$B$21,MATCH(B462,Stores!$A$2:$A$21,0))</f>
        <v>Mumbai</v>
      </c>
    </row>
    <row r="463">
      <c r="A463" s="32" t="str">
        <f>Orders!A460</f>
        <v>O00459</v>
      </c>
      <c r="B463" s="32" t="str">
        <f>Orders!C460</f>
        <v>S015</v>
      </c>
      <c r="C463" s="32" t="str">
        <f>Orders!B460</f>
        <v>C0127</v>
      </c>
      <c r="D463" s="32" t="str">
        <f>Orders!H460</f>
        <v>Delivered</v>
      </c>
      <c r="E463" s="33">
        <f>IF(Orders!H460="Delivered",1,0)</f>
        <v>1</v>
      </c>
      <c r="F463" s="34">
        <f>IF(E463=1,Orders!R460,"")</f>
        <v>-1</v>
      </c>
      <c r="G463" s="33">
        <f>IF(E463=1,IF(Orders!R460&gt;0,1,0),"")</f>
        <v>0</v>
      </c>
      <c r="H463" s="33">
        <f>IF(E463=1,IF(Orders!R460&gt;5,1,0),"")</f>
        <v>0</v>
      </c>
      <c r="I463" s="32" t="str">
        <f>IF(E463=1,"",IF(OR(Orders!T460="Rider unavailable",Orders!T460="Item unavailable"),"Company-caused","Unresolved"))</f>
        <v/>
      </c>
      <c r="J463" s="33">
        <f>IF(OR(E463=1,I463="Company-caused"),1,0)</f>
        <v>1</v>
      </c>
      <c r="K463" s="32" t="str">
        <f>IF(E463=0,IF(I463="Company-caused",IF(Orders!T460="Rider unavailable","C1 Rider unavailable","C2 Item unavailable"),"Outside root: unresolved"),IF(G463=0,"A On time",IF(H463=1,IF(L463=1,"B2a Severe, peak","B2b Severe, off-peak"),IF(L463=1,"B1a Slight, peak","B1b Slight, off-peak"))))</f>
        <v>A On time</v>
      </c>
      <c r="L463" s="33">
        <f>IF(AND(Orders!U460&gt;=19,Orders!U460&lt;22),1,0)</f>
        <v>0</v>
      </c>
      <c r="M463" s="33">
        <f>IF(L463=IF(Orders!V460,1,0),1,0)</f>
        <v>1</v>
      </c>
      <c r="N463" s="32" t="str">
        <f>IF(Orders!W460="","None",Orders!W460)</f>
        <v>Heavy</v>
      </c>
      <c r="O463" s="35">
        <f>INT(Orders!E460)</f>
        <v>46273.0</v>
      </c>
      <c r="P463" s="33">
        <f>Orders!U460</f>
        <v>10</v>
      </c>
      <c r="Q463" s="33">
        <f>COUNTIFS(Demand!$A$2:$A$4481,B463,Demand!$B$2:$B$4481,O463,Demand!$C$2:$C$4481,P463)</f>
        <v>1</v>
      </c>
      <c r="R463" s="33">
        <f>IF(Q463=1,SUMIFS(Demand!$E$2:$E$4481,Demand!$A$2:$A$4481,B463,Demand!$B$2:$B$4481,O463,Demand!$C$2:$C$4481,P463),"")</f>
        <v>17</v>
      </c>
      <c r="S463" s="33">
        <f>INDEX(Stores!$G$2:$G$21,MATCH(B463,Stores!$A$2:$A$21,0))</f>
        <v>23</v>
      </c>
      <c r="T463" s="34">
        <f>IF(R463="","",R463/S463)</f>
        <v>0.739130434782609</v>
      </c>
      <c r="U463" s="34">
        <f>IF(E463=1,T463,"")</f>
        <v>0.739130434782609</v>
      </c>
      <c r="V463" s="34">
        <f>IF(AND(E463=1,L463=0),T463,"")</f>
        <v>0.739130434782609</v>
      </c>
      <c r="W463" s="33">
        <f>IF(U463="","",IF(U463&lt;=Breakdowns!$C$5,1,IF(U463&lt;=Breakdowns!$C$6,2,IF(U463&lt;=Breakdowns!$C$7,3,4))))</f>
        <v>1</v>
      </c>
      <c r="X463" s="33">
        <f>IF(V463="","",IF(V463&lt;=Breakdowns!$D$5,1,IF(V463&lt;=Breakdowns!$D$6,2,IF(V463&lt;=Breakdowns!$D$7,3,4))))</f>
        <v>1</v>
      </c>
      <c r="Y463" s="34">
        <f>INDEX(Stores!$F$2:$F$21,MATCH(B463,Stores!$A$2:$A$21,0))</f>
        <v>4.66</v>
      </c>
      <c r="Z463" s="33">
        <f>IF(Y463&gt;Store_Summary!$M$2,1,0)</f>
        <v>0</v>
      </c>
      <c r="AA463" s="33">
        <f>INDEX(Stores!$C$2:$C$21,MATCH(B463,Stores!$A$2:$A$21,0))</f>
        <v>204</v>
      </c>
      <c r="AB463" s="33">
        <f>IF(AA463&lt;180,1,0)</f>
        <v>0</v>
      </c>
      <c r="AC463" s="32" t="str">
        <f>IF(Orders!D460="","",INDEX(Riders!$C$2:$C$81,MATCH(Orders!D460,Riders!$A$2:$A$81,0)))</f>
        <v>Petrol scooter</v>
      </c>
      <c r="AD463" s="33">
        <f>IF(Orders!D460="","",INDEX(Riders!$D$2:$D$81,MATCH(Orders!D460,Riders!$A$2:$A$81,0)))</f>
        <v>13</v>
      </c>
      <c r="AE463" s="33">
        <f>IF(Orders!D460="","",IF(INDEX(Riders!$B$2:$B$81,MATCH(Orders!D460,Riders!$A$2:$A$81,0))=B463,1,0))</f>
        <v>0</v>
      </c>
      <c r="AF463" s="34">
        <f>IF(E463=1,Orders!L460,"")</f>
        <v>2.33</v>
      </c>
      <c r="AG463" s="34">
        <f>IF(E463=1,Orders!P460,"")</f>
        <v>9.9</v>
      </c>
      <c r="AH463" s="34">
        <f>IF(E463=1,Orders!Q460,"")</f>
        <v>8.9</v>
      </c>
      <c r="AI463" s="34">
        <f>IF(E463=1,Orders!M460,"")</f>
        <v>2.4</v>
      </c>
      <c r="AJ463" s="34">
        <f>IF(E463=1,Orders!N460,"")</f>
        <v>3.2</v>
      </c>
      <c r="AK463" s="34">
        <f>IF(E463=1,Orders!O460,"")</f>
        <v>3.3</v>
      </c>
      <c r="AL463" s="33">
        <f>IF(E463=1,IF(ROUND(ABS(AI463+AJ463+AK463-AH463),6)&lt;=0.1,1,0),"")</f>
        <v>1</v>
      </c>
      <c r="AM463" s="36">
        <f>IF(E463=1,AI463/AH463,"")</f>
        <v>0.269662921348315</v>
      </c>
      <c r="AN463" s="36">
        <f>IF(E463=1,AJ463/AH463,"")</f>
        <v>0.359550561797753</v>
      </c>
      <c r="AO463" s="36">
        <f>IF(E463=1,AK463/AH463,"")</f>
        <v>0.370786516853933</v>
      </c>
      <c r="AP463" s="34">
        <f>IF(E463=1,Orders!Y460,"")</f>
        <v>0.26</v>
      </c>
      <c r="AQ463" s="33">
        <f>IF(Orders!X460,1,0)</f>
        <v>1</v>
      </c>
      <c r="AR463" s="34" t="str">
        <f>IF(AND(E463=1,L463=1),AJ463,"")</f>
        <v/>
      </c>
      <c r="AS463" s="34">
        <f>IF(AND(E463=1,L463=0),AJ463,"")</f>
        <v>3.2</v>
      </c>
      <c r="AT463" s="34" t="str">
        <f>IF(AND(E463=1,L463=1),AI463,"")</f>
        <v/>
      </c>
      <c r="AU463" s="34">
        <f>IF(AND(E463=1,L463=0),AI463,"")</f>
        <v>2.4</v>
      </c>
      <c r="AV463" s="34" t="str">
        <f>IF(AND(E463=1,L463=1),AG463,"")</f>
        <v/>
      </c>
      <c r="AW463" s="34">
        <f>IF(AND(E463=1,L463=0),AG463,"")</f>
        <v>9.9</v>
      </c>
      <c r="AX463" s="34" t="str">
        <f>IF(AND(E463=1,L463=1),AH463,"")</f>
        <v/>
      </c>
      <c r="AY463" s="34">
        <f>IF(AND(E463=1,L463=0),AH463,"")</f>
        <v>8.9</v>
      </c>
      <c r="AZ463" s="34" t="str">
        <f>IF(G463=1,F463,"")</f>
        <v/>
      </c>
      <c r="BA463" s="34" t="str">
        <f>IF(AND(G463=1,L463=1),F463,"")</f>
        <v/>
      </c>
      <c r="BB463" s="34" t="str">
        <f>IF(AND(G463=1,L463=0),F463,"")</f>
        <v/>
      </c>
      <c r="BC463" s="33">
        <f>IF(E463=1,IF(Orders!R460&gt;3,1,0),"")</f>
        <v>0</v>
      </c>
      <c r="BD463" s="33">
        <f>IF(E463=1,IF(Orders!R460&gt;7,1,0),"")</f>
        <v>0</v>
      </c>
      <c r="BE463" s="32" t="str">
        <f>IF(E463=1,IF(Orders!L460&lt;=1.5,"Up to 1.5 km",IF(Orders!L460&lt;=3,"1.5–3 km","Over 3 km")),"")</f>
        <v>1.5–3 km</v>
      </c>
      <c r="BF463" s="33">
        <f>IF(E463=1,IF(ABS((Orders!G460-Orders!F460)*1440-Orders!R460)&lt;0.06,1,0),"")</f>
        <v>1</v>
      </c>
      <c r="BG463" s="33">
        <f>IF(ABS((Orders!F460-Orders!E460)*1440-Orders!P460)&lt;0.06,1,0)</f>
        <v>1</v>
      </c>
      <c r="BH463" s="33">
        <f>IF(E463=1,IF(IF(Orders!S460,1,0)=1-G463,1,0),"")</f>
        <v>1</v>
      </c>
      <c r="BI463" s="32" t="str">
        <f>INDEX(Stores!$B$2:$B$21,MATCH(B463,Stores!$A$2:$A$21,0))</f>
        <v>Delhi</v>
      </c>
    </row>
    <row r="464">
      <c r="A464" s="32" t="str">
        <f>Orders!A461</f>
        <v>O00460</v>
      </c>
      <c r="B464" s="32" t="str">
        <f>Orders!C461</f>
        <v>S012</v>
      </c>
      <c r="C464" s="32" t="str">
        <f>Orders!B461</f>
        <v>C0177</v>
      </c>
      <c r="D464" s="32" t="str">
        <f>Orders!H461</f>
        <v>Delivered</v>
      </c>
      <c r="E464" s="33">
        <f>IF(Orders!H461="Delivered",1,0)</f>
        <v>1</v>
      </c>
      <c r="F464" s="34">
        <f>IF(E464=1,Orders!R461,"")</f>
        <v>-0.6</v>
      </c>
      <c r="G464" s="33">
        <f>IF(E464=1,IF(Orders!R461&gt;0,1,0),"")</f>
        <v>0</v>
      </c>
      <c r="H464" s="33">
        <f>IF(E464=1,IF(Orders!R461&gt;5,1,0),"")</f>
        <v>0</v>
      </c>
      <c r="I464" s="32" t="str">
        <f>IF(E464=1,"",IF(OR(Orders!T461="Rider unavailable",Orders!T461="Item unavailable"),"Company-caused","Unresolved"))</f>
        <v/>
      </c>
      <c r="J464" s="33">
        <f>IF(OR(E464=1,I464="Company-caused"),1,0)</f>
        <v>1</v>
      </c>
      <c r="K464" s="32" t="str">
        <f>IF(E464=0,IF(I464="Company-caused",IF(Orders!T461="Rider unavailable","C1 Rider unavailable","C2 Item unavailable"),"Outside root: unresolved"),IF(G464=0,"A On time",IF(H464=1,IF(L464=1,"B2a Severe, peak","B2b Severe, off-peak"),IF(L464=1,"B1a Slight, peak","B1b Slight, off-peak"))))</f>
        <v>A On time</v>
      </c>
      <c r="L464" s="33">
        <f>IF(AND(Orders!U461&gt;=19,Orders!U461&lt;22),1,0)</f>
        <v>0</v>
      </c>
      <c r="M464" s="33">
        <f>IF(L464=IF(Orders!V461,1,0),1,0)</f>
        <v>1</v>
      </c>
      <c r="N464" s="32" t="str">
        <f>IF(Orders!W461="","None",Orders!W461)</f>
        <v>Heavy</v>
      </c>
      <c r="O464" s="35">
        <f>INT(Orders!E461)</f>
        <v>46268.0</v>
      </c>
      <c r="P464" s="33">
        <f>Orders!U461</f>
        <v>16</v>
      </c>
      <c r="Q464" s="33">
        <f>COUNTIFS(Demand!$A$2:$A$4481,B464,Demand!$B$2:$B$4481,O464,Demand!$C$2:$C$4481,P464)</f>
        <v>1</v>
      </c>
      <c r="R464" s="33">
        <f>IF(Q464=1,SUMIFS(Demand!$E$2:$E$4481,Demand!$A$2:$A$4481,B464,Demand!$B$2:$B$4481,O464,Demand!$C$2:$C$4481,P464),"")</f>
        <v>13</v>
      </c>
      <c r="S464" s="33">
        <f>INDEX(Stores!$G$2:$G$21,MATCH(B464,Stores!$A$2:$A$21,0))</f>
        <v>15</v>
      </c>
      <c r="T464" s="34">
        <f>IF(R464="","",R464/S464)</f>
        <v>0.866666666666667</v>
      </c>
      <c r="U464" s="34">
        <f>IF(E464=1,T464,"")</f>
        <v>0.866666666666667</v>
      </c>
      <c r="V464" s="34">
        <f>IF(AND(E464=1,L464=0),T464,"")</f>
        <v>0.866666666666667</v>
      </c>
      <c r="W464" s="33">
        <f>IF(U464="","",IF(U464&lt;=Breakdowns!$C$5,1,IF(U464&lt;=Breakdowns!$C$6,2,IF(U464&lt;=Breakdowns!$C$7,3,4))))</f>
        <v>2</v>
      </c>
      <c r="X464" s="33">
        <f>IF(V464="","",IF(V464&lt;=Breakdowns!$D$5,1,IF(V464&lt;=Breakdowns!$D$6,2,IF(V464&lt;=Breakdowns!$D$7,3,4))))</f>
        <v>2</v>
      </c>
      <c r="Y464" s="34">
        <f>INDEX(Stores!$F$2:$F$21,MATCH(B464,Stores!$A$2:$A$21,0))</f>
        <v>5.23</v>
      </c>
      <c r="Z464" s="33">
        <f>IF(Y464&gt;Store_Summary!$M$2,1,0)</f>
        <v>1</v>
      </c>
      <c r="AA464" s="33">
        <f>INDEX(Stores!$C$2:$C$21,MATCH(B464,Stores!$A$2:$A$21,0))</f>
        <v>300</v>
      </c>
      <c r="AB464" s="33">
        <f>IF(AA464&lt;180,1,0)</f>
        <v>0</v>
      </c>
      <c r="AC464" s="32" t="str">
        <f>IF(Orders!D461="","",INDEX(Riders!$C$2:$C$81,MATCH(Orders!D461,Riders!$A$2:$A$81,0)))</f>
        <v>EV scooter</v>
      </c>
      <c r="AD464" s="33">
        <f>IF(Orders!D461="","",INDEX(Riders!$D$2:$D$81,MATCH(Orders!D461,Riders!$A$2:$A$81,0)))</f>
        <v>11</v>
      </c>
      <c r="AE464" s="33">
        <f>IF(Orders!D461="","",IF(INDEX(Riders!$B$2:$B$81,MATCH(Orders!D461,Riders!$A$2:$A$81,0))=B464,1,0))</f>
        <v>0</v>
      </c>
      <c r="AF464" s="34">
        <f>IF(E464=1,Orders!L461,"")</f>
        <v>1.41</v>
      </c>
      <c r="AG464" s="34">
        <f>IF(E464=1,Orders!P461,"")</f>
        <v>8.9</v>
      </c>
      <c r="AH464" s="34">
        <f>IF(E464=1,Orders!Q461,"")</f>
        <v>8.3</v>
      </c>
      <c r="AI464" s="34">
        <f>IF(E464=1,Orders!M461,"")</f>
        <v>3.5</v>
      </c>
      <c r="AJ464" s="34">
        <f>IF(E464=1,Orders!N461,"")</f>
        <v>1.1</v>
      </c>
      <c r="AK464" s="34">
        <f>IF(E464=1,Orders!O461,"")</f>
        <v>3.7</v>
      </c>
      <c r="AL464" s="33">
        <f>IF(E464=1,IF(ROUND(ABS(AI464+AJ464+AK464-AH464),6)&lt;=0.1,1,0),"")</f>
        <v>1</v>
      </c>
      <c r="AM464" s="36">
        <f>IF(E464=1,AI464/AH464,"")</f>
        <v>0.421686746987952</v>
      </c>
      <c r="AN464" s="36">
        <f>IF(E464=1,AJ464/AH464,"")</f>
        <v>0.132530120481928</v>
      </c>
      <c r="AO464" s="36">
        <f>IF(E464=1,AK464/AH464,"")</f>
        <v>0.445783132530121</v>
      </c>
      <c r="AP464" s="34">
        <f>IF(E464=1,Orders!Y461,"")</f>
        <v>0.4</v>
      </c>
      <c r="AQ464" s="33">
        <f>IF(Orders!X461,1,0)</f>
        <v>0</v>
      </c>
      <c r="AR464" s="34" t="str">
        <f>IF(AND(E464=1,L464=1),AJ464,"")</f>
        <v/>
      </c>
      <c r="AS464" s="34">
        <f>IF(AND(E464=1,L464=0),AJ464,"")</f>
        <v>1.1</v>
      </c>
      <c r="AT464" s="34" t="str">
        <f>IF(AND(E464=1,L464=1),AI464,"")</f>
        <v/>
      </c>
      <c r="AU464" s="34">
        <f>IF(AND(E464=1,L464=0),AI464,"")</f>
        <v>3.5</v>
      </c>
      <c r="AV464" s="34" t="str">
        <f>IF(AND(E464=1,L464=1),AG464,"")</f>
        <v/>
      </c>
      <c r="AW464" s="34">
        <f>IF(AND(E464=1,L464=0),AG464,"")</f>
        <v>8.9</v>
      </c>
      <c r="AX464" s="34" t="str">
        <f>IF(AND(E464=1,L464=1),AH464,"")</f>
        <v/>
      </c>
      <c r="AY464" s="34">
        <f>IF(AND(E464=1,L464=0),AH464,"")</f>
        <v>8.3</v>
      </c>
      <c r="AZ464" s="34" t="str">
        <f>IF(G464=1,F464,"")</f>
        <v/>
      </c>
      <c r="BA464" s="34" t="str">
        <f>IF(AND(G464=1,L464=1),F464,"")</f>
        <v/>
      </c>
      <c r="BB464" s="34" t="str">
        <f>IF(AND(G464=1,L464=0),F464,"")</f>
        <v/>
      </c>
      <c r="BC464" s="33">
        <f>IF(E464=1,IF(Orders!R461&gt;3,1,0),"")</f>
        <v>0</v>
      </c>
      <c r="BD464" s="33">
        <f>IF(E464=1,IF(Orders!R461&gt;7,1,0),"")</f>
        <v>0</v>
      </c>
      <c r="BE464" s="32" t="str">
        <f>IF(E464=1,IF(Orders!L461&lt;=1.5,"Up to 1.5 km",IF(Orders!L461&lt;=3,"1.5–3 km","Over 3 km")),"")</f>
        <v>Up to 1.5 km</v>
      </c>
      <c r="BF464" s="33">
        <f>IF(E464=1,IF(ABS((Orders!G461-Orders!F461)*1440-Orders!R461)&lt;0.06,1,0),"")</f>
        <v>1</v>
      </c>
      <c r="BG464" s="33">
        <f>IF(ABS((Orders!F461-Orders!E461)*1440-Orders!P461)&lt;0.06,1,0)</f>
        <v>1</v>
      </c>
      <c r="BH464" s="33">
        <f>IF(E464=1,IF(IF(Orders!S461,1,0)=1-G464,1,0),"")</f>
        <v>1</v>
      </c>
      <c r="BI464" s="32" t="str">
        <f>INDEX(Stores!$B$2:$B$21,MATCH(B464,Stores!$A$2:$A$21,0))</f>
        <v>Hyderabad</v>
      </c>
    </row>
    <row r="465">
      <c r="A465" s="32" t="str">
        <f>Orders!A462</f>
        <v>O00461</v>
      </c>
      <c r="B465" s="32" t="str">
        <f>Orders!C462</f>
        <v>S016</v>
      </c>
      <c r="C465" s="32" t="str">
        <f>Orders!B462</f>
        <v>C0236</v>
      </c>
      <c r="D465" s="32" t="str">
        <f>Orders!H462</f>
        <v>Delivered</v>
      </c>
      <c r="E465" s="33">
        <f>IF(Orders!H462="Delivered",1,0)</f>
        <v>1</v>
      </c>
      <c r="F465" s="34">
        <f>IF(E465=1,Orders!R462,"")</f>
        <v>10.1</v>
      </c>
      <c r="G465" s="33">
        <f>IF(E465=1,IF(Orders!R462&gt;0,1,0),"")</f>
        <v>1</v>
      </c>
      <c r="H465" s="33">
        <f>IF(E465=1,IF(Orders!R462&gt;5,1,0),"")</f>
        <v>1</v>
      </c>
      <c r="I465" s="32" t="str">
        <f>IF(E465=1,"",IF(OR(Orders!T462="Rider unavailable",Orders!T462="Item unavailable"),"Company-caused","Unresolved"))</f>
        <v/>
      </c>
      <c r="J465" s="33">
        <f>IF(OR(E465=1,I465="Company-caused"),1,0)</f>
        <v>1</v>
      </c>
      <c r="K465" s="32" t="str">
        <f>IF(E465=0,IF(I465="Company-caused",IF(Orders!T462="Rider unavailable","C1 Rider unavailable","C2 Item unavailable"),"Outside root: unresolved"),IF(G465=0,"A On time",IF(H465=1,IF(L465=1,"B2a Severe, peak","B2b Severe, off-peak"),IF(L465=1,"B1a Slight, peak","B1b Slight, off-peak"))))</f>
        <v>B2b Severe, off-peak</v>
      </c>
      <c r="L465" s="33">
        <f>IF(AND(Orders!U462&gt;=19,Orders!U462&lt;22),1,0)</f>
        <v>0</v>
      </c>
      <c r="M465" s="33">
        <f>IF(L465=IF(Orders!V462,1,0),1,0)</f>
        <v>1</v>
      </c>
      <c r="N465" s="32" t="str">
        <f>IF(Orders!W462="","None",Orders!W462)</f>
        <v>None</v>
      </c>
      <c r="O465" s="35">
        <f>INT(Orders!E462)</f>
        <v>46275.0</v>
      </c>
      <c r="P465" s="33">
        <f>Orders!U462</f>
        <v>23</v>
      </c>
      <c r="Q465" s="33">
        <f>COUNTIFS(Demand!$A$2:$A$4481,B465,Demand!$B$2:$B$4481,O465,Demand!$C$2:$C$4481,P465)</f>
        <v>1</v>
      </c>
      <c r="R465" s="33">
        <f>IF(Q465=1,SUMIFS(Demand!$E$2:$E$4481,Demand!$A$2:$A$4481,B465,Demand!$B$2:$B$4481,O465,Demand!$C$2:$C$4481,P465),"")</f>
        <v>29</v>
      </c>
      <c r="S465" s="33">
        <f>INDEX(Stores!$G$2:$G$21,MATCH(B465,Stores!$A$2:$A$21,0))</f>
        <v>25</v>
      </c>
      <c r="T465" s="34">
        <f>IF(R465="","",R465/S465)</f>
        <v>1.16</v>
      </c>
      <c r="U465" s="34">
        <f>IF(E465=1,T465,"")</f>
        <v>1.16</v>
      </c>
      <c r="V465" s="34">
        <f>IF(AND(E465=1,L465=0),T465,"")</f>
        <v>1.16</v>
      </c>
      <c r="W465" s="33">
        <f>IF(U465="","",IF(U465&lt;=Breakdowns!$C$5,1,IF(U465&lt;=Breakdowns!$C$6,2,IF(U465&lt;=Breakdowns!$C$7,3,4))))</f>
        <v>3</v>
      </c>
      <c r="X465" s="33">
        <f>IF(V465="","",IF(V465&lt;=Breakdowns!$D$5,1,IF(V465&lt;=Breakdowns!$D$6,2,IF(V465&lt;=Breakdowns!$D$7,3,4))))</f>
        <v>4</v>
      </c>
      <c r="Y465" s="34">
        <f>INDEX(Stores!$F$2:$F$21,MATCH(B465,Stores!$A$2:$A$21,0))</f>
        <v>5.51</v>
      </c>
      <c r="Z465" s="33">
        <f>IF(Y465&gt;Store_Summary!$M$2,1,0)</f>
        <v>1</v>
      </c>
      <c r="AA465" s="33">
        <f>INDEX(Stores!$C$2:$C$21,MATCH(B465,Stores!$A$2:$A$21,0))</f>
        <v>792</v>
      </c>
      <c r="AB465" s="33">
        <f>IF(AA465&lt;180,1,0)</f>
        <v>0</v>
      </c>
      <c r="AC465" s="32" t="str">
        <f>IF(Orders!D462="","",INDEX(Riders!$C$2:$C$81,MATCH(Orders!D462,Riders!$A$2:$A$81,0)))</f>
        <v>Petrol scooter</v>
      </c>
      <c r="AD465" s="33">
        <f>IF(Orders!D462="","",INDEX(Riders!$D$2:$D$81,MATCH(Orders!D462,Riders!$A$2:$A$81,0)))</f>
        <v>4</v>
      </c>
      <c r="AE465" s="33">
        <f>IF(Orders!D462="","",IF(INDEX(Riders!$B$2:$B$81,MATCH(Orders!D462,Riders!$A$2:$A$81,0))=B465,1,0))</f>
        <v>0</v>
      </c>
      <c r="AF465" s="34">
        <f>IF(E465=1,Orders!L462,"")</f>
        <v>1.84</v>
      </c>
      <c r="AG465" s="34">
        <f>IF(E465=1,Orders!P462,"")</f>
        <v>10.3</v>
      </c>
      <c r="AH465" s="34">
        <f>IF(E465=1,Orders!Q462,"")</f>
        <v>20.4</v>
      </c>
      <c r="AI465" s="34">
        <f>IF(E465=1,Orders!M462,"")</f>
        <v>6.3</v>
      </c>
      <c r="AJ465" s="34">
        <f>IF(E465=1,Orders!N462,"")</f>
        <v>9</v>
      </c>
      <c r="AK465" s="34">
        <f>IF(E465=1,Orders!O462,"")</f>
        <v>5</v>
      </c>
      <c r="AL465" s="33">
        <f>IF(E465=1,IF(ROUND(ABS(AI465+AJ465+AK465-AH465),6)&lt;=0.1,1,0),"")</f>
        <v>1</v>
      </c>
      <c r="AM465" s="36">
        <f>IF(E465=1,AI465/AH465,"")</f>
        <v>0.308823529411765</v>
      </c>
      <c r="AN465" s="36">
        <f>IF(E465=1,AJ465/AH465,"")</f>
        <v>0.441176470588235</v>
      </c>
      <c r="AO465" s="36">
        <f>IF(E465=1,AK465/AH465,"")</f>
        <v>0.245098039215686</v>
      </c>
      <c r="AP465" s="34">
        <f>IF(E465=1,Orders!Y462,"")</f>
        <v>0.57</v>
      </c>
      <c r="AQ465" s="33">
        <f>IF(Orders!X462,1,0)</f>
        <v>0</v>
      </c>
      <c r="AR465" s="34" t="str">
        <f>IF(AND(E465=1,L465=1),AJ465,"")</f>
        <v/>
      </c>
      <c r="AS465" s="34">
        <f>IF(AND(E465=1,L465=0),AJ465,"")</f>
        <v>9</v>
      </c>
      <c r="AT465" s="34" t="str">
        <f>IF(AND(E465=1,L465=1),AI465,"")</f>
        <v/>
      </c>
      <c r="AU465" s="34">
        <f>IF(AND(E465=1,L465=0),AI465,"")</f>
        <v>6.3</v>
      </c>
      <c r="AV465" s="34" t="str">
        <f>IF(AND(E465=1,L465=1),AG465,"")</f>
        <v/>
      </c>
      <c r="AW465" s="34">
        <f>IF(AND(E465=1,L465=0),AG465,"")</f>
        <v>10.3</v>
      </c>
      <c r="AX465" s="34" t="str">
        <f>IF(AND(E465=1,L465=1),AH465,"")</f>
        <v/>
      </c>
      <c r="AY465" s="34">
        <f>IF(AND(E465=1,L465=0),AH465,"")</f>
        <v>20.4</v>
      </c>
      <c r="AZ465" s="34">
        <f>IF(G465=1,F465,"")</f>
        <v>10.1</v>
      </c>
      <c r="BA465" s="34" t="str">
        <f>IF(AND(G465=1,L465=1),F465,"")</f>
        <v/>
      </c>
      <c r="BB465" s="34">
        <f>IF(AND(G465=1,L465=0),F465,"")</f>
        <v>10.1</v>
      </c>
      <c r="BC465" s="33">
        <f>IF(E465=1,IF(Orders!R462&gt;3,1,0),"")</f>
        <v>1</v>
      </c>
      <c r="BD465" s="33">
        <f>IF(E465=1,IF(Orders!R462&gt;7,1,0),"")</f>
        <v>1</v>
      </c>
      <c r="BE465" s="32" t="str">
        <f>IF(E465=1,IF(Orders!L462&lt;=1.5,"Up to 1.5 km",IF(Orders!L462&lt;=3,"1.5–3 km","Over 3 km")),"")</f>
        <v>1.5–3 km</v>
      </c>
      <c r="BF465" s="33">
        <f>IF(E465=1,IF(ABS((Orders!G462-Orders!F462)*1440-Orders!R462)&lt;0.06,1,0),"")</f>
        <v>1</v>
      </c>
      <c r="BG465" s="33">
        <f>IF(ABS((Orders!F462-Orders!E462)*1440-Orders!P462)&lt;0.06,1,0)</f>
        <v>1</v>
      </c>
      <c r="BH465" s="33">
        <f>IF(E465=1,IF(IF(Orders!S462,1,0)=1-G465,1,0),"")</f>
        <v>1</v>
      </c>
      <c r="BI465" s="32" t="str">
        <f>INDEX(Stores!$B$2:$B$21,MATCH(B465,Stores!$A$2:$A$21,0))</f>
        <v>Bengaluru</v>
      </c>
    </row>
    <row r="466">
      <c r="A466" s="32" t="str">
        <f>Orders!A463</f>
        <v>O00462</v>
      </c>
      <c r="B466" s="32" t="str">
        <f>Orders!C463</f>
        <v>S018</v>
      </c>
      <c r="C466" s="32" t="str">
        <f>Orders!B463</f>
        <v>C0218</v>
      </c>
      <c r="D466" s="32" t="str">
        <f>Orders!H463</f>
        <v>Delivered</v>
      </c>
      <c r="E466" s="33">
        <f>IF(Orders!H463="Delivered",1,0)</f>
        <v>1</v>
      </c>
      <c r="F466" s="34">
        <f>IF(E466=1,Orders!R463,"")</f>
        <v>-0.5</v>
      </c>
      <c r="G466" s="33">
        <f>IF(E466=1,IF(Orders!R463&gt;0,1,0),"")</f>
        <v>0</v>
      </c>
      <c r="H466" s="33">
        <f>IF(E466=1,IF(Orders!R463&gt;5,1,0),"")</f>
        <v>0</v>
      </c>
      <c r="I466" s="32" t="str">
        <f>IF(E466=1,"",IF(OR(Orders!T463="Rider unavailable",Orders!T463="Item unavailable"),"Company-caused","Unresolved"))</f>
        <v/>
      </c>
      <c r="J466" s="33">
        <f>IF(OR(E466=1,I466="Company-caused"),1,0)</f>
        <v>1</v>
      </c>
      <c r="K466" s="32" t="str">
        <f>IF(E466=0,IF(I466="Company-caused",IF(Orders!T463="Rider unavailable","C1 Rider unavailable","C2 Item unavailable"),"Outside root: unresolved"),IF(G466=0,"A On time",IF(H466=1,IF(L466=1,"B2a Severe, peak","B2b Severe, off-peak"),IF(L466=1,"B1a Slight, peak","B1b Slight, off-peak"))))</f>
        <v>A On time</v>
      </c>
      <c r="L466" s="33">
        <f>IF(AND(Orders!U463&gt;=19,Orders!U463&lt;22),1,0)</f>
        <v>0</v>
      </c>
      <c r="M466" s="33">
        <f>IF(L466=IF(Orders!V463,1,0),1,0)</f>
        <v>1</v>
      </c>
      <c r="N466" s="32" t="str">
        <f>IF(Orders!W463="","None",Orders!W463)</f>
        <v>None</v>
      </c>
      <c r="O466" s="35">
        <f>INT(Orders!E463)</f>
        <v>46276.0</v>
      </c>
      <c r="P466" s="33">
        <f>Orders!U463</f>
        <v>10</v>
      </c>
      <c r="Q466" s="33">
        <f>COUNTIFS(Demand!$A$2:$A$4481,B466,Demand!$B$2:$B$4481,O466,Demand!$C$2:$C$4481,P466)</f>
        <v>1</v>
      </c>
      <c r="R466" s="33">
        <f>IF(Q466=1,SUMIFS(Demand!$E$2:$E$4481,Demand!$A$2:$A$4481,B466,Demand!$B$2:$B$4481,O466,Demand!$C$2:$C$4481,P466),"")</f>
        <v>15</v>
      </c>
      <c r="S466" s="33">
        <f>INDEX(Stores!$G$2:$G$21,MATCH(B466,Stores!$A$2:$A$21,0))</f>
        <v>20</v>
      </c>
      <c r="T466" s="34">
        <f>IF(R466="","",R466/S466)</f>
        <v>0.75</v>
      </c>
      <c r="U466" s="34">
        <f>IF(E466=1,T466,"")</f>
        <v>0.75</v>
      </c>
      <c r="V466" s="34">
        <f>IF(AND(E466=1,L466=0),T466,"")</f>
        <v>0.75</v>
      </c>
      <c r="W466" s="33">
        <f>IF(U466="","",IF(U466&lt;=Breakdowns!$C$5,1,IF(U466&lt;=Breakdowns!$C$6,2,IF(U466&lt;=Breakdowns!$C$7,3,4))))</f>
        <v>1</v>
      </c>
      <c r="X466" s="33">
        <f>IF(V466="","",IF(V466&lt;=Breakdowns!$D$5,1,IF(V466&lt;=Breakdowns!$D$6,2,IF(V466&lt;=Breakdowns!$D$7,3,4))))</f>
        <v>1</v>
      </c>
      <c r="Y466" s="34">
        <f>INDEX(Stores!$F$2:$F$21,MATCH(B466,Stores!$A$2:$A$21,0))</f>
        <v>5.31</v>
      </c>
      <c r="Z466" s="33">
        <f>IF(Y466&gt;Store_Summary!$M$2,1,0)</f>
        <v>1</v>
      </c>
      <c r="AA466" s="33">
        <f>INDEX(Stores!$C$2:$C$21,MATCH(B466,Stores!$A$2:$A$21,0))</f>
        <v>214</v>
      </c>
      <c r="AB466" s="33">
        <f>IF(AA466&lt;180,1,0)</f>
        <v>0</v>
      </c>
      <c r="AC466" s="32" t="str">
        <f>IF(Orders!D463="","",INDEX(Riders!$C$2:$C$81,MATCH(Orders!D463,Riders!$A$2:$A$81,0)))</f>
        <v>EV scooter</v>
      </c>
      <c r="AD466" s="33">
        <f>IF(Orders!D463="","",INDEX(Riders!$D$2:$D$81,MATCH(Orders!D463,Riders!$A$2:$A$81,0)))</f>
        <v>32</v>
      </c>
      <c r="AE466" s="33">
        <f>IF(Orders!D463="","",IF(INDEX(Riders!$B$2:$B$81,MATCH(Orders!D463,Riders!$A$2:$A$81,0))=B466,1,0))</f>
        <v>0</v>
      </c>
      <c r="AF466" s="34">
        <f>IF(E466=1,Orders!L463,"")</f>
        <v>2.31</v>
      </c>
      <c r="AG466" s="34">
        <f>IF(E466=1,Orders!P463,"")</f>
        <v>10.1</v>
      </c>
      <c r="AH466" s="34">
        <f>IF(E466=1,Orders!Q463,"")</f>
        <v>9.6</v>
      </c>
      <c r="AI466" s="34">
        <f>IF(E466=1,Orders!M463,"")</f>
        <v>3.9</v>
      </c>
      <c r="AJ466" s="34">
        <f>IF(E466=1,Orders!N463,"")</f>
        <v>2.2</v>
      </c>
      <c r="AK466" s="34">
        <f>IF(E466=1,Orders!O463,"")</f>
        <v>3.5</v>
      </c>
      <c r="AL466" s="33">
        <f>IF(E466=1,IF(ROUND(ABS(AI466+AJ466+AK466-AH466),6)&lt;=0.1,1,0),"")</f>
        <v>1</v>
      </c>
      <c r="AM466" s="36">
        <f>IF(E466=1,AI466/AH466,"")</f>
        <v>0.40625</v>
      </c>
      <c r="AN466" s="36">
        <f>IF(E466=1,AJ466/AH466,"")</f>
        <v>0.229166666666667</v>
      </c>
      <c r="AO466" s="36">
        <f>IF(E466=1,AK466/AH466,"")</f>
        <v>0.364583333333333</v>
      </c>
      <c r="AP466" s="34">
        <f>IF(E466=1,Orders!Y463,"")</f>
        <v>0.41</v>
      </c>
      <c r="AQ466" s="33">
        <f>IF(Orders!X463,1,0)</f>
        <v>0</v>
      </c>
      <c r="AR466" s="34" t="str">
        <f>IF(AND(E466=1,L466=1),AJ466,"")</f>
        <v/>
      </c>
      <c r="AS466" s="34">
        <f>IF(AND(E466=1,L466=0),AJ466,"")</f>
        <v>2.2</v>
      </c>
      <c r="AT466" s="34" t="str">
        <f>IF(AND(E466=1,L466=1),AI466,"")</f>
        <v/>
      </c>
      <c r="AU466" s="34">
        <f>IF(AND(E466=1,L466=0),AI466,"")</f>
        <v>3.9</v>
      </c>
      <c r="AV466" s="34" t="str">
        <f>IF(AND(E466=1,L466=1),AG466,"")</f>
        <v/>
      </c>
      <c r="AW466" s="34">
        <f>IF(AND(E466=1,L466=0),AG466,"")</f>
        <v>10.1</v>
      </c>
      <c r="AX466" s="34" t="str">
        <f>IF(AND(E466=1,L466=1),AH466,"")</f>
        <v/>
      </c>
      <c r="AY466" s="34">
        <f>IF(AND(E466=1,L466=0),AH466,"")</f>
        <v>9.6</v>
      </c>
      <c r="AZ466" s="34" t="str">
        <f>IF(G466=1,F466,"")</f>
        <v/>
      </c>
      <c r="BA466" s="34" t="str">
        <f>IF(AND(G466=1,L466=1),F466,"")</f>
        <v/>
      </c>
      <c r="BB466" s="34" t="str">
        <f>IF(AND(G466=1,L466=0),F466,"")</f>
        <v/>
      </c>
      <c r="BC466" s="33">
        <f>IF(E466=1,IF(Orders!R463&gt;3,1,0),"")</f>
        <v>0</v>
      </c>
      <c r="BD466" s="33">
        <f>IF(E466=1,IF(Orders!R463&gt;7,1,0),"")</f>
        <v>0</v>
      </c>
      <c r="BE466" s="32" t="str">
        <f>IF(E466=1,IF(Orders!L463&lt;=1.5,"Up to 1.5 km",IF(Orders!L463&lt;=3,"1.5–3 km","Over 3 km")),"")</f>
        <v>1.5–3 km</v>
      </c>
      <c r="BF466" s="33">
        <f>IF(E466=1,IF(ABS((Orders!G463-Orders!F463)*1440-Orders!R463)&lt;0.06,1,0),"")</f>
        <v>1</v>
      </c>
      <c r="BG466" s="33">
        <f>IF(ABS((Orders!F463-Orders!E463)*1440-Orders!P463)&lt;0.06,1,0)</f>
        <v>1</v>
      </c>
      <c r="BH466" s="33">
        <f>IF(E466=1,IF(IF(Orders!S463,1,0)=1-G466,1,0),"")</f>
        <v>1</v>
      </c>
      <c r="BI466" s="32" t="str">
        <f>INDEX(Stores!$B$2:$B$21,MATCH(B466,Stores!$A$2:$A$21,0))</f>
        <v>Mumbai</v>
      </c>
    </row>
    <row r="467">
      <c r="A467" s="32" t="str">
        <f>Orders!A464</f>
        <v>O00463</v>
      </c>
      <c r="B467" s="32" t="str">
        <f>Orders!C464</f>
        <v>S011</v>
      </c>
      <c r="C467" s="32" t="str">
        <f>Orders!B464</f>
        <v>C0013</v>
      </c>
      <c r="D467" s="32" t="str">
        <f>Orders!H464</f>
        <v>Delivered</v>
      </c>
      <c r="E467" s="33">
        <f>IF(Orders!H464="Delivered",1,0)</f>
        <v>1</v>
      </c>
      <c r="F467" s="34">
        <f>IF(E467=1,Orders!R464,"")</f>
        <v>3.6</v>
      </c>
      <c r="G467" s="33">
        <f>IF(E467=1,IF(Orders!R464&gt;0,1,0),"")</f>
        <v>1</v>
      </c>
      <c r="H467" s="33">
        <f>IF(E467=1,IF(Orders!R464&gt;5,1,0),"")</f>
        <v>0</v>
      </c>
      <c r="I467" s="32" t="str">
        <f>IF(E467=1,"",IF(OR(Orders!T464="Rider unavailable",Orders!T464="Item unavailable"),"Company-caused","Unresolved"))</f>
        <v/>
      </c>
      <c r="J467" s="33">
        <f>IF(OR(E467=1,I467="Company-caused"),1,0)</f>
        <v>1</v>
      </c>
      <c r="K467" s="32" t="str">
        <f>IF(E467=0,IF(I467="Company-caused",IF(Orders!T464="Rider unavailable","C1 Rider unavailable","C2 Item unavailable"),"Outside root: unresolved"),IF(G467=0,"A On time",IF(H467=1,IF(L467=1,"B2a Severe, peak","B2b Severe, off-peak"),IF(L467=1,"B1a Slight, peak","B1b Slight, off-peak"))))</f>
        <v>B1b Slight, off-peak</v>
      </c>
      <c r="L467" s="33">
        <f>IF(AND(Orders!U464&gt;=19,Orders!U464&lt;22),1,0)</f>
        <v>0</v>
      </c>
      <c r="M467" s="33">
        <f>IF(L467=IF(Orders!V464,1,0),1,0)</f>
        <v>1</v>
      </c>
      <c r="N467" s="32" t="str">
        <f>IF(Orders!W464="","None",Orders!W464)</f>
        <v>None</v>
      </c>
      <c r="O467" s="35">
        <f>INT(Orders!E464)</f>
        <v>46266.0</v>
      </c>
      <c r="P467" s="33">
        <f>Orders!U464</f>
        <v>12</v>
      </c>
      <c r="Q467" s="33">
        <f>COUNTIFS(Demand!$A$2:$A$4481,B467,Demand!$B$2:$B$4481,O467,Demand!$C$2:$C$4481,P467)</f>
        <v>1</v>
      </c>
      <c r="R467" s="33">
        <f>IF(Q467=1,SUMIFS(Demand!$E$2:$E$4481,Demand!$A$2:$A$4481,B467,Demand!$B$2:$B$4481,O467,Demand!$C$2:$C$4481,P467),"")</f>
        <v>26</v>
      </c>
      <c r="S467" s="33">
        <f>INDEX(Stores!$G$2:$G$21,MATCH(B467,Stores!$A$2:$A$21,0))</f>
        <v>31</v>
      </c>
      <c r="T467" s="34">
        <f>IF(R467="","",R467/S467)</f>
        <v>0.838709677419355</v>
      </c>
      <c r="U467" s="34">
        <f>IF(E467=1,T467,"")</f>
        <v>0.838709677419355</v>
      </c>
      <c r="V467" s="34">
        <f>IF(AND(E467=1,L467=0),T467,"")</f>
        <v>0.838709677419355</v>
      </c>
      <c r="W467" s="33">
        <f>IF(U467="","",IF(U467&lt;=Breakdowns!$C$5,1,IF(U467&lt;=Breakdowns!$C$6,2,IF(U467&lt;=Breakdowns!$C$7,3,4))))</f>
        <v>2</v>
      </c>
      <c r="X467" s="33">
        <f>IF(V467="","",IF(V467&lt;=Breakdowns!$D$5,1,IF(V467&lt;=Breakdowns!$D$6,2,IF(V467&lt;=Breakdowns!$D$7,3,4))))</f>
        <v>2</v>
      </c>
      <c r="Y467" s="34">
        <f>INDEX(Stores!$F$2:$F$21,MATCH(B467,Stores!$A$2:$A$21,0))</f>
        <v>5.67</v>
      </c>
      <c r="Z467" s="33">
        <f>IF(Y467&gt;Store_Summary!$M$2,1,0)</f>
        <v>1</v>
      </c>
      <c r="AA467" s="33">
        <f>INDEX(Stores!$C$2:$C$21,MATCH(B467,Stores!$A$2:$A$21,0))</f>
        <v>732</v>
      </c>
      <c r="AB467" s="33">
        <f>IF(AA467&lt;180,1,0)</f>
        <v>0</v>
      </c>
      <c r="AC467" s="32" t="str">
        <f>IF(Orders!D464="","",INDEX(Riders!$C$2:$C$81,MATCH(Orders!D464,Riders!$A$2:$A$81,0)))</f>
        <v>EV scooter</v>
      </c>
      <c r="AD467" s="33">
        <f>IF(Orders!D464="","",INDEX(Riders!$D$2:$D$81,MATCH(Orders!D464,Riders!$A$2:$A$81,0)))</f>
        <v>18</v>
      </c>
      <c r="AE467" s="33">
        <f>IF(Orders!D464="","",IF(INDEX(Riders!$B$2:$B$81,MATCH(Orders!D464,Riders!$A$2:$A$81,0))=B467,1,0))</f>
        <v>0</v>
      </c>
      <c r="AF467" s="34">
        <f>IF(E467=1,Orders!L464,"")</f>
        <v>0.98</v>
      </c>
      <c r="AG467" s="34">
        <f>IF(E467=1,Orders!P464,"")</f>
        <v>11.5</v>
      </c>
      <c r="AH467" s="34">
        <f>IF(E467=1,Orders!Q464,"")</f>
        <v>15.1</v>
      </c>
      <c r="AI467" s="34">
        <f>IF(E467=1,Orders!M464,"")</f>
        <v>5.9</v>
      </c>
      <c r="AJ467" s="34">
        <f>IF(E467=1,Orders!N464,"")</f>
        <v>5.6</v>
      </c>
      <c r="AK467" s="34">
        <f>IF(E467=1,Orders!O464,"")</f>
        <v>3.6</v>
      </c>
      <c r="AL467" s="33">
        <f>IF(E467=1,IF(ROUND(ABS(AI467+AJ467+AK467-AH467),6)&lt;=0.1,1,0),"")</f>
        <v>1</v>
      </c>
      <c r="AM467" s="36">
        <f>IF(E467=1,AI467/AH467,"")</f>
        <v>0.390728476821192</v>
      </c>
      <c r="AN467" s="36">
        <f>IF(E467=1,AJ467/AH467,"")</f>
        <v>0.370860927152318</v>
      </c>
      <c r="AO467" s="36">
        <f>IF(E467=1,AK467/AH467,"")</f>
        <v>0.23841059602649</v>
      </c>
      <c r="AP467" s="34">
        <f>IF(E467=1,Orders!Y464,"")</f>
        <v>0.4</v>
      </c>
      <c r="AQ467" s="33">
        <f>IF(Orders!X464,1,0)</f>
        <v>0</v>
      </c>
      <c r="AR467" s="34" t="str">
        <f>IF(AND(E467=1,L467=1),AJ467,"")</f>
        <v/>
      </c>
      <c r="AS467" s="34">
        <f>IF(AND(E467=1,L467=0),AJ467,"")</f>
        <v>5.6</v>
      </c>
      <c r="AT467" s="34" t="str">
        <f>IF(AND(E467=1,L467=1),AI467,"")</f>
        <v/>
      </c>
      <c r="AU467" s="34">
        <f>IF(AND(E467=1,L467=0),AI467,"")</f>
        <v>5.9</v>
      </c>
      <c r="AV467" s="34" t="str">
        <f>IF(AND(E467=1,L467=1),AG467,"")</f>
        <v/>
      </c>
      <c r="AW467" s="34">
        <f>IF(AND(E467=1,L467=0),AG467,"")</f>
        <v>11.5</v>
      </c>
      <c r="AX467" s="34" t="str">
        <f>IF(AND(E467=1,L467=1),AH467,"")</f>
        <v/>
      </c>
      <c r="AY467" s="34">
        <f>IF(AND(E467=1,L467=0),AH467,"")</f>
        <v>15.1</v>
      </c>
      <c r="AZ467" s="34">
        <f>IF(G467=1,F467,"")</f>
        <v>3.6</v>
      </c>
      <c r="BA467" s="34" t="str">
        <f>IF(AND(G467=1,L467=1),F467,"")</f>
        <v/>
      </c>
      <c r="BB467" s="34">
        <f>IF(AND(G467=1,L467=0),F467,"")</f>
        <v>3.6</v>
      </c>
      <c r="BC467" s="33">
        <f>IF(E467=1,IF(Orders!R464&gt;3,1,0),"")</f>
        <v>1</v>
      </c>
      <c r="BD467" s="33">
        <f>IF(E467=1,IF(Orders!R464&gt;7,1,0),"")</f>
        <v>0</v>
      </c>
      <c r="BE467" s="32" t="str">
        <f>IF(E467=1,IF(Orders!L464&lt;=1.5,"Up to 1.5 km",IF(Orders!L464&lt;=3,"1.5–3 km","Over 3 km")),"")</f>
        <v>Up to 1.5 km</v>
      </c>
      <c r="BF467" s="33">
        <f>IF(E467=1,IF(ABS((Orders!G464-Orders!F464)*1440-Orders!R464)&lt;0.06,1,0),"")</f>
        <v>1</v>
      </c>
      <c r="BG467" s="33">
        <f>IF(ABS((Orders!F464-Orders!E464)*1440-Orders!P464)&lt;0.06,1,0)</f>
        <v>1</v>
      </c>
      <c r="BH467" s="33">
        <f>IF(E467=1,IF(IF(Orders!S464,1,0)=1-G467,1,0),"")</f>
        <v>1</v>
      </c>
      <c r="BI467" s="32" t="str">
        <f>INDEX(Stores!$B$2:$B$21,MATCH(B467,Stores!$A$2:$A$21,0))</f>
        <v>Bengaluru</v>
      </c>
    </row>
    <row r="468">
      <c r="A468" s="32" t="str">
        <f>Orders!A465</f>
        <v>O00464</v>
      </c>
      <c r="B468" s="32" t="str">
        <f>Orders!C465</f>
        <v>S005</v>
      </c>
      <c r="C468" s="32" t="str">
        <f>Orders!B465</f>
        <v>C0181</v>
      </c>
      <c r="D468" s="32" t="str">
        <f>Orders!H465</f>
        <v>Delivered</v>
      </c>
      <c r="E468" s="33">
        <f>IF(Orders!H465="Delivered",1,0)</f>
        <v>1</v>
      </c>
      <c r="F468" s="34">
        <f>IF(E468=1,Orders!R465,"")</f>
        <v>-0.5</v>
      </c>
      <c r="G468" s="33">
        <f>IF(E468=1,IF(Orders!R465&gt;0,1,0),"")</f>
        <v>0</v>
      </c>
      <c r="H468" s="33">
        <f>IF(E468=1,IF(Orders!R465&gt;5,1,0),"")</f>
        <v>0</v>
      </c>
      <c r="I468" s="32" t="str">
        <f>IF(E468=1,"",IF(OR(Orders!T465="Rider unavailable",Orders!T465="Item unavailable"),"Company-caused","Unresolved"))</f>
        <v/>
      </c>
      <c r="J468" s="33">
        <f>IF(OR(E468=1,I468="Company-caused"),1,0)</f>
        <v>1</v>
      </c>
      <c r="K468" s="32" t="str">
        <f>IF(E468=0,IF(I468="Company-caused",IF(Orders!T465="Rider unavailable","C1 Rider unavailable","C2 Item unavailable"),"Outside root: unresolved"),IF(G468=0,"A On time",IF(H468=1,IF(L468=1,"B2a Severe, peak","B2b Severe, off-peak"),IF(L468=1,"B1a Slight, peak","B1b Slight, off-peak"))))</f>
        <v>A On time</v>
      </c>
      <c r="L468" s="33">
        <f>IF(AND(Orders!U465&gt;=19,Orders!U465&lt;22),1,0)</f>
        <v>0</v>
      </c>
      <c r="M468" s="33">
        <f>IF(L468=IF(Orders!V465,1,0),1,0)</f>
        <v>1</v>
      </c>
      <c r="N468" s="32" t="str">
        <f>IF(Orders!W465="","None",Orders!W465)</f>
        <v>Heavy</v>
      </c>
      <c r="O468" s="35">
        <f>INT(Orders!E465)</f>
        <v>46270.0</v>
      </c>
      <c r="P468" s="33">
        <f>Orders!U465</f>
        <v>15</v>
      </c>
      <c r="Q468" s="33">
        <f>COUNTIFS(Demand!$A$2:$A$4481,B468,Demand!$B$2:$B$4481,O468,Demand!$C$2:$C$4481,P468)</f>
        <v>1</v>
      </c>
      <c r="R468" s="33">
        <f>IF(Q468=1,SUMIFS(Demand!$E$2:$E$4481,Demand!$A$2:$A$4481,B468,Demand!$B$2:$B$4481,O468,Demand!$C$2:$C$4481,P468),"")</f>
        <v>11</v>
      </c>
      <c r="S468" s="33">
        <f>INDEX(Stores!$G$2:$G$21,MATCH(B468,Stores!$A$2:$A$21,0))</f>
        <v>14</v>
      </c>
      <c r="T468" s="34">
        <f>IF(R468="","",R468/S468)</f>
        <v>0.785714285714286</v>
      </c>
      <c r="U468" s="34">
        <f>IF(E468=1,T468,"")</f>
        <v>0.785714285714286</v>
      </c>
      <c r="V468" s="34">
        <f>IF(AND(E468=1,L468=0),T468,"")</f>
        <v>0.785714285714286</v>
      </c>
      <c r="W468" s="33">
        <f>IF(U468="","",IF(U468&lt;=Breakdowns!$C$5,1,IF(U468&lt;=Breakdowns!$C$6,2,IF(U468&lt;=Breakdowns!$C$7,3,4))))</f>
        <v>1</v>
      </c>
      <c r="X468" s="33">
        <f>IF(V468="","",IF(V468&lt;=Breakdowns!$D$5,1,IF(V468&lt;=Breakdowns!$D$6,2,IF(V468&lt;=Breakdowns!$D$7,3,4))))</f>
        <v>2</v>
      </c>
      <c r="Y468" s="34">
        <f>INDEX(Stores!$F$2:$F$21,MATCH(B468,Stores!$A$2:$A$21,0))</f>
        <v>4.89</v>
      </c>
      <c r="Z468" s="33">
        <f>IF(Y468&gt;Store_Summary!$M$2,1,0)</f>
        <v>0</v>
      </c>
      <c r="AA468" s="33">
        <f>INDEX(Stores!$C$2:$C$21,MATCH(B468,Stores!$A$2:$A$21,0))</f>
        <v>138</v>
      </c>
      <c r="AB468" s="33">
        <f>IF(AA468&lt;180,1,0)</f>
        <v>1</v>
      </c>
      <c r="AC468" s="32" t="str">
        <f>IF(Orders!D465="","",INDEX(Riders!$C$2:$C$81,MATCH(Orders!D465,Riders!$A$2:$A$81,0)))</f>
        <v>EV scooter</v>
      </c>
      <c r="AD468" s="33">
        <f>IF(Orders!D465="","",INDEX(Riders!$D$2:$D$81,MATCH(Orders!D465,Riders!$A$2:$A$81,0)))</f>
        <v>11</v>
      </c>
      <c r="AE468" s="33">
        <f>IF(Orders!D465="","",IF(INDEX(Riders!$B$2:$B$81,MATCH(Orders!D465,Riders!$A$2:$A$81,0))=B468,1,0))</f>
        <v>0</v>
      </c>
      <c r="AF468" s="34">
        <f>IF(E468=1,Orders!L465,"")</f>
        <v>0.99</v>
      </c>
      <c r="AG468" s="34">
        <f>IF(E468=1,Orders!P465,"")</f>
        <v>8.8</v>
      </c>
      <c r="AH468" s="34">
        <f>IF(E468=1,Orders!Q465,"")</f>
        <v>8.3</v>
      </c>
      <c r="AI468" s="34">
        <f>IF(E468=1,Orders!M465,"")</f>
        <v>2.6</v>
      </c>
      <c r="AJ468" s="34">
        <f>IF(E468=1,Orders!N465,"")</f>
        <v>2.8</v>
      </c>
      <c r="AK468" s="34">
        <f>IF(E468=1,Orders!O465,"")</f>
        <v>2.9</v>
      </c>
      <c r="AL468" s="33">
        <f>IF(E468=1,IF(ROUND(ABS(AI468+AJ468+AK468-AH468),6)&lt;=0.1,1,0),"")</f>
        <v>1</v>
      </c>
      <c r="AM468" s="36">
        <f>IF(E468=1,AI468/AH468,"")</f>
        <v>0.313253012048193</v>
      </c>
      <c r="AN468" s="36">
        <f>IF(E468=1,AJ468/AH468,"")</f>
        <v>0.337349397590361</v>
      </c>
      <c r="AO468" s="36">
        <f>IF(E468=1,AK468/AH468,"")</f>
        <v>0.349397590361446</v>
      </c>
      <c r="AP468" s="34">
        <f>IF(E468=1,Orders!Y465,"")</f>
        <v>0.42</v>
      </c>
      <c r="AQ468" s="33">
        <f>IF(Orders!X465,1,0)</f>
        <v>0</v>
      </c>
      <c r="AR468" s="34" t="str">
        <f>IF(AND(E468=1,L468=1),AJ468,"")</f>
        <v/>
      </c>
      <c r="AS468" s="34">
        <f>IF(AND(E468=1,L468=0),AJ468,"")</f>
        <v>2.8</v>
      </c>
      <c r="AT468" s="34" t="str">
        <f>IF(AND(E468=1,L468=1),AI468,"")</f>
        <v/>
      </c>
      <c r="AU468" s="34">
        <f>IF(AND(E468=1,L468=0),AI468,"")</f>
        <v>2.6</v>
      </c>
      <c r="AV468" s="34" t="str">
        <f>IF(AND(E468=1,L468=1),AG468,"")</f>
        <v/>
      </c>
      <c r="AW468" s="34">
        <f>IF(AND(E468=1,L468=0),AG468,"")</f>
        <v>8.8</v>
      </c>
      <c r="AX468" s="34" t="str">
        <f>IF(AND(E468=1,L468=1),AH468,"")</f>
        <v/>
      </c>
      <c r="AY468" s="34">
        <f>IF(AND(E468=1,L468=0),AH468,"")</f>
        <v>8.3</v>
      </c>
      <c r="AZ468" s="34" t="str">
        <f>IF(G468=1,F468,"")</f>
        <v/>
      </c>
      <c r="BA468" s="34" t="str">
        <f>IF(AND(G468=1,L468=1),F468,"")</f>
        <v/>
      </c>
      <c r="BB468" s="34" t="str">
        <f>IF(AND(G468=1,L468=0),F468,"")</f>
        <v/>
      </c>
      <c r="BC468" s="33">
        <f>IF(E468=1,IF(Orders!R465&gt;3,1,0),"")</f>
        <v>0</v>
      </c>
      <c r="BD468" s="33">
        <f>IF(E468=1,IF(Orders!R465&gt;7,1,0),"")</f>
        <v>0</v>
      </c>
      <c r="BE468" s="32" t="str">
        <f>IF(E468=1,IF(Orders!L465&lt;=1.5,"Up to 1.5 km",IF(Orders!L465&lt;=3,"1.5–3 km","Over 3 km")),"")</f>
        <v>Up to 1.5 km</v>
      </c>
      <c r="BF468" s="33">
        <f>IF(E468=1,IF(ABS((Orders!G465-Orders!F465)*1440-Orders!R465)&lt;0.06,1,0),"")</f>
        <v>1</v>
      </c>
      <c r="BG468" s="33">
        <f>IF(ABS((Orders!F465-Orders!E465)*1440-Orders!P465)&lt;0.06,1,0)</f>
        <v>1</v>
      </c>
      <c r="BH468" s="33">
        <f>IF(E468=1,IF(IF(Orders!S465,1,0)=1-G468,1,0),"")</f>
        <v>1</v>
      </c>
      <c r="BI468" s="32" t="str">
        <f>INDEX(Stores!$B$2:$B$21,MATCH(B468,Stores!$A$2:$A$21,0))</f>
        <v>Delhi</v>
      </c>
    </row>
    <row r="469">
      <c r="A469" s="32" t="str">
        <f>Orders!A466</f>
        <v>O00465</v>
      </c>
      <c r="B469" s="32" t="str">
        <f>Orders!C466</f>
        <v>S013</v>
      </c>
      <c r="C469" s="32" t="str">
        <f>Orders!B466</f>
        <v>C0193</v>
      </c>
      <c r="D469" s="32" t="str">
        <f>Orders!H466</f>
        <v>Delivered</v>
      </c>
      <c r="E469" s="33">
        <f>IF(Orders!H466="Delivered",1,0)</f>
        <v>1</v>
      </c>
      <c r="F469" s="34">
        <f>IF(E469=1,Orders!R466,"")</f>
        <v>12.7</v>
      </c>
      <c r="G469" s="33">
        <f>IF(E469=1,IF(Orders!R466&gt;0,1,0),"")</f>
        <v>1</v>
      </c>
      <c r="H469" s="33">
        <f>IF(E469=1,IF(Orders!R466&gt;5,1,0),"")</f>
        <v>1</v>
      </c>
      <c r="I469" s="32" t="str">
        <f>IF(E469=1,"",IF(OR(Orders!T466="Rider unavailable",Orders!T466="Item unavailable"),"Company-caused","Unresolved"))</f>
        <v/>
      </c>
      <c r="J469" s="33">
        <f>IF(OR(E469=1,I469="Company-caused"),1,0)</f>
        <v>1</v>
      </c>
      <c r="K469" s="32" t="str">
        <f>IF(E469=0,IF(I469="Company-caused",IF(Orders!T466="Rider unavailable","C1 Rider unavailable","C2 Item unavailable"),"Outside root: unresolved"),IF(G469=0,"A On time",IF(H469=1,IF(L469=1,"B2a Severe, peak","B2b Severe, off-peak"),IF(L469=1,"B1a Slight, peak","B1b Slight, off-peak"))))</f>
        <v>B2b Severe, off-peak</v>
      </c>
      <c r="L469" s="33">
        <f>IF(AND(Orders!U466&gt;=19,Orders!U466&lt;22),1,0)</f>
        <v>0</v>
      </c>
      <c r="M469" s="33">
        <f>IF(L469=IF(Orders!V466,1,0),1,0)</f>
        <v>1</v>
      </c>
      <c r="N469" s="32" t="str">
        <f>IF(Orders!W466="","None",Orders!W466)</f>
        <v>None</v>
      </c>
      <c r="O469" s="35">
        <f>INT(Orders!E466)</f>
        <v>46272.0</v>
      </c>
      <c r="P469" s="33">
        <f>Orders!U466</f>
        <v>15</v>
      </c>
      <c r="Q469" s="33">
        <f>COUNTIFS(Demand!$A$2:$A$4481,B469,Demand!$B$2:$B$4481,O469,Demand!$C$2:$C$4481,P469)</f>
        <v>1</v>
      </c>
      <c r="R469" s="33">
        <f>IF(Q469=1,SUMIFS(Demand!$E$2:$E$4481,Demand!$A$2:$A$4481,B469,Demand!$B$2:$B$4481,O469,Demand!$C$2:$C$4481,P469),"")</f>
        <v>42</v>
      </c>
      <c r="S469" s="33">
        <f>INDEX(Stores!$G$2:$G$21,MATCH(B469,Stores!$A$2:$A$21,0))</f>
        <v>49</v>
      </c>
      <c r="T469" s="34">
        <f>IF(R469="","",R469/S469)</f>
        <v>0.857142857142857</v>
      </c>
      <c r="U469" s="34">
        <f>IF(E469=1,T469,"")</f>
        <v>0.857142857142857</v>
      </c>
      <c r="V469" s="34">
        <f>IF(AND(E469=1,L469=0),T469,"")</f>
        <v>0.857142857142857</v>
      </c>
      <c r="W469" s="33">
        <f>IF(U469="","",IF(U469&lt;=Breakdowns!$C$5,1,IF(U469&lt;=Breakdowns!$C$6,2,IF(U469&lt;=Breakdowns!$C$7,3,4))))</f>
        <v>2</v>
      </c>
      <c r="X469" s="33">
        <f>IF(V469="","",IF(V469&lt;=Breakdowns!$D$5,1,IF(V469&lt;=Breakdowns!$D$6,2,IF(V469&lt;=Breakdowns!$D$7,3,4))))</f>
        <v>2</v>
      </c>
      <c r="Y469" s="34">
        <f>INDEX(Stores!$F$2:$F$21,MATCH(B469,Stores!$A$2:$A$21,0))</f>
        <v>5.82</v>
      </c>
      <c r="Z469" s="33">
        <f>IF(Y469&gt;Store_Summary!$M$2,1,0)</f>
        <v>1</v>
      </c>
      <c r="AA469" s="33">
        <f>INDEX(Stores!$C$2:$C$21,MATCH(B469,Stores!$A$2:$A$21,0))</f>
        <v>705</v>
      </c>
      <c r="AB469" s="33">
        <f>IF(AA469&lt;180,1,0)</f>
        <v>0</v>
      </c>
      <c r="AC469" s="32" t="str">
        <f>IF(Orders!D466="","",INDEX(Riders!$C$2:$C$81,MATCH(Orders!D466,Riders!$A$2:$A$81,0)))</f>
        <v>Petrol scooter</v>
      </c>
      <c r="AD469" s="33">
        <f>IF(Orders!D466="","",INDEX(Riders!$D$2:$D$81,MATCH(Orders!D466,Riders!$A$2:$A$81,0)))</f>
        <v>19</v>
      </c>
      <c r="AE469" s="33">
        <f>IF(Orders!D466="","",IF(INDEX(Riders!$B$2:$B$81,MATCH(Orders!D466,Riders!$A$2:$A$81,0))=B469,1,0))</f>
        <v>0</v>
      </c>
      <c r="AF469" s="34">
        <f>IF(E469=1,Orders!L466,"")</f>
        <v>2.76</v>
      </c>
      <c r="AG469" s="34">
        <f>IF(E469=1,Orders!P466,"")</f>
        <v>9.7</v>
      </c>
      <c r="AH469" s="34">
        <f>IF(E469=1,Orders!Q466,"")</f>
        <v>22.4</v>
      </c>
      <c r="AI469" s="34">
        <f>IF(E469=1,Orders!M466,"")</f>
        <v>7.2</v>
      </c>
      <c r="AJ469" s="34">
        <f>IF(E469=1,Orders!N466,"")</f>
        <v>8.3</v>
      </c>
      <c r="AK469" s="34">
        <f>IF(E469=1,Orders!O466,"")</f>
        <v>6.9</v>
      </c>
      <c r="AL469" s="33">
        <f>IF(E469=1,IF(ROUND(ABS(AI469+AJ469+AK469-AH469),6)&lt;=0.1,1,0),"")</f>
        <v>1</v>
      </c>
      <c r="AM469" s="36">
        <f>IF(E469=1,AI469/AH469,"")</f>
        <v>0.321428571428571</v>
      </c>
      <c r="AN469" s="36">
        <f>IF(E469=1,AJ469/AH469,"")</f>
        <v>0.370535714285714</v>
      </c>
      <c r="AO469" s="36">
        <f>IF(E469=1,AK469/AH469,"")</f>
        <v>0.308035714285714</v>
      </c>
      <c r="AP469" s="34">
        <f>IF(E469=1,Orders!Y466,"")</f>
        <v>0.42</v>
      </c>
      <c r="AQ469" s="33">
        <f>IF(Orders!X466,1,0)</f>
        <v>0</v>
      </c>
      <c r="AR469" s="34" t="str">
        <f>IF(AND(E469=1,L469=1),AJ469,"")</f>
        <v/>
      </c>
      <c r="AS469" s="34">
        <f>IF(AND(E469=1,L469=0),AJ469,"")</f>
        <v>8.3</v>
      </c>
      <c r="AT469" s="34" t="str">
        <f>IF(AND(E469=1,L469=1),AI469,"")</f>
        <v/>
      </c>
      <c r="AU469" s="34">
        <f>IF(AND(E469=1,L469=0),AI469,"")</f>
        <v>7.2</v>
      </c>
      <c r="AV469" s="34" t="str">
        <f>IF(AND(E469=1,L469=1),AG469,"")</f>
        <v/>
      </c>
      <c r="AW469" s="34">
        <f>IF(AND(E469=1,L469=0),AG469,"")</f>
        <v>9.7</v>
      </c>
      <c r="AX469" s="34" t="str">
        <f>IF(AND(E469=1,L469=1),AH469,"")</f>
        <v/>
      </c>
      <c r="AY469" s="34">
        <f>IF(AND(E469=1,L469=0),AH469,"")</f>
        <v>22.4</v>
      </c>
      <c r="AZ469" s="34">
        <f>IF(G469=1,F469,"")</f>
        <v>12.7</v>
      </c>
      <c r="BA469" s="34" t="str">
        <f>IF(AND(G469=1,L469=1),F469,"")</f>
        <v/>
      </c>
      <c r="BB469" s="34">
        <f>IF(AND(G469=1,L469=0),F469,"")</f>
        <v>12.7</v>
      </c>
      <c r="BC469" s="33">
        <f>IF(E469=1,IF(Orders!R466&gt;3,1,0),"")</f>
        <v>1</v>
      </c>
      <c r="BD469" s="33">
        <f>IF(E469=1,IF(Orders!R466&gt;7,1,0),"")</f>
        <v>1</v>
      </c>
      <c r="BE469" s="32" t="str">
        <f>IF(E469=1,IF(Orders!L466&lt;=1.5,"Up to 1.5 km",IF(Orders!L466&lt;=3,"1.5–3 km","Over 3 km")),"")</f>
        <v>1.5–3 km</v>
      </c>
      <c r="BF469" s="33">
        <f>IF(E469=1,IF(ABS((Orders!G466-Orders!F466)*1440-Orders!R466)&lt;0.06,1,0),"")</f>
        <v>1</v>
      </c>
      <c r="BG469" s="33">
        <f>IF(ABS((Orders!F466-Orders!E466)*1440-Orders!P466)&lt;0.06,1,0)</f>
        <v>1</v>
      </c>
      <c r="BH469" s="33">
        <f>IF(E469=1,IF(IF(Orders!S466,1,0)=1-G469,1,0),"")</f>
        <v>1</v>
      </c>
      <c r="BI469" s="32" t="str">
        <f>INDEX(Stores!$B$2:$B$21,MATCH(B469,Stores!$A$2:$A$21,0))</f>
        <v>Mumbai</v>
      </c>
    </row>
    <row r="470">
      <c r="A470" s="32" t="str">
        <f>Orders!A467</f>
        <v>O00466</v>
      </c>
      <c r="B470" s="32" t="str">
        <f>Orders!C467</f>
        <v>S020</v>
      </c>
      <c r="C470" s="32" t="str">
        <f>Orders!B467</f>
        <v>C0176</v>
      </c>
      <c r="D470" s="32" t="str">
        <f>Orders!H467</f>
        <v>Delivered</v>
      </c>
      <c r="E470" s="33">
        <f>IF(Orders!H467="Delivered",1,0)</f>
        <v>1</v>
      </c>
      <c r="F470" s="34">
        <f>IF(E470=1,Orders!R467,"")</f>
        <v>-1.1</v>
      </c>
      <c r="G470" s="33">
        <f>IF(E470=1,IF(Orders!R467&gt;0,1,0),"")</f>
        <v>0</v>
      </c>
      <c r="H470" s="33">
        <f>IF(E470=1,IF(Orders!R467&gt;5,1,0),"")</f>
        <v>0</v>
      </c>
      <c r="I470" s="32" t="str">
        <f>IF(E470=1,"",IF(OR(Orders!T467="Rider unavailable",Orders!T467="Item unavailable"),"Company-caused","Unresolved"))</f>
        <v/>
      </c>
      <c r="J470" s="33">
        <f>IF(OR(E470=1,I470="Company-caused"),1,0)</f>
        <v>1</v>
      </c>
      <c r="K470" s="32" t="str">
        <f>IF(E470=0,IF(I470="Company-caused",IF(Orders!T467="Rider unavailable","C1 Rider unavailable","C2 Item unavailable"),"Outside root: unresolved"),IF(G470=0,"A On time",IF(H470=1,IF(L470=1,"B2a Severe, peak","B2b Severe, off-peak"),IF(L470=1,"B1a Slight, peak","B1b Slight, off-peak"))))</f>
        <v>A On time</v>
      </c>
      <c r="L470" s="33">
        <f>IF(AND(Orders!U467&gt;=19,Orders!U467&lt;22),1,0)</f>
        <v>1</v>
      </c>
      <c r="M470" s="33">
        <f>IF(L470=IF(Orders!V467,1,0),1,0)</f>
        <v>1</v>
      </c>
      <c r="N470" s="32" t="str">
        <f>IF(Orders!W467="","None",Orders!W467)</f>
        <v>Light</v>
      </c>
      <c r="O470" s="35">
        <f>INT(Orders!E467)</f>
        <v>46269.0</v>
      </c>
      <c r="P470" s="33">
        <f>Orders!U467</f>
        <v>20</v>
      </c>
      <c r="Q470" s="33">
        <f>COUNTIFS(Demand!$A$2:$A$4481,B470,Demand!$B$2:$B$4481,O470,Demand!$C$2:$C$4481,P470)</f>
        <v>1</v>
      </c>
      <c r="R470" s="33">
        <f>IF(Q470=1,SUMIFS(Demand!$E$2:$E$4481,Demand!$A$2:$A$4481,B470,Demand!$B$2:$B$4481,O470,Demand!$C$2:$C$4481,P470),"")</f>
        <v>25</v>
      </c>
      <c r="S470" s="33">
        <f>INDEX(Stores!$G$2:$G$21,MATCH(B470,Stores!$A$2:$A$21,0))</f>
        <v>15</v>
      </c>
      <c r="T470" s="34">
        <f>IF(R470="","",R470/S470)</f>
        <v>1.66666666666667</v>
      </c>
      <c r="U470" s="34">
        <f>IF(E470=1,T470,"")</f>
        <v>1.66666666666667</v>
      </c>
      <c r="V470" s="34" t="str">
        <f>IF(AND(E470=1,L470=0),T470,"")</f>
        <v/>
      </c>
      <c r="W470" s="33">
        <f>IF(U470="","",IF(U470&lt;=Breakdowns!$C$5,1,IF(U470&lt;=Breakdowns!$C$6,2,IF(U470&lt;=Breakdowns!$C$7,3,4))))</f>
        <v>4</v>
      </c>
      <c r="X470" s="33" t="str">
        <f>IF(V470="","",IF(V470&lt;=Breakdowns!$D$5,1,IF(V470&lt;=Breakdowns!$D$6,2,IF(V470&lt;=Breakdowns!$D$7,3,4))))</f>
        <v/>
      </c>
      <c r="Y470" s="34">
        <f>INDEX(Stores!$F$2:$F$21,MATCH(B470,Stores!$A$2:$A$21,0))</f>
        <v>5.74</v>
      </c>
      <c r="Z470" s="33">
        <f>IF(Y470&gt;Store_Summary!$M$2,1,0)</f>
        <v>1</v>
      </c>
      <c r="AA470" s="33">
        <f>INDEX(Stores!$C$2:$C$21,MATCH(B470,Stores!$A$2:$A$21,0))</f>
        <v>647</v>
      </c>
      <c r="AB470" s="33">
        <f>IF(AA470&lt;180,1,0)</f>
        <v>0</v>
      </c>
      <c r="AC470" s="32" t="str">
        <f>IF(Orders!D467="","",INDEX(Riders!$C$2:$C$81,MATCH(Orders!D467,Riders!$A$2:$A$81,0)))</f>
        <v>Petrol scooter</v>
      </c>
      <c r="AD470" s="33">
        <f>IF(Orders!D467="","",INDEX(Riders!$D$2:$D$81,MATCH(Orders!D467,Riders!$A$2:$A$81,0)))</f>
        <v>30</v>
      </c>
      <c r="AE470" s="33">
        <f>IF(Orders!D467="","",IF(INDEX(Riders!$B$2:$B$81,MATCH(Orders!D467,Riders!$A$2:$A$81,0))=B470,1,0))</f>
        <v>0</v>
      </c>
      <c r="AF470" s="34">
        <f>IF(E470=1,Orders!L467,"")</f>
        <v>0.82</v>
      </c>
      <c r="AG470" s="34">
        <f>IF(E470=1,Orders!P467,"")</f>
        <v>9</v>
      </c>
      <c r="AH470" s="34">
        <f>IF(E470=1,Orders!Q467,"")</f>
        <v>7.9</v>
      </c>
      <c r="AI470" s="34">
        <f>IF(E470=1,Orders!M467,"")</f>
        <v>4.4</v>
      </c>
      <c r="AJ470" s="34">
        <f>IF(E470=1,Orders!N467,"")</f>
        <v>1.2</v>
      </c>
      <c r="AK470" s="34">
        <f>IF(E470=1,Orders!O467,"")</f>
        <v>2.3</v>
      </c>
      <c r="AL470" s="33">
        <f>IF(E470=1,IF(ROUND(ABS(AI470+AJ470+AK470-AH470),6)&lt;=0.1,1,0),"")</f>
        <v>1</v>
      </c>
      <c r="AM470" s="36">
        <f>IF(E470=1,AI470/AH470,"")</f>
        <v>0.556962025316456</v>
      </c>
      <c r="AN470" s="36">
        <f>IF(E470=1,AJ470/AH470,"")</f>
        <v>0.151898734177215</v>
      </c>
      <c r="AO470" s="36">
        <f>IF(E470=1,AK470/AH470,"")</f>
        <v>0.291139240506329</v>
      </c>
      <c r="AP470" s="34">
        <f>IF(E470=1,Orders!Y467,"")</f>
        <v>0.44</v>
      </c>
      <c r="AQ470" s="33">
        <f>IF(Orders!X467,1,0)</f>
        <v>0</v>
      </c>
      <c r="AR470" s="34">
        <f>IF(AND(E470=1,L470=1),AJ470,"")</f>
        <v>1.2</v>
      </c>
      <c r="AS470" s="34" t="str">
        <f>IF(AND(E470=1,L470=0),AJ470,"")</f>
        <v/>
      </c>
      <c r="AT470" s="34">
        <f>IF(AND(E470=1,L470=1),AI470,"")</f>
        <v>4.4</v>
      </c>
      <c r="AU470" s="34" t="str">
        <f>IF(AND(E470=1,L470=0),AI470,"")</f>
        <v/>
      </c>
      <c r="AV470" s="34">
        <f>IF(AND(E470=1,L470=1),AG470,"")</f>
        <v>9</v>
      </c>
      <c r="AW470" s="34" t="str">
        <f>IF(AND(E470=1,L470=0),AG470,"")</f>
        <v/>
      </c>
      <c r="AX470" s="34">
        <f>IF(AND(E470=1,L470=1),AH470,"")</f>
        <v>7.9</v>
      </c>
      <c r="AY470" s="34" t="str">
        <f>IF(AND(E470=1,L470=0),AH470,"")</f>
        <v/>
      </c>
      <c r="AZ470" s="34" t="str">
        <f>IF(G470=1,F470,"")</f>
        <v/>
      </c>
      <c r="BA470" s="34" t="str">
        <f>IF(AND(G470=1,L470=1),F470,"")</f>
        <v/>
      </c>
      <c r="BB470" s="34" t="str">
        <f>IF(AND(G470=1,L470=0),F470,"")</f>
        <v/>
      </c>
      <c r="BC470" s="33">
        <f>IF(E470=1,IF(Orders!R467&gt;3,1,0),"")</f>
        <v>0</v>
      </c>
      <c r="BD470" s="33">
        <f>IF(E470=1,IF(Orders!R467&gt;7,1,0),"")</f>
        <v>0</v>
      </c>
      <c r="BE470" s="32" t="str">
        <f>IF(E470=1,IF(Orders!L467&lt;=1.5,"Up to 1.5 km",IF(Orders!L467&lt;=3,"1.5–3 km","Over 3 km")),"")</f>
        <v>Up to 1.5 km</v>
      </c>
      <c r="BF470" s="33">
        <f>IF(E470=1,IF(ABS((Orders!G467-Orders!F467)*1440-Orders!R467)&lt;0.06,1,0),"")</f>
        <v>1</v>
      </c>
      <c r="BG470" s="33">
        <f>IF(ABS((Orders!F467-Orders!E467)*1440-Orders!P467)&lt;0.06,1,0)</f>
        <v>1</v>
      </c>
      <c r="BH470" s="33">
        <f>IF(E470=1,IF(IF(Orders!S467,1,0)=1-G470,1,0),"")</f>
        <v>1</v>
      </c>
      <c r="BI470" s="32" t="str">
        <f>INDEX(Stores!$B$2:$B$21,MATCH(B470,Stores!$A$2:$A$21,0))</f>
        <v>Delhi</v>
      </c>
    </row>
    <row r="471">
      <c r="A471" s="32" t="str">
        <f>Orders!A468</f>
        <v>O00467</v>
      </c>
      <c r="B471" s="32" t="str">
        <f>Orders!C468</f>
        <v>S014</v>
      </c>
      <c r="C471" s="32" t="str">
        <f>Orders!B468</f>
        <v>C0028</v>
      </c>
      <c r="D471" s="32" t="str">
        <f>Orders!H468</f>
        <v>Delivered</v>
      </c>
      <c r="E471" s="33">
        <f>IF(Orders!H468="Delivered",1,0)</f>
        <v>1</v>
      </c>
      <c r="F471" s="34">
        <f>IF(E471=1,Orders!R468,"")</f>
        <v>-1</v>
      </c>
      <c r="G471" s="33">
        <f>IF(E471=1,IF(Orders!R468&gt;0,1,0),"")</f>
        <v>0</v>
      </c>
      <c r="H471" s="33">
        <f>IF(E471=1,IF(Orders!R468&gt;5,1,0),"")</f>
        <v>0</v>
      </c>
      <c r="I471" s="32" t="str">
        <f>IF(E471=1,"",IF(OR(Orders!T468="Rider unavailable",Orders!T468="Item unavailable"),"Company-caused","Unresolved"))</f>
        <v/>
      </c>
      <c r="J471" s="33">
        <f>IF(OR(E471=1,I471="Company-caused"),1,0)</f>
        <v>1</v>
      </c>
      <c r="K471" s="32" t="str">
        <f>IF(E471=0,IF(I471="Company-caused",IF(Orders!T468="Rider unavailable","C1 Rider unavailable","C2 Item unavailable"),"Outside root: unresolved"),IF(G471=0,"A On time",IF(H471=1,IF(L471=1,"B2a Severe, peak","B2b Severe, off-peak"),IF(L471=1,"B1a Slight, peak","B1b Slight, off-peak"))))</f>
        <v>A On time</v>
      </c>
      <c r="L471" s="33">
        <f>IF(AND(Orders!U468&gt;=19,Orders!U468&lt;22),1,0)</f>
        <v>0</v>
      </c>
      <c r="M471" s="33">
        <f>IF(L471=IF(Orders!V468,1,0),1,0)</f>
        <v>1</v>
      </c>
      <c r="N471" s="32" t="str">
        <f>IF(Orders!W468="","None",Orders!W468)</f>
        <v>None</v>
      </c>
      <c r="O471" s="35">
        <f>INT(Orders!E468)</f>
        <v>46268.0</v>
      </c>
      <c r="P471" s="33">
        <f>Orders!U468</f>
        <v>12</v>
      </c>
      <c r="Q471" s="33">
        <f>COUNTIFS(Demand!$A$2:$A$4481,B471,Demand!$B$2:$B$4481,O471,Demand!$C$2:$C$4481,P471)</f>
        <v>1</v>
      </c>
      <c r="R471" s="33">
        <f>IF(Q471=1,SUMIFS(Demand!$E$2:$E$4481,Demand!$A$2:$A$4481,B471,Demand!$B$2:$B$4481,O471,Demand!$C$2:$C$4481,P471),"")</f>
        <v>35</v>
      </c>
      <c r="S471" s="33">
        <f>INDEX(Stores!$G$2:$G$21,MATCH(B471,Stores!$A$2:$A$21,0))</f>
        <v>37</v>
      </c>
      <c r="T471" s="34">
        <f>IF(R471="","",R471/S471)</f>
        <v>0.945945945945946</v>
      </c>
      <c r="U471" s="34">
        <f>IF(E471=1,T471,"")</f>
        <v>0.945945945945946</v>
      </c>
      <c r="V471" s="34">
        <f>IF(AND(E471=1,L471=0),T471,"")</f>
        <v>0.945945945945946</v>
      </c>
      <c r="W471" s="33">
        <f>IF(U471="","",IF(U471&lt;=Breakdowns!$C$5,1,IF(U471&lt;=Breakdowns!$C$6,2,IF(U471&lt;=Breakdowns!$C$7,3,4))))</f>
        <v>2</v>
      </c>
      <c r="X471" s="33">
        <f>IF(V471="","",IF(V471&lt;=Breakdowns!$D$5,1,IF(V471&lt;=Breakdowns!$D$6,2,IF(V471&lt;=Breakdowns!$D$7,3,4))))</f>
        <v>3</v>
      </c>
      <c r="Y471" s="34">
        <f>INDEX(Stores!$F$2:$F$21,MATCH(B471,Stores!$A$2:$A$21,0))</f>
        <v>5.55</v>
      </c>
      <c r="Z471" s="33">
        <f>IF(Y471&gt;Store_Summary!$M$2,1,0)</f>
        <v>1</v>
      </c>
      <c r="AA471" s="33">
        <f>INDEX(Stores!$C$2:$C$21,MATCH(B471,Stores!$A$2:$A$21,0))</f>
        <v>241</v>
      </c>
      <c r="AB471" s="33">
        <f>IF(AA471&lt;180,1,0)</f>
        <v>0</v>
      </c>
      <c r="AC471" s="32" t="str">
        <f>IF(Orders!D468="","",INDEX(Riders!$C$2:$C$81,MATCH(Orders!D468,Riders!$A$2:$A$81,0)))</f>
        <v>Bicycle</v>
      </c>
      <c r="AD471" s="33">
        <f>IF(Orders!D468="","",INDEX(Riders!$D$2:$D$81,MATCH(Orders!D468,Riders!$A$2:$A$81,0)))</f>
        <v>2</v>
      </c>
      <c r="AE471" s="33">
        <f>IF(Orders!D468="","",IF(INDEX(Riders!$B$2:$B$81,MATCH(Orders!D468,Riders!$A$2:$A$81,0))=B471,1,0))</f>
        <v>0</v>
      </c>
      <c r="AF471" s="34">
        <f>IF(E471=1,Orders!L468,"")</f>
        <v>3.3</v>
      </c>
      <c r="AG471" s="34">
        <f>IF(E471=1,Orders!P468,"")</f>
        <v>11.9</v>
      </c>
      <c r="AH471" s="34">
        <f>IF(E471=1,Orders!Q468,"")</f>
        <v>10.9</v>
      </c>
      <c r="AI471" s="34">
        <f>IF(E471=1,Orders!M468,"")</f>
        <v>3.7</v>
      </c>
      <c r="AJ471" s="34">
        <f>IF(E471=1,Orders!N468,"")</f>
        <v>2.3</v>
      </c>
      <c r="AK471" s="34">
        <f>IF(E471=1,Orders!O468,"")</f>
        <v>4.9</v>
      </c>
      <c r="AL471" s="33">
        <f>IF(E471=1,IF(ROUND(ABS(AI471+AJ471+AK471-AH471),6)&lt;=0.1,1,0),"")</f>
        <v>1</v>
      </c>
      <c r="AM471" s="36">
        <f>IF(E471=1,AI471/AH471,"")</f>
        <v>0.339449541284404</v>
      </c>
      <c r="AN471" s="36">
        <f>IF(E471=1,AJ471/AH471,"")</f>
        <v>0.211009174311927</v>
      </c>
      <c r="AO471" s="36">
        <f>IF(E471=1,AK471/AH471,"")</f>
        <v>0.44954128440367</v>
      </c>
      <c r="AP471" s="34">
        <f>IF(E471=1,Orders!Y468,"")</f>
        <v>0.57</v>
      </c>
      <c r="AQ471" s="33">
        <f>IF(Orders!X468,1,0)</f>
        <v>0</v>
      </c>
      <c r="AR471" s="34" t="str">
        <f>IF(AND(E471=1,L471=1),AJ471,"")</f>
        <v/>
      </c>
      <c r="AS471" s="34">
        <f>IF(AND(E471=1,L471=0),AJ471,"")</f>
        <v>2.3</v>
      </c>
      <c r="AT471" s="34" t="str">
        <f>IF(AND(E471=1,L471=1),AI471,"")</f>
        <v/>
      </c>
      <c r="AU471" s="34">
        <f>IF(AND(E471=1,L471=0),AI471,"")</f>
        <v>3.7</v>
      </c>
      <c r="AV471" s="34" t="str">
        <f>IF(AND(E471=1,L471=1),AG471,"")</f>
        <v/>
      </c>
      <c r="AW471" s="34">
        <f>IF(AND(E471=1,L471=0),AG471,"")</f>
        <v>11.9</v>
      </c>
      <c r="AX471" s="34" t="str">
        <f>IF(AND(E471=1,L471=1),AH471,"")</f>
        <v/>
      </c>
      <c r="AY471" s="34">
        <f>IF(AND(E471=1,L471=0),AH471,"")</f>
        <v>10.9</v>
      </c>
      <c r="AZ471" s="34" t="str">
        <f>IF(G471=1,F471,"")</f>
        <v/>
      </c>
      <c r="BA471" s="34" t="str">
        <f>IF(AND(G471=1,L471=1),F471,"")</f>
        <v/>
      </c>
      <c r="BB471" s="34" t="str">
        <f>IF(AND(G471=1,L471=0),F471,"")</f>
        <v/>
      </c>
      <c r="BC471" s="33">
        <f>IF(E471=1,IF(Orders!R468&gt;3,1,0),"")</f>
        <v>0</v>
      </c>
      <c r="BD471" s="33">
        <f>IF(E471=1,IF(Orders!R468&gt;7,1,0),"")</f>
        <v>0</v>
      </c>
      <c r="BE471" s="32" t="str">
        <f>IF(E471=1,IF(Orders!L468&lt;=1.5,"Up to 1.5 km",IF(Orders!L468&lt;=3,"1.5–3 km","Over 3 km")),"")</f>
        <v>Over 3 km</v>
      </c>
      <c r="BF471" s="33">
        <f>IF(E471=1,IF(ABS((Orders!G468-Orders!F468)*1440-Orders!R468)&lt;0.06,1,0),"")</f>
        <v>1</v>
      </c>
      <c r="BG471" s="33">
        <f>IF(ABS((Orders!F468-Orders!E468)*1440-Orders!P468)&lt;0.06,1,0)</f>
        <v>1</v>
      </c>
      <c r="BH471" s="33">
        <f>IF(E471=1,IF(IF(Orders!S468,1,0)=1-G471,1,0),"")</f>
        <v>1</v>
      </c>
      <c r="BI471" s="32" t="str">
        <f>INDEX(Stores!$B$2:$B$21,MATCH(B471,Stores!$A$2:$A$21,0))</f>
        <v>Pune</v>
      </c>
    </row>
    <row r="472">
      <c r="A472" s="32" t="str">
        <f>Orders!A469</f>
        <v>O00468</v>
      </c>
      <c r="B472" s="32" t="str">
        <f>Orders!C469</f>
        <v>S020</v>
      </c>
      <c r="C472" s="32" t="str">
        <f>Orders!B469</f>
        <v>C0199</v>
      </c>
      <c r="D472" s="32" t="str">
        <f>Orders!H469</f>
        <v>Delivered</v>
      </c>
      <c r="E472" s="33">
        <f>IF(Orders!H469="Delivered",1,0)</f>
        <v>1</v>
      </c>
      <c r="F472" s="34">
        <f>IF(E472=1,Orders!R469,"")</f>
        <v>-0.8</v>
      </c>
      <c r="G472" s="33">
        <f>IF(E472=1,IF(Orders!R469&gt;0,1,0),"")</f>
        <v>0</v>
      </c>
      <c r="H472" s="33">
        <f>IF(E472=1,IF(Orders!R469&gt;5,1,0),"")</f>
        <v>0</v>
      </c>
      <c r="I472" s="32" t="str">
        <f>IF(E472=1,"",IF(OR(Orders!T469="Rider unavailable",Orders!T469="Item unavailable"),"Company-caused","Unresolved"))</f>
        <v/>
      </c>
      <c r="J472" s="33">
        <f>IF(OR(E472=1,I472="Company-caused"),1,0)</f>
        <v>1</v>
      </c>
      <c r="K472" s="32" t="str">
        <f>IF(E472=0,IF(I472="Company-caused",IF(Orders!T469="Rider unavailable","C1 Rider unavailable","C2 Item unavailable"),"Outside root: unresolved"),IF(G472=0,"A On time",IF(H472=1,IF(L472=1,"B2a Severe, peak","B2b Severe, off-peak"),IF(L472=1,"B1a Slight, peak","B1b Slight, off-peak"))))</f>
        <v>A On time</v>
      </c>
      <c r="L472" s="33">
        <f>IF(AND(Orders!U469&gt;=19,Orders!U469&lt;22),1,0)</f>
        <v>0</v>
      </c>
      <c r="M472" s="33">
        <f>IF(L472=IF(Orders!V469,1,0),1,0)</f>
        <v>1</v>
      </c>
      <c r="N472" s="32" t="str">
        <f>IF(Orders!W469="","None",Orders!W469)</f>
        <v>Light</v>
      </c>
      <c r="O472" s="35">
        <f>INT(Orders!E469)</f>
        <v>46270.0</v>
      </c>
      <c r="P472" s="33">
        <f>Orders!U469</f>
        <v>15</v>
      </c>
      <c r="Q472" s="33">
        <f>COUNTIFS(Demand!$A$2:$A$4481,B472,Demand!$B$2:$B$4481,O472,Demand!$C$2:$C$4481,P472)</f>
        <v>1</v>
      </c>
      <c r="R472" s="33">
        <f>IF(Q472=1,SUMIFS(Demand!$E$2:$E$4481,Demand!$A$2:$A$4481,B472,Demand!$B$2:$B$4481,O472,Demand!$C$2:$C$4481,P472),"")</f>
        <v>10</v>
      </c>
      <c r="S472" s="33">
        <f>INDEX(Stores!$G$2:$G$21,MATCH(B472,Stores!$A$2:$A$21,0))</f>
        <v>15</v>
      </c>
      <c r="T472" s="34">
        <f>IF(R472="","",R472/S472)</f>
        <v>0.666666666666667</v>
      </c>
      <c r="U472" s="34">
        <f>IF(E472=1,T472,"")</f>
        <v>0.666666666666667</v>
      </c>
      <c r="V472" s="34">
        <f>IF(AND(E472=1,L472=0),T472,"")</f>
        <v>0.666666666666667</v>
      </c>
      <c r="W472" s="33">
        <f>IF(U472="","",IF(U472&lt;=Breakdowns!$C$5,1,IF(U472&lt;=Breakdowns!$C$6,2,IF(U472&lt;=Breakdowns!$C$7,3,4))))</f>
        <v>1</v>
      </c>
      <c r="X472" s="33">
        <f>IF(V472="","",IF(V472&lt;=Breakdowns!$D$5,1,IF(V472&lt;=Breakdowns!$D$6,2,IF(V472&lt;=Breakdowns!$D$7,3,4))))</f>
        <v>1</v>
      </c>
      <c r="Y472" s="34">
        <f>INDEX(Stores!$F$2:$F$21,MATCH(B472,Stores!$A$2:$A$21,0))</f>
        <v>5.74</v>
      </c>
      <c r="Z472" s="33">
        <f>IF(Y472&gt;Store_Summary!$M$2,1,0)</f>
        <v>1</v>
      </c>
      <c r="AA472" s="33">
        <f>INDEX(Stores!$C$2:$C$21,MATCH(B472,Stores!$A$2:$A$21,0))</f>
        <v>647</v>
      </c>
      <c r="AB472" s="33">
        <f>IF(AA472&lt;180,1,0)</f>
        <v>0</v>
      </c>
      <c r="AC472" s="32" t="str">
        <f>IF(Orders!D469="","",INDEX(Riders!$C$2:$C$81,MATCH(Orders!D469,Riders!$A$2:$A$81,0)))</f>
        <v>EV scooter</v>
      </c>
      <c r="AD472" s="33">
        <f>IF(Orders!D469="","",INDEX(Riders!$D$2:$D$81,MATCH(Orders!D469,Riders!$A$2:$A$81,0)))</f>
        <v>32</v>
      </c>
      <c r="AE472" s="33">
        <f>IF(Orders!D469="","",IF(INDEX(Riders!$B$2:$B$81,MATCH(Orders!D469,Riders!$A$2:$A$81,0))=B472,1,0))</f>
        <v>0</v>
      </c>
      <c r="AF472" s="34">
        <f>IF(E472=1,Orders!L469,"")</f>
        <v>1.49</v>
      </c>
      <c r="AG472" s="34">
        <f>IF(E472=1,Orders!P469,"")</f>
        <v>12.4</v>
      </c>
      <c r="AH472" s="34">
        <f>IF(E472=1,Orders!Q469,"")</f>
        <v>11.6</v>
      </c>
      <c r="AI472" s="34">
        <f>IF(E472=1,Orders!M469,"")</f>
        <v>4.6</v>
      </c>
      <c r="AJ472" s="34">
        <f>IF(E472=1,Orders!N469,"")</f>
        <v>2.4</v>
      </c>
      <c r="AK472" s="34">
        <f>IF(E472=1,Orders!O469,"")</f>
        <v>4.6</v>
      </c>
      <c r="AL472" s="33">
        <f>IF(E472=1,IF(ROUND(ABS(AI472+AJ472+AK472-AH472),6)&lt;=0.1,1,0),"")</f>
        <v>1</v>
      </c>
      <c r="AM472" s="36">
        <f>IF(E472=1,AI472/AH472,"")</f>
        <v>0.396551724137931</v>
      </c>
      <c r="AN472" s="36">
        <f>IF(E472=1,AJ472/AH472,"")</f>
        <v>0.206896551724138</v>
      </c>
      <c r="AO472" s="36">
        <f>IF(E472=1,AK472/AH472,"")</f>
        <v>0.396551724137931</v>
      </c>
      <c r="AP472" s="34">
        <f>IF(E472=1,Orders!Y469,"")</f>
        <v>0.49</v>
      </c>
      <c r="AQ472" s="33">
        <f>IF(Orders!X469,1,0)</f>
        <v>0</v>
      </c>
      <c r="AR472" s="34" t="str">
        <f>IF(AND(E472=1,L472=1),AJ472,"")</f>
        <v/>
      </c>
      <c r="AS472" s="34">
        <f>IF(AND(E472=1,L472=0),AJ472,"")</f>
        <v>2.4</v>
      </c>
      <c r="AT472" s="34" t="str">
        <f>IF(AND(E472=1,L472=1),AI472,"")</f>
        <v/>
      </c>
      <c r="AU472" s="34">
        <f>IF(AND(E472=1,L472=0),AI472,"")</f>
        <v>4.6</v>
      </c>
      <c r="AV472" s="34" t="str">
        <f>IF(AND(E472=1,L472=1),AG472,"")</f>
        <v/>
      </c>
      <c r="AW472" s="34">
        <f>IF(AND(E472=1,L472=0),AG472,"")</f>
        <v>12.4</v>
      </c>
      <c r="AX472" s="34" t="str">
        <f>IF(AND(E472=1,L472=1),AH472,"")</f>
        <v/>
      </c>
      <c r="AY472" s="34">
        <f>IF(AND(E472=1,L472=0),AH472,"")</f>
        <v>11.6</v>
      </c>
      <c r="AZ472" s="34" t="str">
        <f>IF(G472=1,F472,"")</f>
        <v/>
      </c>
      <c r="BA472" s="34" t="str">
        <f>IF(AND(G472=1,L472=1),F472,"")</f>
        <v/>
      </c>
      <c r="BB472" s="34" t="str">
        <f>IF(AND(G472=1,L472=0),F472,"")</f>
        <v/>
      </c>
      <c r="BC472" s="33">
        <f>IF(E472=1,IF(Orders!R469&gt;3,1,0),"")</f>
        <v>0</v>
      </c>
      <c r="BD472" s="33">
        <f>IF(E472=1,IF(Orders!R469&gt;7,1,0),"")</f>
        <v>0</v>
      </c>
      <c r="BE472" s="32" t="str">
        <f>IF(E472=1,IF(Orders!L469&lt;=1.5,"Up to 1.5 km",IF(Orders!L469&lt;=3,"1.5–3 km","Over 3 km")),"")</f>
        <v>Up to 1.5 km</v>
      </c>
      <c r="BF472" s="33">
        <f>IF(E472=1,IF(ABS((Orders!G469-Orders!F469)*1440-Orders!R469)&lt;0.06,1,0),"")</f>
        <v>1</v>
      </c>
      <c r="BG472" s="33">
        <f>IF(ABS((Orders!F469-Orders!E469)*1440-Orders!P469)&lt;0.06,1,0)</f>
        <v>1</v>
      </c>
      <c r="BH472" s="33">
        <f>IF(E472=1,IF(IF(Orders!S469,1,0)=1-G472,1,0),"")</f>
        <v>1</v>
      </c>
      <c r="BI472" s="32" t="str">
        <f>INDEX(Stores!$B$2:$B$21,MATCH(B472,Stores!$A$2:$A$21,0))</f>
        <v>Delhi</v>
      </c>
    </row>
    <row r="473">
      <c r="A473" s="32" t="str">
        <f>Orders!A470</f>
        <v>O00469</v>
      </c>
      <c r="B473" s="32" t="str">
        <f>Orders!C470</f>
        <v>S011</v>
      </c>
      <c r="C473" s="32" t="str">
        <f>Orders!B470</f>
        <v>C0110</v>
      </c>
      <c r="D473" s="32" t="str">
        <f>Orders!H470</f>
        <v>Delivered</v>
      </c>
      <c r="E473" s="33">
        <f>IF(Orders!H470="Delivered",1,0)</f>
        <v>1</v>
      </c>
      <c r="F473" s="34">
        <f>IF(E473=1,Orders!R470,"")</f>
        <v>-1.1</v>
      </c>
      <c r="G473" s="33">
        <f>IF(E473=1,IF(Orders!R470&gt;0,1,0),"")</f>
        <v>0</v>
      </c>
      <c r="H473" s="33">
        <f>IF(E473=1,IF(Orders!R470&gt;5,1,0),"")</f>
        <v>0</v>
      </c>
      <c r="I473" s="32" t="str">
        <f>IF(E473=1,"",IF(OR(Orders!T470="Rider unavailable",Orders!T470="Item unavailable"),"Company-caused","Unresolved"))</f>
        <v/>
      </c>
      <c r="J473" s="33">
        <f>IF(OR(E473=1,I473="Company-caused"),1,0)</f>
        <v>1</v>
      </c>
      <c r="K473" s="32" t="str">
        <f>IF(E473=0,IF(I473="Company-caused",IF(Orders!T470="Rider unavailable","C1 Rider unavailable","C2 Item unavailable"),"Outside root: unresolved"),IF(G473=0,"A On time",IF(H473=1,IF(L473=1,"B2a Severe, peak","B2b Severe, off-peak"),IF(L473=1,"B1a Slight, peak","B1b Slight, off-peak"))))</f>
        <v>A On time</v>
      </c>
      <c r="L473" s="33">
        <f>IF(AND(Orders!U470&gt;=19,Orders!U470&lt;22),1,0)</f>
        <v>1</v>
      </c>
      <c r="M473" s="33">
        <f>IF(L473=IF(Orders!V470,1,0),1,0)</f>
        <v>1</v>
      </c>
      <c r="N473" s="32" t="str">
        <f>IF(Orders!W470="","None",Orders!W470)</f>
        <v>None</v>
      </c>
      <c r="O473" s="35">
        <f>INT(Orders!E470)</f>
        <v>46278.0</v>
      </c>
      <c r="P473" s="33">
        <f>Orders!U470</f>
        <v>20</v>
      </c>
      <c r="Q473" s="33">
        <f>COUNTIFS(Demand!$A$2:$A$4481,B473,Demand!$B$2:$B$4481,O473,Demand!$C$2:$C$4481,P473)</f>
        <v>1</v>
      </c>
      <c r="R473" s="33">
        <f>IF(Q473=1,SUMIFS(Demand!$E$2:$E$4481,Demand!$A$2:$A$4481,B473,Demand!$B$2:$B$4481,O473,Demand!$C$2:$C$4481,P473),"")</f>
        <v>42</v>
      </c>
      <c r="S473" s="33">
        <f>INDEX(Stores!$G$2:$G$21,MATCH(B473,Stores!$A$2:$A$21,0))</f>
        <v>31</v>
      </c>
      <c r="T473" s="34">
        <f>IF(R473="","",R473/S473)</f>
        <v>1.35483870967742</v>
      </c>
      <c r="U473" s="34">
        <f>IF(E473=1,T473,"")</f>
        <v>1.35483870967742</v>
      </c>
      <c r="V473" s="34" t="str">
        <f>IF(AND(E473=1,L473=0),T473,"")</f>
        <v/>
      </c>
      <c r="W473" s="33">
        <f>IF(U473="","",IF(U473&lt;=Breakdowns!$C$5,1,IF(U473&lt;=Breakdowns!$C$6,2,IF(U473&lt;=Breakdowns!$C$7,3,4))))</f>
        <v>4</v>
      </c>
      <c r="X473" s="33" t="str">
        <f>IF(V473="","",IF(V473&lt;=Breakdowns!$D$5,1,IF(V473&lt;=Breakdowns!$D$6,2,IF(V473&lt;=Breakdowns!$D$7,3,4))))</f>
        <v/>
      </c>
      <c r="Y473" s="34">
        <f>INDEX(Stores!$F$2:$F$21,MATCH(B473,Stores!$A$2:$A$21,0))</f>
        <v>5.67</v>
      </c>
      <c r="Z473" s="33">
        <f>IF(Y473&gt;Store_Summary!$M$2,1,0)</f>
        <v>1</v>
      </c>
      <c r="AA473" s="33">
        <f>INDEX(Stores!$C$2:$C$21,MATCH(B473,Stores!$A$2:$A$21,0))</f>
        <v>732</v>
      </c>
      <c r="AB473" s="33">
        <f>IF(AA473&lt;180,1,0)</f>
        <v>0</v>
      </c>
      <c r="AC473" s="32" t="str">
        <f>IF(Orders!D470="","",INDEX(Riders!$C$2:$C$81,MATCH(Orders!D470,Riders!$A$2:$A$81,0)))</f>
        <v>EV scooter</v>
      </c>
      <c r="AD473" s="33">
        <f>IF(Orders!D470="","",INDEX(Riders!$D$2:$D$81,MATCH(Orders!D470,Riders!$A$2:$A$81,0)))</f>
        <v>1</v>
      </c>
      <c r="AE473" s="33">
        <f>IF(Orders!D470="","",IF(INDEX(Riders!$B$2:$B$81,MATCH(Orders!D470,Riders!$A$2:$A$81,0))=B473,1,0))</f>
        <v>0</v>
      </c>
      <c r="AF473" s="34">
        <f>IF(E473=1,Orders!L470,"")</f>
        <v>1.45</v>
      </c>
      <c r="AG473" s="34">
        <f>IF(E473=1,Orders!P470,"")</f>
        <v>10.7</v>
      </c>
      <c r="AH473" s="34">
        <f>IF(E473=1,Orders!Q470,"")</f>
        <v>9.6</v>
      </c>
      <c r="AI473" s="34">
        <f>IF(E473=1,Orders!M470,"")</f>
        <v>4.8</v>
      </c>
      <c r="AJ473" s="34">
        <f>IF(E473=1,Orders!N470,"")</f>
        <v>1.6</v>
      </c>
      <c r="AK473" s="34">
        <f>IF(E473=1,Orders!O470,"")</f>
        <v>3.2</v>
      </c>
      <c r="AL473" s="33">
        <f>IF(E473=1,IF(ROUND(ABS(AI473+AJ473+AK473-AH473),6)&lt;=0.1,1,0),"")</f>
        <v>1</v>
      </c>
      <c r="AM473" s="36">
        <f>IF(E473=1,AI473/AH473,"")</f>
        <v>0.5</v>
      </c>
      <c r="AN473" s="36">
        <f>IF(E473=1,AJ473/AH473,"")</f>
        <v>0.166666666666667</v>
      </c>
      <c r="AO473" s="36">
        <f>IF(E473=1,AK473/AH473,"")</f>
        <v>0.333333333333333</v>
      </c>
      <c r="AP473" s="34">
        <f>IF(E473=1,Orders!Y470,"")</f>
        <v>0.54</v>
      </c>
      <c r="AQ473" s="33">
        <f>IF(Orders!X470,1,0)</f>
        <v>0</v>
      </c>
      <c r="AR473" s="34">
        <f>IF(AND(E473=1,L473=1),AJ473,"")</f>
        <v>1.6</v>
      </c>
      <c r="AS473" s="34" t="str">
        <f>IF(AND(E473=1,L473=0),AJ473,"")</f>
        <v/>
      </c>
      <c r="AT473" s="34">
        <f>IF(AND(E473=1,L473=1),AI473,"")</f>
        <v>4.8</v>
      </c>
      <c r="AU473" s="34" t="str">
        <f>IF(AND(E473=1,L473=0),AI473,"")</f>
        <v/>
      </c>
      <c r="AV473" s="34">
        <f>IF(AND(E473=1,L473=1),AG473,"")</f>
        <v>10.7</v>
      </c>
      <c r="AW473" s="34" t="str">
        <f>IF(AND(E473=1,L473=0),AG473,"")</f>
        <v/>
      </c>
      <c r="AX473" s="34">
        <f>IF(AND(E473=1,L473=1),AH473,"")</f>
        <v>9.6</v>
      </c>
      <c r="AY473" s="34" t="str">
        <f>IF(AND(E473=1,L473=0),AH473,"")</f>
        <v/>
      </c>
      <c r="AZ473" s="34" t="str">
        <f>IF(G473=1,F473,"")</f>
        <v/>
      </c>
      <c r="BA473" s="34" t="str">
        <f>IF(AND(G473=1,L473=1),F473,"")</f>
        <v/>
      </c>
      <c r="BB473" s="34" t="str">
        <f>IF(AND(G473=1,L473=0),F473,"")</f>
        <v/>
      </c>
      <c r="BC473" s="33">
        <f>IF(E473=1,IF(Orders!R470&gt;3,1,0),"")</f>
        <v>0</v>
      </c>
      <c r="BD473" s="33">
        <f>IF(E473=1,IF(Orders!R470&gt;7,1,0),"")</f>
        <v>0</v>
      </c>
      <c r="BE473" s="32" t="str">
        <f>IF(E473=1,IF(Orders!L470&lt;=1.5,"Up to 1.5 km",IF(Orders!L470&lt;=3,"1.5–3 km","Over 3 km")),"")</f>
        <v>Up to 1.5 km</v>
      </c>
      <c r="BF473" s="33">
        <f>IF(E473=1,IF(ABS((Orders!G470-Orders!F470)*1440-Orders!R470)&lt;0.06,1,0),"")</f>
        <v>1</v>
      </c>
      <c r="BG473" s="33">
        <f>IF(ABS((Orders!F470-Orders!E470)*1440-Orders!P470)&lt;0.06,1,0)</f>
        <v>1</v>
      </c>
      <c r="BH473" s="33">
        <f>IF(E473=1,IF(IF(Orders!S470,1,0)=1-G473,1,0),"")</f>
        <v>1</v>
      </c>
      <c r="BI473" s="32" t="str">
        <f>INDEX(Stores!$B$2:$B$21,MATCH(B473,Stores!$A$2:$A$21,0))</f>
        <v>Bengaluru</v>
      </c>
    </row>
    <row r="474">
      <c r="A474" s="32" t="str">
        <f>Orders!A471</f>
        <v>O00470</v>
      </c>
      <c r="B474" s="32" t="str">
        <f>Orders!C471</f>
        <v>S020</v>
      </c>
      <c r="C474" s="32" t="str">
        <f>Orders!B471</f>
        <v>C0168</v>
      </c>
      <c r="D474" s="32" t="str">
        <f>Orders!H471</f>
        <v>Delivered</v>
      </c>
      <c r="E474" s="33">
        <f>IF(Orders!H471="Delivered",1,0)</f>
        <v>1</v>
      </c>
      <c r="F474" s="34">
        <f>IF(E474=1,Orders!R471,"")</f>
        <v>3.1</v>
      </c>
      <c r="G474" s="33">
        <f>IF(E474=1,IF(Orders!R471&gt;0,1,0),"")</f>
        <v>1</v>
      </c>
      <c r="H474" s="33">
        <f>IF(E474=1,IF(Orders!R471&gt;5,1,0),"")</f>
        <v>0</v>
      </c>
      <c r="I474" s="32" t="str">
        <f>IF(E474=1,"",IF(OR(Orders!T471="Rider unavailable",Orders!T471="Item unavailable"),"Company-caused","Unresolved"))</f>
        <v/>
      </c>
      <c r="J474" s="33">
        <f>IF(OR(E474=1,I474="Company-caused"),1,0)</f>
        <v>1</v>
      </c>
      <c r="K474" s="32" t="str">
        <f>IF(E474=0,IF(I474="Company-caused",IF(Orders!T471="Rider unavailable","C1 Rider unavailable","C2 Item unavailable"),"Outside root: unresolved"),IF(G474=0,"A On time",IF(H474=1,IF(L474=1,"B2a Severe, peak","B2b Severe, off-peak"),IF(L474=1,"B1a Slight, peak","B1b Slight, off-peak"))))</f>
        <v>B1b Slight, off-peak</v>
      </c>
      <c r="L474" s="33">
        <f>IF(AND(Orders!U471&gt;=19,Orders!U471&lt;22),1,0)</f>
        <v>0</v>
      </c>
      <c r="M474" s="33">
        <f>IF(L474=IF(Orders!V471,1,0),1,0)</f>
        <v>1</v>
      </c>
      <c r="N474" s="32" t="str">
        <f>IF(Orders!W471="","None",Orders!W471)</f>
        <v>None</v>
      </c>
      <c r="O474" s="35">
        <f>INT(Orders!E471)</f>
        <v>46271.0</v>
      </c>
      <c r="P474" s="33">
        <f>Orders!U471</f>
        <v>14</v>
      </c>
      <c r="Q474" s="33">
        <f>COUNTIFS(Demand!$A$2:$A$4481,B474,Demand!$B$2:$B$4481,O474,Demand!$C$2:$C$4481,P474)</f>
        <v>1</v>
      </c>
      <c r="R474" s="33">
        <f>IF(Q474=1,SUMIFS(Demand!$E$2:$E$4481,Demand!$A$2:$A$4481,B474,Demand!$B$2:$B$4481,O474,Demand!$C$2:$C$4481,P474),"")</f>
        <v>14</v>
      </c>
      <c r="S474" s="33">
        <f>INDEX(Stores!$G$2:$G$21,MATCH(B474,Stores!$A$2:$A$21,0))</f>
        <v>15</v>
      </c>
      <c r="T474" s="34">
        <f>IF(R474="","",R474/S474)</f>
        <v>0.933333333333333</v>
      </c>
      <c r="U474" s="34">
        <f>IF(E474=1,T474,"")</f>
        <v>0.933333333333333</v>
      </c>
      <c r="V474" s="34">
        <f>IF(AND(E474=1,L474=0),T474,"")</f>
        <v>0.933333333333333</v>
      </c>
      <c r="W474" s="33">
        <f>IF(U474="","",IF(U474&lt;=Breakdowns!$C$5,1,IF(U474&lt;=Breakdowns!$C$6,2,IF(U474&lt;=Breakdowns!$C$7,3,4))))</f>
        <v>2</v>
      </c>
      <c r="X474" s="33">
        <f>IF(V474="","",IF(V474&lt;=Breakdowns!$D$5,1,IF(V474&lt;=Breakdowns!$D$6,2,IF(V474&lt;=Breakdowns!$D$7,3,4))))</f>
        <v>3</v>
      </c>
      <c r="Y474" s="34">
        <f>INDEX(Stores!$F$2:$F$21,MATCH(B474,Stores!$A$2:$A$21,0))</f>
        <v>5.74</v>
      </c>
      <c r="Z474" s="33">
        <f>IF(Y474&gt;Store_Summary!$M$2,1,0)</f>
        <v>1</v>
      </c>
      <c r="AA474" s="33">
        <f>INDEX(Stores!$C$2:$C$21,MATCH(B474,Stores!$A$2:$A$21,0))</f>
        <v>647</v>
      </c>
      <c r="AB474" s="33">
        <f>IF(AA474&lt;180,1,0)</f>
        <v>0</v>
      </c>
      <c r="AC474" s="32" t="str">
        <f>IF(Orders!D471="","",INDEX(Riders!$C$2:$C$81,MATCH(Orders!D471,Riders!$A$2:$A$81,0)))</f>
        <v>EV scooter</v>
      </c>
      <c r="AD474" s="33">
        <f>IF(Orders!D471="","",INDEX(Riders!$D$2:$D$81,MATCH(Orders!D471,Riders!$A$2:$A$81,0)))</f>
        <v>37</v>
      </c>
      <c r="AE474" s="33">
        <f>IF(Orders!D471="","",IF(INDEX(Riders!$B$2:$B$81,MATCH(Orders!D471,Riders!$A$2:$A$81,0))=B474,1,0))</f>
        <v>0</v>
      </c>
      <c r="AF474" s="34">
        <f>IF(E474=1,Orders!L471,"")</f>
        <v>2.09</v>
      </c>
      <c r="AG474" s="34">
        <f>IF(E474=1,Orders!P471,"")</f>
        <v>11.2</v>
      </c>
      <c r="AH474" s="34">
        <f>IF(E474=1,Orders!Q471,"")</f>
        <v>14.3</v>
      </c>
      <c r="AI474" s="34">
        <f>IF(E474=1,Orders!M471,"")</f>
        <v>6.5</v>
      </c>
      <c r="AJ474" s="34">
        <f>IF(E474=1,Orders!N471,"")</f>
        <v>2.6</v>
      </c>
      <c r="AK474" s="34">
        <f>IF(E474=1,Orders!O471,"")</f>
        <v>5.2</v>
      </c>
      <c r="AL474" s="33">
        <f>IF(E474=1,IF(ROUND(ABS(AI474+AJ474+AK474-AH474),6)&lt;=0.1,1,0),"")</f>
        <v>1</v>
      </c>
      <c r="AM474" s="36">
        <f>IF(E474=1,AI474/AH474,"")</f>
        <v>0.454545454545455</v>
      </c>
      <c r="AN474" s="36">
        <f>IF(E474=1,AJ474/AH474,"")</f>
        <v>0.181818181818182</v>
      </c>
      <c r="AO474" s="36">
        <f>IF(E474=1,AK474/AH474,"")</f>
        <v>0.363636363636364</v>
      </c>
      <c r="AP474" s="34">
        <f>IF(E474=1,Orders!Y471,"")</f>
        <v>0.4</v>
      </c>
      <c r="AQ474" s="33">
        <f>IF(Orders!X471,1,0)</f>
        <v>0</v>
      </c>
      <c r="AR474" s="34" t="str">
        <f>IF(AND(E474=1,L474=1),AJ474,"")</f>
        <v/>
      </c>
      <c r="AS474" s="34">
        <f>IF(AND(E474=1,L474=0),AJ474,"")</f>
        <v>2.6</v>
      </c>
      <c r="AT474" s="34" t="str">
        <f>IF(AND(E474=1,L474=1),AI474,"")</f>
        <v/>
      </c>
      <c r="AU474" s="34">
        <f>IF(AND(E474=1,L474=0),AI474,"")</f>
        <v>6.5</v>
      </c>
      <c r="AV474" s="34" t="str">
        <f>IF(AND(E474=1,L474=1),AG474,"")</f>
        <v/>
      </c>
      <c r="AW474" s="34">
        <f>IF(AND(E474=1,L474=0),AG474,"")</f>
        <v>11.2</v>
      </c>
      <c r="AX474" s="34" t="str">
        <f>IF(AND(E474=1,L474=1),AH474,"")</f>
        <v/>
      </c>
      <c r="AY474" s="34">
        <f>IF(AND(E474=1,L474=0),AH474,"")</f>
        <v>14.3</v>
      </c>
      <c r="AZ474" s="34">
        <f>IF(G474=1,F474,"")</f>
        <v>3.1</v>
      </c>
      <c r="BA474" s="34" t="str">
        <f>IF(AND(G474=1,L474=1),F474,"")</f>
        <v/>
      </c>
      <c r="BB474" s="34">
        <f>IF(AND(G474=1,L474=0),F474,"")</f>
        <v>3.1</v>
      </c>
      <c r="BC474" s="33">
        <f>IF(E474=1,IF(Orders!R471&gt;3,1,0),"")</f>
        <v>1</v>
      </c>
      <c r="BD474" s="33">
        <f>IF(E474=1,IF(Orders!R471&gt;7,1,0),"")</f>
        <v>0</v>
      </c>
      <c r="BE474" s="32" t="str">
        <f>IF(E474=1,IF(Orders!L471&lt;=1.5,"Up to 1.5 km",IF(Orders!L471&lt;=3,"1.5–3 km","Over 3 km")),"")</f>
        <v>1.5–3 km</v>
      </c>
      <c r="BF474" s="33">
        <f>IF(E474=1,IF(ABS((Orders!G471-Orders!F471)*1440-Orders!R471)&lt;0.06,1,0),"")</f>
        <v>1</v>
      </c>
      <c r="BG474" s="33">
        <f>IF(ABS((Orders!F471-Orders!E471)*1440-Orders!P471)&lt;0.06,1,0)</f>
        <v>1</v>
      </c>
      <c r="BH474" s="33">
        <f>IF(E474=1,IF(IF(Orders!S471,1,0)=1-G474,1,0),"")</f>
        <v>1</v>
      </c>
      <c r="BI474" s="32" t="str">
        <f>INDEX(Stores!$B$2:$B$21,MATCH(B474,Stores!$A$2:$A$21,0))</f>
        <v>Delhi</v>
      </c>
    </row>
    <row r="475">
      <c r="A475" s="32" t="str">
        <f>Orders!A472</f>
        <v>O00471</v>
      </c>
      <c r="B475" s="32" t="str">
        <f>Orders!C472</f>
        <v>S014</v>
      </c>
      <c r="C475" s="32" t="str">
        <f>Orders!B472</f>
        <v>C0211</v>
      </c>
      <c r="D475" s="32" t="str">
        <f>Orders!H472</f>
        <v>Delivered</v>
      </c>
      <c r="E475" s="33">
        <f>IF(Orders!H472="Delivered",1,0)</f>
        <v>1</v>
      </c>
      <c r="F475" s="34">
        <f>IF(E475=1,Orders!R472,"")</f>
        <v>-0.9</v>
      </c>
      <c r="G475" s="33">
        <f>IF(E475=1,IF(Orders!R472&gt;0,1,0),"")</f>
        <v>0</v>
      </c>
      <c r="H475" s="33">
        <f>IF(E475=1,IF(Orders!R472&gt;5,1,0),"")</f>
        <v>0</v>
      </c>
      <c r="I475" s="32" t="str">
        <f>IF(E475=1,"",IF(OR(Orders!T472="Rider unavailable",Orders!T472="Item unavailable"),"Company-caused","Unresolved"))</f>
        <v/>
      </c>
      <c r="J475" s="33">
        <f>IF(OR(E475=1,I475="Company-caused"),1,0)</f>
        <v>1</v>
      </c>
      <c r="K475" s="32" t="str">
        <f>IF(E475=0,IF(I475="Company-caused",IF(Orders!T472="Rider unavailable","C1 Rider unavailable","C2 Item unavailable"),"Outside root: unresolved"),IF(G475=0,"A On time",IF(H475=1,IF(L475=1,"B2a Severe, peak","B2b Severe, off-peak"),IF(L475=1,"B1a Slight, peak","B1b Slight, off-peak"))))</f>
        <v>A On time</v>
      </c>
      <c r="L475" s="33">
        <f>IF(AND(Orders!U472&gt;=19,Orders!U472&lt;22),1,0)</f>
        <v>0</v>
      </c>
      <c r="M475" s="33">
        <f>IF(L475=IF(Orders!V472,1,0),1,0)</f>
        <v>1</v>
      </c>
      <c r="N475" s="32" t="str">
        <f>IF(Orders!W472="","None",Orders!W472)</f>
        <v>None</v>
      </c>
      <c r="O475" s="35">
        <f>INT(Orders!E472)</f>
        <v>46266.0</v>
      </c>
      <c r="P475" s="33">
        <f>Orders!U472</f>
        <v>17</v>
      </c>
      <c r="Q475" s="33">
        <f>COUNTIFS(Demand!$A$2:$A$4481,B475,Demand!$B$2:$B$4481,O475,Demand!$C$2:$C$4481,P475)</f>
        <v>1</v>
      </c>
      <c r="R475" s="33">
        <f>IF(Q475=1,SUMIFS(Demand!$E$2:$E$4481,Demand!$A$2:$A$4481,B475,Demand!$B$2:$B$4481,O475,Demand!$C$2:$C$4481,P475),"")</f>
        <v>40</v>
      </c>
      <c r="S475" s="33">
        <f>INDEX(Stores!$G$2:$G$21,MATCH(B475,Stores!$A$2:$A$21,0))</f>
        <v>37</v>
      </c>
      <c r="T475" s="34">
        <f>IF(R475="","",R475/S475)</f>
        <v>1.08108108108108</v>
      </c>
      <c r="U475" s="34">
        <f>IF(E475=1,T475,"")</f>
        <v>1.08108108108108</v>
      </c>
      <c r="V475" s="34">
        <f>IF(AND(E475=1,L475=0),T475,"")</f>
        <v>1.08108108108108</v>
      </c>
      <c r="W475" s="33">
        <f>IF(U475="","",IF(U475&lt;=Breakdowns!$C$5,1,IF(U475&lt;=Breakdowns!$C$6,2,IF(U475&lt;=Breakdowns!$C$7,3,4))))</f>
        <v>3</v>
      </c>
      <c r="X475" s="33">
        <f>IF(V475="","",IF(V475&lt;=Breakdowns!$D$5,1,IF(V475&lt;=Breakdowns!$D$6,2,IF(V475&lt;=Breakdowns!$D$7,3,4))))</f>
        <v>4</v>
      </c>
      <c r="Y475" s="34">
        <f>INDEX(Stores!$F$2:$F$21,MATCH(B475,Stores!$A$2:$A$21,0))</f>
        <v>5.55</v>
      </c>
      <c r="Z475" s="33">
        <f>IF(Y475&gt;Store_Summary!$M$2,1,0)</f>
        <v>1</v>
      </c>
      <c r="AA475" s="33">
        <f>INDEX(Stores!$C$2:$C$21,MATCH(B475,Stores!$A$2:$A$21,0))</f>
        <v>241</v>
      </c>
      <c r="AB475" s="33">
        <f>IF(AA475&lt;180,1,0)</f>
        <v>0</v>
      </c>
      <c r="AC475" s="32" t="str">
        <f>IF(Orders!D472="","",INDEX(Riders!$C$2:$C$81,MATCH(Orders!D472,Riders!$A$2:$A$81,0)))</f>
        <v>EV scooter</v>
      </c>
      <c r="AD475" s="33">
        <f>IF(Orders!D472="","",INDEX(Riders!$D$2:$D$81,MATCH(Orders!D472,Riders!$A$2:$A$81,0)))</f>
        <v>38</v>
      </c>
      <c r="AE475" s="33">
        <f>IF(Orders!D472="","",IF(INDEX(Riders!$B$2:$B$81,MATCH(Orders!D472,Riders!$A$2:$A$81,0))=B475,1,0))</f>
        <v>0</v>
      </c>
      <c r="AF475" s="34">
        <f>IF(E475=1,Orders!L472,"")</f>
        <v>3.12</v>
      </c>
      <c r="AG475" s="34">
        <f>IF(E475=1,Orders!P472,"")</f>
        <v>10.7</v>
      </c>
      <c r="AH475" s="34">
        <f>IF(E475=1,Orders!Q472,"")</f>
        <v>9.8</v>
      </c>
      <c r="AI475" s="34">
        <f>IF(E475=1,Orders!M472,"")</f>
        <v>3.1</v>
      </c>
      <c r="AJ475" s="34">
        <f>IF(E475=1,Orders!N472,"")</f>
        <v>3.8</v>
      </c>
      <c r="AK475" s="34">
        <f>IF(E475=1,Orders!O472,"")</f>
        <v>2.9</v>
      </c>
      <c r="AL475" s="33">
        <f>IF(E475=1,IF(ROUND(ABS(AI475+AJ475+AK475-AH475),6)&lt;=0.1,1,0),"")</f>
        <v>1</v>
      </c>
      <c r="AM475" s="36">
        <f>IF(E475=1,AI475/AH475,"")</f>
        <v>0.316326530612245</v>
      </c>
      <c r="AN475" s="36">
        <f>IF(E475=1,AJ475/AH475,"")</f>
        <v>0.387755102040816</v>
      </c>
      <c r="AO475" s="36">
        <f>IF(E475=1,AK475/AH475,"")</f>
        <v>0.295918367346939</v>
      </c>
      <c r="AP475" s="34">
        <f>IF(E475=1,Orders!Y472,"")</f>
        <v>0.19</v>
      </c>
      <c r="AQ475" s="33">
        <f>IF(Orders!X472,1,0)</f>
        <v>0</v>
      </c>
      <c r="AR475" s="34" t="str">
        <f>IF(AND(E475=1,L475=1),AJ475,"")</f>
        <v/>
      </c>
      <c r="AS475" s="34">
        <f>IF(AND(E475=1,L475=0),AJ475,"")</f>
        <v>3.8</v>
      </c>
      <c r="AT475" s="34" t="str">
        <f>IF(AND(E475=1,L475=1),AI475,"")</f>
        <v/>
      </c>
      <c r="AU475" s="34">
        <f>IF(AND(E475=1,L475=0),AI475,"")</f>
        <v>3.1</v>
      </c>
      <c r="AV475" s="34" t="str">
        <f>IF(AND(E475=1,L475=1),AG475,"")</f>
        <v/>
      </c>
      <c r="AW475" s="34">
        <f>IF(AND(E475=1,L475=0),AG475,"")</f>
        <v>10.7</v>
      </c>
      <c r="AX475" s="34" t="str">
        <f>IF(AND(E475=1,L475=1),AH475,"")</f>
        <v/>
      </c>
      <c r="AY475" s="34">
        <f>IF(AND(E475=1,L475=0),AH475,"")</f>
        <v>9.8</v>
      </c>
      <c r="AZ475" s="34" t="str">
        <f>IF(G475=1,F475,"")</f>
        <v/>
      </c>
      <c r="BA475" s="34" t="str">
        <f>IF(AND(G475=1,L475=1),F475,"")</f>
        <v/>
      </c>
      <c r="BB475" s="34" t="str">
        <f>IF(AND(G475=1,L475=0),F475,"")</f>
        <v/>
      </c>
      <c r="BC475" s="33">
        <f>IF(E475=1,IF(Orders!R472&gt;3,1,0),"")</f>
        <v>0</v>
      </c>
      <c r="BD475" s="33">
        <f>IF(E475=1,IF(Orders!R472&gt;7,1,0),"")</f>
        <v>0</v>
      </c>
      <c r="BE475" s="32" t="str">
        <f>IF(E475=1,IF(Orders!L472&lt;=1.5,"Up to 1.5 km",IF(Orders!L472&lt;=3,"1.5–3 km","Over 3 km")),"")</f>
        <v>Over 3 km</v>
      </c>
      <c r="BF475" s="33">
        <f>IF(E475=1,IF(ABS((Orders!G472-Orders!F472)*1440-Orders!R472)&lt;0.06,1,0),"")</f>
        <v>1</v>
      </c>
      <c r="BG475" s="33">
        <f>IF(ABS((Orders!F472-Orders!E472)*1440-Orders!P472)&lt;0.06,1,0)</f>
        <v>1</v>
      </c>
      <c r="BH475" s="33">
        <f>IF(E475=1,IF(IF(Orders!S472,1,0)=1-G475,1,0),"")</f>
        <v>1</v>
      </c>
      <c r="BI475" s="32" t="str">
        <f>INDEX(Stores!$B$2:$B$21,MATCH(B475,Stores!$A$2:$A$21,0))</f>
        <v>Pune</v>
      </c>
    </row>
    <row r="476">
      <c r="A476" s="32" t="str">
        <f>Orders!A473</f>
        <v>O00472</v>
      </c>
      <c r="B476" s="32" t="str">
        <f>Orders!C473</f>
        <v>S020</v>
      </c>
      <c r="C476" s="32" t="str">
        <f>Orders!B473</f>
        <v>C0026</v>
      </c>
      <c r="D476" s="32" t="str">
        <f>Orders!H473</f>
        <v>Delivered</v>
      </c>
      <c r="E476" s="33">
        <f>IF(Orders!H473="Delivered",1,0)</f>
        <v>1</v>
      </c>
      <c r="F476" s="34">
        <f>IF(E476=1,Orders!R473,"")</f>
        <v>-0.4</v>
      </c>
      <c r="G476" s="33">
        <f>IF(E476=1,IF(Orders!R473&gt;0,1,0),"")</f>
        <v>0</v>
      </c>
      <c r="H476" s="33">
        <f>IF(E476=1,IF(Orders!R473&gt;5,1,0),"")</f>
        <v>0</v>
      </c>
      <c r="I476" s="32" t="str">
        <f>IF(E476=1,"",IF(OR(Orders!T473="Rider unavailable",Orders!T473="Item unavailable"),"Company-caused","Unresolved"))</f>
        <v/>
      </c>
      <c r="J476" s="33">
        <f>IF(OR(E476=1,I476="Company-caused"),1,0)</f>
        <v>1</v>
      </c>
      <c r="K476" s="32" t="str">
        <f>IF(E476=0,IF(I476="Company-caused",IF(Orders!T473="Rider unavailable","C1 Rider unavailable","C2 Item unavailable"),"Outside root: unresolved"),IF(G476=0,"A On time",IF(H476=1,IF(L476=1,"B2a Severe, peak","B2b Severe, off-peak"),IF(L476=1,"B1a Slight, peak","B1b Slight, off-peak"))))</f>
        <v>A On time</v>
      </c>
      <c r="L476" s="33">
        <f>IF(AND(Orders!U473&gt;=19,Orders!U473&lt;22),1,0)</f>
        <v>0</v>
      </c>
      <c r="M476" s="33">
        <f>IF(L476=IF(Orders!V473,1,0),1,0)</f>
        <v>1</v>
      </c>
      <c r="N476" s="32" t="str">
        <f>IF(Orders!W473="","None",Orders!W473)</f>
        <v>Heavy</v>
      </c>
      <c r="O476" s="35">
        <f>INT(Orders!E473)</f>
        <v>46276.0</v>
      </c>
      <c r="P476" s="33">
        <f>Orders!U473</f>
        <v>17</v>
      </c>
      <c r="Q476" s="33">
        <f>COUNTIFS(Demand!$A$2:$A$4481,B476,Demand!$B$2:$B$4481,O476,Demand!$C$2:$C$4481,P476)</f>
        <v>1</v>
      </c>
      <c r="R476" s="33">
        <f>IF(Q476=1,SUMIFS(Demand!$E$2:$E$4481,Demand!$A$2:$A$4481,B476,Demand!$B$2:$B$4481,O476,Demand!$C$2:$C$4481,P476),"")</f>
        <v>14</v>
      </c>
      <c r="S476" s="33">
        <f>INDEX(Stores!$G$2:$G$21,MATCH(B476,Stores!$A$2:$A$21,0))</f>
        <v>15</v>
      </c>
      <c r="T476" s="34">
        <f>IF(R476="","",R476/S476)</f>
        <v>0.933333333333333</v>
      </c>
      <c r="U476" s="34">
        <f>IF(E476=1,T476,"")</f>
        <v>0.933333333333333</v>
      </c>
      <c r="V476" s="34">
        <f>IF(AND(E476=1,L476=0),T476,"")</f>
        <v>0.933333333333333</v>
      </c>
      <c r="W476" s="33">
        <f>IF(U476="","",IF(U476&lt;=Breakdowns!$C$5,1,IF(U476&lt;=Breakdowns!$C$6,2,IF(U476&lt;=Breakdowns!$C$7,3,4))))</f>
        <v>2</v>
      </c>
      <c r="X476" s="33">
        <f>IF(V476="","",IF(V476&lt;=Breakdowns!$D$5,1,IF(V476&lt;=Breakdowns!$D$6,2,IF(V476&lt;=Breakdowns!$D$7,3,4))))</f>
        <v>3</v>
      </c>
      <c r="Y476" s="34">
        <f>INDEX(Stores!$F$2:$F$21,MATCH(B476,Stores!$A$2:$A$21,0))</f>
        <v>5.74</v>
      </c>
      <c r="Z476" s="33">
        <f>IF(Y476&gt;Store_Summary!$M$2,1,0)</f>
        <v>1</v>
      </c>
      <c r="AA476" s="33">
        <f>INDEX(Stores!$C$2:$C$21,MATCH(B476,Stores!$A$2:$A$21,0))</f>
        <v>647</v>
      </c>
      <c r="AB476" s="33">
        <f>IF(AA476&lt;180,1,0)</f>
        <v>0</v>
      </c>
      <c r="AC476" s="32" t="str">
        <f>IF(Orders!D473="","",INDEX(Riders!$C$2:$C$81,MATCH(Orders!D473,Riders!$A$2:$A$81,0)))</f>
        <v>Petrol scooter</v>
      </c>
      <c r="AD476" s="33">
        <f>IF(Orders!D473="","",INDEX(Riders!$D$2:$D$81,MATCH(Orders!D473,Riders!$A$2:$A$81,0)))</f>
        <v>48</v>
      </c>
      <c r="AE476" s="33">
        <f>IF(Orders!D473="","",IF(INDEX(Riders!$B$2:$B$81,MATCH(Orders!D473,Riders!$A$2:$A$81,0))=B476,1,0))</f>
        <v>0</v>
      </c>
      <c r="AF476" s="34">
        <f>IF(E476=1,Orders!L473,"")</f>
        <v>3.39</v>
      </c>
      <c r="AG476" s="34">
        <f>IF(E476=1,Orders!P473,"")</f>
        <v>12.8</v>
      </c>
      <c r="AH476" s="34">
        <f>IF(E476=1,Orders!Q473,"")</f>
        <v>12.4</v>
      </c>
      <c r="AI476" s="34">
        <f>IF(E476=1,Orders!M473,"")</f>
        <v>3.4</v>
      </c>
      <c r="AJ476" s="34">
        <f>IF(E476=1,Orders!N473,"")</f>
        <v>4.4</v>
      </c>
      <c r="AK476" s="34">
        <f>IF(E476=1,Orders!O473,"")</f>
        <v>4.6</v>
      </c>
      <c r="AL476" s="33">
        <f>IF(E476=1,IF(ROUND(ABS(AI476+AJ476+AK476-AH476),6)&lt;=0.1,1,0),"")</f>
        <v>1</v>
      </c>
      <c r="AM476" s="36">
        <f>IF(E476=1,AI476/AH476,"")</f>
        <v>0.274193548387097</v>
      </c>
      <c r="AN476" s="36">
        <f>IF(E476=1,AJ476/AH476,"")</f>
        <v>0.354838709677419</v>
      </c>
      <c r="AO476" s="36">
        <f>IF(E476=1,AK476/AH476,"")</f>
        <v>0.370967741935484</v>
      </c>
      <c r="AP476" s="34">
        <f>IF(E476=1,Orders!Y473,"")</f>
        <v>0.56</v>
      </c>
      <c r="AQ476" s="33">
        <f>IF(Orders!X473,1,0)</f>
        <v>0</v>
      </c>
      <c r="AR476" s="34" t="str">
        <f>IF(AND(E476=1,L476=1),AJ476,"")</f>
        <v/>
      </c>
      <c r="AS476" s="34">
        <f>IF(AND(E476=1,L476=0),AJ476,"")</f>
        <v>4.4</v>
      </c>
      <c r="AT476" s="34" t="str">
        <f>IF(AND(E476=1,L476=1),AI476,"")</f>
        <v/>
      </c>
      <c r="AU476" s="34">
        <f>IF(AND(E476=1,L476=0),AI476,"")</f>
        <v>3.4</v>
      </c>
      <c r="AV476" s="34" t="str">
        <f>IF(AND(E476=1,L476=1),AG476,"")</f>
        <v/>
      </c>
      <c r="AW476" s="34">
        <f>IF(AND(E476=1,L476=0),AG476,"")</f>
        <v>12.8</v>
      </c>
      <c r="AX476" s="34" t="str">
        <f>IF(AND(E476=1,L476=1),AH476,"")</f>
        <v/>
      </c>
      <c r="AY476" s="34">
        <f>IF(AND(E476=1,L476=0),AH476,"")</f>
        <v>12.4</v>
      </c>
      <c r="AZ476" s="34" t="str">
        <f>IF(G476=1,F476,"")</f>
        <v/>
      </c>
      <c r="BA476" s="34" t="str">
        <f>IF(AND(G476=1,L476=1),F476,"")</f>
        <v/>
      </c>
      <c r="BB476" s="34" t="str">
        <f>IF(AND(G476=1,L476=0),F476,"")</f>
        <v/>
      </c>
      <c r="BC476" s="33">
        <f>IF(E476=1,IF(Orders!R473&gt;3,1,0),"")</f>
        <v>0</v>
      </c>
      <c r="BD476" s="33">
        <f>IF(E476=1,IF(Orders!R473&gt;7,1,0),"")</f>
        <v>0</v>
      </c>
      <c r="BE476" s="32" t="str">
        <f>IF(E476=1,IF(Orders!L473&lt;=1.5,"Up to 1.5 km",IF(Orders!L473&lt;=3,"1.5–3 km","Over 3 km")),"")</f>
        <v>Over 3 km</v>
      </c>
      <c r="BF476" s="33">
        <f>IF(E476=1,IF(ABS((Orders!G473-Orders!F473)*1440-Orders!R473)&lt;0.06,1,0),"")</f>
        <v>1</v>
      </c>
      <c r="BG476" s="33">
        <f>IF(ABS((Orders!F473-Orders!E473)*1440-Orders!P473)&lt;0.06,1,0)</f>
        <v>1</v>
      </c>
      <c r="BH476" s="33">
        <f>IF(E476=1,IF(IF(Orders!S473,1,0)=1-G476,1,0),"")</f>
        <v>1</v>
      </c>
      <c r="BI476" s="32" t="str">
        <f>INDEX(Stores!$B$2:$B$21,MATCH(B476,Stores!$A$2:$A$21,0))</f>
        <v>Delhi</v>
      </c>
    </row>
    <row r="477">
      <c r="A477" s="32" t="str">
        <f>Orders!A474</f>
        <v>O00473</v>
      </c>
      <c r="B477" s="32" t="str">
        <f>Orders!C474</f>
        <v>S017</v>
      </c>
      <c r="C477" s="32" t="str">
        <f>Orders!B474</f>
        <v>C0067</v>
      </c>
      <c r="D477" s="32" t="str">
        <f>Orders!H474</f>
        <v>Delivered</v>
      </c>
      <c r="E477" s="33">
        <f>IF(Orders!H474="Delivered",1,0)</f>
        <v>1</v>
      </c>
      <c r="F477" s="34">
        <f>IF(E477=1,Orders!R474,"")</f>
        <v>-0.4</v>
      </c>
      <c r="G477" s="33">
        <f>IF(E477=1,IF(Orders!R474&gt;0,1,0),"")</f>
        <v>0</v>
      </c>
      <c r="H477" s="33">
        <f>IF(E477=1,IF(Orders!R474&gt;5,1,0),"")</f>
        <v>0</v>
      </c>
      <c r="I477" s="32" t="str">
        <f>IF(E477=1,"",IF(OR(Orders!T474="Rider unavailable",Orders!T474="Item unavailable"),"Company-caused","Unresolved"))</f>
        <v/>
      </c>
      <c r="J477" s="33">
        <f>IF(OR(E477=1,I477="Company-caused"),1,0)</f>
        <v>1</v>
      </c>
      <c r="K477" s="32" t="str">
        <f>IF(E477=0,IF(I477="Company-caused",IF(Orders!T474="Rider unavailable","C1 Rider unavailable","C2 Item unavailable"),"Outside root: unresolved"),IF(G477=0,"A On time",IF(H477=1,IF(L477=1,"B2a Severe, peak","B2b Severe, off-peak"),IF(L477=1,"B1a Slight, peak","B1b Slight, off-peak"))))</f>
        <v>A On time</v>
      </c>
      <c r="L477" s="33">
        <f>IF(AND(Orders!U474&gt;=19,Orders!U474&lt;22),1,0)</f>
        <v>1</v>
      </c>
      <c r="M477" s="33">
        <f>IF(L477=IF(Orders!V474,1,0),1,0)</f>
        <v>1</v>
      </c>
      <c r="N477" s="32" t="str">
        <f>IF(Orders!W474="","None",Orders!W474)</f>
        <v>Light</v>
      </c>
      <c r="O477" s="35">
        <f>INT(Orders!E474)</f>
        <v>46273.0</v>
      </c>
      <c r="P477" s="33">
        <f>Orders!U474</f>
        <v>21</v>
      </c>
      <c r="Q477" s="33">
        <f>COUNTIFS(Demand!$A$2:$A$4481,B477,Demand!$B$2:$B$4481,O477,Demand!$C$2:$C$4481,P477)</f>
        <v>1</v>
      </c>
      <c r="R477" s="33">
        <f>IF(Q477=1,SUMIFS(Demand!$E$2:$E$4481,Demand!$A$2:$A$4481,B477,Demand!$B$2:$B$4481,O477,Demand!$C$2:$C$4481,P477),"")</f>
        <v>49</v>
      </c>
      <c r="S477" s="33">
        <f>INDEX(Stores!$G$2:$G$21,MATCH(B477,Stores!$A$2:$A$21,0))</f>
        <v>36</v>
      </c>
      <c r="T477" s="34">
        <f>IF(R477="","",R477/S477)</f>
        <v>1.36111111111111</v>
      </c>
      <c r="U477" s="34">
        <f>IF(E477=1,T477,"")</f>
        <v>1.36111111111111</v>
      </c>
      <c r="V477" s="34" t="str">
        <f>IF(AND(E477=1,L477=0),T477,"")</f>
        <v/>
      </c>
      <c r="W477" s="33">
        <f>IF(U477="","",IF(U477&lt;=Breakdowns!$C$5,1,IF(U477&lt;=Breakdowns!$C$6,2,IF(U477&lt;=Breakdowns!$C$7,3,4))))</f>
        <v>4</v>
      </c>
      <c r="X477" s="33" t="str">
        <f>IF(V477="","",IF(V477&lt;=Breakdowns!$D$5,1,IF(V477&lt;=Breakdowns!$D$6,2,IF(V477&lt;=Breakdowns!$D$7,3,4))))</f>
        <v/>
      </c>
      <c r="Y477" s="34">
        <f>INDEX(Stores!$F$2:$F$21,MATCH(B477,Stores!$A$2:$A$21,0))</f>
        <v>2.16</v>
      </c>
      <c r="Z477" s="33">
        <f>IF(Y477&gt;Store_Summary!$M$2,1,0)</f>
        <v>0</v>
      </c>
      <c r="AA477" s="33">
        <f>INDEX(Stores!$C$2:$C$21,MATCH(B477,Stores!$A$2:$A$21,0))</f>
        <v>47</v>
      </c>
      <c r="AB477" s="33">
        <f>IF(AA477&lt;180,1,0)</f>
        <v>1</v>
      </c>
      <c r="AC477" s="32" t="str">
        <f>IF(Orders!D474="","",INDEX(Riders!$C$2:$C$81,MATCH(Orders!D474,Riders!$A$2:$A$81,0)))</f>
        <v>EV scooter</v>
      </c>
      <c r="AD477" s="33">
        <f>IF(Orders!D474="","",INDEX(Riders!$D$2:$D$81,MATCH(Orders!D474,Riders!$A$2:$A$81,0)))</f>
        <v>14</v>
      </c>
      <c r="AE477" s="33">
        <f>IF(Orders!D474="","",IF(INDEX(Riders!$B$2:$B$81,MATCH(Orders!D474,Riders!$A$2:$A$81,0))=B477,1,0))</f>
        <v>0</v>
      </c>
      <c r="AF477" s="34">
        <f>IF(E477=1,Orders!L474,"")</f>
        <v>1.69</v>
      </c>
      <c r="AG477" s="34">
        <f>IF(E477=1,Orders!P474,"")</f>
        <v>9.4</v>
      </c>
      <c r="AH477" s="34">
        <f>IF(E477=1,Orders!Q474,"")</f>
        <v>9</v>
      </c>
      <c r="AI477" s="34">
        <f>IF(E477=1,Orders!M474,"")</f>
        <v>1.5</v>
      </c>
      <c r="AJ477" s="34">
        <f>IF(E477=1,Orders!N474,"")</f>
        <v>3.8</v>
      </c>
      <c r="AK477" s="34">
        <f>IF(E477=1,Orders!O474,"")</f>
        <v>3.7</v>
      </c>
      <c r="AL477" s="33">
        <f>IF(E477=1,IF(ROUND(ABS(AI477+AJ477+AK477-AH477),6)&lt;=0.1,1,0),"")</f>
        <v>1</v>
      </c>
      <c r="AM477" s="36">
        <f>IF(E477=1,AI477/AH477,"")</f>
        <v>0.166666666666667</v>
      </c>
      <c r="AN477" s="36">
        <f>IF(E477=1,AJ477/AH477,"")</f>
        <v>0.422222222222222</v>
      </c>
      <c r="AO477" s="36">
        <f>IF(E477=1,AK477/AH477,"")</f>
        <v>0.411111111111111</v>
      </c>
      <c r="AP477" s="34">
        <f>IF(E477=1,Orders!Y474,"")</f>
        <v>0.41</v>
      </c>
      <c r="AQ477" s="33">
        <f>IF(Orders!X474,1,0)</f>
        <v>0</v>
      </c>
      <c r="AR477" s="34">
        <f>IF(AND(E477=1,L477=1),AJ477,"")</f>
        <v>3.8</v>
      </c>
      <c r="AS477" s="34" t="str">
        <f>IF(AND(E477=1,L477=0),AJ477,"")</f>
        <v/>
      </c>
      <c r="AT477" s="34">
        <f>IF(AND(E477=1,L477=1),AI477,"")</f>
        <v>1.5</v>
      </c>
      <c r="AU477" s="34" t="str">
        <f>IF(AND(E477=1,L477=0),AI477,"")</f>
        <v/>
      </c>
      <c r="AV477" s="34">
        <f>IF(AND(E477=1,L477=1),AG477,"")</f>
        <v>9.4</v>
      </c>
      <c r="AW477" s="34" t="str">
        <f>IF(AND(E477=1,L477=0),AG477,"")</f>
        <v/>
      </c>
      <c r="AX477" s="34">
        <f>IF(AND(E477=1,L477=1),AH477,"")</f>
        <v>9</v>
      </c>
      <c r="AY477" s="34" t="str">
        <f>IF(AND(E477=1,L477=0),AH477,"")</f>
        <v/>
      </c>
      <c r="AZ477" s="34" t="str">
        <f>IF(G477=1,F477,"")</f>
        <v/>
      </c>
      <c r="BA477" s="34" t="str">
        <f>IF(AND(G477=1,L477=1),F477,"")</f>
        <v/>
      </c>
      <c r="BB477" s="34" t="str">
        <f>IF(AND(G477=1,L477=0),F477,"")</f>
        <v/>
      </c>
      <c r="BC477" s="33">
        <f>IF(E477=1,IF(Orders!R474&gt;3,1,0),"")</f>
        <v>0</v>
      </c>
      <c r="BD477" s="33">
        <f>IF(E477=1,IF(Orders!R474&gt;7,1,0),"")</f>
        <v>0</v>
      </c>
      <c r="BE477" s="32" t="str">
        <f>IF(E477=1,IF(Orders!L474&lt;=1.5,"Up to 1.5 km",IF(Orders!L474&lt;=3,"1.5–3 km","Over 3 km")),"")</f>
        <v>1.5–3 km</v>
      </c>
      <c r="BF477" s="33">
        <f>IF(E477=1,IF(ABS((Orders!G474-Orders!F474)*1440-Orders!R474)&lt;0.06,1,0),"")</f>
        <v>1</v>
      </c>
      <c r="BG477" s="33">
        <f>IF(ABS((Orders!F474-Orders!E474)*1440-Orders!P474)&lt;0.06,1,0)</f>
        <v>1</v>
      </c>
      <c r="BH477" s="33">
        <f>IF(E477=1,IF(IF(Orders!S474,1,0)=1-G477,1,0),"")</f>
        <v>1</v>
      </c>
      <c r="BI477" s="32" t="str">
        <f>INDEX(Stores!$B$2:$B$21,MATCH(B477,Stores!$A$2:$A$21,0))</f>
        <v>Hyderabad</v>
      </c>
    </row>
    <row r="478">
      <c r="A478" s="32" t="str">
        <f>Orders!A475</f>
        <v>O00474</v>
      </c>
      <c r="B478" s="32" t="str">
        <f>Orders!C475</f>
        <v>S003</v>
      </c>
      <c r="C478" s="32" t="str">
        <f>Orders!B475</f>
        <v>C0086</v>
      </c>
      <c r="D478" s="32" t="str">
        <f>Orders!H475</f>
        <v>Delivered</v>
      </c>
      <c r="E478" s="33">
        <f>IF(Orders!H475="Delivered",1,0)</f>
        <v>1</v>
      </c>
      <c r="F478" s="34">
        <f>IF(E478=1,Orders!R475,"")</f>
        <v>2.3</v>
      </c>
      <c r="G478" s="33">
        <f>IF(E478=1,IF(Orders!R475&gt;0,1,0),"")</f>
        <v>1</v>
      </c>
      <c r="H478" s="33">
        <f>IF(E478=1,IF(Orders!R475&gt;5,1,0),"")</f>
        <v>0</v>
      </c>
      <c r="I478" s="32" t="str">
        <f>IF(E478=1,"",IF(OR(Orders!T475="Rider unavailable",Orders!T475="Item unavailable"),"Company-caused","Unresolved"))</f>
        <v/>
      </c>
      <c r="J478" s="33">
        <f>IF(OR(E478=1,I478="Company-caused"),1,0)</f>
        <v>1</v>
      </c>
      <c r="K478" s="32" t="str">
        <f>IF(E478=0,IF(I478="Company-caused",IF(Orders!T475="Rider unavailable","C1 Rider unavailable","C2 Item unavailable"),"Outside root: unresolved"),IF(G478=0,"A On time",IF(H478=1,IF(L478=1,"B2a Severe, peak","B2b Severe, off-peak"),IF(L478=1,"B1a Slight, peak","B1b Slight, off-peak"))))</f>
        <v>B1b Slight, off-peak</v>
      </c>
      <c r="L478" s="33">
        <f>IF(AND(Orders!U475&gt;=19,Orders!U475&lt;22),1,0)</f>
        <v>0</v>
      </c>
      <c r="M478" s="33">
        <f>IF(L478=IF(Orders!V475,1,0),1,0)</f>
        <v>1</v>
      </c>
      <c r="N478" s="32" t="str">
        <f>IF(Orders!W475="","None",Orders!W475)</f>
        <v>None</v>
      </c>
      <c r="O478" s="35">
        <f>INT(Orders!E475)</f>
        <v>46274.0</v>
      </c>
      <c r="P478" s="33">
        <f>Orders!U475</f>
        <v>12</v>
      </c>
      <c r="Q478" s="33">
        <f>COUNTIFS(Demand!$A$2:$A$4481,B478,Demand!$B$2:$B$4481,O478,Demand!$C$2:$C$4481,P478)</f>
        <v>1</v>
      </c>
      <c r="R478" s="33">
        <f>IF(Q478=1,SUMIFS(Demand!$E$2:$E$4481,Demand!$A$2:$A$4481,B478,Demand!$B$2:$B$4481,O478,Demand!$C$2:$C$4481,P478),"")</f>
        <v>50</v>
      </c>
      <c r="S478" s="33">
        <f>INDEX(Stores!$G$2:$G$21,MATCH(B478,Stores!$A$2:$A$21,0))</f>
        <v>41</v>
      </c>
      <c r="T478" s="34">
        <f>IF(R478="","",R478/S478)</f>
        <v>1.21951219512195</v>
      </c>
      <c r="U478" s="34">
        <f>IF(E478=1,T478,"")</f>
        <v>1.21951219512195</v>
      </c>
      <c r="V478" s="34">
        <f>IF(AND(E478=1,L478=0),T478,"")</f>
        <v>1.21951219512195</v>
      </c>
      <c r="W478" s="33">
        <f>IF(U478="","",IF(U478&lt;=Breakdowns!$C$5,1,IF(U478&lt;=Breakdowns!$C$6,2,IF(U478&lt;=Breakdowns!$C$7,3,4))))</f>
        <v>4</v>
      </c>
      <c r="X478" s="33">
        <f>IF(V478="","",IF(V478&lt;=Breakdowns!$D$5,1,IF(V478&lt;=Breakdowns!$D$6,2,IF(V478&lt;=Breakdowns!$D$7,3,4))))</f>
        <v>4</v>
      </c>
      <c r="Y478" s="34">
        <f>INDEX(Stores!$F$2:$F$21,MATCH(B478,Stores!$A$2:$A$21,0))</f>
        <v>3.84</v>
      </c>
      <c r="Z478" s="33">
        <f>IF(Y478&gt;Store_Summary!$M$2,1,0)</f>
        <v>0</v>
      </c>
      <c r="AA478" s="33">
        <f>INDEX(Stores!$C$2:$C$21,MATCH(B478,Stores!$A$2:$A$21,0))</f>
        <v>426</v>
      </c>
      <c r="AB478" s="33">
        <f>IF(AA478&lt;180,1,0)</f>
        <v>0</v>
      </c>
      <c r="AC478" s="32" t="str">
        <f>IF(Orders!D475="","",INDEX(Riders!$C$2:$C$81,MATCH(Orders!D475,Riders!$A$2:$A$81,0)))</f>
        <v>Petrol scooter</v>
      </c>
      <c r="AD478" s="33">
        <f>IF(Orders!D475="","",INDEX(Riders!$D$2:$D$81,MATCH(Orders!D475,Riders!$A$2:$A$81,0)))</f>
        <v>11</v>
      </c>
      <c r="AE478" s="33">
        <f>IF(Orders!D475="","",IF(INDEX(Riders!$B$2:$B$81,MATCH(Orders!D475,Riders!$A$2:$A$81,0))=B478,1,0))</f>
        <v>0</v>
      </c>
      <c r="AF478" s="34">
        <f>IF(E478=1,Orders!L475,"")</f>
        <v>1.81</v>
      </c>
      <c r="AG478" s="34">
        <f>IF(E478=1,Orders!P475,"")</f>
        <v>9.6</v>
      </c>
      <c r="AH478" s="34">
        <f>IF(E478=1,Orders!Q475,"")</f>
        <v>11.9</v>
      </c>
      <c r="AI478" s="34">
        <f>IF(E478=1,Orders!M475,"")</f>
        <v>4.6</v>
      </c>
      <c r="AJ478" s="34">
        <f>IF(E478=1,Orders!N475,"")</f>
        <v>1.9</v>
      </c>
      <c r="AK478" s="34">
        <f>IF(E478=1,Orders!O475,"")</f>
        <v>5.3</v>
      </c>
      <c r="AL478" s="33">
        <f>IF(E478=1,IF(ROUND(ABS(AI478+AJ478+AK478-AH478),6)&lt;=0.1,1,0),"")</f>
        <v>1</v>
      </c>
      <c r="AM478" s="36">
        <f>IF(E478=1,AI478/AH478,"")</f>
        <v>0.386554621848739</v>
      </c>
      <c r="AN478" s="36">
        <f>IF(E478=1,AJ478/AH478,"")</f>
        <v>0.159663865546218</v>
      </c>
      <c r="AO478" s="36">
        <f>IF(E478=1,AK478/AH478,"")</f>
        <v>0.445378151260504</v>
      </c>
      <c r="AP478" s="34">
        <f>IF(E478=1,Orders!Y475,"")</f>
        <v>0.62</v>
      </c>
      <c r="AQ478" s="33">
        <f>IF(Orders!X475,1,0)</f>
        <v>0</v>
      </c>
      <c r="AR478" s="34" t="str">
        <f>IF(AND(E478=1,L478=1),AJ478,"")</f>
        <v/>
      </c>
      <c r="AS478" s="34">
        <f>IF(AND(E478=1,L478=0),AJ478,"")</f>
        <v>1.9</v>
      </c>
      <c r="AT478" s="34" t="str">
        <f>IF(AND(E478=1,L478=1),AI478,"")</f>
        <v/>
      </c>
      <c r="AU478" s="34">
        <f>IF(AND(E478=1,L478=0),AI478,"")</f>
        <v>4.6</v>
      </c>
      <c r="AV478" s="34" t="str">
        <f>IF(AND(E478=1,L478=1),AG478,"")</f>
        <v/>
      </c>
      <c r="AW478" s="34">
        <f>IF(AND(E478=1,L478=0),AG478,"")</f>
        <v>9.6</v>
      </c>
      <c r="AX478" s="34" t="str">
        <f>IF(AND(E478=1,L478=1),AH478,"")</f>
        <v/>
      </c>
      <c r="AY478" s="34">
        <f>IF(AND(E478=1,L478=0),AH478,"")</f>
        <v>11.9</v>
      </c>
      <c r="AZ478" s="34">
        <f>IF(G478=1,F478,"")</f>
        <v>2.3</v>
      </c>
      <c r="BA478" s="34" t="str">
        <f>IF(AND(G478=1,L478=1),F478,"")</f>
        <v/>
      </c>
      <c r="BB478" s="34">
        <f>IF(AND(G478=1,L478=0),F478,"")</f>
        <v>2.3</v>
      </c>
      <c r="BC478" s="33">
        <f>IF(E478=1,IF(Orders!R475&gt;3,1,0),"")</f>
        <v>0</v>
      </c>
      <c r="BD478" s="33">
        <f>IF(E478=1,IF(Orders!R475&gt;7,1,0),"")</f>
        <v>0</v>
      </c>
      <c r="BE478" s="32" t="str">
        <f>IF(E478=1,IF(Orders!L475&lt;=1.5,"Up to 1.5 km",IF(Orders!L475&lt;=3,"1.5–3 km","Over 3 km")),"")</f>
        <v>1.5–3 km</v>
      </c>
      <c r="BF478" s="33">
        <f>IF(E478=1,IF(ABS((Orders!G475-Orders!F475)*1440-Orders!R475)&lt;0.06,1,0),"")</f>
        <v>1</v>
      </c>
      <c r="BG478" s="33">
        <f>IF(ABS((Orders!F475-Orders!E475)*1440-Orders!P475)&lt;0.06,1,0)</f>
        <v>1</v>
      </c>
      <c r="BH478" s="33">
        <f>IF(E478=1,IF(IF(Orders!S475,1,0)=1-G478,1,0),"")</f>
        <v>1</v>
      </c>
      <c r="BI478" s="32" t="str">
        <f>INDEX(Stores!$B$2:$B$21,MATCH(B478,Stores!$A$2:$A$21,0))</f>
        <v>Mumbai</v>
      </c>
    </row>
    <row r="479">
      <c r="A479" s="32" t="str">
        <f>Orders!A476</f>
        <v>O00475</v>
      </c>
      <c r="B479" s="32" t="str">
        <f>Orders!C476</f>
        <v>S011</v>
      </c>
      <c r="C479" s="32" t="str">
        <f>Orders!B476</f>
        <v>C0033</v>
      </c>
      <c r="D479" s="32" t="str">
        <f>Orders!H476</f>
        <v>Delivered</v>
      </c>
      <c r="E479" s="33">
        <f>IF(Orders!H476="Delivered",1,0)</f>
        <v>1</v>
      </c>
      <c r="F479" s="34">
        <f>IF(E479=1,Orders!R476,"")</f>
        <v>-0.4</v>
      </c>
      <c r="G479" s="33">
        <f>IF(E479=1,IF(Orders!R476&gt;0,1,0),"")</f>
        <v>0</v>
      </c>
      <c r="H479" s="33">
        <f>IF(E479=1,IF(Orders!R476&gt;5,1,0),"")</f>
        <v>0</v>
      </c>
      <c r="I479" s="32" t="str">
        <f>IF(E479=1,"",IF(OR(Orders!T476="Rider unavailable",Orders!T476="Item unavailable"),"Company-caused","Unresolved"))</f>
        <v/>
      </c>
      <c r="J479" s="33">
        <f>IF(OR(E479=1,I479="Company-caused"),1,0)</f>
        <v>1</v>
      </c>
      <c r="K479" s="32" t="str">
        <f>IF(E479=0,IF(I479="Company-caused",IF(Orders!T476="Rider unavailable","C1 Rider unavailable","C2 Item unavailable"),"Outside root: unresolved"),IF(G479=0,"A On time",IF(H479=1,IF(L479=1,"B2a Severe, peak","B2b Severe, off-peak"),IF(L479=1,"B1a Slight, peak","B1b Slight, off-peak"))))</f>
        <v>A On time</v>
      </c>
      <c r="L479" s="33">
        <f>IF(AND(Orders!U476&gt;=19,Orders!U476&lt;22),1,0)</f>
        <v>0</v>
      </c>
      <c r="M479" s="33">
        <f>IF(L479=IF(Orders!V476,1,0),1,0)</f>
        <v>1</v>
      </c>
      <c r="N479" s="32" t="str">
        <f>IF(Orders!W476="","None",Orders!W476)</f>
        <v>None</v>
      </c>
      <c r="O479" s="35">
        <f>INT(Orders!E476)</f>
        <v>46266.0</v>
      </c>
      <c r="P479" s="33">
        <f>Orders!U476</f>
        <v>14</v>
      </c>
      <c r="Q479" s="33">
        <f>COUNTIFS(Demand!$A$2:$A$4481,B479,Demand!$B$2:$B$4481,O479,Demand!$C$2:$C$4481,P479)</f>
        <v>1</v>
      </c>
      <c r="R479" s="33">
        <f>IF(Q479=1,SUMIFS(Demand!$E$2:$E$4481,Demand!$A$2:$A$4481,B479,Demand!$B$2:$B$4481,O479,Demand!$C$2:$C$4481,P479),"")</f>
        <v>20</v>
      </c>
      <c r="S479" s="33">
        <f>INDEX(Stores!$G$2:$G$21,MATCH(B479,Stores!$A$2:$A$21,0))</f>
        <v>31</v>
      </c>
      <c r="T479" s="34">
        <f>IF(R479="","",R479/S479)</f>
        <v>0.645161290322581</v>
      </c>
      <c r="U479" s="34">
        <f>IF(E479=1,T479,"")</f>
        <v>0.645161290322581</v>
      </c>
      <c r="V479" s="34">
        <f>IF(AND(E479=1,L479=0),T479,"")</f>
        <v>0.645161290322581</v>
      </c>
      <c r="W479" s="33">
        <f>IF(U479="","",IF(U479&lt;=Breakdowns!$C$5,1,IF(U479&lt;=Breakdowns!$C$6,2,IF(U479&lt;=Breakdowns!$C$7,3,4))))</f>
        <v>1</v>
      </c>
      <c r="X479" s="33">
        <f>IF(V479="","",IF(V479&lt;=Breakdowns!$D$5,1,IF(V479&lt;=Breakdowns!$D$6,2,IF(V479&lt;=Breakdowns!$D$7,3,4))))</f>
        <v>1</v>
      </c>
      <c r="Y479" s="34">
        <f>INDEX(Stores!$F$2:$F$21,MATCH(B479,Stores!$A$2:$A$21,0))</f>
        <v>5.67</v>
      </c>
      <c r="Z479" s="33">
        <f>IF(Y479&gt;Store_Summary!$M$2,1,0)</f>
        <v>1</v>
      </c>
      <c r="AA479" s="33">
        <f>INDEX(Stores!$C$2:$C$21,MATCH(B479,Stores!$A$2:$A$21,0))</f>
        <v>732</v>
      </c>
      <c r="AB479" s="33">
        <f>IF(AA479&lt;180,1,0)</f>
        <v>0</v>
      </c>
      <c r="AC479" s="32" t="str">
        <f>IF(Orders!D476="","",INDEX(Riders!$C$2:$C$81,MATCH(Orders!D476,Riders!$A$2:$A$81,0)))</f>
        <v>EV scooter</v>
      </c>
      <c r="AD479" s="33">
        <f>IF(Orders!D476="","",INDEX(Riders!$D$2:$D$81,MATCH(Orders!D476,Riders!$A$2:$A$81,0)))</f>
        <v>11</v>
      </c>
      <c r="AE479" s="33">
        <f>IF(Orders!D476="","",IF(INDEX(Riders!$B$2:$B$81,MATCH(Orders!D476,Riders!$A$2:$A$81,0))=B479,1,0))</f>
        <v>0</v>
      </c>
      <c r="AF479" s="34">
        <f>IF(E479=1,Orders!L476,"")</f>
        <v>1.32</v>
      </c>
      <c r="AG479" s="34">
        <f>IF(E479=1,Orders!P476,"")</f>
        <v>10.6</v>
      </c>
      <c r="AH479" s="34">
        <f>IF(E479=1,Orders!Q476,"")</f>
        <v>10.2</v>
      </c>
      <c r="AI479" s="34">
        <f>IF(E479=1,Orders!M476,"")</f>
        <v>3.9</v>
      </c>
      <c r="AJ479" s="34">
        <f>IF(E479=1,Orders!N476,"")</f>
        <v>3.9</v>
      </c>
      <c r="AK479" s="34">
        <f>IF(E479=1,Orders!O476,"")</f>
        <v>2.4</v>
      </c>
      <c r="AL479" s="33">
        <f>IF(E479=1,IF(ROUND(ABS(AI479+AJ479+AK479-AH479),6)&lt;=0.1,1,0),"")</f>
        <v>1</v>
      </c>
      <c r="AM479" s="36">
        <f>IF(E479=1,AI479/AH479,"")</f>
        <v>0.382352941176471</v>
      </c>
      <c r="AN479" s="36">
        <f>IF(E479=1,AJ479/AH479,"")</f>
        <v>0.382352941176471</v>
      </c>
      <c r="AO479" s="36">
        <f>IF(E479=1,AK479/AH479,"")</f>
        <v>0.235294117647059</v>
      </c>
      <c r="AP479" s="34">
        <f>IF(E479=1,Orders!Y476,"")</f>
        <v>0.29</v>
      </c>
      <c r="AQ479" s="33">
        <f>IF(Orders!X476,1,0)</f>
        <v>0</v>
      </c>
      <c r="AR479" s="34" t="str">
        <f>IF(AND(E479=1,L479=1),AJ479,"")</f>
        <v/>
      </c>
      <c r="AS479" s="34">
        <f>IF(AND(E479=1,L479=0),AJ479,"")</f>
        <v>3.9</v>
      </c>
      <c r="AT479" s="34" t="str">
        <f>IF(AND(E479=1,L479=1),AI479,"")</f>
        <v/>
      </c>
      <c r="AU479" s="34">
        <f>IF(AND(E479=1,L479=0),AI479,"")</f>
        <v>3.9</v>
      </c>
      <c r="AV479" s="34" t="str">
        <f>IF(AND(E479=1,L479=1),AG479,"")</f>
        <v/>
      </c>
      <c r="AW479" s="34">
        <f>IF(AND(E479=1,L479=0),AG479,"")</f>
        <v>10.6</v>
      </c>
      <c r="AX479" s="34" t="str">
        <f>IF(AND(E479=1,L479=1),AH479,"")</f>
        <v/>
      </c>
      <c r="AY479" s="34">
        <f>IF(AND(E479=1,L479=0),AH479,"")</f>
        <v>10.2</v>
      </c>
      <c r="AZ479" s="34" t="str">
        <f>IF(G479=1,F479,"")</f>
        <v/>
      </c>
      <c r="BA479" s="34" t="str">
        <f>IF(AND(G479=1,L479=1),F479,"")</f>
        <v/>
      </c>
      <c r="BB479" s="34" t="str">
        <f>IF(AND(G479=1,L479=0),F479,"")</f>
        <v/>
      </c>
      <c r="BC479" s="33">
        <f>IF(E479=1,IF(Orders!R476&gt;3,1,0),"")</f>
        <v>0</v>
      </c>
      <c r="BD479" s="33">
        <f>IF(E479=1,IF(Orders!R476&gt;7,1,0),"")</f>
        <v>0</v>
      </c>
      <c r="BE479" s="32" t="str">
        <f>IF(E479=1,IF(Orders!L476&lt;=1.5,"Up to 1.5 km",IF(Orders!L476&lt;=3,"1.5–3 km","Over 3 km")),"")</f>
        <v>Up to 1.5 km</v>
      </c>
      <c r="BF479" s="33">
        <f>IF(E479=1,IF(ABS((Orders!G476-Orders!F476)*1440-Orders!R476)&lt;0.06,1,0),"")</f>
        <v>1</v>
      </c>
      <c r="BG479" s="33">
        <f>IF(ABS((Orders!F476-Orders!E476)*1440-Orders!P476)&lt;0.06,1,0)</f>
        <v>1</v>
      </c>
      <c r="BH479" s="33">
        <f>IF(E479=1,IF(IF(Orders!S476,1,0)=1-G479,1,0),"")</f>
        <v>1</v>
      </c>
      <c r="BI479" s="32" t="str">
        <f>INDEX(Stores!$B$2:$B$21,MATCH(B479,Stores!$A$2:$A$21,0))</f>
        <v>Bengaluru</v>
      </c>
    </row>
    <row r="480">
      <c r="A480" s="32" t="str">
        <f>Orders!A477</f>
        <v>O00476</v>
      </c>
      <c r="B480" s="32" t="str">
        <f>Orders!C477</f>
        <v>S008</v>
      </c>
      <c r="C480" s="32" t="str">
        <f>Orders!B477</f>
        <v>C0167</v>
      </c>
      <c r="D480" s="32" t="str">
        <f>Orders!H477</f>
        <v>Delivered</v>
      </c>
      <c r="E480" s="33">
        <f>IF(Orders!H477="Delivered",1,0)</f>
        <v>1</v>
      </c>
      <c r="F480" s="34">
        <f>IF(E480=1,Orders!R477,"")</f>
        <v>-1.2</v>
      </c>
      <c r="G480" s="33">
        <f>IF(E480=1,IF(Orders!R477&gt;0,1,0),"")</f>
        <v>0</v>
      </c>
      <c r="H480" s="33">
        <f>IF(E480=1,IF(Orders!R477&gt;5,1,0),"")</f>
        <v>0</v>
      </c>
      <c r="I480" s="32" t="str">
        <f>IF(E480=1,"",IF(OR(Orders!T477="Rider unavailable",Orders!T477="Item unavailable"),"Company-caused","Unresolved"))</f>
        <v/>
      </c>
      <c r="J480" s="33">
        <f>IF(OR(E480=1,I480="Company-caused"),1,0)</f>
        <v>1</v>
      </c>
      <c r="K480" s="32" t="str">
        <f>IF(E480=0,IF(I480="Company-caused",IF(Orders!T477="Rider unavailable","C1 Rider unavailable","C2 Item unavailable"),"Outside root: unresolved"),IF(G480=0,"A On time",IF(H480=1,IF(L480=1,"B2a Severe, peak","B2b Severe, off-peak"),IF(L480=1,"B1a Slight, peak","B1b Slight, off-peak"))))</f>
        <v>A On time</v>
      </c>
      <c r="L480" s="33">
        <f>IF(AND(Orders!U477&gt;=19,Orders!U477&lt;22),1,0)</f>
        <v>0</v>
      </c>
      <c r="M480" s="33">
        <f>IF(L480=IF(Orders!V477,1,0),1,0)</f>
        <v>1</v>
      </c>
      <c r="N480" s="32" t="str">
        <f>IF(Orders!W477="","None",Orders!W477)</f>
        <v>Light</v>
      </c>
      <c r="O480" s="35">
        <f>INT(Orders!E477)</f>
        <v>46271.0</v>
      </c>
      <c r="P480" s="33">
        <f>Orders!U477</f>
        <v>12</v>
      </c>
      <c r="Q480" s="33">
        <f>COUNTIFS(Demand!$A$2:$A$4481,B480,Demand!$B$2:$B$4481,O480,Demand!$C$2:$C$4481,P480)</f>
        <v>1</v>
      </c>
      <c r="R480" s="33">
        <f>IF(Q480=1,SUMIFS(Demand!$E$2:$E$4481,Demand!$A$2:$A$4481,B480,Demand!$B$2:$B$4481,O480,Demand!$C$2:$C$4481,P480),"")</f>
        <v>27</v>
      </c>
      <c r="S480" s="33">
        <f>INDEX(Stores!$G$2:$G$21,MATCH(B480,Stores!$A$2:$A$21,0))</f>
        <v>23</v>
      </c>
      <c r="T480" s="34">
        <f>IF(R480="","",R480/S480)</f>
        <v>1.17391304347826</v>
      </c>
      <c r="U480" s="34">
        <f>IF(E480=1,T480,"")</f>
        <v>1.17391304347826</v>
      </c>
      <c r="V480" s="34">
        <f>IF(AND(E480=1,L480=0),T480,"")</f>
        <v>1.17391304347826</v>
      </c>
      <c r="W480" s="33">
        <f>IF(U480="","",IF(U480&lt;=Breakdowns!$C$5,1,IF(U480&lt;=Breakdowns!$C$6,2,IF(U480&lt;=Breakdowns!$C$7,3,4))))</f>
        <v>3</v>
      </c>
      <c r="X480" s="33">
        <f>IF(V480="","",IF(V480&lt;=Breakdowns!$D$5,1,IF(V480&lt;=Breakdowns!$D$6,2,IF(V480&lt;=Breakdowns!$D$7,3,4))))</f>
        <v>4</v>
      </c>
      <c r="Y480" s="34">
        <f>INDEX(Stores!$F$2:$F$21,MATCH(B480,Stores!$A$2:$A$21,0))</f>
        <v>3.46</v>
      </c>
      <c r="Z480" s="33">
        <f>IF(Y480&gt;Store_Summary!$M$2,1,0)</f>
        <v>0</v>
      </c>
      <c r="AA480" s="33">
        <f>INDEX(Stores!$C$2:$C$21,MATCH(B480,Stores!$A$2:$A$21,0))</f>
        <v>825</v>
      </c>
      <c r="AB480" s="33">
        <f>IF(AA480&lt;180,1,0)</f>
        <v>0</v>
      </c>
      <c r="AC480" s="32" t="str">
        <f>IF(Orders!D477="","",INDEX(Riders!$C$2:$C$81,MATCH(Orders!D477,Riders!$A$2:$A$81,0)))</f>
        <v>EV scooter</v>
      </c>
      <c r="AD480" s="33">
        <f>IF(Orders!D477="","",INDEX(Riders!$D$2:$D$81,MATCH(Orders!D477,Riders!$A$2:$A$81,0)))</f>
        <v>41</v>
      </c>
      <c r="AE480" s="33">
        <f>IF(Orders!D477="","",IF(INDEX(Riders!$B$2:$B$81,MATCH(Orders!D477,Riders!$A$2:$A$81,0))=B480,1,0))</f>
        <v>0</v>
      </c>
      <c r="AF480" s="34">
        <f>IF(E480=1,Orders!L477,"")</f>
        <v>4.7</v>
      </c>
      <c r="AG480" s="34">
        <f>IF(E480=1,Orders!P477,"")</f>
        <v>11.5</v>
      </c>
      <c r="AH480" s="34">
        <f>IF(E480=1,Orders!Q477,"")</f>
        <v>10.3</v>
      </c>
      <c r="AI480" s="34">
        <f>IF(E480=1,Orders!M477,"")</f>
        <v>2.8</v>
      </c>
      <c r="AJ480" s="34">
        <f>IF(E480=1,Orders!N477,"")</f>
        <v>1.5</v>
      </c>
      <c r="AK480" s="34">
        <f>IF(E480=1,Orders!O477,"")</f>
        <v>6</v>
      </c>
      <c r="AL480" s="33">
        <f>IF(E480=1,IF(ROUND(ABS(AI480+AJ480+AK480-AH480),6)&lt;=0.1,1,0),"")</f>
        <v>1</v>
      </c>
      <c r="AM480" s="36">
        <f>IF(E480=1,AI480/AH480,"")</f>
        <v>0.271844660194175</v>
      </c>
      <c r="AN480" s="36">
        <f>IF(E480=1,AJ480/AH480,"")</f>
        <v>0.145631067961165</v>
      </c>
      <c r="AO480" s="36">
        <f>IF(E480=1,AK480/AH480,"")</f>
        <v>0.58252427184466</v>
      </c>
      <c r="AP480" s="34">
        <f>IF(E480=1,Orders!Y477,"")</f>
        <v>0.41</v>
      </c>
      <c r="AQ480" s="33">
        <f>IF(Orders!X477,1,0)</f>
        <v>0</v>
      </c>
      <c r="AR480" s="34" t="str">
        <f>IF(AND(E480=1,L480=1),AJ480,"")</f>
        <v/>
      </c>
      <c r="AS480" s="34">
        <f>IF(AND(E480=1,L480=0),AJ480,"")</f>
        <v>1.5</v>
      </c>
      <c r="AT480" s="34" t="str">
        <f>IF(AND(E480=1,L480=1),AI480,"")</f>
        <v/>
      </c>
      <c r="AU480" s="34">
        <f>IF(AND(E480=1,L480=0),AI480,"")</f>
        <v>2.8</v>
      </c>
      <c r="AV480" s="34" t="str">
        <f>IF(AND(E480=1,L480=1),AG480,"")</f>
        <v/>
      </c>
      <c r="AW480" s="34">
        <f>IF(AND(E480=1,L480=0),AG480,"")</f>
        <v>11.5</v>
      </c>
      <c r="AX480" s="34" t="str">
        <f>IF(AND(E480=1,L480=1),AH480,"")</f>
        <v/>
      </c>
      <c r="AY480" s="34">
        <f>IF(AND(E480=1,L480=0),AH480,"")</f>
        <v>10.3</v>
      </c>
      <c r="AZ480" s="34" t="str">
        <f>IF(G480=1,F480,"")</f>
        <v/>
      </c>
      <c r="BA480" s="34" t="str">
        <f>IF(AND(G480=1,L480=1),F480,"")</f>
        <v/>
      </c>
      <c r="BB480" s="34" t="str">
        <f>IF(AND(G480=1,L480=0),F480,"")</f>
        <v/>
      </c>
      <c r="BC480" s="33">
        <f>IF(E480=1,IF(Orders!R477&gt;3,1,0),"")</f>
        <v>0</v>
      </c>
      <c r="BD480" s="33">
        <f>IF(E480=1,IF(Orders!R477&gt;7,1,0),"")</f>
        <v>0</v>
      </c>
      <c r="BE480" s="32" t="str">
        <f>IF(E480=1,IF(Orders!L477&lt;=1.5,"Up to 1.5 km",IF(Orders!L477&lt;=3,"1.5–3 km","Over 3 km")),"")</f>
        <v>Over 3 km</v>
      </c>
      <c r="BF480" s="33">
        <f>IF(E480=1,IF(ABS((Orders!G477-Orders!F477)*1440-Orders!R477)&lt;0.06,1,0),"")</f>
        <v>1</v>
      </c>
      <c r="BG480" s="33">
        <f>IF(ABS((Orders!F477-Orders!E477)*1440-Orders!P477)&lt;0.06,1,0)</f>
        <v>1</v>
      </c>
      <c r="BH480" s="33">
        <f>IF(E480=1,IF(IF(Orders!S477,1,0)=1-G480,1,0),"")</f>
        <v>1</v>
      </c>
      <c r="BI480" s="32" t="str">
        <f>INDEX(Stores!$B$2:$B$21,MATCH(B480,Stores!$A$2:$A$21,0))</f>
        <v>Mumbai</v>
      </c>
    </row>
    <row r="481">
      <c r="A481" s="32" t="str">
        <f>Orders!A478</f>
        <v>O00477</v>
      </c>
      <c r="B481" s="32" t="str">
        <f>Orders!C478</f>
        <v>S018</v>
      </c>
      <c r="C481" s="32" t="str">
        <f>Orders!B478</f>
        <v>C0065</v>
      </c>
      <c r="D481" s="32" t="str">
        <f>Orders!H478</f>
        <v>Delivered</v>
      </c>
      <c r="E481" s="33">
        <f>IF(Orders!H478="Delivered",1,0)</f>
        <v>1</v>
      </c>
      <c r="F481" s="34">
        <f>IF(E481=1,Orders!R478,"")</f>
        <v>4.3</v>
      </c>
      <c r="G481" s="33">
        <f>IF(E481=1,IF(Orders!R478&gt;0,1,0),"")</f>
        <v>1</v>
      </c>
      <c r="H481" s="33">
        <f>IF(E481=1,IF(Orders!R478&gt;5,1,0),"")</f>
        <v>0</v>
      </c>
      <c r="I481" s="32" t="str">
        <f>IF(E481=1,"",IF(OR(Orders!T478="Rider unavailable",Orders!T478="Item unavailable"),"Company-caused","Unresolved"))</f>
        <v/>
      </c>
      <c r="J481" s="33">
        <f>IF(OR(E481=1,I481="Company-caused"),1,0)</f>
        <v>1</v>
      </c>
      <c r="K481" s="32" t="str">
        <f>IF(E481=0,IF(I481="Company-caused",IF(Orders!T478="Rider unavailable","C1 Rider unavailable","C2 Item unavailable"),"Outside root: unresolved"),IF(G481=0,"A On time",IF(H481=1,IF(L481=1,"B2a Severe, peak","B2b Severe, off-peak"),IF(L481=1,"B1a Slight, peak","B1b Slight, off-peak"))))</f>
        <v>B1b Slight, off-peak</v>
      </c>
      <c r="L481" s="33">
        <f>IF(AND(Orders!U478&gt;=19,Orders!U478&lt;22),1,0)</f>
        <v>0</v>
      </c>
      <c r="M481" s="33">
        <f>IF(L481=IF(Orders!V478,1,0),1,0)</f>
        <v>1</v>
      </c>
      <c r="N481" s="32" t="str">
        <f>IF(Orders!W478="","None",Orders!W478)</f>
        <v>None</v>
      </c>
      <c r="O481" s="35">
        <f>INT(Orders!E478)</f>
        <v>46272.0</v>
      </c>
      <c r="P481" s="33">
        <f>Orders!U478</f>
        <v>23</v>
      </c>
      <c r="Q481" s="33">
        <f>COUNTIFS(Demand!$A$2:$A$4481,B481,Demand!$B$2:$B$4481,O481,Demand!$C$2:$C$4481,P481)</f>
        <v>1</v>
      </c>
      <c r="R481" s="33">
        <f>IF(Q481=1,SUMIFS(Demand!$E$2:$E$4481,Demand!$A$2:$A$4481,B481,Demand!$B$2:$B$4481,O481,Demand!$C$2:$C$4481,P481),"")</f>
        <v>22</v>
      </c>
      <c r="S481" s="33">
        <f>INDEX(Stores!$G$2:$G$21,MATCH(B481,Stores!$A$2:$A$21,0))</f>
        <v>20</v>
      </c>
      <c r="T481" s="34">
        <f>IF(R481="","",R481/S481)</f>
        <v>1.1</v>
      </c>
      <c r="U481" s="34">
        <f>IF(E481=1,T481,"")</f>
        <v>1.1</v>
      </c>
      <c r="V481" s="34">
        <f>IF(AND(E481=1,L481=0),T481,"")</f>
        <v>1.1</v>
      </c>
      <c r="W481" s="33">
        <f>IF(U481="","",IF(U481&lt;=Breakdowns!$C$5,1,IF(U481&lt;=Breakdowns!$C$6,2,IF(U481&lt;=Breakdowns!$C$7,3,4))))</f>
        <v>3</v>
      </c>
      <c r="X481" s="33">
        <f>IF(V481="","",IF(V481&lt;=Breakdowns!$D$5,1,IF(V481&lt;=Breakdowns!$D$6,2,IF(V481&lt;=Breakdowns!$D$7,3,4))))</f>
        <v>4</v>
      </c>
      <c r="Y481" s="34">
        <f>INDEX(Stores!$F$2:$F$21,MATCH(B481,Stores!$A$2:$A$21,0))</f>
        <v>5.31</v>
      </c>
      <c r="Z481" s="33">
        <f>IF(Y481&gt;Store_Summary!$M$2,1,0)</f>
        <v>1</v>
      </c>
      <c r="AA481" s="33">
        <f>INDEX(Stores!$C$2:$C$21,MATCH(B481,Stores!$A$2:$A$21,0))</f>
        <v>214</v>
      </c>
      <c r="AB481" s="33">
        <f>IF(AA481&lt;180,1,0)</f>
        <v>0</v>
      </c>
      <c r="AC481" s="32" t="str">
        <f>IF(Orders!D478="","",INDEX(Riders!$C$2:$C$81,MATCH(Orders!D478,Riders!$A$2:$A$81,0)))</f>
        <v>Petrol scooter</v>
      </c>
      <c r="AD481" s="33">
        <f>IF(Orders!D478="","",INDEX(Riders!$D$2:$D$81,MATCH(Orders!D478,Riders!$A$2:$A$81,0)))</f>
        <v>37</v>
      </c>
      <c r="AE481" s="33">
        <f>IF(Orders!D478="","",IF(INDEX(Riders!$B$2:$B$81,MATCH(Orders!D478,Riders!$A$2:$A$81,0))=B481,1,0))</f>
        <v>0</v>
      </c>
      <c r="AF481" s="34">
        <f>IF(E481=1,Orders!L478,"")</f>
        <v>0.85</v>
      </c>
      <c r="AG481" s="34">
        <f>IF(E481=1,Orders!P478,"")</f>
        <v>11.6</v>
      </c>
      <c r="AH481" s="34">
        <f>IF(E481=1,Orders!Q478,"")</f>
        <v>15.9</v>
      </c>
      <c r="AI481" s="34">
        <f>IF(E481=1,Orders!M478,"")</f>
        <v>5.5</v>
      </c>
      <c r="AJ481" s="34">
        <f>IF(E481=1,Orders!N478,"")</f>
        <v>6.9</v>
      </c>
      <c r="AK481" s="34">
        <f>IF(E481=1,Orders!O478,"")</f>
        <v>3.6</v>
      </c>
      <c r="AL481" s="33">
        <f>IF(E481=1,IF(ROUND(ABS(AI481+AJ481+AK481-AH481),6)&lt;=0.1,1,0),"")</f>
        <v>1</v>
      </c>
      <c r="AM481" s="36">
        <f>IF(E481=1,AI481/AH481,"")</f>
        <v>0.345911949685535</v>
      </c>
      <c r="AN481" s="36">
        <f>IF(E481=1,AJ481/AH481,"")</f>
        <v>0.433962264150943</v>
      </c>
      <c r="AO481" s="36">
        <f>IF(E481=1,AK481/AH481,"")</f>
        <v>0.226415094339623</v>
      </c>
      <c r="AP481" s="34">
        <f>IF(E481=1,Orders!Y478,"")</f>
        <v>0.62</v>
      </c>
      <c r="AQ481" s="33">
        <f>IF(Orders!X478,1,0)</f>
        <v>0</v>
      </c>
      <c r="AR481" s="34" t="str">
        <f>IF(AND(E481=1,L481=1),AJ481,"")</f>
        <v/>
      </c>
      <c r="AS481" s="34">
        <f>IF(AND(E481=1,L481=0),AJ481,"")</f>
        <v>6.9</v>
      </c>
      <c r="AT481" s="34" t="str">
        <f>IF(AND(E481=1,L481=1),AI481,"")</f>
        <v/>
      </c>
      <c r="AU481" s="34">
        <f>IF(AND(E481=1,L481=0),AI481,"")</f>
        <v>5.5</v>
      </c>
      <c r="AV481" s="34" t="str">
        <f>IF(AND(E481=1,L481=1),AG481,"")</f>
        <v/>
      </c>
      <c r="AW481" s="34">
        <f>IF(AND(E481=1,L481=0),AG481,"")</f>
        <v>11.6</v>
      </c>
      <c r="AX481" s="34" t="str">
        <f>IF(AND(E481=1,L481=1),AH481,"")</f>
        <v/>
      </c>
      <c r="AY481" s="34">
        <f>IF(AND(E481=1,L481=0),AH481,"")</f>
        <v>15.9</v>
      </c>
      <c r="AZ481" s="34">
        <f>IF(G481=1,F481,"")</f>
        <v>4.3</v>
      </c>
      <c r="BA481" s="34" t="str">
        <f>IF(AND(G481=1,L481=1),F481,"")</f>
        <v/>
      </c>
      <c r="BB481" s="34">
        <f>IF(AND(G481=1,L481=0),F481,"")</f>
        <v>4.3</v>
      </c>
      <c r="BC481" s="33">
        <f>IF(E481=1,IF(Orders!R478&gt;3,1,0),"")</f>
        <v>1</v>
      </c>
      <c r="BD481" s="33">
        <f>IF(E481=1,IF(Orders!R478&gt;7,1,0),"")</f>
        <v>0</v>
      </c>
      <c r="BE481" s="32" t="str">
        <f>IF(E481=1,IF(Orders!L478&lt;=1.5,"Up to 1.5 km",IF(Orders!L478&lt;=3,"1.5–3 km","Over 3 km")),"")</f>
        <v>Up to 1.5 km</v>
      </c>
      <c r="BF481" s="33">
        <f>IF(E481=1,IF(ABS((Orders!G478-Orders!F478)*1440-Orders!R478)&lt;0.06,1,0),"")</f>
        <v>1</v>
      </c>
      <c r="BG481" s="33">
        <f>IF(ABS((Orders!F478-Orders!E478)*1440-Orders!P478)&lt;0.06,1,0)</f>
        <v>1</v>
      </c>
      <c r="BH481" s="33">
        <f>IF(E481=1,IF(IF(Orders!S478,1,0)=1-G481,1,0),"")</f>
        <v>1</v>
      </c>
      <c r="BI481" s="32" t="str">
        <f>INDEX(Stores!$B$2:$B$21,MATCH(B481,Stores!$A$2:$A$21,0))</f>
        <v>Mumbai</v>
      </c>
    </row>
    <row r="482">
      <c r="A482" s="32" t="str">
        <f>Orders!A479</f>
        <v>O00478</v>
      </c>
      <c r="B482" s="32" t="str">
        <f>Orders!C479</f>
        <v>S008</v>
      </c>
      <c r="C482" s="32" t="str">
        <f>Orders!B479</f>
        <v>C0237</v>
      </c>
      <c r="D482" s="32" t="str">
        <f>Orders!H479</f>
        <v>Delivered</v>
      </c>
      <c r="E482" s="33">
        <f>IF(Orders!H479="Delivered",1,0)</f>
        <v>1</v>
      </c>
      <c r="F482" s="34">
        <f>IF(E482=1,Orders!R479,"")</f>
        <v>9.9</v>
      </c>
      <c r="G482" s="33">
        <f>IF(E482=1,IF(Orders!R479&gt;0,1,0),"")</f>
        <v>1</v>
      </c>
      <c r="H482" s="33">
        <f>IF(E482=1,IF(Orders!R479&gt;5,1,0),"")</f>
        <v>1</v>
      </c>
      <c r="I482" s="32" t="str">
        <f>IF(E482=1,"",IF(OR(Orders!T479="Rider unavailable",Orders!T479="Item unavailable"),"Company-caused","Unresolved"))</f>
        <v/>
      </c>
      <c r="J482" s="33">
        <f>IF(OR(E482=1,I482="Company-caused"),1,0)</f>
        <v>1</v>
      </c>
      <c r="K482" s="32" t="str">
        <f>IF(E482=0,IF(I482="Company-caused",IF(Orders!T479="Rider unavailable","C1 Rider unavailable","C2 Item unavailable"),"Outside root: unresolved"),IF(G482=0,"A On time",IF(H482=1,IF(L482=1,"B2a Severe, peak","B2b Severe, off-peak"),IF(L482=1,"B1a Slight, peak","B1b Slight, off-peak"))))</f>
        <v>B2a Severe, peak</v>
      </c>
      <c r="L482" s="33">
        <f>IF(AND(Orders!U479&gt;=19,Orders!U479&lt;22),1,0)</f>
        <v>1</v>
      </c>
      <c r="M482" s="33">
        <f>IF(L482=IF(Orders!V479,1,0),1,0)</f>
        <v>1</v>
      </c>
      <c r="N482" s="32" t="str">
        <f>IF(Orders!W479="","None",Orders!W479)</f>
        <v>Light</v>
      </c>
      <c r="O482" s="35">
        <f>INT(Orders!E479)</f>
        <v>46272.0</v>
      </c>
      <c r="P482" s="33">
        <f>Orders!U479</f>
        <v>20</v>
      </c>
      <c r="Q482" s="33">
        <f>COUNTIFS(Demand!$A$2:$A$4481,B482,Demand!$B$2:$B$4481,O482,Demand!$C$2:$C$4481,P482)</f>
        <v>1</v>
      </c>
      <c r="R482" s="33">
        <f>IF(Q482=1,SUMIFS(Demand!$E$2:$E$4481,Demand!$A$2:$A$4481,B482,Demand!$B$2:$B$4481,O482,Demand!$C$2:$C$4481,P482),"")</f>
        <v>33</v>
      </c>
      <c r="S482" s="33">
        <f>INDEX(Stores!$G$2:$G$21,MATCH(B482,Stores!$A$2:$A$21,0))</f>
        <v>23</v>
      </c>
      <c r="T482" s="34">
        <f>IF(R482="","",R482/S482)</f>
        <v>1.43478260869565</v>
      </c>
      <c r="U482" s="34">
        <f>IF(E482=1,T482,"")</f>
        <v>1.43478260869565</v>
      </c>
      <c r="V482" s="34" t="str">
        <f>IF(AND(E482=1,L482=0),T482,"")</f>
        <v/>
      </c>
      <c r="W482" s="33">
        <f>IF(U482="","",IF(U482&lt;=Breakdowns!$C$5,1,IF(U482&lt;=Breakdowns!$C$6,2,IF(U482&lt;=Breakdowns!$C$7,3,4))))</f>
        <v>4</v>
      </c>
      <c r="X482" s="33" t="str">
        <f>IF(V482="","",IF(V482&lt;=Breakdowns!$D$5,1,IF(V482&lt;=Breakdowns!$D$6,2,IF(V482&lt;=Breakdowns!$D$7,3,4))))</f>
        <v/>
      </c>
      <c r="Y482" s="34">
        <f>INDEX(Stores!$F$2:$F$21,MATCH(B482,Stores!$A$2:$A$21,0))</f>
        <v>3.46</v>
      </c>
      <c r="Z482" s="33">
        <f>IF(Y482&gt;Store_Summary!$M$2,1,0)</f>
        <v>0</v>
      </c>
      <c r="AA482" s="33">
        <f>INDEX(Stores!$C$2:$C$21,MATCH(B482,Stores!$A$2:$A$21,0))</f>
        <v>825</v>
      </c>
      <c r="AB482" s="33">
        <f>IF(AA482&lt;180,1,0)</f>
        <v>0</v>
      </c>
      <c r="AC482" s="32" t="str">
        <f>IF(Orders!D479="","",INDEX(Riders!$C$2:$C$81,MATCH(Orders!D479,Riders!$A$2:$A$81,0)))</f>
        <v>EV scooter</v>
      </c>
      <c r="AD482" s="33">
        <f>IF(Orders!D479="","",INDEX(Riders!$D$2:$D$81,MATCH(Orders!D479,Riders!$A$2:$A$81,0)))</f>
        <v>45</v>
      </c>
      <c r="AE482" s="33">
        <f>IF(Orders!D479="","",IF(INDEX(Riders!$B$2:$B$81,MATCH(Orders!D479,Riders!$A$2:$A$81,0))=B482,1,0))</f>
        <v>0</v>
      </c>
      <c r="AF482" s="34">
        <f>IF(E482=1,Orders!L479,"")</f>
        <v>1.23</v>
      </c>
      <c r="AG482" s="34">
        <f>IF(E482=1,Orders!P479,"")</f>
        <v>8.3</v>
      </c>
      <c r="AH482" s="34">
        <f>IF(E482=1,Orders!Q479,"")</f>
        <v>18.2</v>
      </c>
      <c r="AI482" s="34">
        <f>IF(E482=1,Orders!M479,"")</f>
        <v>3.6</v>
      </c>
      <c r="AJ482" s="34">
        <f>IF(E482=1,Orders!N479,"")</f>
        <v>9.2</v>
      </c>
      <c r="AK482" s="34">
        <f>IF(E482=1,Orders!O479,"")</f>
        <v>5.5</v>
      </c>
      <c r="AL482" s="33">
        <f>IF(E482=1,IF(ROUND(ABS(AI482+AJ482+AK482-AH482),6)&lt;=0.1,1,0),"")</f>
        <v>1</v>
      </c>
      <c r="AM482" s="36">
        <f>IF(E482=1,AI482/AH482,"")</f>
        <v>0.197802197802198</v>
      </c>
      <c r="AN482" s="36">
        <f>IF(E482=1,AJ482/AH482,"")</f>
        <v>0.505494505494506</v>
      </c>
      <c r="AO482" s="36">
        <f>IF(E482=1,AK482/AH482,"")</f>
        <v>0.302197802197802</v>
      </c>
      <c r="AP482" s="34">
        <f>IF(E482=1,Orders!Y479,"")</f>
        <v>0.8</v>
      </c>
      <c r="AQ482" s="33">
        <f>IF(Orders!X479,1,0)</f>
        <v>0</v>
      </c>
      <c r="AR482" s="34">
        <f>IF(AND(E482=1,L482=1),AJ482,"")</f>
        <v>9.2</v>
      </c>
      <c r="AS482" s="34" t="str">
        <f>IF(AND(E482=1,L482=0),AJ482,"")</f>
        <v/>
      </c>
      <c r="AT482" s="34">
        <f>IF(AND(E482=1,L482=1),AI482,"")</f>
        <v>3.6</v>
      </c>
      <c r="AU482" s="34" t="str">
        <f>IF(AND(E482=1,L482=0),AI482,"")</f>
        <v/>
      </c>
      <c r="AV482" s="34">
        <f>IF(AND(E482=1,L482=1),AG482,"")</f>
        <v>8.3</v>
      </c>
      <c r="AW482" s="34" t="str">
        <f>IF(AND(E482=1,L482=0),AG482,"")</f>
        <v/>
      </c>
      <c r="AX482" s="34">
        <f>IF(AND(E482=1,L482=1),AH482,"")</f>
        <v>18.2</v>
      </c>
      <c r="AY482" s="34" t="str">
        <f>IF(AND(E482=1,L482=0),AH482,"")</f>
        <v/>
      </c>
      <c r="AZ482" s="34">
        <f>IF(G482=1,F482,"")</f>
        <v>9.9</v>
      </c>
      <c r="BA482" s="34">
        <f>IF(AND(G482=1,L482=1),F482,"")</f>
        <v>9.9</v>
      </c>
      <c r="BB482" s="34" t="str">
        <f>IF(AND(G482=1,L482=0),F482,"")</f>
        <v/>
      </c>
      <c r="BC482" s="33">
        <f>IF(E482=1,IF(Orders!R479&gt;3,1,0),"")</f>
        <v>1</v>
      </c>
      <c r="BD482" s="33">
        <f>IF(E482=1,IF(Orders!R479&gt;7,1,0),"")</f>
        <v>1</v>
      </c>
      <c r="BE482" s="32" t="str">
        <f>IF(E482=1,IF(Orders!L479&lt;=1.5,"Up to 1.5 km",IF(Orders!L479&lt;=3,"1.5–3 km","Over 3 km")),"")</f>
        <v>Up to 1.5 km</v>
      </c>
      <c r="BF482" s="33">
        <f>IF(E482=1,IF(ABS((Orders!G479-Orders!F479)*1440-Orders!R479)&lt;0.06,1,0),"")</f>
        <v>1</v>
      </c>
      <c r="BG482" s="33">
        <f>IF(ABS((Orders!F479-Orders!E479)*1440-Orders!P479)&lt;0.06,1,0)</f>
        <v>1</v>
      </c>
      <c r="BH482" s="33">
        <f>IF(E482=1,IF(IF(Orders!S479,1,0)=1-G482,1,0),"")</f>
        <v>1</v>
      </c>
      <c r="BI482" s="32" t="str">
        <f>INDEX(Stores!$B$2:$B$21,MATCH(B482,Stores!$A$2:$A$21,0))</f>
        <v>Mumbai</v>
      </c>
    </row>
    <row r="483">
      <c r="A483" s="32" t="str">
        <f>Orders!A480</f>
        <v>O00479</v>
      </c>
      <c r="B483" s="32" t="str">
        <f>Orders!C480</f>
        <v>S015</v>
      </c>
      <c r="C483" s="32" t="str">
        <f>Orders!B480</f>
        <v>C0006</v>
      </c>
      <c r="D483" s="32" t="str">
        <f>Orders!H480</f>
        <v>Delivered</v>
      </c>
      <c r="E483" s="33">
        <f>IF(Orders!H480="Delivered",1,0)</f>
        <v>1</v>
      </c>
      <c r="F483" s="34">
        <f>IF(E483=1,Orders!R480,"")</f>
        <v>-0.6</v>
      </c>
      <c r="G483" s="33">
        <f>IF(E483=1,IF(Orders!R480&gt;0,1,0),"")</f>
        <v>0</v>
      </c>
      <c r="H483" s="33">
        <f>IF(E483=1,IF(Orders!R480&gt;5,1,0),"")</f>
        <v>0</v>
      </c>
      <c r="I483" s="32" t="str">
        <f>IF(E483=1,"",IF(OR(Orders!T480="Rider unavailable",Orders!T480="Item unavailable"),"Company-caused","Unresolved"))</f>
        <v/>
      </c>
      <c r="J483" s="33">
        <f>IF(OR(E483=1,I483="Company-caused"),1,0)</f>
        <v>1</v>
      </c>
      <c r="K483" s="32" t="str">
        <f>IF(E483=0,IF(I483="Company-caused",IF(Orders!T480="Rider unavailable","C1 Rider unavailable","C2 Item unavailable"),"Outside root: unresolved"),IF(G483=0,"A On time",IF(H483=1,IF(L483=1,"B2a Severe, peak","B2b Severe, off-peak"),IF(L483=1,"B1a Slight, peak","B1b Slight, off-peak"))))</f>
        <v>A On time</v>
      </c>
      <c r="L483" s="33">
        <f>IF(AND(Orders!U480&gt;=19,Orders!U480&lt;22),1,0)</f>
        <v>0</v>
      </c>
      <c r="M483" s="33">
        <f>IF(L483=IF(Orders!V480,1,0),1,0)</f>
        <v>1</v>
      </c>
      <c r="N483" s="32" t="str">
        <f>IF(Orders!W480="","None",Orders!W480)</f>
        <v>None</v>
      </c>
      <c r="O483" s="35">
        <f>INT(Orders!E480)</f>
        <v>46268.0</v>
      </c>
      <c r="P483" s="33">
        <f>Orders!U480</f>
        <v>13</v>
      </c>
      <c r="Q483" s="33">
        <f>COUNTIFS(Demand!$A$2:$A$4481,B483,Demand!$B$2:$B$4481,O483,Demand!$C$2:$C$4481,P483)</f>
        <v>1</v>
      </c>
      <c r="R483" s="33">
        <f>IF(Q483=1,SUMIFS(Demand!$E$2:$E$4481,Demand!$A$2:$A$4481,B483,Demand!$B$2:$B$4481,O483,Demand!$C$2:$C$4481,P483),"")</f>
        <v>31</v>
      </c>
      <c r="S483" s="33">
        <f>INDEX(Stores!$G$2:$G$21,MATCH(B483,Stores!$A$2:$A$21,0))</f>
        <v>23</v>
      </c>
      <c r="T483" s="34">
        <f>IF(R483="","",R483/S483)</f>
        <v>1.34782608695652</v>
      </c>
      <c r="U483" s="34">
        <f>IF(E483=1,T483,"")</f>
        <v>1.34782608695652</v>
      </c>
      <c r="V483" s="34">
        <f>IF(AND(E483=1,L483=0),T483,"")</f>
        <v>1.34782608695652</v>
      </c>
      <c r="W483" s="33">
        <f>IF(U483="","",IF(U483&lt;=Breakdowns!$C$5,1,IF(U483&lt;=Breakdowns!$C$6,2,IF(U483&lt;=Breakdowns!$C$7,3,4))))</f>
        <v>4</v>
      </c>
      <c r="X483" s="33">
        <f>IF(V483="","",IF(V483&lt;=Breakdowns!$D$5,1,IF(V483&lt;=Breakdowns!$D$6,2,IF(V483&lt;=Breakdowns!$D$7,3,4))))</f>
        <v>4</v>
      </c>
      <c r="Y483" s="34">
        <f>INDEX(Stores!$F$2:$F$21,MATCH(B483,Stores!$A$2:$A$21,0))</f>
        <v>4.66</v>
      </c>
      <c r="Z483" s="33">
        <f>IF(Y483&gt;Store_Summary!$M$2,1,0)</f>
        <v>0</v>
      </c>
      <c r="AA483" s="33">
        <f>INDEX(Stores!$C$2:$C$21,MATCH(B483,Stores!$A$2:$A$21,0))</f>
        <v>204</v>
      </c>
      <c r="AB483" s="33">
        <f>IF(AA483&lt;180,1,0)</f>
        <v>0</v>
      </c>
      <c r="AC483" s="32" t="str">
        <f>IF(Orders!D480="","",INDEX(Riders!$C$2:$C$81,MATCH(Orders!D480,Riders!$A$2:$A$81,0)))</f>
        <v>Bicycle</v>
      </c>
      <c r="AD483" s="33">
        <f>IF(Orders!D480="","",INDEX(Riders!$D$2:$D$81,MATCH(Orders!D480,Riders!$A$2:$A$81,0)))</f>
        <v>2</v>
      </c>
      <c r="AE483" s="33">
        <f>IF(Orders!D480="","",IF(INDEX(Riders!$B$2:$B$81,MATCH(Orders!D480,Riders!$A$2:$A$81,0))=B483,1,0))</f>
        <v>0</v>
      </c>
      <c r="AF483" s="34">
        <f>IF(E483=1,Orders!L480,"")</f>
        <v>2.1</v>
      </c>
      <c r="AG483" s="34">
        <f>IF(E483=1,Orders!P480,"")</f>
        <v>9.6</v>
      </c>
      <c r="AH483" s="34">
        <f>IF(E483=1,Orders!Q480,"")</f>
        <v>9</v>
      </c>
      <c r="AI483" s="34">
        <f>IF(E483=1,Orders!M480,"")</f>
        <v>2.5</v>
      </c>
      <c r="AJ483" s="34">
        <f>IF(E483=1,Orders!N480,"")</f>
        <v>3.7</v>
      </c>
      <c r="AK483" s="34">
        <f>IF(E483=1,Orders!O480,"")</f>
        <v>2.8</v>
      </c>
      <c r="AL483" s="33">
        <f>IF(E483=1,IF(ROUND(ABS(AI483+AJ483+AK483-AH483),6)&lt;=0.1,1,0),"")</f>
        <v>1</v>
      </c>
      <c r="AM483" s="36">
        <f>IF(E483=1,AI483/AH483,"")</f>
        <v>0.277777777777778</v>
      </c>
      <c r="AN483" s="36">
        <f>IF(E483=1,AJ483/AH483,"")</f>
        <v>0.411111111111111</v>
      </c>
      <c r="AO483" s="36">
        <f>IF(E483=1,AK483/AH483,"")</f>
        <v>0.311111111111111</v>
      </c>
      <c r="AP483" s="34">
        <f>IF(E483=1,Orders!Y480,"")</f>
        <v>0.38</v>
      </c>
      <c r="AQ483" s="33">
        <f>IF(Orders!X480,1,0)</f>
        <v>0</v>
      </c>
      <c r="AR483" s="34" t="str">
        <f>IF(AND(E483=1,L483=1),AJ483,"")</f>
        <v/>
      </c>
      <c r="AS483" s="34">
        <f>IF(AND(E483=1,L483=0),AJ483,"")</f>
        <v>3.7</v>
      </c>
      <c r="AT483" s="34" t="str">
        <f>IF(AND(E483=1,L483=1),AI483,"")</f>
        <v/>
      </c>
      <c r="AU483" s="34">
        <f>IF(AND(E483=1,L483=0),AI483,"")</f>
        <v>2.5</v>
      </c>
      <c r="AV483" s="34" t="str">
        <f>IF(AND(E483=1,L483=1),AG483,"")</f>
        <v/>
      </c>
      <c r="AW483" s="34">
        <f>IF(AND(E483=1,L483=0),AG483,"")</f>
        <v>9.6</v>
      </c>
      <c r="AX483" s="34" t="str">
        <f>IF(AND(E483=1,L483=1),AH483,"")</f>
        <v/>
      </c>
      <c r="AY483" s="34">
        <f>IF(AND(E483=1,L483=0),AH483,"")</f>
        <v>9</v>
      </c>
      <c r="AZ483" s="34" t="str">
        <f>IF(G483=1,F483,"")</f>
        <v/>
      </c>
      <c r="BA483" s="34" t="str">
        <f>IF(AND(G483=1,L483=1),F483,"")</f>
        <v/>
      </c>
      <c r="BB483" s="34" t="str">
        <f>IF(AND(G483=1,L483=0),F483,"")</f>
        <v/>
      </c>
      <c r="BC483" s="33">
        <f>IF(E483=1,IF(Orders!R480&gt;3,1,0),"")</f>
        <v>0</v>
      </c>
      <c r="BD483" s="33">
        <f>IF(E483=1,IF(Orders!R480&gt;7,1,0),"")</f>
        <v>0</v>
      </c>
      <c r="BE483" s="32" t="str">
        <f>IF(E483=1,IF(Orders!L480&lt;=1.5,"Up to 1.5 km",IF(Orders!L480&lt;=3,"1.5–3 km","Over 3 km")),"")</f>
        <v>1.5–3 km</v>
      </c>
      <c r="BF483" s="33">
        <f>IF(E483=1,IF(ABS((Orders!G480-Orders!F480)*1440-Orders!R480)&lt;0.06,1,0),"")</f>
        <v>1</v>
      </c>
      <c r="BG483" s="33">
        <f>IF(ABS((Orders!F480-Orders!E480)*1440-Orders!P480)&lt;0.06,1,0)</f>
        <v>1</v>
      </c>
      <c r="BH483" s="33">
        <f>IF(E483=1,IF(IF(Orders!S480,1,0)=1-G483,1,0),"")</f>
        <v>1</v>
      </c>
      <c r="BI483" s="32" t="str">
        <f>INDEX(Stores!$B$2:$B$21,MATCH(B483,Stores!$A$2:$A$21,0))</f>
        <v>Delhi</v>
      </c>
    </row>
    <row r="484">
      <c r="A484" s="32" t="str">
        <f>Orders!A481</f>
        <v>O00480</v>
      </c>
      <c r="B484" s="32" t="str">
        <f>Orders!C481</f>
        <v>S015</v>
      </c>
      <c r="C484" s="32" t="str">
        <f>Orders!B481</f>
        <v>C0084</v>
      </c>
      <c r="D484" s="32" t="str">
        <f>Orders!H481</f>
        <v>Delivered</v>
      </c>
      <c r="E484" s="33">
        <f>IF(Orders!H481="Delivered",1,0)</f>
        <v>1</v>
      </c>
      <c r="F484" s="34">
        <f>IF(E484=1,Orders!R481,"")</f>
        <v>-1</v>
      </c>
      <c r="G484" s="33">
        <f>IF(E484=1,IF(Orders!R481&gt;0,1,0),"")</f>
        <v>0</v>
      </c>
      <c r="H484" s="33">
        <f>IF(E484=1,IF(Orders!R481&gt;5,1,0),"")</f>
        <v>0</v>
      </c>
      <c r="I484" s="32" t="str">
        <f>IF(E484=1,"",IF(OR(Orders!T481="Rider unavailable",Orders!T481="Item unavailable"),"Company-caused","Unresolved"))</f>
        <v/>
      </c>
      <c r="J484" s="33">
        <f>IF(OR(E484=1,I484="Company-caused"),1,0)</f>
        <v>1</v>
      </c>
      <c r="K484" s="32" t="str">
        <f>IF(E484=0,IF(I484="Company-caused",IF(Orders!T481="Rider unavailable","C1 Rider unavailable","C2 Item unavailable"),"Outside root: unresolved"),IF(G484=0,"A On time",IF(H484=1,IF(L484=1,"B2a Severe, peak","B2b Severe, off-peak"),IF(L484=1,"B1a Slight, peak","B1b Slight, off-peak"))))</f>
        <v>A On time</v>
      </c>
      <c r="L484" s="33">
        <f>IF(AND(Orders!U481&gt;=19,Orders!U481&lt;22),1,0)</f>
        <v>1</v>
      </c>
      <c r="M484" s="33">
        <f>IF(L484=IF(Orders!V481,1,0),1,0)</f>
        <v>1</v>
      </c>
      <c r="N484" s="32" t="str">
        <f>IF(Orders!W481="","None",Orders!W481)</f>
        <v>None</v>
      </c>
      <c r="O484" s="35">
        <f>INT(Orders!E481)</f>
        <v>46272.0</v>
      </c>
      <c r="P484" s="33">
        <f>Orders!U481</f>
        <v>19</v>
      </c>
      <c r="Q484" s="33">
        <f>COUNTIFS(Demand!$A$2:$A$4481,B484,Demand!$B$2:$B$4481,O484,Demand!$C$2:$C$4481,P484)</f>
        <v>1</v>
      </c>
      <c r="R484" s="33">
        <f>IF(Q484=1,SUMIFS(Demand!$E$2:$E$4481,Demand!$A$2:$A$4481,B484,Demand!$B$2:$B$4481,O484,Demand!$C$2:$C$4481,P484),"")</f>
        <v>29</v>
      </c>
      <c r="S484" s="33">
        <f>INDEX(Stores!$G$2:$G$21,MATCH(B484,Stores!$A$2:$A$21,0))</f>
        <v>23</v>
      </c>
      <c r="T484" s="34">
        <f>IF(R484="","",R484/S484)</f>
        <v>1.26086956521739</v>
      </c>
      <c r="U484" s="34">
        <f>IF(E484=1,T484,"")</f>
        <v>1.26086956521739</v>
      </c>
      <c r="V484" s="34" t="str">
        <f>IF(AND(E484=1,L484=0),T484,"")</f>
        <v/>
      </c>
      <c r="W484" s="33">
        <f>IF(U484="","",IF(U484&lt;=Breakdowns!$C$5,1,IF(U484&lt;=Breakdowns!$C$6,2,IF(U484&lt;=Breakdowns!$C$7,3,4))))</f>
        <v>4</v>
      </c>
      <c r="X484" s="33" t="str">
        <f>IF(V484="","",IF(V484&lt;=Breakdowns!$D$5,1,IF(V484&lt;=Breakdowns!$D$6,2,IF(V484&lt;=Breakdowns!$D$7,3,4))))</f>
        <v/>
      </c>
      <c r="Y484" s="34">
        <f>INDEX(Stores!$F$2:$F$21,MATCH(B484,Stores!$A$2:$A$21,0))</f>
        <v>4.66</v>
      </c>
      <c r="Z484" s="33">
        <f>IF(Y484&gt;Store_Summary!$M$2,1,0)</f>
        <v>0</v>
      </c>
      <c r="AA484" s="33">
        <f>INDEX(Stores!$C$2:$C$21,MATCH(B484,Stores!$A$2:$A$21,0))</f>
        <v>204</v>
      </c>
      <c r="AB484" s="33">
        <f>IF(AA484&lt;180,1,0)</f>
        <v>0</v>
      </c>
      <c r="AC484" s="32" t="str">
        <f>IF(Orders!D481="","",INDEX(Riders!$C$2:$C$81,MATCH(Orders!D481,Riders!$A$2:$A$81,0)))</f>
        <v>EV scooter</v>
      </c>
      <c r="AD484" s="33">
        <f>IF(Orders!D481="","",INDEX(Riders!$D$2:$D$81,MATCH(Orders!D481,Riders!$A$2:$A$81,0)))</f>
        <v>18</v>
      </c>
      <c r="AE484" s="33">
        <f>IF(Orders!D481="","",IF(INDEX(Riders!$B$2:$B$81,MATCH(Orders!D481,Riders!$A$2:$A$81,0))=B484,1,0))</f>
        <v>0</v>
      </c>
      <c r="AF484" s="34">
        <f>IF(E484=1,Orders!L481,"")</f>
        <v>2.04</v>
      </c>
      <c r="AG484" s="34">
        <f>IF(E484=1,Orders!P481,"")</f>
        <v>10.2</v>
      </c>
      <c r="AH484" s="34">
        <f>IF(E484=1,Orders!Q481,"")</f>
        <v>9.2</v>
      </c>
      <c r="AI484" s="34">
        <f>IF(E484=1,Orders!M481,"")</f>
        <v>2.7</v>
      </c>
      <c r="AJ484" s="34">
        <f>IF(E484=1,Orders!N481,"")</f>
        <v>3.1</v>
      </c>
      <c r="AK484" s="34">
        <f>IF(E484=1,Orders!O481,"")</f>
        <v>3.4</v>
      </c>
      <c r="AL484" s="33">
        <f>IF(E484=1,IF(ROUND(ABS(AI484+AJ484+AK484-AH484),6)&lt;=0.1,1,0),"")</f>
        <v>1</v>
      </c>
      <c r="AM484" s="36">
        <f>IF(E484=1,AI484/AH484,"")</f>
        <v>0.293478260869565</v>
      </c>
      <c r="AN484" s="36">
        <f>IF(E484=1,AJ484/AH484,"")</f>
        <v>0.336956521739131</v>
      </c>
      <c r="AO484" s="36">
        <f>IF(E484=1,AK484/AH484,"")</f>
        <v>0.369565217391304</v>
      </c>
      <c r="AP484" s="34">
        <f>IF(E484=1,Orders!Y481,"")</f>
        <v>0.35</v>
      </c>
      <c r="AQ484" s="33">
        <f>IF(Orders!X481,1,0)</f>
        <v>0</v>
      </c>
      <c r="AR484" s="34">
        <f>IF(AND(E484=1,L484=1),AJ484,"")</f>
        <v>3.1</v>
      </c>
      <c r="AS484" s="34" t="str">
        <f>IF(AND(E484=1,L484=0),AJ484,"")</f>
        <v/>
      </c>
      <c r="AT484" s="34">
        <f>IF(AND(E484=1,L484=1),AI484,"")</f>
        <v>2.7</v>
      </c>
      <c r="AU484" s="34" t="str">
        <f>IF(AND(E484=1,L484=0),AI484,"")</f>
        <v/>
      </c>
      <c r="AV484" s="34">
        <f>IF(AND(E484=1,L484=1),AG484,"")</f>
        <v>10.2</v>
      </c>
      <c r="AW484" s="34" t="str">
        <f>IF(AND(E484=1,L484=0),AG484,"")</f>
        <v/>
      </c>
      <c r="AX484" s="34">
        <f>IF(AND(E484=1,L484=1),AH484,"")</f>
        <v>9.2</v>
      </c>
      <c r="AY484" s="34" t="str">
        <f>IF(AND(E484=1,L484=0),AH484,"")</f>
        <v/>
      </c>
      <c r="AZ484" s="34" t="str">
        <f>IF(G484=1,F484,"")</f>
        <v/>
      </c>
      <c r="BA484" s="34" t="str">
        <f>IF(AND(G484=1,L484=1),F484,"")</f>
        <v/>
      </c>
      <c r="BB484" s="34" t="str">
        <f>IF(AND(G484=1,L484=0),F484,"")</f>
        <v/>
      </c>
      <c r="BC484" s="33">
        <f>IF(E484=1,IF(Orders!R481&gt;3,1,0),"")</f>
        <v>0</v>
      </c>
      <c r="BD484" s="33">
        <f>IF(E484=1,IF(Orders!R481&gt;7,1,0),"")</f>
        <v>0</v>
      </c>
      <c r="BE484" s="32" t="str">
        <f>IF(E484=1,IF(Orders!L481&lt;=1.5,"Up to 1.5 km",IF(Orders!L481&lt;=3,"1.5–3 km","Over 3 km")),"")</f>
        <v>1.5–3 km</v>
      </c>
      <c r="BF484" s="33">
        <f>IF(E484=1,IF(ABS((Orders!G481-Orders!F481)*1440-Orders!R481)&lt;0.06,1,0),"")</f>
        <v>1</v>
      </c>
      <c r="BG484" s="33">
        <f>IF(ABS((Orders!F481-Orders!E481)*1440-Orders!P481)&lt;0.06,1,0)</f>
        <v>1</v>
      </c>
      <c r="BH484" s="33">
        <f>IF(E484=1,IF(IF(Orders!S481,1,0)=1-G484,1,0),"")</f>
        <v>1</v>
      </c>
      <c r="BI484" s="32" t="str">
        <f>INDEX(Stores!$B$2:$B$21,MATCH(B484,Stores!$A$2:$A$21,0))</f>
        <v>Delhi</v>
      </c>
    </row>
    <row r="485">
      <c r="A485" s="32" t="str">
        <f>Orders!A482</f>
        <v>O00481</v>
      </c>
      <c r="B485" s="32" t="str">
        <f>Orders!C482</f>
        <v>S016</v>
      </c>
      <c r="C485" s="32" t="str">
        <f>Orders!B482</f>
        <v>C0107</v>
      </c>
      <c r="D485" s="32" t="str">
        <f>Orders!H482</f>
        <v>Delivered</v>
      </c>
      <c r="E485" s="33">
        <f>IF(Orders!H482="Delivered",1,0)</f>
        <v>1</v>
      </c>
      <c r="F485" s="34">
        <f>IF(E485=1,Orders!R482,"")</f>
        <v>-0.4</v>
      </c>
      <c r="G485" s="33">
        <f>IF(E485=1,IF(Orders!R482&gt;0,1,0),"")</f>
        <v>0</v>
      </c>
      <c r="H485" s="33">
        <f>IF(E485=1,IF(Orders!R482&gt;5,1,0),"")</f>
        <v>0</v>
      </c>
      <c r="I485" s="32" t="str">
        <f>IF(E485=1,"",IF(OR(Orders!T482="Rider unavailable",Orders!T482="Item unavailable"),"Company-caused","Unresolved"))</f>
        <v/>
      </c>
      <c r="J485" s="33">
        <f>IF(OR(E485=1,I485="Company-caused"),1,0)</f>
        <v>1</v>
      </c>
      <c r="K485" s="32" t="str">
        <f>IF(E485=0,IF(I485="Company-caused",IF(Orders!T482="Rider unavailable","C1 Rider unavailable","C2 Item unavailable"),"Outside root: unresolved"),IF(G485=0,"A On time",IF(H485=1,IF(L485=1,"B2a Severe, peak","B2b Severe, off-peak"),IF(L485=1,"B1a Slight, peak","B1b Slight, off-peak"))))</f>
        <v>A On time</v>
      </c>
      <c r="L485" s="33">
        <f>IF(AND(Orders!U482&gt;=19,Orders!U482&lt;22),1,0)</f>
        <v>0</v>
      </c>
      <c r="M485" s="33">
        <f>IF(L485=IF(Orders!V482,1,0),1,0)</f>
        <v>1</v>
      </c>
      <c r="N485" s="32" t="str">
        <f>IF(Orders!W482="","None",Orders!W482)</f>
        <v>None</v>
      </c>
      <c r="O485" s="35">
        <f>INT(Orders!E482)</f>
        <v>46268.0</v>
      </c>
      <c r="P485" s="33">
        <f>Orders!U482</f>
        <v>22</v>
      </c>
      <c r="Q485" s="33">
        <f>COUNTIFS(Demand!$A$2:$A$4481,B485,Demand!$B$2:$B$4481,O485,Demand!$C$2:$C$4481,P485)</f>
        <v>1</v>
      </c>
      <c r="R485" s="33">
        <f>IF(Q485=1,SUMIFS(Demand!$E$2:$E$4481,Demand!$A$2:$A$4481,B485,Demand!$B$2:$B$4481,O485,Demand!$C$2:$C$4481,P485),"")</f>
        <v>11</v>
      </c>
      <c r="S485" s="33">
        <f>INDEX(Stores!$G$2:$G$21,MATCH(B485,Stores!$A$2:$A$21,0))</f>
        <v>25</v>
      </c>
      <c r="T485" s="34">
        <f>IF(R485="","",R485/S485)</f>
        <v>0.44</v>
      </c>
      <c r="U485" s="34">
        <f>IF(E485=1,T485,"")</f>
        <v>0.44</v>
      </c>
      <c r="V485" s="34">
        <f>IF(AND(E485=1,L485=0),T485,"")</f>
        <v>0.44</v>
      </c>
      <c r="W485" s="33">
        <f>IF(U485="","",IF(U485&lt;=Breakdowns!$C$5,1,IF(U485&lt;=Breakdowns!$C$6,2,IF(U485&lt;=Breakdowns!$C$7,3,4))))</f>
        <v>1</v>
      </c>
      <c r="X485" s="33">
        <f>IF(V485="","",IF(V485&lt;=Breakdowns!$D$5,1,IF(V485&lt;=Breakdowns!$D$6,2,IF(V485&lt;=Breakdowns!$D$7,3,4))))</f>
        <v>1</v>
      </c>
      <c r="Y485" s="34">
        <f>INDEX(Stores!$F$2:$F$21,MATCH(B485,Stores!$A$2:$A$21,0))</f>
        <v>5.51</v>
      </c>
      <c r="Z485" s="33">
        <f>IF(Y485&gt;Store_Summary!$M$2,1,0)</f>
        <v>1</v>
      </c>
      <c r="AA485" s="33">
        <f>INDEX(Stores!$C$2:$C$21,MATCH(B485,Stores!$A$2:$A$21,0))</f>
        <v>792</v>
      </c>
      <c r="AB485" s="33">
        <f>IF(AA485&lt;180,1,0)</f>
        <v>0</v>
      </c>
      <c r="AC485" s="32" t="str">
        <f>IF(Orders!D482="","",INDEX(Riders!$C$2:$C$81,MATCH(Orders!D482,Riders!$A$2:$A$81,0)))</f>
        <v>EV scooter</v>
      </c>
      <c r="AD485" s="33">
        <f>IF(Orders!D482="","",INDEX(Riders!$D$2:$D$81,MATCH(Orders!D482,Riders!$A$2:$A$81,0)))</f>
        <v>45</v>
      </c>
      <c r="AE485" s="33">
        <f>IF(Orders!D482="","",IF(INDEX(Riders!$B$2:$B$81,MATCH(Orders!D482,Riders!$A$2:$A$81,0))=B485,1,0))</f>
        <v>1</v>
      </c>
      <c r="AF485" s="34">
        <f>IF(E485=1,Orders!L482,"")</f>
        <v>1.05</v>
      </c>
      <c r="AG485" s="34">
        <f>IF(E485=1,Orders!P482,"")</f>
        <v>8.9</v>
      </c>
      <c r="AH485" s="34">
        <f>IF(E485=1,Orders!Q482,"")</f>
        <v>8.5</v>
      </c>
      <c r="AI485" s="34">
        <f>IF(E485=1,Orders!M482,"")</f>
        <v>3.4</v>
      </c>
      <c r="AJ485" s="34">
        <f>IF(E485=1,Orders!N482,"")</f>
        <v>2.7</v>
      </c>
      <c r="AK485" s="34">
        <f>IF(E485=1,Orders!O482,"")</f>
        <v>2.4</v>
      </c>
      <c r="AL485" s="33">
        <f>IF(E485=1,IF(ROUND(ABS(AI485+AJ485+AK485-AH485),6)&lt;=0.1,1,0),"")</f>
        <v>1</v>
      </c>
      <c r="AM485" s="36">
        <f>IF(E485=1,AI485/AH485,"")</f>
        <v>0.4</v>
      </c>
      <c r="AN485" s="36">
        <f>IF(E485=1,AJ485/AH485,"")</f>
        <v>0.317647058823529</v>
      </c>
      <c r="AO485" s="36">
        <f>IF(E485=1,AK485/AH485,"")</f>
        <v>0.282352941176471</v>
      </c>
      <c r="AP485" s="34">
        <f>IF(E485=1,Orders!Y482,"")</f>
        <v>0.66</v>
      </c>
      <c r="AQ485" s="33">
        <f>IF(Orders!X482,1,0)</f>
        <v>0</v>
      </c>
      <c r="AR485" s="34" t="str">
        <f>IF(AND(E485=1,L485=1),AJ485,"")</f>
        <v/>
      </c>
      <c r="AS485" s="34">
        <f>IF(AND(E485=1,L485=0),AJ485,"")</f>
        <v>2.7</v>
      </c>
      <c r="AT485" s="34" t="str">
        <f>IF(AND(E485=1,L485=1),AI485,"")</f>
        <v/>
      </c>
      <c r="AU485" s="34">
        <f>IF(AND(E485=1,L485=0),AI485,"")</f>
        <v>3.4</v>
      </c>
      <c r="AV485" s="34" t="str">
        <f>IF(AND(E485=1,L485=1),AG485,"")</f>
        <v/>
      </c>
      <c r="AW485" s="34">
        <f>IF(AND(E485=1,L485=0),AG485,"")</f>
        <v>8.9</v>
      </c>
      <c r="AX485" s="34" t="str">
        <f>IF(AND(E485=1,L485=1),AH485,"")</f>
        <v/>
      </c>
      <c r="AY485" s="34">
        <f>IF(AND(E485=1,L485=0),AH485,"")</f>
        <v>8.5</v>
      </c>
      <c r="AZ485" s="34" t="str">
        <f>IF(G485=1,F485,"")</f>
        <v/>
      </c>
      <c r="BA485" s="34" t="str">
        <f>IF(AND(G485=1,L485=1),F485,"")</f>
        <v/>
      </c>
      <c r="BB485" s="34" t="str">
        <f>IF(AND(G485=1,L485=0),F485,"")</f>
        <v/>
      </c>
      <c r="BC485" s="33">
        <f>IF(E485=1,IF(Orders!R482&gt;3,1,0),"")</f>
        <v>0</v>
      </c>
      <c r="BD485" s="33">
        <f>IF(E485=1,IF(Orders!R482&gt;7,1,0),"")</f>
        <v>0</v>
      </c>
      <c r="BE485" s="32" t="str">
        <f>IF(E485=1,IF(Orders!L482&lt;=1.5,"Up to 1.5 km",IF(Orders!L482&lt;=3,"1.5–3 km","Over 3 km")),"")</f>
        <v>Up to 1.5 km</v>
      </c>
      <c r="BF485" s="33">
        <f>IF(E485=1,IF(ABS((Orders!G482-Orders!F482)*1440-Orders!R482)&lt;0.06,1,0),"")</f>
        <v>1</v>
      </c>
      <c r="BG485" s="33">
        <f>IF(ABS((Orders!F482-Orders!E482)*1440-Orders!P482)&lt;0.06,1,0)</f>
        <v>1</v>
      </c>
      <c r="BH485" s="33">
        <f>IF(E485=1,IF(IF(Orders!S482,1,0)=1-G485,1,0),"")</f>
        <v>1</v>
      </c>
      <c r="BI485" s="32" t="str">
        <f>INDEX(Stores!$B$2:$B$21,MATCH(B485,Stores!$A$2:$A$21,0))</f>
        <v>Bengaluru</v>
      </c>
    </row>
    <row r="486">
      <c r="A486" s="32" t="str">
        <f>Orders!A483</f>
        <v>O00482</v>
      </c>
      <c r="B486" s="32" t="str">
        <f>Orders!C483</f>
        <v>S018</v>
      </c>
      <c r="C486" s="32" t="str">
        <f>Orders!B483</f>
        <v>C0118</v>
      </c>
      <c r="D486" s="32" t="str">
        <f>Orders!H483</f>
        <v>Delivered</v>
      </c>
      <c r="E486" s="33">
        <f>IF(Orders!H483="Delivered",1,0)</f>
        <v>1</v>
      </c>
      <c r="F486" s="34">
        <f>IF(E486=1,Orders!R483,"")</f>
        <v>-0.7</v>
      </c>
      <c r="G486" s="33">
        <f>IF(E486=1,IF(Orders!R483&gt;0,1,0),"")</f>
        <v>0</v>
      </c>
      <c r="H486" s="33">
        <f>IF(E486=1,IF(Orders!R483&gt;5,1,0),"")</f>
        <v>0</v>
      </c>
      <c r="I486" s="32" t="str">
        <f>IF(E486=1,"",IF(OR(Orders!T483="Rider unavailable",Orders!T483="Item unavailable"),"Company-caused","Unresolved"))</f>
        <v/>
      </c>
      <c r="J486" s="33">
        <f>IF(OR(E486=1,I486="Company-caused"),1,0)</f>
        <v>1</v>
      </c>
      <c r="K486" s="32" t="str">
        <f>IF(E486=0,IF(I486="Company-caused",IF(Orders!T483="Rider unavailable","C1 Rider unavailable","C2 Item unavailable"),"Outside root: unresolved"),IF(G486=0,"A On time",IF(H486=1,IF(L486=1,"B2a Severe, peak","B2b Severe, off-peak"),IF(L486=1,"B1a Slight, peak","B1b Slight, off-peak"))))</f>
        <v>A On time</v>
      </c>
      <c r="L486" s="33">
        <f>IF(AND(Orders!U483&gt;=19,Orders!U483&lt;22),1,0)</f>
        <v>0</v>
      </c>
      <c r="M486" s="33">
        <f>IF(L486=IF(Orders!V483,1,0),1,0)</f>
        <v>1</v>
      </c>
      <c r="N486" s="32" t="str">
        <f>IF(Orders!W483="","None",Orders!W483)</f>
        <v>Light</v>
      </c>
      <c r="O486" s="35">
        <f>INT(Orders!E483)</f>
        <v>46272.0</v>
      </c>
      <c r="P486" s="33">
        <f>Orders!U483</f>
        <v>10</v>
      </c>
      <c r="Q486" s="33">
        <f>COUNTIFS(Demand!$A$2:$A$4481,B486,Demand!$B$2:$B$4481,O486,Demand!$C$2:$C$4481,P486)</f>
        <v>1</v>
      </c>
      <c r="R486" s="33">
        <f>IF(Q486=1,SUMIFS(Demand!$E$2:$E$4481,Demand!$A$2:$A$4481,B486,Demand!$B$2:$B$4481,O486,Demand!$C$2:$C$4481,P486),"")</f>
        <v>16</v>
      </c>
      <c r="S486" s="33">
        <f>INDEX(Stores!$G$2:$G$21,MATCH(B486,Stores!$A$2:$A$21,0))</f>
        <v>20</v>
      </c>
      <c r="T486" s="34">
        <f>IF(R486="","",R486/S486)</f>
        <v>0.8</v>
      </c>
      <c r="U486" s="34">
        <f>IF(E486=1,T486,"")</f>
        <v>0.8</v>
      </c>
      <c r="V486" s="34">
        <f>IF(AND(E486=1,L486=0),T486,"")</f>
        <v>0.8</v>
      </c>
      <c r="W486" s="33">
        <f>IF(U486="","",IF(U486&lt;=Breakdowns!$C$5,1,IF(U486&lt;=Breakdowns!$C$6,2,IF(U486&lt;=Breakdowns!$C$7,3,4))))</f>
        <v>2</v>
      </c>
      <c r="X486" s="33">
        <f>IF(V486="","",IF(V486&lt;=Breakdowns!$D$5,1,IF(V486&lt;=Breakdowns!$D$6,2,IF(V486&lt;=Breakdowns!$D$7,3,4))))</f>
        <v>2</v>
      </c>
      <c r="Y486" s="34">
        <f>INDEX(Stores!$F$2:$F$21,MATCH(B486,Stores!$A$2:$A$21,0))</f>
        <v>5.31</v>
      </c>
      <c r="Z486" s="33">
        <f>IF(Y486&gt;Store_Summary!$M$2,1,0)</f>
        <v>1</v>
      </c>
      <c r="AA486" s="33">
        <f>INDEX(Stores!$C$2:$C$21,MATCH(B486,Stores!$A$2:$A$21,0))</f>
        <v>214</v>
      </c>
      <c r="AB486" s="33">
        <f>IF(AA486&lt;180,1,0)</f>
        <v>0</v>
      </c>
      <c r="AC486" s="32" t="str">
        <f>IF(Orders!D483="","",INDEX(Riders!$C$2:$C$81,MATCH(Orders!D483,Riders!$A$2:$A$81,0)))</f>
        <v>EV scooter</v>
      </c>
      <c r="AD486" s="33">
        <f>IF(Orders!D483="","",INDEX(Riders!$D$2:$D$81,MATCH(Orders!D483,Riders!$A$2:$A$81,0)))</f>
        <v>45</v>
      </c>
      <c r="AE486" s="33">
        <f>IF(Orders!D483="","",IF(INDEX(Riders!$B$2:$B$81,MATCH(Orders!D483,Riders!$A$2:$A$81,0))=B486,1,0))</f>
        <v>0</v>
      </c>
      <c r="AF486" s="34">
        <f>IF(E486=1,Orders!L483,"")</f>
        <v>3.7</v>
      </c>
      <c r="AG486" s="34">
        <f>IF(E486=1,Orders!P483,"")</f>
        <v>8.3</v>
      </c>
      <c r="AH486" s="34">
        <f>IF(E486=1,Orders!Q483,"")</f>
        <v>7.6</v>
      </c>
      <c r="AI486" s="34">
        <f>IF(E486=1,Orders!M483,"")</f>
        <v>2.1</v>
      </c>
      <c r="AJ486" s="34">
        <f>IF(E486=1,Orders!N483,"")</f>
        <v>2.2</v>
      </c>
      <c r="AK486" s="34">
        <f>IF(E486=1,Orders!O483,"")</f>
        <v>3.3</v>
      </c>
      <c r="AL486" s="33">
        <f>IF(E486=1,IF(ROUND(ABS(AI486+AJ486+AK486-AH486),6)&lt;=0.1,1,0),"")</f>
        <v>1</v>
      </c>
      <c r="AM486" s="36">
        <f>IF(E486=1,AI486/AH486,"")</f>
        <v>0.276315789473684</v>
      </c>
      <c r="AN486" s="36">
        <f>IF(E486=1,AJ486/AH486,"")</f>
        <v>0.289473684210526</v>
      </c>
      <c r="AO486" s="36">
        <f>IF(E486=1,AK486/AH486,"")</f>
        <v>0.43421052631579</v>
      </c>
      <c r="AP486" s="34">
        <f>IF(E486=1,Orders!Y483,"")</f>
        <v>0.3</v>
      </c>
      <c r="AQ486" s="33">
        <f>IF(Orders!X483,1,0)</f>
        <v>0</v>
      </c>
      <c r="AR486" s="34" t="str">
        <f>IF(AND(E486=1,L486=1),AJ486,"")</f>
        <v/>
      </c>
      <c r="AS486" s="34">
        <f>IF(AND(E486=1,L486=0),AJ486,"")</f>
        <v>2.2</v>
      </c>
      <c r="AT486" s="34" t="str">
        <f>IF(AND(E486=1,L486=1),AI486,"")</f>
        <v/>
      </c>
      <c r="AU486" s="34">
        <f>IF(AND(E486=1,L486=0),AI486,"")</f>
        <v>2.1</v>
      </c>
      <c r="AV486" s="34" t="str">
        <f>IF(AND(E486=1,L486=1),AG486,"")</f>
        <v/>
      </c>
      <c r="AW486" s="34">
        <f>IF(AND(E486=1,L486=0),AG486,"")</f>
        <v>8.3</v>
      </c>
      <c r="AX486" s="34" t="str">
        <f>IF(AND(E486=1,L486=1),AH486,"")</f>
        <v/>
      </c>
      <c r="AY486" s="34">
        <f>IF(AND(E486=1,L486=0),AH486,"")</f>
        <v>7.6</v>
      </c>
      <c r="AZ486" s="34" t="str">
        <f>IF(G486=1,F486,"")</f>
        <v/>
      </c>
      <c r="BA486" s="34" t="str">
        <f>IF(AND(G486=1,L486=1),F486,"")</f>
        <v/>
      </c>
      <c r="BB486" s="34" t="str">
        <f>IF(AND(G486=1,L486=0),F486,"")</f>
        <v/>
      </c>
      <c r="BC486" s="33">
        <f>IF(E486=1,IF(Orders!R483&gt;3,1,0),"")</f>
        <v>0</v>
      </c>
      <c r="BD486" s="33">
        <f>IF(E486=1,IF(Orders!R483&gt;7,1,0),"")</f>
        <v>0</v>
      </c>
      <c r="BE486" s="32" t="str">
        <f>IF(E486=1,IF(Orders!L483&lt;=1.5,"Up to 1.5 km",IF(Orders!L483&lt;=3,"1.5–3 km","Over 3 km")),"")</f>
        <v>Over 3 km</v>
      </c>
      <c r="BF486" s="33">
        <f>IF(E486=1,IF(ABS((Orders!G483-Orders!F483)*1440-Orders!R483)&lt;0.06,1,0),"")</f>
        <v>1</v>
      </c>
      <c r="BG486" s="33">
        <f>IF(ABS((Orders!F483-Orders!E483)*1440-Orders!P483)&lt;0.06,1,0)</f>
        <v>1</v>
      </c>
      <c r="BH486" s="33">
        <f>IF(E486=1,IF(IF(Orders!S483,1,0)=1-G486,1,0),"")</f>
        <v>1</v>
      </c>
      <c r="BI486" s="32" t="str">
        <f>INDEX(Stores!$B$2:$B$21,MATCH(B486,Stores!$A$2:$A$21,0))</f>
        <v>Mumbai</v>
      </c>
    </row>
    <row r="487">
      <c r="A487" s="32" t="str">
        <f>Orders!A484</f>
        <v>O00483</v>
      </c>
      <c r="B487" s="32" t="str">
        <f>Orders!C484</f>
        <v>S009</v>
      </c>
      <c r="C487" s="32" t="str">
        <f>Orders!B484</f>
        <v>C0005</v>
      </c>
      <c r="D487" s="32" t="str">
        <f>Orders!H484</f>
        <v>Delivered</v>
      </c>
      <c r="E487" s="33">
        <f>IF(Orders!H484="Delivered",1,0)</f>
        <v>1</v>
      </c>
      <c r="F487" s="34">
        <f>IF(E487=1,Orders!R484,"")</f>
        <v>6</v>
      </c>
      <c r="G487" s="33">
        <f>IF(E487=1,IF(Orders!R484&gt;0,1,0),"")</f>
        <v>1</v>
      </c>
      <c r="H487" s="33">
        <f>IF(E487=1,IF(Orders!R484&gt;5,1,0),"")</f>
        <v>1</v>
      </c>
      <c r="I487" s="32" t="str">
        <f>IF(E487=1,"",IF(OR(Orders!T484="Rider unavailable",Orders!T484="Item unavailable"),"Company-caused","Unresolved"))</f>
        <v/>
      </c>
      <c r="J487" s="33">
        <f>IF(OR(E487=1,I487="Company-caused"),1,0)</f>
        <v>1</v>
      </c>
      <c r="K487" s="32" t="str">
        <f>IF(E487=0,IF(I487="Company-caused",IF(Orders!T484="Rider unavailable","C1 Rider unavailable","C2 Item unavailable"),"Outside root: unresolved"),IF(G487=0,"A On time",IF(H487=1,IF(L487=1,"B2a Severe, peak","B2b Severe, off-peak"),IF(L487=1,"B1a Slight, peak","B1b Slight, off-peak"))))</f>
        <v>B2b Severe, off-peak</v>
      </c>
      <c r="L487" s="33">
        <f>IF(AND(Orders!U484&gt;=19,Orders!U484&lt;22),1,0)</f>
        <v>0</v>
      </c>
      <c r="M487" s="33">
        <f>IF(L487=IF(Orders!V484,1,0),1,0)</f>
        <v>1</v>
      </c>
      <c r="N487" s="32" t="str">
        <f>IF(Orders!W484="","None",Orders!W484)</f>
        <v>Heavy</v>
      </c>
      <c r="O487" s="35">
        <f>INT(Orders!E484)</f>
        <v>46275.0</v>
      </c>
      <c r="P487" s="33">
        <f>Orders!U484</f>
        <v>9</v>
      </c>
      <c r="Q487" s="33">
        <f>COUNTIFS(Demand!$A$2:$A$4481,B487,Demand!$B$2:$B$4481,O487,Demand!$C$2:$C$4481,P487)</f>
        <v>1</v>
      </c>
      <c r="R487" s="33">
        <f>IF(Q487=1,SUMIFS(Demand!$E$2:$E$4481,Demand!$A$2:$A$4481,B487,Demand!$B$2:$B$4481,O487,Demand!$C$2:$C$4481,P487),"")</f>
        <v>15</v>
      </c>
      <c r="S487" s="33">
        <f>INDEX(Stores!$G$2:$G$21,MATCH(B487,Stores!$A$2:$A$21,0))</f>
        <v>29</v>
      </c>
      <c r="T487" s="34">
        <f>IF(R487="","",R487/S487)</f>
        <v>0.517241379310345</v>
      </c>
      <c r="U487" s="34">
        <f>IF(E487=1,T487,"")</f>
        <v>0.517241379310345</v>
      </c>
      <c r="V487" s="34">
        <f>IF(AND(E487=1,L487=0),T487,"")</f>
        <v>0.517241379310345</v>
      </c>
      <c r="W487" s="33">
        <f>IF(U487="","",IF(U487&lt;=Breakdowns!$C$5,1,IF(U487&lt;=Breakdowns!$C$6,2,IF(U487&lt;=Breakdowns!$C$7,3,4))))</f>
        <v>1</v>
      </c>
      <c r="X487" s="33">
        <f>IF(V487="","",IF(V487&lt;=Breakdowns!$D$5,1,IF(V487&lt;=Breakdowns!$D$6,2,IF(V487&lt;=Breakdowns!$D$7,3,4))))</f>
        <v>1</v>
      </c>
      <c r="Y487" s="34">
        <f>INDEX(Stores!$F$2:$F$21,MATCH(B487,Stores!$A$2:$A$21,0))</f>
        <v>2.66</v>
      </c>
      <c r="Z487" s="33">
        <f>IF(Y487&gt;Store_Summary!$M$2,1,0)</f>
        <v>0</v>
      </c>
      <c r="AA487" s="33">
        <f>INDEX(Stores!$C$2:$C$21,MATCH(B487,Stores!$A$2:$A$21,0))</f>
        <v>645</v>
      </c>
      <c r="AB487" s="33">
        <f>IF(AA487&lt;180,1,0)</f>
        <v>0</v>
      </c>
      <c r="AC487" s="32" t="str">
        <f>IF(Orders!D484="","",INDEX(Riders!$C$2:$C$81,MATCH(Orders!D484,Riders!$A$2:$A$81,0)))</f>
        <v>Petrol scooter</v>
      </c>
      <c r="AD487" s="33">
        <f>IF(Orders!D484="","",INDEX(Riders!$D$2:$D$81,MATCH(Orders!D484,Riders!$A$2:$A$81,0)))</f>
        <v>13</v>
      </c>
      <c r="AE487" s="33">
        <f>IF(Orders!D484="","",IF(INDEX(Riders!$B$2:$B$81,MATCH(Orders!D484,Riders!$A$2:$A$81,0))=B487,1,0))</f>
        <v>0</v>
      </c>
      <c r="AF487" s="34">
        <f>IF(E487=1,Orders!L484,"")</f>
        <v>0.77</v>
      </c>
      <c r="AG487" s="34">
        <f>IF(E487=1,Orders!P484,"")</f>
        <v>9.5</v>
      </c>
      <c r="AH487" s="34">
        <f>IF(E487=1,Orders!Q484,"")</f>
        <v>15.5</v>
      </c>
      <c r="AI487" s="34">
        <f>IF(E487=1,Orders!M484,"")</f>
        <v>2.5</v>
      </c>
      <c r="AJ487" s="34">
        <f>IF(E487=1,Orders!N484,"")</f>
        <v>8</v>
      </c>
      <c r="AK487" s="34">
        <f>IF(E487=1,Orders!O484,"")</f>
        <v>5</v>
      </c>
      <c r="AL487" s="33">
        <f>IF(E487=1,IF(ROUND(ABS(AI487+AJ487+AK487-AH487),6)&lt;=0.1,1,0),"")</f>
        <v>1</v>
      </c>
      <c r="AM487" s="36">
        <f>IF(E487=1,AI487/AH487,"")</f>
        <v>0.161290322580645</v>
      </c>
      <c r="AN487" s="36">
        <f>IF(E487=1,AJ487/AH487,"")</f>
        <v>0.516129032258065</v>
      </c>
      <c r="AO487" s="36">
        <f>IF(E487=1,AK487/AH487,"")</f>
        <v>0.32258064516129</v>
      </c>
      <c r="AP487" s="34">
        <f>IF(E487=1,Orders!Y484,"")</f>
        <v>0.43</v>
      </c>
      <c r="AQ487" s="33">
        <f>IF(Orders!X484,1,0)</f>
        <v>0</v>
      </c>
      <c r="AR487" s="34" t="str">
        <f>IF(AND(E487=1,L487=1),AJ487,"")</f>
        <v/>
      </c>
      <c r="AS487" s="34">
        <f>IF(AND(E487=1,L487=0),AJ487,"")</f>
        <v>8</v>
      </c>
      <c r="AT487" s="34" t="str">
        <f>IF(AND(E487=1,L487=1),AI487,"")</f>
        <v/>
      </c>
      <c r="AU487" s="34">
        <f>IF(AND(E487=1,L487=0),AI487,"")</f>
        <v>2.5</v>
      </c>
      <c r="AV487" s="34" t="str">
        <f>IF(AND(E487=1,L487=1),AG487,"")</f>
        <v/>
      </c>
      <c r="AW487" s="34">
        <f>IF(AND(E487=1,L487=0),AG487,"")</f>
        <v>9.5</v>
      </c>
      <c r="AX487" s="34" t="str">
        <f>IF(AND(E487=1,L487=1),AH487,"")</f>
        <v/>
      </c>
      <c r="AY487" s="34">
        <f>IF(AND(E487=1,L487=0),AH487,"")</f>
        <v>15.5</v>
      </c>
      <c r="AZ487" s="34">
        <f>IF(G487=1,F487,"")</f>
        <v>6</v>
      </c>
      <c r="BA487" s="34" t="str">
        <f>IF(AND(G487=1,L487=1),F487,"")</f>
        <v/>
      </c>
      <c r="BB487" s="34">
        <f>IF(AND(G487=1,L487=0),F487,"")</f>
        <v>6</v>
      </c>
      <c r="BC487" s="33">
        <f>IF(E487=1,IF(Orders!R484&gt;3,1,0),"")</f>
        <v>1</v>
      </c>
      <c r="BD487" s="33">
        <f>IF(E487=1,IF(Orders!R484&gt;7,1,0),"")</f>
        <v>0</v>
      </c>
      <c r="BE487" s="32" t="str">
        <f>IF(E487=1,IF(Orders!L484&lt;=1.5,"Up to 1.5 km",IF(Orders!L484&lt;=3,"1.5–3 km","Over 3 km")),"")</f>
        <v>Up to 1.5 km</v>
      </c>
      <c r="BF487" s="33">
        <f>IF(E487=1,IF(ABS((Orders!G484-Orders!F484)*1440-Orders!R484)&lt;0.06,1,0),"")</f>
        <v>1</v>
      </c>
      <c r="BG487" s="33">
        <f>IF(ABS((Orders!F484-Orders!E484)*1440-Orders!P484)&lt;0.06,1,0)</f>
        <v>1</v>
      </c>
      <c r="BH487" s="33">
        <f>IF(E487=1,IF(IF(Orders!S484,1,0)=1-G487,1,0),"")</f>
        <v>1</v>
      </c>
      <c r="BI487" s="32" t="str">
        <f>INDEX(Stores!$B$2:$B$21,MATCH(B487,Stores!$A$2:$A$21,0))</f>
        <v>Pune</v>
      </c>
    </row>
    <row r="488">
      <c r="A488" s="32" t="str">
        <f>Orders!A485</f>
        <v>O00484</v>
      </c>
      <c r="B488" s="32" t="str">
        <f>Orders!C485</f>
        <v>S004</v>
      </c>
      <c r="C488" s="32" t="str">
        <f>Orders!B485</f>
        <v>C0219</v>
      </c>
      <c r="D488" s="32" t="str">
        <f>Orders!H485</f>
        <v>Delivered</v>
      </c>
      <c r="E488" s="33">
        <f>IF(Orders!H485="Delivered",1,0)</f>
        <v>1</v>
      </c>
      <c r="F488" s="34">
        <f>IF(E488=1,Orders!R485,"")</f>
        <v>-0.9</v>
      </c>
      <c r="G488" s="33">
        <f>IF(E488=1,IF(Orders!R485&gt;0,1,0),"")</f>
        <v>0</v>
      </c>
      <c r="H488" s="33">
        <f>IF(E488=1,IF(Orders!R485&gt;5,1,0),"")</f>
        <v>0</v>
      </c>
      <c r="I488" s="32" t="str">
        <f>IF(E488=1,"",IF(OR(Orders!T485="Rider unavailable",Orders!T485="Item unavailable"),"Company-caused","Unresolved"))</f>
        <v/>
      </c>
      <c r="J488" s="33">
        <f>IF(OR(E488=1,I488="Company-caused"),1,0)</f>
        <v>1</v>
      </c>
      <c r="K488" s="32" t="str">
        <f>IF(E488=0,IF(I488="Company-caused",IF(Orders!T485="Rider unavailable","C1 Rider unavailable","C2 Item unavailable"),"Outside root: unresolved"),IF(G488=0,"A On time",IF(H488=1,IF(L488=1,"B2a Severe, peak","B2b Severe, off-peak"),IF(L488=1,"B1a Slight, peak","B1b Slight, off-peak"))))</f>
        <v>A On time</v>
      </c>
      <c r="L488" s="33">
        <f>IF(AND(Orders!U485&gt;=19,Orders!U485&lt;22),1,0)</f>
        <v>0</v>
      </c>
      <c r="M488" s="33">
        <f>IF(L488=IF(Orders!V485,1,0),1,0)</f>
        <v>1</v>
      </c>
      <c r="N488" s="32" t="str">
        <f>IF(Orders!W485="","None",Orders!W485)</f>
        <v>None</v>
      </c>
      <c r="O488" s="35">
        <f>INT(Orders!E485)</f>
        <v>46269.0</v>
      </c>
      <c r="P488" s="33">
        <f>Orders!U485</f>
        <v>10</v>
      </c>
      <c r="Q488" s="33">
        <f>COUNTIFS(Demand!$A$2:$A$4481,B488,Demand!$B$2:$B$4481,O488,Demand!$C$2:$C$4481,P488)</f>
        <v>1</v>
      </c>
      <c r="R488" s="33">
        <f>IF(Q488=1,SUMIFS(Demand!$E$2:$E$4481,Demand!$A$2:$A$4481,B488,Demand!$B$2:$B$4481,O488,Demand!$C$2:$C$4481,P488),"")</f>
        <v>29</v>
      </c>
      <c r="S488" s="33">
        <f>INDEX(Stores!$G$2:$G$21,MATCH(B488,Stores!$A$2:$A$21,0))</f>
        <v>42</v>
      </c>
      <c r="T488" s="34">
        <f>IF(R488="","",R488/S488)</f>
        <v>0.690476190476191</v>
      </c>
      <c r="U488" s="34">
        <f>IF(E488=1,T488,"")</f>
        <v>0.690476190476191</v>
      </c>
      <c r="V488" s="34">
        <f>IF(AND(E488=1,L488=0),T488,"")</f>
        <v>0.690476190476191</v>
      </c>
      <c r="W488" s="33">
        <f>IF(U488="","",IF(U488&lt;=Breakdowns!$C$5,1,IF(U488&lt;=Breakdowns!$C$6,2,IF(U488&lt;=Breakdowns!$C$7,3,4))))</f>
        <v>1</v>
      </c>
      <c r="X488" s="33">
        <f>IF(V488="","",IF(V488&lt;=Breakdowns!$D$5,1,IF(V488&lt;=Breakdowns!$D$6,2,IF(V488&lt;=Breakdowns!$D$7,3,4))))</f>
        <v>1</v>
      </c>
      <c r="Y488" s="34">
        <f>INDEX(Stores!$F$2:$F$21,MATCH(B488,Stores!$A$2:$A$21,0))</f>
        <v>2.19</v>
      </c>
      <c r="Z488" s="33">
        <f>IF(Y488&gt;Store_Summary!$M$2,1,0)</f>
        <v>0</v>
      </c>
      <c r="AA488" s="33">
        <f>INDEX(Stores!$C$2:$C$21,MATCH(B488,Stores!$A$2:$A$21,0))</f>
        <v>850</v>
      </c>
      <c r="AB488" s="33">
        <f>IF(AA488&lt;180,1,0)</f>
        <v>0</v>
      </c>
      <c r="AC488" s="32" t="str">
        <f>IF(Orders!D485="","",INDEX(Riders!$C$2:$C$81,MATCH(Orders!D485,Riders!$A$2:$A$81,0)))</f>
        <v>Bicycle</v>
      </c>
      <c r="AD488" s="33">
        <f>IF(Orders!D485="","",INDEX(Riders!$D$2:$D$81,MATCH(Orders!D485,Riders!$A$2:$A$81,0)))</f>
        <v>2</v>
      </c>
      <c r="AE488" s="33">
        <f>IF(Orders!D485="","",IF(INDEX(Riders!$B$2:$B$81,MATCH(Orders!D485,Riders!$A$2:$A$81,0))=B488,1,0))</f>
        <v>0</v>
      </c>
      <c r="AF488" s="34">
        <f>IF(E488=1,Orders!L485,"")</f>
        <v>1</v>
      </c>
      <c r="AG488" s="34">
        <f>IF(E488=1,Orders!P485,"")</f>
        <v>10.2</v>
      </c>
      <c r="AH488" s="34">
        <f>IF(E488=1,Orders!Q485,"")</f>
        <v>9.3</v>
      </c>
      <c r="AI488" s="34">
        <f>IF(E488=1,Orders!M485,"")</f>
        <v>1.2</v>
      </c>
      <c r="AJ488" s="34">
        <f>IF(E488=1,Orders!N485,"")</f>
        <v>5.8</v>
      </c>
      <c r="AK488" s="34">
        <f>IF(E488=1,Orders!O485,"")</f>
        <v>2.3</v>
      </c>
      <c r="AL488" s="33">
        <f>IF(E488=1,IF(ROUND(ABS(AI488+AJ488+AK488-AH488),6)&lt;=0.1,1,0),"")</f>
        <v>1</v>
      </c>
      <c r="AM488" s="36">
        <f>IF(E488=1,AI488/AH488,"")</f>
        <v>0.129032258064516</v>
      </c>
      <c r="AN488" s="36">
        <f>IF(E488=1,AJ488/AH488,"")</f>
        <v>0.623655913978495</v>
      </c>
      <c r="AO488" s="36">
        <f>IF(E488=1,AK488/AH488,"")</f>
        <v>0.247311827956989</v>
      </c>
      <c r="AP488" s="34">
        <f>IF(E488=1,Orders!Y485,"")</f>
        <v>0.4</v>
      </c>
      <c r="AQ488" s="33">
        <f>IF(Orders!X485,1,0)</f>
        <v>0</v>
      </c>
      <c r="AR488" s="34" t="str">
        <f>IF(AND(E488=1,L488=1),AJ488,"")</f>
        <v/>
      </c>
      <c r="AS488" s="34">
        <f>IF(AND(E488=1,L488=0),AJ488,"")</f>
        <v>5.8</v>
      </c>
      <c r="AT488" s="34" t="str">
        <f>IF(AND(E488=1,L488=1),AI488,"")</f>
        <v/>
      </c>
      <c r="AU488" s="34">
        <f>IF(AND(E488=1,L488=0),AI488,"")</f>
        <v>1.2</v>
      </c>
      <c r="AV488" s="34" t="str">
        <f>IF(AND(E488=1,L488=1),AG488,"")</f>
        <v/>
      </c>
      <c r="AW488" s="34">
        <f>IF(AND(E488=1,L488=0),AG488,"")</f>
        <v>10.2</v>
      </c>
      <c r="AX488" s="34" t="str">
        <f>IF(AND(E488=1,L488=1),AH488,"")</f>
        <v/>
      </c>
      <c r="AY488" s="34">
        <f>IF(AND(E488=1,L488=0),AH488,"")</f>
        <v>9.3</v>
      </c>
      <c r="AZ488" s="34" t="str">
        <f>IF(G488=1,F488,"")</f>
        <v/>
      </c>
      <c r="BA488" s="34" t="str">
        <f>IF(AND(G488=1,L488=1),F488,"")</f>
        <v/>
      </c>
      <c r="BB488" s="34" t="str">
        <f>IF(AND(G488=1,L488=0),F488,"")</f>
        <v/>
      </c>
      <c r="BC488" s="33">
        <f>IF(E488=1,IF(Orders!R485&gt;3,1,0),"")</f>
        <v>0</v>
      </c>
      <c r="BD488" s="33">
        <f>IF(E488=1,IF(Orders!R485&gt;7,1,0),"")</f>
        <v>0</v>
      </c>
      <c r="BE488" s="32" t="str">
        <f>IF(E488=1,IF(Orders!L485&lt;=1.5,"Up to 1.5 km",IF(Orders!L485&lt;=3,"1.5–3 km","Over 3 km")),"")</f>
        <v>Up to 1.5 km</v>
      </c>
      <c r="BF488" s="33">
        <f>IF(E488=1,IF(ABS((Orders!G485-Orders!F485)*1440-Orders!R485)&lt;0.06,1,0),"")</f>
        <v>1</v>
      </c>
      <c r="BG488" s="33">
        <f>IF(ABS((Orders!F485-Orders!E485)*1440-Orders!P485)&lt;0.06,1,0)</f>
        <v>1</v>
      </c>
      <c r="BH488" s="33">
        <f>IF(E488=1,IF(IF(Orders!S485,1,0)=1-G488,1,0),"")</f>
        <v>1</v>
      </c>
      <c r="BI488" s="32" t="str">
        <f>INDEX(Stores!$B$2:$B$21,MATCH(B488,Stores!$A$2:$A$21,0))</f>
        <v>Pune</v>
      </c>
    </row>
    <row r="489">
      <c r="A489" s="32" t="str">
        <f>Orders!A486</f>
        <v>O00485</v>
      </c>
      <c r="B489" s="32" t="str">
        <f>Orders!C486</f>
        <v>S020</v>
      </c>
      <c r="C489" s="32" t="str">
        <f>Orders!B486</f>
        <v>C0212</v>
      </c>
      <c r="D489" s="32" t="str">
        <f>Orders!H486</f>
        <v>Delivered</v>
      </c>
      <c r="E489" s="33">
        <f>IF(Orders!H486="Delivered",1,0)</f>
        <v>1</v>
      </c>
      <c r="F489" s="34">
        <f>IF(E489=1,Orders!R486,"")</f>
        <v>2.4</v>
      </c>
      <c r="G489" s="33">
        <f>IF(E489=1,IF(Orders!R486&gt;0,1,0),"")</f>
        <v>1</v>
      </c>
      <c r="H489" s="33">
        <f>IF(E489=1,IF(Orders!R486&gt;5,1,0),"")</f>
        <v>0</v>
      </c>
      <c r="I489" s="32" t="str">
        <f>IF(E489=1,"",IF(OR(Orders!T486="Rider unavailable",Orders!T486="Item unavailable"),"Company-caused","Unresolved"))</f>
        <v/>
      </c>
      <c r="J489" s="33">
        <f>IF(OR(E489=1,I489="Company-caused"),1,0)</f>
        <v>1</v>
      </c>
      <c r="K489" s="32" t="str">
        <f>IF(E489=0,IF(I489="Company-caused",IF(Orders!T486="Rider unavailable","C1 Rider unavailable","C2 Item unavailable"),"Outside root: unresolved"),IF(G489=0,"A On time",IF(H489=1,IF(L489=1,"B2a Severe, peak","B2b Severe, off-peak"),IF(L489=1,"B1a Slight, peak","B1b Slight, off-peak"))))</f>
        <v>B1b Slight, off-peak</v>
      </c>
      <c r="L489" s="33">
        <f>IF(AND(Orders!U486&gt;=19,Orders!U486&lt;22),1,0)</f>
        <v>0</v>
      </c>
      <c r="M489" s="33">
        <f>IF(L489=IF(Orders!V486,1,0),1,0)</f>
        <v>1</v>
      </c>
      <c r="N489" s="32" t="str">
        <f>IF(Orders!W486="","None",Orders!W486)</f>
        <v>Light</v>
      </c>
      <c r="O489" s="35">
        <f>INT(Orders!E486)</f>
        <v>46274.0</v>
      </c>
      <c r="P489" s="33">
        <f>Orders!U486</f>
        <v>12</v>
      </c>
      <c r="Q489" s="33">
        <f>COUNTIFS(Demand!$A$2:$A$4481,B489,Demand!$B$2:$B$4481,O489,Demand!$C$2:$C$4481,P489)</f>
        <v>1</v>
      </c>
      <c r="R489" s="33">
        <f>IF(Q489=1,SUMIFS(Demand!$E$2:$E$4481,Demand!$A$2:$A$4481,B489,Demand!$B$2:$B$4481,O489,Demand!$C$2:$C$4481,P489),"")</f>
        <v>12</v>
      </c>
      <c r="S489" s="33">
        <f>INDEX(Stores!$G$2:$G$21,MATCH(B489,Stores!$A$2:$A$21,0))</f>
        <v>15</v>
      </c>
      <c r="T489" s="34">
        <f>IF(R489="","",R489/S489)</f>
        <v>0.8</v>
      </c>
      <c r="U489" s="34">
        <f>IF(E489=1,T489,"")</f>
        <v>0.8</v>
      </c>
      <c r="V489" s="34">
        <f>IF(AND(E489=1,L489=0),T489,"")</f>
        <v>0.8</v>
      </c>
      <c r="W489" s="33">
        <f>IF(U489="","",IF(U489&lt;=Breakdowns!$C$5,1,IF(U489&lt;=Breakdowns!$C$6,2,IF(U489&lt;=Breakdowns!$C$7,3,4))))</f>
        <v>2</v>
      </c>
      <c r="X489" s="33">
        <f>IF(V489="","",IF(V489&lt;=Breakdowns!$D$5,1,IF(V489&lt;=Breakdowns!$D$6,2,IF(V489&lt;=Breakdowns!$D$7,3,4))))</f>
        <v>2</v>
      </c>
      <c r="Y489" s="34">
        <f>INDEX(Stores!$F$2:$F$21,MATCH(B489,Stores!$A$2:$A$21,0))</f>
        <v>5.74</v>
      </c>
      <c r="Z489" s="33">
        <f>IF(Y489&gt;Store_Summary!$M$2,1,0)</f>
        <v>1</v>
      </c>
      <c r="AA489" s="33">
        <f>INDEX(Stores!$C$2:$C$21,MATCH(B489,Stores!$A$2:$A$21,0))</f>
        <v>647</v>
      </c>
      <c r="AB489" s="33">
        <f>IF(AA489&lt;180,1,0)</f>
        <v>0</v>
      </c>
      <c r="AC489" s="32" t="str">
        <f>IF(Orders!D486="","",INDEX(Riders!$C$2:$C$81,MATCH(Orders!D486,Riders!$A$2:$A$81,0)))</f>
        <v>EV scooter</v>
      </c>
      <c r="AD489" s="33">
        <f>IF(Orders!D486="","",INDEX(Riders!$D$2:$D$81,MATCH(Orders!D486,Riders!$A$2:$A$81,0)))</f>
        <v>2</v>
      </c>
      <c r="AE489" s="33">
        <f>IF(Orders!D486="","",IF(INDEX(Riders!$B$2:$B$81,MATCH(Orders!D486,Riders!$A$2:$A$81,0))=B489,1,0))</f>
        <v>0</v>
      </c>
      <c r="AF489" s="34">
        <f>IF(E489=1,Orders!L486,"")</f>
        <v>2.08</v>
      </c>
      <c r="AG489" s="34">
        <f>IF(E489=1,Orders!P486,"")</f>
        <v>10.7</v>
      </c>
      <c r="AH489" s="34">
        <f>IF(E489=1,Orders!Q486,"")</f>
        <v>13.1</v>
      </c>
      <c r="AI489" s="34">
        <f>IF(E489=1,Orders!M486,"")</f>
        <v>6.4</v>
      </c>
      <c r="AJ489" s="34">
        <f>IF(E489=1,Orders!N486,"")</f>
        <v>0.7</v>
      </c>
      <c r="AK489" s="34">
        <f>IF(E489=1,Orders!O486,"")</f>
        <v>6</v>
      </c>
      <c r="AL489" s="33">
        <f>IF(E489=1,IF(ROUND(ABS(AI489+AJ489+AK489-AH489),6)&lt;=0.1,1,0),"")</f>
        <v>1</v>
      </c>
      <c r="AM489" s="36">
        <f>IF(E489=1,AI489/AH489,"")</f>
        <v>0.488549618320611</v>
      </c>
      <c r="AN489" s="36">
        <f>IF(E489=1,AJ489/AH489,"")</f>
        <v>0.0534351145038168</v>
      </c>
      <c r="AO489" s="36">
        <f>IF(E489=1,AK489/AH489,"")</f>
        <v>0.458015267175573</v>
      </c>
      <c r="AP489" s="34">
        <f>IF(E489=1,Orders!Y486,"")</f>
        <v>0.42</v>
      </c>
      <c r="AQ489" s="33">
        <f>IF(Orders!X486,1,0)</f>
        <v>0</v>
      </c>
      <c r="AR489" s="34" t="str">
        <f>IF(AND(E489=1,L489=1),AJ489,"")</f>
        <v/>
      </c>
      <c r="AS489" s="34">
        <f>IF(AND(E489=1,L489=0),AJ489,"")</f>
        <v>0.7</v>
      </c>
      <c r="AT489" s="34" t="str">
        <f>IF(AND(E489=1,L489=1),AI489,"")</f>
        <v/>
      </c>
      <c r="AU489" s="34">
        <f>IF(AND(E489=1,L489=0),AI489,"")</f>
        <v>6.4</v>
      </c>
      <c r="AV489" s="34" t="str">
        <f>IF(AND(E489=1,L489=1),AG489,"")</f>
        <v/>
      </c>
      <c r="AW489" s="34">
        <f>IF(AND(E489=1,L489=0),AG489,"")</f>
        <v>10.7</v>
      </c>
      <c r="AX489" s="34" t="str">
        <f>IF(AND(E489=1,L489=1),AH489,"")</f>
        <v/>
      </c>
      <c r="AY489" s="34">
        <f>IF(AND(E489=1,L489=0),AH489,"")</f>
        <v>13.1</v>
      </c>
      <c r="AZ489" s="34">
        <f>IF(G489=1,F489,"")</f>
        <v>2.4</v>
      </c>
      <c r="BA489" s="34" t="str">
        <f>IF(AND(G489=1,L489=1),F489,"")</f>
        <v/>
      </c>
      <c r="BB489" s="34">
        <f>IF(AND(G489=1,L489=0),F489,"")</f>
        <v>2.4</v>
      </c>
      <c r="BC489" s="33">
        <f>IF(E489=1,IF(Orders!R486&gt;3,1,0),"")</f>
        <v>0</v>
      </c>
      <c r="BD489" s="33">
        <f>IF(E489=1,IF(Orders!R486&gt;7,1,0),"")</f>
        <v>0</v>
      </c>
      <c r="BE489" s="32" t="str">
        <f>IF(E489=1,IF(Orders!L486&lt;=1.5,"Up to 1.5 km",IF(Orders!L486&lt;=3,"1.5–3 km","Over 3 km")),"")</f>
        <v>1.5–3 km</v>
      </c>
      <c r="BF489" s="33">
        <f>IF(E489=1,IF(ABS((Orders!G486-Orders!F486)*1440-Orders!R486)&lt;0.06,1,0),"")</f>
        <v>1</v>
      </c>
      <c r="BG489" s="33">
        <f>IF(ABS((Orders!F486-Orders!E486)*1440-Orders!P486)&lt;0.06,1,0)</f>
        <v>1</v>
      </c>
      <c r="BH489" s="33">
        <f>IF(E489=1,IF(IF(Orders!S486,1,0)=1-G489,1,0),"")</f>
        <v>1</v>
      </c>
      <c r="BI489" s="32" t="str">
        <f>INDEX(Stores!$B$2:$B$21,MATCH(B489,Stores!$A$2:$A$21,0))</f>
        <v>Delhi</v>
      </c>
    </row>
    <row r="490">
      <c r="A490" s="32" t="str">
        <f>Orders!A487</f>
        <v>O00486</v>
      </c>
      <c r="B490" s="32" t="str">
        <f>Orders!C487</f>
        <v>S011</v>
      </c>
      <c r="C490" s="32" t="str">
        <f>Orders!B487</f>
        <v>C0096</v>
      </c>
      <c r="D490" s="32" t="str">
        <f>Orders!H487</f>
        <v>Delivered</v>
      </c>
      <c r="E490" s="33">
        <f>IF(Orders!H487="Delivered",1,0)</f>
        <v>1</v>
      </c>
      <c r="F490" s="34">
        <f>IF(E490=1,Orders!R487,"")</f>
        <v>-0.4</v>
      </c>
      <c r="G490" s="33">
        <f>IF(E490=1,IF(Orders!R487&gt;0,1,0),"")</f>
        <v>0</v>
      </c>
      <c r="H490" s="33">
        <f>IF(E490=1,IF(Orders!R487&gt;5,1,0),"")</f>
        <v>0</v>
      </c>
      <c r="I490" s="32" t="str">
        <f>IF(E490=1,"",IF(OR(Orders!T487="Rider unavailable",Orders!T487="Item unavailable"),"Company-caused","Unresolved"))</f>
        <v/>
      </c>
      <c r="J490" s="33">
        <f>IF(OR(E490=1,I490="Company-caused"),1,0)</f>
        <v>1</v>
      </c>
      <c r="K490" s="32" t="str">
        <f>IF(E490=0,IF(I490="Company-caused",IF(Orders!T487="Rider unavailable","C1 Rider unavailable","C2 Item unavailable"),"Outside root: unresolved"),IF(G490=0,"A On time",IF(H490=1,IF(L490=1,"B2a Severe, peak","B2b Severe, off-peak"),IF(L490=1,"B1a Slight, peak","B1b Slight, off-peak"))))</f>
        <v>A On time</v>
      </c>
      <c r="L490" s="33">
        <f>IF(AND(Orders!U487&gt;=19,Orders!U487&lt;22),1,0)</f>
        <v>0</v>
      </c>
      <c r="M490" s="33">
        <f>IF(L490=IF(Orders!V487,1,0),1,0)</f>
        <v>1</v>
      </c>
      <c r="N490" s="32" t="str">
        <f>IF(Orders!W487="","None",Orders!W487)</f>
        <v>Light</v>
      </c>
      <c r="O490" s="35">
        <f>INT(Orders!E487)</f>
        <v>46269.0</v>
      </c>
      <c r="P490" s="33">
        <f>Orders!U487</f>
        <v>14</v>
      </c>
      <c r="Q490" s="33">
        <f>COUNTIFS(Demand!$A$2:$A$4481,B490,Demand!$B$2:$B$4481,O490,Demand!$C$2:$C$4481,P490)</f>
        <v>1</v>
      </c>
      <c r="R490" s="33">
        <f>IF(Q490=1,SUMIFS(Demand!$E$2:$E$4481,Demand!$A$2:$A$4481,B490,Demand!$B$2:$B$4481,O490,Demand!$C$2:$C$4481,P490),"")</f>
        <v>24</v>
      </c>
      <c r="S490" s="33">
        <f>INDEX(Stores!$G$2:$G$21,MATCH(B490,Stores!$A$2:$A$21,0))</f>
        <v>31</v>
      </c>
      <c r="T490" s="34">
        <f>IF(R490="","",R490/S490)</f>
        <v>0.774193548387097</v>
      </c>
      <c r="U490" s="34">
        <f>IF(E490=1,T490,"")</f>
        <v>0.774193548387097</v>
      </c>
      <c r="V490" s="34">
        <f>IF(AND(E490=1,L490=0),T490,"")</f>
        <v>0.774193548387097</v>
      </c>
      <c r="W490" s="33">
        <f>IF(U490="","",IF(U490&lt;=Breakdowns!$C$5,1,IF(U490&lt;=Breakdowns!$C$6,2,IF(U490&lt;=Breakdowns!$C$7,3,4))))</f>
        <v>1</v>
      </c>
      <c r="X490" s="33">
        <f>IF(V490="","",IF(V490&lt;=Breakdowns!$D$5,1,IF(V490&lt;=Breakdowns!$D$6,2,IF(V490&lt;=Breakdowns!$D$7,3,4))))</f>
        <v>2</v>
      </c>
      <c r="Y490" s="34">
        <f>INDEX(Stores!$F$2:$F$21,MATCH(B490,Stores!$A$2:$A$21,0))</f>
        <v>5.67</v>
      </c>
      <c r="Z490" s="33">
        <f>IF(Y490&gt;Store_Summary!$M$2,1,0)</f>
        <v>1</v>
      </c>
      <c r="AA490" s="33">
        <f>INDEX(Stores!$C$2:$C$21,MATCH(B490,Stores!$A$2:$A$21,0))</f>
        <v>732</v>
      </c>
      <c r="AB490" s="33">
        <f>IF(AA490&lt;180,1,0)</f>
        <v>0</v>
      </c>
      <c r="AC490" s="32" t="str">
        <f>IF(Orders!D487="","",INDEX(Riders!$C$2:$C$81,MATCH(Orders!D487,Riders!$A$2:$A$81,0)))</f>
        <v>EV scooter</v>
      </c>
      <c r="AD490" s="33">
        <f>IF(Orders!D487="","",INDEX(Riders!$D$2:$D$81,MATCH(Orders!D487,Riders!$A$2:$A$81,0)))</f>
        <v>41</v>
      </c>
      <c r="AE490" s="33">
        <f>IF(Orders!D487="","",IF(INDEX(Riders!$B$2:$B$81,MATCH(Orders!D487,Riders!$A$2:$A$81,0))=B490,1,0))</f>
        <v>0</v>
      </c>
      <c r="AF490" s="34">
        <f>IF(E490=1,Orders!L487,"")</f>
        <v>1.96</v>
      </c>
      <c r="AG490" s="34">
        <f>IF(E490=1,Orders!P487,"")</f>
        <v>10.7</v>
      </c>
      <c r="AH490" s="34">
        <f>IF(E490=1,Orders!Q487,"")</f>
        <v>10.3</v>
      </c>
      <c r="AI490" s="34">
        <f>IF(E490=1,Orders!M487,"")</f>
        <v>2.9</v>
      </c>
      <c r="AJ490" s="34">
        <f>IF(E490=1,Orders!N487,"")</f>
        <v>4.5</v>
      </c>
      <c r="AK490" s="34">
        <f>IF(E490=1,Orders!O487,"")</f>
        <v>2.9</v>
      </c>
      <c r="AL490" s="33">
        <f>IF(E490=1,IF(ROUND(ABS(AI490+AJ490+AK490-AH490),6)&lt;=0.1,1,0),"")</f>
        <v>1</v>
      </c>
      <c r="AM490" s="36">
        <f>IF(E490=1,AI490/AH490,"")</f>
        <v>0.281553398058252</v>
      </c>
      <c r="AN490" s="36">
        <f>IF(E490=1,AJ490/AH490,"")</f>
        <v>0.436893203883495</v>
      </c>
      <c r="AO490" s="36">
        <f>IF(E490=1,AK490/AH490,"")</f>
        <v>0.281553398058252</v>
      </c>
      <c r="AP490" s="34">
        <f>IF(E490=1,Orders!Y487,"")</f>
        <v>0.18</v>
      </c>
      <c r="AQ490" s="33">
        <f>IF(Orders!X487,1,0)</f>
        <v>0</v>
      </c>
      <c r="AR490" s="34" t="str">
        <f>IF(AND(E490=1,L490=1),AJ490,"")</f>
        <v/>
      </c>
      <c r="AS490" s="34">
        <f>IF(AND(E490=1,L490=0),AJ490,"")</f>
        <v>4.5</v>
      </c>
      <c r="AT490" s="34" t="str">
        <f>IF(AND(E490=1,L490=1),AI490,"")</f>
        <v/>
      </c>
      <c r="AU490" s="34">
        <f>IF(AND(E490=1,L490=0),AI490,"")</f>
        <v>2.9</v>
      </c>
      <c r="AV490" s="34" t="str">
        <f>IF(AND(E490=1,L490=1),AG490,"")</f>
        <v/>
      </c>
      <c r="AW490" s="34">
        <f>IF(AND(E490=1,L490=0),AG490,"")</f>
        <v>10.7</v>
      </c>
      <c r="AX490" s="34" t="str">
        <f>IF(AND(E490=1,L490=1),AH490,"")</f>
        <v/>
      </c>
      <c r="AY490" s="34">
        <f>IF(AND(E490=1,L490=0),AH490,"")</f>
        <v>10.3</v>
      </c>
      <c r="AZ490" s="34" t="str">
        <f>IF(G490=1,F490,"")</f>
        <v/>
      </c>
      <c r="BA490" s="34" t="str">
        <f>IF(AND(G490=1,L490=1),F490,"")</f>
        <v/>
      </c>
      <c r="BB490" s="34" t="str">
        <f>IF(AND(G490=1,L490=0),F490,"")</f>
        <v/>
      </c>
      <c r="BC490" s="33">
        <f>IF(E490=1,IF(Orders!R487&gt;3,1,0),"")</f>
        <v>0</v>
      </c>
      <c r="BD490" s="33">
        <f>IF(E490=1,IF(Orders!R487&gt;7,1,0),"")</f>
        <v>0</v>
      </c>
      <c r="BE490" s="32" t="str">
        <f>IF(E490=1,IF(Orders!L487&lt;=1.5,"Up to 1.5 km",IF(Orders!L487&lt;=3,"1.5–3 km","Over 3 km")),"")</f>
        <v>1.5–3 km</v>
      </c>
      <c r="BF490" s="33">
        <f>IF(E490=1,IF(ABS((Orders!G487-Orders!F487)*1440-Orders!R487)&lt;0.06,1,0),"")</f>
        <v>1</v>
      </c>
      <c r="BG490" s="33">
        <f>IF(ABS((Orders!F487-Orders!E487)*1440-Orders!P487)&lt;0.06,1,0)</f>
        <v>1</v>
      </c>
      <c r="BH490" s="33">
        <f>IF(E490=1,IF(IF(Orders!S487,1,0)=1-G490,1,0),"")</f>
        <v>1</v>
      </c>
      <c r="BI490" s="32" t="str">
        <f>INDEX(Stores!$B$2:$B$21,MATCH(B490,Stores!$A$2:$A$21,0))</f>
        <v>Bengaluru</v>
      </c>
    </row>
    <row r="491">
      <c r="A491" s="32" t="str">
        <f>Orders!A488</f>
        <v>O00487</v>
      </c>
      <c r="B491" s="32" t="str">
        <f>Orders!C488</f>
        <v>S002</v>
      </c>
      <c r="C491" s="32" t="str">
        <f>Orders!B488</f>
        <v>C0146</v>
      </c>
      <c r="D491" s="32" t="str">
        <f>Orders!H488</f>
        <v>Delivered</v>
      </c>
      <c r="E491" s="33">
        <f>IF(Orders!H488="Delivered",1,0)</f>
        <v>1</v>
      </c>
      <c r="F491" s="34">
        <f>IF(E491=1,Orders!R488,"")</f>
        <v>-0.3</v>
      </c>
      <c r="G491" s="33">
        <f>IF(E491=1,IF(Orders!R488&gt;0,1,0),"")</f>
        <v>0</v>
      </c>
      <c r="H491" s="33">
        <f>IF(E491=1,IF(Orders!R488&gt;5,1,0),"")</f>
        <v>0</v>
      </c>
      <c r="I491" s="32" t="str">
        <f>IF(E491=1,"",IF(OR(Orders!T488="Rider unavailable",Orders!T488="Item unavailable"),"Company-caused","Unresolved"))</f>
        <v/>
      </c>
      <c r="J491" s="33">
        <f>IF(OR(E491=1,I491="Company-caused"),1,0)</f>
        <v>1</v>
      </c>
      <c r="K491" s="32" t="str">
        <f>IF(E491=0,IF(I491="Company-caused",IF(Orders!T488="Rider unavailable","C1 Rider unavailable","C2 Item unavailable"),"Outside root: unresolved"),IF(G491=0,"A On time",IF(H491=1,IF(L491=1,"B2a Severe, peak","B2b Severe, off-peak"),IF(L491=1,"B1a Slight, peak","B1b Slight, off-peak"))))</f>
        <v>A On time</v>
      </c>
      <c r="L491" s="33">
        <f>IF(AND(Orders!U488&gt;=19,Orders!U488&lt;22),1,0)</f>
        <v>1</v>
      </c>
      <c r="M491" s="33">
        <f>IF(L491=IF(Orders!V488,1,0),1,0)</f>
        <v>1</v>
      </c>
      <c r="N491" s="32" t="str">
        <f>IF(Orders!W488="","None",Orders!W488)</f>
        <v>Heavy</v>
      </c>
      <c r="O491" s="35">
        <f>INT(Orders!E488)</f>
        <v>46266.0</v>
      </c>
      <c r="P491" s="33">
        <f>Orders!U488</f>
        <v>21</v>
      </c>
      <c r="Q491" s="33">
        <f>COUNTIFS(Demand!$A$2:$A$4481,B491,Demand!$B$2:$B$4481,O491,Demand!$C$2:$C$4481,P491)</f>
        <v>1</v>
      </c>
      <c r="R491" s="33">
        <f>IF(Q491=1,SUMIFS(Demand!$E$2:$E$4481,Demand!$A$2:$A$4481,B491,Demand!$B$2:$B$4481,O491,Demand!$C$2:$C$4481,P491),"")</f>
        <v>39</v>
      </c>
      <c r="S491" s="33">
        <f>INDEX(Stores!$G$2:$G$21,MATCH(B491,Stores!$A$2:$A$21,0))</f>
        <v>33</v>
      </c>
      <c r="T491" s="34">
        <f>IF(R491="","",R491/S491)</f>
        <v>1.18181818181818</v>
      </c>
      <c r="U491" s="34">
        <f>IF(E491=1,T491,"")</f>
        <v>1.18181818181818</v>
      </c>
      <c r="V491" s="34" t="str">
        <f>IF(AND(E491=1,L491=0),T491,"")</f>
        <v/>
      </c>
      <c r="W491" s="33">
        <f>IF(U491="","",IF(U491&lt;=Breakdowns!$C$5,1,IF(U491&lt;=Breakdowns!$C$6,2,IF(U491&lt;=Breakdowns!$C$7,3,4))))</f>
        <v>3</v>
      </c>
      <c r="X491" s="33" t="str">
        <f>IF(V491="","",IF(V491&lt;=Breakdowns!$D$5,1,IF(V491&lt;=Breakdowns!$D$6,2,IF(V491&lt;=Breakdowns!$D$7,3,4))))</f>
        <v/>
      </c>
      <c r="Y491" s="34">
        <f>INDEX(Stores!$F$2:$F$21,MATCH(B491,Stores!$A$2:$A$21,0))</f>
        <v>2.39</v>
      </c>
      <c r="Z491" s="33">
        <f>IF(Y491&gt;Store_Summary!$M$2,1,0)</f>
        <v>0</v>
      </c>
      <c r="AA491" s="33">
        <f>INDEX(Stores!$C$2:$C$21,MATCH(B491,Stores!$A$2:$A$21,0))</f>
        <v>470</v>
      </c>
      <c r="AB491" s="33">
        <f>IF(AA491&lt;180,1,0)</f>
        <v>0</v>
      </c>
      <c r="AC491" s="32" t="str">
        <f>IF(Orders!D488="","",INDEX(Riders!$C$2:$C$81,MATCH(Orders!D488,Riders!$A$2:$A$81,0)))</f>
        <v>Petrol scooter</v>
      </c>
      <c r="AD491" s="33">
        <f>IF(Orders!D488="","",INDEX(Riders!$D$2:$D$81,MATCH(Orders!D488,Riders!$A$2:$A$81,0)))</f>
        <v>42</v>
      </c>
      <c r="AE491" s="33">
        <f>IF(Orders!D488="","",IF(INDEX(Riders!$B$2:$B$81,MATCH(Orders!D488,Riders!$A$2:$A$81,0))=B491,1,0))</f>
        <v>0</v>
      </c>
      <c r="AF491" s="34">
        <f>IF(E491=1,Orders!L488,"")</f>
        <v>2.51</v>
      </c>
      <c r="AG491" s="34">
        <f>IF(E491=1,Orders!P488,"")</f>
        <v>7</v>
      </c>
      <c r="AH491" s="34">
        <f>IF(E491=1,Orders!Q488,"")</f>
        <v>6.7</v>
      </c>
      <c r="AI491" s="34">
        <f>IF(E491=1,Orders!M488,"")</f>
        <v>0.5</v>
      </c>
      <c r="AJ491" s="34">
        <f>IF(E491=1,Orders!N488,"")</f>
        <v>2.5</v>
      </c>
      <c r="AK491" s="34">
        <f>IF(E491=1,Orders!O488,"")</f>
        <v>3.7</v>
      </c>
      <c r="AL491" s="33">
        <f>IF(E491=1,IF(ROUND(ABS(AI491+AJ491+AK491-AH491),6)&lt;=0.1,1,0),"")</f>
        <v>1</v>
      </c>
      <c r="AM491" s="36">
        <f>IF(E491=1,AI491/AH491,"")</f>
        <v>0.0746268656716418</v>
      </c>
      <c r="AN491" s="36">
        <f>IF(E491=1,AJ491/AH491,"")</f>
        <v>0.373134328358209</v>
      </c>
      <c r="AO491" s="36">
        <f>IF(E491=1,AK491/AH491,"")</f>
        <v>0.552238805970149</v>
      </c>
      <c r="AP491" s="34">
        <f>IF(E491=1,Orders!Y488,"")</f>
        <v>0.76</v>
      </c>
      <c r="AQ491" s="33">
        <f>IF(Orders!X488,1,0)</f>
        <v>0</v>
      </c>
      <c r="AR491" s="34">
        <f>IF(AND(E491=1,L491=1),AJ491,"")</f>
        <v>2.5</v>
      </c>
      <c r="AS491" s="34" t="str">
        <f>IF(AND(E491=1,L491=0),AJ491,"")</f>
        <v/>
      </c>
      <c r="AT491" s="34">
        <f>IF(AND(E491=1,L491=1),AI491,"")</f>
        <v>0.5</v>
      </c>
      <c r="AU491" s="34" t="str">
        <f>IF(AND(E491=1,L491=0),AI491,"")</f>
        <v/>
      </c>
      <c r="AV491" s="34">
        <f>IF(AND(E491=1,L491=1),AG491,"")</f>
        <v>7</v>
      </c>
      <c r="AW491" s="34" t="str">
        <f>IF(AND(E491=1,L491=0),AG491,"")</f>
        <v/>
      </c>
      <c r="AX491" s="34">
        <f>IF(AND(E491=1,L491=1),AH491,"")</f>
        <v>6.7</v>
      </c>
      <c r="AY491" s="34" t="str">
        <f>IF(AND(E491=1,L491=0),AH491,"")</f>
        <v/>
      </c>
      <c r="AZ491" s="34" t="str">
        <f>IF(G491=1,F491,"")</f>
        <v/>
      </c>
      <c r="BA491" s="34" t="str">
        <f>IF(AND(G491=1,L491=1),F491,"")</f>
        <v/>
      </c>
      <c r="BB491" s="34" t="str">
        <f>IF(AND(G491=1,L491=0),F491,"")</f>
        <v/>
      </c>
      <c r="BC491" s="33">
        <f>IF(E491=1,IF(Orders!R488&gt;3,1,0),"")</f>
        <v>0</v>
      </c>
      <c r="BD491" s="33">
        <f>IF(E491=1,IF(Orders!R488&gt;7,1,0),"")</f>
        <v>0</v>
      </c>
      <c r="BE491" s="32" t="str">
        <f>IF(E491=1,IF(Orders!L488&lt;=1.5,"Up to 1.5 km",IF(Orders!L488&lt;=3,"1.5–3 km","Over 3 km")),"")</f>
        <v>1.5–3 km</v>
      </c>
      <c r="BF491" s="33">
        <f>IF(E491=1,IF(ABS((Orders!G488-Orders!F488)*1440-Orders!R488)&lt;0.06,1,0),"")</f>
        <v>1</v>
      </c>
      <c r="BG491" s="33">
        <f>IF(ABS((Orders!F488-Orders!E488)*1440-Orders!P488)&lt;0.06,1,0)</f>
        <v>1</v>
      </c>
      <c r="BH491" s="33">
        <f>IF(E491=1,IF(IF(Orders!S488,1,0)=1-G491,1,0),"")</f>
        <v>1</v>
      </c>
      <c r="BI491" s="32" t="str">
        <f>INDEX(Stores!$B$2:$B$21,MATCH(B491,Stores!$A$2:$A$21,0))</f>
        <v>Hyderabad</v>
      </c>
    </row>
    <row r="492">
      <c r="A492" s="32" t="str">
        <f>Orders!A489</f>
        <v>O00488</v>
      </c>
      <c r="B492" s="32" t="str">
        <f>Orders!C489</f>
        <v>S005</v>
      </c>
      <c r="C492" s="32" t="str">
        <f>Orders!B489</f>
        <v>C0015</v>
      </c>
      <c r="D492" s="32" t="str">
        <f>Orders!H489</f>
        <v>Delivered</v>
      </c>
      <c r="E492" s="33">
        <f>IF(Orders!H489="Delivered",1,0)</f>
        <v>1</v>
      </c>
      <c r="F492" s="34">
        <f>IF(E492=1,Orders!R489,"")</f>
        <v>1.7</v>
      </c>
      <c r="G492" s="33">
        <f>IF(E492=1,IF(Orders!R489&gt;0,1,0),"")</f>
        <v>1</v>
      </c>
      <c r="H492" s="33">
        <f>IF(E492=1,IF(Orders!R489&gt;5,1,0),"")</f>
        <v>0</v>
      </c>
      <c r="I492" s="32" t="str">
        <f>IF(E492=1,"",IF(OR(Orders!T489="Rider unavailable",Orders!T489="Item unavailable"),"Company-caused","Unresolved"))</f>
        <v/>
      </c>
      <c r="J492" s="33">
        <f>IF(OR(E492=1,I492="Company-caused"),1,0)</f>
        <v>1</v>
      </c>
      <c r="K492" s="32" t="str">
        <f>IF(E492=0,IF(I492="Company-caused",IF(Orders!T489="Rider unavailable","C1 Rider unavailable","C2 Item unavailable"),"Outside root: unresolved"),IF(G492=0,"A On time",IF(H492=1,IF(L492=1,"B2a Severe, peak","B2b Severe, off-peak"),IF(L492=1,"B1a Slight, peak","B1b Slight, off-peak"))))</f>
        <v>B1b Slight, off-peak</v>
      </c>
      <c r="L492" s="33">
        <f>IF(AND(Orders!U489&gt;=19,Orders!U489&lt;22),1,0)</f>
        <v>0</v>
      </c>
      <c r="M492" s="33">
        <f>IF(L492=IF(Orders!V489,1,0),1,0)</f>
        <v>1</v>
      </c>
      <c r="N492" s="32" t="str">
        <f>IF(Orders!W489="","None",Orders!W489)</f>
        <v>Light</v>
      </c>
      <c r="O492" s="35">
        <f>INT(Orders!E489)</f>
        <v>46266.0</v>
      </c>
      <c r="P492" s="33">
        <f>Orders!U489</f>
        <v>13</v>
      </c>
      <c r="Q492" s="33">
        <f>COUNTIFS(Demand!$A$2:$A$4481,B492,Demand!$B$2:$B$4481,O492,Demand!$C$2:$C$4481,P492)</f>
        <v>1</v>
      </c>
      <c r="R492" s="33">
        <f>IF(Q492=1,SUMIFS(Demand!$E$2:$E$4481,Demand!$A$2:$A$4481,B492,Demand!$B$2:$B$4481,O492,Demand!$C$2:$C$4481,P492),"")</f>
        <v>22</v>
      </c>
      <c r="S492" s="33">
        <f>INDEX(Stores!$G$2:$G$21,MATCH(B492,Stores!$A$2:$A$21,0))</f>
        <v>14</v>
      </c>
      <c r="T492" s="34">
        <f>IF(R492="","",R492/S492)</f>
        <v>1.57142857142857</v>
      </c>
      <c r="U492" s="34">
        <f>IF(E492=1,T492,"")</f>
        <v>1.57142857142857</v>
      </c>
      <c r="V492" s="34">
        <f>IF(AND(E492=1,L492=0),T492,"")</f>
        <v>1.57142857142857</v>
      </c>
      <c r="W492" s="33">
        <f>IF(U492="","",IF(U492&lt;=Breakdowns!$C$5,1,IF(U492&lt;=Breakdowns!$C$6,2,IF(U492&lt;=Breakdowns!$C$7,3,4))))</f>
        <v>4</v>
      </c>
      <c r="X492" s="33">
        <f>IF(V492="","",IF(V492&lt;=Breakdowns!$D$5,1,IF(V492&lt;=Breakdowns!$D$6,2,IF(V492&lt;=Breakdowns!$D$7,3,4))))</f>
        <v>4</v>
      </c>
      <c r="Y492" s="34">
        <f>INDEX(Stores!$F$2:$F$21,MATCH(B492,Stores!$A$2:$A$21,0))</f>
        <v>4.89</v>
      </c>
      <c r="Z492" s="33">
        <f>IF(Y492&gt;Store_Summary!$M$2,1,0)</f>
        <v>0</v>
      </c>
      <c r="AA492" s="33">
        <f>INDEX(Stores!$C$2:$C$21,MATCH(B492,Stores!$A$2:$A$21,0))</f>
        <v>138</v>
      </c>
      <c r="AB492" s="33">
        <f>IF(AA492&lt;180,1,0)</f>
        <v>1</v>
      </c>
      <c r="AC492" s="32" t="str">
        <f>IF(Orders!D489="","",INDEX(Riders!$C$2:$C$81,MATCH(Orders!D489,Riders!$A$2:$A$81,0)))</f>
        <v>Petrol scooter</v>
      </c>
      <c r="AD492" s="33">
        <f>IF(Orders!D489="","",INDEX(Riders!$D$2:$D$81,MATCH(Orders!D489,Riders!$A$2:$A$81,0)))</f>
        <v>10</v>
      </c>
      <c r="AE492" s="33">
        <f>IF(Orders!D489="","",IF(INDEX(Riders!$B$2:$B$81,MATCH(Orders!D489,Riders!$A$2:$A$81,0))=B492,1,0))</f>
        <v>0</v>
      </c>
      <c r="AF492" s="34">
        <f>IF(E492=1,Orders!L489,"")</f>
        <v>0.73</v>
      </c>
      <c r="AG492" s="34">
        <f>IF(E492=1,Orders!P489,"")</f>
        <v>9.8</v>
      </c>
      <c r="AH492" s="34">
        <f>IF(E492=1,Orders!Q489,"")</f>
        <v>11.5</v>
      </c>
      <c r="AI492" s="34">
        <f>IF(E492=1,Orders!M489,"")</f>
        <v>5.4</v>
      </c>
      <c r="AJ492" s="34">
        <f>IF(E492=1,Orders!N489,"")</f>
        <v>2.5</v>
      </c>
      <c r="AK492" s="34">
        <f>IF(E492=1,Orders!O489,"")</f>
        <v>3.5</v>
      </c>
      <c r="AL492" s="33">
        <f>IF(E492=1,IF(ROUND(ABS(AI492+AJ492+AK492-AH492),6)&lt;=0.1,1,0),"")</f>
        <v>1</v>
      </c>
      <c r="AM492" s="36">
        <f>IF(E492=1,AI492/AH492,"")</f>
        <v>0.469565217391304</v>
      </c>
      <c r="AN492" s="36">
        <f>IF(E492=1,AJ492/AH492,"")</f>
        <v>0.217391304347826</v>
      </c>
      <c r="AO492" s="36">
        <f>IF(E492=1,AK492/AH492,"")</f>
        <v>0.304347826086957</v>
      </c>
      <c r="AP492" s="34">
        <f>IF(E492=1,Orders!Y489,"")</f>
        <v>0.42</v>
      </c>
      <c r="AQ492" s="33">
        <f>IF(Orders!X489,1,0)</f>
        <v>1</v>
      </c>
      <c r="AR492" s="34" t="str">
        <f>IF(AND(E492=1,L492=1),AJ492,"")</f>
        <v/>
      </c>
      <c r="AS492" s="34">
        <f>IF(AND(E492=1,L492=0),AJ492,"")</f>
        <v>2.5</v>
      </c>
      <c r="AT492" s="34" t="str">
        <f>IF(AND(E492=1,L492=1),AI492,"")</f>
        <v/>
      </c>
      <c r="AU492" s="34">
        <f>IF(AND(E492=1,L492=0),AI492,"")</f>
        <v>5.4</v>
      </c>
      <c r="AV492" s="34" t="str">
        <f>IF(AND(E492=1,L492=1),AG492,"")</f>
        <v/>
      </c>
      <c r="AW492" s="34">
        <f>IF(AND(E492=1,L492=0),AG492,"")</f>
        <v>9.8</v>
      </c>
      <c r="AX492" s="34" t="str">
        <f>IF(AND(E492=1,L492=1),AH492,"")</f>
        <v/>
      </c>
      <c r="AY492" s="34">
        <f>IF(AND(E492=1,L492=0),AH492,"")</f>
        <v>11.5</v>
      </c>
      <c r="AZ492" s="34">
        <f>IF(G492=1,F492,"")</f>
        <v>1.7</v>
      </c>
      <c r="BA492" s="34" t="str">
        <f>IF(AND(G492=1,L492=1),F492,"")</f>
        <v/>
      </c>
      <c r="BB492" s="34">
        <f>IF(AND(G492=1,L492=0),F492,"")</f>
        <v>1.7</v>
      </c>
      <c r="BC492" s="33">
        <f>IF(E492=1,IF(Orders!R489&gt;3,1,0),"")</f>
        <v>0</v>
      </c>
      <c r="BD492" s="33">
        <f>IF(E492=1,IF(Orders!R489&gt;7,1,0),"")</f>
        <v>0</v>
      </c>
      <c r="BE492" s="32" t="str">
        <f>IF(E492=1,IF(Orders!L489&lt;=1.5,"Up to 1.5 km",IF(Orders!L489&lt;=3,"1.5–3 km","Over 3 km")),"")</f>
        <v>Up to 1.5 km</v>
      </c>
      <c r="BF492" s="33">
        <f>IF(E492=1,IF(ABS((Orders!G489-Orders!F489)*1440-Orders!R489)&lt;0.06,1,0),"")</f>
        <v>1</v>
      </c>
      <c r="BG492" s="33">
        <f>IF(ABS((Orders!F489-Orders!E489)*1440-Orders!P489)&lt;0.06,1,0)</f>
        <v>1</v>
      </c>
      <c r="BH492" s="33">
        <f>IF(E492=1,IF(IF(Orders!S489,1,0)=1-G492,1,0),"")</f>
        <v>1</v>
      </c>
      <c r="BI492" s="32" t="str">
        <f>INDEX(Stores!$B$2:$B$21,MATCH(B492,Stores!$A$2:$A$21,0))</f>
        <v>Delhi</v>
      </c>
    </row>
    <row r="493">
      <c r="A493" s="32" t="str">
        <f>Orders!A490</f>
        <v>O00489</v>
      </c>
      <c r="B493" s="32" t="str">
        <f>Orders!C490</f>
        <v>S017</v>
      </c>
      <c r="C493" s="32" t="str">
        <f>Orders!B490</f>
        <v>C0166</v>
      </c>
      <c r="D493" s="32" t="str">
        <f>Orders!H490</f>
        <v>Delivered</v>
      </c>
      <c r="E493" s="33">
        <f>IF(Orders!H490="Delivered",1,0)</f>
        <v>1</v>
      </c>
      <c r="F493" s="34">
        <f>IF(E493=1,Orders!R490,"")</f>
        <v>-1</v>
      </c>
      <c r="G493" s="33">
        <f>IF(E493=1,IF(Orders!R490&gt;0,1,0),"")</f>
        <v>0</v>
      </c>
      <c r="H493" s="33">
        <f>IF(E493=1,IF(Orders!R490&gt;5,1,0),"")</f>
        <v>0</v>
      </c>
      <c r="I493" s="32" t="str">
        <f>IF(E493=1,"",IF(OR(Orders!T490="Rider unavailable",Orders!T490="Item unavailable"),"Company-caused","Unresolved"))</f>
        <v/>
      </c>
      <c r="J493" s="33">
        <f>IF(OR(E493=1,I493="Company-caused"),1,0)</f>
        <v>1</v>
      </c>
      <c r="K493" s="32" t="str">
        <f>IF(E493=0,IF(I493="Company-caused",IF(Orders!T490="Rider unavailable","C1 Rider unavailable","C2 Item unavailable"),"Outside root: unresolved"),IF(G493=0,"A On time",IF(H493=1,IF(L493=1,"B2a Severe, peak","B2b Severe, off-peak"),IF(L493=1,"B1a Slight, peak","B1b Slight, off-peak"))))</f>
        <v>A On time</v>
      </c>
      <c r="L493" s="33">
        <f>IF(AND(Orders!U490&gt;=19,Orders!U490&lt;22),1,0)</f>
        <v>0</v>
      </c>
      <c r="M493" s="33">
        <f>IF(L493=IF(Orders!V490,1,0),1,0)</f>
        <v>1</v>
      </c>
      <c r="N493" s="32" t="str">
        <f>IF(Orders!W490="","None",Orders!W490)</f>
        <v>None</v>
      </c>
      <c r="O493" s="35">
        <f>INT(Orders!E490)</f>
        <v>46277.0</v>
      </c>
      <c r="P493" s="33">
        <f>Orders!U490</f>
        <v>22</v>
      </c>
      <c r="Q493" s="33">
        <f>COUNTIFS(Demand!$A$2:$A$4481,B493,Demand!$B$2:$B$4481,O493,Demand!$C$2:$C$4481,P493)</f>
        <v>1</v>
      </c>
      <c r="R493" s="33">
        <f>IF(Q493=1,SUMIFS(Demand!$E$2:$E$4481,Demand!$A$2:$A$4481,B493,Demand!$B$2:$B$4481,O493,Demand!$C$2:$C$4481,P493),"")</f>
        <v>41</v>
      </c>
      <c r="S493" s="33">
        <f>INDEX(Stores!$G$2:$G$21,MATCH(B493,Stores!$A$2:$A$21,0))</f>
        <v>36</v>
      </c>
      <c r="T493" s="34">
        <f>IF(R493="","",R493/S493)</f>
        <v>1.13888888888889</v>
      </c>
      <c r="U493" s="34">
        <f>IF(E493=1,T493,"")</f>
        <v>1.13888888888889</v>
      </c>
      <c r="V493" s="34">
        <f>IF(AND(E493=1,L493=0),T493,"")</f>
        <v>1.13888888888889</v>
      </c>
      <c r="W493" s="33">
        <f>IF(U493="","",IF(U493&lt;=Breakdowns!$C$5,1,IF(U493&lt;=Breakdowns!$C$6,2,IF(U493&lt;=Breakdowns!$C$7,3,4))))</f>
        <v>3</v>
      </c>
      <c r="X493" s="33">
        <f>IF(V493="","",IF(V493&lt;=Breakdowns!$D$5,1,IF(V493&lt;=Breakdowns!$D$6,2,IF(V493&lt;=Breakdowns!$D$7,3,4))))</f>
        <v>4</v>
      </c>
      <c r="Y493" s="34">
        <f>INDEX(Stores!$F$2:$F$21,MATCH(B493,Stores!$A$2:$A$21,0))</f>
        <v>2.16</v>
      </c>
      <c r="Z493" s="33">
        <f>IF(Y493&gt;Store_Summary!$M$2,1,0)</f>
        <v>0</v>
      </c>
      <c r="AA493" s="33">
        <f>INDEX(Stores!$C$2:$C$21,MATCH(B493,Stores!$A$2:$A$21,0))</f>
        <v>47</v>
      </c>
      <c r="AB493" s="33">
        <f>IF(AA493&lt;180,1,0)</f>
        <v>1</v>
      </c>
      <c r="AC493" s="32" t="str">
        <f>IF(Orders!D490="","",INDEX(Riders!$C$2:$C$81,MATCH(Orders!D490,Riders!$A$2:$A$81,0)))</f>
        <v>Petrol scooter</v>
      </c>
      <c r="AD493" s="33">
        <f>IF(Orders!D490="","",INDEX(Riders!$D$2:$D$81,MATCH(Orders!D490,Riders!$A$2:$A$81,0)))</f>
        <v>42</v>
      </c>
      <c r="AE493" s="33">
        <f>IF(Orders!D490="","",IF(INDEX(Riders!$B$2:$B$81,MATCH(Orders!D490,Riders!$A$2:$A$81,0))=B493,1,0))</f>
        <v>0</v>
      </c>
      <c r="AF493" s="34">
        <f>IF(E493=1,Orders!L490,"")</f>
        <v>2.06</v>
      </c>
      <c r="AG493" s="34">
        <f>IF(E493=1,Orders!P490,"")</f>
        <v>11.2</v>
      </c>
      <c r="AH493" s="34">
        <f>IF(E493=1,Orders!Q490,"")</f>
        <v>10.2</v>
      </c>
      <c r="AI493" s="34">
        <f>IF(E493=1,Orders!M490,"")</f>
        <v>2.6</v>
      </c>
      <c r="AJ493" s="34">
        <f>IF(E493=1,Orders!N490,"")</f>
        <v>4</v>
      </c>
      <c r="AK493" s="34">
        <f>IF(E493=1,Orders!O490,"")</f>
        <v>3.6</v>
      </c>
      <c r="AL493" s="33">
        <f>IF(E493=1,IF(ROUND(ABS(AI493+AJ493+AK493-AH493),6)&lt;=0.1,1,0),"")</f>
        <v>1</v>
      </c>
      <c r="AM493" s="36">
        <f>IF(E493=1,AI493/AH493,"")</f>
        <v>0.254901960784314</v>
      </c>
      <c r="AN493" s="36">
        <f>IF(E493=1,AJ493/AH493,"")</f>
        <v>0.392156862745098</v>
      </c>
      <c r="AO493" s="36">
        <f>IF(E493=1,AK493/AH493,"")</f>
        <v>0.352941176470588</v>
      </c>
      <c r="AP493" s="34">
        <f>IF(E493=1,Orders!Y490,"")</f>
        <v>0.28</v>
      </c>
      <c r="AQ493" s="33">
        <f>IF(Orders!X490,1,0)</f>
        <v>0</v>
      </c>
      <c r="AR493" s="34" t="str">
        <f>IF(AND(E493=1,L493=1),AJ493,"")</f>
        <v/>
      </c>
      <c r="AS493" s="34">
        <f>IF(AND(E493=1,L493=0),AJ493,"")</f>
        <v>4</v>
      </c>
      <c r="AT493" s="34" t="str">
        <f>IF(AND(E493=1,L493=1),AI493,"")</f>
        <v/>
      </c>
      <c r="AU493" s="34">
        <f>IF(AND(E493=1,L493=0),AI493,"")</f>
        <v>2.6</v>
      </c>
      <c r="AV493" s="34" t="str">
        <f>IF(AND(E493=1,L493=1),AG493,"")</f>
        <v/>
      </c>
      <c r="AW493" s="34">
        <f>IF(AND(E493=1,L493=0),AG493,"")</f>
        <v>11.2</v>
      </c>
      <c r="AX493" s="34" t="str">
        <f>IF(AND(E493=1,L493=1),AH493,"")</f>
        <v/>
      </c>
      <c r="AY493" s="34">
        <f>IF(AND(E493=1,L493=0),AH493,"")</f>
        <v>10.2</v>
      </c>
      <c r="AZ493" s="34" t="str">
        <f>IF(G493=1,F493,"")</f>
        <v/>
      </c>
      <c r="BA493" s="34" t="str">
        <f>IF(AND(G493=1,L493=1),F493,"")</f>
        <v/>
      </c>
      <c r="BB493" s="34" t="str">
        <f>IF(AND(G493=1,L493=0),F493,"")</f>
        <v/>
      </c>
      <c r="BC493" s="33">
        <f>IF(E493=1,IF(Orders!R490&gt;3,1,0),"")</f>
        <v>0</v>
      </c>
      <c r="BD493" s="33">
        <f>IF(E493=1,IF(Orders!R490&gt;7,1,0),"")</f>
        <v>0</v>
      </c>
      <c r="BE493" s="32" t="str">
        <f>IF(E493=1,IF(Orders!L490&lt;=1.5,"Up to 1.5 km",IF(Orders!L490&lt;=3,"1.5–3 km","Over 3 km")),"")</f>
        <v>1.5–3 km</v>
      </c>
      <c r="BF493" s="33">
        <f>IF(E493=1,IF(ABS((Orders!G490-Orders!F490)*1440-Orders!R490)&lt;0.06,1,0),"")</f>
        <v>1</v>
      </c>
      <c r="BG493" s="33">
        <f>IF(ABS((Orders!F490-Orders!E490)*1440-Orders!P490)&lt;0.06,1,0)</f>
        <v>1</v>
      </c>
      <c r="BH493" s="33">
        <f>IF(E493=1,IF(IF(Orders!S490,1,0)=1-G493,1,0),"")</f>
        <v>1</v>
      </c>
      <c r="BI493" s="32" t="str">
        <f>INDEX(Stores!$B$2:$B$21,MATCH(B493,Stores!$A$2:$A$21,0))</f>
        <v>Hyderabad</v>
      </c>
    </row>
    <row r="494">
      <c r="A494" s="32" t="str">
        <f>Orders!A491</f>
        <v>O00490</v>
      </c>
      <c r="B494" s="32" t="str">
        <f>Orders!C491</f>
        <v>S020</v>
      </c>
      <c r="C494" s="32" t="str">
        <f>Orders!B491</f>
        <v>C0111</v>
      </c>
      <c r="D494" s="32" t="str">
        <f>Orders!H491</f>
        <v>Delivered</v>
      </c>
      <c r="E494" s="33">
        <f>IF(Orders!H491="Delivered",1,0)</f>
        <v>1</v>
      </c>
      <c r="F494" s="34">
        <f>IF(E494=1,Orders!R491,"")</f>
        <v>-1</v>
      </c>
      <c r="G494" s="33">
        <f>IF(E494=1,IF(Orders!R491&gt;0,1,0),"")</f>
        <v>0</v>
      </c>
      <c r="H494" s="33">
        <f>IF(E494=1,IF(Orders!R491&gt;5,1,0),"")</f>
        <v>0</v>
      </c>
      <c r="I494" s="32" t="str">
        <f>IF(E494=1,"",IF(OR(Orders!T491="Rider unavailable",Orders!T491="Item unavailable"),"Company-caused","Unresolved"))</f>
        <v/>
      </c>
      <c r="J494" s="33">
        <f>IF(OR(E494=1,I494="Company-caused"),1,0)</f>
        <v>1</v>
      </c>
      <c r="K494" s="32" t="str">
        <f>IF(E494=0,IF(I494="Company-caused",IF(Orders!T491="Rider unavailable","C1 Rider unavailable","C2 Item unavailable"),"Outside root: unresolved"),IF(G494=0,"A On time",IF(H494=1,IF(L494=1,"B2a Severe, peak","B2b Severe, off-peak"),IF(L494=1,"B1a Slight, peak","B1b Slight, off-peak"))))</f>
        <v>A On time</v>
      </c>
      <c r="L494" s="33">
        <f>IF(AND(Orders!U491&gt;=19,Orders!U491&lt;22),1,0)</f>
        <v>1</v>
      </c>
      <c r="M494" s="33">
        <f>IF(L494=IF(Orders!V491,1,0),1,0)</f>
        <v>1</v>
      </c>
      <c r="N494" s="32" t="str">
        <f>IF(Orders!W491="","None",Orders!W491)</f>
        <v>None</v>
      </c>
      <c r="O494" s="35">
        <f>INT(Orders!E491)</f>
        <v>46267.0</v>
      </c>
      <c r="P494" s="33">
        <f>Orders!U491</f>
        <v>20</v>
      </c>
      <c r="Q494" s="33">
        <f>COUNTIFS(Demand!$A$2:$A$4481,B494,Demand!$B$2:$B$4481,O494,Demand!$C$2:$C$4481,P494)</f>
        <v>1</v>
      </c>
      <c r="R494" s="33">
        <f>IF(Q494=1,SUMIFS(Demand!$E$2:$E$4481,Demand!$A$2:$A$4481,B494,Demand!$B$2:$B$4481,O494,Demand!$C$2:$C$4481,P494),"")</f>
        <v>23</v>
      </c>
      <c r="S494" s="33">
        <f>INDEX(Stores!$G$2:$G$21,MATCH(B494,Stores!$A$2:$A$21,0))</f>
        <v>15</v>
      </c>
      <c r="T494" s="34">
        <f>IF(R494="","",R494/S494)</f>
        <v>1.53333333333333</v>
      </c>
      <c r="U494" s="34">
        <f>IF(E494=1,T494,"")</f>
        <v>1.53333333333333</v>
      </c>
      <c r="V494" s="34" t="str">
        <f>IF(AND(E494=1,L494=0),T494,"")</f>
        <v/>
      </c>
      <c r="W494" s="33">
        <f>IF(U494="","",IF(U494&lt;=Breakdowns!$C$5,1,IF(U494&lt;=Breakdowns!$C$6,2,IF(U494&lt;=Breakdowns!$C$7,3,4))))</f>
        <v>4</v>
      </c>
      <c r="X494" s="33" t="str">
        <f>IF(V494="","",IF(V494&lt;=Breakdowns!$D$5,1,IF(V494&lt;=Breakdowns!$D$6,2,IF(V494&lt;=Breakdowns!$D$7,3,4))))</f>
        <v/>
      </c>
      <c r="Y494" s="34">
        <f>INDEX(Stores!$F$2:$F$21,MATCH(B494,Stores!$A$2:$A$21,0))</f>
        <v>5.74</v>
      </c>
      <c r="Z494" s="33">
        <f>IF(Y494&gt;Store_Summary!$M$2,1,0)</f>
        <v>1</v>
      </c>
      <c r="AA494" s="33">
        <f>INDEX(Stores!$C$2:$C$21,MATCH(B494,Stores!$A$2:$A$21,0))</f>
        <v>647</v>
      </c>
      <c r="AB494" s="33">
        <f>IF(AA494&lt;180,1,0)</f>
        <v>0</v>
      </c>
      <c r="AC494" s="32" t="str">
        <f>IF(Orders!D491="","",INDEX(Riders!$C$2:$C$81,MATCH(Orders!D491,Riders!$A$2:$A$81,0)))</f>
        <v>Petrol scooter</v>
      </c>
      <c r="AD494" s="33">
        <f>IF(Orders!D491="","",INDEX(Riders!$D$2:$D$81,MATCH(Orders!D491,Riders!$A$2:$A$81,0)))</f>
        <v>48</v>
      </c>
      <c r="AE494" s="33">
        <f>IF(Orders!D491="","",IF(INDEX(Riders!$B$2:$B$81,MATCH(Orders!D491,Riders!$A$2:$A$81,0))=B494,1,0))</f>
        <v>0</v>
      </c>
      <c r="AF494" s="34">
        <f>IF(E494=1,Orders!L491,"")</f>
        <v>0.71</v>
      </c>
      <c r="AG494" s="34">
        <f>IF(E494=1,Orders!P491,"")</f>
        <v>8.6</v>
      </c>
      <c r="AH494" s="34">
        <f>IF(E494=1,Orders!Q491,"")</f>
        <v>7.6</v>
      </c>
      <c r="AI494" s="34">
        <f>IF(E494=1,Orders!M491,"")</f>
        <v>2.5</v>
      </c>
      <c r="AJ494" s="34">
        <f>IF(E494=1,Orders!N491,"")</f>
        <v>3.9</v>
      </c>
      <c r="AK494" s="34">
        <f>IF(E494=1,Orders!O491,"")</f>
        <v>1.2</v>
      </c>
      <c r="AL494" s="33">
        <f>IF(E494=1,IF(ROUND(ABS(AI494+AJ494+AK494-AH494),6)&lt;=0.1,1,0),"")</f>
        <v>1</v>
      </c>
      <c r="AM494" s="36">
        <f>IF(E494=1,AI494/AH494,"")</f>
        <v>0.328947368421053</v>
      </c>
      <c r="AN494" s="36">
        <f>IF(E494=1,AJ494/AH494,"")</f>
        <v>0.513157894736842</v>
      </c>
      <c r="AO494" s="36">
        <f>IF(E494=1,AK494/AH494,"")</f>
        <v>0.157894736842105</v>
      </c>
      <c r="AP494" s="34">
        <f>IF(E494=1,Orders!Y491,"")</f>
        <v>0.58</v>
      </c>
      <c r="AQ494" s="33">
        <f>IF(Orders!X491,1,0)</f>
        <v>0</v>
      </c>
      <c r="AR494" s="34">
        <f>IF(AND(E494=1,L494=1),AJ494,"")</f>
        <v>3.9</v>
      </c>
      <c r="AS494" s="34" t="str">
        <f>IF(AND(E494=1,L494=0),AJ494,"")</f>
        <v/>
      </c>
      <c r="AT494" s="34">
        <f>IF(AND(E494=1,L494=1),AI494,"")</f>
        <v>2.5</v>
      </c>
      <c r="AU494" s="34" t="str">
        <f>IF(AND(E494=1,L494=0),AI494,"")</f>
        <v/>
      </c>
      <c r="AV494" s="34">
        <f>IF(AND(E494=1,L494=1),AG494,"")</f>
        <v>8.6</v>
      </c>
      <c r="AW494" s="34" t="str">
        <f>IF(AND(E494=1,L494=0),AG494,"")</f>
        <v/>
      </c>
      <c r="AX494" s="34">
        <f>IF(AND(E494=1,L494=1),AH494,"")</f>
        <v>7.6</v>
      </c>
      <c r="AY494" s="34" t="str">
        <f>IF(AND(E494=1,L494=0),AH494,"")</f>
        <v/>
      </c>
      <c r="AZ494" s="34" t="str">
        <f>IF(G494=1,F494,"")</f>
        <v/>
      </c>
      <c r="BA494" s="34" t="str">
        <f>IF(AND(G494=1,L494=1),F494,"")</f>
        <v/>
      </c>
      <c r="BB494" s="34" t="str">
        <f>IF(AND(G494=1,L494=0),F494,"")</f>
        <v/>
      </c>
      <c r="BC494" s="33">
        <f>IF(E494=1,IF(Orders!R491&gt;3,1,0),"")</f>
        <v>0</v>
      </c>
      <c r="BD494" s="33">
        <f>IF(E494=1,IF(Orders!R491&gt;7,1,0),"")</f>
        <v>0</v>
      </c>
      <c r="BE494" s="32" t="str">
        <f>IF(E494=1,IF(Orders!L491&lt;=1.5,"Up to 1.5 km",IF(Orders!L491&lt;=3,"1.5–3 km","Over 3 km")),"")</f>
        <v>Up to 1.5 km</v>
      </c>
      <c r="BF494" s="33">
        <f>IF(E494=1,IF(ABS((Orders!G491-Orders!F491)*1440-Orders!R491)&lt;0.06,1,0),"")</f>
        <v>1</v>
      </c>
      <c r="BG494" s="33">
        <f>IF(ABS((Orders!F491-Orders!E491)*1440-Orders!P491)&lt;0.06,1,0)</f>
        <v>1</v>
      </c>
      <c r="BH494" s="33">
        <f>IF(E494=1,IF(IF(Orders!S491,1,0)=1-G494,1,0),"")</f>
        <v>1</v>
      </c>
      <c r="BI494" s="32" t="str">
        <f>INDEX(Stores!$B$2:$B$21,MATCH(B494,Stores!$A$2:$A$21,0))</f>
        <v>Delhi</v>
      </c>
    </row>
    <row r="495">
      <c r="A495" s="32" t="str">
        <f>Orders!A492</f>
        <v>O00491</v>
      </c>
      <c r="B495" s="32" t="str">
        <f>Orders!C492</f>
        <v>S018</v>
      </c>
      <c r="C495" s="32" t="str">
        <f>Orders!B492</f>
        <v>C0126</v>
      </c>
      <c r="D495" s="32" t="str">
        <f>Orders!H492</f>
        <v>Delivered</v>
      </c>
      <c r="E495" s="33">
        <f>IF(Orders!H492="Delivered",1,0)</f>
        <v>1</v>
      </c>
      <c r="F495" s="34">
        <f>IF(E495=1,Orders!R492,"")</f>
        <v>7.6</v>
      </c>
      <c r="G495" s="33">
        <f>IF(E495=1,IF(Orders!R492&gt;0,1,0),"")</f>
        <v>1</v>
      </c>
      <c r="H495" s="33">
        <f>IF(E495=1,IF(Orders!R492&gt;5,1,0),"")</f>
        <v>1</v>
      </c>
      <c r="I495" s="32" t="str">
        <f>IF(E495=1,"",IF(OR(Orders!T492="Rider unavailable",Orders!T492="Item unavailable"),"Company-caused","Unresolved"))</f>
        <v/>
      </c>
      <c r="J495" s="33">
        <f>IF(OR(E495=1,I495="Company-caused"),1,0)</f>
        <v>1</v>
      </c>
      <c r="K495" s="32" t="str">
        <f>IF(E495=0,IF(I495="Company-caused",IF(Orders!T492="Rider unavailable","C1 Rider unavailable","C2 Item unavailable"),"Outside root: unresolved"),IF(G495=0,"A On time",IF(H495=1,IF(L495=1,"B2a Severe, peak","B2b Severe, off-peak"),IF(L495=1,"B1a Slight, peak","B1b Slight, off-peak"))))</f>
        <v>B2b Severe, off-peak</v>
      </c>
      <c r="L495" s="33">
        <f>IF(AND(Orders!U492&gt;=19,Orders!U492&lt;22),1,0)</f>
        <v>0</v>
      </c>
      <c r="M495" s="33">
        <f>IF(L495=IF(Orders!V492,1,0),1,0)</f>
        <v>1</v>
      </c>
      <c r="N495" s="32" t="str">
        <f>IF(Orders!W492="","None",Orders!W492)</f>
        <v>None</v>
      </c>
      <c r="O495" s="35">
        <f>INT(Orders!E492)</f>
        <v>46271.0</v>
      </c>
      <c r="P495" s="33">
        <f>Orders!U492</f>
        <v>17</v>
      </c>
      <c r="Q495" s="33">
        <f>COUNTIFS(Demand!$A$2:$A$4481,B495,Demand!$B$2:$B$4481,O495,Demand!$C$2:$C$4481,P495)</f>
        <v>1</v>
      </c>
      <c r="R495" s="33">
        <f>IF(Q495=1,SUMIFS(Demand!$E$2:$E$4481,Demand!$A$2:$A$4481,B495,Demand!$B$2:$B$4481,O495,Demand!$C$2:$C$4481,P495),"")</f>
        <v>23</v>
      </c>
      <c r="S495" s="33">
        <f>INDEX(Stores!$G$2:$G$21,MATCH(B495,Stores!$A$2:$A$21,0))</f>
        <v>20</v>
      </c>
      <c r="T495" s="34">
        <f>IF(R495="","",R495/S495)</f>
        <v>1.15</v>
      </c>
      <c r="U495" s="34">
        <f>IF(E495=1,T495,"")</f>
        <v>1.15</v>
      </c>
      <c r="V495" s="34">
        <f>IF(AND(E495=1,L495=0),T495,"")</f>
        <v>1.15</v>
      </c>
      <c r="W495" s="33">
        <f>IF(U495="","",IF(U495&lt;=Breakdowns!$C$5,1,IF(U495&lt;=Breakdowns!$C$6,2,IF(U495&lt;=Breakdowns!$C$7,3,4))))</f>
        <v>3</v>
      </c>
      <c r="X495" s="33">
        <f>IF(V495="","",IF(V495&lt;=Breakdowns!$D$5,1,IF(V495&lt;=Breakdowns!$D$6,2,IF(V495&lt;=Breakdowns!$D$7,3,4))))</f>
        <v>4</v>
      </c>
      <c r="Y495" s="34">
        <f>INDEX(Stores!$F$2:$F$21,MATCH(B495,Stores!$A$2:$A$21,0))</f>
        <v>5.31</v>
      </c>
      <c r="Z495" s="33">
        <f>IF(Y495&gt;Store_Summary!$M$2,1,0)</f>
        <v>1</v>
      </c>
      <c r="AA495" s="33">
        <f>INDEX(Stores!$C$2:$C$21,MATCH(B495,Stores!$A$2:$A$21,0))</f>
        <v>214</v>
      </c>
      <c r="AB495" s="33">
        <f>IF(AA495&lt;180,1,0)</f>
        <v>0</v>
      </c>
      <c r="AC495" s="32" t="str">
        <f>IF(Orders!D492="","",INDEX(Riders!$C$2:$C$81,MATCH(Orders!D492,Riders!$A$2:$A$81,0)))</f>
        <v>EV scooter</v>
      </c>
      <c r="AD495" s="33">
        <f>IF(Orders!D492="","",INDEX(Riders!$D$2:$D$81,MATCH(Orders!D492,Riders!$A$2:$A$81,0)))</f>
        <v>32</v>
      </c>
      <c r="AE495" s="33">
        <f>IF(Orders!D492="","",IF(INDEX(Riders!$B$2:$B$81,MATCH(Orders!D492,Riders!$A$2:$A$81,0))=B495,1,0))</f>
        <v>0</v>
      </c>
      <c r="AF495" s="34">
        <f>IF(E495=1,Orders!L492,"")</f>
        <v>1.66</v>
      </c>
      <c r="AG495" s="34">
        <f>IF(E495=1,Orders!P492,"")</f>
        <v>10.3</v>
      </c>
      <c r="AH495" s="34">
        <f>IF(E495=1,Orders!Q492,"")</f>
        <v>17.9</v>
      </c>
      <c r="AI495" s="34">
        <f>IF(E495=1,Orders!M492,"")</f>
        <v>5.9</v>
      </c>
      <c r="AJ495" s="34">
        <f>IF(E495=1,Orders!N492,"")</f>
        <v>6.7</v>
      </c>
      <c r="AK495" s="34">
        <f>IF(E495=1,Orders!O492,"")</f>
        <v>5.3</v>
      </c>
      <c r="AL495" s="33">
        <f>IF(E495=1,IF(ROUND(ABS(AI495+AJ495+AK495-AH495),6)&lt;=0.1,1,0),"")</f>
        <v>1</v>
      </c>
      <c r="AM495" s="36">
        <f>IF(E495=1,AI495/AH495,"")</f>
        <v>0.329608938547486</v>
      </c>
      <c r="AN495" s="36">
        <f>IF(E495=1,AJ495/AH495,"")</f>
        <v>0.374301675977654</v>
      </c>
      <c r="AO495" s="36">
        <f>IF(E495=1,AK495/AH495,"")</f>
        <v>0.29608938547486</v>
      </c>
      <c r="AP495" s="34">
        <f>IF(E495=1,Orders!Y492,"")</f>
        <v>0.75</v>
      </c>
      <c r="AQ495" s="33">
        <f>IF(Orders!X492,1,0)</f>
        <v>0</v>
      </c>
      <c r="AR495" s="34" t="str">
        <f>IF(AND(E495=1,L495=1),AJ495,"")</f>
        <v/>
      </c>
      <c r="AS495" s="34">
        <f>IF(AND(E495=1,L495=0),AJ495,"")</f>
        <v>6.7</v>
      </c>
      <c r="AT495" s="34" t="str">
        <f>IF(AND(E495=1,L495=1),AI495,"")</f>
        <v/>
      </c>
      <c r="AU495" s="34">
        <f>IF(AND(E495=1,L495=0),AI495,"")</f>
        <v>5.9</v>
      </c>
      <c r="AV495" s="34" t="str">
        <f>IF(AND(E495=1,L495=1),AG495,"")</f>
        <v/>
      </c>
      <c r="AW495" s="34">
        <f>IF(AND(E495=1,L495=0),AG495,"")</f>
        <v>10.3</v>
      </c>
      <c r="AX495" s="34" t="str">
        <f>IF(AND(E495=1,L495=1),AH495,"")</f>
        <v/>
      </c>
      <c r="AY495" s="34">
        <f>IF(AND(E495=1,L495=0),AH495,"")</f>
        <v>17.9</v>
      </c>
      <c r="AZ495" s="34">
        <f>IF(G495=1,F495,"")</f>
        <v>7.6</v>
      </c>
      <c r="BA495" s="34" t="str">
        <f>IF(AND(G495=1,L495=1),F495,"")</f>
        <v/>
      </c>
      <c r="BB495" s="34">
        <f>IF(AND(G495=1,L495=0),F495,"")</f>
        <v>7.6</v>
      </c>
      <c r="BC495" s="33">
        <f>IF(E495=1,IF(Orders!R492&gt;3,1,0),"")</f>
        <v>1</v>
      </c>
      <c r="BD495" s="33">
        <f>IF(E495=1,IF(Orders!R492&gt;7,1,0),"")</f>
        <v>1</v>
      </c>
      <c r="BE495" s="32" t="str">
        <f>IF(E495=1,IF(Orders!L492&lt;=1.5,"Up to 1.5 km",IF(Orders!L492&lt;=3,"1.5–3 km","Over 3 km")),"")</f>
        <v>1.5–3 km</v>
      </c>
      <c r="BF495" s="33">
        <f>IF(E495=1,IF(ABS((Orders!G492-Orders!F492)*1440-Orders!R492)&lt;0.06,1,0),"")</f>
        <v>1</v>
      </c>
      <c r="BG495" s="33">
        <f>IF(ABS((Orders!F492-Orders!E492)*1440-Orders!P492)&lt;0.06,1,0)</f>
        <v>1</v>
      </c>
      <c r="BH495" s="33">
        <f>IF(E495=1,IF(IF(Orders!S492,1,0)=1-G495,1,0),"")</f>
        <v>1</v>
      </c>
      <c r="BI495" s="32" t="str">
        <f>INDEX(Stores!$B$2:$B$21,MATCH(B495,Stores!$A$2:$A$21,0))</f>
        <v>Mumbai</v>
      </c>
    </row>
    <row r="496">
      <c r="A496" s="32" t="str">
        <f>Orders!A493</f>
        <v>O00492</v>
      </c>
      <c r="B496" s="32" t="str">
        <f>Orders!C493</f>
        <v>S003</v>
      </c>
      <c r="C496" s="32" t="str">
        <f>Orders!B493</f>
        <v>C0047</v>
      </c>
      <c r="D496" s="32" t="str">
        <f>Orders!H493</f>
        <v>Delivered</v>
      </c>
      <c r="E496" s="33">
        <f>IF(Orders!H493="Delivered",1,0)</f>
        <v>1</v>
      </c>
      <c r="F496" s="34">
        <f>IF(E496=1,Orders!R493,"")</f>
        <v>-0.8</v>
      </c>
      <c r="G496" s="33">
        <f>IF(E496=1,IF(Orders!R493&gt;0,1,0),"")</f>
        <v>0</v>
      </c>
      <c r="H496" s="33">
        <f>IF(E496=1,IF(Orders!R493&gt;5,1,0),"")</f>
        <v>0</v>
      </c>
      <c r="I496" s="32" t="str">
        <f>IF(E496=1,"",IF(OR(Orders!T493="Rider unavailable",Orders!T493="Item unavailable"),"Company-caused","Unresolved"))</f>
        <v/>
      </c>
      <c r="J496" s="33">
        <f>IF(OR(E496=1,I496="Company-caused"),1,0)</f>
        <v>1</v>
      </c>
      <c r="K496" s="32" t="str">
        <f>IF(E496=0,IF(I496="Company-caused",IF(Orders!T493="Rider unavailable","C1 Rider unavailable","C2 Item unavailable"),"Outside root: unresolved"),IF(G496=0,"A On time",IF(H496=1,IF(L496=1,"B2a Severe, peak","B2b Severe, off-peak"),IF(L496=1,"B1a Slight, peak","B1b Slight, off-peak"))))</f>
        <v>A On time</v>
      </c>
      <c r="L496" s="33">
        <f>IF(AND(Orders!U493&gt;=19,Orders!U493&lt;22),1,0)</f>
        <v>0</v>
      </c>
      <c r="M496" s="33">
        <f>IF(L496=IF(Orders!V493,1,0),1,0)</f>
        <v>1</v>
      </c>
      <c r="N496" s="32" t="str">
        <f>IF(Orders!W493="","None",Orders!W493)</f>
        <v>None</v>
      </c>
      <c r="O496" s="35">
        <f>INT(Orders!E493)</f>
        <v>46274.0</v>
      </c>
      <c r="P496" s="33">
        <f>Orders!U493</f>
        <v>11</v>
      </c>
      <c r="Q496" s="33">
        <f>COUNTIFS(Demand!$A$2:$A$4481,B496,Demand!$B$2:$B$4481,O496,Demand!$C$2:$C$4481,P496)</f>
        <v>1</v>
      </c>
      <c r="R496" s="33">
        <f>IF(Q496=1,SUMIFS(Demand!$E$2:$E$4481,Demand!$A$2:$A$4481,B496,Demand!$B$2:$B$4481,O496,Demand!$C$2:$C$4481,P496),"")</f>
        <v>44</v>
      </c>
      <c r="S496" s="33">
        <f>INDEX(Stores!$G$2:$G$21,MATCH(B496,Stores!$A$2:$A$21,0))</f>
        <v>41</v>
      </c>
      <c r="T496" s="34">
        <f>IF(R496="","",R496/S496)</f>
        <v>1.07317073170732</v>
      </c>
      <c r="U496" s="34">
        <f>IF(E496=1,T496,"")</f>
        <v>1.07317073170732</v>
      </c>
      <c r="V496" s="34">
        <f>IF(AND(E496=1,L496=0),T496,"")</f>
        <v>1.07317073170732</v>
      </c>
      <c r="W496" s="33">
        <f>IF(U496="","",IF(U496&lt;=Breakdowns!$C$5,1,IF(U496&lt;=Breakdowns!$C$6,2,IF(U496&lt;=Breakdowns!$C$7,3,4))))</f>
        <v>3</v>
      </c>
      <c r="X496" s="33">
        <f>IF(V496="","",IF(V496&lt;=Breakdowns!$D$5,1,IF(V496&lt;=Breakdowns!$D$6,2,IF(V496&lt;=Breakdowns!$D$7,3,4))))</f>
        <v>4</v>
      </c>
      <c r="Y496" s="34">
        <f>INDEX(Stores!$F$2:$F$21,MATCH(B496,Stores!$A$2:$A$21,0))</f>
        <v>3.84</v>
      </c>
      <c r="Z496" s="33">
        <f>IF(Y496&gt;Store_Summary!$M$2,1,0)</f>
        <v>0</v>
      </c>
      <c r="AA496" s="33">
        <f>INDEX(Stores!$C$2:$C$21,MATCH(B496,Stores!$A$2:$A$21,0))</f>
        <v>426</v>
      </c>
      <c r="AB496" s="33">
        <f>IF(AA496&lt;180,1,0)</f>
        <v>0</v>
      </c>
      <c r="AC496" s="32" t="str">
        <f>IF(Orders!D493="","",INDEX(Riders!$C$2:$C$81,MATCH(Orders!D493,Riders!$A$2:$A$81,0)))</f>
        <v>Petrol scooter</v>
      </c>
      <c r="AD496" s="33">
        <f>IF(Orders!D493="","",INDEX(Riders!$D$2:$D$81,MATCH(Orders!D493,Riders!$A$2:$A$81,0)))</f>
        <v>44</v>
      </c>
      <c r="AE496" s="33">
        <f>IF(Orders!D493="","",IF(INDEX(Riders!$B$2:$B$81,MATCH(Orders!D493,Riders!$A$2:$A$81,0))=B496,1,0))</f>
        <v>0</v>
      </c>
      <c r="AF496" s="34">
        <f>IF(E496=1,Orders!L493,"")</f>
        <v>2.1</v>
      </c>
      <c r="AG496" s="34">
        <f>IF(E496=1,Orders!P493,"")</f>
        <v>11</v>
      </c>
      <c r="AH496" s="34">
        <f>IF(E496=1,Orders!Q493,"")</f>
        <v>10.2</v>
      </c>
      <c r="AI496" s="34">
        <f>IF(E496=1,Orders!M493,"")</f>
        <v>3.9</v>
      </c>
      <c r="AJ496" s="34">
        <f>IF(E496=1,Orders!N493,"")</f>
        <v>2.3</v>
      </c>
      <c r="AK496" s="34">
        <f>IF(E496=1,Orders!O493,"")</f>
        <v>4</v>
      </c>
      <c r="AL496" s="33">
        <f>IF(E496=1,IF(ROUND(ABS(AI496+AJ496+AK496-AH496),6)&lt;=0.1,1,0),"")</f>
        <v>1</v>
      </c>
      <c r="AM496" s="36">
        <f>IF(E496=1,AI496/AH496,"")</f>
        <v>0.382352941176471</v>
      </c>
      <c r="AN496" s="36">
        <f>IF(E496=1,AJ496/AH496,"")</f>
        <v>0.225490196078431</v>
      </c>
      <c r="AO496" s="36">
        <f>IF(E496=1,AK496/AH496,"")</f>
        <v>0.392156862745098</v>
      </c>
      <c r="AP496" s="34">
        <f>IF(E496=1,Orders!Y493,"")</f>
        <v>0.57</v>
      </c>
      <c r="AQ496" s="33">
        <f>IF(Orders!X493,1,0)</f>
        <v>0</v>
      </c>
      <c r="AR496" s="34" t="str">
        <f>IF(AND(E496=1,L496=1),AJ496,"")</f>
        <v/>
      </c>
      <c r="AS496" s="34">
        <f>IF(AND(E496=1,L496=0),AJ496,"")</f>
        <v>2.3</v>
      </c>
      <c r="AT496" s="34" t="str">
        <f>IF(AND(E496=1,L496=1),AI496,"")</f>
        <v/>
      </c>
      <c r="AU496" s="34">
        <f>IF(AND(E496=1,L496=0),AI496,"")</f>
        <v>3.9</v>
      </c>
      <c r="AV496" s="34" t="str">
        <f>IF(AND(E496=1,L496=1),AG496,"")</f>
        <v/>
      </c>
      <c r="AW496" s="34">
        <f>IF(AND(E496=1,L496=0),AG496,"")</f>
        <v>11</v>
      </c>
      <c r="AX496" s="34" t="str">
        <f>IF(AND(E496=1,L496=1),AH496,"")</f>
        <v/>
      </c>
      <c r="AY496" s="34">
        <f>IF(AND(E496=1,L496=0),AH496,"")</f>
        <v>10.2</v>
      </c>
      <c r="AZ496" s="34" t="str">
        <f>IF(G496=1,F496,"")</f>
        <v/>
      </c>
      <c r="BA496" s="34" t="str">
        <f>IF(AND(G496=1,L496=1),F496,"")</f>
        <v/>
      </c>
      <c r="BB496" s="34" t="str">
        <f>IF(AND(G496=1,L496=0),F496,"")</f>
        <v/>
      </c>
      <c r="BC496" s="33">
        <f>IF(E496=1,IF(Orders!R493&gt;3,1,0),"")</f>
        <v>0</v>
      </c>
      <c r="BD496" s="33">
        <f>IF(E496=1,IF(Orders!R493&gt;7,1,0),"")</f>
        <v>0</v>
      </c>
      <c r="BE496" s="32" t="str">
        <f>IF(E496=1,IF(Orders!L493&lt;=1.5,"Up to 1.5 km",IF(Orders!L493&lt;=3,"1.5–3 km","Over 3 km")),"")</f>
        <v>1.5–3 km</v>
      </c>
      <c r="BF496" s="33">
        <f>IF(E496=1,IF(ABS((Orders!G493-Orders!F493)*1440-Orders!R493)&lt;0.06,1,0),"")</f>
        <v>1</v>
      </c>
      <c r="BG496" s="33">
        <f>IF(ABS((Orders!F493-Orders!E493)*1440-Orders!P493)&lt;0.06,1,0)</f>
        <v>1</v>
      </c>
      <c r="BH496" s="33">
        <f>IF(E496=1,IF(IF(Orders!S493,1,0)=1-G496,1,0),"")</f>
        <v>1</v>
      </c>
      <c r="BI496" s="32" t="str">
        <f>INDEX(Stores!$B$2:$B$21,MATCH(B496,Stores!$A$2:$A$21,0))</f>
        <v>Mumbai</v>
      </c>
    </row>
    <row r="497">
      <c r="A497" s="32" t="str">
        <f>Orders!A494</f>
        <v>O00493</v>
      </c>
      <c r="B497" s="32" t="str">
        <f>Orders!C494</f>
        <v>S014</v>
      </c>
      <c r="C497" s="32" t="str">
        <f>Orders!B494</f>
        <v>C0028</v>
      </c>
      <c r="D497" s="32" t="str">
        <f>Orders!H494</f>
        <v>Delivered</v>
      </c>
      <c r="E497" s="33">
        <f>IF(Orders!H494="Delivered",1,0)</f>
        <v>1</v>
      </c>
      <c r="F497" s="34">
        <f>IF(E497=1,Orders!R494,"")</f>
        <v>-0.8</v>
      </c>
      <c r="G497" s="33">
        <f>IF(E497=1,IF(Orders!R494&gt;0,1,0),"")</f>
        <v>0</v>
      </c>
      <c r="H497" s="33">
        <f>IF(E497=1,IF(Orders!R494&gt;5,1,0),"")</f>
        <v>0</v>
      </c>
      <c r="I497" s="32" t="str">
        <f>IF(E497=1,"",IF(OR(Orders!T494="Rider unavailable",Orders!T494="Item unavailable"),"Company-caused","Unresolved"))</f>
        <v/>
      </c>
      <c r="J497" s="33">
        <f>IF(OR(E497=1,I497="Company-caused"),1,0)</f>
        <v>1</v>
      </c>
      <c r="K497" s="32" t="str">
        <f>IF(E497=0,IF(I497="Company-caused",IF(Orders!T494="Rider unavailable","C1 Rider unavailable","C2 Item unavailable"),"Outside root: unresolved"),IF(G497=0,"A On time",IF(H497=1,IF(L497=1,"B2a Severe, peak","B2b Severe, off-peak"),IF(L497=1,"B1a Slight, peak","B1b Slight, off-peak"))))</f>
        <v>A On time</v>
      </c>
      <c r="L497" s="33">
        <f>IF(AND(Orders!U494&gt;=19,Orders!U494&lt;22),1,0)</f>
        <v>0</v>
      </c>
      <c r="M497" s="33">
        <f>IF(L497=IF(Orders!V494,1,0),1,0)</f>
        <v>1</v>
      </c>
      <c r="N497" s="32" t="str">
        <f>IF(Orders!W494="","None",Orders!W494)</f>
        <v>Light</v>
      </c>
      <c r="O497" s="35">
        <f>INT(Orders!E494)</f>
        <v>46267.0</v>
      </c>
      <c r="P497" s="33">
        <f>Orders!U494</f>
        <v>12</v>
      </c>
      <c r="Q497" s="33">
        <f>COUNTIFS(Demand!$A$2:$A$4481,B497,Demand!$B$2:$B$4481,O497,Demand!$C$2:$C$4481,P497)</f>
        <v>1</v>
      </c>
      <c r="R497" s="33">
        <f>IF(Q497=1,SUMIFS(Demand!$E$2:$E$4481,Demand!$A$2:$A$4481,B497,Demand!$B$2:$B$4481,O497,Demand!$C$2:$C$4481,P497),"")</f>
        <v>30</v>
      </c>
      <c r="S497" s="33">
        <f>INDEX(Stores!$G$2:$G$21,MATCH(B497,Stores!$A$2:$A$21,0))</f>
        <v>37</v>
      </c>
      <c r="T497" s="34">
        <f>IF(R497="","",R497/S497)</f>
        <v>0.810810810810811</v>
      </c>
      <c r="U497" s="34">
        <f>IF(E497=1,T497,"")</f>
        <v>0.810810810810811</v>
      </c>
      <c r="V497" s="34">
        <f>IF(AND(E497=1,L497=0),T497,"")</f>
        <v>0.810810810810811</v>
      </c>
      <c r="W497" s="33">
        <f>IF(U497="","",IF(U497&lt;=Breakdowns!$C$5,1,IF(U497&lt;=Breakdowns!$C$6,2,IF(U497&lt;=Breakdowns!$C$7,3,4))))</f>
        <v>2</v>
      </c>
      <c r="X497" s="33">
        <f>IF(V497="","",IF(V497&lt;=Breakdowns!$D$5,1,IF(V497&lt;=Breakdowns!$D$6,2,IF(V497&lt;=Breakdowns!$D$7,3,4))))</f>
        <v>2</v>
      </c>
      <c r="Y497" s="34">
        <f>INDEX(Stores!$F$2:$F$21,MATCH(B497,Stores!$A$2:$A$21,0))</f>
        <v>5.55</v>
      </c>
      <c r="Z497" s="33">
        <f>IF(Y497&gt;Store_Summary!$M$2,1,0)</f>
        <v>1</v>
      </c>
      <c r="AA497" s="33">
        <f>INDEX(Stores!$C$2:$C$21,MATCH(B497,Stores!$A$2:$A$21,0))</f>
        <v>241</v>
      </c>
      <c r="AB497" s="33">
        <f>IF(AA497&lt;180,1,0)</f>
        <v>0</v>
      </c>
      <c r="AC497" s="32" t="str">
        <f>IF(Orders!D494="","",INDEX(Riders!$C$2:$C$81,MATCH(Orders!D494,Riders!$A$2:$A$81,0)))</f>
        <v>Petrol scooter</v>
      </c>
      <c r="AD497" s="33">
        <f>IF(Orders!D494="","",INDEX(Riders!$D$2:$D$81,MATCH(Orders!D494,Riders!$A$2:$A$81,0)))</f>
        <v>10</v>
      </c>
      <c r="AE497" s="33">
        <f>IF(Orders!D494="","",IF(INDEX(Riders!$B$2:$B$81,MATCH(Orders!D494,Riders!$A$2:$A$81,0))=B497,1,0))</f>
        <v>0</v>
      </c>
      <c r="AF497" s="34">
        <f>IF(E497=1,Orders!L494,"")</f>
        <v>1.79</v>
      </c>
      <c r="AG497" s="34">
        <f>IF(E497=1,Orders!P494,"")</f>
        <v>8.2</v>
      </c>
      <c r="AH497" s="34">
        <f>IF(E497=1,Orders!Q494,"")</f>
        <v>7.4</v>
      </c>
      <c r="AI497" s="34">
        <f>IF(E497=1,Orders!M494,"")</f>
        <v>3</v>
      </c>
      <c r="AJ497" s="34">
        <f>IF(E497=1,Orders!N494,"")</f>
        <v>1.6</v>
      </c>
      <c r="AK497" s="34">
        <f>IF(E497=1,Orders!O494,"")</f>
        <v>2.8</v>
      </c>
      <c r="AL497" s="33">
        <f>IF(E497=1,IF(ROUND(ABS(AI497+AJ497+AK497-AH497),6)&lt;=0.1,1,0),"")</f>
        <v>1</v>
      </c>
      <c r="AM497" s="36">
        <f>IF(E497=1,AI497/AH497,"")</f>
        <v>0.405405405405405</v>
      </c>
      <c r="AN497" s="36">
        <f>IF(E497=1,AJ497/AH497,"")</f>
        <v>0.216216216216216</v>
      </c>
      <c r="AO497" s="36">
        <f>IF(E497=1,AK497/AH497,"")</f>
        <v>0.378378378378378</v>
      </c>
      <c r="AP497" s="34">
        <f>IF(E497=1,Orders!Y494,"")</f>
        <v>0.53</v>
      </c>
      <c r="AQ497" s="33">
        <f>IF(Orders!X494,1,0)</f>
        <v>0</v>
      </c>
      <c r="AR497" s="34" t="str">
        <f>IF(AND(E497=1,L497=1),AJ497,"")</f>
        <v/>
      </c>
      <c r="AS497" s="34">
        <f>IF(AND(E497=1,L497=0),AJ497,"")</f>
        <v>1.6</v>
      </c>
      <c r="AT497" s="34" t="str">
        <f>IF(AND(E497=1,L497=1),AI497,"")</f>
        <v/>
      </c>
      <c r="AU497" s="34">
        <f>IF(AND(E497=1,L497=0),AI497,"")</f>
        <v>3</v>
      </c>
      <c r="AV497" s="34" t="str">
        <f>IF(AND(E497=1,L497=1),AG497,"")</f>
        <v/>
      </c>
      <c r="AW497" s="34">
        <f>IF(AND(E497=1,L497=0),AG497,"")</f>
        <v>8.2</v>
      </c>
      <c r="AX497" s="34" t="str">
        <f>IF(AND(E497=1,L497=1),AH497,"")</f>
        <v/>
      </c>
      <c r="AY497" s="34">
        <f>IF(AND(E497=1,L497=0),AH497,"")</f>
        <v>7.4</v>
      </c>
      <c r="AZ497" s="34" t="str">
        <f>IF(G497=1,F497,"")</f>
        <v/>
      </c>
      <c r="BA497" s="34" t="str">
        <f>IF(AND(G497=1,L497=1),F497,"")</f>
        <v/>
      </c>
      <c r="BB497" s="34" t="str">
        <f>IF(AND(G497=1,L497=0),F497,"")</f>
        <v/>
      </c>
      <c r="BC497" s="33">
        <f>IF(E497=1,IF(Orders!R494&gt;3,1,0),"")</f>
        <v>0</v>
      </c>
      <c r="BD497" s="33">
        <f>IF(E497=1,IF(Orders!R494&gt;7,1,0),"")</f>
        <v>0</v>
      </c>
      <c r="BE497" s="32" t="str">
        <f>IF(E497=1,IF(Orders!L494&lt;=1.5,"Up to 1.5 km",IF(Orders!L494&lt;=3,"1.5–3 km","Over 3 km")),"")</f>
        <v>1.5–3 km</v>
      </c>
      <c r="BF497" s="33">
        <f>IF(E497=1,IF(ABS((Orders!G494-Orders!F494)*1440-Orders!R494)&lt;0.06,1,0),"")</f>
        <v>1</v>
      </c>
      <c r="BG497" s="33">
        <f>IF(ABS((Orders!F494-Orders!E494)*1440-Orders!P494)&lt;0.06,1,0)</f>
        <v>1</v>
      </c>
      <c r="BH497" s="33">
        <f>IF(E497=1,IF(IF(Orders!S494,1,0)=1-G497,1,0),"")</f>
        <v>1</v>
      </c>
      <c r="BI497" s="32" t="str">
        <f>INDEX(Stores!$B$2:$B$21,MATCH(B497,Stores!$A$2:$A$21,0))</f>
        <v>Pune</v>
      </c>
    </row>
    <row r="498">
      <c r="A498" s="32" t="str">
        <f>Orders!A495</f>
        <v>O00494</v>
      </c>
      <c r="B498" s="32" t="str">
        <f>Orders!C495</f>
        <v>S016</v>
      </c>
      <c r="C498" s="32" t="str">
        <f>Orders!B495</f>
        <v>C0205</v>
      </c>
      <c r="D498" s="32" t="str">
        <f>Orders!H495</f>
        <v>Delivered</v>
      </c>
      <c r="E498" s="33">
        <f>IF(Orders!H495="Delivered",1,0)</f>
        <v>1</v>
      </c>
      <c r="F498" s="34">
        <f>IF(E498=1,Orders!R495,"")</f>
        <v>-0.5</v>
      </c>
      <c r="G498" s="33">
        <f>IF(E498=1,IF(Orders!R495&gt;0,1,0),"")</f>
        <v>0</v>
      </c>
      <c r="H498" s="33">
        <f>IF(E498=1,IF(Orders!R495&gt;5,1,0),"")</f>
        <v>0</v>
      </c>
      <c r="I498" s="32" t="str">
        <f>IF(E498=1,"",IF(OR(Orders!T495="Rider unavailable",Orders!T495="Item unavailable"),"Company-caused","Unresolved"))</f>
        <v/>
      </c>
      <c r="J498" s="33">
        <f>IF(OR(E498=1,I498="Company-caused"),1,0)</f>
        <v>1</v>
      </c>
      <c r="K498" s="32" t="str">
        <f>IF(E498=0,IF(I498="Company-caused",IF(Orders!T495="Rider unavailable","C1 Rider unavailable","C2 Item unavailable"),"Outside root: unresolved"),IF(G498=0,"A On time",IF(H498=1,IF(L498=1,"B2a Severe, peak","B2b Severe, off-peak"),IF(L498=1,"B1a Slight, peak","B1b Slight, off-peak"))))</f>
        <v>A On time</v>
      </c>
      <c r="L498" s="33">
        <f>IF(AND(Orders!U495&gt;=19,Orders!U495&lt;22),1,0)</f>
        <v>1</v>
      </c>
      <c r="M498" s="33">
        <f>IF(L498=IF(Orders!V495,1,0),1,0)</f>
        <v>1</v>
      </c>
      <c r="N498" s="32" t="str">
        <f>IF(Orders!W495="","None",Orders!W495)</f>
        <v>None</v>
      </c>
      <c r="O498" s="35">
        <f>INT(Orders!E495)</f>
        <v>46279.0</v>
      </c>
      <c r="P498" s="33">
        <f>Orders!U495</f>
        <v>19</v>
      </c>
      <c r="Q498" s="33">
        <f>COUNTIFS(Demand!$A$2:$A$4481,B498,Demand!$B$2:$B$4481,O498,Demand!$C$2:$C$4481,P498)</f>
        <v>1</v>
      </c>
      <c r="R498" s="33">
        <f>IF(Q498=1,SUMIFS(Demand!$E$2:$E$4481,Demand!$A$2:$A$4481,B498,Demand!$B$2:$B$4481,O498,Demand!$C$2:$C$4481,P498),"")</f>
        <v>41</v>
      </c>
      <c r="S498" s="33">
        <f>INDEX(Stores!$G$2:$G$21,MATCH(B498,Stores!$A$2:$A$21,0))</f>
        <v>25</v>
      </c>
      <c r="T498" s="34">
        <f>IF(R498="","",R498/S498)</f>
        <v>1.64</v>
      </c>
      <c r="U498" s="34">
        <f>IF(E498=1,T498,"")</f>
        <v>1.64</v>
      </c>
      <c r="V498" s="34" t="str">
        <f>IF(AND(E498=1,L498=0),T498,"")</f>
        <v/>
      </c>
      <c r="W498" s="33">
        <f>IF(U498="","",IF(U498&lt;=Breakdowns!$C$5,1,IF(U498&lt;=Breakdowns!$C$6,2,IF(U498&lt;=Breakdowns!$C$7,3,4))))</f>
        <v>4</v>
      </c>
      <c r="X498" s="33" t="str">
        <f>IF(V498="","",IF(V498&lt;=Breakdowns!$D$5,1,IF(V498&lt;=Breakdowns!$D$6,2,IF(V498&lt;=Breakdowns!$D$7,3,4))))</f>
        <v/>
      </c>
      <c r="Y498" s="34">
        <f>INDEX(Stores!$F$2:$F$21,MATCH(B498,Stores!$A$2:$A$21,0))</f>
        <v>5.51</v>
      </c>
      <c r="Z498" s="33">
        <f>IF(Y498&gt;Store_Summary!$M$2,1,0)</f>
        <v>1</v>
      </c>
      <c r="AA498" s="33">
        <f>INDEX(Stores!$C$2:$C$21,MATCH(B498,Stores!$A$2:$A$21,0))</f>
        <v>792</v>
      </c>
      <c r="AB498" s="33">
        <f>IF(AA498&lt;180,1,0)</f>
        <v>0</v>
      </c>
      <c r="AC498" s="32" t="str">
        <f>IF(Orders!D495="","",INDEX(Riders!$C$2:$C$81,MATCH(Orders!D495,Riders!$A$2:$A$81,0)))</f>
        <v>EV scooter</v>
      </c>
      <c r="AD498" s="33">
        <f>IF(Orders!D495="","",INDEX(Riders!$D$2:$D$81,MATCH(Orders!D495,Riders!$A$2:$A$81,0)))</f>
        <v>3</v>
      </c>
      <c r="AE498" s="33">
        <f>IF(Orders!D495="","",IF(INDEX(Riders!$B$2:$B$81,MATCH(Orders!D495,Riders!$A$2:$A$81,0))=B498,1,0))</f>
        <v>0</v>
      </c>
      <c r="AF498" s="34">
        <f>IF(E498=1,Orders!L495,"")</f>
        <v>0.68</v>
      </c>
      <c r="AG498" s="34">
        <f>IF(E498=1,Orders!P495,"")</f>
        <v>9.2</v>
      </c>
      <c r="AH498" s="34">
        <f>IF(E498=1,Orders!Q495,"")</f>
        <v>8.7</v>
      </c>
      <c r="AI498" s="34">
        <f>IF(E498=1,Orders!M495,"")</f>
        <v>3.1</v>
      </c>
      <c r="AJ498" s="34">
        <f>IF(E498=1,Orders!N495,"")</f>
        <v>4.1</v>
      </c>
      <c r="AK498" s="34">
        <f>IF(E498=1,Orders!O495,"")</f>
        <v>1.5</v>
      </c>
      <c r="AL498" s="33">
        <f>IF(E498=1,IF(ROUND(ABS(AI498+AJ498+AK498-AH498),6)&lt;=0.1,1,0),"")</f>
        <v>1</v>
      </c>
      <c r="AM498" s="36">
        <f>IF(E498=1,AI498/AH498,"")</f>
        <v>0.35632183908046</v>
      </c>
      <c r="AN498" s="36">
        <f>IF(E498=1,AJ498/AH498,"")</f>
        <v>0.471264367816092</v>
      </c>
      <c r="AO498" s="36">
        <f>IF(E498=1,AK498/AH498,"")</f>
        <v>0.172413793103448</v>
      </c>
      <c r="AP498" s="34">
        <f>IF(E498=1,Orders!Y495,"")</f>
        <v>0.64</v>
      </c>
      <c r="AQ498" s="33">
        <f>IF(Orders!X495,1,0)</f>
        <v>0</v>
      </c>
      <c r="AR498" s="34">
        <f>IF(AND(E498=1,L498=1),AJ498,"")</f>
        <v>4.1</v>
      </c>
      <c r="AS498" s="34" t="str">
        <f>IF(AND(E498=1,L498=0),AJ498,"")</f>
        <v/>
      </c>
      <c r="AT498" s="34">
        <f>IF(AND(E498=1,L498=1),AI498,"")</f>
        <v>3.1</v>
      </c>
      <c r="AU498" s="34" t="str">
        <f>IF(AND(E498=1,L498=0),AI498,"")</f>
        <v/>
      </c>
      <c r="AV498" s="34">
        <f>IF(AND(E498=1,L498=1),AG498,"")</f>
        <v>9.2</v>
      </c>
      <c r="AW498" s="34" t="str">
        <f>IF(AND(E498=1,L498=0),AG498,"")</f>
        <v/>
      </c>
      <c r="AX498" s="34">
        <f>IF(AND(E498=1,L498=1),AH498,"")</f>
        <v>8.7</v>
      </c>
      <c r="AY498" s="34" t="str">
        <f>IF(AND(E498=1,L498=0),AH498,"")</f>
        <v/>
      </c>
      <c r="AZ498" s="34" t="str">
        <f>IF(G498=1,F498,"")</f>
        <v/>
      </c>
      <c r="BA498" s="34" t="str">
        <f>IF(AND(G498=1,L498=1),F498,"")</f>
        <v/>
      </c>
      <c r="BB498" s="34" t="str">
        <f>IF(AND(G498=1,L498=0),F498,"")</f>
        <v/>
      </c>
      <c r="BC498" s="33">
        <f>IF(E498=1,IF(Orders!R495&gt;3,1,0),"")</f>
        <v>0</v>
      </c>
      <c r="BD498" s="33">
        <f>IF(E498=1,IF(Orders!R495&gt;7,1,0),"")</f>
        <v>0</v>
      </c>
      <c r="BE498" s="32" t="str">
        <f>IF(E498=1,IF(Orders!L495&lt;=1.5,"Up to 1.5 km",IF(Orders!L495&lt;=3,"1.5–3 km","Over 3 km")),"")</f>
        <v>Up to 1.5 km</v>
      </c>
      <c r="BF498" s="33">
        <f>IF(E498=1,IF(ABS((Orders!G495-Orders!F495)*1440-Orders!R495)&lt;0.06,1,0),"")</f>
        <v>1</v>
      </c>
      <c r="BG498" s="33">
        <f>IF(ABS((Orders!F495-Orders!E495)*1440-Orders!P495)&lt;0.06,1,0)</f>
        <v>1</v>
      </c>
      <c r="BH498" s="33">
        <f>IF(E498=1,IF(IF(Orders!S495,1,0)=1-G498,1,0),"")</f>
        <v>1</v>
      </c>
      <c r="BI498" s="32" t="str">
        <f>INDEX(Stores!$B$2:$B$21,MATCH(B498,Stores!$A$2:$A$21,0))</f>
        <v>Bengaluru</v>
      </c>
    </row>
    <row r="499">
      <c r="A499" s="32" t="str">
        <f>Orders!A496</f>
        <v>O00495</v>
      </c>
      <c r="B499" s="32" t="str">
        <f>Orders!C496</f>
        <v>S010</v>
      </c>
      <c r="C499" s="32" t="str">
        <f>Orders!B496</f>
        <v>C0222</v>
      </c>
      <c r="D499" s="32" t="str">
        <f>Orders!H496</f>
        <v>Delivered</v>
      </c>
      <c r="E499" s="33">
        <f>IF(Orders!H496="Delivered",1,0)</f>
        <v>1</v>
      </c>
      <c r="F499" s="34">
        <f>IF(E499=1,Orders!R496,"")</f>
        <v>-0.9</v>
      </c>
      <c r="G499" s="33">
        <f>IF(E499=1,IF(Orders!R496&gt;0,1,0),"")</f>
        <v>0</v>
      </c>
      <c r="H499" s="33">
        <f>IF(E499=1,IF(Orders!R496&gt;5,1,0),"")</f>
        <v>0</v>
      </c>
      <c r="I499" s="32" t="str">
        <f>IF(E499=1,"",IF(OR(Orders!T496="Rider unavailable",Orders!T496="Item unavailable"),"Company-caused","Unresolved"))</f>
        <v/>
      </c>
      <c r="J499" s="33">
        <f>IF(OR(E499=1,I499="Company-caused"),1,0)</f>
        <v>1</v>
      </c>
      <c r="K499" s="32" t="str">
        <f>IF(E499=0,IF(I499="Company-caused",IF(Orders!T496="Rider unavailable","C1 Rider unavailable","C2 Item unavailable"),"Outside root: unresolved"),IF(G499=0,"A On time",IF(H499=1,IF(L499=1,"B2a Severe, peak","B2b Severe, off-peak"),IF(L499=1,"B1a Slight, peak","B1b Slight, off-peak"))))</f>
        <v>A On time</v>
      </c>
      <c r="L499" s="33">
        <f>IF(AND(Orders!U496&gt;=19,Orders!U496&lt;22),1,0)</f>
        <v>0</v>
      </c>
      <c r="M499" s="33">
        <f>IF(L499=IF(Orders!V496,1,0),1,0)</f>
        <v>1</v>
      </c>
      <c r="N499" s="32" t="str">
        <f>IF(Orders!W496="","None",Orders!W496)</f>
        <v>None</v>
      </c>
      <c r="O499" s="35">
        <f>INT(Orders!E496)</f>
        <v>46279.0</v>
      </c>
      <c r="P499" s="33">
        <f>Orders!U496</f>
        <v>9</v>
      </c>
      <c r="Q499" s="33">
        <f>COUNTIFS(Demand!$A$2:$A$4481,B499,Demand!$B$2:$B$4481,O499,Demand!$C$2:$C$4481,P499)</f>
        <v>1</v>
      </c>
      <c r="R499" s="33">
        <f>IF(Q499=1,SUMIFS(Demand!$E$2:$E$4481,Demand!$A$2:$A$4481,B499,Demand!$B$2:$B$4481,O499,Demand!$C$2:$C$4481,P499),"")</f>
        <v>6</v>
      </c>
      <c r="S499" s="33">
        <f>INDEX(Stores!$G$2:$G$21,MATCH(B499,Stores!$A$2:$A$21,0))</f>
        <v>22</v>
      </c>
      <c r="T499" s="34">
        <f>IF(R499="","",R499/S499)</f>
        <v>0.272727272727273</v>
      </c>
      <c r="U499" s="34">
        <f>IF(E499=1,T499,"")</f>
        <v>0.272727272727273</v>
      </c>
      <c r="V499" s="34">
        <f>IF(AND(E499=1,L499=0),T499,"")</f>
        <v>0.272727272727273</v>
      </c>
      <c r="W499" s="33">
        <f>IF(U499="","",IF(U499&lt;=Breakdowns!$C$5,1,IF(U499&lt;=Breakdowns!$C$6,2,IF(U499&lt;=Breakdowns!$C$7,3,4))))</f>
        <v>1</v>
      </c>
      <c r="X499" s="33">
        <f>IF(V499="","",IF(V499&lt;=Breakdowns!$D$5,1,IF(V499&lt;=Breakdowns!$D$6,2,IF(V499&lt;=Breakdowns!$D$7,3,4))))</f>
        <v>1</v>
      </c>
      <c r="Y499" s="34">
        <f>INDEX(Stores!$F$2:$F$21,MATCH(B499,Stores!$A$2:$A$21,0))</f>
        <v>5.61</v>
      </c>
      <c r="Z499" s="33">
        <f>IF(Y499&gt;Store_Summary!$M$2,1,0)</f>
        <v>1</v>
      </c>
      <c r="AA499" s="33">
        <f>INDEX(Stores!$C$2:$C$21,MATCH(B499,Stores!$A$2:$A$21,0))</f>
        <v>744</v>
      </c>
      <c r="AB499" s="33">
        <f>IF(AA499&lt;180,1,0)</f>
        <v>0</v>
      </c>
      <c r="AC499" s="32" t="str">
        <f>IF(Orders!D496="","",INDEX(Riders!$C$2:$C$81,MATCH(Orders!D496,Riders!$A$2:$A$81,0)))</f>
        <v>EV scooter</v>
      </c>
      <c r="AD499" s="33">
        <f>IF(Orders!D496="","",INDEX(Riders!$D$2:$D$81,MATCH(Orders!D496,Riders!$A$2:$A$81,0)))</f>
        <v>3</v>
      </c>
      <c r="AE499" s="33">
        <f>IF(Orders!D496="","",IF(INDEX(Riders!$B$2:$B$81,MATCH(Orders!D496,Riders!$A$2:$A$81,0))=B499,1,0))</f>
        <v>0</v>
      </c>
      <c r="AF499" s="34">
        <f>IF(E499=1,Orders!L496,"")</f>
        <v>0.55</v>
      </c>
      <c r="AG499" s="34">
        <f>IF(E499=1,Orders!P496,"")</f>
        <v>12.3</v>
      </c>
      <c r="AH499" s="34">
        <f>IF(E499=1,Orders!Q496,"")</f>
        <v>11.4</v>
      </c>
      <c r="AI499" s="34">
        <f>IF(E499=1,Orders!M496,"")</f>
        <v>4.3</v>
      </c>
      <c r="AJ499" s="34">
        <f>IF(E499=1,Orders!N496,"")</f>
        <v>5.5</v>
      </c>
      <c r="AK499" s="34">
        <f>IF(E499=1,Orders!O496,"")</f>
        <v>1.6</v>
      </c>
      <c r="AL499" s="33">
        <f>IF(E499=1,IF(ROUND(ABS(AI499+AJ499+AK499-AH499),6)&lt;=0.1,1,0),"")</f>
        <v>1</v>
      </c>
      <c r="AM499" s="36">
        <f>IF(E499=1,AI499/AH499,"")</f>
        <v>0.37719298245614</v>
      </c>
      <c r="AN499" s="36">
        <f>IF(E499=1,AJ499/AH499,"")</f>
        <v>0.482456140350877</v>
      </c>
      <c r="AO499" s="36">
        <f>IF(E499=1,AK499/AH499,"")</f>
        <v>0.140350877192982</v>
      </c>
      <c r="AP499" s="34">
        <f>IF(E499=1,Orders!Y496,"")</f>
        <v>0.51</v>
      </c>
      <c r="AQ499" s="33">
        <f>IF(Orders!X496,1,0)</f>
        <v>0</v>
      </c>
      <c r="AR499" s="34" t="str">
        <f>IF(AND(E499=1,L499=1),AJ499,"")</f>
        <v/>
      </c>
      <c r="AS499" s="34">
        <f>IF(AND(E499=1,L499=0),AJ499,"")</f>
        <v>5.5</v>
      </c>
      <c r="AT499" s="34" t="str">
        <f>IF(AND(E499=1,L499=1),AI499,"")</f>
        <v/>
      </c>
      <c r="AU499" s="34">
        <f>IF(AND(E499=1,L499=0),AI499,"")</f>
        <v>4.3</v>
      </c>
      <c r="AV499" s="34" t="str">
        <f>IF(AND(E499=1,L499=1),AG499,"")</f>
        <v/>
      </c>
      <c r="AW499" s="34">
        <f>IF(AND(E499=1,L499=0),AG499,"")</f>
        <v>12.3</v>
      </c>
      <c r="AX499" s="34" t="str">
        <f>IF(AND(E499=1,L499=1),AH499,"")</f>
        <v/>
      </c>
      <c r="AY499" s="34">
        <f>IF(AND(E499=1,L499=0),AH499,"")</f>
        <v>11.4</v>
      </c>
      <c r="AZ499" s="34" t="str">
        <f>IF(G499=1,F499,"")</f>
        <v/>
      </c>
      <c r="BA499" s="34" t="str">
        <f>IF(AND(G499=1,L499=1),F499,"")</f>
        <v/>
      </c>
      <c r="BB499" s="34" t="str">
        <f>IF(AND(G499=1,L499=0),F499,"")</f>
        <v/>
      </c>
      <c r="BC499" s="33">
        <f>IF(E499=1,IF(Orders!R496&gt;3,1,0),"")</f>
        <v>0</v>
      </c>
      <c r="BD499" s="33">
        <f>IF(E499=1,IF(Orders!R496&gt;7,1,0),"")</f>
        <v>0</v>
      </c>
      <c r="BE499" s="32" t="str">
        <f>IF(E499=1,IF(Orders!L496&lt;=1.5,"Up to 1.5 km",IF(Orders!L496&lt;=3,"1.5–3 km","Over 3 km")),"")</f>
        <v>Up to 1.5 km</v>
      </c>
      <c r="BF499" s="33">
        <f>IF(E499=1,IF(ABS((Orders!G496-Orders!F496)*1440-Orders!R496)&lt;0.06,1,0),"")</f>
        <v>1</v>
      </c>
      <c r="BG499" s="33">
        <f>IF(ABS((Orders!F496-Orders!E496)*1440-Orders!P496)&lt;0.06,1,0)</f>
        <v>1</v>
      </c>
      <c r="BH499" s="33">
        <f>IF(E499=1,IF(IF(Orders!S496,1,0)=1-G499,1,0),"")</f>
        <v>1</v>
      </c>
      <c r="BI499" s="32" t="str">
        <f>INDEX(Stores!$B$2:$B$21,MATCH(B499,Stores!$A$2:$A$21,0))</f>
        <v>Delhi</v>
      </c>
    </row>
    <row r="500">
      <c r="A500" s="32" t="str">
        <f>Orders!A497</f>
        <v>O00496</v>
      </c>
      <c r="B500" s="32" t="str">
        <f>Orders!C497</f>
        <v>S009</v>
      </c>
      <c r="C500" s="32" t="str">
        <f>Orders!B497</f>
        <v>C0063</v>
      </c>
      <c r="D500" s="32" t="str">
        <f>Orders!H497</f>
        <v>Delivered</v>
      </c>
      <c r="E500" s="33">
        <f>IF(Orders!H497="Delivered",1,0)</f>
        <v>1</v>
      </c>
      <c r="F500" s="34">
        <f>IF(E500=1,Orders!R497,"")</f>
        <v>-1.2</v>
      </c>
      <c r="G500" s="33">
        <f>IF(E500=1,IF(Orders!R497&gt;0,1,0),"")</f>
        <v>0</v>
      </c>
      <c r="H500" s="33">
        <f>IF(E500=1,IF(Orders!R497&gt;5,1,0),"")</f>
        <v>0</v>
      </c>
      <c r="I500" s="32" t="str">
        <f>IF(E500=1,"",IF(OR(Orders!T497="Rider unavailable",Orders!T497="Item unavailable"),"Company-caused","Unresolved"))</f>
        <v/>
      </c>
      <c r="J500" s="33">
        <f>IF(OR(E500=1,I500="Company-caused"),1,0)</f>
        <v>1</v>
      </c>
      <c r="K500" s="32" t="str">
        <f>IF(E500=0,IF(I500="Company-caused",IF(Orders!T497="Rider unavailable","C1 Rider unavailable","C2 Item unavailable"),"Outside root: unresolved"),IF(G500=0,"A On time",IF(H500=1,IF(L500=1,"B2a Severe, peak","B2b Severe, off-peak"),IF(L500=1,"B1a Slight, peak","B1b Slight, off-peak"))))</f>
        <v>A On time</v>
      </c>
      <c r="L500" s="33">
        <f>IF(AND(Orders!U497&gt;=19,Orders!U497&lt;22),1,0)</f>
        <v>0</v>
      </c>
      <c r="M500" s="33">
        <f>IF(L500=IF(Orders!V497,1,0),1,0)</f>
        <v>1</v>
      </c>
      <c r="N500" s="32" t="str">
        <f>IF(Orders!W497="","None",Orders!W497)</f>
        <v>Light</v>
      </c>
      <c r="O500" s="35">
        <f>INT(Orders!E497)</f>
        <v>46270.0</v>
      </c>
      <c r="P500" s="33">
        <f>Orders!U497</f>
        <v>8</v>
      </c>
      <c r="Q500" s="33">
        <f>COUNTIFS(Demand!$A$2:$A$4481,B500,Demand!$B$2:$B$4481,O500,Demand!$C$2:$C$4481,P500)</f>
        <v>1</v>
      </c>
      <c r="R500" s="33">
        <f>IF(Q500=1,SUMIFS(Demand!$E$2:$E$4481,Demand!$A$2:$A$4481,B500,Demand!$B$2:$B$4481,O500,Demand!$C$2:$C$4481,P500),"")</f>
        <v>23</v>
      </c>
      <c r="S500" s="33">
        <f>INDEX(Stores!$G$2:$G$21,MATCH(B500,Stores!$A$2:$A$21,0))</f>
        <v>29</v>
      </c>
      <c r="T500" s="34">
        <f>IF(R500="","",R500/S500)</f>
        <v>0.793103448275862</v>
      </c>
      <c r="U500" s="34">
        <f>IF(E500=1,T500,"")</f>
        <v>0.793103448275862</v>
      </c>
      <c r="V500" s="34">
        <f>IF(AND(E500=1,L500=0),T500,"")</f>
        <v>0.793103448275862</v>
      </c>
      <c r="W500" s="33">
        <f>IF(U500="","",IF(U500&lt;=Breakdowns!$C$5,1,IF(U500&lt;=Breakdowns!$C$6,2,IF(U500&lt;=Breakdowns!$C$7,3,4))))</f>
        <v>2</v>
      </c>
      <c r="X500" s="33">
        <f>IF(V500="","",IF(V500&lt;=Breakdowns!$D$5,1,IF(V500&lt;=Breakdowns!$D$6,2,IF(V500&lt;=Breakdowns!$D$7,3,4))))</f>
        <v>2</v>
      </c>
      <c r="Y500" s="34">
        <f>INDEX(Stores!$F$2:$F$21,MATCH(B500,Stores!$A$2:$A$21,0))</f>
        <v>2.66</v>
      </c>
      <c r="Z500" s="33">
        <f>IF(Y500&gt;Store_Summary!$M$2,1,0)</f>
        <v>0</v>
      </c>
      <c r="AA500" s="33">
        <f>INDEX(Stores!$C$2:$C$21,MATCH(B500,Stores!$A$2:$A$21,0))</f>
        <v>645</v>
      </c>
      <c r="AB500" s="33">
        <f>IF(AA500&lt;180,1,0)</f>
        <v>0</v>
      </c>
      <c r="AC500" s="32" t="str">
        <f>IF(Orders!D497="","",INDEX(Riders!$C$2:$C$81,MATCH(Orders!D497,Riders!$A$2:$A$81,0)))</f>
        <v>EV scooter</v>
      </c>
      <c r="AD500" s="33">
        <f>IF(Orders!D497="","",INDEX(Riders!$D$2:$D$81,MATCH(Orders!D497,Riders!$A$2:$A$81,0)))</f>
        <v>36</v>
      </c>
      <c r="AE500" s="33">
        <f>IF(Orders!D497="","",IF(INDEX(Riders!$B$2:$B$81,MATCH(Orders!D497,Riders!$A$2:$A$81,0))=B500,1,0))</f>
        <v>0</v>
      </c>
      <c r="AF500" s="34">
        <f>IF(E500=1,Orders!L497,"")</f>
        <v>2.74</v>
      </c>
      <c r="AG500" s="34">
        <f>IF(E500=1,Orders!P497,"")</f>
        <v>10.7</v>
      </c>
      <c r="AH500" s="34">
        <f>IF(E500=1,Orders!Q497,"")</f>
        <v>9.5</v>
      </c>
      <c r="AI500" s="34">
        <f>IF(E500=1,Orders!M497,"")</f>
        <v>1.5</v>
      </c>
      <c r="AJ500" s="34">
        <f>IF(E500=1,Orders!N497,"")</f>
        <v>2.3</v>
      </c>
      <c r="AK500" s="34">
        <f>IF(E500=1,Orders!O497,"")</f>
        <v>5.7</v>
      </c>
      <c r="AL500" s="33">
        <f>IF(E500=1,IF(ROUND(ABS(AI500+AJ500+AK500-AH500),6)&lt;=0.1,1,0),"")</f>
        <v>1</v>
      </c>
      <c r="AM500" s="36">
        <f>IF(E500=1,AI500/AH500,"")</f>
        <v>0.157894736842105</v>
      </c>
      <c r="AN500" s="36">
        <f>IF(E500=1,AJ500/AH500,"")</f>
        <v>0.242105263157895</v>
      </c>
      <c r="AO500" s="36">
        <f>IF(E500=1,AK500/AH500,"")</f>
        <v>0.6</v>
      </c>
      <c r="AP500" s="34">
        <f>IF(E500=1,Orders!Y497,"")</f>
        <v>0.67</v>
      </c>
      <c r="AQ500" s="33">
        <f>IF(Orders!X497,1,0)</f>
        <v>0</v>
      </c>
      <c r="AR500" s="34" t="str">
        <f>IF(AND(E500=1,L500=1),AJ500,"")</f>
        <v/>
      </c>
      <c r="AS500" s="34">
        <f>IF(AND(E500=1,L500=0),AJ500,"")</f>
        <v>2.3</v>
      </c>
      <c r="AT500" s="34" t="str">
        <f>IF(AND(E500=1,L500=1),AI500,"")</f>
        <v/>
      </c>
      <c r="AU500" s="34">
        <f>IF(AND(E500=1,L500=0),AI500,"")</f>
        <v>1.5</v>
      </c>
      <c r="AV500" s="34" t="str">
        <f>IF(AND(E500=1,L500=1),AG500,"")</f>
        <v/>
      </c>
      <c r="AW500" s="34">
        <f>IF(AND(E500=1,L500=0),AG500,"")</f>
        <v>10.7</v>
      </c>
      <c r="AX500" s="34" t="str">
        <f>IF(AND(E500=1,L500=1),AH500,"")</f>
        <v/>
      </c>
      <c r="AY500" s="34">
        <f>IF(AND(E500=1,L500=0),AH500,"")</f>
        <v>9.5</v>
      </c>
      <c r="AZ500" s="34" t="str">
        <f>IF(G500=1,F500,"")</f>
        <v/>
      </c>
      <c r="BA500" s="34" t="str">
        <f>IF(AND(G500=1,L500=1),F500,"")</f>
        <v/>
      </c>
      <c r="BB500" s="34" t="str">
        <f>IF(AND(G500=1,L500=0),F500,"")</f>
        <v/>
      </c>
      <c r="BC500" s="33">
        <f>IF(E500=1,IF(Orders!R497&gt;3,1,0),"")</f>
        <v>0</v>
      </c>
      <c r="BD500" s="33">
        <f>IF(E500=1,IF(Orders!R497&gt;7,1,0),"")</f>
        <v>0</v>
      </c>
      <c r="BE500" s="32" t="str">
        <f>IF(E500=1,IF(Orders!L497&lt;=1.5,"Up to 1.5 km",IF(Orders!L497&lt;=3,"1.5–3 km","Over 3 km")),"")</f>
        <v>1.5–3 km</v>
      </c>
      <c r="BF500" s="33">
        <f>IF(E500=1,IF(ABS((Orders!G497-Orders!F497)*1440-Orders!R497)&lt;0.06,1,0),"")</f>
        <v>1</v>
      </c>
      <c r="BG500" s="33">
        <f>IF(ABS((Orders!F497-Orders!E497)*1440-Orders!P497)&lt;0.06,1,0)</f>
        <v>1</v>
      </c>
      <c r="BH500" s="33">
        <f>IF(E500=1,IF(IF(Orders!S497,1,0)=1-G500,1,0),"")</f>
        <v>1</v>
      </c>
      <c r="BI500" s="32" t="str">
        <f>INDEX(Stores!$B$2:$B$21,MATCH(B500,Stores!$A$2:$A$21,0))</f>
        <v>Pune</v>
      </c>
    </row>
    <row r="501">
      <c r="A501" s="32" t="str">
        <f>Orders!A498</f>
        <v>O00497</v>
      </c>
      <c r="B501" s="32" t="str">
        <f>Orders!C498</f>
        <v>S019</v>
      </c>
      <c r="C501" s="32" t="str">
        <f>Orders!B498</f>
        <v>C0136</v>
      </c>
      <c r="D501" s="32" t="str">
        <f>Orders!H498</f>
        <v>Delivered</v>
      </c>
      <c r="E501" s="33">
        <f>IF(Orders!H498="Delivered",1,0)</f>
        <v>1</v>
      </c>
      <c r="F501" s="34">
        <f>IF(E501=1,Orders!R498,"")</f>
        <v>6.3</v>
      </c>
      <c r="G501" s="33">
        <f>IF(E501=1,IF(Orders!R498&gt;0,1,0),"")</f>
        <v>1</v>
      </c>
      <c r="H501" s="33">
        <f>IF(E501=1,IF(Orders!R498&gt;5,1,0),"")</f>
        <v>1</v>
      </c>
      <c r="I501" s="32" t="str">
        <f>IF(E501=1,"",IF(OR(Orders!T498="Rider unavailable",Orders!T498="Item unavailable"),"Company-caused","Unresolved"))</f>
        <v/>
      </c>
      <c r="J501" s="33">
        <f>IF(OR(E501=1,I501="Company-caused"),1,0)</f>
        <v>1</v>
      </c>
      <c r="K501" s="32" t="str">
        <f>IF(E501=0,IF(I501="Company-caused",IF(Orders!T498="Rider unavailable","C1 Rider unavailable","C2 Item unavailable"),"Outside root: unresolved"),IF(G501=0,"A On time",IF(H501=1,IF(L501=1,"B2a Severe, peak","B2b Severe, off-peak"),IF(L501=1,"B1a Slight, peak","B1b Slight, off-peak"))))</f>
        <v>B2b Severe, off-peak</v>
      </c>
      <c r="L501" s="33">
        <f>IF(AND(Orders!U498&gt;=19,Orders!U498&lt;22),1,0)</f>
        <v>0</v>
      </c>
      <c r="M501" s="33">
        <f>IF(L501=IF(Orders!V498,1,0),1,0)</f>
        <v>1</v>
      </c>
      <c r="N501" s="32" t="str">
        <f>IF(Orders!W498="","None",Orders!W498)</f>
        <v>Heavy</v>
      </c>
      <c r="O501" s="35">
        <f>INT(Orders!E498)</f>
        <v>46275.0</v>
      </c>
      <c r="P501" s="33">
        <f>Orders!U498</f>
        <v>10</v>
      </c>
      <c r="Q501" s="33">
        <f>COUNTIFS(Demand!$A$2:$A$4481,B501,Demand!$B$2:$B$4481,O501,Demand!$C$2:$C$4481,P501)</f>
        <v>1</v>
      </c>
      <c r="R501" s="33">
        <f>IF(Q501=1,SUMIFS(Demand!$E$2:$E$4481,Demand!$A$2:$A$4481,B501,Demand!$B$2:$B$4481,O501,Demand!$C$2:$C$4481,P501),"")</f>
        <v>20</v>
      </c>
      <c r="S501" s="33">
        <f>INDEX(Stores!$G$2:$G$21,MATCH(B501,Stores!$A$2:$A$21,0))</f>
        <v>22</v>
      </c>
      <c r="T501" s="34">
        <f>IF(R501="","",R501/S501)</f>
        <v>0.909090909090909</v>
      </c>
      <c r="U501" s="34">
        <f>IF(E501=1,T501,"")</f>
        <v>0.909090909090909</v>
      </c>
      <c r="V501" s="34">
        <f>IF(AND(E501=1,L501=0),T501,"")</f>
        <v>0.909090909090909</v>
      </c>
      <c r="W501" s="33">
        <f>IF(U501="","",IF(U501&lt;=Breakdowns!$C$5,1,IF(U501&lt;=Breakdowns!$C$6,2,IF(U501&lt;=Breakdowns!$C$7,3,4))))</f>
        <v>2</v>
      </c>
      <c r="X501" s="33">
        <f>IF(V501="","",IF(V501&lt;=Breakdowns!$D$5,1,IF(V501&lt;=Breakdowns!$D$6,2,IF(V501&lt;=Breakdowns!$D$7,3,4))))</f>
        <v>2</v>
      </c>
      <c r="Y501" s="34">
        <f>INDEX(Stores!$F$2:$F$21,MATCH(B501,Stores!$A$2:$A$21,0))</f>
        <v>4.99</v>
      </c>
      <c r="Z501" s="33">
        <f>IF(Y501&gt;Store_Summary!$M$2,1,0)</f>
        <v>1</v>
      </c>
      <c r="AA501" s="33">
        <f>INDEX(Stores!$C$2:$C$21,MATCH(B501,Stores!$A$2:$A$21,0))</f>
        <v>851</v>
      </c>
      <c r="AB501" s="33">
        <f>IF(AA501&lt;180,1,0)</f>
        <v>0</v>
      </c>
      <c r="AC501" s="32" t="str">
        <f>IF(Orders!D498="","",INDEX(Riders!$C$2:$C$81,MATCH(Orders!D498,Riders!$A$2:$A$81,0)))</f>
        <v>EV scooter</v>
      </c>
      <c r="AD501" s="33">
        <f>IF(Orders!D498="","",INDEX(Riders!$D$2:$D$81,MATCH(Orders!D498,Riders!$A$2:$A$81,0)))</f>
        <v>9</v>
      </c>
      <c r="AE501" s="33">
        <f>IF(Orders!D498="","",IF(INDEX(Riders!$B$2:$B$81,MATCH(Orders!D498,Riders!$A$2:$A$81,0))=B501,1,0))</f>
        <v>0</v>
      </c>
      <c r="AF501" s="34">
        <f>IF(E501=1,Orders!L498,"")</f>
        <v>2.5</v>
      </c>
      <c r="AG501" s="34">
        <f>IF(E501=1,Orders!P498,"")</f>
        <v>10.9</v>
      </c>
      <c r="AH501" s="34">
        <f>IF(E501=1,Orders!Q498,"")</f>
        <v>17.2</v>
      </c>
      <c r="AI501" s="34">
        <f>IF(E501=1,Orders!M498,"")</f>
        <v>5.2</v>
      </c>
      <c r="AJ501" s="34">
        <f>IF(E501=1,Orders!N498,"")</f>
        <v>4.4</v>
      </c>
      <c r="AK501" s="34">
        <f>IF(E501=1,Orders!O498,"")</f>
        <v>7.6</v>
      </c>
      <c r="AL501" s="33">
        <f>IF(E501=1,IF(ROUND(ABS(AI501+AJ501+AK501-AH501),6)&lt;=0.1,1,0),"")</f>
        <v>1</v>
      </c>
      <c r="AM501" s="36">
        <f>IF(E501=1,AI501/AH501,"")</f>
        <v>0.302325581395349</v>
      </c>
      <c r="AN501" s="36">
        <f>IF(E501=1,AJ501/AH501,"")</f>
        <v>0.255813953488372</v>
      </c>
      <c r="AO501" s="36">
        <f>IF(E501=1,AK501/AH501,"")</f>
        <v>0.441860465116279</v>
      </c>
      <c r="AP501" s="34">
        <f>IF(E501=1,Orders!Y498,"")</f>
        <v>0.37</v>
      </c>
      <c r="AQ501" s="33">
        <f>IF(Orders!X498,1,0)</f>
        <v>0</v>
      </c>
      <c r="AR501" s="34" t="str">
        <f>IF(AND(E501=1,L501=1),AJ501,"")</f>
        <v/>
      </c>
      <c r="AS501" s="34">
        <f>IF(AND(E501=1,L501=0),AJ501,"")</f>
        <v>4.4</v>
      </c>
      <c r="AT501" s="34" t="str">
        <f>IF(AND(E501=1,L501=1),AI501,"")</f>
        <v/>
      </c>
      <c r="AU501" s="34">
        <f>IF(AND(E501=1,L501=0),AI501,"")</f>
        <v>5.2</v>
      </c>
      <c r="AV501" s="34" t="str">
        <f>IF(AND(E501=1,L501=1),AG501,"")</f>
        <v/>
      </c>
      <c r="AW501" s="34">
        <f>IF(AND(E501=1,L501=0),AG501,"")</f>
        <v>10.9</v>
      </c>
      <c r="AX501" s="34" t="str">
        <f>IF(AND(E501=1,L501=1),AH501,"")</f>
        <v/>
      </c>
      <c r="AY501" s="34">
        <f>IF(AND(E501=1,L501=0),AH501,"")</f>
        <v>17.2</v>
      </c>
      <c r="AZ501" s="34">
        <f>IF(G501=1,F501,"")</f>
        <v>6.3</v>
      </c>
      <c r="BA501" s="34" t="str">
        <f>IF(AND(G501=1,L501=1),F501,"")</f>
        <v/>
      </c>
      <c r="BB501" s="34">
        <f>IF(AND(G501=1,L501=0),F501,"")</f>
        <v>6.3</v>
      </c>
      <c r="BC501" s="33">
        <f>IF(E501=1,IF(Orders!R498&gt;3,1,0),"")</f>
        <v>1</v>
      </c>
      <c r="BD501" s="33">
        <f>IF(E501=1,IF(Orders!R498&gt;7,1,0),"")</f>
        <v>0</v>
      </c>
      <c r="BE501" s="32" t="str">
        <f>IF(E501=1,IF(Orders!L498&lt;=1.5,"Up to 1.5 km",IF(Orders!L498&lt;=3,"1.5–3 km","Over 3 km")),"")</f>
        <v>1.5–3 km</v>
      </c>
      <c r="BF501" s="33">
        <f>IF(E501=1,IF(ABS((Orders!G498-Orders!F498)*1440-Orders!R498)&lt;0.06,1,0),"")</f>
        <v>1</v>
      </c>
      <c r="BG501" s="33">
        <f>IF(ABS((Orders!F498-Orders!E498)*1440-Orders!P498)&lt;0.06,1,0)</f>
        <v>1</v>
      </c>
      <c r="BH501" s="33">
        <f>IF(E501=1,IF(IF(Orders!S498,1,0)=1-G501,1,0),"")</f>
        <v>1</v>
      </c>
      <c r="BI501" s="32" t="str">
        <f>INDEX(Stores!$B$2:$B$21,MATCH(B501,Stores!$A$2:$A$21,0))</f>
        <v>Pune</v>
      </c>
    </row>
    <row r="502">
      <c r="A502" s="32" t="str">
        <f>Orders!A499</f>
        <v>O00498</v>
      </c>
      <c r="B502" s="32" t="str">
        <f>Orders!C499</f>
        <v>S009</v>
      </c>
      <c r="C502" s="32" t="str">
        <f>Orders!B499</f>
        <v>C0225</v>
      </c>
      <c r="D502" s="32" t="str">
        <f>Orders!H499</f>
        <v>Cancelled</v>
      </c>
      <c r="E502" s="33">
        <f>IF(Orders!H499="Delivered",1,0)</f>
        <v>0</v>
      </c>
      <c r="F502" s="34" t="str">
        <f>IF(E502=1,Orders!R499,"")</f>
        <v/>
      </c>
      <c r="G502" s="33" t="str">
        <f>IF(E502=1,IF(Orders!R499&gt;0,1,0),"")</f>
        <v/>
      </c>
      <c r="H502" s="33" t="str">
        <f>IF(E502=1,IF(Orders!R499&gt;5,1,0),"")</f>
        <v/>
      </c>
      <c r="I502" s="32" t="str">
        <f>IF(E502=1,"",IF(OR(Orders!T499="Rider unavailable",Orders!T499="Item unavailable"),"Company-caused","Unresolved"))</f>
        <v>Company-caused</v>
      </c>
      <c r="J502" s="33">
        <f>IF(OR(E502=1,I502="Company-caused"),1,0)</f>
        <v>1</v>
      </c>
      <c r="K502" s="32" t="str">
        <f>IF(E502=0,IF(I502="Company-caused",IF(Orders!T499="Rider unavailable","C1 Rider unavailable","C2 Item unavailable"),"Outside root: unresolved"),IF(G502=0,"A On time",IF(H502=1,IF(L502=1,"B2a Severe, peak","B2b Severe, off-peak"),IF(L502=1,"B1a Slight, peak","B1b Slight, off-peak"))))</f>
        <v>C1 Rider unavailable</v>
      </c>
      <c r="L502" s="33">
        <f>IF(AND(Orders!U499&gt;=19,Orders!U499&lt;22),1,0)</f>
        <v>0</v>
      </c>
      <c r="M502" s="33">
        <f>IF(L502=IF(Orders!V499,1,0),1,0)</f>
        <v>1</v>
      </c>
      <c r="N502" s="32" t="str">
        <f>IF(Orders!W499="","None",Orders!W499)</f>
        <v>Heavy</v>
      </c>
      <c r="O502" s="35">
        <f>INT(Orders!E499)</f>
        <v>46275.0</v>
      </c>
      <c r="P502" s="33">
        <f>Orders!U499</f>
        <v>18</v>
      </c>
      <c r="Q502" s="33">
        <f>COUNTIFS(Demand!$A$2:$A$4481,B502,Demand!$B$2:$B$4481,O502,Demand!$C$2:$C$4481,P502)</f>
        <v>1</v>
      </c>
      <c r="R502" s="33">
        <f>IF(Q502=1,SUMIFS(Demand!$E$2:$E$4481,Demand!$A$2:$A$4481,B502,Demand!$B$2:$B$4481,O502,Demand!$C$2:$C$4481,P502),"")</f>
        <v>32</v>
      </c>
      <c r="S502" s="33">
        <f>INDEX(Stores!$G$2:$G$21,MATCH(B502,Stores!$A$2:$A$21,0))</f>
        <v>29</v>
      </c>
      <c r="T502" s="34">
        <f>IF(R502="","",R502/S502)</f>
        <v>1.10344827586207</v>
      </c>
      <c r="U502" s="34" t="str">
        <f>IF(E502=1,T502,"")</f>
        <v/>
      </c>
      <c r="V502" s="34" t="str">
        <f>IF(AND(E502=1,L502=0),T502,"")</f>
        <v/>
      </c>
      <c r="W502" s="33" t="str">
        <f>IF(U502="","",IF(U502&lt;=Breakdowns!$C$5,1,IF(U502&lt;=Breakdowns!$C$6,2,IF(U502&lt;=Breakdowns!$C$7,3,4))))</f>
        <v/>
      </c>
      <c r="X502" s="33" t="str">
        <f>IF(V502="","",IF(V502&lt;=Breakdowns!$D$5,1,IF(V502&lt;=Breakdowns!$D$6,2,IF(V502&lt;=Breakdowns!$D$7,3,4))))</f>
        <v/>
      </c>
      <c r="Y502" s="34">
        <f>INDEX(Stores!$F$2:$F$21,MATCH(B502,Stores!$A$2:$A$21,0))</f>
        <v>2.66</v>
      </c>
      <c r="Z502" s="33">
        <f>IF(Y502&gt;Store_Summary!$M$2,1,0)</f>
        <v>0</v>
      </c>
      <c r="AA502" s="33">
        <f>INDEX(Stores!$C$2:$C$21,MATCH(B502,Stores!$A$2:$A$21,0))</f>
        <v>645</v>
      </c>
      <c r="AB502" s="33">
        <f>IF(AA502&lt;180,1,0)</f>
        <v>0</v>
      </c>
      <c r="AC502" s="32" t="str">
        <f>IF(Orders!D499="","",INDEX(Riders!$C$2:$C$81,MATCH(Orders!D499,Riders!$A$2:$A$81,0)))</f>
        <v/>
      </c>
      <c r="AD502" s="33" t="str">
        <f>IF(Orders!D499="","",INDEX(Riders!$D$2:$D$81,MATCH(Orders!D499,Riders!$A$2:$A$81,0)))</f>
        <v/>
      </c>
      <c r="AE502" s="33" t="str">
        <f>IF(Orders!D499="","",IF(INDEX(Riders!$B$2:$B$81,MATCH(Orders!D499,Riders!$A$2:$A$81,0))=B502,1,0))</f>
        <v/>
      </c>
      <c r="AF502" s="34" t="str">
        <f>IF(E502=1,Orders!L499,"")</f>
        <v/>
      </c>
      <c r="AG502" s="34" t="str">
        <f>IF(E502=1,Orders!P499,"")</f>
        <v/>
      </c>
      <c r="AH502" s="34" t="str">
        <f>IF(E502=1,Orders!Q499,"")</f>
        <v/>
      </c>
      <c r="AI502" s="34" t="str">
        <f>IF(E502=1,Orders!M499,"")</f>
        <v/>
      </c>
      <c r="AJ502" s="34" t="str">
        <f>IF(E502=1,Orders!N499,"")</f>
        <v/>
      </c>
      <c r="AK502" s="34" t="str">
        <f>IF(E502=1,Orders!O499,"")</f>
        <v/>
      </c>
      <c r="AL502" s="33" t="str">
        <f>IF(E502=1,IF(ROUND(ABS(AI502+AJ502+AK502-AH502),6)&lt;=0.1,1,0),"")</f>
        <v/>
      </c>
      <c r="AM502" s="36" t="str">
        <f>IF(E502=1,AI502/AH502,"")</f>
        <v/>
      </c>
      <c r="AN502" s="36" t="str">
        <f>IF(E502=1,AJ502/AH502,"")</f>
        <v/>
      </c>
      <c r="AO502" s="36" t="str">
        <f>IF(E502=1,AK502/AH502,"")</f>
        <v/>
      </c>
      <c r="AP502" s="34" t="str">
        <f>IF(E502=1,Orders!Y499,"")</f>
        <v/>
      </c>
      <c r="AQ502" s="33">
        <f>IF(Orders!X499,1,0)</f>
        <v>0</v>
      </c>
      <c r="AR502" s="34" t="str">
        <f>IF(AND(E502=1,L502=1),AJ502,"")</f>
        <v/>
      </c>
      <c r="AS502" s="34" t="str">
        <f>IF(AND(E502=1,L502=0),AJ502,"")</f>
        <v/>
      </c>
      <c r="AT502" s="34" t="str">
        <f>IF(AND(E502=1,L502=1),AI502,"")</f>
        <v/>
      </c>
      <c r="AU502" s="34" t="str">
        <f>IF(AND(E502=1,L502=0),AI502,"")</f>
        <v/>
      </c>
      <c r="AV502" s="34" t="str">
        <f>IF(AND(E502=1,L502=1),AG502,"")</f>
        <v/>
      </c>
      <c r="AW502" s="34" t="str">
        <f>IF(AND(E502=1,L502=0),AG502,"")</f>
        <v/>
      </c>
      <c r="AX502" s="34" t="str">
        <f>IF(AND(E502=1,L502=1),AH502,"")</f>
        <v/>
      </c>
      <c r="AY502" s="34" t="str">
        <f>IF(AND(E502=1,L502=0),AH502,"")</f>
        <v/>
      </c>
      <c r="AZ502" s="34" t="str">
        <f>IF(G502=1,F502,"")</f>
        <v/>
      </c>
      <c r="BA502" s="34" t="str">
        <f>IF(AND(G502=1,L502=1),F502,"")</f>
        <v/>
      </c>
      <c r="BB502" s="34" t="str">
        <f>IF(AND(G502=1,L502=0),F502,"")</f>
        <v/>
      </c>
      <c r="BC502" s="33" t="str">
        <f>IF(E502=1,IF(Orders!R499&gt;3,1,0),"")</f>
        <v/>
      </c>
      <c r="BD502" s="33" t="str">
        <f>IF(E502=1,IF(Orders!R499&gt;7,1,0),"")</f>
        <v/>
      </c>
      <c r="BE502" s="32" t="str">
        <f>IF(E502=1,IF(Orders!L499&lt;=1.5,"Up to 1.5 km",IF(Orders!L499&lt;=3,"1.5–3 km","Over 3 km")),"")</f>
        <v/>
      </c>
      <c r="BF502" s="33" t="str">
        <f>IF(E502=1,IF(ABS((Orders!G499-Orders!F499)*1440-Orders!R499)&lt;0.06,1,0),"")</f>
        <v/>
      </c>
      <c r="BG502" s="33">
        <f>IF(ABS((Orders!F499-Orders!E499)*1440-Orders!P499)&lt;0.06,1,0)</f>
        <v>1</v>
      </c>
      <c r="BH502" s="33" t="str">
        <f>IF(E502=1,IF(IF(Orders!S499,1,0)=1-G502,1,0),"")</f>
        <v/>
      </c>
      <c r="BI502" s="32" t="str">
        <f>INDEX(Stores!$B$2:$B$21,MATCH(B502,Stores!$A$2:$A$21,0))</f>
        <v>Pune</v>
      </c>
    </row>
    <row r="503">
      <c r="A503" s="32" t="str">
        <f>Orders!A500</f>
        <v>O00499</v>
      </c>
      <c r="B503" s="32" t="str">
        <f>Orders!C500</f>
        <v>S015</v>
      </c>
      <c r="C503" s="32" t="str">
        <f>Orders!B500</f>
        <v>C0212</v>
      </c>
      <c r="D503" s="32" t="str">
        <f>Orders!H500</f>
        <v>Delivered</v>
      </c>
      <c r="E503" s="33">
        <f>IF(Orders!H500="Delivered",1,0)</f>
        <v>1</v>
      </c>
      <c r="F503" s="34">
        <f>IF(E503=1,Orders!R500,"")</f>
        <v>-0.6</v>
      </c>
      <c r="G503" s="33">
        <f>IF(E503=1,IF(Orders!R500&gt;0,1,0),"")</f>
        <v>0</v>
      </c>
      <c r="H503" s="33">
        <f>IF(E503=1,IF(Orders!R500&gt;5,1,0),"")</f>
        <v>0</v>
      </c>
      <c r="I503" s="32" t="str">
        <f>IF(E503=1,"",IF(OR(Orders!T500="Rider unavailable",Orders!T500="Item unavailable"),"Company-caused","Unresolved"))</f>
        <v/>
      </c>
      <c r="J503" s="33">
        <f>IF(OR(E503=1,I503="Company-caused"),1,0)</f>
        <v>1</v>
      </c>
      <c r="K503" s="32" t="str">
        <f>IF(E503=0,IF(I503="Company-caused",IF(Orders!T500="Rider unavailable","C1 Rider unavailable","C2 Item unavailable"),"Outside root: unresolved"),IF(G503=0,"A On time",IF(H503=1,IF(L503=1,"B2a Severe, peak","B2b Severe, off-peak"),IF(L503=1,"B1a Slight, peak","B1b Slight, off-peak"))))</f>
        <v>A On time</v>
      </c>
      <c r="L503" s="33">
        <f>IF(AND(Orders!U500&gt;=19,Orders!U500&lt;22),1,0)</f>
        <v>0</v>
      </c>
      <c r="M503" s="33">
        <f>IF(L503=IF(Orders!V500,1,0),1,0)</f>
        <v>1</v>
      </c>
      <c r="N503" s="32" t="str">
        <f>IF(Orders!W500="","None",Orders!W500)</f>
        <v>Light</v>
      </c>
      <c r="O503" s="35">
        <f>INT(Orders!E500)</f>
        <v>46276.0</v>
      </c>
      <c r="P503" s="33">
        <f>Orders!U500</f>
        <v>12</v>
      </c>
      <c r="Q503" s="33">
        <f>COUNTIFS(Demand!$A$2:$A$4481,B503,Demand!$B$2:$B$4481,O503,Demand!$C$2:$C$4481,P503)</f>
        <v>1</v>
      </c>
      <c r="R503" s="33">
        <f>IF(Q503=1,SUMIFS(Demand!$E$2:$E$4481,Demand!$A$2:$A$4481,B503,Demand!$B$2:$B$4481,O503,Demand!$C$2:$C$4481,P503),"")</f>
        <v>16</v>
      </c>
      <c r="S503" s="33">
        <f>INDEX(Stores!$G$2:$G$21,MATCH(B503,Stores!$A$2:$A$21,0))</f>
        <v>23</v>
      </c>
      <c r="T503" s="34">
        <f>IF(R503="","",R503/S503)</f>
        <v>0.695652173913044</v>
      </c>
      <c r="U503" s="34">
        <f>IF(E503=1,T503,"")</f>
        <v>0.695652173913044</v>
      </c>
      <c r="V503" s="34">
        <f>IF(AND(E503=1,L503=0),T503,"")</f>
        <v>0.695652173913044</v>
      </c>
      <c r="W503" s="33">
        <f>IF(U503="","",IF(U503&lt;=Breakdowns!$C$5,1,IF(U503&lt;=Breakdowns!$C$6,2,IF(U503&lt;=Breakdowns!$C$7,3,4))))</f>
        <v>1</v>
      </c>
      <c r="X503" s="33">
        <f>IF(V503="","",IF(V503&lt;=Breakdowns!$D$5,1,IF(V503&lt;=Breakdowns!$D$6,2,IF(V503&lt;=Breakdowns!$D$7,3,4))))</f>
        <v>1</v>
      </c>
      <c r="Y503" s="34">
        <f>INDEX(Stores!$F$2:$F$21,MATCH(B503,Stores!$A$2:$A$21,0))</f>
        <v>4.66</v>
      </c>
      <c r="Z503" s="33">
        <f>IF(Y503&gt;Store_Summary!$M$2,1,0)</f>
        <v>0</v>
      </c>
      <c r="AA503" s="33">
        <f>INDEX(Stores!$C$2:$C$21,MATCH(B503,Stores!$A$2:$A$21,0))</f>
        <v>204</v>
      </c>
      <c r="AB503" s="33">
        <f>IF(AA503&lt;180,1,0)</f>
        <v>0</v>
      </c>
      <c r="AC503" s="32" t="str">
        <f>IF(Orders!D500="","",INDEX(Riders!$C$2:$C$81,MATCH(Orders!D500,Riders!$A$2:$A$81,0)))</f>
        <v>EV scooter</v>
      </c>
      <c r="AD503" s="33">
        <f>IF(Orders!D500="","",INDEX(Riders!$D$2:$D$81,MATCH(Orders!D500,Riders!$A$2:$A$81,0)))</f>
        <v>12</v>
      </c>
      <c r="AE503" s="33">
        <f>IF(Orders!D500="","",IF(INDEX(Riders!$B$2:$B$81,MATCH(Orders!D500,Riders!$A$2:$A$81,0))=B503,1,0))</f>
        <v>0</v>
      </c>
      <c r="AF503" s="34">
        <f>IF(E503=1,Orders!L500,"")</f>
        <v>4.6</v>
      </c>
      <c r="AG503" s="34">
        <f>IF(E503=1,Orders!P500,"")</f>
        <v>10.9</v>
      </c>
      <c r="AH503" s="34">
        <f>IF(E503=1,Orders!Q500,"")</f>
        <v>10.3</v>
      </c>
      <c r="AI503" s="34">
        <f>IF(E503=1,Orders!M500,"")</f>
        <v>2.2</v>
      </c>
      <c r="AJ503" s="34">
        <f>IF(E503=1,Orders!N500,"")</f>
        <v>2.3</v>
      </c>
      <c r="AK503" s="34">
        <f>IF(E503=1,Orders!O500,"")</f>
        <v>5.8</v>
      </c>
      <c r="AL503" s="33">
        <f>IF(E503=1,IF(ROUND(ABS(AI503+AJ503+AK503-AH503),6)&lt;=0.1,1,0),"")</f>
        <v>1</v>
      </c>
      <c r="AM503" s="36">
        <f>IF(E503=1,AI503/AH503,"")</f>
        <v>0.213592233009709</v>
      </c>
      <c r="AN503" s="36">
        <f>IF(E503=1,AJ503/AH503,"")</f>
        <v>0.223300970873786</v>
      </c>
      <c r="AO503" s="36">
        <f>IF(E503=1,AK503/AH503,"")</f>
        <v>0.563106796116505</v>
      </c>
      <c r="AP503" s="34">
        <f>IF(E503=1,Orders!Y500,"")</f>
        <v>0.62</v>
      </c>
      <c r="AQ503" s="33">
        <f>IF(Orders!X500,1,0)</f>
        <v>0</v>
      </c>
      <c r="AR503" s="34" t="str">
        <f>IF(AND(E503=1,L503=1),AJ503,"")</f>
        <v/>
      </c>
      <c r="AS503" s="34">
        <f>IF(AND(E503=1,L503=0),AJ503,"")</f>
        <v>2.3</v>
      </c>
      <c r="AT503" s="34" t="str">
        <f>IF(AND(E503=1,L503=1),AI503,"")</f>
        <v/>
      </c>
      <c r="AU503" s="34">
        <f>IF(AND(E503=1,L503=0),AI503,"")</f>
        <v>2.2</v>
      </c>
      <c r="AV503" s="34" t="str">
        <f>IF(AND(E503=1,L503=1),AG503,"")</f>
        <v/>
      </c>
      <c r="AW503" s="34">
        <f>IF(AND(E503=1,L503=0),AG503,"")</f>
        <v>10.9</v>
      </c>
      <c r="AX503" s="34" t="str">
        <f>IF(AND(E503=1,L503=1),AH503,"")</f>
        <v/>
      </c>
      <c r="AY503" s="34">
        <f>IF(AND(E503=1,L503=0),AH503,"")</f>
        <v>10.3</v>
      </c>
      <c r="AZ503" s="34" t="str">
        <f>IF(G503=1,F503,"")</f>
        <v/>
      </c>
      <c r="BA503" s="34" t="str">
        <f>IF(AND(G503=1,L503=1),F503,"")</f>
        <v/>
      </c>
      <c r="BB503" s="34" t="str">
        <f>IF(AND(G503=1,L503=0),F503,"")</f>
        <v/>
      </c>
      <c r="BC503" s="33">
        <f>IF(E503=1,IF(Orders!R500&gt;3,1,0),"")</f>
        <v>0</v>
      </c>
      <c r="BD503" s="33">
        <f>IF(E503=1,IF(Orders!R500&gt;7,1,0),"")</f>
        <v>0</v>
      </c>
      <c r="BE503" s="32" t="str">
        <f>IF(E503=1,IF(Orders!L500&lt;=1.5,"Up to 1.5 km",IF(Orders!L500&lt;=3,"1.5–3 km","Over 3 km")),"")</f>
        <v>Over 3 km</v>
      </c>
      <c r="BF503" s="33">
        <f>IF(E503=1,IF(ABS((Orders!G500-Orders!F500)*1440-Orders!R500)&lt;0.06,1,0),"")</f>
        <v>1</v>
      </c>
      <c r="BG503" s="33">
        <f>IF(ABS((Orders!F500-Orders!E500)*1440-Orders!P500)&lt;0.06,1,0)</f>
        <v>1</v>
      </c>
      <c r="BH503" s="33">
        <f>IF(E503=1,IF(IF(Orders!S500,1,0)=1-G503,1,0),"")</f>
        <v>1</v>
      </c>
      <c r="BI503" s="32" t="str">
        <f>INDEX(Stores!$B$2:$B$21,MATCH(B503,Stores!$A$2:$A$21,0))</f>
        <v>Delhi</v>
      </c>
    </row>
    <row r="504">
      <c r="A504" s="32" t="str">
        <f>Orders!A501</f>
        <v>O00500</v>
      </c>
      <c r="B504" s="32" t="str">
        <f>Orders!C501</f>
        <v>S005</v>
      </c>
      <c r="C504" s="32" t="str">
        <f>Orders!B501</f>
        <v>C0147</v>
      </c>
      <c r="D504" s="32" t="str">
        <f>Orders!H501</f>
        <v>Delivered</v>
      </c>
      <c r="E504" s="33">
        <f>IF(Orders!H501="Delivered",1,0)</f>
        <v>1</v>
      </c>
      <c r="F504" s="34">
        <f>IF(E504=1,Orders!R501,"")</f>
        <v>-0.6</v>
      </c>
      <c r="G504" s="33">
        <f>IF(E504=1,IF(Orders!R501&gt;0,1,0),"")</f>
        <v>0</v>
      </c>
      <c r="H504" s="33">
        <f>IF(E504=1,IF(Orders!R501&gt;5,1,0),"")</f>
        <v>0</v>
      </c>
      <c r="I504" s="32" t="str">
        <f>IF(E504=1,"",IF(OR(Orders!T501="Rider unavailable",Orders!T501="Item unavailable"),"Company-caused","Unresolved"))</f>
        <v/>
      </c>
      <c r="J504" s="33">
        <f>IF(OR(E504=1,I504="Company-caused"),1,0)</f>
        <v>1</v>
      </c>
      <c r="K504" s="32" t="str">
        <f>IF(E504=0,IF(I504="Company-caused",IF(Orders!T501="Rider unavailable","C1 Rider unavailable","C2 Item unavailable"),"Outside root: unresolved"),IF(G504=0,"A On time",IF(H504=1,IF(L504=1,"B2a Severe, peak","B2b Severe, off-peak"),IF(L504=1,"B1a Slight, peak","B1b Slight, off-peak"))))</f>
        <v>A On time</v>
      </c>
      <c r="L504" s="33">
        <f>IF(AND(Orders!U501&gt;=19,Orders!U501&lt;22),1,0)</f>
        <v>1</v>
      </c>
      <c r="M504" s="33">
        <f>IF(L504=IF(Orders!V501,1,0),1,0)</f>
        <v>1</v>
      </c>
      <c r="N504" s="32" t="str">
        <f>IF(Orders!W501="","None",Orders!W501)</f>
        <v>Light</v>
      </c>
      <c r="O504" s="35">
        <f>INT(Orders!E501)</f>
        <v>46270.0</v>
      </c>
      <c r="P504" s="33">
        <f>Orders!U501</f>
        <v>21</v>
      </c>
      <c r="Q504" s="33">
        <f>COUNTIFS(Demand!$A$2:$A$4481,B504,Demand!$B$2:$B$4481,O504,Demand!$C$2:$C$4481,P504)</f>
        <v>1</v>
      </c>
      <c r="R504" s="33">
        <f>IF(Q504=1,SUMIFS(Demand!$E$2:$E$4481,Demand!$A$2:$A$4481,B504,Demand!$B$2:$B$4481,O504,Demand!$C$2:$C$4481,P504),"")</f>
        <v>19</v>
      </c>
      <c r="S504" s="33">
        <f>INDEX(Stores!$G$2:$G$21,MATCH(B504,Stores!$A$2:$A$21,0))</f>
        <v>14</v>
      </c>
      <c r="T504" s="34">
        <f>IF(R504="","",R504/S504)</f>
        <v>1.35714285714286</v>
      </c>
      <c r="U504" s="34">
        <f>IF(E504=1,T504,"")</f>
        <v>1.35714285714286</v>
      </c>
      <c r="V504" s="34" t="str">
        <f>IF(AND(E504=1,L504=0),T504,"")</f>
        <v/>
      </c>
      <c r="W504" s="33">
        <f>IF(U504="","",IF(U504&lt;=Breakdowns!$C$5,1,IF(U504&lt;=Breakdowns!$C$6,2,IF(U504&lt;=Breakdowns!$C$7,3,4))))</f>
        <v>4</v>
      </c>
      <c r="X504" s="33" t="str">
        <f>IF(V504="","",IF(V504&lt;=Breakdowns!$D$5,1,IF(V504&lt;=Breakdowns!$D$6,2,IF(V504&lt;=Breakdowns!$D$7,3,4))))</f>
        <v/>
      </c>
      <c r="Y504" s="34">
        <f>INDEX(Stores!$F$2:$F$21,MATCH(B504,Stores!$A$2:$A$21,0))</f>
        <v>4.89</v>
      </c>
      <c r="Z504" s="33">
        <f>IF(Y504&gt;Store_Summary!$M$2,1,0)</f>
        <v>0</v>
      </c>
      <c r="AA504" s="33">
        <f>INDEX(Stores!$C$2:$C$21,MATCH(B504,Stores!$A$2:$A$21,0))</f>
        <v>138</v>
      </c>
      <c r="AB504" s="33">
        <f>IF(AA504&lt;180,1,0)</f>
        <v>1</v>
      </c>
      <c r="AC504" s="32" t="str">
        <f>IF(Orders!D501="","",INDEX(Riders!$C$2:$C$81,MATCH(Orders!D501,Riders!$A$2:$A$81,0)))</f>
        <v>Petrol scooter</v>
      </c>
      <c r="AD504" s="33">
        <f>IF(Orders!D501="","",INDEX(Riders!$D$2:$D$81,MATCH(Orders!D501,Riders!$A$2:$A$81,0)))</f>
        <v>37</v>
      </c>
      <c r="AE504" s="33">
        <f>IF(Orders!D501="","",IF(INDEX(Riders!$B$2:$B$81,MATCH(Orders!D501,Riders!$A$2:$A$81,0))=B504,1,0))</f>
        <v>0</v>
      </c>
      <c r="AF504" s="34">
        <f>IF(E504=1,Orders!L501,"")</f>
        <v>1.12</v>
      </c>
      <c r="AG504" s="34">
        <f>IF(E504=1,Orders!P501,"")</f>
        <v>8.3</v>
      </c>
      <c r="AH504" s="34">
        <f>IF(E504=1,Orders!Q501,"")</f>
        <v>7.7</v>
      </c>
      <c r="AI504" s="34">
        <f>IF(E504=1,Orders!M501,"")</f>
        <v>2.6</v>
      </c>
      <c r="AJ504" s="34">
        <f>IF(E504=1,Orders!N501,"")</f>
        <v>3.1</v>
      </c>
      <c r="AK504" s="34">
        <f>IF(E504=1,Orders!O501,"")</f>
        <v>2</v>
      </c>
      <c r="AL504" s="33">
        <f>IF(E504=1,IF(ROUND(ABS(AI504+AJ504+AK504-AH504),6)&lt;=0.1,1,0),"")</f>
        <v>1</v>
      </c>
      <c r="AM504" s="36">
        <f>IF(E504=1,AI504/AH504,"")</f>
        <v>0.337662337662338</v>
      </c>
      <c r="AN504" s="36">
        <f>IF(E504=1,AJ504/AH504,"")</f>
        <v>0.402597402597403</v>
      </c>
      <c r="AO504" s="36">
        <f>IF(E504=1,AK504/AH504,"")</f>
        <v>0.25974025974026</v>
      </c>
      <c r="AP504" s="34">
        <f>IF(E504=1,Orders!Y501,"")</f>
        <v>0.55</v>
      </c>
      <c r="AQ504" s="33">
        <f>IF(Orders!X501,1,0)</f>
        <v>0</v>
      </c>
      <c r="AR504" s="34">
        <f>IF(AND(E504=1,L504=1),AJ504,"")</f>
        <v>3.1</v>
      </c>
      <c r="AS504" s="34" t="str">
        <f>IF(AND(E504=1,L504=0),AJ504,"")</f>
        <v/>
      </c>
      <c r="AT504" s="34">
        <f>IF(AND(E504=1,L504=1),AI504,"")</f>
        <v>2.6</v>
      </c>
      <c r="AU504" s="34" t="str">
        <f>IF(AND(E504=1,L504=0),AI504,"")</f>
        <v/>
      </c>
      <c r="AV504" s="34">
        <f>IF(AND(E504=1,L504=1),AG504,"")</f>
        <v>8.3</v>
      </c>
      <c r="AW504" s="34" t="str">
        <f>IF(AND(E504=1,L504=0),AG504,"")</f>
        <v/>
      </c>
      <c r="AX504" s="34">
        <f>IF(AND(E504=1,L504=1),AH504,"")</f>
        <v>7.7</v>
      </c>
      <c r="AY504" s="34" t="str">
        <f>IF(AND(E504=1,L504=0),AH504,"")</f>
        <v/>
      </c>
      <c r="AZ504" s="34" t="str">
        <f>IF(G504=1,F504,"")</f>
        <v/>
      </c>
      <c r="BA504" s="34" t="str">
        <f>IF(AND(G504=1,L504=1),F504,"")</f>
        <v/>
      </c>
      <c r="BB504" s="34" t="str">
        <f>IF(AND(G504=1,L504=0),F504,"")</f>
        <v/>
      </c>
      <c r="BC504" s="33">
        <f>IF(E504=1,IF(Orders!R501&gt;3,1,0),"")</f>
        <v>0</v>
      </c>
      <c r="BD504" s="33">
        <f>IF(E504=1,IF(Orders!R501&gt;7,1,0),"")</f>
        <v>0</v>
      </c>
      <c r="BE504" s="32" t="str">
        <f>IF(E504=1,IF(Orders!L501&lt;=1.5,"Up to 1.5 km",IF(Orders!L501&lt;=3,"1.5–3 km","Over 3 km")),"")</f>
        <v>Up to 1.5 km</v>
      </c>
      <c r="BF504" s="33">
        <f>IF(E504=1,IF(ABS((Orders!G501-Orders!F501)*1440-Orders!R501)&lt;0.06,1,0),"")</f>
        <v>1</v>
      </c>
      <c r="BG504" s="33">
        <f>IF(ABS((Orders!F501-Orders!E501)*1440-Orders!P501)&lt;0.06,1,0)</f>
        <v>1</v>
      </c>
      <c r="BH504" s="33">
        <f>IF(E504=1,IF(IF(Orders!S501,1,0)=1-G504,1,0),"")</f>
        <v>1</v>
      </c>
      <c r="BI504" s="32" t="str">
        <f>INDEX(Stores!$B$2:$B$21,MATCH(B504,Stores!$A$2:$A$21,0))</f>
        <v>Delhi</v>
      </c>
    </row>
    <row r="505">
      <c r="A505" s="32" t="str">
        <f>Orders!A502</f>
        <v>O00501</v>
      </c>
      <c r="B505" s="32" t="str">
        <f>Orders!C502</f>
        <v>S014</v>
      </c>
      <c r="C505" s="32" t="str">
        <f>Orders!B502</f>
        <v>C0004</v>
      </c>
      <c r="D505" s="32" t="str">
        <f>Orders!H502</f>
        <v>Delivered</v>
      </c>
      <c r="E505" s="33">
        <f>IF(Orders!H502="Delivered",1,0)</f>
        <v>1</v>
      </c>
      <c r="F505" s="34">
        <f>IF(E505=1,Orders!R502,"")</f>
        <v>-0.6</v>
      </c>
      <c r="G505" s="33">
        <f>IF(E505=1,IF(Orders!R502&gt;0,1,0),"")</f>
        <v>0</v>
      </c>
      <c r="H505" s="33">
        <f>IF(E505=1,IF(Orders!R502&gt;5,1,0),"")</f>
        <v>0</v>
      </c>
      <c r="I505" s="32" t="str">
        <f>IF(E505=1,"",IF(OR(Orders!T502="Rider unavailable",Orders!T502="Item unavailable"),"Company-caused","Unresolved"))</f>
        <v/>
      </c>
      <c r="J505" s="33">
        <f>IF(OR(E505=1,I505="Company-caused"),1,0)</f>
        <v>1</v>
      </c>
      <c r="K505" s="32" t="str">
        <f>IF(E505=0,IF(I505="Company-caused",IF(Orders!T502="Rider unavailable","C1 Rider unavailable","C2 Item unavailable"),"Outside root: unresolved"),IF(G505=0,"A On time",IF(H505=1,IF(L505=1,"B2a Severe, peak","B2b Severe, off-peak"),IF(L505=1,"B1a Slight, peak","B1b Slight, off-peak"))))</f>
        <v>A On time</v>
      </c>
      <c r="L505" s="33">
        <f>IF(AND(Orders!U502&gt;=19,Orders!U502&lt;22),1,0)</f>
        <v>0</v>
      </c>
      <c r="M505" s="33">
        <f>IF(L505=IF(Orders!V502,1,0),1,0)</f>
        <v>1</v>
      </c>
      <c r="N505" s="32" t="str">
        <f>IF(Orders!W502="","None",Orders!W502)</f>
        <v>None</v>
      </c>
      <c r="O505" s="35">
        <f>INT(Orders!E502)</f>
        <v>46266.0</v>
      </c>
      <c r="P505" s="33">
        <f>Orders!U502</f>
        <v>18</v>
      </c>
      <c r="Q505" s="33">
        <f>COUNTIFS(Demand!$A$2:$A$4481,B505,Demand!$B$2:$B$4481,O505,Demand!$C$2:$C$4481,P505)</f>
        <v>1</v>
      </c>
      <c r="R505" s="33">
        <f>IF(Q505=1,SUMIFS(Demand!$E$2:$E$4481,Demand!$A$2:$A$4481,B505,Demand!$B$2:$B$4481,O505,Demand!$C$2:$C$4481,P505),"")</f>
        <v>36</v>
      </c>
      <c r="S505" s="33">
        <f>INDEX(Stores!$G$2:$G$21,MATCH(B505,Stores!$A$2:$A$21,0))</f>
        <v>37</v>
      </c>
      <c r="T505" s="34">
        <f>IF(R505="","",R505/S505)</f>
        <v>0.972972972972973</v>
      </c>
      <c r="U505" s="34">
        <f>IF(E505=1,T505,"")</f>
        <v>0.972972972972973</v>
      </c>
      <c r="V505" s="34">
        <f>IF(AND(E505=1,L505=0),T505,"")</f>
        <v>0.972972972972973</v>
      </c>
      <c r="W505" s="33">
        <f>IF(U505="","",IF(U505&lt;=Breakdowns!$C$5,1,IF(U505&lt;=Breakdowns!$C$6,2,IF(U505&lt;=Breakdowns!$C$7,3,4))))</f>
        <v>2</v>
      </c>
      <c r="X505" s="33">
        <f>IF(V505="","",IF(V505&lt;=Breakdowns!$D$5,1,IF(V505&lt;=Breakdowns!$D$6,2,IF(V505&lt;=Breakdowns!$D$7,3,4))))</f>
        <v>3</v>
      </c>
      <c r="Y505" s="34">
        <f>INDEX(Stores!$F$2:$F$21,MATCH(B505,Stores!$A$2:$A$21,0))</f>
        <v>5.55</v>
      </c>
      <c r="Z505" s="33">
        <f>IF(Y505&gt;Store_Summary!$M$2,1,0)</f>
        <v>1</v>
      </c>
      <c r="AA505" s="33">
        <f>INDEX(Stores!$C$2:$C$21,MATCH(B505,Stores!$A$2:$A$21,0))</f>
        <v>241</v>
      </c>
      <c r="AB505" s="33">
        <f>IF(AA505&lt;180,1,0)</f>
        <v>0</v>
      </c>
      <c r="AC505" s="32" t="str">
        <f>IF(Orders!D502="","",INDEX(Riders!$C$2:$C$81,MATCH(Orders!D502,Riders!$A$2:$A$81,0)))</f>
        <v>EV scooter</v>
      </c>
      <c r="AD505" s="33">
        <f>IF(Orders!D502="","",INDEX(Riders!$D$2:$D$81,MATCH(Orders!D502,Riders!$A$2:$A$81,0)))</f>
        <v>40</v>
      </c>
      <c r="AE505" s="33">
        <f>IF(Orders!D502="","",IF(INDEX(Riders!$B$2:$B$81,MATCH(Orders!D502,Riders!$A$2:$A$81,0))=B505,1,0))</f>
        <v>0</v>
      </c>
      <c r="AF505" s="34">
        <f>IF(E505=1,Orders!L502,"")</f>
        <v>2.12</v>
      </c>
      <c r="AG505" s="34">
        <f>IF(E505=1,Orders!P502,"")</f>
        <v>11.3</v>
      </c>
      <c r="AH505" s="34">
        <f>IF(E505=1,Orders!Q502,"")</f>
        <v>10.7</v>
      </c>
      <c r="AI505" s="34">
        <f>IF(E505=1,Orders!M502,"")</f>
        <v>4.7</v>
      </c>
      <c r="AJ505" s="34">
        <f>IF(E505=1,Orders!N502,"")</f>
        <v>2.7</v>
      </c>
      <c r="AK505" s="34">
        <f>IF(E505=1,Orders!O502,"")</f>
        <v>3.3</v>
      </c>
      <c r="AL505" s="33">
        <f>IF(E505=1,IF(ROUND(ABS(AI505+AJ505+AK505-AH505),6)&lt;=0.1,1,0),"")</f>
        <v>1</v>
      </c>
      <c r="AM505" s="36">
        <f>IF(E505=1,AI505/AH505,"")</f>
        <v>0.439252336448598</v>
      </c>
      <c r="AN505" s="36">
        <f>IF(E505=1,AJ505/AH505,"")</f>
        <v>0.252336448598131</v>
      </c>
      <c r="AO505" s="36">
        <f>IF(E505=1,AK505/AH505,"")</f>
        <v>0.308411214953271</v>
      </c>
      <c r="AP505" s="34">
        <f>IF(E505=1,Orders!Y502,"")</f>
        <v>0.27</v>
      </c>
      <c r="AQ505" s="33">
        <f>IF(Orders!X502,1,0)</f>
        <v>0</v>
      </c>
      <c r="AR505" s="34" t="str">
        <f>IF(AND(E505=1,L505=1),AJ505,"")</f>
        <v/>
      </c>
      <c r="AS505" s="34">
        <f>IF(AND(E505=1,L505=0),AJ505,"")</f>
        <v>2.7</v>
      </c>
      <c r="AT505" s="34" t="str">
        <f>IF(AND(E505=1,L505=1),AI505,"")</f>
        <v/>
      </c>
      <c r="AU505" s="34">
        <f>IF(AND(E505=1,L505=0),AI505,"")</f>
        <v>4.7</v>
      </c>
      <c r="AV505" s="34" t="str">
        <f>IF(AND(E505=1,L505=1),AG505,"")</f>
        <v/>
      </c>
      <c r="AW505" s="34">
        <f>IF(AND(E505=1,L505=0),AG505,"")</f>
        <v>11.3</v>
      </c>
      <c r="AX505" s="34" t="str">
        <f>IF(AND(E505=1,L505=1),AH505,"")</f>
        <v/>
      </c>
      <c r="AY505" s="34">
        <f>IF(AND(E505=1,L505=0),AH505,"")</f>
        <v>10.7</v>
      </c>
      <c r="AZ505" s="34" t="str">
        <f>IF(G505=1,F505,"")</f>
        <v/>
      </c>
      <c r="BA505" s="34" t="str">
        <f>IF(AND(G505=1,L505=1),F505,"")</f>
        <v/>
      </c>
      <c r="BB505" s="34" t="str">
        <f>IF(AND(G505=1,L505=0),F505,"")</f>
        <v/>
      </c>
      <c r="BC505" s="33">
        <f>IF(E505=1,IF(Orders!R502&gt;3,1,0),"")</f>
        <v>0</v>
      </c>
      <c r="BD505" s="33">
        <f>IF(E505=1,IF(Orders!R502&gt;7,1,0),"")</f>
        <v>0</v>
      </c>
      <c r="BE505" s="32" t="str">
        <f>IF(E505=1,IF(Orders!L502&lt;=1.5,"Up to 1.5 km",IF(Orders!L502&lt;=3,"1.5–3 km","Over 3 km")),"")</f>
        <v>1.5–3 km</v>
      </c>
      <c r="BF505" s="33">
        <f>IF(E505=1,IF(ABS((Orders!G502-Orders!F502)*1440-Orders!R502)&lt;0.06,1,0),"")</f>
        <v>1</v>
      </c>
      <c r="BG505" s="33">
        <f>IF(ABS((Orders!F502-Orders!E502)*1440-Orders!P502)&lt;0.06,1,0)</f>
        <v>1</v>
      </c>
      <c r="BH505" s="33">
        <f>IF(E505=1,IF(IF(Orders!S502,1,0)=1-G505,1,0),"")</f>
        <v>1</v>
      </c>
      <c r="BI505" s="32" t="str">
        <f>INDEX(Stores!$B$2:$B$21,MATCH(B505,Stores!$A$2:$A$21,0))</f>
        <v>Pune</v>
      </c>
    </row>
    <row r="506">
      <c r="A506" s="32" t="str">
        <f>Orders!A503</f>
        <v>O00502</v>
      </c>
      <c r="B506" s="32" t="str">
        <f>Orders!C503</f>
        <v>S010</v>
      </c>
      <c r="C506" s="32" t="str">
        <f>Orders!B503</f>
        <v>C0199</v>
      </c>
      <c r="D506" s="32" t="str">
        <f>Orders!H503</f>
        <v>Delivered</v>
      </c>
      <c r="E506" s="33">
        <f>IF(Orders!H503="Delivered",1,0)</f>
        <v>1</v>
      </c>
      <c r="F506" s="34">
        <f>IF(E506=1,Orders!R503,"")</f>
        <v>-1.1</v>
      </c>
      <c r="G506" s="33">
        <f>IF(E506=1,IF(Orders!R503&gt;0,1,0),"")</f>
        <v>0</v>
      </c>
      <c r="H506" s="33">
        <f>IF(E506=1,IF(Orders!R503&gt;5,1,0),"")</f>
        <v>0</v>
      </c>
      <c r="I506" s="32" t="str">
        <f>IF(E506=1,"",IF(OR(Orders!T503="Rider unavailable",Orders!T503="Item unavailable"),"Company-caused","Unresolved"))</f>
        <v/>
      </c>
      <c r="J506" s="33">
        <f>IF(OR(E506=1,I506="Company-caused"),1,0)</f>
        <v>1</v>
      </c>
      <c r="K506" s="32" t="str">
        <f>IF(E506=0,IF(I506="Company-caused",IF(Orders!T503="Rider unavailable","C1 Rider unavailable","C2 Item unavailable"),"Outside root: unresolved"),IF(G506=0,"A On time",IF(H506=1,IF(L506=1,"B2a Severe, peak","B2b Severe, off-peak"),IF(L506=1,"B1a Slight, peak","B1b Slight, off-peak"))))</f>
        <v>A On time</v>
      </c>
      <c r="L506" s="33">
        <f>IF(AND(Orders!U503&gt;=19,Orders!U503&lt;22),1,0)</f>
        <v>0</v>
      </c>
      <c r="M506" s="33">
        <f>IF(L506=IF(Orders!V503,1,0),1,0)</f>
        <v>1</v>
      </c>
      <c r="N506" s="32" t="str">
        <f>IF(Orders!W503="","None",Orders!W503)</f>
        <v>None</v>
      </c>
      <c r="O506" s="35">
        <f>INT(Orders!E503)</f>
        <v>46278.0</v>
      </c>
      <c r="P506" s="33">
        <f>Orders!U503</f>
        <v>12</v>
      </c>
      <c r="Q506" s="33">
        <f>COUNTIFS(Demand!$A$2:$A$4481,B506,Demand!$B$2:$B$4481,O506,Demand!$C$2:$C$4481,P506)</f>
        <v>1</v>
      </c>
      <c r="R506" s="33">
        <f>IF(Q506=1,SUMIFS(Demand!$E$2:$E$4481,Demand!$A$2:$A$4481,B506,Demand!$B$2:$B$4481,O506,Demand!$C$2:$C$4481,P506),"")</f>
        <v>20</v>
      </c>
      <c r="S506" s="33">
        <f>INDEX(Stores!$G$2:$G$21,MATCH(B506,Stores!$A$2:$A$21,0))</f>
        <v>22</v>
      </c>
      <c r="T506" s="34">
        <f>IF(R506="","",R506/S506)</f>
        <v>0.909090909090909</v>
      </c>
      <c r="U506" s="34">
        <f>IF(E506=1,T506,"")</f>
        <v>0.909090909090909</v>
      </c>
      <c r="V506" s="34">
        <f>IF(AND(E506=1,L506=0),T506,"")</f>
        <v>0.909090909090909</v>
      </c>
      <c r="W506" s="33">
        <f>IF(U506="","",IF(U506&lt;=Breakdowns!$C$5,1,IF(U506&lt;=Breakdowns!$C$6,2,IF(U506&lt;=Breakdowns!$C$7,3,4))))</f>
        <v>2</v>
      </c>
      <c r="X506" s="33">
        <f>IF(V506="","",IF(V506&lt;=Breakdowns!$D$5,1,IF(V506&lt;=Breakdowns!$D$6,2,IF(V506&lt;=Breakdowns!$D$7,3,4))))</f>
        <v>2</v>
      </c>
      <c r="Y506" s="34">
        <f>INDEX(Stores!$F$2:$F$21,MATCH(B506,Stores!$A$2:$A$21,0))</f>
        <v>5.61</v>
      </c>
      <c r="Z506" s="33">
        <f>IF(Y506&gt;Store_Summary!$M$2,1,0)</f>
        <v>1</v>
      </c>
      <c r="AA506" s="33">
        <f>INDEX(Stores!$C$2:$C$21,MATCH(B506,Stores!$A$2:$A$21,0))</f>
        <v>744</v>
      </c>
      <c r="AB506" s="33">
        <f>IF(AA506&lt;180,1,0)</f>
        <v>0</v>
      </c>
      <c r="AC506" s="32" t="str">
        <f>IF(Orders!D503="","",INDEX(Riders!$C$2:$C$81,MATCH(Orders!D503,Riders!$A$2:$A$81,0)))</f>
        <v>EV scooter</v>
      </c>
      <c r="AD506" s="33">
        <f>IF(Orders!D503="","",INDEX(Riders!$D$2:$D$81,MATCH(Orders!D503,Riders!$A$2:$A$81,0)))</f>
        <v>32</v>
      </c>
      <c r="AE506" s="33">
        <f>IF(Orders!D503="","",IF(INDEX(Riders!$B$2:$B$81,MATCH(Orders!D503,Riders!$A$2:$A$81,0))=B506,1,0))</f>
        <v>0</v>
      </c>
      <c r="AF506" s="34">
        <f>IF(E506=1,Orders!L503,"")</f>
        <v>4</v>
      </c>
      <c r="AG506" s="34">
        <f>IF(E506=1,Orders!P503,"")</f>
        <v>11.5</v>
      </c>
      <c r="AH506" s="34">
        <f>IF(E506=1,Orders!Q503,"")</f>
        <v>10.4</v>
      </c>
      <c r="AI506" s="34">
        <f>IF(E506=1,Orders!M503,"")</f>
        <v>3.2</v>
      </c>
      <c r="AJ506" s="34">
        <f>IF(E506=1,Orders!N503,"")</f>
        <v>2.4</v>
      </c>
      <c r="AK506" s="34">
        <f>IF(E506=1,Orders!O503,"")</f>
        <v>4.8</v>
      </c>
      <c r="AL506" s="33">
        <f>IF(E506=1,IF(ROUND(ABS(AI506+AJ506+AK506-AH506),6)&lt;=0.1,1,0),"")</f>
        <v>1</v>
      </c>
      <c r="AM506" s="36">
        <f>IF(E506=1,AI506/AH506,"")</f>
        <v>0.307692307692308</v>
      </c>
      <c r="AN506" s="36">
        <f>IF(E506=1,AJ506/AH506,"")</f>
        <v>0.230769230769231</v>
      </c>
      <c r="AO506" s="36">
        <f>IF(E506=1,AK506/AH506,"")</f>
        <v>0.461538461538462</v>
      </c>
      <c r="AP506" s="34">
        <f>IF(E506=1,Orders!Y503,"")</f>
        <v>0.37</v>
      </c>
      <c r="AQ506" s="33">
        <f>IF(Orders!X503,1,0)</f>
        <v>0</v>
      </c>
      <c r="AR506" s="34" t="str">
        <f>IF(AND(E506=1,L506=1),AJ506,"")</f>
        <v/>
      </c>
      <c r="AS506" s="34">
        <f>IF(AND(E506=1,L506=0),AJ506,"")</f>
        <v>2.4</v>
      </c>
      <c r="AT506" s="34" t="str">
        <f>IF(AND(E506=1,L506=1),AI506,"")</f>
        <v/>
      </c>
      <c r="AU506" s="34">
        <f>IF(AND(E506=1,L506=0),AI506,"")</f>
        <v>3.2</v>
      </c>
      <c r="AV506" s="34" t="str">
        <f>IF(AND(E506=1,L506=1),AG506,"")</f>
        <v/>
      </c>
      <c r="AW506" s="34">
        <f>IF(AND(E506=1,L506=0),AG506,"")</f>
        <v>11.5</v>
      </c>
      <c r="AX506" s="34" t="str">
        <f>IF(AND(E506=1,L506=1),AH506,"")</f>
        <v/>
      </c>
      <c r="AY506" s="34">
        <f>IF(AND(E506=1,L506=0),AH506,"")</f>
        <v>10.4</v>
      </c>
      <c r="AZ506" s="34" t="str">
        <f>IF(G506=1,F506,"")</f>
        <v/>
      </c>
      <c r="BA506" s="34" t="str">
        <f>IF(AND(G506=1,L506=1),F506,"")</f>
        <v/>
      </c>
      <c r="BB506" s="34" t="str">
        <f>IF(AND(G506=1,L506=0),F506,"")</f>
        <v/>
      </c>
      <c r="BC506" s="33">
        <f>IF(E506=1,IF(Orders!R503&gt;3,1,0),"")</f>
        <v>0</v>
      </c>
      <c r="BD506" s="33">
        <f>IF(E506=1,IF(Orders!R503&gt;7,1,0),"")</f>
        <v>0</v>
      </c>
      <c r="BE506" s="32" t="str">
        <f>IF(E506=1,IF(Orders!L503&lt;=1.5,"Up to 1.5 km",IF(Orders!L503&lt;=3,"1.5–3 km","Over 3 km")),"")</f>
        <v>Over 3 km</v>
      </c>
      <c r="BF506" s="33">
        <f>IF(E506=1,IF(ABS((Orders!G503-Orders!F503)*1440-Orders!R503)&lt;0.06,1,0),"")</f>
        <v>1</v>
      </c>
      <c r="BG506" s="33">
        <f>IF(ABS((Orders!F503-Orders!E503)*1440-Orders!P503)&lt;0.06,1,0)</f>
        <v>1</v>
      </c>
      <c r="BH506" s="33">
        <f>IF(E506=1,IF(IF(Orders!S503,1,0)=1-G506,1,0),"")</f>
        <v>1</v>
      </c>
      <c r="BI506" s="32" t="str">
        <f>INDEX(Stores!$B$2:$B$21,MATCH(B506,Stores!$A$2:$A$21,0))</f>
        <v>Delhi</v>
      </c>
    </row>
    <row r="507">
      <c r="A507" s="32" t="str">
        <f>Orders!A504</f>
        <v>O00503</v>
      </c>
      <c r="B507" s="32" t="str">
        <f>Orders!C504</f>
        <v>S005</v>
      </c>
      <c r="C507" s="32" t="str">
        <f>Orders!B504</f>
        <v>C0245</v>
      </c>
      <c r="D507" s="32" t="str">
        <f>Orders!H504</f>
        <v>Delivered</v>
      </c>
      <c r="E507" s="33">
        <f>IF(Orders!H504="Delivered",1,0)</f>
        <v>1</v>
      </c>
      <c r="F507" s="34">
        <f>IF(E507=1,Orders!R504,"")</f>
        <v>-0.2</v>
      </c>
      <c r="G507" s="33">
        <f>IF(E507=1,IF(Orders!R504&gt;0,1,0),"")</f>
        <v>0</v>
      </c>
      <c r="H507" s="33">
        <f>IF(E507=1,IF(Orders!R504&gt;5,1,0),"")</f>
        <v>0</v>
      </c>
      <c r="I507" s="32" t="str">
        <f>IF(E507=1,"",IF(OR(Orders!T504="Rider unavailable",Orders!T504="Item unavailable"),"Company-caused","Unresolved"))</f>
        <v/>
      </c>
      <c r="J507" s="33">
        <f>IF(OR(E507=1,I507="Company-caused"),1,0)</f>
        <v>1</v>
      </c>
      <c r="K507" s="32" t="str">
        <f>IF(E507=0,IF(I507="Company-caused",IF(Orders!T504="Rider unavailable","C1 Rider unavailable","C2 Item unavailable"),"Outside root: unresolved"),IF(G507=0,"A On time",IF(H507=1,IF(L507=1,"B2a Severe, peak","B2b Severe, off-peak"),IF(L507=1,"B1a Slight, peak","B1b Slight, off-peak"))))</f>
        <v>A On time</v>
      </c>
      <c r="L507" s="33">
        <f>IF(AND(Orders!U504&gt;=19,Orders!U504&lt;22),1,0)</f>
        <v>0</v>
      </c>
      <c r="M507" s="33">
        <f>IF(L507=IF(Orders!V504,1,0),1,0)</f>
        <v>1</v>
      </c>
      <c r="N507" s="32" t="str">
        <f>IF(Orders!W504="","None",Orders!W504)</f>
        <v>None</v>
      </c>
      <c r="O507" s="35">
        <f>INT(Orders!E504)</f>
        <v>46272.0</v>
      </c>
      <c r="P507" s="33">
        <f>Orders!U504</f>
        <v>18</v>
      </c>
      <c r="Q507" s="33">
        <f>COUNTIFS(Demand!$A$2:$A$4481,B507,Demand!$B$2:$B$4481,O507,Demand!$C$2:$C$4481,P507)</f>
        <v>1</v>
      </c>
      <c r="R507" s="33">
        <f>IF(Q507=1,SUMIFS(Demand!$E$2:$E$4481,Demand!$A$2:$A$4481,B507,Demand!$B$2:$B$4481,O507,Demand!$C$2:$C$4481,P507),"")</f>
        <v>16</v>
      </c>
      <c r="S507" s="33">
        <f>INDEX(Stores!$G$2:$G$21,MATCH(B507,Stores!$A$2:$A$21,0))</f>
        <v>14</v>
      </c>
      <c r="T507" s="34">
        <f>IF(R507="","",R507/S507)</f>
        <v>1.14285714285714</v>
      </c>
      <c r="U507" s="34">
        <f>IF(E507=1,T507,"")</f>
        <v>1.14285714285714</v>
      </c>
      <c r="V507" s="34">
        <f>IF(AND(E507=1,L507=0),T507,"")</f>
        <v>1.14285714285714</v>
      </c>
      <c r="W507" s="33">
        <f>IF(U507="","",IF(U507&lt;=Breakdowns!$C$5,1,IF(U507&lt;=Breakdowns!$C$6,2,IF(U507&lt;=Breakdowns!$C$7,3,4))))</f>
        <v>3</v>
      </c>
      <c r="X507" s="33">
        <f>IF(V507="","",IF(V507&lt;=Breakdowns!$D$5,1,IF(V507&lt;=Breakdowns!$D$6,2,IF(V507&lt;=Breakdowns!$D$7,3,4))))</f>
        <v>4</v>
      </c>
      <c r="Y507" s="34">
        <f>INDEX(Stores!$F$2:$F$21,MATCH(B507,Stores!$A$2:$A$21,0))</f>
        <v>4.89</v>
      </c>
      <c r="Z507" s="33">
        <f>IF(Y507&gt;Store_Summary!$M$2,1,0)</f>
        <v>0</v>
      </c>
      <c r="AA507" s="33">
        <f>INDEX(Stores!$C$2:$C$21,MATCH(B507,Stores!$A$2:$A$21,0))</f>
        <v>138</v>
      </c>
      <c r="AB507" s="33">
        <f>IF(AA507&lt;180,1,0)</f>
        <v>1</v>
      </c>
      <c r="AC507" s="32" t="str">
        <f>IF(Orders!D504="","",INDEX(Riders!$C$2:$C$81,MATCH(Orders!D504,Riders!$A$2:$A$81,0)))</f>
        <v>EV scooter</v>
      </c>
      <c r="AD507" s="33">
        <f>IF(Orders!D504="","",INDEX(Riders!$D$2:$D$81,MATCH(Orders!D504,Riders!$A$2:$A$81,0)))</f>
        <v>36</v>
      </c>
      <c r="AE507" s="33">
        <f>IF(Orders!D504="","",IF(INDEX(Riders!$B$2:$B$81,MATCH(Orders!D504,Riders!$A$2:$A$81,0))=B507,1,0))</f>
        <v>0</v>
      </c>
      <c r="AF507" s="34">
        <f>IF(E507=1,Orders!L504,"")</f>
        <v>1.89</v>
      </c>
      <c r="AG507" s="34">
        <f>IF(E507=1,Orders!P504,"")</f>
        <v>10.9</v>
      </c>
      <c r="AH507" s="34">
        <f>IF(E507=1,Orders!Q504,"")</f>
        <v>10.7</v>
      </c>
      <c r="AI507" s="34">
        <f>IF(E507=1,Orders!M504,"")</f>
        <v>5</v>
      </c>
      <c r="AJ507" s="34">
        <f>IF(E507=1,Orders!N504,"")</f>
        <v>0.9</v>
      </c>
      <c r="AK507" s="34">
        <f>IF(E507=1,Orders!O504,"")</f>
        <v>4.8</v>
      </c>
      <c r="AL507" s="33">
        <f>IF(E507=1,IF(ROUND(ABS(AI507+AJ507+AK507-AH507),6)&lt;=0.1,1,0),"")</f>
        <v>1</v>
      </c>
      <c r="AM507" s="36">
        <f>IF(E507=1,AI507/AH507,"")</f>
        <v>0.467289719626168</v>
      </c>
      <c r="AN507" s="36">
        <f>IF(E507=1,AJ507/AH507,"")</f>
        <v>0.0841121495327103</v>
      </c>
      <c r="AO507" s="36">
        <f>IF(E507=1,AK507/AH507,"")</f>
        <v>0.448598130841122</v>
      </c>
      <c r="AP507" s="34">
        <f>IF(E507=1,Orders!Y504,"")</f>
        <v>0.29</v>
      </c>
      <c r="AQ507" s="33">
        <f>IF(Orders!X504,1,0)</f>
        <v>0</v>
      </c>
      <c r="AR507" s="34" t="str">
        <f>IF(AND(E507=1,L507=1),AJ507,"")</f>
        <v/>
      </c>
      <c r="AS507" s="34">
        <f>IF(AND(E507=1,L507=0),AJ507,"")</f>
        <v>0.9</v>
      </c>
      <c r="AT507" s="34" t="str">
        <f>IF(AND(E507=1,L507=1),AI507,"")</f>
        <v/>
      </c>
      <c r="AU507" s="34">
        <f>IF(AND(E507=1,L507=0),AI507,"")</f>
        <v>5</v>
      </c>
      <c r="AV507" s="34" t="str">
        <f>IF(AND(E507=1,L507=1),AG507,"")</f>
        <v/>
      </c>
      <c r="AW507" s="34">
        <f>IF(AND(E507=1,L507=0),AG507,"")</f>
        <v>10.9</v>
      </c>
      <c r="AX507" s="34" t="str">
        <f>IF(AND(E507=1,L507=1),AH507,"")</f>
        <v/>
      </c>
      <c r="AY507" s="34">
        <f>IF(AND(E507=1,L507=0),AH507,"")</f>
        <v>10.7</v>
      </c>
      <c r="AZ507" s="34" t="str">
        <f>IF(G507=1,F507,"")</f>
        <v/>
      </c>
      <c r="BA507" s="34" t="str">
        <f>IF(AND(G507=1,L507=1),F507,"")</f>
        <v/>
      </c>
      <c r="BB507" s="34" t="str">
        <f>IF(AND(G507=1,L507=0),F507,"")</f>
        <v/>
      </c>
      <c r="BC507" s="33">
        <f>IF(E507=1,IF(Orders!R504&gt;3,1,0),"")</f>
        <v>0</v>
      </c>
      <c r="BD507" s="33">
        <f>IF(E507=1,IF(Orders!R504&gt;7,1,0),"")</f>
        <v>0</v>
      </c>
      <c r="BE507" s="32" t="str">
        <f>IF(E507=1,IF(Orders!L504&lt;=1.5,"Up to 1.5 km",IF(Orders!L504&lt;=3,"1.5–3 km","Over 3 km")),"")</f>
        <v>1.5–3 km</v>
      </c>
      <c r="BF507" s="33">
        <f>IF(E507=1,IF(ABS((Orders!G504-Orders!F504)*1440-Orders!R504)&lt;0.06,1,0),"")</f>
        <v>1</v>
      </c>
      <c r="BG507" s="33">
        <f>IF(ABS((Orders!F504-Orders!E504)*1440-Orders!P504)&lt;0.06,1,0)</f>
        <v>1</v>
      </c>
      <c r="BH507" s="33">
        <f>IF(E507=1,IF(IF(Orders!S504,1,0)=1-G507,1,0),"")</f>
        <v>1</v>
      </c>
      <c r="BI507" s="32" t="str">
        <f>INDEX(Stores!$B$2:$B$21,MATCH(B507,Stores!$A$2:$A$21,0))</f>
        <v>Delhi</v>
      </c>
    </row>
    <row r="508">
      <c r="A508" s="32" t="str">
        <f>Orders!A505</f>
        <v>O00504</v>
      </c>
      <c r="B508" s="32" t="str">
        <f>Orders!C505</f>
        <v>S003</v>
      </c>
      <c r="C508" s="32" t="str">
        <f>Orders!B505</f>
        <v>C0073</v>
      </c>
      <c r="D508" s="32" t="str">
        <f>Orders!H505</f>
        <v>Delivered</v>
      </c>
      <c r="E508" s="33">
        <f>IF(Orders!H505="Delivered",1,0)</f>
        <v>1</v>
      </c>
      <c r="F508" s="34">
        <f>IF(E508=1,Orders!R505,"")</f>
        <v>-0.5</v>
      </c>
      <c r="G508" s="33">
        <f>IF(E508=1,IF(Orders!R505&gt;0,1,0),"")</f>
        <v>0</v>
      </c>
      <c r="H508" s="33">
        <f>IF(E508=1,IF(Orders!R505&gt;5,1,0),"")</f>
        <v>0</v>
      </c>
      <c r="I508" s="32" t="str">
        <f>IF(E508=1,"",IF(OR(Orders!T505="Rider unavailable",Orders!T505="Item unavailable"),"Company-caused","Unresolved"))</f>
        <v/>
      </c>
      <c r="J508" s="33">
        <f>IF(OR(E508=1,I508="Company-caused"),1,0)</f>
        <v>1</v>
      </c>
      <c r="K508" s="32" t="str">
        <f>IF(E508=0,IF(I508="Company-caused",IF(Orders!T505="Rider unavailable","C1 Rider unavailable","C2 Item unavailable"),"Outside root: unresolved"),IF(G508=0,"A On time",IF(H508=1,IF(L508=1,"B2a Severe, peak","B2b Severe, off-peak"),IF(L508=1,"B1a Slight, peak","B1b Slight, off-peak"))))</f>
        <v>A On time</v>
      </c>
      <c r="L508" s="33">
        <f>IF(AND(Orders!U505&gt;=19,Orders!U505&lt;22),1,0)</f>
        <v>0</v>
      </c>
      <c r="M508" s="33">
        <f>IF(L508=IF(Orders!V505,1,0),1,0)</f>
        <v>1</v>
      </c>
      <c r="N508" s="32" t="str">
        <f>IF(Orders!W505="","None",Orders!W505)</f>
        <v>None</v>
      </c>
      <c r="O508" s="35">
        <f>INT(Orders!E505)</f>
        <v>46277.0</v>
      </c>
      <c r="P508" s="33">
        <f>Orders!U505</f>
        <v>11</v>
      </c>
      <c r="Q508" s="33">
        <f>COUNTIFS(Demand!$A$2:$A$4481,B508,Demand!$B$2:$B$4481,O508,Demand!$C$2:$C$4481,P508)</f>
        <v>1</v>
      </c>
      <c r="R508" s="33">
        <f>IF(Q508=1,SUMIFS(Demand!$E$2:$E$4481,Demand!$A$2:$A$4481,B508,Demand!$B$2:$B$4481,O508,Demand!$C$2:$C$4481,P508),"")</f>
        <v>54</v>
      </c>
      <c r="S508" s="33">
        <f>INDEX(Stores!$G$2:$G$21,MATCH(B508,Stores!$A$2:$A$21,0))</f>
        <v>41</v>
      </c>
      <c r="T508" s="34">
        <f>IF(R508="","",R508/S508)</f>
        <v>1.31707317073171</v>
      </c>
      <c r="U508" s="34">
        <f>IF(E508=1,T508,"")</f>
        <v>1.31707317073171</v>
      </c>
      <c r="V508" s="34">
        <f>IF(AND(E508=1,L508=0),T508,"")</f>
        <v>1.31707317073171</v>
      </c>
      <c r="W508" s="33">
        <f>IF(U508="","",IF(U508&lt;=Breakdowns!$C$5,1,IF(U508&lt;=Breakdowns!$C$6,2,IF(U508&lt;=Breakdowns!$C$7,3,4))))</f>
        <v>4</v>
      </c>
      <c r="X508" s="33">
        <f>IF(V508="","",IF(V508&lt;=Breakdowns!$D$5,1,IF(V508&lt;=Breakdowns!$D$6,2,IF(V508&lt;=Breakdowns!$D$7,3,4))))</f>
        <v>4</v>
      </c>
      <c r="Y508" s="34">
        <f>INDEX(Stores!$F$2:$F$21,MATCH(B508,Stores!$A$2:$A$21,0))</f>
        <v>3.84</v>
      </c>
      <c r="Z508" s="33">
        <f>IF(Y508&gt;Store_Summary!$M$2,1,0)</f>
        <v>0</v>
      </c>
      <c r="AA508" s="33">
        <f>INDEX(Stores!$C$2:$C$21,MATCH(B508,Stores!$A$2:$A$21,0))</f>
        <v>426</v>
      </c>
      <c r="AB508" s="33">
        <f>IF(AA508&lt;180,1,0)</f>
        <v>0</v>
      </c>
      <c r="AC508" s="32" t="str">
        <f>IF(Orders!D505="","",INDEX(Riders!$C$2:$C$81,MATCH(Orders!D505,Riders!$A$2:$A$81,0)))</f>
        <v>EV scooter</v>
      </c>
      <c r="AD508" s="33">
        <f>IF(Orders!D505="","",INDEX(Riders!$D$2:$D$81,MATCH(Orders!D505,Riders!$A$2:$A$81,0)))</f>
        <v>36</v>
      </c>
      <c r="AE508" s="33">
        <f>IF(Orders!D505="","",IF(INDEX(Riders!$B$2:$B$81,MATCH(Orders!D505,Riders!$A$2:$A$81,0))=B508,1,0))</f>
        <v>0</v>
      </c>
      <c r="AF508" s="34">
        <f>IF(E508=1,Orders!L505,"")</f>
        <v>2.1</v>
      </c>
      <c r="AG508" s="34">
        <f>IF(E508=1,Orders!P505,"")</f>
        <v>8.9</v>
      </c>
      <c r="AH508" s="34">
        <f>IF(E508=1,Orders!Q505,"")</f>
        <v>8.4</v>
      </c>
      <c r="AI508" s="34">
        <f>IF(E508=1,Orders!M505,"")</f>
        <v>2.3</v>
      </c>
      <c r="AJ508" s="34">
        <f>IF(E508=1,Orders!N505,"")</f>
        <v>2.7</v>
      </c>
      <c r="AK508" s="34">
        <f>IF(E508=1,Orders!O505,"")</f>
        <v>3.4</v>
      </c>
      <c r="AL508" s="33">
        <f>IF(E508=1,IF(ROUND(ABS(AI508+AJ508+AK508-AH508),6)&lt;=0.1,1,0),"")</f>
        <v>1</v>
      </c>
      <c r="AM508" s="36">
        <f>IF(E508=1,AI508/AH508,"")</f>
        <v>0.273809523809524</v>
      </c>
      <c r="AN508" s="36">
        <f>IF(E508=1,AJ508/AH508,"")</f>
        <v>0.321428571428571</v>
      </c>
      <c r="AO508" s="36">
        <f>IF(E508=1,AK508/AH508,"")</f>
        <v>0.404761904761905</v>
      </c>
      <c r="AP508" s="34">
        <f>IF(E508=1,Orders!Y505,"")</f>
        <v>0.57</v>
      </c>
      <c r="AQ508" s="33">
        <f>IF(Orders!X505,1,0)</f>
        <v>0</v>
      </c>
      <c r="AR508" s="34" t="str">
        <f>IF(AND(E508=1,L508=1),AJ508,"")</f>
        <v/>
      </c>
      <c r="AS508" s="34">
        <f>IF(AND(E508=1,L508=0),AJ508,"")</f>
        <v>2.7</v>
      </c>
      <c r="AT508" s="34" t="str">
        <f>IF(AND(E508=1,L508=1),AI508,"")</f>
        <v/>
      </c>
      <c r="AU508" s="34">
        <f>IF(AND(E508=1,L508=0),AI508,"")</f>
        <v>2.3</v>
      </c>
      <c r="AV508" s="34" t="str">
        <f>IF(AND(E508=1,L508=1),AG508,"")</f>
        <v/>
      </c>
      <c r="AW508" s="34">
        <f>IF(AND(E508=1,L508=0),AG508,"")</f>
        <v>8.9</v>
      </c>
      <c r="AX508" s="34" t="str">
        <f>IF(AND(E508=1,L508=1),AH508,"")</f>
        <v/>
      </c>
      <c r="AY508" s="34">
        <f>IF(AND(E508=1,L508=0),AH508,"")</f>
        <v>8.4</v>
      </c>
      <c r="AZ508" s="34" t="str">
        <f>IF(G508=1,F508,"")</f>
        <v/>
      </c>
      <c r="BA508" s="34" t="str">
        <f>IF(AND(G508=1,L508=1),F508,"")</f>
        <v/>
      </c>
      <c r="BB508" s="34" t="str">
        <f>IF(AND(G508=1,L508=0),F508,"")</f>
        <v/>
      </c>
      <c r="BC508" s="33">
        <f>IF(E508=1,IF(Orders!R505&gt;3,1,0),"")</f>
        <v>0</v>
      </c>
      <c r="BD508" s="33">
        <f>IF(E508=1,IF(Orders!R505&gt;7,1,0),"")</f>
        <v>0</v>
      </c>
      <c r="BE508" s="32" t="str">
        <f>IF(E508=1,IF(Orders!L505&lt;=1.5,"Up to 1.5 km",IF(Orders!L505&lt;=3,"1.5–3 km","Over 3 km")),"")</f>
        <v>1.5–3 km</v>
      </c>
      <c r="BF508" s="33">
        <f>IF(E508=1,IF(ABS((Orders!G505-Orders!F505)*1440-Orders!R505)&lt;0.06,1,0),"")</f>
        <v>1</v>
      </c>
      <c r="BG508" s="33">
        <f>IF(ABS((Orders!F505-Orders!E505)*1440-Orders!P505)&lt;0.06,1,0)</f>
        <v>1</v>
      </c>
      <c r="BH508" s="33">
        <f>IF(E508=1,IF(IF(Orders!S505,1,0)=1-G508,1,0),"")</f>
        <v>1</v>
      </c>
      <c r="BI508" s="32" t="str">
        <f>INDEX(Stores!$B$2:$B$21,MATCH(B508,Stores!$A$2:$A$21,0))</f>
        <v>Mumbai</v>
      </c>
    </row>
    <row r="509">
      <c r="A509" s="32" t="str">
        <f>Orders!A506</f>
        <v>O00505</v>
      </c>
      <c r="B509" s="32" t="str">
        <f>Orders!C506</f>
        <v>S013</v>
      </c>
      <c r="C509" s="32" t="str">
        <f>Orders!B506</f>
        <v>C0056</v>
      </c>
      <c r="D509" s="32" t="str">
        <f>Orders!H506</f>
        <v>Delivered</v>
      </c>
      <c r="E509" s="33">
        <f>IF(Orders!H506="Delivered",1,0)</f>
        <v>1</v>
      </c>
      <c r="F509" s="34">
        <f>IF(E509=1,Orders!R506,"")</f>
        <v>-1.2</v>
      </c>
      <c r="G509" s="33">
        <f>IF(E509=1,IF(Orders!R506&gt;0,1,0),"")</f>
        <v>0</v>
      </c>
      <c r="H509" s="33">
        <f>IF(E509=1,IF(Orders!R506&gt;5,1,0),"")</f>
        <v>0</v>
      </c>
      <c r="I509" s="32" t="str">
        <f>IF(E509=1,"",IF(OR(Orders!T506="Rider unavailable",Orders!T506="Item unavailable"),"Company-caused","Unresolved"))</f>
        <v/>
      </c>
      <c r="J509" s="33">
        <f>IF(OR(E509=1,I509="Company-caused"),1,0)</f>
        <v>1</v>
      </c>
      <c r="K509" s="32" t="str">
        <f>IF(E509=0,IF(I509="Company-caused",IF(Orders!T506="Rider unavailable","C1 Rider unavailable","C2 Item unavailable"),"Outside root: unresolved"),IF(G509=0,"A On time",IF(H509=1,IF(L509=1,"B2a Severe, peak","B2b Severe, off-peak"),IF(L509=1,"B1a Slight, peak","B1b Slight, off-peak"))))</f>
        <v>A On time</v>
      </c>
      <c r="L509" s="33">
        <f>IF(AND(Orders!U506&gt;=19,Orders!U506&lt;22),1,0)</f>
        <v>0</v>
      </c>
      <c r="M509" s="33">
        <f>IF(L509=IF(Orders!V506,1,0),1,0)</f>
        <v>1</v>
      </c>
      <c r="N509" s="32" t="str">
        <f>IF(Orders!W506="","None",Orders!W506)</f>
        <v>Light</v>
      </c>
      <c r="O509" s="35">
        <f>INT(Orders!E506)</f>
        <v>46277.0</v>
      </c>
      <c r="P509" s="33">
        <f>Orders!U506</f>
        <v>13</v>
      </c>
      <c r="Q509" s="33">
        <f>COUNTIFS(Demand!$A$2:$A$4481,B509,Demand!$B$2:$B$4481,O509,Demand!$C$2:$C$4481,P509)</f>
        <v>1</v>
      </c>
      <c r="R509" s="33">
        <f>IF(Q509=1,SUMIFS(Demand!$E$2:$E$4481,Demand!$A$2:$A$4481,B509,Demand!$B$2:$B$4481,O509,Demand!$C$2:$C$4481,P509),"")</f>
        <v>51</v>
      </c>
      <c r="S509" s="33">
        <f>INDEX(Stores!$G$2:$G$21,MATCH(B509,Stores!$A$2:$A$21,0))</f>
        <v>49</v>
      </c>
      <c r="T509" s="34">
        <f>IF(R509="","",R509/S509)</f>
        <v>1.04081632653061</v>
      </c>
      <c r="U509" s="34">
        <f>IF(E509=1,T509,"")</f>
        <v>1.04081632653061</v>
      </c>
      <c r="V509" s="34">
        <f>IF(AND(E509=1,L509=0),T509,"")</f>
        <v>1.04081632653061</v>
      </c>
      <c r="W509" s="33">
        <f>IF(U509="","",IF(U509&lt;=Breakdowns!$C$5,1,IF(U509&lt;=Breakdowns!$C$6,2,IF(U509&lt;=Breakdowns!$C$7,3,4))))</f>
        <v>3</v>
      </c>
      <c r="X509" s="33">
        <f>IF(V509="","",IF(V509&lt;=Breakdowns!$D$5,1,IF(V509&lt;=Breakdowns!$D$6,2,IF(V509&lt;=Breakdowns!$D$7,3,4))))</f>
        <v>3</v>
      </c>
      <c r="Y509" s="34">
        <f>INDEX(Stores!$F$2:$F$21,MATCH(B509,Stores!$A$2:$A$21,0))</f>
        <v>5.82</v>
      </c>
      <c r="Z509" s="33">
        <f>IF(Y509&gt;Store_Summary!$M$2,1,0)</f>
        <v>1</v>
      </c>
      <c r="AA509" s="33">
        <f>INDEX(Stores!$C$2:$C$21,MATCH(B509,Stores!$A$2:$A$21,0))</f>
        <v>705</v>
      </c>
      <c r="AB509" s="33">
        <f>IF(AA509&lt;180,1,0)</f>
        <v>0</v>
      </c>
      <c r="AC509" s="32" t="str">
        <f>IF(Orders!D506="","",INDEX(Riders!$C$2:$C$81,MATCH(Orders!D506,Riders!$A$2:$A$81,0)))</f>
        <v>Bicycle</v>
      </c>
      <c r="AD509" s="33">
        <f>IF(Orders!D506="","",INDEX(Riders!$D$2:$D$81,MATCH(Orders!D506,Riders!$A$2:$A$81,0)))</f>
        <v>8</v>
      </c>
      <c r="AE509" s="33">
        <f>IF(Orders!D506="","",IF(INDEX(Riders!$B$2:$B$81,MATCH(Orders!D506,Riders!$A$2:$A$81,0))=B509,1,0))</f>
        <v>0</v>
      </c>
      <c r="AF509" s="34">
        <f>IF(E509=1,Orders!L506,"")</f>
        <v>0.56</v>
      </c>
      <c r="AG509" s="34">
        <f>IF(E509=1,Orders!P506,"")</f>
        <v>8.4</v>
      </c>
      <c r="AH509" s="34">
        <f>IF(E509=1,Orders!Q506,"")</f>
        <v>7.2</v>
      </c>
      <c r="AI509" s="34">
        <f>IF(E509=1,Orders!M506,"")</f>
        <v>3</v>
      </c>
      <c r="AJ509" s="34">
        <f>IF(E509=1,Orders!N506,"")</f>
        <v>2.9</v>
      </c>
      <c r="AK509" s="34">
        <f>IF(E509=1,Orders!O506,"")</f>
        <v>1.3</v>
      </c>
      <c r="AL509" s="33">
        <f>IF(E509=1,IF(ROUND(ABS(AI509+AJ509+AK509-AH509),6)&lt;=0.1,1,0),"")</f>
        <v>1</v>
      </c>
      <c r="AM509" s="36">
        <f>IF(E509=1,AI509/AH509,"")</f>
        <v>0.416666666666667</v>
      </c>
      <c r="AN509" s="36">
        <f>IF(E509=1,AJ509/AH509,"")</f>
        <v>0.402777777777778</v>
      </c>
      <c r="AO509" s="36">
        <f>IF(E509=1,AK509/AH509,"")</f>
        <v>0.180555555555556</v>
      </c>
      <c r="AP509" s="34">
        <f>IF(E509=1,Orders!Y506,"")</f>
        <v>0.35</v>
      </c>
      <c r="AQ509" s="33">
        <f>IF(Orders!X506,1,0)</f>
        <v>0</v>
      </c>
      <c r="AR509" s="34" t="str">
        <f>IF(AND(E509=1,L509=1),AJ509,"")</f>
        <v/>
      </c>
      <c r="AS509" s="34">
        <f>IF(AND(E509=1,L509=0),AJ509,"")</f>
        <v>2.9</v>
      </c>
      <c r="AT509" s="34" t="str">
        <f>IF(AND(E509=1,L509=1),AI509,"")</f>
        <v/>
      </c>
      <c r="AU509" s="34">
        <f>IF(AND(E509=1,L509=0),AI509,"")</f>
        <v>3</v>
      </c>
      <c r="AV509" s="34" t="str">
        <f>IF(AND(E509=1,L509=1),AG509,"")</f>
        <v/>
      </c>
      <c r="AW509" s="34">
        <f>IF(AND(E509=1,L509=0),AG509,"")</f>
        <v>8.4</v>
      </c>
      <c r="AX509" s="34" t="str">
        <f>IF(AND(E509=1,L509=1),AH509,"")</f>
        <v/>
      </c>
      <c r="AY509" s="34">
        <f>IF(AND(E509=1,L509=0),AH509,"")</f>
        <v>7.2</v>
      </c>
      <c r="AZ509" s="34" t="str">
        <f>IF(G509=1,F509,"")</f>
        <v/>
      </c>
      <c r="BA509" s="34" t="str">
        <f>IF(AND(G509=1,L509=1),F509,"")</f>
        <v/>
      </c>
      <c r="BB509" s="34" t="str">
        <f>IF(AND(G509=1,L509=0),F509,"")</f>
        <v/>
      </c>
      <c r="BC509" s="33">
        <f>IF(E509=1,IF(Orders!R506&gt;3,1,0),"")</f>
        <v>0</v>
      </c>
      <c r="BD509" s="33">
        <f>IF(E509=1,IF(Orders!R506&gt;7,1,0),"")</f>
        <v>0</v>
      </c>
      <c r="BE509" s="32" t="str">
        <f>IF(E509=1,IF(Orders!L506&lt;=1.5,"Up to 1.5 km",IF(Orders!L506&lt;=3,"1.5–3 km","Over 3 km")),"")</f>
        <v>Up to 1.5 km</v>
      </c>
      <c r="BF509" s="33">
        <f>IF(E509=1,IF(ABS((Orders!G506-Orders!F506)*1440-Orders!R506)&lt;0.06,1,0),"")</f>
        <v>1</v>
      </c>
      <c r="BG509" s="33">
        <f>IF(ABS((Orders!F506-Orders!E506)*1440-Orders!P506)&lt;0.06,1,0)</f>
        <v>1</v>
      </c>
      <c r="BH509" s="33">
        <f>IF(E509=1,IF(IF(Orders!S506,1,0)=1-G509,1,0),"")</f>
        <v>1</v>
      </c>
      <c r="BI509" s="32" t="str">
        <f>INDEX(Stores!$B$2:$B$21,MATCH(B509,Stores!$A$2:$A$21,0))</f>
        <v>Mumbai</v>
      </c>
    </row>
    <row r="510">
      <c r="A510" s="32" t="str">
        <f>Orders!A507</f>
        <v>O00506</v>
      </c>
      <c r="B510" s="32" t="str">
        <f>Orders!C507</f>
        <v>S011</v>
      </c>
      <c r="C510" s="32" t="str">
        <f>Orders!B507</f>
        <v>C0072</v>
      </c>
      <c r="D510" s="32" t="str">
        <f>Orders!H507</f>
        <v>Delivered</v>
      </c>
      <c r="E510" s="33">
        <f>IF(Orders!H507="Delivered",1,0)</f>
        <v>1</v>
      </c>
      <c r="F510" s="34">
        <f>IF(E510=1,Orders!R507,"")</f>
        <v>-0.8</v>
      </c>
      <c r="G510" s="33">
        <f>IF(E510=1,IF(Orders!R507&gt;0,1,0),"")</f>
        <v>0</v>
      </c>
      <c r="H510" s="33">
        <f>IF(E510=1,IF(Orders!R507&gt;5,1,0),"")</f>
        <v>0</v>
      </c>
      <c r="I510" s="32" t="str">
        <f>IF(E510=1,"",IF(OR(Orders!T507="Rider unavailable",Orders!T507="Item unavailable"),"Company-caused","Unresolved"))</f>
        <v/>
      </c>
      <c r="J510" s="33">
        <f>IF(OR(E510=1,I510="Company-caused"),1,0)</f>
        <v>1</v>
      </c>
      <c r="K510" s="32" t="str">
        <f>IF(E510=0,IF(I510="Company-caused",IF(Orders!T507="Rider unavailable","C1 Rider unavailable","C2 Item unavailable"),"Outside root: unresolved"),IF(G510=0,"A On time",IF(H510=1,IF(L510=1,"B2a Severe, peak","B2b Severe, off-peak"),IF(L510=1,"B1a Slight, peak","B1b Slight, off-peak"))))</f>
        <v>A On time</v>
      </c>
      <c r="L510" s="33">
        <f>IF(AND(Orders!U507&gt;=19,Orders!U507&lt;22),1,0)</f>
        <v>0</v>
      </c>
      <c r="M510" s="33">
        <f>IF(L510=IF(Orders!V507,1,0),1,0)</f>
        <v>1</v>
      </c>
      <c r="N510" s="32" t="str">
        <f>IF(Orders!W507="","None",Orders!W507)</f>
        <v>None</v>
      </c>
      <c r="O510" s="35">
        <f>INT(Orders!E507)</f>
        <v>46272.0</v>
      </c>
      <c r="P510" s="33">
        <f>Orders!U507</f>
        <v>15</v>
      </c>
      <c r="Q510" s="33">
        <f>COUNTIFS(Demand!$A$2:$A$4481,B510,Demand!$B$2:$B$4481,O510,Demand!$C$2:$C$4481,P510)</f>
        <v>1</v>
      </c>
      <c r="R510" s="33">
        <f>IF(Q510=1,SUMIFS(Demand!$E$2:$E$4481,Demand!$A$2:$A$4481,B510,Demand!$B$2:$B$4481,O510,Demand!$C$2:$C$4481,P510),"")</f>
        <v>22</v>
      </c>
      <c r="S510" s="33">
        <f>INDEX(Stores!$G$2:$G$21,MATCH(B510,Stores!$A$2:$A$21,0))</f>
        <v>31</v>
      </c>
      <c r="T510" s="34">
        <f>IF(R510="","",R510/S510)</f>
        <v>0.709677419354839</v>
      </c>
      <c r="U510" s="34">
        <f>IF(E510=1,T510,"")</f>
        <v>0.709677419354839</v>
      </c>
      <c r="V510" s="34">
        <f>IF(AND(E510=1,L510=0),T510,"")</f>
        <v>0.709677419354839</v>
      </c>
      <c r="W510" s="33">
        <f>IF(U510="","",IF(U510&lt;=Breakdowns!$C$5,1,IF(U510&lt;=Breakdowns!$C$6,2,IF(U510&lt;=Breakdowns!$C$7,3,4))))</f>
        <v>1</v>
      </c>
      <c r="X510" s="33">
        <f>IF(V510="","",IF(V510&lt;=Breakdowns!$D$5,1,IF(V510&lt;=Breakdowns!$D$6,2,IF(V510&lt;=Breakdowns!$D$7,3,4))))</f>
        <v>1</v>
      </c>
      <c r="Y510" s="34">
        <f>INDEX(Stores!$F$2:$F$21,MATCH(B510,Stores!$A$2:$A$21,0))</f>
        <v>5.67</v>
      </c>
      <c r="Z510" s="33">
        <f>IF(Y510&gt;Store_Summary!$M$2,1,0)</f>
        <v>1</v>
      </c>
      <c r="AA510" s="33">
        <f>INDEX(Stores!$C$2:$C$21,MATCH(B510,Stores!$A$2:$A$21,0))</f>
        <v>732</v>
      </c>
      <c r="AB510" s="33">
        <f>IF(AA510&lt;180,1,0)</f>
        <v>0</v>
      </c>
      <c r="AC510" s="32" t="str">
        <f>IF(Orders!D507="","",INDEX(Riders!$C$2:$C$81,MATCH(Orders!D507,Riders!$A$2:$A$81,0)))</f>
        <v>EV scooter</v>
      </c>
      <c r="AD510" s="33">
        <f>IF(Orders!D507="","",INDEX(Riders!$D$2:$D$81,MATCH(Orders!D507,Riders!$A$2:$A$81,0)))</f>
        <v>11</v>
      </c>
      <c r="AE510" s="33">
        <f>IF(Orders!D507="","",IF(INDEX(Riders!$B$2:$B$81,MATCH(Orders!D507,Riders!$A$2:$A$81,0))=B510,1,0))</f>
        <v>0</v>
      </c>
      <c r="AF510" s="34">
        <f>IF(E510=1,Orders!L507,"")</f>
        <v>2.77</v>
      </c>
      <c r="AG510" s="34">
        <f>IF(E510=1,Orders!P507,"")</f>
        <v>12.2</v>
      </c>
      <c r="AH510" s="34">
        <f>IF(E510=1,Orders!Q507,"")</f>
        <v>11.4</v>
      </c>
      <c r="AI510" s="34">
        <f>IF(E510=1,Orders!M507,"")</f>
        <v>3.7</v>
      </c>
      <c r="AJ510" s="34">
        <f>IF(E510=1,Orders!N507,"")</f>
        <v>2.4</v>
      </c>
      <c r="AK510" s="34">
        <f>IF(E510=1,Orders!O507,"")</f>
        <v>5.3</v>
      </c>
      <c r="AL510" s="33">
        <f>IF(E510=1,IF(ROUND(ABS(AI510+AJ510+AK510-AH510),6)&lt;=0.1,1,0),"")</f>
        <v>1</v>
      </c>
      <c r="AM510" s="36">
        <f>IF(E510=1,AI510/AH510,"")</f>
        <v>0.324561403508772</v>
      </c>
      <c r="AN510" s="36">
        <f>IF(E510=1,AJ510/AH510,"")</f>
        <v>0.210526315789474</v>
      </c>
      <c r="AO510" s="36">
        <f>IF(E510=1,AK510/AH510,"")</f>
        <v>0.464912280701754</v>
      </c>
      <c r="AP510" s="34">
        <f>IF(E510=1,Orders!Y507,"")</f>
        <v>0.78</v>
      </c>
      <c r="AQ510" s="33">
        <f>IF(Orders!X507,1,0)</f>
        <v>1</v>
      </c>
      <c r="AR510" s="34" t="str">
        <f>IF(AND(E510=1,L510=1),AJ510,"")</f>
        <v/>
      </c>
      <c r="AS510" s="34">
        <f>IF(AND(E510=1,L510=0),AJ510,"")</f>
        <v>2.4</v>
      </c>
      <c r="AT510" s="34" t="str">
        <f>IF(AND(E510=1,L510=1),AI510,"")</f>
        <v/>
      </c>
      <c r="AU510" s="34">
        <f>IF(AND(E510=1,L510=0),AI510,"")</f>
        <v>3.7</v>
      </c>
      <c r="AV510" s="34" t="str">
        <f>IF(AND(E510=1,L510=1),AG510,"")</f>
        <v/>
      </c>
      <c r="AW510" s="34">
        <f>IF(AND(E510=1,L510=0),AG510,"")</f>
        <v>12.2</v>
      </c>
      <c r="AX510" s="34" t="str">
        <f>IF(AND(E510=1,L510=1),AH510,"")</f>
        <v/>
      </c>
      <c r="AY510" s="34">
        <f>IF(AND(E510=1,L510=0),AH510,"")</f>
        <v>11.4</v>
      </c>
      <c r="AZ510" s="34" t="str">
        <f>IF(G510=1,F510,"")</f>
        <v/>
      </c>
      <c r="BA510" s="34" t="str">
        <f>IF(AND(G510=1,L510=1),F510,"")</f>
        <v/>
      </c>
      <c r="BB510" s="34" t="str">
        <f>IF(AND(G510=1,L510=0),F510,"")</f>
        <v/>
      </c>
      <c r="BC510" s="33">
        <f>IF(E510=1,IF(Orders!R507&gt;3,1,0),"")</f>
        <v>0</v>
      </c>
      <c r="BD510" s="33">
        <f>IF(E510=1,IF(Orders!R507&gt;7,1,0),"")</f>
        <v>0</v>
      </c>
      <c r="BE510" s="32" t="str">
        <f>IF(E510=1,IF(Orders!L507&lt;=1.5,"Up to 1.5 km",IF(Orders!L507&lt;=3,"1.5–3 km","Over 3 km")),"")</f>
        <v>1.5–3 km</v>
      </c>
      <c r="BF510" s="33">
        <f>IF(E510=1,IF(ABS((Orders!G507-Orders!F507)*1440-Orders!R507)&lt;0.06,1,0),"")</f>
        <v>1</v>
      </c>
      <c r="BG510" s="33">
        <f>IF(ABS((Orders!F507-Orders!E507)*1440-Orders!P507)&lt;0.06,1,0)</f>
        <v>1</v>
      </c>
      <c r="BH510" s="33">
        <f>IF(E510=1,IF(IF(Orders!S507,1,0)=1-G510,1,0),"")</f>
        <v>1</v>
      </c>
      <c r="BI510" s="32" t="str">
        <f>INDEX(Stores!$B$2:$B$21,MATCH(B510,Stores!$A$2:$A$21,0))</f>
        <v>Bengaluru</v>
      </c>
    </row>
    <row r="511">
      <c r="A511" s="32" t="str">
        <f>Orders!A508</f>
        <v>O00507</v>
      </c>
      <c r="B511" s="32" t="str">
        <f>Orders!C508</f>
        <v>S010</v>
      </c>
      <c r="C511" s="32" t="str">
        <f>Orders!B508</f>
        <v>C0181</v>
      </c>
      <c r="D511" s="32" t="str">
        <f>Orders!H508</f>
        <v>Delivered</v>
      </c>
      <c r="E511" s="33">
        <f>IF(Orders!H508="Delivered",1,0)</f>
        <v>1</v>
      </c>
      <c r="F511" s="34">
        <f>IF(E511=1,Orders!R508,"")</f>
        <v>-0.4</v>
      </c>
      <c r="G511" s="33">
        <f>IF(E511=1,IF(Orders!R508&gt;0,1,0),"")</f>
        <v>0</v>
      </c>
      <c r="H511" s="33">
        <f>IF(E511=1,IF(Orders!R508&gt;5,1,0),"")</f>
        <v>0</v>
      </c>
      <c r="I511" s="32" t="str">
        <f>IF(E511=1,"",IF(OR(Orders!T508="Rider unavailable",Orders!T508="Item unavailable"),"Company-caused","Unresolved"))</f>
        <v/>
      </c>
      <c r="J511" s="33">
        <f>IF(OR(E511=1,I511="Company-caused"),1,0)</f>
        <v>1</v>
      </c>
      <c r="K511" s="32" t="str">
        <f>IF(E511=0,IF(I511="Company-caused",IF(Orders!T508="Rider unavailable","C1 Rider unavailable","C2 Item unavailable"),"Outside root: unresolved"),IF(G511=0,"A On time",IF(H511=1,IF(L511=1,"B2a Severe, peak","B2b Severe, off-peak"),IF(L511=1,"B1a Slight, peak","B1b Slight, off-peak"))))</f>
        <v>A On time</v>
      </c>
      <c r="L511" s="33">
        <f>IF(AND(Orders!U508&gt;=19,Orders!U508&lt;22),1,0)</f>
        <v>0</v>
      </c>
      <c r="M511" s="33">
        <f>IF(L511=IF(Orders!V508,1,0),1,0)</f>
        <v>1</v>
      </c>
      <c r="N511" s="32" t="str">
        <f>IF(Orders!W508="","None",Orders!W508)</f>
        <v>Light</v>
      </c>
      <c r="O511" s="35">
        <f>INT(Orders!E508)</f>
        <v>46270.0</v>
      </c>
      <c r="P511" s="33">
        <f>Orders!U508</f>
        <v>18</v>
      </c>
      <c r="Q511" s="33">
        <f>COUNTIFS(Demand!$A$2:$A$4481,B511,Demand!$B$2:$B$4481,O511,Demand!$C$2:$C$4481,P511)</f>
        <v>1</v>
      </c>
      <c r="R511" s="33">
        <f>IF(Q511=1,SUMIFS(Demand!$E$2:$E$4481,Demand!$A$2:$A$4481,B511,Demand!$B$2:$B$4481,O511,Demand!$C$2:$C$4481,P511),"")</f>
        <v>15</v>
      </c>
      <c r="S511" s="33">
        <f>INDEX(Stores!$G$2:$G$21,MATCH(B511,Stores!$A$2:$A$21,0))</f>
        <v>22</v>
      </c>
      <c r="T511" s="34">
        <f>IF(R511="","",R511/S511)</f>
        <v>0.681818181818182</v>
      </c>
      <c r="U511" s="34">
        <f>IF(E511=1,T511,"")</f>
        <v>0.681818181818182</v>
      </c>
      <c r="V511" s="34">
        <f>IF(AND(E511=1,L511=0),T511,"")</f>
        <v>0.681818181818182</v>
      </c>
      <c r="W511" s="33">
        <f>IF(U511="","",IF(U511&lt;=Breakdowns!$C$5,1,IF(U511&lt;=Breakdowns!$C$6,2,IF(U511&lt;=Breakdowns!$C$7,3,4))))</f>
        <v>1</v>
      </c>
      <c r="X511" s="33">
        <f>IF(V511="","",IF(V511&lt;=Breakdowns!$D$5,1,IF(V511&lt;=Breakdowns!$D$6,2,IF(V511&lt;=Breakdowns!$D$7,3,4))))</f>
        <v>1</v>
      </c>
      <c r="Y511" s="34">
        <f>INDEX(Stores!$F$2:$F$21,MATCH(B511,Stores!$A$2:$A$21,0))</f>
        <v>5.61</v>
      </c>
      <c r="Z511" s="33">
        <f>IF(Y511&gt;Store_Summary!$M$2,1,0)</f>
        <v>1</v>
      </c>
      <c r="AA511" s="33">
        <f>INDEX(Stores!$C$2:$C$21,MATCH(B511,Stores!$A$2:$A$21,0))</f>
        <v>744</v>
      </c>
      <c r="AB511" s="33">
        <f>IF(AA511&lt;180,1,0)</f>
        <v>0</v>
      </c>
      <c r="AC511" s="32" t="str">
        <f>IF(Orders!D508="","",INDEX(Riders!$C$2:$C$81,MATCH(Orders!D508,Riders!$A$2:$A$81,0)))</f>
        <v>Petrol scooter</v>
      </c>
      <c r="AD511" s="33">
        <f>IF(Orders!D508="","",INDEX(Riders!$D$2:$D$81,MATCH(Orders!D508,Riders!$A$2:$A$81,0)))</f>
        <v>1</v>
      </c>
      <c r="AE511" s="33">
        <f>IF(Orders!D508="","",IF(INDEX(Riders!$B$2:$B$81,MATCH(Orders!D508,Riders!$A$2:$A$81,0))=B511,1,0))</f>
        <v>0</v>
      </c>
      <c r="AF511" s="34">
        <f>IF(E511=1,Orders!L508,"")</f>
        <v>1.36</v>
      </c>
      <c r="AG511" s="34">
        <f>IF(E511=1,Orders!P508,"")</f>
        <v>9.8</v>
      </c>
      <c r="AH511" s="34">
        <f>IF(E511=1,Orders!Q508,"")</f>
        <v>9.4</v>
      </c>
      <c r="AI511" s="34">
        <f>IF(E511=1,Orders!M508,"")</f>
        <v>4.1</v>
      </c>
      <c r="AJ511" s="34">
        <f>IF(E511=1,Orders!N508,"")</f>
        <v>1.7</v>
      </c>
      <c r="AK511" s="34">
        <f>IF(E511=1,Orders!O508,"")</f>
        <v>3.6</v>
      </c>
      <c r="AL511" s="33">
        <f>IF(E511=1,IF(ROUND(ABS(AI511+AJ511+AK511-AH511),6)&lt;=0.1,1,0),"")</f>
        <v>1</v>
      </c>
      <c r="AM511" s="36">
        <f>IF(E511=1,AI511/AH511,"")</f>
        <v>0.436170212765957</v>
      </c>
      <c r="AN511" s="36">
        <f>IF(E511=1,AJ511/AH511,"")</f>
        <v>0.180851063829787</v>
      </c>
      <c r="AO511" s="36">
        <f>IF(E511=1,AK511/AH511,"")</f>
        <v>0.382978723404255</v>
      </c>
      <c r="AP511" s="34">
        <f>IF(E511=1,Orders!Y508,"")</f>
        <v>0.44</v>
      </c>
      <c r="AQ511" s="33">
        <f>IF(Orders!X508,1,0)</f>
        <v>0</v>
      </c>
      <c r="AR511" s="34" t="str">
        <f>IF(AND(E511=1,L511=1),AJ511,"")</f>
        <v/>
      </c>
      <c r="AS511" s="34">
        <f>IF(AND(E511=1,L511=0),AJ511,"")</f>
        <v>1.7</v>
      </c>
      <c r="AT511" s="34" t="str">
        <f>IF(AND(E511=1,L511=1),AI511,"")</f>
        <v/>
      </c>
      <c r="AU511" s="34">
        <f>IF(AND(E511=1,L511=0),AI511,"")</f>
        <v>4.1</v>
      </c>
      <c r="AV511" s="34" t="str">
        <f>IF(AND(E511=1,L511=1),AG511,"")</f>
        <v/>
      </c>
      <c r="AW511" s="34">
        <f>IF(AND(E511=1,L511=0),AG511,"")</f>
        <v>9.8</v>
      </c>
      <c r="AX511" s="34" t="str">
        <f>IF(AND(E511=1,L511=1),AH511,"")</f>
        <v/>
      </c>
      <c r="AY511" s="34">
        <f>IF(AND(E511=1,L511=0),AH511,"")</f>
        <v>9.4</v>
      </c>
      <c r="AZ511" s="34" t="str">
        <f>IF(G511=1,F511,"")</f>
        <v/>
      </c>
      <c r="BA511" s="34" t="str">
        <f>IF(AND(G511=1,L511=1),F511,"")</f>
        <v/>
      </c>
      <c r="BB511" s="34" t="str">
        <f>IF(AND(G511=1,L511=0),F511,"")</f>
        <v/>
      </c>
      <c r="BC511" s="33">
        <f>IF(E511=1,IF(Orders!R508&gt;3,1,0),"")</f>
        <v>0</v>
      </c>
      <c r="BD511" s="33">
        <f>IF(E511=1,IF(Orders!R508&gt;7,1,0),"")</f>
        <v>0</v>
      </c>
      <c r="BE511" s="32" t="str">
        <f>IF(E511=1,IF(Orders!L508&lt;=1.5,"Up to 1.5 km",IF(Orders!L508&lt;=3,"1.5–3 km","Over 3 km")),"")</f>
        <v>Up to 1.5 km</v>
      </c>
      <c r="BF511" s="33">
        <f>IF(E511=1,IF(ABS((Orders!G508-Orders!F508)*1440-Orders!R508)&lt;0.06,1,0),"")</f>
        <v>1</v>
      </c>
      <c r="BG511" s="33">
        <f>IF(ABS((Orders!F508-Orders!E508)*1440-Orders!P508)&lt;0.06,1,0)</f>
        <v>1</v>
      </c>
      <c r="BH511" s="33">
        <f>IF(E511=1,IF(IF(Orders!S508,1,0)=1-G511,1,0),"")</f>
        <v>1</v>
      </c>
      <c r="BI511" s="32" t="str">
        <f>INDEX(Stores!$B$2:$B$21,MATCH(B511,Stores!$A$2:$A$21,0))</f>
        <v>Delhi</v>
      </c>
    </row>
    <row r="512">
      <c r="A512" s="32" t="str">
        <f>Orders!A509</f>
        <v>O00508</v>
      </c>
      <c r="B512" s="32" t="str">
        <f>Orders!C509</f>
        <v>S014</v>
      </c>
      <c r="C512" s="32" t="str">
        <f>Orders!B509</f>
        <v>C0224</v>
      </c>
      <c r="D512" s="32" t="str">
        <f>Orders!H509</f>
        <v>Delivered</v>
      </c>
      <c r="E512" s="33">
        <f>IF(Orders!H509="Delivered",1,0)</f>
        <v>1</v>
      </c>
      <c r="F512" s="34">
        <f>IF(E512=1,Orders!R509,"")</f>
        <v>-1.1</v>
      </c>
      <c r="G512" s="33">
        <f>IF(E512=1,IF(Orders!R509&gt;0,1,0),"")</f>
        <v>0</v>
      </c>
      <c r="H512" s="33">
        <f>IF(E512=1,IF(Orders!R509&gt;5,1,0),"")</f>
        <v>0</v>
      </c>
      <c r="I512" s="32" t="str">
        <f>IF(E512=1,"",IF(OR(Orders!T509="Rider unavailable",Orders!T509="Item unavailable"),"Company-caused","Unresolved"))</f>
        <v/>
      </c>
      <c r="J512" s="33">
        <f>IF(OR(E512=1,I512="Company-caused"),1,0)</f>
        <v>1</v>
      </c>
      <c r="K512" s="32" t="str">
        <f>IF(E512=0,IF(I512="Company-caused",IF(Orders!T509="Rider unavailable","C1 Rider unavailable","C2 Item unavailable"),"Outside root: unresolved"),IF(G512=0,"A On time",IF(H512=1,IF(L512=1,"B2a Severe, peak","B2b Severe, off-peak"),IF(L512=1,"B1a Slight, peak","B1b Slight, off-peak"))))</f>
        <v>A On time</v>
      </c>
      <c r="L512" s="33">
        <f>IF(AND(Orders!U509&gt;=19,Orders!U509&lt;22),1,0)</f>
        <v>0</v>
      </c>
      <c r="M512" s="33">
        <f>IF(L512=IF(Orders!V509,1,0),1,0)</f>
        <v>1</v>
      </c>
      <c r="N512" s="32" t="str">
        <f>IF(Orders!W509="","None",Orders!W509)</f>
        <v>Light</v>
      </c>
      <c r="O512" s="35">
        <f>INT(Orders!E509)</f>
        <v>46279.0</v>
      </c>
      <c r="P512" s="33">
        <f>Orders!U509</f>
        <v>13</v>
      </c>
      <c r="Q512" s="33">
        <f>COUNTIFS(Demand!$A$2:$A$4481,B512,Demand!$B$2:$B$4481,O512,Demand!$C$2:$C$4481,P512)</f>
        <v>1</v>
      </c>
      <c r="R512" s="33">
        <f>IF(Q512=1,SUMIFS(Demand!$E$2:$E$4481,Demand!$A$2:$A$4481,B512,Demand!$B$2:$B$4481,O512,Demand!$C$2:$C$4481,P512),"")</f>
        <v>38</v>
      </c>
      <c r="S512" s="33">
        <f>INDEX(Stores!$G$2:$G$21,MATCH(B512,Stores!$A$2:$A$21,0))</f>
        <v>37</v>
      </c>
      <c r="T512" s="34">
        <f>IF(R512="","",R512/S512)</f>
        <v>1.02702702702703</v>
      </c>
      <c r="U512" s="34">
        <f>IF(E512=1,T512,"")</f>
        <v>1.02702702702703</v>
      </c>
      <c r="V512" s="34">
        <f>IF(AND(E512=1,L512=0),T512,"")</f>
        <v>1.02702702702703</v>
      </c>
      <c r="W512" s="33">
        <f>IF(U512="","",IF(U512&lt;=Breakdowns!$C$5,1,IF(U512&lt;=Breakdowns!$C$6,2,IF(U512&lt;=Breakdowns!$C$7,3,4))))</f>
        <v>3</v>
      </c>
      <c r="X512" s="33">
        <f>IF(V512="","",IF(V512&lt;=Breakdowns!$D$5,1,IF(V512&lt;=Breakdowns!$D$6,2,IF(V512&lt;=Breakdowns!$D$7,3,4))))</f>
        <v>3</v>
      </c>
      <c r="Y512" s="34">
        <f>INDEX(Stores!$F$2:$F$21,MATCH(B512,Stores!$A$2:$A$21,0))</f>
        <v>5.55</v>
      </c>
      <c r="Z512" s="33">
        <f>IF(Y512&gt;Store_Summary!$M$2,1,0)</f>
        <v>1</v>
      </c>
      <c r="AA512" s="33">
        <f>INDEX(Stores!$C$2:$C$21,MATCH(B512,Stores!$A$2:$A$21,0))</f>
        <v>241</v>
      </c>
      <c r="AB512" s="33">
        <f>IF(AA512&lt;180,1,0)</f>
        <v>0</v>
      </c>
      <c r="AC512" s="32" t="str">
        <f>IF(Orders!D509="","",INDEX(Riders!$C$2:$C$81,MATCH(Orders!D509,Riders!$A$2:$A$81,0)))</f>
        <v>EV scooter</v>
      </c>
      <c r="AD512" s="33">
        <f>IF(Orders!D509="","",INDEX(Riders!$D$2:$D$81,MATCH(Orders!D509,Riders!$A$2:$A$81,0)))</f>
        <v>9</v>
      </c>
      <c r="AE512" s="33">
        <f>IF(Orders!D509="","",IF(INDEX(Riders!$B$2:$B$81,MATCH(Orders!D509,Riders!$A$2:$A$81,0))=B512,1,0))</f>
        <v>0</v>
      </c>
      <c r="AF512" s="34">
        <f>IF(E512=1,Orders!L509,"")</f>
        <v>0.83</v>
      </c>
      <c r="AG512" s="34">
        <f>IF(E512=1,Orders!P509,"")</f>
        <v>9.5</v>
      </c>
      <c r="AH512" s="34">
        <f>IF(E512=1,Orders!Q509,"")</f>
        <v>8.4</v>
      </c>
      <c r="AI512" s="34">
        <f>IF(E512=1,Orders!M509,"")</f>
        <v>3.9</v>
      </c>
      <c r="AJ512" s="34">
        <f>IF(E512=1,Orders!N509,"")</f>
        <v>2.4</v>
      </c>
      <c r="AK512" s="34">
        <f>IF(E512=1,Orders!O509,"")</f>
        <v>2.1</v>
      </c>
      <c r="AL512" s="33">
        <f>IF(E512=1,IF(ROUND(ABS(AI512+AJ512+AK512-AH512),6)&lt;=0.1,1,0),"")</f>
        <v>1</v>
      </c>
      <c r="AM512" s="36">
        <f>IF(E512=1,AI512/AH512,"")</f>
        <v>0.464285714285714</v>
      </c>
      <c r="AN512" s="36">
        <f>IF(E512=1,AJ512/AH512,"")</f>
        <v>0.285714285714286</v>
      </c>
      <c r="AO512" s="36">
        <f>IF(E512=1,AK512/AH512,"")</f>
        <v>0.25</v>
      </c>
      <c r="AP512" s="34">
        <f>IF(E512=1,Orders!Y509,"")</f>
        <v>0.49</v>
      </c>
      <c r="AQ512" s="33">
        <f>IF(Orders!X509,1,0)</f>
        <v>0</v>
      </c>
      <c r="AR512" s="34" t="str">
        <f>IF(AND(E512=1,L512=1),AJ512,"")</f>
        <v/>
      </c>
      <c r="AS512" s="34">
        <f>IF(AND(E512=1,L512=0),AJ512,"")</f>
        <v>2.4</v>
      </c>
      <c r="AT512" s="34" t="str">
        <f>IF(AND(E512=1,L512=1),AI512,"")</f>
        <v/>
      </c>
      <c r="AU512" s="34">
        <f>IF(AND(E512=1,L512=0),AI512,"")</f>
        <v>3.9</v>
      </c>
      <c r="AV512" s="34" t="str">
        <f>IF(AND(E512=1,L512=1),AG512,"")</f>
        <v/>
      </c>
      <c r="AW512" s="34">
        <f>IF(AND(E512=1,L512=0),AG512,"")</f>
        <v>9.5</v>
      </c>
      <c r="AX512" s="34" t="str">
        <f>IF(AND(E512=1,L512=1),AH512,"")</f>
        <v/>
      </c>
      <c r="AY512" s="34">
        <f>IF(AND(E512=1,L512=0),AH512,"")</f>
        <v>8.4</v>
      </c>
      <c r="AZ512" s="34" t="str">
        <f>IF(G512=1,F512,"")</f>
        <v/>
      </c>
      <c r="BA512" s="34" t="str">
        <f>IF(AND(G512=1,L512=1),F512,"")</f>
        <v/>
      </c>
      <c r="BB512" s="34" t="str">
        <f>IF(AND(G512=1,L512=0),F512,"")</f>
        <v/>
      </c>
      <c r="BC512" s="33">
        <f>IF(E512=1,IF(Orders!R509&gt;3,1,0),"")</f>
        <v>0</v>
      </c>
      <c r="BD512" s="33">
        <f>IF(E512=1,IF(Orders!R509&gt;7,1,0),"")</f>
        <v>0</v>
      </c>
      <c r="BE512" s="32" t="str">
        <f>IF(E512=1,IF(Orders!L509&lt;=1.5,"Up to 1.5 km",IF(Orders!L509&lt;=3,"1.5–3 km","Over 3 km")),"")</f>
        <v>Up to 1.5 km</v>
      </c>
      <c r="BF512" s="33">
        <f>IF(E512=1,IF(ABS((Orders!G509-Orders!F509)*1440-Orders!R509)&lt;0.06,1,0),"")</f>
        <v>1</v>
      </c>
      <c r="BG512" s="33">
        <f>IF(ABS((Orders!F509-Orders!E509)*1440-Orders!P509)&lt;0.06,1,0)</f>
        <v>1</v>
      </c>
      <c r="BH512" s="33">
        <f>IF(E512=1,IF(IF(Orders!S509,1,0)=1-G512,1,0),"")</f>
        <v>1</v>
      </c>
      <c r="BI512" s="32" t="str">
        <f>INDEX(Stores!$B$2:$B$21,MATCH(B512,Stores!$A$2:$A$21,0))</f>
        <v>Pune</v>
      </c>
    </row>
    <row r="513">
      <c r="A513" s="32" t="str">
        <f>Orders!A510</f>
        <v>O00509</v>
      </c>
      <c r="B513" s="32" t="str">
        <f>Orders!C510</f>
        <v>S017</v>
      </c>
      <c r="C513" s="32" t="str">
        <f>Orders!B510</f>
        <v>C0157</v>
      </c>
      <c r="D513" s="32" t="str">
        <f>Orders!H510</f>
        <v>Delivered</v>
      </c>
      <c r="E513" s="33">
        <f>IF(Orders!H510="Delivered",1,0)</f>
        <v>1</v>
      </c>
      <c r="F513" s="34">
        <f>IF(E513=1,Orders!R510,"")</f>
        <v>-1.1</v>
      </c>
      <c r="G513" s="33">
        <f>IF(E513=1,IF(Orders!R510&gt;0,1,0),"")</f>
        <v>0</v>
      </c>
      <c r="H513" s="33">
        <f>IF(E513=1,IF(Orders!R510&gt;5,1,0),"")</f>
        <v>0</v>
      </c>
      <c r="I513" s="32" t="str">
        <f>IF(E513=1,"",IF(OR(Orders!T510="Rider unavailable",Orders!T510="Item unavailable"),"Company-caused","Unresolved"))</f>
        <v/>
      </c>
      <c r="J513" s="33">
        <f>IF(OR(E513=1,I513="Company-caused"),1,0)</f>
        <v>1</v>
      </c>
      <c r="K513" s="32" t="str">
        <f>IF(E513=0,IF(I513="Company-caused",IF(Orders!T510="Rider unavailable","C1 Rider unavailable","C2 Item unavailable"),"Outside root: unresolved"),IF(G513=0,"A On time",IF(H513=1,IF(L513=1,"B2a Severe, peak","B2b Severe, off-peak"),IF(L513=1,"B1a Slight, peak","B1b Slight, off-peak"))))</f>
        <v>A On time</v>
      </c>
      <c r="L513" s="33">
        <f>IF(AND(Orders!U510&gt;=19,Orders!U510&lt;22),1,0)</f>
        <v>0</v>
      </c>
      <c r="M513" s="33">
        <f>IF(L513=IF(Orders!V510,1,0),1,0)</f>
        <v>1</v>
      </c>
      <c r="N513" s="32" t="str">
        <f>IF(Orders!W510="","None",Orders!W510)</f>
        <v>Heavy</v>
      </c>
      <c r="O513" s="35">
        <f>INT(Orders!E510)</f>
        <v>46271.0</v>
      </c>
      <c r="P513" s="33">
        <f>Orders!U510</f>
        <v>23</v>
      </c>
      <c r="Q513" s="33">
        <f>COUNTIFS(Demand!$A$2:$A$4481,B513,Demand!$B$2:$B$4481,O513,Demand!$C$2:$C$4481,P513)</f>
        <v>1</v>
      </c>
      <c r="R513" s="33">
        <f>IF(Q513=1,SUMIFS(Demand!$E$2:$E$4481,Demand!$A$2:$A$4481,B513,Demand!$B$2:$B$4481,O513,Demand!$C$2:$C$4481,P513),"")</f>
        <v>37</v>
      </c>
      <c r="S513" s="33">
        <f>INDEX(Stores!$G$2:$G$21,MATCH(B513,Stores!$A$2:$A$21,0))</f>
        <v>36</v>
      </c>
      <c r="T513" s="34">
        <f>IF(R513="","",R513/S513)</f>
        <v>1.02777777777778</v>
      </c>
      <c r="U513" s="34">
        <f>IF(E513=1,T513,"")</f>
        <v>1.02777777777778</v>
      </c>
      <c r="V513" s="34">
        <f>IF(AND(E513=1,L513=0),T513,"")</f>
        <v>1.02777777777778</v>
      </c>
      <c r="W513" s="33">
        <f>IF(U513="","",IF(U513&lt;=Breakdowns!$C$5,1,IF(U513&lt;=Breakdowns!$C$6,2,IF(U513&lt;=Breakdowns!$C$7,3,4))))</f>
        <v>3</v>
      </c>
      <c r="X513" s="33">
        <f>IF(V513="","",IF(V513&lt;=Breakdowns!$D$5,1,IF(V513&lt;=Breakdowns!$D$6,2,IF(V513&lt;=Breakdowns!$D$7,3,4))))</f>
        <v>3</v>
      </c>
      <c r="Y513" s="34">
        <f>INDEX(Stores!$F$2:$F$21,MATCH(B513,Stores!$A$2:$A$21,0))</f>
        <v>2.16</v>
      </c>
      <c r="Z513" s="33">
        <f>IF(Y513&gt;Store_Summary!$M$2,1,0)</f>
        <v>0</v>
      </c>
      <c r="AA513" s="33">
        <f>INDEX(Stores!$C$2:$C$21,MATCH(B513,Stores!$A$2:$A$21,0))</f>
        <v>47</v>
      </c>
      <c r="AB513" s="33">
        <f>IF(AA513&lt;180,1,0)</f>
        <v>1</v>
      </c>
      <c r="AC513" s="32" t="str">
        <f>IF(Orders!D510="","",INDEX(Riders!$C$2:$C$81,MATCH(Orders!D510,Riders!$A$2:$A$81,0)))</f>
        <v>Petrol scooter</v>
      </c>
      <c r="AD513" s="33">
        <f>IF(Orders!D510="","",INDEX(Riders!$D$2:$D$81,MATCH(Orders!D510,Riders!$A$2:$A$81,0)))</f>
        <v>40</v>
      </c>
      <c r="AE513" s="33">
        <f>IF(Orders!D510="","",IF(INDEX(Riders!$B$2:$B$81,MATCH(Orders!D510,Riders!$A$2:$A$81,0))=B513,1,0))</f>
        <v>0</v>
      </c>
      <c r="AF513" s="34">
        <f>IF(E513=1,Orders!L510,"")</f>
        <v>3.96</v>
      </c>
      <c r="AG513" s="34">
        <f>IF(E513=1,Orders!P510,"")</f>
        <v>9.2</v>
      </c>
      <c r="AH513" s="34">
        <f>IF(E513=1,Orders!Q510,"")</f>
        <v>8.1</v>
      </c>
      <c r="AI513" s="34">
        <f>IF(E513=1,Orders!M510,"")</f>
        <v>1.2</v>
      </c>
      <c r="AJ513" s="34">
        <f>IF(E513=1,Orders!N510,"")</f>
        <v>2.4</v>
      </c>
      <c r="AK513" s="34">
        <f>IF(E513=1,Orders!O510,"")</f>
        <v>4.5</v>
      </c>
      <c r="AL513" s="33">
        <f>IF(E513=1,IF(ROUND(ABS(AI513+AJ513+AK513-AH513),6)&lt;=0.1,1,0),"")</f>
        <v>1</v>
      </c>
      <c r="AM513" s="36">
        <f>IF(E513=1,AI513/AH513,"")</f>
        <v>0.148148148148148</v>
      </c>
      <c r="AN513" s="36">
        <f>IF(E513=1,AJ513/AH513,"")</f>
        <v>0.296296296296296</v>
      </c>
      <c r="AO513" s="36">
        <f>IF(E513=1,AK513/AH513,"")</f>
        <v>0.555555555555556</v>
      </c>
      <c r="AP513" s="34">
        <f>IF(E513=1,Orders!Y510,"")</f>
        <v>0.19</v>
      </c>
      <c r="AQ513" s="33">
        <f>IF(Orders!X510,1,0)</f>
        <v>0</v>
      </c>
      <c r="AR513" s="34" t="str">
        <f>IF(AND(E513=1,L513=1),AJ513,"")</f>
        <v/>
      </c>
      <c r="AS513" s="34">
        <f>IF(AND(E513=1,L513=0),AJ513,"")</f>
        <v>2.4</v>
      </c>
      <c r="AT513" s="34" t="str">
        <f>IF(AND(E513=1,L513=1),AI513,"")</f>
        <v/>
      </c>
      <c r="AU513" s="34">
        <f>IF(AND(E513=1,L513=0),AI513,"")</f>
        <v>1.2</v>
      </c>
      <c r="AV513" s="34" t="str">
        <f>IF(AND(E513=1,L513=1),AG513,"")</f>
        <v/>
      </c>
      <c r="AW513" s="34">
        <f>IF(AND(E513=1,L513=0),AG513,"")</f>
        <v>9.2</v>
      </c>
      <c r="AX513" s="34" t="str">
        <f>IF(AND(E513=1,L513=1),AH513,"")</f>
        <v/>
      </c>
      <c r="AY513" s="34">
        <f>IF(AND(E513=1,L513=0),AH513,"")</f>
        <v>8.1</v>
      </c>
      <c r="AZ513" s="34" t="str">
        <f>IF(G513=1,F513,"")</f>
        <v/>
      </c>
      <c r="BA513" s="34" t="str">
        <f>IF(AND(G513=1,L513=1),F513,"")</f>
        <v/>
      </c>
      <c r="BB513" s="34" t="str">
        <f>IF(AND(G513=1,L513=0),F513,"")</f>
        <v/>
      </c>
      <c r="BC513" s="33">
        <f>IF(E513=1,IF(Orders!R510&gt;3,1,0),"")</f>
        <v>0</v>
      </c>
      <c r="BD513" s="33">
        <f>IF(E513=1,IF(Orders!R510&gt;7,1,0),"")</f>
        <v>0</v>
      </c>
      <c r="BE513" s="32" t="str">
        <f>IF(E513=1,IF(Orders!L510&lt;=1.5,"Up to 1.5 km",IF(Orders!L510&lt;=3,"1.5–3 km","Over 3 km")),"")</f>
        <v>Over 3 km</v>
      </c>
      <c r="BF513" s="33">
        <f>IF(E513=1,IF(ABS((Orders!G510-Orders!F510)*1440-Orders!R510)&lt;0.06,1,0),"")</f>
        <v>1</v>
      </c>
      <c r="BG513" s="33">
        <f>IF(ABS((Orders!F510-Orders!E510)*1440-Orders!P510)&lt;0.06,1,0)</f>
        <v>1</v>
      </c>
      <c r="BH513" s="33">
        <f>IF(E513=1,IF(IF(Orders!S510,1,0)=1-G513,1,0),"")</f>
        <v>1</v>
      </c>
      <c r="BI513" s="32" t="str">
        <f>INDEX(Stores!$B$2:$B$21,MATCH(B513,Stores!$A$2:$A$21,0))</f>
        <v>Hyderabad</v>
      </c>
    </row>
    <row r="514">
      <c r="A514" s="32" t="str">
        <f>Orders!A511</f>
        <v>O00510</v>
      </c>
      <c r="B514" s="32" t="str">
        <f>Orders!C511</f>
        <v>S007</v>
      </c>
      <c r="C514" s="32" t="str">
        <f>Orders!B511</f>
        <v>C0043</v>
      </c>
      <c r="D514" s="32" t="str">
        <f>Orders!H511</f>
        <v>Delivered</v>
      </c>
      <c r="E514" s="33">
        <f>IF(Orders!H511="Delivered",1,0)</f>
        <v>1</v>
      </c>
      <c r="F514" s="34">
        <f>IF(E514=1,Orders!R511,"")</f>
        <v>0.6</v>
      </c>
      <c r="G514" s="33">
        <f>IF(E514=1,IF(Orders!R511&gt;0,1,0),"")</f>
        <v>1</v>
      </c>
      <c r="H514" s="33">
        <f>IF(E514=1,IF(Orders!R511&gt;5,1,0),"")</f>
        <v>0</v>
      </c>
      <c r="I514" s="32" t="str">
        <f>IF(E514=1,"",IF(OR(Orders!T511="Rider unavailable",Orders!T511="Item unavailable"),"Company-caused","Unresolved"))</f>
        <v/>
      </c>
      <c r="J514" s="33">
        <f>IF(OR(E514=1,I514="Company-caused"),1,0)</f>
        <v>1</v>
      </c>
      <c r="K514" s="32" t="str">
        <f>IF(E514=0,IF(I514="Company-caused",IF(Orders!T511="Rider unavailable","C1 Rider unavailable","C2 Item unavailable"),"Outside root: unresolved"),IF(G514=0,"A On time",IF(H514=1,IF(L514=1,"B2a Severe, peak","B2b Severe, off-peak"),IF(L514=1,"B1a Slight, peak","B1b Slight, off-peak"))))</f>
        <v>B1a Slight, peak</v>
      </c>
      <c r="L514" s="33">
        <f>IF(AND(Orders!U511&gt;=19,Orders!U511&lt;22),1,0)</f>
        <v>1</v>
      </c>
      <c r="M514" s="33">
        <f>IF(L514=IF(Orders!V511,1,0),1,0)</f>
        <v>1</v>
      </c>
      <c r="N514" s="32" t="str">
        <f>IF(Orders!W511="","None",Orders!W511)</f>
        <v>None</v>
      </c>
      <c r="O514" s="35">
        <f>INT(Orders!E511)</f>
        <v>46273.0</v>
      </c>
      <c r="P514" s="33">
        <f>Orders!U511</f>
        <v>20</v>
      </c>
      <c r="Q514" s="33">
        <f>COUNTIFS(Demand!$A$2:$A$4481,B514,Demand!$B$2:$B$4481,O514,Demand!$C$2:$C$4481,P514)</f>
        <v>1</v>
      </c>
      <c r="R514" s="33">
        <f>IF(Q514=1,SUMIFS(Demand!$E$2:$E$4481,Demand!$A$2:$A$4481,B514,Demand!$B$2:$B$4481,O514,Demand!$C$2:$C$4481,P514),"")</f>
        <v>42</v>
      </c>
      <c r="S514" s="33">
        <f>INDEX(Stores!$G$2:$G$21,MATCH(B514,Stores!$A$2:$A$21,0))</f>
        <v>37</v>
      </c>
      <c r="T514" s="34">
        <f>IF(R514="","",R514/S514)</f>
        <v>1.13513513513514</v>
      </c>
      <c r="U514" s="34">
        <f>IF(E514=1,T514,"")</f>
        <v>1.13513513513514</v>
      </c>
      <c r="V514" s="34" t="str">
        <f>IF(AND(E514=1,L514=0),T514,"")</f>
        <v/>
      </c>
      <c r="W514" s="33">
        <f>IF(U514="","",IF(U514&lt;=Breakdowns!$C$5,1,IF(U514&lt;=Breakdowns!$C$6,2,IF(U514&lt;=Breakdowns!$C$7,3,4))))</f>
        <v>3</v>
      </c>
      <c r="X514" s="33" t="str">
        <f>IF(V514="","",IF(V514&lt;=Breakdowns!$D$5,1,IF(V514&lt;=Breakdowns!$D$6,2,IF(V514&lt;=Breakdowns!$D$7,3,4))))</f>
        <v/>
      </c>
      <c r="Y514" s="34">
        <f>INDEX(Stores!$F$2:$F$21,MATCH(B514,Stores!$A$2:$A$21,0))</f>
        <v>4.05</v>
      </c>
      <c r="Z514" s="33">
        <f>IF(Y514&gt;Store_Summary!$M$2,1,0)</f>
        <v>0</v>
      </c>
      <c r="AA514" s="33">
        <f>INDEX(Stores!$C$2:$C$21,MATCH(B514,Stores!$A$2:$A$21,0))</f>
        <v>661</v>
      </c>
      <c r="AB514" s="33">
        <f>IF(AA514&lt;180,1,0)</f>
        <v>0</v>
      </c>
      <c r="AC514" s="32" t="str">
        <f>IF(Orders!D511="","",INDEX(Riders!$C$2:$C$81,MATCH(Orders!D511,Riders!$A$2:$A$81,0)))</f>
        <v>EV scooter</v>
      </c>
      <c r="AD514" s="33">
        <f>IF(Orders!D511="","",INDEX(Riders!$D$2:$D$81,MATCH(Orders!D511,Riders!$A$2:$A$81,0)))</f>
        <v>41</v>
      </c>
      <c r="AE514" s="33">
        <f>IF(Orders!D511="","",IF(INDEX(Riders!$B$2:$B$81,MATCH(Orders!D511,Riders!$A$2:$A$81,0))=B514,1,0))</f>
        <v>0</v>
      </c>
      <c r="AF514" s="34">
        <f>IF(E514=1,Orders!L511,"")</f>
        <v>0.73</v>
      </c>
      <c r="AG514" s="34">
        <f>IF(E514=1,Orders!P511,"")</f>
        <v>11.1</v>
      </c>
      <c r="AH514" s="34">
        <f>IF(E514=1,Orders!Q511,"")</f>
        <v>11.7</v>
      </c>
      <c r="AI514" s="34">
        <f>IF(E514=1,Orders!M511,"")</f>
        <v>5.1</v>
      </c>
      <c r="AJ514" s="34">
        <f>IF(E514=1,Orders!N511,"")</f>
        <v>3.1</v>
      </c>
      <c r="AK514" s="34">
        <f>IF(E514=1,Orders!O511,"")</f>
        <v>3.5</v>
      </c>
      <c r="AL514" s="33">
        <f>IF(E514=1,IF(ROUND(ABS(AI514+AJ514+AK514-AH514),6)&lt;=0.1,1,0),"")</f>
        <v>1</v>
      </c>
      <c r="AM514" s="36">
        <f>IF(E514=1,AI514/AH514,"")</f>
        <v>0.435897435897436</v>
      </c>
      <c r="AN514" s="36">
        <f>IF(E514=1,AJ514/AH514,"")</f>
        <v>0.264957264957265</v>
      </c>
      <c r="AO514" s="36">
        <f>IF(E514=1,AK514/AH514,"")</f>
        <v>0.299145299145299</v>
      </c>
      <c r="AP514" s="34">
        <f>IF(E514=1,Orders!Y511,"")</f>
        <v>0.62</v>
      </c>
      <c r="AQ514" s="33">
        <f>IF(Orders!X511,1,0)</f>
        <v>0</v>
      </c>
      <c r="AR514" s="34">
        <f>IF(AND(E514=1,L514=1),AJ514,"")</f>
        <v>3.1</v>
      </c>
      <c r="AS514" s="34" t="str">
        <f>IF(AND(E514=1,L514=0),AJ514,"")</f>
        <v/>
      </c>
      <c r="AT514" s="34">
        <f>IF(AND(E514=1,L514=1),AI514,"")</f>
        <v>5.1</v>
      </c>
      <c r="AU514" s="34" t="str">
        <f>IF(AND(E514=1,L514=0),AI514,"")</f>
        <v/>
      </c>
      <c r="AV514" s="34">
        <f>IF(AND(E514=1,L514=1),AG514,"")</f>
        <v>11.1</v>
      </c>
      <c r="AW514" s="34" t="str">
        <f>IF(AND(E514=1,L514=0),AG514,"")</f>
        <v/>
      </c>
      <c r="AX514" s="34">
        <f>IF(AND(E514=1,L514=1),AH514,"")</f>
        <v>11.7</v>
      </c>
      <c r="AY514" s="34" t="str">
        <f>IF(AND(E514=1,L514=0),AH514,"")</f>
        <v/>
      </c>
      <c r="AZ514" s="34">
        <f>IF(G514=1,F514,"")</f>
        <v>0.6</v>
      </c>
      <c r="BA514" s="34">
        <f>IF(AND(G514=1,L514=1),F514,"")</f>
        <v>0.6</v>
      </c>
      <c r="BB514" s="34" t="str">
        <f>IF(AND(G514=1,L514=0),F514,"")</f>
        <v/>
      </c>
      <c r="BC514" s="33">
        <f>IF(E514=1,IF(Orders!R511&gt;3,1,0),"")</f>
        <v>0</v>
      </c>
      <c r="BD514" s="33">
        <f>IF(E514=1,IF(Orders!R511&gt;7,1,0),"")</f>
        <v>0</v>
      </c>
      <c r="BE514" s="32" t="str">
        <f>IF(E514=1,IF(Orders!L511&lt;=1.5,"Up to 1.5 km",IF(Orders!L511&lt;=3,"1.5–3 km","Over 3 km")),"")</f>
        <v>Up to 1.5 km</v>
      </c>
      <c r="BF514" s="33">
        <f>IF(E514=1,IF(ABS((Orders!G511-Orders!F511)*1440-Orders!R511)&lt;0.06,1,0),"")</f>
        <v>1</v>
      </c>
      <c r="BG514" s="33">
        <f>IF(ABS((Orders!F511-Orders!E511)*1440-Orders!P511)&lt;0.06,1,0)</f>
        <v>1</v>
      </c>
      <c r="BH514" s="33">
        <f>IF(E514=1,IF(IF(Orders!S511,1,0)=1-G514,1,0),"")</f>
        <v>1</v>
      </c>
      <c r="BI514" s="32" t="str">
        <f>INDEX(Stores!$B$2:$B$21,MATCH(B514,Stores!$A$2:$A$21,0))</f>
        <v>Hyderabad</v>
      </c>
    </row>
    <row r="515">
      <c r="A515" s="32" t="str">
        <f>Orders!A512</f>
        <v>O00511</v>
      </c>
      <c r="B515" s="32" t="str">
        <f>Orders!C512</f>
        <v>S005</v>
      </c>
      <c r="C515" s="32" t="str">
        <f>Orders!B512</f>
        <v>C0015</v>
      </c>
      <c r="D515" s="32" t="str">
        <f>Orders!H512</f>
        <v>Delivered</v>
      </c>
      <c r="E515" s="33">
        <f>IF(Orders!H512="Delivered",1,0)</f>
        <v>1</v>
      </c>
      <c r="F515" s="34">
        <f>IF(E515=1,Orders!R512,"")</f>
        <v>6.3</v>
      </c>
      <c r="G515" s="33">
        <f>IF(E515=1,IF(Orders!R512&gt;0,1,0),"")</f>
        <v>1</v>
      </c>
      <c r="H515" s="33">
        <f>IF(E515=1,IF(Orders!R512&gt;5,1,0),"")</f>
        <v>1</v>
      </c>
      <c r="I515" s="32" t="str">
        <f>IF(E515=1,"",IF(OR(Orders!T512="Rider unavailable",Orders!T512="Item unavailable"),"Company-caused","Unresolved"))</f>
        <v/>
      </c>
      <c r="J515" s="33">
        <f>IF(OR(E515=1,I515="Company-caused"),1,0)</f>
        <v>1</v>
      </c>
      <c r="K515" s="32" t="str">
        <f>IF(E515=0,IF(I515="Company-caused",IF(Orders!T512="Rider unavailable","C1 Rider unavailable","C2 Item unavailable"),"Outside root: unresolved"),IF(G515=0,"A On time",IF(H515=1,IF(L515=1,"B2a Severe, peak","B2b Severe, off-peak"),IF(L515=1,"B1a Slight, peak","B1b Slight, off-peak"))))</f>
        <v>B2b Severe, off-peak</v>
      </c>
      <c r="L515" s="33">
        <f>IF(AND(Orders!U512&gt;=19,Orders!U512&lt;22),1,0)</f>
        <v>0</v>
      </c>
      <c r="M515" s="33">
        <f>IF(L515=IF(Orders!V512,1,0),1,0)</f>
        <v>1</v>
      </c>
      <c r="N515" s="32" t="str">
        <f>IF(Orders!W512="","None",Orders!W512)</f>
        <v>Heavy</v>
      </c>
      <c r="O515" s="35">
        <f>INT(Orders!E512)</f>
        <v>46276.0</v>
      </c>
      <c r="P515" s="33">
        <f>Orders!U512</f>
        <v>9</v>
      </c>
      <c r="Q515" s="33">
        <f>COUNTIFS(Demand!$A$2:$A$4481,B515,Demand!$B$2:$B$4481,O515,Demand!$C$2:$C$4481,P515)</f>
        <v>1</v>
      </c>
      <c r="R515" s="33">
        <f>IF(Q515=1,SUMIFS(Demand!$E$2:$E$4481,Demand!$A$2:$A$4481,B515,Demand!$B$2:$B$4481,O515,Demand!$C$2:$C$4481,P515),"")</f>
        <v>11</v>
      </c>
      <c r="S515" s="33">
        <f>INDEX(Stores!$G$2:$G$21,MATCH(B515,Stores!$A$2:$A$21,0))</f>
        <v>14</v>
      </c>
      <c r="T515" s="34">
        <f>IF(R515="","",R515/S515)</f>
        <v>0.785714285714286</v>
      </c>
      <c r="U515" s="34">
        <f>IF(E515=1,T515,"")</f>
        <v>0.785714285714286</v>
      </c>
      <c r="V515" s="34">
        <f>IF(AND(E515=1,L515=0),T515,"")</f>
        <v>0.785714285714286</v>
      </c>
      <c r="W515" s="33">
        <f>IF(U515="","",IF(U515&lt;=Breakdowns!$C$5,1,IF(U515&lt;=Breakdowns!$C$6,2,IF(U515&lt;=Breakdowns!$C$7,3,4))))</f>
        <v>1</v>
      </c>
      <c r="X515" s="33">
        <f>IF(V515="","",IF(V515&lt;=Breakdowns!$D$5,1,IF(V515&lt;=Breakdowns!$D$6,2,IF(V515&lt;=Breakdowns!$D$7,3,4))))</f>
        <v>2</v>
      </c>
      <c r="Y515" s="34">
        <f>INDEX(Stores!$F$2:$F$21,MATCH(B515,Stores!$A$2:$A$21,0))</f>
        <v>4.89</v>
      </c>
      <c r="Z515" s="33">
        <f>IF(Y515&gt;Store_Summary!$M$2,1,0)</f>
        <v>0</v>
      </c>
      <c r="AA515" s="33">
        <f>INDEX(Stores!$C$2:$C$21,MATCH(B515,Stores!$A$2:$A$21,0))</f>
        <v>138</v>
      </c>
      <c r="AB515" s="33">
        <f>IF(AA515&lt;180,1,0)</f>
        <v>1</v>
      </c>
      <c r="AC515" s="32" t="str">
        <f>IF(Orders!D512="","",INDEX(Riders!$C$2:$C$81,MATCH(Orders!D512,Riders!$A$2:$A$81,0)))</f>
        <v>EV scooter</v>
      </c>
      <c r="AD515" s="33">
        <f>IF(Orders!D512="","",INDEX(Riders!$D$2:$D$81,MATCH(Orders!D512,Riders!$A$2:$A$81,0)))</f>
        <v>37</v>
      </c>
      <c r="AE515" s="33">
        <f>IF(Orders!D512="","",IF(INDEX(Riders!$B$2:$B$81,MATCH(Orders!D512,Riders!$A$2:$A$81,0))=B515,1,0))</f>
        <v>0</v>
      </c>
      <c r="AF515" s="34">
        <f>IF(E515=1,Orders!L512,"")</f>
        <v>1.29</v>
      </c>
      <c r="AG515" s="34">
        <f>IF(E515=1,Orders!P512,"")</f>
        <v>8.5</v>
      </c>
      <c r="AH515" s="34">
        <f>IF(E515=1,Orders!Q512,"")</f>
        <v>14.8</v>
      </c>
      <c r="AI515" s="34">
        <f>IF(E515=1,Orders!M512,"")</f>
        <v>6</v>
      </c>
      <c r="AJ515" s="34">
        <f>IF(E515=1,Orders!N512,"")</f>
        <v>3.4</v>
      </c>
      <c r="AK515" s="34">
        <f>IF(E515=1,Orders!O512,"")</f>
        <v>5.5</v>
      </c>
      <c r="AL515" s="33">
        <f>IF(E515=1,IF(ROUND(ABS(AI515+AJ515+AK515-AH515),6)&lt;=0.1,1,0),"")</f>
        <v>1</v>
      </c>
      <c r="AM515" s="36">
        <f>IF(E515=1,AI515/AH515,"")</f>
        <v>0.405405405405405</v>
      </c>
      <c r="AN515" s="36">
        <f>IF(E515=1,AJ515/AH515,"")</f>
        <v>0.22972972972973</v>
      </c>
      <c r="AO515" s="36">
        <f>IF(E515=1,AK515/AH515,"")</f>
        <v>0.371621621621622</v>
      </c>
      <c r="AP515" s="34">
        <f>IF(E515=1,Orders!Y512,"")</f>
        <v>0.2</v>
      </c>
      <c r="AQ515" s="33">
        <f>IF(Orders!X512,1,0)</f>
        <v>0</v>
      </c>
      <c r="AR515" s="34" t="str">
        <f>IF(AND(E515=1,L515=1),AJ515,"")</f>
        <v/>
      </c>
      <c r="AS515" s="34">
        <f>IF(AND(E515=1,L515=0),AJ515,"")</f>
        <v>3.4</v>
      </c>
      <c r="AT515" s="34" t="str">
        <f>IF(AND(E515=1,L515=1),AI515,"")</f>
        <v/>
      </c>
      <c r="AU515" s="34">
        <f>IF(AND(E515=1,L515=0),AI515,"")</f>
        <v>6</v>
      </c>
      <c r="AV515" s="34" t="str">
        <f>IF(AND(E515=1,L515=1),AG515,"")</f>
        <v/>
      </c>
      <c r="AW515" s="34">
        <f>IF(AND(E515=1,L515=0),AG515,"")</f>
        <v>8.5</v>
      </c>
      <c r="AX515" s="34" t="str">
        <f>IF(AND(E515=1,L515=1),AH515,"")</f>
        <v/>
      </c>
      <c r="AY515" s="34">
        <f>IF(AND(E515=1,L515=0),AH515,"")</f>
        <v>14.8</v>
      </c>
      <c r="AZ515" s="34">
        <f>IF(G515=1,F515,"")</f>
        <v>6.3</v>
      </c>
      <c r="BA515" s="34" t="str">
        <f>IF(AND(G515=1,L515=1),F515,"")</f>
        <v/>
      </c>
      <c r="BB515" s="34">
        <f>IF(AND(G515=1,L515=0),F515,"")</f>
        <v>6.3</v>
      </c>
      <c r="BC515" s="33">
        <f>IF(E515=1,IF(Orders!R512&gt;3,1,0),"")</f>
        <v>1</v>
      </c>
      <c r="BD515" s="33">
        <f>IF(E515=1,IF(Orders!R512&gt;7,1,0),"")</f>
        <v>0</v>
      </c>
      <c r="BE515" s="32" t="str">
        <f>IF(E515=1,IF(Orders!L512&lt;=1.5,"Up to 1.5 km",IF(Orders!L512&lt;=3,"1.5–3 km","Over 3 km")),"")</f>
        <v>Up to 1.5 km</v>
      </c>
      <c r="BF515" s="33">
        <f>IF(E515=1,IF(ABS((Orders!G512-Orders!F512)*1440-Orders!R512)&lt;0.06,1,0),"")</f>
        <v>1</v>
      </c>
      <c r="BG515" s="33">
        <f>IF(ABS((Orders!F512-Orders!E512)*1440-Orders!P512)&lt;0.06,1,0)</f>
        <v>1</v>
      </c>
      <c r="BH515" s="33">
        <f>IF(E515=1,IF(IF(Orders!S512,1,0)=1-G515,1,0),"")</f>
        <v>1</v>
      </c>
      <c r="BI515" s="32" t="str">
        <f>INDEX(Stores!$B$2:$B$21,MATCH(B515,Stores!$A$2:$A$21,0))</f>
        <v>Delhi</v>
      </c>
    </row>
    <row r="516">
      <c r="A516" s="32" t="str">
        <f>Orders!A513</f>
        <v>O00512</v>
      </c>
      <c r="B516" s="32" t="str">
        <f>Orders!C513</f>
        <v>S018</v>
      </c>
      <c r="C516" s="32" t="str">
        <f>Orders!B513</f>
        <v>C0001</v>
      </c>
      <c r="D516" s="32" t="str">
        <f>Orders!H513</f>
        <v>Delivered</v>
      </c>
      <c r="E516" s="33">
        <f>IF(Orders!H513="Delivered",1,0)</f>
        <v>1</v>
      </c>
      <c r="F516" s="34">
        <f>IF(E516=1,Orders!R513,"")</f>
        <v>-0.8</v>
      </c>
      <c r="G516" s="33">
        <f>IF(E516=1,IF(Orders!R513&gt;0,1,0),"")</f>
        <v>0</v>
      </c>
      <c r="H516" s="33">
        <f>IF(E516=1,IF(Orders!R513&gt;5,1,0),"")</f>
        <v>0</v>
      </c>
      <c r="I516" s="32" t="str">
        <f>IF(E516=1,"",IF(OR(Orders!T513="Rider unavailable",Orders!T513="Item unavailable"),"Company-caused","Unresolved"))</f>
        <v/>
      </c>
      <c r="J516" s="33">
        <f>IF(OR(E516=1,I516="Company-caused"),1,0)</f>
        <v>1</v>
      </c>
      <c r="K516" s="32" t="str">
        <f>IF(E516=0,IF(I516="Company-caused",IF(Orders!T513="Rider unavailable","C1 Rider unavailable","C2 Item unavailable"),"Outside root: unresolved"),IF(G516=0,"A On time",IF(H516=1,IF(L516=1,"B2a Severe, peak","B2b Severe, off-peak"),IF(L516=1,"B1a Slight, peak","B1b Slight, off-peak"))))</f>
        <v>A On time</v>
      </c>
      <c r="L516" s="33">
        <f>IF(AND(Orders!U513&gt;=19,Orders!U513&lt;22),1,0)</f>
        <v>0</v>
      </c>
      <c r="M516" s="33">
        <f>IF(L516=IF(Orders!V513,1,0),1,0)</f>
        <v>1</v>
      </c>
      <c r="N516" s="32" t="str">
        <f>IF(Orders!W513="","None",Orders!W513)</f>
        <v>Heavy</v>
      </c>
      <c r="O516" s="35">
        <f>INT(Orders!E513)</f>
        <v>46272.0</v>
      </c>
      <c r="P516" s="33">
        <f>Orders!U513</f>
        <v>8</v>
      </c>
      <c r="Q516" s="33">
        <f>COUNTIFS(Demand!$A$2:$A$4481,B516,Demand!$B$2:$B$4481,O516,Demand!$C$2:$C$4481,P516)</f>
        <v>1</v>
      </c>
      <c r="R516" s="33">
        <f>IF(Q516=1,SUMIFS(Demand!$E$2:$E$4481,Demand!$A$2:$A$4481,B516,Demand!$B$2:$B$4481,O516,Demand!$C$2:$C$4481,P516),"")</f>
        <v>15</v>
      </c>
      <c r="S516" s="33">
        <f>INDEX(Stores!$G$2:$G$21,MATCH(B516,Stores!$A$2:$A$21,0))</f>
        <v>20</v>
      </c>
      <c r="T516" s="34">
        <f>IF(R516="","",R516/S516)</f>
        <v>0.75</v>
      </c>
      <c r="U516" s="34">
        <f>IF(E516=1,T516,"")</f>
        <v>0.75</v>
      </c>
      <c r="V516" s="34">
        <f>IF(AND(E516=1,L516=0),T516,"")</f>
        <v>0.75</v>
      </c>
      <c r="W516" s="33">
        <f>IF(U516="","",IF(U516&lt;=Breakdowns!$C$5,1,IF(U516&lt;=Breakdowns!$C$6,2,IF(U516&lt;=Breakdowns!$C$7,3,4))))</f>
        <v>1</v>
      </c>
      <c r="X516" s="33">
        <f>IF(V516="","",IF(V516&lt;=Breakdowns!$D$5,1,IF(V516&lt;=Breakdowns!$D$6,2,IF(V516&lt;=Breakdowns!$D$7,3,4))))</f>
        <v>1</v>
      </c>
      <c r="Y516" s="34">
        <f>INDEX(Stores!$F$2:$F$21,MATCH(B516,Stores!$A$2:$A$21,0))</f>
        <v>5.31</v>
      </c>
      <c r="Z516" s="33">
        <f>IF(Y516&gt;Store_Summary!$M$2,1,0)</f>
        <v>1</v>
      </c>
      <c r="AA516" s="33">
        <f>INDEX(Stores!$C$2:$C$21,MATCH(B516,Stores!$A$2:$A$21,0))</f>
        <v>214</v>
      </c>
      <c r="AB516" s="33">
        <f>IF(AA516&lt;180,1,0)</f>
        <v>0</v>
      </c>
      <c r="AC516" s="32" t="str">
        <f>IF(Orders!D513="","",INDEX(Riders!$C$2:$C$81,MATCH(Orders!D513,Riders!$A$2:$A$81,0)))</f>
        <v>Petrol scooter</v>
      </c>
      <c r="AD516" s="33">
        <f>IF(Orders!D513="","",INDEX(Riders!$D$2:$D$81,MATCH(Orders!D513,Riders!$A$2:$A$81,0)))</f>
        <v>15</v>
      </c>
      <c r="AE516" s="33">
        <f>IF(Orders!D513="","",IF(INDEX(Riders!$B$2:$B$81,MATCH(Orders!D513,Riders!$A$2:$A$81,0))=B516,1,0))</f>
        <v>0</v>
      </c>
      <c r="AF516" s="34">
        <f>IF(E516=1,Orders!L513,"")</f>
        <v>0.85</v>
      </c>
      <c r="AG516" s="34">
        <f>IF(E516=1,Orders!P513,"")</f>
        <v>9.1</v>
      </c>
      <c r="AH516" s="34">
        <f>IF(E516=1,Orders!Q513,"")</f>
        <v>8.3</v>
      </c>
      <c r="AI516" s="34">
        <f>IF(E516=1,Orders!M513,"")</f>
        <v>2.8</v>
      </c>
      <c r="AJ516" s="34">
        <f>IF(E516=1,Orders!N513,"")</f>
        <v>1.8</v>
      </c>
      <c r="AK516" s="34">
        <f>IF(E516=1,Orders!O513,"")</f>
        <v>3.7</v>
      </c>
      <c r="AL516" s="33">
        <f>IF(E516=1,IF(ROUND(ABS(AI516+AJ516+AK516-AH516),6)&lt;=0.1,1,0),"")</f>
        <v>1</v>
      </c>
      <c r="AM516" s="36">
        <f>IF(E516=1,AI516/AH516,"")</f>
        <v>0.337349397590361</v>
      </c>
      <c r="AN516" s="36">
        <f>IF(E516=1,AJ516/AH516,"")</f>
        <v>0.216867469879518</v>
      </c>
      <c r="AO516" s="36">
        <f>IF(E516=1,AK516/AH516,"")</f>
        <v>0.445783132530121</v>
      </c>
      <c r="AP516" s="34">
        <f>IF(E516=1,Orders!Y513,"")</f>
        <v>0.64</v>
      </c>
      <c r="AQ516" s="33">
        <f>IF(Orders!X513,1,0)</f>
        <v>0</v>
      </c>
      <c r="AR516" s="34" t="str">
        <f>IF(AND(E516=1,L516=1),AJ516,"")</f>
        <v/>
      </c>
      <c r="AS516" s="34">
        <f>IF(AND(E516=1,L516=0),AJ516,"")</f>
        <v>1.8</v>
      </c>
      <c r="AT516" s="34" t="str">
        <f>IF(AND(E516=1,L516=1),AI516,"")</f>
        <v/>
      </c>
      <c r="AU516" s="34">
        <f>IF(AND(E516=1,L516=0),AI516,"")</f>
        <v>2.8</v>
      </c>
      <c r="AV516" s="34" t="str">
        <f>IF(AND(E516=1,L516=1),AG516,"")</f>
        <v/>
      </c>
      <c r="AW516" s="34">
        <f>IF(AND(E516=1,L516=0),AG516,"")</f>
        <v>9.1</v>
      </c>
      <c r="AX516" s="34" t="str">
        <f>IF(AND(E516=1,L516=1),AH516,"")</f>
        <v/>
      </c>
      <c r="AY516" s="34">
        <f>IF(AND(E516=1,L516=0),AH516,"")</f>
        <v>8.3</v>
      </c>
      <c r="AZ516" s="34" t="str">
        <f>IF(G516=1,F516,"")</f>
        <v/>
      </c>
      <c r="BA516" s="34" t="str">
        <f>IF(AND(G516=1,L516=1),F516,"")</f>
        <v/>
      </c>
      <c r="BB516" s="34" t="str">
        <f>IF(AND(G516=1,L516=0),F516,"")</f>
        <v/>
      </c>
      <c r="BC516" s="33">
        <f>IF(E516=1,IF(Orders!R513&gt;3,1,0),"")</f>
        <v>0</v>
      </c>
      <c r="BD516" s="33">
        <f>IF(E516=1,IF(Orders!R513&gt;7,1,0),"")</f>
        <v>0</v>
      </c>
      <c r="BE516" s="32" t="str">
        <f>IF(E516=1,IF(Orders!L513&lt;=1.5,"Up to 1.5 km",IF(Orders!L513&lt;=3,"1.5–3 km","Over 3 km")),"")</f>
        <v>Up to 1.5 km</v>
      </c>
      <c r="BF516" s="33">
        <f>IF(E516=1,IF(ABS((Orders!G513-Orders!F513)*1440-Orders!R513)&lt;0.06,1,0),"")</f>
        <v>1</v>
      </c>
      <c r="BG516" s="33">
        <f>IF(ABS((Orders!F513-Orders!E513)*1440-Orders!P513)&lt;0.06,1,0)</f>
        <v>1</v>
      </c>
      <c r="BH516" s="33">
        <f>IF(E516=1,IF(IF(Orders!S513,1,0)=1-G516,1,0),"")</f>
        <v>1</v>
      </c>
      <c r="BI516" s="32" t="str">
        <f>INDEX(Stores!$B$2:$B$21,MATCH(B516,Stores!$A$2:$A$21,0))</f>
        <v>Mumbai</v>
      </c>
    </row>
    <row r="517">
      <c r="A517" s="32" t="str">
        <f>Orders!A514</f>
        <v>O00513</v>
      </c>
      <c r="B517" s="32" t="str">
        <f>Orders!C514</f>
        <v>S002</v>
      </c>
      <c r="C517" s="32" t="str">
        <f>Orders!B514</f>
        <v>C0016</v>
      </c>
      <c r="D517" s="32" t="str">
        <f>Orders!H514</f>
        <v>Delivered</v>
      </c>
      <c r="E517" s="33">
        <f>IF(Orders!H514="Delivered",1,0)</f>
        <v>1</v>
      </c>
      <c r="F517" s="34">
        <f>IF(E517=1,Orders!R514,"")</f>
        <v>1.1</v>
      </c>
      <c r="G517" s="33">
        <f>IF(E517=1,IF(Orders!R514&gt;0,1,0),"")</f>
        <v>1</v>
      </c>
      <c r="H517" s="33">
        <f>IF(E517=1,IF(Orders!R514&gt;5,1,0),"")</f>
        <v>0</v>
      </c>
      <c r="I517" s="32" t="str">
        <f>IF(E517=1,"",IF(OR(Orders!T514="Rider unavailable",Orders!T514="Item unavailable"),"Company-caused","Unresolved"))</f>
        <v/>
      </c>
      <c r="J517" s="33">
        <f>IF(OR(E517=1,I517="Company-caused"),1,0)</f>
        <v>1</v>
      </c>
      <c r="K517" s="32" t="str">
        <f>IF(E517=0,IF(I517="Company-caused",IF(Orders!T514="Rider unavailable","C1 Rider unavailable","C2 Item unavailable"),"Outside root: unresolved"),IF(G517=0,"A On time",IF(H517=1,IF(L517=1,"B2a Severe, peak","B2b Severe, off-peak"),IF(L517=1,"B1a Slight, peak","B1b Slight, off-peak"))))</f>
        <v>B1b Slight, off-peak</v>
      </c>
      <c r="L517" s="33">
        <f>IF(AND(Orders!U514&gt;=19,Orders!U514&lt;22),1,0)</f>
        <v>0</v>
      </c>
      <c r="M517" s="33">
        <f>IF(L517=IF(Orders!V514,1,0),1,0)</f>
        <v>1</v>
      </c>
      <c r="N517" s="32" t="str">
        <f>IF(Orders!W514="","None",Orders!W514)</f>
        <v>None</v>
      </c>
      <c r="O517" s="35">
        <f>INT(Orders!E514)</f>
        <v>46277.0</v>
      </c>
      <c r="P517" s="33">
        <f>Orders!U514</f>
        <v>14</v>
      </c>
      <c r="Q517" s="33">
        <f>COUNTIFS(Demand!$A$2:$A$4481,B517,Demand!$B$2:$B$4481,O517,Demand!$C$2:$C$4481,P517)</f>
        <v>1</v>
      </c>
      <c r="R517" s="33">
        <f>IF(Q517=1,SUMIFS(Demand!$E$2:$E$4481,Demand!$A$2:$A$4481,B517,Demand!$B$2:$B$4481,O517,Demand!$C$2:$C$4481,P517),"")</f>
        <v>31</v>
      </c>
      <c r="S517" s="33">
        <f>INDEX(Stores!$G$2:$G$21,MATCH(B517,Stores!$A$2:$A$21,0))</f>
        <v>33</v>
      </c>
      <c r="T517" s="34">
        <f>IF(R517="","",R517/S517)</f>
        <v>0.939393939393939</v>
      </c>
      <c r="U517" s="34">
        <f>IF(E517=1,T517,"")</f>
        <v>0.939393939393939</v>
      </c>
      <c r="V517" s="34">
        <f>IF(AND(E517=1,L517=0),T517,"")</f>
        <v>0.939393939393939</v>
      </c>
      <c r="W517" s="33">
        <f>IF(U517="","",IF(U517&lt;=Breakdowns!$C$5,1,IF(U517&lt;=Breakdowns!$C$6,2,IF(U517&lt;=Breakdowns!$C$7,3,4))))</f>
        <v>2</v>
      </c>
      <c r="X517" s="33">
        <f>IF(V517="","",IF(V517&lt;=Breakdowns!$D$5,1,IF(V517&lt;=Breakdowns!$D$6,2,IF(V517&lt;=Breakdowns!$D$7,3,4))))</f>
        <v>3</v>
      </c>
      <c r="Y517" s="34">
        <f>INDEX(Stores!$F$2:$F$21,MATCH(B517,Stores!$A$2:$A$21,0))</f>
        <v>2.39</v>
      </c>
      <c r="Z517" s="33">
        <f>IF(Y517&gt;Store_Summary!$M$2,1,0)</f>
        <v>0</v>
      </c>
      <c r="AA517" s="33">
        <f>INDEX(Stores!$C$2:$C$21,MATCH(B517,Stores!$A$2:$A$21,0))</f>
        <v>470</v>
      </c>
      <c r="AB517" s="33">
        <f>IF(AA517&lt;180,1,0)</f>
        <v>0</v>
      </c>
      <c r="AC517" s="32" t="str">
        <f>IF(Orders!D514="","",INDEX(Riders!$C$2:$C$81,MATCH(Orders!D514,Riders!$A$2:$A$81,0)))</f>
        <v>Petrol scooter</v>
      </c>
      <c r="AD517" s="33">
        <f>IF(Orders!D514="","",INDEX(Riders!$D$2:$D$81,MATCH(Orders!D514,Riders!$A$2:$A$81,0)))</f>
        <v>37</v>
      </c>
      <c r="AE517" s="33">
        <f>IF(Orders!D514="","",IF(INDEX(Riders!$B$2:$B$81,MATCH(Orders!D514,Riders!$A$2:$A$81,0))=B517,1,0))</f>
        <v>0</v>
      </c>
      <c r="AF517" s="34">
        <f>IF(E517=1,Orders!L514,"")</f>
        <v>0.91</v>
      </c>
      <c r="AG517" s="34">
        <f>IF(E517=1,Orders!P514,"")</f>
        <v>11.7</v>
      </c>
      <c r="AH517" s="34">
        <f>IF(E517=1,Orders!Q514,"")</f>
        <v>12.8</v>
      </c>
      <c r="AI517" s="34">
        <f>IF(E517=1,Orders!M514,"")</f>
        <v>2.9</v>
      </c>
      <c r="AJ517" s="34">
        <f>IF(E517=1,Orders!N514,"")</f>
        <v>6.4</v>
      </c>
      <c r="AK517" s="34">
        <f>IF(E517=1,Orders!O514,"")</f>
        <v>3.6</v>
      </c>
      <c r="AL517" s="33">
        <f>IF(E517=1,IF(ROUND(ABS(AI517+AJ517+AK517-AH517),6)&lt;=0.1,1,0),"")</f>
        <v>1</v>
      </c>
      <c r="AM517" s="36">
        <f>IF(E517=1,AI517/AH517,"")</f>
        <v>0.2265625</v>
      </c>
      <c r="AN517" s="36">
        <f>IF(E517=1,AJ517/AH517,"")</f>
        <v>0.5</v>
      </c>
      <c r="AO517" s="36">
        <f>IF(E517=1,AK517/AH517,"")</f>
        <v>0.28125</v>
      </c>
      <c r="AP517" s="34">
        <f>IF(E517=1,Orders!Y514,"")</f>
        <v>0.65</v>
      </c>
      <c r="AQ517" s="33">
        <f>IF(Orders!X514,1,0)</f>
        <v>0</v>
      </c>
      <c r="AR517" s="34" t="str">
        <f>IF(AND(E517=1,L517=1),AJ517,"")</f>
        <v/>
      </c>
      <c r="AS517" s="34">
        <f>IF(AND(E517=1,L517=0),AJ517,"")</f>
        <v>6.4</v>
      </c>
      <c r="AT517" s="34" t="str">
        <f>IF(AND(E517=1,L517=1),AI517,"")</f>
        <v/>
      </c>
      <c r="AU517" s="34">
        <f>IF(AND(E517=1,L517=0),AI517,"")</f>
        <v>2.9</v>
      </c>
      <c r="AV517" s="34" t="str">
        <f>IF(AND(E517=1,L517=1),AG517,"")</f>
        <v/>
      </c>
      <c r="AW517" s="34">
        <f>IF(AND(E517=1,L517=0),AG517,"")</f>
        <v>11.7</v>
      </c>
      <c r="AX517" s="34" t="str">
        <f>IF(AND(E517=1,L517=1),AH517,"")</f>
        <v/>
      </c>
      <c r="AY517" s="34">
        <f>IF(AND(E517=1,L517=0),AH517,"")</f>
        <v>12.8</v>
      </c>
      <c r="AZ517" s="34">
        <f>IF(G517=1,F517,"")</f>
        <v>1.1</v>
      </c>
      <c r="BA517" s="34" t="str">
        <f>IF(AND(G517=1,L517=1),F517,"")</f>
        <v/>
      </c>
      <c r="BB517" s="34">
        <f>IF(AND(G517=1,L517=0),F517,"")</f>
        <v>1.1</v>
      </c>
      <c r="BC517" s="33">
        <f>IF(E517=1,IF(Orders!R514&gt;3,1,0),"")</f>
        <v>0</v>
      </c>
      <c r="BD517" s="33">
        <f>IF(E517=1,IF(Orders!R514&gt;7,1,0),"")</f>
        <v>0</v>
      </c>
      <c r="BE517" s="32" t="str">
        <f>IF(E517=1,IF(Orders!L514&lt;=1.5,"Up to 1.5 km",IF(Orders!L514&lt;=3,"1.5–3 km","Over 3 km")),"")</f>
        <v>Up to 1.5 km</v>
      </c>
      <c r="BF517" s="33">
        <f>IF(E517=1,IF(ABS((Orders!G514-Orders!F514)*1440-Orders!R514)&lt;0.06,1,0),"")</f>
        <v>1</v>
      </c>
      <c r="BG517" s="33">
        <f>IF(ABS((Orders!F514-Orders!E514)*1440-Orders!P514)&lt;0.06,1,0)</f>
        <v>1</v>
      </c>
      <c r="BH517" s="33">
        <f>IF(E517=1,IF(IF(Orders!S514,1,0)=1-G517,1,0),"")</f>
        <v>1</v>
      </c>
      <c r="BI517" s="32" t="str">
        <f>INDEX(Stores!$B$2:$B$21,MATCH(B517,Stores!$A$2:$A$21,0))</f>
        <v>Hyderabad</v>
      </c>
    </row>
    <row r="518">
      <c r="A518" s="32" t="str">
        <f>Orders!A515</f>
        <v>O00514</v>
      </c>
      <c r="B518" s="32" t="str">
        <f>Orders!C515</f>
        <v>S018</v>
      </c>
      <c r="C518" s="32" t="str">
        <f>Orders!B515</f>
        <v>C0243</v>
      </c>
      <c r="D518" s="32" t="str">
        <f>Orders!H515</f>
        <v>Delivered</v>
      </c>
      <c r="E518" s="33">
        <f>IF(Orders!H515="Delivered",1,0)</f>
        <v>1</v>
      </c>
      <c r="F518" s="34">
        <f>IF(E518=1,Orders!R515,"")</f>
        <v>-0.9</v>
      </c>
      <c r="G518" s="33">
        <f>IF(E518=1,IF(Orders!R515&gt;0,1,0),"")</f>
        <v>0</v>
      </c>
      <c r="H518" s="33">
        <f>IF(E518=1,IF(Orders!R515&gt;5,1,0),"")</f>
        <v>0</v>
      </c>
      <c r="I518" s="32" t="str">
        <f>IF(E518=1,"",IF(OR(Orders!T515="Rider unavailable",Orders!T515="Item unavailable"),"Company-caused","Unresolved"))</f>
        <v/>
      </c>
      <c r="J518" s="33">
        <f>IF(OR(E518=1,I518="Company-caused"),1,0)</f>
        <v>1</v>
      </c>
      <c r="K518" s="32" t="str">
        <f>IF(E518=0,IF(I518="Company-caused",IF(Orders!T515="Rider unavailable","C1 Rider unavailable","C2 Item unavailable"),"Outside root: unresolved"),IF(G518=0,"A On time",IF(H518=1,IF(L518=1,"B2a Severe, peak","B2b Severe, off-peak"),IF(L518=1,"B1a Slight, peak","B1b Slight, off-peak"))))</f>
        <v>A On time</v>
      </c>
      <c r="L518" s="33">
        <f>IF(AND(Orders!U515&gt;=19,Orders!U515&lt;22),1,0)</f>
        <v>0</v>
      </c>
      <c r="M518" s="33">
        <f>IF(L518=IF(Orders!V515,1,0),1,0)</f>
        <v>1</v>
      </c>
      <c r="N518" s="32" t="str">
        <f>IF(Orders!W515="","None",Orders!W515)</f>
        <v>None</v>
      </c>
      <c r="O518" s="35">
        <f>INT(Orders!E515)</f>
        <v>46271.0</v>
      </c>
      <c r="P518" s="33">
        <f>Orders!U515</f>
        <v>23</v>
      </c>
      <c r="Q518" s="33">
        <f>COUNTIFS(Demand!$A$2:$A$4481,B518,Demand!$B$2:$B$4481,O518,Demand!$C$2:$C$4481,P518)</f>
        <v>1</v>
      </c>
      <c r="R518" s="33">
        <f>IF(Q518=1,SUMIFS(Demand!$E$2:$E$4481,Demand!$A$2:$A$4481,B518,Demand!$B$2:$B$4481,O518,Demand!$C$2:$C$4481,P518),"")</f>
        <v>27</v>
      </c>
      <c r="S518" s="33">
        <f>INDEX(Stores!$G$2:$G$21,MATCH(B518,Stores!$A$2:$A$21,0))</f>
        <v>20</v>
      </c>
      <c r="T518" s="34">
        <f>IF(R518="","",R518/S518)</f>
        <v>1.35</v>
      </c>
      <c r="U518" s="34">
        <f>IF(E518=1,T518,"")</f>
        <v>1.35</v>
      </c>
      <c r="V518" s="34">
        <f>IF(AND(E518=1,L518=0),T518,"")</f>
        <v>1.35</v>
      </c>
      <c r="W518" s="33">
        <f>IF(U518="","",IF(U518&lt;=Breakdowns!$C$5,1,IF(U518&lt;=Breakdowns!$C$6,2,IF(U518&lt;=Breakdowns!$C$7,3,4))))</f>
        <v>4</v>
      </c>
      <c r="X518" s="33">
        <f>IF(V518="","",IF(V518&lt;=Breakdowns!$D$5,1,IF(V518&lt;=Breakdowns!$D$6,2,IF(V518&lt;=Breakdowns!$D$7,3,4))))</f>
        <v>4</v>
      </c>
      <c r="Y518" s="34">
        <f>INDEX(Stores!$F$2:$F$21,MATCH(B518,Stores!$A$2:$A$21,0))</f>
        <v>5.31</v>
      </c>
      <c r="Z518" s="33">
        <f>IF(Y518&gt;Store_Summary!$M$2,1,0)</f>
        <v>1</v>
      </c>
      <c r="AA518" s="33">
        <f>INDEX(Stores!$C$2:$C$21,MATCH(B518,Stores!$A$2:$A$21,0))</f>
        <v>214</v>
      </c>
      <c r="AB518" s="33">
        <f>IF(AA518&lt;180,1,0)</f>
        <v>0</v>
      </c>
      <c r="AC518" s="32" t="str">
        <f>IF(Orders!D515="","",INDEX(Riders!$C$2:$C$81,MATCH(Orders!D515,Riders!$A$2:$A$81,0)))</f>
        <v>EV scooter</v>
      </c>
      <c r="AD518" s="33">
        <f>IF(Orders!D515="","",INDEX(Riders!$D$2:$D$81,MATCH(Orders!D515,Riders!$A$2:$A$81,0)))</f>
        <v>18</v>
      </c>
      <c r="AE518" s="33">
        <f>IF(Orders!D515="","",IF(INDEX(Riders!$B$2:$B$81,MATCH(Orders!D515,Riders!$A$2:$A$81,0))=B518,1,0))</f>
        <v>0</v>
      </c>
      <c r="AF518" s="34">
        <f>IF(E518=1,Orders!L515,"")</f>
        <v>1.67</v>
      </c>
      <c r="AG518" s="34">
        <f>IF(E518=1,Orders!P515,"")</f>
        <v>9.9</v>
      </c>
      <c r="AH518" s="34">
        <f>IF(E518=1,Orders!Q515,"")</f>
        <v>9</v>
      </c>
      <c r="AI518" s="34">
        <f>IF(E518=1,Orders!M515,"")</f>
        <v>4.3</v>
      </c>
      <c r="AJ518" s="34">
        <f>IF(E518=1,Orders!N515,"")</f>
        <v>1.7</v>
      </c>
      <c r="AK518" s="34">
        <f>IF(E518=1,Orders!O515,"")</f>
        <v>3</v>
      </c>
      <c r="AL518" s="33">
        <f>IF(E518=1,IF(ROUND(ABS(AI518+AJ518+AK518-AH518),6)&lt;=0.1,1,0),"")</f>
        <v>1</v>
      </c>
      <c r="AM518" s="36">
        <f>IF(E518=1,AI518/AH518,"")</f>
        <v>0.477777777777778</v>
      </c>
      <c r="AN518" s="36">
        <f>IF(E518=1,AJ518/AH518,"")</f>
        <v>0.188888888888889</v>
      </c>
      <c r="AO518" s="36">
        <f>IF(E518=1,AK518/AH518,"")</f>
        <v>0.333333333333333</v>
      </c>
      <c r="AP518" s="34">
        <f>IF(E518=1,Orders!Y515,"")</f>
        <v>0.62</v>
      </c>
      <c r="AQ518" s="33">
        <f>IF(Orders!X515,1,0)</f>
        <v>1</v>
      </c>
      <c r="AR518" s="34" t="str">
        <f>IF(AND(E518=1,L518=1),AJ518,"")</f>
        <v/>
      </c>
      <c r="AS518" s="34">
        <f>IF(AND(E518=1,L518=0),AJ518,"")</f>
        <v>1.7</v>
      </c>
      <c r="AT518" s="34" t="str">
        <f>IF(AND(E518=1,L518=1),AI518,"")</f>
        <v/>
      </c>
      <c r="AU518" s="34">
        <f>IF(AND(E518=1,L518=0),AI518,"")</f>
        <v>4.3</v>
      </c>
      <c r="AV518" s="34" t="str">
        <f>IF(AND(E518=1,L518=1),AG518,"")</f>
        <v/>
      </c>
      <c r="AW518" s="34">
        <f>IF(AND(E518=1,L518=0),AG518,"")</f>
        <v>9.9</v>
      </c>
      <c r="AX518" s="34" t="str">
        <f>IF(AND(E518=1,L518=1),AH518,"")</f>
        <v/>
      </c>
      <c r="AY518" s="34">
        <f>IF(AND(E518=1,L518=0),AH518,"")</f>
        <v>9</v>
      </c>
      <c r="AZ518" s="34" t="str">
        <f>IF(G518=1,F518,"")</f>
        <v/>
      </c>
      <c r="BA518" s="34" t="str">
        <f>IF(AND(G518=1,L518=1),F518,"")</f>
        <v/>
      </c>
      <c r="BB518" s="34" t="str">
        <f>IF(AND(G518=1,L518=0),F518,"")</f>
        <v/>
      </c>
      <c r="BC518" s="33">
        <f>IF(E518=1,IF(Orders!R515&gt;3,1,0),"")</f>
        <v>0</v>
      </c>
      <c r="BD518" s="33">
        <f>IF(E518=1,IF(Orders!R515&gt;7,1,0),"")</f>
        <v>0</v>
      </c>
      <c r="BE518" s="32" t="str">
        <f>IF(E518=1,IF(Orders!L515&lt;=1.5,"Up to 1.5 km",IF(Orders!L515&lt;=3,"1.5–3 km","Over 3 km")),"")</f>
        <v>1.5–3 km</v>
      </c>
      <c r="BF518" s="33">
        <f>IF(E518=1,IF(ABS((Orders!G515-Orders!F515)*1440-Orders!R515)&lt;0.06,1,0),"")</f>
        <v>1</v>
      </c>
      <c r="BG518" s="33">
        <f>IF(ABS((Orders!F515-Orders!E515)*1440-Orders!P515)&lt;0.06,1,0)</f>
        <v>1</v>
      </c>
      <c r="BH518" s="33">
        <f>IF(E518=1,IF(IF(Orders!S515,1,0)=1-G518,1,0),"")</f>
        <v>1</v>
      </c>
      <c r="BI518" s="32" t="str">
        <f>INDEX(Stores!$B$2:$B$21,MATCH(B518,Stores!$A$2:$A$21,0))</f>
        <v>Mumbai</v>
      </c>
    </row>
    <row r="519">
      <c r="A519" s="32" t="str">
        <f>Orders!A516</f>
        <v>O00515</v>
      </c>
      <c r="B519" s="32" t="str">
        <f>Orders!C516</f>
        <v>S003</v>
      </c>
      <c r="C519" s="32" t="str">
        <f>Orders!B516</f>
        <v>C0169</v>
      </c>
      <c r="D519" s="32" t="str">
        <f>Orders!H516</f>
        <v>Delivered</v>
      </c>
      <c r="E519" s="33">
        <f>IF(Orders!H516="Delivered",1,0)</f>
        <v>1</v>
      </c>
      <c r="F519" s="34">
        <f>IF(E519=1,Orders!R516,"")</f>
        <v>-0.9</v>
      </c>
      <c r="G519" s="33">
        <f>IF(E519=1,IF(Orders!R516&gt;0,1,0),"")</f>
        <v>0</v>
      </c>
      <c r="H519" s="33">
        <f>IF(E519=1,IF(Orders!R516&gt;5,1,0),"")</f>
        <v>0</v>
      </c>
      <c r="I519" s="32" t="str">
        <f>IF(E519=1,"",IF(OR(Orders!T516="Rider unavailable",Orders!T516="Item unavailable"),"Company-caused","Unresolved"))</f>
        <v/>
      </c>
      <c r="J519" s="33">
        <f>IF(OR(E519=1,I519="Company-caused"),1,0)</f>
        <v>1</v>
      </c>
      <c r="K519" s="32" t="str">
        <f>IF(E519=0,IF(I519="Company-caused",IF(Orders!T516="Rider unavailable","C1 Rider unavailable","C2 Item unavailable"),"Outside root: unresolved"),IF(G519=0,"A On time",IF(H519=1,IF(L519=1,"B2a Severe, peak","B2b Severe, off-peak"),IF(L519=1,"B1a Slight, peak","B1b Slight, off-peak"))))</f>
        <v>A On time</v>
      </c>
      <c r="L519" s="33">
        <f>IF(AND(Orders!U516&gt;=19,Orders!U516&lt;22),1,0)</f>
        <v>0</v>
      </c>
      <c r="M519" s="33">
        <f>IF(L519=IF(Orders!V516,1,0),1,0)</f>
        <v>1</v>
      </c>
      <c r="N519" s="32" t="str">
        <f>IF(Orders!W516="","None",Orders!W516)</f>
        <v>Heavy</v>
      </c>
      <c r="O519" s="35">
        <f>INT(Orders!E516)</f>
        <v>46272.0</v>
      </c>
      <c r="P519" s="33">
        <f>Orders!U516</f>
        <v>23</v>
      </c>
      <c r="Q519" s="33">
        <f>COUNTIFS(Demand!$A$2:$A$4481,B519,Demand!$B$2:$B$4481,O519,Demand!$C$2:$C$4481,P519)</f>
        <v>1</v>
      </c>
      <c r="R519" s="33">
        <f>IF(Q519=1,SUMIFS(Demand!$E$2:$E$4481,Demand!$A$2:$A$4481,B519,Demand!$B$2:$B$4481,O519,Demand!$C$2:$C$4481,P519),"")</f>
        <v>47</v>
      </c>
      <c r="S519" s="33">
        <f>INDEX(Stores!$G$2:$G$21,MATCH(B519,Stores!$A$2:$A$21,0))</f>
        <v>41</v>
      </c>
      <c r="T519" s="34">
        <f>IF(R519="","",R519/S519)</f>
        <v>1.14634146341463</v>
      </c>
      <c r="U519" s="34">
        <f>IF(E519=1,T519,"")</f>
        <v>1.14634146341463</v>
      </c>
      <c r="V519" s="34">
        <f>IF(AND(E519=1,L519=0),T519,"")</f>
        <v>1.14634146341463</v>
      </c>
      <c r="W519" s="33">
        <f>IF(U519="","",IF(U519&lt;=Breakdowns!$C$5,1,IF(U519&lt;=Breakdowns!$C$6,2,IF(U519&lt;=Breakdowns!$C$7,3,4))))</f>
        <v>3</v>
      </c>
      <c r="X519" s="33">
        <f>IF(V519="","",IF(V519&lt;=Breakdowns!$D$5,1,IF(V519&lt;=Breakdowns!$D$6,2,IF(V519&lt;=Breakdowns!$D$7,3,4))))</f>
        <v>4</v>
      </c>
      <c r="Y519" s="34">
        <f>INDEX(Stores!$F$2:$F$21,MATCH(B519,Stores!$A$2:$A$21,0))</f>
        <v>3.84</v>
      </c>
      <c r="Z519" s="33">
        <f>IF(Y519&gt;Store_Summary!$M$2,1,0)</f>
        <v>0</v>
      </c>
      <c r="AA519" s="33">
        <f>INDEX(Stores!$C$2:$C$21,MATCH(B519,Stores!$A$2:$A$21,0))</f>
        <v>426</v>
      </c>
      <c r="AB519" s="33">
        <f>IF(AA519&lt;180,1,0)</f>
        <v>0</v>
      </c>
      <c r="AC519" s="32" t="str">
        <f>IF(Orders!D516="","",INDEX(Riders!$C$2:$C$81,MATCH(Orders!D516,Riders!$A$2:$A$81,0)))</f>
        <v>EV scooter</v>
      </c>
      <c r="AD519" s="33">
        <f>IF(Orders!D516="","",INDEX(Riders!$D$2:$D$81,MATCH(Orders!D516,Riders!$A$2:$A$81,0)))</f>
        <v>36</v>
      </c>
      <c r="AE519" s="33">
        <f>IF(Orders!D516="","",IF(INDEX(Riders!$B$2:$B$81,MATCH(Orders!D516,Riders!$A$2:$A$81,0))=B519,1,0))</f>
        <v>0</v>
      </c>
      <c r="AF519" s="34">
        <f>IF(E519=1,Orders!L516,"")</f>
        <v>1.27</v>
      </c>
      <c r="AG519" s="34">
        <f>IF(E519=1,Orders!P516,"")</f>
        <v>10.7</v>
      </c>
      <c r="AH519" s="34">
        <f>IF(E519=1,Orders!Q516,"")</f>
        <v>9.8</v>
      </c>
      <c r="AI519" s="34">
        <f>IF(E519=1,Orders!M516,"")</f>
        <v>3.5</v>
      </c>
      <c r="AJ519" s="34">
        <f>IF(E519=1,Orders!N516,"")</f>
        <v>2.4</v>
      </c>
      <c r="AK519" s="34">
        <f>IF(E519=1,Orders!O516,"")</f>
        <v>3.9</v>
      </c>
      <c r="AL519" s="33">
        <f>IF(E519=1,IF(ROUND(ABS(AI519+AJ519+AK519-AH519),6)&lt;=0.1,1,0),"")</f>
        <v>1</v>
      </c>
      <c r="AM519" s="36">
        <f>IF(E519=1,AI519/AH519,"")</f>
        <v>0.357142857142857</v>
      </c>
      <c r="AN519" s="36">
        <f>IF(E519=1,AJ519/AH519,"")</f>
        <v>0.244897959183673</v>
      </c>
      <c r="AO519" s="36">
        <f>IF(E519=1,AK519/AH519,"")</f>
        <v>0.397959183673469</v>
      </c>
      <c r="AP519" s="34">
        <f>IF(E519=1,Orders!Y516,"")</f>
        <v>0.55</v>
      </c>
      <c r="AQ519" s="33">
        <f>IF(Orders!X516,1,0)</f>
        <v>0</v>
      </c>
      <c r="AR519" s="34" t="str">
        <f>IF(AND(E519=1,L519=1),AJ519,"")</f>
        <v/>
      </c>
      <c r="AS519" s="34">
        <f>IF(AND(E519=1,L519=0),AJ519,"")</f>
        <v>2.4</v>
      </c>
      <c r="AT519" s="34" t="str">
        <f>IF(AND(E519=1,L519=1),AI519,"")</f>
        <v/>
      </c>
      <c r="AU519" s="34">
        <f>IF(AND(E519=1,L519=0),AI519,"")</f>
        <v>3.5</v>
      </c>
      <c r="AV519" s="34" t="str">
        <f>IF(AND(E519=1,L519=1),AG519,"")</f>
        <v/>
      </c>
      <c r="AW519" s="34">
        <f>IF(AND(E519=1,L519=0),AG519,"")</f>
        <v>10.7</v>
      </c>
      <c r="AX519" s="34" t="str">
        <f>IF(AND(E519=1,L519=1),AH519,"")</f>
        <v/>
      </c>
      <c r="AY519" s="34">
        <f>IF(AND(E519=1,L519=0),AH519,"")</f>
        <v>9.8</v>
      </c>
      <c r="AZ519" s="34" t="str">
        <f>IF(G519=1,F519,"")</f>
        <v/>
      </c>
      <c r="BA519" s="34" t="str">
        <f>IF(AND(G519=1,L519=1),F519,"")</f>
        <v/>
      </c>
      <c r="BB519" s="34" t="str">
        <f>IF(AND(G519=1,L519=0),F519,"")</f>
        <v/>
      </c>
      <c r="BC519" s="33">
        <f>IF(E519=1,IF(Orders!R516&gt;3,1,0),"")</f>
        <v>0</v>
      </c>
      <c r="BD519" s="33">
        <f>IF(E519=1,IF(Orders!R516&gt;7,1,0),"")</f>
        <v>0</v>
      </c>
      <c r="BE519" s="32" t="str">
        <f>IF(E519=1,IF(Orders!L516&lt;=1.5,"Up to 1.5 km",IF(Orders!L516&lt;=3,"1.5–3 km","Over 3 km")),"")</f>
        <v>Up to 1.5 km</v>
      </c>
      <c r="BF519" s="33">
        <f>IF(E519=1,IF(ABS((Orders!G516-Orders!F516)*1440-Orders!R516)&lt;0.06,1,0),"")</f>
        <v>1</v>
      </c>
      <c r="BG519" s="33">
        <f>IF(ABS((Orders!F516-Orders!E516)*1440-Orders!P516)&lt;0.06,1,0)</f>
        <v>1</v>
      </c>
      <c r="BH519" s="33">
        <f>IF(E519=1,IF(IF(Orders!S516,1,0)=1-G519,1,0),"")</f>
        <v>1</v>
      </c>
      <c r="BI519" s="32" t="str">
        <f>INDEX(Stores!$B$2:$B$21,MATCH(B519,Stores!$A$2:$A$21,0))</f>
        <v>Mumbai</v>
      </c>
    </row>
    <row r="520">
      <c r="A520" s="32" t="str">
        <f>Orders!A517</f>
        <v>O00516</v>
      </c>
      <c r="B520" s="32" t="str">
        <f>Orders!C517</f>
        <v>S018</v>
      </c>
      <c r="C520" s="32" t="str">
        <f>Orders!B517</f>
        <v>C0059</v>
      </c>
      <c r="D520" s="32" t="str">
        <f>Orders!H517</f>
        <v>Delivered</v>
      </c>
      <c r="E520" s="33">
        <f>IF(Orders!H517="Delivered",1,0)</f>
        <v>1</v>
      </c>
      <c r="F520" s="34">
        <f>IF(E520=1,Orders!R517,"")</f>
        <v>-0.6</v>
      </c>
      <c r="G520" s="33">
        <f>IF(E520=1,IF(Orders!R517&gt;0,1,0),"")</f>
        <v>0</v>
      </c>
      <c r="H520" s="33">
        <f>IF(E520=1,IF(Orders!R517&gt;5,1,0),"")</f>
        <v>0</v>
      </c>
      <c r="I520" s="32" t="str">
        <f>IF(E520=1,"",IF(OR(Orders!T517="Rider unavailable",Orders!T517="Item unavailable"),"Company-caused","Unresolved"))</f>
        <v/>
      </c>
      <c r="J520" s="33">
        <f>IF(OR(E520=1,I520="Company-caused"),1,0)</f>
        <v>1</v>
      </c>
      <c r="K520" s="32" t="str">
        <f>IF(E520=0,IF(I520="Company-caused",IF(Orders!T517="Rider unavailable","C1 Rider unavailable","C2 Item unavailable"),"Outside root: unresolved"),IF(G520=0,"A On time",IF(H520=1,IF(L520=1,"B2a Severe, peak","B2b Severe, off-peak"),IF(L520=1,"B1a Slight, peak","B1b Slight, off-peak"))))</f>
        <v>A On time</v>
      </c>
      <c r="L520" s="33">
        <f>IF(AND(Orders!U517&gt;=19,Orders!U517&lt;22),1,0)</f>
        <v>0</v>
      </c>
      <c r="M520" s="33">
        <f>IF(L520=IF(Orders!V517,1,0),1,0)</f>
        <v>1</v>
      </c>
      <c r="N520" s="32" t="str">
        <f>IF(Orders!W517="","None",Orders!W517)</f>
        <v>None</v>
      </c>
      <c r="O520" s="35">
        <f>INT(Orders!E517)</f>
        <v>46271.0</v>
      </c>
      <c r="P520" s="33">
        <f>Orders!U517</f>
        <v>17</v>
      </c>
      <c r="Q520" s="33">
        <f>COUNTIFS(Demand!$A$2:$A$4481,B520,Demand!$B$2:$B$4481,O520,Demand!$C$2:$C$4481,P520)</f>
        <v>1</v>
      </c>
      <c r="R520" s="33">
        <f>IF(Q520=1,SUMIFS(Demand!$E$2:$E$4481,Demand!$A$2:$A$4481,B520,Demand!$B$2:$B$4481,O520,Demand!$C$2:$C$4481,P520),"")</f>
        <v>23</v>
      </c>
      <c r="S520" s="33">
        <f>INDEX(Stores!$G$2:$G$21,MATCH(B520,Stores!$A$2:$A$21,0))</f>
        <v>20</v>
      </c>
      <c r="T520" s="34">
        <f>IF(R520="","",R520/S520)</f>
        <v>1.15</v>
      </c>
      <c r="U520" s="34">
        <f>IF(E520=1,T520,"")</f>
        <v>1.15</v>
      </c>
      <c r="V520" s="34">
        <f>IF(AND(E520=1,L520=0),T520,"")</f>
        <v>1.15</v>
      </c>
      <c r="W520" s="33">
        <f>IF(U520="","",IF(U520&lt;=Breakdowns!$C$5,1,IF(U520&lt;=Breakdowns!$C$6,2,IF(U520&lt;=Breakdowns!$C$7,3,4))))</f>
        <v>3</v>
      </c>
      <c r="X520" s="33">
        <f>IF(V520="","",IF(V520&lt;=Breakdowns!$D$5,1,IF(V520&lt;=Breakdowns!$D$6,2,IF(V520&lt;=Breakdowns!$D$7,3,4))))</f>
        <v>4</v>
      </c>
      <c r="Y520" s="34">
        <f>INDEX(Stores!$F$2:$F$21,MATCH(B520,Stores!$A$2:$A$21,0))</f>
        <v>5.31</v>
      </c>
      <c r="Z520" s="33">
        <f>IF(Y520&gt;Store_Summary!$M$2,1,0)</f>
        <v>1</v>
      </c>
      <c r="AA520" s="33">
        <f>INDEX(Stores!$C$2:$C$21,MATCH(B520,Stores!$A$2:$A$21,0))</f>
        <v>214</v>
      </c>
      <c r="AB520" s="33">
        <f>IF(AA520&lt;180,1,0)</f>
        <v>0</v>
      </c>
      <c r="AC520" s="32" t="str">
        <f>IF(Orders!D517="","",INDEX(Riders!$C$2:$C$81,MATCH(Orders!D517,Riders!$A$2:$A$81,0)))</f>
        <v>Bicycle</v>
      </c>
      <c r="AD520" s="33">
        <f>IF(Orders!D517="","",INDEX(Riders!$D$2:$D$81,MATCH(Orders!D517,Riders!$A$2:$A$81,0)))</f>
        <v>2</v>
      </c>
      <c r="AE520" s="33">
        <f>IF(Orders!D517="","",IF(INDEX(Riders!$B$2:$B$81,MATCH(Orders!D517,Riders!$A$2:$A$81,0))=B520,1,0))</f>
        <v>0</v>
      </c>
      <c r="AF520" s="34">
        <f>IF(E520=1,Orders!L517,"")</f>
        <v>4.61</v>
      </c>
      <c r="AG520" s="34">
        <f>IF(E520=1,Orders!P517,"")</f>
        <v>12.1</v>
      </c>
      <c r="AH520" s="34">
        <f>IF(E520=1,Orders!Q517,"")</f>
        <v>11.5</v>
      </c>
      <c r="AI520" s="34">
        <f>IF(E520=1,Orders!M517,"")</f>
        <v>3.1</v>
      </c>
      <c r="AJ520" s="34">
        <f>IF(E520=1,Orders!N517,"")</f>
        <v>3.5</v>
      </c>
      <c r="AK520" s="34">
        <f>IF(E520=1,Orders!O517,"")</f>
        <v>4.9</v>
      </c>
      <c r="AL520" s="33">
        <f>IF(E520=1,IF(ROUND(ABS(AI520+AJ520+AK520-AH520),6)&lt;=0.1,1,0),"")</f>
        <v>1</v>
      </c>
      <c r="AM520" s="36">
        <f>IF(E520=1,AI520/AH520,"")</f>
        <v>0.269565217391304</v>
      </c>
      <c r="AN520" s="36">
        <f>IF(E520=1,AJ520/AH520,"")</f>
        <v>0.304347826086957</v>
      </c>
      <c r="AO520" s="36">
        <f>IF(E520=1,AK520/AH520,"")</f>
        <v>0.426086956521739</v>
      </c>
      <c r="AP520" s="34">
        <f>IF(E520=1,Orders!Y517,"")</f>
        <v>0.42</v>
      </c>
      <c r="AQ520" s="33">
        <f>IF(Orders!X517,1,0)</f>
        <v>0</v>
      </c>
      <c r="AR520" s="34" t="str">
        <f>IF(AND(E520=1,L520=1),AJ520,"")</f>
        <v/>
      </c>
      <c r="AS520" s="34">
        <f>IF(AND(E520=1,L520=0),AJ520,"")</f>
        <v>3.5</v>
      </c>
      <c r="AT520" s="34" t="str">
        <f>IF(AND(E520=1,L520=1),AI520,"")</f>
        <v/>
      </c>
      <c r="AU520" s="34">
        <f>IF(AND(E520=1,L520=0),AI520,"")</f>
        <v>3.1</v>
      </c>
      <c r="AV520" s="34" t="str">
        <f>IF(AND(E520=1,L520=1),AG520,"")</f>
        <v/>
      </c>
      <c r="AW520" s="34">
        <f>IF(AND(E520=1,L520=0),AG520,"")</f>
        <v>12.1</v>
      </c>
      <c r="AX520" s="34" t="str">
        <f>IF(AND(E520=1,L520=1),AH520,"")</f>
        <v/>
      </c>
      <c r="AY520" s="34">
        <f>IF(AND(E520=1,L520=0),AH520,"")</f>
        <v>11.5</v>
      </c>
      <c r="AZ520" s="34" t="str">
        <f>IF(G520=1,F520,"")</f>
        <v/>
      </c>
      <c r="BA520" s="34" t="str">
        <f>IF(AND(G520=1,L520=1),F520,"")</f>
        <v/>
      </c>
      <c r="BB520" s="34" t="str">
        <f>IF(AND(G520=1,L520=0),F520,"")</f>
        <v/>
      </c>
      <c r="BC520" s="33">
        <f>IF(E520=1,IF(Orders!R517&gt;3,1,0),"")</f>
        <v>0</v>
      </c>
      <c r="BD520" s="33">
        <f>IF(E520=1,IF(Orders!R517&gt;7,1,0),"")</f>
        <v>0</v>
      </c>
      <c r="BE520" s="32" t="str">
        <f>IF(E520=1,IF(Orders!L517&lt;=1.5,"Up to 1.5 km",IF(Orders!L517&lt;=3,"1.5–3 km","Over 3 km")),"")</f>
        <v>Over 3 km</v>
      </c>
      <c r="BF520" s="33">
        <f>IF(E520=1,IF(ABS((Orders!G517-Orders!F517)*1440-Orders!R517)&lt;0.06,1,0),"")</f>
        <v>1</v>
      </c>
      <c r="BG520" s="33">
        <f>IF(ABS((Orders!F517-Orders!E517)*1440-Orders!P517)&lt;0.06,1,0)</f>
        <v>1</v>
      </c>
      <c r="BH520" s="33">
        <f>IF(E520=1,IF(IF(Orders!S517,1,0)=1-G520,1,0),"")</f>
        <v>1</v>
      </c>
      <c r="BI520" s="32" t="str">
        <f>INDEX(Stores!$B$2:$B$21,MATCH(B520,Stores!$A$2:$A$21,0))</f>
        <v>Mumbai</v>
      </c>
    </row>
    <row r="521">
      <c r="A521" s="32" t="str">
        <f>Orders!A518</f>
        <v>O00517</v>
      </c>
      <c r="B521" s="32" t="str">
        <f>Orders!C518</f>
        <v>S020</v>
      </c>
      <c r="C521" s="32" t="str">
        <f>Orders!B518</f>
        <v>C0244</v>
      </c>
      <c r="D521" s="32" t="str">
        <f>Orders!H518</f>
        <v>Delivered</v>
      </c>
      <c r="E521" s="33">
        <f>IF(Orders!H518="Delivered",1,0)</f>
        <v>1</v>
      </c>
      <c r="F521" s="34">
        <f>IF(E521=1,Orders!R518,"")</f>
        <v>-0.8</v>
      </c>
      <c r="G521" s="33">
        <f>IF(E521=1,IF(Orders!R518&gt;0,1,0),"")</f>
        <v>0</v>
      </c>
      <c r="H521" s="33">
        <f>IF(E521=1,IF(Orders!R518&gt;5,1,0),"")</f>
        <v>0</v>
      </c>
      <c r="I521" s="32" t="str">
        <f>IF(E521=1,"",IF(OR(Orders!T518="Rider unavailable",Orders!T518="Item unavailable"),"Company-caused","Unresolved"))</f>
        <v/>
      </c>
      <c r="J521" s="33">
        <f>IF(OR(E521=1,I521="Company-caused"),1,0)</f>
        <v>1</v>
      </c>
      <c r="K521" s="32" t="str">
        <f>IF(E521=0,IF(I521="Company-caused",IF(Orders!T518="Rider unavailable","C1 Rider unavailable","C2 Item unavailable"),"Outside root: unresolved"),IF(G521=0,"A On time",IF(H521=1,IF(L521=1,"B2a Severe, peak","B2b Severe, off-peak"),IF(L521=1,"B1a Slight, peak","B1b Slight, off-peak"))))</f>
        <v>A On time</v>
      </c>
      <c r="L521" s="33">
        <f>IF(AND(Orders!U518&gt;=19,Orders!U518&lt;22),1,0)</f>
        <v>1</v>
      </c>
      <c r="M521" s="33">
        <f>IF(L521=IF(Orders!V518,1,0),1,0)</f>
        <v>1</v>
      </c>
      <c r="N521" s="32" t="str">
        <f>IF(Orders!W518="","None",Orders!W518)</f>
        <v>None</v>
      </c>
      <c r="O521" s="35">
        <f>INT(Orders!E518)</f>
        <v>46275.0</v>
      </c>
      <c r="P521" s="33">
        <f>Orders!U518</f>
        <v>21</v>
      </c>
      <c r="Q521" s="33">
        <f>COUNTIFS(Demand!$A$2:$A$4481,B521,Demand!$B$2:$B$4481,O521,Demand!$C$2:$C$4481,P521)</f>
        <v>1</v>
      </c>
      <c r="R521" s="33">
        <f>IF(Q521=1,SUMIFS(Demand!$E$2:$E$4481,Demand!$A$2:$A$4481,B521,Demand!$B$2:$B$4481,O521,Demand!$C$2:$C$4481,P521),"")</f>
        <v>21</v>
      </c>
      <c r="S521" s="33">
        <f>INDEX(Stores!$G$2:$G$21,MATCH(B521,Stores!$A$2:$A$21,0))</f>
        <v>15</v>
      </c>
      <c r="T521" s="34">
        <f>IF(R521="","",R521/S521)</f>
        <v>1.4</v>
      </c>
      <c r="U521" s="34">
        <f>IF(E521=1,T521,"")</f>
        <v>1.4</v>
      </c>
      <c r="V521" s="34" t="str">
        <f>IF(AND(E521=1,L521=0),T521,"")</f>
        <v/>
      </c>
      <c r="W521" s="33">
        <f>IF(U521="","",IF(U521&lt;=Breakdowns!$C$5,1,IF(U521&lt;=Breakdowns!$C$6,2,IF(U521&lt;=Breakdowns!$C$7,3,4))))</f>
        <v>4</v>
      </c>
      <c r="X521" s="33" t="str">
        <f>IF(V521="","",IF(V521&lt;=Breakdowns!$D$5,1,IF(V521&lt;=Breakdowns!$D$6,2,IF(V521&lt;=Breakdowns!$D$7,3,4))))</f>
        <v/>
      </c>
      <c r="Y521" s="34">
        <f>INDEX(Stores!$F$2:$F$21,MATCH(B521,Stores!$A$2:$A$21,0))</f>
        <v>5.74</v>
      </c>
      <c r="Z521" s="33">
        <f>IF(Y521&gt;Store_Summary!$M$2,1,0)</f>
        <v>1</v>
      </c>
      <c r="AA521" s="33">
        <f>INDEX(Stores!$C$2:$C$21,MATCH(B521,Stores!$A$2:$A$21,0))</f>
        <v>647</v>
      </c>
      <c r="AB521" s="33">
        <f>IF(AA521&lt;180,1,0)</f>
        <v>0</v>
      </c>
      <c r="AC521" s="32" t="str">
        <f>IF(Orders!D518="","",INDEX(Riders!$C$2:$C$81,MATCH(Orders!D518,Riders!$A$2:$A$81,0)))</f>
        <v>EV scooter</v>
      </c>
      <c r="AD521" s="33">
        <f>IF(Orders!D518="","",INDEX(Riders!$D$2:$D$81,MATCH(Orders!D518,Riders!$A$2:$A$81,0)))</f>
        <v>41</v>
      </c>
      <c r="AE521" s="33">
        <f>IF(Orders!D518="","",IF(INDEX(Riders!$B$2:$B$81,MATCH(Orders!D518,Riders!$A$2:$A$81,0))=B521,1,0))</f>
        <v>0</v>
      </c>
      <c r="AF521" s="34">
        <f>IF(E521=1,Orders!L518,"")</f>
        <v>0.78</v>
      </c>
      <c r="AG521" s="34">
        <f>IF(E521=1,Orders!P518,"")</f>
        <v>8.4</v>
      </c>
      <c r="AH521" s="34">
        <f>IF(E521=1,Orders!Q518,"")</f>
        <v>7.6</v>
      </c>
      <c r="AI521" s="34">
        <f>IF(E521=1,Orders!M518,"")</f>
        <v>2.4</v>
      </c>
      <c r="AJ521" s="34">
        <f>IF(E521=1,Orders!N518,"")</f>
        <v>3.8</v>
      </c>
      <c r="AK521" s="34">
        <f>IF(E521=1,Orders!O518,"")</f>
        <v>1.4</v>
      </c>
      <c r="AL521" s="33">
        <f>IF(E521=1,IF(ROUND(ABS(AI521+AJ521+AK521-AH521),6)&lt;=0.1,1,0),"")</f>
        <v>1</v>
      </c>
      <c r="AM521" s="36">
        <f>IF(E521=1,AI521/AH521,"")</f>
        <v>0.315789473684211</v>
      </c>
      <c r="AN521" s="36">
        <f>IF(E521=1,AJ521/AH521,"")</f>
        <v>0.5</v>
      </c>
      <c r="AO521" s="36">
        <f>IF(E521=1,AK521/AH521,"")</f>
        <v>0.184210526315789</v>
      </c>
      <c r="AP521" s="34">
        <f>IF(E521=1,Orders!Y518,"")</f>
        <v>0.66</v>
      </c>
      <c r="AQ521" s="33">
        <f>IF(Orders!X518,1,0)</f>
        <v>0</v>
      </c>
      <c r="AR521" s="34">
        <f>IF(AND(E521=1,L521=1),AJ521,"")</f>
        <v>3.8</v>
      </c>
      <c r="AS521" s="34" t="str">
        <f>IF(AND(E521=1,L521=0),AJ521,"")</f>
        <v/>
      </c>
      <c r="AT521" s="34">
        <f>IF(AND(E521=1,L521=1),AI521,"")</f>
        <v>2.4</v>
      </c>
      <c r="AU521" s="34" t="str">
        <f>IF(AND(E521=1,L521=0),AI521,"")</f>
        <v/>
      </c>
      <c r="AV521" s="34">
        <f>IF(AND(E521=1,L521=1),AG521,"")</f>
        <v>8.4</v>
      </c>
      <c r="AW521" s="34" t="str">
        <f>IF(AND(E521=1,L521=0),AG521,"")</f>
        <v/>
      </c>
      <c r="AX521" s="34">
        <f>IF(AND(E521=1,L521=1),AH521,"")</f>
        <v>7.6</v>
      </c>
      <c r="AY521" s="34" t="str">
        <f>IF(AND(E521=1,L521=0),AH521,"")</f>
        <v/>
      </c>
      <c r="AZ521" s="34" t="str">
        <f>IF(G521=1,F521,"")</f>
        <v/>
      </c>
      <c r="BA521" s="34" t="str">
        <f>IF(AND(G521=1,L521=1),F521,"")</f>
        <v/>
      </c>
      <c r="BB521" s="34" t="str">
        <f>IF(AND(G521=1,L521=0),F521,"")</f>
        <v/>
      </c>
      <c r="BC521" s="33">
        <f>IF(E521=1,IF(Orders!R518&gt;3,1,0),"")</f>
        <v>0</v>
      </c>
      <c r="BD521" s="33">
        <f>IF(E521=1,IF(Orders!R518&gt;7,1,0),"")</f>
        <v>0</v>
      </c>
      <c r="BE521" s="32" t="str">
        <f>IF(E521=1,IF(Orders!L518&lt;=1.5,"Up to 1.5 km",IF(Orders!L518&lt;=3,"1.5–3 km","Over 3 km")),"")</f>
        <v>Up to 1.5 km</v>
      </c>
      <c r="BF521" s="33">
        <f>IF(E521=1,IF(ABS((Orders!G518-Orders!F518)*1440-Orders!R518)&lt;0.06,1,0),"")</f>
        <v>1</v>
      </c>
      <c r="BG521" s="33">
        <f>IF(ABS((Orders!F518-Orders!E518)*1440-Orders!P518)&lt;0.06,1,0)</f>
        <v>1</v>
      </c>
      <c r="BH521" s="33">
        <f>IF(E521=1,IF(IF(Orders!S518,1,0)=1-G521,1,0),"")</f>
        <v>1</v>
      </c>
      <c r="BI521" s="32" t="str">
        <f>INDEX(Stores!$B$2:$B$21,MATCH(B521,Stores!$A$2:$A$21,0))</f>
        <v>Delhi</v>
      </c>
    </row>
    <row r="522">
      <c r="A522" s="32" t="str">
        <f>Orders!A519</f>
        <v>O00518</v>
      </c>
      <c r="B522" s="32" t="str">
        <f>Orders!C519</f>
        <v>S015</v>
      </c>
      <c r="C522" s="32" t="str">
        <f>Orders!B519</f>
        <v>C0070</v>
      </c>
      <c r="D522" s="32" t="str">
        <f>Orders!H519</f>
        <v>Delivered</v>
      </c>
      <c r="E522" s="33">
        <f>IF(Orders!H519="Delivered",1,0)</f>
        <v>1</v>
      </c>
      <c r="F522" s="34">
        <f>IF(E522=1,Orders!R519,"")</f>
        <v>-0.6</v>
      </c>
      <c r="G522" s="33">
        <f>IF(E522=1,IF(Orders!R519&gt;0,1,0),"")</f>
        <v>0</v>
      </c>
      <c r="H522" s="33">
        <f>IF(E522=1,IF(Orders!R519&gt;5,1,0),"")</f>
        <v>0</v>
      </c>
      <c r="I522" s="32" t="str">
        <f>IF(E522=1,"",IF(OR(Orders!T519="Rider unavailable",Orders!T519="Item unavailable"),"Company-caused","Unresolved"))</f>
        <v/>
      </c>
      <c r="J522" s="33">
        <f>IF(OR(E522=1,I522="Company-caused"),1,0)</f>
        <v>1</v>
      </c>
      <c r="K522" s="32" t="str">
        <f>IF(E522=0,IF(I522="Company-caused",IF(Orders!T519="Rider unavailable","C1 Rider unavailable","C2 Item unavailable"),"Outside root: unresolved"),IF(G522=0,"A On time",IF(H522=1,IF(L522=1,"B2a Severe, peak","B2b Severe, off-peak"),IF(L522=1,"B1a Slight, peak","B1b Slight, off-peak"))))</f>
        <v>A On time</v>
      </c>
      <c r="L522" s="33">
        <f>IF(AND(Orders!U519&gt;=19,Orders!U519&lt;22),1,0)</f>
        <v>0</v>
      </c>
      <c r="M522" s="33">
        <f>IF(L522=IF(Orders!V519,1,0),1,0)</f>
        <v>1</v>
      </c>
      <c r="N522" s="32" t="str">
        <f>IF(Orders!W519="","None",Orders!W519)</f>
        <v>None</v>
      </c>
      <c r="O522" s="35">
        <f>INT(Orders!E519)</f>
        <v>46267.0</v>
      </c>
      <c r="P522" s="33">
        <f>Orders!U519</f>
        <v>13</v>
      </c>
      <c r="Q522" s="33">
        <f>COUNTIFS(Demand!$A$2:$A$4481,B522,Demand!$B$2:$B$4481,O522,Demand!$C$2:$C$4481,P522)</f>
        <v>1</v>
      </c>
      <c r="R522" s="33">
        <f>IF(Q522=1,SUMIFS(Demand!$E$2:$E$4481,Demand!$A$2:$A$4481,B522,Demand!$B$2:$B$4481,O522,Demand!$C$2:$C$4481,P522),"")</f>
        <v>25</v>
      </c>
      <c r="S522" s="33">
        <f>INDEX(Stores!$G$2:$G$21,MATCH(B522,Stores!$A$2:$A$21,0))</f>
        <v>23</v>
      </c>
      <c r="T522" s="34">
        <f>IF(R522="","",R522/S522)</f>
        <v>1.08695652173913</v>
      </c>
      <c r="U522" s="34">
        <f>IF(E522=1,T522,"")</f>
        <v>1.08695652173913</v>
      </c>
      <c r="V522" s="34">
        <f>IF(AND(E522=1,L522=0),T522,"")</f>
        <v>1.08695652173913</v>
      </c>
      <c r="W522" s="33">
        <f>IF(U522="","",IF(U522&lt;=Breakdowns!$C$5,1,IF(U522&lt;=Breakdowns!$C$6,2,IF(U522&lt;=Breakdowns!$C$7,3,4))))</f>
        <v>3</v>
      </c>
      <c r="X522" s="33">
        <f>IF(V522="","",IF(V522&lt;=Breakdowns!$D$5,1,IF(V522&lt;=Breakdowns!$D$6,2,IF(V522&lt;=Breakdowns!$D$7,3,4))))</f>
        <v>4</v>
      </c>
      <c r="Y522" s="34">
        <f>INDEX(Stores!$F$2:$F$21,MATCH(B522,Stores!$A$2:$A$21,0))</f>
        <v>4.66</v>
      </c>
      <c r="Z522" s="33">
        <f>IF(Y522&gt;Store_Summary!$M$2,1,0)</f>
        <v>0</v>
      </c>
      <c r="AA522" s="33">
        <f>INDEX(Stores!$C$2:$C$21,MATCH(B522,Stores!$A$2:$A$21,0))</f>
        <v>204</v>
      </c>
      <c r="AB522" s="33">
        <f>IF(AA522&lt;180,1,0)</f>
        <v>0</v>
      </c>
      <c r="AC522" s="32" t="str">
        <f>IF(Orders!D519="","",INDEX(Riders!$C$2:$C$81,MATCH(Orders!D519,Riders!$A$2:$A$81,0)))</f>
        <v>EV scooter</v>
      </c>
      <c r="AD522" s="33">
        <f>IF(Orders!D519="","",INDEX(Riders!$D$2:$D$81,MATCH(Orders!D519,Riders!$A$2:$A$81,0)))</f>
        <v>33</v>
      </c>
      <c r="AE522" s="33">
        <f>IF(Orders!D519="","",IF(INDEX(Riders!$B$2:$B$81,MATCH(Orders!D519,Riders!$A$2:$A$81,0))=B522,1,0))</f>
        <v>1</v>
      </c>
      <c r="AF522" s="34">
        <f>IF(E522=1,Orders!L519,"")</f>
        <v>1.24</v>
      </c>
      <c r="AG522" s="34">
        <f>IF(E522=1,Orders!P519,"")</f>
        <v>9.5</v>
      </c>
      <c r="AH522" s="34">
        <f>IF(E522=1,Orders!Q519,"")</f>
        <v>8.9</v>
      </c>
      <c r="AI522" s="34">
        <f>IF(E522=1,Orders!M519,"")</f>
        <v>2.9</v>
      </c>
      <c r="AJ522" s="34">
        <f>IF(E522=1,Orders!N519,"")</f>
        <v>3.9</v>
      </c>
      <c r="AK522" s="34">
        <f>IF(E522=1,Orders!O519,"")</f>
        <v>2.1</v>
      </c>
      <c r="AL522" s="33">
        <f>IF(E522=1,IF(ROUND(ABS(AI522+AJ522+AK522-AH522),6)&lt;=0.1,1,0),"")</f>
        <v>1</v>
      </c>
      <c r="AM522" s="36">
        <f>IF(E522=1,AI522/AH522,"")</f>
        <v>0.325842696629213</v>
      </c>
      <c r="AN522" s="36">
        <f>IF(E522=1,AJ522/AH522,"")</f>
        <v>0.438202247191011</v>
      </c>
      <c r="AO522" s="36">
        <f>IF(E522=1,AK522/AH522,"")</f>
        <v>0.235955056179775</v>
      </c>
      <c r="AP522" s="34">
        <f>IF(E522=1,Orders!Y519,"")</f>
        <v>0.54</v>
      </c>
      <c r="AQ522" s="33">
        <f>IF(Orders!X519,1,0)</f>
        <v>0</v>
      </c>
      <c r="AR522" s="34" t="str">
        <f>IF(AND(E522=1,L522=1),AJ522,"")</f>
        <v/>
      </c>
      <c r="AS522" s="34">
        <f>IF(AND(E522=1,L522=0),AJ522,"")</f>
        <v>3.9</v>
      </c>
      <c r="AT522" s="34" t="str">
        <f>IF(AND(E522=1,L522=1),AI522,"")</f>
        <v/>
      </c>
      <c r="AU522" s="34">
        <f>IF(AND(E522=1,L522=0),AI522,"")</f>
        <v>2.9</v>
      </c>
      <c r="AV522" s="34" t="str">
        <f>IF(AND(E522=1,L522=1),AG522,"")</f>
        <v/>
      </c>
      <c r="AW522" s="34">
        <f>IF(AND(E522=1,L522=0),AG522,"")</f>
        <v>9.5</v>
      </c>
      <c r="AX522" s="34" t="str">
        <f>IF(AND(E522=1,L522=1),AH522,"")</f>
        <v/>
      </c>
      <c r="AY522" s="34">
        <f>IF(AND(E522=1,L522=0),AH522,"")</f>
        <v>8.9</v>
      </c>
      <c r="AZ522" s="34" t="str">
        <f>IF(G522=1,F522,"")</f>
        <v/>
      </c>
      <c r="BA522" s="34" t="str">
        <f>IF(AND(G522=1,L522=1),F522,"")</f>
        <v/>
      </c>
      <c r="BB522" s="34" t="str">
        <f>IF(AND(G522=1,L522=0),F522,"")</f>
        <v/>
      </c>
      <c r="BC522" s="33">
        <f>IF(E522=1,IF(Orders!R519&gt;3,1,0),"")</f>
        <v>0</v>
      </c>
      <c r="BD522" s="33">
        <f>IF(E522=1,IF(Orders!R519&gt;7,1,0),"")</f>
        <v>0</v>
      </c>
      <c r="BE522" s="32" t="str">
        <f>IF(E522=1,IF(Orders!L519&lt;=1.5,"Up to 1.5 km",IF(Orders!L519&lt;=3,"1.5–3 km","Over 3 km")),"")</f>
        <v>Up to 1.5 km</v>
      </c>
      <c r="BF522" s="33">
        <f>IF(E522=1,IF(ABS((Orders!G519-Orders!F519)*1440-Orders!R519)&lt;0.06,1,0),"")</f>
        <v>1</v>
      </c>
      <c r="BG522" s="33">
        <f>IF(ABS((Orders!F519-Orders!E519)*1440-Orders!P519)&lt;0.06,1,0)</f>
        <v>1</v>
      </c>
      <c r="BH522" s="33">
        <f>IF(E522=1,IF(IF(Orders!S519,1,0)=1-G522,1,0),"")</f>
        <v>1</v>
      </c>
      <c r="BI522" s="32" t="str">
        <f>INDEX(Stores!$B$2:$B$21,MATCH(B522,Stores!$A$2:$A$21,0))</f>
        <v>Delhi</v>
      </c>
    </row>
    <row r="523">
      <c r="A523" s="32" t="str">
        <f>Orders!A520</f>
        <v>O00519</v>
      </c>
      <c r="B523" s="32" t="str">
        <f>Orders!C520</f>
        <v>S007</v>
      </c>
      <c r="C523" s="32" t="str">
        <f>Orders!B520</f>
        <v>C0208</v>
      </c>
      <c r="D523" s="32" t="str">
        <f>Orders!H520</f>
        <v>Delivered</v>
      </c>
      <c r="E523" s="33">
        <f>IF(Orders!H520="Delivered",1,0)</f>
        <v>1</v>
      </c>
      <c r="F523" s="34">
        <f>IF(E523=1,Orders!R520,"")</f>
        <v>-0.9</v>
      </c>
      <c r="G523" s="33">
        <f>IF(E523=1,IF(Orders!R520&gt;0,1,0),"")</f>
        <v>0</v>
      </c>
      <c r="H523" s="33">
        <f>IF(E523=1,IF(Orders!R520&gt;5,1,0),"")</f>
        <v>0</v>
      </c>
      <c r="I523" s="32" t="str">
        <f>IF(E523=1,"",IF(OR(Orders!T520="Rider unavailable",Orders!T520="Item unavailable"),"Company-caused","Unresolved"))</f>
        <v/>
      </c>
      <c r="J523" s="33">
        <f>IF(OR(E523=1,I523="Company-caused"),1,0)</f>
        <v>1</v>
      </c>
      <c r="K523" s="32" t="str">
        <f>IF(E523=0,IF(I523="Company-caused",IF(Orders!T520="Rider unavailable","C1 Rider unavailable","C2 Item unavailable"),"Outside root: unresolved"),IF(G523=0,"A On time",IF(H523=1,IF(L523=1,"B2a Severe, peak","B2b Severe, off-peak"),IF(L523=1,"B1a Slight, peak","B1b Slight, off-peak"))))</f>
        <v>A On time</v>
      </c>
      <c r="L523" s="33">
        <f>IF(AND(Orders!U520&gt;=19,Orders!U520&lt;22),1,0)</f>
        <v>0</v>
      </c>
      <c r="M523" s="33">
        <f>IF(L523=IF(Orders!V520,1,0),1,0)</f>
        <v>1</v>
      </c>
      <c r="N523" s="32" t="str">
        <f>IF(Orders!W520="","None",Orders!W520)</f>
        <v>None</v>
      </c>
      <c r="O523" s="35">
        <f>INT(Orders!E520)</f>
        <v>46273.0</v>
      </c>
      <c r="P523" s="33">
        <f>Orders!U520</f>
        <v>15</v>
      </c>
      <c r="Q523" s="33">
        <f>COUNTIFS(Demand!$A$2:$A$4481,B523,Demand!$B$2:$B$4481,O523,Demand!$C$2:$C$4481,P523)</f>
        <v>1</v>
      </c>
      <c r="R523" s="33">
        <f>IF(Q523=1,SUMIFS(Demand!$E$2:$E$4481,Demand!$A$2:$A$4481,B523,Demand!$B$2:$B$4481,O523,Demand!$C$2:$C$4481,P523),"")</f>
        <v>20</v>
      </c>
      <c r="S523" s="33">
        <f>INDEX(Stores!$G$2:$G$21,MATCH(B523,Stores!$A$2:$A$21,0))</f>
        <v>37</v>
      </c>
      <c r="T523" s="34">
        <f>IF(R523="","",R523/S523)</f>
        <v>0.540540540540541</v>
      </c>
      <c r="U523" s="34">
        <f>IF(E523=1,T523,"")</f>
        <v>0.540540540540541</v>
      </c>
      <c r="V523" s="34">
        <f>IF(AND(E523=1,L523=0),T523,"")</f>
        <v>0.540540540540541</v>
      </c>
      <c r="W523" s="33">
        <f>IF(U523="","",IF(U523&lt;=Breakdowns!$C$5,1,IF(U523&lt;=Breakdowns!$C$6,2,IF(U523&lt;=Breakdowns!$C$7,3,4))))</f>
        <v>1</v>
      </c>
      <c r="X523" s="33">
        <f>IF(V523="","",IF(V523&lt;=Breakdowns!$D$5,1,IF(V523&lt;=Breakdowns!$D$6,2,IF(V523&lt;=Breakdowns!$D$7,3,4))))</f>
        <v>1</v>
      </c>
      <c r="Y523" s="34">
        <f>INDEX(Stores!$F$2:$F$21,MATCH(B523,Stores!$A$2:$A$21,0))</f>
        <v>4.05</v>
      </c>
      <c r="Z523" s="33">
        <f>IF(Y523&gt;Store_Summary!$M$2,1,0)</f>
        <v>0</v>
      </c>
      <c r="AA523" s="33">
        <f>INDEX(Stores!$C$2:$C$21,MATCH(B523,Stores!$A$2:$A$21,0))</f>
        <v>661</v>
      </c>
      <c r="AB523" s="33">
        <f>IF(AA523&lt;180,1,0)</f>
        <v>0</v>
      </c>
      <c r="AC523" s="32" t="str">
        <f>IF(Orders!D520="","",INDEX(Riders!$C$2:$C$81,MATCH(Orders!D520,Riders!$A$2:$A$81,0)))</f>
        <v>EV scooter</v>
      </c>
      <c r="AD523" s="33">
        <f>IF(Orders!D520="","",INDEX(Riders!$D$2:$D$81,MATCH(Orders!D520,Riders!$A$2:$A$81,0)))</f>
        <v>9</v>
      </c>
      <c r="AE523" s="33">
        <f>IF(Orders!D520="","",IF(INDEX(Riders!$B$2:$B$81,MATCH(Orders!D520,Riders!$A$2:$A$81,0))=B523,1,0))</f>
        <v>0</v>
      </c>
      <c r="AF523" s="34">
        <f>IF(E523=1,Orders!L520,"")</f>
        <v>3.2</v>
      </c>
      <c r="AG523" s="34">
        <f>IF(E523=1,Orders!P520,"")</f>
        <v>9.2</v>
      </c>
      <c r="AH523" s="34">
        <f>IF(E523=1,Orders!Q520,"")</f>
        <v>8.3</v>
      </c>
      <c r="AI523" s="34">
        <f>IF(E523=1,Orders!M520,"")</f>
        <v>2.3</v>
      </c>
      <c r="AJ523" s="34">
        <f>IF(E523=1,Orders!N520,"")</f>
        <v>2.5</v>
      </c>
      <c r="AK523" s="34">
        <f>IF(E523=1,Orders!O520,"")</f>
        <v>3.5</v>
      </c>
      <c r="AL523" s="33">
        <f>IF(E523=1,IF(ROUND(ABS(AI523+AJ523+AK523-AH523),6)&lt;=0.1,1,0),"")</f>
        <v>1</v>
      </c>
      <c r="AM523" s="36">
        <f>IF(E523=1,AI523/AH523,"")</f>
        <v>0.27710843373494</v>
      </c>
      <c r="AN523" s="36">
        <f>IF(E523=1,AJ523/AH523,"")</f>
        <v>0.301204819277108</v>
      </c>
      <c r="AO523" s="36">
        <f>IF(E523=1,AK523/AH523,"")</f>
        <v>0.421686746987952</v>
      </c>
      <c r="AP523" s="34">
        <f>IF(E523=1,Orders!Y520,"")</f>
        <v>0.57</v>
      </c>
      <c r="AQ523" s="33">
        <f>IF(Orders!X520,1,0)</f>
        <v>0</v>
      </c>
      <c r="AR523" s="34" t="str">
        <f>IF(AND(E523=1,L523=1),AJ523,"")</f>
        <v/>
      </c>
      <c r="AS523" s="34">
        <f>IF(AND(E523=1,L523=0),AJ523,"")</f>
        <v>2.5</v>
      </c>
      <c r="AT523" s="34" t="str">
        <f>IF(AND(E523=1,L523=1),AI523,"")</f>
        <v/>
      </c>
      <c r="AU523" s="34">
        <f>IF(AND(E523=1,L523=0),AI523,"")</f>
        <v>2.3</v>
      </c>
      <c r="AV523" s="34" t="str">
        <f>IF(AND(E523=1,L523=1),AG523,"")</f>
        <v/>
      </c>
      <c r="AW523" s="34">
        <f>IF(AND(E523=1,L523=0),AG523,"")</f>
        <v>9.2</v>
      </c>
      <c r="AX523" s="34" t="str">
        <f>IF(AND(E523=1,L523=1),AH523,"")</f>
        <v/>
      </c>
      <c r="AY523" s="34">
        <f>IF(AND(E523=1,L523=0),AH523,"")</f>
        <v>8.3</v>
      </c>
      <c r="AZ523" s="34" t="str">
        <f>IF(G523=1,F523,"")</f>
        <v/>
      </c>
      <c r="BA523" s="34" t="str">
        <f>IF(AND(G523=1,L523=1),F523,"")</f>
        <v/>
      </c>
      <c r="BB523" s="34" t="str">
        <f>IF(AND(G523=1,L523=0),F523,"")</f>
        <v/>
      </c>
      <c r="BC523" s="33">
        <f>IF(E523=1,IF(Orders!R520&gt;3,1,0),"")</f>
        <v>0</v>
      </c>
      <c r="BD523" s="33">
        <f>IF(E523=1,IF(Orders!R520&gt;7,1,0),"")</f>
        <v>0</v>
      </c>
      <c r="BE523" s="32" t="str">
        <f>IF(E523=1,IF(Orders!L520&lt;=1.5,"Up to 1.5 km",IF(Orders!L520&lt;=3,"1.5–3 km","Over 3 km")),"")</f>
        <v>Over 3 km</v>
      </c>
      <c r="BF523" s="33">
        <f>IF(E523=1,IF(ABS((Orders!G520-Orders!F520)*1440-Orders!R520)&lt;0.06,1,0),"")</f>
        <v>1</v>
      </c>
      <c r="BG523" s="33">
        <f>IF(ABS((Orders!F520-Orders!E520)*1440-Orders!P520)&lt;0.06,1,0)</f>
        <v>1</v>
      </c>
      <c r="BH523" s="33">
        <f>IF(E523=1,IF(IF(Orders!S520,1,0)=1-G523,1,0),"")</f>
        <v>1</v>
      </c>
      <c r="BI523" s="32" t="str">
        <f>INDEX(Stores!$B$2:$B$21,MATCH(B523,Stores!$A$2:$A$21,0))</f>
        <v>Hyderabad</v>
      </c>
    </row>
    <row r="524">
      <c r="A524" s="32" t="str">
        <f>Orders!A521</f>
        <v>O00520</v>
      </c>
      <c r="B524" s="32" t="str">
        <f>Orders!C521</f>
        <v>S003</v>
      </c>
      <c r="C524" s="32" t="str">
        <f>Orders!B521</f>
        <v>C0101</v>
      </c>
      <c r="D524" s="32" t="str">
        <f>Orders!H521</f>
        <v>Delivered</v>
      </c>
      <c r="E524" s="33">
        <f>IF(Orders!H521="Delivered",1,0)</f>
        <v>1</v>
      </c>
      <c r="F524" s="34">
        <f>IF(E524=1,Orders!R521,"")</f>
        <v>-1</v>
      </c>
      <c r="G524" s="33">
        <f>IF(E524=1,IF(Orders!R521&gt;0,1,0),"")</f>
        <v>0</v>
      </c>
      <c r="H524" s="33">
        <f>IF(E524=1,IF(Orders!R521&gt;5,1,0),"")</f>
        <v>0</v>
      </c>
      <c r="I524" s="32" t="str">
        <f>IF(E524=1,"",IF(OR(Orders!T521="Rider unavailable",Orders!T521="Item unavailable"),"Company-caused","Unresolved"))</f>
        <v/>
      </c>
      <c r="J524" s="33">
        <f>IF(OR(E524=1,I524="Company-caused"),1,0)</f>
        <v>1</v>
      </c>
      <c r="K524" s="32" t="str">
        <f>IF(E524=0,IF(I524="Company-caused",IF(Orders!T521="Rider unavailable","C1 Rider unavailable","C2 Item unavailable"),"Outside root: unresolved"),IF(G524=0,"A On time",IF(H524=1,IF(L524=1,"B2a Severe, peak","B2b Severe, off-peak"),IF(L524=1,"B1a Slight, peak","B1b Slight, off-peak"))))</f>
        <v>A On time</v>
      </c>
      <c r="L524" s="33">
        <f>IF(AND(Orders!U521&gt;=19,Orders!U521&lt;22),1,0)</f>
        <v>0</v>
      </c>
      <c r="M524" s="33">
        <f>IF(L524=IF(Orders!V521,1,0),1,0)</f>
        <v>1</v>
      </c>
      <c r="N524" s="32" t="str">
        <f>IF(Orders!W521="","None",Orders!W521)</f>
        <v>None</v>
      </c>
      <c r="O524" s="35">
        <f>INT(Orders!E521)</f>
        <v>46266.0</v>
      </c>
      <c r="P524" s="33">
        <f>Orders!U521</f>
        <v>17</v>
      </c>
      <c r="Q524" s="33">
        <f>COUNTIFS(Demand!$A$2:$A$4481,B524,Demand!$B$2:$B$4481,O524,Demand!$C$2:$C$4481,P524)</f>
        <v>1</v>
      </c>
      <c r="R524" s="33">
        <f>IF(Q524=1,SUMIFS(Demand!$E$2:$E$4481,Demand!$A$2:$A$4481,B524,Demand!$B$2:$B$4481,O524,Demand!$C$2:$C$4481,P524),"")</f>
        <v>32</v>
      </c>
      <c r="S524" s="33">
        <f>INDEX(Stores!$G$2:$G$21,MATCH(B524,Stores!$A$2:$A$21,0))</f>
        <v>41</v>
      </c>
      <c r="T524" s="34">
        <f>IF(R524="","",R524/S524)</f>
        <v>0.780487804878049</v>
      </c>
      <c r="U524" s="34">
        <f>IF(E524=1,T524,"")</f>
        <v>0.780487804878049</v>
      </c>
      <c r="V524" s="34">
        <f>IF(AND(E524=1,L524=0),T524,"")</f>
        <v>0.780487804878049</v>
      </c>
      <c r="W524" s="33">
        <f>IF(U524="","",IF(U524&lt;=Breakdowns!$C$5,1,IF(U524&lt;=Breakdowns!$C$6,2,IF(U524&lt;=Breakdowns!$C$7,3,4))))</f>
        <v>1</v>
      </c>
      <c r="X524" s="33">
        <f>IF(V524="","",IF(V524&lt;=Breakdowns!$D$5,1,IF(V524&lt;=Breakdowns!$D$6,2,IF(V524&lt;=Breakdowns!$D$7,3,4))))</f>
        <v>2</v>
      </c>
      <c r="Y524" s="34">
        <f>INDEX(Stores!$F$2:$F$21,MATCH(B524,Stores!$A$2:$A$21,0))</f>
        <v>3.84</v>
      </c>
      <c r="Z524" s="33">
        <f>IF(Y524&gt;Store_Summary!$M$2,1,0)</f>
        <v>0</v>
      </c>
      <c r="AA524" s="33">
        <f>INDEX(Stores!$C$2:$C$21,MATCH(B524,Stores!$A$2:$A$21,0))</f>
        <v>426</v>
      </c>
      <c r="AB524" s="33">
        <f>IF(AA524&lt;180,1,0)</f>
        <v>0</v>
      </c>
      <c r="AC524" s="32" t="str">
        <f>IF(Orders!D521="","",INDEX(Riders!$C$2:$C$81,MATCH(Orders!D521,Riders!$A$2:$A$81,0)))</f>
        <v>EV scooter</v>
      </c>
      <c r="AD524" s="33">
        <f>IF(Orders!D521="","",INDEX(Riders!$D$2:$D$81,MATCH(Orders!D521,Riders!$A$2:$A$81,0)))</f>
        <v>12</v>
      </c>
      <c r="AE524" s="33">
        <f>IF(Orders!D521="","",IF(INDEX(Riders!$B$2:$B$81,MATCH(Orders!D521,Riders!$A$2:$A$81,0))=B524,1,0))</f>
        <v>0</v>
      </c>
      <c r="AF524" s="34">
        <f>IF(E524=1,Orders!L521,"")</f>
        <v>1.17</v>
      </c>
      <c r="AG524" s="34">
        <f>IF(E524=1,Orders!P521,"")</f>
        <v>11.1</v>
      </c>
      <c r="AH524" s="34">
        <f>IF(E524=1,Orders!Q521,"")</f>
        <v>10.1</v>
      </c>
      <c r="AI524" s="34">
        <f>IF(E524=1,Orders!M521,"")</f>
        <v>2.9</v>
      </c>
      <c r="AJ524" s="34">
        <f>IF(E524=1,Orders!N521,"")</f>
        <v>5.1</v>
      </c>
      <c r="AK524" s="34">
        <f>IF(E524=1,Orders!O521,"")</f>
        <v>2.1</v>
      </c>
      <c r="AL524" s="33">
        <f>IF(E524=1,IF(ROUND(ABS(AI524+AJ524+AK524-AH524),6)&lt;=0.1,1,0),"")</f>
        <v>1</v>
      </c>
      <c r="AM524" s="36">
        <f>IF(E524=1,AI524/AH524,"")</f>
        <v>0.287128712871287</v>
      </c>
      <c r="AN524" s="36">
        <f>IF(E524=1,AJ524/AH524,"")</f>
        <v>0.504950495049505</v>
      </c>
      <c r="AO524" s="36">
        <f>IF(E524=1,AK524/AH524,"")</f>
        <v>0.207920792079208</v>
      </c>
      <c r="AP524" s="34">
        <f>IF(E524=1,Orders!Y521,"")</f>
        <v>0.39</v>
      </c>
      <c r="AQ524" s="33">
        <f>IF(Orders!X521,1,0)</f>
        <v>0</v>
      </c>
      <c r="AR524" s="34" t="str">
        <f>IF(AND(E524=1,L524=1),AJ524,"")</f>
        <v/>
      </c>
      <c r="AS524" s="34">
        <f>IF(AND(E524=1,L524=0),AJ524,"")</f>
        <v>5.1</v>
      </c>
      <c r="AT524" s="34" t="str">
        <f>IF(AND(E524=1,L524=1),AI524,"")</f>
        <v/>
      </c>
      <c r="AU524" s="34">
        <f>IF(AND(E524=1,L524=0),AI524,"")</f>
        <v>2.9</v>
      </c>
      <c r="AV524" s="34" t="str">
        <f>IF(AND(E524=1,L524=1),AG524,"")</f>
        <v/>
      </c>
      <c r="AW524" s="34">
        <f>IF(AND(E524=1,L524=0),AG524,"")</f>
        <v>11.1</v>
      </c>
      <c r="AX524" s="34" t="str">
        <f>IF(AND(E524=1,L524=1),AH524,"")</f>
        <v/>
      </c>
      <c r="AY524" s="34">
        <f>IF(AND(E524=1,L524=0),AH524,"")</f>
        <v>10.1</v>
      </c>
      <c r="AZ524" s="34" t="str">
        <f>IF(G524=1,F524,"")</f>
        <v/>
      </c>
      <c r="BA524" s="34" t="str">
        <f>IF(AND(G524=1,L524=1),F524,"")</f>
        <v/>
      </c>
      <c r="BB524" s="34" t="str">
        <f>IF(AND(G524=1,L524=0),F524,"")</f>
        <v/>
      </c>
      <c r="BC524" s="33">
        <f>IF(E524=1,IF(Orders!R521&gt;3,1,0),"")</f>
        <v>0</v>
      </c>
      <c r="BD524" s="33">
        <f>IF(E524=1,IF(Orders!R521&gt;7,1,0),"")</f>
        <v>0</v>
      </c>
      <c r="BE524" s="32" t="str">
        <f>IF(E524=1,IF(Orders!L521&lt;=1.5,"Up to 1.5 km",IF(Orders!L521&lt;=3,"1.5–3 km","Over 3 km")),"")</f>
        <v>Up to 1.5 km</v>
      </c>
      <c r="BF524" s="33">
        <f>IF(E524=1,IF(ABS((Orders!G521-Orders!F521)*1440-Orders!R521)&lt;0.06,1,0),"")</f>
        <v>1</v>
      </c>
      <c r="BG524" s="33">
        <f>IF(ABS((Orders!F521-Orders!E521)*1440-Orders!P521)&lt;0.06,1,0)</f>
        <v>1</v>
      </c>
      <c r="BH524" s="33">
        <f>IF(E524=1,IF(IF(Orders!S521,1,0)=1-G524,1,0),"")</f>
        <v>1</v>
      </c>
      <c r="BI524" s="32" t="str">
        <f>INDEX(Stores!$B$2:$B$21,MATCH(B524,Stores!$A$2:$A$21,0))</f>
        <v>Mumbai</v>
      </c>
    </row>
    <row r="525">
      <c r="A525" s="32" t="str">
        <f>Orders!A522</f>
        <v>O00521</v>
      </c>
      <c r="B525" s="32" t="str">
        <f>Orders!C522</f>
        <v>S016</v>
      </c>
      <c r="C525" s="32" t="str">
        <f>Orders!B522</f>
        <v>C0072</v>
      </c>
      <c r="D525" s="32" t="str">
        <f>Orders!H522</f>
        <v>Delivered</v>
      </c>
      <c r="E525" s="33">
        <f>IF(Orders!H522="Delivered",1,0)</f>
        <v>1</v>
      </c>
      <c r="F525" s="34">
        <f>IF(E525=1,Orders!R522,"")</f>
        <v>7.3</v>
      </c>
      <c r="G525" s="33">
        <f>IF(E525=1,IF(Orders!R522&gt;0,1,0),"")</f>
        <v>1</v>
      </c>
      <c r="H525" s="33">
        <f>IF(E525=1,IF(Orders!R522&gt;5,1,0),"")</f>
        <v>1</v>
      </c>
      <c r="I525" s="32" t="str">
        <f>IF(E525=1,"",IF(OR(Orders!T522="Rider unavailable",Orders!T522="Item unavailable"),"Company-caused","Unresolved"))</f>
        <v/>
      </c>
      <c r="J525" s="33">
        <f>IF(OR(E525=1,I525="Company-caused"),1,0)</f>
        <v>1</v>
      </c>
      <c r="K525" s="32" t="str">
        <f>IF(E525=0,IF(I525="Company-caused",IF(Orders!T522="Rider unavailable","C1 Rider unavailable","C2 Item unavailable"),"Outside root: unresolved"),IF(G525=0,"A On time",IF(H525=1,IF(L525=1,"B2a Severe, peak","B2b Severe, off-peak"),IF(L525=1,"B1a Slight, peak","B1b Slight, off-peak"))))</f>
        <v>B2a Severe, peak</v>
      </c>
      <c r="L525" s="33">
        <f>IF(AND(Orders!U522&gt;=19,Orders!U522&lt;22),1,0)</f>
        <v>1</v>
      </c>
      <c r="M525" s="33">
        <f>IF(L525=IF(Orders!V522,1,0),1,0)</f>
        <v>1</v>
      </c>
      <c r="N525" s="32" t="str">
        <f>IF(Orders!W522="","None",Orders!W522)</f>
        <v>None</v>
      </c>
      <c r="O525" s="35">
        <f>INT(Orders!E522)</f>
        <v>46274.0</v>
      </c>
      <c r="P525" s="33">
        <f>Orders!U522</f>
        <v>20</v>
      </c>
      <c r="Q525" s="33">
        <f>COUNTIFS(Demand!$A$2:$A$4481,B525,Demand!$B$2:$B$4481,O525,Demand!$C$2:$C$4481,P525)</f>
        <v>1</v>
      </c>
      <c r="R525" s="33">
        <f>IF(Q525=1,SUMIFS(Demand!$E$2:$E$4481,Demand!$A$2:$A$4481,B525,Demand!$B$2:$B$4481,O525,Demand!$C$2:$C$4481,P525),"")</f>
        <v>38</v>
      </c>
      <c r="S525" s="33">
        <f>INDEX(Stores!$G$2:$G$21,MATCH(B525,Stores!$A$2:$A$21,0))</f>
        <v>25</v>
      </c>
      <c r="T525" s="34">
        <f>IF(R525="","",R525/S525)</f>
        <v>1.52</v>
      </c>
      <c r="U525" s="34">
        <f>IF(E525=1,T525,"")</f>
        <v>1.52</v>
      </c>
      <c r="V525" s="34" t="str">
        <f>IF(AND(E525=1,L525=0),T525,"")</f>
        <v/>
      </c>
      <c r="W525" s="33">
        <f>IF(U525="","",IF(U525&lt;=Breakdowns!$C$5,1,IF(U525&lt;=Breakdowns!$C$6,2,IF(U525&lt;=Breakdowns!$C$7,3,4))))</f>
        <v>4</v>
      </c>
      <c r="X525" s="33" t="str">
        <f>IF(V525="","",IF(V525&lt;=Breakdowns!$D$5,1,IF(V525&lt;=Breakdowns!$D$6,2,IF(V525&lt;=Breakdowns!$D$7,3,4))))</f>
        <v/>
      </c>
      <c r="Y525" s="34">
        <f>INDEX(Stores!$F$2:$F$21,MATCH(B525,Stores!$A$2:$A$21,0))</f>
        <v>5.51</v>
      </c>
      <c r="Z525" s="33">
        <f>IF(Y525&gt;Store_Summary!$M$2,1,0)</f>
        <v>1</v>
      </c>
      <c r="AA525" s="33">
        <f>INDEX(Stores!$C$2:$C$21,MATCH(B525,Stores!$A$2:$A$21,0))</f>
        <v>792</v>
      </c>
      <c r="AB525" s="33">
        <f>IF(AA525&lt;180,1,0)</f>
        <v>0</v>
      </c>
      <c r="AC525" s="32" t="str">
        <f>IF(Orders!D522="","",INDEX(Riders!$C$2:$C$81,MATCH(Orders!D522,Riders!$A$2:$A$81,0)))</f>
        <v>Petrol scooter</v>
      </c>
      <c r="AD525" s="33">
        <f>IF(Orders!D522="","",INDEX(Riders!$D$2:$D$81,MATCH(Orders!D522,Riders!$A$2:$A$81,0)))</f>
        <v>24</v>
      </c>
      <c r="AE525" s="33">
        <f>IF(Orders!D522="","",IF(INDEX(Riders!$B$2:$B$81,MATCH(Orders!D522,Riders!$A$2:$A$81,0))=B525,1,0))</f>
        <v>1</v>
      </c>
      <c r="AF525" s="34">
        <f>IF(E525=1,Orders!L522,"")</f>
        <v>1.34</v>
      </c>
      <c r="AG525" s="34">
        <f>IF(E525=1,Orders!P522,"")</f>
        <v>9.9</v>
      </c>
      <c r="AH525" s="34">
        <f>IF(E525=1,Orders!Q522,"")</f>
        <v>17.2</v>
      </c>
      <c r="AI525" s="34">
        <f>IF(E525=1,Orders!M522,"")</f>
        <v>6.7</v>
      </c>
      <c r="AJ525" s="34">
        <f>IF(E525=1,Orders!N522,"")</f>
        <v>5.7</v>
      </c>
      <c r="AK525" s="34">
        <f>IF(E525=1,Orders!O522,"")</f>
        <v>4.7</v>
      </c>
      <c r="AL525" s="33">
        <f>IF(E525=1,IF(ROUND(ABS(AI525+AJ525+AK525-AH525),6)&lt;=0.1,1,0),"")</f>
        <v>1</v>
      </c>
      <c r="AM525" s="36">
        <f>IF(E525=1,AI525/AH525,"")</f>
        <v>0.38953488372093</v>
      </c>
      <c r="AN525" s="36">
        <f>IF(E525=1,AJ525/AH525,"")</f>
        <v>0.331395348837209</v>
      </c>
      <c r="AO525" s="36">
        <f>IF(E525=1,AK525/AH525,"")</f>
        <v>0.273255813953488</v>
      </c>
      <c r="AP525" s="34">
        <f>IF(E525=1,Orders!Y522,"")</f>
        <v>0.77</v>
      </c>
      <c r="AQ525" s="33">
        <f>IF(Orders!X522,1,0)</f>
        <v>1</v>
      </c>
      <c r="AR525" s="34">
        <f>IF(AND(E525=1,L525=1),AJ525,"")</f>
        <v>5.7</v>
      </c>
      <c r="AS525" s="34" t="str">
        <f>IF(AND(E525=1,L525=0),AJ525,"")</f>
        <v/>
      </c>
      <c r="AT525" s="34">
        <f>IF(AND(E525=1,L525=1),AI525,"")</f>
        <v>6.7</v>
      </c>
      <c r="AU525" s="34" t="str">
        <f>IF(AND(E525=1,L525=0),AI525,"")</f>
        <v/>
      </c>
      <c r="AV525" s="34">
        <f>IF(AND(E525=1,L525=1),AG525,"")</f>
        <v>9.9</v>
      </c>
      <c r="AW525" s="34" t="str">
        <f>IF(AND(E525=1,L525=0),AG525,"")</f>
        <v/>
      </c>
      <c r="AX525" s="34">
        <f>IF(AND(E525=1,L525=1),AH525,"")</f>
        <v>17.2</v>
      </c>
      <c r="AY525" s="34" t="str">
        <f>IF(AND(E525=1,L525=0),AH525,"")</f>
        <v/>
      </c>
      <c r="AZ525" s="34">
        <f>IF(G525=1,F525,"")</f>
        <v>7.3</v>
      </c>
      <c r="BA525" s="34">
        <f>IF(AND(G525=1,L525=1),F525,"")</f>
        <v>7.3</v>
      </c>
      <c r="BB525" s="34" t="str">
        <f>IF(AND(G525=1,L525=0),F525,"")</f>
        <v/>
      </c>
      <c r="BC525" s="33">
        <f>IF(E525=1,IF(Orders!R522&gt;3,1,0),"")</f>
        <v>1</v>
      </c>
      <c r="BD525" s="33">
        <f>IF(E525=1,IF(Orders!R522&gt;7,1,0),"")</f>
        <v>1</v>
      </c>
      <c r="BE525" s="32" t="str">
        <f>IF(E525=1,IF(Orders!L522&lt;=1.5,"Up to 1.5 km",IF(Orders!L522&lt;=3,"1.5–3 km","Over 3 km")),"")</f>
        <v>Up to 1.5 km</v>
      </c>
      <c r="BF525" s="33">
        <f>IF(E525=1,IF(ABS((Orders!G522-Orders!F522)*1440-Orders!R522)&lt;0.06,1,0),"")</f>
        <v>1</v>
      </c>
      <c r="BG525" s="33">
        <f>IF(ABS((Orders!F522-Orders!E522)*1440-Orders!P522)&lt;0.06,1,0)</f>
        <v>1</v>
      </c>
      <c r="BH525" s="33">
        <f>IF(E525=1,IF(IF(Orders!S522,1,0)=1-G525,1,0),"")</f>
        <v>1</v>
      </c>
      <c r="BI525" s="32" t="str">
        <f>INDEX(Stores!$B$2:$B$21,MATCH(B525,Stores!$A$2:$A$21,0))</f>
        <v>Bengaluru</v>
      </c>
    </row>
    <row r="526">
      <c r="A526" s="32" t="str">
        <f>Orders!A523</f>
        <v>O00522</v>
      </c>
      <c r="B526" s="32" t="str">
        <f>Orders!C523</f>
        <v>S008</v>
      </c>
      <c r="C526" s="32" t="str">
        <f>Orders!B523</f>
        <v>C0078</v>
      </c>
      <c r="D526" s="32" t="str">
        <f>Orders!H523</f>
        <v>Delivered</v>
      </c>
      <c r="E526" s="33">
        <f>IF(Orders!H523="Delivered",1,0)</f>
        <v>1</v>
      </c>
      <c r="F526" s="34">
        <f>IF(E526=1,Orders!R523,"")</f>
        <v>7.5</v>
      </c>
      <c r="G526" s="33">
        <f>IF(E526=1,IF(Orders!R523&gt;0,1,0),"")</f>
        <v>1</v>
      </c>
      <c r="H526" s="33">
        <f>IF(E526=1,IF(Orders!R523&gt;5,1,0),"")</f>
        <v>1</v>
      </c>
      <c r="I526" s="32" t="str">
        <f>IF(E526=1,"",IF(OR(Orders!T523="Rider unavailable",Orders!T523="Item unavailable"),"Company-caused","Unresolved"))</f>
        <v/>
      </c>
      <c r="J526" s="33">
        <f>IF(OR(E526=1,I526="Company-caused"),1,0)</f>
        <v>1</v>
      </c>
      <c r="K526" s="32" t="str">
        <f>IF(E526=0,IF(I526="Company-caused",IF(Orders!T523="Rider unavailable","C1 Rider unavailable","C2 Item unavailable"),"Outside root: unresolved"),IF(G526=0,"A On time",IF(H526=1,IF(L526=1,"B2a Severe, peak","B2b Severe, off-peak"),IF(L526=1,"B1a Slight, peak","B1b Slight, off-peak"))))</f>
        <v>B2b Severe, off-peak</v>
      </c>
      <c r="L526" s="33">
        <f>IF(AND(Orders!U523&gt;=19,Orders!U523&lt;22),1,0)</f>
        <v>0</v>
      </c>
      <c r="M526" s="33">
        <f>IF(L526=IF(Orders!V523,1,0),1,0)</f>
        <v>1</v>
      </c>
      <c r="N526" s="32" t="str">
        <f>IF(Orders!W523="","None",Orders!W523)</f>
        <v>None</v>
      </c>
      <c r="O526" s="35">
        <f>INT(Orders!E523)</f>
        <v>46279.0</v>
      </c>
      <c r="P526" s="33">
        <f>Orders!U523</f>
        <v>11</v>
      </c>
      <c r="Q526" s="33">
        <f>COUNTIFS(Demand!$A$2:$A$4481,B526,Demand!$B$2:$B$4481,O526,Demand!$C$2:$C$4481,P526)</f>
        <v>1</v>
      </c>
      <c r="R526" s="33">
        <f>IF(Q526=1,SUMIFS(Demand!$E$2:$E$4481,Demand!$A$2:$A$4481,B526,Demand!$B$2:$B$4481,O526,Demand!$C$2:$C$4481,P526),"")</f>
        <v>20</v>
      </c>
      <c r="S526" s="33">
        <f>INDEX(Stores!$G$2:$G$21,MATCH(B526,Stores!$A$2:$A$21,0))</f>
        <v>23</v>
      </c>
      <c r="T526" s="34">
        <f>IF(R526="","",R526/S526)</f>
        <v>0.869565217391304</v>
      </c>
      <c r="U526" s="34">
        <f>IF(E526=1,T526,"")</f>
        <v>0.869565217391304</v>
      </c>
      <c r="V526" s="34">
        <f>IF(AND(E526=1,L526=0),T526,"")</f>
        <v>0.869565217391304</v>
      </c>
      <c r="W526" s="33">
        <f>IF(U526="","",IF(U526&lt;=Breakdowns!$C$5,1,IF(U526&lt;=Breakdowns!$C$6,2,IF(U526&lt;=Breakdowns!$C$7,3,4))))</f>
        <v>2</v>
      </c>
      <c r="X526" s="33">
        <f>IF(V526="","",IF(V526&lt;=Breakdowns!$D$5,1,IF(V526&lt;=Breakdowns!$D$6,2,IF(V526&lt;=Breakdowns!$D$7,3,4))))</f>
        <v>2</v>
      </c>
      <c r="Y526" s="34">
        <f>INDEX(Stores!$F$2:$F$21,MATCH(B526,Stores!$A$2:$A$21,0))</f>
        <v>3.46</v>
      </c>
      <c r="Z526" s="33">
        <f>IF(Y526&gt;Store_Summary!$M$2,1,0)</f>
        <v>0</v>
      </c>
      <c r="AA526" s="33">
        <f>INDEX(Stores!$C$2:$C$21,MATCH(B526,Stores!$A$2:$A$21,0))</f>
        <v>825</v>
      </c>
      <c r="AB526" s="33">
        <f>IF(AA526&lt;180,1,0)</f>
        <v>0</v>
      </c>
      <c r="AC526" s="32" t="str">
        <f>IF(Orders!D523="","",INDEX(Riders!$C$2:$C$81,MATCH(Orders!D523,Riders!$A$2:$A$81,0)))</f>
        <v>Bicycle</v>
      </c>
      <c r="AD526" s="33">
        <f>IF(Orders!D523="","",INDEX(Riders!$D$2:$D$81,MATCH(Orders!D523,Riders!$A$2:$A$81,0)))</f>
        <v>40</v>
      </c>
      <c r="AE526" s="33">
        <f>IF(Orders!D523="","",IF(INDEX(Riders!$B$2:$B$81,MATCH(Orders!D523,Riders!$A$2:$A$81,0))=B526,1,0))</f>
        <v>0</v>
      </c>
      <c r="AF526" s="34">
        <f>IF(E526=1,Orders!L523,"")</f>
        <v>4.2</v>
      </c>
      <c r="AG526" s="34">
        <f>IF(E526=1,Orders!P523,"")</f>
        <v>9.4</v>
      </c>
      <c r="AH526" s="34">
        <f>IF(E526=1,Orders!Q523,"")</f>
        <v>16.9</v>
      </c>
      <c r="AI526" s="34">
        <f>IF(E526=1,Orders!M523,"")</f>
        <v>3.6</v>
      </c>
      <c r="AJ526" s="34">
        <f>IF(E526=1,Orders!N523,"")</f>
        <v>2.3</v>
      </c>
      <c r="AK526" s="34">
        <f>IF(E526=1,Orders!O523,"")</f>
        <v>11</v>
      </c>
      <c r="AL526" s="33">
        <f>IF(E526=1,IF(ROUND(ABS(AI526+AJ526+AK526-AH526),6)&lt;=0.1,1,0),"")</f>
        <v>1</v>
      </c>
      <c r="AM526" s="36">
        <f>IF(E526=1,AI526/AH526,"")</f>
        <v>0.21301775147929</v>
      </c>
      <c r="AN526" s="36">
        <f>IF(E526=1,AJ526/AH526,"")</f>
        <v>0.136094674556213</v>
      </c>
      <c r="AO526" s="36">
        <f>IF(E526=1,AK526/AH526,"")</f>
        <v>0.650887573964497</v>
      </c>
      <c r="AP526" s="34">
        <f>IF(E526=1,Orders!Y523,"")</f>
        <v>0.84</v>
      </c>
      <c r="AQ526" s="33">
        <f>IF(Orders!X523,1,0)</f>
        <v>0</v>
      </c>
      <c r="AR526" s="34" t="str">
        <f>IF(AND(E526=1,L526=1),AJ526,"")</f>
        <v/>
      </c>
      <c r="AS526" s="34">
        <f>IF(AND(E526=1,L526=0),AJ526,"")</f>
        <v>2.3</v>
      </c>
      <c r="AT526" s="34" t="str">
        <f>IF(AND(E526=1,L526=1),AI526,"")</f>
        <v/>
      </c>
      <c r="AU526" s="34">
        <f>IF(AND(E526=1,L526=0),AI526,"")</f>
        <v>3.6</v>
      </c>
      <c r="AV526" s="34" t="str">
        <f>IF(AND(E526=1,L526=1),AG526,"")</f>
        <v/>
      </c>
      <c r="AW526" s="34">
        <f>IF(AND(E526=1,L526=0),AG526,"")</f>
        <v>9.4</v>
      </c>
      <c r="AX526" s="34" t="str">
        <f>IF(AND(E526=1,L526=1),AH526,"")</f>
        <v/>
      </c>
      <c r="AY526" s="34">
        <f>IF(AND(E526=1,L526=0),AH526,"")</f>
        <v>16.9</v>
      </c>
      <c r="AZ526" s="34">
        <f>IF(G526=1,F526,"")</f>
        <v>7.5</v>
      </c>
      <c r="BA526" s="34" t="str">
        <f>IF(AND(G526=1,L526=1),F526,"")</f>
        <v/>
      </c>
      <c r="BB526" s="34">
        <f>IF(AND(G526=1,L526=0),F526,"")</f>
        <v>7.5</v>
      </c>
      <c r="BC526" s="33">
        <f>IF(E526=1,IF(Orders!R523&gt;3,1,0),"")</f>
        <v>1</v>
      </c>
      <c r="BD526" s="33">
        <f>IF(E526=1,IF(Orders!R523&gt;7,1,0),"")</f>
        <v>1</v>
      </c>
      <c r="BE526" s="32" t="str">
        <f>IF(E526=1,IF(Orders!L523&lt;=1.5,"Up to 1.5 km",IF(Orders!L523&lt;=3,"1.5–3 km","Over 3 km")),"")</f>
        <v>Over 3 km</v>
      </c>
      <c r="BF526" s="33">
        <f>IF(E526=1,IF(ABS((Orders!G523-Orders!F523)*1440-Orders!R523)&lt;0.06,1,0),"")</f>
        <v>1</v>
      </c>
      <c r="BG526" s="33">
        <f>IF(ABS((Orders!F523-Orders!E523)*1440-Orders!P523)&lt;0.06,1,0)</f>
        <v>1</v>
      </c>
      <c r="BH526" s="33">
        <f>IF(E526=1,IF(IF(Orders!S523,1,0)=1-G526,1,0),"")</f>
        <v>1</v>
      </c>
      <c r="BI526" s="32" t="str">
        <f>INDEX(Stores!$B$2:$B$21,MATCH(B526,Stores!$A$2:$A$21,0))</f>
        <v>Mumbai</v>
      </c>
    </row>
    <row r="527">
      <c r="A527" s="32" t="str">
        <f>Orders!A524</f>
        <v>O00523</v>
      </c>
      <c r="B527" s="32" t="str">
        <f>Orders!C524</f>
        <v>S011</v>
      </c>
      <c r="C527" s="32" t="str">
        <f>Orders!B524</f>
        <v>C0249</v>
      </c>
      <c r="D527" s="32" t="str">
        <f>Orders!H524</f>
        <v>Delivered</v>
      </c>
      <c r="E527" s="33">
        <f>IF(Orders!H524="Delivered",1,0)</f>
        <v>1</v>
      </c>
      <c r="F527" s="34">
        <f>IF(E527=1,Orders!R524,"")</f>
        <v>-1.1</v>
      </c>
      <c r="G527" s="33">
        <f>IF(E527=1,IF(Orders!R524&gt;0,1,0),"")</f>
        <v>0</v>
      </c>
      <c r="H527" s="33">
        <f>IF(E527=1,IF(Orders!R524&gt;5,1,0),"")</f>
        <v>0</v>
      </c>
      <c r="I527" s="32" t="str">
        <f>IF(E527=1,"",IF(OR(Orders!T524="Rider unavailable",Orders!T524="Item unavailable"),"Company-caused","Unresolved"))</f>
        <v/>
      </c>
      <c r="J527" s="33">
        <f>IF(OR(E527=1,I527="Company-caused"),1,0)</f>
        <v>1</v>
      </c>
      <c r="K527" s="32" t="str">
        <f>IF(E527=0,IF(I527="Company-caused",IF(Orders!T524="Rider unavailable","C1 Rider unavailable","C2 Item unavailable"),"Outside root: unresolved"),IF(G527=0,"A On time",IF(H527=1,IF(L527=1,"B2a Severe, peak","B2b Severe, off-peak"),IF(L527=1,"B1a Slight, peak","B1b Slight, off-peak"))))</f>
        <v>A On time</v>
      </c>
      <c r="L527" s="33">
        <f>IF(AND(Orders!U524&gt;=19,Orders!U524&lt;22),1,0)</f>
        <v>0</v>
      </c>
      <c r="M527" s="33">
        <f>IF(L527=IF(Orders!V524,1,0),1,0)</f>
        <v>1</v>
      </c>
      <c r="N527" s="32" t="str">
        <f>IF(Orders!W524="","None",Orders!W524)</f>
        <v>Heavy</v>
      </c>
      <c r="O527" s="35">
        <f>INT(Orders!E524)</f>
        <v>46271.0</v>
      </c>
      <c r="P527" s="33">
        <f>Orders!U524</f>
        <v>11</v>
      </c>
      <c r="Q527" s="33">
        <f>COUNTIFS(Demand!$A$2:$A$4481,B527,Demand!$B$2:$B$4481,O527,Demand!$C$2:$C$4481,P527)</f>
        <v>1</v>
      </c>
      <c r="R527" s="33">
        <f>IF(Q527=1,SUMIFS(Demand!$E$2:$E$4481,Demand!$A$2:$A$4481,B527,Demand!$B$2:$B$4481,O527,Demand!$C$2:$C$4481,P527),"")</f>
        <v>38</v>
      </c>
      <c r="S527" s="33">
        <f>INDEX(Stores!$G$2:$G$21,MATCH(B527,Stores!$A$2:$A$21,0))</f>
        <v>31</v>
      </c>
      <c r="T527" s="34">
        <f>IF(R527="","",R527/S527)</f>
        <v>1.2258064516129</v>
      </c>
      <c r="U527" s="34">
        <f>IF(E527=1,T527,"")</f>
        <v>1.2258064516129</v>
      </c>
      <c r="V527" s="34">
        <f>IF(AND(E527=1,L527=0),T527,"")</f>
        <v>1.2258064516129</v>
      </c>
      <c r="W527" s="33">
        <f>IF(U527="","",IF(U527&lt;=Breakdowns!$C$5,1,IF(U527&lt;=Breakdowns!$C$6,2,IF(U527&lt;=Breakdowns!$C$7,3,4))))</f>
        <v>4</v>
      </c>
      <c r="X527" s="33">
        <f>IF(V527="","",IF(V527&lt;=Breakdowns!$D$5,1,IF(V527&lt;=Breakdowns!$D$6,2,IF(V527&lt;=Breakdowns!$D$7,3,4))))</f>
        <v>4</v>
      </c>
      <c r="Y527" s="34">
        <f>INDEX(Stores!$F$2:$F$21,MATCH(B527,Stores!$A$2:$A$21,0))</f>
        <v>5.67</v>
      </c>
      <c r="Z527" s="33">
        <f>IF(Y527&gt;Store_Summary!$M$2,1,0)</f>
        <v>1</v>
      </c>
      <c r="AA527" s="33">
        <f>INDEX(Stores!$C$2:$C$21,MATCH(B527,Stores!$A$2:$A$21,0))</f>
        <v>732</v>
      </c>
      <c r="AB527" s="33">
        <f>IF(AA527&lt;180,1,0)</f>
        <v>0</v>
      </c>
      <c r="AC527" s="32" t="str">
        <f>IF(Orders!D524="","",INDEX(Riders!$C$2:$C$81,MATCH(Orders!D524,Riders!$A$2:$A$81,0)))</f>
        <v>EV scooter</v>
      </c>
      <c r="AD527" s="33">
        <f>IF(Orders!D524="","",INDEX(Riders!$D$2:$D$81,MATCH(Orders!D524,Riders!$A$2:$A$81,0)))</f>
        <v>10</v>
      </c>
      <c r="AE527" s="33">
        <f>IF(Orders!D524="","",IF(INDEX(Riders!$B$2:$B$81,MATCH(Orders!D524,Riders!$A$2:$A$81,0))=B527,1,0))</f>
        <v>0</v>
      </c>
      <c r="AF527" s="34">
        <f>IF(E527=1,Orders!L524,"")</f>
        <v>1.18</v>
      </c>
      <c r="AG527" s="34">
        <f>IF(E527=1,Orders!P524,"")</f>
        <v>10.6</v>
      </c>
      <c r="AH527" s="34">
        <f>IF(E527=1,Orders!Q524,"")</f>
        <v>9.5</v>
      </c>
      <c r="AI527" s="34">
        <f>IF(E527=1,Orders!M524,"")</f>
        <v>2.7</v>
      </c>
      <c r="AJ527" s="34">
        <f>IF(E527=1,Orders!N524,"")</f>
        <v>4.1</v>
      </c>
      <c r="AK527" s="34">
        <f>IF(E527=1,Orders!O524,"")</f>
        <v>2.7</v>
      </c>
      <c r="AL527" s="33">
        <f>IF(E527=1,IF(ROUND(ABS(AI527+AJ527+AK527-AH527),6)&lt;=0.1,1,0),"")</f>
        <v>1</v>
      </c>
      <c r="AM527" s="36">
        <f>IF(E527=1,AI527/AH527,"")</f>
        <v>0.284210526315789</v>
      </c>
      <c r="AN527" s="36">
        <f>IF(E527=1,AJ527/AH527,"")</f>
        <v>0.431578947368421</v>
      </c>
      <c r="AO527" s="36">
        <f>IF(E527=1,AK527/AH527,"")</f>
        <v>0.284210526315789</v>
      </c>
      <c r="AP527" s="34">
        <f>IF(E527=1,Orders!Y524,"")</f>
        <v>0.44</v>
      </c>
      <c r="AQ527" s="33">
        <f>IF(Orders!X524,1,0)</f>
        <v>0</v>
      </c>
      <c r="AR527" s="34" t="str">
        <f>IF(AND(E527=1,L527=1),AJ527,"")</f>
        <v/>
      </c>
      <c r="AS527" s="34">
        <f>IF(AND(E527=1,L527=0),AJ527,"")</f>
        <v>4.1</v>
      </c>
      <c r="AT527" s="34" t="str">
        <f>IF(AND(E527=1,L527=1),AI527,"")</f>
        <v/>
      </c>
      <c r="AU527" s="34">
        <f>IF(AND(E527=1,L527=0),AI527,"")</f>
        <v>2.7</v>
      </c>
      <c r="AV527" s="34" t="str">
        <f>IF(AND(E527=1,L527=1),AG527,"")</f>
        <v/>
      </c>
      <c r="AW527" s="34">
        <f>IF(AND(E527=1,L527=0),AG527,"")</f>
        <v>10.6</v>
      </c>
      <c r="AX527" s="34" t="str">
        <f>IF(AND(E527=1,L527=1),AH527,"")</f>
        <v/>
      </c>
      <c r="AY527" s="34">
        <f>IF(AND(E527=1,L527=0),AH527,"")</f>
        <v>9.5</v>
      </c>
      <c r="AZ527" s="34" t="str">
        <f>IF(G527=1,F527,"")</f>
        <v/>
      </c>
      <c r="BA527" s="34" t="str">
        <f>IF(AND(G527=1,L527=1),F527,"")</f>
        <v/>
      </c>
      <c r="BB527" s="34" t="str">
        <f>IF(AND(G527=1,L527=0),F527,"")</f>
        <v/>
      </c>
      <c r="BC527" s="33">
        <f>IF(E527=1,IF(Orders!R524&gt;3,1,0),"")</f>
        <v>0</v>
      </c>
      <c r="BD527" s="33">
        <f>IF(E527=1,IF(Orders!R524&gt;7,1,0),"")</f>
        <v>0</v>
      </c>
      <c r="BE527" s="32" t="str">
        <f>IF(E527=1,IF(Orders!L524&lt;=1.5,"Up to 1.5 km",IF(Orders!L524&lt;=3,"1.5–3 km","Over 3 km")),"")</f>
        <v>Up to 1.5 km</v>
      </c>
      <c r="BF527" s="33">
        <f>IF(E527=1,IF(ABS((Orders!G524-Orders!F524)*1440-Orders!R524)&lt;0.06,1,0),"")</f>
        <v>1</v>
      </c>
      <c r="BG527" s="33">
        <f>IF(ABS((Orders!F524-Orders!E524)*1440-Orders!P524)&lt;0.06,1,0)</f>
        <v>1</v>
      </c>
      <c r="BH527" s="33">
        <f>IF(E527=1,IF(IF(Orders!S524,1,0)=1-G527,1,0),"")</f>
        <v>1</v>
      </c>
      <c r="BI527" s="32" t="str">
        <f>INDEX(Stores!$B$2:$B$21,MATCH(B527,Stores!$A$2:$A$21,0))</f>
        <v>Bengaluru</v>
      </c>
    </row>
    <row r="528">
      <c r="A528" s="32" t="str">
        <f>Orders!A525</f>
        <v>O00524</v>
      </c>
      <c r="B528" s="32" t="str">
        <f>Orders!C525</f>
        <v>S004</v>
      </c>
      <c r="C528" s="32" t="str">
        <f>Orders!B525</f>
        <v>C0064</v>
      </c>
      <c r="D528" s="32" t="str">
        <f>Orders!H525</f>
        <v>Delivered</v>
      </c>
      <c r="E528" s="33">
        <f>IF(Orders!H525="Delivered",1,0)</f>
        <v>1</v>
      </c>
      <c r="F528" s="34">
        <f>IF(E528=1,Orders!R525,"")</f>
        <v>-0.6</v>
      </c>
      <c r="G528" s="33">
        <f>IF(E528=1,IF(Orders!R525&gt;0,1,0),"")</f>
        <v>0</v>
      </c>
      <c r="H528" s="33">
        <f>IF(E528=1,IF(Orders!R525&gt;5,1,0),"")</f>
        <v>0</v>
      </c>
      <c r="I528" s="32" t="str">
        <f>IF(E528=1,"",IF(OR(Orders!T525="Rider unavailable",Orders!T525="Item unavailable"),"Company-caused","Unresolved"))</f>
        <v/>
      </c>
      <c r="J528" s="33">
        <f>IF(OR(E528=1,I528="Company-caused"),1,0)</f>
        <v>1</v>
      </c>
      <c r="K528" s="32" t="str">
        <f>IF(E528=0,IF(I528="Company-caused",IF(Orders!T525="Rider unavailable","C1 Rider unavailable","C2 Item unavailable"),"Outside root: unresolved"),IF(G528=0,"A On time",IF(H528=1,IF(L528=1,"B2a Severe, peak","B2b Severe, off-peak"),IF(L528=1,"B1a Slight, peak","B1b Slight, off-peak"))))</f>
        <v>A On time</v>
      </c>
      <c r="L528" s="33">
        <f>IF(AND(Orders!U525&gt;=19,Orders!U525&lt;22),1,0)</f>
        <v>1</v>
      </c>
      <c r="M528" s="33">
        <f>IF(L528=IF(Orders!V525,1,0),1,0)</f>
        <v>1</v>
      </c>
      <c r="N528" s="32" t="str">
        <f>IF(Orders!W525="","None",Orders!W525)</f>
        <v>None</v>
      </c>
      <c r="O528" s="35">
        <f>INT(Orders!E525)</f>
        <v>46278.0</v>
      </c>
      <c r="P528" s="33">
        <f>Orders!U525</f>
        <v>20</v>
      </c>
      <c r="Q528" s="33">
        <f>COUNTIFS(Demand!$A$2:$A$4481,B528,Demand!$B$2:$B$4481,O528,Demand!$C$2:$C$4481,P528)</f>
        <v>1</v>
      </c>
      <c r="R528" s="33">
        <f>IF(Q528=1,SUMIFS(Demand!$E$2:$E$4481,Demand!$A$2:$A$4481,B528,Demand!$B$2:$B$4481,O528,Demand!$C$2:$C$4481,P528),"")</f>
        <v>56</v>
      </c>
      <c r="S528" s="33">
        <f>INDEX(Stores!$G$2:$G$21,MATCH(B528,Stores!$A$2:$A$21,0))</f>
        <v>42</v>
      </c>
      <c r="T528" s="34">
        <f>IF(R528="","",R528/S528)</f>
        <v>1.33333333333333</v>
      </c>
      <c r="U528" s="34">
        <f>IF(E528=1,T528,"")</f>
        <v>1.33333333333333</v>
      </c>
      <c r="V528" s="34" t="str">
        <f>IF(AND(E528=1,L528=0),T528,"")</f>
        <v/>
      </c>
      <c r="W528" s="33">
        <f>IF(U528="","",IF(U528&lt;=Breakdowns!$C$5,1,IF(U528&lt;=Breakdowns!$C$6,2,IF(U528&lt;=Breakdowns!$C$7,3,4))))</f>
        <v>4</v>
      </c>
      <c r="X528" s="33" t="str">
        <f>IF(V528="","",IF(V528&lt;=Breakdowns!$D$5,1,IF(V528&lt;=Breakdowns!$D$6,2,IF(V528&lt;=Breakdowns!$D$7,3,4))))</f>
        <v/>
      </c>
      <c r="Y528" s="34">
        <f>INDEX(Stores!$F$2:$F$21,MATCH(B528,Stores!$A$2:$A$21,0))</f>
        <v>2.19</v>
      </c>
      <c r="Z528" s="33">
        <f>IF(Y528&gt;Store_Summary!$M$2,1,0)</f>
        <v>0</v>
      </c>
      <c r="AA528" s="33">
        <f>INDEX(Stores!$C$2:$C$21,MATCH(B528,Stores!$A$2:$A$21,0))</f>
        <v>850</v>
      </c>
      <c r="AB528" s="33">
        <f>IF(AA528&lt;180,1,0)</f>
        <v>0</v>
      </c>
      <c r="AC528" s="32" t="str">
        <f>IF(Orders!D525="","",INDEX(Riders!$C$2:$C$81,MATCH(Orders!D525,Riders!$A$2:$A$81,0)))</f>
        <v>EV scooter</v>
      </c>
      <c r="AD528" s="33">
        <f>IF(Orders!D525="","",INDEX(Riders!$D$2:$D$81,MATCH(Orders!D525,Riders!$A$2:$A$81,0)))</f>
        <v>4</v>
      </c>
      <c r="AE528" s="33">
        <f>IF(Orders!D525="","",IF(INDEX(Riders!$B$2:$B$81,MATCH(Orders!D525,Riders!$A$2:$A$81,0))=B528,1,0))</f>
        <v>0</v>
      </c>
      <c r="AF528" s="34">
        <f>IF(E528=1,Orders!L525,"")</f>
        <v>0.64</v>
      </c>
      <c r="AG528" s="34">
        <f>IF(E528=1,Orders!P525,"")</f>
        <v>10</v>
      </c>
      <c r="AH528" s="34">
        <f>IF(E528=1,Orders!Q525,"")</f>
        <v>9.4</v>
      </c>
      <c r="AI528" s="34">
        <f>IF(E528=1,Orders!M525,"")</f>
        <v>3.3</v>
      </c>
      <c r="AJ528" s="34">
        <f>IF(E528=1,Orders!N525,"")</f>
        <v>3.2</v>
      </c>
      <c r="AK528" s="34">
        <f>IF(E528=1,Orders!O525,"")</f>
        <v>2.9</v>
      </c>
      <c r="AL528" s="33">
        <f>IF(E528=1,IF(ROUND(ABS(AI528+AJ528+AK528-AH528),6)&lt;=0.1,1,0),"")</f>
        <v>1</v>
      </c>
      <c r="AM528" s="36">
        <f>IF(E528=1,AI528/AH528,"")</f>
        <v>0.351063829787234</v>
      </c>
      <c r="AN528" s="36">
        <f>IF(E528=1,AJ528/AH528,"")</f>
        <v>0.340425531914894</v>
      </c>
      <c r="AO528" s="36">
        <f>IF(E528=1,AK528/AH528,"")</f>
        <v>0.308510638297872</v>
      </c>
      <c r="AP528" s="34">
        <f>IF(E528=1,Orders!Y525,"")</f>
        <v>0.64</v>
      </c>
      <c r="AQ528" s="33">
        <f>IF(Orders!X525,1,0)</f>
        <v>0</v>
      </c>
      <c r="AR528" s="34">
        <f>IF(AND(E528=1,L528=1),AJ528,"")</f>
        <v>3.2</v>
      </c>
      <c r="AS528" s="34" t="str">
        <f>IF(AND(E528=1,L528=0),AJ528,"")</f>
        <v/>
      </c>
      <c r="AT528" s="34">
        <f>IF(AND(E528=1,L528=1),AI528,"")</f>
        <v>3.3</v>
      </c>
      <c r="AU528" s="34" t="str">
        <f>IF(AND(E528=1,L528=0),AI528,"")</f>
        <v/>
      </c>
      <c r="AV528" s="34">
        <f>IF(AND(E528=1,L528=1),AG528,"")</f>
        <v>10</v>
      </c>
      <c r="AW528" s="34" t="str">
        <f>IF(AND(E528=1,L528=0),AG528,"")</f>
        <v/>
      </c>
      <c r="AX528" s="34">
        <f>IF(AND(E528=1,L528=1),AH528,"")</f>
        <v>9.4</v>
      </c>
      <c r="AY528" s="34" t="str">
        <f>IF(AND(E528=1,L528=0),AH528,"")</f>
        <v/>
      </c>
      <c r="AZ528" s="34" t="str">
        <f>IF(G528=1,F528,"")</f>
        <v/>
      </c>
      <c r="BA528" s="34" t="str">
        <f>IF(AND(G528=1,L528=1),F528,"")</f>
        <v/>
      </c>
      <c r="BB528" s="34" t="str">
        <f>IF(AND(G528=1,L528=0),F528,"")</f>
        <v/>
      </c>
      <c r="BC528" s="33">
        <f>IF(E528=1,IF(Orders!R525&gt;3,1,0),"")</f>
        <v>0</v>
      </c>
      <c r="BD528" s="33">
        <f>IF(E528=1,IF(Orders!R525&gt;7,1,0),"")</f>
        <v>0</v>
      </c>
      <c r="BE528" s="32" t="str">
        <f>IF(E528=1,IF(Orders!L525&lt;=1.5,"Up to 1.5 km",IF(Orders!L525&lt;=3,"1.5–3 km","Over 3 km")),"")</f>
        <v>Up to 1.5 km</v>
      </c>
      <c r="BF528" s="33">
        <f>IF(E528=1,IF(ABS((Orders!G525-Orders!F525)*1440-Orders!R525)&lt;0.06,1,0),"")</f>
        <v>1</v>
      </c>
      <c r="BG528" s="33">
        <f>IF(ABS((Orders!F525-Orders!E525)*1440-Orders!P525)&lt;0.06,1,0)</f>
        <v>1</v>
      </c>
      <c r="BH528" s="33">
        <f>IF(E528=1,IF(IF(Orders!S525,1,0)=1-G528,1,0),"")</f>
        <v>1</v>
      </c>
      <c r="BI528" s="32" t="str">
        <f>INDEX(Stores!$B$2:$B$21,MATCH(B528,Stores!$A$2:$A$21,0))</f>
        <v>Pune</v>
      </c>
    </row>
    <row r="529">
      <c r="A529" s="32" t="str">
        <f>Orders!A526</f>
        <v>O00525</v>
      </c>
      <c r="B529" s="32" t="str">
        <f>Orders!C526</f>
        <v>S005</v>
      </c>
      <c r="C529" s="32" t="str">
        <f>Orders!B526</f>
        <v>C0127</v>
      </c>
      <c r="D529" s="32" t="str">
        <f>Orders!H526</f>
        <v>Delivered</v>
      </c>
      <c r="E529" s="33">
        <f>IF(Orders!H526="Delivered",1,0)</f>
        <v>1</v>
      </c>
      <c r="F529" s="34">
        <f>IF(E529=1,Orders!R526,"")</f>
        <v>-0.9</v>
      </c>
      <c r="G529" s="33">
        <f>IF(E529=1,IF(Orders!R526&gt;0,1,0),"")</f>
        <v>0</v>
      </c>
      <c r="H529" s="33">
        <f>IF(E529=1,IF(Orders!R526&gt;5,1,0),"")</f>
        <v>0</v>
      </c>
      <c r="I529" s="32" t="str">
        <f>IF(E529=1,"",IF(OR(Orders!T526="Rider unavailable",Orders!T526="Item unavailable"),"Company-caused","Unresolved"))</f>
        <v/>
      </c>
      <c r="J529" s="33">
        <f>IF(OR(E529=1,I529="Company-caused"),1,0)</f>
        <v>1</v>
      </c>
      <c r="K529" s="32" t="str">
        <f>IF(E529=0,IF(I529="Company-caused",IF(Orders!T526="Rider unavailable","C1 Rider unavailable","C2 Item unavailable"),"Outside root: unresolved"),IF(G529=0,"A On time",IF(H529=1,IF(L529=1,"B2a Severe, peak","B2b Severe, off-peak"),IF(L529=1,"B1a Slight, peak","B1b Slight, off-peak"))))</f>
        <v>A On time</v>
      </c>
      <c r="L529" s="33">
        <f>IF(AND(Orders!U526&gt;=19,Orders!U526&lt;22),1,0)</f>
        <v>0</v>
      </c>
      <c r="M529" s="33">
        <f>IF(L529=IF(Orders!V526,1,0),1,0)</f>
        <v>1</v>
      </c>
      <c r="N529" s="32" t="str">
        <f>IF(Orders!W526="","None",Orders!W526)</f>
        <v>None</v>
      </c>
      <c r="O529" s="35">
        <f>INT(Orders!E526)</f>
        <v>46276.0</v>
      </c>
      <c r="P529" s="33">
        <f>Orders!U526</f>
        <v>17</v>
      </c>
      <c r="Q529" s="33">
        <f>COUNTIFS(Demand!$A$2:$A$4481,B529,Demand!$B$2:$B$4481,O529,Demand!$C$2:$C$4481,P529)</f>
        <v>1</v>
      </c>
      <c r="R529" s="33">
        <f>IF(Q529=1,SUMIFS(Demand!$E$2:$E$4481,Demand!$A$2:$A$4481,B529,Demand!$B$2:$B$4481,O529,Demand!$C$2:$C$4481,P529),"")</f>
        <v>9</v>
      </c>
      <c r="S529" s="33">
        <f>INDEX(Stores!$G$2:$G$21,MATCH(B529,Stores!$A$2:$A$21,0))</f>
        <v>14</v>
      </c>
      <c r="T529" s="34">
        <f>IF(R529="","",R529/S529)</f>
        <v>0.642857142857143</v>
      </c>
      <c r="U529" s="34">
        <f>IF(E529=1,T529,"")</f>
        <v>0.642857142857143</v>
      </c>
      <c r="V529" s="34">
        <f>IF(AND(E529=1,L529=0),T529,"")</f>
        <v>0.642857142857143</v>
      </c>
      <c r="W529" s="33">
        <f>IF(U529="","",IF(U529&lt;=Breakdowns!$C$5,1,IF(U529&lt;=Breakdowns!$C$6,2,IF(U529&lt;=Breakdowns!$C$7,3,4))))</f>
        <v>1</v>
      </c>
      <c r="X529" s="33">
        <f>IF(V529="","",IF(V529&lt;=Breakdowns!$D$5,1,IF(V529&lt;=Breakdowns!$D$6,2,IF(V529&lt;=Breakdowns!$D$7,3,4))))</f>
        <v>1</v>
      </c>
      <c r="Y529" s="34">
        <f>INDEX(Stores!$F$2:$F$21,MATCH(B529,Stores!$A$2:$A$21,0))</f>
        <v>4.89</v>
      </c>
      <c r="Z529" s="33">
        <f>IF(Y529&gt;Store_Summary!$M$2,1,0)</f>
        <v>0</v>
      </c>
      <c r="AA529" s="33">
        <f>INDEX(Stores!$C$2:$C$21,MATCH(B529,Stores!$A$2:$A$21,0))</f>
        <v>138</v>
      </c>
      <c r="AB529" s="33">
        <f>IF(AA529&lt;180,1,0)</f>
        <v>1</v>
      </c>
      <c r="AC529" s="32" t="str">
        <f>IF(Orders!D526="","",INDEX(Riders!$C$2:$C$81,MATCH(Orders!D526,Riders!$A$2:$A$81,0)))</f>
        <v>EV scooter</v>
      </c>
      <c r="AD529" s="33">
        <f>IF(Orders!D526="","",INDEX(Riders!$D$2:$D$81,MATCH(Orders!D526,Riders!$A$2:$A$81,0)))</f>
        <v>11</v>
      </c>
      <c r="AE529" s="33">
        <f>IF(Orders!D526="","",IF(INDEX(Riders!$B$2:$B$81,MATCH(Orders!D526,Riders!$A$2:$A$81,0))=B529,1,0))</f>
        <v>0</v>
      </c>
      <c r="AF529" s="34">
        <f>IF(E529=1,Orders!L526,"")</f>
        <v>4.03</v>
      </c>
      <c r="AG529" s="34">
        <f>IF(E529=1,Orders!P526,"")</f>
        <v>11.9</v>
      </c>
      <c r="AH529" s="34">
        <f>IF(E529=1,Orders!Q526,"")</f>
        <v>11</v>
      </c>
      <c r="AI529" s="34">
        <f>IF(E529=1,Orders!M526,"")</f>
        <v>2.6</v>
      </c>
      <c r="AJ529" s="34">
        <f>IF(E529=1,Orders!N526,"")</f>
        <v>2.7</v>
      </c>
      <c r="AK529" s="34">
        <f>IF(E529=1,Orders!O526,"")</f>
        <v>5.7</v>
      </c>
      <c r="AL529" s="33">
        <f>IF(E529=1,IF(ROUND(ABS(AI529+AJ529+AK529-AH529),6)&lt;=0.1,1,0),"")</f>
        <v>1</v>
      </c>
      <c r="AM529" s="36">
        <f>IF(E529=1,AI529/AH529,"")</f>
        <v>0.236363636363636</v>
      </c>
      <c r="AN529" s="36">
        <f>IF(E529=1,AJ529/AH529,"")</f>
        <v>0.245454545454545</v>
      </c>
      <c r="AO529" s="36">
        <f>IF(E529=1,AK529/AH529,"")</f>
        <v>0.518181818181818</v>
      </c>
      <c r="AP529" s="34">
        <f>IF(E529=1,Orders!Y526,"")</f>
        <v>0.34</v>
      </c>
      <c r="AQ529" s="33">
        <f>IF(Orders!X526,1,0)</f>
        <v>0</v>
      </c>
      <c r="AR529" s="34" t="str">
        <f>IF(AND(E529=1,L529=1),AJ529,"")</f>
        <v/>
      </c>
      <c r="AS529" s="34">
        <f>IF(AND(E529=1,L529=0),AJ529,"")</f>
        <v>2.7</v>
      </c>
      <c r="AT529" s="34" t="str">
        <f>IF(AND(E529=1,L529=1),AI529,"")</f>
        <v/>
      </c>
      <c r="AU529" s="34">
        <f>IF(AND(E529=1,L529=0),AI529,"")</f>
        <v>2.6</v>
      </c>
      <c r="AV529" s="34" t="str">
        <f>IF(AND(E529=1,L529=1),AG529,"")</f>
        <v/>
      </c>
      <c r="AW529" s="34">
        <f>IF(AND(E529=1,L529=0),AG529,"")</f>
        <v>11.9</v>
      </c>
      <c r="AX529" s="34" t="str">
        <f>IF(AND(E529=1,L529=1),AH529,"")</f>
        <v/>
      </c>
      <c r="AY529" s="34">
        <f>IF(AND(E529=1,L529=0),AH529,"")</f>
        <v>11</v>
      </c>
      <c r="AZ529" s="34" t="str">
        <f>IF(G529=1,F529,"")</f>
        <v/>
      </c>
      <c r="BA529" s="34" t="str">
        <f>IF(AND(G529=1,L529=1),F529,"")</f>
        <v/>
      </c>
      <c r="BB529" s="34" t="str">
        <f>IF(AND(G529=1,L529=0),F529,"")</f>
        <v/>
      </c>
      <c r="BC529" s="33">
        <f>IF(E529=1,IF(Orders!R526&gt;3,1,0),"")</f>
        <v>0</v>
      </c>
      <c r="BD529" s="33">
        <f>IF(E529=1,IF(Orders!R526&gt;7,1,0),"")</f>
        <v>0</v>
      </c>
      <c r="BE529" s="32" t="str">
        <f>IF(E529=1,IF(Orders!L526&lt;=1.5,"Up to 1.5 km",IF(Orders!L526&lt;=3,"1.5–3 km","Over 3 km")),"")</f>
        <v>Over 3 km</v>
      </c>
      <c r="BF529" s="33">
        <f>IF(E529=1,IF(ABS((Orders!G526-Orders!F526)*1440-Orders!R526)&lt;0.06,1,0),"")</f>
        <v>1</v>
      </c>
      <c r="BG529" s="33">
        <f>IF(ABS((Orders!F526-Orders!E526)*1440-Orders!P526)&lt;0.06,1,0)</f>
        <v>1</v>
      </c>
      <c r="BH529" s="33">
        <f>IF(E529=1,IF(IF(Orders!S526,1,0)=1-G529,1,0),"")</f>
        <v>1</v>
      </c>
      <c r="BI529" s="32" t="str">
        <f>INDEX(Stores!$B$2:$B$21,MATCH(B529,Stores!$A$2:$A$21,0))</f>
        <v>Delhi</v>
      </c>
    </row>
    <row r="530">
      <c r="A530" s="32" t="str">
        <f>Orders!A527</f>
        <v>O00526</v>
      </c>
      <c r="B530" s="32" t="str">
        <f>Orders!C527</f>
        <v>S019</v>
      </c>
      <c r="C530" s="32" t="str">
        <f>Orders!B527</f>
        <v>C0171</v>
      </c>
      <c r="D530" s="32" t="str">
        <f>Orders!H527</f>
        <v>Delivered</v>
      </c>
      <c r="E530" s="33">
        <f>IF(Orders!H527="Delivered",1,0)</f>
        <v>1</v>
      </c>
      <c r="F530" s="34">
        <f>IF(E530=1,Orders!R527,"")</f>
        <v>-0.9</v>
      </c>
      <c r="G530" s="33">
        <f>IF(E530=1,IF(Orders!R527&gt;0,1,0),"")</f>
        <v>0</v>
      </c>
      <c r="H530" s="33">
        <f>IF(E530=1,IF(Orders!R527&gt;5,1,0),"")</f>
        <v>0</v>
      </c>
      <c r="I530" s="32" t="str">
        <f>IF(E530=1,"",IF(OR(Orders!T527="Rider unavailable",Orders!T527="Item unavailable"),"Company-caused","Unresolved"))</f>
        <v/>
      </c>
      <c r="J530" s="33">
        <f>IF(OR(E530=1,I530="Company-caused"),1,0)</f>
        <v>1</v>
      </c>
      <c r="K530" s="32" t="str">
        <f>IF(E530=0,IF(I530="Company-caused",IF(Orders!T527="Rider unavailable","C1 Rider unavailable","C2 Item unavailable"),"Outside root: unresolved"),IF(G530=0,"A On time",IF(H530=1,IF(L530=1,"B2a Severe, peak","B2b Severe, off-peak"),IF(L530=1,"B1a Slight, peak","B1b Slight, off-peak"))))</f>
        <v>A On time</v>
      </c>
      <c r="L530" s="33">
        <f>IF(AND(Orders!U527&gt;=19,Orders!U527&lt;22),1,0)</f>
        <v>1</v>
      </c>
      <c r="M530" s="33">
        <f>IF(L530=IF(Orders!V527,1,0),1,0)</f>
        <v>1</v>
      </c>
      <c r="N530" s="32" t="str">
        <f>IF(Orders!W527="","None",Orders!W527)</f>
        <v>None</v>
      </c>
      <c r="O530" s="35">
        <f>INT(Orders!E527)</f>
        <v>46274.0</v>
      </c>
      <c r="P530" s="33">
        <f>Orders!U527</f>
        <v>20</v>
      </c>
      <c r="Q530" s="33">
        <f>COUNTIFS(Demand!$A$2:$A$4481,B530,Demand!$B$2:$B$4481,O530,Demand!$C$2:$C$4481,P530)</f>
        <v>1</v>
      </c>
      <c r="R530" s="33">
        <f>IF(Q530=1,SUMIFS(Demand!$E$2:$E$4481,Demand!$A$2:$A$4481,B530,Demand!$B$2:$B$4481,O530,Demand!$C$2:$C$4481,P530),"")</f>
        <v>38</v>
      </c>
      <c r="S530" s="33">
        <f>INDEX(Stores!$G$2:$G$21,MATCH(B530,Stores!$A$2:$A$21,0))</f>
        <v>22</v>
      </c>
      <c r="T530" s="34">
        <f>IF(R530="","",R530/S530)</f>
        <v>1.72727272727273</v>
      </c>
      <c r="U530" s="34">
        <f>IF(E530=1,T530,"")</f>
        <v>1.72727272727273</v>
      </c>
      <c r="V530" s="34" t="str">
        <f>IF(AND(E530=1,L530=0),T530,"")</f>
        <v/>
      </c>
      <c r="W530" s="33">
        <f>IF(U530="","",IF(U530&lt;=Breakdowns!$C$5,1,IF(U530&lt;=Breakdowns!$C$6,2,IF(U530&lt;=Breakdowns!$C$7,3,4))))</f>
        <v>4</v>
      </c>
      <c r="X530" s="33" t="str">
        <f>IF(V530="","",IF(V530&lt;=Breakdowns!$D$5,1,IF(V530&lt;=Breakdowns!$D$6,2,IF(V530&lt;=Breakdowns!$D$7,3,4))))</f>
        <v/>
      </c>
      <c r="Y530" s="34">
        <f>INDEX(Stores!$F$2:$F$21,MATCH(B530,Stores!$A$2:$A$21,0))</f>
        <v>4.99</v>
      </c>
      <c r="Z530" s="33">
        <f>IF(Y530&gt;Store_Summary!$M$2,1,0)</f>
        <v>1</v>
      </c>
      <c r="AA530" s="33">
        <f>INDEX(Stores!$C$2:$C$21,MATCH(B530,Stores!$A$2:$A$21,0))</f>
        <v>851</v>
      </c>
      <c r="AB530" s="33">
        <f>IF(AA530&lt;180,1,0)</f>
        <v>0</v>
      </c>
      <c r="AC530" s="32" t="str">
        <f>IF(Orders!D527="","",INDEX(Riders!$C$2:$C$81,MATCH(Orders!D527,Riders!$A$2:$A$81,0)))</f>
        <v>EV scooter</v>
      </c>
      <c r="AD530" s="33">
        <f>IF(Orders!D527="","",INDEX(Riders!$D$2:$D$81,MATCH(Orders!D527,Riders!$A$2:$A$81,0)))</f>
        <v>27</v>
      </c>
      <c r="AE530" s="33">
        <f>IF(Orders!D527="","",IF(INDEX(Riders!$B$2:$B$81,MATCH(Orders!D527,Riders!$A$2:$A$81,0))=B530,1,0))</f>
        <v>0</v>
      </c>
      <c r="AF530" s="34">
        <f>IF(E530=1,Orders!L527,"")</f>
        <v>1.9</v>
      </c>
      <c r="AG530" s="34">
        <f>IF(E530=1,Orders!P527,"")</f>
        <v>9.1</v>
      </c>
      <c r="AH530" s="34">
        <f>IF(E530=1,Orders!Q527,"")</f>
        <v>8.2</v>
      </c>
      <c r="AI530" s="34">
        <f>IF(E530=1,Orders!M527,"")</f>
        <v>2.4</v>
      </c>
      <c r="AJ530" s="34">
        <f>IF(E530=1,Orders!N527,"")</f>
        <v>3.1</v>
      </c>
      <c r="AK530" s="34">
        <f>IF(E530=1,Orders!O527,"")</f>
        <v>2.7</v>
      </c>
      <c r="AL530" s="33">
        <f>IF(E530=1,IF(ROUND(ABS(AI530+AJ530+AK530-AH530),6)&lt;=0.1,1,0),"")</f>
        <v>1</v>
      </c>
      <c r="AM530" s="36">
        <f>IF(E530=1,AI530/AH530,"")</f>
        <v>0.292682926829268</v>
      </c>
      <c r="AN530" s="36">
        <f>IF(E530=1,AJ530/AH530,"")</f>
        <v>0.378048780487805</v>
      </c>
      <c r="AO530" s="36">
        <f>IF(E530=1,AK530/AH530,"")</f>
        <v>0.329268292682927</v>
      </c>
      <c r="AP530" s="34">
        <f>IF(E530=1,Orders!Y527,"")</f>
        <v>0.74</v>
      </c>
      <c r="AQ530" s="33">
        <f>IF(Orders!X527,1,0)</f>
        <v>0</v>
      </c>
      <c r="AR530" s="34">
        <f>IF(AND(E530=1,L530=1),AJ530,"")</f>
        <v>3.1</v>
      </c>
      <c r="AS530" s="34" t="str">
        <f>IF(AND(E530=1,L530=0),AJ530,"")</f>
        <v/>
      </c>
      <c r="AT530" s="34">
        <f>IF(AND(E530=1,L530=1),AI530,"")</f>
        <v>2.4</v>
      </c>
      <c r="AU530" s="34" t="str">
        <f>IF(AND(E530=1,L530=0),AI530,"")</f>
        <v/>
      </c>
      <c r="AV530" s="34">
        <f>IF(AND(E530=1,L530=1),AG530,"")</f>
        <v>9.1</v>
      </c>
      <c r="AW530" s="34" t="str">
        <f>IF(AND(E530=1,L530=0),AG530,"")</f>
        <v/>
      </c>
      <c r="AX530" s="34">
        <f>IF(AND(E530=1,L530=1),AH530,"")</f>
        <v>8.2</v>
      </c>
      <c r="AY530" s="34" t="str">
        <f>IF(AND(E530=1,L530=0),AH530,"")</f>
        <v/>
      </c>
      <c r="AZ530" s="34" t="str">
        <f>IF(G530=1,F530,"")</f>
        <v/>
      </c>
      <c r="BA530" s="34" t="str">
        <f>IF(AND(G530=1,L530=1),F530,"")</f>
        <v/>
      </c>
      <c r="BB530" s="34" t="str">
        <f>IF(AND(G530=1,L530=0),F530,"")</f>
        <v/>
      </c>
      <c r="BC530" s="33">
        <f>IF(E530=1,IF(Orders!R527&gt;3,1,0),"")</f>
        <v>0</v>
      </c>
      <c r="BD530" s="33">
        <f>IF(E530=1,IF(Orders!R527&gt;7,1,0),"")</f>
        <v>0</v>
      </c>
      <c r="BE530" s="32" t="str">
        <f>IF(E530=1,IF(Orders!L527&lt;=1.5,"Up to 1.5 km",IF(Orders!L527&lt;=3,"1.5–3 km","Over 3 km")),"")</f>
        <v>1.5–3 km</v>
      </c>
      <c r="BF530" s="33">
        <f>IF(E530=1,IF(ABS((Orders!G527-Orders!F527)*1440-Orders!R527)&lt;0.06,1,0),"")</f>
        <v>1</v>
      </c>
      <c r="BG530" s="33">
        <f>IF(ABS((Orders!F527-Orders!E527)*1440-Orders!P527)&lt;0.06,1,0)</f>
        <v>1</v>
      </c>
      <c r="BH530" s="33">
        <f>IF(E530=1,IF(IF(Orders!S527,1,0)=1-G530,1,0),"")</f>
        <v>1</v>
      </c>
      <c r="BI530" s="32" t="str">
        <f>INDEX(Stores!$B$2:$B$21,MATCH(B530,Stores!$A$2:$A$21,0))</f>
        <v>Pune</v>
      </c>
    </row>
    <row r="531">
      <c r="A531" s="32" t="str">
        <f>Orders!A528</f>
        <v>O00527</v>
      </c>
      <c r="B531" s="32" t="str">
        <f>Orders!C528</f>
        <v>S003</v>
      </c>
      <c r="C531" s="32" t="str">
        <f>Orders!B528</f>
        <v>C0228</v>
      </c>
      <c r="D531" s="32" t="str">
        <f>Orders!H528</f>
        <v>Delivered</v>
      </c>
      <c r="E531" s="33">
        <f>IF(Orders!H528="Delivered",1,0)</f>
        <v>1</v>
      </c>
      <c r="F531" s="34">
        <f>IF(E531=1,Orders!R528,"")</f>
        <v>-1</v>
      </c>
      <c r="G531" s="33">
        <f>IF(E531=1,IF(Orders!R528&gt;0,1,0),"")</f>
        <v>0</v>
      </c>
      <c r="H531" s="33">
        <f>IF(E531=1,IF(Orders!R528&gt;5,1,0),"")</f>
        <v>0</v>
      </c>
      <c r="I531" s="32" t="str">
        <f>IF(E531=1,"",IF(OR(Orders!T528="Rider unavailable",Orders!T528="Item unavailable"),"Company-caused","Unresolved"))</f>
        <v/>
      </c>
      <c r="J531" s="33">
        <f>IF(OR(E531=1,I531="Company-caused"),1,0)</f>
        <v>1</v>
      </c>
      <c r="K531" s="32" t="str">
        <f>IF(E531=0,IF(I531="Company-caused",IF(Orders!T528="Rider unavailable","C1 Rider unavailable","C2 Item unavailable"),"Outside root: unresolved"),IF(G531=0,"A On time",IF(H531=1,IF(L531=1,"B2a Severe, peak","B2b Severe, off-peak"),IF(L531=1,"B1a Slight, peak","B1b Slight, off-peak"))))</f>
        <v>A On time</v>
      </c>
      <c r="L531" s="33">
        <f>IF(AND(Orders!U528&gt;=19,Orders!U528&lt;22),1,0)</f>
        <v>0</v>
      </c>
      <c r="M531" s="33">
        <f>IF(L531=IF(Orders!V528,1,0),1,0)</f>
        <v>1</v>
      </c>
      <c r="N531" s="32" t="str">
        <f>IF(Orders!W528="","None",Orders!W528)</f>
        <v>None</v>
      </c>
      <c r="O531" s="35">
        <f>INT(Orders!E528)</f>
        <v>46277.0</v>
      </c>
      <c r="P531" s="33">
        <f>Orders!U528</f>
        <v>18</v>
      </c>
      <c r="Q531" s="33">
        <f>COUNTIFS(Demand!$A$2:$A$4481,B531,Demand!$B$2:$B$4481,O531,Demand!$C$2:$C$4481,P531)</f>
        <v>1</v>
      </c>
      <c r="R531" s="33">
        <f>IF(Q531=1,SUMIFS(Demand!$E$2:$E$4481,Demand!$A$2:$A$4481,B531,Demand!$B$2:$B$4481,O531,Demand!$C$2:$C$4481,P531),"")</f>
        <v>42</v>
      </c>
      <c r="S531" s="33">
        <f>INDEX(Stores!$G$2:$G$21,MATCH(B531,Stores!$A$2:$A$21,0))</f>
        <v>41</v>
      </c>
      <c r="T531" s="34">
        <f>IF(R531="","",R531/S531)</f>
        <v>1.02439024390244</v>
      </c>
      <c r="U531" s="34">
        <f>IF(E531=1,T531,"")</f>
        <v>1.02439024390244</v>
      </c>
      <c r="V531" s="34">
        <f>IF(AND(E531=1,L531=0),T531,"")</f>
        <v>1.02439024390244</v>
      </c>
      <c r="W531" s="33">
        <f>IF(U531="","",IF(U531&lt;=Breakdowns!$C$5,1,IF(U531&lt;=Breakdowns!$C$6,2,IF(U531&lt;=Breakdowns!$C$7,3,4))))</f>
        <v>3</v>
      </c>
      <c r="X531" s="33">
        <f>IF(V531="","",IF(V531&lt;=Breakdowns!$D$5,1,IF(V531&lt;=Breakdowns!$D$6,2,IF(V531&lt;=Breakdowns!$D$7,3,4))))</f>
        <v>3</v>
      </c>
      <c r="Y531" s="34">
        <f>INDEX(Stores!$F$2:$F$21,MATCH(B531,Stores!$A$2:$A$21,0))</f>
        <v>3.84</v>
      </c>
      <c r="Z531" s="33">
        <f>IF(Y531&gt;Store_Summary!$M$2,1,0)</f>
        <v>0</v>
      </c>
      <c r="AA531" s="33">
        <f>INDEX(Stores!$C$2:$C$21,MATCH(B531,Stores!$A$2:$A$21,0))</f>
        <v>426</v>
      </c>
      <c r="AB531" s="33">
        <f>IF(AA531&lt;180,1,0)</f>
        <v>0</v>
      </c>
      <c r="AC531" s="32" t="str">
        <f>IF(Orders!D528="","",INDEX(Riders!$C$2:$C$81,MATCH(Orders!D528,Riders!$A$2:$A$81,0)))</f>
        <v>EV scooter</v>
      </c>
      <c r="AD531" s="33">
        <f>IF(Orders!D528="","",INDEX(Riders!$D$2:$D$81,MATCH(Orders!D528,Riders!$A$2:$A$81,0)))</f>
        <v>27</v>
      </c>
      <c r="AE531" s="33">
        <f>IF(Orders!D528="","",IF(INDEX(Riders!$B$2:$B$81,MATCH(Orders!D528,Riders!$A$2:$A$81,0))=B531,1,0))</f>
        <v>0</v>
      </c>
      <c r="AF531" s="34">
        <f>IF(E531=1,Orders!L528,"")</f>
        <v>1.72</v>
      </c>
      <c r="AG531" s="34">
        <f>IF(E531=1,Orders!P528,"")</f>
        <v>9.2</v>
      </c>
      <c r="AH531" s="34">
        <f>IF(E531=1,Orders!Q528,"")</f>
        <v>8.2</v>
      </c>
      <c r="AI531" s="34">
        <f>IF(E531=1,Orders!M528,"")</f>
        <v>2.2</v>
      </c>
      <c r="AJ531" s="34">
        <f>IF(E531=1,Orders!N528,"")</f>
        <v>2.6</v>
      </c>
      <c r="AK531" s="34">
        <f>IF(E531=1,Orders!O528,"")</f>
        <v>3.4</v>
      </c>
      <c r="AL531" s="33">
        <f>IF(E531=1,IF(ROUND(ABS(AI531+AJ531+AK531-AH531),6)&lt;=0.1,1,0),"")</f>
        <v>1</v>
      </c>
      <c r="AM531" s="36">
        <f>IF(E531=1,AI531/AH531,"")</f>
        <v>0.268292682926829</v>
      </c>
      <c r="AN531" s="36">
        <f>IF(E531=1,AJ531/AH531,"")</f>
        <v>0.317073170731707</v>
      </c>
      <c r="AO531" s="36">
        <f>IF(E531=1,AK531/AH531,"")</f>
        <v>0.414634146341463</v>
      </c>
      <c r="AP531" s="34">
        <f>IF(E531=1,Orders!Y528,"")</f>
        <v>0.56</v>
      </c>
      <c r="AQ531" s="33">
        <f>IF(Orders!X528,1,0)</f>
        <v>0</v>
      </c>
      <c r="AR531" s="34" t="str">
        <f>IF(AND(E531=1,L531=1),AJ531,"")</f>
        <v/>
      </c>
      <c r="AS531" s="34">
        <f>IF(AND(E531=1,L531=0),AJ531,"")</f>
        <v>2.6</v>
      </c>
      <c r="AT531" s="34" t="str">
        <f>IF(AND(E531=1,L531=1),AI531,"")</f>
        <v/>
      </c>
      <c r="AU531" s="34">
        <f>IF(AND(E531=1,L531=0),AI531,"")</f>
        <v>2.2</v>
      </c>
      <c r="AV531" s="34" t="str">
        <f>IF(AND(E531=1,L531=1),AG531,"")</f>
        <v/>
      </c>
      <c r="AW531" s="34">
        <f>IF(AND(E531=1,L531=0),AG531,"")</f>
        <v>9.2</v>
      </c>
      <c r="AX531" s="34" t="str">
        <f>IF(AND(E531=1,L531=1),AH531,"")</f>
        <v/>
      </c>
      <c r="AY531" s="34">
        <f>IF(AND(E531=1,L531=0),AH531,"")</f>
        <v>8.2</v>
      </c>
      <c r="AZ531" s="34" t="str">
        <f>IF(G531=1,F531,"")</f>
        <v/>
      </c>
      <c r="BA531" s="34" t="str">
        <f>IF(AND(G531=1,L531=1),F531,"")</f>
        <v/>
      </c>
      <c r="BB531" s="34" t="str">
        <f>IF(AND(G531=1,L531=0),F531,"")</f>
        <v/>
      </c>
      <c r="BC531" s="33">
        <f>IF(E531=1,IF(Orders!R528&gt;3,1,0),"")</f>
        <v>0</v>
      </c>
      <c r="BD531" s="33">
        <f>IF(E531=1,IF(Orders!R528&gt;7,1,0),"")</f>
        <v>0</v>
      </c>
      <c r="BE531" s="32" t="str">
        <f>IF(E531=1,IF(Orders!L528&lt;=1.5,"Up to 1.5 km",IF(Orders!L528&lt;=3,"1.5–3 km","Over 3 km")),"")</f>
        <v>1.5–3 km</v>
      </c>
      <c r="BF531" s="33">
        <f>IF(E531=1,IF(ABS((Orders!G528-Orders!F528)*1440-Orders!R528)&lt;0.06,1,0),"")</f>
        <v>1</v>
      </c>
      <c r="BG531" s="33">
        <f>IF(ABS((Orders!F528-Orders!E528)*1440-Orders!P528)&lt;0.06,1,0)</f>
        <v>1</v>
      </c>
      <c r="BH531" s="33">
        <f>IF(E531=1,IF(IF(Orders!S528,1,0)=1-G531,1,0),"")</f>
        <v>1</v>
      </c>
      <c r="BI531" s="32" t="str">
        <f>INDEX(Stores!$B$2:$B$21,MATCH(B531,Stores!$A$2:$A$21,0))</f>
        <v>Mumbai</v>
      </c>
    </row>
    <row r="532">
      <c r="A532" s="32" t="str">
        <f>Orders!A529</f>
        <v>O00528</v>
      </c>
      <c r="B532" s="32" t="str">
        <f>Orders!C529</f>
        <v>S003</v>
      </c>
      <c r="C532" s="32" t="str">
        <f>Orders!B529</f>
        <v>C0078</v>
      </c>
      <c r="D532" s="32" t="str">
        <f>Orders!H529</f>
        <v>Delivered</v>
      </c>
      <c r="E532" s="33">
        <f>IF(Orders!H529="Delivered",1,0)</f>
        <v>1</v>
      </c>
      <c r="F532" s="34">
        <f>IF(E532=1,Orders!R529,"")</f>
        <v>-0.4</v>
      </c>
      <c r="G532" s="33">
        <f>IF(E532=1,IF(Orders!R529&gt;0,1,0),"")</f>
        <v>0</v>
      </c>
      <c r="H532" s="33">
        <f>IF(E532=1,IF(Orders!R529&gt;5,1,0),"")</f>
        <v>0</v>
      </c>
      <c r="I532" s="32" t="str">
        <f>IF(E532=1,"",IF(OR(Orders!T529="Rider unavailable",Orders!T529="Item unavailable"),"Company-caused","Unresolved"))</f>
        <v/>
      </c>
      <c r="J532" s="33">
        <f>IF(OR(E532=1,I532="Company-caused"),1,0)</f>
        <v>1</v>
      </c>
      <c r="K532" s="32" t="str">
        <f>IF(E532=0,IF(I532="Company-caused",IF(Orders!T529="Rider unavailable","C1 Rider unavailable","C2 Item unavailable"),"Outside root: unresolved"),IF(G532=0,"A On time",IF(H532=1,IF(L532=1,"B2a Severe, peak","B2b Severe, off-peak"),IF(L532=1,"B1a Slight, peak","B1b Slight, off-peak"))))</f>
        <v>A On time</v>
      </c>
      <c r="L532" s="33">
        <f>IF(AND(Orders!U529&gt;=19,Orders!U529&lt;22),1,0)</f>
        <v>0</v>
      </c>
      <c r="M532" s="33">
        <f>IF(L532=IF(Orders!V529,1,0),1,0)</f>
        <v>1</v>
      </c>
      <c r="N532" s="32" t="str">
        <f>IF(Orders!W529="","None",Orders!W529)</f>
        <v>None</v>
      </c>
      <c r="O532" s="35">
        <f>INT(Orders!E529)</f>
        <v>46278.0</v>
      </c>
      <c r="P532" s="33">
        <f>Orders!U529</f>
        <v>18</v>
      </c>
      <c r="Q532" s="33">
        <f>COUNTIFS(Demand!$A$2:$A$4481,B532,Demand!$B$2:$B$4481,O532,Demand!$C$2:$C$4481,P532)</f>
        <v>1</v>
      </c>
      <c r="R532" s="33">
        <f>IF(Q532=1,SUMIFS(Demand!$E$2:$E$4481,Demand!$A$2:$A$4481,B532,Demand!$B$2:$B$4481,O532,Demand!$C$2:$C$4481,P532),"")</f>
        <v>36</v>
      </c>
      <c r="S532" s="33">
        <f>INDEX(Stores!$G$2:$G$21,MATCH(B532,Stores!$A$2:$A$21,0))</f>
        <v>41</v>
      </c>
      <c r="T532" s="34">
        <f>IF(R532="","",R532/S532)</f>
        <v>0.878048780487805</v>
      </c>
      <c r="U532" s="34">
        <f>IF(E532=1,T532,"")</f>
        <v>0.878048780487805</v>
      </c>
      <c r="V532" s="34">
        <f>IF(AND(E532=1,L532=0),T532,"")</f>
        <v>0.878048780487805</v>
      </c>
      <c r="W532" s="33">
        <f>IF(U532="","",IF(U532&lt;=Breakdowns!$C$5,1,IF(U532&lt;=Breakdowns!$C$6,2,IF(U532&lt;=Breakdowns!$C$7,3,4))))</f>
        <v>2</v>
      </c>
      <c r="X532" s="33">
        <f>IF(V532="","",IF(V532&lt;=Breakdowns!$D$5,1,IF(V532&lt;=Breakdowns!$D$6,2,IF(V532&lt;=Breakdowns!$D$7,3,4))))</f>
        <v>2</v>
      </c>
      <c r="Y532" s="34">
        <f>INDEX(Stores!$F$2:$F$21,MATCH(B532,Stores!$A$2:$A$21,0))</f>
        <v>3.84</v>
      </c>
      <c r="Z532" s="33">
        <f>IF(Y532&gt;Store_Summary!$M$2,1,0)</f>
        <v>0</v>
      </c>
      <c r="AA532" s="33">
        <f>INDEX(Stores!$C$2:$C$21,MATCH(B532,Stores!$A$2:$A$21,0))</f>
        <v>426</v>
      </c>
      <c r="AB532" s="33">
        <f>IF(AA532&lt;180,1,0)</f>
        <v>0</v>
      </c>
      <c r="AC532" s="32" t="str">
        <f>IF(Orders!D529="","",INDEX(Riders!$C$2:$C$81,MATCH(Orders!D529,Riders!$A$2:$A$81,0)))</f>
        <v>Petrol scooter</v>
      </c>
      <c r="AD532" s="33">
        <f>IF(Orders!D529="","",INDEX(Riders!$D$2:$D$81,MATCH(Orders!D529,Riders!$A$2:$A$81,0)))</f>
        <v>2</v>
      </c>
      <c r="AE532" s="33">
        <f>IF(Orders!D529="","",IF(INDEX(Riders!$B$2:$B$81,MATCH(Orders!D529,Riders!$A$2:$A$81,0))=B532,1,0))</f>
        <v>0</v>
      </c>
      <c r="AF532" s="34">
        <f>IF(E532=1,Orders!L529,"")</f>
        <v>2.1</v>
      </c>
      <c r="AG532" s="34">
        <f>IF(E532=1,Orders!P529,"")</f>
        <v>9.7</v>
      </c>
      <c r="AH532" s="34">
        <f>IF(E532=1,Orders!Q529,"")</f>
        <v>9.3</v>
      </c>
      <c r="AI532" s="34">
        <f>IF(E532=1,Orders!M529,"")</f>
        <v>3.3</v>
      </c>
      <c r="AJ532" s="34">
        <f>IF(E532=1,Orders!N529,"")</f>
        <v>1.9</v>
      </c>
      <c r="AK532" s="34">
        <f>IF(E532=1,Orders!O529,"")</f>
        <v>4.1</v>
      </c>
      <c r="AL532" s="33">
        <f>IF(E532=1,IF(ROUND(ABS(AI532+AJ532+AK532-AH532),6)&lt;=0.1,1,0),"")</f>
        <v>1</v>
      </c>
      <c r="AM532" s="36">
        <f>IF(E532=1,AI532/AH532,"")</f>
        <v>0.354838709677419</v>
      </c>
      <c r="AN532" s="36">
        <f>IF(E532=1,AJ532/AH532,"")</f>
        <v>0.204301075268817</v>
      </c>
      <c r="AO532" s="36">
        <f>IF(E532=1,AK532/AH532,"")</f>
        <v>0.440860215053763</v>
      </c>
      <c r="AP532" s="34">
        <f>IF(E532=1,Orders!Y529,"")</f>
        <v>0.48</v>
      </c>
      <c r="AQ532" s="33">
        <f>IF(Orders!X529,1,0)</f>
        <v>0</v>
      </c>
      <c r="AR532" s="34" t="str">
        <f>IF(AND(E532=1,L532=1),AJ532,"")</f>
        <v/>
      </c>
      <c r="AS532" s="34">
        <f>IF(AND(E532=1,L532=0),AJ532,"")</f>
        <v>1.9</v>
      </c>
      <c r="AT532" s="34" t="str">
        <f>IF(AND(E532=1,L532=1),AI532,"")</f>
        <v/>
      </c>
      <c r="AU532" s="34">
        <f>IF(AND(E532=1,L532=0),AI532,"")</f>
        <v>3.3</v>
      </c>
      <c r="AV532" s="34" t="str">
        <f>IF(AND(E532=1,L532=1),AG532,"")</f>
        <v/>
      </c>
      <c r="AW532" s="34">
        <f>IF(AND(E532=1,L532=0),AG532,"")</f>
        <v>9.7</v>
      </c>
      <c r="AX532" s="34" t="str">
        <f>IF(AND(E532=1,L532=1),AH532,"")</f>
        <v/>
      </c>
      <c r="AY532" s="34">
        <f>IF(AND(E532=1,L532=0),AH532,"")</f>
        <v>9.3</v>
      </c>
      <c r="AZ532" s="34" t="str">
        <f>IF(G532=1,F532,"")</f>
        <v/>
      </c>
      <c r="BA532" s="34" t="str">
        <f>IF(AND(G532=1,L532=1),F532,"")</f>
        <v/>
      </c>
      <c r="BB532" s="34" t="str">
        <f>IF(AND(G532=1,L532=0),F532,"")</f>
        <v/>
      </c>
      <c r="BC532" s="33">
        <f>IF(E532=1,IF(Orders!R529&gt;3,1,0),"")</f>
        <v>0</v>
      </c>
      <c r="BD532" s="33">
        <f>IF(E532=1,IF(Orders!R529&gt;7,1,0),"")</f>
        <v>0</v>
      </c>
      <c r="BE532" s="32" t="str">
        <f>IF(E532=1,IF(Orders!L529&lt;=1.5,"Up to 1.5 km",IF(Orders!L529&lt;=3,"1.5–3 km","Over 3 km")),"")</f>
        <v>1.5–3 km</v>
      </c>
      <c r="BF532" s="33">
        <f>IF(E532=1,IF(ABS((Orders!G529-Orders!F529)*1440-Orders!R529)&lt;0.06,1,0),"")</f>
        <v>1</v>
      </c>
      <c r="BG532" s="33">
        <f>IF(ABS((Orders!F529-Orders!E529)*1440-Orders!P529)&lt;0.06,1,0)</f>
        <v>1</v>
      </c>
      <c r="BH532" s="33">
        <f>IF(E532=1,IF(IF(Orders!S529,1,0)=1-G532,1,0),"")</f>
        <v>1</v>
      </c>
      <c r="BI532" s="32" t="str">
        <f>INDEX(Stores!$B$2:$B$21,MATCH(B532,Stores!$A$2:$A$21,0))</f>
        <v>Mumbai</v>
      </c>
    </row>
    <row r="533">
      <c r="A533" s="32" t="str">
        <f>Orders!A530</f>
        <v>O00529</v>
      </c>
      <c r="B533" s="32" t="str">
        <f>Orders!C530</f>
        <v>S004</v>
      </c>
      <c r="C533" s="32" t="str">
        <f>Orders!B530</f>
        <v>C0079</v>
      </c>
      <c r="D533" s="32" t="str">
        <f>Orders!H530</f>
        <v>Delivered</v>
      </c>
      <c r="E533" s="33">
        <f>IF(Orders!H530="Delivered",1,0)</f>
        <v>1</v>
      </c>
      <c r="F533" s="34">
        <f>IF(E533=1,Orders!R530,"")</f>
        <v>-0.2</v>
      </c>
      <c r="G533" s="33">
        <f>IF(E533=1,IF(Orders!R530&gt;0,1,0),"")</f>
        <v>0</v>
      </c>
      <c r="H533" s="33">
        <f>IF(E533=1,IF(Orders!R530&gt;5,1,0),"")</f>
        <v>0</v>
      </c>
      <c r="I533" s="32" t="str">
        <f>IF(E533=1,"",IF(OR(Orders!T530="Rider unavailable",Orders!T530="Item unavailable"),"Company-caused","Unresolved"))</f>
        <v/>
      </c>
      <c r="J533" s="33">
        <f>IF(OR(E533=1,I533="Company-caused"),1,0)</f>
        <v>1</v>
      </c>
      <c r="K533" s="32" t="str">
        <f>IF(E533=0,IF(I533="Company-caused",IF(Orders!T530="Rider unavailable","C1 Rider unavailable","C2 Item unavailable"),"Outside root: unresolved"),IF(G533=0,"A On time",IF(H533=1,IF(L533=1,"B2a Severe, peak","B2b Severe, off-peak"),IF(L533=1,"B1a Slight, peak","B1b Slight, off-peak"))))</f>
        <v>A On time</v>
      </c>
      <c r="L533" s="33">
        <f>IF(AND(Orders!U530&gt;=19,Orders!U530&lt;22),1,0)</f>
        <v>1</v>
      </c>
      <c r="M533" s="33">
        <f>IF(L533=IF(Orders!V530,1,0),1,0)</f>
        <v>1</v>
      </c>
      <c r="N533" s="32" t="str">
        <f>IF(Orders!W530="","None",Orders!W530)</f>
        <v>None</v>
      </c>
      <c r="O533" s="35">
        <f>INT(Orders!E530)</f>
        <v>46275.0</v>
      </c>
      <c r="P533" s="33">
        <f>Orders!U530</f>
        <v>19</v>
      </c>
      <c r="Q533" s="33">
        <f>COUNTIFS(Demand!$A$2:$A$4481,B533,Demand!$B$2:$B$4481,O533,Demand!$C$2:$C$4481,P533)</f>
        <v>1</v>
      </c>
      <c r="R533" s="33">
        <f>IF(Q533=1,SUMIFS(Demand!$E$2:$E$4481,Demand!$A$2:$A$4481,B533,Demand!$B$2:$B$4481,O533,Demand!$C$2:$C$4481,P533),"")</f>
        <v>66</v>
      </c>
      <c r="S533" s="33">
        <f>INDEX(Stores!$G$2:$G$21,MATCH(B533,Stores!$A$2:$A$21,0))</f>
        <v>42</v>
      </c>
      <c r="T533" s="34">
        <f>IF(R533="","",R533/S533)</f>
        <v>1.57142857142857</v>
      </c>
      <c r="U533" s="34">
        <f>IF(E533=1,T533,"")</f>
        <v>1.57142857142857</v>
      </c>
      <c r="V533" s="34" t="str">
        <f>IF(AND(E533=1,L533=0),T533,"")</f>
        <v/>
      </c>
      <c r="W533" s="33">
        <f>IF(U533="","",IF(U533&lt;=Breakdowns!$C$5,1,IF(U533&lt;=Breakdowns!$C$6,2,IF(U533&lt;=Breakdowns!$C$7,3,4))))</f>
        <v>4</v>
      </c>
      <c r="X533" s="33" t="str">
        <f>IF(V533="","",IF(V533&lt;=Breakdowns!$D$5,1,IF(V533&lt;=Breakdowns!$D$6,2,IF(V533&lt;=Breakdowns!$D$7,3,4))))</f>
        <v/>
      </c>
      <c r="Y533" s="34">
        <f>INDEX(Stores!$F$2:$F$21,MATCH(B533,Stores!$A$2:$A$21,0))</f>
        <v>2.19</v>
      </c>
      <c r="Z533" s="33">
        <f>IF(Y533&gt;Store_Summary!$M$2,1,0)</f>
        <v>0</v>
      </c>
      <c r="AA533" s="33">
        <f>INDEX(Stores!$C$2:$C$21,MATCH(B533,Stores!$A$2:$A$21,0))</f>
        <v>850</v>
      </c>
      <c r="AB533" s="33">
        <f>IF(AA533&lt;180,1,0)</f>
        <v>0</v>
      </c>
      <c r="AC533" s="32" t="str">
        <f>IF(Orders!D530="","",INDEX(Riders!$C$2:$C$81,MATCH(Orders!D530,Riders!$A$2:$A$81,0)))</f>
        <v>Petrol scooter</v>
      </c>
      <c r="AD533" s="33">
        <f>IF(Orders!D530="","",INDEX(Riders!$D$2:$D$81,MATCH(Orders!D530,Riders!$A$2:$A$81,0)))</f>
        <v>48</v>
      </c>
      <c r="AE533" s="33">
        <f>IF(Orders!D530="","",IF(INDEX(Riders!$B$2:$B$81,MATCH(Orders!D530,Riders!$A$2:$A$81,0))=B533,1,0))</f>
        <v>0</v>
      </c>
      <c r="AF533" s="34">
        <f>IF(E533=1,Orders!L530,"")</f>
        <v>2.85</v>
      </c>
      <c r="AG533" s="34">
        <f>IF(E533=1,Orders!P530,"")</f>
        <v>8.7</v>
      </c>
      <c r="AH533" s="34">
        <f>IF(E533=1,Orders!Q530,"")</f>
        <v>8.5</v>
      </c>
      <c r="AI533" s="34">
        <f>IF(E533=1,Orders!M530,"")</f>
        <v>1.1</v>
      </c>
      <c r="AJ533" s="34">
        <f>IF(E533=1,Orders!N530,"")</f>
        <v>4.3</v>
      </c>
      <c r="AK533" s="34">
        <f>IF(E533=1,Orders!O530,"")</f>
        <v>3.1</v>
      </c>
      <c r="AL533" s="33">
        <f>IF(E533=1,IF(ROUND(ABS(AI533+AJ533+AK533-AH533),6)&lt;=0.1,1,0),"")</f>
        <v>1</v>
      </c>
      <c r="AM533" s="36">
        <f>IF(E533=1,AI533/AH533,"")</f>
        <v>0.129411764705882</v>
      </c>
      <c r="AN533" s="36">
        <f>IF(E533=1,AJ533/AH533,"")</f>
        <v>0.505882352941176</v>
      </c>
      <c r="AO533" s="36">
        <f>IF(E533=1,AK533/AH533,"")</f>
        <v>0.364705882352941</v>
      </c>
      <c r="AP533" s="34">
        <f>IF(E533=1,Orders!Y530,"")</f>
        <v>0.86</v>
      </c>
      <c r="AQ533" s="33">
        <f>IF(Orders!X530,1,0)</f>
        <v>0</v>
      </c>
      <c r="AR533" s="34">
        <f>IF(AND(E533=1,L533=1),AJ533,"")</f>
        <v>4.3</v>
      </c>
      <c r="AS533" s="34" t="str">
        <f>IF(AND(E533=1,L533=0),AJ533,"")</f>
        <v/>
      </c>
      <c r="AT533" s="34">
        <f>IF(AND(E533=1,L533=1),AI533,"")</f>
        <v>1.1</v>
      </c>
      <c r="AU533" s="34" t="str">
        <f>IF(AND(E533=1,L533=0),AI533,"")</f>
        <v/>
      </c>
      <c r="AV533" s="34">
        <f>IF(AND(E533=1,L533=1),AG533,"")</f>
        <v>8.7</v>
      </c>
      <c r="AW533" s="34" t="str">
        <f>IF(AND(E533=1,L533=0),AG533,"")</f>
        <v/>
      </c>
      <c r="AX533" s="34">
        <f>IF(AND(E533=1,L533=1),AH533,"")</f>
        <v>8.5</v>
      </c>
      <c r="AY533" s="34" t="str">
        <f>IF(AND(E533=1,L533=0),AH533,"")</f>
        <v/>
      </c>
      <c r="AZ533" s="34" t="str">
        <f>IF(G533=1,F533,"")</f>
        <v/>
      </c>
      <c r="BA533" s="34" t="str">
        <f>IF(AND(G533=1,L533=1),F533,"")</f>
        <v/>
      </c>
      <c r="BB533" s="34" t="str">
        <f>IF(AND(G533=1,L533=0),F533,"")</f>
        <v/>
      </c>
      <c r="BC533" s="33">
        <f>IF(E533=1,IF(Orders!R530&gt;3,1,0),"")</f>
        <v>0</v>
      </c>
      <c r="BD533" s="33">
        <f>IF(E533=1,IF(Orders!R530&gt;7,1,0),"")</f>
        <v>0</v>
      </c>
      <c r="BE533" s="32" t="str">
        <f>IF(E533=1,IF(Orders!L530&lt;=1.5,"Up to 1.5 km",IF(Orders!L530&lt;=3,"1.5–3 km","Over 3 km")),"")</f>
        <v>1.5–3 km</v>
      </c>
      <c r="BF533" s="33">
        <f>IF(E533=1,IF(ABS((Orders!G530-Orders!F530)*1440-Orders!R530)&lt;0.06,1,0),"")</f>
        <v>1</v>
      </c>
      <c r="BG533" s="33">
        <f>IF(ABS((Orders!F530-Orders!E530)*1440-Orders!P530)&lt;0.06,1,0)</f>
        <v>1</v>
      </c>
      <c r="BH533" s="33">
        <f>IF(E533=1,IF(IF(Orders!S530,1,0)=1-G533,1,0),"")</f>
        <v>1</v>
      </c>
      <c r="BI533" s="32" t="str">
        <f>INDEX(Stores!$B$2:$B$21,MATCH(B533,Stores!$A$2:$A$21,0))</f>
        <v>Pune</v>
      </c>
    </row>
    <row r="534">
      <c r="A534" s="32" t="str">
        <f>Orders!A531</f>
        <v>O00530</v>
      </c>
      <c r="B534" s="32" t="str">
        <f>Orders!C531</f>
        <v>S007</v>
      </c>
      <c r="C534" s="32" t="str">
        <f>Orders!B531</f>
        <v>C0157</v>
      </c>
      <c r="D534" s="32" t="str">
        <f>Orders!H531</f>
        <v>Delivered</v>
      </c>
      <c r="E534" s="33">
        <f>IF(Orders!H531="Delivered",1,0)</f>
        <v>1</v>
      </c>
      <c r="F534" s="34">
        <f>IF(E534=1,Orders!R531,"")</f>
        <v>-0.3</v>
      </c>
      <c r="G534" s="33">
        <f>IF(E534=1,IF(Orders!R531&gt;0,1,0),"")</f>
        <v>0</v>
      </c>
      <c r="H534" s="33">
        <f>IF(E534=1,IF(Orders!R531&gt;5,1,0),"")</f>
        <v>0</v>
      </c>
      <c r="I534" s="32" t="str">
        <f>IF(E534=1,"",IF(OR(Orders!T531="Rider unavailable",Orders!T531="Item unavailable"),"Company-caused","Unresolved"))</f>
        <v/>
      </c>
      <c r="J534" s="33">
        <f>IF(OR(E534=1,I534="Company-caused"),1,0)</f>
        <v>1</v>
      </c>
      <c r="K534" s="32" t="str">
        <f>IF(E534=0,IF(I534="Company-caused",IF(Orders!T531="Rider unavailable","C1 Rider unavailable","C2 Item unavailable"),"Outside root: unresolved"),IF(G534=0,"A On time",IF(H534=1,IF(L534=1,"B2a Severe, peak","B2b Severe, off-peak"),IF(L534=1,"B1a Slight, peak","B1b Slight, off-peak"))))</f>
        <v>A On time</v>
      </c>
      <c r="L534" s="33">
        <f>IF(AND(Orders!U531&gt;=19,Orders!U531&lt;22),1,0)</f>
        <v>1</v>
      </c>
      <c r="M534" s="33">
        <f>IF(L534=IF(Orders!V531,1,0),1,0)</f>
        <v>1</v>
      </c>
      <c r="N534" s="32" t="str">
        <f>IF(Orders!W531="","None",Orders!W531)</f>
        <v>None</v>
      </c>
      <c r="O534" s="35">
        <f>INT(Orders!E531)</f>
        <v>46271.0</v>
      </c>
      <c r="P534" s="33">
        <f>Orders!U531</f>
        <v>20</v>
      </c>
      <c r="Q534" s="33">
        <f>COUNTIFS(Demand!$A$2:$A$4481,B534,Demand!$B$2:$B$4481,O534,Demand!$C$2:$C$4481,P534)</f>
        <v>1</v>
      </c>
      <c r="R534" s="33">
        <f>IF(Q534=1,SUMIFS(Demand!$E$2:$E$4481,Demand!$A$2:$A$4481,B534,Demand!$B$2:$B$4481,O534,Demand!$C$2:$C$4481,P534),"")</f>
        <v>65</v>
      </c>
      <c r="S534" s="33">
        <f>INDEX(Stores!$G$2:$G$21,MATCH(B534,Stores!$A$2:$A$21,0))</f>
        <v>37</v>
      </c>
      <c r="T534" s="34">
        <f>IF(R534="","",R534/S534)</f>
        <v>1.75675675675676</v>
      </c>
      <c r="U534" s="34">
        <f>IF(E534=1,T534,"")</f>
        <v>1.75675675675676</v>
      </c>
      <c r="V534" s="34" t="str">
        <f>IF(AND(E534=1,L534=0),T534,"")</f>
        <v/>
      </c>
      <c r="W534" s="33">
        <f>IF(U534="","",IF(U534&lt;=Breakdowns!$C$5,1,IF(U534&lt;=Breakdowns!$C$6,2,IF(U534&lt;=Breakdowns!$C$7,3,4))))</f>
        <v>4</v>
      </c>
      <c r="X534" s="33" t="str">
        <f>IF(V534="","",IF(V534&lt;=Breakdowns!$D$5,1,IF(V534&lt;=Breakdowns!$D$6,2,IF(V534&lt;=Breakdowns!$D$7,3,4))))</f>
        <v/>
      </c>
      <c r="Y534" s="34">
        <f>INDEX(Stores!$F$2:$F$21,MATCH(B534,Stores!$A$2:$A$21,0))</f>
        <v>4.05</v>
      </c>
      <c r="Z534" s="33">
        <f>IF(Y534&gt;Store_Summary!$M$2,1,0)</f>
        <v>0</v>
      </c>
      <c r="AA534" s="33">
        <f>INDEX(Stores!$C$2:$C$21,MATCH(B534,Stores!$A$2:$A$21,0))</f>
        <v>661</v>
      </c>
      <c r="AB534" s="33">
        <f>IF(AA534&lt;180,1,0)</f>
        <v>0</v>
      </c>
      <c r="AC534" s="32" t="str">
        <f>IF(Orders!D531="","",INDEX(Riders!$C$2:$C$81,MATCH(Orders!D531,Riders!$A$2:$A$81,0)))</f>
        <v>EV scooter</v>
      </c>
      <c r="AD534" s="33">
        <f>IF(Orders!D531="","",INDEX(Riders!$D$2:$D$81,MATCH(Orders!D531,Riders!$A$2:$A$81,0)))</f>
        <v>27</v>
      </c>
      <c r="AE534" s="33">
        <f>IF(Orders!D531="","",IF(INDEX(Riders!$B$2:$B$81,MATCH(Orders!D531,Riders!$A$2:$A$81,0))=B534,1,0))</f>
        <v>0</v>
      </c>
      <c r="AF534" s="34">
        <f>IF(E534=1,Orders!L531,"")</f>
        <v>3.21</v>
      </c>
      <c r="AG534" s="34">
        <f>IF(E534=1,Orders!P531,"")</f>
        <v>8.3</v>
      </c>
      <c r="AH534" s="34">
        <f>IF(E534=1,Orders!Q531,"")</f>
        <v>8</v>
      </c>
      <c r="AI534" s="34">
        <f>IF(E534=1,Orders!M531,"")</f>
        <v>1.6</v>
      </c>
      <c r="AJ534" s="34">
        <f>IF(E534=1,Orders!N531,"")</f>
        <v>3.2</v>
      </c>
      <c r="AK534" s="34">
        <f>IF(E534=1,Orders!O531,"")</f>
        <v>3.2</v>
      </c>
      <c r="AL534" s="33">
        <f>IF(E534=1,IF(ROUND(ABS(AI534+AJ534+AK534-AH534),6)&lt;=0.1,1,0),"")</f>
        <v>1</v>
      </c>
      <c r="AM534" s="36">
        <f>IF(E534=1,AI534/AH534,"")</f>
        <v>0.2</v>
      </c>
      <c r="AN534" s="36">
        <f>IF(E534=1,AJ534/AH534,"")</f>
        <v>0.4</v>
      </c>
      <c r="AO534" s="36">
        <f>IF(E534=1,AK534/AH534,"")</f>
        <v>0.4</v>
      </c>
      <c r="AP534" s="34">
        <f>IF(E534=1,Orders!Y531,"")</f>
        <v>0.76</v>
      </c>
      <c r="AQ534" s="33">
        <f>IF(Orders!X531,1,0)</f>
        <v>0</v>
      </c>
      <c r="AR534" s="34">
        <f>IF(AND(E534=1,L534=1),AJ534,"")</f>
        <v>3.2</v>
      </c>
      <c r="AS534" s="34" t="str">
        <f>IF(AND(E534=1,L534=0),AJ534,"")</f>
        <v/>
      </c>
      <c r="AT534" s="34">
        <f>IF(AND(E534=1,L534=1),AI534,"")</f>
        <v>1.6</v>
      </c>
      <c r="AU534" s="34" t="str">
        <f>IF(AND(E534=1,L534=0),AI534,"")</f>
        <v/>
      </c>
      <c r="AV534" s="34">
        <f>IF(AND(E534=1,L534=1),AG534,"")</f>
        <v>8.3</v>
      </c>
      <c r="AW534" s="34" t="str">
        <f>IF(AND(E534=1,L534=0),AG534,"")</f>
        <v/>
      </c>
      <c r="AX534" s="34">
        <f>IF(AND(E534=1,L534=1),AH534,"")</f>
        <v>8</v>
      </c>
      <c r="AY534" s="34" t="str">
        <f>IF(AND(E534=1,L534=0),AH534,"")</f>
        <v/>
      </c>
      <c r="AZ534" s="34" t="str">
        <f>IF(G534=1,F534,"")</f>
        <v/>
      </c>
      <c r="BA534" s="34" t="str">
        <f>IF(AND(G534=1,L534=1),F534,"")</f>
        <v/>
      </c>
      <c r="BB534" s="34" t="str">
        <f>IF(AND(G534=1,L534=0),F534,"")</f>
        <v/>
      </c>
      <c r="BC534" s="33">
        <f>IF(E534=1,IF(Orders!R531&gt;3,1,0),"")</f>
        <v>0</v>
      </c>
      <c r="BD534" s="33">
        <f>IF(E534=1,IF(Orders!R531&gt;7,1,0),"")</f>
        <v>0</v>
      </c>
      <c r="BE534" s="32" t="str">
        <f>IF(E534=1,IF(Orders!L531&lt;=1.5,"Up to 1.5 km",IF(Orders!L531&lt;=3,"1.5–3 km","Over 3 km")),"")</f>
        <v>Over 3 km</v>
      </c>
      <c r="BF534" s="33">
        <f>IF(E534=1,IF(ABS((Orders!G531-Orders!F531)*1440-Orders!R531)&lt;0.06,1,0),"")</f>
        <v>1</v>
      </c>
      <c r="BG534" s="33">
        <f>IF(ABS((Orders!F531-Orders!E531)*1440-Orders!P531)&lt;0.06,1,0)</f>
        <v>1</v>
      </c>
      <c r="BH534" s="33">
        <f>IF(E534=1,IF(IF(Orders!S531,1,0)=1-G534,1,0),"")</f>
        <v>1</v>
      </c>
      <c r="BI534" s="32" t="str">
        <f>INDEX(Stores!$B$2:$B$21,MATCH(B534,Stores!$A$2:$A$21,0))</f>
        <v>Hyderabad</v>
      </c>
    </row>
    <row r="535">
      <c r="A535" s="32" t="str">
        <f>Orders!A532</f>
        <v>O00531</v>
      </c>
      <c r="B535" s="32" t="str">
        <f>Orders!C532</f>
        <v>S010</v>
      </c>
      <c r="C535" s="32" t="str">
        <f>Orders!B532</f>
        <v>C0049</v>
      </c>
      <c r="D535" s="32" t="str">
        <f>Orders!H532</f>
        <v>Delivered</v>
      </c>
      <c r="E535" s="33">
        <f>IF(Orders!H532="Delivered",1,0)</f>
        <v>1</v>
      </c>
      <c r="F535" s="34">
        <f>IF(E535=1,Orders!R532,"")</f>
        <v>-0.8</v>
      </c>
      <c r="G535" s="33">
        <f>IF(E535=1,IF(Orders!R532&gt;0,1,0),"")</f>
        <v>0</v>
      </c>
      <c r="H535" s="33">
        <f>IF(E535=1,IF(Orders!R532&gt;5,1,0),"")</f>
        <v>0</v>
      </c>
      <c r="I535" s="32" t="str">
        <f>IF(E535=1,"",IF(OR(Orders!T532="Rider unavailable",Orders!T532="Item unavailable"),"Company-caused","Unresolved"))</f>
        <v/>
      </c>
      <c r="J535" s="33">
        <f>IF(OR(E535=1,I535="Company-caused"),1,0)</f>
        <v>1</v>
      </c>
      <c r="K535" s="32" t="str">
        <f>IF(E535=0,IF(I535="Company-caused",IF(Orders!T532="Rider unavailable","C1 Rider unavailable","C2 Item unavailable"),"Outside root: unresolved"),IF(G535=0,"A On time",IF(H535=1,IF(L535=1,"B2a Severe, peak","B2b Severe, off-peak"),IF(L535=1,"B1a Slight, peak","B1b Slight, off-peak"))))</f>
        <v>A On time</v>
      </c>
      <c r="L535" s="33">
        <f>IF(AND(Orders!U532&gt;=19,Orders!U532&lt;22),1,0)</f>
        <v>0</v>
      </c>
      <c r="M535" s="33">
        <f>IF(L535=IF(Orders!V532,1,0),1,0)</f>
        <v>1</v>
      </c>
      <c r="N535" s="32" t="str">
        <f>IF(Orders!W532="","None",Orders!W532)</f>
        <v>None</v>
      </c>
      <c r="O535" s="35">
        <f>INT(Orders!E532)</f>
        <v>46270.0</v>
      </c>
      <c r="P535" s="33">
        <f>Orders!U532</f>
        <v>14</v>
      </c>
      <c r="Q535" s="33">
        <f>COUNTIFS(Demand!$A$2:$A$4481,B535,Demand!$B$2:$B$4481,O535,Demand!$C$2:$C$4481,P535)</f>
        <v>1</v>
      </c>
      <c r="R535" s="33">
        <f>IF(Q535=1,SUMIFS(Demand!$E$2:$E$4481,Demand!$A$2:$A$4481,B535,Demand!$B$2:$B$4481,O535,Demand!$C$2:$C$4481,P535),"")</f>
        <v>13</v>
      </c>
      <c r="S535" s="33">
        <f>INDEX(Stores!$G$2:$G$21,MATCH(B535,Stores!$A$2:$A$21,0))</f>
        <v>22</v>
      </c>
      <c r="T535" s="34">
        <f>IF(R535="","",R535/S535)</f>
        <v>0.590909090909091</v>
      </c>
      <c r="U535" s="34">
        <f>IF(E535=1,T535,"")</f>
        <v>0.590909090909091</v>
      </c>
      <c r="V535" s="34">
        <f>IF(AND(E535=1,L535=0),T535,"")</f>
        <v>0.590909090909091</v>
      </c>
      <c r="W535" s="33">
        <f>IF(U535="","",IF(U535&lt;=Breakdowns!$C$5,1,IF(U535&lt;=Breakdowns!$C$6,2,IF(U535&lt;=Breakdowns!$C$7,3,4))))</f>
        <v>1</v>
      </c>
      <c r="X535" s="33">
        <f>IF(V535="","",IF(V535&lt;=Breakdowns!$D$5,1,IF(V535&lt;=Breakdowns!$D$6,2,IF(V535&lt;=Breakdowns!$D$7,3,4))))</f>
        <v>1</v>
      </c>
      <c r="Y535" s="34">
        <f>INDEX(Stores!$F$2:$F$21,MATCH(B535,Stores!$A$2:$A$21,0))</f>
        <v>5.61</v>
      </c>
      <c r="Z535" s="33">
        <f>IF(Y535&gt;Store_Summary!$M$2,1,0)</f>
        <v>1</v>
      </c>
      <c r="AA535" s="33">
        <f>INDEX(Stores!$C$2:$C$21,MATCH(B535,Stores!$A$2:$A$21,0))</f>
        <v>744</v>
      </c>
      <c r="AB535" s="33">
        <f>IF(AA535&lt;180,1,0)</f>
        <v>0</v>
      </c>
      <c r="AC535" s="32" t="str">
        <f>IF(Orders!D532="","",INDEX(Riders!$C$2:$C$81,MATCH(Orders!D532,Riders!$A$2:$A$81,0)))</f>
        <v>EV scooter</v>
      </c>
      <c r="AD535" s="33">
        <f>IF(Orders!D532="","",INDEX(Riders!$D$2:$D$81,MATCH(Orders!D532,Riders!$A$2:$A$81,0)))</f>
        <v>45</v>
      </c>
      <c r="AE535" s="33">
        <f>IF(Orders!D532="","",IF(INDEX(Riders!$B$2:$B$81,MATCH(Orders!D532,Riders!$A$2:$A$81,0))=B535,1,0))</f>
        <v>0</v>
      </c>
      <c r="AF535" s="34">
        <f>IF(E535=1,Orders!L532,"")</f>
        <v>2.69</v>
      </c>
      <c r="AG535" s="34">
        <f>IF(E535=1,Orders!P532,"")</f>
        <v>9.8</v>
      </c>
      <c r="AH535" s="34">
        <f>IF(E535=1,Orders!Q532,"")</f>
        <v>9</v>
      </c>
      <c r="AI535" s="34">
        <f>IF(E535=1,Orders!M532,"")</f>
        <v>2.9</v>
      </c>
      <c r="AJ535" s="34">
        <f>IF(E535=1,Orders!N532,"")</f>
        <v>2.7</v>
      </c>
      <c r="AK535" s="34">
        <f>IF(E535=1,Orders!O532,"")</f>
        <v>3.4</v>
      </c>
      <c r="AL535" s="33">
        <f>IF(E535=1,IF(ROUND(ABS(AI535+AJ535+AK535-AH535),6)&lt;=0.1,1,0),"")</f>
        <v>1</v>
      </c>
      <c r="AM535" s="36">
        <f>IF(E535=1,AI535/AH535,"")</f>
        <v>0.322222222222222</v>
      </c>
      <c r="AN535" s="36">
        <f>IF(E535=1,AJ535/AH535,"")</f>
        <v>0.3</v>
      </c>
      <c r="AO535" s="36">
        <f>IF(E535=1,AK535/AH535,"")</f>
        <v>0.377777777777778</v>
      </c>
      <c r="AP535" s="34">
        <f>IF(E535=1,Orders!Y532,"")</f>
        <v>0.27</v>
      </c>
      <c r="AQ535" s="33">
        <f>IF(Orders!X532,1,0)</f>
        <v>0</v>
      </c>
      <c r="AR535" s="34" t="str">
        <f>IF(AND(E535=1,L535=1),AJ535,"")</f>
        <v/>
      </c>
      <c r="AS535" s="34">
        <f>IF(AND(E535=1,L535=0),AJ535,"")</f>
        <v>2.7</v>
      </c>
      <c r="AT535" s="34" t="str">
        <f>IF(AND(E535=1,L535=1),AI535,"")</f>
        <v/>
      </c>
      <c r="AU535" s="34">
        <f>IF(AND(E535=1,L535=0),AI535,"")</f>
        <v>2.9</v>
      </c>
      <c r="AV535" s="34" t="str">
        <f>IF(AND(E535=1,L535=1),AG535,"")</f>
        <v/>
      </c>
      <c r="AW535" s="34">
        <f>IF(AND(E535=1,L535=0),AG535,"")</f>
        <v>9.8</v>
      </c>
      <c r="AX535" s="34" t="str">
        <f>IF(AND(E535=1,L535=1),AH535,"")</f>
        <v/>
      </c>
      <c r="AY535" s="34">
        <f>IF(AND(E535=1,L535=0),AH535,"")</f>
        <v>9</v>
      </c>
      <c r="AZ535" s="34" t="str">
        <f>IF(G535=1,F535,"")</f>
        <v/>
      </c>
      <c r="BA535" s="34" t="str">
        <f>IF(AND(G535=1,L535=1),F535,"")</f>
        <v/>
      </c>
      <c r="BB535" s="34" t="str">
        <f>IF(AND(G535=1,L535=0),F535,"")</f>
        <v/>
      </c>
      <c r="BC535" s="33">
        <f>IF(E535=1,IF(Orders!R532&gt;3,1,0),"")</f>
        <v>0</v>
      </c>
      <c r="BD535" s="33">
        <f>IF(E535=1,IF(Orders!R532&gt;7,1,0),"")</f>
        <v>0</v>
      </c>
      <c r="BE535" s="32" t="str">
        <f>IF(E535=1,IF(Orders!L532&lt;=1.5,"Up to 1.5 km",IF(Orders!L532&lt;=3,"1.5–3 km","Over 3 km")),"")</f>
        <v>1.5–3 km</v>
      </c>
      <c r="BF535" s="33">
        <f>IF(E535=1,IF(ABS((Orders!G532-Orders!F532)*1440-Orders!R532)&lt;0.06,1,0),"")</f>
        <v>1</v>
      </c>
      <c r="BG535" s="33">
        <f>IF(ABS((Orders!F532-Orders!E532)*1440-Orders!P532)&lt;0.06,1,0)</f>
        <v>1</v>
      </c>
      <c r="BH535" s="33">
        <f>IF(E535=1,IF(IF(Orders!S532,1,0)=1-G535,1,0),"")</f>
        <v>1</v>
      </c>
      <c r="BI535" s="32" t="str">
        <f>INDEX(Stores!$B$2:$B$21,MATCH(B535,Stores!$A$2:$A$21,0))</f>
        <v>Delhi</v>
      </c>
    </row>
    <row r="536">
      <c r="A536" s="32" t="str">
        <f>Orders!A533</f>
        <v>O00532</v>
      </c>
      <c r="B536" s="32" t="str">
        <f>Orders!C533</f>
        <v>S007</v>
      </c>
      <c r="C536" s="32" t="str">
        <f>Orders!B533</f>
        <v>C0214</v>
      </c>
      <c r="D536" s="32" t="str">
        <f>Orders!H533</f>
        <v>Delivered</v>
      </c>
      <c r="E536" s="33">
        <f>IF(Orders!H533="Delivered",1,0)</f>
        <v>1</v>
      </c>
      <c r="F536" s="34">
        <f>IF(E536=1,Orders!R533,"")</f>
        <v>-0.4</v>
      </c>
      <c r="G536" s="33">
        <f>IF(E536=1,IF(Orders!R533&gt;0,1,0),"")</f>
        <v>0</v>
      </c>
      <c r="H536" s="33">
        <f>IF(E536=1,IF(Orders!R533&gt;5,1,0),"")</f>
        <v>0</v>
      </c>
      <c r="I536" s="32" t="str">
        <f>IF(E536=1,"",IF(OR(Orders!T533="Rider unavailable",Orders!T533="Item unavailable"),"Company-caused","Unresolved"))</f>
        <v/>
      </c>
      <c r="J536" s="33">
        <f>IF(OR(E536=1,I536="Company-caused"),1,0)</f>
        <v>1</v>
      </c>
      <c r="K536" s="32" t="str">
        <f>IF(E536=0,IF(I536="Company-caused",IF(Orders!T533="Rider unavailable","C1 Rider unavailable","C2 Item unavailable"),"Outside root: unresolved"),IF(G536=0,"A On time",IF(H536=1,IF(L536=1,"B2a Severe, peak","B2b Severe, off-peak"),IF(L536=1,"B1a Slight, peak","B1b Slight, off-peak"))))</f>
        <v>A On time</v>
      </c>
      <c r="L536" s="33">
        <f>IF(AND(Orders!U533&gt;=19,Orders!U533&lt;22),1,0)</f>
        <v>1</v>
      </c>
      <c r="M536" s="33">
        <f>IF(L536=IF(Orders!V533,1,0),1,0)</f>
        <v>1</v>
      </c>
      <c r="N536" s="32" t="str">
        <f>IF(Orders!W533="","None",Orders!W533)</f>
        <v>None</v>
      </c>
      <c r="O536" s="35">
        <f>INT(Orders!E533)</f>
        <v>46273.0</v>
      </c>
      <c r="P536" s="33">
        <f>Orders!U533</f>
        <v>20</v>
      </c>
      <c r="Q536" s="33">
        <f>COUNTIFS(Demand!$A$2:$A$4481,B536,Demand!$B$2:$B$4481,O536,Demand!$C$2:$C$4481,P536)</f>
        <v>1</v>
      </c>
      <c r="R536" s="33">
        <f>IF(Q536=1,SUMIFS(Demand!$E$2:$E$4481,Demand!$A$2:$A$4481,B536,Demand!$B$2:$B$4481,O536,Demand!$C$2:$C$4481,P536),"")</f>
        <v>42</v>
      </c>
      <c r="S536" s="33">
        <f>INDEX(Stores!$G$2:$G$21,MATCH(B536,Stores!$A$2:$A$21,0))</f>
        <v>37</v>
      </c>
      <c r="T536" s="34">
        <f>IF(R536="","",R536/S536)</f>
        <v>1.13513513513514</v>
      </c>
      <c r="U536" s="34">
        <f>IF(E536=1,T536,"")</f>
        <v>1.13513513513514</v>
      </c>
      <c r="V536" s="34" t="str">
        <f>IF(AND(E536=1,L536=0),T536,"")</f>
        <v/>
      </c>
      <c r="W536" s="33">
        <f>IF(U536="","",IF(U536&lt;=Breakdowns!$C$5,1,IF(U536&lt;=Breakdowns!$C$6,2,IF(U536&lt;=Breakdowns!$C$7,3,4))))</f>
        <v>3</v>
      </c>
      <c r="X536" s="33" t="str">
        <f>IF(V536="","",IF(V536&lt;=Breakdowns!$D$5,1,IF(V536&lt;=Breakdowns!$D$6,2,IF(V536&lt;=Breakdowns!$D$7,3,4))))</f>
        <v/>
      </c>
      <c r="Y536" s="34">
        <f>INDEX(Stores!$F$2:$F$21,MATCH(B536,Stores!$A$2:$A$21,0))</f>
        <v>4.05</v>
      </c>
      <c r="Z536" s="33">
        <f>IF(Y536&gt;Store_Summary!$M$2,1,0)</f>
        <v>0</v>
      </c>
      <c r="AA536" s="33">
        <f>INDEX(Stores!$C$2:$C$21,MATCH(B536,Stores!$A$2:$A$21,0))</f>
        <v>661</v>
      </c>
      <c r="AB536" s="33">
        <f>IF(AA536&lt;180,1,0)</f>
        <v>0</v>
      </c>
      <c r="AC536" s="32" t="str">
        <f>IF(Orders!D533="","",INDEX(Riders!$C$2:$C$81,MATCH(Orders!D533,Riders!$A$2:$A$81,0)))</f>
        <v>EV scooter</v>
      </c>
      <c r="AD536" s="33">
        <f>IF(Orders!D533="","",INDEX(Riders!$D$2:$D$81,MATCH(Orders!D533,Riders!$A$2:$A$81,0)))</f>
        <v>22</v>
      </c>
      <c r="AE536" s="33">
        <f>IF(Orders!D533="","",IF(INDEX(Riders!$B$2:$B$81,MATCH(Orders!D533,Riders!$A$2:$A$81,0))=B536,1,0))</f>
        <v>1</v>
      </c>
      <c r="AF536" s="34">
        <f>IF(E536=1,Orders!L533,"")</f>
        <v>0.93</v>
      </c>
      <c r="AG536" s="34">
        <f>IF(E536=1,Orders!P533,"")</f>
        <v>10.3</v>
      </c>
      <c r="AH536" s="34">
        <f>IF(E536=1,Orders!Q533,"")</f>
        <v>9.9</v>
      </c>
      <c r="AI536" s="34">
        <f>IF(E536=1,Orders!M533,"")</f>
        <v>4.1</v>
      </c>
      <c r="AJ536" s="34">
        <f>IF(E536=1,Orders!N533,"")</f>
        <v>2.3</v>
      </c>
      <c r="AK536" s="34">
        <f>IF(E536=1,Orders!O533,"")</f>
        <v>3.5</v>
      </c>
      <c r="AL536" s="33">
        <f>IF(E536=1,IF(ROUND(ABS(AI536+AJ536+AK536-AH536),6)&lt;=0.1,1,0),"")</f>
        <v>1</v>
      </c>
      <c r="AM536" s="36">
        <f>IF(E536=1,AI536/AH536,"")</f>
        <v>0.414141414141414</v>
      </c>
      <c r="AN536" s="36">
        <f>IF(E536=1,AJ536/AH536,"")</f>
        <v>0.232323232323232</v>
      </c>
      <c r="AO536" s="36">
        <f>IF(E536=1,AK536/AH536,"")</f>
        <v>0.353535353535354</v>
      </c>
      <c r="AP536" s="34">
        <f>IF(E536=1,Orders!Y533,"")</f>
        <v>0.68</v>
      </c>
      <c r="AQ536" s="33">
        <f>IF(Orders!X533,1,0)</f>
        <v>0</v>
      </c>
      <c r="AR536" s="34">
        <f>IF(AND(E536=1,L536=1),AJ536,"")</f>
        <v>2.3</v>
      </c>
      <c r="AS536" s="34" t="str">
        <f>IF(AND(E536=1,L536=0),AJ536,"")</f>
        <v/>
      </c>
      <c r="AT536" s="34">
        <f>IF(AND(E536=1,L536=1),AI536,"")</f>
        <v>4.1</v>
      </c>
      <c r="AU536" s="34" t="str">
        <f>IF(AND(E536=1,L536=0),AI536,"")</f>
        <v/>
      </c>
      <c r="AV536" s="34">
        <f>IF(AND(E536=1,L536=1),AG536,"")</f>
        <v>10.3</v>
      </c>
      <c r="AW536" s="34" t="str">
        <f>IF(AND(E536=1,L536=0),AG536,"")</f>
        <v/>
      </c>
      <c r="AX536" s="34">
        <f>IF(AND(E536=1,L536=1),AH536,"")</f>
        <v>9.9</v>
      </c>
      <c r="AY536" s="34" t="str">
        <f>IF(AND(E536=1,L536=0),AH536,"")</f>
        <v/>
      </c>
      <c r="AZ536" s="34" t="str">
        <f>IF(G536=1,F536,"")</f>
        <v/>
      </c>
      <c r="BA536" s="34" t="str">
        <f>IF(AND(G536=1,L536=1),F536,"")</f>
        <v/>
      </c>
      <c r="BB536" s="34" t="str">
        <f>IF(AND(G536=1,L536=0),F536,"")</f>
        <v/>
      </c>
      <c r="BC536" s="33">
        <f>IF(E536=1,IF(Orders!R533&gt;3,1,0),"")</f>
        <v>0</v>
      </c>
      <c r="BD536" s="33">
        <f>IF(E536=1,IF(Orders!R533&gt;7,1,0),"")</f>
        <v>0</v>
      </c>
      <c r="BE536" s="32" t="str">
        <f>IF(E536=1,IF(Orders!L533&lt;=1.5,"Up to 1.5 km",IF(Orders!L533&lt;=3,"1.5–3 km","Over 3 km")),"")</f>
        <v>Up to 1.5 km</v>
      </c>
      <c r="BF536" s="33">
        <f>IF(E536=1,IF(ABS((Orders!G533-Orders!F533)*1440-Orders!R533)&lt;0.06,1,0),"")</f>
        <v>1</v>
      </c>
      <c r="BG536" s="33">
        <f>IF(ABS((Orders!F533-Orders!E533)*1440-Orders!P533)&lt;0.06,1,0)</f>
        <v>1</v>
      </c>
      <c r="BH536" s="33">
        <f>IF(E536=1,IF(IF(Orders!S533,1,0)=1-G536,1,0),"")</f>
        <v>1</v>
      </c>
      <c r="BI536" s="32" t="str">
        <f>INDEX(Stores!$B$2:$B$21,MATCH(B536,Stores!$A$2:$A$21,0))</f>
        <v>Hyderabad</v>
      </c>
    </row>
    <row r="537">
      <c r="A537" s="32" t="str">
        <f>Orders!A534</f>
        <v>O00533</v>
      </c>
      <c r="B537" s="32" t="str">
        <f>Orders!C534</f>
        <v>S020</v>
      </c>
      <c r="C537" s="32" t="str">
        <f>Orders!B534</f>
        <v>C0087</v>
      </c>
      <c r="D537" s="32" t="str">
        <f>Orders!H534</f>
        <v>Delivered</v>
      </c>
      <c r="E537" s="33">
        <f>IF(Orders!H534="Delivered",1,0)</f>
        <v>1</v>
      </c>
      <c r="F537" s="34">
        <f>IF(E537=1,Orders!R534,"")</f>
        <v>11.5</v>
      </c>
      <c r="G537" s="33">
        <f>IF(E537=1,IF(Orders!R534&gt;0,1,0),"")</f>
        <v>1</v>
      </c>
      <c r="H537" s="33">
        <f>IF(E537=1,IF(Orders!R534&gt;5,1,0),"")</f>
        <v>1</v>
      </c>
      <c r="I537" s="32" t="str">
        <f>IF(E537=1,"",IF(OR(Orders!T534="Rider unavailable",Orders!T534="Item unavailable"),"Company-caused","Unresolved"))</f>
        <v/>
      </c>
      <c r="J537" s="33">
        <f>IF(OR(E537=1,I537="Company-caused"),1,0)</f>
        <v>1</v>
      </c>
      <c r="K537" s="32" t="str">
        <f>IF(E537=0,IF(I537="Company-caused",IF(Orders!T534="Rider unavailable","C1 Rider unavailable","C2 Item unavailable"),"Outside root: unresolved"),IF(G537=0,"A On time",IF(H537=1,IF(L537=1,"B2a Severe, peak","B2b Severe, off-peak"),IF(L537=1,"B1a Slight, peak","B1b Slight, off-peak"))))</f>
        <v>B2b Severe, off-peak</v>
      </c>
      <c r="L537" s="33">
        <f>IF(AND(Orders!U534&gt;=19,Orders!U534&lt;22),1,0)</f>
        <v>0</v>
      </c>
      <c r="M537" s="33">
        <f>IF(L537=IF(Orders!V534,1,0),1,0)</f>
        <v>1</v>
      </c>
      <c r="N537" s="32" t="str">
        <f>IF(Orders!W534="","None",Orders!W534)</f>
        <v>Heavy</v>
      </c>
      <c r="O537" s="35">
        <f>INT(Orders!E534)</f>
        <v>46275.0</v>
      </c>
      <c r="P537" s="33">
        <f>Orders!U534</f>
        <v>15</v>
      </c>
      <c r="Q537" s="33">
        <f>COUNTIFS(Demand!$A$2:$A$4481,B537,Demand!$B$2:$B$4481,O537,Demand!$C$2:$C$4481,P537)</f>
        <v>1</v>
      </c>
      <c r="R537" s="33">
        <f>IF(Q537=1,SUMIFS(Demand!$E$2:$E$4481,Demand!$A$2:$A$4481,B537,Demand!$B$2:$B$4481,O537,Demand!$C$2:$C$4481,P537),"")</f>
        <v>15</v>
      </c>
      <c r="S537" s="33">
        <f>INDEX(Stores!$G$2:$G$21,MATCH(B537,Stores!$A$2:$A$21,0))</f>
        <v>15</v>
      </c>
      <c r="T537" s="34">
        <f>IF(R537="","",R537/S537)</f>
        <v>1</v>
      </c>
      <c r="U537" s="34">
        <f>IF(E537=1,T537,"")</f>
        <v>1</v>
      </c>
      <c r="V537" s="34">
        <f>IF(AND(E537=1,L537=0),T537,"")</f>
        <v>1</v>
      </c>
      <c r="W537" s="33">
        <f>IF(U537="","",IF(U537&lt;=Breakdowns!$C$5,1,IF(U537&lt;=Breakdowns!$C$6,2,IF(U537&lt;=Breakdowns!$C$7,3,4))))</f>
        <v>2</v>
      </c>
      <c r="X537" s="33">
        <f>IF(V537="","",IF(V537&lt;=Breakdowns!$D$5,1,IF(V537&lt;=Breakdowns!$D$6,2,IF(V537&lt;=Breakdowns!$D$7,3,4))))</f>
        <v>3</v>
      </c>
      <c r="Y537" s="34">
        <f>INDEX(Stores!$F$2:$F$21,MATCH(B537,Stores!$A$2:$A$21,0))</f>
        <v>5.74</v>
      </c>
      <c r="Z537" s="33">
        <f>IF(Y537&gt;Store_Summary!$M$2,1,0)</f>
        <v>1</v>
      </c>
      <c r="AA537" s="33">
        <f>INDEX(Stores!$C$2:$C$21,MATCH(B537,Stores!$A$2:$A$21,0))</f>
        <v>647</v>
      </c>
      <c r="AB537" s="33">
        <f>IF(AA537&lt;180,1,0)</f>
        <v>0</v>
      </c>
      <c r="AC537" s="32" t="str">
        <f>IF(Orders!D534="","",INDEX(Riders!$C$2:$C$81,MATCH(Orders!D534,Riders!$A$2:$A$81,0)))</f>
        <v>EV scooter</v>
      </c>
      <c r="AD537" s="33">
        <f>IF(Orders!D534="","",INDEX(Riders!$D$2:$D$81,MATCH(Orders!D534,Riders!$A$2:$A$81,0)))</f>
        <v>45</v>
      </c>
      <c r="AE537" s="33">
        <f>IF(Orders!D534="","",IF(INDEX(Riders!$B$2:$B$81,MATCH(Orders!D534,Riders!$A$2:$A$81,0))=B537,1,0))</f>
        <v>0</v>
      </c>
      <c r="AF537" s="34">
        <f>IF(E537=1,Orders!L534,"")</f>
        <v>3.74</v>
      </c>
      <c r="AG537" s="34">
        <f>IF(E537=1,Orders!P534,"")</f>
        <v>12.6</v>
      </c>
      <c r="AH537" s="34">
        <f>IF(E537=1,Orders!Q534,"")</f>
        <v>24.1</v>
      </c>
      <c r="AI537" s="34">
        <f>IF(E537=1,Orders!M534,"")</f>
        <v>6.7</v>
      </c>
      <c r="AJ537" s="34">
        <f>IF(E537=1,Orders!N534,"")</f>
        <v>5.5</v>
      </c>
      <c r="AK537" s="34">
        <f>IF(E537=1,Orders!O534,"")</f>
        <v>11.9</v>
      </c>
      <c r="AL537" s="33">
        <f>IF(E537=1,IF(ROUND(ABS(AI537+AJ537+AK537-AH537),6)&lt;=0.1,1,0),"")</f>
        <v>1</v>
      </c>
      <c r="AM537" s="36">
        <f>IF(E537=1,AI537/AH537,"")</f>
        <v>0.278008298755187</v>
      </c>
      <c r="AN537" s="36">
        <f>IF(E537=1,AJ537/AH537,"")</f>
        <v>0.228215767634855</v>
      </c>
      <c r="AO537" s="36">
        <f>IF(E537=1,AK537/AH537,"")</f>
        <v>0.493775933609959</v>
      </c>
      <c r="AP537" s="34">
        <f>IF(E537=1,Orders!Y534,"")</f>
        <v>0.34</v>
      </c>
      <c r="AQ537" s="33">
        <f>IF(Orders!X534,1,0)</f>
        <v>0</v>
      </c>
      <c r="AR537" s="34" t="str">
        <f>IF(AND(E537=1,L537=1),AJ537,"")</f>
        <v/>
      </c>
      <c r="AS537" s="34">
        <f>IF(AND(E537=1,L537=0),AJ537,"")</f>
        <v>5.5</v>
      </c>
      <c r="AT537" s="34" t="str">
        <f>IF(AND(E537=1,L537=1),AI537,"")</f>
        <v/>
      </c>
      <c r="AU537" s="34">
        <f>IF(AND(E537=1,L537=0),AI537,"")</f>
        <v>6.7</v>
      </c>
      <c r="AV537" s="34" t="str">
        <f>IF(AND(E537=1,L537=1),AG537,"")</f>
        <v/>
      </c>
      <c r="AW537" s="34">
        <f>IF(AND(E537=1,L537=0),AG537,"")</f>
        <v>12.6</v>
      </c>
      <c r="AX537" s="34" t="str">
        <f>IF(AND(E537=1,L537=1),AH537,"")</f>
        <v/>
      </c>
      <c r="AY537" s="34">
        <f>IF(AND(E537=1,L537=0),AH537,"")</f>
        <v>24.1</v>
      </c>
      <c r="AZ537" s="34">
        <f>IF(G537=1,F537,"")</f>
        <v>11.5</v>
      </c>
      <c r="BA537" s="34" t="str">
        <f>IF(AND(G537=1,L537=1),F537,"")</f>
        <v/>
      </c>
      <c r="BB537" s="34">
        <f>IF(AND(G537=1,L537=0),F537,"")</f>
        <v>11.5</v>
      </c>
      <c r="BC537" s="33">
        <f>IF(E537=1,IF(Orders!R534&gt;3,1,0),"")</f>
        <v>1</v>
      </c>
      <c r="BD537" s="33">
        <f>IF(E537=1,IF(Orders!R534&gt;7,1,0),"")</f>
        <v>1</v>
      </c>
      <c r="BE537" s="32" t="str">
        <f>IF(E537=1,IF(Orders!L534&lt;=1.5,"Up to 1.5 km",IF(Orders!L534&lt;=3,"1.5–3 km","Over 3 km")),"")</f>
        <v>Over 3 km</v>
      </c>
      <c r="BF537" s="33">
        <f>IF(E537=1,IF(ABS((Orders!G534-Orders!F534)*1440-Orders!R534)&lt;0.06,1,0),"")</f>
        <v>1</v>
      </c>
      <c r="BG537" s="33">
        <f>IF(ABS((Orders!F534-Orders!E534)*1440-Orders!P534)&lt;0.06,1,0)</f>
        <v>1</v>
      </c>
      <c r="BH537" s="33">
        <f>IF(E537=1,IF(IF(Orders!S534,1,0)=1-G537,1,0),"")</f>
        <v>1</v>
      </c>
      <c r="BI537" s="32" t="str">
        <f>INDEX(Stores!$B$2:$B$21,MATCH(B537,Stores!$A$2:$A$21,0))</f>
        <v>Delhi</v>
      </c>
    </row>
    <row r="538">
      <c r="A538" s="32" t="str">
        <f>Orders!A535</f>
        <v>O00534</v>
      </c>
      <c r="B538" s="32" t="str">
        <f>Orders!C535</f>
        <v>S009</v>
      </c>
      <c r="C538" s="32" t="str">
        <f>Orders!B535</f>
        <v>C0202</v>
      </c>
      <c r="D538" s="32" t="str">
        <f>Orders!H535</f>
        <v>Delivered</v>
      </c>
      <c r="E538" s="33">
        <f>IF(Orders!H535="Delivered",1,0)</f>
        <v>1</v>
      </c>
      <c r="F538" s="34">
        <f>IF(E538=1,Orders!R535,"")</f>
        <v>7.8</v>
      </c>
      <c r="G538" s="33">
        <f>IF(E538=1,IF(Orders!R535&gt;0,1,0),"")</f>
        <v>1</v>
      </c>
      <c r="H538" s="33">
        <f>IF(E538=1,IF(Orders!R535&gt;5,1,0),"")</f>
        <v>1</v>
      </c>
      <c r="I538" s="32" t="str">
        <f>IF(E538=1,"",IF(OR(Orders!T535="Rider unavailable",Orders!T535="Item unavailable"),"Company-caused","Unresolved"))</f>
        <v/>
      </c>
      <c r="J538" s="33">
        <f>IF(OR(E538=1,I538="Company-caused"),1,0)</f>
        <v>1</v>
      </c>
      <c r="K538" s="32" t="str">
        <f>IF(E538=0,IF(I538="Company-caused",IF(Orders!T535="Rider unavailable","C1 Rider unavailable","C2 Item unavailable"),"Outside root: unresolved"),IF(G538=0,"A On time",IF(H538=1,IF(L538=1,"B2a Severe, peak","B2b Severe, off-peak"),IF(L538=1,"B1a Slight, peak","B1b Slight, off-peak"))))</f>
        <v>B2a Severe, peak</v>
      </c>
      <c r="L538" s="33">
        <f>IF(AND(Orders!U535&gt;=19,Orders!U535&lt;22),1,0)</f>
        <v>1</v>
      </c>
      <c r="M538" s="33">
        <f>IF(L538=IF(Orders!V535,1,0),1,0)</f>
        <v>1</v>
      </c>
      <c r="N538" s="32" t="str">
        <f>IF(Orders!W535="","None",Orders!W535)</f>
        <v>None</v>
      </c>
      <c r="O538" s="35">
        <f>INT(Orders!E535)</f>
        <v>46269.0</v>
      </c>
      <c r="P538" s="33">
        <f>Orders!U535</f>
        <v>20</v>
      </c>
      <c r="Q538" s="33">
        <f>COUNTIFS(Demand!$A$2:$A$4481,B538,Demand!$B$2:$B$4481,O538,Demand!$C$2:$C$4481,P538)</f>
        <v>1</v>
      </c>
      <c r="R538" s="33">
        <f>IF(Q538=1,SUMIFS(Demand!$E$2:$E$4481,Demand!$A$2:$A$4481,B538,Demand!$B$2:$B$4481,O538,Demand!$C$2:$C$4481,P538),"")</f>
        <v>50</v>
      </c>
      <c r="S538" s="33">
        <f>INDEX(Stores!$G$2:$G$21,MATCH(B538,Stores!$A$2:$A$21,0))</f>
        <v>29</v>
      </c>
      <c r="T538" s="34">
        <f>IF(R538="","",R538/S538)</f>
        <v>1.72413793103448</v>
      </c>
      <c r="U538" s="34">
        <f>IF(E538=1,T538,"")</f>
        <v>1.72413793103448</v>
      </c>
      <c r="V538" s="34" t="str">
        <f>IF(AND(E538=1,L538=0),T538,"")</f>
        <v/>
      </c>
      <c r="W538" s="33">
        <f>IF(U538="","",IF(U538&lt;=Breakdowns!$C$5,1,IF(U538&lt;=Breakdowns!$C$6,2,IF(U538&lt;=Breakdowns!$C$7,3,4))))</f>
        <v>4</v>
      </c>
      <c r="X538" s="33" t="str">
        <f>IF(V538="","",IF(V538&lt;=Breakdowns!$D$5,1,IF(V538&lt;=Breakdowns!$D$6,2,IF(V538&lt;=Breakdowns!$D$7,3,4))))</f>
        <v/>
      </c>
      <c r="Y538" s="34">
        <f>INDEX(Stores!$F$2:$F$21,MATCH(B538,Stores!$A$2:$A$21,0))</f>
        <v>2.66</v>
      </c>
      <c r="Z538" s="33">
        <f>IF(Y538&gt;Store_Summary!$M$2,1,0)</f>
        <v>0</v>
      </c>
      <c r="AA538" s="33">
        <f>INDEX(Stores!$C$2:$C$21,MATCH(B538,Stores!$A$2:$A$21,0))</f>
        <v>645</v>
      </c>
      <c r="AB538" s="33">
        <f>IF(AA538&lt;180,1,0)</f>
        <v>0</v>
      </c>
      <c r="AC538" s="32" t="str">
        <f>IF(Orders!D535="","",INDEX(Riders!$C$2:$C$81,MATCH(Orders!D535,Riders!$A$2:$A$81,0)))</f>
        <v>EV scooter</v>
      </c>
      <c r="AD538" s="33">
        <f>IF(Orders!D535="","",INDEX(Riders!$D$2:$D$81,MATCH(Orders!D535,Riders!$A$2:$A$81,0)))</f>
        <v>9</v>
      </c>
      <c r="AE538" s="33">
        <f>IF(Orders!D535="","",IF(INDEX(Riders!$B$2:$B$81,MATCH(Orders!D535,Riders!$A$2:$A$81,0))=B538,1,0))</f>
        <v>0</v>
      </c>
      <c r="AF538" s="34">
        <f>IF(E538=1,Orders!L535,"")</f>
        <v>1.58</v>
      </c>
      <c r="AG538" s="34">
        <f>IF(E538=1,Orders!P535,"")</f>
        <v>9.2</v>
      </c>
      <c r="AH538" s="34">
        <f>IF(E538=1,Orders!Q535,"")</f>
        <v>17</v>
      </c>
      <c r="AI538" s="34">
        <f>IF(E538=1,Orders!M535,"")</f>
        <v>4.3</v>
      </c>
      <c r="AJ538" s="34">
        <f>IF(E538=1,Orders!N535,"")</f>
        <v>7.6</v>
      </c>
      <c r="AK538" s="34">
        <f>IF(E538=1,Orders!O535,"")</f>
        <v>5.1</v>
      </c>
      <c r="AL538" s="33">
        <f>IF(E538=1,IF(ROUND(ABS(AI538+AJ538+AK538-AH538),6)&lt;=0.1,1,0),"")</f>
        <v>1</v>
      </c>
      <c r="AM538" s="36">
        <f>IF(E538=1,AI538/AH538,"")</f>
        <v>0.252941176470588</v>
      </c>
      <c r="AN538" s="36">
        <f>IF(E538=1,AJ538/AH538,"")</f>
        <v>0.447058823529412</v>
      </c>
      <c r="AO538" s="36">
        <f>IF(E538=1,AK538/AH538,"")</f>
        <v>0.3</v>
      </c>
      <c r="AP538" s="34">
        <f>IF(E538=1,Orders!Y535,"")</f>
        <v>0.54</v>
      </c>
      <c r="AQ538" s="33">
        <f>IF(Orders!X535,1,0)</f>
        <v>0</v>
      </c>
      <c r="AR538" s="34">
        <f>IF(AND(E538=1,L538=1),AJ538,"")</f>
        <v>7.6</v>
      </c>
      <c r="AS538" s="34" t="str">
        <f>IF(AND(E538=1,L538=0),AJ538,"")</f>
        <v/>
      </c>
      <c r="AT538" s="34">
        <f>IF(AND(E538=1,L538=1),AI538,"")</f>
        <v>4.3</v>
      </c>
      <c r="AU538" s="34" t="str">
        <f>IF(AND(E538=1,L538=0),AI538,"")</f>
        <v/>
      </c>
      <c r="AV538" s="34">
        <f>IF(AND(E538=1,L538=1),AG538,"")</f>
        <v>9.2</v>
      </c>
      <c r="AW538" s="34" t="str">
        <f>IF(AND(E538=1,L538=0),AG538,"")</f>
        <v/>
      </c>
      <c r="AX538" s="34">
        <f>IF(AND(E538=1,L538=1),AH538,"")</f>
        <v>17</v>
      </c>
      <c r="AY538" s="34" t="str">
        <f>IF(AND(E538=1,L538=0),AH538,"")</f>
        <v/>
      </c>
      <c r="AZ538" s="34">
        <f>IF(G538=1,F538,"")</f>
        <v>7.8</v>
      </c>
      <c r="BA538" s="34">
        <f>IF(AND(G538=1,L538=1),F538,"")</f>
        <v>7.8</v>
      </c>
      <c r="BB538" s="34" t="str">
        <f>IF(AND(G538=1,L538=0),F538,"")</f>
        <v/>
      </c>
      <c r="BC538" s="33">
        <f>IF(E538=1,IF(Orders!R535&gt;3,1,0),"")</f>
        <v>1</v>
      </c>
      <c r="BD538" s="33">
        <f>IF(E538=1,IF(Orders!R535&gt;7,1,0),"")</f>
        <v>1</v>
      </c>
      <c r="BE538" s="32" t="str">
        <f>IF(E538=1,IF(Orders!L535&lt;=1.5,"Up to 1.5 km",IF(Orders!L535&lt;=3,"1.5–3 km","Over 3 km")),"")</f>
        <v>1.5–3 km</v>
      </c>
      <c r="BF538" s="33">
        <f>IF(E538=1,IF(ABS((Orders!G535-Orders!F535)*1440-Orders!R535)&lt;0.06,1,0),"")</f>
        <v>1</v>
      </c>
      <c r="BG538" s="33">
        <f>IF(ABS((Orders!F535-Orders!E535)*1440-Orders!P535)&lt;0.06,1,0)</f>
        <v>1</v>
      </c>
      <c r="BH538" s="33">
        <f>IF(E538=1,IF(IF(Orders!S535,1,0)=1-G538,1,0),"")</f>
        <v>1</v>
      </c>
      <c r="BI538" s="32" t="str">
        <f>INDEX(Stores!$B$2:$B$21,MATCH(B538,Stores!$A$2:$A$21,0))</f>
        <v>Pune</v>
      </c>
    </row>
    <row r="539">
      <c r="A539" s="32" t="str">
        <f>Orders!A536</f>
        <v>O00535</v>
      </c>
      <c r="B539" s="32" t="str">
        <f>Orders!C536</f>
        <v>S005</v>
      </c>
      <c r="C539" s="32" t="str">
        <f>Orders!B536</f>
        <v>C0185</v>
      </c>
      <c r="D539" s="32" t="str">
        <f>Orders!H536</f>
        <v>Delivered</v>
      </c>
      <c r="E539" s="33">
        <f>IF(Orders!H536="Delivered",1,0)</f>
        <v>1</v>
      </c>
      <c r="F539" s="34">
        <f>IF(E539=1,Orders!R536,"")</f>
        <v>-0.6</v>
      </c>
      <c r="G539" s="33">
        <f>IF(E539=1,IF(Orders!R536&gt;0,1,0),"")</f>
        <v>0</v>
      </c>
      <c r="H539" s="33">
        <f>IF(E539=1,IF(Orders!R536&gt;5,1,0),"")</f>
        <v>0</v>
      </c>
      <c r="I539" s="32" t="str">
        <f>IF(E539=1,"",IF(OR(Orders!T536="Rider unavailable",Orders!T536="Item unavailable"),"Company-caused","Unresolved"))</f>
        <v/>
      </c>
      <c r="J539" s="33">
        <f>IF(OR(E539=1,I539="Company-caused"),1,0)</f>
        <v>1</v>
      </c>
      <c r="K539" s="32" t="str">
        <f>IF(E539=0,IF(I539="Company-caused",IF(Orders!T536="Rider unavailable","C1 Rider unavailable","C2 Item unavailable"),"Outside root: unresolved"),IF(G539=0,"A On time",IF(H539=1,IF(L539=1,"B2a Severe, peak","B2b Severe, off-peak"),IF(L539=1,"B1a Slight, peak","B1b Slight, off-peak"))))</f>
        <v>A On time</v>
      </c>
      <c r="L539" s="33">
        <f>IF(AND(Orders!U536&gt;=19,Orders!U536&lt;22),1,0)</f>
        <v>0</v>
      </c>
      <c r="M539" s="33">
        <f>IF(L539=IF(Orders!V536,1,0),1,0)</f>
        <v>1</v>
      </c>
      <c r="N539" s="32" t="str">
        <f>IF(Orders!W536="","None",Orders!W536)</f>
        <v>None</v>
      </c>
      <c r="O539" s="35">
        <f>INT(Orders!E536)</f>
        <v>46266.0</v>
      </c>
      <c r="P539" s="33">
        <f>Orders!U536</f>
        <v>8</v>
      </c>
      <c r="Q539" s="33">
        <f>COUNTIFS(Demand!$A$2:$A$4481,B539,Demand!$B$2:$B$4481,O539,Demand!$C$2:$C$4481,P539)</f>
        <v>1</v>
      </c>
      <c r="R539" s="33">
        <f>IF(Q539=1,SUMIFS(Demand!$E$2:$E$4481,Demand!$A$2:$A$4481,B539,Demand!$B$2:$B$4481,O539,Demand!$C$2:$C$4481,P539),"")</f>
        <v>14</v>
      </c>
      <c r="S539" s="33">
        <f>INDEX(Stores!$G$2:$G$21,MATCH(B539,Stores!$A$2:$A$21,0))</f>
        <v>14</v>
      </c>
      <c r="T539" s="34">
        <f>IF(R539="","",R539/S539)</f>
        <v>1</v>
      </c>
      <c r="U539" s="34">
        <f>IF(E539=1,T539,"")</f>
        <v>1</v>
      </c>
      <c r="V539" s="34">
        <f>IF(AND(E539=1,L539=0),T539,"")</f>
        <v>1</v>
      </c>
      <c r="W539" s="33">
        <f>IF(U539="","",IF(U539&lt;=Breakdowns!$C$5,1,IF(U539&lt;=Breakdowns!$C$6,2,IF(U539&lt;=Breakdowns!$C$7,3,4))))</f>
        <v>2</v>
      </c>
      <c r="X539" s="33">
        <f>IF(V539="","",IF(V539&lt;=Breakdowns!$D$5,1,IF(V539&lt;=Breakdowns!$D$6,2,IF(V539&lt;=Breakdowns!$D$7,3,4))))</f>
        <v>3</v>
      </c>
      <c r="Y539" s="34">
        <f>INDEX(Stores!$F$2:$F$21,MATCH(B539,Stores!$A$2:$A$21,0))</f>
        <v>4.89</v>
      </c>
      <c r="Z539" s="33">
        <f>IF(Y539&gt;Store_Summary!$M$2,1,0)</f>
        <v>0</v>
      </c>
      <c r="AA539" s="33">
        <f>INDEX(Stores!$C$2:$C$21,MATCH(B539,Stores!$A$2:$A$21,0))</f>
        <v>138</v>
      </c>
      <c r="AB539" s="33">
        <f>IF(AA539&lt;180,1,0)</f>
        <v>1</v>
      </c>
      <c r="AC539" s="32" t="str">
        <f>IF(Orders!D536="","",INDEX(Riders!$C$2:$C$81,MATCH(Orders!D536,Riders!$A$2:$A$81,0)))</f>
        <v>EV scooter</v>
      </c>
      <c r="AD539" s="33">
        <f>IF(Orders!D536="","",INDEX(Riders!$D$2:$D$81,MATCH(Orders!D536,Riders!$A$2:$A$81,0)))</f>
        <v>46</v>
      </c>
      <c r="AE539" s="33">
        <f>IF(Orders!D536="","",IF(INDEX(Riders!$B$2:$B$81,MATCH(Orders!D536,Riders!$A$2:$A$81,0))=B539,1,0))</f>
        <v>0</v>
      </c>
      <c r="AF539" s="34">
        <f>IF(E539=1,Orders!L536,"")</f>
        <v>1.2</v>
      </c>
      <c r="AG539" s="34">
        <f>IF(E539=1,Orders!P536,"")</f>
        <v>8.9</v>
      </c>
      <c r="AH539" s="34">
        <f>IF(E539=1,Orders!Q536,"")</f>
        <v>8.3</v>
      </c>
      <c r="AI539" s="34">
        <f>IF(E539=1,Orders!M536,"")</f>
        <v>3.5</v>
      </c>
      <c r="AJ539" s="34">
        <f>IF(E539=1,Orders!N536,"")</f>
        <v>2.6</v>
      </c>
      <c r="AK539" s="34">
        <f>IF(E539=1,Orders!O536,"")</f>
        <v>2.2</v>
      </c>
      <c r="AL539" s="33">
        <f>IF(E539=1,IF(ROUND(ABS(AI539+AJ539+AK539-AH539),6)&lt;=0.1,1,0),"")</f>
        <v>1</v>
      </c>
      <c r="AM539" s="36">
        <f>IF(E539=1,AI539/AH539,"")</f>
        <v>0.421686746987952</v>
      </c>
      <c r="AN539" s="36">
        <f>IF(E539=1,AJ539/AH539,"")</f>
        <v>0.313253012048193</v>
      </c>
      <c r="AO539" s="36">
        <f>IF(E539=1,AK539/AH539,"")</f>
        <v>0.265060240963855</v>
      </c>
      <c r="AP539" s="34">
        <f>IF(E539=1,Orders!Y536,"")</f>
        <v>0.32</v>
      </c>
      <c r="AQ539" s="33">
        <f>IF(Orders!X536,1,0)</f>
        <v>0</v>
      </c>
      <c r="AR539" s="34" t="str">
        <f>IF(AND(E539=1,L539=1),AJ539,"")</f>
        <v/>
      </c>
      <c r="AS539" s="34">
        <f>IF(AND(E539=1,L539=0),AJ539,"")</f>
        <v>2.6</v>
      </c>
      <c r="AT539" s="34" t="str">
        <f>IF(AND(E539=1,L539=1),AI539,"")</f>
        <v/>
      </c>
      <c r="AU539" s="34">
        <f>IF(AND(E539=1,L539=0),AI539,"")</f>
        <v>3.5</v>
      </c>
      <c r="AV539" s="34" t="str">
        <f>IF(AND(E539=1,L539=1),AG539,"")</f>
        <v/>
      </c>
      <c r="AW539" s="34">
        <f>IF(AND(E539=1,L539=0),AG539,"")</f>
        <v>8.9</v>
      </c>
      <c r="AX539" s="34" t="str">
        <f>IF(AND(E539=1,L539=1),AH539,"")</f>
        <v/>
      </c>
      <c r="AY539" s="34">
        <f>IF(AND(E539=1,L539=0),AH539,"")</f>
        <v>8.3</v>
      </c>
      <c r="AZ539" s="34" t="str">
        <f>IF(G539=1,F539,"")</f>
        <v/>
      </c>
      <c r="BA539" s="34" t="str">
        <f>IF(AND(G539=1,L539=1),F539,"")</f>
        <v/>
      </c>
      <c r="BB539" s="34" t="str">
        <f>IF(AND(G539=1,L539=0),F539,"")</f>
        <v/>
      </c>
      <c r="BC539" s="33">
        <f>IF(E539=1,IF(Orders!R536&gt;3,1,0),"")</f>
        <v>0</v>
      </c>
      <c r="BD539" s="33">
        <f>IF(E539=1,IF(Orders!R536&gt;7,1,0),"")</f>
        <v>0</v>
      </c>
      <c r="BE539" s="32" t="str">
        <f>IF(E539=1,IF(Orders!L536&lt;=1.5,"Up to 1.5 km",IF(Orders!L536&lt;=3,"1.5–3 km","Over 3 km")),"")</f>
        <v>Up to 1.5 km</v>
      </c>
      <c r="BF539" s="33">
        <f>IF(E539=1,IF(ABS((Orders!G536-Orders!F536)*1440-Orders!R536)&lt;0.06,1,0),"")</f>
        <v>1</v>
      </c>
      <c r="BG539" s="33">
        <f>IF(ABS((Orders!F536-Orders!E536)*1440-Orders!P536)&lt;0.06,1,0)</f>
        <v>1</v>
      </c>
      <c r="BH539" s="33">
        <f>IF(E539=1,IF(IF(Orders!S536,1,0)=1-G539,1,0),"")</f>
        <v>1</v>
      </c>
      <c r="BI539" s="32" t="str">
        <f>INDEX(Stores!$B$2:$B$21,MATCH(B539,Stores!$A$2:$A$21,0))</f>
        <v>Delhi</v>
      </c>
    </row>
    <row r="540">
      <c r="A540" s="32" t="str">
        <f>Orders!A537</f>
        <v>O00536</v>
      </c>
      <c r="B540" s="32" t="str">
        <f>Orders!C537</f>
        <v>S003</v>
      </c>
      <c r="C540" s="32" t="str">
        <f>Orders!B537</f>
        <v>C0241</v>
      </c>
      <c r="D540" s="32" t="str">
        <f>Orders!H537</f>
        <v>Delivered</v>
      </c>
      <c r="E540" s="33">
        <f>IF(Orders!H537="Delivered",1,0)</f>
        <v>1</v>
      </c>
      <c r="F540" s="34">
        <f>IF(E540=1,Orders!R537,"")</f>
        <v>-0.9</v>
      </c>
      <c r="G540" s="33">
        <f>IF(E540=1,IF(Orders!R537&gt;0,1,0),"")</f>
        <v>0</v>
      </c>
      <c r="H540" s="33">
        <f>IF(E540=1,IF(Orders!R537&gt;5,1,0),"")</f>
        <v>0</v>
      </c>
      <c r="I540" s="32" t="str">
        <f>IF(E540=1,"",IF(OR(Orders!T537="Rider unavailable",Orders!T537="Item unavailable"),"Company-caused","Unresolved"))</f>
        <v/>
      </c>
      <c r="J540" s="33">
        <f>IF(OR(E540=1,I540="Company-caused"),1,0)</f>
        <v>1</v>
      </c>
      <c r="K540" s="32" t="str">
        <f>IF(E540=0,IF(I540="Company-caused",IF(Orders!T537="Rider unavailable","C1 Rider unavailable","C2 Item unavailable"),"Outside root: unresolved"),IF(G540=0,"A On time",IF(H540=1,IF(L540=1,"B2a Severe, peak","B2b Severe, off-peak"),IF(L540=1,"B1a Slight, peak","B1b Slight, off-peak"))))</f>
        <v>A On time</v>
      </c>
      <c r="L540" s="33">
        <f>IF(AND(Orders!U537&gt;=19,Orders!U537&lt;22),1,0)</f>
        <v>0</v>
      </c>
      <c r="M540" s="33">
        <f>IF(L540=IF(Orders!V537,1,0),1,0)</f>
        <v>1</v>
      </c>
      <c r="N540" s="32" t="str">
        <f>IF(Orders!W537="","None",Orders!W537)</f>
        <v>None</v>
      </c>
      <c r="O540" s="35">
        <f>INT(Orders!E537)</f>
        <v>46269.0</v>
      </c>
      <c r="P540" s="33">
        <f>Orders!U537</f>
        <v>10</v>
      </c>
      <c r="Q540" s="33">
        <f>COUNTIFS(Demand!$A$2:$A$4481,B540,Demand!$B$2:$B$4481,O540,Demand!$C$2:$C$4481,P540)</f>
        <v>1</v>
      </c>
      <c r="R540" s="33">
        <f>IF(Q540=1,SUMIFS(Demand!$E$2:$E$4481,Demand!$A$2:$A$4481,B540,Demand!$B$2:$B$4481,O540,Demand!$C$2:$C$4481,P540),"")</f>
        <v>41</v>
      </c>
      <c r="S540" s="33">
        <f>INDEX(Stores!$G$2:$G$21,MATCH(B540,Stores!$A$2:$A$21,0))</f>
        <v>41</v>
      </c>
      <c r="T540" s="34">
        <f>IF(R540="","",R540/S540)</f>
        <v>1</v>
      </c>
      <c r="U540" s="34">
        <f>IF(E540=1,T540,"")</f>
        <v>1</v>
      </c>
      <c r="V540" s="34">
        <f>IF(AND(E540=1,L540=0),T540,"")</f>
        <v>1</v>
      </c>
      <c r="W540" s="33">
        <f>IF(U540="","",IF(U540&lt;=Breakdowns!$C$5,1,IF(U540&lt;=Breakdowns!$C$6,2,IF(U540&lt;=Breakdowns!$C$7,3,4))))</f>
        <v>2</v>
      </c>
      <c r="X540" s="33">
        <f>IF(V540="","",IF(V540&lt;=Breakdowns!$D$5,1,IF(V540&lt;=Breakdowns!$D$6,2,IF(V540&lt;=Breakdowns!$D$7,3,4))))</f>
        <v>3</v>
      </c>
      <c r="Y540" s="34">
        <f>INDEX(Stores!$F$2:$F$21,MATCH(B540,Stores!$A$2:$A$21,0))</f>
        <v>3.84</v>
      </c>
      <c r="Z540" s="33">
        <f>IF(Y540&gt;Store_Summary!$M$2,1,0)</f>
        <v>0</v>
      </c>
      <c r="AA540" s="33">
        <f>INDEX(Stores!$C$2:$C$21,MATCH(B540,Stores!$A$2:$A$21,0))</f>
        <v>426</v>
      </c>
      <c r="AB540" s="33">
        <f>IF(AA540&lt;180,1,0)</f>
        <v>0</v>
      </c>
      <c r="AC540" s="32" t="str">
        <f>IF(Orders!D537="","",INDEX(Riders!$C$2:$C$81,MATCH(Orders!D537,Riders!$A$2:$A$81,0)))</f>
        <v>EV scooter</v>
      </c>
      <c r="AD540" s="33">
        <f>IF(Orders!D537="","",INDEX(Riders!$D$2:$D$81,MATCH(Orders!D537,Riders!$A$2:$A$81,0)))</f>
        <v>4</v>
      </c>
      <c r="AE540" s="33">
        <f>IF(Orders!D537="","",IF(INDEX(Riders!$B$2:$B$81,MATCH(Orders!D537,Riders!$A$2:$A$81,0))=B540,1,0))</f>
        <v>0</v>
      </c>
      <c r="AF540" s="34">
        <f>IF(E540=1,Orders!L537,"")</f>
        <v>0.5</v>
      </c>
      <c r="AG540" s="34">
        <f>IF(E540=1,Orders!P537,"")</f>
        <v>10.7</v>
      </c>
      <c r="AH540" s="34">
        <f>IF(E540=1,Orders!Q537,"")</f>
        <v>9.8</v>
      </c>
      <c r="AI540" s="34">
        <f>IF(E540=1,Orders!M537,"")</f>
        <v>4.6</v>
      </c>
      <c r="AJ540" s="34">
        <f>IF(E540=1,Orders!N537,"")</f>
        <v>3.3</v>
      </c>
      <c r="AK540" s="34">
        <f>IF(E540=1,Orders!O537,"")</f>
        <v>2</v>
      </c>
      <c r="AL540" s="33">
        <f>IF(E540=1,IF(ROUND(ABS(AI540+AJ540+AK540-AH540),6)&lt;=0.1,1,0),"")</f>
        <v>1</v>
      </c>
      <c r="AM540" s="36">
        <f>IF(E540=1,AI540/AH540,"")</f>
        <v>0.469387755102041</v>
      </c>
      <c r="AN540" s="36">
        <f>IF(E540=1,AJ540/AH540,"")</f>
        <v>0.336734693877551</v>
      </c>
      <c r="AO540" s="36">
        <f>IF(E540=1,AK540/AH540,"")</f>
        <v>0.204081632653061</v>
      </c>
      <c r="AP540" s="34">
        <f>IF(E540=1,Orders!Y537,"")</f>
        <v>0</v>
      </c>
      <c r="AQ540" s="33">
        <f>IF(Orders!X537,1,0)</f>
        <v>0</v>
      </c>
      <c r="AR540" s="34" t="str">
        <f>IF(AND(E540=1,L540=1),AJ540,"")</f>
        <v/>
      </c>
      <c r="AS540" s="34">
        <f>IF(AND(E540=1,L540=0),AJ540,"")</f>
        <v>3.3</v>
      </c>
      <c r="AT540" s="34" t="str">
        <f>IF(AND(E540=1,L540=1),AI540,"")</f>
        <v/>
      </c>
      <c r="AU540" s="34">
        <f>IF(AND(E540=1,L540=0),AI540,"")</f>
        <v>4.6</v>
      </c>
      <c r="AV540" s="34" t="str">
        <f>IF(AND(E540=1,L540=1),AG540,"")</f>
        <v/>
      </c>
      <c r="AW540" s="34">
        <f>IF(AND(E540=1,L540=0),AG540,"")</f>
        <v>10.7</v>
      </c>
      <c r="AX540" s="34" t="str">
        <f>IF(AND(E540=1,L540=1),AH540,"")</f>
        <v/>
      </c>
      <c r="AY540" s="34">
        <f>IF(AND(E540=1,L540=0),AH540,"")</f>
        <v>9.8</v>
      </c>
      <c r="AZ540" s="34" t="str">
        <f>IF(G540=1,F540,"")</f>
        <v/>
      </c>
      <c r="BA540" s="34" t="str">
        <f>IF(AND(G540=1,L540=1),F540,"")</f>
        <v/>
      </c>
      <c r="BB540" s="34" t="str">
        <f>IF(AND(G540=1,L540=0),F540,"")</f>
        <v/>
      </c>
      <c r="BC540" s="33">
        <f>IF(E540=1,IF(Orders!R537&gt;3,1,0),"")</f>
        <v>0</v>
      </c>
      <c r="BD540" s="33">
        <f>IF(E540=1,IF(Orders!R537&gt;7,1,0),"")</f>
        <v>0</v>
      </c>
      <c r="BE540" s="32" t="str">
        <f>IF(E540=1,IF(Orders!L537&lt;=1.5,"Up to 1.5 km",IF(Orders!L537&lt;=3,"1.5–3 km","Over 3 km")),"")</f>
        <v>Up to 1.5 km</v>
      </c>
      <c r="BF540" s="33">
        <f>IF(E540=1,IF(ABS((Orders!G537-Orders!F537)*1440-Orders!R537)&lt;0.06,1,0),"")</f>
        <v>1</v>
      </c>
      <c r="BG540" s="33">
        <f>IF(ABS((Orders!F537-Orders!E537)*1440-Orders!P537)&lt;0.06,1,0)</f>
        <v>1</v>
      </c>
      <c r="BH540" s="33">
        <f>IF(E540=1,IF(IF(Orders!S537,1,0)=1-G540,1,0),"")</f>
        <v>1</v>
      </c>
      <c r="BI540" s="32" t="str">
        <f>INDEX(Stores!$B$2:$B$21,MATCH(B540,Stores!$A$2:$A$21,0))</f>
        <v>Mumbai</v>
      </c>
    </row>
    <row r="541">
      <c r="A541" s="32" t="str">
        <f>Orders!A538</f>
        <v>O00537</v>
      </c>
      <c r="B541" s="32" t="str">
        <f>Orders!C538</f>
        <v>S005</v>
      </c>
      <c r="C541" s="32" t="str">
        <f>Orders!B538</f>
        <v>C0084</v>
      </c>
      <c r="D541" s="32" t="str">
        <f>Orders!H538</f>
        <v>Delivered</v>
      </c>
      <c r="E541" s="33">
        <f>IF(Orders!H538="Delivered",1,0)</f>
        <v>1</v>
      </c>
      <c r="F541" s="34">
        <f>IF(E541=1,Orders!R538,"")</f>
        <v>-0.4</v>
      </c>
      <c r="G541" s="33">
        <f>IF(E541=1,IF(Orders!R538&gt;0,1,0),"")</f>
        <v>0</v>
      </c>
      <c r="H541" s="33">
        <f>IF(E541=1,IF(Orders!R538&gt;5,1,0),"")</f>
        <v>0</v>
      </c>
      <c r="I541" s="32" t="str">
        <f>IF(E541=1,"",IF(OR(Orders!T538="Rider unavailable",Orders!T538="Item unavailable"),"Company-caused","Unresolved"))</f>
        <v/>
      </c>
      <c r="J541" s="33">
        <f>IF(OR(E541=1,I541="Company-caused"),1,0)</f>
        <v>1</v>
      </c>
      <c r="K541" s="32" t="str">
        <f>IF(E541=0,IF(I541="Company-caused",IF(Orders!T538="Rider unavailable","C1 Rider unavailable","C2 Item unavailable"),"Outside root: unresolved"),IF(G541=0,"A On time",IF(H541=1,IF(L541=1,"B2a Severe, peak","B2b Severe, off-peak"),IF(L541=1,"B1a Slight, peak","B1b Slight, off-peak"))))</f>
        <v>A On time</v>
      </c>
      <c r="L541" s="33">
        <f>IF(AND(Orders!U538&gt;=19,Orders!U538&lt;22),1,0)</f>
        <v>0</v>
      </c>
      <c r="M541" s="33">
        <f>IF(L541=IF(Orders!V538,1,0),1,0)</f>
        <v>1</v>
      </c>
      <c r="N541" s="32" t="str">
        <f>IF(Orders!W538="","None",Orders!W538)</f>
        <v>None</v>
      </c>
      <c r="O541" s="35">
        <f>INT(Orders!E538)</f>
        <v>46279.0</v>
      </c>
      <c r="P541" s="33">
        <f>Orders!U538</f>
        <v>12</v>
      </c>
      <c r="Q541" s="33">
        <f>COUNTIFS(Demand!$A$2:$A$4481,B541,Demand!$B$2:$B$4481,O541,Demand!$C$2:$C$4481,P541)</f>
        <v>1</v>
      </c>
      <c r="R541" s="33">
        <f>IF(Q541=1,SUMIFS(Demand!$E$2:$E$4481,Demand!$A$2:$A$4481,B541,Demand!$B$2:$B$4481,O541,Demand!$C$2:$C$4481,P541),"")</f>
        <v>17</v>
      </c>
      <c r="S541" s="33">
        <f>INDEX(Stores!$G$2:$G$21,MATCH(B541,Stores!$A$2:$A$21,0))</f>
        <v>14</v>
      </c>
      <c r="T541" s="34">
        <f>IF(R541="","",R541/S541)</f>
        <v>1.21428571428571</v>
      </c>
      <c r="U541" s="34">
        <f>IF(E541=1,T541,"")</f>
        <v>1.21428571428571</v>
      </c>
      <c r="V541" s="34">
        <f>IF(AND(E541=1,L541=0),T541,"")</f>
        <v>1.21428571428571</v>
      </c>
      <c r="W541" s="33">
        <f>IF(U541="","",IF(U541&lt;=Breakdowns!$C$5,1,IF(U541&lt;=Breakdowns!$C$6,2,IF(U541&lt;=Breakdowns!$C$7,3,4))))</f>
        <v>3</v>
      </c>
      <c r="X541" s="33">
        <f>IF(V541="","",IF(V541&lt;=Breakdowns!$D$5,1,IF(V541&lt;=Breakdowns!$D$6,2,IF(V541&lt;=Breakdowns!$D$7,3,4))))</f>
        <v>4</v>
      </c>
      <c r="Y541" s="34">
        <f>INDEX(Stores!$F$2:$F$21,MATCH(B541,Stores!$A$2:$A$21,0))</f>
        <v>4.89</v>
      </c>
      <c r="Z541" s="33">
        <f>IF(Y541&gt;Store_Summary!$M$2,1,0)</f>
        <v>0</v>
      </c>
      <c r="AA541" s="33">
        <f>INDEX(Stores!$C$2:$C$21,MATCH(B541,Stores!$A$2:$A$21,0))</f>
        <v>138</v>
      </c>
      <c r="AB541" s="33">
        <f>IF(AA541&lt;180,1,0)</f>
        <v>1</v>
      </c>
      <c r="AC541" s="32" t="str">
        <f>IF(Orders!D538="","",INDEX(Riders!$C$2:$C$81,MATCH(Orders!D538,Riders!$A$2:$A$81,0)))</f>
        <v>Bicycle</v>
      </c>
      <c r="AD541" s="33">
        <f>IF(Orders!D538="","",INDEX(Riders!$D$2:$D$81,MATCH(Orders!D538,Riders!$A$2:$A$81,0)))</f>
        <v>44</v>
      </c>
      <c r="AE541" s="33">
        <f>IF(Orders!D538="","",IF(INDEX(Riders!$B$2:$B$81,MATCH(Orders!D538,Riders!$A$2:$A$81,0))=B541,1,0))</f>
        <v>0</v>
      </c>
      <c r="AF541" s="34">
        <f>IF(E541=1,Orders!L538,"")</f>
        <v>3.08</v>
      </c>
      <c r="AG541" s="34">
        <f>IF(E541=1,Orders!P538,"")</f>
        <v>10.9</v>
      </c>
      <c r="AH541" s="34">
        <f>IF(E541=1,Orders!Q538,"")</f>
        <v>10.5</v>
      </c>
      <c r="AI541" s="34">
        <f>IF(E541=1,Orders!M538,"")</f>
        <v>3.1</v>
      </c>
      <c r="AJ541" s="34">
        <f>IF(E541=1,Orders!N538,"")</f>
        <v>2.9</v>
      </c>
      <c r="AK541" s="34">
        <f>IF(E541=1,Orders!O538,"")</f>
        <v>4.5</v>
      </c>
      <c r="AL541" s="33">
        <f>IF(E541=1,IF(ROUND(ABS(AI541+AJ541+AK541-AH541),6)&lt;=0.1,1,0),"")</f>
        <v>1</v>
      </c>
      <c r="AM541" s="36">
        <f>IF(E541=1,AI541/AH541,"")</f>
        <v>0.295238095238095</v>
      </c>
      <c r="AN541" s="36">
        <f>IF(E541=1,AJ541/AH541,"")</f>
        <v>0.276190476190476</v>
      </c>
      <c r="AO541" s="36">
        <f>IF(E541=1,AK541/AH541,"")</f>
        <v>0.428571428571429</v>
      </c>
      <c r="AP541" s="34">
        <f>IF(E541=1,Orders!Y538,"")</f>
        <v>0.22</v>
      </c>
      <c r="AQ541" s="33">
        <f>IF(Orders!X538,1,0)</f>
        <v>0</v>
      </c>
      <c r="AR541" s="34" t="str">
        <f>IF(AND(E541=1,L541=1),AJ541,"")</f>
        <v/>
      </c>
      <c r="AS541" s="34">
        <f>IF(AND(E541=1,L541=0),AJ541,"")</f>
        <v>2.9</v>
      </c>
      <c r="AT541" s="34" t="str">
        <f>IF(AND(E541=1,L541=1),AI541,"")</f>
        <v/>
      </c>
      <c r="AU541" s="34">
        <f>IF(AND(E541=1,L541=0),AI541,"")</f>
        <v>3.1</v>
      </c>
      <c r="AV541" s="34" t="str">
        <f>IF(AND(E541=1,L541=1),AG541,"")</f>
        <v/>
      </c>
      <c r="AW541" s="34">
        <f>IF(AND(E541=1,L541=0),AG541,"")</f>
        <v>10.9</v>
      </c>
      <c r="AX541" s="34" t="str">
        <f>IF(AND(E541=1,L541=1),AH541,"")</f>
        <v/>
      </c>
      <c r="AY541" s="34">
        <f>IF(AND(E541=1,L541=0),AH541,"")</f>
        <v>10.5</v>
      </c>
      <c r="AZ541" s="34" t="str">
        <f>IF(G541=1,F541,"")</f>
        <v/>
      </c>
      <c r="BA541" s="34" t="str">
        <f>IF(AND(G541=1,L541=1),F541,"")</f>
        <v/>
      </c>
      <c r="BB541" s="34" t="str">
        <f>IF(AND(G541=1,L541=0),F541,"")</f>
        <v/>
      </c>
      <c r="BC541" s="33">
        <f>IF(E541=1,IF(Orders!R538&gt;3,1,0),"")</f>
        <v>0</v>
      </c>
      <c r="BD541" s="33">
        <f>IF(E541=1,IF(Orders!R538&gt;7,1,0),"")</f>
        <v>0</v>
      </c>
      <c r="BE541" s="32" t="str">
        <f>IF(E541=1,IF(Orders!L538&lt;=1.5,"Up to 1.5 km",IF(Orders!L538&lt;=3,"1.5–3 km","Over 3 km")),"")</f>
        <v>Over 3 km</v>
      </c>
      <c r="BF541" s="33">
        <f>IF(E541=1,IF(ABS((Orders!G538-Orders!F538)*1440-Orders!R538)&lt;0.06,1,0),"")</f>
        <v>1</v>
      </c>
      <c r="BG541" s="33">
        <f>IF(ABS((Orders!F538-Orders!E538)*1440-Orders!P538)&lt;0.06,1,0)</f>
        <v>1</v>
      </c>
      <c r="BH541" s="33">
        <f>IF(E541=1,IF(IF(Orders!S538,1,0)=1-G541,1,0),"")</f>
        <v>1</v>
      </c>
      <c r="BI541" s="32" t="str">
        <f>INDEX(Stores!$B$2:$B$21,MATCH(B541,Stores!$A$2:$A$21,0))</f>
        <v>Delhi</v>
      </c>
    </row>
    <row r="542">
      <c r="A542" s="32" t="str">
        <f>Orders!A539</f>
        <v>O00538</v>
      </c>
      <c r="B542" s="32" t="str">
        <f>Orders!C539</f>
        <v>S007</v>
      </c>
      <c r="C542" s="32" t="str">
        <f>Orders!B539</f>
        <v>C0003</v>
      </c>
      <c r="D542" s="32" t="str">
        <f>Orders!H539</f>
        <v>Delivered</v>
      </c>
      <c r="E542" s="33">
        <f>IF(Orders!H539="Delivered",1,0)</f>
        <v>1</v>
      </c>
      <c r="F542" s="34">
        <f>IF(E542=1,Orders!R539,"")</f>
        <v>-0.9</v>
      </c>
      <c r="G542" s="33">
        <f>IF(E542=1,IF(Orders!R539&gt;0,1,0),"")</f>
        <v>0</v>
      </c>
      <c r="H542" s="33">
        <f>IF(E542=1,IF(Orders!R539&gt;5,1,0),"")</f>
        <v>0</v>
      </c>
      <c r="I542" s="32" t="str">
        <f>IF(E542=1,"",IF(OR(Orders!T539="Rider unavailable",Orders!T539="Item unavailable"),"Company-caused","Unresolved"))</f>
        <v/>
      </c>
      <c r="J542" s="33">
        <f>IF(OR(E542=1,I542="Company-caused"),1,0)</f>
        <v>1</v>
      </c>
      <c r="K542" s="32" t="str">
        <f>IF(E542=0,IF(I542="Company-caused",IF(Orders!T539="Rider unavailable","C1 Rider unavailable","C2 Item unavailable"),"Outside root: unresolved"),IF(G542=0,"A On time",IF(H542=1,IF(L542=1,"B2a Severe, peak","B2b Severe, off-peak"),IF(L542=1,"B1a Slight, peak","B1b Slight, off-peak"))))</f>
        <v>A On time</v>
      </c>
      <c r="L542" s="33">
        <f>IF(AND(Orders!U539&gt;=19,Orders!U539&lt;22),1,0)</f>
        <v>0</v>
      </c>
      <c r="M542" s="33">
        <f>IF(L542=IF(Orders!V539,1,0),1,0)</f>
        <v>1</v>
      </c>
      <c r="N542" s="32" t="str">
        <f>IF(Orders!W539="","None",Orders!W539)</f>
        <v>None</v>
      </c>
      <c r="O542" s="35">
        <f>INT(Orders!E539)</f>
        <v>46267.0</v>
      </c>
      <c r="P542" s="33">
        <f>Orders!U539</f>
        <v>8</v>
      </c>
      <c r="Q542" s="33">
        <f>COUNTIFS(Demand!$A$2:$A$4481,B542,Demand!$B$2:$B$4481,O542,Demand!$C$2:$C$4481,P542)</f>
        <v>1</v>
      </c>
      <c r="R542" s="33">
        <f>IF(Q542=1,SUMIFS(Demand!$E$2:$E$4481,Demand!$A$2:$A$4481,B542,Demand!$B$2:$B$4481,O542,Demand!$C$2:$C$4481,P542),"")</f>
        <v>28</v>
      </c>
      <c r="S542" s="33">
        <f>INDEX(Stores!$G$2:$G$21,MATCH(B542,Stores!$A$2:$A$21,0))</f>
        <v>37</v>
      </c>
      <c r="T542" s="34">
        <f>IF(R542="","",R542/S542)</f>
        <v>0.756756756756757</v>
      </c>
      <c r="U542" s="34">
        <f>IF(E542=1,T542,"")</f>
        <v>0.756756756756757</v>
      </c>
      <c r="V542" s="34">
        <f>IF(AND(E542=1,L542=0),T542,"")</f>
        <v>0.756756756756757</v>
      </c>
      <c r="W542" s="33">
        <f>IF(U542="","",IF(U542&lt;=Breakdowns!$C$5,1,IF(U542&lt;=Breakdowns!$C$6,2,IF(U542&lt;=Breakdowns!$C$7,3,4))))</f>
        <v>1</v>
      </c>
      <c r="X542" s="33">
        <f>IF(V542="","",IF(V542&lt;=Breakdowns!$D$5,1,IF(V542&lt;=Breakdowns!$D$6,2,IF(V542&lt;=Breakdowns!$D$7,3,4))))</f>
        <v>2</v>
      </c>
      <c r="Y542" s="34">
        <f>INDEX(Stores!$F$2:$F$21,MATCH(B542,Stores!$A$2:$A$21,0))</f>
        <v>4.05</v>
      </c>
      <c r="Z542" s="33">
        <f>IF(Y542&gt;Store_Summary!$M$2,1,0)</f>
        <v>0</v>
      </c>
      <c r="AA542" s="33">
        <f>INDEX(Stores!$C$2:$C$21,MATCH(B542,Stores!$A$2:$A$21,0))</f>
        <v>661</v>
      </c>
      <c r="AB542" s="33">
        <f>IF(AA542&lt;180,1,0)</f>
        <v>0</v>
      </c>
      <c r="AC542" s="32" t="str">
        <f>IF(Orders!D539="","",INDEX(Riders!$C$2:$C$81,MATCH(Orders!D539,Riders!$A$2:$A$81,0)))</f>
        <v>Petrol scooter</v>
      </c>
      <c r="AD542" s="33">
        <f>IF(Orders!D539="","",INDEX(Riders!$D$2:$D$81,MATCH(Orders!D539,Riders!$A$2:$A$81,0)))</f>
        <v>44</v>
      </c>
      <c r="AE542" s="33">
        <f>IF(Orders!D539="","",IF(INDEX(Riders!$B$2:$B$81,MATCH(Orders!D539,Riders!$A$2:$A$81,0))=B542,1,0))</f>
        <v>0</v>
      </c>
      <c r="AF542" s="34">
        <f>IF(E542=1,Orders!L539,"")</f>
        <v>0.5</v>
      </c>
      <c r="AG542" s="34">
        <f>IF(E542=1,Orders!P539,"")</f>
        <v>10.1</v>
      </c>
      <c r="AH542" s="34">
        <f>IF(E542=1,Orders!Q539,"")</f>
        <v>9.2</v>
      </c>
      <c r="AI542" s="34">
        <f>IF(E542=1,Orders!M539,"")</f>
        <v>4.1</v>
      </c>
      <c r="AJ542" s="34">
        <f>IF(E542=1,Orders!N539,"")</f>
        <v>3.2</v>
      </c>
      <c r="AK542" s="34">
        <f>IF(E542=1,Orders!O539,"")</f>
        <v>1.9</v>
      </c>
      <c r="AL542" s="33">
        <f>IF(E542=1,IF(ROUND(ABS(AI542+AJ542+AK542-AH542),6)&lt;=0.1,1,0),"")</f>
        <v>1</v>
      </c>
      <c r="AM542" s="36">
        <f>IF(E542=1,AI542/AH542,"")</f>
        <v>0.445652173913043</v>
      </c>
      <c r="AN542" s="36">
        <f>IF(E542=1,AJ542/AH542,"")</f>
        <v>0.347826086956522</v>
      </c>
      <c r="AO542" s="36">
        <f>IF(E542=1,AK542/AH542,"")</f>
        <v>0.206521739130435</v>
      </c>
      <c r="AP542" s="34">
        <f>IF(E542=1,Orders!Y539,"")</f>
        <v>0.55</v>
      </c>
      <c r="AQ542" s="33">
        <f>IF(Orders!X539,1,0)</f>
        <v>0</v>
      </c>
      <c r="AR542" s="34" t="str">
        <f>IF(AND(E542=1,L542=1),AJ542,"")</f>
        <v/>
      </c>
      <c r="AS542" s="34">
        <f>IF(AND(E542=1,L542=0),AJ542,"")</f>
        <v>3.2</v>
      </c>
      <c r="AT542" s="34" t="str">
        <f>IF(AND(E542=1,L542=1),AI542,"")</f>
        <v/>
      </c>
      <c r="AU542" s="34">
        <f>IF(AND(E542=1,L542=0),AI542,"")</f>
        <v>4.1</v>
      </c>
      <c r="AV542" s="34" t="str">
        <f>IF(AND(E542=1,L542=1),AG542,"")</f>
        <v/>
      </c>
      <c r="AW542" s="34">
        <f>IF(AND(E542=1,L542=0),AG542,"")</f>
        <v>10.1</v>
      </c>
      <c r="AX542" s="34" t="str">
        <f>IF(AND(E542=1,L542=1),AH542,"")</f>
        <v/>
      </c>
      <c r="AY542" s="34">
        <f>IF(AND(E542=1,L542=0),AH542,"")</f>
        <v>9.2</v>
      </c>
      <c r="AZ542" s="34" t="str">
        <f>IF(G542=1,F542,"")</f>
        <v/>
      </c>
      <c r="BA542" s="34" t="str">
        <f>IF(AND(G542=1,L542=1),F542,"")</f>
        <v/>
      </c>
      <c r="BB542" s="34" t="str">
        <f>IF(AND(G542=1,L542=0),F542,"")</f>
        <v/>
      </c>
      <c r="BC542" s="33">
        <f>IF(E542=1,IF(Orders!R539&gt;3,1,0),"")</f>
        <v>0</v>
      </c>
      <c r="BD542" s="33">
        <f>IF(E542=1,IF(Orders!R539&gt;7,1,0),"")</f>
        <v>0</v>
      </c>
      <c r="BE542" s="32" t="str">
        <f>IF(E542=1,IF(Orders!L539&lt;=1.5,"Up to 1.5 km",IF(Orders!L539&lt;=3,"1.5–3 km","Over 3 km")),"")</f>
        <v>Up to 1.5 km</v>
      </c>
      <c r="BF542" s="33">
        <f>IF(E542=1,IF(ABS((Orders!G539-Orders!F539)*1440-Orders!R539)&lt;0.06,1,0),"")</f>
        <v>1</v>
      </c>
      <c r="BG542" s="33">
        <f>IF(ABS((Orders!F539-Orders!E539)*1440-Orders!P539)&lt;0.06,1,0)</f>
        <v>1</v>
      </c>
      <c r="BH542" s="33">
        <f>IF(E542=1,IF(IF(Orders!S539,1,0)=1-G542,1,0),"")</f>
        <v>1</v>
      </c>
      <c r="BI542" s="32" t="str">
        <f>INDEX(Stores!$B$2:$B$21,MATCH(B542,Stores!$A$2:$A$21,0))</f>
        <v>Hyderabad</v>
      </c>
    </row>
    <row r="543">
      <c r="A543" s="32" t="str">
        <f>Orders!A540</f>
        <v>O00539</v>
      </c>
      <c r="B543" s="32" t="str">
        <f>Orders!C540</f>
        <v>S008</v>
      </c>
      <c r="C543" s="32" t="str">
        <f>Orders!B540</f>
        <v>C0247</v>
      </c>
      <c r="D543" s="32" t="str">
        <f>Orders!H540</f>
        <v>Delivered</v>
      </c>
      <c r="E543" s="33">
        <f>IF(Orders!H540="Delivered",1,0)</f>
        <v>1</v>
      </c>
      <c r="F543" s="34">
        <f>IF(E543=1,Orders!R540,"")</f>
        <v>-0.9</v>
      </c>
      <c r="G543" s="33">
        <f>IF(E543=1,IF(Orders!R540&gt;0,1,0),"")</f>
        <v>0</v>
      </c>
      <c r="H543" s="33">
        <f>IF(E543=1,IF(Orders!R540&gt;5,1,0),"")</f>
        <v>0</v>
      </c>
      <c r="I543" s="32" t="str">
        <f>IF(E543=1,"",IF(OR(Orders!T540="Rider unavailable",Orders!T540="Item unavailable"),"Company-caused","Unresolved"))</f>
        <v/>
      </c>
      <c r="J543" s="33">
        <f>IF(OR(E543=1,I543="Company-caused"),1,0)</f>
        <v>1</v>
      </c>
      <c r="K543" s="32" t="str">
        <f>IF(E543=0,IF(I543="Company-caused",IF(Orders!T540="Rider unavailable","C1 Rider unavailable","C2 Item unavailable"),"Outside root: unresolved"),IF(G543=0,"A On time",IF(H543=1,IF(L543=1,"B2a Severe, peak","B2b Severe, off-peak"),IF(L543=1,"B1a Slight, peak","B1b Slight, off-peak"))))</f>
        <v>A On time</v>
      </c>
      <c r="L543" s="33">
        <f>IF(AND(Orders!U540&gt;=19,Orders!U540&lt;22),1,0)</f>
        <v>0</v>
      </c>
      <c r="M543" s="33">
        <f>IF(L543=IF(Orders!V540,1,0),1,0)</f>
        <v>1</v>
      </c>
      <c r="N543" s="32" t="str">
        <f>IF(Orders!W540="","None",Orders!W540)</f>
        <v>None</v>
      </c>
      <c r="O543" s="35">
        <f>INT(Orders!E540)</f>
        <v>46266.0</v>
      </c>
      <c r="P543" s="33">
        <f>Orders!U540</f>
        <v>10</v>
      </c>
      <c r="Q543" s="33">
        <f>COUNTIFS(Demand!$A$2:$A$4481,B543,Demand!$B$2:$B$4481,O543,Demand!$C$2:$C$4481,P543)</f>
        <v>1</v>
      </c>
      <c r="R543" s="33">
        <f>IF(Q543=1,SUMIFS(Demand!$E$2:$E$4481,Demand!$A$2:$A$4481,B543,Demand!$B$2:$B$4481,O543,Demand!$C$2:$C$4481,P543),"")</f>
        <v>10</v>
      </c>
      <c r="S543" s="33">
        <f>INDEX(Stores!$G$2:$G$21,MATCH(B543,Stores!$A$2:$A$21,0))</f>
        <v>23</v>
      </c>
      <c r="T543" s="34">
        <f>IF(R543="","",R543/S543)</f>
        <v>0.434782608695652</v>
      </c>
      <c r="U543" s="34">
        <f>IF(E543=1,T543,"")</f>
        <v>0.434782608695652</v>
      </c>
      <c r="V543" s="34">
        <f>IF(AND(E543=1,L543=0),T543,"")</f>
        <v>0.434782608695652</v>
      </c>
      <c r="W543" s="33">
        <f>IF(U543="","",IF(U543&lt;=Breakdowns!$C$5,1,IF(U543&lt;=Breakdowns!$C$6,2,IF(U543&lt;=Breakdowns!$C$7,3,4))))</f>
        <v>1</v>
      </c>
      <c r="X543" s="33">
        <f>IF(V543="","",IF(V543&lt;=Breakdowns!$D$5,1,IF(V543&lt;=Breakdowns!$D$6,2,IF(V543&lt;=Breakdowns!$D$7,3,4))))</f>
        <v>1</v>
      </c>
      <c r="Y543" s="34">
        <f>INDEX(Stores!$F$2:$F$21,MATCH(B543,Stores!$A$2:$A$21,0))</f>
        <v>3.46</v>
      </c>
      <c r="Z543" s="33">
        <f>IF(Y543&gt;Store_Summary!$M$2,1,0)</f>
        <v>0</v>
      </c>
      <c r="AA543" s="33">
        <f>INDEX(Stores!$C$2:$C$21,MATCH(B543,Stores!$A$2:$A$21,0))</f>
        <v>825</v>
      </c>
      <c r="AB543" s="33">
        <f>IF(AA543&lt;180,1,0)</f>
        <v>0</v>
      </c>
      <c r="AC543" s="32" t="str">
        <f>IF(Orders!D540="","",INDEX(Riders!$C$2:$C$81,MATCH(Orders!D540,Riders!$A$2:$A$81,0)))</f>
        <v>Bicycle</v>
      </c>
      <c r="AD543" s="33">
        <f>IF(Orders!D540="","",INDEX(Riders!$D$2:$D$81,MATCH(Orders!D540,Riders!$A$2:$A$81,0)))</f>
        <v>40</v>
      </c>
      <c r="AE543" s="33">
        <f>IF(Orders!D540="","",IF(INDEX(Riders!$B$2:$B$81,MATCH(Orders!D540,Riders!$A$2:$A$81,0))=B543,1,0))</f>
        <v>0</v>
      </c>
      <c r="AF543" s="34">
        <f>IF(E543=1,Orders!L540,"")</f>
        <v>2.87</v>
      </c>
      <c r="AG543" s="34">
        <f>IF(E543=1,Orders!P540,"")</f>
        <v>11.1</v>
      </c>
      <c r="AH543" s="34">
        <f>IF(E543=1,Orders!Q540,"")</f>
        <v>10.2</v>
      </c>
      <c r="AI543" s="34">
        <f>IF(E543=1,Orders!M540,"")</f>
        <v>2.5</v>
      </c>
      <c r="AJ543" s="34">
        <f>IF(E543=1,Orders!N540,"")</f>
        <v>2.4</v>
      </c>
      <c r="AK543" s="34">
        <f>IF(E543=1,Orders!O540,"")</f>
        <v>5.3</v>
      </c>
      <c r="AL543" s="33">
        <f>IF(E543=1,IF(ROUND(ABS(AI543+AJ543+AK543-AH543),6)&lt;=0.1,1,0),"")</f>
        <v>1</v>
      </c>
      <c r="AM543" s="36">
        <f>IF(E543=1,AI543/AH543,"")</f>
        <v>0.245098039215686</v>
      </c>
      <c r="AN543" s="36">
        <f>IF(E543=1,AJ543/AH543,"")</f>
        <v>0.235294117647059</v>
      </c>
      <c r="AO543" s="36">
        <f>IF(E543=1,AK543/AH543,"")</f>
        <v>0.519607843137255</v>
      </c>
      <c r="AP543" s="34">
        <f>IF(E543=1,Orders!Y540,"")</f>
        <v>0.27</v>
      </c>
      <c r="AQ543" s="33">
        <f>IF(Orders!X540,1,0)</f>
        <v>0</v>
      </c>
      <c r="AR543" s="34" t="str">
        <f>IF(AND(E543=1,L543=1),AJ543,"")</f>
        <v/>
      </c>
      <c r="AS543" s="34">
        <f>IF(AND(E543=1,L543=0),AJ543,"")</f>
        <v>2.4</v>
      </c>
      <c r="AT543" s="34" t="str">
        <f>IF(AND(E543=1,L543=1),AI543,"")</f>
        <v/>
      </c>
      <c r="AU543" s="34">
        <f>IF(AND(E543=1,L543=0),AI543,"")</f>
        <v>2.5</v>
      </c>
      <c r="AV543" s="34" t="str">
        <f>IF(AND(E543=1,L543=1),AG543,"")</f>
        <v/>
      </c>
      <c r="AW543" s="34">
        <f>IF(AND(E543=1,L543=0),AG543,"")</f>
        <v>11.1</v>
      </c>
      <c r="AX543" s="34" t="str">
        <f>IF(AND(E543=1,L543=1),AH543,"")</f>
        <v/>
      </c>
      <c r="AY543" s="34">
        <f>IF(AND(E543=1,L543=0),AH543,"")</f>
        <v>10.2</v>
      </c>
      <c r="AZ543" s="34" t="str">
        <f>IF(G543=1,F543,"")</f>
        <v/>
      </c>
      <c r="BA543" s="34" t="str">
        <f>IF(AND(G543=1,L543=1),F543,"")</f>
        <v/>
      </c>
      <c r="BB543" s="34" t="str">
        <f>IF(AND(G543=1,L543=0),F543,"")</f>
        <v/>
      </c>
      <c r="BC543" s="33">
        <f>IF(E543=1,IF(Orders!R540&gt;3,1,0),"")</f>
        <v>0</v>
      </c>
      <c r="BD543" s="33">
        <f>IF(E543=1,IF(Orders!R540&gt;7,1,0),"")</f>
        <v>0</v>
      </c>
      <c r="BE543" s="32" t="str">
        <f>IF(E543=1,IF(Orders!L540&lt;=1.5,"Up to 1.5 km",IF(Orders!L540&lt;=3,"1.5–3 km","Over 3 km")),"")</f>
        <v>1.5–3 km</v>
      </c>
      <c r="BF543" s="33">
        <f>IF(E543=1,IF(ABS((Orders!G540-Orders!F540)*1440-Orders!R540)&lt;0.06,1,0),"")</f>
        <v>1</v>
      </c>
      <c r="BG543" s="33">
        <f>IF(ABS((Orders!F540-Orders!E540)*1440-Orders!P540)&lt;0.06,1,0)</f>
        <v>1</v>
      </c>
      <c r="BH543" s="33">
        <f>IF(E543=1,IF(IF(Orders!S540,1,0)=1-G543,1,0),"")</f>
        <v>1</v>
      </c>
      <c r="BI543" s="32" t="str">
        <f>INDEX(Stores!$B$2:$B$21,MATCH(B543,Stores!$A$2:$A$21,0))</f>
        <v>Mumbai</v>
      </c>
    </row>
    <row r="544">
      <c r="A544" s="32" t="str">
        <f>Orders!A541</f>
        <v>O00540</v>
      </c>
      <c r="B544" s="32" t="str">
        <f>Orders!C541</f>
        <v>S004</v>
      </c>
      <c r="C544" s="32" t="str">
        <f>Orders!B541</f>
        <v>C0004</v>
      </c>
      <c r="D544" s="32" t="str">
        <f>Orders!H541</f>
        <v>Delivered</v>
      </c>
      <c r="E544" s="33">
        <f>IF(Orders!H541="Delivered",1,0)</f>
        <v>1</v>
      </c>
      <c r="F544" s="34">
        <f>IF(E544=1,Orders!R541,"")</f>
        <v>-0.4</v>
      </c>
      <c r="G544" s="33">
        <f>IF(E544=1,IF(Orders!R541&gt;0,1,0),"")</f>
        <v>0</v>
      </c>
      <c r="H544" s="33">
        <f>IF(E544=1,IF(Orders!R541&gt;5,1,0),"")</f>
        <v>0</v>
      </c>
      <c r="I544" s="32" t="str">
        <f>IF(E544=1,"",IF(OR(Orders!T541="Rider unavailable",Orders!T541="Item unavailable"),"Company-caused","Unresolved"))</f>
        <v/>
      </c>
      <c r="J544" s="33">
        <f>IF(OR(E544=1,I544="Company-caused"),1,0)</f>
        <v>1</v>
      </c>
      <c r="K544" s="32" t="str">
        <f>IF(E544=0,IF(I544="Company-caused",IF(Orders!T541="Rider unavailable","C1 Rider unavailable","C2 Item unavailable"),"Outside root: unresolved"),IF(G544=0,"A On time",IF(H544=1,IF(L544=1,"B2a Severe, peak","B2b Severe, off-peak"),IF(L544=1,"B1a Slight, peak","B1b Slight, off-peak"))))</f>
        <v>A On time</v>
      </c>
      <c r="L544" s="33">
        <f>IF(AND(Orders!U541&gt;=19,Orders!U541&lt;22),1,0)</f>
        <v>0</v>
      </c>
      <c r="M544" s="33">
        <f>IF(L544=IF(Orders!V541,1,0),1,0)</f>
        <v>1</v>
      </c>
      <c r="N544" s="32" t="str">
        <f>IF(Orders!W541="","None",Orders!W541)</f>
        <v>None</v>
      </c>
      <c r="O544" s="35">
        <f>INT(Orders!E541)</f>
        <v>46277.0</v>
      </c>
      <c r="P544" s="33">
        <f>Orders!U541</f>
        <v>13</v>
      </c>
      <c r="Q544" s="33">
        <f>COUNTIFS(Demand!$A$2:$A$4481,B544,Demand!$B$2:$B$4481,O544,Demand!$C$2:$C$4481,P544)</f>
        <v>1</v>
      </c>
      <c r="R544" s="33">
        <f>IF(Q544=1,SUMIFS(Demand!$E$2:$E$4481,Demand!$A$2:$A$4481,B544,Demand!$B$2:$B$4481,O544,Demand!$C$2:$C$4481,P544),"")</f>
        <v>33</v>
      </c>
      <c r="S544" s="33">
        <f>INDEX(Stores!$G$2:$G$21,MATCH(B544,Stores!$A$2:$A$21,0))</f>
        <v>42</v>
      </c>
      <c r="T544" s="34">
        <f>IF(R544="","",R544/S544)</f>
        <v>0.785714285714286</v>
      </c>
      <c r="U544" s="34">
        <f>IF(E544=1,T544,"")</f>
        <v>0.785714285714286</v>
      </c>
      <c r="V544" s="34">
        <f>IF(AND(E544=1,L544=0),T544,"")</f>
        <v>0.785714285714286</v>
      </c>
      <c r="W544" s="33">
        <f>IF(U544="","",IF(U544&lt;=Breakdowns!$C$5,1,IF(U544&lt;=Breakdowns!$C$6,2,IF(U544&lt;=Breakdowns!$C$7,3,4))))</f>
        <v>1</v>
      </c>
      <c r="X544" s="33">
        <f>IF(V544="","",IF(V544&lt;=Breakdowns!$D$5,1,IF(V544&lt;=Breakdowns!$D$6,2,IF(V544&lt;=Breakdowns!$D$7,3,4))))</f>
        <v>2</v>
      </c>
      <c r="Y544" s="34">
        <f>INDEX(Stores!$F$2:$F$21,MATCH(B544,Stores!$A$2:$A$21,0))</f>
        <v>2.19</v>
      </c>
      <c r="Z544" s="33">
        <f>IF(Y544&gt;Store_Summary!$M$2,1,0)</f>
        <v>0</v>
      </c>
      <c r="AA544" s="33">
        <f>INDEX(Stores!$C$2:$C$21,MATCH(B544,Stores!$A$2:$A$21,0))</f>
        <v>850</v>
      </c>
      <c r="AB544" s="33">
        <f>IF(AA544&lt;180,1,0)</f>
        <v>0</v>
      </c>
      <c r="AC544" s="32" t="str">
        <f>IF(Orders!D541="","",INDEX(Riders!$C$2:$C$81,MATCH(Orders!D541,Riders!$A$2:$A$81,0)))</f>
        <v>EV scooter</v>
      </c>
      <c r="AD544" s="33">
        <f>IF(Orders!D541="","",INDEX(Riders!$D$2:$D$81,MATCH(Orders!D541,Riders!$A$2:$A$81,0)))</f>
        <v>11</v>
      </c>
      <c r="AE544" s="33">
        <f>IF(Orders!D541="","",IF(INDEX(Riders!$B$2:$B$81,MATCH(Orders!D541,Riders!$A$2:$A$81,0))=B544,1,0))</f>
        <v>0</v>
      </c>
      <c r="AF544" s="34">
        <f>IF(E544=1,Orders!L541,"")</f>
        <v>3.3</v>
      </c>
      <c r="AG544" s="34">
        <f>IF(E544=1,Orders!P541,"")</f>
        <v>10.9</v>
      </c>
      <c r="AH544" s="34">
        <f>IF(E544=1,Orders!Q541,"")</f>
        <v>10.5</v>
      </c>
      <c r="AI544" s="34">
        <f>IF(E544=1,Orders!M541,"")</f>
        <v>3.1</v>
      </c>
      <c r="AJ544" s="34">
        <f>IF(E544=1,Orders!N541,"")</f>
        <v>0</v>
      </c>
      <c r="AK544" s="34">
        <f>IF(E544=1,Orders!O541,"")</f>
        <v>7.4</v>
      </c>
      <c r="AL544" s="33">
        <f>IF(E544=1,IF(ROUND(ABS(AI544+AJ544+AK544-AH544),6)&lt;=0.1,1,0),"")</f>
        <v>1</v>
      </c>
      <c r="AM544" s="36">
        <f>IF(E544=1,AI544/AH544,"")</f>
        <v>0.295238095238095</v>
      </c>
      <c r="AN544" s="36">
        <f>IF(E544=1,AJ544/AH544,"")</f>
        <v>0</v>
      </c>
      <c r="AO544" s="36">
        <f>IF(E544=1,AK544/AH544,"")</f>
        <v>0.704761904761905</v>
      </c>
      <c r="AP544" s="34">
        <f>IF(E544=1,Orders!Y541,"")</f>
        <v>0.51</v>
      </c>
      <c r="AQ544" s="33">
        <f>IF(Orders!X541,1,0)</f>
        <v>0</v>
      </c>
      <c r="AR544" s="34" t="str">
        <f>IF(AND(E544=1,L544=1),AJ544,"")</f>
        <v/>
      </c>
      <c r="AS544" s="34">
        <f>IF(AND(E544=1,L544=0),AJ544,"")</f>
        <v>0</v>
      </c>
      <c r="AT544" s="34" t="str">
        <f>IF(AND(E544=1,L544=1),AI544,"")</f>
        <v/>
      </c>
      <c r="AU544" s="34">
        <f>IF(AND(E544=1,L544=0),AI544,"")</f>
        <v>3.1</v>
      </c>
      <c r="AV544" s="34" t="str">
        <f>IF(AND(E544=1,L544=1),AG544,"")</f>
        <v/>
      </c>
      <c r="AW544" s="34">
        <f>IF(AND(E544=1,L544=0),AG544,"")</f>
        <v>10.9</v>
      </c>
      <c r="AX544" s="34" t="str">
        <f>IF(AND(E544=1,L544=1),AH544,"")</f>
        <v/>
      </c>
      <c r="AY544" s="34">
        <f>IF(AND(E544=1,L544=0),AH544,"")</f>
        <v>10.5</v>
      </c>
      <c r="AZ544" s="34" t="str">
        <f>IF(G544=1,F544,"")</f>
        <v/>
      </c>
      <c r="BA544" s="34" t="str">
        <f>IF(AND(G544=1,L544=1),F544,"")</f>
        <v/>
      </c>
      <c r="BB544" s="34" t="str">
        <f>IF(AND(G544=1,L544=0),F544,"")</f>
        <v/>
      </c>
      <c r="BC544" s="33">
        <f>IF(E544=1,IF(Orders!R541&gt;3,1,0),"")</f>
        <v>0</v>
      </c>
      <c r="BD544" s="33">
        <f>IF(E544=1,IF(Orders!R541&gt;7,1,0),"")</f>
        <v>0</v>
      </c>
      <c r="BE544" s="32" t="str">
        <f>IF(E544=1,IF(Orders!L541&lt;=1.5,"Up to 1.5 km",IF(Orders!L541&lt;=3,"1.5–3 km","Over 3 km")),"")</f>
        <v>Over 3 km</v>
      </c>
      <c r="BF544" s="33">
        <f>IF(E544=1,IF(ABS((Orders!G541-Orders!F541)*1440-Orders!R541)&lt;0.06,1,0),"")</f>
        <v>1</v>
      </c>
      <c r="BG544" s="33">
        <f>IF(ABS((Orders!F541-Orders!E541)*1440-Orders!P541)&lt;0.06,1,0)</f>
        <v>1</v>
      </c>
      <c r="BH544" s="33">
        <f>IF(E544=1,IF(IF(Orders!S541,1,0)=1-G544,1,0),"")</f>
        <v>1</v>
      </c>
      <c r="BI544" s="32" t="str">
        <f>INDEX(Stores!$B$2:$B$21,MATCH(B544,Stores!$A$2:$A$21,0))</f>
        <v>Pune</v>
      </c>
    </row>
    <row r="545">
      <c r="A545" s="32" t="str">
        <f>Orders!A542</f>
        <v>O00541</v>
      </c>
      <c r="B545" s="32" t="str">
        <f>Orders!C542</f>
        <v>S001</v>
      </c>
      <c r="C545" s="32" t="str">
        <f>Orders!B542</f>
        <v>C0107</v>
      </c>
      <c r="D545" s="32" t="str">
        <f>Orders!H542</f>
        <v>Delivered</v>
      </c>
      <c r="E545" s="33">
        <f>IF(Orders!H542="Delivered",1,0)</f>
        <v>1</v>
      </c>
      <c r="F545" s="34">
        <f>IF(E545=1,Orders!R542,"")</f>
        <v>-0.3</v>
      </c>
      <c r="G545" s="33">
        <f>IF(E545=1,IF(Orders!R542&gt;0,1,0),"")</f>
        <v>0</v>
      </c>
      <c r="H545" s="33">
        <f>IF(E545=1,IF(Orders!R542&gt;5,1,0),"")</f>
        <v>0</v>
      </c>
      <c r="I545" s="32" t="str">
        <f>IF(E545=1,"",IF(OR(Orders!T542="Rider unavailable",Orders!T542="Item unavailable"),"Company-caused","Unresolved"))</f>
        <v/>
      </c>
      <c r="J545" s="33">
        <f>IF(OR(E545=1,I545="Company-caused"),1,0)</f>
        <v>1</v>
      </c>
      <c r="K545" s="32" t="str">
        <f>IF(E545=0,IF(I545="Company-caused",IF(Orders!T542="Rider unavailable","C1 Rider unavailable","C2 Item unavailable"),"Outside root: unresolved"),IF(G545=0,"A On time",IF(H545=1,IF(L545=1,"B2a Severe, peak","B2b Severe, off-peak"),IF(L545=1,"B1a Slight, peak","B1b Slight, off-peak"))))</f>
        <v>A On time</v>
      </c>
      <c r="L545" s="33">
        <f>IF(AND(Orders!U542&gt;=19,Orders!U542&lt;22),1,0)</f>
        <v>0</v>
      </c>
      <c r="M545" s="33">
        <f>IF(L545=IF(Orders!V542,1,0),1,0)</f>
        <v>1</v>
      </c>
      <c r="N545" s="32" t="str">
        <f>IF(Orders!W542="","None",Orders!W542)</f>
        <v>None</v>
      </c>
      <c r="O545" s="35">
        <f>INT(Orders!E542)</f>
        <v>46268.0</v>
      </c>
      <c r="P545" s="33">
        <f>Orders!U542</f>
        <v>9</v>
      </c>
      <c r="Q545" s="33">
        <f>COUNTIFS(Demand!$A$2:$A$4481,B545,Demand!$B$2:$B$4481,O545,Demand!$C$2:$C$4481,P545)</f>
        <v>1</v>
      </c>
      <c r="R545" s="33">
        <f>IF(Q545=1,SUMIFS(Demand!$E$2:$E$4481,Demand!$A$2:$A$4481,B545,Demand!$B$2:$B$4481,O545,Demand!$C$2:$C$4481,P545),"")</f>
        <v>12</v>
      </c>
      <c r="S545" s="33">
        <f>INDEX(Stores!$G$2:$G$21,MATCH(B545,Stores!$A$2:$A$21,0))</f>
        <v>16</v>
      </c>
      <c r="T545" s="34">
        <f>IF(R545="","",R545/S545)</f>
        <v>0.75</v>
      </c>
      <c r="U545" s="34">
        <f>IF(E545=1,T545,"")</f>
        <v>0.75</v>
      </c>
      <c r="V545" s="34">
        <f>IF(AND(E545=1,L545=0),T545,"")</f>
        <v>0.75</v>
      </c>
      <c r="W545" s="33">
        <f>IF(U545="","",IF(U545&lt;=Breakdowns!$C$5,1,IF(U545&lt;=Breakdowns!$C$6,2,IF(U545&lt;=Breakdowns!$C$7,3,4))))</f>
        <v>1</v>
      </c>
      <c r="X545" s="33">
        <f>IF(V545="","",IF(V545&lt;=Breakdowns!$D$5,1,IF(V545&lt;=Breakdowns!$D$6,2,IF(V545&lt;=Breakdowns!$D$7,3,4))))</f>
        <v>1</v>
      </c>
      <c r="Y545" s="34">
        <f>INDEX(Stores!$F$2:$F$21,MATCH(B545,Stores!$A$2:$A$21,0))</f>
        <v>4.59</v>
      </c>
      <c r="Z545" s="33">
        <f>IF(Y545&gt;Store_Summary!$M$2,1,0)</f>
        <v>0</v>
      </c>
      <c r="AA545" s="33">
        <f>INDEX(Stores!$C$2:$C$21,MATCH(B545,Stores!$A$2:$A$21,0))</f>
        <v>362</v>
      </c>
      <c r="AB545" s="33">
        <f>IF(AA545&lt;180,1,0)</f>
        <v>0</v>
      </c>
      <c r="AC545" s="32" t="str">
        <f>IF(Orders!D542="","",INDEX(Riders!$C$2:$C$81,MATCH(Orders!D542,Riders!$A$2:$A$81,0)))</f>
        <v>Petrol scooter</v>
      </c>
      <c r="AD545" s="33">
        <f>IF(Orders!D542="","",INDEX(Riders!$D$2:$D$81,MATCH(Orders!D542,Riders!$A$2:$A$81,0)))</f>
        <v>15</v>
      </c>
      <c r="AE545" s="33">
        <f>IF(Orders!D542="","",IF(INDEX(Riders!$B$2:$B$81,MATCH(Orders!D542,Riders!$A$2:$A$81,0))=B545,1,0))</f>
        <v>0</v>
      </c>
      <c r="AF545" s="34">
        <f>IF(E545=1,Orders!L542,"")</f>
        <v>1.48</v>
      </c>
      <c r="AG545" s="34">
        <f>IF(E545=1,Orders!P542,"")</f>
        <v>11.2</v>
      </c>
      <c r="AH545" s="34">
        <f>IF(E545=1,Orders!Q542,"")</f>
        <v>10.9</v>
      </c>
      <c r="AI545" s="34">
        <f>IF(E545=1,Orders!M542,"")</f>
        <v>3.1</v>
      </c>
      <c r="AJ545" s="34">
        <f>IF(E545=1,Orders!N542,"")</f>
        <v>4.5</v>
      </c>
      <c r="AK545" s="34">
        <f>IF(E545=1,Orders!O542,"")</f>
        <v>3.3</v>
      </c>
      <c r="AL545" s="33">
        <f>IF(E545=1,IF(ROUND(ABS(AI545+AJ545+AK545-AH545),6)&lt;=0.1,1,0),"")</f>
        <v>1</v>
      </c>
      <c r="AM545" s="36">
        <f>IF(E545=1,AI545/AH545,"")</f>
        <v>0.284403669724771</v>
      </c>
      <c r="AN545" s="36">
        <f>IF(E545=1,AJ545/AH545,"")</f>
        <v>0.412844036697248</v>
      </c>
      <c r="AO545" s="36">
        <f>IF(E545=1,AK545/AH545,"")</f>
        <v>0.302752293577982</v>
      </c>
      <c r="AP545" s="34">
        <f>IF(E545=1,Orders!Y542,"")</f>
        <v>0.62</v>
      </c>
      <c r="AQ545" s="33">
        <f>IF(Orders!X542,1,0)</f>
        <v>1</v>
      </c>
      <c r="AR545" s="34" t="str">
        <f>IF(AND(E545=1,L545=1),AJ545,"")</f>
        <v/>
      </c>
      <c r="AS545" s="34">
        <f>IF(AND(E545=1,L545=0),AJ545,"")</f>
        <v>4.5</v>
      </c>
      <c r="AT545" s="34" t="str">
        <f>IF(AND(E545=1,L545=1),AI545,"")</f>
        <v/>
      </c>
      <c r="AU545" s="34">
        <f>IF(AND(E545=1,L545=0),AI545,"")</f>
        <v>3.1</v>
      </c>
      <c r="AV545" s="34" t="str">
        <f>IF(AND(E545=1,L545=1),AG545,"")</f>
        <v/>
      </c>
      <c r="AW545" s="34">
        <f>IF(AND(E545=1,L545=0),AG545,"")</f>
        <v>11.2</v>
      </c>
      <c r="AX545" s="34" t="str">
        <f>IF(AND(E545=1,L545=1),AH545,"")</f>
        <v/>
      </c>
      <c r="AY545" s="34">
        <f>IF(AND(E545=1,L545=0),AH545,"")</f>
        <v>10.9</v>
      </c>
      <c r="AZ545" s="34" t="str">
        <f>IF(G545=1,F545,"")</f>
        <v/>
      </c>
      <c r="BA545" s="34" t="str">
        <f>IF(AND(G545=1,L545=1),F545,"")</f>
        <v/>
      </c>
      <c r="BB545" s="34" t="str">
        <f>IF(AND(G545=1,L545=0),F545,"")</f>
        <v/>
      </c>
      <c r="BC545" s="33">
        <f>IF(E545=1,IF(Orders!R542&gt;3,1,0),"")</f>
        <v>0</v>
      </c>
      <c r="BD545" s="33">
        <f>IF(E545=1,IF(Orders!R542&gt;7,1,0),"")</f>
        <v>0</v>
      </c>
      <c r="BE545" s="32" t="str">
        <f>IF(E545=1,IF(Orders!L542&lt;=1.5,"Up to 1.5 km",IF(Orders!L542&lt;=3,"1.5–3 km","Over 3 km")),"")</f>
        <v>Up to 1.5 km</v>
      </c>
      <c r="BF545" s="33">
        <f>IF(E545=1,IF(ABS((Orders!G542-Orders!F542)*1440-Orders!R542)&lt;0.06,1,0),"")</f>
        <v>1</v>
      </c>
      <c r="BG545" s="33">
        <f>IF(ABS((Orders!F542-Orders!E542)*1440-Orders!P542)&lt;0.06,1,0)</f>
        <v>1</v>
      </c>
      <c r="BH545" s="33">
        <f>IF(E545=1,IF(IF(Orders!S542,1,0)=1-G545,1,0),"")</f>
        <v>1</v>
      </c>
      <c r="BI545" s="32" t="str">
        <f>INDEX(Stores!$B$2:$B$21,MATCH(B545,Stores!$A$2:$A$21,0))</f>
        <v>Bengaluru</v>
      </c>
    </row>
    <row r="546">
      <c r="A546" s="32" t="str">
        <f>Orders!A543</f>
        <v>O00542</v>
      </c>
      <c r="B546" s="32" t="str">
        <f>Orders!C543</f>
        <v>S005</v>
      </c>
      <c r="C546" s="32" t="str">
        <f>Orders!B543</f>
        <v>C0102</v>
      </c>
      <c r="D546" s="32" t="str">
        <f>Orders!H543</f>
        <v>Delivered</v>
      </c>
      <c r="E546" s="33">
        <f>IF(Orders!H543="Delivered",1,0)</f>
        <v>1</v>
      </c>
      <c r="F546" s="34">
        <f>IF(E546=1,Orders!R543,"")</f>
        <v>5.8</v>
      </c>
      <c r="G546" s="33">
        <f>IF(E546=1,IF(Orders!R543&gt;0,1,0),"")</f>
        <v>1</v>
      </c>
      <c r="H546" s="33">
        <f>IF(E546=1,IF(Orders!R543&gt;5,1,0),"")</f>
        <v>1</v>
      </c>
      <c r="I546" s="32" t="str">
        <f>IF(E546=1,"",IF(OR(Orders!T543="Rider unavailable",Orders!T543="Item unavailable"),"Company-caused","Unresolved"))</f>
        <v/>
      </c>
      <c r="J546" s="33">
        <f>IF(OR(E546=1,I546="Company-caused"),1,0)</f>
        <v>1</v>
      </c>
      <c r="K546" s="32" t="str">
        <f>IF(E546=0,IF(I546="Company-caused",IF(Orders!T543="Rider unavailable","C1 Rider unavailable","C2 Item unavailable"),"Outside root: unresolved"),IF(G546=0,"A On time",IF(H546=1,IF(L546=1,"B2a Severe, peak","B2b Severe, off-peak"),IF(L546=1,"B1a Slight, peak","B1b Slight, off-peak"))))</f>
        <v>B2b Severe, off-peak</v>
      </c>
      <c r="L546" s="33">
        <f>IF(AND(Orders!U543&gt;=19,Orders!U543&lt;22),1,0)</f>
        <v>0</v>
      </c>
      <c r="M546" s="33">
        <f>IF(L546=IF(Orders!V543,1,0),1,0)</f>
        <v>1</v>
      </c>
      <c r="N546" s="32" t="str">
        <f>IF(Orders!W543="","None",Orders!W543)</f>
        <v>None</v>
      </c>
      <c r="O546" s="35">
        <f>INT(Orders!E543)</f>
        <v>46270.0</v>
      </c>
      <c r="P546" s="33">
        <f>Orders!U543</f>
        <v>17</v>
      </c>
      <c r="Q546" s="33">
        <f>COUNTIFS(Demand!$A$2:$A$4481,B546,Demand!$B$2:$B$4481,O546,Demand!$C$2:$C$4481,P546)</f>
        <v>1</v>
      </c>
      <c r="R546" s="33">
        <f>IF(Q546=1,SUMIFS(Demand!$E$2:$E$4481,Demand!$A$2:$A$4481,B546,Demand!$B$2:$B$4481,O546,Demand!$C$2:$C$4481,P546),"")</f>
        <v>21</v>
      </c>
      <c r="S546" s="33">
        <f>INDEX(Stores!$G$2:$G$21,MATCH(B546,Stores!$A$2:$A$21,0))</f>
        <v>14</v>
      </c>
      <c r="T546" s="34">
        <f>IF(R546="","",R546/S546)</f>
        <v>1.5</v>
      </c>
      <c r="U546" s="34">
        <f>IF(E546=1,T546,"")</f>
        <v>1.5</v>
      </c>
      <c r="V546" s="34">
        <f>IF(AND(E546=1,L546=0),T546,"")</f>
        <v>1.5</v>
      </c>
      <c r="W546" s="33">
        <f>IF(U546="","",IF(U546&lt;=Breakdowns!$C$5,1,IF(U546&lt;=Breakdowns!$C$6,2,IF(U546&lt;=Breakdowns!$C$7,3,4))))</f>
        <v>4</v>
      </c>
      <c r="X546" s="33">
        <f>IF(V546="","",IF(V546&lt;=Breakdowns!$D$5,1,IF(V546&lt;=Breakdowns!$D$6,2,IF(V546&lt;=Breakdowns!$D$7,3,4))))</f>
        <v>4</v>
      </c>
      <c r="Y546" s="34">
        <f>INDEX(Stores!$F$2:$F$21,MATCH(B546,Stores!$A$2:$A$21,0))</f>
        <v>4.89</v>
      </c>
      <c r="Z546" s="33">
        <f>IF(Y546&gt;Store_Summary!$M$2,1,0)</f>
        <v>0</v>
      </c>
      <c r="AA546" s="33">
        <f>INDEX(Stores!$C$2:$C$21,MATCH(B546,Stores!$A$2:$A$21,0))</f>
        <v>138</v>
      </c>
      <c r="AB546" s="33">
        <f>IF(AA546&lt;180,1,0)</f>
        <v>1</v>
      </c>
      <c r="AC546" s="32" t="str">
        <f>IF(Orders!D543="","",INDEX(Riders!$C$2:$C$81,MATCH(Orders!D543,Riders!$A$2:$A$81,0)))</f>
        <v>Petrol scooter</v>
      </c>
      <c r="AD546" s="33">
        <f>IF(Orders!D543="","",INDEX(Riders!$D$2:$D$81,MATCH(Orders!D543,Riders!$A$2:$A$81,0)))</f>
        <v>32</v>
      </c>
      <c r="AE546" s="33">
        <f>IF(Orders!D543="","",IF(INDEX(Riders!$B$2:$B$81,MATCH(Orders!D543,Riders!$A$2:$A$81,0))=B546,1,0))</f>
        <v>0</v>
      </c>
      <c r="AF546" s="34">
        <f>IF(E546=1,Orders!L543,"")</f>
        <v>0.7</v>
      </c>
      <c r="AG546" s="34">
        <f>IF(E546=1,Orders!P543,"")</f>
        <v>10.6</v>
      </c>
      <c r="AH546" s="34">
        <f>IF(E546=1,Orders!Q543,"")</f>
        <v>16.4</v>
      </c>
      <c r="AI546" s="34">
        <f>IF(E546=1,Orders!M543,"")</f>
        <v>6.8</v>
      </c>
      <c r="AJ546" s="34">
        <f>IF(E546=1,Orders!N543,"")</f>
        <v>6.6</v>
      </c>
      <c r="AK546" s="34">
        <f>IF(E546=1,Orders!O543,"")</f>
        <v>3</v>
      </c>
      <c r="AL546" s="33">
        <f>IF(E546=1,IF(ROUND(ABS(AI546+AJ546+AK546-AH546),6)&lt;=0.1,1,0),"")</f>
        <v>1</v>
      </c>
      <c r="AM546" s="36">
        <f>IF(E546=1,AI546/AH546,"")</f>
        <v>0.414634146341463</v>
      </c>
      <c r="AN546" s="36">
        <f>IF(E546=1,AJ546/AH546,"")</f>
        <v>0.402439024390244</v>
      </c>
      <c r="AO546" s="36">
        <f>IF(E546=1,AK546/AH546,"")</f>
        <v>0.182926829268293</v>
      </c>
      <c r="AP546" s="34">
        <f>IF(E546=1,Orders!Y543,"")</f>
        <v>0.59</v>
      </c>
      <c r="AQ546" s="33">
        <f>IF(Orders!X543,1,0)</f>
        <v>0</v>
      </c>
      <c r="AR546" s="34" t="str">
        <f>IF(AND(E546=1,L546=1),AJ546,"")</f>
        <v/>
      </c>
      <c r="AS546" s="34">
        <f>IF(AND(E546=1,L546=0),AJ546,"")</f>
        <v>6.6</v>
      </c>
      <c r="AT546" s="34" t="str">
        <f>IF(AND(E546=1,L546=1),AI546,"")</f>
        <v/>
      </c>
      <c r="AU546" s="34">
        <f>IF(AND(E546=1,L546=0),AI546,"")</f>
        <v>6.8</v>
      </c>
      <c r="AV546" s="34" t="str">
        <f>IF(AND(E546=1,L546=1),AG546,"")</f>
        <v/>
      </c>
      <c r="AW546" s="34">
        <f>IF(AND(E546=1,L546=0),AG546,"")</f>
        <v>10.6</v>
      </c>
      <c r="AX546" s="34" t="str">
        <f>IF(AND(E546=1,L546=1),AH546,"")</f>
        <v/>
      </c>
      <c r="AY546" s="34">
        <f>IF(AND(E546=1,L546=0),AH546,"")</f>
        <v>16.4</v>
      </c>
      <c r="AZ546" s="34">
        <f>IF(G546=1,F546,"")</f>
        <v>5.8</v>
      </c>
      <c r="BA546" s="34" t="str">
        <f>IF(AND(G546=1,L546=1),F546,"")</f>
        <v/>
      </c>
      <c r="BB546" s="34">
        <f>IF(AND(G546=1,L546=0),F546,"")</f>
        <v>5.8</v>
      </c>
      <c r="BC546" s="33">
        <f>IF(E546=1,IF(Orders!R543&gt;3,1,0),"")</f>
        <v>1</v>
      </c>
      <c r="BD546" s="33">
        <f>IF(E546=1,IF(Orders!R543&gt;7,1,0),"")</f>
        <v>0</v>
      </c>
      <c r="BE546" s="32" t="str">
        <f>IF(E546=1,IF(Orders!L543&lt;=1.5,"Up to 1.5 km",IF(Orders!L543&lt;=3,"1.5–3 km","Over 3 km")),"")</f>
        <v>Up to 1.5 km</v>
      </c>
      <c r="BF546" s="33">
        <f>IF(E546=1,IF(ABS((Orders!G543-Orders!F543)*1440-Orders!R543)&lt;0.06,1,0),"")</f>
        <v>1</v>
      </c>
      <c r="BG546" s="33">
        <f>IF(ABS((Orders!F543-Orders!E543)*1440-Orders!P543)&lt;0.06,1,0)</f>
        <v>1</v>
      </c>
      <c r="BH546" s="33">
        <f>IF(E546=1,IF(IF(Orders!S543,1,0)=1-G546,1,0),"")</f>
        <v>1</v>
      </c>
      <c r="BI546" s="32" t="str">
        <f>INDEX(Stores!$B$2:$B$21,MATCH(B546,Stores!$A$2:$A$21,0))</f>
        <v>Delhi</v>
      </c>
    </row>
    <row r="547">
      <c r="A547" s="32" t="str">
        <f>Orders!A544</f>
        <v>O00543</v>
      </c>
      <c r="B547" s="32" t="str">
        <f>Orders!C544</f>
        <v>S002</v>
      </c>
      <c r="C547" s="32" t="str">
        <f>Orders!B544</f>
        <v>C0017</v>
      </c>
      <c r="D547" s="32" t="str">
        <f>Orders!H544</f>
        <v>Delivered</v>
      </c>
      <c r="E547" s="33">
        <f>IF(Orders!H544="Delivered",1,0)</f>
        <v>1</v>
      </c>
      <c r="F547" s="34">
        <f>IF(E547=1,Orders!R544,"")</f>
        <v>-0.8</v>
      </c>
      <c r="G547" s="33">
        <f>IF(E547=1,IF(Orders!R544&gt;0,1,0),"")</f>
        <v>0</v>
      </c>
      <c r="H547" s="33">
        <f>IF(E547=1,IF(Orders!R544&gt;5,1,0),"")</f>
        <v>0</v>
      </c>
      <c r="I547" s="32" t="str">
        <f>IF(E547=1,"",IF(OR(Orders!T544="Rider unavailable",Orders!T544="Item unavailable"),"Company-caused","Unresolved"))</f>
        <v/>
      </c>
      <c r="J547" s="33">
        <f>IF(OR(E547=1,I547="Company-caused"),1,0)</f>
        <v>1</v>
      </c>
      <c r="K547" s="32" t="str">
        <f>IF(E547=0,IF(I547="Company-caused",IF(Orders!T544="Rider unavailable","C1 Rider unavailable","C2 Item unavailable"),"Outside root: unresolved"),IF(G547=0,"A On time",IF(H547=1,IF(L547=1,"B2a Severe, peak","B2b Severe, off-peak"),IF(L547=1,"B1a Slight, peak","B1b Slight, off-peak"))))</f>
        <v>A On time</v>
      </c>
      <c r="L547" s="33">
        <f>IF(AND(Orders!U544&gt;=19,Orders!U544&lt;22),1,0)</f>
        <v>1</v>
      </c>
      <c r="M547" s="33">
        <f>IF(L547=IF(Orders!V544,1,0),1,0)</f>
        <v>1</v>
      </c>
      <c r="N547" s="32" t="str">
        <f>IF(Orders!W544="","None",Orders!W544)</f>
        <v>None</v>
      </c>
      <c r="O547" s="35">
        <f>INT(Orders!E544)</f>
        <v>46278.0</v>
      </c>
      <c r="P547" s="33">
        <f>Orders!U544</f>
        <v>20</v>
      </c>
      <c r="Q547" s="33">
        <f>COUNTIFS(Demand!$A$2:$A$4481,B547,Demand!$B$2:$B$4481,O547,Demand!$C$2:$C$4481,P547)</f>
        <v>1</v>
      </c>
      <c r="R547" s="33">
        <f>IF(Q547=1,SUMIFS(Demand!$E$2:$E$4481,Demand!$A$2:$A$4481,B547,Demand!$B$2:$B$4481,O547,Demand!$C$2:$C$4481,P547),"")</f>
        <v>60</v>
      </c>
      <c r="S547" s="33">
        <f>INDEX(Stores!$G$2:$G$21,MATCH(B547,Stores!$A$2:$A$21,0))</f>
        <v>33</v>
      </c>
      <c r="T547" s="34">
        <f>IF(R547="","",R547/S547)</f>
        <v>1.81818181818182</v>
      </c>
      <c r="U547" s="34">
        <f>IF(E547=1,T547,"")</f>
        <v>1.81818181818182</v>
      </c>
      <c r="V547" s="34" t="str">
        <f>IF(AND(E547=1,L547=0),T547,"")</f>
        <v/>
      </c>
      <c r="W547" s="33">
        <f>IF(U547="","",IF(U547&lt;=Breakdowns!$C$5,1,IF(U547&lt;=Breakdowns!$C$6,2,IF(U547&lt;=Breakdowns!$C$7,3,4))))</f>
        <v>4</v>
      </c>
      <c r="X547" s="33" t="str">
        <f>IF(V547="","",IF(V547&lt;=Breakdowns!$D$5,1,IF(V547&lt;=Breakdowns!$D$6,2,IF(V547&lt;=Breakdowns!$D$7,3,4))))</f>
        <v/>
      </c>
      <c r="Y547" s="34">
        <f>INDEX(Stores!$F$2:$F$21,MATCH(B547,Stores!$A$2:$A$21,0))</f>
        <v>2.39</v>
      </c>
      <c r="Z547" s="33">
        <f>IF(Y547&gt;Store_Summary!$M$2,1,0)</f>
        <v>0</v>
      </c>
      <c r="AA547" s="33">
        <f>INDEX(Stores!$C$2:$C$21,MATCH(B547,Stores!$A$2:$A$21,0))</f>
        <v>470</v>
      </c>
      <c r="AB547" s="33">
        <f>IF(AA547&lt;180,1,0)</f>
        <v>0</v>
      </c>
      <c r="AC547" s="32" t="str">
        <f>IF(Orders!D544="","",INDEX(Riders!$C$2:$C$81,MATCH(Orders!D544,Riders!$A$2:$A$81,0)))</f>
        <v>Petrol scooter</v>
      </c>
      <c r="AD547" s="33">
        <f>IF(Orders!D544="","",INDEX(Riders!$D$2:$D$81,MATCH(Orders!D544,Riders!$A$2:$A$81,0)))</f>
        <v>48</v>
      </c>
      <c r="AE547" s="33">
        <f>IF(Orders!D544="","",IF(INDEX(Riders!$B$2:$B$81,MATCH(Orders!D544,Riders!$A$2:$A$81,0))=B547,1,0))</f>
        <v>0</v>
      </c>
      <c r="AF547" s="34">
        <f>IF(E547=1,Orders!L544,"")</f>
        <v>3.69</v>
      </c>
      <c r="AG547" s="34">
        <f>IF(E547=1,Orders!P544,"")</f>
        <v>10.6</v>
      </c>
      <c r="AH547" s="34">
        <f>IF(E547=1,Orders!Q544,"")</f>
        <v>9.8</v>
      </c>
      <c r="AI547" s="34">
        <f>IF(E547=1,Orders!M544,"")</f>
        <v>1.5</v>
      </c>
      <c r="AJ547" s="34">
        <f>IF(E547=1,Orders!N544,"")</f>
        <v>3.9</v>
      </c>
      <c r="AK547" s="34">
        <f>IF(E547=1,Orders!O544,"")</f>
        <v>4.4</v>
      </c>
      <c r="AL547" s="33">
        <f>IF(E547=1,IF(ROUND(ABS(AI547+AJ547+AK547-AH547),6)&lt;=0.1,1,0),"")</f>
        <v>1</v>
      </c>
      <c r="AM547" s="36">
        <f>IF(E547=1,AI547/AH547,"")</f>
        <v>0.153061224489796</v>
      </c>
      <c r="AN547" s="36">
        <f>IF(E547=1,AJ547/AH547,"")</f>
        <v>0.397959183673469</v>
      </c>
      <c r="AO547" s="36">
        <f>IF(E547=1,AK547/AH547,"")</f>
        <v>0.448979591836735</v>
      </c>
      <c r="AP547" s="34">
        <f>IF(E547=1,Orders!Y544,"")</f>
        <v>0.65</v>
      </c>
      <c r="AQ547" s="33">
        <f>IF(Orders!X544,1,0)</f>
        <v>0</v>
      </c>
      <c r="AR547" s="34">
        <f>IF(AND(E547=1,L547=1),AJ547,"")</f>
        <v>3.9</v>
      </c>
      <c r="AS547" s="34" t="str">
        <f>IF(AND(E547=1,L547=0),AJ547,"")</f>
        <v/>
      </c>
      <c r="AT547" s="34">
        <f>IF(AND(E547=1,L547=1),AI547,"")</f>
        <v>1.5</v>
      </c>
      <c r="AU547" s="34" t="str">
        <f>IF(AND(E547=1,L547=0),AI547,"")</f>
        <v/>
      </c>
      <c r="AV547" s="34">
        <f>IF(AND(E547=1,L547=1),AG547,"")</f>
        <v>10.6</v>
      </c>
      <c r="AW547" s="34" t="str">
        <f>IF(AND(E547=1,L547=0),AG547,"")</f>
        <v/>
      </c>
      <c r="AX547" s="34">
        <f>IF(AND(E547=1,L547=1),AH547,"")</f>
        <v>9.8</v>
      </c>
      <c r="AY547" s="34" t="str">
        <f>IF(AND(E547=1,L547=0),AH547,"")</f>
        <v/>
      </c>
      <c r="AZ547" s="34" t="str">
        <f>IF(G547=1,F547,"")</f>
        <v/>
      </c>
      <c r="BA547" s="34" t="str">
        <f>IF(AND(G547=1,L547=1),F547,"")</f>
        <v/>
      </c>
      <c r="BB547" s="34" t="str">
        <f>IF(AND(G547=1,L547=0),F547,"")</f>
        <v/>
      </c>
      <c r="BC547" s="33">
        <f>IF(E547=1,IF(Orders!R544&gt;3,1,0),"")</f>
        <v>0</v>
      </c>
      <c r="BD547" s="33">
        <f>IF(E547=1,IF(Orders!R544&gt;7,1,0),"")</f>
        <v>0</v>
      </c>
      <c r="BE547" s="32" t="str">
        <f>IF(E547=1,IF(Orders!L544&lt;=1.5,"Up to 1.5 km",IF(Orders!L544&lt;=3,"1.5–3 km","Over 3 km")),"")</f>
        <v>Over 3 km</v>
      </c>
      <c r="BF547" s="33">
        <f>IF(E547=1,IF(ABS((Orders!G544-Orders!F544)*1440-Orders!R544)&lt;0.06,1,0),"")</f>
        <v>1</v>
      </c>
      <c r="BG547" s="33">
        <f>IF(ABS((Orders!F544-Orders!E544)*1440-Orders!P544)&lt;0.06,1,0)</f>
        <v>1</v>
      </c>
      <c r="BH547" s="33">
        <f>IF(E547=1,IF(IF(Orders!S544,1,0)=1-G547,1,0),"")</f>
        <v>1</v>
      </c>
      <c r="BI547" s="32" t="str">
        <f>INDEX(Stores!$B$2:$B$21,MATCH(B547,Stores!$A$2:$A$21,0))</f>
        <v>Hyderabad</v>
      </c>
    </row>
    <row r="548">
      <c r="A548" s="32" t="str">
        <f>Orders!A545</f>
        <v>O00544</v>
      </c>
      <c r="B548" s="32" t="str">
        <f>Orders!C545</f>
        <v>S003</v>
      </c>
      <c r="C548" s="32" t="str">
        <f>Orders!B545</f>
        <v>C0126</v>
      </c>
      <c r="D548" s="32" t="str">
        <f>Orders!H545</f>
        <v>Delivered</v>
      </c>
      <c r="E548" s="33">
        <f>IF(Orders!H545="Delivered",1,0)</f>
        <v>1</v>
      </c>
      <c r="F548" s="34">
        <f>IF(E548=1,Orders!R545,"")</f>
        <v>1</v>
      </c>
      <c r="G548" s="33">
        <f>IF(E548=1,IF(Orders!R545&gt;0,1,0),"")</f>
        <v>1</v>
      </c>
      <c r="H548" s="33">
        <f>IF(E548=1,IF(Orders!R545&gt;5,1,0),"")</f>
        <v>0</v>
      </c>
      <c r="I548" s="32" t="str">
        <f>IF(E548=1,"",IF(OR(Orders!T545="Rider unavailable",Orders!T545="Item unavailable"),"Company-caused","Unresolved"))</f>
        <v/>
      </c>
      <c r="J548" s="33">
        <f>IF(OR(E548=1,I548="Company-caused"),1,0)</f>
        <v>1</v>
      </c>
      <c r="K548" s="32" t="str">
        <f>IF(E548=0,IF(I548="Company-caused",IF(Orders!T545="Rider unavailable","C1 Rider unavailable","C2 Item unavailable"),"Outside root: unresolved"),IF(G548=0,"A On time",IF(H548=1,IF(L548=1,"B2a Severe, peak","B2b Severe, off-peak"),IF(L548=1,"B1a Slight, peak","B1b Slight, off-peak"))))</f>
        <v>B1b Slight, off-peak</v>
      </c>
      <c r="L548" s="33">
        <f>IF(AND(Orders!U545&gt;=19,Orders!U545&lt;22),1,0)</f>
        <v>0</v>
      </c>
      <c r="M548" s="33">
        <f>IF(L548=IF(Orders!V545,1,0),1,0)</f>
        <v>1</v>
      </c>
      <c r="N548" s="32" t="str">
        <f>IF(Orders!W545="","None",Orders!W545)</f>
        <v>None</v>
      </c>
      <c r="O548" s="35">
        <f>INT(Orders!E545)</f>
        <v>46268.0</v>
      </c>
      <c r="P548" s="33">
        <f>Orders!U545</f>
        <v>22</v>
      </c>
      <c r="Q548" s="33">
        <f>COUNTIFS(Demand!$A$2:$A$4481,B548,Demand!$B$2:$B$4481,O548,Demand!$C$2:$C$4481,P548)</f>
        <v>1</v>
      </c>
      <c r="R548" s="33">
        <f>IF(Q548=1,SUMIFS(Demand!$E$2:$E$4481,Demand!$A$2:$A$4481,B548,Demand!$B$2:$B$4481,O548,Demand!$C$2:$C$4481,P548),"")</f>
        <v>46</v>
      </c>
      <c r="S548" s="33">
        <f>INDEX(Stores!$G$2:$G$21,MATCH(B548,Stores!$A$2:$A$21,0))</f>
        <v>41</v>
      </c>
      <c r="T548" s="34">
        <f>IF(R548="","",R548/S548)</f>
        <v>1.1219512195122</v>
      </c>
      <c r="U548" s="34">
        <f>IF(E548=1,T548,"")</f>
        <v>1.1219512195122</v>
      </c>
      <c r="V548" s="34">
        <f>IF(AND(E548=1,L548=0),T548,"")</f>
        <v>1.1219512195122</v>
      </c>
      <c r="W548" s="33">
        <f>IF(U548="","",IF(U548&lt;=Breakdowns!$C$5,1,IF(U548&lt;=Breakdowns!$C$6,2,IF(U548&lt;=Breakdowns!$C$7,3,4))))</f>
        <v>3</v>
      </c>
      <c r="X548" s="33">
        <f>IF(V548="","",IF(V548&lt;=Breakdowns!$D$5,1,IF(V548&lt;=Breakdowns!$D$6,2,IF(V548&lt;=Breakdowns!$D$7,3,4))))</f>
        <v>4</v>
      </c>
      <c r="Y548" s="34">
        <f>INDEX(Stores!$F$2:$F$21,MATCH(B548,Stores!$A$2:$A$21,0))</f>
        <v>3.84</v>
      </c>
      <c r="Z548" s="33">
        <f>IF(Y548&gt;Store_Summary!$M$2,1,0)</f>
        <v>0</v>
      </c>
      <c r="AA548" s="33">
        <f>INDEX(Stores!$C$2:$C$21,MATCH(B548,Stores!$A$2:$A$21,0))</f>
        <v>426</v>
      </c>
      <c r="AB548" s="33">
        <f>IF(AA548&lt;180,1,0)</f>
        <v>0</v>
      </c>
      <c r="AC548" s="32" t="str">
        <f>IF(Orders!D545="","",INDEX(Riders!$C$2:$C$81,MATCH(Orders!D545,Riders!$A$2:$A$81,0)))</f>
        <v>Petrol scooter</v>
      </c>
      <c r="AD548" s="33">
        <f>IF(Orders!D545="","",INDEX(Riders!$D$2:$D$81,MATCH(Orders!D545,Riders!$A$2:$A$81,0)))</f>
        <v>42</v>
      </c>
      <c r="AE548" s="33">
        <f>IF(Orders!D545="","",IF(INDEX(Riders!$B$2:$B$81,MATCH(Orders!D545,Riders!$A$2:$A$81,0))=B548,1,0))</f>
        <v>0</v>
      </c>
      <c r="AF548" s="34">
        <f>IF(E548=1,Orders!L545,"")</f>
        <v>0.5</v>
      </c>
      <c r="AG548" s="34">
        <f>IF(E548=1,Orders!P545,"")</f>
        <v>9.4</v>
      </c>
      <c r="AH548" s="34">
        <f>IF(E548=1,Orders!Q545,"")</f>
        <v>10.4</v>
      </c>
      <c r="AI548" s="34">
        <f>IF(E548=1,Orders!M545,"")</f>
        <v>3.7</v>
      </c>
      <c r="AJ548" s="34">
        <f>IF(E548=1,Orders!N545,"")</f>
        <v>3.6</v>
      </c>
      <c r="AK548" s="34">
        <f>IF(E548=1,Orders!O545,"")</f>
        <v>3.1</v>
      </c>
      <c r="AL548" s="33">
        <f>IF(E548=1,IF(ROUND(ABS(AI548+AJ548+AK548-AH548),6)&lt;=0.1,1,0),"")</f>
        <v>1</v>
      </c>
      <c r="AM548" s="36">
        <f>IF(E548=1,AI548/AH548,"")</f>
        <v>0.355769230769231</v>
      </c>
      <c r="AN548" s="36">
        <f>IF(E548=1,AJ548/AH548,"")</f>
        <v>0.346153846153846</v>
      </c>
      <c r="AO548" s="36">
        <f>IF(E548=1,AK548/AH548,"")</f>
        <v>0.298076923076923</v>
      </c>
      <c r="AP548" s="34">
        <f>IF(E548=1,Orders!Y545,"")</f>
        <v>0.68</v>
      </c>
      <c r="AQ548" s="33">
        <f>IF(Orders!X545,1,0)</f>
        <v>0</v>
      </c>
      <c r="AR548" s="34" t="str">
        <f>IF(AND(E548=1,L548=1),AJ548,"")</f>
        <v/>
      </c>
      <c r="AS548" s="34">
        <f>IF(AND(E548=1,L548=0),AJ548,"")</f>
        <v>3.6</v>
      </c>
      <c r="AT548" s="34" t="str">
        <f>IF(AND(E548=1,L548=1),AI548,"")</f>
        <v/>
      </c>
      <c r="AU548" s="34">
        <f>IF(AND(E548=1,L548=0),AI548,"")</f>
        <v>3.7</v>
      </c>
      <c r="AV548" s="34" t="str">
        <f>IF(AND(E548=1,L548=1),AG548,"")</f>
        <v/>
      </c>
      <c r="AW548" s="34">
        <f>IF(AND(E548=1,L548=0),AG548,"")</f>
        <v>9.4</v>
      </c>
      <c r="AX548" s="34" t="str">
        <f>IF(AND(E548=1,L548=1),AH548,"")</f>
        <v/>
      </c>
      <c r="AY548" s="34">
        <f>IF(AND(E548=1,L548=0),AH548,"")</f>
        <v>10.4</v>
      </c>
      <c r="AZ548" s="34">
        <f>IF(G548=1,F548,"")</f>
        <v>1</v>
      </c>
      <c r="BA548" s="34" t="str">
        <f>IF(AND(G548=1,L548=1),F548,"")</f>
        <v/>
      </c>
      <c r="BB548" s="34">
        <f>IF(AND(G548=1,L548=0),F548,"")</f>
        <v>1</v>
      </c>
      <c r="BC548" s="33">
        <f>IF(E548=1,IF(Orders!R545&gt;3,1,0),"")</f>
        <v>0</v>
      </c>
      <c r="BD548" s="33">
        <f>IF(E548=1,IF(Orders!R545&gt;7,1,0),"")</f>
        <v>0</v>
      </c>
      <c r="BE548" s="32" t="str">
        <f>IF(E548=1,IF(Orders!L545&lt;=1.5,"Up to 1.5 km",IF(Orders!L545&lt;=3,"1.5–3 km","Over 3 km")),"")</f>
        <v>Up to 1.5 km</v>
      </c>
      <c r="BF548" s="33">
        <f>IF(E548=1,IF(ABS((Orders!G545-Orders!F545)*1440-Orders!R545)&lt;0.06,1,0),"")</f>
        <v>1</v>
      </c>
      <c r="BG548" s="33">
        <f>IF(ABS((Orders!F545-Orders!E545)*1440-Orders!P545)&lt;0.06,1,0)</f>
        <v>1</v>
      </c>
      <c r="BH548" s="33">
        <f>IF(E548=1,IF(IF(Orders!S545,1,0)=1-G548,1,0),"")</f>
        <v>1</v>
      </c>
      <c r="BI548" s="32" t="str">
        <f>INDEX(Stores!$B$2:$B$21,MATCH(B548,Stores!$A$2:$A$21,0))</f>
        <v>Mumbai</v>
      </c>
    </row>
    <row r="549">
      <c r="A549" s="32" t="str">
        <f>Orders!A546</f>
        <v>O00545</v>
      </c>
      <c r="B549" s="32" t="str">
        <f>Orders!C546</f>
        <v>S017</v>
      </c>
      <c r="C549" s="32" t="str">
        <f>Orders!B546</f>
        <v>C0146</v>
      </c>
      <c r="D549" s="32" t="str">
        <f>Orders!H546</f>
        <v>Delivered</v>
      </c>
      <c r="E549" s="33">
        <f>IF(Orders!H546="Delivered",1,0)</f>
        <v>1</v>
      </c>
      <c r="F549" s="34">
        <f>IF(E549=1,Orders!R546,"")</f>
        <v>-0.3</v>
      </c>
      <c r="G549" s="33">
        <f>IF(E549=1,IF(Orders!R546&gt;0,1,0),"")</f>
        <v>0</v>
      </c>
      <c r="H549" s="33">
        <f>IF(E549=1,IF(Orders!R546&gt;5,1,0),"")</f>
        <v>0</v>
      </c>
      <c r="I549" s="32" t="str">
        <f>IF(E549=1,"",IF(OR(Orders!T546="Rider unavailable",Orders!T546="Item unavailable"),"Company-caused","Unresolved"))</f>
        <v/>
      </c>
      <c r="J549" s="33">
        <f>IF(OR(E549=1,I549="Company-caused"),1,0)</f>
        <v>1</v>
      </c>
      <c r="K549" s="32" t="str">
        <f>IF(E549=0,IF(I549="Company-caused",IF(Orders!T546="Rider unavailable","C1 Rider unavailable","C2 Item unavailable"),"Outside root: unresolved"),IF(G549=0,"A On time",IF(H549=1,IF(L549=1,"B2a Severe, peak","B2b Severe, off-peak"),IF(L549=1,"B1a Slight, peak","B1b Slight, off-peak"))))</f>
        <v>A On time</v>
      </c>
      <c r="L549" s="33">
        <f>IF(AND(Orders!U546&gt;=19,Orders!U546&lt;22),1,0)</f>
        <v>1</v>
      </c>
      <c r="M549" s="33">
        <f>IF(L549=IF(Orders!V546,1,0),1,0)</f>
        <v>1</v>
      </c>
      <c r="N549" s="32" t="str">
        <f>IF(Orders!W546="","None",Orders!W546)</f>
        <v>None</v>
      </c>
      <c r="O549" s="35">
        <f>INT(Orders!E546)</f>
        <v>46268.0</v>
      </c>
      <c r="P549" s="33">
        <f>Orders!U546</f>
        <v>19</v>
      </c>
      <c r="Q549" s="33">
        <f>COUNTIFS(Demand!$A$2:$A$4481,B549,Demand!$B$2:$B$4481,O549,Demand!$C$2:$C$4481,P549)</f>
        <v>1</v>
      </c>
      <c r="R549" s="33">
        <f>IF(Q549=1,SUMIFS(Demand!$E$2:$E$4481,Demand!$A$2:$A$4481,B549,Demand!$B$2:$B$4481,O549,Demand!$C$2:$C$4481,P549),"")</f>
        <v>48</v>
      </c>
      <c r="S549" s="33">
        <f>INDEX(Stores!$G$2:$G$21,MATCH(B549,Stores!$A$2:$A$21,0))</f>
        <v>36</v>
      </c>
      <c r="T549" s="34">
        <f>IF(R549="","",R549/S549)</f>
        <v>1.33333333333333</v>
      </c>
      <c r="U549" s="34">
        <f>IF(E549=1,T549,"")</f>
        <v>1.33333333333333</v>
      </c>
      <c r="V549" s="34" t="str">
        <f>IF(AND(E549=1,L549=0),T549,"")</f>
        <v/>
      </c>
      <c r="W549" s="33">
        <f>IF(U549="","",IF(U549&lt;=Breakdowns!$C$5,1,IF(U549&lt;=Breakdowns!$C$6,2,IF(U549&lt;=Breakdowns!$C$7,3,4))))</f>
        <v>4</v>
      </c>
      <c r="X549" s="33" t="str">
        <f>IF(V549="","",IF(V549&lt;=Breakdowns!$D$5,1,IF(V549&lt;=Breakdowns!$D$6,2,IF(V549&lt;=Breakdowns!$D$7,3,4))))</f>
        <v/>
      </c>
      <c r="Y549" s="34">
        <f>INDEX(Stores!$F$2:$F$21,MATCH(B549,Stores!$A$2:$A$21,0))</f>
        <v>2.16</v>
      </c>
      <c r="Z549" s="33">
        <f>IF(Y549&gt;Store_Summary!$M$2,1,0)</f>
        <v>0</v>
      </c>
      <c r="AA549" s="33">
        <f>INDEX(Stores!$C$2:$C$21,MATCH(B549,Stores!$A$2:$A$21,0))</f>
        <v>47</v>
      </c>
      <c r="AB549" s="33">
        <f>IF(AA549&lt;180,1,0)</f>
        <v>1</v>
      </c>
      <c r="AC549" s="32" t="str">
        <f>IF(Orders!D546="","",INDEX(Riders!$C$2:$C$81,MATCH(Orders!D546,Riders!$A$2:$A$81,0)))</f>
        <v>Petrol scooter</v>
      </c>
      <c r="AD549" s="33">
        <f>IF(Orders!D546="","",INDEX(Riders!$D$2:$D$81,MATCH(Orders!D546,Riders!$A$2:$A$81,0)))</f>
        <v>29</v>
      </c>
      <c r="AE549" s="33">
        <f>IF(Orders!D546="","",IF(INDEX(Riders!$B$2:$B$81,MATCH(Orders!D546,Riders!$A$2:$A$81,0))=B549,1,0))</f>
        <v>0</v>
      </c>
      <c r="AF549" s="34">
        <f>IF(E549=1,Orders!L546,"")</f>
        <v>0.5</v>
      </c>
      <c r="AG549" s="34">
        <f>IF(E549=1,Orders!P546,"")</f>
        <v>10.3</v>
      </c>
      <c r="AH549" s="34">
        <f>IF(E549=1,Orders!Q546,"")</f>
        <v>10</v>
      </c>
      <c r="AI549" s="34">
        <f>IF(E549=1,Orders!M546,"")</f>
        <v>3.3</v>
      </c>
      <c r="AJ549" s="34">
        <f>IF(E549=1,Orders!N546,"")</f>
        <v>4.7</v>
      </c>
      <c r="AK549" s="34">
        <f>IF(E549=1,Orders!O546,"")</f>
        <v>2</v>
      </c>
      <c r="AL549" s="33">
        <f>IF(E549=1,IF(ROUND(ABS(AI549+AJ549+AK549-AH549),6)&lt;=0.1,1,0),"")</f>
        <v>1</v>
      </c>
      <c r="AM549" s="36">
        <f>IF(E549=1,AI549/AH549,"")</f>
        <v>0.33</v>
      </c>
      <c r="AN549" s="36">
        <f>IF(E549=1,AJ549/AH549,"")</f>
        <v>0.47</v>
      </c>
      <c r="AO549" s="36">
        <f>IF(E549=1,AK549/AH549,"")</f>
        <v>0.2</v>
      </c>
      <c r="AP549" s="34">
        <f>IF(E549=1,Orders!Y546,"")</f>
        <v>0.38</v>
      </c>
      <c r="AQ549" s="33">
        <f>IF(Orders!X546,1,0)</f>
        <v>0</v>
      </c>
      <c r="AR549" s="34">
        <f>IF(AND(E549=1,L549=1),AJ549,"")</f>
        <v>4.7</v>
      </c>
      <c r="AS549" s="34" t="str">
        <f>IF(AND(E549=1,L549=0),AJ549,"")</f>
        <v/>
      </c>
      <c r="AT549" s="34">
        <f>IF(AND(E549=1,L549=1),AI549,"")</f>
        <v>3.3</v>
      </c>
      <c r="AU549" s="34" t="str">
        <f>IF(AND(E549=1,L549=0),AI549,"")</f>
        <v/>
      </c>
      <c r="AV549" s="34">
        <f>IF(AND(E549=1,L549=1),AG549,"")</f>
        <v>10.3</v>
      </c>
      <c r="AW549" s="34" t="str">
        <f>IF(AND(E549=1,L549=0),AG549,"")</f>
        <v/>
      </c>
      <c r="AX549" s="34">
        <f>IF(AND(E549=1,L549=1),AH549,"")</f>
        <v>10</v>
      </c>
      <c r="AY549" s="34" t="str">
        <f>IF(AND(E549=1,L549=0),AH549,"")</f>
        <v/>
      </c>
      <c r="AZ549" s="34" t="str">
        <f>IF(G549=1,F549,"")</f>
        <v/>
      </c>
      <c r="BA549" s="34" t="str">
        <f>IF(AND(G549=1,L549=1),F549,"")</f>
        <v/>
      </c>
      <c r="BB549" s="34" t="str">
        <f>IF(AND(G549=1,L549=0),F549,"")</f>
        <v/>
      </c>
      <c r="BC549" s="33">
        <f>IF(E549=1,IF(Orders!R546&gt;3,1,0),"")</f>
        <v>0</v>
      </c>
      <c r="BD549" s="33">
        <f>IF(E549=1,IF(Orders!R546&gt;7,1,0),"")</f>
        <v>0</v>
      </c>
      <c r="BE549" s="32" t="str">
        <f>IF(E549=1,IF(Orders!L546&lt;=1.5,"Up to 1.5 km",IF(Orders!L546&lt;=3,"1.5–3 km","Over 3 km")),"")</f>
        <v>Up to 1.5 km</v>
      </c>
      <c r="BF549" s="33">
        <f>IF(E549=1,IF(ABS((Orders!G546-Orders!F546)*1440-Orders!R546)&lt;0.06,1,0),"")</f>
        <v>1</v>
      </c>
      <c r="BG549" s="33">
        <f>IF(ABS((Orders!F546-Orders!E546)*1440-Orders!P546)&lt;0.06,1,0)</f>
        <v>1</v>
      </c>
      <c r="BH549" s="33">
        <f>IF(E549=1,IF(IF(Orders!S546,1,0)=1-G549,1,0),"")</f>
        <v>1</v>
      </c>
      <c r="BI549" s="32" t="str">
        <f>INDEX(Stores!$B$2:$B$21,MATCH(B549,Stores!$A$2:$A$21,0))</f>
        <v>Hyderabad</v>
      </c>
    </row>
    <row r="550">
      <c r="A550" s="32" t="str">
        <f>Orders!A547</f>
        <v>O00546</v>
      </c>
      <c r="B550" s="32" t="str">
        <f>Orders!C547</f>
        <v>S007</v>
      </c>
      <c r="C550" s="32" t="str">
        <f>Orders!B547</f>
        <v>C0055</v>
      </c>
      <c r="D550" s="32" t="str">
        <f>Orders!H547</f>
        <v>Delivered</v>
      </c>
      <c r="E550" s="33">
        <f>IF(Orders!H547="Delivered",1,0)</f>
        <v>1</v>
      </c>
      <c r="F550" s="34">
        <f>IF(E550=1,Orders!R547,"")</f>
        <v>-0.4</v>
      </c>
      <c r="G550" s="33">
        <f>IF(E550=1,IF(Orders!R547&gt;0,1,0),"")</f>
        <v>0</v>
      </c>
      <c r="H550" s="33">
        <f>IF(E550=1,IF(Orders!R547&gt;5,1,0),"")</f>
        <v>0</v>
      </c>
      <c r="I550" s="32" t="str">
        <f>IF(E550=1,"",IF(OR(Orders!T547="Rider unavailable",Orders!T547="Item unavailable"),"Company-caused","Unresolved"))</f>
        <v/>
      </c>
      <c r="J550" s="33">
        <f>IF(OR(E550=1,I550="Company-caused"),1,0)</f>
        <v>1</v>
      </c>
      <c r="K550" s="32" t="str">
        <f>IF(E550=0,IF(I550="Company-caused",IF(Orders!T547="Rider unavailable","C1 Rider unavailable","C2 Item unavailable"),"Outside root: unresolved"),IF(G550=0,"A On time",IF(H550=1,IF(L550=1,"B2a Severe, peak","B2b Severe, off-peak"),IF(L550=1,"B1a Slight, peak","B1b Slight, off-peak"))))</f>
        <v>A On time</v>
      </c>
      <c r="L550" s="33">
        <f>IF(AND(Orders!U547&gt;=19,Orders!U547&lt;22),1,0)</f>
        <v>0</v>
      </c>
      <c r="M550" s="33">
        <f>IF(L550=IF(Orders!V547,1,0),1,0)</f>
        <v>1</v>
      </c>
      <c r="N550" s="32" t="str">
        <f>IF(Orders!W547="","None",Orders!W547)</f>
        <v>None</v>
      </c>
      <c r="O550" s="35">
        <f>INT(Orders!E547)</f>
        <v>46274.0</v>
      </c>
      <c r="P550" s="33">
        <f>Orders!U547</f>
        <v>9</v>
      </c>
      <c r="Q550" s="33">
        <f>COUNTIFS(Demand!$A$2:$A$4481,B550,Demand!$B$2:$B$4481,O550,Demand!$C$2:$C$4481,P550)</f>
        <v>1</v>
      </c>
      <c r="R550" s="33">
        <f>IF(Q550=1,SUMIFS(Demand!$E$2:$E$4481,Demand!$A$2:$A$4481,B550,Demand!$B$2:$B$4481,O550,Demand!$C$2:$C$4481,P550),"")</f>
        <v>20</v>
      </c>
      <c r="S550" s="33">
        <f>INDEX(Stores!$G$2:$G$21,MATCH(B550,Stores!$A$2:$A$21,0))</f>
        <v>37</v>
      </c>
      <c r="T550" s="34">
        <f>IF(R550="","",R550/S550)</f>
        <v>0.540540540540541</v>
      </c>
      <c r="U550" s="34">
        <f>IF(E550=1,T550,"")</f>
        <v>0.540540540540541</v>
      </c>
      <c r="V550" s="34">
        <f>IF(AND(E550=1,L550=0),T550,"")</f>
        <v>0.540540540540541</v>
      </c>
      <c r="W550" s="33">
        <f>IF(U550="","",IF(U550&lt;=Breakdowns!$C$5,1,IF(U550&lt;=Breakdowns!$C$6,2,IF(U550&lt;=Breakdowns!$C$7,3,4))))</f>
        <v>1</v>
      </c>
      <c r="X550" s="33">
        <f>IF(V550="","",IF(V550&lt;=Breakdowns!$D$5,1,IF(V550&lt;=Breakdowns!$D$6,2,IF(V550&lt;=Breakdowns!$D$7,3,4))))</f>
        <v>1</v>
      </c>
      <c r="Y550" s="34">
        <f>INDEX(Stores!$F$2:$F$21,MATCH(B550,Stores!$A$2:$A$21,0))</f>
        <v>4.05</v>
      </c>
      <c r="Z550" s="33">
        <f>IF(Y550&gt;Store_Summary!$M$2,1,0)</f>
        <v>0</v>
      </c>
      <c r="AA550" s="33">
        <f>INDEX(Stores!$C$2:$C$21,MATCH(B550,Stores!$A$2:$A$21,0))</f>
        <v>661</v>
      </c>
      <c r="AB550" s="33">
        <f>IF(AA550&lt;180,1,0)</f>
        <v>0</v>
      </c>
      <c r="AC550" s="32" t="str">
        <f>IF(Orders!D547="","",INDEX(Riders!$C$2:$C$81,MATCH(Orders!D547,Riders!$A$2:$A$81,0)))</f>
        <v>Petrol scooter</v>
      </c>
      <c r="AD550" s="33">
        <f>IF(Orders!D547="","",INDEX(Riders!$D$2:$D$81,MATCH(Orders!D547,Riders!$A$2:$A$81,0)))</f>
        <v>19</v>
      </c>
      <c r="AE550" s="33">
        <f>IF(Orders!D547="","",IF(INDEX(Riders!$B$2:$B$81,MATCH(Orders!D547,Riders!$A$2:$A$81,0))=B550,1,0))</f>
        <v>0</v>
      </c>
      <c r="AF550" s="34">
        <f>IF(E550=1,Orders!L547,"")</f>
        <v>0.93</v>
      </c>
      <c r="AG550" s="34">
        <f>IF(E550=1,Orders!P547,"")</f>
        <v>7.8</v>
      </c>
      <c r="AH550" s="34">
        <f>IF(E550=1,Orders!Q547,"")</f>
        <v>7.4</v>
      </c>
      <c r="AI550" s="34">
        <f>IF(E550=1,Orders!M547,"")</f>
        <v>2.4</v>
      </c>
      <c r="AJ550" s="34">
        <f>IF(E550=1,Orders!N547,"")</f>
        <v>3.8</v>
      </c>
      <c r="AK550" s="34">
        <f>IF(E550=1,Orders!O547,"")</f>
        <v>1.2</v>
      </c>
      <c r="AL550" s="33">
        <f>IF(E550=1,IF(ROUND(ABS(AI550+AJ550+AK550-AH550),6)&lt;=0.1,1,0),"")</f>
        <v>1</v>
      </c>
      <c r="AM550" s="36">
        <f>IF(E550=1,AI550/AH550,"")</f>
        <v>0.324324324324324</v>
      </c>
      <c r="AN550" s="36">
        <f>IF(E550=1,AJ550/AH550,"")</f>
        <v>0.513513513513514</v>
      </c>
      <c r="AO550" s="36">
        <f>IF(E550=1,AK550/AH550,"")</f>
        <v>0.162162162162162</v>
      </c>
      <c r="AP550" s="34">
        <f>IF(E550=1,Orders!Y547,"")</f>
        <v>0.34</v>
      </c>
      <c r="AQ550" s="33">
        <f>IF(Orders!X547,1,0)</f>
        <v>1</v>
      </c>
      <c r="AR550" s="34" t="str">
        <f>IF(AND(E550=1,L550=1),AJ550,"")</f>
        <v/>
      </c>
      <c r="AS550" s="34">
        <f>IF(AND(E550=1,L550=0),AJ550,"")</f>
        <v>3.8</v>
      </c>
      <c r="AT550" s="34" t="str">
        <f>IF(AND(E550=1,L550=1),AI550,"")</f>
        <v/>
      </c>
      <c r="AU550" s="34">
        <f>IF(AND(E550=1,L550=0),AI550,"")</f>
        <v>2.4</v>
      </c>
      <c r="AV550" s="34" t="str">
        <f>IF(AND(E550=1,L550=1),AG550,"")</f>
        <v/>
      </c>
      <c r="AW550" s="34">
        <f>IF(AND(E550=1,L550=0),AG550,"")</f>
        <v>7.8</v>
      </c>
      <c r="AX550" s="34" t="str">
        <f>IF(AND(E550=1,L550=1),AH550,"")</f>
        <v/>
      </c>
      <c r="AY550" s="34">
        <f>IF(AND(E550=1,L550=0),AH550,"")</f>
        <v>7.4</v>
      </c>
      <c r="AZ550" s="34" t="str">
        <f>IF(G550=1,F550,"")</f>
        <v/>
      </c>
      <c r="BA550" s="34" t="str">
        <f>IF(AND(G550=1,L550=1),F550,"")</f>
        <v/>
      </c>
      <c r="BB550" s="34" t="str">
        <f>IF(AND(G550=1,L550=0),F550,"")</f>
        <v/>
      </c>
      <c r="BC550" s="33">
        <f>IF(E550=1,IF(Orders!R547&gt;3,1,0),"")</f>
        <v>0</v>
      </c>
      <c r="BD550" s="33">
        <f>IF(E550=1,IF(Orders!R547&gt;7,1,0),"")</f>
        <v>0</v>
      </c>
      <c r="BE550" s="32" t="str">
        <f>IF(E550=1,IF(Orders!L547&lt;=1.5,"Up to 1.5 km",IF(Orders!L547&lt;=3,"1.5–3 km","Over 3 km")),"")</f>
        <v>Up to 1.5 km</v>
      </c>
      <c r="BF550" s="33">
        <f>IF(E550=1,IF(ABS((Orders!G547-Orders!F547)*1440-Orders!R547)&lt;0.06,1,0),"")</f>
        <v>1</v>
      </c>
      <c r="BG550" s="33">
        <f>IF(ABS((Orders!F547-Orders!E547)*1440-Orders!P547)&lt;0.06,1,0)</f>
        <v>1</v>
      </c>
      <c r="BH550" s="33">
        <f>IF(E550=1,IF(IF(Orders!S547,1,0)=1-G550,1,0),"")</f>
        <v>1</v>
      </c>
      <c r="BI550" s="32" t="str">
        <f>INDEX(Stores!$B$2:$B$21,MATCH(B550,Stores!$A$2:$A$21,0))</f>
        <v>Hyderabad</v>
      </c>
    </row>
    <row r="551">
      <c r="A551" s="32" t="str">
        <f>Orders!A548</f>
        <v>O00547</v>
      </c>
      <c r="B551" s="32" t="str">
        <f>Orders!C548</f>
        <v>S016</v>
      </c>
      <c r="C551" s="32" t="str">
        <f>Orders!B548</f>
        <v>C0041</v>
      </c>
      <c r="D551" s="32" t="str">
        <f>Orders!H548</f>
        <v>Delivered</v>
      </c>
      <c r="E551" s="33">
        <f>IF(Orders!H548="Delivered",1,0)</f>
        <v>1</v>
      </c>
      <c r="F551" s="34">
        <f>IF(E551=1,Orders!R548,"")</f>
        <v>-1.1</v>
      </c>
      <c r="G551" s="33">
        <f>IF(E551=1,IF(Orders!R548&gt;0,1,0),"")</f>
        <v>0</v>
      </c>
      <c r="H551" s="33">
        <f>IF(E551=1,IF(Orders!R548&gt;5,1,0),"")</f>
        <v>0</v>
      </c>
      <c r="I551" s="32" t="str">
        <f>IF(E551=1,"",IF(OR(Orders!T548="Rider unavailable",Orders!T548="Item unavailable"),"Company-caused","Unresolved"))</f>
        <v/>
      </c>
      <c r="J551" s="33">
        <f>IF(OR(E551=1,I551="Company-caused"),1,0)</f>
        <v>1</v>
      </c>
      <c r="K551" s="32" t="str">
        <f>IF(E551=0,IF(I551="Company-caused",IF(Orders!T548="Rider unavailable","C1 Rider unavailable","C2 Item unavailable"),"Outside root: unresolved"),IF(G551=0,"A On time",IF(H551=1,IF(L551=1,"B2a Severe, peak","B2b Severe, off-peak"),IF(L551=1,"B1a Slight, peak","B1b Slight, off-peak"))))</f>
        <v>A On time</v>
      </c>
      <c r="L551" s="33">
        <f>IF(AND(Orders!U548&gt;=19,Orders!U548&lt;22),1,0)</f>
        <v>0</v>
      </c>
      <c r="M551" s="33">
        <f>IF(L551=IF(Orders!V548,1,0),1,0)</f>
        <v>1</v>
      </c>
      <c r="N551" s="32" t="str">
        <f>IF(Orders!W548="","None",Orders!W548)</f>
        <v>None</v>
      </c>
      <c r="O551" s="35">
        <f>INT(Orders!E548)</f>
        <v>46275.0</v>
      </c>
      <c r="P551" s="33">
        <f>Orders!U548</f>
        <v>12</v>
      </c>
      <c r="Q551" s="33">
        <f>COUNTIFS(Demand!$A$2:$A$4481,B551,Demand!$B$2:$B$4481,O551,Demand!$C$2:$C$4481,P551)</f>
        <v>1</v>
      </c>
      <c r="R551" s="33">
        <f>IF(Q551=1,SUMIFS(Demand!$E$2:$E$4481,Demand!$A$2:$A$4481,B551,Demand!$B$2:$B$4481,O551,Demand!$C$2:$C$4481,P551),"")</f>
        <v>25</v>
      </c>
      <c r="S551" s="33">
        <f>INDEX(Stores!$G$2:$G$21,MATCH(B551,Stores!$A$2:$A$21,0))</f>
        <v>25</v>
      </c>
      <c r="T551" s="34">
        <f>IF(R551="","",R551/S551)</f>
        <v>1</v>
      </c>
      <c r="U551" s="34">
        <f>IF(E551=1,T551,"")</f>
        <v>1</v>
      </c>
      <c r="V551" s="34">
        <f>IF(AND(E551=1,L551=0),T551,"")</f>
        <v>1</v>
      </c>
      <c r="W551" s="33">
        <f>IF(U551="","",IF(U551&lt;=Breakdowns!$C$5,1,IF(U551&lt;=Breakdowns!$C$6,2,IF(U551&lt;=Breakdowns!$C$7,3,4))))</f>
        <v>2</v>
      </c>
      <c r="X551" s="33">
        <f>IF(V551="","",IF(V551&lt;=Breakdowns!$D$5,1,IF(V551&lt;=Breakdowns!$D$6,2,IF(V551&lt;=Breakdowns!$D$7,3,4))))</f>
        <v>3</v>
      </c>
      <c r="Y551" s="34">
        <f>INDEX(Stores!$F$2:$F$21,MATCH(B551,Stores!$A$2:$A$21,0))</f>
        <v>5.51</v>
      </c>
      <c r="Z551" s="33">
        <f>IF(Y551&gt;Store_Summary!$M$2,1,0)</f>
        <v>1</v>
      </c>
      <c r="AA551" s="33">
        <f>INDEX(Stores!$C$2:$C$21,MATCH(B551,Stores!$A$2:$A$21,0))</f>
        <v>792</v>
      </c>
      <c r="AB551" s="33">
        <f>IF(AA551&lt;180,1,0)</f>
        <v>0</v>
      </c>
      <c r="AC551" s="32" t="str">
        <f>IF(Orders!D548="","",INDEX(Riders!$C$2:$C$81,MATCH(Orders!D548,Riders!$A$2:$A$81,0)))</f>
        <v>EV scooter</v>
      </c>
      <c r="AD551" s="33">
        <f>IF(Orders!D548="","",INDEX(Riders!$D$2:$D$81,MATCH(Orders!D548,Riders!$A$2:$A$81,0)))</f>
        <v>4</v>
      </c>
      <c r="AE551" s="33">
        <f>IF(Orders!D548="","",IF(INDEX(Riders!$B$2:$B$81,MATCH(Orders!D548,Riders!$A$2:$A$81,0))=B551,1,0))</f>
        <v>0</v>
      </c>
      <c r="AF551" s="34">
        <f>IF(E551=1,Orders!L548,"")</f>
        <v>1.65</v>
      </c>
      <c r="AG551" s="34">
        <f>IF(E551=1,Orders!P548,"")</f>
        <v>10.1</v>
      </c>
      <c r="AH551" s="34">
        <f>IF(E551=1,Orders!Q548,"")</f>
        <v>9</v>
      </c>
      <c r="AI551" s="34">
        <f>IF(E551=1,Orders!M548,"")</f>
        <v>3.5</v>
      </c>
      <c r="AJ551" s="34">
        <f>IF(E551=1,Orders!N548,"")</f>
        <v>2</v>
      </c>
      <c r="AK551" s="34">
        <f>IF(E551=1,Orders!O548,"")</f>
        <v>3.5</v>
      </c>
      <c r="AL551" s="33">
        <f>IF(E551=1,IF(ROUND(ABS(AI551+AJ551+AK551-AH551),6)&lt;=0.1,1,0),"")</f>
        <v>1</v>
      </c>
      <c r="AM551" s="36">
        <f>IF(E551=1,AI551/AH551,"")</f>
        <v>0.388888888888889</v>
      </c>
      <c r="AN551" s="36">
        <f>IF(E551=1,AJ551/AH551,"")</f>
        <v>0.222222222222222</v>
      </c>
      <c r="AO551" s="36">
        <f>IF(E551=1,AK551/AH551,"")</f>
        <v>0.388888888888889</v>
      </c>
      <c r="AP551" s="34">
        <f>IF(E551=1,Orders!Y548,"")</f>
        <v>0.77</v>
      </c>
      <c r="AQ551" s="33">
        <f>IF(Orders!X548,1,0)</f>
        <v>0</v>
      </c>
      <c r="AR551" s="34" t="str">
        <f>IF(AND(E551=1,L551=1),AJ551,"")</f>
        <v/>
      </c>
      <c r="AS551" s="34">
        <f>IF(AND(E551=1,L551=0),AJ551,"")</f>
        <v>2</v>
      </c>
      <c r="AT551" s="34" t="str">
        <f>IF(AND(E551=1,L551=1),AI551,"")</f>
        <v/>
      </c>
      <c r="AU551" s="34">
        <f>IF(AND(E551=1,L551=0),AI551,"")</f>
        <v>3.5</v>
      </c>
      <c r="AV551" s="34" t="str">
        <f>IF(AND(E551=1,L551=1),AG551,"")</f>
        <v/>
      </c>
      <c r="AW551" s="34">
        <f>IF(AND(E551=1,L551=0),AG551,"")</f>
        <v>10.1</v>
      </c>
      <c r="AX551" s="34" t="str">
        <f>IF(AND(E551=1,L551=1),AH551,"")</f>
        <v/>
      </c>
      <c r="AY551" s="34">
        <f>IF(AND(E551=1,L551=0),AH551,"")</f>
        <v>9</v>
      </c>
      <c r="AZ551" s="34" t="str">
        <f>IF(G551=1,F551,"")</f>
        <v/>
      </c>
      <c r="BA551" s="34" t="str">
        <f>IF(AND(G551=1,L551=1),F551,"")</f>
        <v/>
      </c>
      <c r="BB551" s="34" t="str">
        <f>IF(AND(G551=1,L551=0),F551,"")</f>
        <v/>
      </c>
      <c r="BC551" s="33">
        <f>IF(E551=1,IF(Orders!R548&gt;3,1,0),"")</f>
        <v>0</v>
      </c>
      <c r="BD551" s="33">
        <f>IF(E551=1,IF(Orders!R548&gt;7,1,0),"")</f>
        <v>0</v>
      </c>
      <c r="BE551" s="32" t="str">
        <f>IF(E551=1,IF(Orders!L548&lt;=1.5,"Up to 1.5 km",IF(Orders!L548&lt;=3,"1.5–3 km","Over 3 km")),"")</f>
        <v>1.5–3 km</v>
      </c>
      <c r="BF551" s="33">
        <f>IF(E551=1,IF(ABS((Orders!G548-Orders!F548)*1440-Orders!R548)&lt;0.06,1,0),"")</f>
        <v>1</v>
      </c>
      <c r="BG551" s="33">
        <f>IF(ABS((Orders!F548-Orders!E548)*1440-Orders!P548)&lt;0.06,1,0)</f>
        <v>1</v>
      </c>
      <c r="BH551" s="33">
        <f>IF(E551=1,IF(IF(Orders!S548,1,0)=1-G551,1,0),"")</f>
        <v>1</v>
      </c>
      <c r="BI551" s="32" t="str">
        <f>INDEX(Stores!$B$2:$B$21,MATCH(B551,Stores!$A$2:$A$21,0))</f>
        <v>Bengaluru</v>
      </c>
    </row>
    <row r="552">
      <c r="A552" s="32" t="str">
        <f>Orders!A549</f>
        <v>O00548</v>
      </c>
      <c r="B552" s="32" t="str">
        <f>Orders!C549</f>
        <v>S009</v>
      </c>
      <c r="C552" s="32" t="str">
        <f>Orders!B549</f>
        <v>C0229</v>
      </c>
      <c r="D552" s="32" t="str">
        <f>Orders!H549</f>
        <v>Delivered</v>
      </c>
      <c r="E552" s="33">
        <f>IF(Orders!H549="Delivered",1,0)</f>
        <v>1</v>
      </c>
      <c r="F552" s="34">
        <f>IF(E552=1,Orders!R549,"")</f>
        <v>2.3</v>
      </c>
      <c r="G552" s="33">
        <f>IF(E552=1,IF(Orders!R549&gt;0,1,0),"")</f>
        <v>1</v>
      </c>
      <c r="H552" s="33">
        <f>IF(E552=1,IF(Orders!R549&gt;5,1,0),"")</f>
        <v>0</v>
      </c>
      <c r="I552" s="32" t="str">
        <f>IF(E552=1,"",IF(OR(Orders!T549="Rider unavailable",Orders!T549="Item unavailable"),"Company-caused","Unresolved"))</f>
        <v/>
      </c>
      <c r="J552" s="33">
        <f>IF(OR(E552=1,I552="Company-caused"),1,0)</f>
        <v>1</v>
      </c>
      <c r="K552" s="32" t="str">
        <f>IF(E552=0,IF(I552="Company-caused",IF(Orders!T549="Rider unavailable","C1 Rider unavailable","C2 Item unavailable"),"Outside root: unresolved"),IF(G552=0,"A On time",IF(H552=1,IF(L552=1,"B2a Severe, peak","B2b Severe, off-peak"),IF(L552=1,"B1a Slight, peak","B1b Slight, off-peak"))))</f>
        <v>B1b Slight, off-peak</v>
      </c>
      <c r="L552" s="33">
        <f>IF(AND(Orders!U549&gt;=19,Orders!U549&lt;22),1,0)</f>
        <v>0</v>
      </c>
      <c r="M552" s="33">
        <f>IF(L552=IF(Orders!V549,1,0),1,0)</f>
        <v>1</v>
      </c>
      <c r="N552" s="32" t="str">
        <f>IF(Orders!W549="","None",Orders!W549)</f>
        <v>None</v>
      </c>
      <c r="O552" s="35">
        <f>INT(Orders!E549)</f>
        <v>46276.0</v>
      </c>
      <c r="P552" s="33">
        <f>Orders!U549</f>
        <v>16</v>
      </c>
      <c r="Q552" s="33">
        <f>COUNTIFS(Demand!$A$2:$A$4481,B552,Demand!$B$2:$B$4481,O552,Demand!$C$2:$C$4481,P552)</f>
        <v>1</v>
      </c>
      <c r="R552" s="33">
        <f>IF(Q552=1,SUMIFS(Demand!$E$2:$E$4481,Demand!$A$2:$A$4481,B552,Demand!$B$2:$B$4481,O552,Demand!$C$2:$C$4481,P552),"")</f>
        <v>34</v>
      </c>
      <c r="S552" s="33">
        <f>INDEX(Stores!$G$2:$G$21,MATCH(B552,Stores!$A$2:$A$21,0))</f>
        <v>29</v>
      </c>
      <c r="T552" s="34">
        <f>IF(R552="","",R552/S552)</f>
        <v>1.17241379310345</v>
      </c>
      <c r="U552" s="34">
        <f>IF(E552=1,T552,"")</f>
        <v>1.17241379310345</v>
      </c>
      <c r="V552" s="34">
        <f>IF(AND(E552=1,L552=0),T552,"")</f>
        <v>1.17241379310345</v>
      </c>
      <c r="W552" s="33">
        <f>IF(U552="","",IF(U552&lt;=Breakdowns!$C$5,1,IF(U552&lt;=Breakdowns!$C$6,2,IF(U552&lt;=Breakdowns!$C$7,3,4))))</f>
        <v>3</v>
      </c>
      <c r="X552" s="33">
        <f>IF(V552="","",IF(V552&lt;=Breakdowns!$D$5,1,IF(V552&lt;=Breakdowns!$D$6,2,IF(V552&lt;=Breakdowns!$D$7,3,4))))</f>
        <v>4</v>
      </c>
      <c r="Y552" s="34">
        <f>INDEX(Stores!$F$2:$F$21,MATCH(B552,Stores!$A$2:$A$21,0))</f>
        <v>2.66</v>
      </c>
      <c r="Z552" s="33">
        <f>IF(Y552&gt;Store_Summary!$M$2,1,0)</f>
        <v>0</v>
      </c>
      <c r="AA552" s="33">
        <f>INDEX(Stores!$C$2:$C$21,MATCH(B552,Stores!$A$2:$A$21,0))</f>
        <v>645</v>
      </c>
      <c r="AB552" s="33">
        <f>IF(AA552&lt;180,1,0)</f>
        <v>0</v>
      </c>
      <c r="AC552" s="32" t="str">
        <f>IF(Orders!D549="","",INDEX(Riders!$C$2:$C$81,MATCH(Orders!D549,Riders!$A$2:$A$81,0)))</f>
        <v>Petrol scooter</v>
      </c>
      <c r="AD552" s="33">
        <f>IF(Orders!D549="","",INDEX(Riders!$D$2:$D$81,MATCH(Orders!D549,Riders!$A$2:$A$81,0)))</f>
        <v>15</v>
      </c>
      <c r="AE552" s="33">
        <f>IF(Orders!D549="","",IF(INDEX(Riders!$B$2:$B$81,MATCH(Orders!D549,Riders!$A$2:$A$81,0))=B552,1,0))</f>
        <v>0</v>
      </c>
      <c r="AF552" s="34">
        <f>IF(E552=1,Orders!L549,"")</f>
        <v>2.45</v>
      </c>
      <c r="AG552" s="34">
        <f>IF(E552=1,Orders!P549,"")</f>
        <v>11</v>
      </c>
      <c r="AH552" s="34">
        <f>IF(E552=1,Orders!Q549,"")</f>
        <v>13.3</v>
      </c>
      <c r="AI552" s="34">
        <f>IF(E552=1,Orders!M549,"")</f>
        <v>2.3</v>
      </c>
      <c r="AJ552" s="34">
        <f>IF(E552=1,Orders!N549,"")</f>
        <v>5.9</v>
      </c>
      <c r="AK552" s="34">
        <f>IF(E552=1,Orders!O549,"")</f>
        <v>5.1</v>
      </c>
      <c r="AL552" s="33">
        <f>IF(E552=1,IF(ROUND(ABS(AI552+AJ552+AK552-AH552),6)&lt;=0.1,1,0),"")</f>
        <v>1</v>
      </c>
      <c r="AM552" s="36">
        <f>IF(E552=1,AI552/AH552,"")</f>
        <v>0.172932330827068</v>
      </c>
      <c r="AN552" s="36">
        <f>IF(E552=1,AJ552/AH552,"")</f>
        <v>0.443609022556391</v>
      </c>
      <c r="AO552" s="36">
        <f>IF(E552=1,AK552/AH552,"")</f>
        <v>0.383458646616541</v>
      </c>
      <c r="AP552" s="34">
        <f>IF(E552=1,Orders!Y549,"")</f>
        <v>0.22</v>
      </c>
      <c r="AQ552" s="33">
        <f>IF(Orders!X549,1,0)</f>
        <v>0</v>
      </c>
      <c r="AR552" s="34" t="str">
        <f>IF(AND(E552=1,L552=1),AJ552,"")</f>
        <v/>
      </c>
      <c r="AS552" s="34">
        <f>IF(AND(E552=1,L552=0),AJ552,"")</f>
        <v>5.9</v>
      </c>
      <c r="AT552" s="34" t="str">
        <f>IF(AND(E552=1,L552=1),AI552,"")</f>
        <v/>
      </c>
      <c r="AU552" s="34">
        <f>IF(AND(E552=1,L552=0),AI552,"")</f>
        <v>2.3</v>
      </c>
      <c r="AV552" s="34" t="str">
        <f>IF(AND(E552=1,L552=1),AG552,"")</f>
        <v/>
      </c>
      <c r="AW552" s="34">
        <f>IF(AND(E552=1,L552=0),AG552,"")</f>
        <v>11</v>
      </c>
      <c r="AX552" s="34" t="str">
        <f>IF(AND(E552=1,L552=1),AH552,"")</f>
        <v/>
      </c>
      <c r="AY552" s="34">
        <f>IF(AND(E552=1,L552=0),AH552,"")</f>
        <v>13.3</v>
      </c>
      <c r="AZ552" s="34">
        <f>IF(G552=1,F552,"")</f>
        <v>2.3</v>
      </c>
      <c r="BA552" s="34" t="str">
        <f>IF(AND(G552=1,L552=1),F552,"")</f>
        <v/>
      </c>
      <c r="BB552" s="34">
        <f>IF(AND(G552=1,L552=0),F552,"")</f>
        <v>2.3</v>
      </c>
      <c r="BC552" s="33">
        <f>IF(E552=1,IF(Orders!R549&gt;3,1,0),"")</f>
        <v>0</v>
      </c>
      <c r="BD552" s="33">
        <f>IF(E552=1,IF(Orders!R549&gt;7,1,0),"")</f>
        <v>0</v>
      </c>
      <c r="BE552" s="32" t="str">
        <f>IF(E552=1,IF(Orders!L549&lt;=1.5,"Up to 1.5 km",IF(Orders!L549&lt;=3,"1.5–3 km","Over 3 km")),"")</f>
        <v>1.5–3 km</v>
      </c>
      <c r="BF552" s="33">
        <f>IF(E552=1,IF(ABS((Orders!G549-Orders!F549)*1440-Orders!R549)&lt;0.06,1,0),"")</f>
        <v>1</v>
      </c>
      <c r="BG552" s="33">
        <f>IF(ABS((Orders!F549-Orders!E549)*1440-Orders!P549)&lt;0.06,1,0)</f>
        <v>1</v>
      </c>
      <c r="BH552" s="33">
        <f>IF(E552=1,IF(IF(Orders!S549,1,0)=1-G552,1,0),"")</f>
        <v>1</v>
      </c>
      <c r="BI552" s="32" t="str">
        <f>INDEX(Stores!$B$2:$B$21,MATCH(B552,Stores!$A$2:$A$21,0))</f>
        <v>Pune</v>
      </c>
    </row>
    <row r="553">
      <c r="A553" s="32" t="str">
        <f>Orders!A550</f>
        <v>O00549</v>
      </c>
      <c r="B553" s="32" t="str">
        <f>Orders!C550</f>
        <v>S014</v>
      </c>
      <c r="C553" s="32" t="str">
        <f>Orders!B550</f>
        <v>C0066</v>
      </c>
      <c r="D553" s="32" t="str">
        <f>Orders!H550</f>
        <v>Delivered</v>
      </c>
      <c r="E553" s="33">
        <f>IF(Orders!H550="Delivered",1,0)</f>
        <v>1</v>
      </c>
      <c r="F553" s="34">
        <f>IF(E553=1,Orders!R550,"")</f>
        <v>-0.2</v>
      </c>
      <c r="G553" s="33">
        <f>IF(E553=1,IF(Orders!R550&gt;0,1,0),"")</f>
        <v>0</v>
      </c>
      <c r="H553" s="33">
        <f>IF(E553=1,IF(Orders!R550&gt;5,1,0),"")</f>
        <v>0</v>
      </c>
      <c r="I553" s="32" t="str">
        <f>IF(E553=1,"",IF(OR(Orders!T550="Rider unavailable",Orders!T550="Item unavailable"),"Company-caused","Unresolved"))</f>
        <v/>
      </c>
      <c r="J553" s="33">
        <f>IF(OR(E553=1,I553="Company-caused"),1,0)</f>
        <v>1</v>
      </c>
      <c r="K553" s="32" t="str">
        <f>IF(E553=0,IF(I553="Company-caused",IF(Orders!T550="Rider unavailable","C1 Rider unavailable","C2 Item unavailable"),"Outside root: unresolved"),IF(G553=0,"A On time",IF(H553=1,IF(L553=1,"B2a Severe, peak","B2b Severe, off-peak"),IF(L553=1,"B1a Slight, peak","B1b Slight, off-peak"))))</f>
        <v>A On time</v>
      </c>
      <c r="L553" s="33">
        <f>IF(AND(Orders!U550&gt;=19,Orders!U550&lt;22),1,0)</f>
        <v>0</v>
      </c>
      <c r="M553" s="33">
        <f>IF(L553=IF(Orders!V550,1,0),1,0)</f>
        <v>1</v>
      </c>
      <c r="N553" s="32" t="str">
        <f>IF(Orders!W550="","None",Orders!W550)</f>
        <v>None</v>
      </c>
      <c r="O553" s="35">
        <f>INT(Orders!E550)</f>
        <v>46271.0</v>
      </c>
      <c r="P553" s="33">
        <f>Orders!U550</f>
        <v>12</v>
      </c>
      <c r="Q553" s="33">
        <f>COUNTIFS(Demand!$A$2:$A$4481,B553,Demand!$B$2:$B$4481,O553,Demand!$C$2:$C$4481,P553)</f>
        <v>1</v>
      </c>
      <c r="R553" s="33">
        <f>IF(Q553=1,SUMIFS(Demand!$E$2:$E$4481,Demand!$A$2:$A$4481,B553,Demand!$B$2:$B$4481,O553,Demand!$C$2:$C$4481,P553),"")</f>
        <v>33</v>
      </c>
      <c r="S553" s="33">
        <f>INDEX(Stores!$G$2:$G$21,MATCH(B553,Stores!$A$2:$A$21,0))</f>
        <v>37</v>
      </c>
      <c r="T553" s="34">
        <f>IF(R553="","",R553/S553)</f>
        <v>0.891891891891892</v>
      </c>
      <c r="U553" s="34">
        <f>IF(E553=1,T553,"")</f>
        <v>0.891891891891892</v>
      </c>
      <c r="V553" s="34">
        <f>IF(AND(E553=1,L553=0),T553,"")</f>
        <v>0.891891891891892</v>
      </c>
      <c r="W553" s="33">
        <f>IF(U553="","",IF(U553&lt;=Breakdowns!$C$5,1,IF(U553&lt;=Breakdowns!$C$6,2,IF(U553&lt;=Breakdowns!$C$7,3,4))))</f>
        <v>2</v>
      </c>
      <c r="X553" s="33">
        <f>IF(V553="","",IF(V553&lt;=Breakdowns!$D$5,1,IF(V553&lt;=Breakdowns!$D$6,2,IF(V553&lt;=Breakdowns!$D$7,3,4))))</f>
        <v>2</v>
      </c>
      <c r="Y553" s="34">
        <f>INDEX(Stores!$F$2:$F$21,MATCH(B553,Stores!$A$2:$A$21,0))</f>
        <v>5.55</v>
      </c>
      <c r="Z553" s="33">
        <f>IF(Y553&gt;Store_Summary!$M$2,1,0)</f>
        <v>1</v>
      </c>
      <c r="AA553" s="33">
        <f>INDEX(Stores!$C$2:$C$21,MATCH(B553,Stores!$A$2:$A$21,0))</f>
        <v>241</v>
      </c>
      <c r="AB553" s="33">
        <f>IF(AA553&lt;180,1,0)</f>
        <v>0</v>
      </c>
      <c r="AC553" s="32" t="str">
        <f>IF(Orders!D550="","",INDEX(Riders!$C$2:$C$81,MATCH(Orders!D550,Riders!$A$2:$A$81,0)))</f>
        <v>EV scooter</v>
      </c>
      <c r="AD553" s="33">
        <f>IF(Orders!D550="","",INDEX(Riders!$D$2:$D$81,MATCH(Orders!D550,Riders!$A$2:$A$81,0)))</f>
        <v>9</v>
      </c>
      <c r="AE553" s="33">
        <f>IF(Orders!D550="","",IF(INDEX(Riders!$B$2:$B$81,MATCH(Orders!D550,Riders!$A$2:$A$81,0))=B553,1,0))</f>
        <v>0</v>
      </c>
      <c r="AF553" s="34">
        <f>IF(E553=1,Orders!L550,"")</f>
        <v>1.86</v>
      </c>
      <c r="AG553" s="34">
        <f>IF(E553=1,Orders!P550,"")</f>
        <v>10.8</v>
      </c>
      <c r="AH553" s="34">
        <f>IF(E553=1,Orders!Q550,"")</f>
        <v>10.6</v>
      </c>
      <c r="AI553" s="34">
        <f>IF(E553=1,Orders!M550,"")</f>
        <v>3.9</v>
      </c>
      <c r="AJ553" s="34">
        <f>IF(E553=1,Orders!N550,"")</f>
        <v>3.8</v>
      </c>
      <c r="AK553" s="34">
        <f>IF(E553=1,Orders!O550,"")</f>
        <v>2.9</v>
      </c>
      <c r="AL553" s="33">
        <f>IF(E553=1,IF(ROUND(ABS(AI553+AJ553+AK553-AH553),6)&lt;=0.1,1,0),"")</f>
        <v>1</v>
      </c>
      <c r="AM553" s="36">
        <f>IF(E553=1,AI553/AH553,"")</f>
        <v>0.367924528301887</v>
      </c>
      <c r="AN553" s="36">
        <f>IF(E553=1,AJ553/AH553,"")</f>
        <v>0.358490566037736</v>
      </c>
      <c r="AO553" s="36">
        <f>IF(E553=1,AK553/AH553,"")</f>
        <v>0.273584905660377</v>
      </c>
      <c r="AP553" s="34">
        <f>IF(E553=1,Orders!Y550,"")</f>
        <v>0.57</v>
      </c>
      <c r="AQ553" s="33">
        <f>IF(Orders!X550,1,0)</f>
        <v>0</v>
      </c>
      <c r="AR553" s="34" t="str">
        <f>IF(AND(E553=1,L553=1),AJ553,"")</f>
        <v/>
      </c>
      <c r="AS553" s="34">
        <f>IF(AND(E553=1,L553=0),AJ553,"")</f>
        <v>3.8</v>
      </c>
      <c r="AT553" s="34" t="str">
        <f>IF(AND(E553=1,L553=1),AI553,"")</f>
        <v/>
      </c>
      <c r="AU553" s="34">
        <f>IF(AND(E553=1,L553=0),AI553,"")</f>
        <v>3.9</v>
      </c>
      <c r="AV553" s="34" t="str">
        <f>IF(AND(E553=1,L553=1),AG553,"")</f>
        <v/>
      </c>
      <c r="AW553" s="34">
        <f>IF(AND(E553=1,L553=0),AG553,"")</f>
        <v>10.8</v>
      </c>
      <c r="AX553" s="34" t="str">
        <f>IF(AND(E553=1,L553=1),AH553,"")</f>
        <v/>
      </c>
      <c r="AY553" s="34">
        <f>IF(AND(E553=1,L553=0),AH553,"")</f>
        <v>10.6</v>
      </c>
      <c r="AZ553" s="34" t="str">
        <f>IF(G553=1,F553,"")</f>
        <v/>
      </c>
      <c r="BA553" s="34" t="str">
        <f>IF(AND(G553=1,L553=1),F553,"")</f>
        <v/>
      </c>
      <c r="BB553" s="34" t="str">
        <f>IF(AND(G553=1,L553=0),F553,"")</f>
        <v/>
      </c>
      <c r="BC553" s="33">
        <f>IF(E553=1,IF(Orders!R550&gt;3,1,0),"")</f>
        <v>0</v>
      </c>
      <c r="BD553" s="33">
        <f>IF(E553=1,IF(Orders!R550&gt;7,1,0),"")</f>
        <v>0</v>
      </c>
      <c r="BE553" s="32" t="str">
        <f>IF(E553=1,IF(Orders!L550&lt;=1.5,"Up to 1.5 km",IF(Orders!L550&lt;=3,"1.5–3 km","Over 3 km")),"")</f>
        <v>1.5–3 km</v>
      </c>
      <c r="BF553" s="33">
        <f>IF(E553=1,IF(ABS((Orders!G550-Orders!F550)*1440-Orders!R550)&lt;0.06,1,0),"")</f>
        <v>1</v>
      </c>
      <c r="BG553" s="33">
        <f>IF(ABS((Orders!F550-Orders!E550)*1440-Orders!P550)&lt;0.06,1,0)</f>
        <v>1</v>
      </c>
      <c r="BH553" s="33">
        <f>IF(E553=1,IF(IF(Orders!S550,1,0)=1-G553,1,0),"")</f>
        <v>1</v>
      </c>
      <c r="BI553" s="32" t="str">
        <f>INDEX(Stores!$B$2:$B$21,MATCH(B553,Stores!$A$2:$A$21,0))</f>
        <v>Pune</v>
      </c>
    </row>
    <row r="554">
      <c r="A554" s="32" t="str">
        <f>Orders!A551</f>
        <v>O00550</v>
      </c>
      <c r="B554" s="32" t="str">
        <f>Orders!C551</f>
        <v>S004</v>
      </c>
      <c r="C554" s="32" t="str">
        <f>Orders!B551</f>
        <v>C0225</v>
      </c>
      <c r="D554" s="32" t="str">
        <f>Orders!H551</f>
        <v>Delivered</v>
      </c>
      <c r="E554" s="33">
        <f>IF(Orders!H551="Delivered",1,0)</f>
        <v>1</v>
      </c>
      <c r="F554" s="34">
        <f>IF(E554=1,Orders!R551,"")</f>
        <v>2.6</v>
      </c>
      <c r="G554" s="33">
        <f>IF(E554=1,IF(Orders!R551&gt;0,1,0),"")</f>
        <v>1</v>
      </c>
      <c r="H554" s="33">
        <f>IF(E554=1,IF(Orders!R551&gt;5,1,0),"")</f>
        <v>0</v>
      </c>
      <c r="I554" s="32" t="str">
        <f>IF(E554=1,"",IF(OR(Orders!T551="Rider unavailable",Orders!T551="Item unavailable"),"Company-caused","Unresolved"))</f>
        <v/>
      </c>
      <c r="J554" s="33">
        <f>IF(OR(E554=1,I554="Company-caused"),1,0)</f>
        <v>1</v>
      </c>
      <c r="K554" s="32" t="str">
        <f>IF(E554=0,IF(I554="Company-caused",IF(Orders!T551="Rider unavailable","C1 Rider unavailable","C2 Item unavailable"),"Outside root: unresolved"),IF(G554=0,"A On time",IF(H554=1,IF(L554=1,"B2a Severe, peak","B2b Severe, off-peak"),IF(L554=1,"B1a Slight, peak","B1b Slight, off-peak"))))</f>
        <v>B1b Slight, off-peak</v>
      </c>
      <c r="L554" s="33">
        <f>IF(AND(Orders!U551&gt;=19,Orders!U551&lt;22),1,0)</f>
        <v>0</v>
      </c>
      <c r="M554" s="33">
        <f>IF(L554=IF(Orders!V551,1,0),1,0)</f>
        <v>1</v>
      </c>
      <c r="N554" s="32" t="str">
        <f>IF(Orders!W551="","None",Orders!W551)</f>
        <v>None</v>
      </c>
      <c r="O554" s="35">
        <f>INT(Orders!E551)</f>
        <v>46272.0</v>
      </c>
      <c r="P554" s="33">
        <f>Orders!U551</f>
        <v>16</v>
      </c>
      <c r="Q554" s="33">
        <f>COUNTIFS(Demand!$A$2:$A$4481,B554,Demand!$B$2:$B$4481,O554,Demand!$C$2:$C$4481,P554)</f>
        <v>1</v>
      </c>
      <c r="R554" s="33">
        <f>IF(Q554=1,SUMIFS(Demand!$E$2:$E$4481,Demand!$A$2:$A$4481,B554,Demand!$B$2:$B$4481,O554,Demand!$C$2:$C$4481,P554),"")</f>
        <v>32</v>
      </c>
      <c r="S554" s="33">
        <f>INDEX(Stores!$G$2:$G$21,MATCH(B554,Stores!$A$2:$A$21,0))</f>
        <v>42</v>
      </c>
      <c r="T554" s="34">
        <f>IF(R554="","",R554/S554)</f>
        <v>0.761904761904762</v>
      </c>
      <c r="U554" s="34">
        <f>IF(E554=1,T554,"")</f>
        <v>0.761904761904762</v>
      </c>
      <c r="V554" s="34">
        <f>IF(AND(E554=1,L554=0),T554,"")</f>
        <v>0.761904761904762</v>
      </c>
      <c r="W554" s="33">
        <f>IF(U554="","",IF(U554&lt;=Breakdowns!$C$5,1,IF(U554&lt;=Breakdowns!$C$6,2,IF(U554&lt;=Breakdowns!$C$7,3,4))))</f>
        <v>1</v>
      </c>
      <c r="X554" s="33">
        <f>IF(V554="","",IF(V554&lt;=Breakdowns!$D$5,1,IF(V554&lt;=Breakdowns!$D$6,2,IF(V554&lt;=Breakdowns!$D$7,3,4))))</f>
        <v>2</v>
      </c>
      <c r="Y554" s="34">
        <f>INDEX(Stores!$F$2:$F$21,MATCH(B554,Stores!$A$2:$A$21,0))</f>
        <v>2.19</v>
      </c>
      <c r="Z554" s="33">
        <f>IF(Y554&gt;Store_Summary!$M$2,1,0)</f>
        <v>0</v>
      </c>
      <c r="AA554" s="33">
        <f>INDEX(Stores!$C$2:$C$21,MATCH(B554,Stores!$A$2:$A$21,0))</f>
        <v>850</v>
      </c>
      <c r="AB554" s="33">
        <f>IF(AA554&lt;180,1,0)</f>
        <v>0</v>
      </c>
      <c r="AC554" s="32" t="str">
        <f>IF(Orders!D551="","",INDEX(Riders!$C$2:$C$81,MATCH(Orders!D551,Riders!$A$2:$A$81,0)))</f>
        <v>Petrol scooter</v>
      </c>
      <c r="AD554" s="33">
        <f>IF(Orders!D551="","",INDEX(Riders!$D$2:$D$81,MATCH(Orders!D551,Riders!$A$2:$A$81,0)))</f>
        <v>48</v>
      </c>
      <c r="AE554" s="33">
        <f>IF(Orders!D551="","",IF(INDEX(Riders!$B$2:$B$81,MATCH(Orders!D551,Riders!$A$2:$A$81,0))=B554,1,0))</f>
        <v>0</v>
      </c>
      <c r="AF554" s="34">
        <f>IF(E554=1,Orders!L551,"")</f>
        <v>2.62</v>
      </c>
      <c r="AG554" s="34">
        <f>IF(E554=1,Orders!P551,"")</f>
        <v>11.6</v>
      </c>
      <c r="AH554" s="34">
        <f>IF(E554=1,Orders!Q551,"")</f>
        <v>14.2</v>
      </c>
      <c r="AI554" s="34">
        <f>IF(E554=1,Orders!M551,"")</f>
        <v>2.3</v>
      </c>
      <c r="AJ554" s="34">
        <f>IF(E554=1,Orders!N551,"")</f>
        <v>4.8</v>
      </c>
      <c r="AK554" s="34">
        <f>IF(E554=1,Orders!O551,"")</f>
        <v>7.1</v>
      </c>
      <c r="AL554" s="33">
        <f>IF(E554=1,IF(ROUND(ABS(AI554+AJ554+AK554-AH554),6)&lt;=0.1,1,0),"")</f>
        <v>1</v>
      </c>
      <c r="AM554" s="36">
        <f>IF(E554=1,AI554/AH554,"")</f>
        <v>0.161971830985916</v>
      </c>
      <c r="AN554" s="36">
        <f>IF(E554=1,AJ554/AH554,"")</f>
        <v>0.338028169014085</v>
      </c>
      <c r="AO554" s="36">
        <f>IF(E554=1,AK554/AH554,"")</f>
        <v>0.5</v>
      </c>
      <c r="AP554" s="34">
        <f>IF(E554=1,Orders!Y551,"")</f>
        <v>0.49</v>
      </c>
      <c r="AQ554" s="33">
        <f>IF(Orders!X551,1,0)</f>
        <v>0</v>
      </c>
      <c r="AR554" s="34" t="str">
        <f>IF(AND(E554=1,L554=1),AJ554,"")</f>
        <v/>
      </c>
      <c r="AS554" s="34">
        <f>IF(AND(E554=1,L554=0),AJ554,"")</f>
        <v>4.8</v>
      </c>
      <c r="AT554" s="34" t="str">
        <f>IF(AND(E554=1,L554=1),AI554,"")</f>
        <v/>
      </c>
      <c r="AU554" s="34">
        <f>IF(AND(E554=1,L554=0),AI554,"")</f>
        <v>2.3</v>
      </c>
      <c r="AV554" s="34" t="str">
        <f>IF(AND(E554=1,L554=1),AG554,"")</f>
        <v/>
      </c>
      <c r="AW554" s="34">
        <f>IF(AND(E554=1,L554=0),AG554,"")</f>
        <v>11.6</v>
      </c>
      <c r="AX554" s="34" t="str">
        <f>IF(AND(E554=1,L554=1),AH554,"")</f>
        <v/>
      </c>
      <c r="AY554" s="34">
        <f>IF(AND(E554=1,L554=0),AH554,"")</f>
        <v>14.2</v>
      </c>
      <c r="AZ554" s="34">
        <f>IF(G554=1,F554,"")</f>
        <v>2.6</v>
      </c>
      <c r="BA554" s="34" t="str">
        <f>IF(AND(G554=1,L554=1),F554,"")</f>
        <v/>
      </c>
      <c r="BB554" s="34">
        <f>IF(AND(G554=1,L554=0),F554,"")</f>
        <v>2.6</v>
      </c>
      <c r="BC554" s="33">
        <f>IF(E554=1,IF(Orders!R551&gt;3,1,0),"")</f>
        <v>0</v>
      </c>
      <c r="BD554" s="33">
        <f>IF(E554=1,IF(Orders!R551&gt;7,1,0),"")</f>
        <v>0</v>
      </c>
      <c r="BE554" s="32" t="str">
        <f>IF(E554=1,IF(Orders!L551&lt;=1.5,"Up to 1.5 km",IF(Orders!L551&lt;=3,"1.5–3 km","Over 3 km")),"")</f>
        <v>1.5–3 km</v>
      </c>
      <c r="BF554" s="33">
        <f>IF(E554=1,IF(ABS((Orders!G551-Orders!F551)*1440-Orders!R551)&lt;0.06,1,0),"")</f>
        <v>1</v>
      </c>
      <c r="BG554" s="33">
        <f>IF(ABS((Orders!F551-Orders!E551)*1440-Orders!P551)&lt;0.06,1,0)</f>
        <v>1</v>
      </c>
      <c r="BH554" s="33">
        <f>IF(E554=1,IF(IF(Orders!S551,1,0)=1-G554,1,0),"")</f>
        <v>1</v>
      </c>
      <c r="BI554" s="32" t="str">
        <f>INDEX(Stores!$B$2:$B$21,MATCH(B554,Stores!$A$2:$A$21,0))</f>
        <v>Pune</v>
      </c>
    </row>
    <row r="555">
      <c r="A555" s="32" t="str">
        <f>Orders!A552</f>
        <v>O00551</v>
      </c>
      <c r="B555" s="32" t="str">
        <f>Orders!C552</f>
        <v>S016</v>
      </c>
      <c r="C555" s="32" t="str">
        <f>Orders!B552</f>
        <v>C0072</v>
      </c>
      <c r="D555" s="32" t="str">
        <f>Orders!H552</f>
        <v>Delivered</v>
      </c>
      <c r="E555" s="33">
        <f>IF(Orders!H552="Delivered",1,0)</f>
        <v>1</v>
      </c>
      <c r="F555" s="34">
        <f>IF(E555=1,Orders!R552,"")</f>
        <v>7.1</v>
      </c>
      <c r="G555" s="33">
        <f>IF(E555=1,IF(Orders!R552&gt;0,1,0),"")</f>
        <v>1</v>
      </c>
      <c r="H555" s="33">
        <f>IF(E555=1,IF(Orders!R552&gt;5,1,0),"")</f>
        <v>1</v>
      </c>
      <c r="I555" s="32" t="str">
        <f>IF(E555=1,"",IF(OR(Orders!T552="Rider unavailable",Orders!T552="Item unavailable"),"Company-caused","Unresolved"))</f>
        <v/>
      </c>
      <c r="J555" s="33">
        <f>IF(OR(E555=1,I555="Company-caused"),1,0)</f>
        <v>1</v>
      </c>
      <c r="K555" s="32" t="str">
        <f>IF(E555=0,IF(I555="Company-caused",IF(Orders!T552="Rider unavailable","C1 Rider unavailable","C2 Item unavailable"),"Outside root: unresolved"),IF(G555=0,"A On time",IF(H555=1,IF(L555=1,"B2a Severe, peak","B2b Severe, off-peak"),IF(L555=1,"B1a Slight, peak","B1b Slight, off-peak"))))</f>
        <v>B2b Severe, off-peak</v>
      </c>
      <c r="L555" s="33">
        <f>IF(AND(Orders!U552&gt;=19,Orders!U552&lt;22),1,0)</f>
        <v>0</v>
      </c>
      <c r="M555" s="33">
        <f>IF(L555=IF(Orders!V552,1,0),1,0)</f>
        <v>1</v>
      </c>
      <c r="N555" s="32" t="str">
        <f>IF(Orders!W552="","None",Orders!W552)</f>
        <v>Heavy</v>
      </c>
      <c r="O555" s="35">
        <f>INT(Orders!E552)</f>
        <v>46268.0</v>
      </c>
      <c r="P555" s="33">
        <f>Orders!U552</f>
        <v>11</v>
      </c>
      <c r="Q555" s="33">
        <f>COUNTIFS(Demand!$A$2:$A$4481,B555,Demand!$B$2:$B$4481,O555,Demand!$C$2:$C$4481,P555)</f>
        <v>1</v>
      </c>
      <c r="R555" s="33">
        <f>IF(Q555=1,SUMIFS(Demand!$E$2:$E$4481,Demand!$A$2:$A$4481,B555,Demand!$B$2:$B$4481,O555,Demand!$C$2:$C$4481,P555),"")</f>
        <v>30</v>
      </c>
      <c r="S555" s="33">
        <f>INDEX(Stores!$G$2:$G$21,MATCH(B555,Stores!$A$2:$A$21,0))</f>
        <v>25</v>
      </c>
      <c r="T555" s="34">
        <f>IF(R555="","",R555/S555)</f>
        <v>1.2</v>
      </c>
      <c r="U555" s="34">
        <f>IF(E555=1,T555,"")</f>
        <v>1.2</v>
      </c>
      <c r="V555" s="34">
        <f>IF(AND(E555=1,L555=0),T555,"")</f>
        <v>1.2</v>
      </c>
      <c r="W555" s="33">
        <f>IF(U555="","",IF(U555&lt;=Breakdowns!$C$5,1,IF(U555&lt;=Breakdowns!$C$6,2,IF(U555&lt;=Breakdowns!$C$7,3,4))))</f>
        <v>3</v>
      </c>
      <c r="X555" s="33">
        <f>IF(V555="","",IF(V555&lt;=Breakdowns!$D$5,1,IF(V555&lt;=Breakdowns!$D$6,2,IF(V555&lt;=Breakdowns!$D$7,3,4))))</f>
        <v>4</v>
      </c>
      <c r="Y555" s="34">
        <f>INDEX(Stores!$F$2:$F$21,MATCH(B555,Stores!$A$2:$A$21,0))</f>
        <v>5.51</v>
      </c>
      <c r="Z555" s="33">
        <f>IF(Y555&gt;Store_Summary!$M$2,1,0)</f>
        <v>1</v>
      </c>
      <c r="AA555" s="33">
        <f>INDEX(Stores!$C$2:$C$21,MATCH(B555,Stores!$A$2:$A$21,0))</f>
        <v>792</v>
      </c>
      <c r="AB555" s="33">
        <f>IF(AA555&lt;180,1,0)</f>
        <v>0</v>
      </c>
      <c r="AC555" s="32" t="str">
        <f>IF(Orders!D552="","",INDEX(Riders!$C$2:$C$81,MATCH(Orders!D552,Riders!$A$2:$A$81,0)))</f>
        <v>EV scooter</v>
      </c>
      <c r="AD555" s="33">
        <f>IF(Orders!D552="","",INDEX(Riders!$D$2:$D$81,MATCH(Orders!D552,Riders!$A$2:$A$81,0)))</f>
        <v>11</v>
      </c>
      <c r="AE555" s="33">
        <f>IF(Orders!D552="","",IF(INDEX(Riders!$B$2:$B$81,MATCH(Orders!D552,Riders!$A$2:$A$81,0))=B555,1,0))</f>
        <v>0</v>
      </c>
      <c r="AF555" s="34">
        <f>IF(E555=1,Orders!L552,"")</f>
        <v>2.16</v>
      </c>
      <c r="AG555" s="34">
        <f>IF(E555=1,Orders!P552,"")</f>
        <v>12.3</v>
      </c>
      <c r="AH555" s="34">
        <f>IF(E555=1,Orders!Q552,"")</f>
        <v>19.4</v>
      </c>
      <c r="AI555" s="34">
        <f>IF(E555=1,Orders!M552,"")</f>
        <v>7.2</v>
      </c>
      <c r="AJ555" s="34">
        <f>IF(E555=1,Orders!N552,"")</f>
        <v>5.5</v>
      </c>
      <c r="AK555" s="34">
        <f>IF(E555=1,Orders!O552,"")</f>
        <v>6.7</v>
      </c>
      <c r="AL555" s="33">
        <f>IF(E555=1,IF(ROUND(ABS(AI555+AJ555+AK555-AH555),6)&lt;=0.1,1,0),"")</f>
        <v>1</v>
      </c>
      <c r="AM555" s="36">
        <f>IF(E555=1,AI555/AH555,"")</f>
        <v>0.371134020618557</v>
      </c>
      <c r="AN555" s="36">
        <f>IF(E555=1,AJ555/AH555,"")</f>
        <v>0.283505154639175</v>
      </c>
      <c r="AO555" s="36">
        <f>IF(E555=1,AK555/AH555,"")</f>
        <v>0.345360824742268</v>
      </c>
      <c r="AP555" s="34">
        <f>IF(E555=1,Orders!Y552,"")</f>
        <v>0.32</v>
      </c>
      <c r="AQ555" s="33">
        <f>IF(Orders!X552,1,0)</f>
        <v>0</v>
      </c>
      <c r="AR555" s="34" t="str">
        <f>IF(AND(E555=1,L555=1),AJ555,"")</f>
        <v/>
      </c>
      <c r="AS555" s="34">
        <f>IF(AND(E555=1,L555=0),AJ555,"")</f>
        <v>5.5</v>
      </c>
      <c r="AT555" s="34" t="str">
        <f>IF(AND(E555=1,L555=1),AI555,"")</f>
        <v/>
      </c>
      <c r="AU555" s="34">
        <f>IF(AND(E555=1,L555=0),AI555,"")</f>
        <v>7.2</v>
      </c>
      <c r="AV555" s="34" t="str">
        <f>IF(AND(E555=1,L555=1),AG555,"")</f>
        <v/>
      </c>
      <c r="AW555" s="34">
        <f>IF(AND(E555=1,L555=0),AG555,"")</f>
        <v>12.3</v>
      </c>
      <c r="AX555" s="34" t="str">
        <f>IF(AND(E555=1,L555=1),AH555,"")</f>
        <v/>
      </c>
      <c r="AY555" s="34">
        <f>IF(AND(E555=1,L555=0),AH555,"")</f>
        <v>19.4</v>
      </c>
      <c r="AZ555" s="34">
        <f>IF(G555=1,F555,"")</f>
        <v>7.1</v>
      </c>
      <c r="BA555" s="34" t="str">
        <f>IF(AND(G555=1,L555=1),F555,"")</f>
        <v/>
      </c>
      <c r="BB555" s="34">
        <f>IF(AND(G555=1,L555=0),F555,"")</f>
        <v>7.1</v>
      </c>
      <c r="BC555" s="33">
        <f>IF(E555=1,IF(Orders!R552&gt;3,1,0),"")</f>
        <v>1</v>
      </c>
      <c r="BD555" s="33">
        <f>IF(E555=1,IF(Orders!R552&gt;7,1,0),"")</f>
        <v>1</v>
      </c>
      <c r="BE555" s="32" t="str">
        <f>IF(E555=1,IF(Orders!L552&lt;=1.5,"Up to 1.5 km",IF(Orders!L552&lt;=3,"1.5–3 km","Over 3 km")),"")</f>
        <v>1.5–3 km</v>
      </c>
      <c r="BF555" s="33">
        <f>IF(E555=1,IF(ABS((Orders!G552-Orders!F552)*1440-Orders!R552)&lt;0.06,1,0),"")</f>
        <v>1</v>
      </c>
      <c r="BG555" s="33">
        <f>IF(ABS((Orders!F552-Orders!E552)*1440-Orders!P552)&lt;0.06,1,0)</f>
        <v>1</v>
      </c>
      <c r="BH555" s="33">
        <f>IF(E555=1,IF(IF(Orders!S552,1,0)=1-G555,1,0),"")</f>
        <v>1</v>
      </c>
      <c r="BI555" s="32" t="str">
        <f>INDEX(Stores!$B$2:$B$21,MATCH(B555,Stores!$A$2:$A$21,0))</f>
        <v>Bengaluru</v>
      </c>
    </row>
    <row r="556">
      <c r="A556" s="32" t="str">
        <f>Orders!A553</f>
        <v>O00552</v>
      </c>
      <c r="B556" s="32" t="str">
        <f>Orders!C553</f>
        <v>S008</v>
      </c>
      <c r="C556" s="32" t="str">
        <f>Orders!B553</f>
        <v>C0139</v>
      </c>
      <c r="D556" s="32" t="str">
        <f>Orders!H553</f>
        <v>Delivered</v>
      </c>
      <c r="E556" s="33">
        <f>IF(Orders!H553="Delivered",1,0)</f>
        <v>1</v>
      </c>
      <c r="F556" s="34">
        <f>IF(E556=1,Orders!R553,"")</f>
        <v>-0.4</v>
      </c>
      <c r="G556" s="33">
        <f>IF(E556=1,IF(Orders!R553&gt;0,1,0),"")</f>
        <v>0</v>
      </c>
      <c r="H556" s="33">
        <f>IF(E556=1,IF(Orders!R553&gt;5,1,0),"")</f>
        <v>0</v>
      </c>
      <c r="I556" s="32" t="str">
        <f>IF(E556=1,"",IF(OR(Orders!T553="Rider unavailable",Orders!T553="Item unavailable"),"Company-caused","Unresolved"))</f>
        <v/>
      </c>
      <c r="J556" s="33">
        <f>IF(OR(E556=1,I556="Company-caused"),1,0)</f>
        <v>1</v>
      </c>
      <c r="K556" s="32" t="str">
        <f>IF(E556=0,IF(I556="Company-caused",IF(Orders!T553="Rider unavailable","C1 Rider unavailable","C2 Item unavailable"),"Outside root: unresolved"),IF(G556=0,"A On time",IF(H556=1,IF(L556=1,"B2a Severe, peak","B2b Severe, off-peak"),IF(L556=1,"B1a Slight, peak","B1b Slight, off-peak"))))</f>
        <v>A On time</v>
      </c>
      <c r="L556" s="33">
        <f>IF(AND(Orders!U553&gt;=19,Orders!U553&lt;22),1,0)</f>
        <v>1</v>
      </c>
      <c r="M556" s="33">
        <f>IF(L556=IF(Orders!V553,1,0),1,0)</f>
        <v>1</v>
      </c>
      <c r="N556" s="32" t="str">
        <f>IF(Orders!W553="","None",Orders!W553)</f>
        <v>None</v>
      </c>
      <c r="O556" s="35">
        <f>INT(Orders!E553)</f>
        <v>46276.0</v>
      </c>
      <c r="P556" s="33">
        <f>Orders!U553</f>
        <v>19</v>
      </c>
      <c r="Q556" s="33">
        <f>COUNTIFS(Demand!$A$2:$A$4481,B556,Demand!$B$2:$B$4481,O556,Demand!$C$2:$C$4481,P556)</f>
        <v>1</v>
      </c>
      <c r="R556" s="33">
        <f>IF(Q556=1,SUMIFS(Demand!$E$2:$E$4481,Demand!$A$2:$A$4481,B556,Demand!$B$2:$B$4481,O556,Demand!$C$2:$C$4481,P556),"")</f>
        <v>38</v>
      </c>
      <c r="S556" s="33">
        <f>INDEX(Stores!$G$2:$G$21,MATCH(B556,Stores!$A$2:$A$21,0))</f>
        <v>23</v>
      </c>
      <c r="T556" s="34">
        <f>IF(R556="","",R556/S556)</f>
        <v>1.65217391304348</v>
      </c>
      <c r="U556" s="34">
        <f>IF(E556=1,T556,"")</f>
        <v>1.65217391304348</v>
      </c>
      <c r="V556" s="34" t="str">
        <f>IF(AND(E556=1,L556=0),T556,"")</f>
        <v/>
      </c>
      <c r="W556" s="33">
        <f>IF(U556="","",IF(U556&lt;=Breakdowns!$C$5,1,IF(U556&lt;=Breakdowns!$C$6,2,IF(U556&lt;=Breakdowns!$C$7,3,4))))</f>
        <v>4</v>
      </c>
      <c r="X556" s="33" t="str">
        <f>IF(V556="","",IF(V556&lt;=Breakdowns!$D$5,1,IF(V556&lt;=Breakdowns!$D$6,2,IF(V556&lt;=Breakdowns!$D$7,3,4))))</f>
        <v/>
      </c>
      <c r="Y556" s="34">
        <f>INDEX(Stores!$F$2:$F$21,MATCH(B556,Stores!$A$2:$A$21,0))</f>
        <v>3.46</v>
      </c>
      <c r="Z556" s="33">
        <f>IF(Y556&gt;Store_Summary!$M$2,1,0)</f>
        <v>0</v>
      </c>
      <c r="AA556" s="33">
        <f>INDEX(Stores!$C$2:$C$21,MATCH(B556,Stores!$A$2:$A$21,0))</f>
        <v>825</v>
      </c>
      <c r="AB556" s="33">
        <f>IF(AA556&lt;180,1,0)</f>
        <v>0</v>
      </c>
      <c r="AC556" s="32" t="str">
        <f>IF(Orders!D553="","",INDEX(Riders!$C$2:$C$81,MATCH(Orders!D553,Riders!$A$2:$A$81,0)))</f>
        <v>Petrol scooter</v>
      </c>
      <c r="AD556" s="33">
        <f>IF(Orders!D553="","",INDEX(Riders!$D$2:$D$81,MATCH(Orders!D553,Riders!$A$2:$A$81,0)))</f>
        <v>13</v>
      </c>
      <c r="AE556" s="33">
        <f>IF(Orders!D553="","",IF(INDEX(Riders!$B$2:$B$81,MATCH(Orders!D553,Riders!$A$2:$A$81,0))=B556,1,0))</f>
        <v>0</v>
      </c>
      <c r="AF556" s="34">
        <f>IF(E556=1,Orders!L553,"")</f>
        <v>0.76</v>
      </c>
      <c r="AG556" s="34">
        <f>IF(E556=1,Orders!P553,"")</f>
        <v>9.8</v>
      </c>
      <c r="AH556" s="34">
        <f>IF(E556=1,Orders!Q553,"")</f>
        <v>9.4</v>
      </c>
      <c r="AI556" s="34">
        <f>IF(E556=1,Orders!M553,"")</f>
        <v>1.9</v>
      </c>
      <c r="AJ556" s="34">
        <f>IF(E556=1,Orders!N553,"")</f>
        <v>4.8</v>
      </c>
      <c r="AK556" s="34">
        <f>IF(E556=1,Orders!O553,"")</f>
        <v>2.7</v>
      </c>
      <c r="AL556" s="33">
        <f>IF(E556=1,IF(ROUND(ABS(AI556+AJ556+AK556-AH556),6)&lt;=0.1,1,0),"")</f>
        <v>1</v>
      </c>
      <c r="AM556" s="36">
        <f>IF(E556=1,AI556/AH556,"")</f>
        <v>0.202127659574468</v>
      </c>
      <c r="AN556" s="36">
        <f>IF(E556=1,AJ556/AH556,"")</f>
        <v>0.51063829787234</v>
      </c>
      <c r="AO556" s="36">
        <f>IF(E556=1,AK556/AH556,"")</f>
        <v>0.287234042553192</v>
      </c>
      <c r="AP556" s="34">
        <f>IF(E556=1,Orders!Y553,"")</f>
        <v>0.99</v>
      </c>
      <c r="AQ556" s="33">
        <f>IF(Orders!X553,1,0)</f>
        <v>0</v>
      </c>
      <c r="AR556" s="34">
        <f>IF(AND(E556=1,L556=1),AJ556,"")</f>
        <v>4.8</v>
      </c>
      <c r="AS556" s="34" t="str">
        <f>IF(AND(E556=1,L556=0),AJ556,"")</f>
        <v/>
      </c>
      <c r="AT556" s="34">
        <f>IF(AND(E556=1,L556=1),AI556,"")</f>
        <v>1.9</v>
      </c>
      <c r="AU556" s="34" t="str">
        <f>IF(AND(E556=1,L556=0),AI556,"")</f>
        <v/>
      </c>
      <c r="AV556" s="34">
        <f>IF(AND(E556=1,L556=1),AG556,"")</f>
        <v>9.8</v>
      </c>
      <c r="AW556" s="34" t="str">
        <f>IF(AND(E556=1,L556=0),AG556,"")</f>
        <v/>
      </c>
      <c r="AX556" s="34">
        <f>IF(AND(E556=1,L556=1),AH556,"")</f>
        <v>9.4</v>
      </c>
      <c r="AY556" s="34" t="str">
        <f>IF(AND(E556=1,L556=0),AH556,"")</f>
        <v/>
      </c>
      <c r="AZ556" s="34" t="str">
        <f>IF(G556=1,F556,"")</f>
        <v/>
      </c>
      <c r="BA556" s="34" t="str">
        <f>IF(AND(G556=1,L556=1),F556,"")</f>
        <v/>
      </c>
      <c r="BB556" s="34" t="str">
        <f>IF(AND(G556=1,L556=0),F556,"")</f>
        <v/>
      </c>
      <c r="BC556" s="33">
        <f>IF(E556=1,IF(Orders!R553&gt;3,1,0),"")</f>
        <v>0</v>
      </c>
      <c r="BD556" s="33">
        <f>IF(E556=1,IF(Orders!R553&gt;7,1,0),"")</f>
        <v>0</v>
      </c>
      <c r="BE556" s="32" t="str">
        <f>IF(E556=1,IF(Orders!L553&lt;=1.5,"Up to 1.5 km",IF(Orders!L553&lt;=3,"1.5–3 km","Over 3 km")),"")</f>
        <v>Up to 1.5 km</v>
      </c>
      <c r="BF556" s="33">
        <f>IF(E556=1,IF(ABS((Orders!G553-Orders!F553)*1440-Orders!R553)&lt;0.06,1,0),"")</f>
        <v>1</v>
      </c>
      <c r="BG556" s="33">
        <f>IF(ABS((Orders!F553-Orders!E553)*1440-Orders!P553)&lt;0.06,1,0)</f>
        <v>1</v>
      </c>
      <c r="BH556" s="33">
        <f>IF(E556=1,IF(IF(Orders!S553,1,0)=1-G556,1,0),"")</f>
        <v>1</v>
      </c>
      <c r="BI556" s="32" t="str">
        <f>INDEX(Stores!$B$2:$B$21,MATCH(B556,Stores!$A$2:$A$21,0))</f>
        <v>Mumbai</v>
      </c>
    </row>
    <row r="557">
      <c r="A557" s="32" t="str">
        <f>Orders!A554</f>
        <v>O00553</v>
      </c>
      <c r="B557" s="32" t="str">
        <f>Orders!C554</f>
        <v>S007</v>
      </c>
      <c r="C557" s="32" t="str">
        <f>Orders!B554</f>
        <v>C0208</v>
      </c>
      <c r="D557" s="32" t="str">
        <f>Orders!H554</f>
        <v>Delivered</v>
      </c>
      <c r="E557" s="33">
        <f>IF(Orders!H554="Delivered",1,0)</f>
        <v>1</v>
      </c>
      <c r="F557" s="34">
        <f>IF(E557=1,Orders!R554,"")</f>
        <v>2.6</v>
      </c>
      <c r="G557" s="33">
        <f>IF(E557=1,IF(Orders!R554&gt;0,1,0),"")</f>
        <v>1</v>
      </c>
      <c r="H557" s="33">
        <f>IF(E557=1,IF(Orders!R554&gt;5,1,0),"")</f>
        <v>0</v>
      </c>
      <c r="I557" s="32" t="str">
        <f>IF(E557=1,"",IF(OR(Orders!T554="Rider unavailable",Orders!T554="Item unavailable"),"Company-caused","Unresolved"))</f>
        <v/>
      </c>
      <c r="J557" s="33">
        <f>IF(OR(E557=1,I557="Company-caused"),1,0)</f>
        <v>1</v>
      </c>
      <c r="K557" s="32" t="str">
        <f>IF(E557=0,IF(I557="Company-caused",IF(Orders!T554="Rider unavailable","C1 Rider unavailable","C2 Item unavailable"),"Outside root: unresolved"),IF(G557=0,"A On time",IF(H557=1,IF(L557=1,"B2a Severe, peak","B2b Severe, off-peak"),IF(L557=1,"B1a Slight, peak","B1b Slight, off-peak"))))</f>
        <v>B1b Slight, off-peak</v>
      </c>
      <c r="L557" s="33">
        <f>IF(AND(Orders!U554&gt;=19,Orders!U554&lt;22),1,0)</f>
        <v>0</v>
      </c>
      <c r="M557" s="33">
        <f>IF(L557=IF(Orders!V554,1,0),1,0)</f>
        <v>1</v>
      </c>
      <c r="N557" s="32" t="str">
        <f>IF(Orders!W554="","None",Orders!W554)</f>
        <v>None</v>
      </c>
      <c r="O557" s="35">
        <f>INT(Orders!E554)</f>
        <v>46268.0</v>
      </c>
      <c r="P557" s="33">
        <f>Orders!U554</f>
        <v>13</v>
      </c>
      <c r="Q557" s="33">
        <f>COUNTIFS(Demand!$A$2:$A$4481,B557,Demand!$B$2:$B$4481,O557,Demand!$C$2:$C$4481,P557)</f>
        <v>1</v>
      </c>
      <c r="R557" s="33">
        <f>IF(Q557=1,SUMIFS(Demand!$E$2:$E$4481,Demand!$A$2:$A$4481,B557,Demand!$B$2:$B$4481,O557,Demand!$C$2:$C$4481,P557),"")</f>
        <v>41</v>
      </c>
      <c r="S557" s="33">
        <f>INDEX(Stores!$G$2:$G$21,MATCH(B557,Stores!$A$2:$A$21,0))</f>
        <v>37</v>
      </c>
      <c r="T557" s="34">
        <f>IF(R557="","",R557/S557)</f>
        <v>1.10810810810811</v>
      </c>
      <c r="U557" s="34">
        <f>IF(E557=1,T557,"")</f>
        <v>1.10810810810811</v>
      </c>
      <c r="V557" s="34">
        <f>IF(AND(E557=1,L557=0),T557,"")</f>
        <v>1.10810810810811</v>
      </c>
      <c r="W557" s="33">
        <f>IF(U557="","",IF(U557&lt;=Breakdowns!$C$5,1,IF(U557&lt;=Breakdowns!$C$6,2,IF(U557&lt;=Breakdowns!$C$7,3,4))))</f>
        <v>3</v>
      </c>
      <c r="X557" s="33">
        <f>IF(V557="","",IF(V557&lt;=Breakdowns!$D$5,1,IF(V557&lt;=Breakdowns!$D$6,2,IF(V557&lt;=Breakdowns!$D$7,3,4))))</f>
        <v>4</v>
      </c>
      <c r="Y557" s="34">
        <f>INDEX(Stores!$F$2:$F$21,MATCH(B557,Stores!$A$2:$A$21,0))</f>
        <v>4.05</v>
      </c>
      <c r="Z557" s="33">
        <f>IF(Y557&gt;Store_Summary!$M$2,1,0)</f>
        <v>0</v>
      </c>
      <c r="AA557" s="33">
        <f>INDEX(Stores!$C$2:$C$21,MATCH(B557,Stores!$A$2:$A$21,0))</f>
        <v>661</v>
      </c>
      <c r="AB557" s="33">
        <f>IF(AA557&lt;180,1,0)</f>
        <v>0</v>
      </c>
      <c r="AC557" s="32" t="str">
        <f>IF(Orders!D554="","",INDEX(Riders!$C$2:$C$81,MATCH(Orders!D554,Riders!$A$2:$A$81,0)))</f>
        <v>EV scooter</v>
      </c>
      <c r="AD557" s="33">
        <f>IF(Orders!D554="","",INDEX(Riders!$D$2:$D$81,MATCH(Orders!D554,Riders!$A$2:$A$81,0)))</f>
        <v>1</v>
      </c>
      <c r="AE557" s="33">
        <f>IF(Orders!D554="","",IF(INDEX(Riders!$B$2:$B$81,MATCH(Orders!D554,Riders!$A$2:$A$81,0))=B557,1,0))</f>
        <v>0</v>
      </c>
      <c r="AF557" s="34">
        <f>IF(E557=1,Orders!L554,"")</f>
        <v>0.54</v>
      </c>
      <c r="AG557" s="34">
        <f>IF(E557=1,Orders!P554,"")</f>
        <v>11.2</v>
      </c>
      <c r="AH557" s="34">
        <f>IF(E557=1,Orders!Q554,"")</f>
        <v>13.8</v>
      </c>
      <c r="AI557" s="34">
        <f>IF(E557=1,Orders!M554,"")</f>
        <v>3.7</v>
      </c>
      <c r="AJ557" s="34">
        <f>IF(E557=1,Orders!N554,"")</f>
        <v>6.6</v>
      </c>
      <c r="AK557" s="34">
        <f>IF(E557=1,Orders!O554,"")</f>
        <v>3.5</v>
      </c>
      <c r="AL557" s="33">
        <f>IF(E557=1,IF(ROUND(ABS(AI557+AJ557+AK557-AH557),6)&lt;=0.1,1,0),"")</f>
        <v>1</v>
      </c>
      <c r="AM557" s="36">
        <f>IF(E557=1,AI557/AH557,"")</f>
        <v>0.268115942028986</v>
      </c>
      <c r="AN557" s="36">
        <f>IF(E557=1,AJ557/AH557,"")</f>
        <v>0.478260869565217</v>
      </c>
      <c r="AO557" s="36">
        <f>IF(E557=1,AK557/AH557,"")</f>
        <v>0.253623188405797</v>
      </c>
      <c r="AP557" s="34">
        <f>IF(E557=1,Orders!Y554,"")</f>
        <v>0.78</v>
      </c>
      <c r="AQ557" s="33">
        <f>IF(Orders!X554,1,0)</f>
        <v>0</v>
      </c>
      <c r="AR557" s="34" t="str">
        <f>IF(AND(E557=1,L557=1),AJ557,"")</f>
        <v/>
      </c>
      <c r="AS557" s="34">
        <f>IF(AND(E557=1,L557=0),AJ557,"")</f>
        <v>6.6</v>
      </c>
      <c r="AT557" s="34" t="str">
        <f>IF(AND(E557=1,L557=1),AI557,"")</f>
        <v/>
      </c>
      <c r="AU557" s="34">
        <f>IF(AND(E557=1,L557=0),AI557,"")</f>
        <v>3.7</v>
      </c>
      <c r="AV557" s="34" t="str">
        <f>IF(AND(E557=1,L557=1),AG557,"")</f>
        <v/>
      </c>
      <c r="AW557" s="34">
        <f>IF(AND(E557=1,L557=0),AG557,"")</f>
        <v>11.2</v>
      </c>
      <c r="AX557" s="34" t="str">
        <f>IF(AND(E557=1,L557=1),AH557,"")</f>
        <v/>
      </c>
      <c r="AY557" s="34">
        <f>IF(AND(E557=1,L557=0),AH557,"")</f>
        <v>13.8</v>
      </c>
      <c r="AZ557" s="34">
        <f>IF(G557=1,F557,"")</f>
        <v>2.6</v>
      </c>
      <c r="BA557" s="34" t="str">
        <f>IF(AND(G557=1,L557=1),F557,"")</f>
        <v/>
      </c>
      <c r="BB557" s="34">
        <f>IF(AND(G557=1,L557=0),F557,"")</f>
        <v>2.6</v>
      </c>
      <c r="BC557" s="33">
        <f>IF(E557=1,IF(Orders!R554&gt;3,1,0),"")</f>
        <v>0</v>
      </c>
      <c r="BD557" s="33">
        <f>IF(E557=1,IF(Orders!R554&gt;7,1,0),"")</f>
        <v>0</v>
      </c>
      <c r="BE557" s="32" t="str">
        <f>IF(E557=1,IF(Orders!L554&lt;=1.5,"Up to 1.5 km",IF(Orders!L554&lt;=3,"1.5–3 km","Over 3 km")),"")</f>
        <v>Up to 1.5 km</v>
      </c>
      <c r="BF557" s="33">
        <f>IF(E557=1,IF(ABS((Orders!G554-Orders!F554)*1440-Orders!R554)&lt;0.06,1,0),"")</f>
        <v>1</v>
      </c>
      <c r="BG557" s="33">
        <f>IF(ABS((Orders!F554-Orders!E554)*1440-Orders!P554)&lt;0.06,1,0)</f>
        <v>1</v>
      </c>
      <c r="BH557" s="33">
        <f>IF(E557=1,IF(IF(Orders!S554,1,0)=1-G557,1,0),"")</f>
        <v>1</v>
      </c>
      <c r="BI557" s="32" t="str">
        <f>INDEX(Stores!$B$2:$B$21,MATCH(B557,Stores!$A$2:$A$21,0))</f>
        <v>Hyderabad</v>
      </c>
    </row>
    <row r="558">
      <c r="A558" s="32" t="str">
        <f>Orders!A555</f>
        <v>O00554</v>
      </c>
      <c r="B558" s="32" t="str">
        <f>Orders!C555</f>
        <v>S002</v>
      </c>
      <c r="C558" s="32" t="str">
        <f>Orders!B555</f>
        <v>C0044</v>
      </c>
      <c r="D558" s="32" t="str">
        <f>Orders!H555</f>
        <v>Delivered</v>
      </c>
      <c r="E558" s="33">
        <f>IF(Orders!H555="Delivered",1,0)</f>
        <v>1</v>
      </c>
      <c r="F558" s="34">
        <f>IF(E558=1,Orders!R555,"")</f>
        <v>-0.4</v>
      </c>
      <c r="G558" s="33">
        <f>IF(E558=1,IF(Orders!R555&gt;0,1,0),"")</f>
        <v>0</v>
      </c>
      <c r="H558" s="33">
        <f>IF(E558=1,IF(Orders!R555&gt;5,1,0),"")</f>
        <v>0</v>
      </c>
      <c r="I558" s="32" t="str">
        <f>IF(E558=1,"",IF(OR(Orders!T555="Rider unavailable",Orders!T555="Item unavailable"),"Company-caused","Unresolved"))</f>
        <v/>
      </c>
      <c r="J558" s="33">
        <f>IF(OR(E558=1,I558="Company-caused"),1,0)</f>
        <v>1</v>
      </c>
      <c r="K558" s="32" t="str">
        <f>IF(E558=0,IF(I558="Company-caused",IF(Orders!T555="Rider unavailable","C1 Rider unavailable","C2 Item unavailable"),"Outside root: unresolved"),IF(G558=0,"A On time",IF(H558=1,IF(L558=1,"B2a Severe, peak","B2b Severe, off-peak"),IF(L558=1,"B1a Slight, peak","B1b Slight, off-peak"))))</f>
        <v>A On time</v>
      </c>
      <c r="L558" s="33">
        <f>IF(AND(Orders!U555&gt;=19,Orders!U555&lt;22),1,0)</f>
        <v>1</v>
      </c>
      <c r="M558" s="33">
        <f>IF(L558=IF(Orders!V555,1,0),1,0)</f>
        <v>1</v>
      </c>
      <c r="N558" s="32" t="str">
        <f>IF(Orders!W555="","None",Orders!W555)</f>
        <v>None</v>
      </c>
      <c r="O558" s="35">
        <f>INT(Orders!E555)</f>
        <v>46275.0</v>
      </c>
      <c r="P558" s="33">
        <f>Orders!U555</f>
        <v>20</v>
      </c>
      <c r="Q558" s="33">
        <f>COUNTIFS(Demand!$A$2:$A$4481,B558,Demand!$B$2:$B$4481,O558,Demand!$C$2:$C$4481,P558)</f>
        <v>1</v>
      </c>
      <c r="R558" s="33">
        <f>IF(Q558=1,SUMIFS(Demand!$E$2:$E$4481,Demand!$A$2:$A$4481,B558,Demand!$B$2:$B$4481,O558,Demand!$C$2:$C$4481,P558),"")</f>
        <v>57</v>
      </c>
      <c r="S558" s="33">
        <f>INDEX(Stores!$G$2:$G$21,MATCH(B558,Stores!$A$2:$A$21,0))</f>
        <v>33</v>
      </c>
      <c r="T558" s="34">
        <f>IF(R558="","",R558/S558)</f>
        <v>1.72727272727273</v>
      </c>
      <c r="U558" s="34">
        <f>IF(E558=1,T558,"")</f>
        <v>1.72727272727273</v>
      </c>
      <c r="V558" s="34" t="str">
        <f>IF(AND(E558=1,L558=0),T558,"")</f>
        <v/>
      </c>
      <c r="W558" s="33">
        <f>IF(U558="","",IF(U558&lt;=Breakdowns!$C$5,1,IF(U558&lt;=Breakdowns!$C$6,2,IF(U558&lt;=Breakdowns!$C$7,3,4))))</f>
        <v>4</v>
      </c>
      <c r="X558" s="33" t="str">
        <f>IF(V558="","",IF(V558&lt;=Breakdowns!$D$5,1,IF(V558&lt;=Breakdowns!$D$6,2,IF(V558&lt;=Breakdowns!$D$7,3,4))))</f>
        <v/>
      </c>
      <c r="Y558" s="34">
        <f>INDEX(Stores!$F$2:$F$21,MATCH(B558,Stores!$A$2:$A$21,0))</f>
        <v>2.39</v>
      </c>
      <c r="Z558" s="33">
        <f>IF(Y558&gt;Store_Summary!$M$2,1,0)</f>
        <v>0</v>
      </c>
      <c r="AA558" s="33">
        <f>INDEX(Stores!$C$2:$C$21,MATCH(B558,Stores!$A$2:$A$21,0))</f>
        <v>470</v>
      </c>
      <c r="AB558" s="33">
        <f>IF(AA558&lt;180,1,0)</f>
        <v>0</v>
      </c>
      <c r="AC558" s="32" t="str">
        <f>IF(Orders!D555="","",INDEX(Riders!$C$2:$C$81,MATCH(Orders!D555,Riders!$A$2:$A$81,0)))</f>
        <v>EV scooter</v>
      </c>
      <c r="AD558" s="33">
        <f>IF(Orders!D555="","",INDEX(Riders!$D$2:$D$81,MATCH(Orders!D555,Riders!$A$2:$A$81,0)))</f>
        <v>2</v>
      </c>
      <c r="AE558" s="33">
        <f>IF(Orders!D555="","",IF(INDEX(Riders!$B$2:$B$81,MATCH(Orders!D555,Riders!$A$2:$A$81,0))=B558,1,0))</f>
        <v>0</v>
      </c>
      <c r="AF558" s="34">
        <f>IF(E558=1,Orders!L555,"")</f>
        <v>3.51</v>
      </c>
      <c r="AG558" s="34">
        <f>IF(E558=1,Orders!P555,"")</f>
        <v>10.2</v>
      </c>
      <c r="AH558" s="34">
        <f>IF(E558=1,Orders!Q555,"")</f>
        <v>9.8</v>
      </c>
      <c r="AI558" s="34">
        <f>IF(E558=1,Orders!M555,"")</f>
        <v>2.2</v>
      </c>
      <c r="AJ558" s="34">
        <f>IF(E558=1,Orders!N555,"")</f>
        <v>1.4</v>
      </c>
      <c r="AK558" s="34">
        <f>IF(E558=1,Orders!O555,"")</f>
        <v>6.2</v>
      </c>
      <c r="AL558" s="33">
        <f>IF(E558=1,IF(ROUND(ABS(AI558+AJ558+AK558-AH558),6)&lt;=0.1,1,0),"")</f>
        <v>1</v>
      </c>
      <c r="AM558" s="36">
        <f>IF(E558=1,AI558/AH558,"")</f>
        <v>0.224489795918367</v>
      </c>
      <c r="AN558" s="36">
        <f>IF(E558=1,AJ558/AH558,"")</f>
        <v>0.142857142857143</v>
      </c>
      <c r="AO558" s="36">
        <f>IF(E558=1,AK558/AH558,"")</f>
        <v>0.63265306122449</v>
      </c>
      <c r="AP558" s="34">
        <f>IF(E558=1,Orders!Y555,"")</f>
        <v>0.47</v>
      </c>
      <c r="AQ558" s="33">
        <f>IF(Orders!X555,1,0)</f>
        <v>0</v>
      </c>
      <c r="AR558" s="34">
        <f>IF(AND(E558=1,L558=1),AJ558,"")</f>
        <v>1.4</v>
      </c>
      <c r="AS558" s="34" t="str">
        <f>IF(AND(E558=1,L558=0),AJ558,"")</f>
        <v/>
      </c>
      <c r="AT558" s="34">
        <f>IF(AND(E558=1,L558=1),AI558,"")</f>
        <v>2.2</v>
      </c>
      <c r="AU558" s="34" t="str">
        <f>IF(AND(E558=1,L558=0),AI558,"")</f>
        <v/>
      </c>
      <c r="AV558" s="34">
        <f>IF(AND(E558=1,L558=1),AG558,"")</f>
        <v>10.2</v>
      </c>
      <c r="AW558" s="34" t="str">
        <f>IF(AND(E558=1,L558=0),AG558,"")</f>
        <v/>
      </c>
      <c r="AX558" s="34">
        <f>IF(AND(E558=1,L558=1),AH558,"")</f>
        <v>9.8</v>
      </c>
      <c r="AY558" s="34" t="str">
        <f>IF(AND(E558=1,L558=0),AH558,"")</f>
        <v/>
      </c>
      <c r="AZ558" s="34" t="str">
        <f>IF(G558=1,F558,"")</f>
        <v/>
      </c>
      <c r="BA558" s="34" t="str">
        <f>IF(AND(G558=1,L558=1),F558,"")</f>
        <v/>
      </c>
      <c r="BB558" s="34" t="str">
        <f>IF(AND(G558=1,L558=0),F558,"")</f>
        <v/>
      </c>
      <c r="BC558" s="33">
        <f>IF(E558=1,IF(Orders!R555&gt;3,1,0),"")</f>
        <v>0</v>
      </c>
      <c r="BD558" s="33">
        <f>IF(E558=1,IF(Orders!R555&gt;7,1,0),"")</f>
        <v>0</v>
      </c>
      <c r="BE558" s="32" t="str">
        <f>IF(E558=1,IF(Orders!L555&lt;=1.5,"Up to 1.5 km",IF(Orders!L555&lt;=3,"1.5–3 km","Over 3 km")),"")</f>
        <v>Over 3 km</v>
      </c>
      <c r="BF558" s="33">
        <f>IF(E558=1,IF(ABS((Orders!G555-Orders!F555)*1440-Orders!R555)&lt;0.06,1,0),"")</f>
        <v>1</v>
      </c>
      <c r="BG558" s="33">
        <f>IF(ABS((Orders!F555-Orders!E555)*1440-Orders!P555)&lt;0.06,1,0)</f>
        <v>1</v>
      </c>
      <c r="BH558" s="33">
        <f>IF(E558=1,IF(IF(Orders!S555,1,0)=1-G558,1,0),"")</f>
        <v>1</v>
      </c>
      <c r="BI558" s="32" t="str">
        <f>INDEX(Stores!$B$2:$B$21,MATCH(B558,Stores!$A$2:$A$21,0))</f>
        <v>Hyderabad</v>
      </c>
    </row>
    <row r="559">
      <c r="A559" s="32" t="str">
        <f>Orders!A556</f>
        <v>O00555</v>
      </c>
      <c r="B559" s="32" t="str">
        <f>Orders!C556</f>
        <v>S018</v>
      </c>
      <c r="C559" s="32" t="str">
        <f>Orders!B556</f>
        <v>C0089</v>
      </c>
      <c r="D559" s="32" t="str">
        <f>Orders!H556</f>
        <v>Delivered</v>
      </c>
      <c r="E559" s="33">
        <f>IF(Orders!H556="Delivered",1,0)</f>
        <v>1</v>
      </c>
      <c r="F559" s="34">
        <f>IF(E559=1,Orders!R556,"")</f>
        <v>7.4</v>
      </c>
      <c r="G559" s="33">
        <f>IF(E559=1,IF(Orders!R556&gt;0,1,0),"")</f>
        <v>1</v>
      </c>
      <c r="H559" s="33">
        <f>IF(E559=1,IF(Orders!R556&gt;5,1,0),"")</f>
        <v>1</v>
      </c>
      <c r="I559" s="32" t="str">
        <f>IF(E559=1,"",IF(OR(Orders!T556="Rider unavailable",Orders!T556="Item unavailable"),"Company-caused","Unresolved"))</f>
        <v/>
      </c>
      <c r="J559" s="33">
        <f>IF(OR(E559=1,I559="Company-caused"),1,0)</f>
        <v>1</v>
      </c>
      <c r="K559" s="32" t="str">
        <f>IF(E559=0,IF(I559="Company-caused",IF(Orders!T556="Rider unavailable","C1 Rider unavailable","C2 Item unavailable"),"Outside root: unresolved"),IF(G559=0,"A On time",IF(H559=1,IF(L559=1,"B2a Severe, peak","B2b Severe, off-peak"),IF(L559=1,"B1a Slight, peak","B1b Slight, off-peak"))))</f>
        <v>B2b Severe, off-peak</v>
      </c>
      <c r="L559" s="33">
        <f>IF(AND(Orders!U556&gt;=19,Orders!U556&lt;22),1,0)</f>
        <v>0</v>
      </c>
      <c r="M559" s="33">
        <f>IF(L559=IF(Orders!V556,1,0),1,0)</f>
        <v>1</v>
      </c>
      <c r="N559" s="32" t="str">
        <f>IF(Orders!W556="","None",Orders!W556)</f>
        <v>Light</v>
      </c>
      <c r="O559" s="35">
        <f>INT(Orders!E556)</f>
        <v>46272.0</v>
      </c>
      <c r="P559" s="33">
        <f>Orders!U556</f>
        <v>13</v>
      </c>
      <c r="Q559" s="33">
        <f>COUNTIFS(Demand!$A$2:$A$4481,B559,Demand!$B$2:$B$4481,O559,Demand!$C$2:$C$4481,P559)</f>
        <v>1</v>
      </c>
      <c r="R559" s="33">
        <f>IF(Q559=1,SUMIFS(Demand!$E$2:$E$4481,Demand!$A$2:$A$4481,B559,Demand!$B$2:$B$4481,O559,Demand!$C$2:$C$4481,P559),"")</f>
        <v>17</v>
      </c>
      <c r="S559" s="33">
        <f>INDEX(Stores!$G$2:$G$21,MATCH(B559,Stores!$A$2:$A$21,0))</f>
        <v>20</v>
      </c>
      <c r="T559" s="34">
        <f>IF(R559="","",R559/S559)</f>
        <v>0.85</v>
      </c>
      <c r="U559" s="34">
        <f>IF(E559=1,T559,"")</f>
        <v>0.85</v>
      </c>
      <c r="V559" s="34">
        <f>IF(AND(E559=1,L559=0),T559,"")</f>
        <v>0.85</v>
      </c>
      <c r="W559" s="33">
        <f>IF(U559="","",IF(U559&lt;=Breakdowns!$C$5,1,IF(U559&lt;=Breakdowns!$C$6,2,IF(U559&lt;=Breakdowns!$C$7,3,4))))</f>
        <v>2</v>
      </c>
      <c r="X559" s="33">
        <f>IF(V559="","",IF(V559&lt;=Breakdowns!$D$5,1,IF(V559&lt;=Breakdowns!$D$6,2,IF(V559&lt;=Breakdowns!$D$7,3,4))))</f>
        <v>2</v>
      </c>
      <c r="Y559" s="34">
        <f>INDEX(Stores!$F$2:$F$21,MATCH(B559,Stores!$A$2:$A$21,0))</f>
        <v>5.31</v>
      </c>
      <c r="Z559" s="33">
        <f>IF(Y559&gt;Store_Summary!$M$2,1,0)</f>
        <v>1</v>
      </c>
      <c r="AA559" s="33">
        <f>INDEX(Stores!$C$2:$C$21,MATCH(B559,Stores!$A$2:$A$21,0))</f>
        <v>214</v>
      </c>
      <c r="AB559" s="33">
        <f>IF(AA559&lt;180,1,0)</f>
        <v>0</v>
      </c>
      <c r="AC559" s="32" t="str">
        <f>IF(Orders!D556="","",INDEX(Riders!$C$2:$C$81,MATCH(Orders!D556,Riders!$A$2:$A$81,0)))</f>
        <v>EV scooter</v>
      </c>
      <c r="AD559" s="33">
        <f>IF(Orders!D556="","",INDEX(Riders!$D$2:$D$81,MATCH(Orders!D556,Riders!$A$2:$A$81,0)))</f>
        <v>9</v>
      </c>
      <c r="AE559" s="33">
        <f>IF(Orders!D556="","",IF(INDEX(Riders!$B$2:$B$81,MATCH(Orders!D556,Riders!$A$2:$A$81,0))=B559,1,0))</f>
        <v>0</v>
      </c>
      <c r="AF559" s="34">
        <f>IF(E559=1,Orders!L556,"")</f>
        <v>1.33</v>
      </c>
      <c r="AG559" s="34">
        <f>IF(E559=1,Orders!P556,"")</f>
        <v>8.7</v>
      </c>
      <c r="AH559" s="34">
        <f>IF(E559=1,Orders!Q556,"")</f>
        <v>16.1</v>
      </c>
      <c r="AI559" s="34">
        <f>IF(E559=1,Orders!M556,"")</f>
        <v>5.8</v>
      </c>
      <c r="AJ559" s="34">
        <f>IF(E559=1,Orders!N556,"")</f>
        <v>4.3</v>
      </c>
      <c r="AK559" s="34">
        <f>IF(E559=1,Orders!O556,"")</f>
        <v>6</v>
      </c>
      <c r="AL559" s="33">
        <f>IF(E559=1,IF(ROUND(ABS(AI559+AJ559+AK559-AH559),6)&lt;=0.1,1,0),"")</f>
        <v>1</v>
      </c>
      <c r="AM559" s="36">
        <f>IF(E559=1,AI559/AH559,"")</f>
        <v>0.360248447204969</v>
      </c>
      <c r="AN559" s="36">
        <f>IF(E559=1,AJ559/AH559,"")</f>
        <v>0.267080745341615</v>
      </c>
      <c r="AO559" s="36">
        <f>IF(E559=1,AK559/AH559,"")</f>
        <v>0.372670807453416</v>
      </c>
      <c r="AP559" s="34">
        <f>IF(E559=1,Orders!Y556,"")</f>
        <v>0.91</v>
      </c>
      <c r="AQ559" s="33">
        <f>IF(Orders!X556,1,0)</f>
        <v>0</v>
      </c>
      <c r="AR559" s="34" t="str">
        <f>IF(AND(E559=1,L559=1),AJ559,"")</f>
        <v/>
      </c>
      <c r="AS559" s="34">
        <f>IF(AND(E559=1,L559=0),AJ559,"")</f>
        <v>4.3</v>
      </c>
      <c r="AT559" s="34" t="str">
        <f>IF(AND(E559=1,L559=1),AI559,"")</f>
        <v/>
      </c>
      <c r="AU559" s="34">
        <f>IF(AND(E559=1,L559=0),AI559,"")</f>
        <v>5.8</v>
      </c>
      <c r="AV559" s="34" t="str">
        <f>IF(AND(E559=1,L559=1),AG559,"")</f>
        <v/>
      </c>
      <c r="AW559" s="34">
        <f>IF(AND(E559=1,L559=0),AG559,"")</f>
        <v>8.7</v>
      </c>
      <c r="AX559" s="34" t="str">
        <f>IF(AND(E559=1,L559=1),AH559,"")</f>
        <v/>
      </c>
      <c r="AY559" s="34">
        <f>IF(AND(E559=1,L559=0),AH559,"")</f>
        <v>16.1</v>
      </c>
      <c r="AZ559" s="34">
        <f>IF(G559=1,F559,"")</f>
        <v>7.4</v>
      </c>
      <c r="BA559" s="34" t="str">
        <f>IF(AND(G559=1,L559=1),F559,"")</f>
        <v/>
      </c>
      <c r="BB559" s="34">
        <f>IF(AND(G559=1,L559=0),F559,"")</f>
        <v>7.4</v>
      </c>
      <c r="BC559" s="33">
        <f>IF(E559=1,IF(Orders!R556&gt;3,1,0),"")</f>
        <v>1</v>
      </c>
      <c r="BD559" s="33">
        <f>IF(E559=1,IF(Orders!R556&gt;7,1,0),"")</f>
        <v>1</v>
      </c>
      <c r="BE559" s="32" t="str">
        <f>IF(E559=1,IF(Orders!L556&lt;=1.5,"Up to 1.5 km",IF(Orders!L556&lt;=3,"1.5–3 km","Over 3 km")),"")</f>
        <v>Up to 1.5 km</v>
      </c>
      <c r="BF559" s="33">
        <f>IF(E559=1,IF(ABS((Orders!G556-Orders!F556)*1440-Orders!R556)&lt;0.06,1,0),"")</f>
        <v>1</v>
      </c>
      <c r="BG559" s="33">
        <f>IF(ABS((Orders!F556-Orders!E556)*1440-Orders!P556)&lt;0.06,1,0)</f>
        <v>1</v>
      </c>
      <c r="BH559" s="33">
        <f>IF(E559=1,IF(IF(Orders!S556,1,0)=1-G559,1,0),"")</f>
        <v>1</v>
      </c>
      <c r="BI559" s="32" t="str">
        <f>INDEX(Stores!$B$2:$B$21,MATCH(B559,Stores!$A$2:$A$21,0))</f>
        <v>Mumbai</v>
      </c>
    </row>
    <row r="560">
      <c r="A560" s="32" t="str">
        <f>Orders!A557</f>
        <v>O00556</v>
      </c>
      <c r="B560" s="32" t="str">
        <f>Orders!C557</f>
        <v>S017</v>
      </c>
      <c r="C560" s="32" t="str">
        <f>Orders!B557</f>
        <v>C0017</v>
      </c>
      <c r="D560" s="32" t="str">
        <f>Orders!H557</f>
        <v>Delivered</v>
      </c>
      <c r="E560" s="33">
        <f>IF(Orders!H557="Delivered",1,0)</f>
        <v>1</v>
      </c>
      <c r="F560" s="34">
        <f>IF(E560=1,Orders!R557,"")</f>
        <v>-0.3</v>
      </c>
      <c r="G560" s="33">
        <f>IF(E560=1,IF(Orders!R557&gt;0,1,0),"")</f>
        <v>0</v>
      </c>
      <c r="H560" s="33">
        <f>IF(E560=1,IF(Orders!R557&gt;5,1,0),"")</f>
        <v>0</v>
      </c>
      <c r="I560" s="32" t="str">
        <f>IF(E560=1,"",IF(OR(Orders!T557="Rider unavailable",Orders!T557="Item unavailable"),"Company-caused","Unresolved"))</f>
        <v/>
      </c>
      <c r="J560" s="33">
        <f>IF(OR(E560=1,I560="Company-caused"),1,0)</f>
        <v>1</v>
      </c>
      <c r="K560" s="32" t="str">
        <f>IF(E560=0,IF(I560="Company-caused",IF(Orders!T557="Rider unavailable","C1 Rider unavailable","C2 Item unavailable"),"Outside root: unresolved"),IF(G560=0,"A On time",IF(H560=1,IF(L560=1,"B2a Severe, peak","B2b Severe, off-peak"),IF(L560=1,"B1a Slight, peak","B1b Slight, off-peak"))))</f>
        <v>A On time</v>
      </c>
      <c r="L560" s="33">
        <f>IF(AND(Orders!U557&gt;=19,Orders!U557&lt;22),1,0)</f>
        <v>0</v>
      </c>
      <c r="M560" s="33">
        <f>IF(L560=IF(Orders!V557,1,0),1,0)</f>
        <v>1</v>
      </c>
      <c r="N560" s="32" t="str">
        <f>IF(Orders!W557="","None",Orders!W557)</f>
        <v>Heavy</v>
      </c>
      <c r="O560" s="35">
        <f>INT(Orders!E557)</f>
        <v>46278.0</v>
      </c>
      <c r="P560" s="33">
        <f>Orders!U557</f>
        <v>13</v>
      </c>
      <c r="Q560" s="33">
        <f>COUNTIFS(Demand!$A$2:$A$4481,B560,Demand!$B$2:$B$4481,O560,Demand!$C$2:$C$4481,P560)</f>
        <v>1</v>
      </c>
      <c r="R560" s="33">
        <f>IF(Q560=1,SUMIFS(Demand!$E$2:$E$4481,Demand!$A$2:$A$4481,B560,Demand!$B$2:$B$4481,O560,Demand!$C$2:$C$4481,P560),"")</f>
        <v>37</v>
      </c>
      <c r="S560" s="33">
        <f>INDEX(Stores!$G$2:$G$21,MATCH(B560,Stores!$A$2:$A$21,0))</f>
        <v>36</v>
      </c>
      <c r="T560" s="34">
        <f>IF(R560="","",R560/S560)</f>
        <v>1.02777777777778</v>
      </c>
      <c r="U560" s="34">
        <f>IF(E560=1,T560,"")</f>
        <v>1.02777777777778</v>
      </c>
      <c r="V560" s="34">
        <f>IF(AND(E560=1,L560=0),T560,"")</f>
        <v>1.02777777777778</v>
      </c>
      <c r="W560" s="33">
        <f>IF(U560="","",IF(U560&lt;=Breakdowns!$C$5,1,IF(U560&lt;=Breakdowns!$C$6,2,IF(U560&lt;=Breakdowns!$C$7,3,4))))</f>
        <v>3</v>
      </c>
      <c r="X560" s="33">
        <f>IF(V560="","",IF(V560&lt;=Breakdowns!$D$5,1,IF(V560&lt;=Breakdowns!$D$6,2,IF(V560&lt;=Breakdowns!$D$7,3,4))))</f>
        <v>3</v>
      </c>
      <c r="Y560" s="34">
        <f>INDEX(Stores!$F$2:$F$21,MATCH(B560,Stores!$A$2:$A$21,0))</f>
        <v>2.16</v>
      </c>
      <c r="Z560" s="33">
        <f>IF(Y560&gt;Store_Summary!$M$2,1,0)</f>
        <v>0</v>
      </c>
      <c r="AA560" s="33">
        <f>INDEX(Stores!$C$2:$C$21,MATCH(B560,Stores!$A$2:$A$21,0))</f>
        <v>47</v>
      </c>
      <c r="AB560" s="33">
        <f>IF(AA560&lt;180,1,0)</f>
        <v>1</v>
      </c>
      <c r="AC560" s="32" t="str">
        <f>IF(Orders!D557="","",INDEX(Riders!$C$2:$C$81,MATCH(Orders!D557,Riders!$A$2:$A$81,0)))</f>
        <v>EV scooter</v>
      </c>
      <c r="AD560" s="33">
        <f>IF(Orders!D557="","",INDEX(Riders!$D$2:$D$81,MATCH(Orders!D557,Riders!$A$2:$A$81,0)))</f>
        <v>45</v>
      </c>
      <c r="AE560" s="33">
        <f>IF(Orders!D557="","",IF(INDEX(Riders!$B$2:$B$81,MATCH(Orders!D557,Riders!$A$2:$A$81,0))=B560,1,0))</f>
        <v>0</v>
      </c>
      <c r="AF560" s="34">
        <f>IF(E560=1,Orders!L557,"")</f>
        <v>4</v>
      </c>
      <c r="AG560" s="34">
        <f>IF(E560=1,Orders!P557,"")</f>
        <v>10.9</v>
      </c>
      <c r="AH560" s="34">
        <f>IF(E560=1,Orders!Q557,"")</f>
        <v>10.6</v>
      </c>
      <c r="AI560" s="34">
        <f>IF(E560=1,Orders!M557,"")</f>
        <v>1.5</v>
      </c>
      <c r="AJ560" s="34">
        <f>IF(E560=1,Orders!N557,"")</f>
        <v>3</v>
      </c>
      <c r="AK560" s="34">
        <f>IF(E560=1,Orders!O557,"")</f>
        <v>6.1</v>
      </c>
      <c r="AL560" s="33">
        <f>IF(E560=1,IF(ROUND(ABS(AI560+AJ560+AK560-AH560),6)&lt;=0.1,1,0),"")</f>
        <v>1</v>
      </c>
      <c r="AM560" s="36">
        <f>IF(E560=1,AI560/AH560,"")</f>
        <v>0.141509433962264</v>
      </c>
      <c r="AN560" s="36">
        <f>IF(E560=1,AJ560/AH560,"")</f>
        <v>0.283018867924528</v>
      </c>
      <c r="AO560" s="36">
        <f>IF(E560=1,AK560/AH560,"")</f>
        <v>0.575471698113208</v>
      </c>
      <c r="AP560" s="34">
        <f>IF(E560=1,Orders!Y557,"")</f>
        <v>0.74</v>
      </c>
      <c r="AQ560" s="33">
        <f>IF(Orders!X557,1,0)</f>
        <v>0</v>
      </c>
      <c r="AR560" s="34" t="str">
        <f>IF(AND(E560=1,L560=1),AJ560,"")</f>
        <v/>
      </c>
      <c r="AS560" s="34">
        <f>IF(AND(E560=1,L560=0),AJ560,"")</f>
        <v>3</v>
      </c>
      <c r="AT560" s="34" t="str">
        <f>IF(AND(E560=1,L560=1),AI560,"")</f>
        <v/>
      </c>
      <c r="AU560" s="34">
        <f>IF(AND(E560=1,L560=0),AI560,"")</f>
        <v>1.5</v>
      </c>
      <c r="AV560" s="34" t="str">
        <f>IF(AND(E560=1,L560=1),AG560,"")</f>
        <v/>
      </c>
      <c r="AW560" s="34">
        <f>IF(AND(E560=1,L560=0),AG560,"")</f>
        <v>10.9</v>
      </c>
      <c r="AX560" s="34" t="str">
        <f>IF(AND(E560=1,L560=1),AH560,"")</f>
        <v/>
      </c>
      <c r="AY560" s="34">
        <f>IF(AND(E560=1,L560=0),AH560,"")</f>
        <v>10.6</v>
      </c>
      <c r="AZ560" s="34" t="str">
        <f>IF(G560=1,F560,"")</f>
        <v/>
      </c>
      <c r="BA560" s="34" t="str">
        <f>IF(AND(G560=1,L560=1),F560,"")</f>
        <v/>
      </c>
      <c r="BB560" s="34" t="str">
        <f>IF(AND(G560=1,L560=0),F560,"")</f>
        <v/>
      </c>
      <c r="BC560" s="33">
        <f>IF(E560=1,IF(Orders!R557&gt;3,1,0),"")</f>
        <v>0</v>
      </c>
      <c r="BD560" s="33">
        <f>IF(E560=1,IF(Orders!R557&gt;7,1,0),"")</f>
        <v>0</v>
      </c>
      <c r="BE560" s="32" t="str">
        <f>IF(E560=1,IF(Orders!L557&lt;=1.5,"Up to 1.5 km",IF(Orders!L557&lt;=3,"1.5–3 km","Over 3 km")),"")</f>
        <v>Over 3 km</v>
      </c>
      <c r="BF560" s="33">
        <f>IF(E560=1,IF(ABS((Orders!G557-Orders!F557)*1440-Orders!R557)&lt;0.06,1,0),"")</f>
        <v>1</v>
      </c>
      <c r="BG560" s="33">
        <f>IF(ABS((Orders!F557-Orders!E557)*1440-Orders!P557)&lt;0.06,1,0)</f>
        <v>1</v>
      </c>
      <c r="BH560" s="33">
        <f>IF(E560=1,IF(IF(Orders!S557,1,0)=1-G560,1,0),"")</f>
        <v>1</v>
      </c>
      <c r="BI560" s="32" t="str">
        <f>INDEX(Stores!$B$2:$B$21,MATCH(B560,Stores!$A$2:$A$21,0))</f>
        <v>Hyderabad</v>
      </c>
    </row>
    <row r="561">
      <c r="A561" s="32" t="str">
        <f>Orders!A558</f>
        <v>O00557</v>
      </c>
      <c r="B561" s="32" t="str">
        <f>Orders!C558</f>
        <v>S012</v>
      </c>
      <c r="C561" s="32" t="str">
        <f>Orders!B558</f>
        <v>C0057</v>
      </c>
      <c r="D561" s="32" t="str">
        <f>Orders!H558</f>
        <v>Delivered</v>
      </c>
      <c r="E561" s="33">
        <f>IF(Orders!H558="Delivered",1,0)</f>
        <v>1</v>
      </c>
      <c r="F561" s="34">
        <f>IF(E561=1,Orders!R558,"")</f>
        <v>-0.6</v>
      </c>
      <c r="G561" s="33">
        <f>IF(E561=1,IF(Orders!R558&gt;0,1,0),"")</f>
        <v>0</v>
      </c>
      <c r="H561" s="33">
        <f>IF(E561=1,IF(Orders!R558&gt;5,1,0),"")</f>
        <v>0</v>
      </c>
      <c r="I561" s="32" t="str">
        <f>IF(E561=1,"",IF(OR(Orders!T558="Rider unavailable",Orders!T558="Item unavailable"),"Company-caused","Unresolved"))</f>
        <v/>
      </c>
      <c r="J561" s="33">
        <f>IF(OR(E561=1,I561="Company-caused"),1,0)</f>
        <v>1</v>
      </c>
      <c r="K561" s="32" t="str">
        <f>IF(E561=0,IF(I561="Company-caused",IF(Orders!T558="Rider unavailable","C1 Rider unavailable","C2 Item unavailable"),"Outside root: unresolved"),IF(G561=0,"A On time",IF(H561=1,IF(L561=1,"B2a Severe, peak","B2b Severe, off-peak"),IF(L561=1,"B1a Slight, peak","B1b Slight, off-peak"))))</f>
        <v>A On time</v>
      </c>
      <c r="L561" s="33">
        <f>IF(AND(Orders!U558&gt;=19,Orders!U558&lt;22),1,0)</f>
        <v>0</v>
      </c>
      <c r="M561" s="33">
        <f>IF(L561=IF(Orders!V558,1,0),1,0)</f>
        <v>1</v>
      </c>
      <c r="N561" s="32" t="str">
        <f>IF(Orders!W558="","None",Orders!W558)</f>
        <v>None</v>
      </c>
      <c r="O561" s="35">
        <f>INT(Orders!E558)</f>
        <v>46270.0</v>
      </c>
      <c r="P561" s="33">
        <f>Orders!U558</f>
        <v>13</v>
      </c>
      <c r="Q561" s="33">
        <f>COUNTIFS(Demand!$A$2:$A$4481,B561,Demand!$B$2:$B$4481,O561,Demand!$C$2:$C$4481,P561)</f>
        <v>1</v>
      </c>
      <c r="R561" s="33">
        <f>IF(Q561=1,SUMIFS(Demand!$E$2:$E$4481,Demand!$A$2:$A$4481,B561,Demand!$B$2:$B$4481,O561,Demand!$C$2:$C$4481,P561),"")</f>
        <v>17</v>
      </c>
      <c r="S561" s="33">
        <f>INDEX(Stores!$G$2:$G$21,MATCH(B561,Stores!$A$2:$A$21,0))</f>
        <v>15</v>
      </c>
      <c r="T561" s="34">
        <f>IF(R561="","",R561/S561)</f>
        <v>1.13333333333333</v>
      </c>
      <c r="U561" s="34">
        <f>IF(E561=1,T561,"")</f>
        <v>1.13333333333333</v>
      </c>
      <c r="V561" s="34">
        <f>IF(AND(E561=1,L561=0),T561,"")</f>
        <v>1.13333333333333</v>
      </c>
      <c r="W561" s="33">
        <f>IF(U561="","",IF(U561&lt;=Breakdowns!$C$5,1,IF(U561&lt;=Breakdowns!$C$6,2,IF(U561&lt;=Breakdowns!$C$7,3,4))))</f>
        <v>3</v>
      </c>
      <c r="X561" s="33">
        <f>IF(V561="","",IF(V561&lt;=Breakdowns!$D$5,1,IF(V561&lt;=Breakdowns!$D$6,2,IF(V561&lt;=Breakdowns!$D$7,3,4))))</f>
        <v>4</v>
      </c>
      <c r="Y561" s="34">
        <f>INDEX(Stores!$F$2:$F$21,MATCH(B561,Stores!$A$2:$A$21,0))</f>
        <v>5.23</v>
      </c>
      <c r="Z561" s="33">
        <f>IF(Y561&gt;Store_Summary!$M$2,1,0)</f>
        <v>1</v>
      </c>
      <c r="AA561" s="33">
        <f>INDEX(Stores!$C$2:$C$21,MATCH(B561,Stores!$A$2:$A$21,0))</f>
        <v>300</v>
      </c>
      <c r="AB561" s="33">
        <f>IF(AA561&lt;180,1,0)</f>
        <v>0</v>
      </c>
      <c r="AC561" s="32" t="str">
        <f>IF(Orders!D558="","",INDEX(Riders!$C$2:$C$81,MATCH(Orders!D558,Riders!$A$2:$A$81,0)))</f>
        <v>EV scooter</v>
      </c>
      <c r="AD561" s="33">
        <f>IF(Orders!D558="","",INDEX(Riders!$D$2:$D$81,MATCH(Orders!D558,Riders!$A$2:$A$81,0)))</f>
        <v>33</v>
      </c>
      <c r="AE561" s="33">
        <f>IF(Orders!D558="","",IF(INDEX(Riders!$B$2:$B$81,MATCH(Orders!D558,Riders!$A$2:$A$81,0))=B561,1,0))</f>
        <v>0</v>
      </c>
      <c r="AF561" s="34">
        <f>IF(E561=1,Orders!L558,"")</f>
        <v>0.5</v>
      </c>
      <c r="AG561" s="34">
        <f>IF(E561=1,Orders!P558,"")</f>
        <v>11.6</v>
      </c>
      <c r="AH561" s="34">
        <f>IF(E561=1,Orders!Q558,"")</f>
        <v>11</v>
      </c>
      <c r="AI561" s="34">
        <f>IF(E561=1,Orders!M558,"")</f>
        <v>5.6</v>
      </c>
      <c r="AJ561" s="34">
        <f>IF(E561=1,Orders!N558,"")</f>
        <v>3.5</v>
      </c>
      <c r="AK561" s="34">
        <f>IF(E561=1,Orders!O558,"")</f>
        <v>1.9</v>
      </c>
      <c r="AL561" s="33">
        <f>IF(E561=1,IF(ROUND(ABS(AI561+AJ561+AK561-AH561),6)&lt;=0.1,1,0),"")</f>
        <v>1</v>
      </c>
      <c r="AM561" s="36">
        <f>IF(E561=1,AI561/AH561,"")</f>
        <v>0.509090909090909</v>
      </c>
      <c r="AN561" s="36">
        <f>IF(E561=1,AJ561/AH561,"")</f>
        <v>0.318181818181818</v>
      </c>
      <c r="AO561" s="36">
        <f>IF(E561=1,AK561/AH561,"")</f>
        <v>0.172727272727273</v>
      </c>
      <c r="AP561" s="34">
        <f>IF(E561=1,Orders!Y558,"")</f>
        <v>0.41</v>
      </c>
      <c r="AQ561" s="33">
        <f>IF(Orders!X558,1,0)</f>
        <v>0</v>
      </c>
      <c r="AR561" s="34" t="str">
        <f>IF(AND(E561=1,L561=1),AJ561,"")</f>
        <v/>
      </c>
      <c r="AS561" s="34">
        <f>IF(AND(E561=1,L561=0),AJ561,"")</f>
        <v>3.5</v>
      </c>
      <c r="AT561" s="34" t="str">
        <f>IF(AND(E561=1,L561=1),AI561,"")</f>
        <v/>
      </c>
      <c r="AU561" s="34">
        <f>IF(AND(E561=1,L561=0),AI561,"")</f>
        <v>5.6</v>
      </c>
      <c r="AV561" s="34" t="str">
        <f>IF(AND(E561=1,L561=1),AG561,"")</f>
        <v/>
      </c>
      <c r="AW561" s="34">
        <f>IF(AND(E561=1,L561=0),AG561,"")</f>
        <v>11.6</v>
      </c>
      <c r="AX561" s="34" t="str">
        <f>IF(AND(E561=1,L561=1),AH561,"")</f>
        <v/>
      </c>
      <c r="AY561" s="34">
        <f>IF(AND(E561=1,L561=0),AH561,"")</f>
        <v>11</v>
      </c>
      <c r="AZ561" s="34" t="str">
        <f>IF(G561=1,F561,"")</f>
        <v/>
      </c>
      <c r="BA561" s="34" t="str">
        <f>IF(AND(G561=1,L561=1),F561,"")</f>
        <v/>
      </c>
      <c r="BB561" s="34" t="str">
        <f>IF(AND(G561=1,L561=0),F561,"")</f>
        <v/>
      </c>
      <c r="BC561" s="33">
        <f>IF(E561=1,IF(Orders!R558&gt;3,1,0),"")</f>
        <v>0</v>
      </c>
      <c r="BD561" s="33">
        <f>IF(E561=1,IF(Orders!R558&gt;7,1,0),"")</f>
        <v>0</v>
      </c>
      <c r="BE561" s="32" t="str">
        <f>IF(E561=1,IF(Orders!L558&lt;=1.5,"Up to 1.5 km",IF(Orders!L558&lt;=3,"1.5–3 km","Over 3 km")),"")</f>
        <v>Up to 1.5 km</v>
      </c>
      <c r="BF561" s="33">
        <f>IF(E561=1,IF(ABS((Orders!G558-Orders!F558)*1440-Orders!R558)&lt;0.06,1,0),"")</f>
        <v>1</v>
      </c>
      <c r="BG561" s="33">
        <f>IF(ABS((Orders!F558-Orders!E558)*1440-Orders!P558)&lt;0.06,1,0)</f>
        <v>1</v>
      </c>
      <c r="BH561" s="33">
        <f>IF(E561=1,IF(IF(Orders!S558,1,0)=1-G561,1,0),"")</f>
        <v>1</v>
      </c>
      <c r="BI561" s="32" t="str">
        <f>INDEX(Stores!$B$2:$B$21,MATCH(B561,Stores!$A$2:$A$21,0))</f>
        <v>Hyderabad</v>
      </c>
    </row>
    <row r="562">
      <c r="A562" s="32" t="str">
        <f>Orders!A559</f>
        <v>O00558</v>
      </c>
      <c r="B562" s="32" t="str">
        <f>Orders!C559</f>
        <v>S018</v>
      </c>
      <c r="C562" s="32" t="str">
        <f>Orders!B559</f>
        <v>C0020</v>
      </c>
      <c r="D562" s="32" t="str">
        <f>Orders!H559</f>
        <v>Delivered</v>
      </c>
      <c r="E562" s="33">
        <f>IF(Orders!H559="Delivered",1,0)</f>
        <v>1</v>
      </c>
      <c r="F562" s="34">
        <f>IF(E562=1,Orders!R559,"")</f>
        <v>-1.1</v>
      </c>
      <c r="G562" s="33">
        <f>IF(E562=1,IF(Orders!R559&gt;0,1,0),"")</f>
        <v>0</v>
      </c>
      <c r="H562" s="33">
        <f>IF(E562=1,IF(Orders!R559&gt;5,1,0),"")</f>
        <v>0</v>
      </c>
      <c r="I562" s="32" t="str">
        <f>IF(E562=1,"",IF(OR(Orders!T559="Rider unavailable",Orders!T559="Item unavailable"),"Company-caused","Unresolved"))</f>
        <v/>
      </c>
      <c r="J562" s="33">
        <f>IF(OR(E562=1,I562="Company-caused"),1,0)</f>
        <v>1</v>
      </c>
      <c r="K562" s="32" t="str">
        <f>IF(E562=0,IF(I562="Company-caused",IF(Orders!T559="Rider unavailable","C1 Rider unavailable","C2 Item unavailable"),"Outside root: unresolved"),IF(G562=0,"A On time",IF(H562=1,IF(L562=1,"B2a Severe, peak","B2b Severe, off-peak"),IF(L562=1,"B1a Slight, peak","B1b Slight, off-peak"))))</f>
        <v>A On time</v>
      </c>
      <c r="L562" s="33">
        <f>IF(AND(Orders!U559&gt;=19,Orders!U559&lt;22),1,0)</f>
        <v>0</v>
      </c>
      <c r="M562" s="33">
        <f>IF(L562=IF(Orders!V559,1,0),1,0)</f>
        <v>1</v>
      </c>
      <c r="N562" s="32" t="str">
        <f>IF(Orders!W559="","None",Orders!W559)</f>
        <v>None</v>
      </c>
      <c r="O562" s="35">
        <f>INT(Orders!E559)</f>
        <v>46271.0</v>
      </c>
      <c r="P562" s="33">
        <f>Orders!U559</f>
        <v>12</v>
      </c>
      <c r="Q562" s="33">
        <f>COUNTIFS(Demand!$A$2:$A$4481,B562,Demand!$B$2:$B$4481,O562,Demand!$C$2:$C$4481,P562)</f>
        <v>1</v>
      </c>
      <c r="R562" s="33">
        <f>IF(Q562=1,SUMIFS(Demand!$E$2:$E$4481,Demand!$A$2:$A$4481,B562,Demand!$B$2:$B$4481,O562,Demand!$C$2:$C$4481,P562),"")</f>
        <v>22</v>
      </c>
      <c r="S562" s="33">
        <f>INDEX(Stores!$G$2:$G$21,MATCH(B562,Stores!$A$2:$A$21,0))</f>
        <v>20</v>
      </c>
      <c r="T562" s="34">
        <f>IF(R562="","",R562/S562)</f>
        <v>1.1</v>
      </c>
      <c r="U562" s="34">
        <f>IF(E562=1,T562,"")</f>
        <v>1.1</v>
      </c>
      <c r="V562" s="34">
        <f>IF(AND(E562=1,L562=0),T562,"")</f>
        <v>1.1</v>
      </c>
      <c r="W562" s="33">
        <f>IF(U562="","",IF(U562&lt;=Breakdowns!$C$5,1,IF(U562&lt;=Breakdowns!$C$6,2,IF(U562&lt;=Breakdowns!$C$7,3,4))))</f>
        <v>3</v>
      </c>
      <c r="X562" s="33">
        <f>IF(V562="","",IF(V562&lt;=Breakdowns!$D$5,1,IF(V562&lt;=Breakdowns!$D$6,2,IF(V562&lt;=Breakdowns!$D$7,3,4))))</f>
        <v>4</v>
      </c>
      <c r="Y562" s="34">
        <f>INDEX(Stores!$F$2:$F$21,MATCH(B562,Stores!$A$2:$A$21,0))</f>
        <v>5.31</v>
      </c>
      <c r="Z562" s="33">
        <f>IF(Y562&gt;Store_Summary!$M$2,1,0)</f>
        <v>1</v>
      </c>
      <c r="AA562" s="33">
        <f>INDEX(Stores!$C$2:$C$21,MATCH(B562,Stores!$A$2:$A$21,0))</f>
        <v>214</v>
      </c>
      <c r="AB562" s="33">
        <f>IF(AA562&lt;180,1,0)</f>
        <v>0</v>
      </c>
      <c r="AC562" s="32" t="str">
        <f>IF(Orders!D559="","",INDEX(Riders!$C$2:$C$81,MATCH(Orders!D559,Riders!$A$2:$A$81,0)))</f>
        <v>Petrol scooter</v>
      </c>
      <c r="AD562" s="33">
        <f>IF(Orders!D559="","",INDEX(Riders!$D$2:$D$81,MATCH(Orders!D559,Riders!$A$2:$A$81,0)))</f>
        <v>11</v>
      </c>
      <c r="AE562" s="33">
        <f>IF(Orders!D559="","",IF(INDEX(Riders!$B$2:$B$81,MATCH(Orders!D559,Riders!$A$2:$A$81,0))=B562,1,0))</f>
        <v>0</v>
      </c>
      <c r="AF562" s="34">
        <f>IF(E562=1,Orders!L559,"")</f>
        <v>4.27</v>
      </c>
      <c r="AG562" s="34">
        <f>IF(E562=1,Orders!P559,"")</f>
        <v>9.9</v>
      </c>
      <c r="AH562" s="34">
        <f>IF(E562=1,Orders!Q559,"")</f>
        <v>8.8</v>
      </c>
      <c r="AI562" s="34">
        <f>IF(E562=1,Orders!M559,"")</f>
        <v>2.1</v>
      </c>
      <c r="AJ562" s="34">
        <f>IF(E562=1,Orders!N559,"")</f>
        <v>0.9</v>
      </c>
      <c r="AK562" s="34">
        <f>IF(E562=1,Orders!O559,"")</f>
        <v>5.8</v>
      </c>
      <c r="AL562" s="33">
        <f>IF(E562=1,IF(ROUND(ABS(AI562+AJ562+AK562-AH562),6)&lt;=0.1,1,0),"")</f>
        <v>1</v>
      </c>
      <c r="AM562" s="36">
        <f>IF(E562=1,AI562/AH562,"")</f>
        <v>0.238636363636364</v>
      </c>
      <c r="AN562" s="36">
        <f>IF(E562=1,AJ562/AH562,"")</f>
        <v>0.102272727272727</v>
      </c>
      <c r="AO562" s="36">
        <f>IF(E562=1,AK562/AH562,"")</f>
        <v>0.659090909090909</v>
      </c>
      <c r="AP562" s="34">
        <f>IF(E562=1,Orders!Y559,"")</f>
        <v>0.64</v>
      </c>
      <c r="AQ562" s="33">
        <f>IF(Orders!X559,1,0)</f>
        <v>0</v>
      </c>
      <c r="AR562" s="34" t="str">
        <f>IF(AND(E562=1,L562=1),AJ562,"")</f>
        <v/>
      </c>
      <c r="AS562" s="34">
        <f>IF(AND(E562=1,L562=0),AJ562,"")</f>
        <v>0.9</v>
      </c>
      <c r="AT562" s="34" t="str">
        <f>IF(AND(E562=1,L562=1),AI562,"")</f>
        <v/>
      </c>
      <c r="AU562" s="34">
        <f>IF(AND(E562=1,L562=0),AI562,"")</f>
        <v>2.1</v>
      </c>
      <c r="AV562" s="34" t="str">
        <f>IF(AND(E562=1,L562=1),AG562,"")</f>
        <v/>
      </c>
      <c r="AW562" s="34">
        <f>IF(AND(E562=1,L562=0),AG562,"")</f>
        <v>9.9</v>
      </c>
      <c r="AX562" s="34" t="str">
        <f>IF(AND(E562=1,L562=1),AH562,"")</f>
        <v/>
      </c>
      <c r="AY562" s="34">
        <f>IF(AND(E562=1,L562=0),AH562,"")</f>
        <v>8.8</v>
      </c>
      <c r="AZ562" s="34" t="str">
        <f>IF(G562=1,F562,"")</f>
        <v/>
      </c>
      <c r="BA562" s="34" t="str">
        <f>IF(AND(G562=1,L562=1),F562,"")</f>
        <v/>
      </c>
      <c r="BB562" s="34" t="str">
        <f>IF(AND(G562=1,L562=0),F562,"")</f>
        <v/>
      </c>
      <c r="BC562" s="33">
        <f>IF(E562=1,IF(Orders!R559&gt;3,1,0),"")</f>
        <v>0</v>
      </c>
      <c r="BD562" s="33">
        <f>IF(E562=1,IF(Orders!R559&gt;7,1,0),"")</f>
        <v>0</v>
      </c>
      <c r="BE562" s="32" t="str">
        <f>IF(E562=1,IF(Orders!L559&lt;=1.5,"Up to 1.5 km",IF(Orders!L559&lt;=3,"1.5–3 km","Over 3 km")),"")</f>
        <v>Over 3 km</v>
      </c>
      <c r="BF562" s="33">
        <f>IF(E562=1,IF(ABS((Orders!G559-Orders!F559)*1440-Orders!R559)&lt;0.06,1,0),"")</f>
        <v>1</v>
      </c>
      <c r="BG562" s="33">
        <f>IF(ABS((Orders!F559-Orders!E559)*1440-Orders!P559)&lt;0.06,1,0)</f>
        <v>1</v>
      </c>
      <c r="BH562" s="33">
        <f>IF(E562=1,IF(IF(Orders!S559,1,0)=1-G562,1,0),"")</f>
        <v>1</v>
      </c>
      <c r="BI562" s="32" t="str">
        <f>INDEX(Stores!$B$2:$B$21,MATCH(B562,Stores!$A$2:$A$21,0))</f>
        <v>Mumbai</v>
      </c>
    </row>
    <row r="563">
      <c r="A563" s="32" t="str">
        <f>Orders!A560</f>
        <v>O00559</v>
      </c>
      <c r="B563" s="32" t="str">
        <f>Orders!C560</f>
        <v>S008</v>
      </c>
      <c r="C563" s="32" t="str">
        <f>Orders!B560</f>
        <v>C0234</v>
      </c>
      <c r="D563" s="32" t="str">
        <f>Orders!H560</f>
        <v>Delivered</v>
      </c>
      <c r="E563" s="33">
        <f>IF(Orders!H560="Delivered",1,0)</f>
        <v>1</v>
      </c>
      <c r="F563" s="34">
        <f>IF(E563=1,Orders!R560,"")</f>
        <v>-0.2</v>
      </c>
      <c r="G563" s="33">
        <f>IF(E563=1,IF(Orders!R560&gt;0,1,0),"")</f>
        <v>0</v>
      </c>
      <c r="H563" s="33">
        <f>IF(E563=1,IF(Orders!R560&gt;5,1,0),"")</f>
        <v>0</v>
      </c>
      <c r="I563" s="32" t="str">
        <f>IF(E563=1,"",IF(OR(Orders!T560="Rider unavailable",Orders!T560="Item unavailable"),"Company-caused","Unresolved"))</f>
        <v/>
      </c>
      <c r="J563" s="33">
        <f>IF(OR(E563=1,I563="Company-caused"),1,0)</f>
        <v>1</v>
      </c>
      <c r="K563" s="32" t="str">
        <f>IF(E563=0,IF(I563="Company-caused",IF(Orders!T560="Rider unavailable","C1 Rider unavailable","C2 Item unavailable"),"Outside root: unresolved"),IF(G563=0,"A On time",IF(H563=1,IF(L563=1,"B2a Severe, peak","B2b Severe, off-peak"),IF(L563=1,"B1a Slight, peak","B1b Slight, off-peak"))))</f>
        <v>A On time</v>
      </c>
      <c r="L563" s="33">
        <f>IF(AND(Orders!U560&gt;=19,Orders!U560&lt;22),1,0)</f>
        <v>0</v>
      </c>
      <c r="M563" s="33">
        <f>IF(L563=IF(Orders!V560,1,0),1,0)</f>
        <v>1</v>
      </c>
      <c r="N563" s="32" t="str">
        <f>IF(Orders!W560="","None",Orders!W560)</f>
        <v>None</v>
      </c>
      <c r="O563" s="35">
        <f>INT(Orders!E560)</f>
        <v>46271.0</v>
      </c>
      <c r="P563" s="33">
        <f>Orders!U560</f>
        <v>11</v>
      </c>
      <c r="Q563" s="33">
        <f>COUNTIFS(Demand!$A$2:$A$4481,B563,Demand!$B$2:$B$4481,O563,Demand!$C$2:$C$4481,P563)</f>
        <v>1</v>
      </c>
      <c r="R563" s="33">
        <f>IF(Q563=1,SUMIFS(Demand!$E$2:$E$4481,Demand!$A$2:$A$4481,B563,Demand!$B$2:$B$4481,O563,Demand!$C$2:$C$4481,P563),"")</f>
        <v>26</v>
      </c>
      <c r="S563" s="33">
        <f>INDEX(Stores!$G$2:$G$21,MATCH(B563,Stores!$A$2:$A$21,0))</f>
        <v>23</v>
      </c>
      <c r="T563" s="34">
        <f>IF(R563="","",R563/S563)</f>
        <v>1.1304347826087</v>
      </c>
      <c r="U563" s="34">
        <f>IF(E563=1,T563,"")</f>
        <v>1.1304347826087</v>
      </c>
      <c r="V563" s="34">
        <f>IF(AND(E563=1,L563=0),T563,"")</f>
        <v>1.1304347826087</v>
      </c>
      <c r="W563" s="33">
        <f>IF(U563="","",IF(U563&lt;=Breakdowns!$C$5,1,IF(U563&lt;=Breakdowns!$C$6,2,IF(U563&lt;=Breakdowns!$C$7,3,4))))</f>
        <v>3</v>
      </c>
      <c r="X563" s="33">
        <f>IF(V563="","",IF(V563&lt;=Breakdowns!$D$5,1,IF(V563&lt;=Breakdowns!$D$6,2,IF(V563&lt;=Breakdowns!$D$7,3,4))))</f>
        <v>4</v>
      </c>
      <c r="Y563" s="34">
        <f>INDEX(Stores!$F$2:$F$21,MATCH(B563,Stores!$A$2:$A$21,0))</f>
        <v>3.46</v>
      </c>
      <c r="Z563" s="33">
        <f>IF(Y563&gt;Store_Summary!$M$2,1,0)</f>
        <v>0</v>
      </c>
      <c r="AA563" s="33">
        <f>INDEX(Stores!$C$2:$C$21,MATCH(B563,Stores!$A$2:$A$21,0))</f>
        <v>825</v>
      </c>
      <c r="AB563" s="33">
        <f>IF(AA563&lt;180,1,0)</f>
        <v>0</v>
      </c>
      <c r="AC563" s="32" t="str">
        <f>IF(Orders!D560="","",INDEX(Riders!$C$2:$C$81,MATCH(Orders!D560,Riders!$A$2:$A$81,0)))</f>
        <v>Petrol scooter</v>
      </c>
      <c r="AD563" s="33">
        <f>IF(Orders!D560="","",INDEX(Riders!$D$2:$D$81,MATCH(Orders!D560,Riders!$A$2:$A$81,0)))</f>
        <v>29</v>
      </c>
      <c r="AE563" s="33">
        <f>IF(Orders!D560="","",IF(INDEX(Riders!$B$2:$B$81,MATCH(Orders!D560,Riders!$A$2:$A$81,0))=B563,1,0))</f>
        <v>0</v>
      </c>
      <c r="AF563" s="34">
        <f>IF(E563=1,Orders!L560,"")</f>
        <v>1.75</v>
      </c>
      <c r="AG563" s="34">
        <f>IF(E563=1,Orders!P560,"")</f>
        <v>11.1</v>
      </c>
      <c r="AH563" s="34">
        <f>IF(E563=1,Orders!Q560,"")</f>
        <v>10.9</v>
      </c>
      <c r="AI563" s="34">
        <f>IF(E563=1,Orders!M560,"")</f>
        <v>3.1</v>
      </c>
      <c r="AJ563" s="34">
        <f>IF(E563=1,Orders!N560,"")</f>
        <v>2.4</v>
      </c>
      <c r="AK563" s="34">
        <f>IF(E563=1,Orders!O560,"")</f>
        <v>5.4</v>
      </c>
      <c r="AL563" s="33">
        <f>IF(E563=1,IF(ROUND(ABS(AI563+AJ563+AK563-AH563),6)&lt;=0.1,1,0),"")</f>
        <v>1</v>
      </c>
      <c r="AM563" s="36">
        <f>IF(E563=1,AI563/AH563,"")</f>
        <v>0.284403669724771</v>
      </c>
      <c r="AN563" s="36">
        <f>IF(E563=1,AJ563/AH563,"")</f>
        <v>0.220183486238532</v>
      </c>
      <c r="AO563" s="36">
        <f>IF(E563=1,AK563/AH563,"")</f>
        <v>0.495412844036697</v>
      </c>
      <c r="AP563" s="34">
        <f>IF(E563=1,Orders!Y560,"")</f>
        <v>0.96</v>
      </c>
      <c r="AQ563" s="33">
        <f>IF(Orders!X560,1,0)</f>
        <v>0</v>
      </c>
      <c r="AR563" s="34" t="str">
        <f>IF(AND(E563=1,L563=1),AJ563,"")</f>
        <v/>
      </c>
      <c r="AS563" s="34">
        <f>IF(AND(E563=1,L563=0),AJ563,"")</f>
        <v>2.4</v>
      </c>
      <c r="AT563" s="34" t="str">
        <f>IF(AND(E563=1,L563=1),AI563,"")</f>
        <v/>
      </c>
      <c r="AU563" s="34">
        <f>IF(AND(E563=1,L563=0),AI563,"")</f>
        <v>3.1</v>
      </c>
      <c r="AV563" s="34" t="str">
        <f>IF(AND(E563=1,L563=1),AG563,"")</f>
        <v/>
      </c>
      <c r="AW563" s="34">
        <f>IF(AND(E563=1,L563=0),AG563,"")</f>
        <v>11.1</v>
      </c>
      <c r="AX563" s="34" t="str">
        <f>IF(AND(E563=1,L563=1),AH563,"")</f>
        <v/>
      </c>
      <c r="AY563" s="34">
        <f>IF(AND(E563=1,L563=0),AH563,"")</f>
        <v>10.9</v>
      </c>
      <c r="AZ563" s="34" t="str">
        <f>IF(G563=1,F563,"")</f>
        <v/>
      </c>
      <c r="BA563" s="34" t="str">
        <f>IF(AND(G563=1,L563=1),F563,"")</f>
        <v/>
      </c>
      <c r="BB563" s="34" t="str">
        <f>IF(AND(G563=1,L563=0),F563,"")</f>
        <v/>
      </c>
      <c r="BC563" s="33">
        <f>IF(E563=1,IF(Orders!R560&gt;3,1,0),"")</f>
        <v>0</v>
      </c>
      <c r="BD563" s="33">
        <f>IF(E563=1,IF(Orders!R560&gt;7,1,0),"")</f>
        <v>0</v>
      </c>
      <c r="BE563" s="32" t="str">
        <f>IF(E563=1,IF(Orders!L560&lt;=1.5,"Up to 1.5 km",IF(Orders!L560&lt;=3,"1.5–3 km","Over 3 km")),"")</f>
        <v>1.5–3 km</v>
      </c>
      <c r="BF563" s="33">
        <f>IF(E563=1,IF(ABS((Orders!G560-Orders!F560)*1440-Orders!R560)&lt;0.06,1,0),"")</f>
        <v>1</v>
      </c>
      <c r="BG563" s="33">
        <f>IF(ABS((Orders!F560-Orders!E560)*1440-Orders!P560)&lt;0.06,1,0)</f>
        <v>1</v>
      </c>
      <c r="BH563" s="33">
        <f>IF(E563=1,IF(IF(Orders!S560,1,0)=1-G563,1,0),"")</f>
        <v>1</v>
      </c>
      <c r="BI563" s="32" t="str">
        <f>INDEX(Stores!$B$2:$B$21,MATCH(B563,Stores!$A$2:$A$21,0))</f>
        <v>Mumbai</v>
      </c>
    </row>
    <row r="564">
      <c r="A564" s="32" t="str">
        <f>Orders!A561</f>
        <v>O00560</v>
      </c>
      <c r="B564" s="32" t="str">
        <f>Orders!C561</f>
        <v>S001</v>
      </c>
      <c r="C564" s="32" t="str">
        <f>Orders!B561</f>
        <v>C0204</v>
      </c>
      <c r="D564" s="32" t="str">
        <f>Orders!H561</f>
        <v>Delivered</v>
      </c>
      <c r="E564" s="33">
        <f>IF(Orders!H561="Delivered",1,0)</f>
        <v>1</v>
      </c>
      <c r="F564" s="34">
        <f>IF(E564=1,Orders!R561,"")</f>
        <v>-0.3</v>
      </c>
      <c r="G564" s="33">
        <f>IF(E564=1,IF(Orders!R561&gt;0,1,0),"")</f>
        <v>0</v>
      </c>
      <c r="H564" s="33">
        <f>IF(E564=1,IF(Orders!R561&gt;5,1,0),"")</f>
        <v>0</v>
      </c>
      <c r="I564" s="32" t="str">
        <f>IF(E564=1,"",IF(OR(Orders!T561="Rider unavailable",Orders!T561="Item unavailable"),"Company-caused","Unresolved"))</f>
        <v/>
      </c>
      <c r="J564" s="33">
        <f>IF(OR(E564=1,I564="Company-caused"),1,0)</f>
        <v>1</v>
      </c>
      <c r="K564" s="32" t="str">
        <f>IF(E564=0,IF(I564="Company-caused",IF(Orders!T561="Rider unavailable","C1 Rider unavailable","C2 Item unavailable"),"Outside root: unresolved"),IF(G564=0,"A On time",IF(H564=1,IF(L564=1,"B2a Severe, peak","B2b Severe, off-peak"),IF(L564=1,"B1a Slight, peak","B1b Slight, off-peak"))))</f>
        <v>A On time</v>
      </c>
      <c r="L564" s="33">
        <f>IF(AND(Orders!U561&gt;=19,Orders!U561&lt;22),1,0)</f>
        <v>0</v>
      </c>
      <c r="M564" s="33">
        <f>IF(L564=IF(Orders!V561,1,0),1,0)</f>
        <v>1</v>
      </c>
      <c r="N564" s="32" t="str">
        <f>IF(Orders!W561="","None",Orders!W561)</f>
        <v>None</v>
      </c>
      <c r="O564" s="35">
        <f>INT(Orders!E561)</f>
        <v>46270.0</v>
      </c>
      <c r="P564" s="33">
        <f>Orders!U561</f>
        <v>14</v>
      </c>
      <c r="Q564" s="33">
        <f>COUNTIFS(Demand!$A$2:$A$4481,B564,Demand!$B$2:$B$4481,O564,Demand!$C$2:$C$4481,P564)</f>
        <v>1</v>
      </c>
      <c r="R564" s="33">
        <f>IF(Q564=1,SUMIFS(Demand!$E$2:$E$4481,Demand!$A$2:$A$4481,B564,Demand!$B$2:$B$4481,O564,Demand!$C$2:$C$4481,P564),"")</f>
        <v>21</v>
      </c>
      <c r="S564" s="33">
        <f>INDEX(Stores!$G$2:$G$21,MATCH(B564,Stores!$A$2:$A$21,0))</f>
        <v>16</v>
      </c>
      <c r="T564" s="34">
        <f>IF(R564="","",R564/S564)</f>
        <v>1.3125</v>
      </c>
      <c r="U564" s="34">
        <f>IF(E564=1,T564,"")</f>
        <v>1.3125</v>
      </c>
      <c r="V564" s="34">
        <f>IF(AND(E564=1,L564=0),T564,"")</f>
        <v>1.3125</v>
      </c>
      <c r="W564" s="33">
        <f>IF(U564="","",IF(U564&lt;=Breakdowns!$C$5,1,IF(U564&lt;=Breakdowns!$C$6,2,IF(U564&lt;=Breakdowns!$C$7,3,4))))</f>
        <v>4</v>
      </c>
      <c r="X564" s="33">
        <f>IF(V564="","",IF(V564&lt;=Breakdowns!$D$5,1,IF(V564&lt;=Breakdowns!$D$6,2,IF(V564&lt;=Breakdowns!$D$7,3,4))))</f>
        <v>4</v>
      </c>
      <c r="Y564" s="34">
        <f>INDEX(Stores!$F$2:$F$21,MATCH(B564,Stores!$A$2:$A$21,0))</f>
        <v>4.59</v>
      </c>
      <c r="Z564" s="33">
        <f>IF(Y564&gt;Store_Summary!$M$2,1,0)</f>
        <v>0</v>
      </c>
      <c r="AA564" s="33">
        <f>INDEX(Stores!$C$2:$C$21,MATCH(B564,Stores!$A$2:$A$21,0))</f>
        <v>362</v>
      </c>
      <c r="AB564" s="33">
        <f>IF(AA564&lt;180,1,0)</f>
        <v>0</v>
      </c>
      <c r="AC564" s="32" t="str">
        <f>IF(Orders!D561="","",INDEX(Riders!$C$2:$C$81,MATCH(Orders!D561,Riders!$A$2:$A$81,0)))</f>
        <v>EV scooter</v>
      </c>
      <c r="AD564" s="33">
        <f>IF(Orders!D561="","",INDEX(Riders!$D$2:$D$81,MATCH(Orders!D561,Riders!$A$2:$A$81,0)))</f>
        <v>36</v>
      </c>
      <c r="AE564" s="33">
        <f>IF(Orders!D561="","",IF(INDEX(Riders!$B$2:$B$81,MATCH(Orders!D561,Riders!$A$2:$A$81,0))=B564,1,0))</f>
        <v>0</v>
      </c>
      <c r="AF564" s="34">
        <f>IF(E564=1,Orders!L561,"")</f>
        <v>0.57</v>
      </c>
      <c r="AG564" s="34">
        <f>IF(E564=1,Orders!P561,"")</f>
        <v>9.8</v>
      </c>
      <c r="AH564" s="34">
        <f>IF(E564=1,Orders!Q561,"")</f>
        <v>9.5</v>
      </c>
      <c r="AI564" s="34">
        <f>IF(E564=1,Orders!M561,"")</f>
        <v>4.2</v>
      </c>
      <c r="AJ564" s="34">
        <f>IF(E564=1,Orders!N561,"")</f>
        <v>3</v>
      </c>
      <c r="AK564" s="34">
        <f>IF(E564=1,Orders!O561,"")</f>
        <v>2.3</v>
      </c>
      <c r="AL564" s="33">
        <f>IF(E564=1,IF(ROUND(ABS(AI564+AJ564+AK564-AH564),6)&lt;=0.1,1,0),"")</f>
        <v>1</v>
      </c>
      <c r="AM564" s="36">
        <f>IF(E564=1,AI564/AH564,"")</f>
        <v>0.442105263157895</v>
      </c>
      <c r="AN564" s="36">
        <f>IF(E564=1,AJ564/AH564,"")</f>
        <v>0.315789473684211</v>
      </c>
      <c r="AO564" s="36">
        <f>IF(E564=1,AK564/AH564,"")</f>
        <v>0.242105263157895</v>
      </c>
      <c r="AP564" s="34">
        <f>IF(E564=1,Orders!Y561,"")</f>
        <v>0.41</v>
      </c>
      <c r="AQ564" s="33">
        <f>IF(Orders!X561,1,0)</f>
        <v>0</v>
      </c>
      <c r="AR564" s="34" t="str">
        <f>IF(AND(E564=1,L564=1),AJ564,"")</f>
        <v/>
      </c>
      <c r="AS564" s="34">
        <f>IF(AND(E564=1,L564=0),AJ564,"")</f>
        <v>3</v>
      </c>
      <c r="AT564" s="34" t="str">
        <f>IF(AND(E564=1,L564=1),AI564,"")</f>
        <v/>
      </c>
      <c r="AU564" s="34">
        <f>IF(AND(E564=1,L564=0),AI564,"")</f>
        <v>4.2</v>
      </c>
      <c r="AV564" s="34" t="str">
        <f>IF(AND(E564=1,L564=1),AG564,"")</f>
        <v/>
      </c>
      <c r="AW564" s="34">
        <f>IF(AND(E564=1,L564=0),AG564,"")</f>
        <v>9.8</v>
      </c>
      <c r="AX564" s="34" t="str">
        <f>IF(AND(E564=1,L564=1),AH564,"")</f>
        <v/>
      </c>
      <c r="AY564" s="34">
        <f>IF(AND(E564=1,L564=0),AH564,"")</f>
        <v>9.5</v>
      </c>
      <c r="AZ564" s="34" t="str">
        <f>IF(G564=1,F564,"")</f>
        <v/>
      </c>
      <c r="BA564" s="34" t="str">
        <f>IF(AND(G564=1,L564=1),F564,"")</f>
        <v/>
      </c>
      <c r="BB564" s="34" t="str">
        <f>IF(AND(G564=1,L564=0),F564,"")</f>
        <v/>
      </c>
      <c r="BC564" s="33">
        <f>IF(E564=1,IF(Orders!R561&gt;3,1,0),"")</f>
        <v>0</v>
      </c>
      <c r="BD564" s="33">
        <f>IF(E564=1,IF(Orders!R561&gt;7,1,0),"")</f>
        <v>0</v>
      </c>
      <c r="BE564" s="32" t="str">
        <f>IF(E564=1,IF(Orders!L561&lt;=1.5,"Up to 1.5 km",IF(Orders!L561&lt;=3,"1.5–3 km","Over 3 km")),"")</f>
        <v>Up to 1.5 km</v>
      </c>
      <c r="BF564" s="33">
        <f>IF(E564=1,IF(ABS((Orders!G561-Orders!F561)*1440-Orders!R561)&lt;0.06,1,0),"")</f>
        <v>1</v>
      </c>
      <c r="BG564" s="33">
        <f>IF(ABS((Orders!F561-Orders!E561)*1440-Orders!P561)&lt;0.06,1,0)</f>
        <v>1</v>
      </c>
      <c r="BH564" s="33">
        <f>IF(E564=1,IF(IF(Orders!S561,1,0)=1-G564,1,0),"")</f>
        <v>1</v>
      </c>
      <c r="BI564" s="32" t="str">
        <f>INDEX(Stores!$B$2:$B$21,MATCH(B564,Stores!$A$2:$A$21,0))</f>
        <v>Bengaluru</v>
      </c>
    </row>
    <row r="565">
      <c r="A565" s="32" t="str">
        <f>Orders!A562</f>
        <v>O00561</v>
      </c>
      <c r="B565" s="32" t="str">
        <f>Orders!C562</f>
        <v>S005</v>
      </c>
      <c r="C565" s="32" t="str">
        <f>Orders!B562</f>
        <v>C0150</v>
      </c>
      <c r="D565" s="32" t="str">
        <f>Orders!H562</f>
        <v>Delivered</v>
      </c>
      <c r="E565" s="33">
        <f>IF(Orders!H562="Delivered",1,0)</f>
        <v>1</v>
      </c>
      <c r="F565" s="34">
        <f>IF(E565=1,Orders!R562,"")</f>
        <v>-1.7</v>
      </c>
      <c r="G565" s="33">
        <f>IF(E565=1,IF(Orders!R562&gt;0,1,0),"")</f>
        <v>0</v>
      </c>
      <c r="H565" s="33">
        <f>IF(E565=1,IF(Orders!R562&gt;5,1,0),"")</f>
        <v>0</v>
      </c>
      <c r="I565" s="32" t="str">
        <f>IF(E565=1,"",IF(OR(Orders!T562="Rider unavailable",Orders!T562="Item unavailable"),"Company-caused","Unresolved"))</f>
        <v/>
      </c>
      <c r="J565" s="33">
        <f>IF(OR(E565=1,I565="Company-caused"),1,0)</f>
        <v>1</v>
      </c>
      <c r="K565" s="32" t="str">
        <f>IF(E565=0,IF(I565="Company-caused",IF(Orders!T562="Rider unavailable","C1 Rider unavailable","C2 Item unavailable"),"Outside root: unresolved"),IF(G565=0,"A On time",IF(H565=1,IF(L565=1,"B2a Severe, peak","B2b Severe, off-peak"),IF(L565=1,"B1a Slight, peak","B1b Slight, off-peak"))))</f>
        <v>A On time</v>
      </c>
      <c r="L565" s="33">
        <f>IF(AND(Orders!U562&gt;=19,Orders!U562&lt;22),1,0)</f>
        <v>0</v>
      </c>
      <c r="M565" s="33">
        <f>IF(L565=IF(Orders!V562,1,0),1,0)</f>
        <v>1</v>
      </c>
      <c r="N565" s="32" t="str">
        <f>IF(Orders!W562="","None",Orders!W562)</f>
        <v>None</v>
      </c>
      <c r="O565" s="35">
        <f>INT(Orders!E562)</f>
        <v>46271.0</v>
      </c>
      <c r="P565" s="33">
        <f>Orders!U562</f>
        <v>22</v>
      </c>
      <c r="Q565" s="33">
        <f>COUNTIFS(Demand!$A$2:$A$4481,B565,Demand!$B$2:$B$4481,O565,Demand!$C$2:$C$4481,P565)</f>
        <v>1</v>
      </c>
      <c r="R565" s="33">
        <f>IF(Q565=1,SUMIFS(Demand!$E$2:$E$4481,Demand!$A$2:$A$4481,B565,Demand!$B$2:$B$4481,O565,Demand!$C$2:$C$4481,P565),"")</f>
        <v>16</v>
      </c>
      <c r="S565" s="33">
        <f>INDEX(Stores!$G$2:$G$21,MATCH(B565,Stores!$A$2:$A$21,0))</f>
        <v>14</v>
      </c>
      <c r="T565" s="34">
        <f>IF(R565="","",R565/S565)</f>
        <v>1.14285714285714</v>
      </c>
      <c r="U565" s="34">
        <f>IF(E565=1,T565,"")</f>
        <v>1.14285714285714</v>
      </c>
      <c r="V565" s="34">
        <f>IF(AND(E565=1,L565=0),T565,"")</f>
        <v>1.14285714285714</v>
      </c>
      <c r="W565" s="33">
        <f>IF(U565="","",IF(U565&lt;=Breakdowns!$C$5,1,IF(U565&lt;=Breakdowns!$C$6,2,IF(U565&lt;=Breakdowns!$C$7,3,4))))</f>
        <v>3</v>
      </c>
      <c r="X565" s="33">
        <f>IF(V565="","",IF(V565&lt;=Breakdowns!$D$5,1,IF(V565&lt;=Breakdowns!$D$6,2,IF(V565&lt;=Breakdowns!$D$7,3,4))))</f>
        <v>4</v>
      </c>
      <c r="Y565" s="34">
        <f>INDEX(Stores!$F$2:$F$21,MATCH(B565,Stores!$A$2:$A$21,0))</f>
        <v>4.89</v>
      </c>
      <c r="Z565" s="33">
        <f>IF(Y565&gt;Store_Summary!$M$2,1,0)</f>
        <v>0</v>
      </c>
      <c r="AA565" s="33">
        <f>INDEX(Stores!$C$2:$C$21,MATCH(B565,Stores!$A$2:$A$21,0))</f>
        <v>138</v>
      </c>
      <c r="AB565" s="33">
        <f>IF(AA565&lt;180,1,0)</f>
        <v>1</v>
      </c>
      <c r="AC565" s="32" t="str">
        <f>IF(Orders!D562="","",INDEX(Riders!$C$2:$C$81,MATCH(Orders!D562,Riders!$A$2:$A$81,0)))</f>
        <v>Petrol scooter</v>
      </c>
      <c r="AD565" s="33">
        <f>IF(Orders!D562="","",INDEX(Riders!$D$2:$D$81,MATCH(Orders!D562,Riders!$A$2:$A$81,0)))</f>
        <v>29</v>
      </c>
      <c r="AE565" s="33">
        <f>IF(Orders!D562="","",IF(INDEX(Riders!$B$2:$B$81,MATCH(Orders!D562,Riders!$A$2:$A$81,0))=B565,1,0))</f>
        <v>0</v>
      </c>
      <c r="AF565" s="34">
        <f>IF(E565=1,Orders!L562,"")</f>
        <v>1.26</v>
      </c>
      <c r="AG565" s="34">
        <f>IF(E565=1,Orders!P562,"")</f>
        <v>12.1</v>
      </c>
      <c r="AH565" s="34">
        <f>IF(E565=1,Orders!Q562,"")</f>
        <v>10.4</v>
      </c>
      <c r="AI565" s="34">
        <f>IF(E565=1,Orders!M562,"")</f>
        <v>5</v>
      </c>
      <c r="AJ565" s="34">
        <f>IF(E565=1,Orders!N562,"")</f>
        <v>1.6</v>
      </c>
      <c r="AK565" s="34">
        <f>IF(E565=1,Orders!O562,"")</f>
        <v>3.9</v>
      </c>
      <c r="AL565" s="33">
        <f>IF(E565=1,IF(ROUND(ABS(AI565+AJ565+AK565-AH565),6)&lt;=0.1,1,0),"")</f>
        <v>1</v>
      </c>
      <c r="AM565" s="36">
        <f>IF(E565=1,AI565/AH565,"")</f>
        <v>0.480769230769231</v>
      </c>
      <c r="AN565" s="36">
        <f>IF(E565=1,AJ565/AH565,"")</f>
        <v>0.153846153846154</v>
      </c>
      <c r="AO565" s="36">
        <f>IF(E565=1,AK565/AH565,"")</f>
        <v>0.375</v>
      </c>
      <c r="AP565" s="34">
        <f>IF(E565=1,Orders!Y562,"")</f>
        <v>0.33</v>
      </c>
      <c r="AQ565" s="33">
        <f>IF(Orders!X562,1,0)</f>
        <v>0</v>
      </c>
      <c r="AR565" s="34" t="str">
        <f>IF(AND(E565=1,L565=1),AJ565,"")</f>
        <v/>
      </c>
      <c r="AS565" s="34">
        <f>IF(AND(E565=1,L565=0),AJ565,"")</f>
        <v>1.6</v>
      </c>
      <c r="AT565" s="34" t="str">
        <f>IF(AND(E565=1,L565=1),AI565,"")</f>
        <v/>
      </c>
      <c r="AU565" s="34">
        <f>IF(AND(E565=1,L565=0),AI565,"")</f>
        <v>5</v>
      </c>
      <c r="AV565" s="34" t="str">
        <f>IF(AND(E565=1,L565=1),AG565,"")</f>
        <v/>
      </c>
      <c r="AW565" s="34">
        <f>IF(AND(E565=1,L565=0),AG565,"")</f>
        <v>12.1</v>
      </c>
      <c r="AX565" s="34" t="str">
        <f>IF(AND(E565=1,L565=1),AH565,"")</f>
        <v/>
      </c>
      <c r="AY565" s="34">
        <f>IF(AND(E565=1,L565=0),AH565,"")</f>
        <v>10.4</v>
      </c>
      <c r="AZ565" s="34" t="str">
        <f>IF(G565=1,F565,"")</f>
        <v/>
      </c>
      <c r="BA565" s="34" t="str">
        <f>IF(AND(G565=1,L565=1),F565,"")</f>
        <v/>
      </c>
      <c r="BB565" s="34" t="str">
        <f>IF(AND(G565=1,L565=0),F565,"")</f>
        <v/>
      </c>
      <c r="BC565" s="33">
        <f>IF(E565=1,IF(Orders!R562&gt;3,1,0),"")</f>
        <v>0</v>
      </c>
      <c r="BD565" s="33">
        <f>IF(E565=1,IF(Orders!R562&gt;7,1,0),"")</f>
        <v>0</v>
      </c>
      <c r="BE565" s="32" t="str">
        <f>IF(E565=1,IF(Orders!L562&lt;=1.5,"Up to 1.5 km",IF(Orders!L562&lt;=3,"1.5–3 km","Over 3 km")),"")</f>
        <v>Up to 1.5 km</v>
      </c>
      <c r="BF565" s="33">
        <f>IF(E565=1,IF(ABS((Orders!G562-Orders!F562)*1440-Orders!R562)&lt;0.06,1,0),"")</f>
        <v>1</v>
      </c>
      <c r="BG565" s="33">
        <f>IF(ABS((Orders!F562-Orders!E562)*1440-Orders!P562)&lt;0.06,1,0)</f>
        <v>1</v>
      </c>
      <c r="BH565" s="33">
        <f>IF(E565=1,IF(IF(Orders!S562,1,0)=1-G565,1,0),"")</f>
        <v>1</v>
      </c>
      <c r="BI565" s="32" t="str">
        <f>INDEX(Stores!$B$2:$B$21,MATCH(B565,Stores!$A$2:$A$21,0))</f>
        <v>Delhi</v>
      </c>
    </row>
    <row r="566">
      <c r="A566" s="32" t="str">
        <f>Orders!A563</f>
        <v>O00562</v>
      </c>
      <c r="B566" s="32" t="str">
        <f>Orders!C563</f>
        <v>S008</v>
      </c>
      <c r="C566" s="32" t="str">
        <f>Orders!B563</f>
        <v>C0001</v>
      </c>
      <c r="D566" s="32" t="str">
        <f>Orders!H563</f>
        <v>Delivered</v>
      </c>
      <c r="E566" s="33">
        <f>IF(Orders!H563="Delivered",1,0)</f>
        <v>1</v>
      </c>
      <c r="F566" s="34">
        <f>IF(E566=1,Orders!R563,"")</f>
        <v>-0.6</v>
      </c>
      <c r="G566" s="33">
        <f>IF(E566=1,IF(Orders!R563&gt;0,1,0),"")</f>
        <v>0</v>
      </c>
      <c r="H566" s="33">
        <f>IF(E566=1,IF(Orders!R563&gt;5,1,0),"")</f>
        <v>0</v>
      </c>
      <c r="I566" s="32" t="str">
        <f>IF(E566=1,"",IF(OR(Orders!T563="Rider unavailable",Orders!T563="Item unavailable"),"Company-caused","Unresolved"))</f>
        <v/>
      </c>
      <c r="J566" s="33">
        <f>IF(OR(E566=1,I566="Company-caused"),1,0)</f>
        <v>1</v>
      </c>
      <c r="K566" s="32" t="str">
        <f>IF(E566=0,IF(I566="Company-caused",IF(Orders!T563="Rider unavailable","C1 Rider unavailable","C2 Item unavailable"),"Outside root: unresolved"),IF(G566=0,"A On time",IF(H566=1,IF(L566=1,"B2a Severe, peak","B2b Severe, off-peak"),IF(L566=1,"B1a Slight, peak","B1b Slight, off-peak"))))</f>
        <v>A On time</v>
      </c>
      <c r="L566" s="33">
        <f>IF(AND(Orders!U563&gt;=19,Orders!U563&lt;22),1,0)</f>
        <v>1</v>
      </c>
      <c r="M566" s="33">
        <f>IF(L566=IF(Orders!V563,1,0),1,0)</f>
        <v>1</v>
      </c>
      <c r="N566" s="32" t="str">
        <f>IF(Orders!W563="","None",Orders!W563)</f>
        <v>None</v>
      </c>
      <c r="O566" s="35">
        <f>INT(Orders!E563)</f>
        <v>46270.0</v>
      </c>
      <c r="P566" s="33">
        <f>Orders!U563</f>
        <v>19</v>
      </c>
      <c r="Q566" s="33">
        <f>COUNTIFS(Demand!$A$2:$A$4481,B566,Demand!$B$2:$B$4481,O566,Demand!$C$2:$C$4481,P566)</f>
        <v>1</v>
      </c>
      <c r="R566" s="33">
        <f>IF(Q566=1,SUMIFS(Demand!$E$2:$E$4481,Demand!$A$2:$A$4481,B566,Demand!$B$2:$B$4481,O566,Demand!$C$2:$C$4481,P566),"")</f>
        <v>30</v>
      </c>
      <c r="S566" s="33">
        <f>INDEX(Stores!$G$2:$G$21,MATCH(B566,Stores!$A$2:$A$21,0))</f>
        <v>23</v>
      </c>
      <c r="T566" s="34">
        <f>IF(R566="","",R566/S566)</f>
        <v>1.30434782608696</v>
      </c>
      <c r="U566" s="34">
        <f>IF(E566=1,T566,"")</f>
        <v>1.30434782608696</v>
      </c>
      <c r="V566" s="34" t="str">
        <f>IF(AND(E566=1,L566=0),T566,"")</f>
        <v/>
      </c>
      <c r="W566" s="33">
        <f>IF(U566="","",IF(U566&lt;=Breakdowns!$C$5,1,IF(U566&lt;=Breakdowns!$C$6,2,IF(U566&lt;=Breakdowns!$C$7,3,4))))</f>
        <v>4</v>
      </c>
      <c r="X566" s="33" t="str">
        <f>IF(V566="","",IF(V566&lt;=Breakdowns!$D$5,1,IF(V566&lt;=Breakdowns!$D$6,2,IF(V566&lt;=Breakdowns!$D$7,3,4))))</f>
        <v/>
      </c>
      <c r="Y566" s="34">
        <f>INDEX(Stores!$F$2:$F$21,MATCH(B566,Stores!$A$2:$A$21,0))</f>
        <v>3.46</v>
      </c>
      <c r="Z566" s="33">
        <f>IF(Y566&gt;Store_Summary!$M$2,1,0)</f>
        <v>0</v>
      </c>
      <c r="AA566" s="33">
        <f>INDEX(Stores!$C$2:$C$21,MATCH(B566,Stores!$A$2:$A$21,0))</f>
        <v>825</v>
      </c>
      <c r="AB566" s="33">
        <f>IF(AA566&lt;180,1,0)</f>
        <v>0</v>
      </c>
      <c r="AC566" s="32" t="str">
        <f>IF(Orders!D563="","",INDEX(Riders!$C$2:$C$81,MATCH(Orders!D563,Riders!$A$2:$A$81,0)))</f>
        <v>EV scooter</v>
      </c>
      <c r="AD566" s="33">
        <f>IF(Orders!D563="","",INDEX(Riders!$D$2:$D$81,MATCH(Orders!D563,Riders!$A$2:$A$81,0)))</f>
        <v>36</v>
      </c>
      <c r="AE566" s="33">
        <f>IF(Orders!D563="","",IF(INDEX(Riders!$B$2:$B$81,MATCH(Orders!D563,Riders!$A$2:$A$81,0))=B566,1,0))</f>
        <v>0</v>
      </c>
      <c r="AF566" s="34">
        <f>IF(E566=1,Orders!L563,"")</f>
        <v>0.91</v>
      </c>
      <c r="AG566" s="34">
        <f>IF(E566=1,Orders!P563,"")</f>
        <v>10</v>
      </c>
      <c r="AH566" s="34">
        <f>IF(E566=1,Orders!Q563,"")</f>
        <v>9.4</v>
      </c>
      <c r="AI566" s="34">
        <f>IF(E566=1,Orders!M563,"")</f>
        <v>2.8</v>
      </c>
      <c r="AJ566" s="34">
        <f>IF(E566=1,Orders!N563,"")</f>
        <v>3.6</v>
      </c>
      <c r="AK566" s="34">
        <f>IF(E566=1,Orders!O563,"")</f>
        <v>3</v>
      </c>
      <c r="AL566" s="33">
        <f>IF(E566=1,IF(ROUND(ABS(AI566+AJ566+AK566-AH566),6)&lt;=0.1,1,0),"")</f>
        <v>1</v>
      </c>
      <c r="AM566" s="36">
        <f>IF(E566=1,AI566/AH566,"")</f>
        <v>0.297872340425532</v>
      </c>
      <c r="AN566" s="36">
        <f>IF(E566=1,AJ566/AH566,"")</f>
        <v>0.382978723404255</v>
      </c>
      <c r="AO566" s="36">
        <f>IF(E566=1,AK566/AH566,"")</f>
        <v>0.319148936170213</v>
      </c>
      <c r="AP566" s="34">
        <f>IF(E566=1,Orders!Y563,"")</f>
        <v>0.86</v>
      </c>
      <c r="AQ566" s="33">
        <f>IF(Orders!X563,1,0)</f>
        <v>0</v>
      </c>
      <c r="AR566" s="34">
        <f>IF(AND(E566=1,L566=1),AJ566,"")</f>
        <v>3.6</v>
      </c>
      <c r="AS566" s="34" t="str">
        <f>IF(AND(E566=1,L566=0),AJ566,"")</f>
        <v/>
      </c>
      <c r="AT566" s="34">
        <f>IF(AND(E566=1,L566=1),AI566,"")</f>
        <v>2.8</v>
      </c>
      <c r="AU566" s="34" t="str">
        <f>IF(AND(E566=1,L566=0),AI566,"")</f>
        <v/>
      </c>
      <c r="AV566" s="34">
        <f>IF(AND(E566=1,L566=1),AG566,"")</f>
        <v>10</v>
      </c>
      <c r="AW566" s="34" t="str">
        <f>IF(AND(E566=1,L566=0),AG566,"")</f>
        <v/>
      </c>
      <c r="AX566" s="34">
        <f>IF(AND(E566=1,L566=1),AH566,"")</f>
        <v>9.4</v>
      </c>
      <c r="AY566" s="34" t="str">
        <f>IF(AND(E566=1,L566=0),AH566,"")</f>
        <v/>
      </c>
      <c r="AZ566" s="34" t="str">
        <f>IF(G566=1,F566,"")</f>
        <v/>
      </c>
      <c r="BA566" s="34" t="str">
        <f>IF(AND(G566=1,L566=1),F566,"")</f>
        <v/>
      </c>
      <c r="BB566" s="34" t="str">
        <f>IF(AND(G566=1,L566=0),F566,"")</f>
        <v/>
      </c>
      <c r="BC566" s="33">
        <f>IF(E566=1,IF(Orders!R563&gt;3,1,0),"")</f>
        <v>0</v>
      </c>
      <c r="BD566" s="33">
        <f>IF(E566=1,IF(Orders!R563&gt;7,1,0),"")</f>
        <v>0</v>
      </c>
      <c r="BE566" s="32" t="str">
        <f>IF(E566=1,IF(Orders!L563&lt;=1.5,"Up to 1.5 km",IF(Orders!L563&lt;=3,"1.5–3 km","Over 3 km")),"")</f>
        <v>Up to 1.5 km</v>
      </c>
      <c r="BF566" s="33">
        <f>IF(E566=1,IF(ABS((Orders!G563-Orders!F563)*1440-Orders!R563)&lt;0.06,1,0),"")</f>
        <v>1</v>
      </c>
      <c r="BG566" s="33">
        <f>IF(ABS((Orders!F563-Orders!E563)*1440-Orders!P563)&lt;0.06,1,0)</f>
        <v>1</v>
      </c>
      <c r="BH566" s="33">
        <f>IF(E566=1,IF(IF(Orders!S563,1,0)=1-G566,1,0),"")</f>
        <v>1</v>
      </c>
      <c r="BI566" s="32" t="str">
        <f>INDEX(Stores!$B$2:$B$21,MATCH(B566,Stores!$A$2:$A$21,0))</f>
        <v>Mumbai</v>
      </c>
    </row>
    <row r="567">
      <c r="A567" s="32" t="str">
        <f>Orders!A564</f>
        <v>O00563</v>
      </c>
      <c r="B567" s="32" t="str">
        <f>Orders!C564</f>
        <v>S017</v>
      </c>
      <c r="C567" s="32" t="str">
        <f>Orders!B564</f>
        <v>C0209</v>
      </c>
      <c r="D567" s="32" t="str">
        <f>Orders!H564</f>
        <v>Delivered</v>
      </c>
      <c r="E567" s="33">
        <f>IF(Orders!H564="Delivered",1,0)</f>
        <v>1</v>
      </c>
      <c r="F567" s="34">
        <f>IF(E567=1,Orders!R564,"")</f>
        <v>6.4</v>
      </c>
      <c r="G567" s="33">
        <f>IF(E567=1,IF(Orders!R564&gt;0,1,0),"")</f>
        <v>1</v>
      </c>
      <c r="H567" s="33">
        <f>IF(E567=1,IF(Orders!R564&gt;5,1,0),"")</f>
        <v>1</v>
      </c>
      <c r="I567" s="32" t="str">
        <f>IF(E567=1,"",IF(OR(Orders!T564="Rider unavailable",Orders!T564="Item unavailable"),"Company-caused","Unresolved"))</f>
        <v/>
      </c>
      <c r="J567" s="33">
        <f>IF(OR(E567=1,I567="Company-caused"),1,0)</f>
        <v>1</v>
      </c>
      <c r="K567" s="32" t="str">
        <f>IF(E567=0,IF(I567="Company-caused",IF(Orders!T564="Rider unavailable","C1 Rider unavailable","C2 Item unavailable"),"Outside root: unresolved"),IF(G567=0,"A On time",IF(H567=1,IF(L567=1,"B2a Severe, peak","B2b Severe, off-peak"),IF(L567=1,"B1a Slight, peak","B1b Slight, off-peak"))))</f>
        <v>B2b Severe, off-peak</v>
      </c>
      <c r="L567" s="33">
        <f>IF(AND(Orders!U564&gt;=19,Orders!U564&lt;22),1,0)</f>
        <v>0</v>
      </c>
      <c r="M567" s="33">
        <f>IF(L567=IF(Orders!V564,1,0),1,0)</f>
        <v>1</v>
      </c>
      <c r="N567" s="32" t="str">
        <f>IF(Orders!W564="","None",Orders!W564)</f>
        <v>Light</v>
      </c>
      <c r="O567" s="35">
        <f>INT(Orders!E564)</f>
        <v>46277.0</v>
      </c>
      <c r="P567" s="33">
        <f>Orders!U564</f>
        <v>17</v>
      </c>
      <c r="Q567" s="33">
        <f>COUNTIFS(Demand!$A$2:$A$4481,B567,Demand!$B$2:$B$4481,O567,Demand!$C$2:$C$4481,P567)</f>
        <v>1</v>
      </c>
      <c r="R567" s="33">
        <f>IF(Q567=1,SUMIFS(Demand!$E$2:$E$4481,Demand!$A$2:$A$4481,B567,Demand!$B$2:$B$4481,O567,Demand!$C$2:$C$4481,P567),"")</f>
        <v>29</v>
      </c>
      <c r="S567" s="33">
        <f>INDEX(Stores!$G$2:$G$21,MATCH(B567,Stores!$A$2:$A$21,0))</f>
        <v>36</v>
      </c>
      <c r="T567" s="34">
        <f>IF(R567="","",R567/S567)</f>
        <v>0.805555555555556</v>
      </c>
      <c r="U567" s="34">
        <f>IF(E567=1,T567,"")</f>
        <v>0.805555555555556</v>
      </c>
      <c r="V567" s="34">
        <f>IF(AND(E567=1,L567=0),T567,"")</f>
        <v>0.805555555555556</v>
      </c>
      <c r="W567" s="33">
        <f>IF(U567="","",IF(U567&lt;=Breakdowns!$C$5,1,IF(U567&lt;=Breakdowns!$C$6,2,IF(U567&lt;=Breakdowns!$C$7,3,4))))</f>
        <v>2</v>
      </c>
      <c r="X567" s="33">
        <f>IF(V567="","",IF(V567&lt;=Breakdowns!$D$5,1,IF(V567&lt;=Breakdowns!$D$6,2,IF(V567&lt;=Breakdowns!$D$7,3,4))))</f>
        <v>2</v>
      </c>
      <c r="Y567" s="34">
        <f>INDEX(Stores!$F$2:$F$21,MATCH(B567,Stores!$A$2:$A$21,0))</f>
        <v>2.16</v>
      </c>
      <c r="Z567" s="33">
        <f>IF(Y567&gt;Store_Summary!$M$2,1,0)</f>
        <v>0</v>
      </c>
      <c r="AA567" s="33">
        <f>INDEX(Stores!$C$2:$C$21,MATCH(B567,Stores!$A$2:$A$21,0))</f>
        <v>47</v>
      </c>
      <c r="AB567" s="33">
        <f>IF(AA567&lt;180,1,0)</f>
        <v>1</v>
      </c>
      <c r="AC567" s="32" t="str">
        <f>IF(Orders!D564="","",INDEX(Riders!$C$2:$C$81,MATCH(Orders!D564,Riders!$A$2:$A$81,0)))</f>
        <v>Petrol scooter</v>
      </c>
      <c r="AD567" s="33">
        <f>IF(Orders!D564="","",INDEX(Riders!$D$2:$D$81,MATCH(Orders!D564,Riders!$A$2:$A$81,0)))</f>
        <v>48</v>
      </c>
      <c r="AE567" s="33">
        <f>IF(Orders!D564="","",IF(INDEX(Riders!$B$2:$B$81,MATCH(Orders!D564,Riders!$A$2:$A$81,0))=B567,1,0))</f>
        <v>0</v>
      </c>
      <c r="AF567" s="34">
        <f>IF(E567=1,Orders!L564,"")</f>
        <v>1.58</v>
      </c>
      <c r="AG567" s="34">
        <f>IF(E567=1,Orders!P564,"")</f>
        <v>9.2</v>
      </c>
      <c r="AH567" s="34">
        <f>IF(E567=1,Orders!Q564,"")</f>
        <v>15.6</v>
      </c>
      <c r="AI567" s="34">
        <f>IF(E567=1,Orders!M564,"")</f>
        <v>2.9</v>
      </c>
      <c r="AJ567" s="34">
        <f>IF(E567=1,Orders!N564,"")</f>
        <v>6.7</v>
      </c>
      <c r="AK567" s="34">
        <f>IF(E567=1,Orders!O564,"")</f>
        <v>6</v>
      </c>
      <c r="AL567" s="33">
        <f>IF(E567=1,IF(ROUND(ABS(AI567+AJ567+AK567-AH567),6)&lt;=0.1,1,0),"")</f>
        <v>1</v>
      </c>
      <c r="AM567" s="36">
        <f>IF(E567=1,AI567/AH567,"")</f>
        <v>0.185897435897436</v>
      </c>
      <c r="AN567" s="36">
        <f>IF(E567=1,AJ567/AH567,"")</f>
        <v>0.42948717948718</v>
      </c>
      <c r="AO567" s="36">
        <f>IF(E567=1,AK567/AH567,"")</f>
        <v>0.384615384615385</v>
      </c>
      <c r="AP567" s="34">
        <f>IF(E567=1,Orders!Y564,"")</f>
        <v>0.62</v>
      </c>
      <c r="AQ567" s="33">
        <f>IF(Orders!X564,1,0)</f>
        <v>0</v>
      </c>
      <c r="AR567" s="34" t="str">
        <f>IF(AND(E567=1,L567=1),AJ567,"")</f>
        <v/>
      </c>
      <c r="AS567" s="34">
        <f>IF(AND(E567=1,L567=0),AJ567,"")</f>
        <v>6.7</v>
      </c>
      <c r="AT567" s="34" t="str">
        <f>IF(AND(E567=1,L567=1),AI567,"")</f>
        <v/>
      </c>
      <c r="AU567" s="34">
        <f>IF(AND(E567=1,L567=0),AI567,"")</f>
        <v>2.9</v>
      </c>
      <c r="AV567" s="34" t="str">
        <f>IF(AND(E567=1,L567=1),AG567,"")</f>
        <v/>
      </c>
      <c r="AW567" s="34">
        <f>IF(AND(E567=1,L567=0),AG567,"")</f>
        <v>9.2</v>
      </c>
      <c r="AX567" s="34" t="str">
        <f>IF(AND(E567=1,L567=1),AH567,"")</f>
        <v/>
      </c>
      <c r="AY567" s="34">
        <f>IF(AND(E567=1,L567=0),AH567,"")</f>
        <v>15.6</v>
      </c>
      <c r="AZ567" s="34">
        <f>IF(G567=1,F567,"")</f>
        <v>6.4</v>
      </c>
      <c r="BA567" s="34" t="str">
        <f>IF(AND(G567=1,L567=1),F567,"")</f>
        <v/>
      </c>
      <c r="BB567" s="34">
        <f>IF(AND(G567=1,L567=0),F567,"")</f>
        <v>6.4</v>
      </c>
      <c r="BC567" s="33">
        <f>IF(E567=1,IF(Orders!R564&gt;3,1,0),"")</f>
        <v>1</v>
      </c>
      <c r="BD567" s="33">
        <f>IF(E567=1,IF(Orders!R564&gt;7,1,0),"")</f>
        <v>0</v>
      </c>
      <c r="BE567" s="32" t="str">
        <f>IF(E567=1,IF(Orders!L564&lt;=1.5,"Up to 1.5 km",IF(Orders!L564&lt;=3,"1.5–3 km","Over 3 km")),"")</f>
        <v>1.5–3 km</v>
      </c>
      <c r="BF567" s="33">
        <f>IF(E567=1,IF(ABS((Orders!G564-Orders!F564)*1440-Orders!R564)&lt;0.06,1,0),"")</f>
        <v>1</v>
      </c>
      <c r="BG567" s="33">
        <f>IF(ABS((Orders!F564-Orders!E564)*1440-Orders!P564)&lt;0.06,1,0)</f>
        <v>1</v>
      </c>
      <c r="BH567" s="33">
        <f>IF(E567=1,IF(IF(Orders!S564,1,0)=1-G567,1,0),"")</f>
        <v>1</v>
      </c>
      <c r="BI567" s="32" t="str">
        <f>INDEX(Stores!$B$2:$B$21,MATCH(B567,Stores!$A$2:$A$21,0))</f>
        <v>Hyderabad</v>
      </c>
    </row>
    <row r="568">
      <c r="A568" s="32" t="str">
        <f>Orders!A565</f>
        <v>O00564</v>
      </c>
      <c r="B568" s="32" t="str">
        <f>Orders!C565</f>
        <v>S004</v>
      </c>
      <c r="C568" s="32" t="str">
        <f>Orders!B565</f>
        <v>C0148</v>
      </c>
      <c r="D568" s="32" t="str">
        <f>Orders!H565</f>
        <v>Delivered</v>
      </c>
      <c r="E568" s="33">
        <f>IF(Orders!H565="Delivered",1,0)</f>
        <v>1</v>
      </c>
      <c r="F568" s="34">
        <f>IF(E568=1,Orders!R565,"")</f>
        <v>-0.7</v>
      </c>
      <c r="G568" s="33">
        <f>IF(E568=1,IF(Orders!R565&gt;0,1,0),"")</f>
        <v>0</v>
      </c>
      <c r="H568" s="33">
        <f>IF(E568=1,IF(Orders!R565&gt;5,1,0),"")</f>
        <v>0</v>
      </c>
      <c r="I568" s="32" t="str">
        <f>IF(E568=1,"",IF(OR(Orders!T565="Rider unavailable",Orders!T565="Item unavailable"),"Company-caused","Unresolved"))</f>
        <v/>
      </c>
      <c r="J568" s="33">
        <f>IF(OR(E568=1,I568="Company-caused"),1,0)</f>
        <v>1</v>
      </c>
      <c r="K568" s="32" t="str">
        <f>IF(E568=0,IF(I568="Company-caused",IF(Orders!T565="Rider unavailable","C1 Rider unavailable","C2 Item unavailable"),"Outside root: unresolved"),IF(G568=0,"A On time",IF(H568=1,IF(L568=1,"B2a Severe, peak","B2b Severe, off-peak"),IF(L568=1,"B1a Slight, peak","B1b Slight, off-peak"))))</f>
        <v>A On time</v>
      </c>
      <c r="L568" s="33">
        <f>IF(AND(Orders!U565&gt;=19,Orders!U565&lt;22),1,0)</f>
        <v>0</v>
      </c>
      <c r="M568" s="33">
        <f>IF(L568=IF(Orders!V565,1,0),1,0)</f>
        <v>1</v>
      </c>
      <c r="N568" s="32" t="str">
        <f>IF(Orders!W565="","None",Orders!W565)</f>
        <v>Light</v>
      </c>
      <c r="O568" s="35">
        <f>INT(Orders!E565)</f>
        <v>46275.0</v>
      </c>
      <c r="P568" s="33">
        <f>Orders!U565</f>
        <v>12</v>
      </c>
      <c r="Q568" s="33">
        <f>COUNTIFS(Demand!$A$2:$A$4481,B568,Demand!$B$2:$B$4481,O568,Demand!$C$2:$C$4481,P568)</f>
        <v>1</v>
      </c>
      <c r="R568" s="33">
        <f>IF(Q568=1,SUMIFS(Demand!$E$2:$E$4481,Demand!$A$2:$A$4481,B568,Demand!$B$2:$B$4481,O568,Demand!$C$2:$C$4481,P568),"")</f>
        <v>39</v>
      </c>
      <c r="S568" s="33">
        <f>INDEX(Stores!$G$2:$G$21,MATCH(B568,Stores!$A$2:$A$21,0))</f>
        <v>42</v>
      </c>
      <c r="T568" s="34">
        <f>IF(R568="","",R568/S568)</f>
        <v>0.928571428571429</v>
      </c>
      <c r="U568" s="34">
        <f>IF(E568=1,T568,"")</f>
        <v>0.928571428571429</v>
      </c>
      <c r="V568" s="34">
        <f>IF(AND(E568=1,L568=0),T568,"")</f>
        <v>0.928571428571429</v>
      </c>
      <c r="W568" s="33">
        <f>IF(U568="","",IF(U568&lt;=Breakdowns!$C$5,1,IF(U568&lt;=Breakdowns!$C$6,2,IF(U568&lt;=Breakdowns!$C$7,3,4))))</f>
        <v>2</v>
      </c>
      <c r="X568" s="33">
        <f>IF(V568="","",IF(V568&lt;=Breakdowns!$D$5,1,IF(V568&lt;=Breakdowns!$D$6,2,IF(V568&lt;=Breakdowns!$D$7,3,4))))</f>
        <v>3</v>
      </c>
      <c r="Y568" s="34">
        <f>INDEX(Stores!$F$2:$F$21,MATCH(B568,Stores!$A$2:$A$21,0))</f>
        <v>2.19</v>
      </c>
      <c r="Z568" s="33">
        <f>IF(Y568&gt;Store_Summary!$M$2,1,0)</f>
        <v>0</v>
      </c>
      <c r="AA568" s="33">
        <f>INDEX(Stores!$C$2:$C$21,MATCH(B568,Stores!$A$2:$A$21,0))</f>
        <v>850</v>
      </c>
      <c r="AB568" s="33">
        <f>IF(AA568&lt;180,1,0)</f>
        <v>0</v>
      </c>
      <c r="AC568" s="32" t="str">
        <f>IF(Orders!D565="","",INDEX(Riders!$C$2:$C$81,MATCH(Orders!D565,Riders!$A$2:$A$81,0)))</f>
        <v>Petrol scooter</v>
      </c>
      <c r="AD568" s="33">
        <f>IF(Orders!D565="","",INDEX(Riders!$D$2:$D$81,MATCH(Orders!D565,Riders!$A$2:$A$81,0)))</f>
        <v>44</v>
      </c>
      <c r="AE568" s="33">
        <f>IF(Orders!D565="","",IF(INDEX(Riders!$B$2:$B$81,MATCH(Orders!D565,Riders!$A$2:$A$81,0))=B568,1,0))</f>
        <v>0</v>
      </c>
      <c r="AF568" s="34">
        <f>IF(E568=1,Orders!L565,"")</f>
        <v>2.35</v>
      </c>
      <c r="AG568" s="34">
        <f>IF(E568=1,Orders!P565,"")</f>
        <v>11.7</v>
      </c>
      <c r="AH568" s="34">
        <f>IF(E568=1,Orders!Q565,"")</f>
        <v>11</v>
      </c>
      <c r="AI568" s="34">
        <f>IF(E568=1,Orders!M565,"")</f>
        <v>1.8</v>
      </c>
      <c r="AJ568" s="34">
        <f>IF(E568=1,Orders!N565,"")</f>
        <v>4.6</v>
      </c>
      <c r="AK568" s="34">
        <f>IF(E568=1,Orders!O565,"")</f>
        <v>4.6</v>
      </c>
      <c r="AL568" s="33">
        <f>IF(E568=1,IF(ROUND(ABS(AI568+AJ568+AK568-AH568),6)&lt;=0.1,1,0),"")</f>
        <v>1</v>
      </c>
      <c r="AM568" s="36">
        <f>IF(E568=1,AI568/AH568,"")</f>
        <v>0.163636363636364</v>
      </c>
      <c r="AN568" s="36">
        <f>IF(E568=1,AJ568/AH568,"")</f>
        <v>0.418181818181818</v>
      </c>
      <c r="AO568" s="36">
        <f>IF(E568=1,AK568/AH568,"")</f>
        <v>0.418181818181818</v>
      </c>
      <c r="AP568" s="34">
        <f>IF(E568=1,Orders!Y565,"")</f>
        <v>0.38</v>
      </c>
      <c r="AQ568" s="33">
        <f>IF(Orders!X565,1,0)</f>
        <v>0</v>
      </c>
      <c r="AR568" s="34" t="str">
        <f>IF(AND(E568=1,L568=1),AJ568,"")</f>
        <v/>
      </c>
      <c r="AS568" s="34">
        <f>IF(AND(E568=1,L568=0),AJ568,"")</f>
        <v>4.6</v>
      </c>
      <c r="AT568" s="34" t="str">
        <f>IF(AND(E568=1,L568=1),AI568,"")</f>
        <v/>
      </c>
      <c r="AU568" s="34">
        <f>IF(AND(E568=1,L568=0),AI568,"")</f>
        <v>1.8</v>
      </c>
      <c r="AV568" s="34" t="str">
        <f>IF(AND(E568=1,L568=1),AG568,"")</f>
        <v/>
      </c>
      <c r="AW568" s="34">
        <f>IF(AND(E568=1,L568=0),AG568,"")</f>
        <v>11.7</v>
      </c>
      <c r="AX568" s="34" t="str">
        <f>IF(AND(E568=1,L568=1),AH568,"")</f>
        <v/>
      </c>
      <c r="AY568" s="34">
        <f>IF(AND(E568=1,L568=0),AH568,"")</f>
        <v>11</v>
      </c>
      <c r="AZ568" s="34" t="str">
        <f>IF(G568=1,F568,"")</f>
        <v/>
      </c>
      <c r="BA568" s="34" t="str">
        <f>IF(AND(G568=1,L568=1),F568,"")</f>
        <v/>
      </c>
      <c r="BB568" s="34" t="str">
        <f>IF(AND(G568=1,L568=0),F568,"")</f>
        <v/>
      </c>
      <c r="BC568" s="33">
        <f>IF(E568=1,IF(Orders!R565&gt;3,1,0),"")</f>
        <v>0</v>
      </c>
      <c r="BD568" s="33">
        <f>IF(E568=1,IF(Orders!R565&gt;7,1,0),"")</f>
        <v>0</v>
      </c>
      <c r="BE568" s="32" t="str">
        <f>IF(E568=1,IF(Orders!L565&lt;=1.5,"Up to 1.5 km",IF(Orders!L565&lt;=3,"1.5–3 km","Over 3 km")),"")</f>
        <v>1.5–3 km</v>
      </c>
      <c r="BF568" s="33">
        <f>IF(E568=1,IF(ABS((Orders!G565-Orders!F565)*1440-Orders!R565)&lt;0.06,1,0),"")</f>
        <v>1</v>
      </c>
      <c r="BG568" s="33">
        <f>IF(ABS((Orders!F565-Orders!E565)*1440-Orders!P565)&lt;0.06,1,0)</f>
        <v>1</v>
      </c>
      <c r="BH568" s="33">
        <f>IF(E568=1,IF(IF(Orders!S565,1,0)=1-G568,1,0),"")</f>
        <v>1</v>
      </c>
      <c r="BI568" s="32" t="str">
        <f>INDEX(Stores!$B$2:$B$21,MATCH(B568,Stores!$A$2:$A$21,0))</f>
        <v>Pune</v>
      </c>
    </row>
    <row r="569">
      <c r="A569" s="32" t="str">
        <f>Orders!A566</f>
        <v>O00565</v>
      </c>
      <c r="B569" s="32" t="str">
        <f>Orders!C566</f>
        <v>S016</v>
      </c>
      <c r="C569" s="32" t="str">
        <f>Orders!B566</f>
        <v>C0160</v>
      </c>
      <c r="D569" s="32" t="str">
        <f>Orders!H566</f>
        <v>Delivered</v>
      </c>
      <c r="E569" s="33">
        <f>IF(Orders!H566="Delivered",1,0)</f>
        <v>1</v>
      </c>
      <c r="F569" s="34">
        <f>IF(E569=1,Orders!R566,"")</f>
        <v>7.3</v>
      </c>
      <c r="G569" s="33">
        <f>IF(E569=1,IF(Orders!R566&gt;0,1,0),"")</f>
        <v>1</v>
      </c>
      <c r="H569" s="33">
        <f>IF(E569=1,IF(Orders!R566&gt;5,1,0),"")</f>
        <v>1</v>
      </c>
      <c r="I569" s="32" t="str">
        <f>IF(E569=1,"",IF(OR(Orders!T566="Rider unavailable",Orders!T566="Item unavailable"),"Company-caused","Unresolved"))</f>
        <v/>
      </c>
      <c r="J569" s="33">
        <f>IF(OR(E569=1,I569="Company-caused"),1,0)</f>
        <v>1</v>
      </c>
      <c r="K569" s="32" t="str">
        <f>IF(E569=0,IF(I569="Company-caused",IF(Orders!T566="Rider unavailable","C1 Rider unavailable","C2 Item unavailable"),"Outside root: unresolved"),IF(G569=0,"A On time",IF(H569=1,IF(L569=1,"B2a Severe, peak","B2b Severe, off-peak"),IF(L569=1,"B1a Slight, peak","B1b Slight, off-peak"))))</f>
        <v>B2a Severe, peak</v>
      </c>
      <c r="L569" s="33">
        <f>IF(AND(Orders!U566&gt;=19,Orders!U566&lt;22),1,0)</f>
        <v>1</v>
      </c>
      <c r="M569" s="33">
        <f>IF(L569=IF(Orders!V566,1,0),1,0)</f>
        <v>1</v>
      </c>
      <c r="N569" s="32" t="str">
        <f>IF(Orders!W566="","None",Orders!W566)</f>
        <v>None</v>
      </c>
      <c r="O569" s="35">
        <f>INT(Orders!E566)</f>
        <v>46277.0</v>
      </c>
      <c r="P569" s="33">
        <f>Orders!U566</f>
        <v>21</v>
      </c>
      <c r="Q569" s="33">
        <f>COUNTIFS(Demand!$A$2:$A$4481,B569,Demand!$B$2:$B$4481,O569,Demand!$C$2:$C$4481,P569)</f>
        <v>1</v>
      </c>
      <c r="R569" s="33">
        <f>IF(Q569=1,SUMIFS(Demand!$E$2:$E$4481,Demand!$A$2:$A$4481,B569,Demand!$B$2:$B$4481,O569,Demand!$C$2:$C$4481,P569),"")</f>
        <v>36</v>
      </c>
      <c r="S569" s="33">
        <f>INDEX(Stores!$G$2:$G$21,MATCH(B569,Stores!$A$2:$A$21,0))</f>
        <v>25</v>
      </c>
      <c r="T569" s="34">
        <f>IF(R569="","",R569/S569)</f>
        <v>1.44</v>
      </c>
      <c r="U569" s="34">
        <f>IF(E569=1,T569,"")</f>
        <v>1.44</v>
      </c>
      <c r="V569" s="34" t="str">
        <f>IF(AND(E569=1,L569=0),T569,"")</f>
        <v/>
      </c>
      <c r="W569" s="33">
        <f>IF(U569="","",IF(U569&lt;=Breakdowns!$C$5,1,IF(U569&lt;=Breakdowns!$C$6,2,IF(U569&lt;=Breakdowns!$C$7,3,4))))</f>
        <v>4</v>
      </c>
      <c r="X569" s="33" t="str">
        <f>IF(V569="","",IF(V569&lt;=Breakdowns!$D$5,1,IF(V569&lt;=Breakdowns!$D$6,2,IF(V569&lt;=Breakdowns!$D$7,3,4))))</f>
        <v/>
      </c>
      <c r="Y569" s="34">
        <f>INDEX(Stores!$F$2:$F$21,MATCH(B569,Stores!$A$2:$A$21,0))</f>
        <v>5.51</v>
      </c>
      <c r="Z569" s="33">
        <f>IF(Y569&gt;Store_Summary!$M$2,1,0)</f>
        <v>1</v>
      </c>
      <c r="AA569" s="33">
        <f>INDEX(Stores!$C$2:$C$21,MATCH(B569,Stores!$A$2:$A$21,0))</f>
        <v>792</v>
      </c>
      <c r="AB569" s="33">
        <f>IF(AA569&lt;180,1,0)</f>
        <v>0</v>
      </c>
      <c r="AC569" s="32" t="str">
        <f>IF(Orders!D566="","",INDEX(Riders!$C$2:$C$81,MATCH(Orders!D566,Riders!$A$2:$A$81,0)))</f>
        <v>Petrol scooter</v>
      </c>
      <c r="AD569" s="33">
        <f>IF(Orders!D566="","",INDEX(Riders!$D$2:$D$81,MATCH(Orders!D566,Riders!$A$2:$A$81,0)))</f>
        <v>29</v>
      </c>
      <c r="AE569" s="33">
        <f>IF(Orders!D566="","",IF(INDEX(Riders!$B$2:$B$81,MATCH(Orders!D566,Riders!$A$2:$A$81,0))=B569,1,0))</f>
        <v>0</v>
      </c>
      <c r="AF569" s="34">
        <f>IF(E569=1,Orders!L566,"")</f>
        <v>1.29</v>
      </c>
      <c r="AG569" s="34">
        <f>IF(E569=1,Orders!P566,"")</f>
        <v>10.3</v>
      </c>
      <c r="AH569" s="34">
        <f>IF(E569=1,Orders!Q566,"")</f>
        <v>17.6</v>
      </c>
      <c r="AI569" s="34">
        <f>IF(E569=1,Orders!M566,"")</f>
        <v>5.6</v>
      </c>
      <c r="AJ569" s="34">
        <f>IF(E569=1,Orders!N566,"")</f>
        <v>7.4</v>
      </c>
      <c r="AK569" s="34">
        <f>IF(E569=1,Orders!O566,"")</f>
        <v>4.6</v>
      </c>
      <c r="AL569" s="33">
        <f>IF(E569=1,IF(ROUND(ABS(AI569+AJ569+AK569-AH569),6)&lt;=0.1,1,0),"")</f>
        <v>1</v>
      </c>
      <c r="AM569" s="36">
        <f>IF(E569=1,AI569/AH569,"")</f>
        <v>0.318181818181818</v>
      </c>
      <c r="AN569" s="36">
        <f>IF(E569=1,AJ569/AH569,"")</f>
        <v>0.420454545454545</v>
      </c>
      <c r="AO569" s="36">
        <f>IF(E569=1,AK569/AH569,"")</f>
        <v>0.261363636363636</v>
      </c>
      <c r="AP569" s="34">
        <f>IF(E569=1,Orders!Y566,"")</f>
        <v>0.66</v>
      </c>
      <c r="AQ569" s="33">
        <f>IF(Orders!X566,1,0)</f>
        <v>1</v>
      </c>
      <c r="AR569" s="34">
        <f>IF(AND(E569=1,L569=1),AJ569,"")</f>
        <v>7.4</v>
      </c>
      <c r="AS569" s="34" t="str">
        <f>IF(AND(E569=1,L569=0),AJ569,"")</f>
        <v/>
      </c>
      <c r="AT569" s="34">
        <f>IF(AND(E569=1,L569=1),AI569,"")</f>
        <v>5.6</v>
      </c>
      <c r="AU569" s="34" t="str">
        <f>IF(AND(E569=1,L569=0),AI569,"")</f>
        <v/>
      </c>
      <c r="AV569" s="34">
        <f>IF(AND(E569=1,L569=1),AG569,"")</f>
        <v>10.3</v>
      </c>
      <c r="AW569" s="34" t="str">
        <f>IF(AND(E569=1,L569=0),AG569,"")</f>
        <v/>
      </c>
      <c r="AX569" s="34">
        <f>IF(AND(E569=1,L569=1),AH569,"")</f>
        <v>17.6</v>
      </c>
      <c r="AY569" s="34" t="str">
        <f>IF(AND(E569=1,L569=0),AH569,"")</f>
        <v/>
      </c>
      <c r="AZ569" s="34">
        <f>IF(G569=1,F569,"")</f>
        <v>7.3</v>
      </c>
      <c r="BA569" s="34">
        <f>IF(AND(G569=1,L569=1),F569,"")</f>
        <v>7.3</v>
      </c>
      <c r="BB569" s="34" t="str">
        <f>IF(AND(G569=1,L569=0),F569,"")</f>
        <v/>
      </c>
      <c r="BC569" s="33">
        <f>IF(E569=1,IF(Orders!R566&gt;3,1,0),"")</f>
        <v>1</v>
      </c>
      <c r="BD569" s="33">
        <f>IF(E569=1,IF(Orders!R566&gt;7,1,0),"")</f>
        <v>1</v>
      </c>
      <c r="BE569" s="32" t="str">
        <f>IF(E569=1,IF(Orders!L566&lt;=1.5,"Up to 1.5 km",IF(Orders!L566&lt;=3,"1.5–3 km","Over 3 km")),"")</f>
        <v>Up to 1.5 km</v>
      </c>
      <c r="BF569" s="33">
        <f>IF(E569=1,IF(ABS((Orders!G566-Orders!F566)*1440-Orders!R566)&lt;0.06,1,0),"")</f>
        <v>1</v>
      </c>
      <c r="BG569" s="33">
        <f>IF(ABS((Orders!F566-Orders!E566)*1440-Orders!P566)&lt;0.06,1,0)</f>
        <v>1</v>
      </c>
      <c r="BH569" s="33">
        <f>IF(E569=1,IF(IF(Orders!S566,1,0)=1-G569,1,0),"")</f>
        <v>1</v>
      </c>
      <c r="BI569" s="32" t="str">
        <f>INDEX(Stores!$B$2:$B$21,MATCH(B569,Stores!$A$2:$A$21,0))</f>
        <v>Bengaluru</v>
      </c>
    </row>
    <row r="570">
      <c r="A570" s="32" t="str">
        <f>Orders!A567</f>
        <v>O00566</v>
      </c>
      <c r="B570" s="32" t="str">
        <f>Orders!C567</f>
        <v>S009</v>
      </c>
      <c r="C570" s="32" t="str">
        <f>Orders!B567</f>
        <v>C0225</v>
      </c>
      <c r="D570" s="32" t="str">
        <f>Orders!H567</f>
        <v>Delivered</v>
      </c>
      <c r="E570" s="33">
        <f>IF(Orders!H567="Delivered",1,0)</f>
        <v>1</v>
      </c>
      <c r="F570" s="34">
        <f>IF(E570=1,Orders!R567,"")</f>
        <v>-1.2</v>
      </c>
      <c r="G570" s="33">
        <f>IF(E570=1,IF(Orders!R567&gt;0,1,0),"")</f>
        <v>0</v>
      </c>
      <c r="H570" s="33">
        <f>IF(E570=1,IF(Orders!R567&gt;5,1,0),"")</f>
        <v>0</v>
      </c>
      <c r="I570" s="32" t="str">
        <f>IF(E570=1,"",IF(OR(Orders!T567="Rider unavailable",Orders!T567="Item unavailable"),"Company-caused","Unresolved"))</f>
        <v/>
      </c>
      <c r="J570" s="33">
        <f>IF(OR(E570=1,I570="Company-caused"),1,0)</f>
        <v>1</v>
      </c>
      <c r="K570" s="32" t="str">
        <f>IF(E570=0,IF(I570="Company-caused",IF(Orders!T567="Rider unavailable","C1 Rider unavailable","C2 Item unavailable"),"Outside root: unresolved"),IF(G570=0,"A On time",IF(H570=1,IF(L570=1,"B2a Severe, peak","B2b Severe, off-peak"),IF(L570=1,"B1a Slight, peak","B1b Slight, off-peak"))))</f>
        <v>A On time</v>
      </c>
      <c r="L570" s="33">
        <f>IF(AND(Orders!U567&gt;=19,Orders!U567&lt;22),1,0)</f>
        <v>0</v>
      </c>
      <c r="M570" s="33">
        <f>IF(L570=IF(Orders!V567,1,0),1,0)</f>
        <v>1</v>
      </c>
      <c r="N570" s="32" t="str">
        <f>IF(Orders!W567="","None",Orders!W567)</f>
        <v>None</v>
      </c>
      <c r="O570" s="35">
        <f>INT(Orders!E567)</f>
        <v>46277.0</v>
      </c>
      <c r="P570" s="33">
        <f>Orders!U567</f>
        <v>12</v>
      </c>
      <c r="Q570" s="33">
        <f>COUNTIFS(Demand!$A$2:$A$4481,B570,Demand!$B$2:$B$4481,O570,Demand!$C$2:$C$4481,P570)</f>
        <v>1</v>
      </c>
      <c r="R570" s="33">
        <f>IF(Q570=1,SUMIFS(Demand!$E$2:$E$4481,Demand!$A$2:$A$4481,B570,Demand!$B$2:$B$4481,O570,Demand!$C$2:$C$4481,P570),"")</f>
        <v>25</v>
      </c>
      <c r="S570" s="33">
        <f>INDEX(Stores!$G$2:$G$21,MATCH(B570,Stores!$A$2:$A$21,0))</f>
        <v>29</v>
      </c>
      <c r="T570" s="34">
        <f>IF(R570="","",R570/S570)</f>
        <v>0.862068965517241</v>
      </c>
      <c r="U570" s="34">
        <f>IF(E570=1,T570,"")</f>
        <v>0.862068965517241</v>
      </c>
      <c r="V570" s="34">
        <f>IF(AND(E570=1,L570=0),T570,"")</f>
        <v>0.862068965517241</v>
      </c>
      <c r="W570" s="33">
        <f>IF(U570="","",IF(U570&lt;=Breakdowns!$C$5,1,IF(U570&lt;=Breakdowns!$C$6,2,IF(U570&lt;=Breakdowns!$C$7,3,4))))</f>
        <v>2</v>
      </c>
      <c r="X570" s="33">
        <f>IF(V570="","",IF(V570&lt;=Breakdowns!$D$5,1,IF(V570&lt;=Breakdowns!$D$6,2,IF(V570&lt;=Breakdowns!$D$7,3,4))))</f>
        <v>2</v>
      </c>
      <c r="Y570" s="34">
        <f>INDEX(Stores!$F$2:$F$21,MATCH(B570,Stores!$A$2:$A$21,0))</f>
        <v>2.66</v>
      </c>
      <c r="Z570" s="33">
        <f>IF(Y570&gt;Store_Summary!$M$2,1,0)</f>
        <v>0</v>
      </c>
      <c r="AA570" s="33">
        <f>INDEX(Stores!$C$2:$C$21,MATCH(B570,Stores!$A$2:$A$21,0))</f>
        <v>645</v>
      </c>
      <c r="AB570" s="33">
        <f>IF(AA570&lt;180,1,0)</f>
        <v>0</v>
      </c>
      <c r="AC570" s="32" t="str">
        <f>IF(Orders!D567="","",INDEX(Riders!$C$2:$C$81,MATCH(Orders!D567,Riders!$A$2:$A$81,0)))</f>
        <v>EV scooter</v>
      </c>
      <c r="AD570" s="33">
        <f>IF(Orders!D567="","",INDEX(Riders!$D$2:$D$81,MATCH(Orders!D567,Riders!$A$2:$A$81,0)))</f>
        <v>46</v>
      </c>
      <c r="AE570" s="33">
        <f>IF(Orders!D567="","",IF(INDEX(Riders!$B$2:$B$81,MATCH(Orders!D567,Riders!$A$2:$A$81,0))=B570,1,0))</f>
        <v>0</v>
      </c>
      <c r="AF570" s="34">
        <f>IF(E570=1,Orders!L567,"")</f>
        <v>0.71</v>
      </c>
      <c r="AG570" s="34">
        <f>IF(E570=1,Orders!P567,"")</f>
        <v>10.8</v>
      </c>
      <c r="AH570" s="34">
        <f>IF(E570=1,Orders!Q567,"")</f>
        <v>9.6</v>
      </c>
      <c r="AI570" s="34">
        <f>IF(E570=1,Orders!M567,"")</f>
        <v>2.5</v>
      </c>
      <c r="AJ570" s="34">
        <f>IF(E570=1,Orders!N567,"")</f>
        <v>3.3</v>
      </c>
      <c r="AK570" s="34">
        <f>IF(E570=1,Orders!O567,"")</f>
        <v>3.8</v>
      </c>
      <c r="AL570" s="33">
        <f>IF(E570=1,IF(ROUND(ABS(AI570+AJ570+AK570-AH570),6)&lt;=0.1,1,0),"")</f>
        <v>1</v>
      </c>
      <c r="AM570" s="36">
        <f>IF(E570=1,AI570/AH570,"")</f>
        <v>0.260416666666667</v>
      </c>
      <c r="AN570" s="36">
        <f>IF(E570=1,AJ570/AH570,"")</f>
        <v>0.34375</v>
      </c>
      <c r="AO570" s="36">
        <f>IF(E570=1,AK570/AH570,"")</f>
        <v>0.395833333333333</v>
      </c>
      <c r="AP570" s="34">
        <f>IF(E570=1,Orders!Y567,"")</f>
        <v>0.72</v>
      </c>
      <c r="AQ570" s="33">
        <f>IF(Orders!X567,1,0)</f>
        <v>0</v>
      </c>
      <c r="AR570" s="34" t="str">
        <f>IF(AND(E570=1,L570=1),AJ570,"")</f>
        <v/>
      </c>
      <c r="AS570" s="34">
        <f>IF(AND(E570=1,L570=0),AJ570,"")</f>
        <v>3.3</v>
      </c>
      <c r="AT570" s="34" t="str">
        <f>IF(AND(E570=1,L570=1),AI570,"")</f>
        <v/>
      </c>
      <c r="AU570" s="34">
        <f>IF(AND(E570=1,L570=0),AI570,"")</f>
        <v>2.5</v>
      </c>
      <c r="AV570" s="34" t="str">
        <f>IF(AND(E570=1,L570=1),AG570,"")</f>
        <v/>
      </c>
      <c r="AW570" s="34">
        <f>IF(AND(E570=1,L570=0),AG570,"")</f>
        <v>10.8</v>
      </c>
      <c r="AX570" s="34" t="str">
        <f>IF(AND(E570=1,L570=1),AH570,"")</f>
        <v/>
      </c>
      <c r="AY570" s="34">
        <f>IF(AND(E570=1,L570=0),AH570,"")</f>
        <v>9.6</v>
      </c>
      <c r="AZ570" s="34" t="str">
        <f>IF(G570=1,F570,"")</f>
        <v/>
      </c>
      <c r="BA570" s="34" t="str">
        <f>IF(AND(G570=1,L570=1),F570,"")</f>
        <v/>
      </c>
      <c r="BB570" s="34" t="str">
        <f>IF(AND(G570=1,L570=0),F570,"")</f>
        <v/>
      </c>
      <c r="BC570" s="33">
        <f>IF(E570=1,IF(Orders!R567&gt;3,1,0),"")</f>
        <v>0</v>
      </c>
      <c r="BD570" s="33">
        <f>IF(E570=1,IF(Orders!R567&gt;7,1,0),"")</f>
        <v>0</v>
      </c>
      <c r="BE570" s="32" t="str">
        <f>IF(E570=1,IF(Orders!L567&lt;=1.5,"Up to 1.5 km",IF(Orders!L567&lt;=3,"1.5–3 km","Over 3 km")),"")</f>
        <v>Up to 1.5 km</v>
      </c>
      <c r="BF570" s="33">
        <f>IF(E570=1,IF(ABS((Orders!G567-Orders!F567)*1440-Orders!R567)&lt;0.06,1,0),"")</f>
        <v>1</v>
      </c>
      <c r="BG570" s="33">
        <f>IF(ABS((Orders!F567-Orders!E567)*1440-Orders!P567)&lt;0.06,1,0)</f>
        <v>1</v>
      </c>
      <c r="BH570" s="33">
        <f>IF(E570=1,IF(IF(Orders!S567,1,0)=1-G570,1,0),"")</f>
        <v>1</v>
      </c>
      <c r="BI570" s="32" t="str">
        <f>INDEX(Stores!$B$2:$B$21,MATCH(B570,Stores!$A$2:$A$21,0))</f>
        <v>Pune</v>
      </c>
    </row>
    <row r="571">
      <c r="A571" s="32" t="str">
        <f>Orders!A568</f>
        <v>O00567</v>
      </c>
      <c r="B571" s="32" t="str">
        <f>Orders!C568</f>
        <v>S010</v>
      </c>
      <c r="C571" s="32" t="str">
        <f>Orders!B568</f>
        <v>C0188</v>
      </c>
      <c r="D571" s="32" t="str">
        <f>Orders!H568</f>
        <v>Delivered</v>
      </c>
      <c r="E571" s="33">
        <f>IF(Orders!H568="Delivered",1,0)</f>
        <v>1</v>
      </c>
      <c r="F571" s="34">
        <f>IF(E571=1,Orders!R568,"")</f>
        <v>-0.8</v>
      </c>
      <c r="G571" s="33">
        <f>IF(E571=1,IF(Orders!R568&gt;0,1,0),"")</f>
        <v>0</v>
      </c>
      <c r="H571" s="33">
        <f>IF(E571=1,IF(Orders!R568&gt;5,1,0),"")</f>
        <v>0</v>
      </c>
      <c r="I571" s="32" t="str">
        <f>IF(E571=1,"",IF(OR(Orders!T568="Rider unavailable",Orders!T568="Item unavailable"),"Company-caused","Unresolved"))</f>
        <v/>
      </c>
      <c r="J571" s="33">
        <f>IF(OR(E571=1,I571="Company-caused"),1,0)</f>
        <v>1</v>
      </c>
      <c r="K571" s="32" t="str">
        <f>IF(E571=0,IF(I571="Company-caused",IF(Orders!T568="Rider unavailable","C1 Rider unavailable","C2 Item unavailable"),"Outside root: unresolved"),IF(G571=0,"A On time",IF(H571=1,IF(L571=1,"B2a Severe, peak","B2b Severe, off-peak"),IF(L571=1,"B1a Slight, peak","B1b Slight, off-peak"))))</f>
        <v>A On time</v>
      </c>
      <c r="L571" s="33">
        <f>IF(AND(Orders!U568&gt;=19,Orders!U568&lt;22),1,0)</f>
        <v>0</v>
      </c>
      <c r="M571" s="33">
        <f>IF(L571=IF(Orders!V568,1,0),1,0)</f>
        <v>1</v>
      </c>
      <c r="N571" s="32" t="str">
        <f>IF(Orders!W568="","None",Orders!W568)</f>
        <v>Light</v>
      </c>
      <c r="O571" s="35">
        <f>INT(Orders!E568)</f>
        <v>46270.0</v>
      </c>
      <c r="P571" s="33">
        <f>Orders!U568</f>
        <v>18</v>
      </c>
      <c r="Q571" s="33">
        <f>COUNTIFS(Demand!$A$2:$A$4481,B571,Demand!$B$2:$B$4481,O571,Demand!$C$2:$C$4481,P571)</f>
        <v>1</v>
      </c>
      <c r="R571" s="33">
        <f>IF(Q571=1,SUMIFS(Demand!$E$2:$E$4481,Demand!$A$2:$A$4481,B571,Demand!$B$2:$B$4481,O571,Demand!$C$2:$C$4481,P571),"")</f>
        <v>15</v>
      </c>
      <c r="S571" s="33">
        <f>INDEX(Stores!$G$2:$G$21,MATCH(B571,Stores!$A$2:$A$21,0))</f>
        <v>22</v>
      </c>
      <c r="T571" s="34">
        <f>IF(R571="","",R571/S571)</f>
        <v>0.681818181818182</v>
      </c>
      <c r="U571" s="34">
        <f>IF(E571=1,T571,"")</f>
        <v>0.681818181818182</v>
      </c>
      <c r="V571" s="34">
        <f>IF(AND(E571=1,L571=0),T571,"")</f>
        <v>0.681818181818182</v>
      </c>
      <c r="W571" s="33">
        <f>IF(U571="","",IF(U571&lt;=Breakdowns!$C$5,1,IF(U571&lt;=Breakdowns!$C$6,2,IF(U571&lt;=Breakdowns!$C$7,3,4))))</f>
        <v>1</v>
      </c>
      <c r="X571" s="33">
        <f>IF(V571="","",IF(V571&lt;=Breakdowns!$D$5,1,IF(V571&lt;=Breakdowns!$D$6,2,IF(V571&lt;=Breakdowns!$D$7,3,4))))</f>
        <v>1</v>
      </c>
      <c r="Y571" s="34">
        <f>INDEX(Stores!$F$2:$F$21,MATCH(B571,Stores!$A$2:$A$21,0))</f>
        <v>5.61</v>
      </c>
      <c r="Z571" s="33">
        <f>IF(Y571&gt;Store_Summary!$M$2,1,0)</f>
        <v>1</v>
      </c>
      <c r="AA571" s="33">
        <f>INDEX(Stores!$C$2:$C$21,MATCH(B571,Stores!$A$2:$A$21,0))</f>
        <v>744</v>
      </c>
      <c r="AB571" s="33">
        <f>IF(AA571&lt;180,1,0)</f>
        <v>0</v>
      </c>
      <c r="AC571" s="32" t="str">
        <f>IF(Orders!D568="","",INDEX(Riders!$C$2:$C$81,MATCH(Orders!D568,Riders!$A$2:$A$81,0)))</f>
        <v>Petrol scooter</v>
      </c>
      <c r="AD571" s="33">
        <f>IF(Orders!D568="","",INDEX(Riders!$D$2:$D$81,MATCH(Orders!D568,Riders!$A$2:$A$81,0)))</f>
        <v>32</v>
      </c>
      <c r="AE571" s="33">
        <f>IF(Orders!D568="","",IF(INDEX(Riders!$B$2:$B$81,MATCH(Orders!D568,Riders!$A$2:$A$81,0))=B571,1,0))</f>
        <v>0</v>
      </c>
      <c r="AF571" s="34">
        <f>IF(E571=1,Orders!L568,"")</f>
        <v>1.32</v>
      </c>
      <c r="AG571" s="34">
        <f>IF(E571=1,Orders!P568,"")</f>
        <v>11.2</v>
      </c>
      <c r="AH571" s="34">
        <f>IF(E571=1,Orders!Q568,"")</f>
        <v>10.4</v>
      </c>
      <c r="AI571" s="34">
        <f>IF(E571=1,Orders!M568,"")</f>
        <v>3.6</v>
      </c>
      <c r="AJ571" s="34">
        <f>IF(E571=1,Orders!N568,"")</f>
        <v>4.2</v>
      </c>
      <c r="AK571" s="34">
        <f>IF(E571=1,Orders!O568,"")</f>
        <v>2.6</v>
      </c>
      <c r="AL571" s="33">
        <f>IF(E571=1,IF(ROUND(ABS(AI571+AJ571+AK571-AH571),6)&lt;=0.1,1,0),"")</f>
        <v>1</v>
      </c>
      <c r="AM571" s="36">
        <f>IF(E571=1,AI571/AH571,"")</f>
        <v>0.346153846153846</v>
      </c>
      <c r="AN571" s="36">
        <f>IF(E571=1,AJ571/AH571,"")</f>
        <v>0.403846153846154</v>
      </c>
      <c r="AO571" s="36">
        <f>IF(E571=1,AK571/AH571,"")</f>
        <v>0.25</v>
      </c>
      <c r="AP571" s="34">
        <f>IF(E571=1,Orders!Y568,"")</f>
        <v>0.34</v>
      </c>
      <c r="AQ571" s="33">
        <f>IF(Orders!X568,1,0)</f>
        <v>0</v>
      </c>
      <c r="AR571" s="34" t="str">
        <f>IF(AND(E571=1,L571=1),AJ571,"")</f>
        <v/>
      </c>
      <c r="AS571" s="34">
        <f>IF(AND(E571=1,L571=0),AJ571,"")</f>
        <v>4.2</v>
      </c>
      <c r="AT571" s="34" t="str">
        <f>IF(AND(E571=1,L571=1),AI571,"")</f>
        <v/>
      </c>
      <c r="AU571" s="34">
        <f>IF(AND(E571=1,L571=0),AI571,"")</f>
        <v>3.6</v>
      </c>
      <c r="AV571" s="34" t="str">
        <f>IF(AND(E571=1,L571=1),AG571,"")</f>
        <v/>
      </c>
      <c r="AW571" s="34">
        <f>IF(AND(E571=1,L571=0),AG571,"")</f>
        <v>11.2</v>
      </c>
      <c r="AX571" s="34" t="str">
        <f>IF(AND(E571=1,L571=1),AH571,"")</f>
        <v/>
      </c>
      <c r="AY571" s="34">
        <f>IF(AND(E571=1,L571=0),AH571,"")</f>
        <v>10.4</v>
      </c>
      <c r="AZ571" s="34" t="str">
        <f>IF(G571=1,F571,"")</f>
        <v/>
      </c>
      <c r="BA571" s="34" t="str">
        <f>IF(AND(G571=1,L571=1),F571,"")</f>
        <v/>
      </c>
      <c r="BB571" s="34" t="str">
        <f>IF(AND(G571=1,L571=0),F571,"")</f>
        <v/>
      </c>
      <c r="BC571" s="33">
        <f>IF(E571=1,IF(Orders!R568&gt;3,1,0),"")</f>
        <v>0</v>
      </c>
      <c r="BD571" s="33">
        <f>IF(E571=1,IF(Orders!R568&gt;7,1,0),"")</f>
        <v>0</v>
      </c>
      <c r="BE571" s="32" t="str">
        <f>IF(E571=1,IF(Orders!L568&lt;=1.5,"Up to 1.5 km",IF(Orders!L568&lt;=3,"1.5–3 km","Over 3 km")),"")</f>
        <v>Up to 1.5 km</v>
      </c>
      <c r="BF571" s="33">
        <f>IF(E571=1,IF(ABS((Orders!G568-Orders!F568)*1440-Orders!R568)&lt;0.06,1,0),"")</f>
        <v>1</v>
      </c>
      <c r="BG571" s="33">
        <f>IF(ABS((Orders!F568-Orders!E568)*1440-Orders!P568)&lt;0.06,1,0)</f>
        <v>1</v>
      </c>
      <c r="BH571" s="33">
        <f>IF(E571=1,IF(IF(Orders!S568,1,0)=1-G571,1,0),"")</f>
        <v>1</v>
      </c>
      <c r="BI571" s="32" t="str">
        <f>INDEX(Stores!$B$2:$B$21,MATCH(B571,Stores!$A$2:$A$21,0))</f>
        <v>Delhi</v>
      </c>
    </row>
    <row r="572">
      <c r="A572" s="32" t="str">
        <f>Orders!A569</f>
        <v>O00568</v>
      </c>
      <c r="B572" s="32" t="str">
        <f>Orders!C569</f>
        <v>S019</v>
      </c>
      <c r="C572" s="32" t="str">
        <f>Orders!B569</f>
        <v>C0211</v>
      </c>
      <c r="D572" s="32" t="str">
        <f>Orders!H569</f>
        <v>Delivered</v>
      </c>
      <c r="E572" s="33">
        <f>IF(Orders!H569="Delivered",1,0)</f>
        <v>1</v>
      </c>
      <c r="F572" s="34">
        <f>IF(E572=1,Orders!R569,"")</f>
        <v>-0.8</v>
      </c>
      <c r="G572" s="33">
        <f>IF(E572=1,IF(Orders!R569&gt;0,1,0),"")</f>
        <v>0</v>
      </c>
      <c r="H572" s="33">
        <f>IF(E572=1,IF(Orders!R569&gt;5,1,0),"")</f>
        <v>0</v>
      </c>
      <c r="I572" s="32" t="str">
        <f>IF(E572=1,"",IF(OR(Orders!T569="Rider unavailable",Orders!T569="Item unavailable"),"Company-caused","Unresolved"))</f>
        <v/>
      </c>
      <c r="J572" s="33">
        <f>IF(OR(E572=1,I572="Company-caused"),1,0)</f>
        <v>1</v>
      </c>
      <c r="K572" s="32" t="str">
        <f>IF(E572=0,IF(I572="Company-caused",IF(Orders!T569="Rider unavailable","C1 Rider unavailable","C2 Item unavailable"),"Outside root: unresolved"),IF(G572=0,"A On time",IF(H572=1,IF(L572=1,"B2a Severe, peak","B2b Severe, off-peak"),IF(L572=1,"B1a Slight, peak","B1b Slight, off-peak"))))</f>
        <v>A On time</v>
      </c>
      <c r="L572" s="33">
        <f>IF(AND(Orders!U569&gt;=19,Orders!U569&lt;22),1,0)</f>
        <v>0</v>
      </c>
      <c r="M572" s="33">
        <f>IF(L572=IF(Orders!V569,1,0),1,0)</f>
        <v>1</v>
      </c>
      <c r="N572" s="32" t="str">
        <f>IF(Orders!W569="","None",Orders!W569)</f>
        <v>None</v>
      </c>
      <c r="O572" s="35">
        <f>INT(Orders!E569)</f>
        <v>46273.0</v>
      </c>
      <c r="P572" s="33">
        <f>Orders!U569</f>
        <v>16</v>
      </c>
      <c r="Q572" s="33">
        <f>COUNTIFS(Demand!$A$2:$A$4481,B572,Demand!$B$2:$B$4481,O572,Demand!$C$2:$C$4481,P572)</f>
        <v>1</v>
      </c>
      <c r="R572" s="33">
        <f>IF(Q572=1,SUMIFS(Demand!$E$2:$E$4481,Demand!$A$2:$A$4481,B572,Demand!$B$2:$B$4481,O572,Demand!$C$2:$C$4481,P572),"")</f>
        <v>23</v>
      </c>
      <c r="S572" s="33">
        <f>INDEX(Stores!$G$2:$G$21,MATCH(B572,Stores!$A$2:$A$21,0))</f>
        <v>22</v>
      </c>
      <c r="T572" s="34">
        <f>IF(R572="","",R572/S572)</f>
        <v>1.04545454545455</v>
      </c>
      <c r="U572" s="34">
        <f>IF(E572=1,T572,"")</f>
        <v>1.04545454545455</v>
      </c>
      <c r="V572" s="34">
        <f>IF(AND(E572=1,L572=0),T572,"")</f>
        <v>1.04545454545455</v>
      </c>
      <c r="W572" s="33">
        <f>IF(U572="","",IF(U572&lt;=Breakdowns!$C$5,1,IF(U572&lt;=Breakdowns!$C$6,2,IF(U572&lt;=Breakdowns!$C$7,3,4))))</f>
        <v>3</v>
      </c>
      <c r="X572" s="33">
        <f>IF(V572="","",IF(V572&lt;=Breakdowns!$D$5,1,IF(V572&lt;=Breakdowns!$D$6,2,IF(V572&lt;=Breakdowns!$D$7,3,4))))</f>
        <v>3</v>
      </c>
      <c r="Y572" s="34">
        <f>INDEX(Stores!$F$2:$F$21,MATCH(B572,Stores!$A$2:$A$21,0))</f>
        <v>4.99</v>
      </c>
      <c r="Z572" s="33">
        <f>IF(Y572&gt;Store_Summary!$M$2,1,0)</f>
        <v>1</v>
      </c>
      <c r="AA572" s="33">
        <f>INDEX(Stores!$C$2:$C$21,MATCH(B572,Stores!$A$2:$A$21,0))</f>
        <v>851</v>
      </c>
      <c r="AB572" s="33">
        <f>IF(AA572&lt;180,1,0)</f>
        <v>0</v>
      </c>
      <c r="AC572" s="32" t="str">
        <f>IF(Orders!D569="","",INDEX(Riders!$C$2:$C$81,MATCH(Orders!D569,Riders!$A$2:$A$81,0)))</f>
        <v>EV scooter</v>
      </c>
      <c r="AD572" s="33">
        <f>IF(Orders!D569="","",INDEX(Riders!$D$2:$D$81,MATCH(Orders!D569,Riders!$A$2:$A$81,0)))</f>
        <v>2</v>
      </c>
      <c r="AE572" s="33">
        <f>IF(Orders!D569="","",IF(INDEX(Riders!$B$2:$B$81,MATCH(Orders!D569,Riders!$A$2:$A$81,0))=B572,1,0))</f>
        <v>0</v>
      </c>
      <c r="AF572" s="34">
        <f>IF(E572=1,Orders!L569,"")</f>
        <v>0.7</v>
      </c>
      <c r="AG572" s="34">
        <f>IF(E572=1,Orders!P569,"")</f>
        <v>9.9</v>
      </c>
      <c r="AH572" s="34">
        <f>IF(E572=1,Orders!Q569,"")</f>
        <v>9.1</v>
      </c>
      <c r="AI572" s="34">
        <f>IF(E572=1,Orders!M569,"")</f>
        <v>4.1</v>
      </c>
      <c r="AJ572" s="34">
        <f>IF(E572=1,Orders!N569,"")</f>
        <v>2.7</v>
      </c>
      <c r="AK572" s="34">
        <f>IF(E572=1,Orders!O569,"")</f>
        <v>2.3</v>
      </c>
      <c r="AL572" s="33">
        <f>IF(E572=1,IF(ROUND(ABS(AI572+AJ572+AK572-AH572),6)&lt;=0.1,1,0),"")</f>
        <v>1</v>
      </c>
      <c r="AM572" s="36">
        <f>IF(E572=1,AI572/AH572,"")</f>
        <v>0.450549450549451</v>
      </c>
      <c r="AN572" s="36">
        <f>IF(E572=1,AJ572/AH572,"")</f>
        <v>0.296703296703297</v>
      </c>
      <c r="AO572" s="36">
        <f>IF(E572=1,AK572/AH572,"")</f>
        <v>0.252747252747253</v>
      </c>
      <c r="AP572" s="34">
        <f>IF(E572=1,Orders!Y569,"")</f>
        <v>0.58</v>
      </c>
      <c r="AQ572" s="33">
        <f>IF(Orders!X569,1,0)</f>
        <v>0</v>
      </c>
      <c r="AR572" s="34" t="str">
        <f>IF(AND(E572=1,L572=1),AJ572,"")</f>
        <v/>
      </c>
      <c r="AS572" s="34">
        <f>IF(AND(E572=1,L572=0),AJ572,"")</f>
        <v>2.7</v>
      </c>
      <c r="AT572" s="34" t="str">
        <f>IF(AND(E572=1,L572=1),AI572,"")</f>
        <v/>
      </c>
      <c r="AU572" s="34">
        <f>IF(AND(E572=1,L572=0),AI572,"")</f>
        <v>4.1</v>
      </c>
      <c r="AV572" s="34" t="str">
        <f>IF(AND(E572=1,L572=1),AG572,"")</f>
        <v/>
      </c>
      <c r="AW572" s="34">
        <f>IF(AND(E572=1,L572=0),AG572,"")</f>
        <v>9.9</v>
      </c>
      <c r="AX572" s="34" t="str">
        <f>IF(AND(E572=1,L572=1),AH572,"")</f>
        <v/>
      </c>
      <c r="AY572" s="34">
        <f>IF(AND(E572=1,L572=0),AH572,"")</f>
        <v>9.1</v>
      </c>
      <c r="AZ572" s="34" t="str">
        <f>IF(G572=1,F572,"")</f>
        <v/>
      </c>
      <c r="BA572" s="34" t="str">
        <f>IF(AND(G572=1,L572=1),F572,"")</f>
        <v/>
      </c>
      <c r="BB572" s="34" t="str">
        <f>IF(AND(G572=1,L572=0),F572,"")</f>
        <v/>
      </c>
      <c r="BC572" s="33">
        <f>IF(E572=1,IF(Orders!R569&gt;3,1,0),"")</f>
        <v>0</v>
      </c>
      <c r="BD572" s="33">
        <f>IF(E572=1,IF(Orders!R569&gt;7,1,0),"")</f>
        <v>0</v>
      </c>
      <c r="BE572" s="32" t="str">
        <f>IF(E572=1,IF(Orders!L569&lt;=1.5,"Up to 1.5 km",IF(Orders!L569&lt;=3,"1.5–3 km","Over 3 km")),"")</f>
        <v>Up to 1.5 km</v>
      </c>
      <c r="BF572" s="33">
        <f>IF(E572=1,IF(ABS((Orders!G569-Orders!F569)*1440-Orders!R569)&lt;0.06,1,0),"")</f>
        <v>1</v>
      </c>
      <c r="BG572" s="33">
        <f>IF(ABS((Orders!F569-Orders!E569)*1440-Orders!P569)&lt;0.06,1,0)</f>
        <v>1</v>
      </c>
      <c r="BH572" s="33">
        <f>IF(E572=1,IF(IF(Orders!S569,1,0)=1-G572,1,0),"")</f>
        <v>1</v>
      </c>
      <c r="BI572" s="32" t="str">
        <f>INDEX(Stores!$B$2:$B$21,MATCH(B572,Stores!$A$2:$A$21,0))</f>
        <v>Pune</v>
      </c>
    </row>
    <row r="573">
      <c r="A573" s="32" t="str">
        <f>Orders!A570</f>
        <v>O00569</v>
      </c>
      <c r="B573" s="32" t="str">
        <f>Orders!C570</f>
        <v>S006</v>
      </c>
      <c r="C573" s="32" t="str">
        <f>Orders!B570</f>
        <v>C0226</v>
      </c>
      <c r="D573" s="32" t="str">
        <f>Orders!H570</f>
        <v>Delivered</v>
      </c>
      <c r="E573" s="33">
        <f>IF(Orders!H570="Delivered",1,0)</f>
        <v>1</v>
      </c>
      <c r="F573" s="34">
        <f>IF(E573=1,Orders!R570,"")</f>
        <v>4.3</v>
      </c>
      <c r="G573" s="33">
        <f>IF(E573=1,IF(Orders!R570&gt;0,1,0),"")</f>
        <v>1</v>
      </c>
      <c r="H573" s="33">
        <f>IF(E573=1,IF(Orders!R570&gt;5,1,0),"")</f>
        <v>0</v>
      </c>
      <c r="I573" s="32" t="str">
        <f>IF(E573=1,"",IF(OR(Orders!T570="Rider unavailable",Orders!T570="Item unavailable"),"Company-caused","Unresolved"))</f>
        <v/>
      </c>
      <c r="J573" s="33">
        <f>IF(OR(E573=1,I573="Company-caused"),1,0)</f>
        <v>1</v>
      </c>
      <c r="K573" s="32" t="str">
        <f>IF(E573=0,IF(I573="Company-caused",IF(Orders!T570="Rider unavailable","C1 Rider unavailable","C2 Item unavailable"),"Outside root: unresolved"),IF(G573=0,"A On time",IF(H573=1,IF(L573=1,"B2a Severe, peak","B2b Severe, off-peak"),IF(L573=1,"B1a Slight, peak","B1b Slight, off-peak"))))</f>
        <v>B1b Slight, off-peak</v>
      </c>
      <c r="L573" s="33">
        <f>IF(AND(Orders!U570&gt;=19,Orders!U570&lt;22),1,0)</f>
        <v>0</v>
      </c>
      <c r="M573" s="33">
        <f>IF(L573=IF(Orders!V570,1,0),1,0)</f>
        <v>1</v>
      </c>
      <c r="N573" s="32" t="str">
        <f>IF(Orders!W570="","None",Orders!W570)</f>
        <v>None</v>
      </c>
      <c r="O573" s="35">
        <f>INT(Orders!E570)</f>
        <v>46270.0</v>
      </c>
      <c r="P573" s="33">
        <f>Orders!U570</f>
        <v>10</v>
      </c>
      <c r="Q573" s="33">
        <f>COUNTIFS(Demand!$A$2:$A$4481,B573,Demand!$B$2:$B$4481,O573,Demand!$C$2:$C$4481,P573)</f>
        <v>1</v>
      </c>
      <c r="R573" s="33">
        <f>IF(Q573=1,SUMIFS(Demand!$E$2:$E$4481,Demand!$A$2:$A$4481,B573,Demand!$B$2:$B$4481,O573,Demand!$C$2:$C$4481,P573),"")</f>
        <v>22</v>
      </c>
      <c r="S573" s="33">
        <f>INDEX(Stores!$G$2:$G$21,MATCH(B573,Stores!$A$2:$A$21,0))</f>
        <v>26</v>
      </c>
      <c r="T573" s="34">
        <f>IF(R573="","",R573/S573)</f>
        <v>0.846153846153846</v>
      </c>
      <c r="U573" s="34">
        <f>IF(E573=1,T573,"")</f>
        <v>0.846153846153846</v>
      </c>
      <c r="V573" s="34">
        <f>IF(AND(E573=1,L573=0),T573,"")</f>
        <v>0.846153846153846</v>
      </c>
      <c r="W573" s="33">
        <f>IF(U573="","",IF(U573&lt;=Breakdowns!$C$5,1,IF(U573&lt;=Breakdowns!$C$6,2,IF(U573&lt;=Breakdowns!$C$7,3,4))))</f>
        <v>2</v>
      </c>
      <c r="X573" s="33">
        <f>IF(V573="","",IF(V573&lt;=Breakdowns!$D$5,1,IF(V573&lt;=Breakdowns!$D$6,2,IF(V573&lt;=Breakdowns!$D$7,3,4))))</f>
        <v>2</v>
      </c>
      <c r="Y573" s="34">
        <f>INDEX(Stores!$F$2:$F$21,MATCH(B573,Stores!$A$2:$A$21,0))</f>
        <v>5.22</v>
      </c>
      <c r="Z573" s="33">
        <f>IF(Y573&gt;Store_Summary!$M$2,1,0)</f>
        <v>1</v>
      </c>
      <c r="AA573" s="33">
        <f>INDEX(Stores!$C$2:$C$21,MATCH(B573,Stores!$A$2:$A$21,0))</f>
        <v>412</v>
      </c>
      <c r="AB573" s="33">
        <f>IF(AA573&lt;180,1,0)</f>
        <v>0</v>
      </c>
      <c r="AC573" s="32" t="str">
        <f>IF(Orders!D570="","",INDEX(Riders!$C$2:$C$81,MATCH(Orders!D570,Riders!$A$2:$A$81,0)))</f>
        <v>EV scooter</v>
      </c>
      <c r="AD573" s="33">
        <f>IF(Orders!D570="","",INDEX(Riders!$D$2:$D$81,MATCH(Orders!D570,Riders!$A$2:$A$81,0)))</f>
        <v>11</v>
      </c>
      <c r="AE573" s="33">
        <f>IF(Orders!D570="","",IF(INDEX(Riders!$B$2:$B$81,MATCH(Orders!D570,Riders!$A$2:$A$81,0))=B573,1,0))</f>
        <v>0</v>
      </c>
      <c r="AF573" s="34">
        <f>IF(E573=1,Orders!L570,"")</f>
        <v>1.6</v>
      </c>
      <c r="AG573" s="34">
        <f>IF(E573=1,Orders!P570,"")</f>
        <v>12</v>
      </c>
      <c r="AH573" s="34">
        <f>IF(E573=1,Orders!Q570,"")</f>
        <v>16.3</v>
      </c>
      <c r="AI573" s="34">
        <f>IF(E573=1,Orders!M570,"")</f>
        <v>5.7</v>
      </c>
      <c r="AJ573" s="34">
        <f>IF(E573=1,Orders!N570,"")</f>
        <v>5.5</v>
      </c>
      <c r="AK573" s="34">
        <f>IF(E573=1,Orders!O570,"")</f>
        <v>5.2</v>
      </c>
      <c r="AL573" s="33">
        <f>IF(E573=1,IF(ROUND(ABS(AI573+AJ573+AK573-AH573),6)&lt;=0.1,1,0),"")</f>
        <v>1</v>
      </c>
      <c r="AM573" s="36">
        <f>IF(E573=1,AI573/AH573,"")</f>
        <v>0.349693251533742</v>
      </c>
      <c r="AN573" s="36">
        <f>IF(E573=1,AJ573/AH573,"")</f>
        <v>0.337423312883436</v>
      </c>
      <c r="AO573" s="36">
        <f>IF(E573=1,AK573/AH573,"")</f>
        <v>0.319018404907975</v>
      </c>
      <c r="AP573" s="34">
        <f>IF(E573=1,Orders!Y570,"")</f>
        <v>0.61</v>
      </c>
      <c r="AQ573" s="33">
        <f>IF(Orders!X570,1,0)</f>
        <v>0</v>
      </c>
      <c r="AR573" s="34" t="str">
        <f>IF(AND(E573=1,L573=1),AJ573,"")</f>
        <v/>
      </c>
      <c r="AS573" s="34">
        <f>IF(AND(E573=1,L573=0),AJ573,"")</f>
        <v>5.5</v>
      </c>
      <c r="AT573" s="34" t="str">
        <f>IF(AND(E573=1,L573=1),AI573,"")</f>
        <v/>
      </c>
      <c r="AU573" s="34">
        <f>IF(AND(E573=1,L573=0),AI573,"")</f>
        <v>5.7</v>
      </c>
      <c r="AV573" s="34" t="str">
        <f>IF(AND(E573=1,L573=1),AG573,"")</f>
        <v/>
      </c>
      <c r="AW573" s="34">
        <f>IF(AND(E573=1,L573=0),AG573,"")</f>
        <v>12</v>
      </c>
      <c r="AX573" s="34" t="str">
        <f>IF(AND(E573=1,L573=1),AH573,"")</f>
        <v/>
      </c>
      <c r="AY573" s="34">
        <f>IF(AND(E573=1,L573=0),AH573,"")</f>
        <v>16.3</v>
      </c>
      <c r="AZ573" s="34">
        <f>IF(G573=1,F573,"")</f>
        <v>4.3</v>
      </c>
      <c r="BA573" s="34" t="str">
        <f>IF(AND(G573=1,L573=1),F573,"")</f>
        <v/>
      </c>
      <c r="BB573" s="34">
        <f>IF(AND(G573=1,L573=0),F573,"")</f>
        <v>4.3</v>
      </c>
      <c r="BC573" s="33">
        <f>IF(E573=1,IF(Orders!R570&gt;3,1,0),"")</f>
        <v>1</v>
      </c>
      <c r="BD573" s="33">
        <f>IF(E573=1,IF(Orders!R570&gt;7,1,0),"")</f>
        <v>0</v>
      </c>
      <c r="BE573" s="32" t="str">
        <f>IF(E573=1,IF(Orders!L570&lt;=1.5,"Up to 1.5 km",IF(Orders!L570&lt;=3,"1.5–3 km","Over 3 km")),"")</f>
        <v>1.5–3 km</v>
      </c>
      <c r="BF573" s="33">
        <f>IF(E573=1,IF(ABS((Orders!G570-Orders!F570)*1440-Orders!R570)&lt;0.06,1,0),"")</f>
        <v>1</v>
      </c>
      <c r="BG573" s="33">
        <f>IF(ABS((Orders!F570-Orders!E570)*1440-Orders!P570)&lt;0.06,1,0)</f>
        <v>1</v>
      </c>
      <c r="BH573" s="33">
        <f>IF(E573=1,IF(IF(Orders!S570,1,0)=1-G573,1,0),"")</f>
        <v>1</v>
      </c>
      <c r="BI573" s="32" t="str">
        <f>INDEX(Stores!$B$2:$B$21,MATCH(B573,Stores!$A$2:$A$21,0))</f>
        <v>Bengaluru</v>
      </c>
    </row>
    <row r="574">
      <c r="A574" s="32" t="str">
        <f>Orders!A571</f>
        <v>O00570</v>
      </c>
      <c r="B574" s="32" t="str">
        <f>Orders!C571</f>
        <v>S017</v>
      </c>
      <c r="C574" s="32" t="str">
        <f>Orders!B571</f>
        <v>C0016</v>
      </c>
      <c r="D574" s="32" t="str">
        <f>Orders!H571</f>
        <v>Delivered</v>
      </c>
      <c r="E574" s="33">
        <f>IF(Orders!H571="Delivered",1,0)</f>
        <v>1</v>
      </c>
      <c r="F574" s="34">
        <f>IF(E574=1,Orders!R571,"")</f>
        <v>-1.1</v>
      </c>
      <c r="G574" s="33">
        <f>IF(E574=1,IF(Orders!R571&gt;0,1,0),"")</f>
        <v>0</v>
      </c>
      <c r="H574" s="33">
        <f>IF(E574=1,IF(Orders!R571&gt;5,1,0),"")</f>
        <v>0</v>
      </c>
      <c r="I574" s="32" t="str">
        <f>IF(E574=1,"",IF(OR(Orders!T571="Rider unavailable",Orders!T571="Item unavailable"),"Company-caused","Unresolved"))</f>
        <v/>
      </c>
      <c r="J574" s="33">
        <f>IF(OR(E574=1,I574="Company-caused"),1,0)</f>
        <v>1</v>
      </c>
      <c r="K574" s="32" t="str">
        <f>IF(E574=0,IF(I574="Company-caused",IF(Orders!T571="Rider unavailable","C1 Rider unavailable","C2 Item unavailable"),"Outside root: unresolved"),IF(G574=0,"A On time",IF(H574=1,IF(L574=1,"B2a Severe, peak","B2b Severe, off-peak"),IF(L574=1,"B1a Slight, peak","B1b Slight, off-peak"))))</f>
        <v>A On time</v>
      </c>
      <c r="L574" s="33">
        <f>IF(AND(Orders!U571&gt;=19,Orders!U571&lt;22),1,0)</f>
        <v>0</v>
      </c>
      <c r="M574" s="33">
        <f>IF(L574=IF(Orders!V571,1,0),1,0)</f>
        <v>1</v>
      </c>
      <c r="N574" s="32" t="str">
        <f>IF(Orders!W571="","None",Orders!W571)</f>
        <v>Light</v>
      </c>
      <c r="O574" s="35">
        <f>INT(Orders!E571)</f>
        <v>46279.0</v>
      </c>
      <c r="P574" s="33">
        <f>Orders!U571</f>
        <v>8</v>
      </c>
      <c r="Q574" s="33">
        <f>COUNTIFS(Demand!$A$2:$A$4481,B574,Demand!$B$2:$B$4481,O574,Demand!$C$2:$C$4481,P574)</f>
        <v>1</v>
      </c>
      <c r="R574" s="33">
        <f>IF(Q574=1,SUMIFS(Demand!$E$2:$E$4481,Demand!$A$2:$A$4481,B574,Demand!$B$2:$B$4481,O574,Demand!$C$2:$C$4481,P574),"")</f>
        <v>38</v>
      </c>
      <c r="S574" s="33">
        <f>INDEX(Stores!$G$2:$G$21,MATCH(B574,Stores!$A$2:$A$21,0))</f>
        <v>36</v>
      </c>
      <c r="T574" s="34">
        <f>IF(R574="","",R574/S574)</f>
        <v>1.05555555555556</v>
      </c>
      <c r="U574" s="34">
        <f>IF(E574=1,T574,"")</f>
        <v>1.05555555555556</v>
      </c>
      <c r="V574" s="34">
        <f>IF(AND(E574=1,L574=0),T574,"")</f>
        <v>1.05555555555556</v>
      </c>
      <c r="W574" s="33">
        <f>IF(U574="","",IF(U574&lt;=Breakdowns!$C$5,1,IF(U574&lt;=Breakdowns!$C$6,2,IF(U574&lt;=Breakdowns!$C$7,3,4))))</f>
        <v>3</v>
      </c>
      <c r="X574" s="33">
        <f>IF(V574="","",IF(V574&lt;=Breakdowns!$D$5,1,IF(V574&lt;=Breakdowns!$D$6,2,IF(V574&lt;=Breakdowns!$D$7,3,4))))</f>
        <v>3</v>
      </c>
      <c r="Y574" s="34">
        <f>INDEX(Stores!$F$2:$F$21,MATCH(B574,Stores!$A$2:$A$21,0))</f>
        <v>2.16</v>
      </c>
      <c r="Z574" s="33">
        <f>IF(Y574&gt;Store_Summary!$M$2,1,0)</f>
        <v>0</v>
      </c>
      <c r="AA574" s="33">
        <f>INDEX(Stores!$C$2:$C$21,MATCH(B574,Stores!$A$2:$A$21,0))</f>
        <v>47</v>
      </c>
      <c r="AB574" s="33">
        <f>IF(AA574&lt;180,1,0)</f>
        <v>1</v>
      </c>
      <c r="AC574" s="32" t="str">
        <f>IF(Orders!D571="","",INDEX(Riders!$C$2:$C$81,MATCH(Orders!D571,Riders!$A$2:$A$81,0)))</f>
        <v>Bicycle</v>
      </c>
      <c r="AD574" s="33">
        <f>IF(Orders!D571="","",INDEX(Riders!$D$2:$D$81,MATCH(Orders!D571,Riders!$A$2:$A$81,0)))</f>
        <v>8</v>
      </c>
      <c r="AE574" s="33">
        <f>IF(Orders!D571="","",IF(INDEX(Riders!$B$2:$B$81,MATCH(Orders!D571,Riders!$A$2:$A$81,0))=B574,1,0))</f>
        <v>0</v>
      </c>
      <c r="AF574" s="34">
        <f>IF(E574=1,Orders!L571,"")</f>
        <v>4</v>
      </c>
      <c r="AG574" s="34">
        <f>IF(E574=1,Orders!P571,"")</f>
        <v>12.2</v>
      </c>
      <c r="AH574" s="34">
        <f>IF(E574=1,Orders!Q571,"")</f>
        <v>11.1</v>
      </c>
      <c r="AI574" s="34">
        <f>IF(E574=1,Orders!M571,"")</f>
        <v>2</v>
      </c>
      <c r="AJ574" s="34">
        <f>IF(E574=1,Orders!N571,"")</f>
        <v>2.7</v>
      </c>
      <c r="AK574" s="34">
        <f>IF(E574=1,Orders!O571,"")</f>
        <v>6.4</v>
      </c>
      <c r="AL574" s="33">
        <f>IF(E574=1,IF(ROUND(ABS(AI574+AJ574+AK574-AH574),6)&lt;=0.1,1,0),"")</f>
        <v>1</v>
      </c>
      <c r="AM574" s="36">
        <f>IF(E574=1,AI574/AH574,"")</f>
        <v>0.18018018018018</v>
      </c>
      <c r="AN574" s="36">
        <f>IF(E574=1,AJ574/AH574,"")</f>
        <v>0.243243243243243</v>
      </c>
      <c r="AO574" s="36">
        <f>IF(E574=1,AK574/AH574,"")</f>
        <v>0.576576576576577</v>
      </c>
      <c r="AP574" s="34">
        <f>IF(E574=1,Orders!Y571,"")</f>
        <v>0.34</v>
      </c>
      <c r="AQ574" s="33">
        <f>IF(Orders!X571,1,0)</f>
        <v>0</v>
      </c>
      <c r="AR574" s="34" t="str">
        <f>IF(AND(E574=1,L574=1),AJ574,"")</f>
        <v/>
      </c>
      <c r="AS574" s="34">
        <f>IF(AND(E574=1,L574=0),AJ574,"")</f>
        <v>2.7</v>
      </c>
      <c r="AT574" s="34" t="str">
        <f>IF(AND(E574=1,L574=1),AI574,"")</f>
        <v/>
      </c>
      <c r="AU574" s="34">
        <f>IF(AND(E574=1,L574=0),AI574,"")</f>
        <v>2</v>
      </c>
      <c r="AV574" s="34" t="str">
        <f>IF(AND(E574=1,L574=1),AG574,"")</f>
        <v/>
      </c>
      <c r="AW574" s="34">
        <f>IF(AND(E574=1,L574=0),AG574,"")</f>
        <v>12.2</v>
      </c>
      <c r="AX574" s="34" t="str">
        <f>IF(AND(E574=1,L574=1),AH574,"")</f>
        <v/>
      </c>
      <c r="AY574" s="34">
        <f>IF(AND(E574=1,L574=0),AH574,"")</f>
        <v>11.1</v>
      </c>
      <c r="AZ574" s="34" t="str">
        <f>IF(G574=1,F574,"")</f>
        <v/>
      </c>
      <c r="BA574" s="34" t="str">
        <f>IF(AND(G574=1,L574=1),F574,"")</f>
        <v/>
      </c>
      <c r="BB574" s="34" t="str">
        <f>IF(AND(G574=1,L574=0),F574,"")</f>
        <v/>
      </c>
      <c r="BC574" s="33">
        <f>IF(E574=1,IF(Orders!R571&gt;3,1,0),"")</f>
        <v>0</v>
      </c>
      <c r="BD574" s="33">
        <f>IF(E574=1,IF(Orders!R571&gt;7,1,0),"")</f>
        <v>0</v>
      </c>
      <c r="BE574" s="32" t="str">
        <f>IF(E574=1,IF(Orders!L571&lt;=1.5,"Up to 1.5 km",IF(Orders!L571&lt;=3,"1.5–3 km","Over 3 km")),"")</f>
        <v>Over 3 km</v>
      </c>
      <c r="BF574" s="33">
        <f>IF(E574=1,IF(ABS((Orders!G571-Orders!F571)*1440-Orders!R571)&lt;0.06,1,0),"")</f>
        <v>1</v>
      </c>
      <c r="BG574" s="33">
        <f>IF(ABS((Orders!F571-Orders!E571)*1440-Orders!P571)&lt;0.06,1,0)</f>
        <v>1</v>
      </c>
      <c r="BH574" s="33">
        <f>IF(E574=1,IF(IF(Orders!S571,1,0)=1-G574,1,0),"")</f>
        <v>1</v>
      </c>
      <c r="BI574" s="32" t="str">
        <f>INDEX(Stores!$B$2:$B$21,MATCH(B574,Stores!$A$2:$A$21,0))</f>
        <v>Hyderabad</v>
      </c>
    </row>
    <row r="575">
      <c r="A575" s="32" t="str">
        <f>Orders!A572</f>
        <v>O00571</v>
      </c>
      <c r="B575" s="32" t="str">
        <f>Orders!C572</f>
        <v>S018</v>
      </c>
      <c r="C575" s="32" t="str">
        <f>Orders!B572</f>
        <v>C0172</v>
      </c>
      <c r="D575" s="32" t="str">
        <f>Orders!H572</f>
        <v>Delivered</v>
      </c>
      <c r="E575" s="33">
        <f>IF(Orders!H572="Delivered",1,0)</f>
        <v>1</v>
      </c>
      <c r="F575" s="34">
        <f>IF(E575=1,Orders!R572,"")</f>
        <v>9.1</v>
      </c>
      <c r="G575" s="33">
        <f>IF(E575=1,IF(Orders!R572&gt;0,1,0),"")</f>
        <v>1</v>
      </c>
      <c r="H575" s="33">
        <f>IF(E575=1,IF(Orders!R572&gt;5,1,0),"")</f>
        <v>1</v>
      </c>
      <c r="I575" s="32" t="str">
        <f>IF(E575=1,"",IF(OR(Orders!T572="Rider unavailable",Orders!T572="Item unavailable"),"Company-caused","Unresolved"))</f>
        <v/>
      </c>
      <c r="J575" s="33">
        <f>IF(OR(E575=1,I575="Company-caused"),1,0)</f>
        <v>1</v>
      </c>
      <c r="K575" s="32" t="str">
        <f>IF(E575=0,IF(I575="Company-caused",IF(Orders!T572="Rider unavailable","C1 Rider unavailable","C2 Item unavailable"),"Outside root: unresolved"),IF(G575=0,"A On time",IF(H575=1,IF(L575=1,"B2a Severe, peak","B2b Severe, off-peak"),IF(L575=1,"B1a Slight, peak","B1b Slight, off-peak"))))</f>
        <v>B2b Severe, off-peak</v>
      </c>
      <c r="L575" s="33">
        <f>IF(AND(Orders!U572&gt;=19,Orders!U572&lt;22),1,0)</f>
        <v>0</v>
      </c>
      <c r="M575" s="33">
        <f>IF(L575=IF(Orders!V572,1,0),1,0)</f>
        <v>1</v>
      </c>
      <c r="N575" s="32" t="str">
        <f>IF(Orders!W572="","None",Orders!W572)</f>
        <v>None</v>
      </c>
      <c r="O575" s="35">
        <f>INT(Orders!E572)</f>
        <v>46273.0</v>
      </c>
      <c r="P575" s="33">
        <f>Orders!U572</f>
        <v>9</v>
      </c>
      <c r="Q575" s="33">
        <f>COUNTIFS(Demand!$A$2:$A$4481,B575,Demand!$B$2:$B$4481,O575,Demand!$C$2:$C$4481,P575)</f>
        <v>1</v>
      </c>
      <c r="R575" s="33">
        <f>IF(Q575=1,SUMIFS(Demand!$E$2:$E$4481,Demand!$A$2:$A$4481,B575,Demand!$B$2:$B$4481,O575,Demand!$C$2:$C$4481,P575),"")</f>
        <v>15</v>
      </c>
      <c r="S575" s="33">
        <f>INDEX(Stores!$G$2:$G$21,MATCH(B575,Stores!$A$2:$A$21,0))</f>
        <v>20</v>
      </c>
      <c r="T575" s="34">
        <f>IF(R575="","",R575/S575)</f>
        <v>0.75</v>
      </c>
      <c r="U575" s="34">
        <f>IF(E575=1,T575,"")</f>
        <v>0.75</v>
      </c>
      <c r="V575" s="34">
        <f>IF(AND(E575=1,L575=0),T575,"")</f>
        <v>0.75</v>
      </c>
      <c r="W575" s="33">
        <f>IF(U575="","",IF(U575&lt;=Breakdowns!$C$5,1,IF(U575&lt;=Breakdowns!$C$6,2,IF(U575&lt;=Breakdowns!$C$7,3,4))))</f>
        <v>1</v>
      </c>
      <c r="X575" s="33">
        <f>IF(V575="","",IF(V575&lt;=Breakdowns!$D$5,1,IF(V575&lt;=Breakdowns!$D$6,2,IF(V575&lt;=Breakdowns!$D$7,3,4))))</f>
        <v>1</v>
      </c>
      <c r="Y575" s="34">
        <f>INDEX(Stores!$F$2:$F$21,MATCH(B575,Stores!$A$2:$A$21,0))</f>
        <v>5.31</v>
      </c>
      <c r="Z575" s="33">
        <f>IF(Y575&gt;Store_Summary!$M$2,1,0)</f>
        <v>1</v>
      </c>
      <c r="AA575" s="33">
        <f>INDEX(Stores!$C$2:$C$21,MATCH(B575,Stores!$A$2:$A$21,0))</f>
        <v>214</v>
      </c>
      <c r="AB575" s="33">
        <f>IF(AA575&lt;180,1,0)</f>
        <v>0</v>
      </c>
      <c r="AC575" s="32" t="str">
        <f>IF(Orders!D572="","",INDEX(Riders!$C$2:$C$81,MATCH(Orders!D572,Riders!$A$2:$A$81,0)))</f>
        <v>EV scooter</v>
      </c>
      <c r="AD575" s="33">
        <f>IF(Orders!D572="","",INDEX(Riders!$D$2:$D$81,MATCH(Orders!D572,Riders!$A$2:$A$81,0)))</f>
        <v>27</v>
      </c>
      <c r="AE575" s="33">
        <f>IF(Orders!D572="","",IF(INDEX(Riders!$B$2:$B$81,MATCH(Orders!D572,Riders!$A$2:$A$81,0))=B575,1,0))</f>
        <v>0</v>
      </c>
      <c r="AF575" s="34">
        <f>IF(E575=1,Orders!L572,"")</f>
        <v>3.8</v>
      </c>
      <c r="AG575" s="34">
        <f>IF(E575=1,Orders!P572,"")</f>
        <v>9.4</v>
      </c>
      <c r="AH575" s="34">
        <f>IF(E575=1,Orders!Q572,"")</f>
        <v>18.5</v>
      </c>
      <c r="AI575" s="34">
        <f>IF(E575=1,Orders!M572,"")</f>
        <v>5.2</v>
      </c>
      <c r="AJ575" s="34">
        <f>IF(E575=1,Orders!N572,"")</f>
        <v>4.4</v>
      </c>
      <c r="AK575" s="34">
        <f>IF(E575=1,Orders!O572,"")</f>
        <v>9</v>
      </c>
      <c r="AL575" s="33">
        <f>IF(E575=1,IF(ROUND(ABS(AI575+AJ575+AK575-AH575),6)&lt;=0.1,1,0),"")</f>
        <v>1</v>
      </c>
      <c r="AM575" s="36">
        <f>IF(E575=1,AI575/AH575,"")</f>
        <v>0.281081081081081</v>
      </c>
      <c r="AN575" s="36">
        <f>IF(E575=1,AJ575/AH575,"")</f>
        <v>0.237837837837838</v>
      </c>
      <c r="AO575" s="36">
        <f>IF(E575=1,AK575/AH575,"")</f>
        <v>0.486486486486487</v>
      </c>
      <c r="AP575" s="34">
        <f>IF(E575=1,Orders!Y572,"")</f>
        <v>0.3</v>
      </c>
      <c r="AQ575" s="33">
        <f>IF(Orders!X572,1,0)</f>
        <v>0</v>
      </c>
      <c r="AR575" s="34" t="str">
        <f>IF(AND(E575=1,L575=1),AJ575,"")</f>
        <v/>
      </c>
      <c r="AS575" s="34">
        <f>IF(AND(E575=1,L575=0),AJ575,"")</f>
        <v>4.4</v>
      </c>
      <c r="AT575" s="34" t="str">
        <f>IF(AND(E575=1,L575=1),AI575,"")</f>
        <v/>
      </c>
      <c r="AU575" s="34">
        <f>IF(AND(E575=1,L575=0),AI575,"")</f>
        <v>5.2</v>
      </c>
      <c r="AV575" s="34" t="str">
        <f>IF(AND(E575=1,L575=1),AG575,"")</f>
        <v/>
      </c>
      <c r="AW575" s="34">
        <f>IF(AND(E575=1,L575=0),AG575,"")</f>
        <v>9.4</v>
      </c>
      <c r="AX575" s="34" t="str">
        <f>IF(AND(E575=1,L575=1),AH575,"")</f>
        <v/>
      </c>
      <c r="AY575" s="34">
        <f>IF(AND(E575=1,L575=0),AH575,"")</f>
        <v>18.5</v>
      </c>
      <c r="AZ575" s="34">
        <f>IF(G575=1,F575,"")</f>
        <v>9.1</v>
      </c>
      <c r="BA575" s="34" t="str">
        <f>IF(AND(G575=1,L575=1),F575,"")</f>
        <v/>
      </c>
      <c r="BB575" s="34">
        <f>IF(AND(G575=1,L575=0),F575,"")</f>
        <v>9.1</v>
      </c>
      <c r="BC575" s="33">
        <f>IF(E575=1,IF(Orders!R572&gt;3,1,0),"")</f>
        <v>1</v>
      </c>
      <c r="BD575" s="33">
        <f>IF(E575=1,IF(Orders!R572&gt;7,1,0),"")</f>
        <v>1</v>
      </c>
      <c r="BE575" s="32" t="str">
        <f>IF(E575=1,IF(Orders!L572&lt;=1.5,"Up to 1.5 km",IF(Orders!L572&lt;=3,"1.5–3 km","Over 3 km")),"")</f>
        <v>Over 3 km</v>
      </c>
      <c r="BF575" s="33">
        <f>IF(E575=1,IF(ABS((Orders!G572-Orders!F572)*1440-Orders!R572)&lt;0.06,1,0),"")</f>
        <v>1</v>
      </c>
      <c r="BG575" s="33">
        <f>IF(ABS((Orders!F572-Orders!E572)*1440-Orders!P572)&lt;0.06,1,0)</f>
        <v>1</v>
      </c>
      <c r="BH575" s="33">
        <f>IF(E575=1,IF(IF(Orders!S572,1,0)=1-G575,1,0),"")</f>
        <v>1</v>
      </c>
      <c r="BI575" s="32" t="str">
        <f>INDEX(Stores!$B$2:$B$21,MATCH(B575,Stores!$A$2:$A$21,0))</f>
        <v>Mumbai</v>
      </c>
    </row>
    <row r="576">
      <c r="A576" s="32" t="str">
        <f>Orders!A573</f>
        <v>O00572</v>
      </c>
      <c r="B576" s="32" t="str">
        <f>Orders!C573</f>
        <v>S014</v>
      </c>
      <c r="C576" s="32" t="str">
        <f>Orders!B573</f>
        <v>C0202</v>
      </c>
      <c r="D576" s="32" t="str">
        <f>Orders!H573</f>
        <v>Cancelled</v>
      </c>
      <c r="E576" s="33">
        <f>IF(Orders!H573="Delivered",1,0)</f>
        <v>0</v>
      </c>
      <c r="F576" s="34" t="str">
        <f>IF(E576=1,Orders!R573,"")</f>
        <v/>
      </c>
      <c r="G576" s="33" t="str">
        <f>IF(E576=1,IF(Orders!R573&gt;0,1,0),"")</f>
        <v/>
      </c>
      <c r="H576" s="33" t="str">
        <f>IF(E576=1,IF(Orders!R573&gt;5,1,0),"")</f>
        <v/>
      </c>
      <c r="I576" s="32" t="str">
        <f>IF(E576=1,"",IF(OR(Orders!T573="Rider unavailable",Orders!T573="Item unavailable"),"Company-caused","Unresolved"))</f>
        <v>Company-caused</v>
      </c>
      <c r="J576" s="33">
        <f>IF(OR(E576=1,I576="Company-caused"),1,0)</f>
        <v>1</v>
      </c>
      <c r="K576" s="32" t="str">
        <f>IF(E576=0,IF(I576="Company-caused",IF(Orders!T573="Rider unavailable","C1 Rider unavailable","C2 Item unavailable"),"Outside root: unresolved"),IF(G576=0,"A On time",IF(H576=1,IF(L576=1,"B2a Severe, peak","B2b Severe, off-peak"),IF(L576=1,"B1a Slight, peak","B1b Slight, off-peak"))))</f>
        <v>C1 Rider unavailable</v>
      </c>
      <c r="L576" s="33">
        <f>IF(AND(Orders!U573&gt;=19,Orders!U573&lt;22),1,0)</f>
        <v>1</v>
      </c>
      <c r="M576" s="33">
        <f>IF(L576=IF(Orders!V573,1,0),1,0)</f>
        <v>1</v>
      </c>
      <c r="N576" s="32" t="str">
        <f>IF(Orders!W573="","None",Orders!W573)</f>
        <v>None</v>
      </c>
      <c r="O576" s="35">
        <f>INT(Orders!E573)</f>
        <v>46269.0</v>
      </c>
      <c r="P576" s="33">
        <f>Orders!U573</f>
        <v>19</v>
      </c>
      <c r="Q576" s="33">
        <f>COUNTIFS(Demand!$A$2:$A$4481,B576,Demand!$B$2:$B$4481,O576,Demand!$C$2:$C$4481,P576)</f>
        <v>1</v>
      </c>
      <c r="R576" s="33">
        <f>IF(Q576=1,SUMIFS(Demand!$E$2:$E$4481,Demand!$A$2:$A$4481,B576,Demand!$B$2:$B$4481,O576,Demand!$C$2:$C$4481,P576),"")</f>
        <v>61</v>
      </c>
      <c r="S576" s="33">
        <f>INDEX(Stores!$G$2:$G$21,MATCH(B576,Stores!$A$2:$A$21,0))</f>
        <v>37</v>
      </c>
      <c r="T576" s="34">
        <f>IF(R576="","",R576/S576)</f>
        <v>1.64864864864865</v>
      </c>
      <c r="U576" s="34" t="str">
        <f>IF(E576=1,T576,"")</f>
        <v/>
      </c>
      <c r="V576" s="34" t="str">
        <f>IF(AND(E576=1,L576=0),T576,"")</f>
        <v/>
      </c>
      <c r="W576" s="33" t="str">
        <f>IF(U576="","",IF(U576&lt;=Breakdowns!$C$5,1,IF(U576&lt;=Breakdowns!$C$6,2,IF(U576&lt;=Breakdowns!$C$7,3,4))))</f>
        <v/>
      </c>
      <c r="X576" s="33" t="str">
        <f>IF(V576="","",IF(V576&lt;=Breakdowns!$D$5,1,IF(V576&lt;=Breakdowns!$D$6,2,IF(V576&lt;=Breakdowns!$D$7,3,4))))</f>
        <v/>
      </c>
      <c r="Y576" s="34">
        <f>INDEX(Stores!$F$2:$F$21,MATCH(B576,Stores!$A$2:$A$21,0))</f>
        <v>5.55</v>
      </c>
      <c r="Z576" s="33">
        <f>IF(Y576&gt;Store_Summary!$M$2,1,0)</f>
        <v>1</v>
      </c>
      <c r="AA576" s="33">
        <f>INDEX(Stores!$C$2:$C$21,MATCH(B576,Stores!$A$2:$A$21,0))</f>
        <v>241</v>
      </c>
      <c r="AB576" s="33">
        <f>IF(AA576&lt;180,1,0)</f>
        <v>0</v>
      </c>
      <c r="AC576" s="32" t="str">
        <f>IF(Orders!D573="","",INDEX(Riders!$C$2:$C$81,MATCH(Orders!D573,Riders!$A$2:$A$81,0)))</f>
        <v/>
      </c>
      <c r="AD576" s="33" t="str">
        <f>IF(Orders!D573="","",INDEX(Riders!$D$2:$D$81,MATCH(Orders!D573,Riders!$A$2:$A$81,0)))</f>
        <v/>
      </c>
      <c r="AE576" s="33" t="str">
        <f>IF(Orders!D573="","",IF(INDEX(Riders!$B$2:$B$81,MATCH(Orders!D573,Riders!$A$2:$A$81,0))=B576,1,0))</f>
        <v/>
      </c>
      <c r="AF576" s="34" t="str">
        <f>IF(E576=1,Orders!L573,"")</f>
        <v/>
      </c>
      <c r="AG576" s="34" t="str">
        <f>IF(E576=1,Orders!P573,"")</f>
        <v/>
      </c>
      <c r="AH576" s="34" t="str">
        <f>IF(E576=1,Orders!Q573,"")</f>
        <v/>
      </c>
      <c r="AI576" s="34" t="str">
        <f>IF(E576=1,Orders!M573,"")</f>
        <v/>
      </c>
      <c r="AJ576" s="34" t="str">
        <f>IF(E576=1,Orders!N573,"")</f>
        <v/>
      </c>
      <c r="AK576" s="34" t="str">
        <f>IF(E576=1,Orders!O573,"")</f>
        <v/>
      </c>
      <c r="AL576" s="33" t="str">
        <f>IF(E576=1,IF(ROUND(ABS(AI576+AJ576+AK576-AH576),6)&lt;=0.1,1,0),"")</f>
        <v/>
      </c>
      <c r="AM576" s="36" t="str">
        <f>IF(E576=1,AI576/AH576,"")</f>
        <v/>
      </c>
      <c r="AN576" s="36" t="str">
        <f>IF(E576=1,AJ576/AH576,"")</f>
        <v/>
      </c>
      <c r="AO576" s="36" t="str">
        <f>IF(E576=1,AK576/AH576,"")</f>
        <v/>
      </c>
      <c r="AP576" s="34" t="str">
        <f>IF(E576=1,Orders!Y573,"")</f>
        <v/>
      </c>
      <c r="AQ576" s="33">
        <f>IF(Orders!X573,1,0)</f>
        <v>1</v>
      </c>
      <c r="AR576" s="34" t="str">
        <f>IF(AND(E576=1,L576=1),AJ576,"")</f>
        <v/>
      </c>
      <c r="AS576" s="34" t="str">
        <f>IF(AND(E576=1,L576=0),AJ576,"")</f>
        <v/>
      </c>
      <c r="AT576" s="34" t="str">
        <f>IF(AND(E576=1,L576=1),AI576,"")</f>
        <v/>
      </c>
      <c r="AU576" s="34" t="str">
        <f>IF(AND(E576=1,L576=0),AI576,"")</f>
        <v/>
      </c>
      <c r="AV576" s="34" t="str">
        <f>IF(AND(E576=1,L576=1),AG576,"")</f>
        <v/>
      </c>
      <c r="AW576" s="34" t="str">
        <f>IF(AND(E576=1,L576=0),AG576,"")</f>
        <v/>
      </c>
      <c r="AX576" s="34" t="str">
        <f>IF(AND(E576=1,L576=1),AH576,"")</f>
        <v/>
      </c>
      <c r="AY576" s="34" t="str">
        <f>IF(AND(E576=1,L576=0),AH576,"")</f>
        <v/>
      </c>
      <c r="AZ576" s="34" t="str">
        <f>IF(G576=1,F576,"")</f>
        <v/>
      </c>
      <c r="BA576" s="34" t="str">
        <f>IF(AND(G576=1,L576=1),F576,"")</f>
        <v/>
      </c>
      <c r="BB576" s="34" t="str">
        <f>IF(AND(G576=1,L576=0),F576,"")</f>
        <v/>
      </c>
      <c r="BC576" s="33" t="str">
        <f>IF(E576=1,IF(Orders!R573&gt;3,1,0),"")</f>
        <v/>
      </c>
      <c r="BD576" s="33" t="str">
        <f>IF(E576=1,IF(Orders!R573&gt;7,1,0),"")</f>
        <v/>
      </c>
      <c r="BE576" s="32" t="str">
        <f>IF(E576=1,IF(Orders!L573&lt;=1.5,"Up to 1.5 km",IF(Orders!L573&lt;=3,"1.5–3 km","Over 3 km")),"")</f>
        <v/>
      </c>
      <c r="BF576" s="33" t="str">
        <f>IF(E576=1,IF(ABS((Orders!G573-Orders!F573)*1440-Orders!R573)&lt;0.06,1,0),"")</f>
        <v/>
      </c>
      <c r="BG576" s="33">
        <f>IF(ABS((Orders!F573-Orders!E573)*1440-Orders!P573)&lt;0.06,1,0)</f>
        <v>1</v>
      </c>
      <c r="BH576" s="33" t="str">
        <f>IF(E576=1,IF(IF(Orders!S573,1,0)=1-G576,1,0),"")</f>
        <v/>
      </c>
      <c r="BI576" s="32" t="str">
        <f>INDEX(Stores!$B$2:$B$21,MATCH(B576,Stores!$A$2:$A$21,0))</f>
        <v>Pune</v>
      </c>
    </row>
    <row r="577">
      <c r="A577" s="32" t="str">
        <f>Orders!A574</f>
        <v>O00573</v>
      </c>
      <c r="B577" s="32" t="str">
        <f>Orders!C574</f>
        <v>S004</v>
      </c>
      <c r="C577" s="32" t="str">
        <f>Orders!B574</f>
        <v>C0124</v>
      </c>
      <c r="D577" s="32" t="str">
        <f>Orders!H574</f>
        <v>Delivered</v>
      </c>
      <c r="E577" s="33">
        <f>IF(Orders!H574="Delivered",1,0)</f>
        <v>1</v>
      </c>
      <c r="F577" s="34">
        <f>IF(E577=1,Orders!R574,"")</f>
        <v>-2.4</v>
      </c>
      <c r="G577" s="33">
        <f>IF(E577=1,IF(Orders!R574&gt;0,1,0),"")</f>
        <v>0</v>
      </c>
      <c r="H577" s="33">
        <f>IF(E577=1,IF(Orders!R574&gt;5,1,0),"")</f>
        <v>0</v>
      </c>
      <c r="I577" s="32" t="str">
        <f>IF(E577=1,"",IF(OR(Orders!T574="Rider unavailable",Orders!T574="Item unavailable"),"Company-caused","Unresolved"))</f>
        <v/>
      </c>
      <c r="J577" s="33">
        <f>IF(OR(E577=1,I577="Company-caused"),1,0)</f>
        <v>1</v>
      </c>
      <c r="K577" s="32" t="str">
        <f>IF(E577=0,IF(I577="Company-caused",IF(Orders!T574="Rider unavailable","C1 Rider unavailable","C2 Item unavailable"),"Outside root: unresolved"),IF(G577=0,"A On time",IF(H577=1,IF(L577=1,"B2a Severe, peak","B2b Severe, off-peak"),IF(L577=1,"B1a Slight, peak","B1b Slight, off-peak"))))</f>
        <v>A On time</v>
      </c>
      <c r="L577" s="33">
        <f>IF(AND(Orders!U574&gt;=19,Orders!U574&lt;22),1,0)</f>
        <v>0</v>
      </c>
      <c r="M577" s="33">
        <f>IF(L577=IF(Orders!V574,1,0),1,0)</f>
        <v>1</v>
      </c>
      <c r="N577" s="32" t="str">
        <f>IF(Orders!W574="","None",Orders!W574)</f>
        <v>None</v>
      </c>
      <c r="O577" s="35">
        <f>INT(Orders!E574)</f>
        <v>46276.0</v>
      </c>
      <c r="P577" s="33">
        <f>Orders!U574</f>
        <v>11</v>
      </c>
      <c r="Q577" s="33">
        <f>COUNTIFS(Demand!$A$2:$A$4481,B577,Demand!$B$2:$B$4481,O577,Demand!$C$2:$C$4481,P577)</f>
        <v>1</v>
      </c>
      <c r="R577" s="33">
        <f>IF(Q577=1,SUMIFS(Demand!$E$2:$E$4481,Demand!$A$2:$A$4481,B577,Demand!$B$2:$B$4481,O577,Demand!$C$2:$C$4481,P577),"")</f>
        <v>40</v>
      </c>
      <c r="S577" s="33">
        <f>INDEX(Stores!$G$2:$G$21,MATCH(B577,Stores!$A$2:$A$21,0))</f>
        <v>42</v>
      </c>
      <c r="T577" s="34">
        <f>IF(R577="","",R577/S577)</f>
        <v>0.952380952380952</v>
      </c>
      <c r="U577" s="34">
        <f>IF(E577=1,T577,"")</f>
        <v>0.952380952380952</v>
      </c>
      <c r="V577" s="34">
        <f>IF(AND(E577=1,L577=0),T577,"")</f>
        <v>0.952380952380952</v>
      </c>
      <c r="W577" s="33">
        <f>IF(U577="","",IF(U577&lt;=Breakdowns!$C$5,1,IF(U577&lt;=Breakdowns!$C$6,2,IF(U577&lt;=Breakdowns!$C$7,3,4))))</f>
        <v>2</v>
      </c>
      <c r="X577" s="33">
        <f>IF(V577="","",IF(V577&lt;=Breakdowns!$D$5,1,IF(V577&lt;=Breakdowns!$D$6,2,IF(V577&lt;=Breakdowns!$D$7,3,4))))</f>
        <v>3</v>
      </c>
      <c r="Y577" s="34">
        <f>INDEX(Stores!$F$2:$F$21,MATCH(B577,Stores!$A$2:$A$21,0))</f>
        <v>2.19</v>
      </c>
      <c r="Z577" s="33">
        <f>IF(Y577&gt;Store_Summary!$M$2,1,0)</f>
        <v>0</v>
      </c>
      <c r="AA577" s="33">
        <f>INDEX(Stores!$C$2:$C$21,MATCH(B577,Stores!$A$2:$A$21,0))</f>
        <v>850</v>
      </c>
      <c r="AB577" s="33">
        <f>IF(AA577&lt;180,1,0)</f>
        <v>0</v>
      </c>
      <c r="AC577" s="32" t="str">
        <f>IF(Orders!D574="","",INDEX(Riders!$C$2:$C$81,MATCH(Orders!D574,Riders!$A$2:$A$81,0)))</f>
        <v>Petrol scooter</v>
      </c>
      <c r="AD577" s="33">
        <f>IF(Orders!D574="","",INDEX(Riders!$D$2:$D$81,MATCH(Orders!D574,Riders!$A$2:$A$81,0)))</f>
        <v>24</v>
      </c>
      <c r="AE577" s="33">
        <f>IF(Orders!D574="","",IF(INDEX(Riders!$B$2:$B$81,MATCH(Orders!D574,Riders!$A$2:$A$81,0))=B577,1,0))</f>
        <v>0</v>
      </c>
      <c r="AF577" s="34">
        <f>IF(E577=1,Orders!L574,"")</f>
        <v>0.88</v>
      </c>
      <c r="AG577" s="34">
        <f>IF(E577=1,Orders!P574,"")</f>
        <v>11.6</v>
      </c>
      <c r="AH577" s="34">
        <f>IF(E577=1,Orders!Q574,"")</f>
        <v>9.2</v>
      </c>
      <c r="AI577" s="34">
        <f>IF(E577=1,Orders!M574,"")</f>
        <v>2.9</v>
      </c>
      <c r="AJ577" s="34">
        <f>IF(E577=1,Orders!N574,"")</f>
        <v>3.6</v>
      </c>
      <c r="AK577" s="34">
        <f>IF(E577=1,Orders!O574,"")</f>
        <v>2.8</v>
      </c>
      <c r="AL577" s="33">
        <f>IF(E577=1,IF(ROUND(ABS(AI577+AJ577+AK577-AH577),6)&lt;=0.1,1,0),"")</f>
        <v>1</v>
      </c>
      <c r="AM577" s="36">
        <f>IF(E577=1,AI577/AH577,"")</f>
        <v>0.315217391304348</v>
      </c>
      <c r="AN577" s="36">
        <f>IF(E577=1,AJ577/AH577,"")</f>
        <v>0.391304347826087</v>
      </c>
      <c r="AO577" s="36">
        <f>IF(E577=1,AK577/AH577,"")</f>
        <v>0.304347826086957</v>
      </c>
      <c r="AP577" s="34">
        <f>IF(E577=1,Orders!Y574,"")</f>
        <v>0.28</v>
      </c>
      <c r="AQ577" s="33">
        <f>IF(Orders!X574,1,0)</f>
        <v>0</v>
      </c>
      <c r="AR577" s="34" t="str">
        <f>IF(AND(E577=1,L577=1),AJ577,"")</f>
        <v/>
      </c>
      <c r="AS577" s="34">
        <f>IF(AND(E577=1,L577=0),AJ577,"")</f>
        <v>3.6</v>
      </c>
      <c r="AT577" s="34" t="str">
        <f>IF(AND(E577=1,L577=1),AI577,"")</f>
        <v/>
      </c>
      <c r="AU577" s="34">
        <f>IF(AND(E577=1,L577=0),AI577,"")</f>
        <v>2.9</v>
      </c>
      <c r="AV577" s="34" t="str">
        <f>IF(AND(E577=1,L577=1),AG577,"")</f>
        <v/>
      </c>
      <c r="AW577" s="34">
        <f>IF(AND(E577=1,L577=0),AG577,"")</f>
        <v>11.6</v>
      </c>
      <c r="AX577" s="34" t="str">
        <f>IF(AND(E577=1,L577=1),AH577,"")</f>
        <v/>
      </c>
      <c r="AY577" s="34">
        <f>IF(AND(E577=1,L577=0),AH577,"")</f>
        <v>9.2</v>
      </c>
      <c r="AZ577" s="34" t="str">
        <f>IF(G577=1,F577,"")</f>
        <v/>
      </c>
      <c r="BA577" s="34" t="str">
        <f>IF(AND(G577=1,L577=1),F577,"")</f>
        <v/>
      </c>
      <c r="BB577" s="34" t="str">
        <f>IF(AND(G577=1,L577=0),F577,"")</f>
        <v/>
      </c>
      <c r="BC577" s="33">
        <f>IF(E577=1,IF(Orders!R574&gt;3,1,0),"")</f>
        <v>0</v>
      </c>
      <c r="BD577" s="33">
        <f>IF(E577=1,IF(Orders!R574&gt;7,1,0),"")</f>
        <v>0</v>
      </c>
      <c r="BE577" s="32" t="str">
        <f>IF(E577=1,IF(Orders!L574&lt;=1.5,"Up to 1.5 km",IF(Orders!L574&lt;=3,"1.5–3 km","Over 3 km")),"")</f>
        <v>Up to 1.5 km</v>
      </c>
      <c r="BF577" s="33">
        <f>IF(E577=1,IF(ABS((Orders!G574-Orders!F574)*1440-Orders!R574)&lt;0.06,1,0),"")</f>
        <v>1</v>
      </c>
      <c r="BG577" s="33">
        <f>IF(ABS((Orders!F574-Orders!E574)*1440-Orders!P574)&lt;0.06,1,0)</f>
        <v>1</v>
      </c>
      <c r="BH577" s="33">
        <f>IF(E577=1,IF(IF(Orders!S574,1,0)=1-G577,1,0),"")</f>
        <v>1</v>
      </c>
      <c r="BI577" s="32" t="str">
        <f>INDEX(Stores!$B$2:$B$21,MATCH(B577,Stores!$A$2:$A$21,0))</f>
        <v>Pune</v>
      </c>
    </row>
    <row r="578">
      <c r="A578" s="32" t="str">
        <f>Orders!A575</f>
        <v>O00574</v>
      </c>
      <c r="B578" s="32" t="str">
        <f>Orders!C575</f>
        <v>S001</v>
      </c>
      <c r="C578" s="32" t="str">
        <f>Orders!B575</f>
        <v>C0104</v>
      </c>
      <c r="D578" s="32" t="str">
        <f>Orders!H575</f>
        <v>Delivered</v>
      </c>
      <c r="E578" s="33">
        <f>IF(Orders!H575="Delivered",1,0)</f>
        <v>1</v>
      </c>
      <c r="F578" s="34">
        <f>IF(E578=1,Orders!R575,"")</f>
        <v>-0.6</v>
      </c>
      <c r="G578" s="33">
        <f>IF(E578=1,IF(Orders!R575&gt;0,1,0),"")</f>
        <v>0</v>
      </c>
      <c r="H578" s="33">
        <f>IF(E578=1,IF(Orders!R575&gt;5,1,0),"")</f>
        <v>0</v>
      </c>
      <c r="I578" s="32" t="str">
        <f>IF(E578=1,"",IF(OR(Orders!T575="Rider unavailable",Orders!T575="Item unavailable"),"Company-caused","Unresolved"))</f>
        <v/>
      </c>
      <c r="J578" s="33">
        <f>IF(OR(E578=1,I578="Company-caused"),1,0)</f>
        <v>1</v>
      </c>
      <c r="K578" s="32" t="str">
        <f>IF(E578=0,IF(I578="Company-caused",IF(Orders!T575="Rider unavailable","C1 Rider unavailable","C2 Item unavailable"),"Outside root: unresolved"),IF(G578=0,"A On time",IF(H578=1,IF(L578=1,"B2a Severe, peak","B2b Severe, off-peak"),IF(L578=1,"B1a Slight, peak","B1b Slight, off-peak"))))</f>
        <v>A On time</v>
      </c>
      <c r="L578" s="33">
        <f>IF(AND(Orders!U575&gt;=19,Orders!U575&lt;22),1,0)</f>
        <v>0</v>
      </c>
      <c r="M578" s="33">
        <f>IF(L578=IF(Orders!V575,1,0),1,0)</f>
        <v>1</v>
      </c>
      <c r="N578" s="32" t="str">
        <f>IF(Orders!W575="","None",Orders!W575)</f>
        <v>None</v>
      </c>
      <c r="O578" s="35">
        <f>INT(Orders!E575)</f>
        <v>46276.0</v>
      </c>
      <c r="P578" s="33">
        <f>Orders!U575</f>
        <v>15</v>
      </c>
      <c r="Q578" s="33">
        <f>COUNTIFS(Demand!$A$2:$A$4481,B578,Demand!$B$2:$B$4481,O578,Demand!$C$2:$C$4481,P578)</f>
        <v>1</v>
      </c>
      <c r="R578" s="33">
        <f>IF(Q578=1,SUMIFS(Demand!$E$2:$E$4481,Demand!$A$2:$A$4481,B578,Demand!$B$2:$B$4481,O578,Demand!$C$2:$C$4481,P578),"")</f>
        <v>10</v>
      </c>
      <c r="S578" s="33">
        <f>INDEX(Stores!$G$2:$G$21,MATCH(B578,Stores!$A$2:$A$21,0))</f>
        <v>16</v>
      </c>
      <c r="T578" s="34">
        <f>IF(R578="","",R578/S578)</f>
        <v>0.625</v>
      </c>
      <c r="U578" s="34">
        <f>IF(E578=1,T578,"")</f>
        <v>0.625</v>
      </c>
      <c r="V578" s="34">
        <f>IF(AND(E578=1,L578=0),T578,"")</f>
        <v>0.625</v>
      </c>
      <c r="W578" s="33">
        <f>IF(U578="","",IF(U578&lt;=Breakdowns!$C$5,1,IF(U578&lt;=Breakdowns!$C$6,2,IF(U578&lt;=Breakdowns!$C$7,3,4))))</f>
        <v>1</v>
      </c>
      <c r="X578" s="33">
        <f>IF(V578="","",IF(V578&lt;=Breakdowns!$D$5,1,IF(V578&lt;=Breakdowns!$D$6,2,IF(V578&lt;=Breakdowns!$D$7,3,4))))</f>
        <v>1</v>
      </c>
      <c r="Y578" s="34">
        <f>INDEX(Stores!$F$2:$F$21,MATCH(B578,Stores!$A$2:$A$21,0))</f>
        <v>4.59</v>
      </c>
      <c r="Z578" s="33">
        <f>IF(Y578&gt;Store_Summary!$M$2,1,0)</f>
        <v>0</v>
      </c>
      <c r="AA578" s="33">
        <f>INDEX(Stores!$C$2:$C$21,MATCH(B578,Stores!$A$2:$A$21,0))</f>
        <v>362</v>
      </c>
      <c r="AB578" s="33">
        <f>IF(AA578&lt;180,1,0)</f>
        <v>0</v>
      </c>
      <c r="AC578" s="32" t="str">
        <f>IF(Orders!D575="","",INDEX(Riders!$C$2:$C$81,MATCH(Orders!D575,Riders!$A$2:$A$81,0)))</f>
        <v>EV scooter</v>
      </c>
      <c r="AD578" s="33">
        <f>IF(Orders!D575="","",INDEX(Riders!$D$2:$D$81,MATCH(Orders!D575,Riders!$A$2:$A$81,0)))</f>
        <v>36</v>
      </c>
      <c r="AE578" s="33">
        <f>IF(Orders!D575="","",IF(INDEX(Riders!$B$2:$B$81,MATCH(Orders!D575,Riders!$A$2:$A$81,0))=B578,1,0))</f>
        <v>0</v>
      </c>
      <c r="AF578" s="34">
        <f>IF(E578=1,Orders!L575,"")</f>
        <v>3.68</v>
      </c>
      <c r="AG578" s="34">
        <f>IF(E578=1,Orders!P575,"")</f>
        <v>10.6</v>
      </c>
      <c r="AH578" s="34">
        <f>IF(E578=1,Orders!Q575,"")</f>
        <v>10</v>
      </c>
      <c r="AI578" s="34">
        <f>IF(E578=1,Orders!M575,"")</f>
        <v>2.6</v>
      </c>
      <c r="AJ578" s="34">
        <f>IF(E578=1,Orders!N575,"")</f>
        <v>3.2</v>
      </c>
      <c r="AK578" s="34">
        <f>IF(E578=1,Orders!O575,"")</f>
        <v>4.2</v>
      </c>
      <c r="AL578" s="33">
        <f>IF(E578=1,IF(ROUND(ABS(AI578+AJ578+AK578-AH578),6)&lt;=0.1,1,0),"")</f>
        <v>1</v>
      </c>
      <c r="AM578" s="36">
        <f>IF(E578=1,AI578/AH578,"")</f>
        <v>0.26</v>
      </c>
      <c r="AN578" s="36">
        <f>IF(E578=1,AJ578/AH578,"")</f>
        <v>0.32</v>
      </c>
      <c r="AO578" s="36">
        <f>IF(E578=1,AK578/AH578,"")</f>
        <v>0.42</v>
      </c>
      <c r="AP578" s="34">
        <f>IF(E578=1,Orders!Y575,"")</f>
        <v>0.27</v>
      </c>
      <c r="AQ578" s="33">
        <f>IF(Orders!X575,1,0)</f>
        <v>0</v>
      </c>
      <c r="AR578" s="34" t="str">
        <f>IF(AND(E578=1,L578=1),AJ578,"")</f>
        <v/>
      </c>
      <c r="AS578" s="34">
        <f>IF(AND(E578=1,L578=0),AJ578,"")</f>
        <v>3.2</v>
      </c>
      <c r="AT578" s="34" t="str">
        <f>IF(AND(E578=1,L578=1),AI578,"")</f>
        <v/>
      </c>
      <c r="AU578" s="34">
        <f>IF(AND(E578=1,L578=0),AI578,"")</f>
        <v>2.6</v>
      </c>
      <c r="AV578" s="34" t="str">
        <f>IF(AND(E578=1,L578=1),AG578,"")</f>
        <v/>
      </c>
      <c r="AW578" s="34">
        <f>IF(AND(E578=1,L578=0),AG578,"")</f>
        <v>10.6</v>
      </c>
      <c r="AX578" s="34" t="str">
        <f>IF(AND(E578=1,L578=1),AH578,"")</f>
        <v/>
      </c>
      <c r="AY578" s="34">
        <f>IF(AND(E578=1,L578=0),AH578,"")</f>
        <v>10</v>
      </c>
      <c r="AZ578" s="34" t="str">
        <f>IF(G578=1,F578,"")</f>
        <v/>
      </c>
      <c r="BA578" s="34" t="str">
        <f>IF(AND(G578=1,L578=1),F578,"")</f>
        <v/>
      </c>
      <c r="BB578" s="34" t="str">
        <f>IF(AND(G578=1,L578=0),F578,"")</f>
        <v/>
      </c>
      <c r="BC578" s="33">
        <f>IF(E578=1,IF(Orders!R575&gt;3,1,0),"")</f>
        <v>0</v>
      </c>
      <c r="BD578" s="33">
        <f>IF(E578=1,IF(Orders!R575&gt;7,1,0),"")</f>
        <v>0</v>
      </c>
      <c r="BE578" s="32" t="str">
        <f>IF(E578=1,IF(Orders!L575&lt;=1.5,"Up to 1.5 km",IF(Orders!L575&lt;=3,"1.5–3 km","Over 3 km")),"")</f>
        <v>Over 3 km</v>
      </c>
      <c r="BF578" s="33">
        <f>IF(E578=1,IF(ABS((Orders!G575-Orders!F575)*1440-Orders!R575)&lt;0.06,1,0),"")</f>
        <v>1</v>
      </c>
      <c r="BG578" s="33">
        <f>IF(ABS((Orders!F575-Orders!E575)*1440-Orders!P575)&lt;0.06,1,0)</f>
        <v>1</v>
      </c>
      <c r="BH578" s="33">
        <f>IF(E578=1,IF(IF(Orders!S575,1,0)=1-G578,1,0),"")</f>
        <v>1</v>
      </c>
      <c r="BI578" s="32" t="str">
        <f>INDEX(Stores!$B$2:$B$21,MATCH(B578,Stores!$A$2:$A$21,0))</f>
        <v>Bengaluru</v>
      </c>
    </row>
    <row r="579">
      <c r="A579" s="32" t="str">
        <f>Orders!A576</f>
        <v>O00575</v>
      </c>
      <c r="B579" s="32" t="str">
        <f>Orders!C576</f>
        <v>S001</v>
      </c>
      <c r="C579" s="32" t="str">
        <f>Orders!B576</f>
        <v>C0081</v>
      </c>
      <c r="D579" s="32" t="str">
        <f>Orders!H576</f>
        <v>Delivered</v>
      </c>
      <c r="E579" s="33">
        <f>IF(Orders!H576="Delivered",1,0)</f>
        <v>1</v>
      </c>
      <c r="F579" s="34">
        <f>IF(E579=1,Orders!R576,"")</f>
        <v>-0.6</v>
      </c>
      <c r="G579" s="33">
        <f>IF(E579=1,IF(Orders!R576&gt;0,1,0),"")</f>
        <v>0</v>
      </c>
      <c r="H579" s="33">
        <f>IF(E579=1,IF(Orders!R576&gt;5,1,0),"")</f>
        <v>0</v>
      </c>
      <c r="I579" s="32" t="str">
        <f>IF(E579=1,"",IF(OR(Orders!T576="Rider unavailable",Orders!T576="Item unavailable"),"Company-caused","Unresolved"))</f>
        <v/>
      </c>
      <c r="J579" s="33">
        <f>IF(OR(E579=1,I579="Company-caused"),1,0)</f>
        <v>1</v>
      </c>
      <c r="K579" s="32" t="str">
        <f>IF(E579=0,IF(I579="Company-caused",IF(Orders!T576="Rider unavailable","C1 Rider unavailable","C2 Item unavailable"),"Outside root: unresolved"),IF(G579=0,"A On time",IF(H579=1,IF(L579=1,"B2a Severe, peak","B2b Severe, off-peak"),IF(L579=1,"B1a Slight, peak","B1b Slight, off-peak"))))</f>
        <v>A On time</v>
      </c>
      <c r="L579" s="33">
        <f>IF(AND(Orders!U576&gt;=19,Orders!U576&lt;22),1,0)</f>
        <v>0</v>
      </c>
      <c r="M579" s="33">
        <f>IF(L579=IF(Orders!V576,1,0),1,0)</f>
        <v>1</v>
      </c>
      <c r="N579" s="32" t="str">
        <f>IF(Orders!W576="","None",Orders!W576)</f>
        <v>None</v>
      </c>
      <c r="O579" s="35">
        <f>INT(Orders!E576)</f>
        <v>46266.0</v>
      </c>
      <c r="P579" s="33">
        <f>Orders!U576</f>
        <v>22</v>
      </c>
      <c r="Q579" s="33">
        <f>COUNTIFS(Demand!$A$2:$A$4481,B579,Demand!$B$2:$B$4481,O579,Demand!$C$2:$C$4481,P579)</f>
        <v>1</v>
      </c>
      <c r="R579" s="33">
        <f>IF(Q579=1,SUMIFS(Demand!$E$2:$E$4481,Demand!$A$2:$A$4481,B579,Demand!$B$2:$B$4481,O579,Demand!$C$2:$C$4481,P579),"")</f>
        <v>26</v>
      </c>
      <c r="S579" s="33">
        <f>INDEX(Stores!$G$2:$G$21,MATCH(B579,Stores!$A$2:$A$21,0))</f>
        <v>16</v>
      </c>
      <c r="T579" s="34">
        <f>IF(R579="","",R579/S579)</f>
        <v>1.625</v>
      </c>
      <c r="U579" s="34">
        <f>IF(E579=1,T579,"")</f>
        <v>1.625</v>
      </c>
      <c r="V579" s="34">
        <f>IF(AND(E579=1,L579=0),T579,"")</f>
        <v>1.625</v>
      </c>
      <c r="W579" s="33">
        <f>IF(U579="","",IF(U579&lt;=Breakdowns!$C$5,1,IF(U579&lt;=Breakdowns!$C$6,2,IF(U579&lt;=Breakdowns!$C$7,3,4))))</f>
        <v>4</v>
      </c>
      <c r="X579" s="33">
        <f>IF(V579="","",IF(V579&lt;=Breakdowns!$D$5,1,IF(V579&lt;=Breakdowns!$D$6,2,IF(V579&lt;=Breakdowns!$D$7,3,4))))</f>
        <v>4</v>
      </c>
      <c r="Y579" s="34">
        <f>INDEX(Stores!$F$2:$F$21,MATCH(B579,Stores!$A$2:$A$21,0))</f>
        <v>4.59</v>
      </c>
      <c r="Z579" s="33">
        <f>IF(Y579&gt;Store_Summary!$M$2,1,0)</f>
        <v>0</v>
      </c>
      <c r="AA579" s="33">
        <f>INDEX(Stores!$C$2:$C$21,MATCH(B579,Stores!$A$2:$A$21,0))</f>
        <v>362</v>
      </c>
      <c r="AB579" s="33">
        <f>IF(AA579&lt;180,1,0)</f>
        <v>0</v>
      </c>
      <c r="AC579" s="32" t="str">
        <f>IF(Orders!D576="","",INDEX(Riders!$C$2:$C$81,MATCH(Orders!D576,Riders!$A$2:$A$81,0)))</f>
        <v>EV scooter</v>
      </c>
      <c r="AD579" s="33">
        <f>IF(Orders!D576="","",INDEX(Riders!$D$2:$D$81,MATCH(Orders!D576,Riders!$A$2:$A$81,0)))</f>
        <v>14</v>
      </c>
      <c r="AE579" s="33">
        <f>IF(Orders!D576="","",IF(INDEX(Riders!$B$2:$B$81,MATCH(Orders!D576,Riders!$A$2:$A$81,0))=B579,1,0))</f>
        <v>0</v>
      </c>
      <c r="AF579" s="34">
        <f>IF(E579=1,Orders!L576,"")</f>
        <v>4.08</v>
      </c>
      <c r="AG579" s="34">
        <f>IF(E579=1,Orders!P576,"")</f>
        <v>11.6</v>
      </c>
      <c r="AH579" s="34">
        <f>IF(E579=1,Orders!Q576,"")</f>
        <v>11</v>
      </c>
      <c r="AI579" s="34">
        <f>IF(E579=1,Orders!M576,"")</f>
        <v>2.5</v>
      </c>
      <c r="AJ579" s="34">
        <f>IF(E579=1,Orders!N576,"")</f>
        <v>3.5</v>
      </c>
      <c r="AK579" s="34">
        <f>IF(E579=1,Orders!O576,"")</f>
        <v>5</v>
      </c>
      <c r="AL579" s="33">
        <f>IF(E579=1,IF(ROUND(ABS(AI579+AJ579+AK579-AH579),6)&lt;=0.1,1,0),"")</f>
        <v>1</v>
      </c>
      <c r="AM579" s="36">
        <f>IF(E579=1,AI579/AH579,"")</f>
        <v>0.227272727272727</v>
      </c>
      <c r="AN579" s="36">
        <f>IF(E579=1,AJ579/AH579,"")</f>
        <v>0.318181818181818</v>
      </c>
      <c r="AO579" s="36">
        <f>IF(E579=1,AK579/AH579,"")</f>
        <v>0.454545454545455</v>
      </c>
      <c r="AP579" s="34">
        <f>IF(E579=1,Orders!Y576,"")</f>
        <v>0.73</v>
      </c>
      <c r="AQ579" s="33">
        <f>IF(Orders!X576,1,0)</f>
        <v>0</v>
      </c>
      <c r="AR579" s="34" t="str">
        <f>IF(AND(E579=1,L579=1),AJ579,"")</f>
        <v/>
      </c>
      <c r="AS579" s="34">
        <f>IF(AND(E579=1,L579=0),AJ579,"")</f>
        <v>3.5</v>
      </c>
      <c r="AT579" s="34" t="str">
        <f>IF(AND(E579=1,L579=1),AI579,"")</f>
        <v/>
      </c>
      <c r="AU579" s="34">
        <f>IF(AND(E579=1,L579=0),AI579,"")</f>
        <v>2.5</v>
      </c>
      <c r="AV579" s="34" t="str">
        <f>IF(AND(E579=1,L579=1),AG579,"")</f>
        <v/>
      </c>
      <c r="AW579" s="34">
        <f>IF(AND(E579=1,L579=0),AG579,"")</f>
        <v>11.6</v>
      </c>
      <c r="AX579" s="34" t="str">
        <f>IF(AND(E579=1,L579=1),AH579,"")</f>
        <v/>
      </c>
      <c r="AY579" s="34">
        <f>IF(AND(E579=1,L579=0),AH579,"")</f>
        <v>11</v>
      </c>
      <c r="AZ579" s="34" t="str">
        <f>IF(G579=1,F579,"")</f>
        <v/>
      </c>
      <c r="BA579" s="34" t="str">
        <f>IF(AND(G579=1,L579=1),F579,"")</f>
        <v/>
      </c>
      <c r="BB579" s="34" t="str">
        <f>IF(AND(G579=1,L579=0),F579,"")</f>
        <v/>
      </c>
      <c r="BC579" s="33">
        <f>IF(E579=1,IF(Orders!R576&gt;3,1,0),"")</f>
        <v>0</v>
      </c>
      <c r="BD579" s="33">
        <f>IF(E579=1,IF(Orders!R576&gt;7,1,0),"")</f>
        <v>0</v>
      </c>
      <c r="BE579" s="32" t="str">
        <f>IF(E579=1,IF(Orders!L576&lt;=1.5,"Up to 1.5 km",IF(Orders!L576&lt;=3,"1.5–3 km","Over 3 km")),"")</f>
        <v>Over 3 km</v>
      </c>
      <c r="BF579" s="33">
        <f>IF(E579=1,IF(ABS((Orders!G576-Orders!F576)*1440-Orders!R576)&lt;0.06,1,0),"")</f>
        <v>1</v>
      </c>
      <c r="BG579" s="33">
        <f>IF(ABS((Orders!F576-Orders!E576)*1440-Orders!P576)&lt;0.06,1,0)</f>
        <v>1</v>
      </c>
      <c r="BH579" s="33">
        <f>IF(E579=1,IF(IF(Orders!S576,1,0)=1-G579,1,0),"")</f>
        <v>1</v>
      </c>
      <c r="BI579" s="32" t="str">
        <f>INDEX(Stores!$B$2:$B$21,MATCH(B579,Stores!$A$2:$A$21,0))</f>
        <v>Bengaluru</v>
      </c>
    </row>
    <row r="580">
      <c r="A580" s="32" t="str">
        <f>Orders!A577</f>
        <v>O00576</v>
      </c>
      <c r="B580" s="32" t="str">
        <f>Orders!C577</f>
        <v>S004</v>
      </c>
      <c r="C580" s="32" t="str">
        <f>Orders!B577</f>
        <v>C0170</v>
      </c>
      <c r="D580" s="32" t="str">
        <f>Orders!H577</f>
        <v>Delivered</v>
      </c>
      <c r="E580" s="33">
        <f>IF(Orders!H577="Delivered",1,0)</f>
        <v>1</v>
      </c>
      <c r="F580" s="34">
        <f>IF(E580=1,Orders!R577,"")</f>
        <v>-0.4</v>
      </c>
      <c r="G580" s="33">
        <f>IF(E580=1,IF(Orders!R577&gt;0,1,0),"")</f>
        <v>0</v>
      </c>
      <c r="H580" s="33">
        <f>IF(E580=1,IF(Orders!R577&gt;5,1,0),"")</f>
        <v>0</v>
      </c>
      <c r="I580" s="32" t="str">
        <f>IF(E580=1,"",IF(OR(Orders!T577="Rider unavailable",Orders!T577="Item unavailable"),"Company-caused","Unresolved"))</f>
        <v/>
      </c>
      <c r="J580" s="33">
        <f>IF(OR(E580=1,I580="Company-caused"),1,0)</f>
        <v>1</v>
      </c>
      <c r="K580" s="32" t="str">
        <f>IF(E580=0,IF(I580="Company-caused",IF(Orders!T577="Rider unavailable","C1 Rider unavailable","C2 Item unavailable"),"Outside root: unresolved"),IF(G580=0,"A On time",IF(H580=1,IF(L580=1,"B2a Severe, peak","B2b Severe, off-peak"),IF(L580=1,"B1a Slight, peak","B1b Slight, off-peak"))))</f>
        <v>A On time</v>
      </c>
      <c r="L580" s="33">
        <f>IF(AND(Orders!U577&gt;=19,Orders!U577&lt;22),1,0)</f>
        <v>0</v>
      </c>
      <c r="M580" s="33">
        <f>IF(L580=IF(Orders!V577,1,0),1,0)</f>
        <v>1</v>
      </c>
      <c r="N580" s="32" t="str">
        <f>IF(Orders!W577="","None",Orders!W577)</f>
        <v>None</v>
      </c>
      <c r="O580" s="35">
        <f>INT(Orders!E577)</f>
        <v>46276.0</v>
      </c>
      <c r="P580" s="33">
        <f>Orders!U577</f>
        <v>10</v>
      </c>
      <c r="Q580" s="33">
        <f>COUNTIFS(Demand!$A$2:$A$4481,B580,Demand!$B$2:$B$4481,O580,Demand!$C$2:$C$4481,P580)</f>
        <v>1</v>
      </c>
      <c r="R580" s="33">
        <f>IF(Q580=1,SUMIFS(Demand!$E$2:$E$4481,Demand!$A$2:$A$4481,B580,Demand!$B$2:$B$4481,O580,Demand!$C$2:$C$4481,P580),"")</f>
        <v>21</v>
      </c>
      <c r="S580" s="33">
        <f>INDEX(Stores!$G$2:$G$21,MATCH(B580,Stores!$A$2:$A$21,0))</f>
        <v>42</v>
      </c>
      <c r="T580" s="34">
        <f>IF(R580="","",R580/S580)</f>
        <v>0.5</v>
      </c>
      <c r="U580" s="34">
        <f>IF(E580=1,T580,"")</f>
        <v>0.5</v>
      </c>
      <c r="V580" s="34">
        <f>IF(AND(E580=1,L580=0),T580,"")</f>
        <v>0.5</v>
      </c>
      <c r="W580" s="33">
        <f>IF(U580="","",IF(U580&lt;=Breakdowns!$C$5,1,IF(U580&lt;=Breakdowns!$C$6,2,IF(U580&lt;=Breakdowns!$C$7,3,4))))</f>
        <v>1</v>
      </c>
      <c r="X580" s="33">
        <f>IF(V580="","",IF(V580&lt;=Breakdowns!$D$5,1,IF(V580&lt;=Breakdowns!$D$6,2,IF(V580&lt;=Breakdowns!$D$7,3,4))))</f>
        <v>1</v>
      </c>
      <c r="Y580" s="34">
        <f>INDEX(Stores!$F$2:$F$21,MATCH(B580,Stores!$A$2:$A$21,0))</f>
        <v>2.19</v>
      </c>
      <c r="Z580" s="33">
        <f>IF(Y580&gt;Store_Summary!$M$2,1,0)</f>
        <v>0</v>
      </c>
      <c r="AA580" s="33">
        <f>INDEX(Stores!$C$2:$C$21,MATCH(B580,Stores!$A$2:$A$21,0))</f>
        <v>850</v>
      </c>
      <c r="AB580" s="33">
        <f>IF(AA580&lt;180,1,0)</f>
        <v>0</v>
      </c>
      <c r="AC580" s="32" t="str">
        <f>IF(Orders!D577="","",INDEX(Riders!$C$2:$C$81,MATCH(Orders!D577,Riders!$A$2:$A$81,0)))</f>
        <v>Petrol scooter</v>
      </c>
      <c r="AD580" s="33">
        <f>IF(Orders!D577="","",INDEX(Riders!$D$2:$D$81,MATCH(Orders!D577,Riders!$A$2:$A$81,0)))</f>
        <v>19</v>
      </c>
      <c r="AE580" s="33">
        <f>IF(Orders!D577="","",IF(INDEX(Riders!$B$2:$B$81,MATCH(Orders!D577,Riders!$A$2:$A$81,0))=B580,1,0))</f>
        <v>0</v>
      </c>
      <c r="AF580" s="34">
        <f>IF(E580=1,Orders!L577,"")</f>
        <v>1.61</v>
      </c>
      <c r="AG580" s="34">
        <f>IF(E580=1,Orders!P577,"")</f>
        <v>10.1</v>
      </c>
      <c r="AH580" s="34">
        <f>IF(E580=1,Orders!Q577,"")</f>
        <v>9.7</v>
      </c>
      <c r="AI580" s="34">
        <f>IF(E580=1,Orders!M577,"")</f>
        <v>1.5</v>
      </c>
      <c r="AJ580" s="34">
        <f>IF(E580=1,Orders!N577,"")</f>
        <v>5.4</v>
      </c>
      <c r="AK580" s="34">
        <f>IF(E580=1,Orders!O577,"")</f>
        <v>2.8</v>
      </c>
      <c r="AL580" s="33">
        <f>IF(E580=1,IF(ROUND(ABS(AI580+AJ580+AK580-AH580),6)&lt;=0.1,1,0),"")</f>
        <v>1</v>
      </c>
      <c r="AM580" s="36">
        <f>IF(E580=1,AI580/AH580,"")</f>
        <v>0.154639175257732</v>
      </c>
      <c r="AN580" s="36">
        <f>IF(E580=1,AJ580/AH580,"")</f>
        <v>0.556701030927835</v>
      </c>
      <c r="AO580" s="36">
        <f>IF(E580=1,AK580/AH580,"")</f>
        <v>0.288659793814433</v>
      </c>
      <c r="AP580" s="34">
        <f>IF(E580=1,Orders!Y577,"")</f>
        <v>0.37</v>
      </c>
      <c r="AQ580" s="33">
        <f>IF(Orders!X577,1,0)</f>
        <v>0</v>
      </c>
      <c r="AR580" s="34" t="str">
        <f>IF(AND(E580=1,L580=1),AJ580,"")</f>
        <v/>
      </c>
      <c r="AS580" s="34">
        <f>IF(AND(E580=1,L580=0),AJ580,"")</f>
        <v>5.4</v>
      </c>
      <c r="AT580" s="34" t="str">
        <f>IF(AND(E580=1,L580=1),AI580,"")</f>
        <v/>
      </c>
      <c r="AU580" s="34">
        <f>IF(AND(E580=1,L580=0),AI580,"")</f>
        <v>1.5</v>
      </c>
      <c r="AV580" s="34" t="str">
        <f>IF(AND(E580=1,L580=1),AG580,"")</f>
        <v/>
      </c>
      <c r="AW580" s="34">
        <f>IF(AND(E580=1,L580=0),AG580,"")</f>
        <v>10.1</v>
      </c>
      <c r="AX580" s="34" t="str">
        <f>IF(AND(E580=1,L580=1),AH580,"")</f>
        <v/>
      </c>
      <c r="AY580" s="34">
        <f>IF(AND(E580=1,L580=0),AH580,"")</f>
        <v>9.7</v>
      </c>
      <c r="AZ580" s="34" t="str">
        <f>IF(G580=1,F580,"")</f>
        <v/>
      </c>
      <c r="BA580" s="34" t="str">
        <f>IF(AND(G580=1,L580=1),F580,"")</f>
        <v/>
      </c>
      <c r="BB580" s="34" t="str">
        <f>IF(AND(G580=1,L580=0),F580,"")</f>
        <v/>
      </c>
      <c r="BC580" s="33">
        <f>IF(E580=1,IF(Orders!R577&gt;3,1,0),"")</f>
        <v>0</v>
      </c>
      <c r="BD580" s="33">
        <f>IF(E580=1,IF(Orders!R577&gt;7,1,0),"")</f>
        <v>0</v>
      </c>
      <c r="BE580" s="32" t="str">
        <f>IF(E580=1,IF(Orders!L577&lt;=1.5,"Up to 1.5 km",IF(Orders!L577&lt;=3,"1.5–3 km","Over 3 km")),"")</f>
        <v>1.5–3 km</v>
      </c>
      <c r="BF580" s="33">
        <f>IF(E580=1,IF(ABS((Orders!G577-Orders!F577)*1440-Orders!R577)&lt;0.06,1,0),"")</f>
        <v>1</v>
      </c>
      <c r="BG580" s="33">
        <f>IF(ABS((Orders!F577-Orders!E577)*1440-Orders!P577)&lt;0.06,1,0)</f>
        <v>1</v>
      </c>
      <c r="BH580" s="33">
        <f>IF(E580=1,IF(IF(Orders!S577,1,0)=1-G580,1,0),"")</f>
        <v>1</v>
      </c>
      <c r="BI580" s="32" t="str">
        <f>INDEX(Stores!$B$2:$B$21,MATCH(B580,Stores!$A$2:$A$21,0))</f>
        <v>Pune</v>
      </c>
    </row>
    <row r="581">
      <c r="A581" s="32" t="str">
        <f>Orders!A578</f>
        <v>O00577</v>
      </c>
      <c r="B581" s="32" t="str">
        <f>Orders!C578</f>
        <v>S009</v>
      </c>
      <c r="C581" s="32" t="str">
        <f>Orders!B578</f>
        <v>C0219</v>
      </c>
      <c r="D581" s="32" t="str">
        <f>Orders!H578</f>
        <v>Delivered</v>
      </c>
      <c r="E581" s="33">
        <f>IF(Orders!H578="Delivered",1,0)</f>
        <v>1</v>
      </c>
      <c r="F581" s="34">
        <f>IF(E581=1,Orders!R578,"")</f>
        <v>-0.6</v>
      </c>
      <c r="G581" s="33">
        <f>IF(E581=1,IF(Orders!R578&gt;0,1,0),"")</f>
        <v>0</v>
      </c>
      <c r="H581" s="33">
        <f>IF(E581=1,IF(Orders!R578&gt;5,1,0),"")</f>
        <v>0</v>
      </c>
      <c r="I581" s="32" t="str">
        <f>IF(E581=1,"",IF(OR(Orders!T578="Rider unavailable",Orders!T578="Item unavailable"),"Company-caused","Unresolved"))</f>
        <v/>
      </c>
      <c r="J581" s="33">
        <f>IF(OR(E581=1,I581="Company-caused"),1,0)</f>
        <v>1</v>
      </c>
      <c r="K581" s="32" t="str">
        <f>IF(E581=0,IF(I581="Company-caused",IF(Orders!T578="Rider unavailable","C1 Rider unavailable","C2 Item unavailable"),"Outside root: unresolved"),IF(G581=0,"A On time",IF(H581=1,IF(L581=1,"B2a Severe, peak","B2b Severe, off-peak"),IF(L581=1,"B1a Slight, peak","B1b Slight, off-peak"))))</f>
        <v>A On time</v>
      </c>
      <c r="L581" s="33">
        <f>IF(AND(Orders!U578&gt;=19,Orders!U578&lt;22),1,0)</f>
        <v>0</v>
      </c>
      <c r="M581" s="33">
        <f>IF(L581=IF(Orders!V578,1,0),1,0)</f>
        <v>1</v>
      </c>
      <c r="N581" s="32" t="str">
        <f>IF(Orders!W578="","None",Orders!W578)</f>
        <v>Light</v>
      </c>
      <c r="O581" s="35">
        <f>INT(Orders!E578)</f>
        <v>46277.0</v>
      </c>
      <c r="P581" s="33">
        <f>Orders!U578</f>
        <v>15</v>
      </c>
      <c r="Q581" s="33">
        <f>COUNTIFS(Demand!$A$2:$A$4481,B581,Demand!$B$2:$B$4481,O581,Demand!$C$2:$C$4481,P581)</f>
        <v>1</v>
      </c>
      <c r="R581" s="33">
        <f>IF(Q581=1,SUMIFS(Demand!$E$2:$E$4481,Demand!$A$2:$A$4481,B581,Demand!$B$2:$B$4481,O581,Demand!$C$2:$C$4481,P581),"")</f>
        <v>29</v>
      </c>
      <c r="S581" s="33">
        <f>INDEX(Stores!$G$2:$G$21,MATCH(B581,Stores!$A$2:$A$21,0))</f>
        <v>29</v>
      </c>
      <c r="T581" s="34">
        <f>IF(R581="","",R581/S581)</f>
        <v>1</v>
      </c>
      <c r="U581" s="34">
        <f>IF(E581=1,T581,"")</f>
        <v>1</v>
      </c>
      <c r="V581" s="34">
        <f>IF(AND(E581=1,L581=0),T581,"")</f>
        <v>1</v>
      </c>
      <c r="W581" s="33">
        <f>IF(U581="","",IF(U581&lt;=Breakdowns!$C$5,1,IF(U581&lt;=Breakdowns!$C$6,2,IF(U581&lt;=Breakdowns!$C$7,3,4))))</f>
        <v>2</v>
      </c>
      <c r="X581" s="33">
        <f>IF(V581="","",IF(V581&lt;=Breakdowns!$D$5,1,IF(V581&lt;=Breakdowns!$D$6,2,IF(V581&lt;=Breakdowns!$D$7,3,4))))</f>
        <v>3</v>
      </c>
      <c r="Y581" s="34">
        <f>INDEX(Stores!$F$2:$F$21,MATCH(B581,Stores!$A$2:$A$21,0))</f>
        <v>2.66</v>
      </c>
      <c r="Z581" s="33">
        <f>IF(Y581&gt;Store_Summary!$M$2,1,0)</f>
        <v>0</v>
      </c>
      <c r="AA581" s="33">
        <f>INDEX(Stores!$C$2:$C$21,MATCH(B581,Stores!$A$2:$A$21,0))</f>
        <v>645</v>
      </c>
      <c r="AB581" s="33">
        <f>IF(AA581&lt;180,1,0)</f>
        <v>0</v>
      </c>
      <c r="AC581" s="32" t="str">
        <f>IF(Orders!D578="","",INDEX(Riders!$C$2:$C$81,MATCH(Orders!D578,Riders!$A$2:$A$81,0)))</f>
        <v>Petrol scooter</v>
      </c>
      <c r="AD581" s="33">
        <f>IF(Orders!D578="","",INDEX(Riders!$D$2:$D$81,MATCH(Orders!D578,Riders!$A$2:$A$81,0)))</f>
        <v>29</v>
      </c>
      <c r="AE581" s="33">
        <f>IF(Orders!D578="","",IF(INDEX(Riders!$B$2:$B$81,MATCH(Orders!D578,Riders!$A$2:$A$81,0))=B581,1,0))</f>
        <v>0</v>
      </c>
      <c r="AF581" s="34">
        <f>IF(E581=1,Orders!L578,"")</f>
        <v>2.6</v>
      </c>
      <c r="AG581" s="34">
        <f>IF(E581=1,Orders!P578,"")</f>
        <v>10.2</v>
      </c>
      <c r="AH581" s="34">
        <f>IF(E581=1,Orders!Q578,"")</f>
        <v>9.6</v>
      </c>
      <c r="AI581" s="34">
        <f>IF(E581=1,Orders!M578,"")</f>
        <v>2.5</v>
      </c>
      <c r="AJ581" s="34">
        <f>IF(E581=1,Orders!N578,"")</f>
        <v>1.9</v>
      </c>
      <c r="AK581" s="34">
        <f>IF(E581=1,Orders!O578,"")</f>
        <v>5.2</v>
      </c>
      <c r="AL581" s="33">
        <f>IF(E581=1,IF(ROUND(ABS(AI581+AJ581+AK581-AH581),6)&lt;=0.1,1,0),"")</f>
        <v>1</v>
      </c>
      <c r="AM581" s="36">
        <f>IF(E581=1,AI581/AH581,"")</f>
        <v>0.260416666666667</v>
      </c>
      <c r="AN581" s="36">
        <f>IF(E581=1,AJ581/AH581,"")</f>
        <v>0.197916666666667</v>
      </c>
      <c r="AO581" s="36">
        <f>IF(E581=1,AK581/AH581,"")</f>
        <v>0.541666666666667</v>
      </c>
      <c r="AP581" s="34">
        <f>IF(E581=1,Orders!Y578,"")</f>
        <v>0.4</v>
      </c>
      <c r="AQ581" s="33">
        <f>IF(Orders!X578,1,0)</f>
        <v>0</v>
      </c>
      <c r="AR581" s="34" t="str">
        <f>IF(AND(E581=1,L581=1),AJ581,"")</f>
        <v/>
      </c>
      <c r="AS581" s="34">
        <f>IF(AND(E581=1,L581=0),AJ581,"")</f>
        <v>1.9</v>
      </c>
      <c r="AT581" s="34" t="str">
        <f>IF(AND(E581=1,L581=1),AI581,"")</f>
        <v/>
      </c>
      <c r="AU581" s="34">
        <f>IF(AND(E581=1,L581=0),AI581,"")</f>
        <v>2.5</v>
      </c>
      <c r="AV581" s="34" t="str">
        <f>IF(AND(E581=1,L581=1),AG581,"")</f>
        <v/>
      </c>
      <c r="AW581" s="34">
        <f>IF(AND(E581=1,L581=0),AG581,"")</f>
        <v>10.2</v>
      </c>
      <c r="AX581" s="34" t="str">
        <f>IF(AND(E581=1,L581=1),AH581,"")</f>
        <v/>
      </c>
      <c r="AY581" s="34">
        <f>IF(AND(E581=1,L581=0),AH581,"")</f>
        <v>9.6</v>
      </c>
      <c r="AZ581" s="34" t="str">
        <f>IF(G581=1,F581,"")</f>
        <v/>
      </c>
      <c r="BA581" s="34" t="str">
        <f>IF(AND(G581=1,L581=1),F581,"")</f>
        <v/>
      </c>
      <c r="BB581" s="34" t="str">
        <f>IF(AND(G581=1,L581=0),F581,"")</f>
        <v/>
      </c>
      <c r="BC581" s="33">
        <f>IF(E581=1,IF(Orders!R578&gt;3,1,0),"")</f>
        <v>0</v>
      </c>
      <c r="BD581" s="33">
        <f>IF(E581=1,IF(Orders!R578&gt;7,1,0),"")</f>
        <v>0</v>
      </c>
      <c r="BE581" s="32" t="str">
        <f>IF(E581=1,IF(Orders!L578&lt;=1.5,"Up to 1.5 km",IF(Orders!L578&lt;=3,"1.5–3 km","Over 3 km")),"")</f>
        <v>1.5–3 km</v>
      </c>
      <c r="BF581" s="33">
        <f>IF(E581=1,IF(ABS((Orders!G578-Orders!F578)*1440-Orders!R578)&lt;0.06,1,0),"")</f>
        <v>1</v>
      </c>
      <c r="BG581" s="33">
        <f>IF(ABS((Orders!F578-Orders!E578)*1440-Orders!P578)&lt;0.06,1,0)</f>
        <v>1</v>
      </c>
      <c r="BH581" s="33">
        <f>IF(E581=1,IF(IF(Orders!S578,1,0)=1-G581,1,0),"")</f>
        <v>1</v>
      </c>
      <c r="BI581" s="32" t="str">
        <f>INDEX(Stores!$B$2:$B$21,MATCH(B581,Stores!$A$2:$A$21,0))</f>
        <v>Pune</v>
      </c>
    </row>
    <row r="582">
      <c r="A582" s="32" t="str">
        <f>Orders!A579</f>
        <v>O00578</v>
      </c>
      <c r="B582" s="32" t="str">
        <f>Orders!C579</f>
        <v>S010</v>
      </c>
      <c r="C582" s="32" t="str">
        <f>Orders!B579</f>
        <v>C0049</v>
      </c>
      <c r="D582" s="32" t="str">
        <f>Orders!H579</f>
        <v>Delivered</v>
      </c>
      <c r="E582" s="33">
        <f>IF(Orders!H579="Delivered",1,0)</f>
        <v>1</v>
      </c>
      <c r="F582" s="34">
        <f>IF(E582=1,Orders!R579,"")</f>
        <v>8.9</v>
      </c>
      <c r="G582" s="33">
        <f>IF(E582=1,IF(Orders!R579&gt;0,1,0),"")</f>
        <v>1</v>
      </c>
      <c r="H582" s="33">
        <f>IF(E582=1,IF(Orders!R579&gt;5,1,0),"")</f>
        <v>1</v>
      </c>
      <c r="I582" s="32" t="str">
        <f>IF(E582=1,"",IF(OR(Orders!T579="Rider unavailable",Orders!T579="Item unavailable"),"Company-caused","Unresolved"))</f>
        <v/>
      </c>
      <c r="J582" s="33">
        <f>IF(OR(E582=1,I582="Company-caused"),1,0)</f>
        <v>1</v>
      </c>
      <c r="K582" s="32" t="str">
        <f>IF(E582=0,IF(I582="Company-caused",IF(Orders!T579="Rider unavailable","C1 Rider unavailable","C2 Item unavailable"),"Outside root: unresolved"),IF(G582=0,"A On time",IF(H582=1,IF(L582=1,"B2a Severe, peak","B2b Severe, off-peak"),IF(L582=1,"B1a Slight, peak","B1b Slight, off-peak"))))</f>
        <v>B2b Severe, off-peak</v>
      </c>
      <c r="L582" s="33">
        <f>IF(AND(Orders!U579&gt;=19,Orders!U579&lt;22),1,0)</f>
        <v>0</v>
      </c>
      <c r="M582" s="33">
        <f>IF(L582=IF(Orders!V579,1,0),1,0)</f>
        <v>1</v>
      </c>
      <c r="N582" s="32" t="str">
        <f>IF(Orders!W579="","None",Orders!W579)</f>
        <v>Light</v>
      </c>
      <c r="O582" s="35">
        <f>INT(Orders!E579)</f>
        <v>46268.0</v>
      </c>
      <c r="P582" s="33">
        <f>Orders!U579</f>
        <v>23</v>
      </c>
      <c r="Q582" s="33">
        <f>COUNTIFS(Demand!$A$2:$A$4481,B582,Demand!$B$2:$B$4481,O582,Demand!$C$2:$C$4481,P582)</f>
        <v>1</v>
      </c>
      <c r="R582" s="33">
        <f>IF(Q582=1,SUMIFS(Demand!$E$2:$E$4481,Demand!$A$2:$A$4481,B582,Demand!$B$2:$B$4481,O582,Demand!$C$2:$C$4481,P582),"")</f>
        <v>22</v>
      </c>
      <c r="S582" s="33">
        <f>INDEX(Stores!$G$2:$G$21,MATCH(B582,Stores!$A$2:$A$21,0))</f>
        <v>22</v>
      </c>
      <c r="T582" s="34">
        <f>IF(R582="","",R582/S582)</f>
        <v>1</v>
      </c>
      <c r="U582" s="34">
        <f>IF(E582=1,T582,"")</f>
        <v>1</v>
      </c>
      <c r="V582" s="34">
        <f>IF(AND(E582=1,L582=0),T582,"")</f>
        <v>1</v>
      </c>
      <c r="W582" s="33">
        <f>IF(U582="","",IF(U582&lt;=Breakdowns!$C$5,1,IF(U582&lt;=Breakdowns!$C$6,2,IF(U582&lt;=Breakdowns!$C$7,3,4))))</f>
        <v>2</v>
      </c>
      <c r="X582" s="33">
        <f>IF(V582="","",IF(V582&lt;=Breakdowns!$D$5,1,IF(V582&lt;=Breakdowns!$D$6,2,IF(V582&lt;=Breakdowns!$D$7,3,4))))</f>
        <v>3</v>
      </c>
      <c r="Y582" s="34">
        <f>INDEX(Stores!$F$2:$F$21,MATCH(B582,Stores!$A$2:$A$21,0))</f>
        <v>5.61</v>
      </c>
      <c r="Z582" s="33">
        <f>IF(Y582&gt;Store_Summary!$M$2,1,0)</f>
        <v>1</v>
      </c>
      <c r="AA582" s="33">
        <f>INDEX(Stores!$C$2:$C$21,MATCH(B582,Stores!$A$2:$A$21,0))</f>
        <v>744</v>
      </c>
      <c r="AB582" s="33">
        <f>IF(AA582&lt;180,1,0)</f>
        <v>0</v>
      </c>
      <c r="AC582" s="32" t="str">
        <f>IF(Orders!D579="","",INDEX(Riders!$C$2:$C$81,MATCH(Orders!D579,Riders!$A$2:$A$81,0)))</f>
        <v>Petrol scooter</v>
      </c>
      <c r="AD582" s="33">
        <f>IF(Orders!D579="","",INDEX(Riders!$D$2:$D$81,MATCH(Orders!D579,Riders!$A$2:$A$81,0)))</f>
        <v>24</v>
      </c>
      <c r="AE582" s="33">
        <f>IF(Orders!D579="","",IF(INDEX(Riders!$B$2:$B$81,MATCH(Orders!D579,Riders!$A$2:$A$81,0))=B582,1,0))</f>
        <v>0</v>
      </c>
      <c r="AF582" s="34">
        <f>IF(E582=1,Orders!L579,"")</f>
        <v>2.74</v>
      </c>
      <c r="AG582" s="34">
        <f>IF(E582=1,Orders!P579,"")</f>
        <v>9.5</v>
      </c>
      <c r="AH582" s="34">
        <f>IF(E582=1,Orders!Q579,"")</f>
        <v>18.4</v>
      </c>
      <c r="AI582" s="34">
        <f>IF(E582=1,Orders!M579,"")</f>
        <v>6.2</v>
      </c>
      <c r="AJ582" s="34">
        <f>IF(E582=1,Orders!N579,"")</f>
        <v>3.8</v>
      </c>
      <c r="AK582" s="34">
        <f>IF(E582=1,Orders!O579,"")</f>
        <v>8.5</v>
      </c>
      <c r="AL582" s="33">
        <f>IF(E582=1,IF(ROUND(ABS(AI582+AJ582+AK582-AH582),6)&lt;=0.1,1,0),"")</f>
        <v>1</v>
      </c>
      <c r="AM582" s="36">
        <f>IF(E582=1,AI582/AH582,"")</f>
        <v>0.336956521739131</v>
      </c>
      <c r="AN582" s="36">
        <f>IF(E582=1,AJ582/AH582,"")</f>
        <v>0.206521739130435</v>
      </c>
      <c r="AO582" s="36">
        <f>IF(E582=1,AK582/AH582,"")</f>
        <v>0.461956521739131</v>
      </c>
      <c r="AP582" s="34">
        <f>IF(E582=1,Orders!Y579,"")</f>
        <v>0.31</v>
      </c>
      <c r="AQ582" s="33">
        <f>IF(Orders!X579,1,0)</f>
        <v>0</v>
      </c>
      <c r="AR582" s="34" t="str">
        <f>IF(AND(E582=1,L582=1),AJ582,"")</f>
        <v/>
      </c>
      <c r="AS582" s="34">
        <f>IF(AND(E582=1,L582=0),AJ582,"")</f>
        <v>3.8</v>
      </c>
      <c r="AT582" s="34" t="str">
        <f>IF(AND(E582=1,L582=1),AI582,"")</f>
        <v/>
      </c>
      <c r="AU582" s="34">
        <f>IF(AND(E582=1,L582=0),AI582,"")</f>
        <v>6.2</v>
      </c>
      <c r="AV582" s="34" t="str">
        <f>IF(AND(E582=1,L582=1),AG582,"")</f>
        <v/>
      </c>
      <c r="AW582" s="34">
        <f>IF(AND(E582=1,L582=0),AG582,"")</f>
        <v>9.5</v>
      </c>
      <c r="AX582" s="34" t="str">
        <f>IF(AND(E582=1,L582=1),AH582,"")</f>
        <v/>
      </c>
      <c r="AY582" s="34">
        <f>IF(AND(E582=1,L582=0),AH582,"")</f>
        <v>18.4</v>
      </c>
      <c r="AZ582" s="34">
        <f>IF(G582=1,F582,"")</f>
        <v>8.9</v>
      </c>
      <c r="BA582" s="34" t="str">
        <f>IF(AND(G582=1,L582=1),F582,"")</f>
        <v/>
      </c>
      <c r="BB582" s="34">
        <f>IF(AND(G582=1,L582=0),F582,"")</f>
        <v>8.9</v>
      </c>
      <c r="BC582" s="33">
        <f>IF(E582=1,IF(Orders!R579&gt;3,1,0),"")</f>
        <v>1</v>
      </c>
      <c r="BD582" s="33">
        <f>IF(E582=1,IF(Orders!R579&gt;7,1,0),"")</f>
        <v>1</v>
      </c>
      <c r="BE582" s="32" t="str">
        <f>IF(E582=1,IF(Orders!L579&lt;=1.5,"Up to 1.5 km",IF(Orders!L579&lt;=3,"1.5–3 km","Over 3 km")),"")</f>
        <v>1.5–3 km</v>
      </c>
      <c r="BF582" s="33">
        <f>IF(E582=1,IF(ABS((Orders!G579-Orders!F579)*1440-Orders!R579)&lt;0.06,1,0),"")</f>
        <v>1</v>
      </c>
      <c r="BG582" s="33">
        <f>IF(ABS((Orders!F579-Orders!E579)*1440-Orders!P579)&lt;0.06,1,0)</f>
        <v>1</v>
      </c>
      <c r="BH582" s="33">
        <f>IF(E582=1,IF(IF(Orders!S579,1,0)=1-G582,1,0),"")</f>
        <v>1</v>
      </c>
      <c r="BI582" s="32" t="str">
        <f>INDEX(Stores!$B$2:$B$21,MATCH(B582,Stores!$A$2:$A$21,0))</f>
        <v>Delhi</v>
      </c>
    </row>
    <row r="583">
      <c r="A583" s="32" t="str">
        <f>Orders!A580</f>
        <v>O00579</v>
      </c>
      <c r="B583" s="32" t="str">
        <f>Orders!C580</f>
        <v>S016</v>
      </c>
      <c r="C583" s="32" t="str">
        <f>Orders!B580</f>
        <v>C0162</v>
      </c>
      <c r="D583" s="32" t="str">
        <f>Orders!H580</f>
        <v>Delivered</v>
      </c>
      <c r="E583" s="33">
        <f>IF(Orders!H580="Delivered",1,0)</f>
        <v>1</v>
      </c>
      <c r="F583" s="34">
        <f>IF(E583=1,Orders!R580,"")</f>
        <v>-0.7</v>
      </c>
      <c r="G583" s="33">
        <f>IF(E583=1,IF(Orders!R580&gt;0,1,0),"")</f>
        <v>0</v>
      </c>
      <c r="H583" s="33">
        <f>IF(E583=1,IF(Orders!R580&gt;5,1,0),"")</f>
        <v>0</v>
      </c>
      <c r="I583" s="32" t="str">
        <f>IF(E583=1,"",IF(OR(Orders!T580="Rider unavailable",Orders!T580="Item unavailable"),"Company-caused","Unresolved"))</f>
        <v/>
      </c>
      <c r="J583" s="33">
        <f>IF(OR(E583=1,I583="Company-caused"),1,0)</f>
        <v>1</v>
      </c>
      <c r="K583" s="32" t="str">
        <f>IF(E583=0,IF(I583="Company-caused",IF(Orders!T580="Rider unavailable","C1 Rider unavailable","C2 Item unavailable"),"Outside root: unresolved"),IF(G583=0,"A On time",IF(H583=1,IF(L583=1,"B2a Severe, peak","B2b Severe, off-peak"),IF(L583=1,"B1a Slight, peak","B1b Slight, off-peak"))))</f>
        <v>A On time</v>
      </c>
      <c r="L583" s="33">
        <f>IF(AND(Orders!U580&gt;=19,Orders!U580&lt;22),1,0)</f>
        <v>0</v>
      </c>
      <c r="M583" s="33">
        <f>IF(L583=IF(Orders!V580,1,0),1,0)</f>
        <v>1</v>
      </c>
      <c r="N583" s="32" t="str">
        <f>IF(Orders!W580="","None",Orders!W580)</f>
        <v>None</v>
      </c>
      <c r="O583" s="35">
        <f>INT(Orders!E580)</f>
        <v>46270.0</v>
      </c>
      <c r="P583" s="33">
        <f>Orders!U580</f>
        <v>10</v>
      </c>
      <c r="Q583" s="33">
        <f>COUNTIFS(Demand!$A$2:$A$4481,B583,Demand!$B$2:$B$4481,O583,Demand!$C$2:$C$4481,P583)</f>
        <v>1</v>
      </c>
      <c r="R583" s="33">
        <f>IF(Q583=1,SUMIFS(Demand!$E$2:$E$4481,Demand!$A$2:$A$4481,B583,Demand!$B$2:$B$4481,O583,Demand!$C$2:$C$4481,P583),"")</f>
        <v>13</v>
      </c>
      <c r="S583" s="33">
        <f>INDEX(Stores!$G$2:$G$21,MATCH(B583,Stores!$A$2:$A$21,0))</f>
        <v>25</v>
      </c>
      <c r="T583" s="34">
        <f>IF(R583="","",R583/S583)</f>
        <v>0.52</v>
      </c>
      <c r="U583" s="34">
        <f>IF(E583=1,T583,"")</f>
        <v>0.52</v>
      </c>
      <c r="V583" s="34">
        <f>IF(AND(E583=1,L583=0),T583,"")</f>
        <v>0.52</v>
      </c>
      <c r="W583" s="33">
        <f>IF(U583="","",IF(U583&lt;=Breakdowns!$C$5,1,IF(U583&lt;=Breakdowns!$C$6,2,IF(U583&lt;=Breakdowns!$C$7,3,4))))</f>
        <v>1</v>
      </c>
      <c r="X583" s="33">
        <f>IF(V583="","",IF(V583&lt;=Breakdowns!$D$5,1,IF(V583&lt;=Breakdowns!$D$6,2,IF(V583&lt;=Breakdowns!$D$7,3,4))))</f>
        <v>1</v>
      </c>
      <c r="Y583" s="34">
        <f>INDEX(Stores!$F$2:$F$21,MATCH(B583,Stores!$A$2:$A$21,0))</f>
        <v>5.51</v>
      </c>
      <c r="Z583" s="33">
        <f>IF(Y583&gt;Store_Summary!$M$2,1,0)</f>
        <v>1</v>
      </c>
      <c r="AA583" s="33">
        <f>INDEX(Stores!$C$2:$C$21,MATCH(B583,Stores!$A$2:$A$21,0))</f>
        <v>792</v>
      </c>
      <c r="AB583" s="33">
        <f>IF(AA583&lt;180,1,0)</f>
        <v>0</v>
      </c>
      <c r="AC583" s="32" t="str">
        <f>IF(Orders!D580="","",INDEX(Riders!$C$2:$C$81,MATCH(Orders!D580,Riders!$A$2:$A$81,0)))</f>
        <v>EV scooter</v>
      </c>
      <c r="AD583" s="33">
        <f>IF(Orders!D580="","",INDEX(Riders!$D$2:$D$81,MATCH(Orders!D580,Riders!$A$2:$A$81,0)))</f>
        <v>38</v>
      </c>
      <c r="AE583" s="33">
        <f>IF(Orders!D580="","",IF(INDEX(Riders!$B$2:$B$81,MATCH(Orders!D580,Riders!$A$2:$A$81,0))=B583,1,0))</f>
        <v>0</v>
      </c>
      <c r="AF583" s="34">
        <f>IF(E583=1,Orders!L580,"")</f>
        <v>1.05</v>
      </c>
      <c r="AG583" s="34">
        <f>IF(E583=1,Orders!P580,"")</f>
        <v>8.4</v>
      </c>
      <c r="AH583" s="34">
        <f>IF(E583=1,Orders!Q580,"")</f>
        <v>7.7</v>
      </c>
      <c r="AI583" s="34">
        <f>IF(E583=1,Orders!M580,"")</f>
        <v>2.5</v>
      </c>
      <c r="AJ583" s="34">
        <f>IF(E583=1,Orders!N580,"")</f>
        <v>3.2</v>
      </c>
      <c r="AK583" s="34">
        <f>IF(E583=1,Orders!O580,"")</f>
        <v>2</v>
      </c>
      <c r="AL583" s="33">
        <f>IF(E583=1,IF(ROUND(ABS(AI583+AJ583+AK583-AH583),6)&lt;=0.1,1,0),"")</f>
        <v>1</v>
      </c>
      <c r="AM583" s="36">
        <f>IF(E583=1,AI583/AH583,"")</f>
        <v>0.324675324675325</v>
      </c>
      <c r="AN583" s="36">
        <f>IF(E583=1,AJ583/AH583,"")</f>
        <v>0.415584415584416</v>
      </c>
      <c r="AO583" s="36">
        <f>IF(E583=1,AK583/AH583,"")</f>
        <v>0.25974025974026</v>
      </c>
      <c r="AP583" s="34">
        <f>IF(E583=1,Orders!Y580,"")</f>
        <v>0.79</v>
      </c>
      <c r="AQ583" s="33">
        <f>IF(Orders!X580,1,0)</f>
        <v>0</v>
      </c>
      <c r="AR583" s="34" t="str">
        <f>IF(AND(E583=1,L583=1),AJ583,"")</f>
        <v/>
      </c>
      <c r="AS583" s="34">
        <f>IF(AND(E583=1,L583=0),AJ583,"")</f>
        <v>3.2</v>
      </c>
      <c r="AT583" s="34" t="str">
        <f>IF(AND(E583=1,L583=1),AI583,"")</f>
        <v/>
      </c>
      <c r="AU583" s="34">
        <f>IF(AND(E583=1,L583=0),AI583,"")</f>
        <v>2.5</v>
      </c>
      <c r="AV583" s="34" t="str">
        <f>IF(AND(E583=1,L583=1),AG583,"")</f>
        <v/>
      </c>
      <c r="AW583" s="34">
        <f>IF(AND(E583=1,L583=0),AG583,"")</f>
        <v>8.4</v>
      </c>
      <c r="AX583" s="34" t="str">
        <f>IF(AND(E583=1,L583=1),AH583,"")</f>
        <v/>
      </c>
      <c r="AY583" s="34">
        <f>IF(AND(E583=1,L583=0),AH583,"")</f>
        <v>7.7</v>
      </c>
      <c r="AZ583" s="34" t="str">
        <f>IF(G583=1,F583,"")</f>
        <v/>
      </c>
      <c r="BA583" s="34" t="str">
        <f>IF(AND(G583=1,L583=1),F583,"")</f>
        <v/>
      </c>
      <c r="BB583" s="34" t="str">
        <f>IF(AND(G583=1,L583=0),F583,"")</f>
        <v/>
      </c>
      <c r="BC583" s="33">
        <f>IF(E583=1,IF(Orders!R580&gt;3,1,0),"")</f>
        <v>0</v>
      </c>
      <c r="BD583" s="33">
        <f>IF(E583=1,IF(Orders!R580&gt;7,1,0),"")</f>
        <v>0</v>
      </c>
      <c r="BE583" s="32" t="str">
        <f>IF(E583=1,IF(Orders!L580&lt;=1.5,"Up to 1.5 km",IF(Orders!L580&lt;=3,"1.5–3 km","Over 3 km")),"")</f>
        <v>Up to 1.5 km</v>
      </c>
      <c r="BF583" s="33">
        <f>IF(E583=1,IF(ABS((Orders!G580-Orders!F580)*1440-Orders!R580)&lt;0.06,1,0),"")</f>
        <v>1</v>
      </c>
      <c r="BG583" s="33">
        <f>IF(ABS((Orders!F580-Orders!E580)*1440-Orders!P580)&lt;0.06,1,0)</f>
        <v>1</v>
      </c>
      <c r="BH583" s="33">
        <f>IF(E583=1,IF(IF(Orders!S580,1,0)=1-G583,1,0),"")</f>
        <v>1</v>
      </c>
      <c r="BI583" s="32" t="str">
        <f>INDEX(Stores!$B$2:$B$21,MATCH(B583,Stores!$A$2:$A$21,0))</f>
        <v>Bengaluru</v>
      </c>
    </row>
    <row r="584">
      <c r="A584" s="32" t="str">
        <f>Orders!A581</f>
        <v>O00580</v>
      </c>
      <c r="B584" s="32" t="str">
        <f>Orders!C581</f>
        <v>S001</v>
      </c>
      <c r="C584" s="32" t="str">
        <f>Orders!B581</f>
        <v>C0197</v>
      </c>
      <c r="D584" s="32" t="str">
        <f>Orders!H581</f>
        <v>Delivered</v>
      </c>
      <c r="E584" s="33">
        <f>IF(Orders!H581="Delivered",1,0)</f>
        <v>1</v>
      </c>
      <c r="F584" s="34">
        <f>IF(E584=1,Orders!R581,"")</f>
        <v>2.1</v>
      </c>
      <c r="G584" s="33">
        <f>IF(E584=1,IF(Orders!R581&gt;0,1,0),"")</f>
        <v>1</v>
      </c>
      <c r="H584" s="33">
        <f>IF(E584=1,IF(Orders!R581&gt;5,1,0),"")</f>
        <v>0</v>
      </c>
      <c r="I584" s="32" t="str">
        <f>IF(E584=1,"",IF(OR(Orders!T581="Rider unavailable",Orders!T581="Item unavailable"),"Company-caused","Unresolved"))</f>
        <v/>
      </c>
      <c r="J584" s="33">
        <f>IF(OR(E584=1,I584="Company-caused"),1,0)</f>
        <v>1</v>
      </c>
      <c r="K584" s="32" t="str">
        <f>IF(E584=0,IF(I584="Company-caused",IF(Orders!T581="Rider unavailable","C1 Rider unavailable","C2 Item unavailable"),"Outside root: unresolved"),IF(G584=0,"A On time",IF(H584=1,IF(L584=1,"B2a Severe, peak","B2b Severe, off-peak"),IF(L584=1,"B1a Slight, peak","B1b Slight, off-peak"))))</f>
        <v>B1b Slight, off-peak</v>
      </c>
      <c r="L584" s="33">
        <f>IF(AND(Orders!U581&gt;=19,Orders!U581&lt;22),1,0)</f>
        <v>0</v>
      </c>
      <c r="M584" s="33">
        <f>IF(L584=IF(Orders!V581,1,0),1,0)</f>
        <v>1</v>
      </c>
      <c r="N584" s="32" t="str">
        <f>IF(Orders!W581="","None",Orders!W581)</f>
        <v>None</v>
      </c>
      <c r="O584" s="35">
        <f>INT(Orders!E581)</f>
        <v>46277.0</v>
      </c>
      <c r="P584" s="33">
        <f>Orders!U581</f>
        <v>17</v>
      </c>
      <c r="Q584" s="33">
        <f>COUNTIFS(Demand!$A$2:$A$4481,B584,Demand!$B$2:$B$4481,O584,Demand!$C$2:$C$4481,P584)</f>
        <v>1</v>
      </c>
      <c r="R584" s="33">
        <f>IF(Q584=1,SUMIFS(Demand!$E$2:$E$4481,Demand!$A$2:$A$4481,B584,Demand!$B$2:$B$4481,O584,Demand!$C$2:$C$4481,P584),"")</f>
        <v>7</v>
      </c>
      <c r="S584" s="33">
        <f>INDEX(Stores!$G$2:$G$21,MATCH(B584,Stores!$A$2:$A$21,0))</f>
        <v>16</v>
      </c>
      <c r="T584" s="34">
        <f>IF(R584="","",R584/S584)</f>
        <v>0.4375</v>
      </c>
      <c r="U584" s="34">
        <f>IF(E584=1,T584,"")</f>
        <v>0.4375</v>
      </c>
      <c r="V584" s="34">
        <f>IF(AND(E584=1,L584=0),T584,"")</f>
        <v>0.4375</v>
      </c>
      <c r="W584" s="33">
        <f>IF(U584="","",IF(U584&lt;=Breakdowns!$C$5,1,IF(U584&lt;=Breakdowns!$C$6,2,IF(U584&lt;=Breakdowns!$C$7,3,4))))</f>
        <v>1</v>
      </c>
      <c r="X584" s="33">
        <f>IF(V584="","",IF(V584&lt;=Breakdowns!$D$5,1,IF(V584&lt;=Breakdowns!$D$6,2,IF(V584&lt;=Breakdowns!$D$7,3,4))))</f>
        <v>1</v>
      </c>
      <c r="Y584" s="34">
        <f>INDEX(Stores!$F$2:$F$21,MATCH(B584,Stores!$A$2:$A$21,0))</f>
        <v>4.59</v>
      </c>
      <c r="Z584" s="33">
        <f>IF(Y584&gt;Store_Summary!$M$2,1,0)</f>
        <v>0</v>
      </c>
      <c r="AA584" s="33">
        <f>INDEX(Stores!$C$2:$C$21,MATCH(B584,Stores!$A$2:$A$21,0))</f>
        <v>362</v>
      </c>
      <c r="AB584" s="33">
        <f>IF(AA584&lt;180,1,0)</f>
        <v>0</v>
      </c>
      <c r="AC584" s="32" t="str">
        <f>IF(Orders!D581="","",INDEX(Riders!$C$2:$C$81,MATCH(Orders!D581,Riders!$A$2:$A$81,0)))</f>
        <v>EV scooter</v>
      </c>
      <c r="AD584" s="33">
        <f>IF(Orders!D581="","",INDEX(Riders!$D$2:$D$81,MATCH(Orders!D581,Riders!$A$2:$A$81,0)))</f>
        <v>44</v>
      </c>
      <c r="AE584" s="33">
        <f>IF(Orders!D581="","",IF(INDEX(Riders!$B$2:$B$81,MATCH(Orders!D581,Riders!$A$2:$A$81,0))=B584,1,0))</f>
        <v>0</v>
      </c>
      <c r="AF584" s="34">
        <f>IF(E584=1,Orders!L581,"")</f>
        <v>2.55</v>
      </c>
      <c r="AG584" s="34">
        <f>IF(E584=1,Orders!P581,"")</f>
        <v>11.9</v>
      </c>
      <c r="AH584" s="34">
        <f>IF(E584=1,Orders!Q581,"")</f>
        <v>14</v>
      </c>
      <c r="AI584" s="34">
        <f>IF(E584=1,Orders!M581,"")</f>
        <v>5.9</v>
      </c>
      <c r="AJ584" s="34">
        <f>IF(E584=1,Orders!N581,"")</f>
        <v>2.1</v>
      </c>
      <c r="AK584" s="34">
        <f>IF(E584=1,Orders!O581,"")</f>
        <v>6</v>
      </c>
      <c r="AL584" s="33">
        <f>IF(E584=1,IF(ROUND(ABS(AI584+AJ584+AK584-AH584),6)&lt;=0.1,1,0),"")</f>
        <v>1</v>
      </c>
      <c r="AM584" s="36">
        <f>IF(E584=1,AI584/AH584,"")</f>
        <v>0.421428571428571</v>
      </c>
      <c r="AN584" s="36">
        <f>IF(E584=1,AJ584/AH584,"")</f>
        <v>0.15</v>
      </c>
      <c r="AO584" s="36">
        <f>IF(E584=1,AK584/AH584,"")</f>
        <v>0.428571428571429</v>
      </c>
      <c r="AP584" s="34">
        <f>IF(E584=1,Orders!Y581,"")</f>
        <v>0.28</v>
      </c>
      <c r="AQ584" s="33">
        <f>IF(Orders!X581,1,0)</f>
        <v>0</v>
      </c>
      <c r="AR584" s="34" t="str">
        <f>IF(AND(E584=1,L584=1),AJ584,"")</f>
        <v/>
      </c>
      <c r="AS584" s="34">
        <f>IF(AND(E584=1,L584=0),AJ584,"")</f>
        <v>2.1</v>
      </c>
      <c r="AT584" s="34" t="str">
        <f>IF(AND(E584=1,L584=1),AI584,"")</f>
        <v/>
      </c>
      <c r="AU584" s="34">
        <f>IF(AND(E584=1,L584=0),AI584,"")</f>
        <v>5.9</v>
      </c>
      <c r="AV584" s="34" t="str">
        <f>IF(AND(E584=1,L584=1),AG584,"")</f>
        <v/>
      </c>
      <c r="AW584" s="34">
        <f>IF(AND(E584=1,L584=0),AG584,"")</f>
        <v>11.9</v>
      </c>
      <c r="AX584" s="34" t="str">
        <f>IF(AND(E584=1,L584=1),AH584,"")</f>
        <v/>
      </c>
      <c r="AY584" s="34">
        <f>IF(AND(E584=1,L584=0),AH584,"")</f>
        <v>14</v>
      </c>
      <c r="AZ584" s="34">
        <f>IF(G584=1,F584,"")</f>
        <v>2.1</v>
      </c>
      <c r="BA584" s="34" t="str">
        <f>IF(AND(G584=1,L584=1),F584,"")</f>
        <v/>
      </c>
      <c r="BB584" s="34">
        <f>IF(AND(G584=1,L584=0),F584,"")</f>
        <v>2.1</v>
      </c>
      <c r="BC584" s="33">
        <f>IF(E584=1,IF(Orders!R581&gt;3,1,0),"")</f>
        <v>0</v>
      </c>
      <c r="BD584" s="33">
        <f>IF(E584=1,IF(Orders!R581&gt;7,1,0),"")</f>
        <v>0</v>
      </c>
      <c r="BE584" s="32" t="str">
        <f>IF(E584=1,IF(Orders!L581&lt;=1.5,"Up to 1.5 km",IF(Orders!L581&lt;=3,"1.5–3 km","Over 3 km")),"")</f>
        <v>1.5–3 km</v>
      </c>
      <c r="BF584" s="33">
        <f>IF(E584=1,IF(ABS((Orders!G581-Orders!F581)*1440-Orders!R581)&lt;0.06,1,0),"")</f>
        <v>1</v>
      </c>
      <c r="BG584" s="33">
        <f>IF(ABS((Orders!F581-Orders!E581)*1440-Orders!P581)&lt;0.06,1,0)</f>
        <v>1</v>
      </c>
      <c r="BH584" s="33">
        <f>IF(E584=1,IF(IF(Orders!S581,1,0)=1-G584,1,0),"")</f>
        <v>1</v>
      </c>
      <c r="BI584" s="32" t="str">
        <f>INDEX(Stores!$B$2:$B$21,MATCH(B584,Stores!$A$2:$A$21,0))</f>
        <v>Bengaluru</v>
      </c>
    </row>
    <row r="585">
      <c r="A585" s="32" t="str">
        <f>Orders!A582</f>
        <v>O00581</v>
      </c>
      <c r="B585" s="32" t="str">
        <f>Orders!C582</f>
        <v>S006</v>
      </c>
      <c r="C585" s="32" t="str">
        <f>Orders!B582</f>
        <v>C0249</v>
      </c>
      <c r="D585" s="32" t="str">
        <f>Orders!H582</f>
        <v>Cancelled</v>
      </c>
      <c r="E585" s="33">
        <f>IF(Orders!H582="Delivered",1,0)</f>
        <v>0</v>
      </c>
      <c r="F585" s="34" t="str">
        <f>IF(E585=1,Orders!R582,"")</f>
        <v/>
      </c>
      <c r="G585" s="33" t="str">
        <f>IF(E585=1,IF(Orders!R582&gt;0,1,0),"")</f>
        <v/>
      </c>
      <c r="H585" s="33" t="str">
        <f>IF(E585=1,IF(Orders!R582&gt;5,1,0),"")</f>
        <v/>
      </c>
      <c r="I585" s="32" t="str">
        <f>IF(E585=1,"",IF(OR(Orders!T582="Rider unavailable",Orders!T582="Item unavailable"),"Company-caused","Unresolved"))</f>
        <v>Unresolved</v>
      </c>
      <c r="J585" s="33">
        <f>IF(OR(E585=1,I585="Company-caused"),1,0)</f>
        <v>0</v>
      </c>
      <c r="K585" s="32" t="str">
        <f>IF(E585=0,IF(I585="Company-caused",IF(Orders!T582="Rider unavailable","C1 Rider unavailable","C2 Item unavailable"),"Outside root: unresolved"),IF(G585=0,"A On time",IF(H585=1,IF(L585=1,"B2a Severe, peak","B2b Severe, off-peak"),IF(L585=1,"B1a Slight, peak","B1b Slight, off-peak"))))</f>
        <v>Outside root: unresolved</v>
      </c>
      <c r="L585" s="33">
        <f>IF(AND(Orders!U582&gt;=19,Orders!U582&lt;22),1,0)</f>
        <v>0</v>
      </c>
      <c r="M585" s="33">
        <f>IF(L585=IF(Orders!V582,1,0),1,0)</f>
        <v>1</v>
      </c>
      <c r="N585" s="32" t="str">
        <f>IF(Orders!W582="","None",Orders!W582)</f>
        <v>Heavy</v>
      </c>
      <c r="O585" s="35">
        <f>INT(Orders!E582)</f>
        <v>46266.0</v>
      </c>
      <c r="P585" s="33">
        <f>Orders!U582</f>
        <v>11</v>
      </c>
      <c r="Q585" s="33">
        <f>COUNTIFS(Demand!$A$2:$A$4481,B585,Demand!$B$2:$B$4481,O585,Demand!$C$2:$C$4481,P585)</f>
        <v>1</v>
      </c>
      <c r="R585" s="33">
        <f>IF(Q585=1,SUMIFS(Demand!$E$2:$E$4481,Demand!$A$2:$A$4481,B585,Demand!$B$2:$B$4481,O585,Demand!$C$2:$C$4481,P585),"")</f>
        <v>27</v>
      </c>
      <c r="S585" s="33">
        <f>INDEX(Stores!$G$2:$G$21,MATCH(B585,Stores!$A$2:$A$21,0))</f>
        <v>26</v>
      </c>
      <c r="T585" s="34">
        <f>IF(R585="","",R585/S585)</f>
        <v>1.03846153846154</v>
      </c>
      <c r="U585" s="34" t="str">
        <f>IF(E585=1,T585,"")</f>
        <v/>
      </c>
      <c r="V585" s="34" t="str">
        <f>IF(AND(E585=1,L585=0),T585,"")</f>
        <v/>
      </c>
      <c r="W585" s="33" t="str">
        <f>IF(U585="","",IF(U585&lt;=Breakdowns!$C$5,1,IF(U585&lt;=Breakdowns!$C$6,2,IF(U585&lt;=Breakdowns!$C$7,3,4))))</f>
        <v/>
      </c>
      <c r="X585" s="33" t="str">
        <f>IF(V585="","",IF(V585&lt;=Breakdowns!$D$5,1,IF(V585&lt;=Breakdowns!$D$6,2,IF(V585&lt;=Breakdowns!$D$7,3,4))))</f>
        <v/>
      </c>
      <c r="Y585" s="34">
        <f>INDEX(Stores!$F$2:$F$21,MATCH(B585,Stores!$A$2:$A$21,0))</f>
        <v>5.22</v>
      </c>
      <c r="Z585" s="33">
        <f>IF(Y585&gt;Store_Summary!$M$2,1,0)</f>
        <v>1</v>
      </c>
      <c r="AA585" s="33">
        <f>INDEX(Stores!$C$2:$C$21,MATCH(B585,Stores!$A$2:$A$21,0))</f>
        <v>412</v>
      </c>
      <c r="AB585" s="33">
        <f>IF(AA585&lt;180,1,0)</f>
        <v>0</v>
      </c>
      <c r="AC585" s="32" t="str">
        <f>IF(Orders!D582="","",INDEX(Riders!$C$2:$C$81,MATCH(Orders!D582,Riders!$A$2:$A$81,0)))</f>
        <v/>
      </c>
      <c r="AD585" s="33" t="str">
        <f>IF(Orders!D582="","",INDEX(Riders!$D$2:$D$81,MATCH(Orders!D582,Riders!$A$2:$A$81,0)))</f>
        <v/>
      </c>
      <c r="AE585" s="33" t="str">
        <f>IF(Orders!D582="","",IF(INDEX(Riders!$B$2:$B$81,MATCH(Orders!D582,Riders!$A$2:$A$81,0))=B585,1,0))</f>
        <v/>
      </c>
      <c r="AF585" s="34" t="str">
        <f>IF(E585=1,Orders!L582,"")</f>
        <v/>
      </c>
      <c r="AG585" s="34" t="str">
        <f>IF(E585=1,Orders!P582,"")</f>
        <v/>
      </c>
      <c r="AH585" s="34" t="str">
        <f>IF(E585=1,Orders!Q582,"")</f>
        <v/>
      </c>
      <c r="AI585" s="34" t="str">
        <f>IF(E585=1,Orders!M582,"")</f>
        <v/>
      </c>
      <c r="AJ585" s="34" t="str">
        <f>IF(E585=1,Orders!N582,"")</f>
        <v/>
      </c>
      <c r="AK585" s="34" t="str">
        <f>IF(E585=1,Orders!O582,"")</f>
        <v/>
      </c>
      <c r="AL585" s="33" t="str">
        <f>IF(E585=1,IF(ROUND(ABS(AI585+AJ585+AK585-AH585),6)&lt;=0.1,1,0),"")</f>
        <v/>
      </c>
      <c r="AM585" s="36" t="str">
        <f>IF(E585=1,AI585/AH585,"")</f>
        <v/>
      </c>
      <c r="AN585" s="36" t="str">
        <f>IF(E585=1,AJ585/AH585,"")</f>
        <v/>
      </c>
      <c r="AO585" s="36" t="str">
        <f>IF(E585=1,AK585/AH585,"")</f>
        <v/>
      </c>
      <c r="AP585" s="34" t="str">
        <f>IF(E585=1,Orders!Y582,"")</f>
        <v/>
      </c>
      <c r="AQ585" s="33">
        <f>IF(Orders!X582,1,0)</f>
        <v>0</v>
      </c>
      <c r="AR585" s="34" t="str">
        <f>IF(AND(E585=1,L585=1),AJ585,"")</f>
        <v/>
      </c>
      <c r="AS585" s="34" t="str">
        <f>IF(AND(E585=1,L585=0),AJ585,"")</f>
        <v/>
      </c>
      <c r="AT585" s="34" t="str">
        <f>IF(AND(E585=1,L585=1),AI585,"")</f>
        <v/>
      </c>
      <c r="AU585" s="34" t="str">
        <f>IF(AND(E585=1,L585=0),AI585,"")</f>
        <v/>
      </c>
      <c r="AV585" s="34" t="str">
        <f>IF(AND(E585=1,L585=1),AG585,"")</f>
        <v/>
      </c>
      <c r="AW585" s="34" t="str">
        <f>IF(AND(E585=1,L585=0),AG585,"")</f>
        <v/>
      </c>
      <c r="AX585" s="34" t="str">
        <f>IF(AND(E585=1,L585=1),AH585,"")</f>
        <v/>
      </c>
      <c r="AY585" s="34" t="str">
        <f>IF(AND(E585=1,L585=0),AH585,"")</f>
        <v/>
      </c>
      <c r="AZ585" s="34" t="str">
        <f>IF(G585=1,F585,"")</f>
        <v/>
      </c>
      <c r="BA585" s="34" t="str">
        <f>IF(AND(G585=1,L585=1),F585,"")</f>
        <v/>
      </c>
      <c r="BB585" s="34" t="str">
        <f>IF(AND(G585=1,L585=0),F585,"")</f>
        <v/>
      </c>
      <c r="BC585" s="33" t="str">
        <f>IF(E585=1,IF(Orders!R582&gt;3,1,0),"")</f>
        <v/>
      </c>
      <c r="BD585" s="33" t="str">
        <f>IF(E585=1,IF(Orders!R582&gt;7,1,0),"")</f>
        <v/>
      </c>
      <c r="BE585" s="32" t="str">
        <f>IF(E585=1,IF(Orders!L582&lt;=1.5,"Up to 1.5 km",IF(Orders!L582&lt;=3,"1.5–3 km","Over 3 km")),"")</f>
        <v/>
      </c>
      <c r="BF585" s="33" t="str">
        <f>IF(E585=1,IF(ABS((Orders!G582-Orders!F582)*1440-Orders!R582)&lt;0.06,1,0),"")</f>
        <v/>
      </c>
      <c r="BG585" s="33">
        <f>IF(ABS((Orders!F582-Orders!E582)*1440-Orders!P582)&lt;0.06,1,0)</f>
        <v>1</v>
      </c>
      <c r="BH585" s="33" t="str">
        <f>IF(E585=1,IF(IF(Orders!S582,1,0)=1-G585,1,0),"")</f>
        <v/>
      </c>
      <c r="BI585" s="32" t="str">
        <f>INDEX(Stores!$B$2:$B$21,MATCH(B585,Stores!$A$2:$A$21,0))</f>
        <v>Bengaluru</v>
      </c>
    </row>
    <row r="586">
      <c r="A586" s="32" t="str">
        <f>Orders!A583</f>
        <v>O00582</v>
      </c>
      <c r="B586" s="32" t="str">
        <f>Orders!C583</f>
        <v>S019</v>
      </c>
      <c r="C586" s="32" t="str">
        <f>Orders!B583</f>
        <v>C0025</v>
      </c>
      <c r="D586" s="32" t="str">
        <f>Orders!H583</f>
        <v>Delivered</v>
      </c>
      <c r="E586" s="33">
        <f>IF(Orders!H583="Delivered",1,0)</f>
        <v>1</v>
      </c>
      <c r="F586" s="34">
        <f>IF(E586=1,Orders!R583,"")</f>
        <v>-0.5</v>
      </c>
      <c r="G586" s="33">
        <f>IF(E586=1,IF(Orders!R583&gt;0,1,0),"")</f>
        <v>0</v>
      </c>
      <c r="H586" s="33">
        <f>IF(E586=1,IF(Orders!R583&gt;5,1,0),"")</f>
        <v>0</v>
      </c>
      <c r="I586" s="32" t="str">
        <f>IF(E586=1,"",IF(OR(Orders!T583="Rider unavailable",Orders!T583="Item unavailable"),"Company-caused","Unresolved"))</f>
        <v/>
      </c>
      <c r="J586" s="33">
        <f>IF(OR(E586=1,I586="Company-caused"),1,0)</f>
        <v>1</v>
      </c>
      <c r="K586" s="32" t="str">
        <f>IF(E586=0,IF(I586="Company-caused",IF(Orders!T583="Rider unavailable","C1 Rider unavailable","C2 Item unavailable"),"Outside root: unresolved"),IF(G586=0,"A On time",IF(H586=1,IF(L586=1,"B2a Severe, peak","B2b Severe, off-peak"),IF(L586=1,"B1a Slight, peak","B1b Slight, off-peak"))))</f>
        <v>A On time</v>
      </c>
      <c r="L586" s="33">
        <f>IF(AND(Orders!U583&gt;=19,Orders!U583&lt;22),1,0)</f>
        <v>0</v>
      </c>
      <c r="M586" s="33">
        <f>IF(L586=IF(Orders!V583,1,0),1,0)</f>
        <v>1</v>
      </c>
      <c r="N586" s="32" t="str">
        <f>IF(Orders!W583="","None",Orders!W583)</f>
        <v>None</v>
      </c>
      <c r="O586" s="35">
        <f>INT(Orders!E583)</f>
        <v>46271.0</v>
      </c>
      <c r="P586" s="33">
        <f>Orders!U583</f>
        <v>18</v>
      </c>
      <c r="Q586" s="33">
        <f>COUNTIFS(Demand!$A$2:$A$4481,B586,Demand!$B$2:$B$4481,O586,Demand!$C$2:$C$4481,P586)</f>
        <v>1</v>
      </c>
      <c r="R586" s="33">
        <f>IF(Q586=1,SUMIFS(Demand!$E$2:$E$4481,Demand!$A$2:$A$4481,B586,Demand!$B$2:$B$4481,O586,Demand!$C$2:$C$4481,P586),"")</f>
        <v>22</v>
      </c>
      <c r="S586" s="33">
        <f>INDEX(Stores!$G$2:$G$21,MATCH(B586,Stores!$A$2:$A$21,0))</f>
        <v>22</v>
      </c>
      <c r="T586" s="34">
        <f>IF(R586="","",R586/S586)</f>
        <v>1</v>
      </c>
      <c r="U586" s="34">
        <f>IF(E586=1,T586,"")</f>
        <v>1</v>
      </c>
      <c r="V586" s="34">
        <f>IF(AND(E586=1,L586=0),T586,"")</f>
        <v>1</v>
      </c>
      <c r="W586" s="33">
        <f>IF(U586="","",IF(U586&lt;=Breakdowns!$C$5,1,IF(U586&lt;=Breakdowns!$C$6,2,IF(U586&lt;=Breakdowns!$C$7,3,4))))</f>
        <v>2</v>
      </c>
      <c r="X586" s="33">
        <f>IF(V586="","",IF(V586&lt;=Breakdowns!$D$5,1,IF(V586&lt;=Breakdowns!$D$6,2,IF(V586&lt;=Breakdowns!$D$7,3,4))))</f>
        <v>3</v>
      </c>
      <c r="Y586" s="34">
        <f>INDEX(Stores!$F$2:$F$21,MATCH(B586,Stores!$A$2:$A$21,0))</f>
        <v>4.99</v>
      </c>
      <c r="Z586" s="33">
        <f>IF(Y586&gt;Store_Summary!$M$2,1,0)</f>
        <v>1</v>
      </c>
      <c r="AA586" s="33">
        <f>INDEX(Stores!$C$2:$C$21,MATCH(B586,Stores!$A$2:$A$21,0))</f>
        <v>851</v>
      </c>
      <c r="AB586" s="33">
        <f>IF(AA586&lt;180,1,0)</f>
        <v>0</v>
      </c>
      <c r="AC586" s="32" t="str">
        <f>IF(Orders!D583="","",INDEX(Riders!$C$2:$C$81,MATCH(Orders!D583,Riders!$A$2:$A$81,0)))</f>
        <v>EV scooter</v>
      </c>
      <c r="AD586" s="33">
        <f>IF(Orders!D583="","",INDEX(Riders!$D$2:$D$81,MATCH(Orders!D583,Riders!$A$2:$A$81,0)))</f>
        <v>44</v>
      </c>
      <c r="AE586" s="33">
        <f>IF(Orders!D583="","",IF(INDEX(Riders!$B$2:$B$81,MATCH(Orders!D583,Riders!$A$2:$A$81,0))=B586,1,0))</f>
        <v>0</v>
      </c>
      <c r="AF586" s="34">
        <f>IF(E586=1,Orders!L583,"")</f>
        <v>1.75</v>
      </c>
      <c r="AG586" s="34">
        <f>IF(E586=1,Orders!P583,"")</f>
        <v>9.2</v>
      </c>
      <c r="AH586" s="34">
        <f>IF(E586=1,Orders!Q583,"")</f>
        <v>8.7</v>
      </c>
      <c r="AI586" s="34">
        <f>IF(E586=1,Orders!M583,"")</f>
        <v>3.3</v>
      </c>
      <c r="AJ586" s="34">
        <f>IF(E586=1,Orders!N583,"")</f>
        <v>1.7</v>
      </c>
      <c r="AK586" s="34">
        <f>IF(E586=1,Orders!O583,"")</f>
        <v>3.7</v>
      </c>
      <c r="AL586" s="33">
        <f>IF(E586=1,IF(ROUND(ABS(AI586+AJ586+AK586-AH586),6)&lt;=0.1,1,0),"")</f>
        <v>1</v>
      </c>
      <c r="AM586" s="36">
        <f>IF(E586=1,AI586/AH586,"")</f>
        <v>0.379310344827586</v>
      </c>
      <c r="AN586" s="36">
        <f>IF(E586=1,AJ586/AH586,"")</f>
        <v>0.195402298850575</v>
      </c>
      <c r="AO586" s="36">
        <f>IF(E586=1,AK586/AH586,"")</f>
        <v>0.425287356321839</v>
      </c>
      <c r="AP586" s="34">
        <f>IF(E586=1,Orders!Y583,"")</f>
        <v>0.5</v>
      </c>
      <c r="AQ586" s="33">
        <f>IF(Orders!X583,1,0)</f>
        <v>0</v>
      </c>
      <c r="AR586" s="34" t="str">
        <f>IF(AND(E586=1,L586=1),AJ586,"")</f>
        <v/>
      </c>
      <c r="AS586" s="34">
        <f>IF(AND(E586=1,L586=0),AJ586,"")</f>
        <v>1.7</v>
      </c>
      <c r="AT586" s="34" t="str">
        <f>IF(AND(E586=1,L586=1),AI586,"")</f>
        <v/>
      </c>
      <c r="AU586" s="34">
        <f>IF(AND(E586=1,L586=0),AI586,"")</f>
        <v>3.3</v>
      </c>
      <c r="AV586" s="34" t="str">
        <f>IF(AND(E586=1,L586=1),AG586,"")</f>
        <v/>
      </c>
      <c r="AW586" s="34">
        <f>IF(AND(E586=1,L586=0),AG586,"")</f>
        <v>9.2</v>
      </c>
      <c r="AX586" s="34" t="str">
        <f>IF(AND(E586=1,L586=1),AH586,"")</f>
        <v/>
      </c>
      <c r="AY586" s="34">
        <f>IF(AND(E586=1,L586=0),AH586,"")</f>
        <v>8.7</v>
      </c>
      <c r="AZ586" s="34" t="str">
        <f>IF(G586=1,F586,"")</f>
        <v/>
      </c>
      <c r="BA586" s="34" t="str">
        <f>IF(AND(G586=1,L586=1),F586,"")</f>
        <v/>
      </c>
      <c r="BB586" s="34" t="str">
        <f>IF(AND(G586=1,L586=0),F586,"")</f>
        <v/>
      </c>
      <c r="BC586" s="33">
        <f>IF(E586=1,IF(Orders!R583&gt;3,1,0),"")</f>
        <v>0</v>
      </c>
      <c r="BD586" s="33">
        <f>IF(E586=1,IF(Orders!R583&gt;7,1,0),"")</f>
        <v>0</v>
      </c>
      <c r="BE586" s="32" t="str">
        <f>IF(E586=1,IF(Orders!L583&lt;=1.5,"Up to 1.5 km",IF(Orders!L583&lt;=3,"1.5–3 km","Over 3 km")),"")</f>
        <v>1.5–3 km</v>
      </c>
      <c r="BF586" s="33">
        <f>IF(E586=1,IF(ABS((Orders!G583-Orders!F583)*1440-Orders!R583)&lt;0.06,1,0),"")</f>
        <v>1</v>
      </c>
      <c r="BG586" s="33">
        <f>IF(ABS((Orders!F583-Orders!E583)*1440-Orders!P583)&lt;0.06,1,0)</f>
        <v>1</v>
      </c>
      <c r="BH586" s="33">
        <f>IF(E586=1,IF(IF(Orders!S583,1,0)=1-G586,1,0),"")</f>
        <v>1</v>
      </c>
      <c r="BI586" s="32" t="str">
        <f>INDEX(Stores!$B$2:$B$21,MATCH(B586,Stores!$A$2:$A$21,0))</f>
        <v>Pune</v>
      </c>
    </row>
    <row r="587">
      <c r="A587" s="32" t="str">
        <f>Orders!A584</f>
        <v>O00583</v>
      </c>
      <c r="B587" s="32" t="str">
        <f>Orders!C584</f>
        <v>S008</v>
      </c>
      <c r="C587" s="32" t="str">
        <f>Orders!B584</f>
        <v>C0075</v>
      </c>
      <c r="D587" s="32" t="str">
        <f>Orders!H584</f>
        <v>Delivered</v>
      </c>
      <c r="E587" s="33">
        <f>IF(Orders!H584="Delivered",1,0)</f>
        <v>1</v>
      </c>
      <c r="F587" s="34">
        <f>IF(E587=1,Orders!R584,"")</f>
        <v>-0.3</v>
      </c>
      <c r="G587" s="33">
        <f>IF(E587=1,IF(Orders!R584&gt;0,1,0),"")</f>
        <v>0</v>
      </c>
      <c r="H587" s="33">
        <f>IF(E587=1,IF(Orders!R584&gt;5,1,0),"")</f>
        <v>0</v>
      </c>
      <c r="I587" s="32" t="str">
        <f>IF(E587=1,"",IF(OR(Orders!T584="Rider unavailable",Orders!T584="Item unavailable"),"Company-caused","Unresolved"))</f>
        <v/>
      </c>
      <c r="J587" s="33">
        <f>IF(OR(E587=1,I587="Company-caused"),1,0)</f>
        <v>1</v>
      </c>
      <c r="K587" s="32" t="str">
        <f>IF(E587=0,IF(I587="Company-caused",IF(Orders!T584="Rider unavailable","C1 Rider unavailable","C2 Item unavailable"),"Outside root: unresolved"),IF(G587=0,"A On time",IF(H587=1,IF(L587=1,"B2a Severe, peak","B2b Severe, off-peak"),IF(L587=1,"B1a Slight, peak","B1b Slight, off-peak"))))</f>
        <v>A On time</v>
      </c>
      <c r="L587" s="33">
        <f>IF(AND(Orders!U584&gt;=19,Orders!U584&lt;22),1,0)</f>
        <v>0</v>
      </c>
      <c r="M587" s="33">
        <f>IF(L587=IF(Orders!V584,1,0),1,0)</f>
        <v>1</v>
      </c>
      <c r="N587" s="32" t="str">
        <f>IF(Orders!W584="","None",Orders!W584)</f>
        <v>None</v>
      </c>
      <c r="O587" s="35">
        <f>INT(Orders!E584)</f>
        <v>46274.0</v>
      </c>
      <c r="P587" s="33">
        <f>Orders!U584</f>
        <v>9</v>
      </c>
      <c r="Q587" s="33">
        <f>COUNTIFS(Demand!$A$2:$A$4481,B587,Demand!$B$2:$B$4481,O587,Demand!$C$2:$C$4481,P587)</f>
        <v>1</v>
      </c>
      <c r="R587" s="33">
        <f>IF(Q587=1,SUMIFS(Demand!$E$2:$E$4481,Demand!$A$2:$A$4481,B587,Demand!$B$2:$B$4481,O587,Demand!$C$2:$C$4481,P587),"")</f>
        <v>15</v>
      </c>
      <c r="S587" s="33">
        <f>INDEX(Stores!$G$2:$G$21,MATCH(B587,Stores!$A$2:$A$21,0))</f>
        <v>23</v>
      </c>
      <c r="T587" s="34">
        <f>IF(R587="","",R587/S587)</f>
        <v>0.652173913043478</v>
      </c>
      <c r="U587" s="34">
        <f>IF(E587=1,T587,"")</f>
        <v>0.652173913043478</v>
      </c>
      <c r="V587" s="34">
        <f>IF(AND(E587=1,L587=0),T587,"")</f>
        <v>0.652173913043478</v>
      </c>
      <c r="W587" s="33">
        <f>IF(U587="","",IF(U587&lt;=Breakdowns!$C$5,1,IF(U587&lt;=Breakdowns!$C$6,2,IF(U587&lt;=Breakdowns!$C$7,3,4))))</f>
        <v>1</v>
      </c>
      <c r="X587" s="33">
        <f>IF(V587="","",IF(V587&lt;=Breakdowns!$D$5,1,IF(V587&lt;=Breakdowns!$D$6,2,IF(V587&lt;=Breakdowns!$D$7,3,4))))</f>
        <v>1</v>
      </c>
      <c r="Y587" s="34">
        <f>INDEX(Stores!$F$2:$F$21,MATCH(B587,Stores!$A$2:$A$21,0))</f>
        <v>3.46</v>
      </c>
      <c r="Z587" s="33">
        <f>IF(Y587&gt;Store_Summary!$M$2,1,0)</f>
        <v>0</v>
      </c>
      <c r="AA587" s="33">
        <f>INDEX(Stores!$C$2:$C$21,MATCH(B587,Stores!$A$2:$A$21,0))</f>
        <v>825</v>
      </c>
      <c r="AB587" s="33">
        <f>IF(AA587&lt;180,1,0)</f>
        <v>0</v>
      </c>
      <c r="AC587" s="32" t="str">
        <f>IF(Orders!D584="","",INDEX(Riders!$C$2:$C$81,MATCH(Orders!D584,Riders!$A$2:$A$81,0)))</f>
        <v>EV scooter</v>
      </c>
      <c r="AD587" s="33">
        <f>IF(Orders!D584="","",INDEX(Riders!$D$2:$D$81,MATCH(Orders!D584,Riders!$A$2:$A$81,0)))</f>
        <v>26</v>
      </c>
      <c r="AE587" s="33">
        <f>IF(Orders!D584="","",IF(INDEX(Riders!$B$2:$B$81,MATCH(Orders!D584,Riders!$A$2:$A$81,0))=B587,1,0))</f>
        <v>0</v>
      </c>
      <c r="AF587" s="34">
        <f>IF(E587=1,Orders!L584,"")</f>
        <v>1.7</v>
      </c>
      <c r="AG587" s="34">
        <f>IF(E587=1,Orders!P584,"")</f>
        <v>8.2</v>
      </c>
      <c r="AH587" s="34">
        <f>IF(E587=1,Orders!Q584,"")</f>
        <v>7.9</v>
      </c>
      <c r="AI587" s="34">
        <f>IF(E587=1,Orders!M584,"")</f>
        <v>2.4</v>
      </c>
      <c r="AJ587" s="34">
        <f>IF(E587=1,Orders!N584,"")</f>
        <v>3.6</v>
      </c>
      <c r="AK587" s="34">
        <f>IF(E587=1,Orders!O584,"")</f>
        <v>1.9</v>
      </c>
      <c r="AL587" s="33">
        <f>IF(E587=1,IF(ROUND(ABS(AI587+AJ587+AK587-AH587),6)&lt;=0.1,1,0),"")</f>
        <v>1</v>
      </c>
      <c r="AM587" s="36">
        <f>IF(E587=1,AI587/AH587,"")</f>
        <v>0.30379746835443</v>
      </c>
      <c r="AN587" s="36">
        <f>IF(E587=1,AJ587/AH587,"")</f>
        <v>0.455696202531646</v>
      </c>
      <c r="AO587" s="36">
        <f>IF(E587=1,AK587/AH587,"")</f>
        <v>0.240506329113924</v>
      </c>
      <c r="AP587" s="34">
        <f>IF(E587=1,Orders!Y584,"")</f>
        <v>0.17</v>
      </c>
      <c r="AQ587" s="33">
        <f>IF(Orders!X584,1,0)</f>
        <v>0</v>
      </c>
      <c r="AR587" s="34" t="str">
        <f>IF(AND(E587=1,L587=1),AJ587,"")</f>
        <v/>
      </c>
      <c r="AS587" s="34">
        <f>IF(AND(E587=1,L587=0),AJ587,"")</f>
        <v>3.6</v>
      </c>
      <c r="AT587" s="34" t="str">
        <f>IF(AND(E587=1,L587=1),AI587,"")</f>
        <v/>
      </c>
      <c r="AU587" s="34">
        <f>IF(AND(E587=1,L587=0),AI587,"")</f>
        <v>2.4</v>
      </c>
      <c r="AV587" s="34" t="str">
        <f>IF(AND(E587=1,L587=1),AG587,"")</f>
        <v/>
      </c>
      <c r="AW587" s="34">
        <f>IF(AND(E587=1,L587=0),AG587,"")</f>
        <v>8.2</v>
      </c>
      <c r="AX587" s="34" t="str">
        <f>IF(AND(E587=1,L587=1),AH587,"")</f>
        <v/>
      </c>
      <c r="AY587" s="34">
        <f>IF(AND(E587=1,L587=0),AH587,"")</f>
        <v>7.9</v>
      </c>
      <c r="AZ587" s="34" t="str">
        <f>IF(G587=1,F587,"")</f>
        <v/>
      </c>
      <c r="BA587" s="34" t="str">
        <f>IF(AND(G587=1,L587=1),F587,"")</f>
        <v/>
      </c>
      <c r="BB587" s="34" t="str">
        <f>IF(AND(G587=1,L587=0),F587,"")</f>
        <v/>
      </c>
      <c r="BC587" s="33">
        <f>IF(E587=1,IF(Orders!R584&gt;3,1,0),"")</f>
        <v>0</v>
      </c>
      <c r="BD587" s="33">
        <f>IF(E587=1,IF(Orders!R584&gt;7,1,0),"")</f>
        <v>0</v>
      </c>
      <c r="BE587" s="32" t="str">
        <f>IF(E587=1,IF(Orders!L584&lt;=1.5,"Up to 1.5 km",IF(Orders!L584&lt;=3,"1.5–3 km","Over 3 km")),"")</f>
        <v>1.5–3 km</v>
      </c>
      <c r="BF587" s="33">
        <f>IF(E587=1,IF(ABS((Orders!G584-Orders!F584)*1440-Orders!R584)&lt;0.06,1,0),"")</f>
        <v>1</v>
      </c>
      <c r="BG587" s="33">
        <f>IF(ABS((Orders!F584-Orders!E584)*1440-Orders!P584)&lt;0.06,1,0)</f>
        <v>1</v>
      </c>
      <c r="BH587" s="33">
        <f>IF(E587=1,IF(IF(Orders!S584,1,0)=1-G587,1,0),"")</f>
        <v>1</v>
      </c>
      <c r="BI587" s="32" t="str">
        <f>INDEX(Stores!$B$2:$B$21,MATCH(B587,Stores!$A$2:$A$21,0))</f>
        <v>Mumbai</v>
      </c>
    </row>
    <row r="588">
      <c r="A588" s="32" t="str">
        <f>Orders!A585</f>
        <v>O00584</v>
      </c>
      <c r="B588" s="32" t="str">
        <f>Orders!C585</f>
        <v>S005</v>
      </c>
      <c r="C588" s="32" t="str">
        <f>Orders!B585</f>
        <v>C0093</v>
      </c>
      <c r="D588" s="32" t="str">
        <f>Orders!H585</f>
        <v>Delivered</v>
      </c>
      <c r="E588" s="33">
        <f>IF(Orders!H585="Delivered",1,0)</f>
        <v>1</v>
      </c>
      <c r="F588" s="34">
        <f>IF(E588=1,Orders!R585,"")</f>
        <v>-0.7</v>
      </c>
      <c r="G588" s="33">
        <f>IF(E588=1,IF(Orders!R585&gt;0,1,0),"")</f>
        <v>0</v>
      </c>
      <c r="H588" s="33">
        <f>IF(E588=1,IF(Orders!R585&gt;5,1,0),"")</f>
        <v>0</v>
      </c>
      <c r="I588" s="32" t="str">
        <f>IF(E588=1,"",IF(OR(Orders!T585="Rider unavailable",Orders!T585="Item unavailable"),"Company-caused","Unresolved"))</f>
        <v/>
      </c>
      <c r="J588" s="33">
        <f>IF(OR(E588=1,I588="Company-caused"),1,0)</f>
        <v>1</v>
      </c>
      <c r="K588" s="32" t="str">
        <f>IF(E588=0,IF(I588="Company-caused",IF(Orders!T585="Rider unavailable","C1 Rider unavailable","C2 Item unavailable"),"Outside root: unresolved"),IF(G588=0,"A On time",IF(H588=1,IF(L588=1,"B2a Severe, peak","B2b Severe, off-peak"),IF(L588=1,"B1a Slight, peak","B1b Slight, off-peak"))))</f>
        <v>A On time</v>
      </c>
      <c r="L588" s="33">
        <f>IF(AND(Orders!U585&gt;=19,Orders!U585&lt;22),1,0)</f>
        <v>0</v>
      </c>
      <c r="M588" s="33">
        <f>IF(L588=IF(Orders!V585,1,0),1,0)</f>
        <v>1</v>
      </c>
      <c r="N588" s="32" t="str">
        <f>IF(Orders!W585="","None",Orders!W585)</f>
        <v>None</v>
      </c>
      <c r="O588" s="35">
        <f>INT(Orders!E585)</f>
        <v>46275.0</v>
      </c>
      <c r="P588" s="33">
        <f>Orders!U585</f>
        <v>18</v>
      </c>
      <c r="Q588" s="33">
        <f>COUNTIFS(Demand!$A$2:$A$4481,B588,Demand!$B$2:$B$4481,O588,Demand!$C$2:$C$4481,P588)</f>
        <v>1</v>
      </c>
      <c r="R588" s="33">
        <f>IF(Q588=1,SUMIFS(Demand!$E$2:$E$4481,Demand!$A$2:$A$4481,B588,Demand!$B$2:$B$4481,O588,Demand!$C$2:$C$4481,P588),"")</f>
        <v>6</v>
      </c>
      <c r="S588" s="33">
        <f>INDEX(Stores!$G$2:$G$21,MATCH(B588,Stores!$A$2:$A$21,0))</f>
        <v>14</v>
      </c>
      <c r="T588" s="34">
        <f>IF(R588="","",R588/S588)</f>
        <v>0.428571428571429</v>
      </c>
      <c r="U588" s="34">
        <f>IF(E588=1,T588,"")</f>
        <v>0.428571428571429</v>
      </c>
      <c r="V588" s="34">
        <f>IF(AND(E588=1,L588=0),T588,"")</f>
        <v>0.428571428571429</v>
      </c>
      <c r="W588" s="33">
        <f>IF(U588="","",IF(U588&lt;=Breakdowns!$C$5,1,IF(U588&lt;=Breakdowns!$C$6,2,IF(U588&lt;=Breakdowns!$C$7,3,4))))</f>
        <v>1</v>
      </c>
      <c r="X588" s="33">
        <f>IF(V588="","",IF(V588&lt;=Breakdowns!$D$5,1,IF(V588&lt;=Breakdowns!$D$6,2,IF(V588&lt;=Breakdowns!$D$7,3,4))))</f>
        <v>1</v>
      </c>
      <c r="Y588" s="34">
        <f>INDEX(Stores!$F$2:$F$21,MATCH(B588,Stores!$A$2:$A$21,0))</f>
        <v>4.89</v>
      </c>
      <c r="Z588" s="33">
        <f>IF(Y588&gt;Store_Summary!$M$2,1,0)</f>
        <v>0</v>
      </c>
      <c r="AA588" s="33">
        <f>INDEX(Stores!$C$2:$C$21,MATCH(B588,Stores!$A$2:$A$21,0))</f>
        <v>138</v>
      </c>
      <c r="AB588" s="33">
        <f>IF(AA588&lt;180,1,0)</f>
        <v>1</v>
      </c>
      <c r="AC588" s="32" t="str">
        <f>IF(Orders!D585="","",INDEX(Riders!$C$2:$C$81,MATCH(Orders!D585,Riders!$A$2:$A$81,0)))</f>
        <v>Petrol scooter</v>
      </c>
      <c r="AD588" s="33">
        <f>IF(Orders!D585="","",INDEX(Riders!$D$2:$D$81,MATCH(Orders!D585,Riders!$A$2:$A$81,0)))</f>
        <v>19</v>
      </c>
      <c r="AE588" s="33">
        <f>IF(Orders!D585="","",IF(INDEX(Riders!$B$2:$B$81,MATCH(Orders!D585,Riders!$A$2:$A$81,0))=B588,1,0))</f>
        <v>0</v>
      </c>
      <c r="AF588" s="34">
        <f>IF(E588=1,Orders!L585,"")</f>
        <v>1.32</v>
      </c>
      <c r="AG588" s="34">
        <f>IF(E588=1,Orders!P585,"")</f>
        <v>11.6</v>
      </c>
      <c r="AH588" s="34">
        <f>IF(E588=1,Orders!Q585,"")</f>
        <v>10.9</v>
      </c>
      <c r="AI588" s="34">
        <f>IF(E588=1,Orders!M585,"")</f>
        <v>2.9</v>
      </c>
      <c r="AJ588" s="34">
        <f>IF(E588=1,Orders!N585,"")</f>
        <v>4.8</v>
      </c>
      <c r="AK588" s="34">
        <f>IF(E588=1,Orders!O585,"")</f>
        <v>3.2</v>
      </c>
      <c r="AL588" s="33">
        <f>IF(E588=1,IF(ROUND(ABS(AI588+AJ588+AK588-AH588),6)&lt;=0.1,1,0),"")</f>
        <v>1</v>
      </c>
      <c r="AM588" s="36">
        <f>IF(E588=1,AI588/AH588,"")</f>
        <v>0.26605504587156</v>
      </c>
      <c r="AN588" s="36">
        <f>IF(E588=1,AJ588/AH588,"")</f>
        <v>0.440366972477064</v>
      </c>
      <c r="AO588" s="36">
        <f>IF(E588=1,AK588/AH588,"")</f>
        <v>0.293577981651376</v>
      </c>
      <c r="AP588" s="34">
        <f>IF(E588=1,Orders!Y585,"")</f>
        <v>0.88</v>
      </c>
      <c r="AQ588" s="33">
        <f>IF(Orders!X585,1,0)</f>
        <v>0</v>
      </c>
      <c r="AR588" s="34" t="str">
        <f>IF(AND(E588=1,L588=1),AJ588,"")</f>
        <v/>
      </c>
      <c r="AS588" s="34">
        <f>IF(AND(E588=1,L588=0),AJ588,"")</f>
        <v>4.8</v>
      </c>
      <c r="AT588" s="34" t="str">
        <f>IF(AND(E588=1,L588=1),AI588,"")</f>
        <v/>
      </c>
      <c r="AU588" s="34">
        <f>IF(AND(E588=1,L588=0),AI588,"")</f>
        <v>2.9</v>
      </c>
      <c r="AV588" s="34" t="str">
        <f>IF(AND(E588=1,L588=1),AG588,"")</f>
        <v/>
      </c>
      <c r="AW588" s="34">
        <f>IF(AND(E588=1,L588=0),AG588,"")</f>
        <v>11.6</v>
      </c>
      <c r="AX588" s="34" t="str">
        <f>IF(AND(E588=1,L588=1),AH588,"")</f>
        <v/>
      </c>
      <c r="AY588" s="34">
        <f>IF(AND(E588=1,L588=0),AH588,"")</f>
        <v>10.9</v>
      </c>
      <c r="AZ588" s="34" t="str">
        <f>IF(G588=1,F588,"")</f>
        <v/>
      </c>
      <c r="BA588" s="34" t="str">
        <f>IF(AND(G588=1,L588=1),F588,"")</f>
        <v/>
      </c>
      <c r="BB588" s="34" t="str">
        <f>IF(AND(G588=1,L588=0),F588,"")</f>
        <v/>
      </c>
      <c r="BC588" s="33">
        <f>IF(E588=1,IF(Orders!R585&gt;3,1,0),"")</f>
        <v>0</v>
      </c>
      <c r="BD588" s="33">
        <f>IF(E588=1,IF(Orders!R585&gt;7,1,0),"")</f>
        <v>0</v>
      </c>
      <c r="BE588" s="32" t="str">
        <f>IF(E588=1,IF(Orders!L585&lt;=1.5,"Up to 1.5 km",IF(Orders!L585&lt;=3,"1.5–3 km","Over 3 km")),"")</f>
        <v>Up to 1.5 km</v>
      </c>
      <c r="BF588" s="33">
        <f>IF(E588=1,IF(ABS((Orders!G585-Orders!F585)*1440-Orders!R585)&lt;0.06,1,0),"")</f>
        <v>1</v>
      </c>
      <c r="BG588" s="33">
        <f>IF(ABS((Orders!F585-Orders!E585)*1440-Orders!P585)&lt;0.06,1,0)</f>
        <v>1</v>
      </c>
      <c r="BH588" s="33">
        <f>IF(E588=1,IF(IF(Orders!S585,1,0)=1-G588,1,0),"")</f>
        <v>1</v>
      </c>
      <c r="BI588" s="32" t="str">
        <f>INDEX(Stores!$B$2:$B$21,MATCH(B588,Stores!$A$2:$A$21,0))</f>
        <v>Delhi</v>
      </c>
    </row>
    <row r="589">
      <c r="A589" s="32" t="str">
        <f>Orders!A586</f>
        <v>O00585</v>
      </c>
      <c r="B589" s="32" t="str">
        <f>Orders!C586</f>
        <v>S005</v>
      </c>
      <c r="C589" s="32" t="str">
        <f>Orders!B586</f>
        <v>C0070</v>
      </c>
      <c r="D589" s="32" t="str">
        <f>Orders!H586</f>
        <v>Delivered</v>
      </c>
      <c r="E589" s="33">
        <f>IF(Orders!H586="Delivered",1,0)</f>
        <v>1</v>
      </c>
      <c r="F589" s="34">
        <f>IF(E589=1,Orders!R586,"")</f>
        <v>-0.3</v>
      </c>
      <c r="G589" s="33">
        <f>IF(E589=1,IF(Orders!R586&gt;0,1,0),"")</f>
        <v>0</v>
      </c>
      <c r="H589" s="33">
        <f>IF(E589=1,IF(Orders!R586&gt;5,1,0),"")</f>
        <v>0</v>
      </c>
      <c r="I589" s="32" t="str">
        <f>IF(E589=1,"",IF(OR(Orders!T586="Rider unavailable",Orders!T586="Item unavailable"),"Company-caused","Unresolved"))</f>
        <v/>
      </c>
      <c r="J589" s="33">
        <f>IF(OR(E589=1,I589="Company-caused"),1,0)</f>
        <v>1</v>
      </c>
      <c r="K589" s="32" t="str">
        <f>IF(E589=0,IF(I589="Company-caused",IF(Orders!T586="Rider unavailable","C1 Rider unavailable","C2 Item unavailable"),"Outside root: unresolved"),IF(G589=0,"A On time",IF(H589=1,IF(L589=1,"B2a Severe, peak","B2b Severe, off-peak"),IF(L589=1,"B1a Slight, peak","B1b Slight, off-peak"))))</f>
        <v>A On time</v>
      </c>
      <c r="L589" s="33">
        <f>IF(AND(Orders!U586&gt;=19,Orders!U586&lt;22),1,0)</f>
        <v>0</v>
      </c>
      <c r="M589" s="33">
        <f>IF(L589=IF(Orders!V586,1,0),1,0)</f>
        <v>1</v>
      </c>
      <c r="N589" s="32" t="str">
        <f>IF(Orders!W586="","None",Orders!W586)</f>
        <v>None</v>
      </c>
      <c r="O589" s="35">
        <f>INT(Orders!E586)</f>
        <v>46276.0</v>
      </c>
      <c r="P589" s="33">
        <f>Orders!U586</f>
        <v>15</v>
      </c>
      <c r="Q589" s="33">
        <f>COUNTIFS(Demand!$A$2:$A$4481,B589,Demand!$B$2:$B$4481,O589,Demand!$C$2:$C$4481,P589)</f>
        <v>1</v>
      </c>
      <c r="R589" s="33">
        <f>IF(Q589=1,SUMIFS(Demand!$E$2:$E$4481,Demand!$A$2:$A$4481,B589,Demand!$B$2:$B$4481,O589,Demand!$C$2:$C$4481,P589),"")</f>
        <v>11</v>
      </c>
      <c r="S589" s="33">
        <f>INDEX(Stores!$G$2:$G$21,MATCH(B589,Stores!$A$2:$A$21,0))</f>
        <v>14</v>
      </c>
      <c r="T589" s="34">
        <f>IF(R589="","",R589/S589)</f>
        <v>0.785714285714286</v>
      </c>
      <c r="U589" s="34">
        <f>IF(E589=1,T589,"")</f>
        <v>0.785714285714286</v>
      </c>
      <c r="V589" s="34">
        <f>IF(AND(E589=1,L589=0),T589,"")</f>
        <v>0.785714285714286</v>
      </c>
      <c r="W589" s="33">
        <f>IF(U589="","",IF(U589&lt;=Breakdowns!$C$5,1,IF(U589&lt;=Breakdowns!$C$6,2,IF(U589&lt;=Breakdowns!$C$7,3,4))))</f>
        <v>1</v>
      </c>
      <c r="X589" s="33">
        <f>IF(V589="","",IF(V589&lt;=Breakdowns!$D$5,1,IF(V589&lt;=Breakdowns!$D$6,2,IF(V589&lt;=Breakdowns!$D$7,3,4))))</f>
        <v>2</v>
      </c>
      <c r="Y589" s="34">
        <f>INDEX(Stores!$F$2:$F$21,MATCH(B589,Stores!$A$2:$A$21,0))</f>
        <v>4.89</v>
      </c>
      <c r="Z589" s="33">
        <f>IF(Y589&gt;Store_Summary!$M$2,1,0)</f>
        <v>0</v>
      </c>
      <c r="AA589" s="33">
        <f>INDEX(Stores!$C$2:$C$21,MATCH(B589,Stores!$A$2:$A$21,0))</f>
        <v>138</v>
      </c>
      <c r="AB589" s="33">
        <f>IF(AA589&lt;180,1,0)</f>
        <v>1</v>
      </c>
      <c r="AC589" s="32" t="str">
        <f>IF(Orders!D586="","",INDEX(Riders!$C$2:$C$81,MATCH(Orders!D586,Riders!$A$2:$A$81,0)))</f>
        <v>EV scooter</v>
      </c>
      <c r="AD589" s="33">
        <f>IF(Orders!D586="","",INDEX(Riders!$D$2:$D$81,MATCH(Orders!D586,Riders!$A$2:$A$81,0)))</f>
        <v>33</v>
      </c>
      <c r="AE589" s="33">
        <f>IF(Orders!D586="","",IF(INDEX(Riders!$B$2:$B$81,MATCH(Orders!D586,Riders!$A$2:$A$81,0))=B589,1,0))</f>
        <v>0</v>
      </c>
      <c r="AF589" s="34">
        <f>IF(E589=1,Orders!L586,"")</f>
        <v>1.66</v>
      </c>
      <c r="AG589" s="34">
        <f>IF(E589=1,Orders!P586,"")</f>
        <v>10</v>
      </c>
      <c r="AH589" s="34">
        <f>IF(E589=1,Orders!Q586,"")</f>
        <v>9.7</v>
      </c>
      <c r="AI589" s="34">
        <f>IF(E589=1,Orders!M586,"")</f>
        <v>3.1</v>
      </c>
      <c r="AJ589" s="34">
        <f>IF(E589=1,Orders!N586,"")</f>
        <v>3.8</v>
      </c>
      <c r="AK589" s="34">
        <f>IF(E589=1,Orders!O586,"")</f>
        <v>2.8</v>
      </c>
      <c r="AL589" s="33">
        <f>IF(E589=1,IF(ROUND(ABS(AI589+AJ589+AK589-AH589),6)&lt;=0.1,1,0),"")</f>
        <v>1</v>
      </c>
      <c r="AM589" s="36">
        <f>IF(E589=1,AI589/AH589,"")</f>
        <v>0.319587628865979</v>
      </c>
      <c r="AN589" s="36">
        <f>IF(E589=1,AJ589/AH589,"")</f>
        <v>0.391752577319588</v>
      </c>
      <c r="AO589" s="36">
        <f>IF(E589=1,AK589/AH589,"")</f>
        <v>0.288659793814433</v>
      </c>
      <c r="AP589" s="34">
        <f>IF(E589=1,Orders!Y586,"")</f>
        <v>0.43</v>
      </c>
      <c r="AQ589" s="33">
        <f>IF(Orders!X586,1,0)</f>
        <v>1</v>
      </c>
      <c r="AR589" s="34" t="str">
        <f>IF(AND(E589=1,L589=1),AJ589,"")</f>
        <v/>
      </c>
      <c r="AS589" s="34">
        <f>IF(AND(E589=1,L589=0),AJ589,"")</f>
        <v>3.8</v>
      </c>
      <c r="AT589" s="34" t="str">
        <f>IF(AND(E589=1,L589=1),AI589,"")</f>
        <v/>
      </c>
      <c r="AU589" s="34">
        <f>IF(AND(E589=1,L589=0),AI589,"")</f>
        <v>3.1</v>
      </c>
      <c r="AV589" s="34" t="str">
        <f>IF(AND(E589=1,L589=1),AG589,"")</f>
        <v/>
      </c>
      <c r="AW589" s="34">
        <f>IF(AND(E589=1,L589=0),AG589,"")</f>
        <v>10</v>
      </c>
      <c r="AX589" s="34" t="str">
        <f>IF(AND(E589=1,L589=1),AH589,"")</f>
        <v/>
      </c>
      <c r="AY589" s="34">
        <f>IF(AND(E589=1,L589=0),AH589,"")</f>
        <v>9.7</v>
      </c>
      <c r="AZ589" s="34" t="str">
        <f>IF(G589=1,F589,"")</f>
        <v/>
      </c>
      <c r="BA589" s="34" t="str">
        <f>IF(AND(G589=1,L589=1),F589,"")</f>
        <v/>
      </c>
      <c r="BB589" s="34" t="str">
        <f>IF(AND(G589=1,L589=0),F589,"")</f>
        <v/>
      </c>
      <c r="BC589" s="33">
        <f>IF(E589=1,IF(Orders!R586&gt;3,1,0),"")</f>
        <v>0</v>
      </c>
      <c r="BD589" s="33">
        <f>IF(E589=1,IF(Orders!R586&gt;7,1,0),"")</f>
        <v>0</v>
      </c>
      <c r="BE589" s="32" t="str">
        <f>IF(E589=1,IF(Orders!L586&lt;=1.5,"Up to 1.5 km",IF(Orders!L586&lt;=3,"1.5–3 km","Over 3 km")),"")</f>
        <v>1.5–3 km</v>
      </c>
      <c r="BF589" s="33">
        <f>IF(E589=1,IF(ABS((Orders!G586-Orders!F586)*1440-Orders!R586)&lt;0.06,1,0),"")</f>
        <v>1</v>
      </c>
      <c r="BG589" s="33">
        <f>IF(ABS((Orders!F586-Orders!E586)*1440-Orders!P586)&lt;0.06,1,0)</f>
        <v>1</v>
      </c>
      <c r="BH589" s="33">
        <f>IF(E589=1,IF(IF(Orders!S586,1,0)=1-G589,1,0),"")</f>
        <v>1</v>
      </c>
      <c r="BI589" s="32" t="str">
        <f>INDEX(Stores!$B$2:$B$21,MATCH(B589,Stores!$A$2:$A$21,0))</f>
        <v>Delhi</v>
      </c>
    </row>
    <row r="590">
      <c r="A590" s="32" t="str">
        <f>Orders!A587</f>
        <v>O00586</v>
      </c>
      <c r="B590" s="32" t="str">
        <f>Orders!C587</f>
        <v>S020</v>
      </c>
      <c r="C590" s="32" t="str">
        <f>Orders!B587</f>
        <v>C0119</v>
      </c>
      <c r="D590" s="32" t="str">
        <f>Orders!H587</f>
        <v>Delivered</v>
      </c>
      <c r="E590" s="33">
        <f>IF(Orders!H587="Delivered",1,0)</f>
        <v>1</v>
      </c>
      <c r="F590" s="34">
        <f>IF(E590=1,Orders!R587,"")</f>
        <v>-0.2</v>
      </c>
      <c r="G590" s="33">
        <f>IF(E590=1,IF(Orders!R587&gt;0,1,0),"")</f>
        <v>0</v>
      </c>
      <c r="H590" s="33">
        <f>IF(E590=1,IF(Orders!R587&gt;5,1,0),"")</f>
        <v>0</v>
      </c>
      <c r="I590" s="32" t="str">
        <f>IF(E590=1,"",IF(OR(Orders!T587="Rider unavailable",Orders!T587="Item unavailable"),"Company-caused","Unresolved"))</f>
        <v/>
      </c>
      <c r="J590" s="33">
        <f>IF(OR(E590=1,I590="Company-caused"),1,0)</f>
        <v>1</v>
      </c>
      <c r="K590" s="32" t="str">
        <f>IF(E590=0,IF(I590="Company-caused",IF(Orders!T587="Rider unavailable","C1 Rider unavailable","C2 Item unavailable"),"Outside root: unresolved"),IF(G590=0,"A On time",IF(H590=1,IF(L590=1,"B2a Severe, peak","B2b Severe, off-peak"),IF(L590=1,"B1a Slight, peak","B1b Slight, off-peak"))))</f>
        <v>A On time</v>
      </c>
      <c r="L590" s="33">
        <f>IF(AND(Orders!U587&gt;=19,Orders!U587&lt;22),1,0)</f>
        <v>0</v>
      </c>
      <c r="M590" s="33">
        <f>IF(L590=IF(Orders!V587,1,0),1,0)</f>
        <v>1</v>
      </c>
      <c r="N590" s="32" t="str">
        <f>IF(Orders!W587="","None",Orders!W587)</f>
        <v>None</v>
      </c>
      <c r="O590" s="35">
        <f>INT(Orders!E587)</f>
        <v>46267.0</v>
      </c>
      <c r="P590" s="33">
        <f>Orders!U587</f>
        <v>14</v>
      </c>
      <c r="Q590" s="33">
        <f>COUNTIFS(Demand!$A$2:$A$4481,B590,Demand!$B$2:$B$4481,O590,Demand!$C$2:$C$4481,P590)</f>
        <v>1</v>
      </c>
      <c r="R590" s="33">
        <f>IF(Q590=1,SUMIFS(Demand!$E$2:$E$4481,Demand!$A$2:$A$4481,B590,Demand!$B$2:$B$4481,O590,Demand!$C$2:$C$4481,P590),"")</f>
        <v>12</v>
      </c>
      <c r="S590" s="33">
        <f>INDEX(Stores!$G$2:$G$21,MATCH(B590,Stores!$A$2:$A$21,0))</f>
        <v>15</v>
      </c>
      <c r="T590" s="34">
        <f>IF(R590="","",R590/S590)</f>
        <v>0.8</v>
      </c>
      <c r="U590" s="34">
        <f>IF(E590=1,T590,"")</f>
        <v>0.8</v>
      </c>
      <c r="V590" s="34">
        <f>IF(AND(E590=1,L590=0),T590,"")</f>
        <v>0.8</v>
      </c>
      <c r="W590" s="33">
        <f>IF(U590="","",IF(U590&lt;=Breakdowns!$C$5,1,IF(U590&lt;=Breakdowns!$C$6,2,IF(U590&lt;=Breakdowns!$C$7,3,4))))</f>
        <v>2</v>
      </c>
      <c r="X590" s="33">
        <f>IF(V590="","",IF(V590&lt;=Breakdowns!$D$5,1,IF(V590&lt;=Breakdowns!$D$6,2,IF(V590&lt;=Breakdowns!$D$7,3,4))))</f>
        <v>2</v>
      </c>
      <c r="Y590" s="34">
        <f>INDEX(Stores!$F$2:$F$21,MATCH(B590,Stores!$A$2:$A$21,0))</f>
        <v>5.74</v>
      </c>
      <c r="Z590" s="33">
        <f>IF(Y590&gt;Store_Summary!$M$2,1,0)</f>
        <v>1</v>
      </c>
      <c r="AA590" s="33">
        <f>INDEX(Stores!$C$2:$C$21,MATCH(B590,Stores!$A$2:$A$21,0))</f>
        <v>647</v>
      </c>
      <c r="AB590" s="33">
        <f>IF(AA590&lt;180,1,0)</f>
        <v>0</v>
      </c>
      <c r="AC590" s="32" t="str">
        <f>IF(Orders!D587="","",INDEX(Riders!$C$2:$C$81,MATCH(Orders!D587,Riders!$A$2:$A$81,0)))</f>
        <v>EV scooter</v>
      </c>
      <c r="AD590" s="33">
        <f>IF(Orders!D587="","",INDEX(Riders!$D$2:$D$81,MATCH(Orders!D587,Riders!$A$2:$A$81,0)))</f>
        <v>46</v>
      </c>
      <c r="AE590" s="33">
        <f>IF(Orders!D587="","",IF(INDEX(Riders!$B$2:$B$81,MATCH(Orders!D587,Riders!$A$2:$A$81,0))=B590,1,0))</f>
        <v>0</v>
      </c>
      <c r="AF590" s="34">
        <f>IF(E590=1,Orders!L587,"")</f>
        <v>2.31</v>
      </c>
      <c r="AG590" s="34">
        <f>IF(E590=1,Orders!P587,"")</f>
        <v>11</v>
      </c>
      <c r="AH590" s="34">
        <f>IF(E590=1,Orders!Q587,"")</f>
        <v>10.8</v>
      </c>
      <c r="AI590" s="34">
        <f>IF(E590=1,Orders!M587,"")</f>
        <v>3.6</v>
      </c>
      <c r="AJ590" s="34">
        <f>IF(E590=1,Orders!N587,"")</f>
        <v>3.3</v>
      </c>
      <c r="AK590" s="34">
        <f>IF(E590=1,Orders!O587,"")</f>
        <v>3.9</v>
      </c>
      <c r="AL590" s="33">
        <f>IF(E590=1,IF(ROUND(ABS(AI590+AJ590+AK590-AH590),6)&lt;=0.1,1,0),"")</f>
        <v>1</v>
      </c>
      <c r="AM590" s="36">
        <f>IF(E590=1,AI590/AH590,"")</f>
        <v>0.333333333333333</v>
      </c>
      <c r="AN590" s="36">
        <f>IF(E590=1,AJ590/AH590,"")</f>
        <v>0.305555555555556</v>
      </c>
      <c r="AO590" s="36">
        <f>IF(E590=1,AK590/AH590,"")</f>
        <v>0.361111111111111</v>
      </c>
      <c r="AP590" s="34">
        <f>IF(E590=1,Orders!Y587,"")</f>
        <v>0.57</v>
      </c>
      <c r="AQ590" s="33">
        <f>IF(Orders!X587,1,0)</f>
        <v>0</v>
      </c>
      <c r="AR590" s="34" t="str">
        <f>IF(AND(E590=1,L590=1),AJ590,"")</f>
        <v/>
      </c>
      <c r="AS590" s="34">
        <f>IF(AND(E590=1,L590=0),AJ590,"")</f>
        <v>3.3</v>
      </c>
      <c r="AT590" s="34" t="str">
        <f>IF(AND(E590=1,L590=1),AI590,"")</f>
        <v/>
      </c>
      <c r="AU590" s="34">
        <f>IF(AND(E590=1,L590=0),AI590,"")</f>
        <v>3.6</v>
      </c>
      <c r="AV590" s="34" t="str">
        <f>IF(AND(E590=1,L590=1),AG590,"")</f>
        <v/>
      </c>
      <c r="AW590" s="34">
        <f>IF(AND(E590=1,L590=0),AG590,"")</f>
        <v>11</v>
      </c>
      <c r="AX590" s="34" t="str">
        <f>IF(AND(E590=1,L590=1),AH590,"")</f>
        <v/>
      </c>
      <c r="AY590" s="34">
        <f>IF(AND(E590=1,L590=0),AH590,"")</f>
        <v>10.8</v>
      </c>
      <c r="AZ590" s="34" t="str">
        <f>IF(G590=1,F590,"")</f>
        <v/>
      </c>
      <c r="BA590" s="34" t="str">
        <f>IF(AND(G590=1,L590=1),F590,"")</f>
        <v/>
      </c>
      <c r="BB590" s="34" t="str">
        <f>IF(AND(G590=1,L590=0),F590,"")</f>
        <v/>
      </c>
      <c r="BC590" s="33">
        <f>IF(E590=1,IF(Orders!R587&gt;3,1,0),"")</f>
        <v>0</v>
      </c>
      <c r="BD590" s="33">
        <f>IF(E590=1,IF(Orders!R587&gt;7,1,0),"")</f>
        <v>0</v>
      </c>
      <c r="BE590" s="32" t="str">
        <f>IF(E590=1,IF(Orders!L587&lt;=1.5,"Up to 1.5 km",IF(Orders!L587&lt;=3,"1.5–3 km","Over 3 km")),"")</f>
        <v>1.5–3 km</v>
      </c>
      <c r="BF590" s="33">
        <f>IF(E590=1,IF(ABS((Orders!G587-Orders!F587)*1440-Orders!R587)&lt;0.06,1,0),"")</f>
        <v>1</v>
      </c>
      <c r="BG590" s="33">
        <f>IF(ABS((Orders!F587-Orders!E587)*1440-Orders!P587)&lt;0.06,1,0)</f>
        <v>1</v>
      </c>
      <c r="BH590" s="33">
        <f>IF(E590=1,IF(IF(Orders!S587,1,0)=1-G590,1,0),"")</f>
        <v>1</v>
      </c>
      <c r="BI590" s="32" t="str">
        <f>INDEX(Stores!$B$2:$B$21,MATCH(B590,Stores!$A$2:$A$21,0))</f>
        <v>Delhi</v>
      </c>
    </row>
    <row r="591">
      <c r="A591" s="32" t="str">
        <f>Orders!A588</f>
        <v>O00587</v>
      </c>
      <c r="B591" s="32" t="str">
        <f>Orders!C588</f>
        <v>S019</v>
      </c>
      <c r="C591" s="32" t="str">
        <f>Orders!B588</f>
        <v>C0029</v>
      </c>
      <c r="D591" s="32" t="str">
        <f>Orders!H588</f>
        <v>Delivered</v>
      </c>
      <c r="E591" s="33">
        <f>IF(Orders!H588="Delivered",1,0)</f>
        <v>1</v>
      </c>
      <c r="F591" s="34">
        <f>IF(E591=1,Orders!R588,"")</f>
        <v>-0.2</v>
      </c>
      <c r="G591" s="33">
        <f>IF(E591=1,IF(Orders!R588&gt;0,1,0),"")</f>
        <v>0</v>
      </c>
      <c r="H591" s="33">
        <f>IF(E591=1,IF(Orders!R588&gt;5,1,0),"")</f>
        <v>0</v>
      </c>
      <c r="I591" s="32" t="str">
        <f>IF(E591=1,"",IF(OR(Orders!T588="Rider unavailable",Orders!T588="Item unavailable"),"Company-caused","Unresolved"))</f>
        <v/>
      </c>
      <c r="J591" s="33">
        <f>IF(OR(E591=1,I591="Company-caused"),1,0)</f>
        <v>1</v>
      </c>
      <c r="K591" s="32" t="str">
        <f>IF(E591=0,IF(I591="Company-caused",IF(Orders!T588="Rider unavailable","C1 Rider unavailable","C2 Item unavailable"),"Outside root: unresolved"),IF(G591=0,"A On time",IF(H591=1,IF(L591=1,"B2a Severe, peak","B2b Severe, off-peak"),IF(L591=1,"B1a Slight, peak","B1b Slight, off-peak"))))</f>
        <v>A On time</v>
      </c>
      <c r="L591" s="33">
        <f>IF(AND(Orders!U588&gt;=19,Orders!U588&lt;22),1,0)</f>
        <v>0</v>
      </c>
      <c r="M591" s="33">
        <f>IF(L591=IF(Orders!V588,1,0),1,0)</f>
        <v>1</v>
      </c>
      <c r="N591" s="32" t="str">
        <f>IF(Orders!W588="","None",Orders!W588)</f>
        <v>Light</v>
      </c>
      <c r="O591" s="35">
        <f>INT(Orders!E588)</f>
        <v>46279.0</v>
      </c>
      <c r="P591" s="33">
        <f>Orders!U588</f>
        <v>10</v>
      </c>
      <c r="Q591" s="33">
        <f>COUNTIFS(Demand!$A$2:$A$4481,B591,Demand!$B$2:$B$4481,O591,Demand!$C$2:$C$4481,P591)</f>
        <v>1</v>
      </c>
      <c r="R591" s="33">
        <f>IF(Q591=1,SUMIFS(Demand!$E$2:$E$4481,Demand!$A$2:$A$4481,B591,Demand!$B$2:$B$4481,O591,Demand!$C$2:$C$4481,P591),"")</f>
        <v>12</v>
      </c>
      <c r="S591" s="33">
        <f>INDEX(Stores!$G$2:$G$21,MATCH(B591,Stores!$A$2:$A$21,0))</f>
        <v>22</v>
      </c>
      <c r="T591" s="34">
        <f>IF(R591="","",R591/S591)</f>
        <v>0.545454545454545</v>
      </c>
      <c r="U591" s="34">
        <f>IF(E591=1,T591,"")</f>
        <v>0.545454545454545</v>
      </c>
      <c r="V591" s="34">
        <f>IF(AND(E591=1,L591=0),T591,"")</f>
        <v>0.545454545454545</v>
      </c>
      <c r="W591" s="33">
        <f>IF(U591="","",IF(U591&lt;=Breakdowns!$C$5,1,IF(U591&lt;=Breakdowns!$C$6,2,IF(U591&lt;=Breakdowns!$C$7,3,4))))</f>
        <v>1</v>
      </c>
      <c r="X591" s="33">
        <f>IF(V591="","",IF(V591&lt;=Breakdowns!$D$5,1,IF(V591&lt;=Breakdowns!$D$6,2,IF(V591&lt;=Breakdowns!$D$7,3,4))))</f>
        <v>1</v>
      </c>
      <c r="Y591" s="34">
        <f>INDEX(Stores!$F$2:$F$21,MATCH(B591,Stores!$A$2:$A$21,0))</f>
        <v>4.99</v>
      </c>
      <c r="Z591" s="33">
        <f>IF(Y591&gt;Store_Summary!$M$2,1,0)</f>
        <v>1</v>
      </c>
      <c r="AA591" s="33">
        <f>INDEX(Stores!$C$2:$C$21,MATCH(B591,Stores!$A$2:$A$21,0))</f>
        <v>851</v>
      </c>
      <c r="AB591" s="33">
        <f>IF(AA591&lt;180,1,0)</f>
        <v>0</v>
      </c>
      <c r="AC591" s="32" t="str">
        <f>IF(Orders!D588="","",INDEX(Riders!$C$2:$C$81,MATCH(Orders!D588,Riders!$A$2:$A$81,0)))</f>
        <v>EV scooter</v>
      </c>
      <c r="AD591" s="33">
        <f>IF(Orders!D588="","",INDEX(Riders!$D$2:$D$81,MATCH(Orders!D588,Riders!$A$2:$A$81,0)))</f>
        <v>36</v>
      </c>
      <c r="AE591" s="33">
        <f>IF(Orders!D588="","",IF(INDEX(Riders!$B$2:$B$81,MATCH(Orders!D588,Riders!$A$2:$A$81,0))=B591,1,0))</f>
        <v>1</v>
      </c>
      <c r="AF591" s="34">
        <f>IF(E591=1,Orders!L588,"")</f>
        <v>0.5</v>
      </c>
      <c r="AG591" s="34">
        <f>IF(E591=1,Orders!P588,"")</f>
        <v>9.4</v>
      </c>
      <c r="AH591" s="34">
        <f>IF(E591=1,Orders!Q588,"")</f>
        <v>9.2</v>
      </c>
      <c r="AI591" s="34">
        <f>IF(E591=1,Orders!M588,"")</f>
        <v>4.8</v>
      </c>
      <c r="AJ591" s="34">
        <f>IF(E591=1,Orders!N588,"")</f>
        <v>2</v>
      </c>
      <c r="AK591" s="34">
        <f>IF(E591=1,Orders!O588,"")</f>
        <v>2.4</v>
      </c>
      <c r="AL591" s="33">
        <f>IF(E591=1,IF(ROUND(ABS(AI591+AJ591+AK591-AH591),6)&lt;=0.1,1,0),"")</f>
        <v>1</v>
      </c>
      <c r="AM591" s="36">
        <f>IF(E591=1,AI591/AH591,"")</f>
        <v>0.521739130434783</v>
      </c>
      <c r="AN591" s="36">
        <f>IF(E591=1,AJ591/AH591,"")</f>
        <v>0.217391304347826</v>
      </c>
      <c r="AO591" s="36">
        <f>IF(E591=1,AK591/AH591,"")</f>
        <v>0.260869565217391</v>
      </c>
      <c r="AP591" s="34">
        <f>IF(E591=1,Orders!Y588,"")</f>
        <v>0.43</v>
      </c>
      <c r="AQ591" s="33">
        <f>IF(Orders!X588,1,0)</f>
        <v>0</v>
      </c>
      <c r="AR591" s="34" t="str">
        <f>IF(AND(E591=1,L591=1),AJ591,"")</f>
        <v/>
      </c>
      <c r="AS591" s="34">
        <f>IF(AND(E591=1,L591=0),AJ591,"")</f>
        <v>2</v>
      </c>
      <c r="AT591" s="34" t="str">
        <f>IF(AND(E591=1,L591=1),AI591,"")</f>
        <v/>
      </c>
      <c r="AU591" s="34">
        <f>IF(AND(E591=1,L591=0),AI591,"")</f>
        <v>4.8</v>
      </c>
      <c r="AV591" s="34" t="str">
        <f>IF(AND(E591=1,L591=1),AG591,"")</f>
        <v/>
      </c>
      <c r="AW591" s="34">
        <f>IF(AND(E591=1,L591=0),AG591,"")</f>
        <v>9.4</v>
      </c>
      <c r="AX591" s="34" t="str">
        <f>IF(AND(E591=1,L591=1),AH591,"")</f>
        <v/>
      </c>
      <c r="AY591" s="34">
        <f>IF(AND(E591=1,L591=0),AH591,"")</f>
        <v>9.2</v>
      </c>
      <c r="AZ591" s="34" t="str">
        <f>IF(G591=1,F591,"")</f>
        <v/>
      </c>
      <c r="BA591" s="34" t="str">
        <f>IF(AND(G591=1,L591=1),F591,"")</f>
        <v/>
      </c>
      <c r="BB591" s="34" t="str">
        <f>IF(AND(G591=1,L591=0),F591,"")</f>
        <v/>
      </c>
      <c r="BC591" s="33">
        <f>IF(E591=1,IF(Orders!R588&gt;3,1,0),"")</f>
        <v>0</v>
      </c>
      <c r="BD591" s="33">
        <f>IF(E591=1,IF(Orders!R588&gt;7,1,0),"")</f>
        <v>0</v>
      </c>
      <c r="BE591" s="32" t="str">
        <f>IF(E591=1,IF(Orders!L588&lt;=1.5,"Up to 1.5 km",IF(Orders!L588&lt;=3,"1.5–3 km","Over 3 km")),"")</f>
        <v>Up to 1.5 km</v>
      </c>
      <c r="BF591" s="33">
        <f>IF(E591=1,IF(ABS((Orders!G588-Orders!F588)*1440-Orders!R588)&lt;0.06,1,0),"")</f>
        <v>1</v>
      </c>
      <c r="BG591" s="33">
        <f>IF(ABS((Orders!F588-Orders!E588)*1440-Orders!P588)&lt;0.06,1,0)</f>
        <v>1</v>
      </c>
      <c r="BH591" s="33">
        <f>IF(E591=1,IF(IF(Orders!S588,1,0)=1-G591,1,0),"")</f>
        <v>1</v>
      </c>
      <c r="BI591" s="32" t="str">
        <f>INDEX(Stores!$B$2:$B$21,MATCH(B591,Stores!$A$2:$A$21,0))</f>
        <v>Pune</v>
      </c>
    </row>
    <row r="592">
      <c r="A592" s="32" t="str">
        <f>Orders!A589</f>
        <v>O00588</v>
      </c>
      <c r="B592" s="32" t="str">
        <f>Orders!C589</f>
        <v>S018</v>
      </c>
      <c r="C592" s="32" t="str">
        <f>Orders!B589</f>
        <v>C0167</v>
      </c>
      <c r="D592" s="32" t="str">
        <f>Orders!H589</f>
        <v>Delivered</v>
      </c>
      <c r="E592" s="33">
        <f>IF(Orders!H589="Delivered",1,0)</f>
        <v>1</v>
      </c>
      <c r="F592" s="34">
        <f>IF(E592=1,Orders!R589,"")</f>
        <v>-0.9</v>
      </c>
      <c r="G592" s="33">
        <f>IF(E592=1,IF(Orders!R589&gt;0,1,0),"")</f>
        <v>0</v>
      </c>
      <c r="H592" s="33">
        <f>IF(E592=1,IF(Orders!R589&gt;5,1,0),"")</f>
        <v>0</v>
      </c>
      <c r="I592" s="32" t="str">
        <f>IF(E592=1,"",IF(OR(Orders!T589="Rider unavailable",Orders!T589="Item unavailable"),"Company-caused","Unresolved"))</f>
        <v/>
      </c>
      <c r="J592" s="33">
        <f>IF(OR(E592=1,I592="Company-caused"),1,0)</f>
        <v>1</v>
      </c>
      <c r="K592" s="32" t="str">
        <f>IF(E592=0,IF(I592="Company-caused",IF(Orders!T589="Rider unavailable","C1 Rider unavailable","C2 Item unavailable"),"Outside root: unresolved"),IF(G592=0,"A On time",IF(H592=1,IF(L592=1,"B2a Severe, peak","B2b Severe, off-peak"),IF(L592=1,"B1a Slight, peak","B1b Slight, off-peak"))))</f>
        <v>A On time</v>
      </c>
      <c r="L592" s="33">
        <f>IF(AND(Orders!U589&gt;=19,Orders!U589&lt;22),1,0)</f>
        <v>0</v>
      </c>
      <c r="M592" s="33">
        <f>IF(L592=IF(Orders!V589,1,0),1,0)</f>
        <v>1</v>
      </c>
      <c r="N592" s="32" t="str">
        <f>IF(Orders!W589="","None",Orders!W589)</f>
        <v>Light</v>
      </c>
      <c r="O592" s="35">
        <f>INT(Orders!E589)</f>
        <v>46277.0</v>
      </c>
      <c r="P592" s="33">
        <f>Orders!U589</f>
        <v>15</v>
      </c>
      <c r="Q592" s="33">
        <f>COUNTIFS(Demand!$A$2:$A$4481,B592,Demand!$B$2:$B$4481,O592,Demand!$C$2:$C$4481,P592)</f>
        <v>1</v>
      </c>
      <c r="R592" s="33">
        <f>IF(Q592=1,SUMIFS(Demand!$E$2:$E$4481,Demand!$A$2:$A$4481,B592,Demand!$B$2:$B$4481,O592,Demand!$C$2:$C$4481,P592),"")</f>
        <v>21</v>
      </c>
      <c r="S592" s="33">
        <f>INDEX(Stores!$G$2:$G$21,MATCH(B592,Stores!$A$2:$A$21,0))</f>
        <v>20</v>
      </c>
      <c r="T592" s="34">
        <f>IF(R592="","",R592/S592)</f>
        <v>1.05</v>
      </c>
      <c r="U592" s="34">
        <f>IF(E592=1,T592,"")</f>
        <v>1.05</v>
      </c>
      <c r="V592" s="34">
        <f>IF(AND(E592=1,L592=0),T592,"")</f>
        <v>1.05</v>
      </c>
      <c r="W592" s="33">
        <f>IF(U592="","",IF(U592&lt;=Breakdowns!$C$5,1,IF(U592&lt;=Breakdowns!$C$6,2,IF(U592&lt;=Breakdowns!$C$7,3,4))))</f>
        <v>3</v>
      </c>
      <c r="X592" s="33">
        <f>IF(V592="","",IF(V592&lt;=Breakdowns!$D$5,1,IF(V592&lt;=Breakdowns!$D$6,2,IF(V592&lt;=Breakdowns!$D$7,3,4))))</f>
        <v>3</v>
      </c>
      <c r="Y592" s="34">
        <f>INDEX(Stores!$F$2:$F$21,MATCH(B592,Stores!$A$2:$A$21,0))</f>
        <v>5.31</v>
      </c>
      <c r="Z592" s="33">
        <f>IF(Y592&gt;Store_Summary!$M$2,1,0)</f>
        <v>1</v>
      </c>
      <c r="AA592" s="33">
        <f>INDEX(Stores!$C$2:$C$21,MATCH(B592,Stores!$A$2:$A$21,0))</f>
        <v>214</v>
      </c>
      <c r="AB592" s="33">
        <f>IF(AA592&lt;180,1,0)</f>
        <v>0</v>
      </c>
      <c r="AC592" s="32" t="str">
        <f>IF(Orders!D589="","",INDEX(Riders!$C$2:$C$81,MATCH(Orders!D589,Riders!$A$2:$A$81,0)))</f>
        <v>Bicycle</v>
      </c>
      <c r="AD592" s="33">
        <f>IF(Orders!D589="","",INDEX(Riders!$D$2:$D$81,MATCH(Orders!D589,Riders!$A$2:$A$81,0)))</f>
        <v>8</v>
      </c>
      <c r="AE592" s="33">
        <f>IF(Orders!D589="","",IF(INDEX(Riders!$B$2:$B$81,MATCH(Orders!D589,Riders!$A$2:$A$81,0))=B592,1,0))</f>
        <v>0</v>
      </c>
      <c r="AF592" s="34">
        <f>IF(E592=1,Orders!L589,"")</f>
        <v>1.73</v>
      </c>
      <c r="AG592" s="34">
        <f>IF(E592=1,Orders!P589,"")</f>
        <v>10.7</v>
      </c>
      <c r="AH592" s="34">
        <f>IF(E592=1,Orders!Q589,"")</f>
        <v>9.8</v>
      </c>
      <c r="AI592" s="34">
        <f>IF(E592=1,Orders!M589,"")</f>
        <v>3.3</v>
      </c>
      <c r="AJ592" s="34">
        <f>IF(E592=1,Orders!N589,"")</f>
        <v>3</v>
      </c>
      <c r="AK592" s="34">
        <f>IF(E592=1,Orders!O589,"")</f>
        <v>3.5</v>
      </c>
      <c r="AL592" s="33">
        <f>IF(E592=1,IF(ROUND(ABS(AI592+AJ592+AK592-AH592),6)&lt;=0.1,1,0),"")</f>
        <v>1</v>
      </c>
      <c r="AM592" s="36">
        <f>IF(E592=1,AI592/AH592,"")</f>
        <v>0.336734693877551</v>
      </c>
      <c r="AN592" s="36">
        <f>IF(E592=1,AJ592/AH592,"")</f>
        <v>0.306122448979592</v>
      </c>
      <c r="AO592" s="36">
        <f>IF(E592=1,AK592/AH592,"")</f>
        <v>0.357142857142857</v>
      </c>
      <c r="AP592" s="34">
        <f>IF(E592=1,Orders!Y589,"")</f>
        <v>0.37</v>
      </c>
      <c r="AQ592" s="33">
        <f>IF(Orders!X589,1,0)</f>
        <v>0</v>
      </c>
      <c r="AR592" s="34" t="str">
        <f>IF(AND(E592=1,L592=1),AJ592,"")</f>
        <v/>
      </c>
      <c r="AS592" s="34">
        <f>IF(AND(E592=1,L592=0),AJ592,"")</f>
        <v>3</v>
      </c>
      <c r="AT592" s="34" t="str">
        <f>IF(AND(E592=1,L592=1),AI592,"")</f>
        <v/>
      </c>
      <c r="AU592" s="34">
        <f>IF(AND(E592=1,L592=0),AI592,"")</f>
        <v>3.3</v>
      </c>
      <c r="AV592" s="34" t="str">
        <f>IF(AND(E592=1,L592=1),AG592,"")</f>
        <v/>
      </c>
      <c r="AW592" s="34">
        <f>IF(AND(E592=1,L592=0),AG592,"")</f>
        <v>10.7</v>
      </c>
      <c r="AX592" s="34" t="str">
        <f>IF(AND(E592=1,L592=1),AH592,"")</f>
        <v/>
      </c>
      <c r="AY592" s="34">
        <f>IF(AND(E592=1,L592=0),AH592,"")</f>
        <v>9.8</v>
      </c>
      <c r="AZ592" s="34" t="str">
        <f>IF(G592=1,F592,"")</f>
        <v/>
      </c>
      <c r="BA592" s="34" t="str">
        <f>IF(AND(G592=1,L592=1),F592,"")</f>
        <v/>
      </c>
      <c r="BB592" s="34" t="str">
        <f>IF(AND(G592=1,L592=0),F592,"")</f>
        <v/>
      </c>
      <c r="BC592" s="33">
        <f>IF(E592=1,IF(Orders!R589&gt;3,1,0),"")</f>
        <v>0</v>
      </c>
      <c r="BD592" s="33">
        <f>IF(E592=1,IF(Orders!R589&gt;7,1,0),"")</f>
        <v>0</v>
      </c>
      <c r="BE592" s="32" t="str">
        <f>IF(E592=1,IF(Orders!L589&lt;=1.5,"Up to 1.5 km",IF(Orders!L589&lt;=3,"1.5–3 km","Over 3 km")),"")</f>
        <v>1.5–3 km</v>
      </c>
      <c r="BF592" s="33">
        <f>IF(E592=1,IF(ABS((Orders!G589-Orders!F589)*1440-Orders!R589)&lt;0.06,1,0),"")</f>
        <v>1</v>
      </c>
      <c r="BG592" s="33">
        <f>IF(ABS((Orders!F589-Orders!E589)*1440-Orders!P589)&lt;0.06,1,0)</f>
        <v>1</v>
      </c>
      <c r="BH592" s="33">
        <f>IF(E592=1,IF(IF(Orders!S589,1,0)=1-G592,1,0),"")</f>
        <v>1</v>
      </c>
      <c r="BI592" s="32" t="str">
        <f>INDEX(Stores!$B$2:$B$21,MATCH(B592,Stores!$A$2:$A$21,0))</f>
        <v>Mumbai</v>
      </c>
    </row>
    <row r="593">
      <c r="A593" s="32" t="str">
        <f>Orders!A590</f>
        <v>O00589</v>
      </c>
      <c r="B593" s="32" t="str">
        <f>Orders!C590</f>
        <v>S015</v>
      </c>
      <c r="C593" s="32" t="str">
        <f>Orders!B590</f>
        <v>C0062</v>
      </c>
      <c r="D593" s="32" t="str">
        <f>Orders!H590</f>
        <v>Delivered</v>
      </c>
      <c r="E593" s="33">
        <f>IF(Orders!H590="Delivered",1,0)</f>
        <v>1</v>
      </c>
      <c r="F593" s="34">
        <f>IF(E593=1,Orders!R590,"")</f>
        <v>-0.7</v>
      </c>
      <c r="G593" s="33">
        <f>IF(E593=1,IF(Orders!R590&gt;0,1,0),"")</f>
        <v>0</v>
      </c>
      <c r="H593" s="33">
        <f>IF(E593=1,IF(Orders!R590&gt;5,1,0),"")</f>
        <v>0</v>
      </c>
      <c r="I593" s="32" t="str">
        <f>IF(E593=1,"",IF(OR(Orders!T590="Rider unavailable",Orders!T590="Item unavailable"),"Company-caused","Unresolved"))</f>
        <v/>
      </c>
      <c r="J593" s="33">
        <f>IF(OR(E593=1,I593="Company-caused"),1,0)</f>
        <v>1</v>
      </c>
      <c r="K593" s="32" t="str">
        <f>IF(E593=0,IF(I593="Company-caused",IF(Orders!T590="Rider unavailable","C1 Rider unavailable","C2 Item unavailable"),"Outside root: unresolved"),IF(G593=0,"A On time",IF(H593=1,IF(L593=1,"B2a Severe, peak","B2b Severe, off-peak"),IF(L593=1,"B1a Slight, peak","B1b Slight, off-peak"))))</f>
        <v>A On time</v>
      </c>
      <c r="L593" s="33">
        <f>IF(AND(Orders!U590&gt;=19,Orders!U590&lt;22),1,0)</f>
        <v>0</v>
      </c>
      <c r="M593" s="33">
        <f>IF(L593=IF(Orders!V590,1,0),1,0)</f>
        <v>1</v>
      </c>
      <c r="N593" s="32" t="str">
        <f>IF(Orders!W590="","None",Orders!W590)</f>
        <v>None</v>
      </c>
      <c r="O593" s="35">
        <f>INT(Orders!E590)</f>
        <v>46266.0</v>
      </c>
      <c r="P593" s="33">
        <f>Orders!U590</f>
        <v>16</v>
      </c>
      <c r="Q593" s="33">
        <f>COUNTIFS(Demand!$A$2:$A$4481,B593,Demand!$B$2:$B$4481,O593,Demand!$C$2:$C$4481,P593)</f>
        <v>1</v>
      </c>
      <c r="R593" s="33">
        <f>IF(Q593=1,SUMIFS(Demand!$E$2:$E$4481,Demand!$A$2:$A$4481,B593,Demand!$B$2:$B$4481,O593,Demand!$C$2:$C$4481,P593),"")</f>
        <v>23</v>
      </c>
      <c r="S593" s="33">
        <f>INDEX(Stores!$G$2:$G$21,MATCH(B593,Stores!$A$2:$A$21,0))</f>
        <v>23</v>
      </c>
      <c r="T593" s="34">
        <f>IF(R593="","",R593/S593)</f>
        <v>1</v>
      </c>
      <c r="U593" s="34">
        <f>IF(E593=1,T593,"")</f>
        <v>1</v>
      </c>
      <c r="V593" s="34">
        <f>IF(AND(E593=1,L593=0),T593,"")</f>
        <v>1</v>
      </c>
      <c r="W593" s="33">
        <f>IF(U593="","",IF(U593&lt;=Breakdowns!$C$5,1,IF(U593&lt;=Breakdowns!$C$6,2,IF(U593&lt;=Breakdowns!$C$7,3,4))))</f>
        <v>2</v>
      </c>
      <c r="X593" s="33">
        <f>IF(V593="","",IF(V593&lt;=Breakdowns!$D$5,1,IF(V593&lt;=Breakdowns!$D$6,2,IF(V593&lt;=Breakdowns!$D$7,3,4))))</f>
        <v>3</v>
      </c>
      <c r="Y593" s="34">
        <f>INDEX(Stores!$F$2:$F$21,MATCH(B593,Stores!$A$2:$A$21,0))</f>
        <v>4.66</v>
      </c>
      <c r="Z593" s="33">
        <f>IF(Y593&gt;Store_Summary!$M$2,1,0)</f>
        <v>0</v>
      </c>
      <c r="AA593" s="33">
        <f>INDEX(Stores!$C$2:$C$21,MATCH(B593,Stores!$A$2:$A$21,0))</f>
        <v>204</v>
      </c>
      <c r="AB593" s="33">
        <f>IF(AA593&lt;180,1,0)</f>
        <v>0</v>
      </c>
      <c r="AC593" s="32" t="str">
        <f>IF(Orders!D590="","",INDEX(Riders!$C$2:$C$81,MATCH(Orders!D590,Riders!$A$2:$A$81,0)))</f>
        <v>EV scooter</v>
      </c>
      <c r="AD593" s="33">
        <f>IF(Orders!D590="","",INDEX(Riders!$D$2:$D$81,MATCH(Orders!D590,Riders!$A$2:$A$81,0)))</f>
        <v>2</v>
      </c>
      <c r="AE593" s="33">
        <f>IF(Orders!D590="","",IF(INDEX(Riders!$B$2:$B$81,MATCH(Orders!D590,Riders!$A$2:$A$81,0))=B593,1,0))</f>
        <v>1</v>
      </c>
      <c r="AF593" s="34">
        <f>IF(E593=1,Orders!L590,"")</f>
        <v>1.4</v>
      </c>
      <c r="AG593" s="34">
        <f>IF(E593=1,Orders!P590,"")</f>
        <v>9.5</v>
      </c>
      <c r="AH593" s="34">
        <f>IF(E593=1,Orders!Q590,"")</f>
        <v>8.8</v>
      </c>
      <c r="AI593" s="34">
        <f>IF(E593=1,Orders!M590,"")</f>
        <v>3.1</v>
      </c>
      <c r="AJ593" s="34">
        <f>IF(E593=1,Orders!N590,"")</f>
        <v>2.6</v>
      </c>
      <c r="AK593" s="34">
        <f>IF(E593=1,Orders!O590,"")</f>
        <v>3.1</v>
      </c>
      <c r="AL593" s="33">
        <f>IF(E593=1,IF(ROUND(ABS(AI593+AJ593+AK593-AH593),6)&lt;=0.1,1,0),"")</f>
        <v>1</v>
      </c>
      <c r="AM593" s="36">
        <f>IF(E593=1,AI593/AH593,"")</f>
        <v>0.352272727272727</v>
      </c>
      <c r="AN593" s="36">
        <f>IF(E593=1,AJ593/AH593,"")</f>
        <v>0.295454545454545</v>
      </c>
      <c r="AO593" s="36">
        <f>IF(E593=1,AK593/AH593,"")</f>
        <v>0.352272727272727</v>
      </c>
      <c r="AP593" s="34">
        <f>IF(E593=1,Orders!Y590,"")</f>
        <v>0.46</v>
      </c>
      <c r="AQ593" s="33">
        <f>IF(Orders!X590,1,0)</f>
        <v>0</v>
      </c>
      <c r="AR593" s="34" t="str">
        <f>IF(AND(E593=1,L593=1),AJ593,"")</f>
        <v/>
      </c>
      <c r="AS593" s="34">
        <f>IF(AND(E593=1,L593=0),AJ593,"")</f>
        <v>2.6</v>
      </c>
      <c r="AT593" s="34" t="str">
        <f>IF(AND(E593=1,L593=1),AI593,"")</f>
        <v/>
      </c>
      <c r="AU593" s="34">
        <f>IF(AND(E593=1,L593=0),AI593,"")</f>
        <v>3.1</v>
      </c>
      <c r="AV593" s="34" t="str">
        <f>IF(AND(E593=1,L593=1),AG593,"")</f>
        <v/>
      </c>
      <c r="AW593" s="34">
        <f>IF(AND(E593=1,L593=0),AG593,"")</f>
        <v>9.5</v>
      </c>
      <c r="AX593" s="34" t="str">
        <f>IF(AND(E593=1,L593=1),AH593,"")</f>
        <v/>
      </c>
      <c r="AY593" s="34">
        <f>IF(AND(E593=1,L593=0),AH593,"")</f>
        <v>8.8</v>
      </c>
      <c r="AZ593" s="34" t="str">
        <f>IF(G593=1,F593,"")</f>
        <v/>
      </c>
      <c r="BA593" s="34" t="str">
        <f>IF(AND(G593=1,L593=1),F593,"")</f>
        <v/>
      </c>
      <c r="BB593" s="34" t="str">
        <f>IF(AND(G593=1,L593=0),F593,"")</f>
        <v/>
      </c>
      <c r="BC593" s="33">
        <f>IF(E593=1,IF(Orders!R590&gt;3,1,0),"")</f>
        <v>0</v>
      </c>
      <c r="BD593" s="33">
        <f>IF(E593=1,IF(Orders!R590&gt;7,1,0),"")</f>
        <v>0</v>
      </c>
      <c r="BE593" s="32" t="str">
        <f>IF(E593=1,IF(Orders!L590&lt;=1.5,"Up to 1.5 km",IF(Orders!L590&lt;=3,"1.5–3 km","Over 3 km")),"")</f>
        <v>Up to 1.5 km</v>
      </c>
      <c r="BF593" s="33">
        <f>IF(E593=1,IF(ABS((Orders!G590-Orders!F590)*1440-Orders!R590)&lt;0.06,1,0),"")</f>
        <v>1</v>
      </c>
      <c r="BG593" s="33">
        <f>IF(ABS((Orders!F590-Orders!E590)*1440-Orders!P590)&lt;0.06,1,0)</f>
        <v>1</v>
      </c>
      <c r="BH593" s="33">
        <f>IF(E593=1,IF(IF(Orders!S590,1,0)=1-G593,1,0),"")</f>
        <v>1</v>
      </c>
      <c r="BI593" s="32" t="str">
        <f>INDEX(Stores!$B$2:$B$21,MATCH(B593,Stores!$A$2:$A$21,0))</f>
        <v>Delhi</v>
      </c>
    </row>
    <row r="594">
      <c r="A594" s="32" t="str">
        <f>Orders!A591</f>
        <v>O00590</v>
      </c>
      <c r="B594" s="32" t="str">
        <f>Orders!C591</f>
        <v>S009</v>
      </c>
      <c r="C594" s="32" t="str">
        <f>Orders!B591</f>
        <v>C0042</v>
      </c>
      <c r="D594" s="32" t="str">
        <f>Orders!H591</f>
        <v>Delivered</v>
      </c>
      <c r="E594" s="33">
        <f>IF(Orders!H591="Delivered",1,0)</f>
        <v>1</v>
      </c>
      <c r="F594" s="34">
        <f>IF(E594=1,Orders!R591,"")</f>
        <v>-0.3</v>
      </c>
      <c r="G594" s="33">
        <f>IF(E594=1,IF(Orders!R591&gt;0,1,0),"")</f>
        <v>0</v>
      </c>
      <c r="H594" s="33">
        <f>IF(E594=1,IF(Orders!R591&gt;5,1,0),"")</f>
        <v>0</v>
      </c>
      <c r="I594" s="32" t="str">
        <f>IF(E594=1,"",IF(OR(Orders!T591="Rider unavailable",Orders!T591="Item unavailable"),"Company-caused","Unresolved"))</f>
        <v/>
      </c>
      <c r="J594" s="33">
        <f>IF(OR(E594=1,I594="Company-caused"),1,0)</f>
        <v>1</v>
      </c>
      <c r="K594" s="32" t="str">
        <f>IF(E594=0,IF(I594="Company-caused",IF(Orders!T591="Rider unavailable","C1 Rider unavailable","C2 Item unavailable"),"Outside root: unresolved"),IF(G594=0,"A On time",IF(H594=1,IF(L594=1,"B2a Severe, peak","B2b Severe, off-peak"),IF(L594=1,"B1a Slight, peak","B1b Slight, off-peak"))))</f>
        <v>A On time</v>
      </c>
      <c r="L594" s="33">
        <f>IF(AND(Orders!U591&gt;=19,Orders!U591&lt;22),1,0)</f>
        <v>1</v>
      </c>
      <c r="M594" s="33">
        <f>IF(L594=IF(Orders!V591,1,0),1,0)</f>
        <v>1</v>
      </c>
      <c r="N594" s="32" t="str">
        <f>IF(Orders!W591="","None",Orders!W591)</f>
        <v>Light</v>
      </c>
      <c r="O594" s="35">
        <f>INT(Orders!E591)</f>
        <v>46277.0</v>
      </c>
      <c r="P594" s="33">
        <f>Orders!U591</f>
        <v>19</v>
      </c>
      <c r="Q594" s="33">
        <f>COUNTIFS(Demand!$A$2:$A$4481,B594,Demand!$B$2:$B$4481,O594,Demand!$C$2:$C$4481,P594)</f>
        <v>1</v>
      </c>
      <c r="R594" s="33">
        <f>IF(Q594=1,SUMIFS(Demand!$E$2:$E$4481,Demand!$A$2:$A$4481,B594,Demand!$B$2:$B$4481,O594,Demand!$C$2:$C$4481,P594),"")</f>
        <v>46</v>
      </c>
      <c r="S594" s="33">
        <f>INDEX(Stores!$G$2:$G$21,MATCH(B594,Stores!$A$2:$A$21,0))</f>
        <v>29</v>
      </c>
      <c r="T594" s="34">
        <f>IF(R594="","",R594/S594)</f>
        <v>1.58620689655172</v>
      </c>
      <c r="U594" s="34">
        <f>IF(E594=1,T594,"")</f>
        <v>1.58620689655172</v>
      </c>
      <c r="V594" s="34" t="str">
        <f>IF(AND(E594=1,L594=0),T594,"")</f>
        <v/>
      </c>
      <c r="W594" s="33">
        <f>IF(U594="","",IF(U594&lt;=Breakdowns!$C$5,1,IF(U594&lt;=Breakdowns!$C$6,2,IF(U594&lt;=Breakdowns!$C$7,3,4))))</f>
        <v>4</v>
      </c>
      <c r="X594" s="33" t="str">
        <f>IF(V594="","",IF(V594&lt;=Breakdowns!$D$5,1,IF(V594&lt;=Breakdowns!$D$6,2,IF(V594&lt;=Breakdowns!$D$7,3,4))))</f>
        <v/>
      </c>
      <c r="Y594" s="34">
        <f>INDEX(Stores!$F$2:$F$21,MATCH(B594,Stores!$A$2:$A$21,0))</f>
        <v>2.66</v>
      </c>
      <c r="Z594" s="33">
        <f>IF(Y594&gt;Store_Summary!$M$2,1,0)</f>
        <v>0</v>
      </c>
      <c r="AA594" s="33">
        <f>INDEX(Stores!$C$2:$C$21,MATCH(B594,Stores!$A$2:$A$21,0))</f>
        <v>645</v>
      </c>
      <c r="AB594" s="33">
        <f>IF(AA594&lt;180,1,0)</f>
        <v>0</v>
      </c>
      <c r="AC594" s="32" t="str">
        <f>IF(Orders!D591="","",INDEX(Riders!$C$2:$C$81,MATCH(Orders!D591,Riders!$A$2:$A$81,0)))</f>
        <v>EV scooter</v>
      </c>
      <c r="AD594" s="33">
        <f>IF(Orders!D591="","",INDEX(Riders!$D$2:$D$81,MATCH(Orders!D591,Riders!$A$2:$A$81,0)))</f>
        <v>44</v>
      </c>
      <c r="AE594" s="33">
        <f>IF(Orders!D591="","",IF(INDEX(Riders!$B$2:$B$81,MATCH(Orders!D591,Riders!$A$2:$A$81,0))=B594,1,0))</f>
        <v>0</v>
      </c>
      <c r="AF594" s="34">
        <f>IF(E594=1,Orders!L591,"")</f>
        <v>2.26</v>
      </c>
      <c r="AG594" s="34">
        <f>IF(E594=1,Orders!P591,"")</f>
        <v>7.9</v>
      </c>
      <c r="AH594" s="34">
        <f>IF(E594=1,Orders!Q591,"")</f>
        <v>7.6</v>
      </c>
      <c r="AI594" s="34">
        <f>IF(E594=1,Orders!M591,"")</f>
        <v>2.1</v>
      </c>
      <c r="AJ594" s="34">
        <f>IF(E594=1,Orders!N591,"")</f>
        <v>1.6</v>
      </c>
      <c r="AK594" s="34">
        <f>IF(E594=1,Orders!O591,"")</f>
        <v>3.9</v>
      </c>
      <c r="AL594" s="33">
        <f>IF(E594=1,IF(ROUND(ABS(AI594+AJ594+AK594-AH594),6)&lt;=0.1,1,0),"")</f>
        <v>1</v>
      </c>
      <c r="AM594" s="36">
        <f>IF(E594=1,AI594/AH594,"")</f>
        <v>0.276315789473684</v>
      </c>
      <c r="AN594" s="36">
        <f>IF(E594=1,AJ594/AH594,"")</f>
        <v>0.210526315789474</v>
      </c>
      <c r="AO594" s="36">
        <f>IF(E594=1,AK594/AH594,"")</f>
        <v>0.513157894736842</v>
      </c>
      <c r="AP594" s="34">
        <f>IF(E594=1,Orders!Y591,"")</f>
        <v>0.47</v>
      </c>
      <c r="AQ594" s="33">
        <f>IF(Orders!X591,1,0)</f>
        <v>0</v>
      </c>
      <c r="AR594" s="34">
        <f>IF(AND(E594=1,L594=1),AJ594,"")</f>
        <v>1.6</v>
      </c>
      <c r="AS594" s="34" t="str">
        <f>IF(AND(E594=1,L594=0),AJ594,"")</f>
        <v/>
      </c>
      <c r="AT594" s="34">
        <f>IF(AND(E594=1,L594=1),AI594,"")</f>
        <v>2.1</v>
      </c>
      <c r="AU594" s="34" t="str">
        <f>IF(AND(E594=1,L594=0),AI594,"")</f>
        <v/>
      </c>
      <c r="AV594" s="34">
        <f>IF(AND(E594=1,L594=1),AG594,"")</f>
        <v>7.9</v>
      </c>
      <c r="AW594" s="34" t="str">
        <f>IF(AND(E594=1,L594=0),AG594,"")</f>
        <v/>
      </c>
      <c r="AX594" s="34">
        <f>IF(AND(E594=1,L594=1),AH594,"")</f>
        <v>7.6</v>
      </c>
      <c r="AY594" s="34" t="str">
        <f>IF(AND(E594=1,L594=0),AH594,"")</f>
        <v/>
      </c>
      <c r="AZ594" s="34" t="str">
        <f>IF(G594=1,F594,"")</f>
        <v/>
      </c>
      <c r="BA594" s="34" t="str">
        <f>IF(AND(G594=1,L594=1),F594,"")</f>
        <v/>
      </c>
      <c r="BB594" s="34" t="str">
        <f>IF(AND(G594=1,L594=0),F594,"")</f>
        <v/>
      </c>
      <c r="BC594" s="33">
        <f>IF(E594=1,IF(Orders!R591&gt;3,1,0),"")</f>
        <v>0</v>
      </c>
      <c r="BD594" s="33">
        <f>IF(E594=1,IF(Orders!R591&gt;7,1,0),"")</f>
        <v>0</v>
      </c>
      <c r="BE594" s="32" t="str">
        <f>IF(E594=1,IF(Orders!L591&lt;=1.5,"Up to 1.5 km",IF(Orders!L591&lt;=3,"1.5–3 km","Over 3 km")),"")</f>
        <v>1.5–3 km</v>
      </c>
      <c r="BF594" s="33">
        <f>IF(E594=1,IF(ABS((Orders!G591-Orders!F591)*1440-Orders!R591)&lt;0.06,1,0),"")</f>
        <v>1</v>
      </c>
      <c r="BG594" s="33">
        <f>IF(ABS((Orders!F591-Orders!E591)*1440-Orders!P591)&lt;0.06,1,0)</f>
        <v>1</v>
      </c>
      <c r="BH594" s="33">
        <f>IF(E594=1,IF(IF(Orders!S591,1,0)=1-G594,1,0),"")</f>
        <v>1</v>
      </c>
      <c r="BI594" s="32" t="str">
        <f>INDEX(Stores!$B$2:$B$21,MATCH(B594,Stores!$A$2:$A$21,0))</f>
        <v>Pune</v>
      </c>
    </row>
    <row r="595">
      <c r="A595" s="32" t="str">
        <f>Orders!A592</f>
        <v>O00591</v>
      </c>
      <c r="B595" s="32" t="str">
        <f>Orders!C592</f>
        <v>S019</v>
      </c>
      <c r="C595" s="32" t="str">
        <f>Orders!B592</f>
        <v>C0115</v>
      </c>
      <c r="D595" s="32" t="str">
        <f>Orders!H592</f>
        <v>Delivered</v>
      </c>
      <c r="E595" s="33">
        <f>IF(Orders!H592="Delivered",1,0)</f>
        <v>1</v>
      </c>
      <c r="F595" s="34">
        <f>IF(E595=1,Orders!R592,"")</f>
        <v>-0.3</v>
      </c>
      <c r="G595" s="33">
        <f>IF(E595=1,IF(Orders!R592&gt;0,1,0),"")</f>
        <v>0</v>
      </c>
      <c r="H595" s="33">
        <f>IF(E595=1,IF(Orders!R592&gt;5,1,0),"")</f>
        <v>0</v>
      </c>
      <c r="I595" s="32" t="str">
        <f>IF(E595=1,"",IF(OR(Orders!T592="Rider unavailable",Orders!T592="Item unavailable"),"Company-caused","Unresolved"))</f>
        <v/>
      </c>
      <c r="J595" s="33">
        <f>IF(OR(E595=1,I595="Company-caused"),1,0)</f>
        <v>1</v>
      </c>
      <c r="K595" s="32" t="str">
        <f>IF(E595=0,IF(I595="Company-caused",IF(Orders!T592="Rider unavailable","C1 Rider unavailable","C2 Item unavailable"),"Outside root: unresolved"),IF(G595=0,"A On time",IF(H595=1,IF(L595=1,"B2a Severe, peak","B2b Severe, off-peak"),IF(L595=1,"B1a Slight, peak","B1b Slight, off-peak"))))</f>
        <v>A On time</v>
      </c>
      <c r="L595" s="33">
        <f>IF(AND(Orders!U592&gt;=19,Orders!U592&lt;22),1,0)</f>
        <v>0</v>
      </c>
      <c r="M595" s="33">
        <f>IF(L595=IF(Orders!V592,1,0),1,0)</f>
        <v>1</v>
      </c>
      <c r="N595" s="32" t="str">
        <f>IF(Orders!W592="","None",Orders!W592)</f>
        <v>None</v>
      </c>
      <c r="O595" s="35">
        <f>INT(Orders!E592)</f>
        <v>46267.0</v>
      </c>
      <c r="P595" s="33">
        <f>Orders!U592</f>
        <v>23</v>
      </c>
      <c r="Q595" s="33">
        <f>COUNTIFS(Demand!$A$2:$A$4481,B595,Demand!$B$2:$B$4481,O595,Demand!$C$2:$C$4481,P595)</f>
        <v>1</v>
      </c>
      <c r="R595" s="33">
        <f>IF(Q595=1,SUMIFS(Demand!$E$2:$E$4481,Demand!$A$2:$A$4481,B595,Demand!$B$2:$B$4481,O595,Demand!$C$2:$C$4481,P595),"")</f>
        <v>30</v>
      </c>
      <c r="S595" s="33">
        <f>INDEX(Stores!$G$2:$G$21,MATCH(B595,Stores!$A$2:$A$21,0))</f>
        <v>22</v>
      </c>
      <c r="T595" s="34">
        <f>IF(R595="","",R595/S595)</f>
        <v>1.36363636363636</v>
      </c>
      <c r="U595" s="34">
        <f>IF(E595=1,T595,"")</f>
        <v>1.36363636363636</v>
      </c>
      <c r="V595" s="34">
        <f>IF(AND(E595=1,L595=0),T595,"")</f>
        <v>1.36363636363636</v>
      </c>
      <c r="W595" s="33">
        <f>IF(U595="","",IF(U595&lt;=Breakdowns!$C$5,1,IF(U595&lt;=Breakdowns!$C$6,2,IF(U595&lt;=Breakdowns!$C$7,3,4))))</f>
        <v>4</v>
      </c>
      <c r="X595" s="33">
        <f>IF(V595="","",IF(V595&lt;=Breakdowns!$D$5,1,IF(V595&lt;=Breakdowns!$D$6,2,IF(V595&lt;=Breakdowns!$D$7,3,4))))</f>
        <v>4</v>
      </c>
      <c r="Y595" s="34">
        <f>INDEX(Stores!$F$2:$F$21,MATCH(B595,Stores!$A$2:$A$21,0))</f>
        <v>4.99</v>
      </c>
      <c r="Z595" s="33">
        <f>IF(Y595&gt;Store_Summary!$M$2,1,0)</f>
        <v>1</v>
      </c>
      <c r="AA595" s="33">
        <f>INDEX(Stores!$C$2:$C$21,MATCH(B595,Stores!$A$2:$A$21,0))</f>
        <v>851</v>
      </c>
      <c r="AB595" s="33">
        <f>IF(AA595&lt;180,1,0)</f>
        <v>0</v>
      </c>
      <c r="AC595" s="32" t="str">
        <f>IF(Orders!D592="","",INDEX(Riders!$C$2:$C$81,MATCH(Orders!D592,Riders!$A$2:$A$81,0)))</f>
        <v>Bicycle</v>
      </c>
      <c r="AD595" s="33">
        <f>IF(Orders!D592="","",INDEX(Riders!$D$2:$D$81,MATCH(Orders!D592,Riders!$A$2:$A$81,0)))</f>
        <v>26</v>
      </c>
      <c r="AE595" s="33">
        <f>IF(Orders!D592="","",IF(INDEX(Riders!$B$2:$B$81,MATCH(Orders!D592,Riders!$A$2:$A$81,0))=B595,1,0))</f>
        <v>0</v>
      </c>
      <c r="AF595" s="34">
        <f>IF(E595=1,Orders!L592,"")</f>
        <v>0.77</v>
      </c>
      <c r="AG595" s="34">
        <f>IF(E595=1,Orders!P592,"")</f>
        <v>10.4</v>
      </c>
      <c r="AH595" s="34">
        <f>IF(E595=1,Orders!Q592,"")</f>
        <v>10.1</v>
      </c>
      <c r="AI595" s="34">
        <f>IF(E595=1,Orders!M592,"")</f>
        <v>4.3</v>
      </c>
      <c r="AJ595" s="34">
        <f>IF(E595=1,Orders!N592,"")</f>
        <v>3.3</v>
      </c>
      <c r="AK595" s="34">
        <f>IF(E595=1,Orders!O592,"")</f>
        <v>2.5</v>
      </c>
      <c r="AL595" s="33">
        <f>IF(E595=1,IF(ROUND(ABS(AI595+AJ595+AK595-AH595),6)&lt;=0.1,1,0),"")</f>
        <v>1</v>
      </c>
      <c r="AM595" s="36">
        <f>IF(E595=1,AI595/AH595,"")</f>
        <v>0.425742574257426</v>
      </c>
      <c r="AN595" s="36">
        <f>IF(E595=1,AJ595/AH595,"")</f>
        <v>0.326732673267327</v>
      </c>
      <c r="AO595" s="36">
        <f>IF(E595=1,AK595/AH595,"")</f>
        <v>0.247524752475248</v>
      </c>
      <c r="AP595" s="34">
        <f>IF(E595=1,Orders!Y592,"")</f>
        <v>0.5</v>
      </c>
      <c r="AQ595" s="33">
        <f>IF(Orders!X592,1,0)</f>
        <v>0</v>
      </c>
      <c r="AR595" s="34" t="str">
        <f>IF(AND(E595=1,L595=1),AJ595,"")</f>
        <v/>
      </c>
      <c r="AS595" s="34">
        <f>IF(AND(E595=1,L595=0),AJ595,"")</f>
        <v>3.3</v>
      </c>
      <c r="AT595" s="34" t="str">
        <f>IF(AND(E595=1,L595=1),AI595,"")</f>
        <v/>
      </c>
      <c r="AU595" s="34">
        <f>IF(AND(E595=1,L595=0),AI595,"")</f>
        <v>4.3</v>
      </c>
      <c r="AV595" s="34" t="str">
        <f>IF(AND(E595=1,L595=1),AG595,"")</f>
        <v/>
      </c>
      <c r="AW595" s="34">
        <f>IF(AND(E595=1,L595=0),AG595,"")</f>
        <v>10.4</v>
      </c>
      <c r="AX595" s="34" t="str">
        <f>IF(AND(E595=1,L595=1),AH595,"")</f>
        <v/>
      </c>
      <c r="AY595" s="34">
        <f>IF(AND(E595=1,L595=0),AH595,"")</f>
        <v>10.1</v>
      </c>
      <c r="AZ595" s="34" t="str">
        <f>IF(G595=1,F595,"")</f>
        <v/>
      </c>
      <c r="BA595" s="34" t="str">
        <f>IF(AND(G595=1,L595=1),F595,"")</f>
        <v/>
      </c>
      <c r="BB595" s="34" t="str">
        <f>IF(AND(G595=1,L595=0),F595,"")</f>
        <v/>
      </c>
      <c r="BC595" s="33">
        <f>IF(E595=1,IF(Orders!R592&gt;3,1,0),"")</f>
        <v>0</v>
      </c>
      <c r="BD595" s="33">
        <f>IF(E595=1,IF(Orders!R592&gt;7,1,0),"")</f>
        <v>0</v>
      </c>
      <c r="BE595" s="32" t="str">
        <f>IF(E595=1,IF(Orders!L592&lt;=1.5,"Up to 1.5 km",IF(Orders!L592&lt;=3,"1.5–3 km","Over 3 km")),"")</f>
        <v>Up to 1.5 km</v>
      </c>
      <c r="BF595" s="33">
        <f>IF(E595=1,IF(ABS((Orders!G592-Orders!F592)*1440-Orders!R592)&lt;0.06,1,0),"")</f>
        <v>1</v>
      </c>
      <c r="BG595" s="33">
        <f>IF(ABS((Orders!F592-Orders!E592)*1440-Orders!P592)&lt;0.06,1,0)</f>
        <v>1</v>
      </c>
      <c r="BH595" s="33">
        <f>IF(E595=1,IF(IF(Orders!S592,1,0)=1-G595,1,0),"")</f>
        <v>1</v>
      </c>
      <c r="BI595" s="32" t="str">
        <f>INDEX(Stores!$B$2:$B$21,MATCH(B595,Stores!$A$2:$A$21,0))</f>
        <v>Pune</v>
      </c>
    </row>
    <row r="596">
      <c r="A596" s="32" t="str">
        <f>Orders!A593</f>
        <v>O00592</v>
      </c>
      <c r="B596" s="32" t="str">
        <f>Orders!C593</f>
        <v>S018</v>
      </c>
      <c r="C596" s="32" t="str">
        <f>Orders!B593</f>
        <v>C0001</v>
      </c>
      <c r="D596" s="32" t="str">
        <f>Orders!H593</f>
        <v>Delivered</v>
      </c>
      <c r="E596" s="33">
        <f>IF(Orders!H593="Delivered",1,0)</f>
        <v>1</v>
      </c>
      <c r="F596" s="34">
        <f>IF(E596=1,Orders!R593,"")</f>
        <v>-0.6</v>
      </c>
      <c r="G596" s="33">
        <f>IF(E596=1,IF(Orders!R593&gt;0,1,0),"")</f>
        <v>0</v>
      </c>
      <c r="H596" s="33">
        <f>IF(E596=1,IF(Orders!R593&gt;5,1,0),"")</f>
        <v>0</v>
      </c>
      <c r="I596" s="32" t="str">
        <f>IF(E596=1,"",IF(OR(Orders!T593="Rider unavailable",Orders!T593="Item unavailable"),"Company-caused","Unresolved"))</f>
        <v/>
      </c>
      <c r="J596" s="33">
        <f>IF(OR(E596=1,I596="Company-caused"),1,0)</f>
        <v>1</v>
      </c>
      <c r="K596" s="32" t="str">
        <f>IF(E596=0,IF(I596="Company-caused",IF(Orders!T593="Rider unavailable","C1 Rider unavailable","C2 Item unavailable"),"Outside root: unresolved"),IF(G596=0,"A On time",IF(H596=1,IF(L596=1,"B2a Severe, peak","B2b Severe, off-peak"),IF(L596=1,"B1a Slight, peak","B1b Slight, off-peak"))))</f>
        <v>A On time</v>
      </c>
      <c r="L596" s="33">
        <f>IF(AND(Orders!U593&gt;=19,Orders!U593&lt;22),1,0)</f>
        <v>0</v>
      </c>
      <c r="M596" s="33">
        <f>IF(L596=IF(Orders!V593,1,0),1,0)</f>
        <v>1</v>
      </c>
      <c r="N596" s="32" t="str">
        <f>IF(Orders!W593="","None",Orders!W593)</f>
        <v>Light</v>
      </c>
      <c r="O596" s="35">
        <f>INT(Orders!E593)</f>
        <v>46277.0</v>
      </c>
      <c r="P596" s="33">
        <f>Orders!U593</f>
        <v>13</v>
      </c>
      <c r="Q596" s="33">
        <f>COUNTIFS(Demand!$A$2:$A$4481,B596,Demand!$B$2:$B$4481,O596,Demand!$C$2:$C$4481,P596)</f>
        <v>1</v>
      </c>
      <c r="R596" s="33">
        <f>IF(Q596=1,SUMIFS(Demand!$E$2:$E$4481,Demand!$A$2:$A$4481,B596,Demand!$B$2:$B$4481,O596,Demand!$C$2:$C$4481,P596),"")</f>
        <v>24</v>
      </c>
      <c r="S596" s="33">
        <f>INDEX(Stores!$G$2:$G$21,MATCH(B596,Stores!$A$2:$A$21,0))</f>
        <v>20</v>
      </c>
      <c r="T596" s="34">
        <f>IF(R596="","",R596/S596)</f>
        <v>1.2</v>
      </c>
      <c r="U596" s="34">
        <f>IF(E596=1,T596,"")</f>
        <v>1.2</v>
      </c>
      <c r="V596" s="34">
        <f>IF(AND(E596=1,L596=0),T596,"")</f>
        <v>1.2</v>
      </c>
      <c r="W596" s="33">
        <f>IF(U596="","",IF(U596&lt;=Breakdowns!$C$5,1,IF(U596&lt;=Breakdowns!$C$6,2,IF(U596&lt;=Breakdowns!$C$7,3,4))))</f>
        <v>3</v>
      </c>
      <c r="X596" s="33">
        <f>IF(V596="","",IF(V596&lt;=Breakdowns!$D$5,1,IF(V596&lt;=Breakdowns!$D$6,2,IF(V596&lt;=Breakdowns!$D$7,3,4))))</f>
        <v>4</v>
      </c>
      <c r="Y596" s="34">
        <f>INDEX(Stores!$F$2:$F$21,MATCH(B596,Stores!$A$2:$A$21,0))</f>
        <v>5.31</v>
      </c>
      <c r="Z596" s="33">
        <f>IF(Y596&gt;Store_Summary!$M$2,1,0)</f>
        <v>1</v>
      </c>
      <c r="AA596" s="33">
        <f>INDEX(Stores!$C$2:$C$21,MATCH(B596,Stores!$A$2:$A$21,0))</f>
        <v>214</v>
      </c>
      <c r="AB596" s="33">
        <f>IF(AA596&lt;180,1,0)</f>
        <v>0</v>
      </c>
      <c r="AC596" s="32" t="str">
        <f>IF(Orders!D593="","",INDEX(Riders!$C$2:$C$81,MATCH(Orders!D593,Riders!$A$2:$A$81,0)))</f>
        <v>Petrol scooter</v>
      </c>
      <c r="AD596" s="33">
        <f>IF(Orders!D593="","",INDEX(Riders!$D$2:$D$81,MATCH(Orders!D593,Riders!$A$2:$A$81,0)))</f>
        <v>29</v>
      </c>
      <c r="AE596" s="33">
        <f>IF(Orders!D593="","",IF(INDEX(Riders!$B$2:$B$81,MATCH(Orders!D593,Riders!$A$2:$A$81,0))=B596,1,0))</f>
        <v>0</v>
      </c>
      <c r="AF596" s="34">
        <f>IF(E596=1,Orders!L593,"")</f>
        <v>5.9</v>
      </c>
      <c r="AG596" s="34">
        <f>IF(E596=1,Orders!P593,"")</f>
        <v>12.5</v>
      </c>
      <c r="AH596" s="34">
        <f>IF(E596=1,Orders!Q593,"")</f>
        <v>11.9</v>
      </c>
      <c r="AI596" s="34">
        <f>IF(E596=1,Orders!M593,"")</f>
        <v>3</v>
      </c>
      <c r="AJ596" s="34">
        <f>IF(E596=1,Orders!N593,"")</f>
        <v>1.5</v>
      </c>
      <c r="AK596" s="34">
        <f>IF(E596=1,Orders!O593,"")</f>
        <v>7.4</v>
      </c>
      <c r="AL596" s="33">
        <f>IF(E596=1,IF(ROUND(ABS(AI596+AJ596+AK596-AH596),6)&lt;=0.1,1,0),"")</f>
        <v>1</v>
      </c>
      <c r="AM596" s="36">
        <f>IF(E596=1,AI596/AH596,"")</f>
        <v>0.252100840336134</v>
      </c>
      <c r="AN596" s="36">
        <f>IF(E596=1,AJ596/AH596,"")</f>
        <v>0.126050420168067</v>
      </c>
      <c r="AO596" s="36">
        <f>IF(E596=1,AK596/AH596,"")</f>
        <v>0.621848739495798</v>
      </c>
      <c r="AP596" s="34">
        <f>IF(E596=1,Orders!Y593,"")</f>
        <v>0.21</v>
      </c>
      <c r="AQ596" s="33">
        <f>IF(Orders!X593,1,0)</f>
        <v>0</v>
      </c>
      <c r="AR596" s="34" t="str">
        <f>IF(AND(E596=1,L596=1),AJ596,"")</f>
        <v/>
      </c>
      <c r="AS596" s="34">
        <f>IF(AND(E596=1,L596=0),AJ596,"")</f>
        <v>1.5</v>
      </c>
      <c r="AT596" s="34" t="str">
        <f>IF(AND(E596=1,L596=1),AI596,"")</f>
        <v/>
      </c>
      <c r="AU596" s="34">
        <f>IF(AND(E596=1,L596=0),AI596,"")</f>
        <v>3</v>
      </c>
      <c r="AV596" s="34" t="str">
        <f>IF(AND(E596=1,L596=1),AG596,"")</f>
        <v/>
      </c>
      <c r="AW596" s="34">
        <f>IF(AND(E596=1,L596=0),AG596,"")</f>
        <v>12.5</v>
      </c>
      <c r="AX596" s="34" t="str">
        <f>IF(AND(E596=1,L596=1),AH596,"")</f>
        <v/>
      </c>
      <c r="AY596" s="34">
        <f>IF(AND(E596=1,L596=0),AH596,"")</f>
        <v>11.9</v>
      </c>
      <c r="AZ596" s="34" t="str">
        <f>IF(G596=1,F596,"")</f>
        <v/>
      </c>
      <c r="BA596" s="34" t="str">
        <f>IF(AND(G596=1,L596=1),F596,"")</f>
        <v/>
      </c>
      <c r="BB596" s="34" t="str">
        <f>IF(AND(G596=1,L596=0),F596,"")</f>
        <v/>
      </c>
      <c r="BC596" s="33">
        <f>IF(E596=1,IF(Orders!R593&gt;3,1,0),"")</f>
        <v>0</v>
      </c>
      <c r="BD596" s="33">
        <f>IF(E596=1,IF(Orders!R593&gt;7,1,0),"")</f>
        <v>0</v>
      </c>
      <c r="BE596" s="32" t="str">
        <f>IF(E596=1,IF(Orders!L593&lt;=1.5,"Up to 1.5 km",IF(Orders!L593&lt;=3,"1.5–3 km","Over 3 km")),"")</f>
        <v>Over 3 km</v>
      </c>
      <c r="BF596" s="33">
        <f>IF(E596=1,IF(ABS((Orders!G593-Orders!F593)*1440-Orders!R593)&lt;0.06,1,0),"")</f>
        <v>1</v>
      </c>
      <c r="BG596" s="33">
        <f>IF(ABS((Orders!F593-Orders!E593)*1440-Orders!P593)&lt;0.06,1,0)</f>
        <v>1</v>
      </c>
      <c r="BH596" s="33">
        <f>IF(E596=1,IF(IF(Orders!S593,1,0)=1-G596,1,0),"")</f>
        <v>1</v>
      </c>
      <c r="BI596" s="32" t="str">
        <f>INDEX(Stores!$B$2:$B$21,MATCH(B596,Stores!$A$2:$A$21,0))</f>
        <v>Mumbai</v>
      </c>
    </row>
    <row r="597">
      <c r="A597" s="32" t="str">
        <f>Orders!A594</f>
        <v>O00593</v>
      </c>
      <c r="B597" s="32" t="str">
        <f>Orders!C594</f>
        <v>S010</v>
      </c>
      <c r="C597" s="32" t="str">
        <f>Orders!B594</f>
        <v>C0174</v>
      </c>
      <c r="D597" s="32" t="str">
        <f>Orders!H594</f>
        <v>Delivered</v>
      </c>
      <c r="E597" s="33">
        <f>IF(Orders!H594="Delivered",1,0)</f>
        <v>1</v>
      </c>
      <c r="F597" s="34">
        <f>IF(E597=1,Orders!R594,"")</f>
        <v>3.2</v>
      </c>
      <c r="G597" s="33">
        <f>IF(E597=1,IF(Orders!R594&gt;0,1,0),"")</f>
        <v>1</v>
      </c>
      <c r="H597" s="33">
        <f>IF(E597=1,IF(Orders!R594&gt;5,1,0),"")</f>
        <v>0</v>
      </c>
      <c r="I597" s="32" t="str">
        <f>IF(E597=1,"",IF(OR(Orders!T594="Rider unavailable",Orders!T594="Item unavailable"),"Company-caused","Unresolved"))</f>
        <v/>
      </c>
      <c r="J597" s="33">
        <f>IF(OR(E597=1,I597="Company-caused"),1,0)</f>
        <v>1</v>
      </c>
      <c r="K597" s="32" t="str">
        <f>IF(E597=0,IF(I597="Company-caused",IF(Orders!T594="Rider unavailable","C1 Rider unavailable","C2 Item unavailable"),"Outside root: unresolved"),IF(G597=0,"A On time",IF(H597=1,IF(L597=1,"B2a Severe, peak","B2b Severe, off-peak"),IF(L597=1,"B1a Slight, peak","B1b Slight, off-peak"))))</f>
        <v>B1b Slight, off-peak</v>
      </c>
      <c r="L597" s="33">
        <f>IF(AND(Orders!U594&gt;=19,Orders!U594&lt;22),1,0)</f>
        <v>0</v>
      </c>
      <c r="M597" s="33">
        <f>IF(L597=IF(Orders!V594,1,0),1,0)</f>
        <v>1</v>
      </c>
      <c r="N597" s="32" t="str">
        <f>IF(Orders!W594="","None",Orders!W594)</f>
        <v>None</v>
      </c>
      <c r="O597" s="35">
        <f>INT(Orders!E594)</f>
        <v>46266.0</v>
      </c>
      <c r="P597" s="33">
        <f>Orders!U594</f>
        <v>22</v>
      </c>
      <c r="Q597" s="33">
        <f>COUNTIFS(Demand!$A$2:$A$4481,B597,Demand!$B$2:$B$4481,O597,Demand!$C$2:$C$4481,P597)</f>
        <v>1</v>
      </c>
      <c r="R597" s="33">
        <f>IF(Q597=1,SUMIFS(Demand!$E$2:$E$4481,Demand!$A$2:$A$4481,B597,Demand!$B$2:$B$4481,O597,Demand!$C$2:$C$4481,P597),"")</f>
        <v>18</v>
      </c>
      <c r="S597" s="33">
        <f>INDEX(Stores!$G$2:$G$21,MATCH(B597,Stores!$A$2:$A$21,0))</f>
        <v>22</v>
      </c>
      <c r="T597" s="34">
        <f>IF(R597="","",R597/S597)</f>
        <v>0.818181818181818</v>
      </c>
      <c r="U597" s="34">
        <f>IF(E597=1,T597,"")</f>
        <v>0.818181818181818</v>
      </c>
      <c r="V597" s="34">
        <f>IF(AND(E597=1,L597=0),T597,"")</f>
        <v>0.818181818181818</v>
      </c>
      <c r="W597" s="33">
        <f>IF(U597="","",IF(U597&lt;=Breakdowns!$C$5,1,IF(U597&lt;=Breakdowns!$C$6,2,IF(U597&lt;=Breakdowns!$C$7,3,4))))</f>
        <v>2</v>
      </c>
      <c r="X597" s="33">
        <f>IF(V597="","",IF(V597&lt;=Breakdowns!$D$5,1,IF(V597&lt;=Breakdowns!$D$6,2,IF(V597&lt;=Breakdowns!$D$7,3,4))))</f>
        <v>2</v>
      </c>
      <c r="Y597" s="34">
        <f>INDEX(Stores!$F$2:$F$21,MATCH(B597,Stores!$A$2:$A$21,0))</f>
        <v>5.61</v>
      </c>
      <c r="Z597" s="33">
        <f>IF(Y597&gt;Store_Summary!$M$2,1,0)</f>
        <v>1</v>
      </c>
      <c r="AA597" s="33">
        <f>INDEX(Stores!$C$2:$C$21,MATCH(B597,Stores!$A$2:$A$21,0))</f>
        <v>744</v>
      </c>
      <c r="AB597" s="33">
        <f>IF(AA597&lt;180,1,0)</f>
        <v>0</v>
      </c>
      <c r="AC597" s="32" t="str">
        <f>IF(Orders!D594="","",INDEX(Riders!$C$2:$C$81,MATCH(Orders!D594,Riders!$A$2:$A$81,0)))</f>
        <v>Petrol scooter</v>
      </c>
      <c r="AD597" s="33">
        <f>IF(Orders!D594="","",INDEX(Riders!$D$2:$D$81,MATCH(Orders!D594,Riders!$A$2:$A$81,0)))</f>
        <v>24</v>
      </c>
      <c r="AE597" s="33">
        <f>IF(Orders!D594="","",IF(INDEX(Riders!$B$2:$B$81,MATCH(Orders!D594,Riders!$A$2:$A$81,0))=B597,1,0))</f>
        <v>0</v>
      </c>
      <c r="AF597" s="34">
        <f>IF(E597=1,Orders!L594,"")</f>
        <v>2.2</v>
      </c>
      <c r="AG597" s="34">
        <f>IF(E597=1,Orders!P594,"")</f>
        <v>12</v>
      </c>
      <c r="AH597" s="34">
        <f>IF(E597=1,Orders!Q594,"")</f>
        <v>15.2</v>
      </c>
      <c r="AI597" s="34">
        <f>IF(E597=1,Orders!M594,"")</f>
        <v>6</v>
      </c>
      <c r="AJ597" s="34">
        <f>IF(E597=1,Orders!N594,"")</f>
        <v>2.7</v>
      </c>
      <c r="AK597" s="34">
        <f>IF(E597=1,Orders!O594,"")</f>
        <v>6.4</v>
      </c>
      <c r="AL597" s="33">
        <f>IF(E597=1,IF(ROUND(ABS(AI597+AJ597+AK597-AH597),6)&lt;=0.1,1,0),"")</f>
        <v>1</v>
      </c>
      <c r="AM597" s="36">
        <f>IF(E597=1,AI597/AH597,"")</f>
        <v>0.394736842105263</v>
      </c>
      <c r="AN597" s="36">
        <f>IF(E597=1,AJ597/AH597,"")</f>
        <v>0.177631578947368</v>
      </c>
      <c r="AO597" s="36">
        <f>IF(E597=1,AK597/AH597,"")</f>
        <v>0.421052631578947</v>
      </c>
      <c r="AP597" s="34">
        <f>IF(E597=1,Orders!Y594,"")</f>
        <v>0.44</v>
      </c>
      <c r="AQ597" s="33">
        <f>IF(Orders!X594,1,0)</f>
        <v>0</v>
      </c>
      <c r="AR597" s="34" t="str">
        <f>IF(AND(E597=1,L597=1),AJ597,"")</f>
        <v/>
      </c>
      <c r="AS597" s="34">
        <f>IF(AND(E597=1,L597=0),AJ597,"")</f>
        <v>2.7</v>
      </c>
      <c r="AT597" s="34" t="str">
        <f>IF(AND(E597=1,L597=1),AI597,"")</f>
        <v/>
      </c>
      <c r="AU597" s="34">
        <f>IF(AND(E597=1,L597=0),AI597,"")</f>
        <v>6</v>
      </c>
      <c r="AV597" s="34" t="str">
        <f>IF(AND(E597=1,L597=1),AG597,"")</f>
        <v/>
      </c>
      <c r="AW597" s="34">
        <f>IF(AND(E597=1,L597=0),AG597,"")</f>
        <v>12</v>
      </c>
      <c r="AX597" s="34" t="str">
        <f>IF(AND(E597=1,L597=1),AH597,"")</f>
        <v/>
      </c>
      <c r="AY597" s="34">
        <f>IF(AND(E597=1,L597=0),AH597,"")</f>
        <v>15.2</v>
      </c>
      <c r="AZ597" s="34">
        <f>IF(G597=1,F597,"")</f>
        <v>3.2</v>
      </c>
      <c r="BA597" s="34" t="str">
        <f>IF(AND(G597=1,L597=1),F597,"")</f>
        <v/>
      </c>
      <c r="BB597" s="34">
        <f>IF(AND(G597=1,L597=0),F597,"")</f>
        <v>3.2</v>
      </c>
      <c r="BC597" s="33">
        <f>IF(E597=1,IF(Orders!R594&gt;3,1,0),"")</f>
        <v>1</v>
      </c>
      <c r="BD597" s="33">
        <f>IF(E597=1,IF(Orders!R594&gt;7,1,0),"")</f>
        <v>0</v>
      </c>
      <c r="BE597" s="32" t="str">
        <f>IF(E597=1,IF(Orders!L594&lt;=1.5,"Up to 1.5 km",IF(Orders!L594&lt;=3,"1.5–3 km","Over 3 km")),"")</f>
        <v>1.5–3 km</v>
      </c>
      <c r="BF597" s="33">
        <f>IF(E597=1,IF(ABS((Orders!G594-Orders!F594)*1440-Orders!R594)&lt;0.06,1,0),"")</f>
        <v>1</v>
      </c>
      <c r="BG597" s="33">
        <f>IF(ABS((Orders!F594-Orders!E594)*1440-Orders!P594)&lt;0.06,1,0)</f>
        <v>1</v>
      </c>
      <c r="BH597" s="33">
        <f>IF(E597=1,IF(IF(Orders!S594,1,0)=1-G597,1,0),"")</f>
        <v>1</v>
      </c>
      <c r="BI597" s="32" t="str">
        <f>INDEX(Stores!$B$2:$B$21,MATCH(B597,Stores!$A$2:$A$21,0))</f>
        <v>Delhi</v>
      </c>
    </row>
    <row r="598">
      <c r="A598" s="32" t="str">
        <f>Orders!A595</f>
        <v>O00594</v>
      </c>
      <c r="B598" s="32" t="str">
        <f>Orders!C595</f>
        <v>S020</v>
      </c>
      <c r="C598" s="32" t="str">
        <f>Orders!B595</f>
        <v>C0049</v>
      </c>
      <c r="D598" s="32" t="str">
        <f>Orders!H595</f>
        <v>Delivered</v>
      </c>
      <c r="E598" s="33">
        <f>IF(Orders!H595="Delivered",1,0)</f>
        <v>1</v>
      </c>
      <c r="F598" s="34">
        <f>IF(E598=1,Orders!R595,"")</f>
        <v>-0.6</v>
      </c>
      <c r="G598" s="33">
        <f>IF(E598=1,IF(Orders!R595&gt;0,1,0),"")</f>
        <v>0</v>
      </c>
      <c r="H598" s="33">
        <f>IF(E598=1,IF(Orders!R595&gt;5,1,0),"")</f>
        <v>0</v>
      </c>
      <c r="I598" s="32" t="str">
        <f>IF(E598=1,"",IF(OR(Orders!T595="Rider unavailable",Orders!T595="Item unavailable"),"Company-caused","Unresolved"))</f>
        <v/>
      </c>
      <c r="J598" s="33">
        <f>IF(OR(E598=1,I598="Company-caused"),1,0)</f>
        <v>1</v>
      </c>
      <c r="K598" s="32" t="str">
        <f>IF(E598=0,IF(I598="Company-caused",IF(Orders!T595="Rider unavailable","C1 Rider unavailable","C2 Item unavailable"),"Outside root: unresolved"),IF(G598=0,"A On time",IF(H598=1,IF(L598=1,"B2a Severe, peak","B2b Severe, off-peak"),IF(L598=1,"B1a Slight, peak","B1b Slight, off-peak"))))</f>
        <v>A On time</v>
      </c>
      <c r="L598" s="33">
        <f>IF(AND(Orders!U595&gt;=19,Orders!U595&lt;22),1,0)</f>
        <v>0</v>
      </c>
      <c r="M598" s="33">
        <f>IF(L598=IF(Orders!V595,1,0),1,0)</f>
        <v>1</v>
      </c>
      <c r="N598" s="32" t="str">
        <f>IF(Orders!W595="","None",Orders!W595)</f>
        <v>None</v>
      </c>
      <c r="O598" s="35">
        <f>INT(Orders!E595)</f>
        <v>46279.0</v>
      </c>
      <c r="P598" s="33">
        <f>Orders!U595</f>
        <v>9</v>
      </c>
      <c r="Q598" s="33">
        <f>COUNTIFS(Demand!$A$2:$A$4481,B598,Demand!$B$2:$B$4481,O598,Demand!$C$2:$C$4481,P598)</f>
        <v>1</v>
      </c>
      <c r="R598" s="33">
        <f>IF(Q598=1,SUMIFS(Demand!$E$2:$E$4481,Demand!$A$2:$A$4481,B598,Demand!$B$2:$B$4481,O598,Demand!$C$2:$C$4481,P598),"")</f>
        <v>12</v>
      </c>
      <c r="S598" s="33">
        <f>INDEX(Stores!$G$2:$G$21,MATCH(B598,Stores!$A$2:$A$21,0))</f>
        <v>15</v>
      </c>
      <c r="T598" s="34">
        <f>IF(R598="","",R598/S598)</f>
        <v>0.8</v>
      </c>
      <c r="U598" s="34">
        <f>IF(E598=1,T598,"")</f>
        <v>0.8</v>
      </c>
      <c r="V598" s="34">
        <f>IF(AND(E598=1,L598=0),T598,"")</f>
        <v>0.8</v>
      </c>
      <c r="W598" s="33">
        <f>IF(U598="","",IF(U598&lt;=Breakdowns!$C$5,1,IF(U598&lt;=Breakdowns!$C$6,2,IF(U598&lt;=Breakdowns!$C$7,3,4))))</f>
        <v>2</v>
      </c>
      <c r="X598" s="33">
        <f>IF(V598="","",IF(V598&lt;=Breakdowns!$D$5,1,IF(V598&lt;=Breakdowns!$D$6,2,IF(V598&lt;=Breakdowns!$D$7,3,4))))</f>
        <v>2</v>
      </c>
      <c r="Y598" s="34">
        <f>INDEX(Stores!$F$2:$F$21,MATCH(B598,Stores!$A$2:$A$21,0))</f>
        <v>5.74</v>
      </c>
      <c r="Z598" s="33">
        <f>IF(Y598&gt;Store_Summary!$M$2,1,0)</f>
        <v>1</v>
      </c>
      <c r="AA598" s="33">
        <f>INDEX(Stores!$C$2:$C$21,MATCH(B598,Stores!$A$2:$A$21,0))</f>
        <v>647</v>
      </c>
      <c r="AB598" s="33">
        <f>IF(AA598&lt;180,1,0)</f>
        <v>0</v>
      </c>
      <c r="AC598" s="32" t="str">
        <f>IF(Orders!D595="","",INDEX(Riders!$C$2:$C$81,MATCH(Orders!D595,Riders!$A$2:$A$81,0)))</f>
        <v>Petrol scooter</v>
      </c>
      <c r="AD598" s="33">
        <f>IF(Orders!D595="","",INDEX(Riders!$D$2:$D$81,MATCH(Orders!D595,Riders!$A$2:$A$81,0)))</f>
        <v>29</v>
      </c>
      <c r="AE598" s="33">
        <f>IF(Orders!D595="","",IF(INDEX(Riders!$B$2:$B$81,MATCH(Orders!D595,Riders!$A$2:$A$81,0))=B598,1,0))</f>
        <v>0</v>
      </c>
      <c r="AF598" s="34">
        <f>IF(E598=1,Orders!L595,"")</f>
        <v>1.62</v>
      </c>
      <c r="AG598" s="34">
        <f>IF(E598=1,Orders!P595,"")</f>
        <v>11.7</v>
      </c>
      <c r="AH598" s="34">
        <f>IF(E598=1,Orders!Q595,"")</f>
        <v>11.1</v>
      </c>
      <c r="AI598" s="34">
        <f>IF(E598=1,Orders!M595,"")</f>
        <v>5.9</v>
      </c>
      <c r="AJ598" s="34">
        <f>IF(E598=1,Orders!N595,"")</f>
        <v>0</v>
      </c>
      <c r="AK598" s="34">
        <f>IF(E598=1,Orders!O595,"")</f>
        <v>5.2</v>
      </c>
      <c r="AL598" s="33">
        <f>IF(E598=1,IF(ROUND(ABS(AI598+AJ598+AK598-AH598),6)&lt;=0.1,1,0),"")</f>
        <v>1</v>
      </c>
      <c r="AM598" s="36">
        <f>IF(E598=1,AI598/AH598,"")</f>
        <v>0.531531531531532</v>
      </c>
      <c r="AN598" s="36">
        <f>IF(E598=1,AJ598/AH598,"")</f>
        <v>0</v>
      </c>
      <c r="AO598" s="36">
        <f>IF(E598=1,AK598/AH598,"")</f>
        <v>0.468468468468469</v>
      </c>
      <c r="AP598" s="34">
        <f>IF(E598=1,Orders!Y595,"")</f>
        <v>0.57</v>
      </c>
      <c r="AQ598" s="33">
        <f>IF(Orders!X595,1,0)</f>
        <v>0</v>
      </c>
      <c r="AR598" s="34" t="str">
        <f>IF(AND(E598=1,L598=1),AJ598,"")</f>
        <v/>
      </c>
      <c r="AS598" s="34">
        <f>IF(AND(E598=1,L598=0),AJ598,"")</f>
        <v>0</v>
      </c>
      <c r="AT598" s="34" t="str">
        <f>IF(AND(E598=1,L598=1),AI598,"")</f>
        <v/>
      </c>
      <c r="AU598" s="34">
        <f>IF(AND(E598=1,L598=0),AI598,"")</f>
        <v>5.9</v>
      </c>
      <c r="AV598" s="34" t="str">
        <f>IF(AND(E598=1,L598=1),AG598,"")</f>
        <v/>
      </c>
      <c r="AW598" s="34">
        <f>IF(AND(E598=1,L598=0),AG598,"")</f>
        <v>11.7</v>
      </c>
      <c r="AX598" s="34" t="str">
        <f>IF(AND(E598=1,L598=1),AH598,"")</f>
        <v/>
      </c>
      <c r="AY598" s="34">
        <f>IF(AND(E598=1,L598=0),AH598,"")</f>
        <v>11.1</v>
      </c>
      <c r="AZ598" s="34" t="str">
        <f>IF(G598=1,F598,"")</f>
        <v/>
      </c>
      <c r="BA598" s="34" t="str">
        <f>IF(AND(G598=1,L598=1),F598,"")</f>
        <v/>
      </c>
      <c r="BB598" s="34" t="str">
        <f>IF(AND(G598=1,L598=0),F598,"")</f>
        <v/>
      </c>
      <c r="BC598" s="33">
        <f>IF(E598=1,IF(Orders!R595&gt;3,1,0),"")</f>
        <v>0</v>
      </c>
      <c r="BD598" s="33">
        <f>IF(E598=1,IF(Orders!R595&gt;7,1,0),"")</f>
        <v>0</v>
      </c>
      <c r="BE598" s="32" t="str">
        <f>IF(E598=1,IF(Orders!L595&lt;=1.5,"Up to 1.5 km",IF(Orders!L595&lt;=3,"1.5–3 km","Over 3 km")),"")</f>
        <v>1.5–3 km</v>
      </c>
      <c r="BF598" s="33">
        <f>IF(E598=1,IF(ABS((Orders!G595-Orders!F595)*1440-Orders!R595)&lt;0.06,1,0),"")</f>
        <v>1</v>
      </c>
      <c r="BG598" s="33">
        <f>IF(ABS((Orders!F595-Orders!E595)*1440-Orders!P595)&lt;0.06,1,0)</f>
        <v>1</v>
      </c>
      <c r="BH598" s="33">
        <f>IF(E598=1,IF(IF(Orders!S595,1,0)=1-G598,1,0),"")</f>
        <v>1</v>
      </c>
      <c r="BI598" s="32" t="str">
        <f>INDEX(Stores!$B$2:$B$21,MATCH(B598,Stores!$A$2:$A$21,0))</f>
        <v>Delhi</v>
      </c>
    </row>
    <row r="599">
      <c r="A599" s="32" t="str">
        <f>Orders!A596</f>
        <v>O00595</v>
      </c>
      <c r="B599" s="32" t="str">
        <f>Orders!C596</f>
        <v>S014</v>
      </c>
      <c r="C599" s="32" t="str">
        <f>Orders!B596</f>
        <v>C0211</v>
      </c>
      <c r="D599" s="32" t="str">
        <f>Orders!H596</f>
        <v>Delivered</v>
      </c>
      <c r="E599" s="33">
        <f>IF(Orders!H596="Delivered",1,0)</f>
        <v>1</v>
      </c>
      <c r="F599" s="34">
        <f>IF(E599=1,Orders!R596,"")</f>
        <v>-0.4</v>
      </c>
      <c r="G599" s="33">
        <f>IF(E599=1,IF(Orders!R596&gt;0,1,0),"")</f>
        <v>0</v>
      </c>
      <c r="H599" s="33">
        <f>IF(E599=1,IF(Orders!R596&gt;5,1,0),"")</f>
        <v>0</v>
      </c>
      <c r="I599" s="32" t="str">
        <f>IF(E599=1,"",IF(OR(Orders!T596="Rider unavailable",Orders!T596="Item unavailable"),"Company-caused","Unresolved"))</f>
        <v/>
      </c>
      <c r="J599" s="33">
        <f>IF(OR(E599=1,I599="Company-caused"),1,0)</f>
        <v>1</v>
      </c>
      <c r="K599" s="32" t="str">
        <f>IF(E599=0,IF(I599="Company-caused",IF(Orders!T596="Rider unavailable","C1 Rider unavailable","C2 Item unavailable"),"Outside root: unresolved"),IF(G599=0,"A On time",IF(H599=1,IF(L599=1,"B2a Severe, peak","B2b Severe, off-peak"),IF(L599=1,"B1a Slight, peak","B1b Slight, off-peak"))))</f>
        <v>A On time</v>
      </c>
      <c r="L599" s="33">
        <f>IF(AND(Orders!U596&gt;=19,Orders!U596&lt;22),1,0)</f>
        <v>0</v>
      </c>
      <c r="M599" s="33">
        <f>IF(L599=IF(Orders!V596,1,0),1,0)</f>
        <v>1</v>
      </c>
      <c r="N599" s="32" t="str">
        <f>IF(Orders!W596="","None",Orders!W596)</f>
        <v>Light</v>
      </c>
      <c r="O599" s="35">
        <f>INT(Orders!E596)</f>
        <v>46270.0</v>
      </c>
      <c r="P599" s="33">
        <f>Orders!U596</f>
        <v>9</v>
      </c>
      <c r="Q599" s="33">
        <f>COUNTIFS(Demand!$A$2:$A$4481,B599,Demand!$B$2:$B$4481,O599,Demand!$C$2:$C$4481,P599)</f>
        <v>1</v>
      </c>
      <c r="R599" s="33">
        <f>IF(Q599=1,SUMIFS(Demand!$E$2:$E$4481,Demand!$A$2:$A$4481,B599,Demand!$B$2:$B$4481,O599,Demand!$C$2:$C$4481,P599),"")</f>
        <v>39</v>
      </c>
      <c r="S599" s="33">
        <f>INDEX(Stores!$G$2:$G$21,MATCH(B599,Stores!$A$2:$A$21,0))</f>
        <v>37</v>
      </c>
      <c r="T599" s="34">
        <f>IF(R599="","",R599/S599)</f>
        <v>1.05405405405405</v>
      </c>
      <c r="U599" s="34">
        <f>IF(E599=1,T599,"")</f>
        <v>1.05405405405405</v>
      </c>
      <c r="V599" s="34">
        <f>IF(AND(E599=1,L599=0),T599,"")</f>
        <v>1.05405405405405</v>
      </c>
      <c r="W599" s="33">
        <f>IF(U599="","",IF(U599&lt;=Breakdowns!$C$5,1,IF(U599&lt;=Breakdowns!$C$6,2,IF(U599&lt;=Breakdowns!$C$7,3,4))))</f>
        <v>3</v>
      </c>
      <c r="X599" s="33">
        <f>IF(V599="","",IF(V599&lt;=Breakdowns!$D$5,1,IF(V599&lt;=Breakdowns!$D$6,2,IF(V599&lt;=Breakdowns!$D$7,3,4))))</f>
        <v>3</v>
      </c>
      <c r="Y599" s="34">
        <f>INDEX(Stores!$F$2:$F$21,MATCH(B599,Stores!$A$2:$A$21,0))</f>
        <v>5.55</v>
      </c>
      <c r="Z599" s="33">
        <f>IF(Y599&gt;Store_Summary!$M$2,1,0)</f>
        <v>1</v>
      </c>
      <c r="AA599" s="33">
        <f>INDEX(Stores!$C$2:$C$21,MATCH(B599,Stores!$A$2:$A$21,0))</f>
        <v>241</v>
      </c>
      <c r="AB599" s="33">
        <f>IF(AA599&lt;180,1,0)</f>
        <v>0</v>
      </c>
      <c r="AC599" s="32" t="str">
        <f>IF(Orders!D596="","",INDEX(Riders!$C$2:$C$81,MATCH(Orders!D596,Riders!$A$2:$A$81,0)))</f>
        <v>EV scooter</v>
      </c>
      <c r="AD599" s="33">
        <f>IF(Orders!D596="","",INDEX(Riders!$D$2:$D$81,MATCH(Orders!D596,Riders!$A$2:$A$81,0)))</f>
        <v>38</v>
      </c>
      <c r="AE599" s="33">
        <f>IF(Orders!D596="","",IF(INDEX(Riders!$B$2:$B$81,MATCH(Orders!D596,Riders!$A$2:$A$81,0))=B599,1,0))</f>
        <v>0</v>
      </c>
      <c r="AF599" s="34">
        <f>IF(E599=1,Orders!L596,"")</f>
        <v>0.55</v>
      </c>
      <c r="AG599" s="34">
        <f>IF(E599=1,Orders!P596,"")</f>
        <v>11.6</v>
      </c>
      <c r="AH599" s="34">
        <f>IF(E599=1,Orders!Q596,"")</f>
        <v>11.2</v>
      </c>
      <c r="AI599" s="34">
        <f>IF(E599=1,Orders!M596,"")</f>
        <v>3.3</v>
      </c>
      <c r="AJ599" s="34">
        <f>IF(E599=1,Orders!N596,"")</f>
        <v>5.4</v>
      </c>
      <c r="AK599" s="34">
        <f>IF(E599=1,Orders!O596,"")</f>
        <v>2.5</v>
      </c>
      <c r="AL599" s="33">
        <f>IF(E599=1,IF(ROUND(ABS(AI599+AJ599+AK599-AH599),6)&lt;=0.1,1,0),"")</f>
        <v>1</v>
      </c>
      <c r="AM599" s="36">
        <f>IF(E599=1,AI599/AH599,"")</f>
        <v>0.294642857142857</v>
      </c>
      <c r="AN599" s="36">
        <f>IF(E599=1,AJ599/AH599,"")</f>
        <v>0.482142857142857</v>
      </c>
      <c r="AO599" s="36">
        <f>IF(E599=1,AK599/AH599,"")</f>
        <v>0.223214285714286</v>
      </c>
      <c r="AP599" s="34">
        <f>IF(E599=1,Orders!Y596,"")</f>
        <v>0.6</v>
      </c>
      <c r="AQ599" s="33">
        <f>IF(Orders!X596,1,0)</f>
        <v>0</v>
      </c>
      <c r="AR599" s="34" t="str">
        <f>IF(AND(E599=1,L599=1),AJ599,"")</f>
        <v/>
      </c>
      <c r="AS599" s="34">
        <f>IF(AND(E599=1,L599=0),AJ599,"")</f>
        <v>5.4</v>
      </c>
      <c r="AT599" s="34" t="str">
        <f>IF(AND(E599=1,L599=1),AI599,"")</f>
        <v/>
      </c>
      <c r="AU599" s="34">
        <f>IF(AND(E599=1,L599=0),AI599,"")</f>
        <v>3.3</v>
      </c>
      <c r="AV599" s="34" t="str">
        <f>IF(AND(E599=1,L599=1),AG599,"")</f>
        <v/>
      </c>
      <c r="AW599" s="34">
        <f>IF(AND(E599=1,L599=0),AG599,"")</f>
        <v>11.6</v>
      </c>
      <c r="AX599" s="34" t="str">
        <f>IF(AND(E599=1,L599=1),AH599,"")</f>
        <v/>
      </c>
      <c r="AY599" s="34">
        <f>IF(AND(E599=1,L599=0),AH599,"")</f>
        <v>11.2</v>
      </c>
      <c r="AZ599" s="34" t="str">
        <f>IF(G599=1,F599,"")</f>
        <v/>
      </c>
      <c r="BA599" s="34" t="str">
        <f>IF(AND(G599=1,L599=1),F599,"")</f>
        <v/>
      </c>
      <c r="BB599" s="34" t="str">
        <f>IF(AND(G599=1,L599=0),F599,"")</f>
        <v/>
      </c>
      <c r="BC599" s="33">
        <f>IF(E599=1,IF(Orders!R596&gt;3,1,0),"")</f>
        <v>0</v>
      </c>
      <c r="BD599" s="33">
        <f>IF(E599=1,IF(Orders!R596&gt;7,1,0),"")</f>
        <v>0</v>
      </c>
      <c r="BE599" s="32" t="str">
        <f>IF(E599=1,IF(Orders!L596&lt;=1.5,"Up to 1.5 km",IF(Orders!L596&lt;=3,"1.5–3 km","Over 3 km")),"")</f>
        <v>Up to 1.5 km</v>
      </c>
      <c r="BF599" s="33">
        <f>IF(E599=1,IF(ABS((Orders!G596-Orders!F596)*1440-Orders!R596)&lt;0.06,1,0),"")</f>
        <v>1</v>
      </c>
      <c r="BG599" s="33">
        <f>IF(ABS((Orders!F596-Orders!E596)*1440-Orders!P596)&lt;0.06,1,0)</f>
        <v>1</v>
      </c>
      <c r="BH599" s="33">
        <f>IF(E599=1,IF(IF(Orders!S596,1,0)=1-G599,1,0),"")</f>
        <v>1</v>
      </c>
      <c r="BI599" s="32" t="str">
        <f>INDEX(Stores!$B$2:$B$21,MATCH(B599,Stores!$A$2:$A$21,0))</f>
        <v>Pune</v>
      </c>
    </row>
    <row r="600">
      <c r="A600" s="32" t="str">
        <f>Orders!A597</f>
        <v>O00596</v>
      </c>
      <c r="B600" s="32" t="str">
        <f>Orders!C597</f>
        <v>S020</v>
      </c>
      <c r="C600" s="32" t="str">
        <f>Orders!B597</f>
        <v>C0119</v>
      </c>
      <c r="D600" s="32" t="str">
        <f>Orders!H597</f>
        <v>Delivered</v>
      </c>
      <c r="E600" s="33">
        <f>IF(Orders!H597="Delivered",1,0)</f>
        <v>1</v>
      </c>
      <c r="F600" s="34">
        <f>IF(E600=1,Orders!R597,"")</f>
        <v>-0.5</v>
      </c>
      <c r="G600" s="33">
        <f>IF(E600=1,IF(Orders!R597&gt;0,1,0),"")</f>
        <v>0</v>
      </c>
      <c r="H600" s="33">
        <f>IF(E600=1,IF(Orders!R597&gt;5,1,0),"")</f>
        <v>0</v>
      </c>
      <c r="I600" s="32" t="str">
        <f>IF(E600=1,"",IF(OR(Orders!T597="Rider unavailable",Orders!T597="Item unavailable"),"Company-caused","Unresolved"))</f>
        <v/>
      </c>
      <c r="J600" s="33">
        <f>IF(OR(E600=1,I600="Company-caused"),1,0)</f>
        <v>1</v>
      </c>
      <c r="K600" s="32" t="str">
        <f>IF(E600=0,IF(I600="Company-caused",IF(Orders!T597="Rider unavailable","C1 Rider unavailable","C2 Item unavailable"),"Outside root: unresolved"),IF(G600=0,"A On time",IF(H600=1,IF(L600=1,"B2a Severe, peak","B2b Severe, off-peak"),IF(L600=1,"B1a Slight, peak","B1b Slight, off-peak"))))</f>
        <v>A On time</v>
      </c>
      <c r="L600" s="33">
        <f>IF(AND(Orders!U597&gt;=19,Orders!U597&lt;22),1,0)</f>
        <v>0</v>
      </c>
      <c r="M600" s="33">
        <f>IF(L600=IF(Orders!V597,1,0),1,0)</f>
        <v>1</v>
      </c>
      <c r="N600" s="32" t="str">
        <f>IF(Orders!W597="","None",Orders!W597)</f>
        <v>None</v>
      </c>
      <c r="O600" s="35">
        <f>INT(Orders!E597)</f>
        <v>46274.0</v>
      </c>
      <c r="P600" s="33">
        <f>Orders!U597</f>
        <v>14</v>
      </c>
      <c r="Q600" s="33">
        <f>COUNTIFS(Demand!$A$2:$A$4481,B600,Demand!$B$2:$B$4481,O600,Demand!$C$2:$C$4481,P600)</f>
        <v>1</v>
      </c>
      <c r="R600" s="33">
        <f>IF(Q600=1,SUMIFS(Demand!$E$2:$E$4481,Demand!$A$2:$A$4481,B600,Demand!$B$2:$B$4481,O600,Demand!$C$2:$C$4481,P600),"")</f>
        <v>11</v>
      </c>
      <c r="S600" s="33">
        <f>INDEX(Stores!$G$2:$G$21,MATCH(B600,Stores!$A$2:$A$21,0))</f>
        <v>15</v>
      </c>
      <c r="T600" s="34">
        <f>IF(R600="","",R600/S600)</f>
        <v>0.733333333333333</v>
      </c>
      <c r="U600" s="34">
        <f>IF(E600=1,T600,"")</f>
        <v>0.733333333333333</v>
      </c>
      <c r="V600" s="34">
        <f>IF(AND(E600=1,L600=0),T600,"")</f>
        <v>0.733333333333333</v>
      </c>
      <c r="W600" s="33">
        <f>IF(U600="","",IF(U600&lt;=Breakdowns!$C$5,1,IF(U600&lt;=Breakdowns!$C$6,2,IF(U600&lt;=Breakdowns!$C$7,3,4))))</f>
        <v>1</v>
      </c>
      <c r="X600" s="33">
        <f>IF(V600="","",IF(V600&lt;=Breakdowns!$D$5,1,IF(V600&lt;=Breakdowns!$D$6,2,IF(V600&lt;=Breakdowns!$D$7,3,4))))</f>
        <v>1</v>
      </c>
      <c r="Y600" s="34">
        <f>INDEX(Stores!$F$2:$F$21,MATCH(B600,Stores!$A$2:$A$21,0))</f>
        <v>5.74</v>
      </c>
      <c r="Z600" s="33">
        <f>IF(Y600&gt;Store_Summary!$M$2,1,0)</f>
        <v>1</v>
      </c>
      <c r="AA600" s="33">
        <f>INDEX(Stores!$C$2:$C$21,MATCH(B600,Stores!$A$2:$A$21,0))</f>
        <v>647</v>
      </c>
      <c r="AB600" s="33">
        <f>IF(AA600&lt;180,1,0)</f>
        <v>0</v>
      </c>
      <c r="AC600" s="32" t="str">
        <f>IF(Orders!D597="","",INDEX(Riders!$C$2:$C$81,MATCH(Orders!D597,Riders!$A$2:$A$81,0)))</f>
        <v>Petrol scooter</v>
      </c>
      <c r="AD600" s="33">
        <f>IF(Orders!D597="","",INDEX(Riders!$D$2:$D$81,MATCH(Orders!D597,Riders!$A$2:$A$81,0)))</f>
        <v>43</v>
      </c>
      <c r="AE600" s="33">
        <f>IF(Orders!D597="","",IF(INDEX(Riders!$B$2:$B$81,MATCH(Orders!D597,Riders!$A$2:$A$81,0))=B600,1,0))</f>
        <v>0</v>
      </c>
      <c r="AF600" s="34">
        <f>IF(E600=1,Orders!L597,"")</f>
        <v>1.85</v>
      </c>
      <c r="AG600" s="34">
        <f>IF(E600=1,Orders!P597,"")</f>
        <v>11.7</v>
      </c>
      <c r="AH600" s="34">
        <f>IF(E600=1,Orders!Q597,"")</f>
        <v>11.2</v>
      </c>
      <c r="AI600" s="34">
        <f>IF(E600=1,Orders!M597,"")</f>
        <v>5.5</v>
      </c>
      <c r="AJ600" s="34">
        <f>IF(E600=1,Orders!N597,"")</f>
        <v>1.2</v>
      </c>
      <c r="AK600" s="34">
        <f>IF(E600=1,Orders!O597,"")</f>
        <v>4.5</v>
      </c>
      <c r="AL600" s="33">
        <f>IF(E600=1,IF(ROUND(ABS(AI600+AJ600+AK600-AH600),6)&lt;=0.1,1,0),"")</f>
        <v>1</v>
      </c>
      <c r="AM600" s="36">
        <f>IF(E600=1,AI600/AH600,"")</f>
        <v>0.491071428571429</v>
      </c>
      <c r="AN600" s="36">
        <f>IF(E600=1,AJ600/AH600,"")</f>
        <v>0.107142857142857</v>
      </c>
      <c r="AO600" s="36">
        <f>IF(E600=1,AK600/AH600,"")</f>
        <v>0.401785714285714</v>
      </c>
      <c r="AP600" s="34">
        <f>IF(E600=1,Orders!Y597,"")</f>
        <v>0.45</v>
      </c>
      <c r="AQ600" s="33">
        <f>IF(Orders!X597,1,0)</f>
        <v>0</v>
      </c>
      <c r="AR600" s="34" t="str">
        <f>IF(AND(E600=1,L600=1),AJ600,"")</f>
        <v/>
      </c>
      <c r="AS600" s="34">
        <f>IF(AND(E600=1,L600=0),AJ600,"")</f>
        <v>1.2</v>
      </c>
      <c r="AT600" s="34" t="str">
        <f>IF(AND(E600=1,L600=1),AI600,"")</f>
        <v/>
      </c>
      <c r="AU600" s="34">
        <f>IF(AND(E600=1,L600=0),AI600,"")</f>
        <v>5.5</v>
      </c>
      <c r="AV600" s="34" t="str">
        <f>IF(AND(E600=1,L600=1),AG600,"")</f>
        <v/>
      </c>
      <c r="AW600" s="34">
        <f>IF(AND(E600=1,L600=0),AG600,"")</f>
        <v>11.7</v>
      </c>
      <c r="AX600" s="34" t="str">
        <f>IF(AND(E600=1,L600=1),AH600,"")</f>
        <v/>
      </c>
      <c r="AY600" s="34">
        <f>IF(AND(E600=1,L600=0),AH600,"")</f>
        <v>11.2</v>
      </c>
      <c r="AZ600" s="34" t="str">
        <f>IF(G600=1,F600,"")</f>
        <v/>
      </c>
      <c r="BA600" s="34" t="str">
        <f>IF(AND(G600=1,L600=1),F600,"")</f>
        <v/>
      </c>
      <c r="BB600" s="34" t="str">
        <f>IF(AND(G600=1,L600=0),F600,"")</f>
        <v/>
      </c>
      <c r="BC600" s="33">
        <f>IF(E600=1,IF(Orders!R597&gt;3,1,0),"")</f>
        <v>0</v>
      </c>
      <c r="BD600" s="33">
        <f>IF(E600=1,IF(Orders!R597&gt;7,1,0),"")</f>
        <v>0</v>
      </c>
      <c r="BE600" s="32" t="str">
        <f>IF(E600=1,IF(Orders!L597&lt;=1.5,"Up to 1.5 km",IF(Orders!L597&lt;=3,"1.5–3 km","Over 3 km")),"")</f>
        <v>1.5–3 km</v>
      </c>
      <c r="BF600" s="33">
        <f>IF(E600=1,IF(ABS((Orders!G597-Orders!F597)*1440-Orders!R597)&lt;0.06,1,0),"")</f>
        <v>1</v>
      </c>
      <c r="BG600" s="33">
        <f>IF(ABS((Orders!F597-Orders!E597)*1440-Orders!P597)&lt;0.06,1,0)</f>
        <v>1</v>
      </c>
      <c r="BH600" s="33">
        <f>IF(E600=1,IF(IF(Orders!S597,1,0)=1-G600,1,0),"")</f>
        <v>1</v>
      </c>
      <c r="BI600" s="32" t="str">
        <f>INDEX(Stores!$B$2:$B$21,MATCH(B600,Stores!$A$2:$A$21,0))</f>
        <v>Delhi</v>
      </c>
    </row>
    <row r="601">
      <c r="A601" s="32" t="str">
        <f>Orders!A598</f>
        <v>O00597</v>
      </c>
      <c r="B601" s="32" t="str">
        <f>Orders!C598</f>
        <v>S016</v>
      </c>
      <c r="C601" s="32" t="str">
        <f>Orders!B598</f>
        <v>C0072</v>
      </c>
      <c r="D601" s="32" t="str">
        <f>Orders!H598</f>
        <v>Delivered</v>
      </c>
      <c r="E601" s="33">
        <f>IF(Orders!H598="Delivered",1,0)</f>
        <v>1</v>
      </c>
      <c r="F601" s="34">
        <f>IF(E601=1,Orders!R598,"")</f>
        <v>-1</v>
      </c>
      <c r="G601" s="33">
        <f>IF(E601=1,IF(Orders!R598&gt;0,1,0),"")</f>
        <v>0</v>
      </c>
      <c r="H601" s="33">
        <f>IF(E601=1,IF(Orders!R598&gt;5,1,0),"")</f>
        <v>0</v>
      </c>
      <c r="I601" s="32" t="str">
        <f>IF(E601=1,"",IF(OR(Orders!T598="Rider unavailable",Orders!T598="Item unavailable"),"Company-caused","Unresolved"))</f>
        <v/>
      </c>
      <c r="J601" s="33">
        <f>IF(OR(E601=1,I601="Company-caused"),1,0)</f>
        <v>1</v>
      </c>
      <c r="K601" s="32" t="str">
        <f>IF(E601=0,IF(I601="Company-caused",IF(Orders!T598="Rider unavailable","C1 Rider unavailable","C2 Item unavailable"),"Outside root: unresolved"),IF(G601=0,"A On time",IF(H601=1,IF(L601=1,"B2a Severe, peak","B2b Severe, off-peak"),IF(L601=1,"B1a Slight, peak","B1b Slight, off-peak"))))</f>
        <v>A On time</v>
      </c>
      <c r="L601" s="33">
        <f>IF(AND(Orders!U598&gt;=19,Orders!U598&lt;22),1,0)</f>
        <v>0</v>
      </c>
      <c r="M601" s="33">
        <f>IF(L601=IF(Orders!V598,1,0),1,0)</f>
        <v>1</v>
      </c>
      <c r="N601" s="32" t="str">
        <f>IF(Orders!W598="","None",Orders!W598)</f>
        <v>None</v>
      </c>
      <c r="O601" s="35">
        <f>INT(Orders!E598)</f>
        <v>46272.0</v>
      </c>
      <c r="P601" s="33">
        <f>Orders!U598</f>
        <v>8</v>
      </c>
      <c r="Q601" s="33">
        <f>COUNTIFS(Demand!$A$2:$A$4481,B601,Demand!$B$2:$B$4481,O601,Demand!$C$2:$C$4481,P601)</f>
        <v>1</v>
      </c>
      <c r="R601" s="33">
        <f>IF(Q601=1,SUMIFS(Demand!$E$2:$E$4481,Demand!$A$2:$A$4481,B601,Demand!$B$2:$B$4481,O601,Demand!$C$2:$C$4481,P601),"")</f>
        <v>22</v>
      </c>
      <c r="S601" s="33">
        <f>INDEX(Stores!$G$2:$G$21,MATCH(B601,Stores!$A$2:$A$21,0))</f>
        <v>25</v>
      </c>
      <c r="T601" s="34">
        <f>IF(R601="","",R601/S601)</f>
        <v>0.88</v>
      </c>
      <c r="U601" s="34">
        <f>IF(E601=1,T601,"")</f>
        <v>0.88</v>
      </c>
      <c r="V601" s="34">
        <f>IF(AND(E601=1,L601=0),T601,"")</f>
        <v>0.88</v>
      </c>
      <c r="W601" s="33">
        <f>IF(U601="","",IF(U601&lt;=Breakdowns!$C$5,1,IF(U601&lt;=Breakdowns!$C$6,2,IF(U601&lt;=Breakdowns!$C$7,3,4))))</f>
        <v>2</v>
      </c>
      <c r="X601" s="33">
        <f>IF(V601="","",IF(V601&lt;=Breakdowns!$D$5,1,IF(V601&lt;=Breakdowns!$D$6,2,IF(V601&lt;=Breakdowns!$D$7,3,4))))</f>
        <v>2</v>
      </c>
      <c r="Y601" s="34">
        <f>INDEX(Stores!$F$2:$F$21,MATCH(B601,Stores!$A$2:$A$21,0))</f>
        <v>5.51</v>
      </c>
      <c r="Z601" s="33">
        <f>IF(Y601&gt;Store_Summary!$M$2,1,0)</f>
        <v>1</v>
      </c>
      <c r="AA601" s="33">
        <f>INDEX(Stores!$C$2:$C$21,MATCH(B601,Stores!$A$2:$A$21,0))</f>
        <v>792</v>
      </c>
      <c r="AB601" s="33">
        <f>IF(AA601&lt;180,1,0)</f>
        <v>0</v>
      </c>
      <c r="AC601" s="32" t="str">
        <f>IF(Orders!D598="","",INDEX(Riders!$C$2:$C$81,MATCH(Orders!D598,Riders!$A$2:$A$81,0)))</f>
        <v>EV scooter</v>
      </c>
      <c r="AD601" s="33">
        <f>IF(Orders!D598="","",INDEX(Riders!$D$2:$D$81,MATCH(Orders!D598,Riders!$A$2:$A$81,0)))</f>
        <v>18</v>
      </c>
      <c r="AE601" s="33">
        <f>IF(Orders!D598="","",IF(INDEX(Riders!$B$2:$B$81,MATCH(Orders!D598,Riders!$A$2:$A$81,0))=B601,1,0))</f>
        <v>0</v>
      </c>
      <c r="AF601" s="34">
        <f>IF(E601=1,Orders!L598,"")</f>
        <v>1.16</v>
      </c>
      <c r="AG601" s="34">
        <f>IF(E601=1,Orders!P598,"")</f>
        <v>12.1</v>
      </c>
      <c r="AH601" s="34">
        <f>IF(E601=1,Orders!Q598,"")</f>
        <v>11.1</v>
      </c>
      <c r="AI601" s="34">
        <f>IF(E601=1,Orders!M598,"")</f>
        <v>6</v>
      </c>
      <c r="AJ601" s="34">
        <f>IF(E601=1,Orders!N598,"")</f>
        <v>1.7</v>
      </c>
      <c r="AK601" s="34">
        <f>IF(E601=1,Orders!O598,"")</f>
        <v>3.3</v>
      </c>
      <c r="AL601" s="33">
        <f>IF(E601=1,IF(ROUND(ABS(AI601+AJ601+AK601-AH601),6)&lt;=0.1,1,0),"")</f>
        <v>1</v>
      </c>
      <c r="AM601" s="36">
        <f>IF(E601=1,AI601/AH601,"")</f>
        <v>0.540540540540541</v>
      </c>
      <c r="AN601" s="36">
        <f>IF(E601=1,AJ601/AH601,"")</f>
        <v>0.153153153153153</v>
      </c>
      <c r="AO601" s="36">
        <f>IF(E601=1,AK601/AH601,"")</f>
        <v>0.297297297297297</v>
      </c>
      <c r="AP601" s="34">
        <f>IF(E601=1,Orders!Y598,"")</f>
        <v>0.28</v>
      </c>
      <c r="AQ601" s="33">
        <f>IF(Orders!X598,1,0)</f>
        <v>0</v>
      </c>
      <c r="AR601" s="34" t="str">
        <f>IF(AND(E601=1,L601=1),AJ601,"")</f>
        <v/>
      </c>
      <c r="AS601" s="34">
        <f>IF(AND(E601=1,L601=0),AJ601,"")</f>
        <v>1.7</v>
      </c>
      <c r="AT601" s="34" t="str">
        <f>IF(AND(E601=1,L601=1),AI601,"")</f>
        <v/>
      </c>
      <c r="AU601" s="34">
        <f>IF(AND(E601=1,L601=0),AI601,"")</f>
        <v>6</v>
      </c>
      <c r="AV601" s="34" t="str">
        <f>IF(AND(E601=1,L601=1),AG601,"")</f>
        <v/>
      </c>
      <c r="AW601" s="34">
        <f>IF(AND(E601=1,L601=0),AG601,"")</f>
        <v>12.1</v>
      </c>
      <c r="AX601" s="34" t="str">
        <f>IF(AND(E601=1,L601=1),AH601,"")</f>
        <v/>
      </c>
      <c r="AY601" s="34">
        <f>IF(AND(E601=1,L601=0),AH601,"")</f>
        <v>11.1</v>
      </c>
      <c r="AZ601" s="34" t="str">
        <f>IF(G601=1,F601,"")</f>
        <v/>
      </c>
      <c r="BA601" s="34" t="str">
        <f>IF(AND(G601=1,L601=1),F601,"")</f>
        <v/>
      </c>
      <c r="BB601" s="34" t="str">
        <f>IF(AND(G601=1,L601=0),F601,"")</f>
        <v/>
      </c>
      <c r="BC601" s="33">
        <f>IF(E601=1,IF(Orders!R598&gt;3,1,0),"")</f>
        <v>0</v>
      </c>
      <c r="BD601" s="33">
        <f>IF(E601=1,IF(Orders!R598&gt;7,1,0),"")</f>
        <v>0</v>
      </c>
      <c r="BE601" s="32" t="str">
        <f>IF(E601=1,IF(Orders!L598&lt;=1.5,"Up to 1.5 km",IF(Orders!L598&lt;=3,"1.5–3 km","Over 3 km")),"")</f>
        <v>Up to 1.5 km</v>
      </c>
      <c r="BF601" s="33">
        <f>IF(E601=1,IF(ABS((Orders!G598-Orders!F598)*1440-Orders!R598)&lt;0.06,1,0),"")</f>
        <v>1</v>
      </c>
      <c r="BG601" s="33">
        <f>IF(ABS((Orders!F598-Orders!E598)*1440-Orders!P598)&lt;0.06,1,0)</f>
        <v>1</v>
      </c>
      <c r="BH601" s="33">
        <f>IF(E601=1,IF(IF(Orders!S598,1,0)=1-G601,1,0),"")</f>
        <v>1</v>
      </c>
      <c r="BI601" s="32" t="str">
        <f>INDEX(Stores!$B$2:$B$21,MATCH(B601,Stores!$A$2:$A$21,0))</f>
        <v>Bengaluru</v>
      </c>
    </row>
    <row r="602">
      <c r="A602" s="32" t="str">
        <f>Orders!A599</f>
        <v>O00598</v>
      </c>
      <c r="B602" s="32" t="str">
        <f>Orders!C599</f>
        <v>S013</v>
      </c>
      <c r="C602" s="32" t="str">
        <f>Orders!B599</f>
        <v>C0073</v>
      </c>
      <c r="D602" s="32" t="str">
        <f>Orders!H599</f>
        <v>Delivered</v>
      </c>
      <c r="E602" s="33">
        <f>IF(Orders!H599="Delivered",1,0)</f>
        <v>1</v>
      </c>
      <c r="F602" s="34">
        <f>IF(E602=1,Orders!R599,"")</f>
        <v>-1.1</v>
      </c>
      <c r="G602" s="33">
        <f>IF(E602=1,IF(Orders!R599&gt;0,1,0),"")</f>
        <v>0</v>
      </c>
      <c r="H602" s="33">
        <f>IF(E602=1,IF(Orders!R599&gt;5,1,0),"")</f>
        <v>0</v>
      </c>
      <c r="I602" s="32" t="str">
        <f>IF(E602=1,"",IF(OR(Orders!T599="Rider unavailable",Orders!T599="Item unavailable"),"Company-caused","Unresolved"))</f>
        <v/>
      </c>
      <c r="J602" s="33">
        <f>IF(OR(E602=1,I602="Company-caused"),1,0)</f>
        <v>1</v>
      </c>
      <c r="K602" s="32" t="str">
        <f>IF(E602=0,IF(I602="Company-caused",IF(Orders!T599="Rider unavailable","C1 Rider unavailable","C2 Item unavailable"),"Outside root: unresolved"),IF(G602=0,"A On time",IF(H602=1,IF(L602=1,"B2a Severe, peak","B2b Severe, off-peak"),IF(L602=1,"B1a Slight, peak","B1b Slight, off-peak"))))</f>
        <v>A On time</v>
      </c>
      <c r="L602" s="33">
        <f>IF(AND(Orders!U599&gt;=19,Orders!U599&lt;22),1,0)</f>
        <v>0</v>
      </c>
      <c r="M602" s="33">
        <f>IF(L602=IF(Orders!V599,1,0),1,0)</f>
        <v>1</v>
      </c>
      <c r="N602" s="32" t="str">
        <f>IF(Orders!W599="","None",Orders!W599)</f>
        <v>None</v>
      </c>
      <c r="O602" s="35">
        <f>INT(Orders!E599)</f>
        <v>46271.0</v>
      </c>
      <c r="P602" s="33">
        <f>Orders!U599</f>
        <v>9</v>
      </c>
      <c r="Q602" s="33">
        <f>COUNTIFS(Demand!$A$2:$A$4481,B602,Demand!$B$2:$B$4481,O602,Demand!$C$2:$C$4481,P602)</f>
        <v>1</v>
      </c>
      <c r="R602" s="33">
        <f>IF(Q602=1,SUMIFS(Demand!$E$2:$E$4481,Demand!$A$2:$A$4481,B602,Demand!$B$2:$B$4481,O602,Demand!$C$2:$C$4481,P602),"")</f>
        <v>39</v>
      </c>
      <c r="S602" s="33">
        <f>INDEX(Stores!$G$2:$G$21,MATCH(B602,Stores!$A$2:$A$21,0))</f>
        <v>49</v>
      </c>
      <c r="T602" s="34">
        <f>IF(R602="","",R602/S602)</f>
        <v>0.795918367346939</v>
      </c>
      <c r="U602" s="34">
        <f>IF(E602=1,T602,"")</f>
        <v>0.795918367346939</v>
      </c>
      <c r="V602" s="34">
        <f>IF(AND(E602=1,L602=0),T602,"")</f>
        <v>0.795918367346939</v>
      </c>
      <c r="W602" s="33">
        <f>IF(U602="","",IF(U602&lt;=Breakdowns!$C$5,1,IF(U602&lt;=Breakdowns!$C$6,2,IF(U602&lt;=Breakdowns!$C$7,3,4))))</f>
        <v>2</v>
      </c>
      <c r="X602" s="33">
        <f>IF(V602="","",IF(V602&lt;=Breakdowns!$D$5,1,IF(V602&lt;=Breakdowns!$D$6,2,IF(V602&lt;=Breakdowns!$D$7,3,4))))</f>
        <v>2</v>
      </c>
      <c r="Y602" s="34">
        <f>INDEX(Stores!$F$2:$F$21,MATCH(B602,Stores!$A$2:$A$21,0))</f>
        <v>5.82</v>
      </c>
      <c r="Z602" s="33">
        <f>IF(Y602&gt;Store_Summary!$M$2,1,0)</f>
        <v>1</v>
      </c>
      <c r="AA602" s="33">
        <f>INDEX(Stores!$C$2:$C$21,MATCH(B602,Stores!$A$2:$A$21,0))</f>
        <v>705</v>
      </c>
      <c r="AB602" s="33">
        <f>IF(AA602&lt;180,1,0)</f>
        <v>0</v>
      </c>
      <c r="AC602" s="32" t="str">
        <f>IF(Orders!D599="","",INDEX(Riders!$C$2:$C$81,MATCH(Orders!D599,Riders!$A$2:$A$81,0)))</f>
        <v>EV scooter</v>
      </c>
      <c r="AD602" s="33">
        <f>IF(Orders!D599="","",INDEX(Riders!$D$2:$D$81,MATCH(Orders!D599,Riders!$A$2:$A$81,0)))</f>
        <v>9</v>
      </c>
      <c r="AE602" s="33">
        <f>IF(Orders!D599="","",IF(INDEX(Riders!$B$2:$B$81,MATCH(Orders!D599,Riders!$A$2:$A$81,0))=B602,1,0))</f>
        <v>0</v>
      </c>
      <c r="AF602" s="34">
        <f>IF(E602=1,Orders!L599,"")</f>
        <v>0.5</v>
      </c>
      <c r="AG602" s="34">
        <f>IF(E602=1,Orders!P599,"")</f>
        <v>9.7</v>
      </c>
      <c r="AH602" s="34">
        <f>IF(E602=1,Orders!Q599,"")</f>
        <v>8.6</v>
      </c>
      <c r="AI602" s="34">
        <f>IF(E602=1,Orders!M599,"")</f>
        <v>4</v>
      </c>
      <c r="AJ602" s="34">
        <f>IF(E602=1,Orders!N599,"")</f>
        <v>2.9</v>
      </c>
      <c r="AK602" s="34">
        <f>IF(E602=1,Orders!O599,"")</f>
        <v>1.7</v>
      </c>
      <c r="AL602" s="33">
        <f>IF(E602=1,IF(ROUND(ABS(AI602+AJ602+AK602-AH602),6)&lt;=0.1,1,0),"")</f>
        <v>1</v>
      </c>
      <c r="AM602" s="36">
        <f>IF(E602=1,AI602/AH602,"")</f>
        <v>0.465116279069767</v>
      </c>
      <c r="AN602" s="36">
        <f>IF(E602=1,AJ602/AH602,"")</f>
        <v>0.337209302325581</v>
      </c>
      <c r="AO602" s="36">
        <f>IF(E602=1,AK602/AH602,"")</f>
        <v>0.197674418604651</v>
      </c>
      <c r="AP602" s="34">
        <f>IF(E602=1,Orders!Y599,"")</f>
        <v>0.54</v>
      </c>
      <c r="AQ602" s="33">
        <f>IF(Orders!X599,1,0)</f>
        <v>0</v>
      </c>
      <c r="AR602" s="34" t="str">
        <f>IF(AND(E602=1,L602=1),AJ602,"")</f>
        <v/>
      </c>
      <c r="AS602" s="34">
        <f>IF(AND(E602=1,L602=0),AJ602,"")</f>
        <v>2.9</v>
      </c>
      <c r="AT602" s="34" t="str">
        <f>IF(AND(E602=1,L602=1),AI602,"")</f>
        <v/>
      </c>
      <c r="AU602" s="34">
        <f>IF(AND(E602=1,L602=0),AI602,"")</f>
        <v>4</v>
      </c>
      <c r="AV602" s="34" t="str">
        <f>IF(AND(E602=1,L602=1),AG602,"")</f>
        <v/>
      </c>
      <c r="AW602" s="34">
        <f>IF(AND(E602=1,L602=0),AG602,"")</f>
        <v>9.7</v>
      </c>
      <c r="AX602" s="34" t="str">
        <f>IF(AND(E602=1,L602=1),AH602,"")</f>
        <v/>
      </c>
      <c r="AY602" s="34">
        <f>IF(AND(E602=1,L602=0),AH602,"")</f>
        <v>8.6</v>
      </c>
      <c r="AZ602" s="34" t="str">
        <f>IF(G602=1,F602,"")</f>
        <v/>
      </c>
      <c r="BA602" s="34" t="str">
        <f>IF(AND(G602=1,L602=1),F602,"")</f>
        <v/>
      </c>
      <c r="BB602" s="34" t="str">
        <f>IF(AND(G602=1,L602=0),F602,"")</f>
        <v/>
      </c>
      <c r="BC602" s="33">
        <f>IF(E602=1,IF(Orders!R599&gt;3,1,0),"")</f>
        <v>0</v>
      </c>
      <c r="BD602" s="33">
        <f>IF(E602=1,IF(Orders!R599&gt;7,1,0),"")</f>
        <v>0</v>
      </c>
      <c r="BE602" s="32" t="str">
        <f>IF(E602=1,IF(Orders!L599&lt;=1.5,"Up to 1.5 km",IF(Orders!L599&lt;=3,"1.5–3 km","Over 3 km")),"")</f>
        <v>Up to 1.5 km</v>
      </c>
      <c r="BF602" s="33">
        <f>IF(E602=1,IF(ABS((Orders!G599-Orders!F599)*1440-Orders!R599)&lt;0.06,1,0),"")</f>
        <v>1</v>
      </c>
      <c r="BG602" s="33">
        <f>IF(ABS((Orders!F599-Orders!E599)*1440-Orders!P599)&lt;0.06,1,0)</f>
        <v>1</v>
      </c>
      <c r="BH602" s="33">
        <f>IF(E602=1,IF(IF(Orders!S599,1,0)=1-G602,1,0),"")</f>
        <v>1</v>
      </c>
      <c r="BI602" s="32" t="str">
        <f>INDEX(Stores!$B$2:$B$21,MATCH(B602,Stores!$A$2:$A$21,0))</f>
        <v>Mumbai</v>
      </c>
    </row>
    <row r="603">
      <c r="A603" s="32" t="str">
        <f>Orders!A600</f>
        <v>O00599</v>
      </c>
      <c r="B603" s="32" t="str">
        <f>Orders!C600</f>
        <v>S005</v>
      </c>
      <c r="C603" s="32" t="str">
        <f>Orders!B600</f>
        <v>C0122</v>
      </c>
      <c r="D603" s="32" t="str">
        <f>Orders!H600</f>
        <v>Delivered</v>
      </c>
      <c r="E603" s="33">
        <f>IF(Orders!H600="Delivered",1,0)</f>
        <v>1</v>
      </c>
      <c r="F603" s="34">
        <f>IF(E603=1,Orders!R600,"")</f>
        <v>3.1</v>
      </c>
      <c r="G603" s="33">
        <f>IF(E603=1,IF(Orders!R600&gt;0,1,0),"")</f>
        <v>1</v>
      </c>
      <c r="H603" s="33">
        <f>IF(E603=1,IF(Orders!R600&gt;5,1,0),"")</f>
        <v>0</v>
      </c>
      <c r="I603" s="32" t="str">
        <f>IF(E603=1,"",IF(OR(Orders!T600="Rider unavailable",Orders!T600="Item unavailable"),"Company-caused","Unresolved"))</f>
        <v/>
      </c>
      <c r="J603" s="33">
        <f>IF(OR(E603=1,I603="Company-caused"),1,0)</f>
        <v>1</v>
      </c>
      <c r="K603" s="32" t="str">
        <f>IF(E603=0,IF(I603="Company-caused",IF(Orders!T600="Rider unavailable","C1 Rider unavailable","C2 Item unavailable"),"Outside root: unresolved"),IF(G603=0,"A On time",IF(H603=1,IF(L603=1,"B2a Severe, peak","B2b Severe, off-peak"),IF(L603=1,"B1a Slight, peak","B1b Slight, off-peak"))))</f>
        <v>B1b Slight, off-peak</v>
      </c>
      <c r="L603" s="33">
        <f>IF(AND(Orders!U600&gt;=19,Orders!U600&lt;22),1,0)</f>
        <v>0</v>
      </c>
      <c r="M603" s="33">
        <f>IF(L603=IF(Orders!V600,1,0),1,0)</f>
        <v>1</v>
      </c>
      <c r="N603" s="32" t="str">
        <f>IF(Orders!W600="","None",Orders!W600)</f>
        <v>None</v>
      </c>
      <c r="O603" s="35">
        <f>INT(Orders!E600)</f>
        <v>46271.0</v>
      </c>
      <c r="P603" s="33">
        <f>Orders!U600</f>
        <v>8</v>
      </c>
      <c r="Q603" s="33">
        <f>COUNTIFS(Demand!$A$2:$A$4481,B603,Demand!$B$2:$B$4481,O603,Demand!$C$2:$C$4481,P603)</f>
        <v>1</v>
      </c>
      <c r="R603" s="33">
        <f>IF(Q603=1,SUMIFS(Demand!$E$2:$E$4481,Demand!$A$2:$A$4481,B603,Demand!$B$2:$B$4481,O603,Demand!$C$2:$C$4481,P603),"")</f>
        <v>11</v>
      </c>
      <c r="S603" s="33">
        <f>INDEX(Stores!$G$2:$G$21,MATCH(B603,Stores!$A$2:$A$21,0))</f>
        <v>14</v>
      </c>
      <c r="T603" s="34">
        <f>IF(R603="","",R603/S603)</f>
        <v>0.785714285714286</v>
      </c>
      <c r="U603" s="34">
        <f>IF(E603=1,T603,"")</f>
        <v>0.785714285714286</v>
      </c>
      <c r="V603" s="34">
        <f>IF(AND(E603=1,L603=0),T603,"")</f>
        <v>0.785714285714286</v>
      </c>
      <c r="W603" s="33">
        <f>IF(U603="","",IF(U603&lt;=Breakdowns!$C$5,1,IF(U603&lt;=Breakdowns!$C$6,2,IF(U603&lt;=Breakdowns!$C$7,3,4))))</f>
        <v>1</v>
      </c>
      <c r="X603" s="33">
        <f>IF(V603="","",IF(V603&lt;=Breakdowns!$D$5,1,IF(V603&lt;=Breakdowns!$D$6,2,IF(V603&lt;=Breakdowns!$D$7,3,4))))</f>
        <v>2</v>
      </c>
      <c r="Y603" s="34">
        <f>INDEX(Stores!$F$2:$F$21,MATCH(B603,Stores!$A$2:$A$21,0))</f>
        <v>4.89</v>
      </c>
      <c r="Z603" s="33">
        <f>IF(Y603&gt;Store_Summary!$M$2,1,0)</f>
        <v>0</v>
      </c>
      <c r="AA603" s="33">
        <f>INDEX(Stores!$C$2:$C$21,MATCH(B603,Stores!$A$2:$A$21,0))</f>
        <v>138</v>
      </c>
      <c r="AB603" s="33">
        <f>IF(AA603&lt;180,1,0)</f>
        <v>1</v>
      </c>
      <c r="AC603" s="32" t="str">
        <f>IF(Orders!D600="","",INDEX(Riders!$C$2:$C$81,MATCH(Orders!D600,Riders!$A$2:$A$81,0)))</f>
        <v>Petrol scooter</v>
      </c>
      <c r="AD603" s="33">
        <f>IF(Orders!D600="","",INDEX(Riders!$D$2:$D$81,MATCH(Orders!D600,Riders!$A$2:$A$81,0)))</f>
        <v>44</v>
      </c>
      <c r="AE603" s="33">
        <f>IF(Orders!D600="","",IF(INDEX(Riders!$B$2:$B$81,MATCH(Orders!D600,Riders!$A$2:$A$81,0))=B603,1,0))</f>
        <v>0</v>
      </c>
      <c r="AF603" s="34">
        <f>IF(E603=1,Orders!L600,"")</f>
        <v>1.52</v>
      </c>
      <c r="AG603" s="34">
        <f>IF(E603=1,Orders!P600,"")</f>
        <v>10.3</v>
      </c>
      <c r="AH603" s="34">
        <f>IF(E603=1,Orders!Q600,"")</f>
        <v>13.4</v>
      </c>
      <c r="AI603" s="34">
        <f>IF(E603=1,Orders!M600,"")</f>
        <v>5</v>
      </c>
      <c r="AJ603" s="34">
        <f>IF(E603=1,Orders!N600,"")</f>
        <v>4.2</v>
      </c>
      <c r="AK603" s="34">
        <f>IF(E603=1,Orders!O600,"")</f>
        <v>4.2</v>
      </c>
      <c r="AL603" s="33">
        <f>IF(E603=1,IF(ROUND(ABS(AI603+AJ603+AK603-AH603),6)&lt;=0.1,1,0),"")</f>
        <v>1</v>
      </c>
      <c r="AM603" s="36">
        <f>IF(E603=1,AI603/AH603,"")</f>
        <v>0.373134328358209</v>
      </c>
      <c r="AN603" s="36">
        <f>IF(E603=1,AJ603/AH603,"")</f>
        <v>0.313432835820896</v>
      </c>
      <c r="AO603" s="36">
        <f>IF(E603=1,AK603/AH603,"")</f>
        <v>0.313432835820896</v>
      </c>
      <c r="AP603" s="34">
        <f>IF(E603=1,Orders!Y600,"")</f>
        <v>0.48</v>
      </c>
      <c r="AQ603" s="33">
        <f>IF(Orders!X600,1,0)</f>
        <v>0</v>
      </c>
      <c r="AR603" s="34" t="str">
        <f>IF(AND(E603=1,L603=1),AJ603,"")</f>
        <v/>
      </c>
      <c r="AS603" s="34">
        <f>IF(AND(E603=1,L603=0),AJ603,"")</f>
        <v>4.2</v>
      </c>
      <c r="AT603" s="34" t="str">
        <f>IF(AND(E603=1,L603=1),AI603,"")</f>
        <v/>
      </c>
      <c r="AU603" s="34">
        <f>IF(AND(E603=1,L603=0),AI603,"")</f>
        <v>5</v>
      </c>
      <c r="AV603" s="34" t="str">
        <f>IF(AND(E603=1,L603=1),AG603,"")</f>
        <v/>
      </c>
      <c r="AW603" s="34">
        <f>IF(AND(E603=1,L603=0),AG603,"")</f>
        <v>10.3</v>
      </c>
      <c r="AX603" s="34" t="str">
        <f>IF(AND(E603=1,L603=1),AH603,"")</f>
        <v/>
      </c>
      <c r="AY603" s="34">
        <f>IF(AND(E603=1,L603=0),AH603,"")</f>
        <v>13.4</v>
      </c>
      <c r="AZ603" s="34">
        <f>IF(G603=1,F603,"")</f>
        <v>3.1</v>
      </c>
      <c r="BA603" s="34" t="str">
        <f>IF(AND(G603=1,L603=1),F603,"")</f>
        <v/>
      </c>
      <c r="BB603" s="34">
        <f>IF(AND(G603=1,L603=0),F603,"")</f>
        <v>3.1</v>
      </c>
      <c r="BC603" s="33">
        <f>IF(E603=1,IF(Orders!R600&gt;3,1,0),"")</f>
        <v>1</v>
      </c>
      <c r="BD603" s="33">
        <f>IF(E603=1,IF(Orders!R600&gt;7,1,0),"")</f>
        <v>0</v>
      </c>
      <c r="BE603" s="32" t="str">
        <f>IF(E603=1,IF(Orders!L600&lt;=1.5,"Up to 1.5 km",IF(Orders!L600&lt;=3,"1.5–3 km","Over 3 km")),"")</f>
        <v>1.5–3 km</v>
      </c>
      <c r="BF603" s="33">
        <f>IF(E603=1,IF(ABS((Orders!G600-Orders!F600)*1440-Orders!R600)&lt;0.06,1,0),"")</f>
        <v>1</v>
      </c>
      <c r="BG603" s="33">
        <f>IF(ABS((Orders!F600-Orders!E600)*1440-Orders!P600)&lt;0.06,1,0)</f>
        <v>1</v>
      </c>
      <c r="BH603" s="33">
        <f>IF(E603=1,IF(IF(Orders!S600,1,0)=1-G603,1,0),"")</f>
        <v>1</v>
      </c>
      <c r="BI603" s="32" t="str">
        <f>INDEX(Stores!$B$2:$B$21,MATCH(B603,Stores!$A$2:$A$21,0))</f>
        <v>Delhi</v>
      </c>
    </row>
    <row r="604">
      <c r="A604" s="32" t="str">
        <f>Orders!A601</f>
        <v>O00600</v>
      </c>
      <c r="B604" s="32" t="str">
        <f>Orders!C601</f>
        <v>S010</v>
      </c>
      <c r="C604" s="32" t="str">
        <f>Orders!B601</f>
        <v>C0087</v>
      </c>
      <c r="D604" s="32" t="str">
        <f>Orders!H601</f>
        <v>Delivered</v>
      </c>
      <c r="E604" s="33">
        <f>IF(Orders!H601="Delivered",1,0)</f>
        <v>1</v>
      </c>
      <c r="F604" s="34">
        <f>IF(E604=1,Orders!R601,"")</f>
        <v>-0.7</v>
      </c>
      <c r="G604" s="33">
        <f>IF(E604=1,IF(Orders!R601&gt;0,1,0),"")</f>
        <v>0</v>
      </c>
      <c r="H604" s="33">
        <f>IF(E604=1,IF(Orders!R601&gt;5,1,0),"")</f>
        <v>0</v>
      </c>
      <c r="I604" s="32" t="str">
        <f>IF(E604=1,"",IF(OR(Orders!T601="Rider unavailable",Orders!T601="Item unavailable"),"Company-caused","Unresolved"))</f>
        <v/>
      </c>
      <c r="J604" s="33">
        <f>IF(OR(E604=1,I604="Company-caused"),1,0)</f>
        <v>1</v>
      </c>
      <c r="K604" s="32" t="str">
        <f>IF(E604=0,IF(I604="Company-caused",IF(Orders!T601="Rider unavailable","C1 Rider unavailable","C2 Item unavailable"),"Outside root: unresolved"),IF(G604=0,"A On time",IF(H604=1,IF(L604=1,"B2a Severe, peak","B2b Severe, off-peak"),IF(L604=1,"B1a Slight, peak","B1b Slight, off-peak"))))</f>
        <v>A On time</v>
      </c>
      <c r="L604" s="33">
        <f>IF(AND(Orders!U601&gt;=19,Orders!U601&lt;22),1,0)</f>
        <v>0</v>
      </c>
      <c r="M604" s="33">
        <f>IF(L604=IF(Orders!V601,1,0),1,0)</f>
        <v>1</v>
      </c>
      <c r="N604" s="32" t="str">
        <f>IF(Orders!W601="","None",Orders!W601)</f>
        <v>Light</v>
      </c>
      <c r="O604" s="35">
        <f>INT(Orders!E601)</f>
        <v>46278.0</v>
      </c>
      <c r="P604" s="33">
        <f>Orders!U601</f>
        <v>16</v>
      </c>
      <c r="Q604" s="33">
        <f>COUNTIFS(Demand!$A$2:$A$4481,B604,Demand!$B$2:$B$4481,O604,Demand!$C$2:$C$4481,P604)</f>
        <v>1</v>
      </c>
      <c r="R604" s="33">
        <f>IF(Q604=1,SUMIFS(Demand!$E$2:$E$4481,Demand!$A$2:$A$4481,B604,Demand!$B$2:$B$4481,O604,Demand!$C$2:$C$4481,P604),"")</f>
        <v>23</v>
      </c>
      <c r="S604" s="33">
        <f>INDEX(Stores!$G$2:$G$21,MATCH(B604,Stores!$A$2:$A$21,0))</f>
        <v>22</v>
      </c>
      <c r="T604" s="34">
        <f>IF(R604="","",R604/S604)</f>
        <v>1.04545454545455</v>
      </c>
      <c r="U604" s="34">
        <f>IF(E604=1,T604,"")</f>
        <v>1.04545454545455</v>
      </c>
      <c r="V604" s="34">
        <f>IF(AND(E604=1,L604=0),T604,"")</f>
        <v>1.04545454545455</v>
      </c>
      <c r="W604" s="33">
        <f>IF(U604="","",IF(U604&lt;=Breakdowns!$C$5,1,IF(U604&lt;=Breakdowns!$C$6,2,IF(U604&lt;=Breakdowns!$C$7,3,4))))</f>
        <v>3</v>
      </c>
      <c r="X604" s="33">
        <f>IF(V604="","",IF(V604&lt;=Breakdowns!$D$5,1,IF(V604&lt;=Breakdowns!$D$6,2,IF(V604&lt;=Breakdowns!$D$7,3,4))))</f>
        <v>3</v>
      </c>
      <c r="Y604" s="34">
        <f>INDEX(Stores!$F$2:$F$21,MATCH(B604,Stores!$A$2:$A$21,0))</f>
        <v>5.61</v>
      </c>
      <c r="Z604" s="33">
        <f>IF(Y604&gt;Store_Summary!$M$2,1,0)</f>
        <v>1</v>
      </c>
      <c r="AA604" s="33">
        <f>INDEX(Stores!$C$2:$C$21,MATCH(B604,Stores!$A$2:$A$21,0))</f>
        <v>744</v>
      </c>
      <c r="AB604" s="33">
        <f>IF(AA604&lt;180,1,0)</f>
        <v>0</v>
      </c>
      <c r="AC604" s="32" t="str">
        <f>IF(Orders!D601="","",INDEX(Riders!$C$2:$C$81,MATCH(Orders!D601,Riders!$A$2:$A$81,0)))</f>
        <v>EV scooter</v>
      </c>
      <c r="AD604" s="33">
        <f>IF(Orders!D601="","",INDEX(Riders!$D$2:$D$81,MATCH(Orders!D601,Riders!$A$2:$A$81,0)))</f>
        <v>32</v>
      </c>
      <c r="AE604" s="33">
        <f>IF(Orders!D601="","",IF(INDEX(Riders!$B$2:$B$81,MATCH(Orders!D601,Riders!$A$2:$A$81,0))=B604,1,0))</f>
        <v>0</v>
      </c>
      <c r="AF604" s="34">
        <f>IF(E604=1,Orders!L601,"")</f>
        <v>1.47</v>
      </c>
      <c r="AG604" s="34">
        <f>IF(E604=1,Orders!P601,"")</f>
        <v>10.3</v>
      </c>
      <c r="AH604" s="34">
        <f>IF(E604=1,Orders!Q601,"")</f>
        <v>9.6</v>
      </c>
      <c r="AI604" s="34">
        <f>IF(E604=1,Orders!M601,"")</f>
        <v>4</v>
      </c>
      <c r="AJ604" s="34">
        <f>IF(E604=1,Orders!N601,"")</f>
        <v>2.5</v>
      </c>
      <c r="AK604" s="34">
        <f>IF(E604=1,Orders!O601,"")</f>
        <v>3.1</v>
      </c>
      <c r="AL604" s="33">
        <f>IF(E604=1,IF(ROUND(ABS(AI604+AJ604+AK604-AH604),6)&lt;=0.1,1,0),"")</f>
        <v>1</v>
      </c>
      <c r="AM604" s="36">
        <f>IF(E604=1,AI604/AH604,"")</f>
        <v>0.416666666666667</v>
      </c>
      <c r="AN604" s="36">
        <f>IF(E604=1,AJ604/AH604,"")</f>
        <v>0.260416666666667</v>
      </c>
      <c r="AO604" s="36">
        <f>IF(E604=1,AK604/AH604,"")</f>
        <v>0.322916666666667</v>
      </c>
      <c r="AP604" s="34">
        <f>IF(E604=1,Orders!Y601,"")</f>
        <v>0.43</v>
      </c>
      <c r="AQ604" s="33">
        <f>IF(Orders!X601,1,0)</f>
        <v>0</v>
      </c>
      <c r="AR604" s="34" t="str">
        <f>IF(AND(E604=1,L604=1),AJ604,"")</f>
        <v/>
      </c>
      <c r="AS604" s="34">
        <f>IF(AND(E604=1,L604=0),AJ604,"")</f>
        <v>2.5</v>
      </c>
      <c r="AT604" s="34" t="str">
        <f>IF(AND(E604=1,L604=1),AI604,"")</f>
        <v/>
      </c>
      <c r="AU604" s="34">
        <f>IF(AND(E604=1,L604=0),AI604,"")</f>
        <v>4</v>
      </c>
      <c r="AV604" s="34" t="str">
        <f>IF(AND(E604=1,L604=1),AG604,"")</f>
        <v/>
      </c>
      <c r="AW604" s="34">
        <f>IF(AND(E604=1,L604=0),AG604,"")</f>
        <v>10.3</v>
      </c>
      <c r="AX604" s="34" t="str">
        <f>IF(AND(E604=1,L604=1),AH604,"")</f>
        <v/>
      </c>
      <c r="AY604" s="34">
        <f>IF(AND(E604=1,L604=0),AH604,"")</f>
        <v>9.6</v>
      </c>
      <c r="AZ604" s="34" t="str">
        <f>IF(G604=1,F604,"")</f>
        <v/>
      </c>
      <c r="BA604" s="34" t="str">
        <f>IF(AND(G604=1,L604=1),F604,"")</f>
        <v/>
      </c>
      <c r="BB604" s="34" t="str">
        <f>IF(AND(G604=1,L604=0),F604,"")</f>
        <v/>
      </c>
      <c r="BC604" s="33">
        <f>IF(E604=1,IF(Orders!R601&gt;3,1,0),"")</f>
        <v>0</v>
      </c>
      <c r="BD604" s="33">
        <f>IF(E604=1,IF(Orders!R601&gt;7,1,0),"")</f>
        <v>0</v>
      </c>
      <c r="BE604" s="32" t="str">
        <f>IF(E604=1,IF(Orders!L601&lt;=1.5,"Up to 1.5 km",IF(Orders!L601&lt;=3,"1.5–3 km","Over 3 km")),"")</f>
        <v>Up to 1.5 km</v>
      </c>
      <c r="BF604" s="33">
        <f>IF(E604=1,IF(ABS((Orders!G601-Orders!F601)*1440-Orders!R601)&lt;0.06,1,0),"")</f>
        <v>1</v>
      </c>
      <c r="BG604" s="33">
        <f>IF(ABS((Orders!F601-Orders!E601)*1440-Orders!P601)&lt;0.06,1,0)</f>
        <v>1</v>
      </c>
      <c r="BH604" s="33">
        <f>IF(E604=1,IF(IF(Orders!S601,1,0)=1-G604,1,0),"")</f>
        <v>1</v>
      </c>
      <c r="BI604" s="32" t="str">
        <f>INDEX(Stores!$B$2:$B$21,MATCH(B604,Stores!$A$2:$A$21,0))</f>
        <v>Delhi</v>
      </c>
    </row>
    <row r="605">
      <c r="A605" s="32" t="str">
        <f>Orders!A602</f>
        <v>O00601</v>
      </c>
      <c r="B605" s="32" t="str">
        <f>Orders!C602</f>
        <v>S009</v>
      </c>
      <c r="C605" s="32" t="str">
        <f>Orders!B602</f>
        <v>C0219</v>
      </c>
      <c r="D605" s="32" t="str">
        <f>Orders!H602</f>
        <v>Delivered</v>
      </c>
      <c r="E605" s="33">
        <f>IF(Orders!H602="Delivered",1,0)</f>
        <v>1</v>
      </c>
      <c r="F605" s="34">
        <f>IF(E605=1,Orders!R602,"")</f>
        <v>-4.3</v>
      </c>
      <c r="G605" s="33">
        <f>IF(E605=1,IF(Orders!R602&gt;0,1,0),"")</f>
        <v>0</v>
      </c>
      <c r="H605" s="33">
        <f>IF(E605=1,IF(Orders!R602&gt;5,1,0),"")</f>
        <v>0</v>
      </c>
      <c r="I605" s="32" t="str">
        <f>IF(E605=1,"",IF(OR(Orders!T602="Rider unavailable",Orders!T602="Item unavailable"),"Company-caused","Unresolved"))</f>
        <v/>
      </c>
      <c r="J605" s="33">
        <f>IF(OR(E605=1,I605="Company-caused"),1,0)</f>
        <v>1</v>
      </c>
      <c r="K605" s="32" t="str">
        <f>IF(E605=0,IF(I605="Company-caused",IF(Orders!T602="Rider unavailable","C1 Rider unavailable","C2 Item unavailable"),"Outside root: unresolved"),IF(G605=0,"A On time",IF(H605=1,IF(L605=1,"B2a Severe, peak","B2b Severe, off-peak"),IF(L605=1,"B1a Slight, peak","B1b Slight, off-peak"))))</f>
        <v>A On time</v>
      </c>
      <c r="L605" s="33">
        <f>IF(AND(Orders!U602&gt;=19,Orders!U602&lt;22),1,0)</f>
        <v>0</v>
      </c>
      <c r="M605" s="33">
        <f>IF(L605=IF(Orders!V602,1,0),1,0)</f>
        <v>1</v>
      </c>
      <c r="N605" s="32" t="str">
        <f>IF(Orders!W602="","None",Orders!W602)</f>
        <v>None</v>
      </c>
      <c r="O605" s="35">
        <f>INT(Orders!E602)</f>
        <v>46269.0</v>
      </c>
      <c r="P605" s="33">
        <f>Orders!U602</f>
        <v>15</v>
      </c>
      <c r="Q605" s="33">
        <f>COUNTIFS(Demand!$A$2:$A$4481,B605,Demand!$B$2:$B$4481,O605,Demand!$C$2:$C$4481,P605)</f>
        <v>1</v>
      </c>
      <c r="R605" s="33">
        <f>IF(Q605=1,SUMIFS(Demand!$E$2:$E$4481,Demand!$A$2:$A$4481,B605,Demand!$B$2:$B$4481,O605,Demand!$C$2:$C$4481,P605),"")</f>
        <v>17</v>
      </c>
      <c r="S605" s="33">
        <f>INDEX(Stores!$G$2:$G$21,MATCH(B605,Stores!$A$2:$A$21,0))</f>
        <v>29</v>
      </c>
      <c r="T605" s="34">
        <f>IF(R605="","",R605/S605)</f>
        <v>0.586206896551724</v>
      </c>
      <c r="U605" s="34">
        <f>IF(E605=1,T605,"")</f>
        <v>0.586206896551724</v>
      </c>
      <c r="V605" s="34">
        <f>IF(AND(E605=1,L605=0),T605,"")</f>
        <v>0.586206896551724</v>
      </c>
      <c r="W605" s="33">
        <f>IF(U605="","",IF(U605&lt;=Breakdowns!$C$5,1,IF(U605&lt;=Breakdowns!$C$6,2,IF(U605&lt;=Breakdowns!$C$7,3,4))))</f>
        <v>1</v>
      </c>
      <c r="X605" s="33">
        <f>IF(V605="","",IF(V605&lt;=Breakdowns!$D$5,1,IF(V605&lt;=Breakdowns!$D$6,2,IF(V605&lt;=Breakdowns!$D$7,3,4))))</f>
        <v>1</v>
      </c>
      <c r="Y605" s="34">
        <f>INDEX(Stores!$F$2:$F$21,MATCH(B605,Stores!$A$2:$A$21,0))</f>
        <v>2.66</v>
      </c>
      <c r="Z605" s="33">
        <f>IF(Y605&gt;Store_Summary!$M$2,1,0)</f>
        <v>0</v>
      </c>
      <c r="AA605" s="33">
        <f>INDEX(Stores!$C$2:$C$21,MATCH(B605,Stores!$A$2:$A$21,0))</f>
        <v>645</v>
      </c>
      <c r="AB605" s="33">
        <f>IF(AA605&lt;180,1,0)</f>
        <v>0</v>
      </c>
      <c r="AC605" s="32" t="str">
        <f>IF(Orders!D602="","",INDEX(Riders!$C$2:$C$81,MATCH(Orders!D602,Riders!$A$2:$A$81,0)))</f>
        <v>EV scooter</v>
      </c>
      <c r="AD605" s="33">
        <f>IF(Orders!D602="","",INDEX(Riders!$D$2:$D$81,MATCH(Orders!D602,Riders!$A$2:$A$81,0)))</f>
        <v>41</v>
      </c>
      <c r="AE605" s="33">
        <f>IF(Orders!D602="","",IF(INDEX(Riders!$B$2:$B$81,MATCH(Orders!D602,Riders!$A$2:$A$81,0))=B605,1,0))</f>
        <v>0</v>
      </c>
      <c r="AF605" s="34">
        <f>IF(E605=1,Orders!L602,"")</f>
        <v>1.5</v>
      </c>
      <c r="AG605" s="34">
        <f>IF(E605=1,Orders!P602,"")</f>
        <v>10.7</v>
      </c>
      <c r="AH605" s="34">
        <f>IF(E605=1,Orders!Q602,"")</f>
        <v>6.4</v>
      </c>
      <c r="AI605" s="34">
        <f>IF(E605=1,Orders!M602,"")</f>
        <v>2.1</v>
      </c>
      <c r="AJ605" s="34">
        <f>IF(E605=1,Orders!N602,"")</f>
        <v>0</v>
      </c>
      <c r="AK605" s="34">
        <f>IF(E605=1,Orders!O602,"")</f>
        <v>4.3</v>
      </c>
      <c r="AL605" s="33">
        <f>IF(E605=1,IF(ROUND(ABS(AI605+AJ605+AK605-AH605),6)&lt;=0.1,1,0),"")</f>
        <v>1</v>
      </c>
      <c r="AM605" s="36">
        <f>IF(E605=1,AI605/AH605,"")</f>
        <v>0.328125</v>
      </c>
      <c r="AN605" s="36">
        <f>IF(E605=1,AJ605/AH605,"")</f>
        <v>0</v>
      </c>
      <c r="AO605" s="36">
        <f>IF(E605=1,AK605/AH605,"")</f>
        <v>0.671875</v>
      </c>
      <c r="AP605" s="34">
        <f>IF(E605=1,Orders!Y602,"")</f>
        <v>0.54</v>
      </c>
      <c r="AQ605" s="33">
        <f>IF(Orders!X602,1,0)</f>
        <v>0</v>
      </c>
      <c r="AR605" s="34" t="str">
        <f>IF(AND(E605=1,L605=1),AJ605,"")</f>
        <v/>
      </c>
      <c r="AS605" s="34">
        <f>IF(AND(E605=1,L605=0),AJ605,"")</f>
        <v>0</v>
      </c>
      <c r="AT605" s="34" t="str">
        <f>IF(AND(E605=1,L605=1),AI605,"")</f>
        <v/>
      </c>
      <c r="AU605" s="34">
        <f>IF(AND(E605=1,L605=0),AI605,"")</f>
        <v>2.1</v>
      </c>
      <c r="AV605" s="34" t="str">
        <f>IF(AND(E605=1,L605=1),AG605,"")</f>
        <v/>
      </c>
      <c r="AW605" s="34">
        <f>IF(AND(E605=1,L605=0),AG605,"")</f>
        <v>10.7</v>
      </c>
      <c r="AX605" s="34" t="str">
        <f>IF(AND(E605=1,L605=1),AH605,"")</f>
        <v/>
      </c>
      <c r="AY605" s="34">
        <f>IF(AND(E605=1,L605=0),AH605,"")</f>
        <v>6.4</v>
      </c>
      <c r="AZ605" s="34" t="str">
        <f>IF(G605=1,F605,"")</f>
        <v/>
      </c>
      <c r="BA605" s="34" t="str">
        <f>IF(AND(G605=1,L605=1),F605,"")</f>
        <v/>
      </c>
      <c r="BB605" s="34" t="str">
        <f>IF(AND(G605=1,L605=0),F605,"")</f>
        <v/>
      </c>
      <c r="BC605" s="33">
        <f>IF(E605=1,IF(Orders!R602&gt;3,1,0),"")</f>
        <v>0</v>
      </c>
      <c r="BD605" s="33">
        <f>IF(E605=1,IF(Orders!R602&gt;7,1,0),"")</f>
        <v>0</v>
      </c>
      <c r="BE605" s="32" t="str">
        <f>IF(E605=1,IF(Orders!L602&lt;=1.5,"Up to 1.5 km",IF(Orders!L602&lt;=3,"1.5–3 km","Over 3 km")),"")</f>
        <v>Up to 1.5 km</v>
      </c>
      <c r="BF605" s="33">
        <f>IF(E605=1,IF(ABS((Orders!G602-Orders!F602)*1440-Orders!R602)&lt;0.06,1,0),"")</f>
        <v>1</v>
      </c>
      <c r="BG605" s="33">
        <f>IF(ABS((Orders!F602-Orders!E602)*1440-Orders!P602)&lt;0.06,1,0)</f>
        <v>1</v>
      </c>
      <c r="BH605" s="33">
        <f>IF(E605=1,IF(IF(Orders!S602,1,0)=1-G605,1,0),"")</f>
        <v>1</v>
      </c>
      <c r="BI605" s="32" t="str">
        <f>INDEX(Stores!$B$2:$B$21,MATCH(B605,Stores!$A$2:$A$21,0))</f>
        <v>Pune</v>
      </c>
    </row>
    <row r="606">
      <c r="A606" s="32" t="str">
        <f>Orders!A603</f>
        <v>O00602</v>
      </c>
      <c r="B606" s="32" t="str">
        <f>Orders!C603</f>
        <v>S019</v>
      </c>
      <c r="C606" s="32" t="str">
        <f>Orders!B603</f>
        <v>C0031</v>
      </c>
      <c r="D606" s="32" t="str">
        <f>Orders!H603</f>
        <v>Delivered</v>
      </c>
      <c r="E606" s="33">
        <f>IF(Orders!H603="Delivered",1,0)</f>
        <v>1</v>
      </c>
      <c r="F606" s="34">
        <f>IF(E606=1,Orders!R603,"")</f>
        <v>-0.5</v>
      </c>
      <c r="G606" s="33">
        <f>IF(E606=1,IF(Orders!R603&gt;0,1,0),"")</f>
        <v>0</v>
      </c>
      <c r="H606" s="33">
        <f>IF(E606=1,IF(Orders!R603&gt;5,1,0),"")</f>
        <v>0</v>
      </c>
      <c r="I606" s="32" t="str">
        <f>IF(E606=1,"",IF(OR(Orders!T603="Rider unavailable",Orders!T603="Item unavailable"),"Company-caused","Unresolved"))</f>
        <v/>
      </c>
      <c r="J606" s="33">
        <f>IF(OR(E606=1,I606="Company-caused"),1,0)</f>
        <v>1</v>
      </c>
      <c r="K606" s="32" t="str">
        <f>IF(E606=0,IF(I606="Company-caused",IF(Orders!T603="Rider unavailable","C1 Rider unavailable","C2 Item unavailable"),"Outside root: unresolved"),IF(G606=0,"A On time",IF(H606=1,IF(L606=1,"B2a Severe, peak","B2b Severe, off-peak"),IF(L606=1,"B1a Slight, peak","B1b Slight, off-peak"))))</f>
        <v>A On time</v>
      </c>
      <c r="L606" s="33">
        <f>IF(AND(Orders!U603&gt;=19,Orders!U603&lt;22),1,0)</f>
        <v>1</v>
      </c>
      <c r="M606" s="33">
        <f>IF(L606=IF(Orders!V603,1,0),1,0)</f>
        <v>1</v>
      </c>
      <c r="N606" s="32" t="str">
        <f>IF(Orders!W603="","None",Orders!W603)</f>
        <v>None</v>
      </c>
      <c r="O606" s="35">
        <f>INT(Orders!E603)</f>
        <v>46269.0</v>
      </c>
      <c r="P606" s="33">
        <f>Orders!U603</f>
        <v>20</v>
      </c>
      <c r="Q606" s="33">
        <f>COUNTIFS(Demand!$A$2:$A$4481,B606,Demand!$B$2:$B$4481,O606,Demand!$C$2:$C$4481,P606)</f>
        <v>1</v>
      </c>
      <c r="R606" s="33">
        <f>IF(Q606=1,SUMIFS(Demand!$E$2:$E$4481,Demand!$A$2:$A$4481,B606,Demand!$B$2:$B$4481,O606,Demand!$C$2:$C$4481,P606),"")</f>
        <v>23</v>
      </c>
      <c r="S606" s="33">
        <f>INDEX(Stores!$G$2:$G$21,MATCH(B606,Stores!$A$2:$A$21,0))</f>
        <v>22</v>
      </c>
      <c r="T606" s="34">
        <f>IF(R606="","",R606/S606)</f>
        <v>1.04545454545455</v>
      </c>
      <c r="U606" s="34">
        <f>IF(E606=1,T606,"")</f>
        <v>1.04545454545455</v>
      </c>
      <c r="V606" s="34" t="str">
        <f>IF(AND(E606=1,L606=0),T606,"")</f>
        <v/>
      </c>
      <c r="W606" s="33">
        <f>IF(U606="","",IF(U606&lt;=Breakdowns!$C$5,1,IF(U606&lt;=Breakdowns!$C$6,2,IF(U606&lt;=Breakdowns!$C$7,3,4))))</f>
        <v>3</v>
      </c>
      <c r="X606" s="33" t="str">
        <f>IF(V606="","",IF(V606&lt;=Breakdowns!$D$5,1,IF(V606&lt;=Breakdowns!$D$6,2,IF(V606&lt;=Breakdowns!$D$7,3,4))))</f>
        <v/>
      </c>
      <c r="Y606" s="34">
        <f>INDEX(Stores!$F$2:$F$21,MATCH(B606,Stores!$A$2:$A$21,0))</f>
        <v>4.99</v>
      </c>
      <c r="Z606" s="33">
        <f>IF(Y606&gt;Store_Summary!$M$2,1,0)</f>
        <v>1</v>
      </c>
      <c r="AA606" s="33">
        <f>INDEX(Stores!$C$2:$C$21,MATCH(B606,Stores!$A$2:$A$21,0))</f>
        <v>851</v>
      </c>
      <c r="AB606" s="33">
        <f>IF(AA606&lt;180,1,0)</f>
        <v>0</v>
      </c>
      <c r="AC606" s="32" t="str">
        <f>IF(Orders!D603="","",INDEX(Riders!$C$2:$C$81,MATCH(Orders!D603,Riders!$A$2:$A$81,0)))</f>
        <v>EV scooter</v>
      </c>
      <c r="AD606" s="33">
        <f>IF(Orders!D603="","",INDEX(Riders!$D$2:$D$81,MATCH(Orders!D603,Riders!$A$2:$A$81,0)))</f>
        <v>33</v>
      </c>
      <c r="AE606" s="33">
        <f>IF(Orders!D603="","",IF(INDEX(Riders!$B$2:$B$81,MATCH(Orders!D603,Riders!$A$2:$A$81,0))=B606,1,0))</f>
        <v>1</v>
      </c>
      <c r="AF606" s="34">
        <f>IF(E606=1,Orders!L603,"")</f>
        <v>2.31</v>
      </c>
      <c r="AG606" s="34">
        <f>IF(E606=1,Orders!P603,"")</f>
        <v>9.3</v>
      </c>
      <c r="AH606" s="34">
        <f>IF(E606=1,Orders!Q603,"")</f>
        <v>8.8</v>
      </c>
      <c r="AI606" s="34">
        <f>IF(E606=1,Orders!M603,"")</f>
        <v>2.7</v>
      </c>
      <c r="AJ606" s="34">
        <f>IF(E606=1,Orders!N603,"")</f>
        <v>3.1</v>
      </c>
      <c r="AK606" s="34">
        <f>IF(E606=1,Orders!O603,"")</f>
        <v>3</v>
      </c>
      <c r="AL606" s="33">
        <f>IF(E606=1,IF(ROUND(ABS(AI606+AJ606+AK606-AH606),6)&lt;=0.1,1,0),"")</f>
        <v>1</v>
      </c>
      <c r="AM606" s="36">
        <f>IF(E606=1,AI606/AH606,"")</f>
        <v>0.306818181818182</v>
      </c>
      <c r="AN606" s="36">
        <f>IF(E606=1,AJ606/AH606,"")</f>
        <v>0.352272727272727</v>
      </c>
      <c r="AO606" s="36">
        <f>IF(E606=1,AK606/AH606,"")</f>
        <v>0.340909090909091</v>
      </c>
      <c r="AP606" s="34">
        <f>IF(E606=1,Orders!Y603,"")</f>
        <v>0.82</v>
      </c>
      <c r="AQ606" s="33">
        <f>IF(Orders!X603,1,0)</f>
        <v>0</v>
      </c>
      <c r="AR606" s="34">
        <f>IF(AND(E606=1,L606=1),AJ606,"")</f>
        <v>3.1</v>
      </c>
      <c r="AS606" s="34" t="str">
        <f>IF(AND(E606=1,L606=0),AJ606,"")</f>
        <v/>
      </c>
      <c r="AT606" s="34">
        <f>IF(AND(E606=1,L606=1),AI606,"")</f>
        <v>2.7</v>
      </c>
      <c r="AU606" s="34" t="str">
        <f>IF(AND(E606=1,L606=0),AI606,"")</f>
        <v/>
      </c>
      <c r="AV606" s="34">
        <f>IF(AND(E606=1,L606=1),AG606,"")</f>
        <v>9.3</v>
      </c>
      <c r="AW606" s="34" t="str">
        <f>IF(AND(E606=1,L606=0),AG606,"")</f>
        <v/>
      </c>
      <c r="AX606" s="34">
        <f>IF(AND(E606=1,L606=1),AH606,"")</f>
        <v>8.8</v>
      </c>
      <c r="AY606" s="34" t="str">
        <f>IF(AND(E606=1,L606=0),AH606,"")</f>
        <v/>
      </c>
      <c r="AZ606" s="34" t="str">
        <f>IF(G606=1,F606,"")</f>
        <v/>
      </c>
      <c r="BA606" s="34" t="str">
        <f>IF(AND(G606=1,L606=1),F606,"")</f>
        <v/>
      </c>
      <c r="BB606" s="34" t="str">
        <f>IF(AND(G606=1,L606=0),F606,"")</f>
        <v/>
      </c>
      <c r="BC606" s="33">
        <f>IF(E606=1,IF(Orders!R603&gt;3,1,0),"")</f>
        <v>0</v>
      </c>
      <c r="BD606" s="33">
        <f>IF(E606=1,IF(Orders!R603&gt;7,1,0),"")</f>
        <v>0</v>
      </c>
      <c r="BE606" s="32" t="str">
        <f>IF(E606=1,IF(Orders!L603&lt;=1.5,"Up to 1.5 km",IF(Orders!L603&lt;=3,"1.5–3 km","Over 3 km")),"")</f>
        <v>1.5–3 km</v>
      </c>
      <c r="BF606" s="33">
        <f>IF(E606=1,IF(ABS((Orders!G603-Orders!F603)*1440-Orders!R603)&lt;0.06,1,0),"")</f>
        <v>1</v>
      </c>
      <c r="BG606" s="33">
        <f>IF(ABS((Orders!F603-Orders!E603)*1440-Orders!P603)&lt;0.06,1,0)</f>
        <v>1</v>
      </c>
      <c r="BH606" s="33">
        <f>IF(E606=1,IF(IF(Orders!S603,1,0)=1-G606,1,0),"")</f>
        <v>1</v>
      </c>
      <c r="BI606" s="32" t="str">
        <f>INDEX(Stores!$B$2:$B$21,MATCH(B606,Stores!$A$2:$A$21,0))</f>
        <v>Pune</v>
      </c>
    </row>
    <row r="607">
      <c r="A607" s="32" t="str">
        <f>Orders!A604</f>
        <v>O00603</v>
      </c>
      <c r="B607" s="32" t="str">
        <f>Orders!C604</f>
        <v>S019</v>
      </c>
      <c r="C607" s="32" t="str">
        <f>Orders!B604</f>
        <v>C0116</v>
      </c>
      <c r="D607" s="32" t="str">
        <f>Orders!H604</f>
        <v>Delivered</v>
      </c>
      <c r="E607" s="33">
        <f>IF(Orders!H604="Delivered",1,0)</f>
        <v>1</v>
      </c>
      <c r="F607" s="34">
        <f>IF(E607=1,Orders!R604,"")</f>
        <v>1.4</v>
      </c>
      <c r="G607" s="33">
        <f>IF(E607=1,IF(Orders!R604&gt;0,1,0),"")</f>
        <v>1</v>
      </c>
      <c r="H607" s="33">
        <f>IF(E607=1,IF(Orders!R604&gt;5,1,0),"")</f>
        <v>0</v>
      </c>
      <c r="I607" s="32" t="str">
        <f>IF(E607=1,"",IF(OR(Orders!T604="Rider unavailable",Orders!T604="Item unavailable"),"Company-caused","Unresolved"))</f>
        <v/>
      </c>
      <c r="J607" s="33">
        <f>IF(OR(E607=1,I607="Company-caused"),1,0)</f>
        <v>1</v>
      </c>
      <c r="K607" s="32" t="str">
        <f>IF(E607=0,IF(I607="Company-caused",IF(Orders!T604="Rider unavailable","C1 Rider unavailable","C2 Item unavailable"),"Outside root: unresolved"),IF(G607=0,"A On time",IF(H607=1,IF(L607=1,"B2a Severe, peak","B2b Severe, off-peak"),IF(L607=1,"B1a Slight, peak","B1b Slight, off-peak"))))</f>
        <v>B1b Slight, off-peak</v>
      </c>
      <c r="L607" s="33">
        <f>IF(AND(Orders!U604&gt;=19,Orders!U604&lt;22),1,0)</f>
        <v>0</v>
      </c>
      <c r="M607" s="33">
        <f>IF(L607=IF(Orders!V604,1,0),1,0)</f>
        <v>1</v>
      </c>
      <c r="N607" s="32" t="str">
        <f>IF(Orders!W604="","None",Orders!W604)</f>
        <v>None</v>
      </c>
      <c r="O607" s="35">
        <f>INT(Orders!E604)</f>
        <v>46267.0</v>
      </c>
      <c r="P607" s="33">
        <f>Orders!U604</f>
        <v>11</v>
      </c>
      <c r="Q607" s="33">
        <f>COUNTIFS(Demand!$A$2:$A$4481,B607,Demand!$B$2:$B$4481,O607,Demand!$C$2:$C$4481,P607)</f>
        <v>1</v>
      </c>
      <c r="R607" s="33">
        <f>IF(Q607=1,SUMIFS(Demand!$E$2:$E$4481,Demand!$A$2:$A$4481,B607,Demand!$B$2:$B$4481,O607,Demand!$C$2:$C$4481,P607),"")</f>
        <v>22</v>
      </c>
      <c r="S607" s="33">
        <f>INDEX(Stores!$G$2:$G$21,MATCH(B607,Stores!$A$2:$A$21,0))</f>
        <v>22</v>
      </c>
      <c r="T607" s="34">
        <f>IF(R607="","",R607/S607)</f>
        <v>1</v>
      </c>
      <c r="U607" s="34">
        <f>IF(E607=1,T607,"")</f>
        <v>1</v>
      </c>
      <c r="V607" s="34">
        <f>IF(AND(E607=1,L607=0),T607,"")</f>
        <v>1</v>
      </c>
      <c r="W607" s="33">
        <f>IF(U607="","",IF(U607&lt;=Breakdowns!$C$5,1,IF(U607&lt;=Breakdowns!$C$6,2,IF(U607&lt;=Breakdowns!$C$7,3,4))))</f>
        <v>2</v>
      </c>
      <c r="X607" s="33">
        <f>IF(V607="","",IF(V607&lt;=Breakdowns!$D$5,1,IF(V607&lt;=Breakdowns!$D$6,2,IF(V607&lt;=Breakdowns!$D$7,3,4))))</f>
        <v>3</v>
      </c>
      <c r="Y607" s="34">
        <f>INDEX(Stores!$F$2:$F$21,MATCH(B607,Stores!$A$2:$A$21,0))</f>
        <v>4.99</v>
      </c>
      <c r="Z607" s="33">
        <f>IF(Y607&gt;Store_Summary!$M$2,1,0)</f>
        <v>1</v>
      </c>
      <c r="AA607" s="33">
        <f>INDEX(Stores!$C$2:$C$21,MATCH(B607,Stores!$A$2:$A$21,0))</f>
        <v>851</v>
      </c>
      <c r="AB607" s="33">
        <f>IF(AA607&lt;180,1,0)</f>
        <v>0</v>
      </c>
      <c r="AC607" s="32" t="str">
        <f>IF(Orders!D604="","",INDEX(Riders!$C$2:$C$81,MATCH(Orders!D604,Riders!$A$2:$A$81,0)))</f>
        <v>EV scooter</v>
      </c>
      <c r="AD607" s="33">
        <f>IF(Orders!D604="","",INDEX(Riders!$D$2:$D$81,MATCH(Orders!D604,Riders!$A$2:$A$81,0)))</f>
        <v>27</v>
      </c>
      <c r="AE607" s="33">
        <f>IF(Orders!D604="","",IF(INDEX(Riders!$B$2:$B$81,MATCH(Orders!D604,Riders!$A$2:$A$81,0))=B607,1,0))</f>
        <v>0</v>
      </c>
      <c r="AF607" s="34">
        <f>IF(E607=1,Orders!L604,"")</f>
        <v>1.17</v>
      </c>
      <c r="AG607" s="34">
        <f>IF(E607=1,Orders!P604,"")</f>
        <v>11.8</v>
      </c>
      <c r="AH607" s="34">
        <f>IF(E607=1,Orders!Q604,"")</f>
        <v>13.2</v>
      </c>
      <c r="AI607" s="34">
        <f>IF(E607=1,Orders!M604,"")</f>
        <v>5.2</v>
      </c>
      <c r="AJ607" s="34">
        <f>IF(E607=1,Orders!N604,"")</f>
        <v>4.4</v>
      </c>
      <c r="AK607" s="34">
        <f>IF(E607=1,Orders!O604,"")</f>
        <v>3.6</v>
      </c>
      <c r="AL607" s="33">
        <f>IF(E607=1,IF(ROUND(ABS(AI607+AJ607+AK607-AH607),6)&lt;=0.1,1,0),"")</f>
        <v>1</v>
      </c>
      <c r="AM607" s="36">
        <f>IF(E607=1,AI607/AH607,"")</f>
        <v>0.393939393939394</v>
      </c>
      <c r="AN607" s="36">
        <f>IF(E607=1,AJ607/AH607,"")</f>
        <v>0.333333333333333</v>
      </c>
      <c r="AO607" s="36">
        <f>IF(E607=1,AK607/AH607,"")</f>
        <v>0.272727272727273</v>
      </c>
      <c r="AP607" s="34">
        <f>IF(E607=1,Orders!Y604,"")</f>
        <v>0.44</v>
      </c>
      <c r="AQ607" s="33">
        <f>IF(Orders!X604,1,0)</f>
        <v>0</v>
      </c>
      <c r="AR607" s="34" t="str">
        <f>IF(AND(E607=1,L607=1),AJ607,"")</f>
        <v/>
      </c>
      <c r="AS607" s="34">
        <f>IF(AND(E607=1,L607=0),AJ607,"")</f>
        <v>4.4</v>
      </c>
      <c r="AT607" s="34" t="str">
        <f>IF(AND(E607=1,L607=1),AI607,"")</f>
        <v/>
      </c>
      <c r="AU607" s="34">
        <f>IF(AND(E607=1,L607=0),AI607,"")</f>
        <v>5.2</v>
      </c>
      <c r="AV607" s="34" t="str">
        <f>IF(AND(E607=1,L607=1),AG607,"")</f>
        <v/>
      </c>
      <c r="AW607" s="34">
        <f>IF(AND(E607=1,L607=0),AG607,"")</f>
        <v>11.8</v>
      </c>
      <c r="AX607" s="34" t="str">
        <f>IF(AND(E607=1,L607=1),AH607,"")</f>
        <v/>
      </c>
      <c r="AY607" s="34">
        <f>IF(AND(E607=1,L607=0),AH607,"")</f>
        <v>13.2</v>
      </c>
      <c r="AZ607" s="34">
        <f>IF(G607=1,F607,"")</f>
        <v>1.4</v>
      </c>
      <c r="BA607" s="34" t="str">
        <f>IF(AND(G607=1,L607=1),F607,"")</f>
        <v/>
      </c>
      <c r="BB607" s="34">
        <f>IF(AND(G607=1,L607=0),F607,"")</f>
        <v>1.4</v>
      </c>
      <c r="BC607" s="33">
        <f>IF(E607=1,IF(Orders!R604&gt;3,1,0),"")</f>
        <v>0</v>
      </c>
      <c r="BD607" s="33">
        <f>IF(E607=1,IF(Orders!R604&gt;7,1,0),"")</f>
        <v>0</v>
      </c>
      <c r="BE607" s="32" t="str">
        <f>IF(E607=1,IF(Orders!L604&lt;=1.5,"Up to 1.5 km",IF(Orders!L604&lt;=3,"1.5–3 km","Over 3 km")),"")</f>
        <v>Up to 1.5 km</v>
      </c>
      <c r="BF607" s="33">
        <f>IF(E607=1,IF(ABS((Orders!G604-Orders!F604)*1440-Orders!R604)&lt;0.06,1,0),"")</f>
        <v>1</v>
      </c>
      <c r="BG607" s="33">
        <f>IF(ABS((Orders!F604-Orders!E604)*1440-Orders!P604)&lt;0.06,1,0)</f>
        <v>1</v>
      </c>
      <c r="BH607" s="33">
        <f>IF(E607=1,IF(IF(Orders!S604,1,0)=1-G607,1,0),"")</f>
        <v>1</v>
      </c>
      <c r="BI607" s="32" t="str">
        <f>INDEX(Stores!$B$2:$B$21,MATCH(B607,Stores!$A$2:$A$21,0))</f>
        <v>Pune</v>
      </c>
    </row>
    <row r="608">
      <c r="A608" s="32" t="str">
        <f>Orders!A605</f>
        <v>O00604</v>
      </c>
      <c r="B608" s="32" t="str">
        <f>Orders!C605</f>
        <v>S002</v>
      </c>
      <c r="C608" s="32" t="str">
        <f>Orders!B605</f>
        <v>C0044</v>
      </c>
      <c r="D608" s="32" t="str">
        <f>Orders!H605</f>
        <v>Delivered</v>
      </c>
      <c r="E608" s="33">
        <f>IF(Orders!H605="Delivered",1,0)</f>
        <v>1</v>
      </c>
      <c r="F608" s="34">
        <f>IF(E608=1,Orders!R605,"")</f>
        <v>-1</v>
      </c>
      <c r="G608" s="33">
        <f>IF(E608=1,IF(Orders!R605&gt;0,1,0),"")</f>
        <v>0</v>
      </c>
      <c r="H608" s="33">
        <f>IF(E608=1,IF(Orders!R605&gt;5,1,0),"")</f>
        <v>0</v>
      </c>
      <c r="I608" s="32" t="str">
        <f>IF(E608=1,"",IF(OR(Orders!T605="Rider unavailable",Orders!T605="Item unavailable"),"Company-caused","Unresolved"))</f>
        <v/>
      </c>
      <c r="J608" s="33">
        <f>IF(OR(E608=1,I608="Company-caused"),1,0)</f>
        <v>1</v>
      </c>
      <c r="K608" s="32" t="str">
        <f>IF(E608=0,IF(I608="Company-caused",IF(Orders!T605="Rider unavailable","C1 Rider unavailable","C2 Item unavailable"),"Outside root: unresolved"),IF(G608=0,"A On time",IF(H608=1,IF(L608=1,"B2a Severe, peak","B2b Severe, off-peak"),IF(L608=1,"B1a Slight, peak","B1b Slight, off-peak"))))</f>
        <v>A On time</v>
      </c>
      <c r="L608" s="33">
        <f>IF(AND(Orders!U605&gt;=19,Orders!U605&lt;22),1,0)</f>
        <v>1</v>
      </c>
      <c r="M608" s="33">
        <f>IF(L608=IF(Orders!V605,1,0),1,0)</f>
        <v>1</v>
      </c>
      <c r="N608" s="32" t="str">
        <f>IF(Orders!W605="","None",Orders!W605)</f>
        <v>Light</v>
      </c>
      <c r="O608" s="35">
        <f>INT(Orders!E605)</f>
        <v>46267.0</v>
      </c>
      <c r="P608" s="33">
        <f>Orders!U605</f>
        <v>20</v>
      </c>
      <c r="Q608" s="33">
        <f>COUNTIFS(Demand!$A$2:$A$4481,B608,Demand!$B$2:$B$4481,O608,Demand!$C$2:$C$4481,P608)</f>
        <v>1</v>
      </c>
      <c r="R608" s="33">
        <f>IF(Q608=1,SUMIFS(Demand!$E$2:$E$4481,Demand!$A$2:$A$4481,B608,Demand!$B$2:$B$4481,O608,Demand!$C$2:$C$4481,P608),"")</f>
        <v>57</v>
      </c>
      <c r="S608" s="33">
        <f>INDEX(Stores!$G$2:$G$21,MATCH(B608,Stores!$A$2:$A$21,0))</f>
        <v>33</v>
      </c>
      <c r="T608" s="34">
        <f>IF(R608="","",R608/S608)</f>
        <v>1.72727272727273</v>
      </c>
      <c r="U608" s="34">
        <f>IF(E608=1,T608,"")</f>
        <v>1.72727272727273</v>
      </c>
      <c r="V608" s="34" t="str">
        <f>IF(AND(E608=1,L608=0),T608,"")</f>
        <v/>
      </c>
      <c r="W608" s="33">
        <f>IF(U608="","",IF(U608&lt;=Breakdowns!$C$5,1,IF(U608&lt;=Breakdowns!$C$6,2,IF(U608&lt;=Breakdowns!$C$7,3,4))))</f>
        <v>4</v>
      </c>
      <c r="X608" s="33" t="str">
        <f>IF(V608="","",IF(V608&lt;=Breakdowns!$D$5,1,IF(V608&lt;=Breakdowns!$D$6,2,IF(V608&lt;=Breakdowns!$D$7,3,4))))</f>
        <v/>
      </c>
      <c r="Y608" s="34">
        <f>INDEX(Stores!$F$2:$F$21,MATCH(B608,Stores!$A$2:$A$21,0))</f>
        <v>2.39</v>
      </c>
      <c r="Z608" s="33">
        <f>IF(Y608&gt;Store_Summary!$M$2,1,0)</f>
        <v>0</v>
      </c>
      <c r="AA608" s="33">
        <f>INDEX(Stores!$C$2:$C$21,MATCH(B608,Stores!$A$2:$A$21,0))</f>
        <v>470</v>
      </c>
      <c r="AB608" s="33">
        <f>IF(AA608&lt;180,1,0)</f>
        <v>0</v>
      </c>
      <c r="AC608" s="32" t="str">
        <f>IF(Orders!D605="","",INDEX(Riders!$C$2:$C$81,MATCH(Orders!D605,Riders!$A$2:$A$81,0)))</f>
        <v>EV scooter</v>
      </c>
      <c r="AD608" s="33">
        <f>IF(Orders!D605="","",INDEX(Riders!$D$2:$D$81,MATCH(Orders!D605,Riders!$A$2:$A$81,0)))</f>
        <v>12</v>
      </c>
      <c r="AE608" s="33">
        <f>IF(Orders!D605="","",IF(INDEX(Riders!$B$2:$B$81,MATCH(Orders!D605,Riders!$A$2:$A$81,0))=B608,1,0))</f>
        <v>0</v>
      </c>
      <c r="AF608" s="34">
        <f>IF(E608=1,Orders!L605,"")</f>
        <v>3.99</v>
      </c>
      <c r="AG608" s="34">
        <f>IF(E608=1,Orders!P605,"")</f>
        <v>10.3</v>
      </c>
      <c r="AH608" s="34">
        <f>IF(E608=1,Orders!Q605,"")</f>
        <v>9.3</v>
      </c>
      <c r="AI608" s="34">
        <f>IF(E608=1,Orders!M605,"")</f>
        <v>1.3</v>
      </c>
      <c r="AJ608" s="34">
        <f>IF(E608=1,Orders!N605,"")</f>
        <v>2.7</v>
      </c>
      <c r="AK608" s="34">
        <f>IF(E608=1,Orders!O605,"")</f>
        <v>5.3</v>
      </c>
      <c r="AL608" s="33">
        <f>IF(E608=1,IF(ROUND(ABS(AI608+AJ608+AK608-AH608),6)&lt;=0.1,1,0),"")</f>
        <v>1</v>
      </c>
      <c r="AM608" s="36">
        <f>IF(E608=1,AI608/AH608,"")</f>
        <v>0.139784946236559</v>
      </c>
      <c r="AN608" s="36">
        <f>IF(E608=1,AJ608/AH608,"")</f>
        <v>0.290322580645161</v>
      </c>
      <c r="AO608" s="36">
        <f>IF(E608=1,AK608/AH608,"")</f>
        <v>0.56989247311828</v>
      </c>
      <c r="AP608" s="34">
        <f>IF(E608=1,Orders!Y605,"")</f>
        <v>0.67</v>
      </c>
      <c r="AQ608" s="33">
        <f>IF(Orders!X605,1,0)</f>
        <v>0</v>
      </c>
      <c r="AR608" s="34">
        <f>IF(AND(E608=1,L608=1),AJ608,"")</f>
        <v>2.7</v>
      </c>
      <c r="AS608" s="34" t="str">
        <f>IF(AND(E608=1,L608=0),AJ608,"")</f>
        <v/>
      </c>
      <c r="AT608" s="34">
        <f>IF(AND(E608=1,L608=1),AI608,"")</f>
        <v>1.3</v>
      </c>
      <c r="AU608" s="34" t="str">
        <f>IF(AND(E608=1,L608=0),AI608,"")</f>
        <v/>
      </c>
      <c r="AV608" s="34">
        <f>IF(AND(E608=1,L608=1),AG608,"")</f>
        <v>10.3</v>
      </c>
      <c r="AW608" s="34" t="str">
        <f>IF(AND(E608=1,L608=0),AG608,"")</f>
        <v/>
      </c>
      <c r="AX608" s="34">
        <f>IF(AND(E608=1,L608=1),AH608,"")</f>
        <v>9.3</v>
      </c>
      <c r="AY608" s="34" t="str">
        <f>IF(AND(E608=1,L608=0),AH608,"")</f>
        <v/>
      </c>
      <c r="AZ608" s="34" t="str">
        <f>IF(G608=1,F608,"")</f>
        <v/>
      </c>
      <c r="BA608" s="34" t="str">
        <f>IF(AND(G608=1,L608=1),F608,"")</f>
        <v/>
      </c>
      <c r="BB608" s="34" t="str">
        <f>IF(AND(G608=1,L608=0),F608,"")</f>
        <v/>
      </c>
      <c r="BC608" s="33">
        <f>IF(E608=1,IF(Orders!R605&gt;3,1,0),"")</f>
        <v>0</v>
      </c>
      <c r="BD608" s="33">
        <f>IF(E608=1,IF(Orders!R605&gt;7,1,0),"")</f>
        <v>0</v>
      </c>
      <c r="BE608" s="32" t="str">
        <f>IF(E608=1,IF(Orders!L605&lt;=1.5,"Up to 1.5 km",IF(Orders!L605&lt;=3,"1.5–3 km","Over 3 km")),"")</f>
        <v>Over 3 km</v>
      </c>
      <c r="BF608" s="33">
        <f>IF(E608=1,IF(ABS((Orders!G605-Orders!F605)*1440-Orders!R605)&lt;0.06,1,0),"")</f>
        <v>1</v>
      </c>
      <c r="BG608" s="33">
        <f>IF(ABS((Orders!F605-Orders!E605)*1440-Orders!P605)&lt;0.06,1,0)</f>
        <v>1</v>
      </c>
      <c r="BH608" s="33">
        <f>IF(E608=1,IF(IF(Orders!S605,1,0)=1-G608,1,0),"")</f>
        <v>1</v>
      </c>
      <c r="BI608" s="32" t="str">
        <f>INDEX(Stores!$B$2:$B$21,MATCH(B608,Stores!$A$2:$A$21,0))</f>
        <v>Hyderabad</v>
      </c>
    </row>
    <row r="609">
      <c r="A609" s="32" t="str">
        <f>Orders!A606</f>
        <v>O00605</v>
      </c>
      <c r="B609" s="32" t="str">
        <f>Orders!C606</f>
        <v>S007</v>
      </c>
      <c r="C609" s="32" t="str">
        <f>Orders!B606</f>
        <v>C0130</v>
      </c>
      <c r="D609" s="32" t="str">
        <f>Orders!H606</f>
        <v>Delivered</v>
      </c>
      <c r="E609" s="33">
        <f>IF(Orders!H606="Delivered",1,0)</f>
        <v>1</v>
      </c>
      <c r="F609" s="34">
        <f>IF(E609=1,Orders!R606,"")</f>
        <v>-0.7</v>
      </c>
      <c r="G609" s="33">
        <f>IF(E609=1,IF(Orders!R606&gt;0,1,0),"")</f>
        <v>0</v>
      </c>
      <c r="H609" s="33">
        <f>IF(E609=1,IF(Orders!R606&gt;5,1,0),"")</f>
        <v>0</v>
      </c>
      <c r="I609" s="32" t="str">
        <f>IF(E609=1,"",IF(OR(Orders!T606="Rider unavailable",Orders!T606="Item unavailable"),"Company-caused","Unresolved"))</f>
        <v/>
      </c>
      <c r="J609" s="33">
        <f>IF(OR(E609=1,I609="Company-caused"),1,0)</f>
        <v>1</v>
      </c>
      <c r="K609" s="32" t="str">
        <f>IF(E609=0,IF(I609="Company-caused",IF(Orders!T606="Rider unavailable","C1 Rider unavailable","C2 Item unavailable"),"Outside root: unresolved"),IF(G609=0,"A On time",IF(H609=1,IF(L609=1,"B2a Severe, peak","B2b Severe, off-peak"),IF(L609=1,"B1a Slight, peak","B1b Slight, off-peak"))))</f>
        <v>A On time</v>
      </c>
      <c r="L609" s="33">
        <f>IF(AND(Orders!U606&gt;=19,Orders!U606&lt;22),1,0)</f>
        <v>0</v>
      </c>
      <c r="M609" s="33">
        <f>IF(L609=IF(Orders!V606,1,0),1,0)</f>
        <v>1</v>
      </c>
      <c r="N609" s="32" t="str">
        <f>IF(Orders!W606="","None",Orders!W606)</f>
        <v>None</v>
      </c>
      <c r="O609" s="35">
        <f>INT(Orders!E606)</f>
        <v>46273.0</v>
      </c>
      <c r="P609" s="33">
        <f>Orders!U606</f>
        <v>9</v>
      </c>
      <c r="Q609" s="33">
        <f>COUNTIFS(Demand!$A$2:$A$4481,B609,Demand!$B$2:$B$4481,O609,Demand!$C$2:$C$4481,P609)</f>
        <v>1</v>
      </c>
      <c r="R609" s="33">
        <f>IF(Q609=1,SUMIFS(Demand!$E$2:$E$4481,Demand!$A$2:$A$4481,B609,Demand!$B$2:$B$4481,O609,Demand!$C$2:$C$4481,P609),"")</f>
        <v>21</v>
      </c>
      <c r="S609" s="33">
        <f>INDEX(Stores!$G$2:$G$21,MATCH(B609,Stores!$A$2:$A$21,0))</f>
        <v>37</v>
      </c>
      <c r="T609" s="34">
        <f>IF(R609="","",R609/S609)</f>
        <v>0.567567567567568</v>
      </c>
      <c r="U609" s="34">
        <f>IF(E609=1,T609,"")</f>
        <v>0.567567567567568</v>
      </c>
      <c r="V609" s="34">
        <f>IF(AND(E609=1,L609=0),T609,"")</f>
        <v>0.567567567567568</v>
      </c>
      <c r="W609" s="33">
        <f>IF(U609="","",IF(U609&lt;=Breakdowns!$C$5,1,IF(U609&lt;=Breakdowns!$C$6,2,IF(U609&lt;=Breakdowns!$C$7,3,4))))</f>
        <v>1</v>
      </c>
      <c r="X609" s="33">
        <f>IF(V609="","",IF(V609&lt;=Breakdowns!$D$5,1,IF(V609&lt;=Breakdowns!$D$6,2,IF(V609&lt;=Breakdowns!$D$7,3,4))))</f>
        <v>1</v>
      </c>
      <c r="Y609" s="34">
        <f>INDEX(Stores!$F$2:$F$21,MATCH(B609,Stores!$A$2:$A$21,0))</f>
        <v>4.05</v>
      </c>
      <c r="Z609" s="33">
        <f>IF(Y609&gt;Store_Summary!$M$2,1,0)</f>
        <v>0</v>
      </c>
      <c r="AA609" s="33">
        <f>INDEX(Stores!$C$2:$C$21,MATCH(B609,Stores!$A$2:$A$21,0))</f>
        <v>661</v>
      </c>
      <c r="AB609" s="33">
        <f>IF(AA609&lt;180,1,0)</f>
        <v>0</v>
      </c>
      <c r="AC609" s="32" t="str">
        <f>IF(Orders!D606="","",INDEX(Riders!$C$2:$C$81,MATCH(Orders!D606,Riders!$A$2:$A$81,0)))</f>
        <v>Petrol scooter</v>
      </c>
      <c r="AD609" s="33">
        <f>IF(Orders!D606="","",INDEX(Riders!$D$2:$D$81,MATCH(Orders!D606,Riders!$A$2:$A$81,0)))</f>
        <v>29</v>
      </c>
      <c r="AE609" s="33">
        <f>IF(Orders!D606="","",IF(INDEX(Riders!$B$2:$B$81,MATCH(Orders!D606,Riders!$A$2:$A$81,0))=B609,1,0))</f>
        <v>0</v>
      </c>
      <c r="AF609" s="34">
        <f>IF(E609=1,Orders!L606,"")</f>
        <v>1.54</v>
      </c>
      <c r="AG609" s="34">
        <f>IF(E609=1,Orders!P606,"")</f>
        <v>11.1</v>
      </c>
      <c r="AH609" s="34">
        <f>IF(E609=1,Orders!Q606,"")</f>
        <v>10.4</v>
      </c>
      <c r="AI609" s="34">
        <f>IF(E609=1,Orders!M606,"")</f>
        <v>3.8</v>
      </c>
      <c r="AJ609" s="34">
        <f>IF(E609=1,Orders!N606,"")</f>
        <v>3.1</v>
      </c>
      <c r="AK609" s="34">
        <f>IF(E609=1,Orders!O606,"")</f>
        <v>3.5</v>
      </c>
      <c r="AL609" s="33">
        <f>IF(E609=1,IF(ROUND(ABS(AI609+AJ609+AK609-AH609),6)&lt;=0.1,1,0),"")</f>
        <v>1</v>
      </c>
      <c r="AM609" s="36">
        <f>IF(E609=1,AI609/AH609,"")</f>
        <v>0.365384615384615</v>
      </c>
      <c r="AN609" s="36">
        <f>IF(E609=1,AJ609/AH609,"")</f>
        <v>0.298076923076923</v>
      </c>
      <c r="AO609" s="36">
        <f>IF(E609=1,AK609/AH609,"")</f>
        <v>0.336538461538462</v>
      </c>
      <c r="AP609" s="34">
        <f>IF(E609=1,Orders!Y606,"")</f>
        <v>0.55</v>
      </c>
      <c r="AQ609" s="33">
        <f>IF(Orders!X606,1,0)</f>
        <v>0</v>
      </c>
      <c r="AR609" s="34" t="str">
        <f>IF(AND(E609=1,L609=1),AJ609,"")</f>
        <v/>
      </c>
      <c r="AS609" s="34">
        <f>IF(AND(E609=1,L609=0),AJ609,"")</f>
        <v>3.1</v>
      </c>
      <c r="AT609" s="34" t="str">
        <f>IF(AND(E609=1,L609=1),AI609,"")</f>
        <v/>
      </c>
      <c r="AU609" s="34">
        <f>IF(AND(E609=1,L609=0),AI609,"")</f>
        <v>3.8</v>
      </c>
      <c r="AV609" s="34" t="str">
        <f>IF(AND(E609=1,L609=1),AG609,"")</f>
        <v/>
      </c>
      <c r="AW609" s="34">
        <f>IF(AND(E609=1,L609=0),AG609,"")</f>
        <v>11.1</v>
      </c>
      <c r="AX609" s="34" t="str">
        <f>IF(AND(E609=1,L609=1),AH609,"")</f>
        <v/>
      </c>
      <c r="AY609" s="34">
        <f>IF(AND(E609=1,L609=0),AH609,"")</f>
        <v>10.4</v>
      </c>
      <c r="AZ609" s="34" t="str">
        <f>IF(G609=1,F609,"")</f>
        <v/>
      </c>
      <c r="BA609" s="34" t="str">
        <f>IF(AND(G609=1,L609=1),F609,"")</f>
        <v/>
      </c>
      <c r="BB609" s="34" t="str">
        <f>IF(AND(G609=1,L609=0),F609,"")</f>
        <v/>
      </c>
      <c r="BC609" s="33">
        <f>IF(E609=1,IF(Orders!R606&gt;3,1,0),"")</f>
        <v>0</v>
      </c>
      <c r="BD609" s="33">
        <f>IF(E609=1,IF(Orders!R606&gt;7,1,0),"")</f>
        <v>0</v>
      </c>
      <c r="BE609" s="32" t="str">
        <f>IF(E609=1,IF(Orders!L606&lt;=1.5,"Up to 1.5 km",IF(Orders!L606&lt;=3,"1.5–3 km","Over 3 km")),"")</f>
        <v>1.5–3 km</v>
      </c>
      <c r="BF609" s="33">
        <f>IF(E609=1,IF(ABS((Orders!G606-Orders!F606)*1440-Orders!R606)&lt;0.06,1,0),"")</f>
        <v>1</v>
      </c>
      <c r="BG609" s="33">
        <f>IF(ABS((Orders!F606-Orders!E606)*1440-Orders!P606)&lt;0.06,1,0)</f>
        <v>1</v>
      </c>
      <c r="BH609" s="33">
        <f>IF(E609=1,IF(IF(Orders!S606,1,0)=1-G609,1,0),"")</f>
        <v>1</v>
      </c>
      <c r="BI609" s="32" t="str">
        <f>INDEX(Stores!$B$2:$B$21,MATCH(B609,Stores!$A$2:$A$21,0))</f>
        <v>Hyderabad</v>
      </c>
    </row>
    <row r="610">
      <c r="A610" s="32" t="str">
        <f>Orders!A607</f>
        <v>O00606</v>
      </c>
      <c r="B610" s="32" t="str">
        <f>Orders!C607</f>
        <v>S018</v>
      </c>
      <c r="C610" s="32" t="str">
        <f>Orders!B607</f>
        <v>C0169</v>
      </c>
      <c r="D610" s="32" t="str">
        <f>Orders!H607</f>
        <v>Delivered</v>
      </c>
      <c r="E610" s="33">
        <f>IF(Orders!H607="Delivered",1,0)</f>
        <v>1</v>
      </c>
      <c r="F610" s="34">
        <f>IF(E610=1,Orders!R607,"")</f>
        <v>-0.5</v>
      </c>
      <c r="G610" s="33">
        <f>IF(E610=1,IF(Orders!R607&gt;0,1,0),"")</f>
        <v>0</v>
      </c>
      <c r="H610" s="33">
        <f>IF(E610=1,IF(Orders!R607&gt;5,1,0),"")</f>
        <v>0</v>
      </c>
      <c r="I610" s="32" t="str">
        <f>IF(E610=1,"",IF(OR(Orders!T607="Rider unavailable",Orders!T607="Item unavailable"),"Company-caused","Unresolved"))</f>
        <v/>
      </c>
      <c r="J610" s="33">
        <f>IF(OR(E610=1,I610="Company-caused"),1,0)</f>
        <v>1</v>
      </c>
      <c r="K610" s="32" t="str">
        <f>IF(E610=0,IF(I610="Company-caused",IF(Orders!T607="Rider unavailable","C1 Rider unavailable","C2 Item unavailable"),"Outside root: unresolved"),IF(G610=0,"A On time",IF(H610=1,IF(L610=1,"B2a Severe, peak","B2b Severe, off-peak"),IF(L610=1,"B1a Slight, peak","B1b Slight, off-peak"))))</f>
        <v>A On time</v>
      </c>
      <c r="L610" s="33">
        <f>IF(AND(Orders!U607&gt;=19,Orders!U607&lt;22),1,0)</f>
        <v>0</v>
      </c>
      <c r="M610" s="33">
        <f>IF(L610=IF(Orders!V607,1,0),1,0)</f>
        <v>1</v>
      </c>
      <c r="N610" s="32" t="str">
        <f>IF(Orders!W607="","None",Orders!W607)</f>
        <v>Heavy</v>
      </c>
      <c r="O610" s="35">
        <f>INT(Orders!E607)</f>
        <v>46269.0</v>
      </c>
      <c r="P610" s="33">
        <f>Orders!U607</f>
        <v>18</v>
      </c>
      <c r="Q610" s="33">
        <f>COUNTIFS(Demand!$A$2:$A$4481,B610,Demand!$B$2:$B$4481,O610,Demand!$C$2:$C$4481,P610)</f>
        <v>1</v>
      </c>
      <c r="R610" s="33">
        <f>IF(Q610=1,SUMIFS(Demand!$E$2:$E$4481,Demand!$A$2:$A$4481,B610,Demand!$B$2:$B$4481,O610,Demand!$C$2:$C$4481,P610),"")</f>
        <v>20</v>
      </c>
      <c r="S610" s="33">
        <f>INDEX(Stores!$G$2:$G$21,MATCH(B610,Stores!$A$2:$A$21,0))</f>
        <v>20</v>
      </c>
      <c r="T610" s="34">
        <f>IF(R610="","",R610/S610)</f>
        <v>1</v>
      </c>
      <c r="U610" s="34">
        <f>IF(E610=1,T610,"")</f>
        <v>1</v>
      </c>
      <c r="V610" s="34">
        <f>IF(AND(E610=1,L610=0),T610,"")</f>
        <v>1</v>
      </c>
      <c r="W610" s="33">
        <f>IF(U610="","",IF(U610&lt;=Breakdowns!$C$5,1,IF(U610&lt;=Breakdowns!$C$6,2,IF(U610&lt;=Breakdowns!$C$7,3,4))))</f>
        <v>2</v>
      </c>
      <c r="X610" s="33">
        <f>IF(V610="","",IF(V610&lt;=Breakdowns!$D$5,1,IF(V610&lt;=Breakdowns!$D$6,2,IF(V610&lt;=Breakdowns!$D$7,3,4))))</f>
        <v>3</v>
      </c>
      <c r="Y610" s="34">
        <f>INDEX(Stores!$F$2:$F$21,MATCH(B610,Stores!$A$2:$A$21,0))</f>
        <v>5.31</v>
      </c>
      <c r="Z610" s="33">
        <f>IF(Y610&gt;Store_Summary!$M$2,1,0)</f>
        <v>1</v>
      </c>
      <c r="AA610" s="33">
        <f>INDEX(Stores!$C$2:$C$21,MATCH(B610,Stores!$A$2:$A$21,0))</f>
        <v>214</v>
      </c>
      <c r="AB610" s="33">
        <f>IF(AA610&lt;180,1,0)</f>
        <v>0</v>
      </c>
      <c r="AC610" s="32" t="str">
        <f>IF(Orders!D607="","",INDEX(Riders!$C$2:$C$81,MATCH(Orders!D607,Riders!$A$2:$A$81,0)))</f>
        <v>EV scooter</v>
      </c>
      <c r="AD610" s="33">
        <f>IF(Orders!D607="","",INDEX(Riders!$D$2:$D$81,MATCH(Orders!D607,Riders!$A$2:$A$81,0)))</f>
        <v>38</v>
      </c>
      <c r="AE610" s="33">
        <f>IF(Orders!D607="","",IF(INDEX(Riders!$B$2:$B$81,MATCH(Orders!D607,Riders!$A$2:$A$81,0))=B610,1,0))</f>
        <v>0</v>
      </c>
      <c r="AF610" s="34">
        <f>IF(E610=1,Orders!L607,"")</f>
        <v>1.69</v>
      </c>
      <c r="AG610" s="34">
        <f>IF(E610=1,Orders!P607,"")</f>
        <v>12.1</v>
      </c>
      <c r="AH610" s="34">
        <f>IF(E610=1,Orders!Q607,"")</f>
        <v>11.6</v>
      </c>
      <c r="AI610" s="34">
        <f>IF(E610=1,Orders!M607,"")</f>
        <v>3.9</v>
      </c>
      <c r="AJ610" s="34">
        <f>IF(E610=1,Orders!N607,"")</f>
        <v>4</v>
      </c>
      <c r="AK610" s="34">
        <f>IF(E610=1,Orders!O607,"")</f>
        <v>3.7</v>
      </c>
      <c r="AL610" s="33">
        <f>IF(E610=1,IF(ROUND(ABS(AI610+AJ610+AK610-AH610),6)&lt;=0.1,1,0),"")</f>
        <v>1</v>
      </c>
      <c r="AM610" s="36">
        <f>IF(E610=1,AI610/AH610,"")</f>
        <v>0.336206896551724</v>
      </c>
      <c r="AN610" s="36">
        <f>IF(E610=1,AJ610/AH610,"")</f>
        <v>0.344827586206897</v>
      </c>
      <c r="AO610" s="36">
        <f>IF(E610=1,AK610/AH610,"")</f>
        <v>0.318965517241379</v>
      </c>
      <c r="AP610" s="34">
        <f>IF(E610=1,Orders!Y607,"")</f>
        <v>0.13</v>
      </c>
      <c r="AQ610" s="33">
        <f>IF(Orders!X607,1,0)</f>
        <v>1</v>
      </c>
      <c r="AR610" s="34" t="str">
        <f>IF(AND(E610=1,L610=1),AJ610,"")</f>
        <v/>
      </c>
      <c r="AS610" s="34">
        <f>IF(AND(E610=1,L610=0),AJ610,"")</f>
        <v>4</v>
      </c>
      <c r="AT610" s="34" t="str">
        <f>IF(AND(E610=1,L610=1),AI610,"")</f>
        <v/>
      </c>
      <c r="AU610" s="34">
        <f>IF(AND(E610=1,L610=0),AI610,"")</f>
        <v>3.9</v>
      </c>
      <c r="AV610" s="34" t="str">
        <f>IF(AND(E610=1,L610=1),AG610,"")</f>
        <v/>
      </c>
      <c r="AW610" s="34">
        <f>IF(AND(E610=1,L610=0),AG610,"")</f>
        <v>12.1</v>
      </c>
      <c r="AX610" s="34" t="str">
        <f>IF(AND(E610=1,L610=1),AH610,"")</f>
        <v/>
      </c>
      <c r="AY610" s="34">
        <f>IF(AND(E610=1,L610=0),AH610,"")</f>
        <v>11.6</v>
      </c>
      <c r="AZ610" s="34" t="str">
        <f>IF(G610=1,F610,"")</f>
        <v/>
      </c>
      <c r="BA610" s="34" t="str">
        <f>IF(AND(G610=1,L610=1),F610,"")</f>
        <v/>
      </c>
      <c r="BB610" s="34" t="str">
        <f>IF(AND(G610=1,L610=0),F610,"")</f>
        <v/>
      </c>
      <c r="BC610" s="33">
        <f>IF(E610=1,IF(Orders!R607&gt;3,1,0),"")</f>
        <v>0</v>
      </c>
      <c r="BD610" s="33">
        <f>IF(E610=1,IF(Orders!R607&gt;7,1,0),"")</f>
        <v>0</v>
      </c>
      <c r="BE610" s="32" t="str">
        <f>IF(E610=1,IF(Orders!L607&lt;=1.5,"Up to 1.5 km",IF(Orders!L607&lt;=3,"1.5–3 km","Over 3 km")),"")</f>
        <v>1.5–3 km</v>
      </c>
      <c r="BF610" s="33">
        <f>IF(E610=1,IF(ABS((Orders!G607-Orders!F607)*1440-Orders!R607)&lt;0.06,1,0),"")</f>
        <v>1</v>
      </c>
      <c r="BG610" s="33">
        <f>IF(ABS((Orders!F607-Orders!E607)*1440-Orders!P607)&lt;0.06,1,0)</f>
        <v>1</v>
      </c>
      <c r="BH610" s="33">
        <f>IF(E610=1,IF(IF(Orders!S607,1,0)=1-G610,1,0),"")</f>
        <v>1</v>
      </c>
      <c r="BI610" s="32" t="str">
        <f>INDEX(Stores!$B$2:$B$21,MATCH(B610,Stores!$A$2:$A$21,0))</f>
        <v>Mumbai</v>
      </c>
    </row>
    <row r="611">
      <c r="A611" s="32" t="str">
        <f>Orders!A608</f>
        <v>O00607</v>
      </c>
      <c r="B611" s="32" t="str">
        <f>Orders!C608</f>
        <v>S015</v>
      </c>
      <c r="C611" s="32" t="str">
        <f>Orders!B608</f>
        <v>C0111</v>
      </c>
      <c r="D611" s="32" t="str">
        <f>Orders!H608</f>
        <v>Delivered</v>
      </c>
      <c r="E611" s="33">
        <f>IF(Orders!H608="Delivered",1,0)</f>
        <v>1</v>
      </c>
      <c r="F611" s="34">
        <f>IF(E611=1,Orders!R608,"")</f>
        <v>-0.8</v>
      </c>
      <c r="G611" s="33">
        <f>IF(E611=1,IF(Orders!R608&gt;0,1,0),"")</f>
        <v>0</v>
      </c>
      <c r="H611" s="33">
        <f>IF(E611=1,IF(Orders!R608&gt;5,1,0),"")</f>
        <v>0</v>
      </c>
      <c r="I611" s="32" t="str">
        <f>IF(E611=1,"",IF(OR(Orders!T608="Rider unavailable",Orders!T608="Item unavailable"),"Company-caused","Unresolved"))</f>
        <v/>
      </c>
      <c r="J611" s="33">
        <f>IF(OR(E611=1,I611="Company-caused"),1,0)</f>
        <v>1</v>
      </c>
      <c r="K611" s="32" t="str">
        <f>IF(E611=0,IF(I611="Company-caused",IF(Orders!T608="Rider unavailable","C1 Rider unavailable","C2 Item unavailable"),"Outside root: unresolved"),IF(G611=0,"A On time",IF(H611=1,IF(L611=1,"B2a Severe, peak","B2b Severe, off-peak"),IF(L611=1,"B1a Slight, peak","B1b Slight, off-peak"))))</f>
        <v>A On time</v>
      </c>
      <c r="L611" s="33">
        <f>IF(AND(Orders!U608&gt;=19,Orders!U608&lt;22),1,0)</f>
        <v>0</v>
      </c>
      <c r="M611" s="33">
        <f>IF(L611=IF(Orders!V608,1,0),1,0)</f>
        <v>1</v>
      </c>
      <c r="N611" s="32" t="str">
        <f>IF(Orders!W608="","None",Orders!W608)</f>
        <v>None</v>
      </c>
      <c r="O611" s="35">
        <f>INT(Orders!E608)</f>
        <v>46279.0</v>
      </c>
      <c r="P611" s="33">
        <f>Orders!U608</f>
        <v>14</v>
      </c>
      <c r="Q611" s="33">
        <f>COUNTIFS(Demand!$A$2:$A$4481,B611,Demand!$B$2:$B$4481,O611,Demand!$C$2:$C$4481,P611)</f>
        <v>1</v>
      </c>
      <c r="R611" s="33">
        <f>IF(Q611=1,SUMIFS(Demand!$E$2:$E$4481,Demand!$A$2:$A$4481,B611,Demand!$B$2:$B$4481,O611,Demand!$C$2:$C$4481,P611),"")</f>
        <v>20</v>
      </c>
      <c r="S611" s="33">
        <f>INDEX(Stores!$G$2:$G$21,MATCH(B611,Stores!$A$2:$A$21,0))</f>
        <v>23</v>
      </c>
      <c r="T611" s="34">
        <f>IF(R611="","",R611/S611)</f>
        <v>0.869565217391304</v>
      </c>
      <c r="U611" s="34">
        <f>IF(E611=1,T611,"")</f>
        <v>0.869565217391304</v>
      </c>
      <c r="V611" s="34">
        <f>IF(AND(E611=1,L611=0),T611,"")</f>
        <v>0.869565217391304</v>
      </c>
      <c r="W611" s="33">
        <f>IF(U611="","",IF(U611&lt;=Breakdowns!$C$5,1,IF(U611&lt;=Breakdowns!$C$6,2,IF(U611&lt;=Breakdowns!$C$7,3,4))))</f>
        <v>2</v>
      </c>
      <c r="X611" s="33">
        <f>IF(V611="","",IF(V611&lt;=Breakdowns!$D$5,1,IF(V611&lt;=Breakdowns!$D$6,2,IF(V611&lt;=Breakdowns!$D$7,3,4))))</f>
        <v>2</v>
      </c>
      <c r="Y611" s="34">
        <f>INDEX(Stores!$F$2:$F$21,MATCH(B611,Stores!$A$2:$A$21,0))</f>
        <v>4.66</v>
      </c>
      <c r="Z611" s="33">
        <f>IF(Y611&gt;Store_Summary!$M$2,1,0)</f>
        <v>0</v>
      </c>
      <c r="AA611" s="33">
        <f>INDEX(Stores!$C$2:$C$21,MATCH(B611,Stores!$A$2:$A$21,0))</f>
        <v>204</v>
      </c>
      <c r="AB611" s="33">
        <f>IF(AA611&lt;180,1,0)</f>
        <v>0</v>
      </c>
      <c r="AC611" s="32" t="str">
        <f>IF(Orders!D608="","",INDEX(Riders!$C$2:$C$81,MATCH(Orders!D608,Riders!$A$2:$A$81,0)))</f>
        <v>Petrol scooter</v>
      </c>
      <c r="AD611" s="33">
        <f>IF(Orders!D608="","",INDEX(Riders!$D$2:$D$81,MATCH(Orders!D608,Riders!$A$2:$A$81,0)))</f>
        <v>4</v>
      </c>
      <c r="AE611" s="33">
        <f>IF(Orders!D608="","",IF(INDEX(Riders!$B$2:$B$81,MATCH(Orders!D608,Riders!$A$2:$A$81,0))=B611,1,0))</f>
        <v>0</v>
      </c>
      <c r="AF611" s="34">
        <f>IF(E611=1,Orders!L608,"")</f>
        <v>2.76</v>
      </c>
      <c r="AG611" s="34">
        <f>IF(E611=1,Orders!P608,"")</f>
        <v>11.4</v>
      </c>
      <c r="AH611" s="34">
        <f>IF(E611=1,Orders!Q608,"")</f>
        <v>10.6</v>
      </c>
      <c r="AI611" s="34">
        <f>IF(E611=1,Orders!M608,"")</f>
        <v>2.6</v>
      </c>
      <c r="AJ611" s="34">
        <f>IF(E611=1,Orders!N608,"")</f>
        <v>4.3</v>
      </c>
      <c r="AK611" s="34">
        <f>IF(E611=1,Orders!O608,"")</f>
        <v>3.7</v>
      </c>
      <c r="AL611" s="33">
        <f>IF(E611=1,IF(ROUND(ABS(AI611+AJ611+AK611-AH611),6)&lt;=0.1,1,0),"")</f>
        <v>1</v>
      </c>
      <c r="AM611" s="36">
        <f>IF(E611=1,AI611/AH611,"")</f>
        <v>0.245283018867925</v>
      </c>
      <c r="AN611" s="36">
        <f>IF(E611=1,AJ611/AH611,"")</f>
        <v>0.405660377358491</v>
      </c>
      <c r="AO611" s="36">
        <f>IF(E611=1,AK611/AH611,"")</f>
        <v>0.349056603773585</v>
      </c>
      <c r="AP611" s="34">
        <f>IF(E611=1,Orders!Y608,"")</f>
        <v>0.36</v>
      </c>
      <c r="AQ611" s="33">
        <f>IF(Orders!X608,1,0)</f>
        <v>0</v>
      </c>
      <c r="AR611" s="34" t="str">
        <f>IF(AND(E611=1,L611=1),AJ611,"")</f>
        <v/>
      </c>
      <c r="AS611" s="34">
        <f>IF(AND(E611=1,L611=0),AJ611,"")</f>
        <v>4.3</v>
      </c>
      <c r="AT611" s="34" t="str">
        <f>IF(AND(E611=1,L611=1),AI611,"")</f>
        <v/>
      </c>
      <c r="AU611" s="34">
        <f>IF(AND(E611=1,L611=0),AI611,"")</f>
        <v>2.6</v>
      </c>
      <c r="AV611" s="34" t="str">
        <f>IF(AND(E611=1,L611=1),AG611,"")</f>
        <v/>
      </c>
      <c r="AW611" s="34">
        <f>IF(AND(E611=1,L611=0),AG611,"")</f>
        <v>11.4</v>
      </c>
      <c r="AX611" s="34" t="str">
        <f>IF(AND(E611=1,L611=1),AH611,"")</f>
        <v/>
      </c>
      <c r="AY611" s="34">
        <f>IF(AND(E611=1,L611=0),AH611,"")</f>
        <v>10.6</v>
      </c>
      <c r="AZ611" s="34" t="str">
        <f>IF(G611=1,F611,"")</f>
        <v/>
      </c>
      <c r="BA611" s="34" t="str">
        <f>IF(AND(G611=1,L611=1),F611,"")</f>
        <v/>
      </c>
      <c r="BB611" s="34" t="str">
        <f>IF(AND(G611=1,L611=0),F611,"")</f>
        <v/>
      </c>
      <c r="BC611" s="33">
        <f>IF(E611=1,IF(Orders!R608&gt;3,1,0),"")</f>
        <v>0</v>
      </c>
      <c r="BD611" s="33">
        <f>IF(E611=1,IF(Orders!R608&gt;7,1,0),"")</f>
        <v>0</v>
      </c>
      <c r="BE611" s="32" t="str">
        <f>IF(E611=1,IF(Orders!L608&lt;=1.5,"Up to 1.5 km",IF(Orders!L608&lt;=3,"1.5–3 km","Over 3 km")),"")</f>
        <v>1.5–3 km</v>
      </c>
      <c r="BF611" s="33">
        <f>IF(E611=1,IF(ABS((Orders!G608-Orders!F608)*1440-Orders!R608)&lt;0.06,1,0),"")</f>
        <v>1</v>
      </c>
      <c r="BG611" s="33">
        <f>IF(ABS((Orders!F608-Orders!E608)*1440-Orders!P608)&lt;0.06,1,0)</f>
        <v>1</v>
      </c>
      <c r="BH611" s="33">
        <f>IF(E611=1,IF(IF(Orders!S608,1,0)=1-G611,1,0),"")</f>
        <v>1</v>
      </c>
      <c r="BI611" s="32" t="str">
        <f>INDEX(Stores!$B$2:$B$21,MATCH(B611,Stores!$A$2:$A$21,0))</f>
        <v>Delhi</v>
      </c>
    </row>
    <row r="612">
      <c r="A612" s="32" t="str">
        <f>Orders!A609</f>
        <v>O00608</v>
      </c>
      <c r="B612" s="32" t="str">
        <f>Orders!C609</f>
        <v>S010</v>
      </c>
      <c r="C612" s="32" t="str">
        <f>Orders!B609</f>
        <v>C0240</v>
      </c>
      <c r="D612" s="32" t="str">
        <f>Orders!H609</f>
        <v>Delivered</v>
      </c>
      <c r="E612" s="33">
        <f>IF(Orders!H609="Delivered",1,0)</f>
        <v>1</v>
      </c>
      <c r="F612" s="34">
        <f>IF(E612=1,Orders!R609,"")</f>
        <v>-0.5</v>
      </c>
      <c r="G612" s="33">
        <f>IF(E612=1,IF(Orders!R609&gt;0,1,0),"")</f>
        <v>0</v>
      </c>
      <c r="H612" s="33">
        <f>IF(E612=1,IF(Orders!R609&gt;5,1,0),"")</f>
        <v>0</v>
      </c>
      <c r="I612" s="32" t="str">
        <f>IF(E612=1,"",IF(OR(Orders!T609="Rider unavailable",Orders!T609="Item unavailable"),"Company-caused","Unresolved"))</f>
        <v/>
      </c>
      <c r="J612" s="33">
        <f>IF(OR(E612=1,I612="Company-caused"),1,0)</f>
        <v>1</v>
      </c>
      <c r="K612" s="32" t="str">
        <f>IF(E612=0,IF(I612="Company-caused",IF(Orders!T609="Rider unavailable","C1 Rider unavailable","C2 Item unavailable"),"Outside root: unresolved"),IF(G612=0,"A On time",IF(H612=1,IF(L612=1,"B2a Severe, peak","B2b Severe, off-peak"),IF(L612=1,"B1a Slight, peak","B1b Slight, off-peak"))))</f>
        <v>A On time</v>
      </c>
      <c r="L612" s="33">
        <f>IF(AND(Orders!U609&gt;=19,Orders!U609&lt;22),1,0)</f>
        <v>0</v>
      </c>
      <c r="M612" s="33">
        <f>IF(L612=IF(Orders!V609,1,0),1,0)</f>
        <v>1</v>
      </c>
      <c r="N612" s="32" t="str">
        <f>IF(Orders!W609="","None",Orders!W609)</f>
        <v>None</v>
      </c>
      <c r="O612" s="35">
        <f>INT(Orders!E609)</f>
        <v>46270.0</v>
      </c>
      <c r="P612" s="33">
        <f>Orders!U609</f>
        <v>11</v>
      </c>
      <c r="Q612" s="33">
        <f>COUNTIFS(Demand!$A$2:$A$4481,B612,Demand!$B$2:$B$4481,O612,Demand!$C$2:$C$4481,P612)</f>
        <v>1</v>
      </c>
      <c r="R612" s="33">
        <f>IF(Q612=1,SUMIFS(Demand!$E$2:$E$4481,Demand!$A$2:$A$4481,B612,Demand!$B$2:$B$4481,O612,Demand!$C$2:$C$4481,P612),"")</f>
        <v>25</v>
      </c>
      <c r="S612" s="33">
        <f>INDEX(Stores!$G$2:$G$21,MATCH(B612,Stores!$A$2:$A$21,0))</f>
        <v>22</v>
      </c>
      <c r="T612" s="34">
        <f>IF(R612="","",R612/S612)</f>
        <v>1.13636363636364</v>
      </c>
      <c r="U612" s="34">
        <f>IF(E612=1,T612,"")</f>
        <v>1.13636363636364</v>
      </c>
      <c r="V612" s="34">
        <f>IF(AND(E612=1,L612=0),T612,"")</f>
        <v>1.13636363636364</v>
      </c>
      <c r="W612" s="33">
        <f>IF(U612="","",IF(U612&lt;=Breakdowns!$C$5,1,IF(U612&lt;=Breakdowns!$C$6,2,IF(U612&lt;=Breakdowns!$C$7,3,4))))</f>
        <v>3</v>
      </c>
      <c r="X612" s="33">
        <f>IF(V612="","",IF(V612&lt;=Breakdowns!$D$5,1,IF(V612&lt;=Breakdowns!$D$6,2,IF(V612&lt;=Breakdowns!$D$7,3,4))))</f>
        <v>4</v>
      </c>
      <c r="Y612" s="34">
        <f>INDEX(Stores!$F$2:$F$21,MATCH(B612,Stores!$A$2:$A$21,0))</f>
        <v>5.61</v>
      </c>
      <c r="Z612" s="33">
        <f>IF(Y612&gt;Store_Summary!$M$2,1,0)</f>
        <v>1</v>
      </c>
      <c r="AA612" s="33">
        <f>INDEX(Stores!$C$2:$C$21,MATCH(B612,Stores!$A$2:$A$21,0))</f>
        <v>744</v>
      </c>
      <c r="AB612" s="33">
        <f>IF(AA612&lt;180,1,0)</f>
        <v>0</v>
      </c>
      <c r="AC612" s="32" t="str">
        <f>IF(Orders!D609="","",INDEX(Riders!$C$2:$C$81,MATCH(Orders!D609,Riders!$A$2:$A$81,0)))</f>
        <v>EV scooter</v>
      </c>
      <c r="AD612" s="33">
        <f>IF(Orders!D609="","",INDEX(Riders!$D$2:$D$81,MATCH(Orders!D609,Riders!$A$2:$A$81,0)))</f>
        <v>38</v>
      </c>
      <c r="AE612" s="33">
        <f>IF(Orders!D609="","",IF(INDEX(Riders!$B$2:$B$81,MATCH(Orders!D609,Riders!$A$2:$A$81,0))=B612,1,0))</f>
        <v>0</v>
      </c>
      <c r="AF612" s="34">
        <f>IF(E612=1,Orders!L609,"")</f>
        <v>1.71</v>
      </c>
      <c r="AG612" s="34">
        <f>IF(E612=1,Orders!P609,"")</f>
        <v>9.9</v>
      </c>
      <c r="AH612" s="34">
        <f>IF(E612=1,Orders!Q609,"")</f>
        <v>9.4</v>
      </c>
      <c r="AI612" s="34">
        <f>IF(E612=1,Orders!M609,"")</f>
        <v>3</v>
      </c>
      <c r="AJ612" s="34">
        <f>IF(E612=1,Orders!N609,"")</f>
        <v>4.2</v>
      </c>
      <c r="AK612" s="34">
        <f>IF(E612=1,Orders!O609,"")</f>
        <v>2.2</v>
      </c>
      <c r="AL612" s="33">
        <f>IF(E612=1,IF(ROUND(ABS(AI612+AJ612+AK612-AH612),6)&lt;=0.1,1,0),"")</f>
        <v>1</v>
      </c>
      <c r="AM612" s="36">
        <f>IF(E612=1,AI612/AH612,"")</f>
        <v>0.319148936170213</v>
      </c>
      <c r="AN612" s="36">
        <f>IF(E612=1,AJ612/AH612,"")</f>
        <v>0.446808510638298</v>
      </c>
      <c r="AO612" s="36">
        <f>IF(E612=1,AK612/AH612,"")</f>
        <v>0.234042553191489</v>
      </c>
      <c r="AP612" s="34">
        <f>IF(E612=1,Orders!Y609,"")</f>
        <v>0.55</v>
      </c>
      <c r="AQ612" s="33">
        <f>IF(Orders!X609,1,0)</f>
        <v>0</v>
      </c>
      <c r="AR612" s="34" t="str">
        <f>IF(AND(E612=1,L612=1),AJ612,"")</f>
        <v/>
      </c>
      <c r="AS612" s="34">
        <f>IF(AND(E612=1,L612=0),AJ612,"")</f>
        <v>4.2</v>
      </c>
      <c r="AT612" s="34" t="str">
        <f>IF(AND(E612=1,L612=1),AI612,"")</f>
        <v/>
      </c>
      <c r="AU612" s="34">
        <f>IF(AND(E612=1,L612=0),AI612,"")</f>
        <v>3</v>
      </c>
      <c r="AV612" s="34" t="str">
        <f>IF(AND(E612=1,L612=1),AG612,"")</f>
        <v/>
      </c>
      <c r="AW612" s="34">
        <f>IF(AND(E612=1,L612=0),AG612,"")</f>
        <v>9.9</v>
      </c>
      <c r="AX612" s="34" t="str">
        <f>IF(AND(E612=1,L612=1),AH612,"")</f>
        <v/>
      </c>
      <c r="AY612" s="34">
        <f>IF(AND(E612=1,L612=0),AH612,"")</f>
        <v>9.4</v>
      </c>
      <c r="AZ612" s="34" t="str">
        <f>IF(G612=1,F612,"")</f>
        <v/>
      </c>
      <c r="BA612" s="34" t="str">
        <f>IF(AND(G612=1,L612=1),F612,"")</f>
        <v/>
      </c>
      <c r="BB612" s="34" t="str">
        <f>IF(AND(G612=1,L612=0),F612,"")</f>
        <v/>
      </c>
      <c r="BC612" s="33">
        <f>IF(E612=1,IF(Orders!R609&gt;3,1,0),"")</f>
        <v>0</v>
      </c>
      <c r="BD612" s="33">
        <f>IF(E612=1,IF(Orders!R609&gt;7,1,0),"")</f>
        <v>0</v>
      </c>
      <c r="BE612" s="32" t="str">
        <f>IF(E612=1,IF(Orders!L609&lt;=1.5,"Up to 1.5 km",IF(Orders!L609&lt;=3,"1.5–3 km","Over 3 km")),"")</f>
        <v>1.5–3 km</v>
      </c>
      <c r="BF612" s="33">
        <f>IF(E612=1,IF(ABS((Orders!G609-Orders!F609)*1440-Orders!R609)&lt;0.06,1,0),"")</f>
        <v>1</v>
      </c>
      <c r="BG612" s="33">
        <f>IF(ABS((Orders!F609-Orders!E609)*1440-Orders!P609)&lt;0.06,1,0)</f>
        <v>1</v>
      </c>
      <c r="BH612" s="33">
        <f>IF(E612=1,IF(IF(Orders!S609,1,0)=1-G612,1,0),"")</f>
        <v>1</v>
      </c>
      <c r="BI612" s="32" t="str">
        <f>INDEX(Stores!$B$2:$B$21,MATCH(B612,Stores!$A$2:$A$21,0))</f>
        <v>Delhi</v>
      </c>
    </row>
    <row r="613">
      <c r="A613" s="32" t="str">
        <f>Orders!A610</f>
        <v>O00609</v>
      </c>
      <c r="B613" s="32" t="str">
        <f>Orders!C610</f>
        <v>S013</v>
      </c>
      <c r="C613" s="32" t="str">
        <f>Orders!B610</f>
        <v>C0071</v>
      </c>
      <c r="D613" s="32" t="str">
        <f>Orders!H610</f>
        <v>Delivered</v>
      </c>
      <c r="E613" s="33">
        <f>IF(Orders!H610="Delivered",1,0)</f>
        <v>1</v>
      </c>
      <c r="F613" s="34">
        <f>IF(E613=1,Orders!R610,"")</f>
        <v>3.2</v>
      </c>
      <c r="G613" s="33">
        <f>IF(E613=1,IF(Orders!R610&gt;0,1,0),"")</f>
        <v>1</v>
      </c>
      <c r="H613" s="33">
        <f>IF(E613=1,IF(Orders!R610&gt;5,1,0),"")</f>
        <v>0</v>
      </c>
      <c r="I613" s="32" t="str">
        <f>IF(E613=1,"",IF(OR(Orders!T610="Rider unavailable",Orders!T610="Item unavailable"),"Company-caused","Unresolved"))</f>
        <v/>
      </c>
      <c r="J613" s="33">
        <f>IF(OR(E613=1,I613="Company-caused"),1,0)</f>
        <v>1</v>
      </c>
      <c r="K613" s="32" t="str">
        <f>IF(E613=0,IF(I613="Company-caused",IF(Orders!T610="Rider unavailable","C1 Rider unavailable","C2 Item unavailable"),"Outside root: unresolved"),IF(G613=0,"A On time",IF(H613=1,IF(L613=1,"B2a Severe, peak","B2b Severe, off-peak"),IF(L613=1,"B1a Slight, peak","B1b Slight, off-peak"))))</f>
        <v>B1b Slight, off-peak</v>
      </c>
      <c r="L613" s="33">
        <f>IF(AND(Orders!U610&gt;=19,Orders!U610&lt;22),1,0)</f>
        <v>0</v>
      </c>
      <c r="M613" s="33">
        <f>IF(L613=IF(Orders!V610,1,0),1,0)</f>
        <v>1</v>
      </c>
      <c r="N613" s="32" t="str">
        <f>IF(Orders!W610="","None",Orders!W610)</f>
        <v>Light</v>
      </c>
      <c r="O613" s="35">
        <f>INT(Orders!E610)</f>
        <v>46276.0</v>
      </c>
      <c r="P613" s="33">
        <f>Orders!U610</f>
        <v>16</v>
      </c>
      <c r="Q613" s="33">
        <f>COUNTIFS(Demand!$A$2:$A$4481,B613,Demand!$B$2:$B$4481,O613,Demand!$C$2:$C$4481,P613)</f>
        <v>1</v>
      </c>
      <c r="R613" s="33">
        <f>IF(Q613=1,SUMIFS(Demand!$E$2:$E$4481,Demand!$A$2:$A$4481,B613,Demand!$B$2:$B$4481,O613,Demand!$C$2:$C$4481,P613),"")</f>
        <v>46</v>
      </c>
      <c r="S613" s="33">
        <f>INDEX(Stores!$G$2:$G$21,MATCH(B613,Stores!$A$2:$A$21,0))</f>
        <v>49</v>
      </c>
      <c r="T613" s="34">
        <f>IF(R613="","",R613/S613)</f>
        <v>0.938775510204082</v>
      </c>
      <c r="U613" s="34">
        <f>IF(E613=1,T613,"")</f>
        <v>0.938775510204082</v>
      </c>
      <c r="V613" s="34">
        <f>IF(AND(E613=1,L613=0),T613,"")</f>
        <v>0.938775510204082</v>
      </c>
      <c r="W613" s="33">
        <f>IF(U613="","",IF(U613&lt;=Breakdowns!$C$5,1,IF(U613&lt;=Breakdowns!$C$6,2,IF(U613&lt;=Breakdowns!$C$7,3,4))))</f>
        <v>2</v>
      </c>
      <c r="X613" s="33">
        <f>IF(V613="","",IF(V613&lt;=Breakdowns!$D$5,1,IF(V613&lt;=Breakdowns!$D$6,2,IF(V613&lt;=Breakdowns!$D$7,3,4))))</f>
        <v>3</v>
      </c>
      <c r="Y613" s="34">
        <f>INDEX(Stores!$F$2:$F$21,MATCH(B613,Stores!$A$2:$A$21,0))</f>
        <v>5.82</v>
      </c>
      <c r="Z613" s="33">
        <f>IF(Y613&gt;Store_Summary!$M$2,1,0)</f>
        <v>1</v>
      </c>
      <c r="AA613" s="33">
        <f>INDEX(Stores!$C$2:$C$21,MATCH(B613,Stores!$A$2:$A$21,0))</f>
        <v>705</v>
      </c>
      <c r="AB613" s="33">
        <f>IF(AA613&lt;180,1,0)</f>
        <v>0</v>
      </c>
      <c r="AC613" s="32" t="str">
        <f>IF(Orders!D610="","",INDEX(Riders!$C$2:$C$81,MATCH(Orders!D610,Riders!$A$2:$A$81,0)))</f>
        <v>EV scooter</v>
      </c>
      <c r="AD613" s="33">
        <f>IF(Orders!D610="","",INDEX(Riders!$D$2:$D$81,MATCH(Orders!D610,Riders!$A$2:$A$81,0)))</f>
        <v>46</v>
      </c>
      <c r="AE613" s="33">
        <f>IF(Orders!D610="","",IF(INDEX(Riders!$B$2:$B$81,MATCH(Orders!D610,Riders!$A$2:$A$81,0))=B613,1,0))</f>
        <v>0</v>
      </c>
      <c r="AF613" s="34">
        <f>IF(E613=1,Orders!L610,"")</f>
        <v>0.85</v>
      </c>
      <c r="AG613" s="34">
        <f>IF(E613=1,Orders!P610,"")</f>
        <v>10.4</v>
      </c>
      <c r="AH613" s="34">
        <f>IF(E613=1,Orders!Q610,"")</f>
        <v>13.6</v>
      </c>
      <c r="AI613" s="34">
        <f>IF(E613=1,Orders!M610,"")</f>
        <v>6.5</v>
      </c>
      <c r="AJ613" s="34">
        <f>IF(E613=1,Orders!N610,"")</f>
        <v>2.9</v>
      </c>
      <c r="AK613" s="34">
        <f>IF(E613=1,Orders!O610,"")</f>
        <v>4.2</v>
      </c>
      <c r="AL613" s="33">
        <f>IF(E613=1,IF(ROUND(ABS(AI613+AJ613+AK613-AH613),6)&lt;=0.1,1,0),"")</f>
        <v>1</v>
      </c>
      <c r="AM613" s="36">
        <f>IF(E613=1,AI613/AH613,"")</f>
        <v>0.477941176470588</v>
      </c>
      <c r="AN613" s="36">
        <f>IF(E613=1,AJ613/AH613,"")</f>
        <v>0.213235294117647</v>
      </c>
      <c r="AO613" s="36">
        <f>IF(E613=1,AK613/AH613,"")</f>
        <v>0.308823529411765</v>
      </c>
      <c r="AP613" s="34">
        <f>IF(E613=1,Orders!Y610,"")</f>
        <v>0.47</v>
      </c>
      <c r="AQ613" s="33">
        <f>IF(Orders!X610,1,0)</f>
        <v>0</v>
      </c>
      <c r="AR613" s="34" t="str">
        <f>IF(AND(E613=1,L613=1),AJ613,"")</f>
        <v/>
      </c>
      <c r="AS613" s="34">
        <f>IF(AND(E613=1,L613=0),AJ613,"")</f>
        <v>2.9</v>
      </c>
      <c r="AT613" s="34" t="str">
        <f>IF(AND(E613=1,L613=1),AI613,"")</f>
        <v/>
      </c>
      <c r="AU613" s="34">
        <f>IF(AND(E613=1,L613=0),AI613,"")</f>
        <v>6.5</v>
      </c>
      <c r="AV613" s="34" t="str">
        <f>IF(AND(E613=1,L613=1),AG613,"")</f>
        <v/>
      </c>
      <c r="AW613" s="34">
        <f>IF(AND(E613=1,L613=0),AG613,"")</f>
        <v>10.4</v>
      </c>
      <c r="AX613" s="34" t="str">
        <f>IF(AND(E613=1,L613=1),AH613,"")</f>
        <v/>
      </c>
      <c r="AY613" s="34">
        <f>IF(AND(E613=1,L613=0),AH613,"")</f>
        <v>13.6</v>
      </c>
      <c r="AZ613" s="34">
        <f>IF(G613=1,F613,"")</f>
        <v>3.2</v>
      </c>
      <c r="BA613" s="34" t="str">
        <f>IF(AND(G613=1,L613=1),F613,"")</f>
        <v/>
      </c>
      <c r="BB613" s="34">
        <f>IF(AND(G613=1,L613=0),F613,"")</f>
        <v>3.2</v>
      </c>
      <c r="BC613" s="33">
        <f>IF(E613=1,IF(Orders!R610&gt;3,1,0),"")</f>
        <v>1</v>
      </c>
      <c r="BD613" s="33">
        <f>IF(E613=1,IF(Orders!R610&gt;7,1,0),"")</f>
        <v>0</v>
      </c>
      <c r="BE613" s="32" t="str">
        <f>IF(E613=1,IF(Orders!L610&lt;=1.5,"Up to 1.5 km",IF(Orders!L610&lt;=3,"1.5–3 km","Over 3 km")),"")</f>
        <v>Up to 1.5 km</v>
      </c>
      <c r="BF613" s="33">
        <f>IF(E613=1,IF(ABS((Orders!G610-Orders!F610)*1440-Orders!R610)&lt;0.06,1,0),"")</f>
        <v>1</v>
      </c>
      <c r="BG613" s="33">
        <f>IF(ABS((Orders!F610-Orders!E610)*1440-Orders!P610)&lt;0.06,1,0)</f>
        <v>1</v>
      </c>
      <c r="BH613" s="33">
        <f>IF(E613=1,IF(IF(Orders!S610,1,0)=1-G613,1,0),"")</f>
        <v>1</v>
      </c>
      <c r="BI613" s="32" t="str">
        <f>INDEX(Stores!$B$2:$B$21,MATCH(B613,Stores!$A$2:$A$21,0))</f>
        <v>Mumbai</v>
      </c>
    </row>
    <row r="614">
      <c r="A614" s="32" t="str">
        <f>Orders!A611</f>
        <v>O00610</v>
      </c>
      <c r="B614" s="32" t="str">
        <f>Orders!C611</f>
        <v>S008</v>
      </c>
      <c r="C614" s="32" t="str">
        <f>Orders!B611</f>
        <v>C0020</v>
      </c>
      <c r="D614" s="32" t="str">
        <f>Orders!H611</f>
        <v>Delivered</v>
      </c>
      <c r="E614" s="33">
        <f>IF(Orders!H611="Delivered",1,0)</f>
        <v>1</v>
      </c>
      <c r="F614" s="34">
        <f>IF(E614=1,Orders!R611,"")</f>
        <v>5.5</v>
      </c>
      <c r="G614" s="33">
        <f>IF(E614=1,IF(Orders!R611&gt;0,1,0),"")</f>
        <v>1</v>
      </c>
      <c r="H614" s="33">
        <f>IF(E614=1,IF(Orders!R611&gt;5,1,0),"")</f>
        <v>1</v>
      </c>
      <c r="I614" s="32" t="str">
        <f>IF(E614=1,"",IF(OR(Orders!T611="Rider unavailable",Orders!T611="Item unavailable"),"Company-caused","Unresolved"))</f>
        <v/>
      </c>
      <c r="J614" s="33">
        <f>IF(OR(E614=1,I614="Company-caused"),1,0)</f>
        <v>1</v>
      </c>
      <c r="K614" s="32" t="str">
        <f>IF(E614=0,IF(I614="Company-caused",IF(Orders!T611="Rider unavailable","C1 Rider unavailable","C2 Item unavailable"),"Outside root: unresolved"),IF(G614=0,"A On time",IF(H614=1,IF(L614=1,"B2a Severe, peak","B2b Severe, off-peak"),IF(L614=1,"B1a Slight, peak","B1b Slight, off-peak"))))</f>
        <v>B2a Severe, peak</v>
      </c>
      <c r="L614" s="33">
        <f>IF(AND(Orders!U611&gt;=19,Orders!U611&lt;22),1,0)</f>
        <v>1</v>
      </c>
      <c r="M614" s="33">
        <f>IF(L614=IF(Orders!V611,1,0),1,0)</f>
        <v>1</v>
      </c>
      <c r="N614" s="32" t="str">
        <f>IF(Orders!W611="","None",Orders!W611)</f>
        <v>None</v>
      </c>
      <c r="O614" s="35">
        <f>INT(Orders!E611)</f>
        <v>46266.0</v>
      </c>
      <c r="P614" s="33">
        <f>Orders!U611</f>
        <v>21</v>
      </c>
      <c r="Q614" s="33">
        <f>COUNTIFS(Demand!$A$2:$A$4481,B614,Demand!$B$2:$B$4481,O614,Demand!$C$2:$C$4481,P614)</f>
        <v>1</v>
      </c>
      <c r="R614" s="33">
        <f>IF(Q614=1,SUMIFS(Demand!$E$2:$E$4481,Demand!$A$2:$A$4481,B614,Demand!$B$2:$B$4481,O614,Demand!$C$2:$C$4481,P614),"")</f>
        <v>35</v>
      </c>
      <c r="S614" s="33">
        <f>INDEX(Stores!$G$2:$G$21,MATCH(B614,Stores!$A$2:$A$21,0))</f>
        <v>23</v>
      </c>
      <c r="T614" s="34">
        <f>IF(R614="","",R614/S614)</f>
        <v>1.52173913043478</v>
      </c>
      <c r="U614" s="34">
        <f>IF(E614=1,T614,"")</f>
        <v>1.52173913043478</v>
      </c>
      <c r="V614" s="34" t="str">
        <f>IF(AND(E614=1,L614=0),T614,"")</f>
        <v/>
      </c>
      <c r="W614" s="33">
        <f>IF(U614="","",IF(U614&lt;=Breakdowns!$C$5,1,IF(U614&lt;=Breakdowns!$C$6,2,IF(U614&lt;=Breakdowns!$C$7,3,4))))</f>
        <v>4</v>
      </c>
      <c r="X614" s="33" t="str">
        <f>IF(V614="","",IF(V614&lt;=Breakdowns!$D$5,1,IF(V614&lt;=Breakdowns!$D$6,2,IF(V614&lt;=Breakdowns!$D$7,3,4))))</f>
        <v/>
      </c>
      <c r="Y614" s="34">
        <f>INDEX(Stores!$F$2:$F$21,MATCH(B614,Stores!$A$2:$A$21,0))</f>
        <v>3.46</v>
      </c>
      <c r="Z614" s="33">
        <f>IF(Y614&gt;Store_Summary!$M$2,1,0)</f>
        <v>0</v>
      </c>
      <c r="AA614" s="33">
        <f>INDEX(Stores!$C$2:$C$21,MATCH(B614,Stores!$A$2:$A$21,0))</f>
        <v>825</v>
      </c>
      <c r="AB614" s="33">
        <f>IF(AA614&lt;180,1,0)</f>
        <v>0</v>
      </c>
      <c r="AC614" s="32" t="str">
        <f>IF(Orders!D611="","",INDEX(Riders!$C$2:$C$81,MATCH(Orders!D611,Riders!$A$2:$A$81,0)))</f>
        <v>EV scooter</v>
      </c>
      <c r="AD614" s="33">
        <f>IF(Orders!D611="","",INDEX(Riders!$D$2:$D$81,MATCH(Orders!D611,Riders!$A$2:$A$81,0)))</f>
        <v>2</v>
      </c>
      <c r="AE614" s="33">
        <f>IF(Orders!D611="","",IF(INDEX(Riders!$B$2:$B$81,MATCH(Orders!D611,Riders!$A$2:$A$81,0))=B614,1,0))</f>
        <v>0</v>
      </c>
      <c r="AF614" s="34">
        <f>IF(E614=1,Orders!L611,"")</f>
        <v>3.51</v>
      </c>
      <c r="AG614" s="34">
        <f>IF(E614=1,Orders!P611,"")</f>
        <v>8.6</v>
      </c>
      <c r="AH614" s="34">
        <f>IF(E614=1,Orders!Q611,"")</f>
        <v>14.1</v>
      </c>
      <c r="AI614" s="34">
        <f>IF(E614=1,Orders!M611,"")</f>
        <v>3.1</v>
      </c>
      <c r="AJ614" s="34">
        <f>IF(E614=1,Orders!N611,"")</f>
        <v>2.3</v>
      </c>
      <c r="AK614" s="34">
        <f>IF(E614=1,Orders!O611,"")</f>
        <v>8.7</v>
      </c>
      <c r="AL614" s="33">
        <f>IF(E614=1,IF(ROUND(ABS(AI614+AJ614+AK614-AH614),6)&lt;=0.1,1,0),"")</f>
        <v>1</v>
      </c>
      <c r="AM614" s="36">
        <f>IF(E614=1,AI614/AH614,"")</f>
        <v>0.219858156028369</v>
      </c>
      <c r="AN614" s="36">
        <f>IF(E614=1,AJ614/AH614,"")</f>
        <v>0.163120567375887</v>
      </c>
      <c r="AO614" s="36">
        <f>IF(E614=1,AK614/AH614,"")</f>
        <v>0.617021276595745</v>
      </c>
      <c r="AP614" s="34">
        <f>IF(E614=1,Orders!Y611,"")</f>
        <v>0.5</v>
      </c>
      <c r="AQ614" s="33">
        <f>IF(Orders!X611,1,0)</f>
        <v>0</v>
      </c>
      <c r="AR614" s="34">
        <f>IF(AND(E614=1,L614=1),AJ614,"")</f>
        <v>2.3</v>
      </c>
      <c r="AS614" s="34" t="str">
        <f>IF(AND(E614=1,L614=0),AJ614,"")</f>
        <v/>
      </c>
      <c r="AT614" s="34">
        <f>IF(AND(E614=1,L614=1),AI614,"")</f>
        <v>3.1</v>
      </c>
      <c r="AU614" s="34" t="str">
        <f>IF(AND(E614=1,L614=0),AI614,"")</f>
        <v/>
      </c>
      <c r="AV614" s="34">
        <f>IF(AND(E614=1,L614=1),AG614,"")</f>
        <v>8.6</v>
      </c>
      <c r="AW614" s="34" t="str">
        <f>IF(AND(E614=1,L614=0),AG614,"")</f>
        <v/>
      </c>
      <c r="AX614" s="34">
        <f>IF(AND(E614=1,L614=1),AH614,"")</f>
        <v>14.1</v>
      </c>
      <c r="AY614" s="34" t="str">
        <f>IF(AND(E614=1,L614=0),AH614,"")</f>
        <v/>
      </c>
      <c r="AZ614" s="34">
        <f>IF(G614=1,F614,"")</f>
        <v>5.5</v>
      </c>
      <c r="BA614" s="34">
        <f>IF(AND(G614=1,L614=1),F614,"")</f>
        <v>5.5</v>
      </c>
      <c r="BB614" s="34" t="str">
        <f>IF(AND(G614=1,L614=0),F614,"")</f>
        <v/>
      </c>
      <c r="BC614" s="33">
        <f>IF(E614=1,IF(Orders!R611&gt;3,1,0),"")</f>
        <v>1</v>
      </c>
      <c r="BD614" s="33">
        <f>IF(E614=1,IF(Orders!R611&gt;7,1,0),"")</f>
        <v>0</v>
      </c>
      <c r="BE614" s="32" t="str">
        <f>IF(E614=1,IF(Orders!L611&lt;=1.5,"Up to 1.5 km",IF(Orders!L611&lt;=3,"1.5–3 km","Over 3 km")),"")</f>
        <v>Over 3 km</v>
      </c>
      <c r="BF614" s="33">
        <f>IF(E614=1,IF(ABS((Orders!G611-Orders!F611)*1440-Orders!R611)&lt;0.06,1,0),"")</f>
        <v>1</v>
      </c>
      <c r="BG614" s="33">
        <f>IF(ABS((Orders!F611-Orders!E611)*1440-Orders!P611)&lt;0.06,1,0)</f>
        <v>1</v>
      </c>
      <c r="BH614" s="33">
        <f>IF(E614=1,IF(IF(Orders!S611,1,0)=1-G614,1,0),"")</f>
        <v>1</v>
      </c>
      <c r="BI614" s="32" t="str">
        <f>INDEX(Stores!$B$2:$B$21,MATCH(B614,Stores!$A$2:$A$21,0))</f>
        <v>Mumbai</v>
      </c>
    </row>
    <row r="615">
      <c r="A615" s="32" t="str">
        <f>Orders!A612</f>
        <v>O00611</v>
      </c>
      <c r="B615" s="32" t="str">
        <f>Orders!C612</f>
        <v>S004</v>
      </c>
      <c r="C615" s="32" t="str">
        <f>Orders!B612</f>
        <v>C0064</v>
      </c>
      <c r="D615" s="32" t="str">
        <f>Orders!H612</f>
        <v>Delivered</v>
      </c>
      <c r="E615" s="33">
        <f>IF(Orders!H612="Delivered",1,0)</f>
        <v>1</v>
      </c>
      <c r="F615" s="34">
        <f>IF(E615=1,Orders!R612,"")</f>
        <v>0.6</v>
      </c>
      <c r="G615" s="33">
        <f>IF(E615=1,IF(Orders!R612&gt;0,1,0),"")</f>
        <v>1</v>
      </c>
      <c r="H615" s="33">
        <f>IF(E615=1,IF(Orders!R612&gt;5,1,0),"")</f>
        <v>0</v>
      </c>
      <c r="I615" s="32" t="str">
        <f>IF(E615=1,"",IF(OR(Orders!T612="Rider unavailable",Orders!T612="Item unavailable"),"Company-caused","Unresolved"))</f>
        <v/>
      </c>
      <c r="J615" s="33">
        <f>IF(OR(E615=1,I615="Company-caused"),1,0)</f>
        <v>1</v>
      </c>
      <c r="K615" s="32" t="str">
        <f>IF(E615=0,IF(I615="Company-caused",IF(Orders!T612="Rider unavailable","C1 Rider unavailable","C2 Item unavailable"),"Outside root: unresolved"),IF(G615=0,"A On time",IF(H615=1,IF(L615=1,"B2a Severe, peak","B2b Severe, off-peak"),IF(L615=1,"B1a Slight, peak","B1b Slight, off-peak"))))</f>
        <v>B1b Slight, off-peak</v>
      </c>
      <c r="L615" s="33">
        <f>IF(AND(Orders!U612&gt;=19,Orders!U612&lt;22),1,0)</f>
        <v>0</v>
      </c>
      <c r="M615" s="33">
        <f>IF(L615=IF(Orders!V612,1,0),1,0)</f>
        <v>1</v>
      </c>
      <c r="N615" s="32" t="str">
        <f>IF(Orders!W612="","None",Orders!W612)</f>
        <v>Light</v>
      </c>
      <c r="O615" s="35">
        <f>INT(Orders!E612)</f>
        <v>46279.0</v>
      </c>
      <c r="P615" s="33">
        <f>Orders!U612</f>
        <v>14</v>
      </c>
      <c r="Q615" s="33">
        <f>COUNTIFS(Demand!$A$2:$A$4481,B615,Demand!$B$2:$B$4481,O615,Demand!$C$2:$C$4481,P615)</f>
        <v>1</v>
      </c>
      <c r="R615" s="33">
        <f>IF(Q615=1,SUMIFS(Demand!$E$2:$E$4481,Demand!$A$2:$A$4481,B615,Demand!$B$2:$B$4481,O615,Demand!$C$2:$C$4481,P615),"")</f>
        <v>30</v>
      </c>
      <c r="S615" s="33">
        <f>INDEX(Stores!$G$2:$G$21,MATCH(B615,Stores!$A$2:$A$21,0))</f>
        <v>42</v>
      </c>
      <c r="T615" s="34">
        <f>IF(R615="","",R615/S615)</f>
        <v>0.714285714285714</v>
      </c>
      <c r="U615" s="34">
        <f>IF(E615=1,T615,"")</f>
        <v>0.714285714285714</v>
      </c>
      <c r="V615" s="34">
        <f>IF(AND(E615=1,L615=0),T615,"")</f>
        <v>0.714285714285714</v>
      </c>
      <c r="W615" s="33">
        <f>IF(U615="","",IF(U615&lt;=Breakdowns!$C$5,1,IF(U615&lt;=Breakdowns!$C$6,2,IF(U615&lt;=Breakdowns!$C$7,3,4))))</f>
        <v>1</v>
      </c>
      <c r="X615" s="33">
        <f>IF(V615="","",IF(V615&lt;=Breakdowns!$D$5,1,IF(V615&lt;=Breakdowns!$D$6,2,IF(V615&lt;=Breakdowns!$D$7,3,4))))</f>
        <v>1</v>
      </c>
      <c r="Y615" s="34">
        <f>INDEX(Stores!$F$2:$F$21,MATCH(B615,Stores!$A$2:$A$21,0))</f>
        <v>2.19</v>
      </c>
      <c r="Z615" s="33">
        <f>IF(Y615&gt;Store_Summary!$M$2,1,0)</f>
        <v>0</v>
      </c>
      <c r="AA615" s="33">
        <f>INDEX(Stores!$C$2:$C$21,MATCH(B615,Stores!$A$2:$A$21,0))</f>
        <v>850</v>
      </c>
      <c r="AB615" s="33">
        <f>IF(AA615&lt;180,1,0)</f>
        <v>0</v>
      </c>
      <c r="AC615" s="32" t="str">
        <f>IF(Orders!D612="","",INDEX(Riders!$C$2:$C$81,MATCH(Orders!D612,Riders!$A$2:$A$81,0)))</f>
        <v>EV scooter</v>
      </c>
      <c r="AD615" s="33">
        <f>IF(Orders!D612="","",INDEX(Riders!$D$2:$D$81,MATCH(Orders!D612,Riders!$A$2:$A$81,0)))</f>
        <v>46</v>
      </c>
      <c r="AE615" s="33">
        <f>IF(Orders!D612="","",IF(INDEX(Riders!$B$2:$B$81,MATCH(Orders!D612,Riders!$A$2:$A$81,0))=B615,1,0))</f>
        <v>0</v>
      </c>
      <c r="AF615" s="34">
        <f>IF(E615=1,Orders!L612,"")</f>
        <v>1.69</v>
      </c>
      <c r="AG615" s="34">
        <f>IF(E615=1,Orders!P612,"")</f>
        <v>10.2</v>
      </c>
      <c r="AH615" s="34">
        <f>IF(E615=1,Orders!Q612,"")</f>
        <v>10.8</v>
      </c>
      <c r="AI615" s="34">
        <f>IF(E615=1,Orders!M612,"")</f>
        <v>1.6</v>
      </c>
      <c r="AJ615" s="34">
        <f>IF(E615=1,Orders!N612,"")</f>
        <v>2.9</v>
      </c>
      <c r="AK615" s="34">
        <f>IF(E615=1,Orders!O612,"")</f>
        <v>6.3</v>
      </c>
      <c r="AL615" s="33">
        <f>IF(E615=1,IF(ROUND(ABS(AI615+AJ615+AK615-AH615),6)&lt;=0.1,1,0),"")</f>
        <v>1</v>
      </c>
      <c r="AM615" s="36">
        <f>IF(E615=1,AI615/AH615,"")</f>
        <v>0.148148148148148</v>
      </c>
      <c r="AN615" s="36">
        <f>IF(E615=1,AJ615/AH615,"")</f>
        <v>0.268518518518519</v>
      </c>
      <c r="AO615" s="36">
        <f>IF(E615=1,AK615/AH615,"")</f>
        <v>0.583333333333333</v>
      </c>
      <c r="AP615" s="34">
        <f>IF(E615=1,Orders!Y612,"")</f>
        <v>0.55</v>
      </c>
      <c r="AQ615" s="33">
        <f>IF(Orders!X612,1,0)</f>
        <v>0</v>
      </c>
      <c r="AR615" s="34" t="str">
        <f>IF(AND(E615=1,L615=1),AJ615,"")</f>
        <v/>
      </c>
      <c r="AS615" s="34">
        <f>IF(AND(E615=1,L615=0),AJ615,"")</f>
        <v>2.9</v>
      </c>
      <c r="AT615" s="34" t="str">
        <f>IF(AND(E615=1,L615=1),AI615,"")</f>
        <v/>
      </c>
      <c r="AU615" s="34">
        <f>IF(AND(E615=1,L615=0),AI615,"")</f>
        <v>1.6</v>
      </c>
      <c r="AV615" s="34" t="str">
        <f>IF(AND(E615=1,L615=1),AG615,"")</f>
        <v/>
      </c>
      <c r="AW615" s="34">
        <f>IF(AND(E615=1,L615=0),AG615,"")</f>
        <v>10.2</v>
      </c>
      <c r="AX615" s="34" t="str">
        <f>IF(AND(E615=1,L615=1),AH615,"")</f>
        <v/>
      </c>
      <c r="AY615" s="34">
        <f>IF(AND(E615=1,L615=0),AH615,"")</f>
        <v>10.8</v>
      </c>
      <c r="AZ615" s="34">
        <f>IF(G615=1,F615,"")</f>
        <v>0.6</v>
      </c>
      <c r="BA615" s="34" t="str">
        <f>IF(AND(G615=1,L615=1),F615,"")</f>
        <v/>
      </c>
      <c r="BB615" s="34">
        <f>IF(AND(G615=1,L615=0),F615,"")</f>
        <v>0.6</v>
      </c>
      <c r="BC615" s="33">
        <f>IF(E615=1,IF(Orders!R612&gt;3,1,0),"")</f>
        <v>0</v>
      </c>
      <c r="BD615" s="33">
        <f>IF(E615=1,IF(Orders!R612&gt;7,1,0),"")</f>
        <v>0</v>
      </c>
      <c r="BE615" s="32" t="str">
        <f>IF(E615=1,IF(Orders!L612&lt;=1.5,"Up to 1.5 km",IF(Orders!L612&lt;=3,"1.5–3 km","Over 3 km")),"")</f>
        <v>1.5–3 km</v>
      </c>
      <c r="BF615" s="33">
        <f>IF(E615=1,IF(ABS((Orders!G612-Orders!F612)*1440-Orders!R612)&lt;0.06,1,0),"")</f>
        <v>1</v>
      </c>
      <c r="BG615" s="33">
        <f>IF(ABS((Orders!F612-Orders!E612)*1440-Orders!P612)&lt;0.06,1,0)</f>
        <v>1</v>
      </c>
      <c r="BH615" s="33">
        <f>IF(E615=1,IF(IF(Orders!S612,1,0)=1-G615,1,0),"")</f>
        <v>1</v>
      </c>
      <c r="BI615" s="32" t="str">
        <f>INDEX(Stores!$B$2:$B$21,MATCH(B615,Stores!$A$2:$A$21,0))</f>
        <v>Pune</v>
      </c>
    </row>
    <row r="616">
      <c r="A616" s="32" t="str">
        <f>Orders!A613</f>
        <v>O00612</v>
      </c>
      <c r="B616" s="32" t="str">
        <f>Orders!C613</f>
        <v>S013</v>
      </c>
      <c r="C616" s="32" t="str">
        <f>Orders!B613</f>
        <v>C0243</v>
      </c>
      <c r="D616" s="32" t="str">
        <f>Orders!H613</f>
        <v>Delivered</v>
      </c>
      <c r="E616" s="33">
        <f>IF(Orders!H613="Delivered",1,0)</f>
        <v>1</v>
      </c>
      <c r="F616" s="34">
        <f>IF(E616=1,Orders!R613,"")</f>
        <v>11.2</v>
      </c>
      <c r="G616" s="33">
        <f>IF(E616=1,IF(Orders!R613&gt;0,1,0),"")</f>
        <v>1</v>
      </c>
      <c r="H616" s="33">
        <f>IF(E616=1,IF(Orders!R613&gt;5,1,0),"")</f>
        <v>1</v>
      </c>
      <c r="I616" s="32" t="str">
        <f>IF(E616=1,"",IF(OR(Orders!T613="Rider unavailable",Orders!T613="Item unavailable"),"Company-caused","Unresolved"))</f>
        <v/>
      </c>
      <c r="J616" s="33">
        <f>IF(OR(E616=1,I616="Company-caused"),1,0)</f>
        <v>1</v>
      </c>
      <c r="K616" s="32" t="str">
        <f>IF(E616=0,IF(I616="Company-caused",IF(Orders!T613="Rider unavailable","C1 Rider unavailable","C2 Item unavailable"),"Outside root: unresolved"),IF(G616=0,"A On time",IF(H616=1,IF(L616=1,"B2a Severe, peak","B2b Severe, off-peak"),IF(L616=1,"B1a Slight, peak","B1b Slight, off-peak"))))</f>
        <v>B2b Severe, off-peak</v>
      </c>
      <c r="L616" s="33">
        <f>IF(AND(Orders!U613&gt;=19,Orders!U613&lt;22),1,0)</f>
        <v>0</v>
      </c>
      <c r="M616" s="33">
        <f>IF(L616=IF(Orders!V613,1,0),1,0)</f>
        <v>1</v>
      </c>
      <c r="N616" s="32" t="str">
        <f>IF(Orders!W613="","None",Orders!W613)</f>
        <v>None</v>
      </c>
      <c r="O616" s="35">
        <f>INT(Orders!E613)</f>
        <v>46276.0</v>
      </c>
      <c r="P616" s="33">
        <f>Orders!U613</f>
        <v>15</v>
      </c>
      <c r="Q616" s="33">
        <f>COUNTIFS(Demand!$A$2:$A$4481,B616,Demand!$B$2:$B$4481,O616,Demand!$C$2:$C$4481,P616)</f>
        <v>1</v>
      </c>
      <c r="R616" s="33">
        <f>IF(Q616=1,SUMIFS(Demand!$E$2:$E$4481,Demand!$A$2:$A$4481,B616,Demand!$B$2:$B$4481,O616,Demand!$C$2:$C$4481,P616),"")</f>
        <v>37</v>
      </c>
      <c r="S616" s="33">
        <f>INDEX(Stores!$G$2:$G$21,MATCH(B616,Stores!$A$2:$A$21,0))</f>
        <v>49</v>
      </c>
      <c r="T616" s="34">
        <f>IF(R616="","",R616/S616)</f>
        <v>0.755102040816327</v>
      </c>
      <c r="U616" s="34">
        <f>IF(E616=1,T616,"")</f>
        <v>0.755102040816327</v>
      </c>
      <c r="V616" s="34">
        <f>IF(AND(E616=1,L616=0),T616,"")</f>
        <v>0.755102040816327</v>
      </c>
      <c r="W616" s="33">
        <f>IF(U616="","",IF(U616&lt;=Breakdowns!$C$5,1,IF(U616&lt;=Breakdowns!$C$6,2,IF(U616&lt;=Breakdowns!$C$7,3,4))))</f>
        <v>1</v>
      </c>
      <c r="X616" s="33">
        <f>IF(V616="","",IF(V616&lt;=Breakdowns!$D$5,1,IF(V616&lt;=Breakdowns!$D$6,2,IF(V616&lt;=Breakdowns!$D$7,3,4))))</f>
        <v>2</v>
      </c>
      <c r="Y616" s="34">
        <f>INDEX(Stores!$F$2:$F$21,MATCH(B616,Stores!$A$2:$A$21,0))</f>
        <v>5.82</v>
      </c>
      <c r="Z616" s="33">
        <f>IF(Y616&gt;Store_Summary!$M$2,1,0)</f>
        <v>1</v>
      </c>
      <c r="AA616" s="33">
        <f>INDEX(Stores!$C$2:$C$21,MATCH(B616,Stores!$A$2:$A$21,0))</f>
        <v>705</v>
      </c>
      <c r="AB616" s="33">
        <f>IF(AA616&lt;180,1,0)</f>
        <v>0</v>
      </c>
      <c r="AC616" s="32" t="str">
        <f>IF(Orders!D613="","",INDEX(Riders!$C$2:$C$81,MATCH(Orders!D613,Riders!$A$2:$A$81,0)))</f>
        <v>Petrol scooter</v>
      </c>
      <c r="AD616" s="33">
        <f>IF(Orders!D613="","",INDEX(Riders!$D$2:$D$81,MATCH(Orders!D613,Riders!$A$2:$A$81,0)))</f>
        <v>4</v>
      </c>
      <c r="AE616" s="33">
        <f>IF(Orders!D613="","",IF(INDEX(Riders!$B$2:$B$81,MATCH(Orders!D613,Riders!$A$2:$A$81,0))=B616,1,0))</f>
        <v>0</v>
      </c>
      <c r="AF616" s="34">
        <f>IF(E616=1,Orders!L613,"")</f>
        <v>0.83</v>
      </c>
      <c r="AG616" s="34">
        <f>IF(E616=1,Orders!P613,"")</f>
        <v>8.5</v>
      </c>
      <c r="AH616" s="34">
        <f>IF(E616=1,Orders!Q613,"")</f>
        <v>19.7</v>
      </c>
      <c r="AI616" s="34">
        <f>IF(E616=1,Orders!M613,"")</f>
        <v>6.5</v>
      </c>
      <c r="AJ616" s="34">
        <f>IF(E616=1,Orders!N613,"")</f>
        <v>9.6</v>
      </c>
      <c r="AK616" s="34">
        <f>IF(E616=1,Orders!O613,"")</f>
        <v>3.6</v>
      </c>
      <c r="AL616" s="33">
        <f>IF(E616=1,IF(ROUND(ABS(AI616+AJ616+AK616-AH616),6)&lt;=0.1,1,0),"")</f>
        <v>1</v>
      </c>
      <c r="AM616" s="36">
        <f>IF(E616=1,AI616/AH616,"")</f>
        <v>0.32994923857868</v>
      </c>
      <c r="AN616" s="36">
        <f>IF(E616=1,AJ616/AH616,"")</f>
        <v>0.487309644670051</v>
      </c>
      <c r="AO616" s="36">
        <f>IF(E616=1,AK616/AH616,"")</f>
        <v>0.182741116751269</v>
      </c>
      <c r="AP616" s="34">
        <f>IF(E616=1,Orders!Y613,"")</f>
        <v>0.6</v>
      </c>
      <c r="AQ616" s="33">
        <f>IF(Orders!X613,1,0)</f>
        <v>0</v>
      </c>
      <c r="AR616" s="34" t="str">
        <f>IF(AND(E616=1,L616=1),AJ616,"")</f>
        <v/>
      </c>
      <c r="AS616" s="34">
        <f>IF(AND(E616=1,L616=0),AJ616,"")</f>
        <v>9.6</v>
      </c>
      <c r="AT616" s="34" t="str">
        <f>IF(AND(E616=1,L616=1),AI616,"")</f>
        <v/>
      </c>
      <c r="AU616" s="34">
        <f>IF(AND(E616=1,L616=0),AI616,"")</f>
        <v>6.5</v>
      </c>
      <c r="AV616" s="34" t="str">
        <f>IF(AND(E616=1,L616=1),AG616,"")</f>
        <v/>
      </c>
      <c r="AW616" s="34">
        <f>IF(AND(E616=1,L616=0),AG616,"")</f>
        <v>8.5</v>
      </c>
      <c r="AX616" s="34" t="str">
        <f>IF(AND(E616=1,L616=1),AH616,"")</f>
        <v/>
      </c>
      <c r="AY616" s="34">
        <f>IF(AND(E616=1,L616=0),AH616,"")</f>
        <v>19.7</v>
      </c>
      <c r="AZ616" s="34">
        <f>IF(G616=1,F616,"")</f>
        <v>11.2</v>
      </c>
      <c r="BA616" s="34" t="str">
        <f>IF(AND(G616=1,L616=1),F616,"")</f>
        <v/>
      </c>
      <c r="BB616" s="34">
        <f>IF(AND(G616=1,L616=0),F616,"")</f>
        <v>11.2</v>
      </c>
      <c r="BC616" s="33">
        <f>IF(E616=1,IF(Orders!R613&gt;3,1,0),"")</f>
        <v>1</v>
      </c>
      <c r="BD616" s="33">
        <f>IF(E616=1,IF(Orders!R613&gt;7,1,0),"")</f>
        <v>1</v>
      </c>
      <c r="BE616" s="32" t="str">
        <f>IF(E616=1,IF(Orders!L613&lt;=1.5,"Up to 1.5 km",IF(Orders!L613&lt;=3,"1.5–3 km","Over 3 km")),"")</f>
        <v>Up to 1.5 km</v>
      </c>
      <c r="BF616" s="33">
        <f>IF(E616=1,IF(ABS((Orders!G613-Orders!F613)*1440-Orders!R613)&lt;0.06,1,0),"")</f>
        <v>1</v>
      </c>
      <c r="BG616" s="33">
        <f>IF(ABS((Orders!F613-Orders!E613)*1440-Orders!P613)&lt;0.06,1,0)</f>
        <v>1</v>
      </c>
      <c r="BH616" s="33">
        <f>IF(E616=1,IF(IF(Orders!S613,1,0)=1-G616,1,0),"")</f>
        <v>1</v>
      </c>
      <c r="BI616" s="32" t="str">
        <f>INDEX(Stores!$B$2:$B$21,MATCH(B616,Stores!$A$2:$A$21,0))</f>
        <v>Mumbai</v>
      </c>
    </row>
    <row r="617">
      <c r="A617" s="32" t="str">
        <f>Orders!A614</f>
        <v>O00613</v>
      </c>
      <c r="B617" s="32" t="str">
        <f>Orders!C614</f>
        <v>S017</v>
      </c>
      <c r="C617" s="32" t="str">
        <f>Orders!B614</f>
        <v>C0017</v>
      </c>
      <c r="D617" s="32" t="str">
        <f>Orders!H614</f>
        <v>Delivered</v>
      </c>
      <c r="E617" s="33">
        <f>IF(Orders!H614="Delivered",1,0)</f>
        <v>1</v>
      </c>
      <c r="F617" s="34">
        <f>IF(E617=1,Orders!R614,"")</f>
        <v>-0.5</v>
      </c>
      <c r="G617" s="33">
        <f>IF(E617=1,IF(Orders!R614&gt;0,1,0),"")</f>
        <v>0</v>
      </c>
      <c r="H617" s="33">
        <f>IF(E617=1,IF(Orders!R614&gt;5,1,0),"")</f>
        <v>0</v>
      </c>
      <c r="I617" s="32" t="str">
        <f>IF(E617=1,"",IF(OR(Orders!T614="Rider unavailable",Orders!T614="Item unavailable"),"Company-caused","Unresolved"))</f>
        <v/>
      </c>
      <c r="J617" s="33">
        <f>IF(OR(E617=1,I617="Company-caused"),1,0)</f>
        <v>1</v>
      </c>
      <c r="K617" s="32" t="str">
        <f>IF(E617=0,IF(I617="Company-caused",IF(Orders!T614="Rider unavailable","C1 Rider unavailable","C2 Item unavailable"),"Outside root: unresolved"),IF(G617=0,"A On time",IF(H617=1,IF(L617=1,"B2a Severe, peak","B2b Severe, off-peak"),IF(L617=1,"B1a Slight, peak","B1b Slight, off-peak"))))</f>
        <v>A On time</v>
      </c>
      <c r="L617" s="33">
        <f>IF(AND(Orders!U614&gt;=19,Orders!U614&lt;22),1,0)</f>
        <v>0</v>
      </c>
      <c r="M617" s="33">
        <f>IF(L617=IF(Orders!V614,1,0),1,0)</f>
        <v>1</v>
      </c>
      <c r="N617" s="32" t="str">
        <f>IF(Orders!W614="","None",Orders!W614)</f>
        <v>None</v>
      </c>
      <c r="O617" s="35">
        <f>INT(Orders!E614)</f>
        <v>46277.0</v>
      </c>
      <c r="P617" s="33">
        <f>Orders!U614</f>
        <v>18</v>
      </c>
      <c r="Q617" s="33">
        <f>COUNTIFS(Demand!$A$2:$A$4481,B617,Demand!$B$2:$B$4481,O617,Demand!$C$2:$C$4481,P617)</f>
        <v>1</v>
      </c>
      <c r="R617" s="33">
        <f>IF(Q617=1,SUMIFS(Demand!$E$2:$E$4481,Demand!$A$2:$A$4481,B617,Demand!$B$2:$B$4481,O617,Demand!$C$2:$C$4481,P617),"")</f>
        <v>31</v>
      </c>
      <c r="S617" s="33">
        <f>INDEX(Stores!$G$2:$G$21,MATCH(B617,Stores!$A$2:$A$21,0))</f>
        <v>36</v>
      </c>
      <c r="T617" s="34">
        <f>IF(R617="","",R617/S617)</f>
        <v>0.861111111111111</v>
      </c>
      <c r="U617" s="34">
        <f>IF(E617=1,T617,"")</f>
        <v>0.861111111111111</v>
      </c>
      <c r="V617" s="34">
        <f>IF(AND(E617=1,L617=0),T617,"")</f>
        <v>0.861111111111111</v>
      </c>
      <c r="W617" s="33">
        <f>IF(U617="","",IF(U617&lt;=Breakdowns!$C$5,1,IF(U617&lt;=Breakdowns!$C$6,2,IF(U617&lt;=Breakdowns!$C$7,3,4))))</f>
        <v>2</v>
      </c>
      <c r="X617" s="33">
        <f>IF(V617="","",IF(V617&lt;=Breakdowns!$D$5,1,IF(V617&lt;=Breakdowns!$D$6,2,IF(V617&lt;=Breakdowns!$D$7,3,4))))</f>
        <v>2</v>
      </c>
      <c r="Y617" s="34">
        <f>INDEX(Stores!$F$2:$F$21,MATCH(B617,Stores!$A$2:$A$21,0))</f>
        <v>2.16</v>
      </c>
      <c r="Z617" s="33">
        <f>IF(Y617&gt;Store_Summary!$M$2,1,0)</f>
        <v>0</v>
      </c>
      <c r="AA617" s="33">
        <f>INDEX(Stores!$C$2:$C$21,MATCH(B617,Stores!$A$2:$A$21,0))</f>
        <v>47</v>
      </c>
      <c r="AB617" s="33">
        <f>IF(AA617&lt;180,1,0)</f>
        <v>1</v>
      </c>
      <c r="AC617" s="32" t="str">
        <f>IF(Orders!D614="","",INDEX(Riders!$C$2:$C$81,MATCH(Orders!D614,Riders!$A$2:$A$81,0)))</f>
        <v>Bicycle</v>
      </c>
      <c r="AD617" s="33">
        <f>IF(Orders!D614="","",INDEX(Riders!$D$2:$D$81,MATCH(Orders!D614,Riders!$A$2:$A$81,0)))</f>
        <v>8</v>
      </c>
      <c r="AE617" s="33">
        <f>IF(Orders!D614="","",IF(INDEX(Riders!$B$2:$B$81,MATCH(Orders!D614,Riders!$A$2:$A$81,0))=B617,1,0))</f>
        <v>0</v>
      </c>
      <c r="AF617" s="34">
        <f>IF(E617=1,Orders!L614,"")</f>
        <v>4</v>
      </c>
      <c r="AG617" s="34">
        <f>IF(E617=1,Orders!P614,"")</f>
        <v>11.8</v>
      </c>
      <c r="AH617" s="34">
        <f>IF(E617=1,Orders!Q614,"")</f>
        <v>11.3</v>
      </c>
      <c r="AI617" s="34">
        <f>IF(E617=1,Orders!M614,"")</f>
        <v>1.6</v>
      </c>
      <c r="AJ617" s="34">
        <f>IF(E617=1,Orders!N614,"")</f>
        <v>3.1</v>
      </c>
      <c r="AK617" s="34">
        <f>IF(E617=1,Orders!O614,"")</f>
        <v>6.6</v>
      </c>
      <c r="AL617" s="33">
        <f>IF(E617=1,IF(ROUND(ABS(AI617+AJ617+AK617-AH617),6)&lt;=0.1,1,0),"")</f>
        <v>1</v>
      </c>
      <c r="AM617" s="36">
        <f>IF(E617=1,AI617/AH617,"")</f>
        <v>0.141592920353982</v>
      </c>
      <c r="AN617" s="36">
        <f>IF(E617=1,AJ617/AH617,"")</f>
        <v>0.274336283185841</v>
      </c>
      <c r="AO617" s="36">
        <f>IF(E617=1,AK617/AH617,"")</f>
        <v>0.584070796460177</v>
      </c>
      <c r="AP617" s="34">
        <f>IF(E617=1,Orders!Y614,"")</f>
        <v>0.42</v>
      </c>
      <c r="AQ617" s="33">
        <f>IF(Orders!X614,1,0)</f>
        <v>0</v>
      </c>
      <c r="AR617" s="34" t="str">
        <f>IF(AND(E617=1,L617=1),AJ617,"")</f>
        <v/>
      </c>
      <c r="AS617" s="34">
        <f>IF(AND(E617=1,L617=0),AJ617,"")</f>
        <v>3.1</v>
      </c>
      <c r="AT617" s="34" t="str">
        <f>IF(AND(E617=1,L617=1),AI617,"")</f>
        <v/>
      </c>
      <c r="AU617" s="34">
        <f>IF(AND(E617=1,L617=0),AI617,"")</f>
        <v>1.6</v>
      </c>
      <c r="AV617" s="34" t="str">
        <f>IF(AND(E617=1,L617=1),AG617,"")</f>
        <v/>
      </c>
      <c r="AW617" s="34">
        <f>IF(AND(E617=1,L617=0),AG617,"")</f>
        <v>11.8</v>
      </c>
      <c r="AX617" s="34" t="str">
        <f>IF(AND(E617=1,L617=1),AH617,"")</f>
        <v/>
      </c>
      <c r="AY617" s="34">
        <f>IF(AND(E617=1,L617=0),AH617,"")</f>
        <v>11.3</v>
      </c>
      <c r="AZ617" s="34" t="str">
        <f>IF(G617=1,F617,"")</f>
        <v/>
      </c>
      <c r="BA617" s="34" t="str">
        <f>IF(AND(G617=1,L617=1),F617,"")</f>
        <v/>
      </c>
      <c r="BB617" s="34" t="str">
        <f>IF(AND(G617=1,L617=0),F617,"")</f>
        <v/>
      </c>
      <c r="BC617" s="33">
        <f>IF(E617=1,IF(Orders!R614&gt;3,1,0),"")</f>
        <v>0</v>
      </c>
      <c r="BD617" s="33">
        <f>IF(E617=1,IF(Orders!R614&gt;7,1,0),"")</f>
        <v>0</v>
      </c>
      <c r="BE617" s="32" t="str">
        <f>IF(E617=1,IF(Orders!L614&lt;=1.5,"Up to 1.5 km",IF(Orders!L614&lt;=3,"1.5–3 km","Over 3 km")),"")</f>
        <v>Over 3 km</v>
      </c>
      <c r="BF617" s="33">
        <f>IF(E617=1,IF(ABS((Orders!G614-Orders!F614)*1440-Orders!R614)&lt;0.06,1,0),"")</f>
        <v>1</v>
      </c>
      <c r="BG617" s="33">
        <f>IF(ABS((Orders!F614-Orders!E614)*1440-Orders!P614)&lt;0.06,1,0)</f>
        <v>1</v>
      </c>
      <c r="BH617" s="33">
        <f>IF(E617=1,IF(IF(Orders!S614,1,0)=1-G617,1,0),"")</f>
        <v>1</v>
      </c>
      <c r="BI617" s="32" t="str">
        <f>INDEX(Stores!$B$2:$B$21,MATCH(B617,Stores!$A$2:$A$21,0))</f>
        <v>Hyderabad</v>
      </c>
    </row>
    <row r="618">
      <c r="A618" s="32" t="str">
        <f>Orders!A615</f>
        <v>O00614</v>
      </c>
      <c r="B618" s="32" t="str">
        <f>Orders!C615</f>
        <v>S005</v>
      </c>
      <c r="C618" s="32" t="str">
        <f>Orders!B615</f>
        <v>C0061</v>
      </c>
      <c r="D618" s="32" t="str">
        <f>Orders!H615</f>
        <v>Delivered</v>
      </c>
      <c r="E618" s="33">
        <f>IF(Orders!H615="Delivered",1,0)</f>
        <v>1</v>
      </c>
      <c r="F618" s="34">
        <f>IF(E618=1,Orders!R615,"")</f>
        <v>-0.9</v>
      </c>
      <c r="G618" s="33">
        <f>IF(E618=1,IF(Orders!R615&gt;0,1,0),"")</f>
        <v>0</v>
      </c>
      <c r="H618" s="33">
        <f>IF(E618=1,IF(Orders!R615&gt;5,1,0),"")</f>
        <v>0</v>
      </c>
      <c r="I618" s="32" t="str">
        <f>IF(E618=1,"",IF(OR(Orders!T615="Rider unavailable",Orders!T615="Item unavailable"),"Company-caused","Unresolved"))</f>
        <v/>
      </c>
      <c r="J618" s="33">
        <f>IF(OR(E618=1,I618="Company-caused"),1,0)</f>
        <v>1</v>
      </c>
      <c r="K618" s="32" t="str">
        <f>IF(E618=0,IF(I618="Company-caused",IF(Orders!T615="Rider unavailable","C1 Rider unavailable","C2 Item unavailable"),"Outside root: unresolved"),IF(G618=0,"A On time",IF(H618=1,IF(L618=1,"B2a Severe, peak","B2b Severe, off-peak"),IF(L618=1,"B1a Slight, peak","B1b Slight, off-peak"))))</f>
        <v>A On time</v>
      </c>
      <c r="L618" s="33">
        <f>IF(AND(Orders!U615&gt;=19,Orders!U615&lt;22),1,0)</f>
        <v>0</v>
      </c>
      <c r="M618" s="33">
        <f>IF(L618=IF(Orders!V615,1,0),1,0)</f>
        <v>1</v>
      </c>
      <c r="N618" s="32" t="str">
        <f>IF(Orders!W615="","None",Orders!W615)</f>
        <v>None</v>
      </c>
      <c r="O618" s="35">
        <f>INT(Orders!E615)</f>
        <v>46271.0</v>
      </c>
      <c r="P618" s="33">
        <f>Orders!U615</f>
        <v>18</v>
      </c>
      <c r="Q618" s="33">
        <f>COUNTIFS(Demand!$A$2:$A$4481,B618,Demand!$B$2:$B$4481,O618,Demand!$C$2:$C$4481,P618)</f>
        <v>1</v>
      </c>
      <c r="R618" s="33">
        <f>IF(Q618=1,SUMIFS(Demand!$E$2:$E$4481,Demand!$A$2:$A$4481,B618,Demand!$B$2:$B$4481,O618,Demand!$C$2:$C$4481,P618),"")</f>
        <v>12</v>
      </c>
      <c r="S618" s="33">
        <f>INDEX(Stores!$G$2:$G$21,MATCH(B618,Stores!$A$2:$A$21,0))</f>
        <v>14</v>
      </c>
      <c r="T618" s="34">
        <f>IF(R618="","",R618/S618)</f>
        <v>0.857142857142857</v>
      </c>
      <c r="U618" s="34">
        <f>IF(E618=1,T618,"")</f>
        <v>0.857142857142857</v>
      </c>
      <c r="V618" s="34">
        <f>IF(AND(E618=1,L618=0),T618,"")</f>
        <v>0.857142857142857</v>
      </c>
      <c r="W618" s="33">
        <f>IF(U618="","",IF(U618&lt;=Breakdowns!$C$5,1,IF(U618&lt;=Breakdowns!$C$6,2,IF(U618&lt;=Breakdowns!$C$7,3,4))))</f>
        <v>2</v>
      </c>
      <c r="X618" s="33">
        <f>IF(V618="","",IF(V618&lt;=Breakdowns!$D$5,1,IF(V618&lt;=Breakdowns!$D$6,2,IF(V618&lt;=Breakdowns!$D$7,3,4))))</f>
        <v>2</v>
      </c>
      <c r="Y618" s="34">
        <f>INDEX(Stores!$F$2:$F$21,MATCH(B618,Stores!$A$2:$A$21,0))</f>
        <v>4.89</v>
      </c>
      <c r="Z618" s="33">
        <f>IF(Y618&gt;Store_Summary!$M$2,1,0)</f>
        <v>0</v>
      </c>
      <c r="AA618" s="33">
        <f>INDEX(Stores!$C$2:$C$21,MATCH(B618,Stores!$A$2:$A$21,0))</f>
        <v>138</v>
      </c>
      <c r="AB618" s="33">
        <f>IF(AA618&lt;180,1,0)</f>
        <v>1</v>
      </c>
      <c r="AC618" s="32" t="str">
        <f>IF(Orders!D615="","",INDEX(Riders!$C$2:$C$81,MATCH(Orders!D615,Riders!$A$2:$A$81,0)))</f>
        <v>EV scooter</v>
      </c>
      <c r="AD618" s="33">
        <f>IF(Orders!D615="","",INDEX(Riders!$D$2:$D$81,MATCH(Orders!D615,Riders!$A$2:$A$81,0)))</f>
        <v>9</v>
      </c>
      <c r="AE618" s="33">
        <f>IF(Orders!D615="","",IF(INDEX(Riders!$B$2:$B$81,MATCH(Orders!D615,Riders!$A$2:$A$81,0))=B618,1,0))</f>
        <v>0</v>
      </c>
      <c r="AF618" s="34">
        <f>IF(E618=1,Orders!L615,"")</f>
        <v>0.95</v>
      </c>
      <c r="AG618" s="34">
        <f>IF(E618=1,Orders!P615,"")</f>
        <v>8.3</v>
      </c>
      <c r="AH618" s="34">
        <f>IF(E618=1,Orders!Q615,"")</f>
        <v>7.4</v>
      </c>
      <c r="AI618" s="34">
        <f>IF(E618=1,Orders!M615,"")</f>
        <v>3</v>
      </c>
      <c r="AJ618" s="34">
        <f>IF(E618=1,Orders!N615,"")</f>
        <v>2.6</v>
      </c>
      <c r="AK618" s="34">
        <f>IF(E618=1,Orders!O615,"")</f>
        <v>1.8</v>
      </c>
      <c r="AL618" s="33">
        <f>IF(E618=1,IF(ROUND(ABS(AI618+AJ618+AK618-AH618),6)&lt;=0.1,1,0),"")</f>
        <v>1</v>
      </c>
      <c r="AM618" s="36">
        <f>IF(E618=1,AI618/AH618,"")</f>
        <v>0.405405405405405</v>
      </c>
      <c r="AN618" s="36">
        <f>IF(E618=1,AJ618/AH618,"")</f>
        <v>0.351351351351351</v>
      </c>
      <c r="AO618" s="36">
        <f>IF(E618=1,AK618/AH618,"")</f>
        <v>0.243243243243243</v>
      </c>
      <c r="AP618" s="34">
        <f>IF(E618=1,Orders!Y615,"")</f>
        <v>0.46</v>
      </c>
      <c r="AQ618" s="33">
        <f>IF(Orders!X615,1,0)</f>
        <v>0</v>
      </c>
      <c r="AR618" s="34" t="str">
        <f>IF(AND(E618=1,L618=1),AJ618,"")</f>
        <v/>
      </c>
      <c r="AS618" s="34">
        <f>IF(AND(E618=1,L618=0),AJ618,"")</f>
        <v>2.6</v>
      </c>
      <c r="AT618" s="34" t="str">
        <f>IF(AND(E618=1,L618=1),AI618,"")</f>
        <v/>
      </c>
      <c r="AU618" s="34">
        <f>IF(AND(E618=1,L618=0),AI618,"")</f>
        <v>3</v>
      </c>
      <c r="AV618" s="34" t="str">
        <f>IF(AND(E618=1,L618=1),AG618,"")</f>
        <v/>
      </c>
      <c r="AW618" s="34">
        <f>IF(AND(E618=1,L618=0),AG618,"")</f>
        <v>8.3</v>
      </c>
      <c r="AX618" s="34" t="str">
        <f>IF(AND(E618=1,L618=1),AH618,"")</f>
        <v/>
      </c>
      <c r="AY618" s="34">
        <f>IF(AND(E618=1,L618=0),AH618,"")</f>
        <v>7.4</v>
      </c>
      <c r="AZ618" s="34" t="str">
        <f>IF(G618=1,F618,"")</f>
        <v/>
      </c>
      <c r="BA618" s="34" t="str">
        <f>IF(AND(G618=1,L618=1),F618,"")</f>
        <v/>
      </c>
      <c r="BB618" s="34" t="str">
        <f>IF(AND(G618=1,L618=0),F618,"")</f>
        <v/>
      </c>
      <c r="BC618" s="33">
        <f>IF(E618=1,IF(Orders!R615&gt;3,1,0),"")</f>
        <v>0</v>
      </c>
      <c r="BD618" s="33">
        <f>IF(E618=1,IF(Orders!R615&gt;7,1,0),"")</f>
        <v>0</v>
      </c>
      <c r="BE618" s="32" t="str">
        <f>IF(E618=1,IF(Orders!L615&lt;=1.5,"Up to 1.5 km",IF(Orders!L615&lt;=3,"1.5–3 km","Over 3 km")),"")</f>
        <v>Up to 1.5 km</v>
      </c>
      <c r="BF618" s="33">
        <f>IF(E618=1,IF(ABS((Orders!G615-Orders!F615)*1440-Orders!R615)&lt;0.06,1,0),"")</f>
        <v>1</v>
      </c>
      <c r="BG618" s="33">
        <f>IF(ABS((Orders!F615-Orders!E615)*1440-Orders!P615)&lt;0.06,1,0)</f>
        <v>1</v>
      </c>
      <c r="BH618" s="33">
        <f>IF(E618=1,IF(IF(Orders!S615,1,0)=1-G618,1,0),"")</f>
        <v>1</v>
      </c>
      <c r="BI618" s="32" t="str">
        <f>INDEX(Stores!$B$2:$B$21,MATCH(B618,Stores!$A$2:$A$21,0))</f>
        <v>Delhi</v>
      </c>
    </row>
    <row r="619">
      <c r="A619" s="32" t="str">
        <f>Orders!A616</f>
        <v>O00615</v>
      </c>
      <c r="B619" s="32" t="str">
        <f>Orders!C616</f>
        <v>S012</v>
      </c>
      <c r="C619" s="32" t="str">
        <f>Orders!B616</f>
        <v>C0155</v>
      </c>
      <c r="D619" s="32" t="str">
        <f>Orders!H616</f>
        <v>Delivered</v>
      </c>
      <c r="E619" s="33">
        <f>IF(Orders!H616="Delivered",1,0)</f>
        <v>1</v>
      </c>
      <c r="F619" s="34">
        <f>IF(E619=1,Orders!R616,"")</f>
        <v>-0.6</v>
      </c>
      <c r="G619" s="33">
        <f>IF(E619=1,IF(Orders!R616&gt;0,1,0),"")</f>
        <v>0</v>
      </c>
      <c r="H619" s="33">
        <f>IF(E619=1,IF(Orders!R616&gt;5,1,0),"")</f>
        <v>0</v>
      </c>
      <c r="I619" s="32" t="str">
        <f>IF(E619=1,"",IF(OR(Orders!T616="Rider unavailable",Orders!T616="Item unavailable"),"Company-caused","Unresolved"))</f>
        <v/>
      </c>
      <c r="J619" s="33">
        <f>IF(OR(E619=1,I619="Company-caused"),1,0)</f>
        <v>1</v>
      </c>
      <c r="K619" s="32" t="str">
        <f>IF(E619=0,IF(I619="Company-caused",IF(Orders!T616="Rider unavailable","C1 Rider unavailable","C2 Item unavailable"),"Outside root: unresolved"),IF(G619=0,"A On time",IF(H619=1,IF(L619=1,"B2a Severe, peak","B2b Severe, off-peak"),IF(L619=1,"B1a Slight, peak","B1b Slight, off-peak"))))</f>
        <v>A On time</v>
      </c>
      <c r="L619" s="33">
        <f>IF(AND(Orders!U616&gt;=19,Orders!U616&lt;22),1,0)</f>
        <v>0</v>
      </c>
      <c r="M619" s="33">
        <f>IF(L619=IF(Orders!V616,1,0),1,0)</f>
        <v>1</v>
      </c>
      <c r="N619" s="32" t="str">
        <f>IF(Orders!W616="","None",Orders!W616)</f>
        <v>Light</v>
      </c>
      <c r="O619" s="35">
        <f>INT(Orders!E616)</f>
        <v>46269.0</v>
      </c>
      <c r="P619" s="33">
        <f>Orders!U616</f>
        <v>15</v>
      </c>
      <c r="Q619" s="33">
        <f>COUNTIFS(Demand!$A$2:$A$4481,B619,Demand!$B$2:$B$4481,O619,Demand!$C$2:$C$4481,P619)</f>
        <v>1</v>
      </c>
      <c r="R619" s="33">
        <f>IF(Q619=1,SUMIFS(Demand!$E$2:$E$4481,Demand!$A$2:$A$4481,B619,Demand!$B$2:$B$4481,O619,Demand!$C$2:$C$4481,P619),"")</f>
        <v>10</v>
      </c>
      <c r="S619" s="33">
        <f>INDEX(Stores!$G$2:$G$21,MATCH(B619,Stores!$A$2:$A$21,0))</f>
        <v>15</v>
      </c>
      <c r="T619" s="34">
        <f>IF(R619="","",R619/S619)</f>
        <v>0.666666666666667</v>
      </c>
      <c r="U619" s="34">
        <f>IF(E619=1,T619,"")</f>
        <v>0.666666666666667</v>
      </c>
      <c r="V619" s="34">
        <f>IF(AND(E619=1,L619=0),T619,"")</f>
        <v>0.666666666666667</v>
      </c>
      <c r="W619" s="33">
        <f>IF(U619="","",IF(U619&lt;=Breakdowns!$C$5,1,IF(U619&lt;=Breakdowns!$C$6,2,IF(U619&lt;=Breakdowns!$C$7,3,4))))</f>
        <v>1</v>
      </c>
      <c r="X619" s="33">
        <f>IF(V619="","",IF(V619&lt;=Breakdowns!$D$5,1,IF(V619&lt;=Breakdowns!$D$6,2,IF(V619&lt;=Breakdowns!$D$7,3,4))))</f>
        <v>1</v>
      </c>
      <c r="Y619" s="34">
        <f>INDEX(Stores!$F$2:$F$21,MATCH(B619,Stores!$A$2:$A$21,0))</f>
        <v>5.23</v>
      </c>
      <c r="Z619" s="33">
        <f>IF(Y619&gt;Store_Summary!$M$2,1,0)</f>
        <v>1</v>
      </c>
      <c r="AA619" s="33">
        <f>INDEX(Stores!$C$2:$C$21,MATCH(B619,Stores!$A$2:$A$21,0))</f>
        <v>300</v>
      </c>
      <c r="AB619" s="33">
        <f>IF(AA619&lt;180,1,0)</f>
        <v>0</v>
      </c>
      <c r="AC619" s="32" t="str">
        <f>IF(Orders!D616="","",INDEX(Riders!$C$2:$C$81,MATCH(Orders!D616,Riders!$A$2:$A$81,0)))</f>
        <v>EV scooter</v>
      </c>
      <c r="AD619" s="33">
        <f>IF(Orders!D616="","",INDEX(Riders!$D$2:$D$81,MATCH(Orders!D616,Riders!$A$2:$A$81,0)))</f>
        <v>41</v>
      </c>
      <c r="AE619" s="33">
        <f>IF(Orders!D616="","",IF(INDEX(Riders!$B$2:$B$81,MATCH(Orders!D616,Riders!$A$2:$A$81,0))=B619,1,0))</f>
        <v>0</v>
      </c>
      <c r="AF619" s="34">
        <f>IF(E619=1,Orders!L616,"")</f>
        <v>0.78</v>
      </c>
      <c r="AG619" s="34">
        <f>IF(E619=1,Orders!P616,"")</f>
        <v>10.2</v>
      </c>
      <c r="AH619" s="34">
        <f>IF(E619=1,Orders!Q616,"")</f>
        <v>9.6</v>
      </c>
      <c r="AI619" s="34">
        <f>IF(E619=1,Orders!M616,"")</f>
        <v>4.8</v>
      </c>
      <c r="AJ619" s="34">
        <f>IF(E619=1,Orders!N616,"")</f>
        <v>1</v>
      </c>
      <c r="AK619" s="34">
        <f>IF(E619=1,Orders!O616,"")</f>
        <v>3.8</v>
      </c>
      <c r="AL619" s="33">
        <f>IF(E619=1,IF(ROUND(ABS(AI619+AJ619+AK619-AH619),6)&lt;=0.1,1,0),"")</f>
        <v>1</v>
      </c>
      <c r="AM619" s="36">
        <f>IF(E619=1,AI619/AH619,"")</f>
        <v>0.5</v>
      </c>
      <c r="AN619" s="36">
        <f>IF(E619=1,AJ619/AH619,"")</f>
        <v>0.104166666666667</v>
      </c>
      <c r="AO619" s="36">
        <f>IF(E619=1,AK619/AH619,"")</f>
        <v>0.395833333333333</v>
      </c>
      <c r="AP619" s="34">
        <f>IF(E619=1,Orders!Y616,"")</f>
        <v>0.53</v>
      </c>
      <c r="AQ619" s="33">
        <f>IF(Orders!X616,1,0)</f>
        <v>0</v>
      </c>
      <c r="AR619" s="34" t="str">
        <f>IF(AND(E619=1,L619=1),AJ619,"")</f>
        <v/>
      </c>
      <c r="AS619" s="34">
        <f>IF(AND(E619=1,L619=0),AJ619,"")</f>
        <v>1</v>
      </c>
      <c r="AT619" s="34" t="str">
        <f>IF(AND(E619=1,L619=1),AI619,"")</f>
        <v/>
      </c>
      <c r="AU619" s="34">
        <f>IF(AND(E619=1,L619=0),AI619,"")</f>
        <v>4.8</v>
      </c>
      <c r="AV619" s="34" t="str">
        <f>IF(AND(E619=1,L619=1),AG619,"")</f>
        <v/>
      </c>
      <c r="AW619" s="34">
        <f>IF(AND(E619=1,L619=0),AG619,"")</f>
        <v>10.2</v>
      </c>
      <c r="AX619" s="34" t="str">
        <f>IF(AND(E619=1,L619=1),AH619,"")</f>
        <v/>
      </c>
      <c r="AY619" s="34">
        <f>IF(AND(E619=1,L619=0),AH619,"")</f>
        <v>9.6</v>
      </c>
      <c r="AZ619" s="34" t="str">
        <f>IF(G619=1,F619,"")</f>
        <v/>
      </c>
      <c r="BA619" s="34" t="str">
        <f>IF(AND(G619=1,L619=1),F619,"")</f>
        <v/>
      </c>
      <c r="BB619" s="34" t="str">
        <f>IF(AND(G619=1,L619=0),F619,"")</f>
        <v/>
      </c>
      <c r="BC619" s="33">
        <f>IF(E619=1,IF(Orders!R616&gt;3,1,0),"")</f>
        <v>0</v>
      </c>
      <c r="BD619" s="33">
        <f>IF(E619=1,IF(Orders!R616&gt;7,1,0),"")</f>
        <v>0</v>
      </c>
      <c r="BE619" s="32" t="str">
        <f>IF(E619=1,IF(Orders!L616&lt;=1.5,"Up to 1.5 km",IF(Orders!L616&lt;=3,"1.5–3 km","Over 3 km")),"")</f>
        <v>Up to 1.5 km</v>
      </c>
      <c r="BF619" s="33">
        <f>IF(E619=1,IF(ABS((Orders!G616-Orders!F616)*1440-Orders!R616)&lt;0.06,1,0),"")</f>
        <v>1</v>
      </c>
      <c r="BG619" s="33">
        <f>IF(ABS((Orders!F616-Orders!E616)*1440-Orders!P616)&lt;0.06,1,0)</f>
        <v>1</v>
      </c>
      <c r="BH619" s="33">
        <f>IF(E619=1,IF(IF(Orders!S616,1,0)=1-G619,1,0),"")</f>
        <v>1</v>
      </c>
      <c r="BI619" s="32" t="str">
        <f>INDEX(Stores!$B$2:$B$21,MATCH(B619,Stores!$A$2:$A$21,0))</f>
        <v>Hyderabad</v>
      </c>
    </row>
    <row r="620">
      <c r="A620" s="32" t="str">
        <f>Orders!A617</f>
        <v>O00616</v>
      </c>
      <c r="B620" s="32" t="str">
        <f>Orders!C617</f>
        <v>S018</v>
      </c>
      <c r="C620" s="32" t="str">
        <f>Orders!B617</f>
        <v>C0126</v>
      </c>
      <c r="D620" s="32" t="str">
        <f>Orders!H617</f>
        <v>Delivered</v>
      </c>
      <c r="E620" s="33">
        <f>IF(Orders!H617="Delivered",1,0)</f>
        <v>1</v>
      </c>
      <c r="F620" s="34">
        <f>IF(E620=1,Orders!R617,"")</f>
        <v>-0.9</v>
      </c>
      <c r="G620" s="33">
        <f>IF(E620=1,IF(Orders!R617&gt;0,1,0),"")</f>
        <v>0</v>
      </c>
      <c r="H620" s="33">
        <f>IF(E620=1,IF(Orders!R617&gt;5,1,0),"")</f>
        <v>0</v>
      </c>
      <c r="I620" s="32" t="str">
        <f>IF(E620=1,"",IF(OR(Orders!T617="Rider unavailable",Orders!T617="Item unavailable"),"Company-caused","Unresolved"))</f>
        <v/>
      </c>
      <c r="J620" s="33">
        <f>IF(OR(E620=1,I620="Company-caused"),1,0)</f>
        <v>1</v>
      </c>
      <c r="K620" s="32" t="str">
        <f>IF(E620=0,IF(I620="Company-caused",IF(Orders!T617="Rider unavailable","C1 Rider unavailable","C2 Item unavailable"),"Outside root: unresolved"),IF(G620=0,"A On time",IF(H620=1,IF(L620=1,"B2a Severe, peak","B2b Severe, off-peak"),IF(L620=1,"B1a Slight, peak","B1b Slight, off-peak"))))</f>
        <v>A On time</v>
      </c>
      <c r="L620" s="33">
        <f>IF(AND(Orders!U617&gt;=19,Orders!U617&lt;22),1,0)</f>
        <v>1</v>
      </c>
      <c r="M620" s="33">
        <f>IF(L620=IF(Orders!V617,1,0),1,0)</f>
        <v>1</v>
      </c>
      <c r="N620" s="32" t="str">
        <f>IF(Orders!W617="","None",Orders!W617)</f>
        <v>None</v>
      </c>
      <c r="O620" s="35">
        <f>INT(Orders!E617)</f>
        <v>46266.0</v>
      </c>
      <c r="P620" s="33">
        <f>Orders!U617</f>
        <v>21</v>
      </c>
      <c r="Q620" s="33">
        <f>COUNTIFS(Demand!$A$2:$A$4481,B620,Demand!$B$2:$B$4481,O620,Demand!$C$2:$C$4481,P620)</f>
        <v>1</v>
      </c>
      <c r="R620" s="33">
        <f>IF(Q620=1,SUMIFS(Demand!$E$2:$E$4481,Demand!$A$2:$A$4481,B620,Demand!$B$2:$B$4481,O620,Demand!$C$2:$C$4481,P620),"")</f>
        <v>26</v>
      </c>
      <c r="S620" s="33">
        <f>INDEX(Stores!$G$2:$G$21,MATCH(B620,Stores!$A$2:$A$21,0))</f>
        <v>20</v>
      </c>
      <c r="T620" s="34">
        <f>IF(R620="","",R620/S620)</f>
        <v>1.3</v>
      </c>
      <c r="U620" s="34">
        <f>IF(E620=1,T620,"")</f>
        <v>1.3</v>
      </c>
      <c r="V620" s="34" t="str">
        <f>IF(AND(E620=1,L620=0),T620,"")</f>
        <v/>
      </c>
      <c r="W620" s="33">
        <f>IF(U620="","",IF(U620&lt;=Breakdowns!$C$5,1,IF(U620&lt;=Breakdowns!$C$6,2,IF(U620&lt;=Breakdowns!$C$7,3,4))))</f>
        <v>4</v>
      </c>
      <c r="X620" s="33" t="str">
        <f>IF(V620="","",IF(V620&lt;=Breakdowns!$D$5,1,IF(V620&lt;=Breakdowns!$D$6,2,IF(V620&lt;=Breakdowns!$D$7,3,4))))</f>
        <v/>
      </c>
      <c r="Y620" s="34">
        <f>INDEX(Stores!$F$2:$F$21,MATCH(B620,Stores!$A$2:$A$21,0))</f>
        <v>5.31</v>
      </c>
      <c r="Z620" s="33">
        <f>IF(Y620&gt;Store_Summary!$M$2,1,0)</f>
        <v>1</v>
      </c>
      <c r="AA620" s="33">
        <f>INDEX(Stores!$C$2:$C$21,MATCH(B620,Stores!$A$2:$A$21,0))</f>
        <v>214</v>
      </c>
      <c r="AB620" s="33">
        <f>IF(AA620&lt;180,1,0)</f>
        <v>0</v>
      </c>
      <c r="AC620" s="32" t="str">
        <f>IF(Orders!D617="","",INDEX(Riders!$C$2:$C$81,MATCH(Orders!D617,Riders!$A$2:$A$81,0)))</f>
        <v>EV scooter</v>
      </c>
      <c r="AD620" s="33">
        <f>IF(Orders!D617="","",INDEX(Riders!$D$2:$D$81,MATCH(Orders!D617,Riders!$A$2:$A$81,0)))</f>
        <v>38</v>
      </c>
      <c r="AE620" s="33">
        <f>IF(Orders!D617="","",IF(INDEX(Riders!$B$2:$B$81,MATCH(Orders!D617,Riders!$A$2:$A$81,0))=B620,1,0))</f>
        <v>0</v>
      </c>
      <c r="AF620" s="34">
        <f>IF(E620=1,Orders!L617,"")</f>
        <v>0.98</v>
      </c>
      <c r="AG620" s="34">
        <f>IF(E620=1,Orders!P617,"")</f>
        <v>9.7</v>
      </c>
      <c r="AH620" s="34">
        <f>IF(E620=1,Orders!Q617,"")</f>
        <v>8.8</v>
      </c>
      <c r="AI620" s="34">
        <f>IF(E620=1,Orders!M617,"")</f>
        <v>2.6</v>
      </c>
      <c r="AJ620" s="34">
        <f>IF(E620=1,Orders!N617,"")</f>
        <v>4</v>
      </c>
      <c r="AK620" s="34">
        <f>IF(E620=1,Orders!O617,"")</f>
        <v>2.2</v>
      </c>
      <c r="AL620" s="33">
        <f>IF(E620=1,IF(ROUND(ABS(AI620+AJ620+AK620-AH620),6)&lt;=0.1,1,0),"")</f>
        <v>1</v>
      </c>
      <c r="AM620" s="36">
        <f>IF(E620=1,AI620/AH620,"")</f>
        <v>0.295454545454545</v>
      </c>
      <c r="AN620" s="36">
        <f>IF(E620=1,AJ620/AH620,"")</f>
        <v>0.454545454545455</v>
      </c>
      <c r="AO620" s="36">
        <f>IF(E620=1,AK620/AH620,"")</f>
        <v>0.25</v>
      </c>
      <c r="AP620" s="34">
        <f>IF(E620=1,Orders!Y617,"")</f>
        <v>0.8</v>
      </c>
      <c r="AQ620" s="33">
        <f>IF(Orders!X617,1,0)</f>
        <v>0</v>
      </c>
      <c r="AR620" s="34">
        <f>IF(AND(E620=1,L620=1),AJ620,"")</f>
        <v>4</v>
      </c>
      <c r="AS620" s="34" t="str">
        <f>IF(AND(E620=1,L620=0),AJ620,"")</f>
        <v/>
      </c>
      <c r="AT620" s="34">
        <f>IF(AND(E620=1,L620=1),AI620,"")</f>
        <v>2.6</v>
      </c>
      <c r="AU620" s="34" t="str">
        <f>IF(AND(E620=1,L620=0),AI620,"")</f>
        <v/>
      </c>
      <c r="AV620" s="34">
        <f>IF(AND(E620=1,L620=1),AG620,"")</f>
        <v>9.7</v>
      </c>
      <c r="AW620" s="34" t="str">
        <f>IF(AND(E620=1,L620=0),AG620,"")</f>
        <v/>
      </c>
      <c r="AX620" s="34">
        <f>IF(AND(E620=1,L620=1),AH620,"")</f>
        <v>8.8</v>
      </c>
      <c r="AY620" s="34" t="str">
        <f>IF(AND(E620=1,L620=0),AH620,"")</f>
        <v/>
      </c>
      <c r="AZ620" s="34" t="str">
        <f>IF(G620=1,F620,"")</f>
        <v/>
      </c>
      <c r="BA620" s="34" t="str">
        <f>IF(AND(G620=1,L620=1),F620,"")</f>
        <v/>
      </c>
      <c r="BB620" s="34" t="str">
        <f>IF(AND(G620=1,L620=0),F620,"")</f>
        <v/>
      </c>
      <c r="BC620" s="33">
        <f>IF(E620=1,IF(Orders!R617&gt;3,1,0),"")</f>
        <v>0</v>
      </c>
      <c r="BD620" s="33">
        <f>IF(E620=1,IF(Orders!R617&gt;7,1,0),"")</f>
        <v>0</v>
      </c>
      <c r="BE620" s="32" t="str">
        <f>IF(E620=1,IF(Orders!L617&lt;=1.5,"Up to 1.5 km",IF(Orders!L617&lt;=3,"1.5–3 km","Over 3 km")),"")</f>
        <v>Up to 1.5 km</v>
      </c>
      <c r="BF620" s="33">
        <f>IF(E620=1,IF(ABS((Orders!G617-Orders!F617)*1440-Orders!R617)&lt;0.06,1,0),"")</f>
        <v>1</v>
      </c>
      <c r="BG620" s="33">
        <f>IF(ABS((Orders!F617-Orders!E617)*1440-Orders!P617)&lt;0.06,1,0)</f>
        <v>1</v>
      </c>
      <c r="BH620" s="33">
        <f>IF(E620=1,IF(IF(Orders!S617,1,0)=1-G620,1,0),"")</f>
        <v>1</v>
      </c>
      <c r="BI620" s="32" t="str">
        <f>INDEX(Stores!$B$2:$B$21,MATCH(B620,Stores!$A$2:$A$21,0))</f>
        <v>Mumbai</v>
      </c>
    </row>
    <row r="621">
      <c r="A621" s="32" t="str">
        <f>Orders!A618</f>
        <v>O00617</v>
      </c>
      <c r="B621" s="32" t="str">
        <f>Orders!C618</f>
        <v>S002</v>
      </c>
      <c r="C621" s="32" t="str">
        <f>Orders!B618</f>
        <v>C0231</v>
      </c>
      <c r="D621" s="32" t="str">
        <f>Orders!H618</f>
        <v>Delivered</v>
      </c>
      <c r="E621" s="33">
        <f>IF(Orders!H618="Delivered",1,0)</f>
        <v>1</v>
      </c>
      <c r="F621" s="34">
        <f>IF(E621=1,Orders!R618,"")</f>
        <v>-1</v>
      </c>
      <c r="G621" s="33">
        <f>IF(E621=1,IF(Orders!R618&gt;0,1,0),"")</f>
        <v>0</v>
      </c>
      <c r="H621" s="33">
        <f>IF(E621=1,IF(Orders!R618&gt;5,1,0),"")</f>
        <v>0</v>
      </c>
      <c r="I621" s="32" t="str">
        <f>IF(E621=1,"",IF(OR(Orders!T618="Rider unavailable",Orders!T618="Item unavailable"),"Company-caused","Unresolved"))</f>
        <v/>
      </c>
      <c r="J621" s="33">
        <f>IF(OR(E621=1,I621="Company-caused"),1,0)</f>
        <v>1</v>
      </c>
      <c r="K621" s="32" t="str">
        <f>IF(E621=0,IF(I621="Company-caused",IF(Orders!T618="Rider unavailable","C1 Rider unavailable","C2 Item unavailable"),"Outside root: unresolved"),IF(G621=0,"A On time",IF(H621=1,IF(L621=1,"B2a Severe, peak","B2b Severe, off-peak"),IF(L621=1,"B1a Slight, peak","B1b Slight, off-peak"))))</f>
        <v>A On time</v>
      </c>
      <c r="L621" s="33">
        <f>IF(AND(Orders!U618&gt;=19,Orders!U618&lt;22),1,0)</f>
        <v>0</v>
      </c>
      <c r="M621" s="33">
        <f>IF(L621=IF(Orders!V618,1,0),1,0)</f>
        <v>1</v>
      </c>
      <c r="N621" s="32" t="str">
        <f>IF(Orders!W618="","None",Orders!W618)</f>
        <v>None</v>
      </c>
      <c r="O621" s="35">
        <f>INT(Orders!E618)</f>
        <v>46270.0</v>
      </c>
      <c r="P621" s="33">
        <f>Orders!U618</f>
        <v>23</v>
      </c>
      <c r="Q621" s="33">
        <f>COUNTIFS(Demand!$A$2:$A$4481,B621,Demand!$B$2:$B$4481,O621,Demand!$C$2:$C$4481,P621)</f>
        <v>1</v>
      </c>
      <c r="R621" s="33">
        <f>IF(Q621=1,SUMIFS(Demand!$E$2:$E$4481,Demand!$A$2:$A$4481,B621,Demand!$B$2:$B$4481,O621,Demand!$C$2:$C$4481,P621),"")</f>
        <v>46</v>
      </c>
      <c r="S621" s="33">
        <f>INDEX(Stores!$G$2:$G$21,MATCH(B621,Stores!$A$2:$A$21,0))</f>
        <v>33</v>
      </c>
      <c r="T621" s="34">
        <f>IF(R621="","",R621/S621)</f>
        <v>1.39393939393939</v>
      </c>
      <c r="U621" s="34">
        <f>IF(E621=1,T621,"")</f>
        <v>1.39393939393939</v>
      </c>
      <c r="V621" s="34">
        <f>IF(AND(E621=1,L621=0),T621,"")</f>
        <v>1.39393939393939</v>
      </c>
      <c r="W621" s="33">
        <f>IF(U621="","",IF(U621&lt;=Breakdowns!$C$5,1,IF(U621&lt;=Breakdowns!$C$6,2,IF(U621&lt;=Breakdowns!$C$7,3,4))))</f>
        <v>4</v>
      </c>
      <c r="X621" s="33">
        <f>IF(V621="","",IF(V621&lt;=Breakdowns!$D$5,1,IF(V621&lt;=Breakdowns!$D$6,2,IF(V621&lt;=Breakdowns!$D$7,3,4))))</f>
        <v>4</v>
      </c>
      <c r="Y621" s="34">
        <f>INDEX(Stores!$F$2:$F$21,MATCH(B621,Stores!$A$2:$A$21,0))</f>
        <v>2.39</v>
      </c>
      <c r="Z621" s="33">
        <f>IF(Y621&gt;Store_Summary!$M$2,1,0)</f>
        <v>0</v>
      </c>
      <c r="AA621" s="33">
        <f>INDEX(Stores!$C$2:$C$21,MATCH(B621,Stores!$A$2:$A$21,0))</f>
        <v>470</v>
      </c>
      <c r="AB621" s="33">
        <f>IF(AA621&lt;180,1,0)</f>
        <v>0</v>
      </c>
      <c r="AC621" s="32" t="str">
        <f>IF(Orders!D618="","",INDEX(Riders!$C$2:$C$81,MATCH(Orders!D618,Riders!$A$2:$A$81,0)))</f>
        <v>Petrol scooter</v>
      </c>
      <c r="AD621" s="33">
        <f>IF(Orders!D618="","",INDEX(Riders!$D$2:$D$81,MATCH(Orders!D618,Riders!$A$2:$A$81,0)))</f>
        <v>30</v>
      </c>
      <c r="AE621" s="33">
        <f>IF(Orders!D618="","",IF(INDEX(Riders!$B$2:$B$81,MATCH(Orders!D618,Riders!$A$2:$A$81,0))=B621,1,0))</f>
        <v>0</v>
      </c>
      <c r="AF621" s="34">
        <f>IF(E621=1,Orders!L618,"")</f>
        <v>2.84</v>
      </c>
      <c r="AG621" s="34">
        <f>IF(E621=1,Orders!P618,"")</f>
        <v>11.4</v>
      </c>
      <c r="AH621" s="34">
        <f>IF(E621=1,Orders!Q618,"")</f>
        <v>10.4</v>
      </c>
      <c r="AI621" s="34">
        <f>IF(E621=1,Orders!M618,"")</f>
        <v>3.3</v>
      </c>
      <c r="AJ621" s="34">
        <f>IF(E621=1,Orders!N618,"")</f>
        <v>1.1</v>
      </c>
      <c r="AK621" s="34">
        <f>IF(E621=1,Orders!O618,"")</f>
        <v>6</v>
      </c>
      <c r="AL621" s="33">
        <f>IF(E621=1,IF(ROUND(ABS(AI621+AJ621+AK621-AH621),6)&lt;=0.1,1,0),"")</f>
        <v>1</v>
      </c>
      <c r="AM621" s="36">
        <f>IF(E621=1,AI621/AH621,"")</f>
        <v>0.317307692307692</v>
      </c>
      <c r="AN621" s="36">
        <f>IF(E621=1,AJ621/AH621,"")</f>
        <v>0.105769230769231</v>
      </c>
      <c r="AO621" s="36">
        <f>IF(E621=1,AK621/AH621,"")</f>
        <v>0.576923076923077</v>
      </c>
      <c r="AP621" s="34">
        <f>IF(E621=1,Orders!Y618,"")</f>
        <v>0.4</v>
      </c>
      <c r="AQ621" s="33">
        <f>IF(Orders!X618,1,0)</f>
        <v>1</v>
      </c>
      <c r="AR621" s="34" t="str">
        <f>IF(AND(E621=1,L621=1),AJ621,"")</f>
        <v/>
      </c>
      <c r="AS621" s="34">
        <f>IF(AND(E621=1,L621=0),AJ621,"")</f>
        <v>1.1</v>
      </c>
      <c r="AT621" s="34" t="str">
        <f>IF(AND(E621=1,L621=1),AI621,"")</f>
        <v/>
      </c>
      <c r="AU621" s="34">
        <f>IF(AND(E621=1,L621=0),AI621,"")</f>
        <v>3.3</v>
      </c>
      <c r="AV621" s="34" t="str">
        <f>IF(AND(E621=1,L621=1),AG621,"")</f>
        <v/>
      </c>
      <c r="AW621" s="34">
        <f>IF(AND(E621=1,L621=0),AG621,"")</f>
        <v>11.4</v>
      </c>
      <c r="AX621" s="34" t="str">
        <f>IF(AND(E621=1,L621=1),AH621,"")</f>
        <v/>
      </c>
      <c r="AY621" s="34">
        <f>IF(AND(E621=1,L621=0),AH621,"")</f>
        <v>10.4</v>
      </c>
      <c r="AZ621" s="34" t="str">
        <f>IF(G621=1,F621,"")</f>
        <v/>
      </c>
      <c r="BA621" s="34" t="str">
        <f>IF(AND(G621=1,L621=1),F621,"")</f>
        <v/>
      </c>
      <c r="BB621" s="34" t="str">
        <f>IF(AND(G621=1,L621=0),F621,"")</f>
        <v/>
      </c>
      <c r="BC621" s="33">
        <f>IF(E621=1,IF(Orders!R618&gt;3,1,0),"")</f>
        <v>0</v>
      </c>
      <c r="BD621" s="33">
        <f>IF(E621=1,IF(Orders!R618&gt;7,1,0),"")</f>
        <v>0</v>
      </c>
      <c r="BE621" s="32" t="str">
        <f>IF(E621=1,IF(Orders!L618&lt;=1.5,"Up to 1.5 km",IF(Orders!L618&lt;=3,"1.5–3 km","Over 3 km")),"")</f>
        <v>1.5–3 km</v>
      </c>
      <c r="BF621" s="33">
        <f>IF(E621=1,IF(ABS((Orders!G618-Orders!F618)*1440-Orders!R618)&lt;0.06,1,0),"")</f>
        <v>1</v>
      </c>
      <c r="BG621" s="33">
        <f>IF(ABS((Orders!F618-Orders!E618)*1440-Orders!P618)&lt;0.06,1,0)</f>
        <v>1</v>
      </c>
      <c r="BH621" s="33">
        <f>IF(E621=1,IF(IF(Orders!S618,1,0)=1-G621,1,0),"")</f>
        <v>1</v>
      </c>
      <c r="BI621" s="32" t="str">
        <f>INDEX(Stores!$B$2:$B$21,MATCH(B621,Stores!$A$2:$A$21,0))</f>
        <v>Hyderabad</v>
      </c>
    </row>
    <row r="622">
      <c r="A622" s="32" t="str">
        <f>Orders!A619</f>
        <v>O00618</v>
      </c>
      <c r="B622" s="32" t="str">
        <f>Orders!C619</f>
        <v>S015</v>
      </c>
      <c r="C622" s="32" t="str">
        <f>Orders!B619</f>
        <v>C0049</v>
      </c>
      <c r="D622" s="32" t="str">
        <f>Orders!H619</f>
        <v>Delivered</v>
      </c>
      <c r="E622" s="33">
        <f>IF(Orders!H619="Delivered",1,0)</f>
        <v>1</v>
      </c>
      <c r="F622" s="34">
        <f>IF(E622=1,Orders!R619,"")</f>
        <v>-0.5</v>
      </c>
      <c r="G622" s="33">
        <f>IF(E622=1,IF(Orders!R619&gt;0,1,0),"")</f>
        <v>0</v>
      </c>
      <c r="H622" s="33">
        <f>IF(E622=1,IF(Orders!R619&gt;5,1,0),"")</f>
        <v>0</v>
      </c>
      <c r="I622" s="32" t="str">
        <f>IF(E622=1,"",IF(OR(Orders!T619="Rider unavailable",Orders!T619="Item unavailable"),"Company-caused","Unresolved"))</f>
        <v/>
      </c>
      <c r="J622" s="33">
        <f>IF(OR(E622=1,I622="Company-caused"),1,0)</f>
        <v>1</v>
      </c>
      <c r="K622" s="32" t="str">
        <f>IF(E622=0,IF(I622="Company-caused",IF(Orders!T619="Rider unavailable","C1 Rider unavailable","C2 Item unavailable"),"Outside root: unresolved"),IF(G622=0,"A On time",IF(H622=1,IF(L622=1,"B2a Severe, peak","B2b Severe, off-peak"),IF(L622=1,"B1a Slight, peak","B1b Slight, off-peak"))))</f>
        <v>A On time</v>
      </c>
      <c r="L622" s="33">
        <f>IF(AND(Orders!U619&gt;=19,Orders!U619&lt;22),1,0)</f>
        <v>1</v>
      </c>
      <c r="M622" s="33">
        <f>IF(L622=IF(Orders!V619,1,0),1,0)</f>
        <v>1</v>
      </c>
      <c r="N622" s="32" t="str">
        <f>IF(Orders!W619="","None",Orders!W619)</f>
        <v>None</v>
      </c>
      <c r="O622" s="35">
        <f>INT(Orders!E619)</f>
        <v>46269.0</v>
      </c>
      <c r="P622" s="33">
        <f>Orders!U619</f>
        <v>19</v>
      </c>
      <c r="Q622" s="33">
        <f>COUNTIFS(Demand!$A$2:$A$4481,B622,Demand!$B$2:$B$4481,O622,Demand!$C$2:$C$4481,P622)</f>
        <v>1</v>
      </c>
      <c r="R622" s="33">
        <f>IF(Q622=1,SUMIFS(Demand!$E$2:$E$4481,Demand!$A$2:$A$4481,B622,Demand!$B$2:$B$4481,O622,Demand!$C$2:$C$4481,P622),"")</f>
        <v>33</v>
      </c>
      <c r="S622" s="33">
        <f>INDEX(Stores!$G$2:$G$21,MATCH(B622,Stores!$A$2:$A$21,0))</f>
        <v>23</v>
      </c>
      <c r="T622" s="34">
        <f>IF(R622="","",R622/S622)</f>
        <v>1.43478260869565</v>
      </c>
      <c r="U622" s="34">
        <f>IF(E622=1,T622,"")</f>
        <v>1.43478260869565</v>
      </c>
      <c r="V622" s="34" t="str">
        <f>IF(AND(E622=1,L622=0),T622,"")</f>
        <v/>
      </c>
      <c r="W622" s="33">
        <f>IF(U622="","",IF(U622&lt;=Breakdowns!$C$5,1,IF(U622&lt;=Breakdowns!$C$6,2,IF(U622&lt;=Breakdowns!$C$7,3,4))))</f>
        <v>4</v>
      </c>
      <c r="X622" s="33" t="str">
        <f>IF(V622="","",IF(V622&lt;=Breakdowns!$D$5,1,IF(V622&lt;=Breakdowns!$D$6,2,IF(V622&lt;=Breakdowns!$D$7,3,4))))</f>
        <v/>
      </c>
      <c r="Y622" s="34">
        <f>INDEX(Stores!$F$2:$F$21,MATCH(B622,Stores!$A$2:$A$21,0))</f>
        <v>4.66</v>
      </c>
      <c r="Z622" s="33">
        <f>IF(Y622&gt;Store_Summary!$M$2,1,0)</f>
        <v>0</v>
      </c>
      <c r="AA622" s="33">
        <f>INDEX(Stores!$C$2:$C$21,MATCH(B622,Stores!$A$2:$A$21,0))</f>
        <v>204</v>
      </c>
      <c r="AB622" s="33">
        <f>IF(AA622&lt;180,1,0)</f>
        <v>0</v>
      </c>
      <c r="AC622" s="32" t="str">
        <f>IF(Orders!D619="","",INDEX(Riders!$C$2:$C$81,MATCH(Orders!D619,Riders!$A$2:$A$81,0)))</f>
        <v>EV scooter</v>
      </c>
      <c r="AD622" s="33">
        <f>IF(Orders!D619="","",INDEX(Riders!$D$2:$D$81,MATCH(Orders!D619,Riders!$A$2:$A$81,0)))</f>
        <v>37</v>
      </c>
      <c r="AE622" s="33">
        <f>IF(Orders!D619="","",IF(INDEX(Riders!$B$2:$B$81,MATCH(Orders!D619,Riders!$A$2:$A$81,0))=B622,1,0))</f>
        <v>0</v>
      </c>
      <c r="AF622" s="34">
        <f>IF(E622=1,Orders!L619,"")</f>
        <v>3.49</v>
      </c>
      <c r="AG622" s="34">
        <f>IF(E622=1,Orders!P619,"")</f>
        <v>11.4</v>
      </c>
      <c r="AH622" s="34">
        <f>IF(E622=1,Orders!Q619,"")</f>
        <v>10.9</v>
      </c>
      <c r="AI622" s="34">
        <f>IF(E622=1,Orders!M619,"")</f>
        <v>3.1</v>
      </c>
      <c r="AJ622" s="34">
        <f>IF(E622=1,Orders!N619,"")</f>
        <v>2.2</v>
      </c>
      <c r="AK622" s="34">
        <f>IF(E622=1,Orders!O619,"")</f>
        <v>5.6</v>
      </c>
      <c r="AL622" s="33">
        <f>IF(E622=1,IF(ROUND(ABS(AI622+AJ622+AK622-AH622),6)&lt;=0.1,1,0),"")</f>
        <v>1</v>
      </c>
      <c r="AM622" s="36">
        <f>IF(E622=1,AI622/AH622,"")</f>
        <v>0.284403669724771</v>
      </c>
      <c r="AN622" s="36">
        <f>IF(E622=1,AJ622/AH622,"")</f>
        <v>0.201834862385321</v>
      </c>
      <c r="AO622" s="36">
        <f>IF(E622=1,AK622/AH622,"")</f>
        <v>0.513761467889908</v>
      </c>
      <c r="AP622" s="34">
        <f>IF(E622=1,Orders!Y619,"")</f>
        <v>0.47</v>
      </c>
      <c r="AQ622" s="33">
        <f>IF(Orders!X619,1,0)</f>
        <v>0</v>
      </c>
      <c r="AR622" s="34">
        <f>IF(AND(E622=1,L622=1),AJ622,"")</f>
        <v>2.2</v>
      </c>
      <c r="AS622" s="34" t="str">
        <f>IF(AND(E622=1,L622=0),AJ622,"")</f>
        <v/>
      </c>
      <c r="AT622" s="34">
        <f>IF(AND(E622=1,L622=1),AI622,"")</f>
        <v>3.1</v>
      </c>
      <c r="AU622" s="34" t="str">
        <f>IF(AND(E622=1,L622=0),AI622,"")</f>
        <v/>
      </c>
      <c r="AV622" s="34">
        <f>IF(AND(E622=1,L622=1),AG622,"")</f>
        <v>11.4</v>
      </c>
      <c r="AW622" s="34" t="str">
        <f>IF(AND(E622=1,L622=0),AG622,"")</f>
        <v/>
      </c>
      <c r="AX622" s="34">
        <f>IF(AND(E622=1,L622=1),AH622,"")</f>
        <v>10.9</v>
      </c>
      <c r="AY622" s="34" t="str">
        <f>IF(AND(E622=1,L622=0),AH622,"")</f>
        <v/>
      </c>
      <c r="AZ622" s="34" t="str">
        <f>IF(G622=1,F622,"")</f>
        <v/>
      </c>
      <c r="BA622" s="34" t="str">
        <f>IF(AND(G622=1,L622=1),F622,"")</f>
        <v/>
      </c>
      <c r="BB622" s="34" t="str">
        <f>IF(AND(G622=1,L622=0),F622,"")</f>
        <v/>
      </c>
      <c r="BC622" s="33">
        <f>IF(E622=1,IF(Orders!R619&gt;3,1,0),"")</f>
        <v>0</v>
      </c>
      <c r="BD622" s="33">
        <f>IF(E622=1,IF(Orders!R619&gt;7,1,0),"")</f>
        <v>0</v>
      </c>
      <c r="BE622" s="32" t="str">
        <f>IF(E622=1,IF(Orders!L619&lt;=1.5,"Up to 1.5 km",IF(Orders!L619&lt;=3,"1.5–3 km","Over 3 km")),"")</f>
        <v>Over 3 km</v>
      </c>
      <c r="BF622" s="33">
        <f>IF(E622=1,IF(ABS((Orders!G619-Orders!F619)*1440-Orders!R619)&lt;0.06,1,0),"")</f>
        <v>1</v>
      </c>
      <c r="BG622" s="33">
        <f>IF(ABS((Orders!F619-Orders!E619)*1440-Orders!P619)&lt;0.06,1,0)</f>
        <v>1</v>
      </c>
      <c r="BH622" s="33">
        <f>IF(E622=1,IF(IF(Orders!S619,1,0)=1-G622,1,0),"")</f>
        <v>1</v>
      </c>
      <c r="BI622" s="32" t="str">
        <f>INDEX(Stores!$B$2:$B$21,MATCH(B622,Stores!$A$2:$A$21,0))</f>
        <v>Delhi</v>
      </c>
    </row>
    <row r="623">
      <c r="A623" s="32" t="str">
        <f>Orders!A620</f>
        <v>O00619</v>
      </c>
      <c r="B623" s="32" t="str">
        <f>Orders!C620</f>
        <v>S010</v>
      </c>
      <c r="C623" s="32" t="str">
        <f>Orders!B620</f>
        <v>C0174</v>
      </c>
      <c r="D623" s="32" t="str">
        <f>Orders!H620</f>
        <v>Delivered</v>
      </c>
      <c r="E623" s="33">
        <f>IF(Orders!H620="Delivered",1,0)</f>
        <v>1</v>
      </c>
      <c r="F623" s="34">
        <f>IF(E623=1,Orders!R620,"")</f>
        <v>2.1</v>
      </c>
      <c r="G623" s="33">
        <f>IF(E623=1,IF(Orders!R620&gt;0,1,0),"")</f>
        <v>1</v>
      </c>
      <c r="H623" s="33">
        <f>IF(E623=1,IF(Orders!R620&gt;5,1,0),"")</f>
        <v>0</v>
      </c>
      <c r="I623" s="32" t="str">
        <f>IF(E623=1,"",IF(OR(Orders!T620="Rider unavailable",Orders!T620="Item unavailable"),"Company-caused","Unresolved"))</f>
        <v/>
      </c>
      <c r="J623" s="33">
        <f>IF(OR(E623=1,I623="Company-caused"),1,0)</f>
        <v>1</v>
      </c>
      <c r="K623" s="32" t="str">
        <f>IF(E623=0,IF(I623="Company-caused",IF(Orders!T620="Rider unavailable","C1 Rider unavailable","C2 Item unavailable"),"Outside root: unresolved"),IF(G623=0,"A On time",IF(H623=1,IF(L623=1,"B2a Severe, peak","B2b Severe, off-peak"),IF(L623=1,"B1a Slight, peak","B1b Slight, off-peak"))))</f>
        <v>B1b Slight, off-peak</v>
      </c>
      <c r="L623" s="33">
        <f>IF(AND(Orders!U620&gt;=19,Orders!U620&lt;22),1,0)</f>
        <v>0</v>
      </c>
      <c r="M623" s="33">
        <f>IF(L623=IF(Orders!V620,1,0),1,0)</f>
        <v>1</v>
      </c>
      <c r="N623" s="32" t="str">
        <f>IF(Orders!W620="","None",Orders!W620)</f>
        <v>None</v>
      </c>
      <c r="O623" s="35">
        <f>INT(Orders!E620)</f>
        <v>46278.0</v>
      </c>
      <c r="P623" s="33">
        <f>Orders!U620</f>
        <v>8</v>
      </c>
      <c r="Q623" s="33">
        <f>COUNTIFS(Demand!$A$2:$A$4481,B623,Demand!$B$2:$B$4481,O623,Demand!$C$2:$C$4481,P623)</f>
        <v>1</v>
      </c>
      <c r="R623" s="33">
        <f>IF(Q623=1,SUMIFS(Demand!$E$2:$E$4481,Demand!$A$2:$A$4481,B623,Demand!$B$2:$B$4481,O623,Demand!$C$2:$C$4481,P623),"")</f>
        <v>11</v>
      </c>
      <c r="S623" s="33">
        <f>INDEX(Stores!$G$2:$G$21,MATCH(B623,Stores!$A$2:$A$21,0))</f>
        <v>22</v>
      </c>
      <c r="T623" s="34">
        <f>IF(R623="","",R623/S623)</f>
        <v>0.5</v>
      </c>
      <c r="U623" s="34">
        <f>IF(E623=1,T623,"")</f>
        <v>0.5</v>
      </c>
      <c r="V623" s="34">
        <f>IF(AND(E623=1,L623=0),T623,"")</f>
        <v>0.5</v>
      </c>
      <c r="W623" s="33">
        <f>IF(U623="","",IF(U623&lt;=Breakdowns!$C$5,1,IF(U623&lt;=Breakdowns!$C$6,2,IF(U623&lt;=Breakdowns!$C$7,3,4))))</f>
        <v>1</v>
      </c>
      <c r="X623" s="33">
        <f>IF(V623="","",IF(V623&lt;=Breakdowns!$D$5,1,IF(V623&lt;=Breakdowns!$D$6,2,IF(V623&lt;=Breakdowns!$D$7,3,4))))</f>
        <v>1</v>
      </c>
      <c r="Y623" s="34">
        <f>INDEX(Stores!$F$2:$F$21,MATCH(B623,Stores!$A$2:$A$21,0))</f>
        <v>5.61</v>
      </c>
      <c r="Z623" s="33">
        <f>IF(Y623&gt;Store_Summary!$M$2,1,0)</f>
        <v>1</v>
      </c>
      <c r="AA623" s="33">
        <f>INDEX(Stores!$C$2:$C$21,MATCH(B623,Stores!$A$2:$A$21,0))</f>
        <v>744</v>
      </c>
      <c r="AB623" s="33">
        <f>IF(AA623&lt;180,1,0)</f>
        <v>0</v>
      </c>
      <c r="AC623" s="32" t="str">
        <f>IF(Orders!D620="","",INDEX(Riders!$C$2:$C$81,MATCH(Orders!D620,Riders!$A$2:$A$81,0)))</f>
        <v>EV scooter</v>
      </c>
      <c r="AD623" s="33">
        <f>IF(Orders!D620="","",INDEX(Riders!$D$2:$D$81,MATCH(Orders!D620,Riders!$A$2:$A$81,0)))</f>
        <v>18</v>
      </c>
      <c r="AE623" s="33">
        <f>IF(Orders!D620="","",IF(INDEX(Riders!$B$2:$B$81,MATCH(Orders!D620,Riders!$A$2:$A$81,0))=B623,1,0))</f>
        <v>0</v>
      </c>
      <c r="AF623" s="34">
        <f>IF(E623=1,Orders!L620,"")</f>
        <v>1.39</v>
      </c>
      <c r="AG623" s="34">
        <f>IF(E623=1,Orders!P620,"")</f>
        <v>9.4</v>
      </c>
      <c r="AH623" s="34">
        <f>IF(E623=1,Orders!Q620,"")</f>
        <v>11.5</v>
      </c>
      <c r="AI623" s="34">
        <f>IF(E623=1,Orders!M620,"")</f>
        <v>4.7</v>
      </c>
      <c r="AJ623" s="34">
        <f>IF(E623=1,Orders!N620,"")</f>
        <v>2</v>
      </c>
      <c r="AK623" s="34">
        <f>IF(E623=1,Orders!O620,"")</f>
        <v>4.8</v>
      </c>
      <c r="AL623" s="33">
        <f>IF(E623=1,IF(ROUND(ABS(AI623+AJ623+AK623-AH623),6)&lt;=0.1,1,0),"")</f>
        <v>1</v>
      </c>
      <c r="AM623" s="36">
        <f>IF(E623=1,AI623/AH623,"")</f>
        <v>0.408695652173913</v>
      </c>
      <c r="AN623" s="36">
        <f>IF(E623=1,AJ623/AH623,"")</f>
        <v>0.173913043478261</v>
      </c>
      <c r="AO623" s="36">
        <f>IF(E623=1,AK623/AH623,"")</f>
        <v>0.417391304347826</v>
      </c>
      <c r="AP623" s="34">
        <f>IF(E623=1,Orders!Y620,"")</f>
        <v>0.66</v>
      </c>
      <c r="AQ623" s="33">
        <f>IF(Orders!X620,1,0)</f>
        <v>0</v>
      </c>
      <c r="AR623" s="34" t="str">
        <f>IF(AND(E623=1,L623=1),AJ623,"")</f>
        <v/>
      </c>
      <c r="AS623" s="34">
        <f>IF(AND(E623=1,L623=0),AJ623,"")</f>
        <v>2</v>
      </c>
      <c r="AT623" s="34" t="str">
        <f>IF(AND(E623=1,L623=1),AI623,"")</f>
        <v/>
      </c>
      <c r="AU623" s="34">
        <f>IF(AND(E623=1,L623=0),AI623,"")</f>
        <v>4.7</v>
      </c>
      <c r="AV623" s="34" t="str">
        <f>IF(AND(E623=1,L623=1),AG623,"")</f>
        <v/>
      </c>
      <c r="AW623" s="34">
        <f>IF(AND(E623=1,L623=0),AG623,"")</f>
        <v>9.4</v>
      </c>
      <c r="AX623" s="34" t="str">
        <f>IF(AND(E623=1,L623=1),AH623,"")</f>
        <v/>
      </c>
      <c r="AY623" s="34">
        <f>IF(AND(E623=1,L623=0),AH623,"")</f>
        <v>11.5</v>
      </c>
      <c r="AZ623" s="34">
        <f>IF(G623=1,F623,"")</f>
        <v>2.1</v>
      </c>
      <c r="BA623" s="34" t="str">
        <f>IF(AND(G623=1,L623=1),F623,"")</f>
        <v/>
      </c>
      <c r="BB623" s="34">
        <f>IF(AND(G623=1,L623=0),F623,"")</f>
        <v>2.1</v>
      </c>
      <c r="BC623" s="33">
        <f>IF(E623=1,IF(Orders!R620&gt;3,1,0),"")</f>
        <v>0</v>
      </c>
      <c r="BD623" s="33">
        <f>IF(E623=1,IF(Orders!R620&gt;7,1,0),"")</f>
        <v>0</v>
      </c>
      <c r="BE623" s="32" t="str">
        <f>IF(E623=1,IF(Orders!L620&lt;=1.5,"Up to 1.5 km",IF(Orders!L620&lt;=3,"1.5–3 km","Over 3 km")),"")</f>
        <v>Up to 1.5 km</v>
      </c>
      <c r="BF623" s="33">
        <f>IF(E623=1,IF(ABS((Orders!G620-Orders!F620)*1440-Orders!R620)&lt;0.06,1,0),"")</f>
        <v>1</v>
      </c>
      <c r="BG623" s="33">
        <f>IF(ABS((Orders!F620-Orders!E620)*1440-Orders!P620)&lt;0.06,1,0)</f>
        <v>1</v>
      </c>
      <c r="BH623" s="33">
        <f>IF(E623=1,IF(IF(Orders!S620,1,0)=1-G623,1,0),"")</f>
        <v>1</v>
      </c>
      <c r="BI623" s="32" t="str">
        <f>INDEX(Stores!$B$2:$B$21,MATCH(B623,Stores!$A$2:$A$21,0))</f>
        <v>Delhi</v>
      </c>
    </row>
    <row r="624">
      <c r="A624" s="32" t="str">
        <f>Orders!A621</f>
        <v>O00620</v>
      </c>
      <c r="B624" s="32" t="str">
        <f>Orders!C621</f>
        <v>S009</v>
      </c>
      <c r="C624" s="32" t="str">
        <f>Orders!B621</f>
        <v>C0141</v>
      </c>
      <c r="D624" s="32" t="str">
        <f>Orders!H621</f>
        <v>Delivered</v>
      </c>
      <c r="E624" s="33">
        <f>IF(Orders!H621="Delivered",1,0)</f>
        <v>1</v>
      </c>
      <c r="F624" s="34">
        <f>IF(E624=1,Orders!R621,"")</f>
        <v>-0.6</v>
      </c>
      <c r="G624" s="33">
        <f>IF(E624=1,IF(Orders!R621&gt;0,1,0),"")</f>
        <v>0</v>
      </c>
      <c r="H624" s="33">
        <f>IF(E624=1,IF(Orders!R621&gt;5,1,0),"")</f>
        <v>0</v>
      </c>
      <c r="I624" s="32" t="str">
        <f>IF(E624=1,"",IF(OR(Orders!T621="Rider unavailable",Orders!T621="Item unavailable"),"Company-caused","Unresolved"))</f>
        <v/>
      </c>
      <c r="J624" s="33">
        <f>IF(OR(E624=1,I624="Company-caused"),1,0)</f>
        <v>1</v>
      </c>
      <c r="K624" s="32" t="str">
        <f>IF(E624=0,IF(I624="Company-caused",IF(Orders!T621="Rider unavailable","C1 Rider unavailable","C2 Item unavailable"),"Outside root: unresolved"),IF(G624=0,"A On time",IF(H624=1,IF(L624=1,"B2a Severe, peak","B2b Severe, off-peak"),IF(L624=1,"B1a Slight, peak","B1b Slight, off-peak"))))</f>
        <v>A On time</v>
      </c>
      <c r="L624" s="33">
        <f>IF(AND(Orders!U621&gt;=19,Orders!U621&lt;22),1,0)</f>
        <v>0</v>
      </c>
      <c r="M624" s="33">
        <f>IF(L624=IF(Orders!V621,1,0),1,0)</f>
        <v>1</v>
      </c>
      <c r="N624" s="32" t="str">
        <f>IF(Orders!W621="","None",Orders!W621)</f>
        <v>None</v>
      </c>
      <c r="O624" s="35">
        <f>INT(Orders!E621)</f>
        <v>46279.0</v>
      </c>
      <c r="P624" s="33">
        <f>Orders!U621</f>
        <v>11</v>
      </c>
      <c r="Q624" s="33">
        <f>COUNTIFS(Demand!$A$2:$A$4481,B624,Demand!$B$2:$B$4481,O624,Demand!$C$2:$C$4481,P624)</f>
        <v>1</v>
      </c>
      <c r="R624" s="33">
        <f>IF(Q624=1,SUMIFS(Demand!$E$2:$E$4481,Demand!$A$2:$A$4481,B624,Demand!$B$2:$B$4481,O624,Demand!$C$2:$C$4481,P624),"")</f>
        <v>34</v>
      </c>
      <c r="S624" s="33">
        <f>INDEX(Stores!$G$2:$G$21,MATCH(B624,Stores!$A$2:$A$21,0))</f>
        <v>29</v>
      </c>
      <c r="T624" s="34">
        <f>IF(R624="","",R624/S624)</f>
        <v>1.17241379310345</v>
      </c>
      <c r="U624" s="34">
        <f>IF(E624=1,T624,"")</f>
        <v>1.17241379310345</v>
      </c>
      <c r="V624" s="34">
        <f>IF(AND(E624=1,L624=0),T624,"")</f>
        <v>1.17241379310345</v>
      </c>
      <c r="W624" s="33">
        <f>IF(U624="","",IF(U624&lt;=Breakdowns!$C$5,1,IF(U624&lt;=Breakdowns!$C$6,2,IF(U624&lt;=Breakdowns!$C$7,3,4))))</f>
        <v>3</v>
      </c>
      <c r="X624" s="33">
        <f>IF(V624="","",IF(V624&lt;=Breakdowns!$D$5,1,IF(V624&lt;=Breakdowns!$D$6,2,IF(V624&lt;=Breakdowns!$D$7,3,4))))</f>
        <v>4</v>
      </c>
      <c r="Y624" s="34">
        <f>INDEX(Stores!$F$2:$F$21,MATCH(B624,Stores!$A$2:$A$21,0))</f>
        <v>2.66</v>
      </c>
      <c r="Z624" s="33">
        <f>IF(Y624&gt;Store_Summary!$M$2,1,0)</f>
        <v>0</v>
      </c>
      <c r="AA624" s="33">
        <f>INDEX(Stores!$C$2:$C$21,MATCH(B624,Stores!$A$2:$A$21,0))</f>
        <v>645</v>
      </c>
      <c r="AB624" s="33">
        <f>IF(AA624&lt;180,1,0)</f>
        <v>0</v>
      </c>
      <c r="AC624" s="32" t="str">
        <f>IF(Orders!D621="","",INDEX(Riders!$C$2:$C$81,MATCH(Orders!D621,Riders!$A$2:$A$81,0)))</f>
        <v>Petrol scooter</v>
      </c>
      <c r="AD624" s="33">
        <f>IF(Orders!D621="","",INDEX(Riders!$D$2:$D$81,MATCH(Orders!D621,Riders!$A$2:$A$81,0)))</f>
        <v>48</v>
      </c>
      <c r="AE624" s="33">
        <f>IF(Orders!D621="","",IF(INDEX(Riders!$B$2:$B$81,MATCH(Orders!D621,Riders!$A$2:$A$81,0))=B624,1,0))</f>
        <v>0</v>
      </c>
      <c r="AF624" s="34">
        <f>IF(E624=1,Orders!L621,"")</f>
        <v>0.93</v>
      </c>
      <c r="AG624" s="34">
        <f>IF(E624=1,Orders!P621,"")</f>
        <v>11.1</v>
      </c>
      <c r="AH624" s="34">
        <f>IF(E624=1,Orders!Q621,"")</f>
        <v>10.5</v>
      </c>
      <c r="AI624" s="34">
        <f>IF(E624=1,Orders!M621,"")</f>
        <v>2.1</v>
      </c>
      <c r="AJ624" s="34">
        <f>IF(E624=1,Orders!N621,"")</f>
        <v>6.5</v>
      </c>
      <c r="AK624" s="34">
        <f>IF(E624=1,Orders!O621,"")</f>
        <v>1.9</v>
      </c>
      <c r="AL624" s="33">
        <f>IF(E624=1,IF(ROUND(ABS(AI624+AJ624+AK624-AH624),6)&lt;=0.1,1,0),"")</f>
        <v>1</v>
      </c>
      <c r="AM624" s="36">
        <f>IF(E624=1,AI624/AH624,"")</f>
        <v>0.2</v>
      </c>
      <c r="AN624" s="36">
        <f>IF(E624=1,AJ624/AH624,"")</f>
        <v>0.619047619047619</v>
      </c>
      <c r="AO624" s="36">
        <f>IF(E624=1,AK624/AH624,"")</f>
        <v>0.180952380952381</v>
      </c>
      <c r="AP624" s="34">
        <f>IF(E624=1,Orders!Y621,"")</f>
        <v>0.33</v>
      </c>
      <c r="AQ624" s="33">
        <f>IF(Orders!X621,1,0)</f>
        <v>0</v>
      </c>
      <c r="AR624" s="34" t="str">
        <f>IF(AND(E624=1,L624=1),AJ624,"")</f>
        <v/>
      </c>
      <c r="AS624" s="34">
        <f>IF(AND(E624=1,L624=0),AJ624,"")</f>
        <v>6.5</v>
      </c>
      <c r="AT624" s="34" t="str">
        <f>IF(AND(E624=1,L624=1),AI624,"")</f>
        <v/>
      </c>
      <c r="AU624" s="34">
        <f>IF(AND(E624=1,L624=0),AI624,"")</f>
        <v>2.1</v>
      </c>
      <c r="AV624" s="34" t="str">
        <f>IF(AND(E624=1,L624=1),AG624,"")</f>
        <v/>
      </c>
      <c r="AW624" s="34">
        <f>IF(AND(E624=1,L624=0),AG624,"")</f>
        <v>11.1</v>
      </c>
      <c r="AX624" s="34" t="str">
        <f>IF(AND(E624=1,L624=1),AH624,"")</f>
        <v/>
      </c>
      <c r="AY624" s="34">
        <f>IF(AND(E624=1,L624=0),AH624,"")</f>
        <v>10.5</v>
      </c>
      <c r="AZ624" s="34" t="str">
        <f>IF(G624=1,F624,"")</f>
        <v/>
      </c>
      <c r="BA624" s="34" t="str">
        <f>IF(AND(G624=1,L624=1),F624,"")</f>
        <v/>
      </c>
      <c r="BB624" s="34" t="str">
        <f>IF(AND(G624=1,L624=0),F624,"")</f>
        <v/>
      </c>
      <c r="BC624" s="33">
        <f>IF(E624=1,IF(Orders!R621&gt;3,1,0),"")</f>
        <v>0</v>
      </c>
      <c r="BD624" s="33">
        <f>IF(E624=1,IF(Orders!R621&gt;7,1,0),"")</f>
        <v>0</v>
      </c>
      <c r="BE624" s="32" t="str">
        <f>IF(E624=1,IF(Orders!L621&lt;=1.5,"Up to 1.5 km",IF(Orders!L621&lt;=3,"1.5–3 km","Over 3 km")),"")</f>
        <v>Up to 1.5 km</v>
      </c>
      <c r="BF624" s="33">
        <f>IF(E624=1,IF(ABS((Orders!G621-Orders!F621)*1440-Orders!R621)&lt;0.06,1,0),"")</f>
        <v>1</v>
      </c>
      <c r="BG624" s="33">
        <f>IF(ABS((Orders!F621-Orders!E621)*1440-Orders!P621)&lt;0.06,1,0)</f>
        <v>1</v>
      </c>
      <c r="BH624" s="33">
        <f>IF(E624=1,IF(IF(Orders!S621,1,0)=1-G624,1,0),"")</f>
        <v>1</v>
      </c>
      <c r="BI624" s="32" t="str">
        <f>INDEX(Stores!$B$2:$B$21,MATCH(B624,Stores!$A$2:$A$21,0))</f>
        <v>Pune</v>
      </c>
    </row>
    <row r="625">
      <c r="A625" s="32" t="str">
        <f>Orders!A622</f>
        <v>O00621</v>
      </c>
      <c r="B625" s="32" t="str">
        <f>Orders!C622</f>
        <v>S004</v>
      </c>
      <c r="C625" s="32" t="str">
        <f>Orders!B622</f>
        <v>C0097</v>
      </c>
      <c r="D625" s="32" t="str">
        <f>Orders!H622</f>
        <v>Delivered</v>
      </c>
      <c r="E625" s="33">
        <f>IF(Orders!H622="Delivered",1,0)</f>
        <v>1</v>
      </c>
      <c r="F625" s="34">
        <f>IF(E625=1,Orders!R622,"")</f>
        <v>-1.1</v>
      </c>
      <c r="G625" s="33">
        <f>IF(E625=1,IF(Orders!R622&gt;0,1,0),"")</f>
        <v>0</v>
      </c>
      <c r="H625" s="33">
        <f>IF(E625=1,IF(Orders!R622&gt;5,1,0),"")</f>
        <v>0</v>
      </c>
      <c r="I625" s="32" t="str">
        <f>IF(E625=1,"",IF(OR(Orders!T622="Rider unavailable",Orders!T622="Item unavailable"),"Company-caused","Unresolved"))</f>
        <v/>
      </c>
      <c r="J625" s="33">
        <f>IF(OR(E625=1,I625="Company-caused"),1,0)</f>
        <v>1</v>
      </c>
      <c r="K625" s="32" t="str">
        <f>IF(E625=0,IF(I625="Company-caused",IF(Orders!T622="Rider unavailable","C1 Rider unavailable","C2 Item unavailable"),"Outside root: unresolved"),IF(G625=0,"A On time",IF(H625=1,IF(L625=1,"B2a Severe, peak","B2b Severe, off-peak"),IF(L625=1,"B1a Slight, peak","B1b Slight, off-peak"))))</f>
        <v>A On time</v>
      </c>
      <c r="L625" s="33">
        <f>IF(AND(Orders!U622&gt;=19,Orders!U622&lt;22),1,0)</f>
        <v>0</v>
      </c>
      <c r="M625" s="33">
        <f>IF(L625=IF(Orders!V622,1,0),1,0)</f>
        <v>1</v>
      </c>
      <c r="N625" s="32" t="str">
        <f>IF(Orders!W622="","None",Orders!W622)</f>
        <v>None</v>
      </c>
      <c r="O625" s="35">
        <f>INT(Orders!E622)</f>
        <v>46268.0</v>
      </c>
      <c r="P625" s="33">
        <f>Orders!U622</f>
        <v>11</v>
      </c>
      <c r="Q625" s="33">
        <f>COUNTIFS(Demand!$A$2:$A$4481,B625,Demand!$B$2:$B$4481,O625,Demand!$C$2:$C$4481,P625)</f>
        <v>1</v>
      </c>
      <c r="R625" s="33">
        <f>IF(Q625=1,SUMIFS(Demand!$E$2:$E$4481,Demand!$A$2:$A$4481,B625,Demand!$B$2:$B$4481,O625,Demand!$C$2:$C$4481,P625),"")</f>
        <v>55</v>
      </c>
      <c r="S625" s="33">
        <f>INDEX(Stores!$G$2:$G$21,MATCH(B625,Stores!$A$2:$A$21,0))</f>
        <v>42</v>
      </c>
      <c r="T625" s="34">
        <f>IF(R625="","",R625/S625)</f>
        <v>1.30952380952381</v>
      </c>
      <c r="U625" s="34">
        <f>IF(E625=1,T625,"")</f>
        <v>1.30952380952381</v>
      </c>
      <c r="V625" s="34">
        <f>IF(AND(E625=1,L625=0),T625,"")</f>
        <v>1.30952380952381</v>
      </c>
      <c r="W625" s="33">
        <f>IF(U625="","",IF(U625&lt;=Breakdowns!$C$5,1,IF(U625&lt;=Breakdowns!$C$6,2,IF(U625&lt;=Breakdowns!$C$7,3,4))))</f>
        <v>4</v>
      </c>
      <c r="X625" s="33">
        <f>IF(V625="","",IF(V625&lt;=Breakdowns!$D$5,1,IF(V625&lt;=Breakdowns!$D$6,2,IF(V625&lt;=Breakdowns!$D$7,3,4))))</f>
        <v>4</v>
      </c>
      <c r="Y625" s="34">
        <f>INDEX(Stores!$F$2:$F$21,MATCH(B625,Stores!$A$2:$A$21,0))</f>
        <v>2.19</v>
      </c>
      <c r="Z625" s="33">
        <f>IF(Y625&gt;Store_Summary!$M$2,1,0)</f>
        <v>0</v>
      </c>
      <c r="AA625" s="33">
        <f>INDEX(Stores!$C$2:$C$21,MATCH(B625,Stores!$A$2:$A$21,0))</f>
        <v>850</v>
      </c>
      <c r="AB625" s="33">
        <f>IF(AA625&lt;180,1,0)</f>
        <v>0</v>
      </c>
      <c r="AC625" s="32" t="str">
        <f>IF(Orders!D622="","",INDEX(Riders!$C$2:$C$81,MATCH(Orders!D622,Riders!$A$2:$A$81,0)))</f>
        <v>EV scooter</v>
      </c>
      <c r="AD625" s="33">
        <f>IF(Orders!D622="","",INDEX(Riders!$D$2:$D$81,MATCH(Orders!D622,Riders!$A$2:$A$81,0)))</f>
        <v>4</v>
      </c>
      <c r="AE625" s="33">
        <f>IF(Orders!D622="","",IF(INDEX(Riders!$B$2:$B$81,MATCH(Orders!D622,Riders!$A$2:$A$81,0))=B625,1,0))</f>
        <v>0</v>
      </c>
      <c r="AF625" s="34">
        <f>IF(E625=1,Orders!L622,"")</f>
        <v>1.2</v>
      </c>
      <c r="AG625" s="34">
        <f>IF(E625=1,Orders!P622,"")</f>
        <v>9.5</v>
      </c>
      <c r="AH625" s="34">
        <f>IF(E625=1,Orders!Q622,"")</f>
        <v>8.4</v>
      </c>
      <c r="AI625" s="34">
        <f>IF(E625=1,Orders!M622,"")</f>
        <v>2.1</v>
      </c>
      <c r="AJ625" s="34">
        <f>IF(E625=1,Orders!N622,"")</f>
        <v>3.3</v>
      </c>
      <c r="AK625" s="34">
        <f>IF(E625=1,Orders!O622,"")</f>
        <v>3</v>
      </c>
      <c r="AL625" s="33">
        <f>IF(E625=1,IF(ROUND(ABS(AI625+AJ625+AK625-AH625),6)&lt;=0.1,1,0),"")</f>
        <v>1</v>
      </c>
      <c r="AM625" s="36">
        <f>IF(E625=1,AI625/AH625,"")</f>
        <v>0.25</v>
      </c>
      <c r="AN625" s="36">
        <f>IF(E625=1,AJ625/AH625,"")</f>
        <v>0.392857142857143</v>
      </c>
      <c r="AO625" s="36">
        <f>IF(E625=1,AK625/AH625,"")</f>
        <v>0.357142857142857</v>
      </c>
      <c r="AP625" s="34">
        <f>IF(E625=1,Orders!Y622,"")</f>
        <v>0.32</v>
      </c>
      <c r="AQ625" s="33">
        <f>IF(Orders!X622,1,0)</f>
        <v>0</v>
      </c>
      <c r="AR625" s="34" t="str">
        <f>IF(AND(E625=1,L625=1),AJ625,"")</f>
        <v/>
      </c>
      <c r="AS625" s="34">
        <f>IF(AND(E625=1,L625=0),AJ625,"")</f>
        <v>3.3</v>
      </c>
      <c r="AT625" s="34" t="str">
        <f>IF(AND(E625=1,L625=1),AI625,"")</f>
        <v/>
      </c>
      <c r="AU625" s="34">
        <f>IF(AND(E625=1,L625=0),AI625,"")</f>
        <v>2.1</v>
      </c>
      <c r="AV625" s="34" t="str">
        <f>IF(AND(E625=1,L625=1),AG625,"")</f>
        <v/>
      </c>
      <c r="AW625" s="34">
        <f>IF(AND(E625=1,L625=0),AG625,"")</f>
        <v>9.5</v>
      </c>
      <c r="AX625" s="34" t="str">
        <f>IF(AND(E625=1,L625=1),AH625,"")</f>
        <v/>
      </c>
      <c r="AY625" s="34">
        <f>IF(AND(E625=1,L625=0),AH625,"")</f>
        <v>8.4</v>
      </c>
      <c r="AZ625" s="34" t="str">
        <f>IF(G625=1,F625,"")</f>
        <v/>
      </c>
      <c r="BA625" s="34" t="str">
        <f>IF(AND(G625=1,L625=1),F625,"")</f>
        <v/>
      </c>
      <c r="BB625" s="34" t="str">
        <f>IF(AND(G625=1,L625=0),F625,"")</f>
        <v/>
      </c>
      <c r="BC625" s="33">
        <f>IF(E625=1,IF(Orders!R622&gt;3,1,0),"")</f>
        <v>0</v>
      </c>
      <c r="BD625" s="33">
        <f>IF(E625=1,IF(Orders!R622&gt;7,1,0),"")</f>
        <v>0</v>
      </c>
      <c r="BE625" s="32" t="str">
        <f>IF(E625=1,IF(Orders!L622&lt;=1.5,"Up to 1.5 km",IF(Orders!L622&lt;=3,"1.5–3 km","Over 3 km")),"")</f>
        <v>Up to 1.5 km</v>
      </c>
      <c r="BF625" s="33">
        <f>IF(E625=1,IF(ABS((Orders!G622-Orders!F622)*1440-Orders!R622)&lt;0.06,1,0),"")</f>
        <v>1</v>
      </c>
      <c r="BG625" s="33">
        <f>IF(ABS((Orders!F622-Orders!E622)*1440-Orders!P622)&lt;0.06,1,0)</f>
        <v>1</v>
      </c>
      <c r="BH625" s="33">
        <f>IF(E625=1,IF(IF(Orders!S622,1,0)=1-G625,1,0),"")</f>
        <v>1</v>
      </c>
      <c r="BI625" s="32" t="str">
        <f>INDEX(Stores!$B$2:$B$21,MATCH(B625,Stores!$A$2:$A$21,0))</f>
        <v>Pune</v>
      </c>
    </row>
    <row r="626">
      <c r="A626" s="32" t="str">
        <f>Orders!A623</f>
        <v>O00622</v>
      </c>
      <c r="B626" s="32" t="str">
        <f>Orders!C623</f>
        <v>S011</v>
      </c>
      <c r="C626" s="32" t="str">
        <f>Orders!B623</f>
        <v>C0050</v>
      </c>
      <c r="D626" s="32" t="str">
        <f>Orders!H623</f>
        <v>Delivered</v>
      </c>
      <c r="E626" s="33">
        <f>IF(Orders!H623="Delivered",1,0)</f>
        <v>1</v>
      </c>
      <c r="F626" s="34">
        <f>IF(E626=1,Orders!R623,"")</f>
        <v>-0.5</v>
      </c>
      <c r="G626" s="33">
        <f>IF(E626=1,IF(Orders!R623&gt;0,1,0),"")</f>
        <v>0</v>
      </c>
      <c r="H626" s="33">
        <f>IF(E626=1,IF(Orders!R623&gt;5,1,0),"")</f>
        <v>0</v>
      </c>
      <c r="I626" s="32" t="str">
        <f>IF(E626=1,"",IF(OR(Orders!T623="Rider unavailable",Orders!T623="Item unavailable"),"Company-caused","Unresolved"))</f>
        <v/>
      </c>
      <c r="J626" s="33">
        <f>IF(OR(E626=1,I626="Company-caused"),1,0)</f>
        <v>1</v>
      </c>
      <c r="K626" s="32" t="str">
        <f>IF(E626=0,IF(I626="Company-caused",IF(Orders!T623="Rider unavailable","C1 Rider unavailable","C2 Item unavailable"),"Outside root: unresolved"),IF(G626=0,"A On time",IF(H626=1,IF(L626=1,"B2a Severe, peak","B2b Severe, off-peak"),IF(L626=1,"B1a Slight, peak","B1b Slight, off-peak"))))</f>
        <v>A On time</v>
      </c>
      <c r="L626" s="33">
        <f>IF(AND(Orders!U623&gt;=19,Orders!U623&lt;22),1,0)</f>
        <v>0</v>
      </c>
      <c r="M626" s="33">
        <f>IF(L626=IF(Orders!V623,1,0),1,0)</f>
        <v>1</v>
      </c>
      <c r="N626" s="32" t="str">
        <f>IF(Orders!W623="","None",Orders!W623)</f>
        <v>None</v>
      </c>
      <c r="O626" s="35">
        <f>INT(Orders!E623)</f>
        <v>46268.0</v>
      </c>
      <c r="P626" s="33">
        <f>Orders!U623</f>
        <v>9</v>
      </c>
      <c r="Q626" s="33">
        <f>COUNTIFS(Demand!$A$2:$A$4481,B626,Demand!$B$2:$B$4481,O626,Demand!$C$2:$C$4481,P626)</f>
        <v>1</v>
      </c>
      <c r="R626" s="33">
        <f>IF(Q626=1,SUMIFS(Demand!$E$2:$E$4481,Demand!$A$2:$A$4481,B626,Demand!$B$2:$B$4481,O626,Demand!$C$2:$C$4481,P626),"")</f>
        <v>16</v>
      </c>
      <c r="S626" s="33">
        <f>INDEX(Stores!$G$2:$G$21,MATCH(B626,Stores!$A$2:$A$21,0))</f>
        <v>31</v>
      </c>
      <c r="T626" s="34">
        <f>IF(R626="","",R626/S626)</f>
        <v>0.516129032258065</v>
      </c>
      <c r="U626" s="34">
        <f>IF(E626=1,T626,"")</f>
        <v>0.516129032258065</v>
      </c>
      <c r="V626" s="34">
        <f>IF(AND(E626=1,L626=0),T626,"")</f>
        <v>0.516129032258065</v>
      </c>
      <c r="W626" s="33">
        <f>IF(U626="","",IF(U626&lt;=Breakdowns!$C$5,1,IF(U626&lt;=Breakdowns!$C$6,2,IF(U626&lt;=Breakdowns!$C$7,3,4))))</f>
        <v>1</v>
      </c>
      <c r="X626" s="33">
        <f>IF(V626="","",IF(V626&lt;=Breakdowns!$D$5,1,IF(V626&lt;=Breakdowns!$D$6,2,IF(V626&lt;=Breakdowns!$D$7,3,4))))</f>
        <v>1</v>
      </c>
      <c r="Y626" s="34">
        <f>INDEX(Stores!$F$2:$F$21,MATCH(B626,Stores!$A$2:$A$21,0))</f>
        <v>5.67</v>
      </c>
      <c r="Z626" s="33">
        <f>IF(Y626&gt;Store_Summary!$M$2,1,0)</f>
        <v>1</v>
      </c>
      <c r="AA626" s="33">
        <f>INDEX(Stores!$C$2:$C$21,MATCH(B626,Stores!$A$2:$A$21,0))</f>
        <v>732</v>
      </c>
      <c r="AB626" s="33">
        <f>IF(AA626&lt;180,1,0)</f>
        <v>0</v>
      </c>
      <c r="AC626" s="32" t="str">
        <f>IF(Orders!D623="","",INDEX(Riders!$C$2:$C$81,MATCH(Orders!D623,Riders!$A$2:$A$81,0)))</f>
        <v>Petrol scooter</v>
      </c>
      <c r="AD626" s="33">
        <f>IF(Orders!D623="","",INDEX(Riders!$D$2:$D$81,MATCH(Orders!D623,Riders!$A$2:$A$81,0)))</f>
        <v>48</v>
      </c>
      <c r="AE626" s="33">
        <f>IF(Orders!D623="","",IF(INDEX(Riders!$B$2:$B$81,MATCH(Orders!D623,Riders!$A$2:$A$81,0))=B626,1,0))</f>
        <v>0</v>
      </c>
      <c r="AF626" s="34">
        <f>IF(E626=1,Orders!L623,"")</f>
        <v>0.98</v>
      </c>
      <c r="AG626" s="34">
        <f>IF(E626=1,Orders!P623,"")</f>
        <v>11.1</v>
      </c>
      <c r="AH626" s="34">
        <f>IF(E626=1,Orders!Q623,"")</f>
        <v>10.6</v>
      </c>
      <c r="AI626" s="34">
        <f>IF(E626=1,Orders!M623,"")</f>
        <v>4</v>
      </c>
      <c r="AJ626" s="34">
        <f>IF(E626=1,Orders!N623,"")</f>
        <v>4.3</v>
      </c>
      <c r="AK626" s="34">
        <f>IF(E626=1,Orders!O623,"")</f>
        <v>2.3</v>
      </c>
      <c r="AL626" s="33">
        <f>IF(E626=1,IF(ROUND(ABS(AI626+AJ626+AK626-AH626),6)&lt;=0.1,1,0),"")</f>
        <v>1</v>
      </c>
      <c r="AM626" s="36">
        <f>IF(E626=1,AI626/AH626,"")</f>
        <v>0.377358490566038</v>
      </c>
      <c r="AN626" s="36">
        <f>IF(E626=1,AJ626/AH626,"")</f>
        <v>0.405660377358491</v>
      </c>
      <c r="AO626" s="36">
        <f>IF(E626=1,AK626/AH626,"")</f>
        <v>0.216981132075472</v>
      </c>
      <c r="AP626" s="34">
        <f>IF(E626=1,Orders!Y623,"")</f>
        <v>0.4</v>
      </c>
      <c r="AQ626" s="33">
        <f>IF(Orders!X623,1,0)</f>
        <v>0</v>
      </c>
      <c r="AR626" s="34" t="str">
        <f>IF(AND(E626=1,L626=1),AJ626,"")</f>
        <v/>
      </c>
      <c r="AS626" s="34">
        <f>IF(AND(E626=1,L626=0),AJ626,"")</f>
        <v>4.3</v>
      </c>
      <c r="AT626" s="34" t="str">
        <f>IF(AND(E626=1,L626=1),AI626,"")</f>
        <v/>
      </c>
      <c r="AU626" s="34">
        <f>IF(AND(E626=1,L626=0),AI626,"")</f>
        <v>4</v>
      </c>
      <c r="AV626" s="34" t="str">
        <f>IF(AND(E626=1,L626=1),AG626,"")</f>
        <v/>
      </c>
      <c r="AW626" s="34">
        <f>IF(AND(E626=1,L626=0),AG626,"")</f>
        <v>11.1</v>
      </c>
      <c r="AX626" s="34" t="str">
        <f>IF(AND(E626=1,L626=1),AH626,"")</f>
        <v/>
      </c>
      <c r="AY626" s="34">
        <f>IF(AND(E626=1,L626=0),AH626,"")</f>
        <v>10.6</v>
      </c>
      <c r="AZ626" s="34" t="str">
        <f>IF(G626=1,F626,"")</f>
        <v/>
      </c>
      <c r="BA626" s="34" t="str">
        <f>IF(AND(G626=1,L626=1),F626,"")</f>
        <v/>
      </c>
      <c r="BB626" s="34" t="str">
        <f>IF(AND(G626=1,L626=0),F626,"")</f>
        <v/>
      </c>
      <c r="BC626" s="33">
        <f>IF(E626=1,IF(Orders!R623&gt;3,1,0),"")</f>
        <v>0</v>
      </c>
      <c r="BD626" s="33">
        <f>IF(E626=1,IF(Orders!R623&gt;7,1,0),"")</f>
        <v>0</v>
      </c>
      <c r="BE626" s="32" t="str">
        <f>IF(E626=1,IF(Orders!L623&lt;=1.5,"Up to 1.5 km",IF(Orders!L623&lt;=3,"1.5–3 km","Over 3 km")),"")</f>
        <v>Up to 1.5 km</v>
      </c>
      <c r="BF626" s="33">
        <f>IF(E626=1,IF(ABS((Orders!G623-Orders!F623)*1440-Orders!R623)&lt;0.06,1,0),"")</f>
        <v>1</v>
      </c>
      <c r="BG626" s="33">
        <f>IF(ABS((Orders!F623-Orders!E623)*1440-Orders!P623)&lt;0.06,1,0)</f>
        <v>1</v>
      </c>
      <c r="BH626" s="33">
        <f>IF(E626=1,IF(IF(Orders!S623,1,0)=1-G626,1,0),"")</f>
        <v>1</v>
      </c>
      <c r="BI626" s="32" t="str">
        <f>INDEX(Stores!$B$2:$B$21,MATCH(B626,Stores!$A$2:$A$21,0))</f>
        <v>Bengaluru</v>
      </c>
    </row>
    <row r="627">
      <c r="A627" s="32" t="str">
        <f>Orders!A624</f>
        <v>O00623</v>
      </c>
      <c r="B627" s="32" t="str">
        <f>Orders!C624</f>
        <v>S017</v>
      </c>
      <c r="C627" s="32" t="str">
        <f>Orders!B624</f>
        <v>C0130</v>
      </c>
      <c r="D627" s="32" t="str">
        <f>Orders!H624</f>
        <v>Delivered</v>
      </c>
      <c r="E627" s="33">
        <f>IF(Orders!H624="Delivered",1,0)</f>
        <v>1</v>
      </c>
      <c r="F627" s="34">
        <f>IF(E627=1,Orders!R624,"")</f>
        <v>10.5</v>
      </c>
      <c r="G627" s="33">
        <f>IF(E627=1,IF(Orders!R624&gt;0,1,0),"")</f>
        <v>1</v>
      </c>
      <c r="H627" s="33">
        <f>IF(E627=1,IF(Orders!R624&gt;5,1,0),"")</f>
        <v>1</v>
      </c>
      <c r="I627" s="32" t="str">
        <f>IF(E627=1,"",IF(OR(Orders!T624="Rider unavailable",Orders!T624="Item unavailable"),"Company-caused","Unresolved"))</f>
        <v/>
      </c>
      <c r="J627" s="33">
        <f>IF(OR(E627=1,I627="Company-caused"),1,0)</f>
        <v>1</v>
      </c>
      <c r="K627" s="32" t="str">
        <f>IF(E627=0,IF(I627="Company-caused",IF(Orders!T624="Rider unavailable","C1 Rider unavailable","C2 Item unavailable"),"Outside root: unresolved"),IF(G627=0,"A On time",IF(H627=1,IF(L627=1,"B2a Severe, peak","B2b Severe, off-peak"),IF(L627=1,"B1a Slight, peak","B1b Slight, off-peak"))))</f>
        <v>B2a Severe, peak</v>
      </c>
      <c r="L627" s="33">
        <f>IF(AND(Orders!U624&gt;=19,Orders!U624&lt;22),1,0)</f>
        <v>1</v>
      </c>
      <c r="M627" s="33">
        <f>IF(L627=IF(Orders!V624,1,0),1,0)</f>
        <v>1</v>
      </c>
      <c r="N627" s="32" t="str">
        <f>IF(Orders!W624="","None",Orders!W624)</f>
        <v>None</v>
      </c>
      <c r="O627" s="35">
        <f>INT(Orders!E624)</f>
        <v>46279.0</v>
      </c>
      <c r="P627" s="33">
        <f>Orders!U624</f>
        <v>19</v>
      </c>
      <c r="Q627" s="33">
        <f>COUNTIFS(Demand!$A$2:$A$4481,B627,Demand!$B$2:$B$4481,O627,Demand!$C$2:$C$4481,P627)</f>
        <v>1</v>
      </c>
      <c r="R627" s="33">
        <f>IF(Q627=1,SUMIFS(Demand!$E$2:$E$4481,Demand!$A$2:$A$4481,B627,Demand!$B$2:$B$4481,O627,Demand!$C$2:$C$4481,P627),"")</f>
        <v>45</v>
      </c>
      <c r="S627" s="33">
        <f>INDEX(Stores!$G$2:$G$21,MATCH(B627,Stores!$A$2:$A$21,0))</f>
        <v>36</v>
      </c>
      <c r="T627" s="34">
        <f>IF(R627="","",R627/S627)</f>
        <v>1.25</v>
      </c>
      <c r="U627" s="34">
        <f>IF(E627=1,T627,"")</f>
        <v>1.25</v>
      </c>
      <c r="V627" s="34" t="str">
        <f>IF(AND(E627=1,L627=0),T627,"")</f>
        <v/>
      </c>
      <c r="W627" s="33">
        <f>IF(U627="","",IF(U627&lt;=Breakdowns!$C$5,1,IF(U627&lt;=Breakdowns!$C$6,2,IF(U627&lt;=Breakdowns!$C$7,3,4))))</f>
        <v>4</v>
      </c>
      <c r="X627" s="33" t="str">
        <f>IF(V627="","",IF(V627&lt;=Breakdowns!$D$5,1,IF(V627&lt;=Breakdowns!$D$6,2,IF(V627&lt;=Breakdowns!$D$7,3,4))))</f>
        <v/>
      </c>
      <c r="Y627" s="34">
        <f>INDEX(Stores!$F$2:$F$21,MATCH(B627,Stores!$A$2:$A$21,0))</f>
        <v>2.16</v>
      </c>
      <c r="Z627" s="33">
        <f>IF(Y627&gt;Store_Summary!$M$2,1,0)</f>
        <v>0</v>
      </c>
      <c r="AA627" s="33">
        <f>INDEX(Stores!$C$2:$C$21,MATCH(B627,Stores!$A$2:$A$21,0))</f>
        <v>47</v>
      </c>
      <c r="AB627" s="33">
        <f>IF(AA627&lt;180,1,0)</f>
        <v>1</v>
      </c>
      <c r="AC627" s="32" t="str">
        <f>IF(Orders!D624="","",INDEX(Riders!$C$2:$C$81,MATCH(Orders!D624,Riders!$A$2:$A$81,0)))</f>
        <v>EV scooter</v>
      </c>
      <c r="AD627" s="33">
        <f>IF(Orders!D624="","",INDEX(Riders!$D$2:$D$81,MATCH(Orders!D624,Riders!$A$2:$A$81,0)))</f>
        <v>41</v>
      </c>
      <c r="AE627" s="33">
        <f>IF(Orders!D624="","",IF(INDEX(Riders!$B$2:$B$81,MATCH(Orders!D624,Riders!$A$2:$A$81,0))=B627,1,0))</f>
        <v>0</v>
      </c>
      <c r="AF627" s="34">
        <f>IF(E627=1,Orders!L624,"")</f>
        <v>1.68</v>
      </c>
      <c r="AG627" s="34">
        <f>IF(E627=1,Orders!P624,"")</f>
        <v>8.3</v>
      </c>
      <c r="AH627" s="34">
        <f>IF(E627=1,Orders!Q624,"")</f>
        <v>18.8</v>
      </c>
      <c r="AI627" s="34">
        <f>IF(E627=1,Orders!M624,"")</f>
        <v>2.4</v>
      </c>
      <c r="AJ627" s="34">
        <f>IF(E627=1,Orders!N624,"")</f>
        <v>10.1</v>
      </c>
      <c r="AK627" s="34">
        <f>IF(E627=1,Orders!O624,"")</f>
        <v>6.3</v>
      </c>
      <c r="AL627" s="33">
        <f>IF(E627=1,IF(ROUND(ABS(AI627+AJ627+AK627-AH627),6)&lt;=0.1,1,0),"")</f>
        <v>1</v>
      </c>
      <c r="AM627" s="36">
        <f>IF(E627=1,AI627/AH627,"")</f>
        <v>0.127659574468085</v>
      </c>
      <c r="AN627" s="36">
        <f>IF(E627=1,AJ627/AH627,"")</f>
        <v>0.537234042553191</v>
      </c>
      <c r="AO627" s="36">
        <f>IF(E627=1,AK627/AH627,"")</f>
        <v>0.335106382978723</v>
      </c>
      <c r="AP627" s="34">
        <f>IF(E627=1,Orders!Y624,"")</f>
        <v>0.82</v>
      </c>
      <c r="AQ627" s="33">
        <f>IF(Orders!X624,1,0)</f>
        <v>1</v>
      </c>
      <c r="AR627" s="34">
        <f>IF(AND(E627=1,L627=1),AJ627,"")</f>
        <v>10.1</v>
      </c>
      <c r="AS627" s="34" t="str">
        <f>IF(AND(E627=1,L627=0),AJ627,"")</f>
        <v/>
      </c>
      <c r="AT627" s="34">
        <f>IF(AND(E627=1,L627=1),AI627,"")</f>
        <v>2.4</v>
      </c>
      <c r="AU627" s="34" t="str">
        <f>IF(AND(E627=1,L627=0),AI627,"")</f>
        <v/>
      </c>
      <c r="AV627" s="34">
        <f>IF(AND(E627=1,L627=1),AG627,"")</f>
        <v>8.3</v>
      </c>
      <c r="AW627" s="34" t="str">
        <f>IF(AND(E627=1,L627=0),AG627,"")</f>
        <v/>
      </c>
      <c r="AX627" s="34">
        <f>IF(AND(E627=1,L627=1),AH627,"")</f>
        <v>18.8</v>
      </c>
      <c r="AY627" s="34" t="str">
        <f>IF(AND(E627=1,L627=0),AH627,"")</f>
        <v/>
      </c>
      <c r="AZ627" s="34">
        <f>IF(G627=1,F627,"")</f>
        <v>10.5</v>
      </c>
      <c r="BA627" s="34">
        <f>IF(AND(G627=1,L627=1),F627,"")</f>
        <v>10.5</v>
      </c>
      <c r="BB627" s="34" t="str">
        <f>IF(AND(G627=1,L627=0),F627,"")</f>
        <v/>
      </c>
      <c r="BC627" s="33">
        <f>IF(E627=1,IF(Orders!R624&gt;3,1,0),"")</f>
        <v>1</v>
      </c>
      <c r="BD627" s="33">
        <f>IF(E627=1,IF(Orders!R624&gt;7,1,0),"")</f>
        <v>1</v>
      </c>
      <c r="BE627" s="32" t="str">
        <f>IF(E627=1,IF(Orders!L624&lt;=1.5,"Up to 1.5 km",IF(Orders!L624&lt;=3,"1.5–3 km","Over 3 km")),"")</f>
        <v>1.5–3 km</v>
      </c>
      <c r="BF627" s="33">
        <f>IF(E627=1,IF(ABS((Orders!G624-Orders!F624)*1440-Orders!R624)&lt;0.06,1,0),"")</f>
        <v>1</v>
      </c>
      <c r="BG627" s="33">
        <f>IF(ABS((Orders!F624-Orders!E624)*1440-Orders!P624)&lt;0.06,1,0)</f>
        <v>1</v>
      </c>
      <c r="BH627" s="33">
        <f>IF(E627=1,IF(IF(Orders!S624,1,0)=1-G627,1,0),"")</f>
        <v>1</v>
      </c>
      <c r="BI627" s="32" t="str">
        <f>INDEX(Stores!$B$2:$B$21,MATCH(B627,Stores!$A$2:$A$21,0))</f>
        <v>Hyderabad</v>
      </c>
    </row>
    <row r="628">
      <c r="A628" s="32" t="str">
        <f>Orders!A625</f>
        <v>O00624</v>
      </c>
      <c r="B628" s="32" t="str">
        <f>Orders!C625</f>
        <v>S002</v>
      </c>
      <c r="C628" s="32" t="str">
        <f>Orders!B625</f>
        <v>C0036</v>
      </c>
      <c r="D628" s="32" t="str">
        <f>Orders!H625</f>
        <v>Delivered</v>
      </c>
      <c r="E628" s="33">
        <f>IF(Orders!H625="Delivered",1,0)</f>
        <v>1</v>
      </c>
      <c r="F628" s="34">
        <f>IF(E628=1,Orders!R625,"")</f>
        <v>3.3</v>
      </c>
      <c r="G628" s="33">
        <f>IF(E628=1,IF(Orders!R625&gt;0,1,0),"")</f>
        <v>1</v>
      </c>
      <c r="H628" s="33">
        <f>IF(E628=1,IF(Orders!R625&gt;5,1,0),"")</f>
        <v>0</v>
      </c>
      <c r="I628" s="32" t="str">
        <f>IF(E628=1,"",IF(OR(Orders!T625="Rider unavailable",Orders!T625="Item unavailable"),"Company-caused","Unresolved"))</f>
        <v/>
      </c>
      <c r="J628" s="33">
        <f>IF(OR(E628=1,I628="Company-caused"),1,0)</f>
        <v>1</v>
      </c>
      <c r="K628" s="32" t="str">
        <f>IF(E628=0,IF(I628="Company-caused",IF(Orders!T625="Rider unavailable","C1 Rider unavailable","C2 Item unavailable"),"Outside root: unresolved"),IF(G628=0,"A On time",IF(H628=1,IF(L628=1,"B2a Severe, peak","B2b Severe, off-peak"),IF(L628=1,"B1a Slight, peak","B1b Slight, off-peak"))))</f>
        <v>B1b Slight, off-peak</v>
      </c>
      <c r="L628" s="33">
        <f>IF(AND(Orders!U625&gt;=19,Orders!U625&lt;22),1,0)</f>
        <v>0</v>
      </c>
      <c r="M628" s="33">
        <f>IF(L628=IF(Orders!V625,1,0),1,0)</f>
        <v>1</v>
      </c>
      <c r="N628" s="32" t="str">
        <f>IF(Orders!W625="","None",Orders!W625)</f>
        <v>None</v>
      </c>
      <c r="O628" s="35">
        <f>INT(Orders!E625)</f>
        <v>46274.0</v>
      </c>
      <c r="P628" s="33">
        <f>Orders!U625</f>
        <v>22</v>
      </c>
      <c r="Q628" s="33">
        <f>COUNTIFS(Demand!$A$2:$A$4481,B628,Demand!$B$2:$B$4481,O628,Demand!$C$2:$C$4481,P628)</f>
        <v>1</v>
      </c>
      <c r="R628" s="33">
        <f>IF(Q628=1,SUMIFS(Demand!$E$2:$E$4481,Demand!$A$2:$A$4481,B628,Demand!$B$2:$B$4481,O628,Demand!$C$2:$C$4481,P628),"")</f>
        <v>42</v>
      </c>
      <c r="S628" s="33">
        <f>INDEX(Stores!$G$2:$G$21,MATCH(B628,Stores!$A$2:$A$21,0))</f>
        <v>33</v>
      </c>
      <c r="T628" s="34">
        <f>IF(R628="","",R628/S628)</f>
        <v>1.27272727272727</v>
      </c>
      <c r="U628" s="34">
        <f>IF(E628=1,T628,"")</f>
        <v>1.27272727272727</v>
      </c>
      <c r="V628" s="34">
        <f>IF(AND(E628=1,L628=0),T628,"")</f>
        <v>1.27272727272727</v>
      </c>
      <c r="W628" s="33">
        <f>IF(U628="","",IF(U628&lt;=Breakdowns!$C$5,1,IF(U628&lt;=Breakdowns!$C$6,2,IF(U628&lt;=Breakdowns!$C$7,3,4))))</f>
        <v>4</v>
      </c>
      <c r="X628" s="33">
        <f>IF(V628="","",IF(V628&lt;=Breakdowns!$D$5,1,IF(V628&lt;=Breakdowns!$D$6,2,IF(V628&lt;=Breakdowns!$D$7,3,4))))</f>
        <v>4</v>
      </c>
      <c r="Y628" s="34">
        <f>INDEX(Stores!$F$2:$F$21,MATCH(B628,Stores!$A$2:$A$21,0))</f>
        <v>2.39</v>
      </c>
      <c r="Z628" s="33">
        <f>IF(Y628&gt;Store_Summary!$M$2,1,0)</f>
        <v>0</v>
      </c>
      <c r="AA628" s="33">
        <f>INDEX(Stores!$C$2:$C$21,MATCH(B628,Stores!$A$2:$A$21,0))</f>
        <v>470</v>
      </c>
      <c r="AB628" s="33">
        <f>IF(AA628&lt;180,1,0)</f>
        <v>0</v>
      </c>
      <c r="AC628" s="32" t="str">
        <f>IF(Orders!D625="","",INDEX(Riders!$C$2:$C$81,MATCH(Orders!D625,Riders!$A$2:$A$81,0)))</f>
        <v>EV scooter</v>
      </c>
      <c r="AD628" s="33">
        <f>IF(Orders!D625="","",INDEX(Riders!$D$2:$D$81,MATCH(Orders!D625,Riders!$A$2:$A$81,0)))</f>
        <v>38</v>
      </c>
      <c r="AE628" s="33">
        <f>IF(Orders!D625="","",IF(INDEX(Riders!$B$2:$B$81,MATCH(Orders!D625,Riders!$A$2:$A$81,0))=B628,1,0))</f>
        <v>0</v>
      </c>
      <c r="AF628" s="34">
        <f>IF(E628=1,Orders!L625,"")</f>
        <v>1.44</v>
      </c>
      <c r="AG628" s="34">
        <f>IF(E628=1,Orders!P625,"")</f>
        <v>11.9</v>
      </c>
      <c r="AH628" s="34">
        <f>IF(E628=1,Orders!Q625,"")</f>
        <v>15.2</v>
      </c>
      <c r="AI628" s="34">
        <f>IF(E628=1,Orders!M625,"")</f>
        <v>3.4</v>
      </c>
      <c r="AJ628" s="34">
        <f>IF(E628=1,Orders!N625,"")</f>
        <v>7.9</v>
      </c>
      <c r="AK628" s="34">
        <f>IF(E628=1,Orders!O625,"")</f>
        <v>3.8</v>
      </c>
      <c r="AL628" s="33">
        <f>IF(E628=1,IF(ROUND(ABS(AI628+AJ628+AK628-AH628),6)&lt;=0.1,1,0),"")</f>
        <v>1</v>
      </c>
      <c r="AM628" s="36">
        <f>IF(E628=1,AI628/AH628,"")</f>
        <v>0.223684210526316</v>
      </c>
      <c r="AN628" s="36">
        <f>IF(E628=1,AJ628/AH628,"")</f>
        <v>0.519736842105263</v>
      </c>
      <c r="AO628" s="36">
        <f>IF(E628=1,AK628/AH628,"")</f>
        <v>0.25</v>
      </c>
      <c r="AP628" s="34">
        <f>IF(E628=1,Orders!Y625,"")</f>
        <v>0.36</v>
      </c>
      <c r="AQ628" s="33">
        <f>IF(Orders!X625,1,0)</f>
        <v>0</v>
      </c>
      <c r="AR628" s="34" t="str">
        <f>IF(AND(E628=1,L628=1),AJ628,"")</f>
        <v/>
      </c>
      <c r="AS628" s="34">
        <f>IF(AND(E628=1,L628=0),AJ628,"")</f>
        <v>7.9</v>
      </c>
      <c r="AT628" s="34" t="str">
        <f>IF(AND(E628=1,L628=1),AI628,"")</f>
        <v/>
      </c>
      <c r="AU628" s="34">
        <f>IF(AND(E628=1,L628=0),AI628,"")</f>
        <v>3.4</v>
      </c>
      <c r="AV628" s="34" t="str">
        <f>IF(AND(E628=1,L628=1),AG628,"")</f>
        <v/>
      </c>
      <c r="AW628" s="34">
        <f>IF(AND(E628=1,L628=0),AG628,"")</f>
        <v>11.9</v>
      </c>
      <c r="AX628" s="34" t="str">
        <f>IF(AND(E628=1,L628=1),AH628,"")</f>
        <v/>
      </c>
      <c r="AY628" s="34">
        <f>IF(AND(E628=1,L628=0),AH628,"")</f>
        <v>15.2</v>
      </c>
      <c r="AZ628" s="34">
        <f>IF(G628=1,F628,"")</f>
        <v>3.3</v>
      </c>
      <c r="BA628" s="34" t="str">
        <f>IF(AND(G628=1,L628=1),F628,"")</f>
        <v/>
      </c>
      <c r="BB628" s="34">
        <f>IF(AND(G628=1,L628=0),F628,"")</f>
        <v>3.3</v>
      </c>
      <c r="BC628" s="33">
        <f>IF(E628=1,IF(Orders!R625&gt;3,1,0),"")</f>
        <v>1</v>
      </c>
      <c r="BD628" s="33">
        <f>IF(E628=1,IF(Orders!R625&gt;7,1,0),"")</f>
        <v>0</v>
      </c>
      <c r="BE628" s="32" t="str">
        <f>IF(E628=1,IF(Orders!L625&lt;=1.5,"Up to 1.5 km",IF(Orders!L625&lt;=3,"1.5–3 km","Over 3 km")),"")</f>
        <v>Up to 1.5 km</v>
      </c>
      <c r="BF628" s="33">
        <f>IF(E628=1,IF(ABS((Orders!G625-Orders!F625)*1440-Orders!R625)&lt;0.06,1,0),"")</f>
        <v>1</v>
      </c>
      <c r="BG628" s="33">
        <f>IF(ABS((Orders!F625-Orders!E625)*1440-Orders!P625)&lt;0.06,1,0)</f>
        <v>1</v>
      </c>
      <c r="BH628" s="33">
        <f>IF(E628=1,IF(IF(Orders!S625,1,0)=1-G628,1,0),"")</f>
        <v>1</v>
      </c>
      <c r="BI628" s="32" t="str">
        <f>INDEX(Stores!$B$2:$B$21,MATCH(B628,Stores!$A$2:$A$21,0))</f>
        <v>Hyderabad</v>
      </c>
    </row>
    <row r="629">
      <c r="A629" s="32" t="str">
        <f>Orders!A626</f>
        <v>O00625</v>
      </c>
      <c r="B629" s="32" t="str">
        <f>Orders!C626</f>
        <v>S016</v>
      </c>
      <c r="C629" s="32" t="str">
        <f>Orders!B626</f>
        <v>C0197</v>
      </c>
      <c r="D629" s="32" t="str">
        <f>Orders!H626</f>
        <v>Delivered</v>
      </c>
      <c r="E629" s="33">
        <f>IF(Orders!H626="Delivered",1,0)</f>
        <v>1</v>
      </c>
      <c r="F629" s="34">
        <f>IF(E629=1,Orders!R626,"")</f>
        <v>-0.8</v>
      </c>
      <c r="G629" s="33">
        <f>IF(E629=1,IF(Orders!R626&gt;0,1,0),"")</f>
        <v>0</v>
      </c>
      <c r="H629" s="33">
        <f>IF(E629=1,IF(Orders!R626&gt;5,1,0),"")</f>
        <v>0</v>
      </c>
      <c r="I629" s="32" t="str">
        <f>IF(E629=1,"",IF(OR(Orders!T626="Rider unavailable",Orders!T626="Item unavailable"),"Company-caused","Unresolved"))</f>
        <v/>
      </c>
      <c r="J629" s="33">
        <f>IF(OR(E629=1,I629="Company-caused"),1,0)</f>
        <v>1</v>
      </c>
      <c r="K629" s="32" t="str">
        <f>IF(E629=0,IF(I629="Company-caused",IF(Orders!T626="Rider unavailable","C1 Rider unavailable","C2 Item unavailable"),"Outside root: unresolved"),IF(G629=0,"A On time",IF(H629=1,IF(L629=1,"B2a Severe, peak","B2b Severe, off-peak"),IF(L629=1,"B1a Slight, peak","B1b Slight, off-peak"))))</f>
        <v>A On time</v>
      </c>
      <c r="L629" s="33">
        <f>IF(AND(Orders!U626&gt;=19,Orders!U626&lt;22),1,0)</f>
        <v>0</v>
      </c>
      <c r="M629" s="33">
        <f>IF(L629=IF(Orders!V626,1,0),1,0)</f>
        <v>1</v>
      </c>
      <c r="N629" s="32" t="str">
        <f>IF(Orders!W626="","None",Orders!W626)</f>
        <v>None</v>
      </c>
      <c r="O629" s="35">
        <f>INT(Orders!E626)</f>
        <v>46275.0</v>
      </c>
      <c r="P629" s="33">
        <f>Orders!U626</f>
        <v>8</v>
      </c>
      <c r="Q629" s="33">
        <f>COUNTIFS(Demand!$A$2:$A$4481,B629,Demand!$B$2:$B$4481,O629,Demand!$C$2:$C$4481,P629)</f>
        <v>1</v>
      </c>
      <c r="R629" s="33">
        <f>IF(Q629=1,SUMIFS(Demand!$E$2:$E$4481,Demand!$A$2:$A$4481,B629,Demand!$B$2:$B$4481,O629,Demand!$C$2:$C$4481,P629),"")</f>
        <v>14</v>
      </c>
      <c r="S629" s="33">
        <f>INDEX(Stores!$G$2:$G$21,MATCH(B629,Stores!$A$2:$A$21,0))</f>
        <v>25</v>
      </c>
      <c r="T629" s="34">
        <f>IF(R629="","",R629/S629)</f>
        <v>0.56</v>
      </c>
      <c r="U629" s="34">
        <f>IF(E629=1,T629,"")</f>
        <v>0.56</v>
      </c>
      <c r="V629" s="34">
        <f>IF(AND(E629=1,L629=0),T629,"")</f>
        <v>0.56</v>
      </c>
      <c r="W629" s="33">
        <f>IF(U629="","",IF(U629&lt;=Breakdowns!$C$5,1,IF(U629&lt;=Breakdowns!$C$6,2,IF(U629&lt;=Breakdowns!$C$7,3,4))))</f>
        <v>1</v>
      </c>
      <c r="X629" s="33">
        <f>IF(V629="","",IF(V629&lt;=Breakdowns!$D$5,1,IF(V629&lt;=Breakdowns!$D$6,2,IF(V629&lt;=Breakdowns!$D$7,3,4))))</f>
        <v>1</v>
      </c>
      <c r="Y629" s="34">
        <f>INDEX(Stores!$F$2:$F$21,MATCH(B629,Stores!$A$2:$A$21,0))</f>
        <v>5.51</v>
      </c>
      <c r="Z629" s="33">
        <f>IF(Y629&gt;Store_Summary!$M$2,1,0)</f>
        <v>1</v>
      </c>
      <c r="AA629" s="33">
        <f>INDEX(Stores!$C$2:$C$21,MATCH(B629,Stores!$A$2:$A$21,0))</f>
        <v>792</v>
      </c>
      <c r="AB629" s="33">
        <f>IF(AA629&lt;180,1,0)</f>
        <v>0</v>
      </c>
      <c r="AC629" s="32" t="str">
        <f>IF(Orders!D626="","",INDEX(Riders!$C$2:$C$81,MATCH(Orders!D626,Riders!$A$2:$A$81,0)))</f>
        <v>EV scooter</v>
      </c>
      <c r="AD629" s="33">
        <f>IF(Orders!D626="","",INDEX(Riders!$D$2:$D$81,MATCH(Orders!D626,Riders!$A$2:$A$81,0)))</f>
        <v>3</v>
      </c>
      <c r="AE629" s="33">
        <f>IF(Orders!D626="","",IF(INDEX(Riders!$B$2:$B$81,MATCH(Orders!D626,Riders!$A$2:$A$81,0))=B629,1,0))</f>
        <v>0</v>
      </c>
      <c r="AF629" s="34">
        <f>IF(E629=1,Orders!L626,"")</f>
        <v>2.6</v>
      </c>
      <c r="AG629" s="34">
        <f>IF(E629=1,Orders!P626,"")</f>
        <v>12</v>
      </c>
      <c r="AH629" s="34">
        <f>IF(E629=1,Orders!Q626,"")</f>
        <v>11.2</v>
      </c>
      <c r="AI629" s="34">
        <f>IF(E629=1,Orders!M626,"")</f>
        <v>3.1</v>
      </c>
      <c r="AJ629" s="34">
        <f>IF(E629=1,Orders!N626,"")</f>
        <v>4.4</v>
      </c>
      <c r="AK629" s="34">
        <f>IF(E629=1,Orders!O626,"")</f>
        <v>3.7</v>
      </c>
      <c r="AL629" s="33">
        <f>IF(E629=1,IF(ROUND(ABS(AI629+AJ629+AK629-AH629),6)&lt;=0.1,1,0),"")</f>
        <v>1</v>
      </c>
      <c r="AM629" s="36">
        <f>IF(E629=1,AI629/AH629,"")</f>
        <v>0.276785714285714</v>
      </c>
      <c r="AN629" s="36">
        <f>IF(E629=1,AJ629/AH629,"")</f>
        <v>0.392857142857143</v>
      </c>
      <c r="AO629" s="36">
        <f>IF(E629=1,AK629/AH629,"")</f>
        <v>0.330357142857143</v>
      </c>
      <c r="AP629" s="34">
        <f>IF(E629=1,Orders!Y626,"")</f>
        <v>0.4</v>
      </c>
      <c r="AQ629" s="33">
        <f>IF(Orders!X626,1,0)</f>
        <v>0</v>
      </c>
      <c r="AR629" s="34" t="str">
        <f>IF(AND(E629=1,L629=1),AJ629,"")</f>
        <v/>
      </c>
      <c r="AS629" s="34">
        <f>IF(AND(E629=1,L629=0),AJ629,"")</f>
        <v>4.4</v>
      </c>
      <c r="AT629" s="34" t="str">
        <f>IF(AND(E629=1,L629=1),AI629,"")</f>
        <v/>
      </c>
      <c r="AU629" s="34">
        <f>IF(AND(E629=1,L629=0),AI629,"")</f>
        <v>3.1</v>
      </c>
      <c r="AV629" s="34" t="str">
        <f>IF(AND(E629=1,L629=1),AG629,"")</f>
        <v/>
      </c>
      <c r="AW629" s="34">
        <f>IF(AND(E629=1,L629=0),AG629,"")</f>
        <v>12</v>
      </c>
      <c r="AX629" s="34" t="str">
        <f>IF(AND(E629=1,L629=1),AH629,"")</f>
        <v/>
      </c>
      <c r="AY629" s="34">
        <f>IF(AND(E629=1,L629=0),AH629,"")</f>
        <v>11.2</v>
      </c>
      <c r="AZ629" s="34" t="str">
        <f>IF(G629=1,F629,"")</f>
        <v/>
      </c>
      <c r="BA629" s="34" t="str">
        <f>IF(AND(G629=1,L629=1),F629,"")</f>
        <v/>
      </c>
      <c r="BB629" s="34" t="str">
        <f>IF(AND(G629=1,L629=0),F629,"")</f>
        <v/>
      </c>
      <c r="BC629" s="33">
        <f>IF(E629=1,IF(Orders!R626&gt;3,1,0),"")</f>
        <v>0</v>
      </c>
      <c r="BD629" s="33">
        <f>IF(E629=1,IF(Orders!R626&gt;7,1,0),"")</f>
        <v>0</v>
      </c>
      <c r="BE629" s="32" t="str">
        <f>IF(E629=1,IF(Orders!L626&lt;=1.5,"Up to 1.5 km",IF(Orders!L626&lt;=3,"1.5–3 km","Over 3 km")),"")</f>
        <v>1.5–3 km</v>
      </c>
      <c r="BF629" s="33">
        <f>IF(E629=1,IF(ABS((Orders!G626-Orders!F626)*1440-Orders!R626)&lt;0.06,1,0),"")</f>
        <v>1</v>
      </c>
      <c r="BG629" s="33">
        <f>IF(ABS((Orders!F626-Orders!E626)*1440-Orders!P626)&lt;0.06,1,0)</f>
        <v>1</v>
      </c>
      <c r="BH629" s="33">
        <f>IF(E629=1,IF(IF(Orders!S626,1,0)=1-G629,1,0),"")</f>
        <v>1</v>
      </c>
      <c r="BI629" s="32" t="str">
        <f>INDEX(Stores!$B$2:$B$21,MATCH(B629,Stores!$A$2:$A$21,0))</f>
        <v>Bengaluru</v>
      </c>
    </row>
    <row r="630">
      <c r="A630" s="32" t="str">
        <f>Orders!A627</f>
        <v>O00626</v>
      </c>
      <c r="B630" s="32" t="str">
        <f>Orders!C627</f>
        <v>S002</v>
      </c>
      <c r="C630" s="32" t="str">
        <f>Orders!B627</f>
        <v>C0055</v>
      </c>
      <c r="D630" s="32" t="str">
        <f>Orders!H627</f>
        <v>Delivered</v>
      </c>
      <c r="E630" s="33">
        <f>IF(Orders!H627="Delivered",1,0)</f>
        <v>1</v>
      </c>
      <c r="F630" s="34">
        <f>IF(E630=1,Orders!R627,"")</f>
        <v>1</v>
      </c>
      <c r="G630" s="33">
        <f>IF(E630=1,IF(Orders!R627&gt;0,1,0),"")</f>
        <v>1</v>
      </c>
      <c r="H630" s="33">
        <f>IF(E630=1,IF(Orders!R627&gt;5,1,0),"")</f>
        <v>0</v>
      </c>
      <c r="I630" s="32" t="str">
        <f>IF(E630=1,"",IF(OR(Orders!T627="Rider unavailable",Orders!T627="Item unavailable"),"Company-caused","Unresolved"))</f>
        <v/>
      </c>
      <c r="J630" s="33">
        <f>IF(OR(E630=1,I630="Company-caused"),1,0)</f>
        <v>1</v>
      </c>
      <c r="K630" s="32" t="str">
        <f>IF(E630=0,IF(I630="Company-caused",IF(Orders!T627="Rider unavailable","C1 Rider unavailable","C2 Item unavailable"),"Outside root: unresolved"),IF(G630=0,"A On time",IF(H630=1,IF(L630=1,"B2a Severe, peak","B2b Severe, off-peak"),IF(L630=1,"B1a Slight, peak","B1b Slight, off-peak"))))</f>
        <v>B1b Slight, off-peak</v>
      </c>
      <c r="L630" s="33">
        <f>IF(AND(Orders!U627&gt;=19,Orders!U627&lt;22),1,0)</f>
        <v>0</v>
      </c>
      <c r="M630" s="33">
        <f>IF(L630=IF(Orders!V627,1,0),1,0)</f>
        <v>1</v>
      </c>
      <c r="N630" s="32" t="str">
        <f>IF(Orders!W627="","None",Orders!W627)</f>
        <v>None</v>
      </c>
      <c r="O630" s="35">
        <f>INT(Orders!E627)</f>
        <v>46267.0</v>
      </c>
      <c r="P630" s="33">
        <f>Orders!U627</f>
        <v>14</v>
      </c>
      <c r="Q630" s="33">
        <f>COUNTIFS(Demand!$A$2:$A$4481,B630,Demand!$B$2:$B$4481,O630,Demand!$C$2:$C$4481,P630)</f>
        <v>1</v>
      </c>
      <c r="R630" s="33">
        <f>IF(Q630=1,SUMIFS(Demand!$E$2:$E$4481,Demand!$A$2:$A$4481,B630,Demand!$B$2:$B$4481,O630,Demand!$C$2:$C$4481,P630),"")</f>
        <v>30</v>
      </c>
      <c r="S630" s="33">
        <f>INDEX(Stores!$G$2:$G$21,MATCH(B630,Stores!$A$2:$A$21,0))</f>
        <v>33</v>
      </c>
      <c r="T630" s="34">
        <f>IF(R630="","",R630/S630)</f>
        <v>0.909090909090909</v>
      </c>
      <c r="U630" s="34">
        <f>IF(E630=1,T630,"")</f>
        <v>0.909090909090909</v>
      </c>
      <c r="V630" s="34">
        <f>IF(AND(E630=1,L630=0),T630,"")</f>
        <v>0.909090909090909</v>
      </c>
      <c r="W630" s="33">
        <f>IF(U630="","",IF(U630&lt;=Breakdowns!$C$5,1,IF(U630&lt;=Breakdowns!$C$6,2,IF(U630&lt;=Breakdowns!$C$7,3,4))))</f>
        <v>2</v>
      </c>
      <c r="X630" s="33">
        <f>IF(V630="","",IF(V630&lt;=Breakdowns!$D$5,1,IF(V630&lt;=Breakdowns!$D$6,2,IF(V630&lt;=Breakdowns!$D$7,3,4))))</f>
        <v>2</v>
      </c>
      <c r="Y630" s="34">
        <f>INDEX(Stores!$F$2:$F$21,MATCH(B630,Stores!$A$2:$A$21,0))</f>
        <v>2.39</v>
      </c>
      <c r="Z630" s="33">
        <f>IF(Y630&gt;Store_Summary!$M$2,1,0)</f>
        <v>0</v>
      </c>
      <c r="AA630" s="33">
        <f>INDEX(Stores!$C$2:$C$21,MATCH(B630,Stores!$A$2:$A$21,0))</f>
        <v>470</v>
      </c>
      <c r="AB630" s="33">
        <f>IF(AA630&lt;180,1,0)</f>
        <v>0</v>
      </c>
      <c r="AC630" s="32" t="str">
        <f>IF(Orders!D627="","",INDEX(Riders!$C$2:$C$81,MATCH(Orders!D627,Riders!$A$2:$A$81,0)))</f>
        <v>Petrol scooter</v>
      </c>
      <c r="AD630" s="33">
        <f>IF(Orders!D627="","",INDEX(Riders!$D$2:$D$81,MATCH(Orders!D627,Riders!$A$2:$A$81,0)))</f>
        <v>15</v>
      </c>
      <c r="AE630" s="33">
        <f>IF(Orders!D627="","",IF(INDEX(Riders!$B$2:$B$81,MATCH(Orders!D627,Riders!$A$2:$A$81,0))=B630,1,0))</f>
        <v>0</v>
      </c>
      <c r="AF630" s="34">
        <f>IF(E630=1,Orders!L627,"")</f>
        <v>1.09</v>
      </c>
      <c r="AG630" s="34">
        <f>IF(E630=1,Orders!P627,"")</f>
        <v>8.6</v>
      </c>
      <c r="AH630" s="34">
        <f>IF(E630=1,Orders!Q627,"")</f>
        <v>9.6</v>
      </c>
      <c r="AI630" s="34">
        <f>IF(E630=1,Orders!M627,"")</f>
        <v>4</v>
      </c>
      <c r="AJ630" s="34">
        <f>IF(E630=1,Orders!N627,"")</f>
        <v>1.5</v>
      </c>
      <c r="AK630" s="34">
        <f>IF(E630=1,Orders!O627,"")</f>
        <v>4.1</v>
      </c>
      <c r="AL630" s="33">
        <f>IF(E630=1,IF(ROUND(ABS(AI630+AJ630+AK630-AH630),6)&lt;=0.1,1,0),"")</f>
        <v>1</v>
      </c>
      <c r="AM630" s="36">
        <f>IF(E630=1,AI630/AH630,"")</f>
        <v>0.416666666666667</v>
      </c>
      <c r="AN630" s="36">
        <f>IF(E630=1,AJ630/AH630,"")</f>
        <v>0.15625</v>
      </c>
      <c r="AO630" s="36">
        <f>IF(E630=1,AK630/AH630,"")</f>
        <v>0.427083333333333</v>
      </c>
      <c r="AP630" s="34">
        <f>IF(E630=1,Orders!Y627,"")</f>
        <v>0.65</v>
      </c>
      <c r="AQ630" s="33">
        <f>IF(Orders!X627,1,0)</f>
        <v>0</v>
      </c>
      <c r="AR630" s="34" t="str">
        <f>IF(AND(E630=1,L630=1),AJ630,"")</f>
        <v/>
      </c>
      <c r="AS630" s="34">
        <f>IF(AND(E630=1,L630=0),AJ630,"")</f>
        <v>1.5</v>
      </c>
      <c r="AT630" s="34" t="str">
        <f>IF(AND(E630=1,L630=1),AI630,"")</f>
        <v/>
      </c>
      <c r="AU630" s="34">
        <f>IF(AND(E630=1,L630=0),AI630,"")</f>
        <v>4</v>
      </c>
      <c r="AV630" s="34" t="str">
        <f>IF(AND(E630=1,L630=1),AG630,"")</f>
        <v/>
      </c>
      <c r="AW630" s="34">
        <f>IF(AND(E630=1,L630=0),AG630,"")</f>
        <v>8.6</v>
      </c>
      <c r="AX630" s="34" t="str">
        <f>IF(AND(E630=1,L630=1),AH630,"")</f>
        <v/>
      </c>
      <c r="AY630" s="34">
        <f>IF(AND(E630=1,L630=0),AH630,"")</f>
        <v>9.6</v>
      </c>
      <c r="AZ630" s="34">
        <f>IF(G630=1,F630,"")</f>
        <v>1</v>
      </c>
      <c r="BA630" s="34" t="str">
        <f>IF(AND(G630=1,L630=1),F630,"")</f>
        <v/>
      </c>
      <c r="BB630" s="34">
        <f>IF(AND(G630=1,L630=0),F630,"")</f>
        <v>1</v>
      </c>
      <c r="BC630" s="33">
        <f>IF(E630=1,IF(Orders!R627&gt;3,1,0),"")</f>
        <v>0</v>
      </c>
      <c r="BD630" s="33">
        <f>IF(E630=1,IF(Orders!R627&gt;7,1,0),"")</f>
        <v>0</v>
      </c>
      <c r="BE630" s="32" t="str">
        <f>IF(E630=1,IF(Orders!L627&lt;=1.5,"Up to 1.5 km",IF(Orders!L627&lt;=3,"1.5–3 km","Over 3 km")),"")</f>
        <v>Up to 1.5 km</v>
      </c>
      <c r="BF630" s="33">
        <f>IF(E630=1,IF(ABS((Orders!G627-Orders!F627)*1440-Orders!R627)&lt;0.06,1,0),"")</f>
        <v>1</v>
      </c>
      <c r="BG630" s="33">
        <f>IF(ABS((Orders!F627-Orders!E627)*1440-Orders!P627)&lt;0.06,1,0)</f>
        <v>1</v>
      </c>
      <c r="BH630" s="33">
        <f>IF(E630=1,IF(IF(Orders!S627,1,0)=1-G630,1,0),"")</f>
        <v>1</v>
      </c>
      <c r="BI630" s="32" t="str">
        <f>INDEX(Stores!$B$2:$B$21,MATCH(B630,Stores!$A$2:$A$21,0))</f>
        <v>Hyderabad</v>
      </c>
    </row>
    <row r="631">
      <c r="A631" s="32" t="str">
        <f>Orders!A628</f>
        <v>O00627</v>
      </c>
      <c r="B631" s="32" t="str">
        <f>Orders!C628</f>
        <v>S020</v>
      </c>
      <c r="C631" s="32" t="str">
        <f>Orders!B628</f>
        <v>C0156</v>
      </c>
      <c r="D631" s="32" t="str">
        <f>Orders!H628</f>
        <v>Delivered</v>
      </c>
      <c r="E631" s="33">
        <f>IF(Orders!H628="Delivered",1,0)</f>
        <v>1</v>
      </c>
      <c r="F631" s="34">
        <f>IF(E631=1,Orders!R628,"")</f>
        <v>-1.7</v>
      </c>
      <c r="G631" s="33">
        <f>IF(E631=1,IF(Orders!R628&gt;0,1,0),"")</f>
        <v>0</v>
      </c>
      <c r="H631" s="33">
        <f>IF(E631=1,IF(Orders!R628&gt;5,1,0),"")</f>
        <v>0</v>
      </c>
      <c r="I631" s="32" t="str">
        <f>IF(E631=1,"",IF(OR(Orders!T628="Rider unavailable",Orders!T628="Item unavailable"),"Company-caused","Unresolved"))</f>
        <v/>
      </c>
      <c r="J631" s="33">
        <f>IF(OR(E631=1,I631="Company-caused"),1,0)</f>
        <v>1</v>
      </c>
      <c r="K631" s="32" t="str">
        <f>IF(E631=0,IF(I631="Company-caused",IF(Orders!T628="Rider unavailable","C1 Rider unavailable","C2 Item unavailable"),"Outside root: unresolved"),IF(G631=0,"A On time",IF(H631=1,IF(L631=1,"B2a Severe, peak","B2b Severe, off-peak"),IF(L631=1,"B1a Slight, peak","B1b Slight, off-peak"))))</f>
        <v>A On time</v>
      </c>
      <c r="L631" s="33">
        <f>IF(AND(Orders!U628&gt;=19,Orders!U628&lt;22),1,0)</f>
        <v>0</v>
      </c>
      <c r="M631" s="33">
        <f>IF(L631=IF(Orders!V628,1,0),1,0)</f>
        <v>1</v>
      </c>
      <c r="N631" s="32" t="str">
        <f>IF(Orders!W628="","None",Orders!W628)</f>
        <v>None</v>
      </c>
      <c r="O631" s="35">
        <f>INT(Orders!E628)</f>
        <v>46272.0</v>
      </c>
      <c r="P631" s="33">
        <f>Orders!U628</f>
        <v>14</v>
      </c>
      <c r="Q631" s="33">
        <f>COUNTIFS(Demand!$A$2:$A$4481,B631,Demand!$B$2:$B$4481,O631,Demand!$C$2:$C$4481,P631)</f>
        <v>1</v>
      </c>
      <c r="R631" s="33">
        <f>IF(Q631=1,SUMIFS(Demand!$E$2:$E$4481,Demand!$A$2:$A$4481,B631,Demand!$B$2:$B$4481,O631,Demand!$C$2:$C$4481,P631),"")</f>
        <v>11</v>
      </c>
      <c r="S631" s="33">
        <f>INDEX(Stores!$G$2:$G$21,MATCH(B631,Stores!$A$2:$A$21,0))</f>
        <v>15</v>
      </c>
      <c r="T631" s="34">
        <f>IF(R631="","",R631/S631)</f>
        <v>0.733333333333333</v>
      </c>
      <c r="U631" s="34">
        <f>IF(E631=1,T631,"")</f>
        <v>0.733333333333333</v>
      </c>
      <c r="V631" s="34">
        <f>IF(AND(E631=1,L631=0),T631,"")</f>
        <v>0.733333333333333</v>
      </c>
      <c r="W631" s="33">
        <f>IF(U631="","",IF(U631&lt;=Breakdowns!$C$5,1,IF(U631&lt;=Breakdowns!$C$6,2,IF(U631&lt;=Breakdowns!$C$7,3,4))))</f>
        <v>1</v>
      </c>
      <c r="X631" s="33">
        <f>IF(V631="","",IF(V631&lt;=Breakdowns!$D$5,1,IF(V631&lt;=Breakdowns!$D$6,2,IF(V631&lt;=Breakdowns!$D$7,3,4))))</f>
        <v>1</v>
      </c>
      <c r="Y631" s="34">
        <f>INDEX(Stores!$F$2:$F$21,MATCH(B631,Stores!$A$2:$A$21,0))</f>
        <v>5.74</v>
      </c>
      <c r="Z631" s="33">
        <f>IF(Y631&gt;Store_Summary!$M$2,1,0)</f>
        <v>1</v>
      </c>
      <c r="AA631" s="33">
        <f>INDEX(Stores!$C$2:$C$21,MATCH(B631,Stores!$A$2:$A$21,0))</f>
        <v>647</v>
      </c>
      <c r="AB631" s="33">
        <f>IF(AA631&lt;180,1,0)</f>
        <v>0</v>
      </c>
      <c r="AC631" s="32" t="str">
        <f>IF(Orders!D628="","",INDEX(Riders!$C$2:$C$81,MATCH(Orders!D628,Riders!$A$2:$A$81,0)))</f>
        <v>EV scooter</v>
      </c>
      <c r="AD631" s="33">
        <f>IF(Orders!D628="","",INDEX(Riders!$D$2:$D$81,MATCH(Orders!D628,Riders!$A$2:$A$81,0)))</f>
        <v>24</v>
      </c>
      <c r="AE631" s="33">
        <f>IF(Orders!D628="","",IF(INDEX(Riders!$B$2:$B$81,MATCH(Orders!D628,Riders!$A$2:$A$81,0))=B631,1,0))</f>
        <v>0</v>
      </c>
      <c r="AF631" s="34">
        <f>IF(E631=1,Orders!L628,"")</f>
        <v>0.67</v>
      </c>
      <c r="AG631" s="34">
        <f>IF(E631=1,Orders!P628,"")</f>
        <v>10.7</v>
      </c>
      <c r="AH631" s="34">
        <f>IF(E631=1,Orders!Q628,"")</f>
        <v>9</v>
      </c>
      <c r="AI631" s="34">
        <f>IF(E631=1,Orders!M628,"")</f>
        <v>6.4</v>
      </c>
      <c r="AJ631" s="34">
        <f>IF(E631=1,Orders!N628,"")</f>
        <v>0</v>
      </c>
      <c r="AK631" s="34">
        <f>IF(E631=1,Orders!O628,"")</f>
        <v>2.6</v>
      </c>
      <c r="AL631" s="33">
        <f>IF(E631=1,IF(ROUND(ABS(AI631+AJ631+AK631-AH631),6)&lt;=0.1,1,0),"")</f>
        <v>1</v>
      </c>
      <c r="AM631" s="36">
        <f>IF(E631=1,AI631/AH631,"")</f>
        <v>0.711111111111111</v>
      </c>
      <c r="AN631" s="36">
        <f>IF(E631=1,AJ631/AH631,"")</f>
        <v>0</v>
      </c>
      <c r="AO631" s="36">
        <f>IF(E631=1,AK631/AH631,"")</f>
        <v>0.288888888888889</v>
      </c>
      <c r="AP631" s="34">
        <f>IF(E631=1,Orders!Y628,"")</f>
        <v>0.36</v>
      </c>
      <c r="AQ631" s="33">
        <f>IF(Orders!X628,1,0)</f>
        <v>0</v>
      </c>
      <c r="AR631" s="34" t="str">
        <f>IF(AND(E631=1,L631=1),AJ631,"")</f>
        <v/>
      </c>
      <c r="AS631" s="34">
        <f>IF(AND(E631=1,L631=0),AJ631,"")</f>
        <v>0</v>
      </c>
      <c r="AT631" s="34" t="str">
        <f>IF(AND(E631=1,L631=1),AI631,"")</f>
        <v/>
      </c>
      <c r="AU631" s="34">
        <f>IF(AND(E631=1,L631=0),AI631,"")</f>
        <v>6.4</v>
      </c>
      <c r="AV631" s="34" t="str">
        <f>IF(AND(E631=1,L631=1),AG631,"")</f>
        <v/>
      </c>
      <c r="AW631" s="34">
        <f>IF(AND(E631=1,L631=0),AG631,"")</f>
        <v>10.7</v>
      </c>
      <c r="AX631" s="34" t="str">
        <f>IF(AND(E631=1,L631=1),AH631,"")</f>
        <v/>
      </c>
      <c r="AY631" s="34">
        <f>IF(AND(E631=1,L631=0),AH631,"")</f>
        <v>9</v>
      </c>
      <c r="AZ631" s="34" t="str">
        <f>IF(G631=1,F631,"")</f>
        <v/>
      </c>
      <c r="BA631" s="34" t="str">
        <f>IF(AND(G631=1,L631=1),F631,"")</f>
        <v/>
      </c>
      <c r="BB631" s="34" t="str">
        <f>IF(AND(G631=1,L631=0),F631,"")</f>
        <v/>
      </c>
      <c r="BC631" s="33">
        <f>IF(E631=1,IF(Orders!R628&gt;3,1,0),"")</f>
        <v>0</v>
      </c>
      <c r="BD631" s="33">
        <f>IF(E631=1,IF(Orders!R628&gt;7,1,0),"")</f>
        <v>0</v>
      </c>
      <c r="BE631" s="32" t="str">
        <f>IF(E631=1,IF(Orders!L628&lt;=1.5,"Up to 1.5 km",IF(Orders!L628&lt;=3,"1.5–3 km","Over 3 km")),"")</f>
        <v>Up to 1.5 km</v>
      </c>
      <c r="BF631" s="33">
        <f>IF(E631=1,IF(ABS((Orders!G628-Orders!F628)*1440-Orders!R628)&lt;0.06,1,0),"")</f>
        <v>1</v>
      </c>
      <c r="BG631" s="33">
        <f>IF(ABS((Orders!F628-Orders!E628)*1440-Orders!P628)&lt;0.06,1,0)</f>
        <v>1</v>
      </c>
      <c r="BH631" s="33">
        <f>IF(E631=1,IF(IF(Orders!S628,1,0)=1-G631,1,0),"")</f>
        <v>1</v>
      </c>
      <c r="BI631" s="32" t="str">
        <f>INDEX(Stores!$B$2:$B$21,MATCH(B631,Stores!$A$2:$A$21,0))</f>
        <v>Delhi</v>
      </c>
    </row>
    <row r="632">
      <c r="A632" s="32" t="str">
        <f>Orders!A629</f>
        <v>O00628</v>
      </c>
      <c r="B632" s="32" t="str">
        <f>Orders!C629</f>
        <v>S020</v>
      </c>
      <c r="C632" s="32" t="str">
        <f>Orders!B629</f>
        <v>C0088</v>
      </c>
      <c r="D632" s="32" t="str">
        <f>Orders!H629</f>
        <v>Delivered</v>
      </c>
      <c r="E632" s="33">
        <f>IF(Orders!H629="Delivered",1,0)</f>
        <v>1</v>
      </c>
      <c r="F632" s="34">
        <f>IF(E632=1,Orders!R629,"")</f>
        <v>10.5</v>
      </c>
      <c r="G632" s="33">
        <f>IF(E632=1,IF(Orders!R629&gt;0,1,0),"")</f>
        <v>1</v>
      </c>
      <c r="H632" s="33">
        <f>IF(E632=1,IF(Orders!R629&gt;5,1,0),"")</f>
        <v>1</v>
      </c>
      <c r="I632" s="32" t="str">
        <f>IF(E632=1,"",IF(OR(Orders!T629="Rider unavailable",Orders!T629="Item unavailable"),"Company-caused","Unresolved"))</f>
        <v/>
      </c>
      <c r="J632" s="33">
        <f>IF(OR(E632=1,I632="Company-caused"),1,0)</f>
        <v>1</v>
      </c>
      <c r="K632" s="32" t="str">
        <f>IF(E632=0,IF(I632="Company-caused",IF(Orders!T629="Rider unavailable","C1 Rider unavailable","C2 Item unavailable"),"Outside root: unresolved"),IF(G632=0,"A On time",IF(H632=1,IF(L632=1,"B2a Severe, peak","B2b Severe, off-peak"),IF(L632=1,"B1a Slight, peak","B1b Slight, off-peak"))))</f>
        <v>B2a Severe, peak</v>
      </c>
      <c r="L632" s="33">
        <f>IF(AND(Orders!U629&gt;=19,Orders!U629&lt;22),1,0)</f>
        <v>1</v>
      </c>
      <c r="M632" s="33">
        <f>IF(L632=IF(Orders!V629,1,0),1,0)</f>
        <v>1</v>
      </c>
      <c r="N632" s="32" t="str">
        <f>IF(Orders!W629="","None",Orders!W629)</f>
        <v>Light</v>
      </c>
      <c r="O632" s="35">
        <f>INT(Orders!E629)</f>
        <v>46279.0</v>
      </c>
      <c r="P632" s="33">
        <f>Orders!U629</f>
        <v>19</v>
      </c>
      <c r="Q632" s="33">
        <f>COUNTIFS(Demand!$A$2:$A$4481,B632,Demand!$B$2:$B$4481,O632,Demand!$C$2:$C$4481,P632)</f>
        <v>1</v>
      </c>
      <c r="R632" s="33">
        <f>IF(Q632=1,SUMIFS(Demand!$E$2:$E$4481,Demand!$A$2:$A$4481,B632,Demand!$B$2:$B$4481,O632,Demand!$C$2:$C$4481,P632),"")</f>
        <v>24</v>
      </c>
      <c r="S632" s="33">
        <f>INDEX(Stores!$G$2:$G$21,MATCH(B632,Stores!$A$2:$A$21,0))</f>
        <v>15</v>
      </c>
      <c r="T632" s="34">
        <f>IF(R632="","",R632/S632)</f>
        <v>1.6</v>
      </c>
      <c r="U632" s="34">
        <f>IF(E632=1,T632,"")</f>
        <v>1.6</v>
      </c>
      <c r="V632" s="34" t="str">
        <f>IF(AND(E632=1,L632=0),T632,"")</f>
        <v/>
      </c>
      <c r="W632" s="33">
        <f>IF(U632="","",IF(U632&lt;=Breakdowns!$C$5,1,IF(U632&lt;=Breakdowns!$C$6,2,IF(U632&lt;=Breakdowns!$C$7,3,4))))</f>
        <v>4</v>
      </c>
      <c r="X632" s="33" t="str">
        <f>IF(V632="","",IF(V632&lt;=Breakdowns!$D$5,1,IF(V632&lt;=Breakdowns!$D$6,2,IF(V632&lt;=Breakdowns!$D$7,3,4))))</f>
        <v/>
      </c>
      <c r="Y632" s="34">
        <f>INDEX(Stores!$F$2:$F$21,MATCH(B632,Stores!$A$2:$A$21,0))</f>
        <v>5.74</v>
      </c>
      <c r="Z632" s="33">
        <f>IF(Y632&gt;Store_Summary!$M$2,1,0)</f>
        <v>1</v>
      </c>
      <c r="AA632" s="33">
        <f>INDEX(Stores!$C$2:$C$21,MATCH(B632,Stores!$A$2:$A$21,0))</f>
        <v>647</v>
      </c>
      <c r="AB632" s="33">
        <f>IF(AA632&lt;180,1,0)</f>
        <v>0</v>
      </c>
      <c r="AC632" s="32" t="str">
        <f>IF(Orders!D629="","",INDEX(Riders!$C$2:$C$81,MATCH(Orders!D629,Riders!$A$2:$A$81,0)))</f>
        <v>EV scooter</v>
      </c>
      <c r="AD632" s="33">
        <f>IF(Orders!D629="","",INDEX(Riders!$D$2:$D$81,MATCH(Orders!D629,Riders!$A$2:$A$81,0)))</f>
        <v>46</v>
      </c>
      <c r="AE632" s="33">
        <f>IF(Orders!D629="","",IF(INDEX(Riders!$B$2:$B$81,MATCH(Orders!D629,Riders!$A$2:$A$81,0))=B632,1,0))</f>
        <v>0</v>
      </c>
      <c r="AF632" s="34">
        <f>IF(E632=1,Orders!L629,"")</f>
        <v>1.55</v>
      </c>
      <c r="AG632" s="34">
        <f>IF(E632=1,Orders!P629,"")</f>
        <v>8.4</v>
      </c>
      <c r="AH632" s="34">
        <f>IF(E632=1,Orders!Q629,"")</f>
        <v>18.9</v>
      </c>
      <c r="AI632" s="34">
        <f>IF(E632=1,Orders!M629,"")</f>
        <v>6.5</v>
      </c>
      <c r="AJ632" s="34">
        <f>IF(E632=1,Orders!N629,"")</f>
        <v>5.4</v>
      </c>
      <c r="AK632" s="34">
        <f>IF(E632=1,Orders!O629,"")</f>
        <v>7</v>
      </c>
      <c r="AL632" s="33">
        <f>IF(E632=1,IF(ROUND(ABS(AI632+AJ632+AK632-AH632),6)&lt;=0.1,1,0),"")</f>
        <v>1</v>
      </c>
      <c r="AM632" s="36">
        <f>IF(E632=1,AI632/AH632,"")</f>
        <v>0.343915343915344</v>
      </c>
      <c r="AN632" s="36">
        <f>IF(E632=1,AJ632/AH632,"")</f>
        <v>0.285714285714286</v>
      </c>
      <c r="AO632" s="36">
        <f>IF(E632=1,AK632/AH632,"")</f>
        <v>0.37037037037037</v>
      </c>
      <c r="AP632" s="34">
        <f>IF(E632=1,Orders!Y629,"")</f>
        <v>0.87</v>
      </c>
      <c r="AQ632" s="33">
        <f>IF(Orders!X629,1,0)</f>
        <v>0</v>
      </c>
      <c r="AR632" s="34">
        <f>IF(AND(E632=1,L632=1),AJ632,"")</f>
        <v>5.4</v>
      </c>
      <c r="AS632" s="34" t="str">
        <f>IF(AND(E632=1,L632=0),AJ632,"")</f>
        <v/>
      </c>
      <c r="AT632" s="34">
        <f>IF(AND(E632=1,L632=1),AI632,"")</f>
        <v>6.5</v>
      </c>
      <c r="AU632" s="34" t="str">
        <f>IF(AND(E632=1,L632=0),AI632,"")</f>
        <v/>
      </c>
      <c r="AV632" s="34">
        <f>IF(AND(E632=1,L632=1),AG632,"")</f>
        <v>8.4</v>
      </c>
      <c r="AW632" s="34" t="str">
        <f>IF(AND(E632=1,L632=0),AG632,"")</f>
        <v/>
      </c>
      <c r="AX632" s="34">
        <f>IF(AND(E632=1,L632=1),AH632,"")</f>
        <v>18.9</v>
      </c>
      <c r="AY632" s="34" t="str">
        <f>IF(AND(E632=1,L632=0),AH632,"")</f>
        <v/>
      </c>
      <c r="AZ632" s="34">
        <f>IF(G632=1,F632,"")</f>
        <v>10.5</v>
      </c>
      <c r="BA632" s="34">
        <f>IF(AND(G632=1,L632=1),F632,"")</f>
        <v>10.5</v>
      </c>
      <c r="BB632" s="34" t="str">
        <f>IF(AND(G632=1,L632=0),F632,"")</f>
        <v/>
      </c>
      <c r="BC632" s="33">
        <f>IF(E632=1,IF(Orders!R629&gt;3,1,0),"")</f>
        <v>1</v>
      </c>
      <c r="BD632" s="33">
        <f>IF(E632=1,IF(Orders!R629&gt;7,1,0),"")</f>
        <v>1</v>
      </c>
      <c r="BE632" s="32" t="str">
        <f>IF(E632=1,IF(Orders!L629&lt;=1.5,"Up to 1.5 km",IF(Orders!L629&lt;=3,"1.5–3 km","Over 3 km")),"")</f>
        <v>1.5–3 km</v>
      </c>
      <c r="BF632" s="33">
        <f>IF(E632=1,IF(ABS((Orders!G629-Orders!F629)*1440-Orders!R629)&lt;0.06,1,0),"")</f>
        <v>1</v>
      </c>
      <c r="BG632" s="33">
        <f>IF(ABS((Orders!F629-Orders!E629)*1440-Orders!P629)&lt;0.06,1,0)</f>
        <v>1</v>
      </c>
      <c r="BH632" s="33">
        <f>IF(E632=1,IF(IF(Orders!S629,1,0)=1-G632,1,0),"")</f>
        <v>1</v>
      </c>
      <c r="BI632" s="32" t="str">
        <f>INDEX(Stores!$B$2:$B$21,MATCH(B632,Stores!$A$2:$A$21,0))</f>
        <v>Delhi</v>
      </c>
    </row>
    <row r="633">
      <c r="A633" s="32" t="str">
        <f>Orders!A630</f>
        <v>O00629</v>
      </c>
      <c r="B633" s="32" t="str">
        <f>Orders!C630</f>
        <v>S003</v>
      </c>
      <c r="C633" s="32" t="str">
        <f>Orders!B630</f>
        <v>C0059</v>
      </c>
      <c r="D633" s="32" t="str">
        <f>Orders!H630</f>
        <v>Delivered</v>
      </c>
      <c r="E633" s="33">
        <f>IF(Orders!H630="Delivered",1,0)</f>
        <v>1</v>
      </c>
      <c r="F633" s="34">
        <f>IF(E633=1,Orders!R630,"")</f>
        <v>-0.5</v>
      </c>
      <c r="G633" s="33">
        <f>IF(E633=1,IF(Orders!R630&gt;0,1,0),"")</f>
        <v>0</v>
      </c>
      <c r="H633" s="33">
        <f>IF(E633=1,IF(Orders!R630&gt;5,1,0),"")</f>
        <v>0</v>
      </c>
      <c r="I633" s="32" t="str">
        <f>IF(E633=1,"",IF(OR(Orders!T630="Rider unavailable",Orders!T630="Item unavailable"),"Company-caused","Unresolved"))</f>
        <v/>
      </c>
      <c r="J633" s="33">
        <f>IF(OR(E633=1,I633="Company-caused"),1,0)</f>
        <v>1</v>
      </c>
      <c r="K633" s="32" t="str">
        <f>IF(E633=0,IF(I633="Company-caused",IF(Orders!T630="Rider unavailable","C1 Rider unavailable","C2 Item unavailable"),"Outside root: unresolved"),IF(G633=0,"A On time",IF(H633=1,IF(L633=1,"B2a Severe, peak","B2b Severe, off-peak"),IF(L633=1,"B1a Slight, peak","B1b Slight, off-peak"))))</f>
        <v>A On time</v>
      </c>
      <c r="L633" s="33">
        <f>IF(AND(Orders!U630&gt;=19,Orders!U630&lt;22),1,0)</f>
        <v>0</v>
      </c>
      <c r="M633" s="33">
        <f>IF(L633=IF(Orders!V630,1,0),1,0)</f>
        <v>1</v>
      </c>
      <c r="N633" s="32" t="str">
        <f>IF(Orders!W630="","None",Orders!W630)</f>
        <v>None</v>
      </c>
      <c r="O633" s="35">
        <f>INT(Orders!E630)</f>
        <v>46270.0</v>
      </c>
      <c r="P633" s="33">
        <f>Orders!U630</f>
        <v>13</v>
      </c>
      <c r="Q633" s="33">
        <f>COUNTIFS(Demand!$A$2:$A$4481,B633,Demand!$B$2:$B$4481,O633,Demand!$C$2:$C$4481,P633)</f>
        <v>1</v>
      </c>
      <c r="R633" s="33">
        <f>IF(Q633=1,SUMIFS(Demand!$E$2:$E$4481,Demand!$A$2:$A$4481,B633,Demand!$B$2:$B$4481,O633,Demand!$C$2:$C$4481,P633),"")</f>
        <v>36</v>
      </c>
      <c r="S633" s="33">
        <f>INDEX(Stores!$G$2:$G$21,MATCH(B633,Stores!$A$2:$A$21,0))</f>
        <v>41</v>
      </c>
      <c r="T633" s="34">
        <f>IF(R633="","",R633/S633)</f>
        <v>0.878048780487805</v>
      </c>
      <c r="U633" s="34">
        <f>IF(E633=1,T633,"")</f>
        <v>0.878048780487805</v>
      </c>
      <c r="V633" s="34">
        <f>IF(AND(E633=1,L633=0),T633,"")</f>
        <v>0.878048780487805</v>
      </c>
      <c r="W633" s="33">
        <f>IF(U633="","",IF(U633&lt;=Breakdowns!$C$5,1,IF(U633&lt;=Breakdowns!$C$6,2,IF(U633&lt;=Breakdowns!$C$7,3,4))))</f>
        <v>2</v>
      </c>
      <c r="X633" s="33">
        <f>IF(V633="","",IF(V633&lt;=Breakdowns!$D$5,1,IF(V633&lt;=Breakdowns!$D$6,2,IF(V633&lt;=Breakdowns!$D$7,3,4))))</f>
        <v>2</v>
      </c>
      <c r="Y633" s="34">
        <f>INDEX(Stores!$F$2:$F$21,MATCH(B633,Stores!$A$2:$A$21,0))</f>
        <v>3.84</v>
      </c>
      <c r="Z633" s="33">
        <f>IF(Y633&gt;Store_Summary!$M$2,1,0)</f>
        <v>0</v>
      </c>
      <c r="AA633" s="33">
        <f>INDEX(Stores!$C$2:$C$21,MATCH(B633,Stores!$A$2:$A$21,0))</f>
        <v>426</v>
      </c>
      <c r="AB633" s="33">
        <f>IF(AA633&lt;180,1,0)</f>
        <v>0</v>
      </c>
      <c r="AC633" s="32" t="str">
        <f>IF(Orders!D630="","",INDEX(Riders!$C$2:$C$81,MATCH(Orders!D630,Riders!$A$2:$A$81,0)))</f>
        <v>Petrol scooter</v>
      </c>
      <c r="AD633" s="33">
        <f>IF(Orders!D630="","",INDEX(Riders!$D$2:$D$81,MATCH(Orders!D630,Riders!$A$2:$A$81,0)))</f>
        <v>32</v>
      </c>
      <c r="AE633" s="33">
        <f>IF(Orders!D630="","",IF(INDEX(Riders!$B$2:$B$81,MATCH(Orders!D630,Riders!$A$2:$A$81,0))=B633,1,0))</f>
        <v>0</v>
      </c>
      <c r="AF633" s="34">
        <f>IF(E633=1,Orders!L630,"")</f>
        <v>2.1</v>
      </c>
      <c r="AG633" s="34">
        <f>IF(E633=1,Orders!P630,"")</f>
        <v>8.4</v>
      </c>
      <c r="AH633" s="34">
        <f>IF(E633=1,Orders!Q630,"")</f>
        <v>7.9</v>
      </c>
      <c r="AI633" s="34">
        <f>IF(E633=1,Orders!M630,"")</f>
        <v>2.1</v>
      </c>
      <c r="AJ633" s="34">
        <f>IF(E633=1,Orders!N630,"")</f>
        <v>2.9</v>
      </c>
      <c r="AK633" s="34">
        <f>IF(E633=1,Orders!O630,"")</f>
        <v>2.9</v>
      </c>
      <c r="AL633" s="33">
        <f>IF(E633=1,IF(ROUND(ABS(AI633+AJ633+AK633-AH633),6)&lt;=0.1,1,0),"")</f>
        <v>1</v>
      </c>
      <c r="AM633" s="36">
        <f>IF(E633=1,AI633/AH633,"")</f>
        <v>0.265822784810127</v>
      </c>
      <c r="AN633" s="36">
        <f>IF(E633=1,AJ633/AH633,"")</f>
        <v>0.367088607594937</v>
      </c>
      <c r="AO633" s="36">
        <f>IF(E633=1,AK633/AH633,"")</f>
        <v>0.367088607594937</v>
      </c>
      <c r="AP633" s="34">
        <f>IF(E633=1,Orders!Y630,"")</f>
        <v>0.41</v>
      </c>
      <c r="AQ633" s="33">
        <f>IF(Orders!X630,1,0)</f>
        <v>0</v>
      </c>
      <c r="AR633" s="34" t="str">
        <f>IF(AND(E633=1,L633=1),AJ633,"")</f>
        <v/>
      </c>
      <c r="AS633" s="34">
        <f>IF(AND(E633=1,L633=0),AJ633,"")</f>
        <v>2.9</v>
      </c>
      <c r="AT633" s="34" t="str">
        <f>IF(AND(E633=1,L633=1),AI633,"")</f>
        <v/>
      </c>
      <c r="AU633" s="34">
        <f>IF(AND(E633=1,L633=0),AI633,"")</f>
        <v>2.1</v>
      </c>
      <c r="AV633" s="34" t="str">
        <f>IF(AND(E633=1,L633=1),AG633,"")</f>
        <v/>
      </c>
      <c r="AW633" s="34">
        <f>IF(AND(E633=1,L633=0),AG633,"")</f>
        <v>8.4</v>
      </c>
      <c r="AX633" s="34" t="str">
        <f>IF(AND(E633=1,L633=1),AH633,"")</f>
        <v/>
      </c>
      <c r="AY633" s="34">
        <f>IF(AND(E633=1,L633=0),AH633,"")</f>
        <v>7.9</v>
      </c>
      <c r="AZ633" s="34" t="str">
        <f>IF(G633=1,F633,"")</f>
        <v/>
      </c>
      <c r="BA633" s="34" t="str">
        <f>IF(AND(G633=1,L633=1),F633,"")</f>
        <v/>
      </c>
      <c r="BB633" s="34" t="str">
        <f>IF(AND(G633=1,L633=0),F633,"")</f>
        <v/>
      </c>
      <c r="BC633" s="33">
        <f>IF(E633=1,IF(Orders!R630&gt;3,1,0),"")</f>
        <v>0</v>
      </c>
      <c r="BD633" s="33">
        <f>IF(E633=1,IF(Orders!R630&gt;7,1,0),"")</f>
        <v>0</v>
      </c>
      <c r="BE633" s="32" t="str">
        <f>IF(E633=1,IF(Orders!L630&lt;=1.5,"Up to 1.5 km",IF(Orders!L630&lt;=3,"1.5–3 km","Over 3 km")),"")</f>
        <v>1.5–3 km</v>
      </c>
      <c r="BF633" s="33">
        <f>IF(E633=1,IF(ABS((Orders!G630-Orders!F630)*1440-Orders!R630)&lt;0.06,1,0),"")</f>
        <v>1</v>
      </c>
      <c r="BG633" s="33">
        <f>IF(ABS((Orders!F630-Orders!E630)*1440-Orders!P630)&lt;0.06,1,0)</f>
        <v>1</v>
      </c>
      <c r="BH633" s="33">
        <f>IF(E633=1,IF(IF(Orders!S630,1,0)=1-G633,1,0),"")</f>
        <v>1</v>
      </c>
      <c r="BI633" s="32" t="str">
        <f>INDEX(Stores!$B$2:$B$21,MATCH(B633,Stores!$A$2:$A$21,0))</f>
        <v>Mumbai</v>
      </c>
    </row>
    <row r="634">
      <c r="A634" s="32" t="str">
        <f>Orders!A631</f>
        <v>O00630</v>
      </c>
      <c r="B634" s="32" t="str">
        <f>Orders!C631</f>
        <v>S018</v>
      </c>
      <c r="C634" s="32" t="str">
        <f>Orders!B631</f>
        <v>C0091</v>
      </c>
      <c r="D634" s="32" t="str">
        <f>Orders!H631</f>
        <v>Delivered</v>
      </c>
      <c r="E634" s="33">
        <f>IF(Orders!H631="Delivered",1,0)</f>
        <v>1</v>
      </c>
      <c r="F634" s="34">
        <f>IF(E634=1,Orders!R631,"")</f>
        <v>3.3</v>
      </c>
      <c r="G634" s="33">
        <f>IF(E634=1,IF(Orders!R631&gt;0,1,0),"")</f>
        <v>1</v>
      </c>
      <c r="H634" s="33">
        <f>IF(E634=1,IF(Orders!R631&gt;5,1,0),"")</f>
        <v>0</v>
      </c>
      <c r="I634" s="32" t="str">
        <f>IF(E634=1,"",IF(OR(Orders!T631="Rider unavailable",Orders!T631="Item unavailable"),"Company-caused","Unresolved"))</f>
        <v/>
      </c>
      <c r="J634" s="33">
        <f>IF(OR(E634=1,I634="Company-caused"),1,0)</f>
        <v>1</v>
      </c>
      <c r="K634" s="32" t="str">
        <f>IF(E634=0,IF(I634="Company-caused",IF(Orders!T631="Rider unavailable","C1 Rider unavailable","C2 Item unavailable"),"Outside root: unresolved"),IF(G634=0,"A On time",IF(H634=1,IF(L634=1,"B2a Severe, peak","B2b Severe, off-peak"),IF(L634=1,"B1a Slight, peak","B1b Slight, off-peak"))))</f>
        <v>B1b Slight, off-peak</v>
      </c>
      <c r="L634" s="33">
        <f>IF(AND(Orders!U631&gt;=19,Orders!U631&lt;22),1,0)</f>
        <v>0</v>
      </c>
      <c r="M634" s="33">
        <f>IF(L634=IF(Orders!V631,1,0),1,0)</f>
        <v>1</v>
      </c>
      <c r="N634" s="32" t="str">
        <f>IF(Orders!W631="","None",Orders!W631)</f>
        <v>Light</v>
      </c>
      <c r="O634" s="35">
        <f>INT(Orders!E631)</f>
        <v>46274.0</v>
      </c>
      <c r="P634" s="33">
        <f>Orders!U631</f>
        <v>23</v>
      </c>
      <c r="Q634" s="33">
        <f>COUNTIFS(Demand!$A$2:$A$4481,B634,Demand!$B$2:$B$4481,O634,Demand!$C$2:$C$4481,P634)</f>
        <v>1</v>
      </c>
      <c r="R634" s="33">
        <f>IF(Q634=1,SUMIFS(Demand!$E$2:$E$4481,Demand!$A$2:$A$4481,B634,Demand!$B$2:$B$4481,O634,Demand!$C$2:$C$4481,P634),"")</f>
        <v>18</v>
      </c>
      <c r="S634" s="33">
        <f>INDEX(Stores!$G$2:$G$21,MATCH(B634,Stores!$A$2:$A$21,0))</f>
        <v>20</v>
      </c>
      <c r="T634" s="34">
        <f>IF(R634="","",R634/S634)</f>
        <v>0.9</v>
      </c>
      <c r="U634" s="34">
        <f>IF(E634=1,T634,"")</f>
        <v>0.9</v>
      </c>
      <c r="V634" s="34">
        <f>IF(AND(E634=1,L634=0),T634,"")</f>
        <v>0.9</v>
      </c>
      <c r="W634" s="33">
        <f>IF(U634="","",IF(U634&lt;=Breakdowns!$C$5,1,IF(U634&lt;=Breakdowns!$C$6,2,IF(U634&lt;=Breakdowns!$C$7,3,4))))</f>
        <v>2</v>
      </c>
      <c r="X634" s="33">
        <f>IF(V634="","",IF(V634&lt;=Breakdowns!$D$5,1,IF(V634&lt;=Breakdowns!$D$6,2,IF(V634&lt;=Breakdowns!$D$7,3,4))))</f>
        <v>2</v>
      </c>
      <c r="Y634" s="34">
        <f>INDEX(Stores!$F$2:$F$21,MATCH(B634,Stores!$A$2:$A$21,0))</f>
        <v>5.31</v>
      </c>
      <c r="Z634" s="33">
        <f>IF(Y634&gt;Store_Summary!$M$2,1,0)</f>
        <v>1</v>
      </c>
      <c r="AA634" s="33">
        <f>INDEX(Stores!$C$2:$C$21,MATCH(B634,Stores!$A$2:$A$21,0))</f>
        <v>214</v>
      </c>
      <c r="AB634" s="33">
        <f>IF(AA634&lt;180,1,0)</f>
        <v>0</v>
      </c>
      <c r="AC634" s="32" t="str">
        <f>IF(Orders!D631="","",INDEX(Riders!$C$2:$C$81,MATCH(Orders!D631,Riders!$A$2:$A$81,0)))</f>
        <v>EV scooter</v>
      </c>
      <c r="AD634" s="33">
        <f>IF(Orders!D631="","",INDEX(Riders!$D$2:$D$81,MATCH(Orders!D631,Riders!$A$2:$A$81,0)))</f>
        <v>27</v>
      </c>
      <c r="AE634" s="33">
        <f>IF(Orders!D631="","",IF(INDEX(Riders!$B$2:$B$81,MATCH(Orders!D631,Riders!$A$2:$A$81,0))=B634,1,0))</f>
        <v>0</v>
      </c>
      <c r="AF634" s="34">
        <f>IF(E634=1,Orders!L631,"")</f>
        <v>0.68</v>
      </c>
      <c r="AG634" s="34">
        <f>IF(E634=1,Orders!P631,"")</f>
        <v>9.9</v>
      </c>
      <c r="AH634" s="34">
        <f>IF(E634=1,Orders!Q631,"")</f>
        <v>13.2</v>
      </c>
      <c r="AI634" s="34">
        <f>IF(E634=1,Orders!M631,"")</f>
        <v>6.5</v>
      </c>
      <c r="AJ634" s="34">
        <f>IF(E634=1,Orders!N631,"")</f>
        <v>3.9</v>
      </c>
      <c r="AK634" s="34">
        <f>IF(E634=1,Orders!O631,"")</f>
        <v>2.8</v>
      </c>
      <c r="AL634" s="33">
        <f>IF(E634=1,IF(ROUND(ABS(AI634+AJ634+AK634-AH634),6)&lt;=0.1,1,0),"")</f>
        <v>1</v>
      </c>
      <c r="AM634" s="36">
        <f>IF(E634=1,AI634/AH634,"")</f>
        <v>0.492424242424242</v>
      </c>
      <c r="AN634" s="36">
        <f>IF(E634=1,AJ634/AH634,"")</f>
        <v>0.295454545454545</v>
      </c>
      <c r="AO634" s="36">
        <f>IF(E634=1,AK634/AH634,"")</f>
        <v>0.212121212121212</v>
      </c>
      <c r="AP634" s="34">
        <f>IF(E634=1,Orders!Y631,"")</f>
        <v>0.24</v>
      </c>
      <c r="AQ634" s="33">
        <f>IF(Orders!X631,1,0)</f>
        <v>0</v>
      </c>
      <c r="AR634" s="34" t="str">
        <f>IF(AND(E634=1,L634=1),AJ634,"")</f>
        <v/>
      </c>
      <c r="AS634" s="34">
        <f>IF(AND(E634=1,L634=0),AJ634,"")</f>
        <v>3.9</v>
      </c>
      <c r="AT634" s="34" t="str">
        <f>IF(AND(E634=1,L634=1),AI634,"")</f>
        <v/>
      </c>
      <c r="AU634" s="34">
        <f>IF(AND(E634=1,L634=0),AI634,"")</f>
        <v>6.5</v>
      </c>
      <c r="AV634" s="34" t="str">
        <f>IF(AND(E634=1,L634=1),AG634,"")</f>
        <v/>
      </c>
      <c r="AW634" s="34">
        <f>IF(AND(E634=1,L634=0),AG634,"")</f>
        <v>9.9</v>
      </c>
      <c r="AX634" s="34" t="str">
        <f>IF(AND(E634=1,L634=1),AH634,"")</f>
        <v/>
      </c>
      <c r="AY634" s="34">
        <f>IF(AND(E634=1,L634=0),AH634,"")</f>
        <v>13.2</v>
      </c>
      <c r="AZ634" s="34">
        <f>IF(G634=1,F634,"")</f>
        <v>3.3</v>
      </c>
      <c r="BA634" s="34" t="str">
        <f>IF(AND(G634=1,L634=1),F634,"")</f>
        <v/>
      </c>
      <c r="BB634" s="34">
        <f>IF(AND(G634=1,L634=0),F634,"")</f>
        <v>3.3</v>
      </c>
      <c r="BC634" s="33">
        <f>IF(E634=1,IF(Orders!R631&gt;3,1,0),"")</f>
        <v>1</v>
      </c>
      <c r="BD634" s="33">
        <f>IF(E634=1,IF(Orders!R631&gt;7,1,0),"")</f>
        <v>0</v>
      </c>
      <c r="BE634" s="32" t="str">
        <f>IF(E634=1,IF(Orders!L631&lt;=1.5,"Up to 1.5 km",IF(Orders!L631&lt;=3,"1.5–3 km","Over 3 km")),"")</f>
        <v>Up to 1.5 km</v>
      </c>
      <c r="BF634" s="33">
        <f>IF(E634=1,IF(ABS((Orders!G631-Orders!F631)*1440-Orders!R631)&lt;0.06,1,0),"")</f>
        <v>1</v>
      </c>
      <c r="BG634" s="33">
        <f>IF(ABS((Orders!F631-Orders!E631)*1440-Orders!P631)&lt;0.06,1,0)</f>
        <v>1</v>
      </c>
      <c r="BH634" s="33">
        <f>IF(E634=1,IF(IF(Orders!S631,1,0)=1-G634,1,0),"")</f>
        <v>1</v>
      </c>
      <c r="BI634" s="32" t="str">
        <f>INDEX(Stores!$B$2:$B$21,MATCH(B634,Stores!$A$2:$A$21,0))</f>
        <v>Mumbai</v>
      </c>
    </row>
    <row r="635">
      <c r="A635" s="32" t="str">
        <f>Orders!A632</f>
        <v>O00631</v>
      </c>
      <c r="B635" s="32" t="str">
        <f>Orders!C632</f>
        <v>S015</v>
      </c>
      <c r="C635" s="32" t="str">
        <f>Orders!B632</f>
        <v>C0062</v>
      </c>
      <c r="D635" s="32" t="str">
        <f>Orders!H632</f>
        <v>Delivered</v>
      </c>
      <c r="E635" s="33">
        <f>IF(Orders!H632="Delivered",1,0)</f>
        <v>1</v>
      </c>
      <c r="F635" s="34">
        <f>IF(E635=1,Orders!R632,"")</f>
        <v>-0.9</v>
      </c>
      <c r="G635" s="33">
        <f>IF(E635=1,IF(Orders!R632&gt;0,1,0),"")</f>
        <v>0</v>
      </c>
      <c r="H635" s="33">
        <f>IF(E635=1,IF(Orders!R632&gt;5,1,0),"")</f>
        <v>0</v>
      </c>
      <c r="I635" s="32" t="str">
        <f>IF(E635=1,"",IF(OR(Orders!T632="Rider unavailable",Orders!T632="Item unavailable"),"Company-caused","Unresolved"))</f>
        <v/>
      </c>
      <c r="J635" s="33">
        <f>IF(OR(E635=1,I635="Company-caused"),1,0)</f>
        <v>1</v>
      </c>
      <c r="K635" s="32" t="str">
        <f>IF(E635=0,IF(I635="Company-caused",IF(Orders!T632="Rider unavailable","C1 Rider unavailable","C2 Item unavailable"),"Outside root: unresolved"),IF(G635=0,"A On time",IF(H635=1,IF(L635=1,"B2a Severe, peak","B2b Severe, off-peak"),IF(L635=1,"B1a Slight, peak","B1b Slight, off-peak"))))</f>
        <v>A On time</v>
      </c>
      <c r="L635" s="33">
        <f>IF(AND(Orders!U632&gt;=19,Orders!U632&lt;22),1,0)</f>
        <v>0</v>
      </c>
      <c r="M635" s="33">
        <f>IF(L635=IF(Orders!V632,1,0),1,0)</f>
        <v>1</v>
      </c>
      <c r="N635" s="32" t="str">
        <f>IF(Orders!W632="","None",Orders!W632)</f>
        <v>None</v>
      </c>
      <c r="O635" s="35">
        <f>INT(Orders!E632)</f>
        <v>46268.0</v>
      </c>
      <c r="P635" s="33">
        <f>Orders!U632</f>
        <v>8</v>
      </c>
      <c r="Q635" s="33">
        <f>COUNTIFS(Demand!$A$2:$A$4481,B635,Demand!$B$2:$B$4481,O635,Demand!$C$2:$C$4481,P635)</f>
        <v>1</v>
      </c>
      <c r="R635" s="33">
        <f>IF(Q635=1,SUMIFS(Demand!$E$2:$E$4481,Demand!$A$2:$A$4481,B635,Demand!$B$2:$B$4481,O635,Demand!$C$2:$C$4481,P635),"")</f>
        <v>16</v>
      </c>
      <c r="S635" s="33">
        <f>INDEX(Stores!$G$2:$G$21,MATCH(B635,Stores!$A$2:$A$21,0))</f>
        <v>23</v>
      </c>
      <c r="T635" s="34">
        <f>IF(R635="","",R635/S635)</f>
        <v>0.695652173913044</v>
      </c>
      <c r="U635" s="34">
        <f>IF(E635=1,T635,"")</f>
        <v>0.695652173913044</v>
      </c>
      <c r="V635" s="34">
        <f>IF(AND(E635=1,L635=0),T635,"")</f>
        <v>0.695652173913044</v>
      </c>
      <c r="W635" s="33">
        <f>IF(U635="","",IF(U635&lt;=Breakdowns!$C$5,1,IF(U635&lt;=Breakdowns!$C$6,2,IF(U635&lt;=Breakdowns!$C$7,3,4))))</f>
        <v>1</v>
      </c>
      <c r="X635" s="33">
        <f>IF(V635="","",IF(V635&lt;=Breakdowns!$D$5,1,IF(V635&lt;=Breakdowns!$D$6,2,IF(V635&lt;=Breakdowns!$D$7,3,4))))</f>
        <v>1</v>
      </c>
      <c r="Y635" s="34">
        <f>INDEX(Stores!$F$2:$F$21,MATCH(B635,Stores!$A$2:$A$21,0))</f>
        <v>4.66</v>
      </c>
      <c r="Z635" s="33">
        <f>IF(Y635&gt;Store_Summary!$M$2,1,0)</f>
        <v>0</v>
      </c>
      <c r="AA635" s="33">
        <f>INDEX(Stores!$C$2:$C$21,MATCH(B635,Stores!$A$2:$A$21,0))</f>
        <v>204</v>
      </c>
      <c r="AB635" s="33">
        <f>IF(AA635&lt;180,1,0)</f>
        <v>0</v>
      </c>
      <c r="AC635" s="32" t="str">
        <f>IF(Orders!D632="","",INDEX(Riders!$C$2:$C$81,MATCH(Orders!D632,Riders!$A$2:$A$81,0)))</f>
        <v>Petrol scooter</v>
      </c>
      <c r="AD635" s="33">
        <f>IF(Orders!D632="","",INDEX(Riders!$D$2:$D$81,MATCH(Orders!D632,Riders!$A$2:$A$81,0)))</f>
        <v>13</v>
      </c>
      <c r="AE635" s="33">
        <f>IF(Orders!D632="","",IF(INDEX(Riders!$B$2:$B$81,MATCH(Orders!D632,Riders!$A$2:$A$81,0))=B635,1,0))</f>
        <v>0</v>
      </c>
      <c r="AF635" s="34">
        <f>IF(E635=1,Orders!L632,"")</f>
        <v>4.6</v>
      </c>
      <c r="AG635" s="34">
        <f>IF(E635=1,Orders!P632,"")</f>
        <v>14.2</v>
      </c>
      <c r="AH635" s="34">
        <f>IF(E635=1,Orders!Q632,"")</f>
        <v>13.3</v>
      </c>
      <c r="AI635" s="34">
        <f>IF(E635=1,Orders!M632,"")</f>
        <v>3.8</v>
      </c>
      <c r="AJ635" s="34">
        <f>IF(E635=1,Orders!N632,"")</f>
        <v>4</v>
      </c>
      <c r="AK635" s="34">
        <f>IF(E635=1,Orders!O632,"")</f>
        <v>5.5</v>
      </c>
      <c r="AL635" s="33">
        <f>IF(E635=1,IF(ROUND(ABS(AI635+AJ635+AK635-AH635),6)&lt;=0.1,1,0),"")</f>
        <v>1</v>
      </c>
      <c r="AM635" s="36">
        <f>IF(E635=1,AI635/AH635,"")</f>
        <v>0.285714285714286</v>
      </c>
      <c r="AN635" s="36">
        <f>IF(E635=1,AJ635/AH635,"")</f>
        <v>0.300751879699248</v>
      </c>
      <c r="AO635" s="36">
        <f>IF(E635=1,AK635/AH635,"")</f>
        <v>0.413533834586466</v>
      </c>
      <c r="AP635" s="34">
        <f>IF(E635=1,Orders!Y632,"")</f>
        <v>0.47</v>
      </c>
      <c r="AQ635" s="33">
        <f>IF(Orders!X632,1,0)</f>
        <v>0</v>
      </c>
      <c r="AR635" s="34" t="str">
        <f>IF(AND(E635=1,L635=1),AJ635,"")</f>
        <v/>
      </c>
      <c r="AS635" s="34">
        <f>IF(AND(E635=1,L635=0),AJ635,"")</f>
        <v>4</v>
      </c>
      <c r="AT635" s="34" t="str">
        <f>IF(AND(E635=1,L635=1),AI635,"")</f>
        <v/>
      </c>
      <c r="AU635" s="34">
        <f>IF(AND(E635=1,L635=0),AI635,"")</f>
        <v>3.8</v>
      </c>
      <c r="AV635" s="34" t="str">
        <f>IF(AND(E635=1,L635=1),AG635,"")</f>
        <v/>
      </c>
      <c r="AW635" s="34">
        <f>IF(AND(E635=1,L635=0),AG635,"")</f>
        <v>14.2</v>
      </c>
      <c r="AX635" s="34" t="str">
        <f>IF(AND(E635=1,L635=1),AH635,"")</f>
        <v/>
      </c>
      <c r="AY635" s="34">
        <f>IF(AND(E635=1,L635=0),AH635,"")</f>
        <v>13.3</v>
      </c>
      <c r="AZ635" s="34" t="str">
        <f>IF(G635=1,F635,"")</f>
        <v/>
      </c>
      <c r="BA635" s="34" t="str">
        <f>IF(AND(G635=1,L635=1),F635,"")</f>
        <v/>
      </c>
      <c r="BB635" s="34" t="str">
        <f>IF(AND(G635=1,L635=0),F635,"")</f>
        <v/>
      </c>
      <c r="BC635" s="33">
        <f>IF(E635=1,IF(Orders!R632&gt;3,1,0),"")</f>
        <v>0</v>
      </c>
      <c r="BD635" s="33">
        <f>IF(E635=1,IF(Orders!R632&gt;7,1,0),"")</f>
        <v>0</v>
      </c>
      <c r="BE635" s="32" t="str">
        <f>IF(E635=1,IF(Orders!L632&lt;=1.5,"Up to 1.5 km",IF(Orders!L632&lt;=3,"1.5–3 km","Over 3 km")),"")</f>
        <v>Over 3 km</v>
      </c>
      <c r="BF635" s="33">
        <f>IF(E635=1,IF(ABS((Orders!G632-Orders!F632)*1440-Orders!R632)&lt;0.06,1,0),"")</f>
        <v>1</v>
      </c>
      <c r="BG635" s="33">
        <f>IF(ABS((Orders!F632-Orders!E632)*1440-Orders!P632)&lt;0.06,1,0)</f>
        <v>1</v>
      </c>
      <c r="BH635" s="33">
        <f>IF(E635=1,IF(IF(Orders!S632,1,0)=1-G635,1,0),"")</f>
        <v>1</v>
      </c>
      <c r="BI635" s="32" t="str">
        <f>INDEX(Stores!$B$2:$B$21,MATCH(B635,Stores!$A$2:$A$21,0))</f>
        <v>Delhi</v>
      </c>
    </row>
    <row r="636">
      <c r="A636" s="32" t="str">
        <f>Orders!A633</f>
        <v>O00632</v>
      </c>
      <c r="B636" s="32" t="str">
        <f>Orders!C633</f>
        <v>S017</v>
      </c>
      <c r="C636" s="32" t="str">
        <f>Orders!B633</f>
        <v>C0010</v>
      </c>
      <c r="D636" s="32" t="str">
        <f>Orders!H633</f>
        <v>Cancelled</v>
      </c>
      <c r="E636" s="33">
        <f>IF(Orders!H633="Delivered",1,0)</f>
        <v>0</v>
      </c>
      <c r="F636" s="34" t="str">
        <f>IF(E636=1,Orders!R633,"")</f>
        <v/>
      </c>
      <c r="G636" s="33" t="str">
        <f>IF(E636=1,IF(Orders!R633&gt;0,1,0),"")</f>
        <v/>
      </c>
      <c r="H636" s="33" t="str">
        <f>IF(E636=1,IF(Orders!R633&gt;5,1,0),"")</f>
        <v/>
      </c>
      <c r="I636" s="32" t="str">
        <f>IF(E636=1,"",IF(OR(Orders!T633="Rider unavailable",Orders!T633="Item unavailable"),"Company-caused","Unresolved"))</f>
        <v>Unresolved</v>
      </c>
      <c r="J636" s="33">
        <f>IF(OR(E636=1,I636="Company-caused"),1,0)</f>
        <v>0</v>
      </c>
      <c r="K636" s="32" t="str">
        <f>IF(E636=0,IF(I636="Company-caused",IF(Orders!T633="Rider unavailable","C1 Rider unavailable","C2 Item unavailable"),"Outside root: unresolved"),IF(G636=0,"A On time",IF(H636=1,IF(L636=1,"B2a Severe, peak","B2b Severe, off-peak"),IF(L636=1,"B1a Slight, peak","B1b Slight, off-peak"))))</f>
        <v>Outside root: unresolved</v>
      </c>
      <c r="L636" s="33">
        <f>IF(AND(Orders!U633&gt;=19,Orders!U633&lt;22),1,0)</f>
        <v>0</v>
      </c>
      <c r="M636" s="33">
        <f>IF(L636=IF(Orders!V633,1,0),1,0)</f>
        <v>1</v>
      </c>
      <c r="N636" s="32" t="str">
        <f>IF(Orders!W633="","None",Orders!W633)</f>
        <v>None</v>
      </c>
      <c r="O636" s="35">
        <f>INT(Orders!E633)</f>
        <v>46271.0</v>
      </c>
      <c r="P636" s="33">
        <f>Orders!U633</f>
        <v>15</v>
      </c>
      <c r="Q636" s="33">
        <f>COUNTIFS(Demand!$A$2:$A$4481,B636,Demand!$B$2:$B$4481,O636,Demand!$C$2:$C$4481,P636)</f>
        <v>1</v>
      </c>
      <c r="R636" s="33">
        <f>IF(Q636=1,SUMIFS(Demand!$E$2:$E$4481,Demand!$A$2:$A$4481,B636,Demand!$B$2:$B$4481,O636,Demand!$C$2:$C$4481,P636),"")</f>
        <v>29</v>
      </c>
      <c r="S636" s="33">
        <f>INDEX(Stores!$G$2:$G$21,MATCH(B636,Stores!$A$2:$A$21,0))</f>
        <v>36</v>
      </c>
      <c r="T636" s="34">
        <f>IF(R636="","",R636/S636)</f>
        <v>0.805555555555556</v>
      </c>
      <c r="U636" s="34" t="str">
        <f>IF(E636=1,T636,"")</f>
        <v/>
      </c>
      <c r="V636" s="34" t="str">
        <f>IF(AND(E636=1,L636=0),T636,"")</f>
        <v/>
      </c>
      <c r="W636" s="33" t="str">
        <f>IF(U636="","",IF(U636&lt;=Breakdowns!$C$5,1,IF(U636&lt;=Breakdowns!$C$6,2,IF(U636&lt;=Breakdowns!$C$7,3,4))))</f>
        <v/>
      </c>
      <c r="X636" s="33" t="str">
        <f>IF(V636="","",IF(V636&lt;=Breakdowns!$D$5,1,IF(V636&lt;=Breakdowns!$D$6,2,IF(V636&lt;=Breakdowns!$D$7,3,4))))</f>
        <v/>
      </c>
      <c r="Y636" s="34">
        <f>INDEX(Stores!$F$2:$F$21,MATCH(B636,Stores!$A$2:$A$21,0))</f>
        <v>2.16</v>
      </c>
      <c r="Z636" s="33">
        <f>IF(Y636&gt;Store_Summary!$M$2,1,0)</f>
        <v>0</v>
      </c>
      <c r="AA636" s="33">
        <f>INDEX(Stores!$C$2:$C$21,MATCH(B636,Stores!$A$2:$A$21,0))</f>
        <v>47</v>
      </c>
      <c r="AB636" s="33">
        <f>IF(AA636&lt;180,1,0)</f>
        <v>1</v>
      </c>
      <c r="AC636" s="32" t="str">
        <f>IF(Orders!D633="","",INDEX(Riders!$C$2:$C$81,MATCH(Orders!D633,Riders!$A$2:$A$81,0)))</f>
        <v/>
      </c>
      <c r="AD636" s="33" t="str">
        <f>IF(Orders!D633="","",INDEX(Riders!$D$2:$D$81,MATCH(Orders!D633,Riders!$A$2:$A$81,0)))</f>
        <v/>
      </c>
      <c r="AE636" s="33" t="str">
        <f>IF(Orders!D633="","",IF(INDEX(Riders!$B$2:$B$81,MATCH(Orders!D633,Riders!$A$2:$A$81,0))=B636,1,0))</f>
        <v/>
      </c>
      <c r="AF636" s="34" t="str">
        <f>IF(E636=1,Orders!L633,"")</f>
        <v/>
      </c>
      <c r="AG636" s="34" t="str">
        <f>IF(E636=1,Orders!P633,"")</f>
        <v/>
      </c>
      <c r="AH636" s="34" t="str">
        <f>IF(E636=1,Orders!Q633,"")</f>
        <v/>
      </c>
      <c r="AI636" s="34" t="str">
        <f>IF(E636=1,Orders!M633,"")</f>
        <v/>
      </c>
      <c r="AJ636" s="34" t="str">
        <f>IF(E636=1,Orders!N633,"")</f>
        <v/>
      </c>
      <c r="AK636" s="34" t="str">
        <f>IF(E636=1,Orders!O633,"")</f>
        <v/>
      </c>
      <c r="AL636" s="33" t="str">
        <f>IF(E636=1,IF(ROUND(ABS(AI636+AJ636+AK636-AH636),6)&lt;=0.1,1,0),"")</f>
        <v/>
      </c>
      <c r="AM636" s="36" t="str">
        <f>IF(E636=1,AI636/AH636,"")</f>
        <v/>
      </c>
      <c r="AN636" s="36" t="str">
        <f>IF(E636=1,AJ636/AH636,"")</f>
        <v/>
      </c>
      <c r="AO636" s="36" t="str">
        <f>IF(E636=1,AK636/AH636,"")</f>
        <v/>
      </c>
      <c r="AP636" s="34" t="str">
        <f>IF(E636=1,Orders!Y633,"")</f>
        <v/>
      </c>
      <c r="AQ636" s="33">
        <f>IF(Orders!X633,1,0)</f>
        <v>0</v>
      </c>
      <c r="AR636" s="34" t="str">
        <f>IF(AND(E636=1,L636=1),AJ636,"")</f>
        <v/>
      </c>
      <c r="AS636" s="34" t="str">
        <f>IF(AND(E636=1,L636=0),AJ636,"")</f>
        <v/>
      </c>
      <c r="AT636" s="34" t="str">
        <f>IF(AND(E636=1,L636=1),AI636,"")</f>
        <v/>
      </c>
      <c r="AU636" s="34" t="str">
        <f>IF(AND(E636=1,L636=0),AI636,"")</f>
        <v/>
      </c>
      <c r="AV636" s="34" t="str">
        <f>IF(AND(E636=1,L636=1),AG636,"")</f>
        <v/>
      </c>
      <c r="AW636" s="34" t="str">
        <f>IF(AND(E636=1,L636=0),AG636,"")</f>
        <v/>
      </c>
      <c r="AX636" s="34" t="str">
        <f>IF(AND(E636=1,L636=1),AH636,"")</f>
        <v/>
      </c>
      <c r="AY636" s="34" t="str">
        <f>IF(AND(E636=1,L636=0),AH636,"")</f>
        <v/>
      </c>
      <c r="AZ636" s="34" t="str">
        <f>IF(G636=1,F636,"")</f>
        <v/>
      </c>
      <c r="BA636" s="34" t="str">
        <f>IF(AND(G636=1,L636=1),F636,"")</f>
        <v/>
      </c>
      <c r="BB636" s="34" t="str">
        <f>IF(AND(G636=1,L636=0),F636,"")</f>
        <v/>
      </c>
      <c r="BC636" s="33" t="str">
        <f>IF(E636=1,IF(Orders!R633&gt;3,1,0),"")</f>
        <v/>
      </c>
      <c r="BD636" s="33" t="str">
        <f>IF(E636=1,IF(Orders!R633&gt;7,1,0),"")</f>
        <v/>
      </c>
      <c r="BE636" s="32" t="str">
        <f>IF(E636=1,IF(Orders!L633&lt;=1.5,"Up to 1.5 km",IF(Orders!L633&lt;=3,"1.5–3 km","Over 3 km")),"")</f>
        <v/>
      </c>
      <c r="BF636" s="33" t="str">
        <f>IF(E636=1,IF(ABS((Orders!G633-Orders!F633)*1440-Orders!R633)&lt;0.06,1,0),"")</f>
        <v/>
      </c>
      <c r="BG636" s="33">
        <f>IF(ABS((Orders!F633-Orders!E633)*1440-Orders!P633)&lt;0.06,1,0)</f>
        <v>1</v>
      </c>
      <c r="BH636" s="33" t="str">
        <f>IF(E636=1,IF(IF(Orders!S633,1,0)=1-G636,1,0),"")</f>
        <v/>
      </c>
      <c r="BI636" s="32" t="str">
        <f>INDEX(Stores!$B$2:$B$21,MATCH(B636,Stores!$A$2:$A$21,0))</f>
        <v>Hyderabad</v>
      </c>
    </row>
    <row r="637">
      <c r="A637" s="32" t="str">
        <f>Orders!A634</f>
        <v>O00633</v>
      </c>
      <c r="B637" s="32" t="str">
        <f>Orders!C634</f>
        <v>S001</v>
      </c>
      <c r="C637" s="32" t="str">
        <f>Orders!B634</f>
        <v>C0197</v>
      </c>
      <c r="D637" s="32" t="str">
        <f>Orders!H634</f>
        <v>Delivered</v>
      </c>
      <c r="E637" s="33">
        <f>IF(Orders!H634="Delivered",1,0)</f>
        <v>1</v>
      </c>
      <c r="F637" s="34">
        <f>IF(E637=1,Orders!R634,"")</f>
        <v>-0.3</v>
      </c>
      <c r="G637" s="33">
        <f>IF(E637=1,IF(Orders!R634&gt;0,1,0),"")</f>
        <v>0</v>
      </c>
      <c r="H637" s="33">
        <f>IF(E637=1,IF(Orders!R634&gt;5,1,0),"")</f>
        <v>0</v>
      </c>
      <c r="I637" s="32" t="str">
        <f>IF(E637=1,"",IF(OR(Orders!T634="Rider unavailable",Orders!T634="Item unavailable"),"Company-caused","Unresolved"))</f>
        <v/>
      </c>
      <c r="J637" s="33">
        <f>IF(OR(E637=1,I637="Company-caused"),1,0)</f>
        <v>1</v>
      </c>
      <c r="K637" s="32" t="str">
        <f>IF(E637=0,IF(I637="Company-caused",IF(Orders!T634="Rider unavailable","C1 Rider unavailable","C2 Item unavailable"),"Outside root: unresolved"),IF(G637=0,"A On time",IF(H637=1,IF(L637=1,"B2a Severe, peak","B2b Severe, off-peak"),IF(L637=1,"B1a Slight, peak","B1b Slight, off-peak"))))</f>
        <v>A On time</v>
      </c>
      <c r="L637" s="33">
        <f>IF(AND(Orders!U634&gt;=19,Orders!U634&lt;22),1,0)</f>
        <v>0</v>
      </c>
      <c r="M637" s="33">
        <f>IF(L637=IF(Orders!V634,1,0),1,0)</f>
        <v>1</v>
      </c>
      <c r="N637" s="32" t="str">
        <f>IF(Orders!W634="","None",Orders!W634)</f>
        <v>None</v>
      </c>
      <c r="O637" s="35">
        <f>INT(Orders!E634)</f>
        <v>46278.0</v>
      </c>
      <c r="P637" s="33">
        <f>Orders!U634</f>
        <v>11</v>
      </c>
      <c r="Q637" s="33">
        <f>COUNTIFS(Demand!$A$2:$A$4481,B637,Demand!$B$2:$B$4481,O637,Demand!$C$2:$C$4481,P637)</f>
        <v>1</v>
      </c>
      <c r="R637" s="33">
        <f>IF(Q637=1,SUMIFS(Demand!$E$2:$E$4481,Demand!$A$2:$A$4481,B637,Demand!$B$2:$B$4481,O637,Demand!$C$2:$C$4481,P637),"")</f>
        <v>18</v>
      </c>
      <c r="S637" s="33">
        <f>INDEX(Stores!$G$2:$G$21,MATCH(B637,Stores!$A$2:$A$21,0))</f>
        <v>16</v>
      </c>
      <c r="T637" s="34">
        <f>IF(R637="","",R637/S637)</f>
        <v>1.125</v>
      </c>
      <c r="U637" s="34">
        <f>IF(E637=1,T637,"")</f>
        <v>1.125</v>
      </c>
      <c r="V637" s="34">
        <f>IF(AND(E637=1,L637=0),T637,"")</f>
        <v>1.125</v>
      </c>
      <c r="W637" s="33">
        <f>IF(U637="","",IF(U637&lt;=Breakdowns!$C$5,1,IF(U637&lt;=Breakdowns!$C$6,2,IF(U637&lt;=Breakdowns!$C$7,3,4))))</f>
        <v>3</v>
      </c>
      <c r="X637" s="33">
        <f>IF(V637="","",IF(V637&lt;=Breakdowns!$D$5,1,IF(V637&lt;=Breakdowns!$D$6,2,IF(V637&lt;=Breakdowns!$D$7,3,4))))</f>
        <v>4</v>
      </c>
      <c r="Y637" s="34">
        <f>INDEX(Stores!$F$2:$F$21,MATCH(B637,Stores!$A$2:$A$21,0))</f>
        <v>4.59</v>
      </c>
      <c r="Z637" s="33">
        <f>IF(Y637&gt;Store_Summary!$M$2,1,0)</f>
        <v>0</v>
      </c>
      <c r="AA637" s="33">
        <f>INDEX(Stores!$C$2:$C$21,MATCH(B637,Stores!$A$2:$A$21,0))</f>
        <v>362</v>
      </c>
      <c r="AB637" s="33">
        <f>IF(AA637&lt;180,1,0)</f>
        <v>0</v>
      </c>
      <c r="AC637" s="32" t="str">
        <f>IF(Orders!D634="","",INDEX(Riders!$C$2:$C$81,MATCH(Orders!D634,Riders!$A$2:$A$81,0)))</f>
        <v>EV scooter</v>
      </c>
      <c r="AD637" s="33">
        <f>IF(Orders!D634="","",INDEX(Riders!$D$2:$D$81,MATCH(Orders!D634,Riders!$A$2:$A$81,0)))</f>
        <v>11</v>
      </c>
      <c r="AE637" s="33">
        <f>IF(Orders!D634="","",IF(INDEX(Riders!$B$2:$B$81,MATCH(Orders!D634,Riders!$A$2:$A$81,0))=B637,1,0))</f>
        <v>0</v>
      </c>
      <c r="AF637" s="34">
        <f>IF(E637=1,Orders!L634,"")</f>
        <v>1.04</v>
      </c>
      <c r="AG637" s="34">
        <f>IF(E637=1,Orders!P634,"")</f>
        <v>10.5</v>
      </c>
      <c r="AH637" s="34">
        <f>IF(E637=1,Orders!Q634,"")</f>
        <v>10.2</v>
      </c>
      <c r="AI637" s="34">
        <f>IF(E637=1,Orders!M634,"")</f>
        <v>2.2</v>
      </c>
      <c r="AJ637" s="34">
        <f>IF(E637=1,Orders!N634,"")</f>
        <v>6</v>
      </c>
      <c r="AK637" s="34">
        <f>IF(E637=1,Orders!O634,"")</f>
        <v>2</v>
      </c>
      <c r="AL637" s="33">
        <f>IF(E637=1,IF(ROUND(ABS(AI637+AJ637+AK637-AH637),6)&lt;=0.1,1,0),"")</f>
        <v>1</v>
      </c>
      <c r="AM637" s="36">
        <f>IF(E637=1,AI637/AH637,"")</f>
        <v>0.215686274509804</v>
      </c>
      <c r="AN637" s="36">
        <f>IF(E637=1,AJ637/AH637,"")</f>
        <v>0.588235294117647</v>
      </c>
      <c r="AO637" s="36">
        <f>IF(E637=1,AK637/AH637,"")</f>
        <v>0.196078431372549</v>
      </c>
      <c r="AP637" s="34">
        <f>IF(E637=1,Orders!Y634,"")</f>
        <v>0.1</v>
      </c>
      <c r="AQ637" s="33">
        <f>IF(Orders!X634,1,0)</f>
        <v>0</v>
      </c>
      <c r="AR637" s="34" t="str">
        <f>IF(AND(E637=1,L637=1),AJ637,"")</f>
        <v/>
      </c>
      <c r="AS637" s="34">
        <f>IF(AND(E637=1,L637=0),AJ637,"")</f>
        <v>6</v>
      </c>
      <c r="AT637" s="34" t="str">
        <f>IF(AND(E637=1,L637=1),AI637,"")</f>
        <v/>
      </c>
      <c r="AU637" s="34">
        <f>IF(AND(E637=1,L637=0),AI637,"")</f>
        <v>2.2</v>
      </c>
      <c r="AV637" s="34" t="str">
        <f>IF(AND(E637=1,L637=1),AG637,"")</f>
        <v/>
      </c>
      <c r="AW637" s="34">
        <f>IF(AND(E637=1,L637=0),AG637,"")</f>
        <v>10.5</v>
      </c>
      <c r="AX637" s="34" t="str">
        <f>IF(AND(E637=1,L637=1),AH637,"")</f>
        <v/>
      </c>
      <c r="AY637" s="34">
        <f>IF(AND(E637=1,L637=0),AH637,"")</f>
        <v>10.2</v>
      </c>
      <c r="AZ637" s="34" t="str">
        <f>IF(G637=1,F637,"")</f>
        <v/>
      </c>
      <c r="BA637" s="34" t="str">
        <f>IF(AND(G637=1,L637=1),F637,"")</f>
        <v/>
      </c>
      <c r="BB637" s="34" t="str">
        <f>IF(AND(G637=1,L637=0),F637,"")</f>
        <v/>
      </c>
      <c r="BC637" s="33">
        <f>IF(E637=1,IF(Orders!R634&gt;3,1,0),"")</f>
        <v>0</v>
      </c>
      <c r="BD637" s="33">
        <f>IF(E637=1,IF(Orders!R634&gt;7,1,0),"")</f>
        <v>0</v>
      </c>
      <c r="BE637" s="32" t="str">
        <f>IF(E637=1,IF(Orders!L634&lt;=1.5,"Up to 1.5 km",IF(Orders!L634&lt;=3,"1.5–3 km","Over 3 km")),"")</f>
        <v>Up to 1.5 km</v>
      </c>
      <c r="BF637" s="33">
        <f>IF(E637=1,IF(ABS((Orders!G634-Orders!F634)*1440-Orders!R634)&lt;0.06,1,0),"")</f>
        <v>1</v>
      </c>
      <c r="BG637" s="33">
        <f>IF(ABS((Orders!F634-Orders!E634)*1440-Orders!P634)&lt;0.06,1,0)</f>
        <v>1</v>
      </c>
      <c r="BH637" s="33">
        <f>IF(E637=1,IF(IF(Orders!S634,1,0)=1-G637,1,0),"")</f>
        <v>1</v>
      </c>
      <c r="BI637" s="32" t="str">
        <f>INDEX(Stores!$B$2:$B$21,MATCH(B637,Stores!$A$2:$A$21,0))</f>
        <v>Bengaluru</v>
      </c>
    </row>
    <row r="638">
      <c r="A638" s="32" t="str">
        <f>Orders!A635</f>
        <v>O00634</v>
      </c>
      <c r="B638" s="32" t="str">
        <f>Orders!C635</f>
        <v>S005</v>
      </c>
      <c r="C638" s="32" t="str">
        <f>Orders!B635</f>
        <v>C0185</v>
      </c>
      <c r="D638" s="32" t="str">
        <f>Orders!H635</f>
        <v>Delivered</v>
      </c>
      <c r="E638" s="33">
        <f>IF(Orders!H635="Delivered",1,0)</f>
        <v>1</v>
      </c>
      <c r="F638" s="34">
        <f>IF(E638=1,Orders!R635,"")</f>
        <v>-0.3</v>
      </c>
      <c r="G638" s="33">
        <f>IF(E638=1,IF(Orders!R635&gt;0,1,0),"")</f>
        <v>0</v>
      </c>
      <c r="H638" s="33">
        <f>IF(E638=1,IF(Orders!R635&gt;5,1,0),"")</f>
        <v>0</v>
      </c>
      <c r="I638" s="32" t="str">
        <f>IF(E638=1,"",IF(OR(Orders!T635="Rider unavailable",Orders!T635="Item unavailable"),"Company-caused","Unresolved"))</f>
        <v/>
      </c>
      <c r="J638" s="33">
        <f>IF(OR(E638=1,I638="Company-caused"),1,0)</f>
        <v>1</v>
      </c>
      <c r="K638" s="32" t="str">
        <f>IF(E638=0,IF(I638="Company-caused",IF(Orders!T635="Rider unavailable","C1 Rider unavailable","C2 Item unavailable"),"Outside root: unresolved"),IF(G638=0,"A On time",IF(H638=1,IF(L638=1,"B2a Severe, peak","B2b Severe, off-peak"),IF(L638=1,"B1a Slight, peak","B1b Slight, off-peak"))))</f>
        <v>A On time</v>
      </c>
      <c r="L638" s="33">
        <f>IF(AND(Orders!U635&gt;=19,Orders!U635&lt;22),1,0)</f>
        <v>1</v>
      </c>
      <c r="M638" s="33">
        <f>IF(L638=IF(Orders!V635,1,0),1,0)</f>
        <v>1</v>
      </c>
      <c r="N638" s="32" t="str">
        <f>IF(Orders!W635="","None",Orders!W635)</f>
        <v>Light</v>
      </c>
      <c r="O638" s="35">
        <f>INT(Orders!E635)</f>
        <v>46270.0</v>
      </c>
      <c r="P638" s="33">
        <f>Orders!U635</f>
        <v>21</v>
      </c>
      <c r="Q638" s="33">
        <f>COUNTIFS(Demand!$A$2:$A$4481,B638,Demand!$B$2:$B$4481,O638,Demand!$C$2:$C$4481,P638)</f>
        <v>1</v>
      </c>
      <c r="R638" s="33">
        <f>IF(Q638=1,SUMIFS(Demand!$E$2:$E$4481,Demand!$A$2:$A$4481,B638,Demand!$B$2:$B$4481,O638,Demand!$C$2:$C$4481,P638),"")</f>
        <v>19</v>
      </c>
      <c r="S638" s="33">
        <f>INDEX(Stores!$G$2:$G$21,MATCH(B638,Stores!$A$2:$A$21,0))</f>
        <v>14</v>
      </c>
      <c r="T638" s="34">
        <f>IF(R638="","",R638/S638)</f>
        <v>1.35714285714286</v>
      </c>
      <c r="U638" s="34">
        <f>IF(E638=1,T638,"")</f>
        <v>1.35714285714286</v>
      </c>
      <c r="V638" s="34" t="str">
        <f>IF(AND(E638=1,L638=0),T638,"")</f>
        <v/>
      </c>
      <c r="W638" s="33">
        <f>IF(U638="","",IF(U638&lt;=Breakdowns!$C$5,1,IF(U638&lt;=Breakdowns!$C$6,2,IF(U638&lt;=Breakdowns!$C$7,3,4))))</f>
        <v>4</v>
      </c>
      <c r="X638" s="33" t="str">
        <f>IF(V638="","",IF(V638&lt;=Breakdowns!$D$5,1,IF(V638&lt;=Breakdowns!$D$6,2,IF(V638&lt;=Breakdowns!$D$7,3,4))))</f>
        <v/>
      </c>
      <c r="Y638" s="34">
        <f>INDEX(Stores!$F$2:$F$21,MATCH(B638,Stores!$A$2:$A$21,0))</f>
        <v>4.89</v>
      </c>
      <c r="Z638" s="33">
        <f>IF(Y638&gt;Store_Summary!$M$2,1,0)</f>
        <v>0</v>
      </c>
      <c r="AA638" s="33">
        <f>INDEX(Stores!$C$2:$C$21,MATCH(B638,Stores!$A$2:$A$21,0))</f>
        <v>138</v>
      </c>
      <c r="AB638" s="33">
        <f>IF(AA638&lt;180,1,0)</f>
        <v>1</v>
      </c>
      <c r="AC638" s="32" t="str">
        <f>IF(Orders!D635="","",INDEX(Riders!$C$2:$C$81,MATCH(Orders!D635,Riders!$A$2:$A$81,0)))</f>
        <v>Bicycle</v>
      </c>
      <c r="AD638" s="33">
        <f>IF(Orders!D635="","",INDEX(Riders!$D$2:$D$81,MATCH(Orders!D635,Riders!$A$2:$A$81,0)))</f>
        <v>2</v>
      </c>
      <c r="AE638" s="33">
        <f>IF(Orders!D635="","",IF(INDEX(Riders!$B$2:$B$81,MATCH(Orders!D635,Riders!$A$2:$A$81,0))=B638,1,0))</f>
        <v>0</v>
      </c>
      <c r="AF638" s="34">
        <f>IF(E638=1,Orders!L635,"")</f>
        <v>1.74</v>
      </c>
      <c r="AG638" s="34">
        <f>IF(E638=1,Orders!P635,"")</f>
        <v>11.6</v>
      </c>
      <c r="AH638" s="34">
        <f>IF(E638=1,Orders!Q635,"")</f>
        <v>11.3</v>
      </c>
      <c r="AI638" s="34">
        <f>IF(E638=1,Orders!M635,"")</f>
        <v>2.5</v>
      </c>
      <c r="AJ638" s="34">
        <f>IF(E638=1,Orders!N635,"")</f>
        <v>5.7</v>
      </c>
      <c r="AK638" s="34">
        <f>IF(E638=1,Orders!O635,"")</f>
        <v>3.1</v>
      </c>
      <c r="AL638" s="33">
        <f>IF(E638=1,IF(ROUND(ABS(AI638+AJ638+AK638-AH638),6)&lt;=0.1,1,0),"")</f>
        <v>1</v>
      </c>
      <c r="AM638" s="36">
        <f>IF(E638=1,AI638/AH638,"")</f>
        <v>0.221238938053097</v>
      </c>
      <c r="AN638" s="36">
        <f>IF(E638=1,AJ638/AH638,"")</f>
        <v>0.504424778761062</v>
      </c>
      <c r="AO638" s="36">
        <f>IF(E638=1,AK638/AH638,"")</f>
        <v>0.274336283185841</v>
      </c>
      <c r="AP638" s="34">
        <f>IF(E638=1,Orders!Y635,"")</f>
        <v>0.82</v>
      </c>
      <c r="AQ638" s="33">
        <f>IF(Orders!X635,1,0)</f>
        <v>0</v>
      </c>
      <c r="AR638" s="34">
        <f>IF(AND(E638=1,L638=1),AJ638,"")</f>
        <v>5.7</v>
      </c>
      <c r="AS638" s="34" t="str">
        <f>IF(AND(E638=1,L638=0),AJ638,"")</f>
        <v/>
      </c>
      <c r="AT638" s="34">
        <f>IF(AND(E638=1,L638=1),AI638,"")</f>
        <v>2.5</v>
      </c>
      <c r="AU638" s="34" t="str">
        <f>IF(AND(E638=1,L638=0),AI638,"")</f>
        <v/>
      </c>
      <c r="AV638" s="34">
        <f>IF(AND(E638=1,L638=1),AG638,"")</f>
        <v>11.6</v>
      </c>
      <c r="AW638" s="34" t="str">
        <f>IF(AND(E638=1,L638=0),AG638,"")</f>
        <v/>
      </c>
      <c r="AX638" s="34">
        <f>IF(AND(E638=1,L638=1),AH638,"")</f>
        <v>11.3</v>
      </c>
      <c r="AY638" s="34" t="str">
        <f>IF(AND(E638=1,L638=0),AH638,"")</f>
        <v/>
      </c>
      <c r="AZ638" s="34" t="str">
        <f>IF(G638=1,F638,"")</f>
        <v/>
      </c>
      <c r="BA638" s="34" t="str">
        <f>IF(AND(G638=1,L638=1),F638,"")</f>
        <v/>
      </c>
      <c r="BB638" s="34" t="str">
        <f>IF(AND(G638=1,L638=0),F638,"")</f>
        <v/>
      </c>
      <c r="BC638" s="33">
        <f>IF(E638=1,IF(Orders!R635&gt;3,1,0),"")</f>
        <v>0</v>
      </c>
      <c r="BD638" s="33">
        <f>IF(E638=1,IF(Orders!R635&gt;7,1,0),"")</f>
        <v>0</v>
      </c>
      <c r="BE638" s="32" t="str">
        <f>IF(E638=1,IF(Orders!L635&lt;=1.5,"Up to 1.5 km",IF(Orders!L635&lt;=3,"1.5–3 km","Over 3 km")),"")</f>
        <v>1.5–3 km</v>
      </c>
      <c r="BF638" s="33">
        <f>IF(E638=1,IF(ABS((Orders!G635-Orders!F635)*1440-Orders!R635)&lt;0.06,1,0),"")</f>
        <v>1</v>
      </c>
      <c r="BG638" s="33">
        <f>IF(ABS((Orders!F635-Orders!E635)*1440-Orders!P635)&lt;0.06,1,0)</f>
        <v>1</v>
      </c>
      <c r="BH638" s="33">
        <f>IF(E638=1,IF(IF(Orders!S635,1,0)=1-G638,1,0),"")</f>
        <v>1</v>
      </c>
      <c r="BI638" s="32" t="str">
        <f>INDEX(Stores!$B$2:$B$21,MATCH(B638,Stores!$A$2:$A$21,0))</f>
        <v>Delhi</v>
      </c>
    </row>
    <row r="639">
      <c r="A639" s="32" t="str">
        <f>Orders!A636</f>
        <v>O00635</v>
      </c>
      <c r="B639" s="32" t="str">
        <f>Orders!C636</f>
        <v>S010</v>
      </c>
      <c r="C639" s="32" t="str">
        <f>Orders!B636</f>
        <v>C0212</v>
      </c>
      <c r="D639" s="32" t="str">
        <f>Orders!H636</f>
        <v>Delivered</v>
      </c>
      <c r="E639" s="33">
        <f>IF(Orders!H636="Delivered",1,0)</f>
        <v>1</v>
      </c>
      <c r="F639" s="34">
        <f>IF(E639=1,Orders!R636,"")</f>
        <v>-0.7</v>
      </c>
      <c r="G639" s="33">
        <f>IF(E639=1,IF(Orders!R636&gt;0,1,0),"")</f>
        <v>0</v>
      </c>
      <c r="H639" s="33">
        <f>IF(E639=1,IF(Orders!R636&gt;5,1,0),"")</f>
        <v>0</v>
      </c>
      <c r="I639" s="32" t="str">
        <f>IF(E639=1,"",IF(OR(Orders!T636="Rider unavailable",Orders!T636="Item unavailable"),"Company-caused","Unresolved"))</f>
        <v/>
      </c>
      <c r="J639" s="33">
        <f>IF(OR(E639=1,I639="Company-caused"),1,0)</f>
        <v>1</v>
      </c>
      <c r="K639" s="32" t="str">
        <f>IF(E639=0,IF(I639="Company-caused",IF(Orders!T636="Rider unavailable","C1 Rider unavailable","C2 Item unavailable"),"Outside root: unresolved"),IF(G639=0,"A On time",IF(H639=1,IF(L639=1,"B2a Severe, peak","B2b Severe, off-peak"),IF(L639=1,"B1a Slight, peak","B1b Slight, off-peak"))))</f>
        <v>A On time</v>
      </c>
      <c r="L639" s="33">
        <f>IF(AND(Orders!U636&gt;=19,Orders!U636&lt;22),1,0)</f>
        <v>0</v>
      </c>
      <c r="M639" s="33">
        <f>IF(L639=IF(Orders!V636,1,0),1,0)</f>
        <v>1</v>
      </c>
      <c r="N639" s="32" t="str">
        <f>IF(Orders!W636="","None",Orders!W636)</f>
        <v>Heavy</v>
      </c>
      <c r="O639" s="35">
        <f>INT(Orders!E636)</f>
        <v>46272.0</v>
      </c>
      <c r="P639" s="33">
        <f>Orders!U636</f>
        <v>16</v>
      </c>
      <c r="Q639" s="33">
        <f>COUNTIFS(Demand!$A$2:$A$4481,B639,Demand!$B$2:$B$4481,O639,Demand!$C$2:$C$4481,P639)</f>
        <v>1</v>
      </c>
      <c r="R639" s="33">
        <f>IF(Q639=1,SUMIFS(Demand!$E$2:$E$4481,Demand!$A$2:$A$4481,B639,Demand!$B$2:$B$4481,O639,Demand!$C$2:$C$4481,P639),"")</f>
        <v>21</v>
      </c>
      <c r="S639" s="33">
        <f>INDEX(Stores!$G$2:$G$21,MATCH(B639,Stores!$A$2:$A$21,0))</f>
        <v>22</v>
      </c>
      <c r="T639" s="34">
        <f>IF(R639="","",R639/S639)</f>
        <v>0.954545454545455</v>
      </c>
      <c r="U639" s="34">
        <f>IF(E639=1,T639,"")</f>
        <v>0.954545454545455</v>
      </c>
      <c r="V639" s="34">
        <f>IF(AND(E639=1,L639=0),T639,"")</f>
        <v>0.954545454545455</v>
      </c>
      <c r="W639" s="33">
        <f>IF(U639="","",IF(U639&lt;=Breakdowns!$C$5,1,IF(U639&lt;=Breakdowns!$C$6,2,IF(U639&lt;=Breakdowns!$C$7,3,4))))</f>
        <v>2</v>
      </c>
      <c r="X639" s="33">
        <f>IF(V639="","",IF(V639&lt;=Breakdowns!$D$5,1,IF(V639&lt;=Breakdowns!$D$6,2,IF(V639&lt;=Breakdowns!$D$7,3,4))))</f>
        <v>3</v>
      </c>
      <c r="Y639" s="34">
        <f>INDEX(Stores!$F$2:$F$21,MATCH(B639,Stores!$A$2:$A$21,0))</f>
        <v>5.61</v>
      </c>
      <c r="Z639" s="33">
        <f>IF(Y639&gt;Store_Summary!$M$2,1,0)</f>
        <v>1</v>
      </c>
      <c r="AA639" s="33">
        <f>INDEX(Stores!$C$2:$C$21,MATCH(B639,Stores!$A$2:$A$21,0))</f>
        <v>744</v>
      </c>
      <c r="AB639" s="33">
        <f>IF(AA639&lt;180,1,0)</f>
        <v>0</v>
      </c>
      <c r="AC639" s="32" t="str">
        <f>IF(Orders!D636="","",INDEX(Riders!$C$2:$C$81,MATCH(Orders!D636,Riders!$A$2:$A$81,0)))</f>
        <v>EV scooter</v>
      </c>
      <c r="AD639" s="33">
        <f>IF(Orders!D636="","",INDEX(Riders!$D$2:$D$81,MATCH(Orders!D636,Riders!$A$2:$A$81,0)))</f>
        <v>1</v>
      </c>
      <c r="AE639" s="33">
        <f>IF(Orders!D636="","",IF(INDEX(Riders!$B$2:$B$81,MATCH(Orders!D636,Riders!$A$2:$A$81,0))=B639,1,0))</f>
        <v>0</v>
      </c>
      <c r="AF639" s="34">
        <f>IF(E639=1,Orders!L636,"")</f>
        <v>2.74</v>
      </c>
      <c r="AG639" s="34">
        <f>IF(E639=1,Orders!P636,"")</f>
        <v>8.9</v>
      </c>
      <c r="AH639" s="34">
        <f>IF(E639=1,Orders!Q636,"")</f>
        <v>8.2</v>
      </c>
      <c r="AI639" s="34">
        <f>IF(E639=1,Orders!M636,"")</f>
        <v>2.6</v>
      </c>
      <c r="AJ639" s="34">
        <f>IF(E639=1,Orders!N636,"")</f>
        <v>2.6</v>
      </c>
      <c r="AK639" s="34">
        <f>IF(E639=1,Orders!O636,"")</f>
        <v>3</v>
      </c>
      <c r="AL639" s="33">
        <f>IF(E639=1,IF(ROUND(ABS(AI639+AJ639+AK639-AH639),6)&lt;=0.1,1,0),"")</f>
        <v>1</v>
      </c>
      <c r="AM639" s="36">
        <f>IF(E639=1,AI639/AH639,"")</f>
        <v>0.317073170731707</v>
      </c>
      <c r="AN639" s="36">
        <f>IF(E639=1,AJ639/AH639,"")</f>
        <v>0.317073170731707</v>
      </c>
      <c r="AO639" s="36">
        <f>IF(E639=1,AK639/AH639,"")</f>
        <v>0.365853658536585</v>
      </c>
      <c r="AP639" s="34">
        <f>IF(E639=1,Orders!Y636,"")</f>
        <v>0.34</v>
      </c>
      <c r="AQ639" s="33">
        <f>IF(Orders!X636,1,0)</f>
        <v>0</v>
      </c>
      <c r="AR639" s="34" t="str">
        <f>IF(AND(E639=1,L639=1),AJ639,"")</f>
        <v/>
      </c>
      <c r="AS639" s="34">
        <f>IF(AND(E639=1,L639=0),AJ639,"")</f>
        <v>2.6</v>
      </c>
      <c r="AT639" s="34" t="str">
        <f>IF(AND(E639=1,L639=1),AI639,"")</f>
        <v/>
      </c>
      <c r="AU639" s="34">
        <f>IF(AND(E639=1,L639=0),AI639,"")</f>
        <v>2.6</v>
      </c>
      <c r="AV639" s="34" t="str">
        <f>IF(AND(E639=1,L639=1),AG639,"")</f>
        <v/>
      </c>
      <c r="AW639" s="34">
        <f>IF(AND(E639=1,L639=0),AG639,"")</f>
        <v>8.9</v>
      </c>
      <c r="AX639" s="34" t="str">
        <f>IF(AND(E639=1,L639=1),AH639,"")</f>
        <v/>
      </c>
      <c r="AY639" s="34">
        <f>IF(AND(E639=1,L639=0),AH639,"")</f>
        <v>8.2</v>
      </c>
      <c r="AZ639" s="34" t="str">
        <f>IF(G639=1,F639,"")</f>
        <v/>
      </c>
      <c r="BA639" s="34" t="str">
        <f>IF(AND(G639=1,L639=1),F639,"")</f>
        <v/>
      </c>
      <c r="BB639" s="34" t="str">
        <f>IF(AND(G639=1,L639=0),F639,"")</f>
        <v/>
      </c>
      <c r="BC639" s="33">
        <f>IF(E639=1,IF(Orders!R636&gt;3,1,0),"")</f>
        <v>0</v>
      </c>
      <c r="BD639" s="33">
        <f>IF(E639=1,IF(Orders!R636&gt;7,1,0),"")</f>
        <v>0</v>
      </c>
      <c r="BE639" s="32" t="str">
        <f>IF(E639=1,IF(Orders!L636&lt;=1.5,"Up to 1.5 km",IF(Orders!L636&lt;=3,"1.5–3 km","Over 3 km")),"")</f>
        <v>1.5–3 km</v>
      </c>
      <c r="BF639" s="33">
        <f>IF(E639=1,IF(ABS((Orders!G636-Orders!F636)*1440-Orders!R636)&lt;0.06,1,0),"")</f>
        <v>1</v>
      </c>
      <c r="BG639" s="33">
        <f>IF(ABS((Orders!F636-Orders!E636)*1440-Orders!P636)&lt;0.06,1,0)</f>
        <v>1</v>
      </c>
      <c r="BH639" s="33">
        <f>IF(E639=1,IF(IF(Orders!S636,1,0)=1-G639,1,0),"")</f>
        <v>1</v>
      </c>
      <c r="BI639" s="32" t="str">
        <f>INDEX(Stores!$B$2:$B$21,MATCH(B639,Stores!$A$2:$A$21,0))</f>
        <v>Delhi</v>
      </c>
    </row>
    <row r="640">
      <c r="A640" s="32" t="str">
        <f>Orders!A637</f>
        <v>O00636</v>
      </c>
      <c r="B640" s="32" t="str">
        <f>Orders!C637</f>
        <v>S019</v>
      </c>
      <c r="C640" s="32" t="str">
        <f>Orders!B637</f>
        <v>C0097</v>
      </c>
      <c r="D640" s="32" t="str">
        <f>Orders!H637</f>
        <v>Delivered</v>
      </c>
      <c r="E640" s="33">
        <f>IF(Orders!H637="Delivered",1,0)</f>
        <v>1</v>
      </c>
      <c r="F640" s="34">
        <f>IF(E640=1,Orders!R637,"")</f>
        <v>-0.7</v>
      </c>
      <c r="G640" s="33">
        <f>IF(E640=1,IF(Orders!R637&gt;0,1,0),"")</f>
        <v>0</v>
      </c>
      <c r="H640" s="33">
        <f>IF(E640=1,IF(Orders!R637&gt;5,1,0),"")</f>
        <v>0</v>
      </c>
      <c r="I640" s="32" t="str">
        <f>IF(E640=1,"",IF(OR(Orders!T637="Rider unavailable",Orders!T637="Item unavailable"),"Company-caused","Unresolved"))</f>
        <v/>
      </c>
      <c r="J640" s="33">
        <f>IF(OR(E640=1,I640="Company-caused"),1,0)</f>
        <v>1</v>
      </c>
      <c r="K640" s="32" t="str">
        <f>IF(E640=0,IF(I640="Company-caused",IF(Orders!T637="Rider unavailable","C1 Rider unavailable","C2 Item unavailable"),"Outside root: unresolved"),IF(G640=0,"A On time",IF(H640=1,IF(L640=1,"B2a Severe, peak","B2b Severe, off-peak"),IF(L640=1,"B1a Slight, peak","B1b Slight, off-peak"))))</f>
        <v>A On time</v>
      </c>
      <c r="L640" s="33">
        <f>IF(AND(Orders!U637&gt;=19,Orders!U637&lt;22),1,0)</f>
        <v>1</v>
      </c>
      <c r="M640" s="33">
        <f>IF(L640=IF(Orders!V637,1,0),1,0)</f>
        <v>1</v>
      </c>
      <c r="N640" s="32" t="str">
        <f>IF(Orders!W637="","None",Orders!W637)</f>
        <v>None</v>
      </c>
      <c r="O640" s="35">
        <f>INT(Orders!E637)</f>
        <v>46269.0</v>
      </c>
      <c r="P640" s="33">
        <f>Orders!U637</f>
        <v>19</v>
      </c>
      <c r="Q640" s="33">
        <f>COUNTIFS(Demand!$A$2:$A$4481,B640,Demand!$B$2:$B$4481,O640,Demand!$C$2:$C$4481,P640)</f>
        <v>1</v>
      </c>
      <c r="R640" s="33">
        <f>IF(Q640=1,SUMIFS(Demand!$E$2:$E$4481,Demand!$A$2:$A$4481,B640,Demand!$B$2:$B$4481,O640,Demand!$C$2:$C$4481,P640),"")</f>
        <v>41</v>
      </c>
      <c r="S640" s="33">
        <f>INDEX(Stores!$G$2:$G$21,MATCH(B640,Stores!$A$2:$A$21,0))</f>
        <v>22</v>
      </c>
      <c r="T640" s="34">
        <f>IF(R640="","",R640/S640)</f>
        <v>1.86363636363636</v>
      </c>
      <c r="U640" s="34">
        <f>IF(E640=1,T640,"")</f>
        <v>1.86363636363636</v>
      </c>
      <c r="V640" s="34" t="str">
        <f>IF(AND(E640=1,L640=0),T640,"")</f>
        <v/>
      </c>
      <c r="W640" s="33">
        <f>IF(U640="","",IF(U640&lt;=Breakdowns!$C$5,1,IF(U640&lt;=Breakdowns!$C$6,2,IF(U640&lt;=Breakdowns!$C$7,3,4))))</f>
        <v>4</v>
      </c>
      <c r="X640" s="33" t="str">
        <f>IF(V640="","",IF(V640&lt;=Breakdowns!$D$5,1,IF(V640&lt;=Breakdowns!$D$6,2,IF(V640&lt;=Breakdowns!$D$7,3,4))))</f>
        <v/>
      </c>
      <c r="Y640" s="34">
        <f>INDEX(Stores!$F$2:$F$21,MATCH(B640,Stores!$A$2:$A$21,0))</f>
        <v>4.99</v>
      </c>
      <c r="Z640" s="33">
        <f>IF(Y640&gt;Store_Summary!$M$2,1,0)</f>
        <v>1</v>
      </c>
      <c r="AA640" s="33">
        <f>INDEX(Stores!$C$2:$C$21,MATCH(B640,Stores!$A$2:$A$21,0))</f>
        <v>851</v>
      </c>
      <c r="AB640" s="33">
        <f>IF(AA640&lt;180,1,0)</f>
        <v>0</v>
      </c>
      <c r="AC640" s="32" t="str">
        <f>IF(Orders!D637="","",INDEX(Riders!$C$2:$C$81,MATCH(Orders!D637,Riders!$A$2:$A$81,0)))</f>
        <v>EV scooter</v>
      </c>
      <c r="AD640" s="33">
        <f>IF(Orders!D637="","",INDEX(Riders!$D$2:$D$81,MATCH(Orders!D637,Riders!$A$2:$A$81,0)))</f>
        <v>46</v>
      </c>
      <c r="AE640" s="33">
        <f>IF(Orders!D637="","",IF(INDEX(Riders!$B$2:$B$81,MATCH(Orders!D637,Riders!$A$2:$A$81,0))=B640,1,0))</f>
        <v>1</v>
      </c>
      <c r="AF640" s="34">
        <f>IF(E640=1,Orders!L637,"")</f>
        <v>2.5</v>
      </c>
      <c r="AG640" s="34">
        <f>IF(E640=1,Orders!P637,"")</f>
        <v>8.3</v>
      </c>
      <c r="AH640" s="34">
        <f>IF(E640=1,Orders!Q637,"")</f>
        <v>7.6</v>
      </c>
      <c r="AI640" s="34">
        <f>IF(E640=1,Orders!M637,"")</f>
        <v>2.6</v>
      </c>
      <c r="AJ640" s="34">
        <f>IF(E640=1,Orders!N637,"")</f>
        <v>1.7</v>
      </c>
      <c r="AK640" s="34">
        <f>IF(E640=1,Orders!O637,"")</f>
        <v>3.3</v>
      </c>
      <c r="AL640" s="33">
        <f>IF(E640=1,IF(ROUND(ABS(AI640+AJ640+AK640-AH640),6)&lt;=0.1,1,0),"")</f>
        <v>1</v>
      </c>
      <c r="AM640" s="36">
        <f>IF(E640=1,AI640/AH640,"")</f>
        <v>0.342105263157895</v>
      </c>
      <c r="AN640" s="36">
        <f>IF(E640=1,AJ640/AH640,"")</f>
        <v>0.223684210526316</v>
      </c>
      <c r="AO640" s="36">
        <f>IF(E640=1,AK640/AH640,"")</f>
        <v>0.43421052631579</v>
      </c>
      <c r="AP640" s="34">
        <f>IF(E640=1,Orders!Y637,"")</f>
        <v>0.36</v>
      </c>
      <c r="AQ640" s="33">
        <f>IF(Orders!X637,1,0)</f>
        <v>0</v>
      </c>
      <c r="AR640" s="34">
        <f>IF(AND(E640=1,L640=1),AJ640,"")</f>
        <v>1.7</v>
      </c>
      <c r="AS640" s="34" t="str">
        <f>IF(AND(E640=1,L640=0),AJ640,"")</f>
        <v/>
      </c>
      <c r="AT640" s="34">
        <f>IF(AND(E640=1,L640=1),AI640,"")</f>
        <v>2.6</v>
      </c>
      <c r="AU640" s="34" t="str">
        <f>IF(AND(E640=1,L640=0),AI640,"")</f>
        <v/>
      </c>
      <c r="AV640" s="34">
        <f>IF(AND(E640=1,L640=1),AG640,"")</f>
        <v>8.3</v>
      </c>
      <c r="AW640" s="34" t="str">
        <f>IF(AND(E640=1,L640=0),AG640,"")</f>
        <v/>
      </c>
      <c r="AX640" s="34">
        <f>IF(AND(E640=1,L640=1),AH640,"")</f>
        <v>7.6</v>
      </c>
      <c r="AY640" s="34" t="str">
        <f>IF(AND(E640=1,L640=0),AH640,"")</f>
        <v/>
      </c>
      <c r="AZ640" s="34" t="str">
        <f>IF(G640=1,F640,"")</f>
        <v/>
      </c>
      <c r="BA640" s="34" t="str">
        <f>IF(AND(G640=1,L640=1),F640,"")</f>
        <v/>
      </c>
      <c r="BB640" s="34" t="str">
        <f>IF(AND(G640=1,L640=0),F640,"")</f>
        <v/>
      </c>
      <c r="BC640" s="33">
        <f>IF(E640=1,IF(Orders!R637&gt;3,1,0),"")</f>
        <v>0</v>
      </c>
      <c r="BD640" s="33">
        <f>IF(E640=1,IF(Orders!R637&gt;7,1,0),"")</f>
        <v>0</v>
      </c>
      <c r="BE640" s="32" t="str">
        <f>IF(E640=1,IF(Orders!L637&lt;=1.5,"Up to 1.5 km",IF(Orders!L637&lt;=3,"1.5–3 km","Over 3 km")),"")</f>
        <v>1.5–3 km</v>
      </c>
      <c r="BF640" s="33">
        <f>IF(E640=1,IF(ABS((Orders!G637-Orders!F637)*1440-Orders!R637)&lt;0.06,1,0),"")</f>
        <v>1</v>
      </c>
      <c r="BG640" s="33">
        <f>IF(ABS((Orders!F637-Orders!E637)*1440-Orders!P637)&lt;0.06,1,0)</f>
        <v>1</v>
      </c>
      <c r="BH640" s="33">
        <f>IF(E640=1,IF(IF(Orders!S637,1,0)=1-G640,1,0),"")</f>
        <v>1</v>
      </c>
      <c r="BI640" s="32" t="str">
        <f>INDEX(Stores!$B$2:$B$21,MATCH(B640,Stores!$A$2:$A$21,0))</f>
        <v>Pune</v>
      </c>
    </row>
    <row r="641">
      <c r="A641" s="32" t="str">
        <f>Orders!A638</f>
        <v>O00637</v>
      </c>
      <c r="B641" s="32" t="str">
        <f>Orders!C638</f>
        <v>S003</v>
      </c>
      <c r="C641" s="32" t="str">
        <f>Orders!B638</f>
        <v>C0163</v>
      </c>
      <c r="D641" s="32" t="str">
        <f>Orders!H638</f>
        <v>Delivered</v>
      </c>
      <c r="E641" s="33">
        <f>IF(Orders!H638="Delivered",1,0)</f>
        <v>1</v>
      </c>
      <c r="F641" s="34">
        <f>IF(E641=1,Orders!R638,"")</f>
        <v>2.6</v>
      </c>
      <c r="G641" s="33">
        <f>IF(E641=1,IF(Orders!R638&gt;0,1,0),"")</f>
        <v>1</v>
      </c>
      <c r="H641" s="33">
        <f>IF(E641=1,IF(Orders!R638&gt;5,1,0),"")</f>
        <v>0</v>
      </c>
      <c r="I641" s="32" t="str">
        <f>IF(E641=1,"",IF(OR(Orders!T638="Rider unavailable",Orders!T638="Item unavailable"),"Company-caused","Unresolved"))</f>
        <v/>
      </c>
      <c r="J641" s="33">
        <f>IF(OR(E641=1,I641="Company-caused"),1,0)</f>
        <v>1</v>
      </c>
      <c r="K641" s="32" t="str">
        <f>IF(E641=0,IF(I641="Company-caused",IF(Orders!T638="Rider unavailable","C1 Rider unavailable","C2 Item unavailable"),"Outside root: unresolved"),IF(G641=0,"A On time",IF(H641=1,IF(L641=1,"B2a Severe, peak","B2b Severe, off-peak"),IF(L641=1,"B1a Slight, peak","B1b Slight, off-peak"))))</f>
        <v>B1b Slight, off-peak</v>
      </c>
      <c r="L641" s="33">
        <f>IF(AND(Orders!U638&gt;=19,Orders!U638&lt;22),1,0)</f>
        <v>0</v>
      </c>
      <c r="M641" s="33">
        <f>IF(L641=IF(Orders!V638,1,0),1,0)</f>
        <v>1</v>
      </c>
      <c r="N641" s="32" t="str">
        <f>IF(Orders!W638="","None",Orders!W638)</f>
        <v>None</v>
      </c>
      <c r="O641" s="35">
        <f>INT(Orders!E638)</f>
        <v>46269.0</v>
      </c>
      <c r="P641" s="33">
        <f>Orders!U638</f>
        <v>22</v>
      </c>
      <c r="Q641" s="33">
        <f>COUNTIFS(Demand!$A$2:$A$4481,B641,Demand!$B$2:$B$4481,O641,Demand!$C$2:$C$4481,P641)</f>
        <v>1</v>
      </c>
      <c r="R641" s="33">
        <f>IF(Q641=1,SUMIFS(Demand!$E$2:$E$4481,Demand!$A$2:$A$4481,B641,Demand!$B$2:$B$4481,O641,Demand!$C$2:$C$4481,P641),"")</f>
        <v>36</v>
      </c>
      <c r="S641" s="33">
        <f>INDEX(Stores!$G$2:$G$21,MATCH(B641,Stores!$A$2:$A$21,0))</f>
        <v>41</v>
      </c>
      <c r="T641" s="34">
        <f>IF(R641="","",R641/S641)</f>
        <v>0.878048780487805</v>
      </c>
      <c r="U641" s="34">
        <f>IF(E641=1,T641,"")</f>
        <v>0.878048780487805</v>
      </c>
      <c r="V641" s="34">
        <f>IF(AND(E641=1,L641=0),T641,"")</f>
        <v>0.878048780487805</v>
      </c>
      <c r="W641" s="33">
        <f>IF(U641="","",IF(U641&lt;=Breakdowns!$C$5,1,IF(U641&lt;=Breakdowns!$C$6,2,IF(U641&lt;=Breakdowns!$C$7,3,4))))</f>
        <v>2</v>
      </c>
      <c r="X641" s="33">
        <f>IF(V641="","",IF(V641&lt;=Breakdowns!$D$5,1,IF(V641&lt;=Breakdowns!$D$6,2,IF(V641&lt;=Breakdowns!$D$7,3,4))))</f>
        <v>2</v>
      </c>
      <c r="Y641" s="34">
        <f>INDEX(Stores!$F$2:$F$21,MATCH(B641,Stores!$A$2:$A$21,0))</f>
        <v>3.84</v>
      </c>
      <c r="Z641" s="33">
        <f>IF(Y641&gt;Store_Summary!$M$2,1,0)</f>
        <v>0</v>
      </c>
      <c r="AA641" s="33">
        <f>INDEX(Stores!$C$2:$C$21,MATCH(B641,Stores!$A$2:$A$21,0))</f>
        <v>426</v>
      </c>
      <c r="AB641" s="33">
        <f>IF(AA641&lt;180,1,0)</f>
        <v>0</v>
      </c>
      <c r="AC641" s="32" t="str">
        <f>IF(Orders!D638="","",INDEX(Riders!$C$2:$C$81,MATCH(Orders!D638,Riders!$A$2:$A$81,0)))</f>
        <v>Petrol scooter</v>
      </c>
      <c r="AD641" s="33">
        <f>IF(Orders!D638="","",INDEX(Riders!$D$2:$D$81,MATCH(Orders!D638,Riders!$A$2:$A$81,0)))</f>
        <v>11</v>
      </c>
      <c r="AE641" s="33">
        <f>IF(Orders!D638="","",IF(INDEX(Riders!$B$2:$B$81,MATCH(Orders!D638,Riders!$A$2:$A$81,0))=B641,1,0))</f>
        <v>0</v>
      </c>
      <c r="AF641" s="34">
        <f>IF(E641=1,Orders!L638,"")</f>
        <v>2.1</v>
      </c>
      <c r="AG641" s="34">
        <f>IF(E641=1,Orders!P638,"")</f>
        <v>10.6</v>
      </c>
      <c r="AH641" s="34">
        <f>IF(E641=1,Orders!Q638,"")</f>
        <v>13.2</v>
      </c>
      <c r="AI641" s="34">
        <f>IF(E641=1,Orders!M638,"")</f>
        <v>5.8</v>
      </c>
      <c r="AJ641" s="34">
        <f>IF(E641=1,Orders!N638,"")</f>
        <v>1.8</v>
      </c>
      <c r="AK641" s="34">
        <f>IF(E641=1,Orders!O638,"")</f>
        <v>5.6</v>
      </c>
      <c r="AL641" s="33">
        <f>IF(E641=1,IF(ROUND(ABS(AI641+AJ641+AK641-AH641),6)&lt;=0.1,1,0),"")</f>
        <v>1</v>
      </c>
      <c r="AM641" s="36">
        <f>IF(E641=1,AI641/AH641,"")</f>
        <v>0.439393939393939</v>
      </c>
      <c r="AN641" s="36">
        <f>IF(E641=1,AJ641/AH641,"")</f>
        <v>0.136363636363636</v>
      </c>
      <c r="AO641" s="36">
        <f>IF(E641=1,AK641/AH641,"")</f>
        <v>0.424242424242424</v>
      </c>
      <c r="AP641" s="34">
        <f>IF(E641=1,Orders!Y638,"")</f>
        <v>0.2</v>
      </c>
      <c r="AQ641" s="33">
        <f>IF(Orders!X638,1,0)</f>
        <v>1</v>
      </c>
      <c r="AR641" s="34" t="str">
        <f>IF(AND(E641=1,L641=1),AJ641,"")</f>
        <v/>
      </c>
      <c r="AS641" s="34">
        <f>IF(AND(E641=1,L641=0),AJ641,"")</f>
        <v>1.8</v>
      </c>
      <c r="AT641" s="34" t="str">
        <f>IF(AND(E641=1,L641=1),AI641,"")</f>
        <v/>
      </c>
      <c r="AU641" s="34">
        <f>IF(AND(E641=1,L641=0),AI641,"")</f>
        <v>5.8</v>
      </c>
      <c r="AV641" s="34" t="str">
        <f>IF(AND(E641=1,L641=1),AG641,"")</f>
        <v/>
      </c>
      <c r="AW641" s="34">
        <f>IF(AND(E641=1,L641=0),AG641,"")</f>
        <v>10.6</v>
      </c>
      <c r="AX641" s="34" t="str">
        <f>IF(AND(E641=1,L641=1),AH641,"")</f>
        <v/>
      </c>
      <c r="AY641" s="34">
        <f>IF(AND(E641=1,L641=0),AH641,"")</f>
        <v>13.2</v>
      </c>
      <c r="AZ641" s="34">
        <f>IF(G641=1,F641,"")</f>
        <v>2.6</v>
      </c>
      <c r="BA641" s="34" t="str">
        <f>IF(AND(G641=1,L641=1),F641,"")</f>
        <v/>
      </c>
      <c r="BB641" s="34">
        <f>IF(AND(G641=1,L641=0),F641,"")</f>
        <v>2.6</v>
      </c>
      <c r="BC641" s="33">
        <f>IF(E641=1,IF(Orders!R638&gt;3,1,0),"")</f>
        <v>0</v>
      </c>
      <c r="BD641" s="33">
        <f>IF(E641=1,IF(Orders!R638&gt;7,1,0),"")</f>
        <v>0</v>
      </c>
      <c r="BE641" s="32" t="str">
        <f>IF(E641=1,IF(Orders!L638&lt;=1.5,"Up to 1.5 km",IF(Orders!L638&lt;=3,"1.5–3 km","Over 3 km")),"")</f>
        <v>1.5–3 km</v>
      </c>
      <c r="BF641" s="33">
        <f>IF(E641=1,IF(ABS((Orders!G638-Orders!F638)*1440-Orders!R638)&lt;0.06,1,0),"")</f>
        <v>1</v>
      </c>
      <c r="BG641" s="33">
        <f>IF(ABS((Orders!F638-Orders!E638)*1440-Orders!P638)&lt;0.06,1,0)</f>
        <v>1</v>
      </c>
      <c r="BH641" s="33">
        <f>IF(E641=1,IF(IF(Orders!S638,1,0)=1-G641,1,0),"")</f>
        <v>1</v>
      </c>
      <c r="BI641" s="32" t="str">
        <f>INDEX(Stores!$B$2:$B$21,MATCH(B641,Stores!$A$2:$A$21,0))</f>
        <v>Mumbai</v>
      </c>
    </row>
    <row r="642">
      <c r="A642" s="32" t="str">
        <f>Orders!A639</f>
        <v>O00638</v>
      </c>
      <c r="B642" s="32" t="str">
        <f>Orders!C639</f>
        <v>S017</v>
      </c>
      <c r="C642" s="32" t="str">
        <f>Orders!B639</f>
        <v>C0140</v>
      </c>
      <c r="D642" s="32" t="str">
        <f>Orders!H639</f>
        <v>Delivered</v>
      </c>
      <c r="E642" s="33">
        <f>IF(Orders!H639="Delivered",1,0)</f>
        <v>1</v>
      </c>
      <c r="F642" s="34">
        <f>IF(E642=1,Orders!R639,"")</f>
        <v>1.4</v>
      </c>
      <c r="G642" s="33">
        <f>IF(E642=1,IF(Orders!R639&gt;0,1,0),"")</f>
        <v>1</v>
      </c>
      <c r="H642" s="33">
        <f>IF(E642=1,IF(Orders!R639&gt;5,1,0),"")</f>
        <v>0</v>
      </c>
      <c r="I642" s="32" t="str">
        <f>IF(E642=1,"",IF(OR(Orders!T639="Rider unavailable",Orders!T639="Item unavailable"),"Company-caused","Unresolved"))</f>
        <v/>
      </c>
      <c r="J642" s="33">
        <f>IF(OR(E642=1,I642="Company-caused"),1,0)</f>
        <v>1</v>
      </c>
      <c r="K642" s="32" t="str">
        <f>IF(E642=0,IF(I642="Company-caused",IF(Orders!T639="Rider unavailable","C1 Rider unavailable","C2 Item unavailable"),"Outside root: unresolved"),IF(G642=0,"A On time",IF(H642=1,IF(L642=1,"B2a Severe, peak","B2b Severe, off-peak"),IF(L642=1,"B1a Slight, peak","B1b Slight, off-peak"))))</f>
        <v>B1a Slight, peak</v>
      </c>
      <c r="L642" s="33">
        <f>IF(AND(Orders!U639&gt;=19,Orders!U639&lt;22),1,0)</f>
        <v>1</v>
      </c>
      <c r="M642" s="33">
        <f>IF(L642=IF(Orders!V639,1,0),1,0)</f>
        <v>1</v>
      </c>
      <c r="N642" s="32" t="str">
        <f>IF(Orders!W639="","None",Orders!W639)</f>
        <v>None</v>
      </c>
      <c r="O642" s="35">
        <f>INT(Orders!E639)</f>
        <v>46275.0</v>
      </c>
      <c r="P642" s="33">
        <f>Orders!U639</f>
        <v>21</v>
      </c>
      <c r="Q642" s="33">
        <f>COUNTIFS(Demand!$A$2:$A$4481,B642,Demand!$B$2:$B$4481,O642,Demand!$C$2:$C$4481,P642)</f>
        <v>1</v>
      </c>
      <c r="R642" s="33">
        <f>IF(Q642=1,SUMIFS(Demand!$E$2:$E$4481,Demand!$A$2:$A$4481,B642,Demand!$B$2:$B$4481,O642,Demand!$C$2:$C$4481,P642),"")</f>
        <v>55</v>
      </c>
      <c r="S642" s="33">
        <f>INDEX(Stores!$G$2:$G$21,MATCH(B642,Stores!$A$2:$A$21,0))</f>
        <v>36</v>
      </c>
      <c r="T642" s="34">
        <f>IF(R642="","",R642/S642)</f>
        <v>1.52777777777778</v>
      </c>
      <c r="U642" s="34">
        <f>IF(E642=1,T642,"")</f>
        <v>1.52777777777778</v>
      </c>
      <c r="V642" s="34" t="str">
        <f>IF(AND(E642=1,L642=0),T642,"")</f>
        <v/>
      </c>
      <c r="W642" s="33">
        <f>IF(U642="","",IF(U642&lt;=Breakdowns!$C$5,1,IF(U642&lt;=Breakdowns!$C$6,2,IF(U642&lt;=Breakdowns!$C$7,3,4))))</f>
        <v>4</v>
      </c>
      <c r="X642" s="33" t="str">
        <f>IF(V642="","",IF(V642&lt;=Breakdowns!$D$5,1,IF(V642&lt;=Breakdowns!$D$6,2,IF(V642&lt;=Breakdowns!$D$7,3,4))))</f>
        <v/>
      </c>
      <c r="Y642" s="34">
        <f>INDEX(Stores!$F$2:$F$21,MATCH(B642,Stores!$A$2:$A$21,0))</f>
        <v>2.16</v>
      </c>
      <c r="Z642" s="33">
        <f>IF(Y642&gt;Store_Summary!$M$2,1,0)</f>
        <v>0</v>
      </c>
      <c r="AA642" s="33">
        <f>INDEX(Stores!$C$2:$C$21,MATCH(B642,Stores!$A$2:$A$21,0))</f>
        <v>47</v>
      </c>
      <c r="AB642" s="33">
        <f>IF(AA642&lt;180,1,0)</f>
        <v>1</v>
      </c>
      <c r="AC642" s="32" t="str">
        <f>IF(Orders!D639="","",INDEX(Riders!$C$2:$C$81,MATCH(Orders!D639,Riders!$A$2:$A$81,0)))</f>
        <v>EV scooter</v>
      </c>
      <c r="AD642" s="33">
        <f>IF(Orders!D639="","",INDEX(Riders!$D$2:$D$81,MATCH(Orders!D639,Riders!$A$2:$A$81,0)))</f>
        <v>24</v>
      </c>
      <c r="AE642" s="33">
        <f>IF(Orders!D639="","",IF(INDEX(Riders!$B$2:$B$81,MATCH(Orders!D639,Riders!$A$2:$A$81,0))=B642,1,0))</f>
        <v>0</v>
      </c>
      <c r="AF642" s="34">
        <f>IF(E642=1,Orders!L639,"")</f>
        <v>1.82</v>
      </c>
      <c r="AG642" s="34">
        <f>IF(E642=1,Orders!P639,"")</f>
        <v>10.8</v>
      </c>
      <c r="AH642" s="34">
        <f>IF(E642=1,Orders!Q639,"")</f>
        <v>12.2</v>
      </c>
      <c r="AI642" s="34">
        <f>IF(E642=1,Orders!M639,"")</f>
        <v>2.6</v>
      </c>
      <c r="AJ642" s="34">
        <f>IF(E642=1,Orders!N639,"")</f>
        <v>4.2</v>
      </c>
      <c r="AK642" s="34">
        <f>IF(E642=1,Orders!O639,"")</f>
        <v>5.4</v>
      </c>
      <c r="AL642" s="33">
        <f>IF(E642=1,IF(ROUND(ABS(AI642+AJ642+AK642-AH642),6)&lt;=0.1,1,0),"")</f>
        <v>1</v>
      </c>
      <c r="AM642" s="36">
        <f>IF(E642=1,AI642/AH642,"")</f>
        <v>0.213114754098361</v>
      </c>
      <c r="AN642" s="36">
        <f>IF(E642=1,AJ642/AH642,"")</f>
        <v>0.344262295081967</v>
      </c>
      <c r="AO642" s="36">
        <f>IF(E642=1,AK642/AH642,"")</f>
        <v>0.442622950819672</v>
      </c>
      <c r="AP642" s="34">
        <f>IF(E642=1,Orders!Y639,"")</f>
        <v>0.43</v>
      </c>
      <c r="AQ642" s="33">
        <f>IF(Orders!X639,1,0)</f>
        <v>0</v>
      </c>
      <c r="AR642" s="34">
        <f>IF(AND(E642=1,L642=1),AJ642,"")</f>
        <v>4.2</v>
      </c>
      <c r="AS642" s="34" t="str">
        <f>IF(AND(E642=1,L642=0),AJ642,"")</f>
        <v/>
      </c>
      <c r="AT642" s="34">
        <f>IF(AND(E642=1,L642=1),AI642,"")</f>
        <v>2.6</v>
      </c>
      <c r="AU642" s="34" t="str">
        <f>IF(AND(E642=1,L642=0),AI642,"")</f>
        <v/>
      </c>
      <c r="AV642" s="34">
        <f>IF(AND(E642=1,L642=1),AG642,"")</f>
        <v>10.8</v>
      </c>
      <c r="AW642" s="34" t="str">
        <f>IF(AND(E642=1,L642=0),AG642,"")</f>
        <v/>
      </c>
      <c r="AX642" s="34">
        <f>IF(AND(E642=1,L642=1),AH642,"")</f>
        <v>12.2</v>
      </c>
      <c r="AY642" s="34" t="str">
        <f>IF(AND(E642=1,L642=0),AH642,"")</f>
        <v/>
      </c>
      <c r="AZ642" s="34">
        <f>IF(G642=1,F642,"")</f>
        <v>1.4</v>
      </c>
      <c r="BA642" s="34">
        <f>IF(AND(G642=1,L642=1),F642,"")</f>
        <v>1.4</v>
      </c>
      <c r="BB642" s="34" t="str">
        <f>IF(AND(G642=1,L642=0),F642,"")</f>
        <v/>
      </c>
      <c r="BC642" s="33">
        <f>IF(E642=1,IF(Orders!R639&gt;3,1,0),"")</f>
        <v>0</v>
      </c>
      <c r="BD642" s="33">
        <f>IF(E642=1,IF(Orders!R639&gt;7,1,0),"")</f>
        <v>0</v>
      </c>
      <c r="BE642" s="32" t="str">
        <f>IF(E642=1,IF(Orders!L639&lt;=1.5,"Up to 1.5 km",IF(Orders!L639&lt;=3,"1.5–3 km","Over 3 km")),"")</f>
        <v>1.5–3 km</v>
      </c>
      <c r="BF642" s="33">
        <f>IF(E642=1,IF(ABS((Orders!G639-Orders!F639)*1440-Orders!R639)&lt;0.06,1,0),"")</f>
        <v>1</v>
      </c>
      <c r="BG642" s="33">
        <f>IF(ABS((Orders!F639-Orders!E639)*1440-Orders!P639)&lt;0.06,1,0)</f>
        <v>1</v>
      </c>
      <c r="BH642" s="33">
        <f>IF(E642=1,IF(IF(Orders!S639,1,0)=1-G642,1,0),"")</f>
        <v>1</v>
      </c>
      <c r="BI642" s="32" t="str">
        <f>INDEX(Stores!$B$2:$B$21,MATCH(B642,Stores!$A$2:$A$21,0))</f>
        <v>Hyderabad</v>
      </c>
    </row>
    <row r="643">
      <c r="A643" s="32" t="str">
        <f>Orders!A640</f>
        <v>O00639</v>
      </c>
      <c r="B643" s="32" t="str">
        <f>Orders!C640</f>
        <v>S015</v>
      </c>
      <c r="C643" s="32" t="str">
        <f>Orders!B640</f>
        <v>C0244</v>
      </c>
      <c r="D643" s="32" t="str">
        <f>Orders!H640</f>
        <v>Delivered</v>
      </c>
      <c r="E643" s="33">
        <f>IF(Orders!H640="Delivered",1,0)</f>
        <v>1</v>
      </c>
      <c r="F643" s="34">
        <f>IF(E643=1,Orders!R640,"")</f>
        <v>-1.1</v>
      </c>
      <c r="G643" s="33">
        <f>IF(E643=1,IF(Orders!R640&gt;0,1,0),"")</f>
        <v>0</v>
      </c>
      <c r="H643" s="33">
        <f>IF(E643=1,IF(Orders!R640&gt;5,1,0),"")</f>
        <v>0</v>
      </c>
      <c r="I643" s="32" t="str">
        <f>IF(E643=1,"",IF(OR(Orders!T640="Rider unavailable",Orders!T640="Item unavailable"),"Company-caused","Unresolved"))</f>
        <v/>
      </c>
      <c r="J643" s="33">
        <f>IF(OR(E643=1,I643="Company-caused"),1,0)</f>
        <v>1</v>
      </c>
      <c r="K643" s="32" t="str">
        <f>IF(E643=0,IF(I643="Company-caused",IF(Orders!T640="Rider unavailable","C1 Rider unavailable","C2 Item unavailable"),"Outside root: unresolved"),IF(G643=0,"A On time",IF(H643=1,IF(L643=1,"B2a Severe, peak","B2b Severe, off-peak"),IF(L643=1,"B1a Slight, peak","B1b Slight, off-peak"))))</f>
        <v>A On time</v>
      </c>
      <c r="L643" s="33">
        <f>IF(AND(Orders!U640&gt;=19,Orders!U640&lt;22),1,0)</f>
        <v>0</v>
      </c>
      <c r="M643" s="33">
        <f>IF(L643=IF(Orders!V640,1,0),1,0)</f>
        <v>1</v>
      </c>
      <c r="N643" s="32" t="str">
        <f>IF(Orders!W640="","None",Orders!W640)</f>
        <v>None</v>
      </c>
      <c r="O643" s="35">
        <f>INT(Orders!E640)</f>
        <v>46275.0</v>
      </c>
      <c r="P643" s="33">
        <f>Orders!U640</f>
        <v>9</v>
      </c>
      <c r="Q643" s="33">
        <f>COUNTIFS(Demand!$A$2:$A$4481,B643,Demand!$B$2:$B$4481,O643,Demand!$C$2:$C$4481,P643)</f>
        <v>1</v>
      </c>
      <c r="R643" s="33">
        <f>IF(Q643=1,SUMIFS(Demand!$E$2:$E$4481,Demand!$A$2:$A$4481,B643,Demand!$B$2:$B$4481,O643,Demand!$C$2:$C$4481,P643),"")</f>
        <v>9</v>
      </c>
      <c r="S643" s="33">
        <f>INDEX(Stores!$G$2:$G$21,MATCH(B643,Stores!$A$2:$A$21,0))</f>
        <v>23</v>
      </c>
      <c r="T643" s="34">
        <f>IF(R643="","",R643/S643)</f>
        <v>0.391304347826087</v>
      </c>
      <c r="U643" s="34">
        <f>IF(E643=1,T643,"")</f>
        <v>0.391304347826087</v>
      </c>
      <c r="V643" s="34">
        <f>IF(AND(E643=1,L643=0),T643,"")</f>
        <v>0.391304347826087</v>
      </c>
      <c r="W643" s="33">
        <f>IF(U643="","",IF(U643&lt;=Breakdowns!$C$5,1,IF(U643&lt;=Breakdowns!$C$6,2,IF(U643&lt;=Breakdowns!$C$7,3,4))))</f>
        <v>1</v>
      </c>
      <c r="X643" s="33">
        <f>IF(V643="","",IF(V643&lt;=Breakdowns!$D$5,1,IF(V643&lt;=Breakdowns!$D$6,2,IF(V643&lt;=Breakdowns!$D$7,3,4))))</f>
        <v>1</v>
      </c>
      <c r="Y643" s="34">
        <f>INDEX(Stores!$F$2:$F$21,MATCH(B643,Stores!$A$2:$A$21,0))</f>
        <v>4.66</v>
      </c>
      <c r="Z643" s="33">
        <f>IF(Y643&gt;Store_Summary!$M$2,1,0)</f>
        <v>0</v>
      </c>
      <c r="AA643" s="33">
        <f>INDEX(Stores!$C$2:$C$21,MATCH(B643,Stores!$A$2:$A$21,0))</f>
        <v>204</v>
      </c>
      <c r="AB643" s="33">
        <f>IF(AA643&lt;180,1,0)</f>
        <v>0</v>
      </c>
      <c r="AC643" s="32" t="str">
        <f>IF(Orders!D640="","",INDEX(Riders!$C$2:$C$81,MATCH(Orders!D640,Riders!$A$2:$A$81,0)))</f>
        <v>Bicycle</v>
      </c>
      <c r="AD643" s="33">
        <f>IF(Orders!D640="","",INDEX(Riders!$D$2:$D$81,MATCH(Orders!D640,Riders!$A$2:$A$81,0)))</f>
        <v>2</v>
      </c>
      <c r="AE643" s="33">
        <f>IF(Orders!D640="","",IF(INDEX(Riders!$B$2:$B$81,MATCH(Orders!D640,Riders!$A$2:$A$81,0))=B643,1,0))</f>
        <v>0</v>
      </c>
      <c r="AF643" s="34">
        <f>IF(E643=1,Orders!L640,"")</f>
        <v>0.57</v>
      </c>
      <c r="AG643" s="34">
        <f>IF(E643=1,Orders!P640,"")</f>
        <v>13.1</v>
      </c>
      <c r="AH643" s="34">
        <f>IF(E643=1,Orders!Q640,"")</f>
        <v>12</v>
      </c>
      <c r="AI643" s="34">
        <f>IF(E643=1,Orders!M640,"")</f>
        <v>5.1</v>
      </c>
      <c r="AJ643" s="34">
        <f>IF(E643=1,Orders!N640,"")</f>
        <v>3.6</v>
      </c>
      <c r="AK643" s="34">
        <f>IF(E643=1,Orders!O640,"")</f>
        <v>3.3</v>
      </c>
      <c r="AL643" s="33">
        <f>IF(E643=1,IF(ROUND(ABS(AI643+AJ643+AK643-AH643),6)&lt;=0.1,1,0),"")</f>
        <v>1</v>
      </c>
      <c r="AM643" s="36">
        <f>IF(E643=1,AI643/AH643,"")</f>
        <v>0.425</v>
      </c>
      <c r="AN643" s="36">
        <f>IF(E643=1,AJ643/AH643,"")</f>
        <v>0.3</v>
      </c>
      <c r="AO643" s="36">
        <f>IF(E643=1,AK643/AH643,"")</f>
        <v>0.275</v>
      </c>
      <c r="AP643" s="34">
        <f>IF(E643=1,Orders!Y640,"")</f>
        <v>0.76</v>
      </c>
      <c r="AQ643" s="33">
        <f>IF(Orders!X640,1,0)</f>
        <v>0</v>
      </c>
      <c r="AR643" s="34" t="str">
        <f>IF(AND(E643=1,L643=1),AJ643,"")</f>
        <v/>
      </c>
      <c r="AS643" s="34">
        <f>IF(AND(E643=1,L643=0),AJ643,"")</f>
        <v>3.6</v>
      </c>
      <c r="AT643" s="34" t="str">
        <f>IF(AND(E643=1,L643=1),AI643,"")</f>
        <v/>
      </c>
      <c r="AU643" s="34">
        <f>IF(AND(E643=1,L643=0),AI643,"")</f>
        <v>5.1</v>
      </c>
      <c r="AV643" s="34" t="str">
        <f>IF(AND(E643=1,L643=1),AG643,"")</f>
        <v/>
      </c>
      <c r="AW643" s="34">
        <f>IF(AND(E643=1,L643=0),AG643,"")</f>
        <v>13.1</v>
      </c>
      <c r="AX643" s="34" t="str">
        <f>IF(AND(E643=1,L643=1),AH643,"")</f>
        <v/>
      </c>
      <c r="AY643" s="34">
        <f>IF(AND(E643=1,L643=0),AH643,"")</f>
        <v>12</v>
      </c>
      <c r="AZ643" s="34" t="str">
        <f>IF(G643=1,F643,"")</f>
        <v/>
      </c>
      <c r="BA643" s="34" t="str">
        <f>IF(AND(G643=1,L643=1),F643,"")</f>
        <v/>
      </c>
      <c r="BB643" s="34" t="str">
        <f>IF(AND(G643=1,L643=0),F643,"")</f>
        <v/>
      </c>
      <c r="BC643" s="33">
        <f>IF(E643=1,IF(Orders!R640&gt;3,1,0),"")</f>
        <v>0</v>
      </c>
      <c r="BD643" s="33">
        <f>IF(E643=1,IF(Orders!R640&gt;7,1,0),"")</f>
        <v>0</v>
      </c>
      <c r="BE643" s="32" t="str">
        <f>IF(E643=1,IF(Orders!L640&lt;=1.5,"Up to 1.5 km",IF(Orders!L640&lt;=3,"1.5–3 km","Over 3 km")),"")</f>
        <v>Up to 1.5 km</v>
      </c>
      <c r="BF643" s="33">
        <f>IF(E643=1,IF(ABS((Orders!G640-Orders!F640)*1440-Orders!R640)&lt;0.06,1,0),"")</f>
        <v>1</v>
      </c>
      <c r="BG643" s="33">
        <f>IF(ABS((Orders!F640-Orders!E640)*1440-Orders!P640)&lt;0.06,1,0)</f>
        <v>1</v>
      </c>
      <c r="BH643" s="33">
        <f>IF(E643=1,IF(IF(Orders!S640,1,0)=1-G643,1,0),"")</f>
        <v>1</v>
      </c>
      <c r="BI643" s="32" t="str">
        <f>INDEX(Stores!$B$2:$B$21,MATCH(B643,Stores!$A$2:$A$21,0))</f>
        <v>Delhi</v>
      </c>
    </row>
    <row r="644">
      <c r="A644" s="32" t="str">
        <f>Orders!A641</f>
        <v>O00640</v>
      </c>
      <c r="B644" s="32" t="str">
        <f>Orders!C641</f>
        <v>S017</v>
      </c>
      <c r="C644" s="32" t="str">
        <f>Orders!B641</f>
        <v>C0051</v>
      </c>
      <c r="D644" s="32" t="str">
        <f>Orders!H641</f>
        <v>Delivered</v>
      </c>
      <c r="E644" s="33">
        <f>IF(Orders!H641="Delivered",1,0)</f>
        <v>1</v>
      </c>
      <c r="F644" s="34">
        <f>IF(E644=1,Orders!R641,"")</f>
        <v>-0.6</v>
      </c>
      <c r="G644" s="33">
        <f>IF(E644=1,IF(Orders!R641&gt;0,1,0),"")</f>
        <v>0</v>
      </c>
      <c r="H644" s="33">
        <f>IF(E644=1,IF(Orders!R641&gt;5,1,0),"")</f>
        <v>0</v>
      </c>
      <c r="I644" s="32" t="str">
        <f>IF(E644=1,"",IF(OR(Orders!T641="Rider unavailable",Orders!T641="Item unavailable"),"Company-caused","Unresolved"))</f>
        <v/>
      </c>
      <c r="J644" s="33">
        <f>IF(OR(E644=1,I644="Company-caused"),1,0)</f>
        <v>1</v>
      </c>
      <c r="K644" s="32" t="str">
        <f>IF(E644=0,IF(I644="Company-caused",IF(Orders!T641="Rider unavailable","C1 Rider unavailable","C2 Item unavailable"),"Outside root: unresolved"),IF(G644=0,"A On time",IF(H644=1,IF(L644=1,"B2a Severe, peak","B2b Severe, off-peak"),IF(L644=1,"B1a Slight, peak","B1b Slight, off-peak"))))</f>
        <v>A On time</v>
      </c>
      <c r="L644" s="33">
        <f>IF(AND(Orders!U641&gt;=19,Orders!U641&lt;22),1,0)</f>
        <v>0</v>
      </c>
      <c r="M644" s="33">
        <f>IF(L644=IF(Orders!V641,1,0),1,0)</f>
        <v>1</v>
      </c>
      <c r="N644" s="32" t="str">
        <f>IF(Orders!W641="","None",Orders!W641)</f>
        <v>None</v>
      </c>
      <c r="O644" s="35">
        <f>INT(Orders!E641)</f>
        <v>46279.0</v>
      </c>
      <c r="P644" s="33">
        <f>Orders!U641</f>
        <v>16</v>
      </c>
      <c r="Q644" s="33">
        <f>COUNTIFS(Demand!$A$2:$A$4481,B644,Demand!$B$2:$B$4481,O644,Demand!$C$2:$C$4481,P644)</f>
        <v>1</v>
      </c>
      <c r="R644" s="33">
        <f>IF(Q644=1,SUMIFS(Demand!$E$2:$E$4481,Demand!$A$2:$A$4481,B644,Demand!$B$2:$B$4481,O644,Demand!$C$2:$C$4481,P644),"")</f>
        <v>35</v>
      </c>
      <c r="S644" s="33">
        <f>INDEX(Stores!$G$2:$G$21,MATCH(B644,Stores!$A$2:$A$21,0))</f>
        <v>36</v>
      </c>
      <c r="T644" s="34">
        <f>IF(R644="","",R644/S644)</f>
        <v>0.972222222222222</v>
      </c>
      <c r="U644" s="34">
        <f>IF(E644=1,T644,"")</f>
        <v>0.972222222222222</v>
      </c>
      <c r="V644" s="34">
        <f>IF(AND(E644=1,L644=0),T644,"")</f>
        <v>0.972222222222222</v>
      </c>
      <c r="W644" s="33">
        <f>IF(U644="","",IF(U644&lt;=Breakdowns!$C$5,1,IF(U644&lt;=Breakdowns!$C$6,2,IF(U644&lt;=Breakdowns!$C$7,3,4))))</f>
        <v>2</v>
      </c>
      <c r="X644" s="33">
        <f>IF(V644="","",IF(V644&lt;=Breakdowns!$D$5,1,IF(V644&lt;=Breakdowns!$D$6,2,IF(V644&lt;=Breakdowns!$D$7,3,4))))</f>
        <v>3</v>
      </c>
      <c r="Y644" s="34">
        <f>INDEX(Stores!$F$2:$F$21,MATCH(B644,Stores!$A$2:$A$21,0))</f>
        <v>2.16</v>
      </c>
      <c r="Z644" s="33">
        <f>IF(Y644&gt;Store_Summary!$M$2,1,0)</f>
        <v>0</v>
      </c>
      <c r="AA644" s="33">
        <f>INDEX(Stores!$C$2:$C$21,MATCH(B644,Stores!$A$2:$A$21,0))</f>
        <v>47</v>
      </c>
      <c r="AB644" s="33">
        <f>IF(AA644&lt;180,1,0)</f>
        <v>1</v>
      </c>
      <c r="AC644" s="32" t="str">
        <f>IF(Orders!D641="","",INDEX(Riders!$C$2:$C$81,MATCH(Orders!D641,Riders!$A$2:$A$81,0)))</f>
        <v>Petrol scooter</v>
      </c>
      <c r="AD644" s="33">
        <f>IF(Orders!D641="","",INDEX(Riders!$D$2:$D$81,MATCH(Orders!D641,Riders!$A$2:$A$81,0)))</f>
        <v>44</v>
      </c>
      <c r="AE644" s="33">
        <f>IF(Orders!D641="","",IF(INDEX(Riders!$B$2:$B$81,MATCH(Orders!D641,Riders!$A$2:$A$81,0))=B644,1,0))</f>
        <v>0</v>
      </c>
      <c r="AF644" s="34">
        <f>IF(E644=1,Orders!L641,"")</f>
        <v>2.58</v>
      </c>
      <c r="AG644" s="34">
        <f>IF(E644=1,Orders!P641,"")</f>
        <v>11.5</v>
      </c>
      <c r="AH644" s="34">
        <f>IF(E644=1,Orders!Q641,"")</f>
        <v>10.9</v>
      </c>
      <c r="AI644" s="34">
        <f>IF(E644=1,Orders!M641,"")</f>
        <v>1.7</v>
      </c>
      <c r="AJ644" s="34">
        <f>IF(E644=1,Orders!N641,"")</f>
        <v>3.2</v>
      </c>
      <c r="AK644" s="34">
        <f>IF(E644=1,Orders!O641,"")</f>
        <v>6</v>
      </c>
      <c r="AL644" s="33">
        <f>IF(E644=1,IF(ROUND(ABS(AI644+AJ644+AK644-AH644),6)&lt;=0.1,1,0),"")</f>
        <v>1</v>
      </c>
      <c r="AM644" s="36">
        <f>IF(E644=1,AI644/AH644,"")</f>
        <v>0.155963302752294</v>
      </c>
      <c r="AN644" s="36">
        <f>IF(E644=1,AJ644/AH644,"")</f>
        <v>0.293577981651376</v>
      </c>
      <c r="AO644" s="36">
        <f>IF(E644=1,AK644/AH644,"")</f>
        <v>0.55045871559633</v>
      </c>
      <c r="AP644" s="34">
        <f>IF(E644=1,Orders!Y641,"")</f>
        <v>0.51</v>
      </c>
      <c r="AQ644" s="33">
        <f>IF(Orders!X641,1,0)</f>
        <v>0</v>
      </c>
      <c r="AR644" s="34" t="str">
        <f>IF(AND(E644=1,L644=1),AJ644,"")</f>
        <v/>
      </c>
      <c r="AS644" s="34">
        <f>IF(AND(E644=1,L644=0),AJ644,"")</f>
        <v>3.2</v>
      </c>
      <c r="AT644" s="34" t="str">
        <f>IF(AND(E644=1,L644=1),AI644,"")</f>
        <v/>
      </c>
      <c r="AU644" s="34">
        <f>IF(AND(E644=1,L644=0),AI644,"")</f>
        <v>1.7</v>
      </c>
      <c r="AV644" s="34" t="str">
        <f>IF(AND(E644=1,L644=1),AG644,"")</f>
        <v/>
      </c>
      <c r="AW644" s="34">
        <f>IF(AND(E644=1,L644=0),AG644,"")</f>
        <v>11.5</v>
      </c>
      <c r="AX644" s="34" t="str">
        <f>IF(AND(E644=1,L644=1),AH644,"")</f>
        <v/>
      </c>
      <c r="AY644" s="34">
        <f>IF(AND(E644=1,L644=0),AH644,"")</f>
        <v>10.9</v>
      </c>
      <c r="AZ644" s="34" t="str">
        <f>IF(G644=1,F644,"")</f>
        <v/>
      </c>
      <c r="BA644" s="34" t="str">
        <f>IF(AND(G644=1,L644=1),F644,"")</f>
        <v/>
      </c>
      <c r="BB644" s="34" t="str">
        <f>IF(AND(G644=1,L644=0),F644,"")</f>
        <v/>
      </c>
      <c r="BC644" s="33">
        <f>IF(E644=1,IF(Orders!R641&gt;3,1,0),"")</f>
        <v>0</v>
      </c>
      <c r="BD644" s="33">
        <f>IF(E644=1,IF(Orders!R641&gt;7,1,0),"")</f>
        <v>0</v>
      </c>
      <c r="BE644" s="32" t="str">
        <f>IF(E644=1,IF(Orders!L641&lt;=1.5,"Up to 1.5 km",IF(Orders!L641&lt;=3,"1.5–3 km","Over 3 km")),"")</f>
        <v>1.5–3 km</v>
      </c>
      <c r="BF644" s="33">
        <f>IF(E644=1,IF(ABS((Orders!G641-Orders!F641)*1440-Orders!R641)&lt;0.06,1,0),"")</f>
        <v>1</v>
      </c>
      <c r="BG644" s="33">
        <f>IF(ABS((Orders!F641-Orders!E641)*1440-Orders!P641)&lt;0.06,1,0)</f>
        <v>1</v>
      </c>
      <c r="BH644" s="33">
        <f>IF(E644=1,IF(IF(Orders!S641,1,0)=1-G644,1,0),"")</f>
        <v>1</v>
      </c>
      <c r="BI644" s="32" t="str">
        <f>INDEX(Stores!$B$2:$B$21,MATCH(B644,Stores!$A$2:$A$21,0))</f>
        <v>Hyderabad</v>
      </c>
    </row>
    <row r="645">
      <c r="A645" s="32" t="str">
        <f>Orders!A642</f>
        <v>O00641</v>
      </c>
      <c r="B645" s="32" t="str">
        <f>Orders!C642</f>
        <v>S010</v>
      </c>
      <c r="C645" s="32" t="str">
        <f>Orders!B642</f>
        <v>C0093</v>
      </c>
      <c r="D645" s="32" t="str">
        <f>Orders!H642</f>
        <v>Delivered</v>
      </c>
      <c r="E645" s="33">
        <f>IF(Orders!H642="Delivered",1,0)</f>
        <v>1</v>
      </c>
      <c r="F645" s="34">
        <f>IF(E645=1,Orders!R642,"")</f>
        <v>-0.6</v>
      </c>
      <c r="G645" s="33">
        <f>IF(E645=1,IF(Orders!R642&gt;0,1,0),"")</f>
        <v>0</v>
      </c>
      <c r="H645" s="33">
        <f>IF(E645=1,IF(Orders!R642&gt;5,1,0),"")</f>
        <v>0</v>
      </c>
      <c r="I645" s="32" t="str">
        <f>IF(E645=1,"",IF(OR(Orders!T642="Rider unavailable",Orders!T642="Item unavailable"),"Company-caused","Unresolved"))</f>
        <v/>
      </c>
      <c r="J645" s="33">
        <f>IF(OR(E645=1,I645="Company-caused"),1,0)</f>
        <v>1</v>
      </c>
      <c r="K645" s="32" t="str">
        <f>IF(E645=0,IF(I645="Company-caused",IF(Orders!T642="Rider unavailable","C1 Rider unavailable","C2 Item unavailable"),"Outside root: unresolved"),IF(G645=0,"A On time",IF(H645=1,IF(L645=1,"B2a Severe, peak","B2b Severe, off-peak"),IF(L645=1,"B1a Slight, peak","B1b Slight, off-peak"))))</f>
        <v>A On time</v>
      </c>
      <c r="L645" s="33">
        <f>IF(AND(Orders!U642&gt;=19,Orders!U642&lt;22),1,0)</f>
        <v>0</v>
      </c>
      <c r="M645" s="33">
        <f>IF(L645=IF(Orders!V642,1,0),1,0)</f>
        <v>1</v>
      </c>
      <c r="N645" s="32" t="str">
        <f>IF(Orders!W642="","None",Orders!W642)</f>
        <v>Light</v>
      </c>
      <c r="O645" s="35">
        <f>INT(Orders!E642)</f>
        <v>46271.0</v>
      </c>
      <c r="P645" s="33">
        <f>Orders!U642</f>
        <v>15</v>
      </c>
      <c r="Q645" s="33">
        <f>COUNTIFS(Demand!$A$2:$A$4481,B645,Demand!$B$2:$B$4481,O645,Demand!$C$2:$C$4481,P645)</f>
        <v>1</v>
      </c>
      <c r="R645" s="33">
        <f>IF(Q645=1,SUMIFS(Demand!$E$2:$E$4481,Demand!$A$2:$A$4481,B645,Demand!$B$2:$B$4481,O645,Demand!$C$2:$C$4481,P645),"")</f>
        <v>13</v>
      </c>
      <c r="S645" s="33">
        <f>INDEX(Stores!$G$2:$G$21,MATCH(B645,Stores!$A$2:$A$21,0))</f>
        <v>22</v>
      </c>
      <c r="T645" s="34">
        <f>IF(R645="","",R645/S645)</f>
        <v>0.590909090909091</v>
      </c>
      <c r="U645" s="34">
        <f>IF(E645=1,T645,"")</f>
        <v>0.590909090909091</v>
      </c>
      <c r="V645" s="34">
        <f>IF(AND(E645=1,L645=0),T645,"")</f>
        <v>0.590909090909091</v>
      </c>
      <c r="W645" s="33">
        <f>IF(U645="","",IF(U645&lt;=Breakdowns!$C$5,1,IF(U645&lt;=Breakdowns!$C$6,2,IF(U645&lt;=Breakdowns!$C$7,3,4))))</f>
        <v>1</v>
      </c>
      <c r="X645" s="33">
        <f>IF(V645="","",IF(V645&lt;=Breakdowns!$D$5,1,IF(V645&lt;=Breakdowns!$D$6,2,IF(V645&lt;=Breakdowns!$D$7,3,4))))</f>
        <v>1</v>
      </c>
      <c r="Y645" s="34">
        <f>INDEX(Stores!$F$2:$F$21,MATCH(B645,Stores!$A$2:$A$21,0))</f>
        <v>5.61</v>
      </c>
      <c r="Z645" s="33">
        <f>IF(Y645&gt;Store_Summary!$M$2,1,0)</f>
        <v>1</v>
      </c>
      <c r="AA645" s="33">
        <f>INDEX(Stores!$C$2:$C$21,MATCH(B645,Stores!$A$2:$A$21,0))</f>
        <v>744</v>
      </c>
      <c r="AB645" s="33">
        <f>IF(AA645&lt;180,1,0)</f>
        <v>0</v>
      </c>
      <c r="AC645" s="32" t="str">
        <f>IF(Orders!D642="","",INDEX(Riders!$C$2:$C$81,MATCH(Orders!D642,Riders!$A$2:$A$81,0)))</f>
        <v>EV scooter</v>
      </c>
      <c r="AD645" s="33">
        <f>IF(Orders!D642="","",INDEX(Riders!$D$2:$D$81,MATCH(Orders!D642,Riders!$A$2:$A$81,0)))</f>
        <v>41</v>
      </c>
      <c r="AE645" s="33">
        <f>IF(Orders!D642="","",IF(INDEX(Riders!$B$2:$B$81,MATCH(Orders!D642,Riders!$A$2:$A$81,0))=B645,1,0))</f>
        <v>1</v>
      </c>
      <c r="AF645" s="34">
        <f>IF(E645=1,Orders!L642,"")</f>
        <v>1.65</v>
      </c>
      <c r="AG645" s="34">
        <f>IF(E645=1,Orders!P642,"")</f>
        <v>10.6</v>
      </c>
      <c r="AH645" s="34">
        <f>IF(E645=1,Orders!Q642,"")</f>
        <v>10</v>
      </c>
      <c r="AI645" s="34">
        <f>IF(E645=1,Orders!M642,"")</f>
        <v>2.9</v>
      </c>
      <c r="AJ645" s="34">
        <f>IF(E645=1,Orders!N642,"")</f>
        <v>5.1</v>
      </c>
      <c r="AK645" s="34">
        <f>IF(E645=1,Orders!O642,"")</f>
        <v>2</v>
      </c>
      <c r="AL645" s="33">
        <f>IF(E645=1,IF(ROUND(ABS(AI645+AJ645+AK645-AH645),6)&lt;=0.1,1,0),"")</f>
        <v>1</v>
      </c>
      <c r="AM645" s="36">
        <f>IF(E645=1,AI645/AH645,"")</f>
        <v>0.29</v>
      </c>
      <c r="AN645" s="36">
        <f>IF(E645=1,AJ645/AH645,"")</f>
        <v>0.51</v>
      </c>
      <c r="AO645" s="36">
        <f>IF(E645=1,AK645/AH645,"")</f>
        <v>0.2</v>
      </c>
      <c r="AP645" s="34">
        <f>IF(E645=1,Orders!Y642,"")</f>
        <v>0.16</v>
      </c>
      <c r="AQ645" s="33">
        <f>IF(Orders!X642,1,0)</f>
        <v>1</v>
      </c>
      <c r="AR645" s="34" t="str">
        <f>IF(AND(E645=1,L645=1),AJ645,"")</f>
        <v/>
      </c>
      <c r="AS645" s="34">
        <f>IF(AND(E645=1,L645=0),AJ645,"")</f>
        <v>5.1</v>
      </c>
      <c r="AT645" s="34" t="str">
        <f>IF(AND(E645=1,L645=1),AI645,"")</f>
        <v/>
      </c>
      <c r="AU645" s="34">
        <f>IF(AND(E645=1,L645=0),AI645,"")</f>
        <v>2.9</v>
      </c>
      <c r="AV645" s="34" t="str">
        <f>IF(AND(E645=1,L645=1),AG645,"")</f>
        <v/>
      </c>
      <c r="AW645" s="34">
        <f>IF(AND(E645=1,L645=0),AG645,"")</f>
        <v>10.6</v>
      </c>
      <c r="AX645" s="34" t="str">
        <f>IF(AND(E645=1,L645=1),AH645,"")</f>
        <v/>
      </c>
      <c r="AY645" s="34">
        <f>IF(AND(E645=1,L645=0),AH645,"")</f>
        <v>10</v>
      </c>
      <c r="AZ645" s="34" t="str">
        <f>IF(G645=1,F645,"")</f>
        <v/>
      </c>
      <c r="BA645" s="34" t="str">
        <f>IF(AND(G645=1,L645=1),F645,"")</f>
        <v/>
      </c>
      <c r="BB645" s="34" t="str">
        <f>IF(AND(G645=1,L645=0),F645,"")</f>
        <v/>
      </c>
      <c r="BC645" s="33">
        <f>IF(E645=1,IF(Orders!R642&gt;3,1,0),"")</f>
        <v>0</v>
      </c>
      <c r="BD645" s="33">
        <f>IF(E645=1,IF(Orders!R642&gt;7,1,0),"")</f>
        <v>0</v>
      </c>
      <c r="BE645" s="32" t="str">
        <f>IF(E645=1,IF(Orders!L642&lt;=1.5,"Up to 1.5 km",IF(Orders!L642&lt;=3,"1.5–3 km","Over 3 km")),"")</f>
        <v>1.5–3 km</v>
      </c>
      <c r="BF645" s="33">
        <f>IF(E645=1,IF(ABS((Orders!G642-Orders!F642)*1440-Orders!R642)&lt;0.06,1,0),"")</f>
        <v>1</v>
      </c>
      <c r="BG645" s="33">
        <f>IF(ABS((Orders!F642-Orders!E642)*1440-Orders!P642)&lt;0.06,1,0)</f>
        <v>1</v>
      </c>
      <c r="BH645" s="33">
        <f>IF(E645=1,IF(IF(Orders!S642,1,0)=1-G645,1,0),"")</f>
        <v>1</v>
      </c>
      <c r="BI645" s="32" t="str">
        <f>INDEX(Stores!$B$2:$B$21,MATCH(B645,Stores!$A$2:$A$21,0))</f>
        <v>Delhi</v>
      </c>
    </row>
    <row r="646">
      <c r="A646" s="32" t="str">
        <f>Orders!A643</f>
        <v>O00642</v>
      </c>
      <c r="B646" s="32" t="str">
        <f>Orders!C643</f>
        <v>S010</v>
      </c>
      <c r="C646" s="32" t="str">
        <f>Orders!B643</f>
        <v>C0244</v>
      </c>
      <c r="D646" s="32" t="str">
        <f>Orders!H643</f>
        <v>Delivered</v>
      </c>
      <c r="E646" s="33">
        <f>IF(Orders!H643="Delivered",1,0)</f>
        <v>1</v>
      </c>
      <c r="F646" s="34">
        <f>IF(E646=1,Orders!R643,"")</f>
        <v>-0.8</v>
      </c>
      <c r="G646" s="33">
        <f>IF(E646=1,IF(Orders!R643&gt;0,1,0),"")</f>
        <v>0</v>
      </c>
      <c r="H646" s="33">
        <f>IF(E646=1,IF(Orders!R643&gt;5,1,0),"")</f>
        <v>0</v>
      </c>
      <c r="I646" s="32" t="str">
        <f>IF(E646=1,"",IF(OR(Orders!T643="Rider unavailable",Orders!T643="Item unavailable"),"Company-caused","Unresolved"))</f>
        <v/>
      </c>
      <c r="J646" s="33">
        <f>IF(OR(E646=1,I646="Company-caused"),1,0)</f>
        <v>1</v>
      </c>
      <c r="K646" s="32" t="str">
        <f>IF(E646=0,IF(I646="Company-caused",IF(Orders!T643="Rider unavailable","C1 Rider unavailable","C2 Item unavailable"),"Outside root: unresolved"),IF(G646=0,"A On time",IF(H646=1,IF(L646=1,"B2a Severe, peak","B2b Severe, off-peak"),IF(L646=1,"B1a Slight, peak","B1b Slight, off-peak"))))</f>
        <v>A On time</v>
      </c>
      <c r="L646" s="33">
        <f>IF(AND(Orders!U643&gt;=19,Orders!U643&lt;22),1,0)</f>
        <v>0</v>
      </c>
      <c r="M646" s="33">
        <f>IF(L646=IF(Orders!V643,1,0),1,0)</f>
        <v>1</v>
      </c>
      <c r="N646" s="32" t="str">
        <f>IF(Orders!W643="","None",Orders!W643)</f>
        <v>None</v>
      </c>
      <c r="O646" s="35">
        <f>INT(Orders!E643)</f>
        <v>46266.0</v>
      </c>
      <c r="P646" s="33">
        <f>Orders!U643</f>
        <v>14</v>
      </c>
      <c r="Q646" s="33">
        <f>COUNTIFS(Demand!$A$2:$A$4481,B646,Demand!$B$2:$B$4481,O646,Demand!$C$2:$C$4481,P646)</f>
        <v>1</v>
      </c>
      <c r="R646" s="33">
        <f>IF(Q646=1,SUMIFS(Demand!$E$2:$E$4481,Demand!$A$2:$A$4481,B646,Demand!$B$2:$B$4481,O646,Demand!$C$2:$C$4481,P646),"")</f>
        <v>16</v>
      </c>
      <c r="S646" s="33">
        <f>INDEX(Stores!$G$2:$G$21,MATCH(B646,Stores!$A$2:$A$21,0))</f>
        <v>22</v>
      </c>
      <c r="T646" s="34">
        <f>IF(R646="","",R646/S646)</f>
        <v>0.727272727272727</v>
      </c>
      <c r="U646" s="34">
        <f>IF(E646=1,T646,"")</f>
        <v>0.727272727272727</v>
      </c>
      <c r="V646" s="34">
        <f>IF(AND(E646=1,L646=0),T646,"")</f>
        <v>0.727272727272727</v>
      </c>
      <c r="W646" s="33">
        <f>IF(U646="","",IF(U646&lt;=Breakdowns!$C$5,1,IF(U646&lt;=Breakdowns!$C$6,2,IF(U646&lt;=Breakdowns!$C$7,3,4))))</f>
        <v>1</v>
      </c>
      <c r="X646" s="33">
        <f>IF(V646="","",IF(V646&lt;=Breakdowns!$D$5,1,IF(V646&lt;=Breakdowns!$D$6,2,IF(V646&lt;=Breakdowns!$D$7,3,4))))</f>
        <v>1</v>
      </c>
      <c r="Y646" s="34">
        <f>INDEX(Stores!$F$2:$F$21,MATCH(B646,Stores!$A$2:$A$21,0))</f>
        <v>5.61</v>
      </c>
      <c r="Z646" s="33">
        <f>IF(Y646&gt;Store_Summary!$M$2,1,0)</f>
        <v>1</v>
      </c>
      <c r="AA646" s="33">
        <f>INDEX(Stores!$C$2:$C$21,MATCH(B646,Stores!$A$2:$A$21,0))</f>
        <v>744</v>
      </c>
      <c r="AB646" s="33">
        <f>IF(AA646&lt;180,1,0)</f>
        <v>0</v>
      </c>
      <c r="AC646" s="32" t="str">
        <f>IF(Orders!D643="","",INDEX(Riders!$C$2:$C$81,MATCH(Orders!D643,Riders!$A$2:$A$81,0)))</f>
        <v>EV scooter</v>
      </c>
      <c r="AD646" s="33">
        <f>IF(Orders!D643="","",INDEX(Riders!$D$2:$D$81,MATCH(Orders!D643,Riders!$A$2:$A$81,0)))</f>
        <v>39</v>
      </c>
      <c r="AE646" s="33">
        <f>IF(Orders!D643="","",IF(INDEX(Riders!$B$2:$B$81,MATCH(Orders!D643,Riders!$A$2:$A$81,0))=B646,1,0))</f>
        <v>0</v>
      </c>
      <c r="AF646" s="34">
        <f>IF(E646=1,Orders!L643,"")</f>
        <v>3.32</v>
      </c>
      <c r="AG646" s="34">
        <f>IF(E646=1,Orders!P643,"")</f>
        <v>11</v>
      </c>
      <c r="AH646" s="34">
        <f>IF(E646=1,Orders!Q643,"")</f>
        <v>10.2</v>
      </c>
      <c r="AI646" s="34">
        <f>IF(E646=1,Orders!M643,"")</f>
        <v>3.4</v>
      </c>
      <c r="AJ646" s="34">
        <f>IF(E646=1,Orders!N643,"")</f>
        <v>1.7</v>
      </c>
      <c r="AK646" s="34">
        <f>IF(E646=1,Orders!O643,"")</f>
        <v>5.1</v>
      </c>
      <c r="AL646" s="33">
        <f>IF(E646=1,IF(ROUND(ABS(AI646+AJ646+AK646-AH646),6)&lt;=0.1,1,0),"")</f>
        <v>1</v>
      </c>
      <c r="AM646" s="36">
        <f>IF(E646=1,AI646/AH646,"")</f>
        <v>0.333333333333333</v>
      </c>
      <c r="AN646" s="36">
        <f>IF(E646=1,AJ646/AH646,"")</f>
        <v>0.166666666666667</v>
      </c>
      <c r="AO646" s="36">
        <f>IF(E646=1,AK646/AH646,"")</f>
        <v>0.5</v>
      </c>
      <c r="AP646" s="34">
        <f>IF(E646=1,Orders!Y643,"")</f>
        <v>0.76</v>
      </c>
      <c r="AQ646" s="33">
        <f>IF(Orders!X643,1,0)</f>
        <v>0</v>
      </c>
      <c r="AR646" s="34" t="str">
        <f>IF(AND(E646=1,L646=1),AJ646,"")</f>
        <v/>
      </c>
      <c r="AS646" s="34">
        <f>IF(AND(E646=1,L646=0),AJ646,"")</f>
        <v>1.7</v>
      </c>
      <c r="AT646" s="34" t="str">
        <f>IF(AND(E646=1,L646=1),AI646,"")</f>
        <v/>
      </c>
      <c r="AU646" s="34">
        <f>IF(AND(E646=1,L646=0),AI646,"")</f>
        <v>3.4</v>
      </c>
      <c r="AV646" s="34" t="str">
        <f>IF(AND(E646=1,L646=1),AG646,"")</f>
        <v/>
      </c>
      <c r="AW646" s="34">
        <f>IF(AND(E646=1,L646=0),AG646,"")</f>
        <v>11</v>
      </c>
      <c r="AX646" s="34" t="str">
        <f>IF(AND(E646=1,L646=1),AH646,"")</f>
        <v/>
      </c>
      <c r="AY646" s="34">
        <f>IF(AND(E646=1,L646=0),AH646,"")</f>
        <v>10.2</v>
      </c>
      <c r="AZ646" s="34" t="str">
        <f>IF(G646=1,F646,"")</f>
        <v/>
      </c>
      <c r="BA646" s="34" t="str">
        <f>IF(AND(G646=1,L646=1),F646,"")</f>
        <v/>
      </c>
      <c r="BB646" s="34" t="str">
        <f>IF(AND(G646=1,L646=0),F646,"")</f>
        <v/>
      </c>
      <c r="BC646" s="33">
        <f>IF(E646=1,IF(Orders!R643&gt;3,1,0),"")</f>
        <v>0</v>
      </c>
      <c r="BD646" s="33">
        <f>IF(E646=1,IF(Orders!R643&gt;7,1,0),"")</f>
        <v>0</v>
      </c>
      <c r="BE646" s="32" t="str">
        <f>IF(E646=1,IF(Orders!L643&lt;=1.5,"Up to 1.5 km",IF(Orders!L643&lt;=3,"1.5–3 km","Over 3 km")),"")</f>
        <v>Over 3 km</v>
      </c>
      <c r="BF646" s="33">
        <f>IF(E646=1,IF(ABS((Orders!G643-Orders!F643)*1440-Orders!R643)&lt;0.06,1,0),"")</f>
        <v>1</v>
      </c>
      <c r="BG646" s="33">
        <f>IF(ABS((Orders!F643-Orders!E643)*1440-Orders!P643)&lt;0.06,1,0)</f>
        <v>1</v>
      </c>
      <c r="BH646" s="33">
        <f>IF(E646=1,IF(IF(Orders!S643,1,0)=1-G646,1,0),"")</f>
        <v>1</v>
      </c>
      <c r="BI646" s="32" t="str">
        <f>INDEX(Stores!$B$2:$B$21,MATCH(B646,Stores!$A$2:$A$21,0))</f>
        <v>Delhi</v>
      </c>
    </row>
    <row r="647">
      <c r="A647" s="32" t="str">
        <f>Orders!A644</f>
        <v>O00643</v>
      </c>
      <c r="B647" s="32" t="str">
        <f>Orders!C644</f>
        <v>S002</v>
      </c>
      <c r="C647" s="32" t="str">
        <f>Orders!B644</f>
        <v>C0175</v>
      </c>
      <c r="D647" s="32" t="str">
        <f>Orders!H644</f>
        <v>Delivered</v>
      </c>
      <c r="E647" s="33">
        <f>IF(Orders!H644="Delivered",1,0)</f>
        <v>1</v>
      </c>
      <c r="F647" s="34">
        <f>IF(E647=1,Orders!R644,"")</f>
        <v>-0.2</v>
      </c>
      <c r="G647" s="33">
        <f>IF(E647=1,IF(Orders!R644&gt;0,1,0),"")</f>
        <v>0</v>
      </c>
      <c r="H647" s="33">
        <f>IF(E647=1,IF(Orders!R644&gt;5,1,0),"")</f>
        <v>0</v>
      </c>
      <c r="I647" s="32" t="str">
        <f>IF(E647=1,"",IF(OR(Orders!T644="Rider unavailable",Orders!T644="Item unavailable"),"Company-caused","Unresolved"))</f>
        <v/>
      </c>
      <c r="J647" s="33">
        <f>IF(OR(E647=1,I647="Company-caused"),1,0)</f>
        <v>1</v>
      </c>
      <c r="K647" s="32" t="str">
        <f>IF(E647=0,IF(I647="Company-caused",IF(Orders!T644="Rider unavailable","C1 Rider unavailable","C2 Item unavailable"),"Outside root: unresolved"),IF(G647=0,"A On time",IF(H647=1,IF(L647=1,"B2a Severe, peak","B2b Severe, off-peak"),IF(L647=1,"B1a Slight, peak","B1b Slight, off-peak"))))</f>
        <v>A On time</v>
      </c>
      <c r="L647" s="33">
        <f>IF(AND(Orders!U644&gt;=19,Orders!U644&lt;22),1,0)</f>
        <v>0</v>
      </c>
      <c r="M647" s="33">
        <f>IF(L647=IF(Orders!V644,1,0),1,0)</f>
        <v>1</v>
      </c>
      <c r="N647" s="32" t="str">
        <f>IF(Orders!W644="","None",Orders!W644)</f>
        <v>Heavy</v>
      </c>
      <c r="O647" s="35">
        <f>INT(Orders!E644)</f>
        <v>46273.0</v>
      </c>
      <c r="P647" s="33">
        <f>Orders!U644</f>
        <v>17</v>
      </c>
      <c r="Q647" s="33">
        <f>COUNTIFS(Demand!$A$2:$A$4481,B647,Demand!$B$2:$B$4481,O647,Demand!$C$2:$C$4481,P647)</f>
        <v>1</v>
      </c>
      <c r="R647" s="33">
        <f>IF(Q647=1,SUMIFS(Demand!$E$2:$E$4481,Demand!$A$2:$A$4481,B647,Demand!$B$2:$B$4481,O647,Demand!$C$2:$C$4481,P647),"")</f>
        <v>38</v>
      </c>
      <c r="S647" s="33">
        <f>INDEX(Stores!$G$2:$G$21,MATCH(B647,Stores!$A$2:$A$21,0))</f>
        <v>33</v>
      </c>
      <c r="T647" s="34">
        <f>IF(R647="","",R647/S647)</f>
        <v>1.15151515151515</v>
      </c>
      <c r="U647" s="34">
        <f>IF(E647=1,T647,"")</f>
        <v>1.15151515151515</v>
      </c>
      <c r="V647" s="34">
        <f>IF(AND(E647=1,L647=0),T647,"")</f>
        <v>1.15151515151515</v>
      </c>
      <c r="W647" s="33">
        <f>IF(U647="","",IF(U647&lt;=Breakdowns!$C$5,1,IF(U647&lt;=Breakdowns!$C$6,2,IF(U647&lt;=Breakdowns!$C$7,3,4))))</f>
        <v>3</v>
      </c>
      <c r="X647" s="33">
        <f>IF(V647="","",IF(V647&lt;=Breakdowns!$D$5,1,IF(V647&lt;=Breakdowns!$D$6,2,IF(V647&lt;=Breakdowns!$D$7,3,4))))</f>
        <v>4</v>
      </c>
      <c r="Y647" s="34">
        <f>INDEX(Stores!$F$2:$F$21,MATCH(B647,Stores!$A$2:$A$21,0))</f>
        <v>2.39</v>
      </c>
      <c r="Z647" s="33">
        <f>IF(Y647&gt;Store_Summary!$M$2,1,0)</f>
        <v>0</v>
      </c>
      <c r="AA647" s="33">
        <f>INDEX(Stores!$C$2:$C$21,MATCH(B647,Stores!$A$2:$A$21,0))</f>
        <v>470</v>
      </c>
      <c r="AB647" s="33">
        <f>IF(AA647&lt;180,1,0)</f>
        <v>0</v>
      </c>
      <c r="AC647" s="32" t="str">
        <f>IF(Orders!D644="","",INDEX(Riders!$C$2:$C$81,MATCH(Orders!D644,Riders!$A$2:$A$81,0)))</f>
        <v>Petrol scooter</v>
      </c>
      <c r="AD647" s="33">
        <f>IF(Orders!D644="","",INDEX(Riders!$D$2:$D$81,MATCH(Orders!D644,Riders!$A$2:$A$81,0)))</f>
        <v>32</v>
      </c>
      <c r="AE647" s="33">
        <f>IF(Orders!D644="","",IF(INDEX(Riders!$B$2:$B$81,MATCH(Orders!D644,Riders!$A$2:$A$81,0))=B647,1,0))</f>
        <v>0</v>
      </c>
      <c r="AF647" s="34">
        <f>IF(E647=1,Orders!L644,"")</f>
        <v>1.72</v>
      </c>
      <c r="AG647" s="34">
        <f>IF(E647=1,Orders!P644,"")</f>
        <v>10.3</v>
      </c>
      <c r="AH647" s="34">
        <f>IF(E647=1,Orders!Q644,"")</f>
        <v>10.1</v>
      </c>
      <c r="AI647" s="34">
        <f>IF(E647=1,Orders!M644,"")</f>
        <v>3</v>
      </c>
      <c r="AJ647" s="34">
        <f>IF(E647=1,Orders!N644,"")</f>
        <v>2.6</v>
      </c>
      <c r="AK647" s="34">
        <f>IF(E647=1,Orders!O644,"")</f>
        <v>4.5</v>
      </c>
      <c r="AL647" s="33">
        <f>IF(E647=1,IF(ROUND(ABS(AI647+AJ647+AK647-AH647),6)&lt;=0.1,1,0),"")</f>
        <v>1</v>
      </c>
      <c r="AM647" s="36">
        <f>IF(E647=1,AI647/AH647,"")</f>
        <v>0.297029702970297</v>
      </c>
      <c r="AN647" s="36">
        <f>IF(E647=1,AJ647/AH647,"")</f>
        <v>0.257425742574257</v>
      </c>
      <c r="AO647" s="36">
        <f>IF(E647=1,AK647/AH647,"")</f>
        <v>0.445544554455446</v>
      </c>
      <c r="AP647" s="34">
        <f>IF(E647=1,Orders!Y644,"")</f>
        <v>0.54</v>
      </c>
      <c r="AQ647" s="33">
        <f>IF(Orders!X644,1,0)</f>
        <v>0</v>
      </c>
      <c r="AR647" s="34" t="str">
        <f>IF(AND(E647=1,L647=1),AJ647,"")</f>
        <v/>
      </c>
      <c r="AS647" s="34">
        <f>IF(AND(E647=1,L647=0),AJ647,"")</f>
        <v>2.6</v>
      </c>
      <c r="AT647" s="34" t="str">
        <f>IF(AND(E647=1,L647=1),AI647,"")</f>
        <v/>
      </c>
      <c r="AU647" s="34">
        <f>IF(AND(E647=1,L647=0),AI647,"")</f>
        <v>3</v>
      </c>
      <c r="AV647" s="34" t="str">
        <f>IF(AND(E647=1,L647=1),AG647,"")</f>
        <v/>
      </c>
      <c r="AW647" s="34">
        <f>IF(AND(E647=1,L647=0),AG647,"")</f>
        <v>10.3</v>
      </c>
      <c r="AX647" s="34" t="str">
        <f>IF(AND(E647=1,L647=1),AH647,"")</f>
        <v/>
      </c>
      <c r="AY647" s="34">
        <f>IF(AND(E647=1,L647=0),AH647,"")</f>
        <v>10.1</v>
      </c>
      <c r="AZ647" s="34" t="str">
        <f>IF(G647=1,F647,"")</f>
        <v/>
      </c>
      <c r="BA647" s="34" t="str">
        <f>IF(AND(G647=1,L647=1),F647,"")</f>
        <v/>
      </c>
      <c r="BB647" s="34" t="str">
        <f>IF(AND(G647=1,L647=0),F647,"")</f>
        <v/>
      </c>
      <c r="BC647" s="33">
        <f>IF(E647=1,IF(Orders!R644&gt;3,1,0),"")</f>
        <v>0</v>
      </c>
      <c r="BD647" s="33">
        <f>IF(E647=1,IF(Orders!R644&gt;7,1,0),"")</f>
        <v>0</v>
      </c>
      <c r="BE647" s="32" t="str">
        <f>IF(E647=1,IF(Orders!L644&lt;=1.5,"Up to 1.5 km",IF(Orders!L644&lt;=3,"1.5–3 km","Over 3 km")),"")</f>
        <v>1.5–3 km</v>
      </c>
      <c r="BF647" s="33">
        <f>IF(E647=1,IF(ABS((Orders!G644-Orders!F644)*1440-Orders!R644)&lt;0.06,1,0),"")</f>
        <v>1</v>
      </c>
      <c r="BG647" s="33">
        <f>IF(ABS((Orders!F644-Orders!E644)*1440-Orders!P644)&lt;0.06,1,0)</f>
        <v>1</v>
      </c>
      <c r="BH647" s="33">
        <f>IF(E647=1,IF(IF(Orders!S644,1,0)=1-G647,1,0),"")</f>
        <v>1</v>
      </c>
      <c r="BI647" s="32" t="str">
        <f>INDEX(Stores!$B$2:$B$21,MATCH(B647,Stores!$A$2:$A$21,0))</f>
        <v>Hyderabad</v>
      </c>
    </row>
    <row r="648">
      <c r="A648" s="32" t="str">
        <f>Orders!A645</f>
        <v>O00644</v>
      </c>
      <c r="B648" s="32" t="str">
        <f>Orders!C645</f>
        <v>S008</v>
      </c>
      <c r="C648" s="32" t="str">
        <f>Orders!B645</f>
        <v>C0089</v>
      </c>
      <c r="D648" s="32" t="str">
        <f>Orders!H645</f>
        <v>Delivered</v>
      </c>
      <c r="E648" s="33">
        <f>IF(Orders!H645="Delivered",1,0)</f>
        <v>1</v>
      </c>
      <c r="F648" s="34">
        <f>IF(E648=1,Orders!R645,"")</f>
        <v>-0.7</v>
      </c>
      <c r="G648" s="33">
        <f>IF(E648=1,IF(Orders!R645&gt;0,1,0),"")</f>
        <v>0</v>
      </c>
      <c r="H648" s="33">
        <f>IF(E648=1,IF(Orders!R645&gt;5,1,0),"")</f>
        <v>0</v>
      </c>
      <c r="I648" s="32" t="str">
        <f>IF(E648=1,"",IF(OR(Orders!T645="Rider unavailable",Orders!T645="Item unavailable"),"Company-caused","Unresolved"))</f>
        <v/>
      </c>
      <c r="J648" s="33">
        <f>IF(OR(E648=1,I648="Company-caused"),1,0)</f>
        <v>1</v>
      </c>
      <c r="K648" s="32" t="str">
        <f>IF(E648=0,IF(I648="Company-caused",IF(Orders!T645="Rider unavailable","C1 Rider unavailable","C2 Item unavailable"),"Outside root: unresolved"),IF(G648=0,"A On time",IF(H648=1,IF(L648=1,"B2a Severe, peak","B2b Severe, off-peak"),IF(L648=1,"B1a Slight, peak","B1b Slight, off-peak"))))</f>
        <v>A On time</v>
      </c>
      <c r="L648" s="33">
        <f>IF(AND(Orders!U645&gt;=19,Orders!U645&lt;22),1,0)</f>
        <v>0</v>
      </c>
      <c r="M648" s="33">
        <f>IF(L648=IF(Orders!V645,1,0),1,0)</f>
        <v>1</v>
      </c>
      <c r="N648" s="32" t="str">
        <f>IF(Orders!W645="","None",Orders!W645)</f>
        <v>None</v>
      </c>
      <c r="O648" s="35">
        <f>INT(Orders!E645)</f>
        <v>46278.0</v>
      </c>
      <c r="P648" s="33">
        <f>Orders!U645</f>
        <v>13</v>
      </c>
      <c r="Q648" s="33">
        <f>COUNTIFS(Demand!$A$2:$A$4481,B648,Demand!$B$2:$B$4481,O648,Demand!$C$2:$C$4481,P648)</f>
        <v>1</v>
      </c>
      <c r="R648" s="33">
        <f>IF(Q648=1,SUMIFS(Demand!$E$2:$E$4481,Demand!$A$2:$A$4481,B648,Demand!$B$2:$B$4481,O648,Demand!$C$2:$C$4481,P648),"")</f>
        <v>28</v>
      </c>
      <c r="S648" s="33">
        <f>INDEX(Stores!$G$2:$G$21,MATCH(B648,Stores!$A$2:$A$21,0))</f>
        <v>23</v>
      </c>
      <c r="T648" s="34">
        <f>IF(R648="","",R648/S648)</f>
        <v>1.21739130434783</v>
      </c>
      <c r="U648" s="34">
        <f>IF(E648=1,T648,"")</f>
        <v>1.21739130434783</v>
      </c>
      <c r="V648" s="34">
        <f>IF(AND(E648=1,L648=0),T648,"")</f>
        <v>1.21739130434783</v>
      </c>
      <c r="W648" s="33">
        <f>IF(U648="","",IF(U648&lt;=Breakdowns!$C$5,1,IF(U648&lt;=Breakdowns!$C$6,2,IF(U648&lt;=Breakdowns!$C$7,3,4))))</f>
        <v>3</v>
      </c>
      <c r="X648" s="33">
        <f>IF(V648="","",IF(V648&lt;=Breakdowns!$D$5,1,IF(V648&lt;=Breakdowns!$D$6,2,IF(V648&lt;=Breakdowns!$D$7,3,4))))</f>
        <v>4</v>
      </c>
      <c r="Y648" s="34">
        <f>INDEX(Stores!$F$2:$F$21,MATCH(B648,Stores!$A$2:$A$21,0))</f>
        <v>3.46</v>
      </c>
      <c r="Z648" s="33">
        <f>IF(Y648&gt;Store_Summary!$M$2,1,0)</f>
        <v>0</v>
      </c>
      <c r="AA648" s="33">
        <f>INDEX(Stores!$C$2:$C$21,MATCH(B648,Stores!$A$2:$A$21,0))</f>
        <v>825</v>
      </c>
      <c r="AB648" s="33">
        <f>IF(AA648&lt;180,1,0)</f>
        <v>0</v>
      </c>
      <c r="AC648" s="32" t="str">
        <f>IF(Orders!D645="","",INDEX(Riders!$C$2:$C$81,MATCH(Orders!D645,Riders!$A$2:$A$81,0)))</f>
        <v>Petrol scooter</v>
      </c>
      <c r="AD648" s="33">
        <f>IF(Orders!D645="","",INDEX(Riders!$D$2:$D$81,MATCH(Orders!D645,Riders!$A$2:$A$81,0)))</f>
        <v>32</v>
      </c>
      <c r="AE648" s="33">
        <f>IF(Orders!D645="","",IF(INDEX(Riders!$B$2:$B$81,MATCH(Orders!D645,Riders!$A$2:$A$81,0))=B648,1,0))</f>
        <v>0</v>
      </c>
      <c r="AF648" s="34">
        <f>IF(E648=1,Orders!L645,"")</f>
        <v>0.83</v>
      </c>
      <c r="AG648" s="34">
        <f>IF(E648=1,Orders!P645,"")</f>
        <v>10.2</v>
      </c>
      <c r="AH648" s="34">
        <f>IF(E648=1,Orders!Q645,"")</f>
        <v>9.5</v>
      </c>
      <c r="AI648" s="34">
        <f>IF(E648=1,Orders!M645,"")</f>
        <v>2.3</v>
      </c>
      <c r="AJ648" s="34">
        <f>IF(E648=1,Orders!N645,"")</f>
        <v>4.1</v>
      </c>
      <c r="AK648" s="34">
        <f>IF(E648=1,Orders!O645,"")</f>
        <v>3</v>
      </c>
      <c r="AL648" s="33">
        <f>IF(E648=1,IF(ROUND(ABS(AI648+AJ648+AK648-AH648),6)&lt;=0.1,1,0),"")</f>
        <v>1</v>
      </c>
      <c r="AM648" s="36">
        <f>IF(E648=1,AI648/AH648,"")</f>
        <v>0.242105263157895</v>
      </c>
      <c r="AN648" s="36">
        <f>IF(E648=1,AJ648/AH648,"")</f>
        <v>0.431578947368421</v>
      </c>
      <c r="AO648" s="36">
        <f>IF(E648=1,AK648/AH648,"")</f>
        <v>0.315789473684211</v>
      </c>
      <c r="AP648" s="34">
        <f>IF(E648=1,Orders!Y645,"")</f>
        <v>0.47</v>
      </c>
      <c r="AQ648" s="33">
        <f>IF(Orders!X645,1,0)</f>
        <v>0</v>
      </c>
      <c r="AR648" s="34" t="str">
        <f>IF(AND(E648=1,L648=1),AJ648,"")</f>
        <v/>
      </c>
      <c r="AS648" s="34">
        <f>IF(AND(E648=1,L648=0),AJ648,"")</f>
        <v>4.1</v>
      </c>
      <c r="AT648" s="34" t="str">
        <f>IF(AND(E648=1,L648=1),AI648,"")</f>
        <v/>
      </c>
      <c r="AU648" s="34">
        <f>IF(AND(E648=1,L648=0),AI648,"")</f>
        <v>2.3</v>
      </c>
      <c r="AV648" s="34" t="str">
        <f>IF(AND(E648=1,L648=1),AG648,"")</f>
        <v/>
      </c>
      <c r="AW648" s="34">
        <f>IF(AND(E648=1,L648=0),AG648,"")</f>
        <v>10.2</v>
      </c>
      <c r="AX648" s="34" t="str">
        <f>IF(AND(E648=1,L648=1),AH648,"")</f>
        <v/>
      </c>
      <c r="AY648" s="34">
        <f>IF(AND(E648=1,L648=0),AH648,"")</f>
        <v>9.5</v>
      </c>
      <c r="AZ648" s="34" t="str">
        <f>IF(G648=1,F648,"")</f>
        <v/>
      </c>
      <c r="BA648" s="34" t="str">
        <f>IF(AND(G648=1,L648=1),F648,"")</f>
        <v/>
      </c>
      <c r="BB648" s="34" t="str">
        <f>IF(AND(G648=1,L648=0),F648,"")</f>
        <v/>
      </c>
      <c r="BC648" s="33">
        <f>IF(E648=1,IF(Orders!R645&gt;3,1,0),"")</f>
        <v>0</v>
      </c>
      <c r="BD648" s="33">
        <f>IF(E648=1,IF(Orders!R645&gt;7,1,0),"")</f>
        <v>0</v>
      </c>
      <c r="BE648" s="32" t="str">
        <f>IF(E648=1,IF(Orders!L645&lt;=1.5,"Up to 1.5 km",IF(Orders!L645&lt;=3,"1.5–3 km","Over 3 km")),"")</f>
        <v>Up to 1.5 km</v>
      </c>
      <c r="BF648" s="33">
        <f>IF(E648=1,IF(ABS((Orders!G645-Orders!F645)*1440-Orders!R645)&lt;0.06,1,0),"")</f>
        <v>1</v>
      </c>
      <c r="BG648" s="33">
        <f>IF(ABS((Orders!F645-Orders!E645)*1440-Orders!P645)&lt;0.06,1,0)</f>
        <v>1</v>
      </c>
      <c r="BH648" s="33">
        <f>IF(E648=1,IF(IF(Orders!S645,1,0)=1-G648,1,0),"")</f>
        <v>1</v>
      </c>
      <c r="BI648" s="32" t="str">
        <f>INDEX(Stores!$B$2:$B$21,MATCH(B648,Stores!$A$2:$A$21,0))</f>
        <v>Mumbai</v>
      </c>
    </row>
    <row r="649">
      <c r="A649" s="32" t="str">
        <f>Orders!A646</f>
        <v>O00645</v>
      </c>
      <c r="B649" s="32" t="str">
        <f>Orders!C646</f>
        <v>S016</v>
      </c>
      <c r="C649" s="32" t="str">
        <f>Orders!B646</f>
        <v>C0072</v>
      </c>
      <c r="D649" s="32" t="str">
        <f>Orders!H646</f>
        <v>Delivered</v>
      </c>
      <c r="E649" s="33">
        <f>IF(Orders!H646="Delivered",1,0)</f>
        <v>1</v>
      </c>
      <c r="F649" s="34">
        <f>IF(E649=1,Orders!R646,"")</f>
        <v>6.8</v>
      </c>
      <c r="G649" s="33">
        <f>IF(E649=1,IF(Orders!R646&gt;0,1,0),"")</f>
        <v>1</v>
      </c>
      <c r="H649" s="33">
        <f>IF(E649=1,IF(Orders!R646&gt;5,1,0),"")</f>
        <v>1</v>
      </c>
      <c r="I649" s="32" t="str">
        <f>IF(E649=1,"",IF(OR(Orders!T646="Rider unavailable",Orders!T646="Item unavailable"),"Company-caused","Unresolved"))</f>
        <v/>
      </c>
      <c r="J649" s="33">
        <f>IF(OR(E649=1,I649="Company-caused"),1,0)</f>
        <v>1</v>
      </c>
      <c r="K649" s="32" t="str">
        <f>IF(E649=0,IF(I649="Company-caused",IF(Orders!T646="Rider unavailable","C1 Rider unavailable","C2 Item unavailable"),"Outside root: unresolved"),IF(G649=0,"A On time",IF(H649=1,IF(L649=1,"B2a Severe, peak","B2b Severe, off-peak"),IF(L649=1,"B1a Slight, peak","B1b Slight, off-peak"))))</f>
        <v>B2b Severe, off-peak</v>
      </c>
      <c r="L649" s="33">
        <f>IF(AND(Orders!U646&gt;=19,Orders!U646&lt;22),1,0)</f>
        <v>0</v>
      </c>
      <c r="M649" s="33">
        <f>IF(L649=IF(Orders!V646,1,0),1,0)</f>
        <v>1</v>
      </c>
      <c r="N649" s="32" t="str">
        <f>IF(Orders!W646="","None",Orders!W646)</f>
        <v>Light</v>
      </c>
      <c r="O649" s="35">
        <f>INT(Orders!E646)</f>
        <v>46276.0</v>
      </c>
      <c r="P649" s="33">
        <f>Orders!U646</f>
        <v>10</v>
      </c>
      <c r="Q649" s="33">
        <f>COUNTIFS(Demand!$A$2:$A$4481,B649,Demand!$B$2:$B$4481,O649,Demand!$C$2:$C$4481,P649)</f>
        <v>1</v>
      </c>
      <c r="R649" s="33">
        <f>IF(Q649=1,SUMIFS(Demand!$E$2:$E$4481,Demand!$A$2:$A$4481,B649,Demand!$B$2:$B$4481,O649,Demand!$C$2:$C$4481,P649),"")</f>
        <v>18</v>
      </c>
      <c r="S649" s="33">
        <f>INDEX(Stores!$G$2:$G$21,MATCH(B649,Stores!$A$2:$A$21,0))</f>
        <v>25</v>
      </c>
      <c r="T649" s="34">
        <f>IF(R649="","",R649/S649)</f>
        <v>0.72</v>
      </c>
      <c r="U649" s="34">
        <f>IF(E649=1,T649,"")</f>
        <v>0.72</v>
      </c>
      <c r="V649" s="34">
        <f>IF(AND(E649=1,L649=0),T649,"")</f>
        <v>0.72</v>
      </c>
      <c r="W649" s="33">
        <f>IF(U649="","",IF(U649&lt;=Breakdowns!$C$5,1,IF(U649&lt;=Breakdowns!$C$6,2,IF(U649&lt;=Breakdowns!$C$7,3,4))))</f>
        <v>1</v>
      </c>
      <c r="X649" s="33">
        <f>IF(V649="","",IF(V649&lt;=Breakdowns!$D$5,1,IF(V649&lt;=Breakdowns!$D$6,2,IF(V649&lt;=Breakdowns!$D$7,3,4))))</f>
        <v>1</v>
      </c>
      <c r="Y649" s="34">
        <f>INDEX(Stores!$F$2:$F$21,MATCH(B649,Stores!$A$2:$A$21,0))</f>
        <v>5.51</v>
      </c>
      <c r="Z649" s="33">
        <f>IF(Y649&gt;Store_Summary!$M$2,1,0)</f>
        <v>1</v>
      </c>
      <c r="AA649" s="33">
        <f>INDEX(Stores!$C$2:$C$21,MATCH(B649,Stores!$A$2:$A$21,0))</f>
        <v>792</v>
      </c>
      <c r="AB649" s="33">
        <f>IF(AA649&lt;180,1,0)</f>
        <v>0</v>
      </c>
      <c r="AC649" s="32" t="str">
        <f>IF(Orders!D646="","",INDEX(Riders!$C$2:$C$81,MATCH(Orders!D646,Riders!$A$2:$A$81,0)))</f>
        <v>EV scooter</v>
      </c>
      <c r="AD649" s="33">
        <f>IF(Orders!D646="","",INDEX(Riders!$D$2:$D$81,MATCH(Orders!D646,Riders!$A$2:$A$81,0)))</f>
        <v>22</v>
      </c>
      <c r="AE649" s="33">
        <f>IF(Orders!D646="","",IF(INDEX(Riders!$B$2:$B$81,MATCH(Orders!D646,Riders!$A$2:$A$81,0))=B649,1,0))</f>
        <v>0</v>
      </c>
      <c r="AF649" s="34">
        <f>IF(E649=1,Orders!L646,"")</f>
        <v>2.6</v>
      </c>
      <c r="AG649" s="34">
        <f>IF(E649=1,Orders!P646,"")</f>
        <v>9.6</v>
      </c>
      <c r="AH649" s="34">
        <f>IF(E649=1,Orders!Q646,"")</f>
        <v>16.4</v>
      </c>
      <c r="AI649" s="34">
        <f>IF(E649=1,Orders!M646,"")</f>
        <v>5.1</v>
      </c>
      <c r="AJ649" s="34">
        <f>IF(E649=1,Orders!N646,"")</f>
        <v>3.3</v>
      </c>
      <c r="AK649" s="34">
        <f>IF(E649=1,Orders!O646,"")</f>
        <v>8</v>
      </c>
      <c r="AL649" s="33">
        <f>IF(E649=1,IF(ROUND(ABS(AI649+AJ649+AK649-AH649),6)&lt;=0.1,1,0),"")</f>
        <v>1</v>
      </c>
      <c r="AM649" s="36">
        <f>IF(E649=1,AI649/AH649,"")</f>
        <v>0.310975609756098</v>
      </c>
      <c r="AN649" s="36">
        <f>IF(E649=1,AJ649/AH649,"")</f>
        <v>0.201219512195122</v>
      </c>
      <c r="AO649" s="36">
        <f>IF(E649=1,AK649/AH649,"")</f>
        <v>0.487804878048781</v>
      </c>
      <c r="AP649" s="34">
        <f>IF(E649=1,Orders!Y646,"")</f>
        <v>0.42</v>
      </c>
      <c r="AQ649" s="33">
        <f>IF(Orders!X646,1,0)</f>
        <v>0</v>
      </c>
      <c r="AR649" s="34" t="str">
        <f>IF(AND(E649=1,L649=1),AJ649,"")</f>
        <v/>
      </c>
      <c r="AS649" s="34">
        <f>IF(AND(E649=1,L649=0),AJ649,"")</f>
        <v>3.3</v>
      </c>
      <c r="AT649" s="34" t="str">
        <f>IF(AND(E649=1,L649=1),AI649,"")</f>
        <v/>
      </c>
      <c r="AU649" s="34">
        <f>IF(AND(E649=1,L649=0),AI649,"")</f>
        <v>5.1</v>
      </c>
      <c r="AV649" s="34" t="str">
        <f>IF(AND(E649=1,L649=1),AG649,"")</f>
        <v/>
      </c>
      <c r="AW649" s="34">
        <f>IF(AND(E649=1,L649=0),AG649,"")</f>
        <v>9.6</v>
      </c>
      <c r="AX649" s="34" t="str">
        <f>IF(AND(E649=1,L649=1),AH649,"")</f>
        <v/>
      </c>
      <c r="AY649" s="34">
        <f>IF(AND(E649=1,L649=0),AH649,"")</f>
        <v>16.4</v>
      </c>
      <c r="AZ649" s="34">
        <f>IF(G649=1,F649,"")</f>
        <v>6.8</v>
      </c>
      <c r="BA649" s="34" t="str">
        <f>IF(AND(G649=1,L649=1),F649,"")</f>
        <v/>
      </c>
      <c r="BB649" s="34">
        <f>IF(AND(G649=1,L649=0),F649,"")</f>
        <v>6.8</v>
      </c>
      <c r="BC649" s="33">
        <f>IF(E649=1,IF(Orders!R646&gt;3,1,0),"")</f>
        <v>1</v>
      </c>
      <c r="BD649" s="33">
        <f>IF(E649=1,IF(Orders!R646&gt;7,1,0),"")</f>
        <v>0</v>
      </c>
      <c r="BE649" s="32" t="str">
        <f>IF(E649=1,IF(Orders!L646&lt;=1.5,"Up to 1.5 km",IF(Orders!L646&lt;=3,"1.5–3 km","Over 3 km")),"")</f>
        <v>1.5–3 km</v>
      </c>
      <c r="BF649" s="33">
        <f>IF(E649=1,IF(ABS((Orders!G646-Orders!F646)*1440-Orders!R646)&lt;0.06,1,0),"")</f>
        <v>1</v>
      </c>
      <c r="BG649" s="33">
        <f>IF(ABS((Orders!F646-Orders!E646)*1440-Orders!P646)&lt;0.06,1,0)</f>
        <v>1</v>
      </c>
      <c r="BH649" s="33">
        <f>IF(E649=1,IF(IF(Orders!S646,1,0)=1-G649,1,0),"")</f>
        <v>1</v>
      </c>
      <c r="BI649" s="32" t="str">
        <f>INDEX(Stores!$B$2:$B$21,MATCH(B649,Stores!$A$2:$A$21,0))</f>
        <v>Bengaluru</v>
      </c>
    </row>
    <row r="650">
      <c r="A650" s="32" t="str">
        <f>Orders!A647</f>
        <v>O00646</v>
      </c>
      <c r="B650" s="32" t="str">
        <f>Orders!C647</f>
        <v>S001</v>
      </c>
      <c r="C650" s="32" t="str">
        <f>Orders!B647</f>
        <v>C0027</v>
      </c>
      <c r="D650" s="32" t="str">
        <f>Orders!H647</f>
        <v>Delivered</v>
      </c>
      <c r="E650" s="33">
        <f>IF(Orders!H647="Delivered",1,0)</f>
        <v>1</v>
      </c>
      <c r="F650" s="34">
        <f>IF(E650=1,Orders!R647,"")</f>
        <v>-0.4</v>
      </c>
      <c r="G650" s="33">
        <f>IF(E650=1,IF(Orders!R647&gt;0,1,0),"")</f>
        <v>0</v>
      </c>
      <c r="H650" s="33">
        <f>IF(E650=1,IF(Orders!R647&gt;5,1,0),"")</f>
        <v>0</v>
      </c>
      <c r="I650" s="32" t="str">
        <f>IF(E650=1,"",IF(OR(Orders!T647="Rider unavailable",Orders!T647="Item unavailable"),"Company-caused","Unresolved"))</f>
        <v/>
      </c>
      <c r="J650" s="33">
        <f>IF(OR(E650=1,I650="Company-caused"),1,0)</f>
        <v>1</v>
      </c>
      <c r="K650" s="32" t="str">
        <f>IF(E650=0,IF(I650="Company-caused",IF(Orders!T647="Rider unavailable","C1 Rider unavailable","C2 Item unavailable"),"Outside root: unresolved"),IF(G650=0,"A On time",IF(H650=1,IF(L650=1,"B2a Severe, peak","B2b Severe, off-peak"),IF(L650=1,"B1a Slight, peak","B1b Slight, off-peak"))))</f>
        <v>A On time</v>
      </c>
      <c r="L650" s="33">
        <f>IF(AND(Orders!U647&gt;=19,Orders!U647&lt;22),1,0)</f>
        <v>0</v>
      </c>
      <c r="M650" s="33">
        <f>IF(L650=IF(Orders!V647,1,0),1,0)</f>
        <v>1</v>
      </c>
      <c r="N650" s="32" t="str">
        <f>IF(Orders!W647="","None",Orders!W647)</f>
        <v>None</v>
      </c>
      <c r="O650" s="35">
        <f>INT(Orders!E647)</f>
        <v>46274.0</v>
      </c>
      <c r="P650" s="33">
        <f>Orders!U647</f>
        <v>9</v>
      </c>
      <c r="Q650" s="33">
        <f>COUNTIFS(Demand!$A$2:$A$4481,B650,Demand!$B$2:$B$4481,O650,Demand!$C$2:$C$4481,P650)</f>
        <v>1</v>
      </c>
      <c r="R650" s="33">
        <f>IF(Q650=1,SUMIFS(Demand!$E$2:$E$4481,Demand!$A$2:$A$4481,B650,Demand!$B$2:$B$4481,O650,Demand!$C$2:$C$4481,P650),"")</f>
        <v>10</v>
      </c>
      <c r="S650" s="33">
        <f>INDEX(Stores!$G$2:$G$21,MATCH(B650,Stores!$A$2:$A$21,0))</f>
        <v>16</v>
      </c>
      <c r="T650" s="34">
        <f>IF(R650="","",R650/S650)</f>
        <v>0.625</v>
      </c>
      <c r="U650" s="34">
        <f>IF(E650=1,T650,"")</f>
        <v>0.625</v>
      </c>
      <c r="V650" s="34">
        <f>IF(AND(E650=1,L650=0),T650,"")</f>
        <v>0.625</v>
      </c>
      <c r="W650" s="33">
        <f>IF(U650="","",IF(U650&lt;=Breakdowns!$C$5,1,IF(U650&lt;=Breakdowns!$C$6,2,IF(U650&lt;=Breakdowns!$C$7,3,4))))</f>
        <v>1</v>
      </c>
      <c r="X650" s="33">
        <f>IF(V650="","",IF(V650&lt;=Breakdowns!$D$5,1,IF(V650&lt;=Breakdowns!$D$6,2,IF(V650&lt;=Breakdowns!$D$7,3,4))))</f>
        <v>1</v>
      </c>
      <c r="Y650" s="34">
        <f>INDEX(Stores!$F$2:$F$21,MATCH(B650,Stores!$A$2:$A$21,0))</f>
        <v>4.59</v>
      </c>
      <c r="Z650" s="33">
        <f>IF(Y650&gt;Store_Summary!$M$2,1,0)</f>
        <v>0</v>
      </c>
      <c r="AA650" s="33">
        <f>INDEX(Stores!$C$2:$C$21,MATCH(B650,Stores!$A$2:$A$21,0))</f>
        <v>362</v>
      </c>
      <c r="AB650" s="33">
        <f>IF(AA650&lt;180,1,0)</f>
        <v>0</v>
      </c>
      <c r="AC650" s="32" t="str">
        <f>IF(Orders!D647="","",INDEX(Riders!$C$2:$C$81,MATCH(Orders!D647,Riders!$A$2:$A$81,0)))</f>
        <v>EV scooter</v>
      </c>
      <c r="AD650" s="33">
        <f>IF(Orders!D647="","",INDEX(Riders!$D$2:$D$81,MATCH(Orders!D647,Riders!$A$2:$A$81,0)))</f>
        <v>11</v>
      </c>
      <c r="AE650" s="33">
        <f>IF(Orders!D647="","",IF(INDEX(Riders!$B$2:$B$81,MATCH(Orders!D647,Riders!$A$2:$A$81,0))=B650,1,0))</f>
        <v>0</v>
      </c>
      <c r="AF650" s="34">
        <f>IF(E650=1,Orders!L647,"")</f>
        <v>1.32</v>
      </c>
      <c r="AG650" s="34">
        <f>IF(E650=1,Orders!P647,"")</f>
        <v>11.9</v>
      </c>
      <c r="AH650" s="34">
        <f>IF(E650=1,Orders!Q647,"")</f>
        <v>11.5</v>
      </c>
      <c r="AI650" s="34">
        <f>IF(E650=1,Orders!M647,"")</f>
        <v>4.7</v>
      </c>
      <c r="AJ650" s="34">
        <f>IF(E650=1,Orders!N647,"")</f>
        <v>2.8</v>
      </c>
      <c r="AK650" s="34">
        <f>IF(E650=1,Orders!O647,"")</f>
        <v>4</v>
      </c>
      <c r="AL650" s="33">
        <f>IF(E650=1,IF(ROUND(ABS(AI650+AJ650+AK650-AH650),6)&lt;=0.1,1,0),"")</f>
        <v>1</v>
      </c>
      <c r="AM650" s="36">
        <f>IF(E650=1,AI650/AH650,"")</f>
        <v>0.408695652173913</v>
      </c>
      <c r="AN650" s="36">
        <f>IF(E650=1,AJ650/AH650,"")</f>
        <v>0.243478260869565</v>
      </c>
      <c r="AO650" s="36">
        <f>IF(E650=1,AK650/AH650,"")</f>
        <v>0.347826086956522</v>
      </c>
      <c r="AP650" s="34">
        <f>IF(E650=1,Orders!Y647,"")</f>
        <v>0.6</v>
      </c>
      <c r="AQ650" s="33">
        <f>IF(Orders!X647,1,0)</f>
        <v>0</v>
      </c>
      <c r="AR650" s="34" t="str">
        <f>IF(AND(E650=1,L650=1),AJ650,"")</f>
        <v/>
      </c>
      <c r="AS650" s="34">
        <f>IF(AND(E650=1,L650=0),AJ650,"")</f>
        <v>2.8</v>
      </c>
      <c r="AT650" s="34" t="str">
        <f>IF(AND(E650=1,L650=1),AI650,"")</f>
        <v/>
      </c>
      <c r="AU650" s="34">
        <f>IF(AND(E650=1,L650=0),AI650,"")</f>
        <v>4.7</v>
      </c>
      <c r="AV650" s="34" t="str">
        <f>IF(AND(E650=1,L650=1),AG650,"")</f>
        <v/>
      </c>
      <c r="AW650" s="34">
        <f>IF(AND(E650=1,L650=0),AG650,"")</f>
        <v>11.9</v>
      </c>
      <c r="AX650" s="34" t="str">
        <f>IF(AND(E650=1,L650=1),AH650,"")</f>
        <v/>
      </c>
      <c r="AY650" s="34">
        <f>IF(AND(E650=1,L650=0),AH650,"")</f>
        <v>11.5</v>
      </c>
      <c r="AZ650" s="34" t="str">
        <f>IF(G650=1,F650,"")</f>
        <v/>
      </c>
      <c r="BA650" s="34" t="str">
        <f>IF(AND(G650=1,L650=1),F650,"")</f>
        <v/>
      </c>
      <c r="BB650" s="34" t="str">
        <f>IF(AND(G650=1,L650=0),F650,"")</f>
        <v/>
      </c>
      <c r="BC650" s="33">
        <f>IF(E650=1,IF(Orders!R647&gt;3,1,0),"")</f>
        <v>0</v>
      </c>
      <c r="BD650" s="33">
        <f>IF(E650=1,IF(Orders!R647&gt;7,1,0),"")</f>
        <v>0</v>
      </c>
      <c r="BE650" s="32" t="str">
        <f>IF(E650=1,IF(Orders!L647&lt;=1.5,"Up to 1.5 km",IF(Orders!L647&lt;=3,"1.5–3 km","Over 3 km")),"")</f>
        <v>Up to 1.5 km</v>
      </c>
      <c r="BF650" s="33">
        <f>IF(E650=1,IF(ABS((Orders!G647-Orders!F647)*1440-Orders!R647)&lt;0.06,1,0),"")</f>
        <v>1</v>
      </c>
      <c r="BG650" s="33">
        <f>IF(ABS((Orders!F647-Orders!E647)*1440-Orders!P647)&lt;0.06,1,0)</f>
        <v>1</v>
      </c>
      <c r="BH650" s="33">
        <f>IF(E650=1,IF(IF(Orders!S647,1,0)=1-G650,1,0),"")</f>
        <v>1</v>
      </c>
      <c r="BI650" s="32" t="str">
        <f>INDEX(Stores!$B$2:$B$21,MATCH(B650,Stores!$A$2:$A$21,0))</f>
        <v>Bengaluru</v>
      </c>
    </row>
    <row r="651">
      <c r="A651" s="32" t="str">
        <f>Orders!A648</f>
        <v>O00647</v>
      </c>
      <c r="B651" s="32" t="str">
        <f>Orders!C648</f>
        <v>S002</v>
      </c>
      <c r="C651" s="32" t="str">
        <f>Orders!B648</f>
        <v>C0179</v>
      </c>
      <c r="D651" s="32" t="str">
        <f>Orders!H648</f>
        <v>Delivered</v>
      </c>
      <c r="E651" s="33">
        <f>IF(Orders!H648="Delivered",1,0)</f>
        <v>1</v>
      </c>
      <c r="F651" s="34">
        <f>IF(E651=1,Orders!R648,"")</f>
        <v>-0.3</v>
      </c>
      <c r="G651" s="33">
        <f>IF(E651=1,IF(Orders!R648&gt;0,1,0),"")</f>
        <v>0</v>
      </c>
      <c r="H651" s="33">
        <f>IF(E651=1,IF(Orders!R648&gt;5,1,0),"")</f>
        <v>0</v>
      </c>
      <c r="I651" s="32" t="str">
        <f>IF(E651=1,"",IF(OR(Orders!T648="Rider unavailable",Orders!T648="Item unavailable"),"Company-caused","Unresolved"))</f>
        <v/>
      </c>
      <c r="J651" s="33">
        <f>IF(OR(E651=1,I651="Company-caused"),1,0)</f>
        <v>1</v>
      </c>
      <c r="K651" s="32" t="str">
        <f>IF(E651=0,IF(I651="Company-caused",IF(Orders!T648="Rider unavailable","C1 Rider unavailable","C2 Item unavailable"),"Outside root: unresolved"),IF(G651=0,"A On time",IF(H651=1,IF(L651=1,"B2a Severe, peak","B2b Severe, off-peak"),IF(L651=1,"B1a Slight, peak","B1b Slight, off-peak"))))</f>
        <v>A On time</v>
      </c>
      <c r="L651" s="33">
        <f>IF(AND(Orders!U648&gt;=19,Orders!U648&lt;22),1,0)</f>
        <v>0</v>
      </c>
      <c r="M651" s="33">
        <f>IF(L651=IF(Orders!V648,1,0),1,0)</f>
        <v>1</v>
      </c>
      <c r="N651" s="32" t="str">
        <f>IF(Orders!W648="","None",Orders!W648)</f>
        <v>None</v>
      </c>
      <c r="O651" s="35">
        <f>INT(Orders!E648)</f>
        <v>46267.0</v>
      </c>
      <c r="P651" s="33">
        <f>Orders!U648</f>
        <v>13</v>
      </c>
      <c r="Q651" s="33">
        <f>COUNTIFS(Demand!$A$2:$A$4481,B651,Demand!$B$2:$B$4481,O651,Demand!$C$2:$C$4481,P651)</f>
        <v>1</v>
      </c>
      <c r="R651" s="33">
        <f>IF(Q651=1,SUMIFS(Demand!$E$2:$E$4481,Demand!$A$2:$A$4481,B651,Demand!$B$2:$B$4481,O651,Demand!$C$2:$C$4481,P651),"")</f>
        <v>33</v>
      </c>
      <c r="S651" s="33">
        <f>INDEX(Stores!$G$2:$G$21,MATCH(B651,Stores!$A$2:$A$21,0))</f>
        <v>33</v>
      </c>
      <c r="T651" s="34">
        <f>IF(R651="","",R651/S651)</f>
        <v>1</v>
      </c>
      <c r="U651" s="34">
        <f>IF(E651=1,T651,"")</f>
        <v>1</v>
      </c>
      <c r="V651" s="34">
        <f>IF(AND(E651=1,L651=0),T651,"")</f>
        <v>1</v>
      </c>
      <c r="W651" s="33">
        <f>IF(U651="","",IF(U651&lt;=Breakdowns!$C$5,1,IF(U651&lt;=Breakdowns!$C$6,2,IF(U651&lt;=Breakdowns!$C$7,3,4))))</f>
        <v>2</v>
      </c>
      <c r="X651" s="33">
        <f>IF(V651="","",IF(V651&lt;=Breakdowns!$D$5,1,IF(V651&lt;=Breakdowns!$D$6,2,IF(V651&lt;=Breakdowns!$D$7,3,4))))</f>
        <v>3</v>
      </c>
      <c r="Y651" s="34">
        <f>INDEX(Stores!$F$2:$F$21,MATCH(B651,Stores!$A$2:$A$21,0))</f>
        <v>2.39</v>
      </c>
      <c r="Z651" s="33">
        <f>IF(Y651&gt;Store_Summary!$M$2,1,0)</f>
        <v>0</v>
      </c>
      <c r="AA651" s="33">
        <f>INDEX(Stores!$C$2:$C$21,MATCH(B651,Stores!$A$2:$A$21,0))</f>
        <v>470</v>
      </c>
      <c r="AB651" s="33">
        <f>IF(AA651&lt;180,1,0)</f>
        <v>0</v>
      </c>
      <c r="AC651" s="32" t="str">
        <f>IF(Orders!D648="","",INDEX(Riders!$C$2:$C$81,MATCH(Orders!D648,Riders!$A$2:$A$81,0)))</f>
        <v>Petrol scooter</v>
      </c>
      <c r="AD651" s="33">
        <f>IF(Orders!D648="","",INDEX(Riders!$D$2:$D$81,MATCH(Orders!D648,Riders!$A$2:$A$81,0)))</f>
        <v>20</v>
      </c>
      <c r="AE651" s="33">
        <f>IF(Orders!D648="","",IF(INDEX(Riders!$B$2:$B$81,MATCH(Orders!D648,Riders!$A$2:$A$81,0))=B651,1,0))</f>
        <v>0</v>
      </c>
      <c r="AF651" s="34">
        <f>IF(E651=1,Orders!L648,"")</f>
        <v>1.67</v>
      </c>
      <c r="AG651" s="34">
        <f>IF(E651=1,Orders!P648,"")</f>
        <v>11.4</v>
      </c>
      <c r="AH651" s="34">
        <f>IF(E651=1,Orders!Q648,"")</f>
        <v>11.1</v>
      </c>
      <c r="AI651" s="34">
        <f>IF(E651=1,Orders!M648,"")</f>
        <v>2.1</v>
      </c>
      <c r="AJ651" s="34">
        <f>IF(E651=1,Orders!N648,"")</f>
        <v>5.7</v>
      </c>
      <c r="AK651" s="34">
        <f>IF(E651=1,Orders!O648,"")</f>
        <v>3.3</v>
      </c>
      <c r="AL651" s="33">
        <f>IF(E651=1,IF(ROUND(ABS(AI651+AJ651+AK651-AH651),6)&lt;=0.1,1,0),"")</f>
        <v>1</v>
      </c>
      <c r="AM651" s="36">
        <f>IF(E651=1,AI651/AH651,"")</f>
        <v>0.189189189189189</v>
      </c>
      <c r="AN651" s="36">
        <f>IF(E651=1,AJ651/AH651,"")</f>
        <v>0.513513513513514</v>
      </c>
      <c r="AO651" s="36">
        <f>IF(E651=1,AK651/AH651,"")</f>
        <v>0.297297297297297</v>
      </c>
      <c r="AP651" s="34">
        <f>IF(E651=1,Orders!Y648,"")</f>
        <v>0.35</v>
      </c>
      <c r="AQ651" s="33">
        <f>IF(Orders!X648,1,0)</f>
        <v>0</v>
      </c>
      <c r="AR651" s="34" t="str">
        <f>IF(AND(E651=1,L651=1),AJ651,"")</f>
        <v/>
      </c>
      <c r="AS651" s="34">
        <f>IF(AND(E651=1,L651=0),AJ651,"")</f>
        <v>5.7</v>
      </c>
      <c r="AT651" s="34" t="str">
        <f>IF(AND(E651=1,L651=1),AI651,"")</f>
        <v/>
      </c>
      <c r="AU651" s="34">
        <f>IF(AND(E651=1,L651=0),AI651,"")</f>
        <v>2.1</v>
      </c>
      <c r="AV651" s="34" t="str">
        <f>IF(AND(E651=1,L651=1),AG651,"")</f>
        <v/>
      </c>
      <c r="AW651" s="34">
        <f>IF(AND(E651=1,L651=0),AG651,"")</f>
        <v>11.4</v>
      </c>
      <c r="AX651" s="34" t="str">
        <f>IF(AND(E651=1,L651=1),AH651,"")</f>
        <v/>
      </c>
      <c r="AY651" s="34">
        <f>IF(AND(E651=1,L651=0),AH651,"")</f>
        <v>11.1</v>
      </c>
      <c r="AZ651" s="34" t="str">
        <f>IF(G651=1,F651,"")</f>
        <v/>
      </c>
      <c r="BA651" s="34" t="str">
        <f>IF(AND(G651=1,L651=1),F651,"")</f>
        <v/>
      </c>
      <c r="BB651" s="34" t="str">
        <f>IF(AND(G651=1,L651=0),F651,"")</f>
        <v/>
      </c>
      <c r="BC651" s="33">
        <f>IF(E651=1,IF(Orders!R648&gt;3,1,0),"")</f>
        <v>0</v>
      </c>
      <c r="BD651" s="33">
        <f>IF(E651=1,IF(Orders!R648&gt;7,1,0),"")</f>
        <v>0</v>
      </c>
      <c r="BE651" s="32" t="str">
        <f>IF(E651=1,IF(Orders!L648&lt;=1.5,"Up to 1.5 km",IF(Orders!L648&lt;=3,"1.5–3 km","Over 3 km")),"")</f>
        <v>1.5–3 km</v>
      </c>
      <c r="BF651" s="33">
        <f>IF(E651=1,IF(ABS((Orders!G648-Orders!F648)*1440-Orders!R648)&lt;0.06,1,0),"")</f>
        <v>1</v>
      </c>
      <c r="BG651" s="33">
        <f>IF(ABS((Orders!F648-Orders!E648)*1440-Orders!P648)&lt;0.06,1,0)</f>
        <v>1</v>
      </c>
      <c r="BH651" s="33">
        <f>IF(E651=1,IF(IF(Orders!S648,1,0)=1-G651,1,0),"")</f>
        <v>1</v>
      </c>
      <c r="BI651" s="32" t="str">
        <f>INDEX(Stores!$B$2:$B$21,MATCH(B651,Stores!$A$2:$A$21,0))</f>
        <v>Hyderabad</v>
      </c>
    </row>
    <row r="652">
      <c r="A652" s="32" t="str">
        <f>Orders!A649</f>
        <v>O00648</v>
      </c>
      <c r="B652" s="32" t="str">
        <f>Orders!C649</f>
        <v>S015</v>
      </c>
      <c r="C652" s="32" t="str">
        <f>Orders!B649</f>
        <v>C0106</v>
      </c>
      <c r="D652" s="32" t="str">
        <f>Orders!H649</f>
        <v>Delivered</v>
      </c>
      <c r="E652" s="33">
        <f>IF(Orders!H649="Delivered",1,0)</f>
        <v>1</v>
      </c>
      <c r="F652" s="34">
        <f>IF(E652=1,Orders!R649,"")</f>
        <v>1.3</v>
      </c>
      <c r="G652" s="33">
        <f>IF(E652=1,IF(Orders!R649&gt;0,1,0),"")</f>
        <v>1</v>
      </c>
      <c r="H652" s="33">
        <f>IF(E652=1,IF(Orders!R649&gt;5,1,0),"")</f>
        <v>0</v>
      </c>
      <c r="I652" s="32" t="str">
        <f>IF(E652=1,"",IF(OR(Orders!T649="Rider unavailable",Orders!T649="Item unavailable"),"Company-caused","Unresolved"))</f>
        <v/>
      </c>
      <c r="J652" s="33">
        <f>IF(OR(E652=1,I652="Company-caused"),1,0)</f>
        <v>1</v>
      </c>
      <c r="K652" s="32" t="str">
        <f>IF(E652=0,IF(I652="Company-caused",IF(Orders!T649="Rider unavailable","C1 Rider unavailable","C2 Item unavailable"),"Outside root: unresolved"),IF(G652=0,"A On time",IF(H652=1,IF(L652=1,"B2a Severe, peak","B2b Severe, off-peak"),IF(L652=1,"B1a Slight, peak","B1b Slight, off-peak"))))</f>
        <v>B1b Slight, off-peak</v>
      </c>
      <c r="L652" s="33">
        <f>IF(AND(Orders!U649&gt;=19,Orders!U649&lt;22),1,0)</f>
        <v>0</v>
      </c>
      <c r="M652" s="33">
        <f>IF(L652=IF(Orders!V649,1,0),1,0)</f>
        <v>1</v>
      </c>
      <c r="N652" s="32" t="str">
        <f>IF(Orders!W649="","None",Orders!W649)</f>
        <v>None</v>
      </c>
      <c r="O652" s="35">
        <f>INT(Orders!E649)</f>
        <v>46274.0</v>
      </c>
      <c r="P652" s="33">
        <f>Orders!U649</f>
        <v>15</v>
      </c>
      <c r="Q652" s="33">
        <f>COUNTIFS(Demand!$A$2:$A$4481,B652,Demand!$B$2:$B$4481,O652,Demand!$C$2:$C$4481,P652)</f>
        <v>1</v>
      </c>
      <c r="R652" s="33">
        <f>IF(Q652=1,SUMIFS(Demand!$E$2:$E$4481,Demand!$A$2:$A$4481,B652,Demand!$B$2:$B$4481,O652,Demand!$C$2:$C$4481,P652),"")</f>
        <v>20</v>
      </c>
      <c r="S652" s="33">
        <f>INDEX(Stores!$G$2:$G$21,MATCH(B652,Stores!$A$2:$A$21,0))</f>
        <v>23</v>
      </c>
      <c r="T652" s="34">
        <f>IF(R652="","",R652/S652)</f>
        <v>0.869565217391304</v>
      </c>
      <c r="U652" s="34">
        <f>IF(E652=1,T652,"")</f>
        <v>0.869565217391304</v>
      </c>
      <c r="V652" s="34">
        <f>IF(AND(E652=1,L652=0),T652,"")</f>
        <v>0.869565217391304</v>
      </c>
      <c r="W652" s="33">
        <f>IF(U652="","",IF(U652&lt;=Breakdowns!$C$5,1,IF(U652&lt;=Breakdowns!$C$6,2,IF(U652&lt;=Breakdowns!$C$7,3,4))))</f>
        <v>2</v>
      </c>
      <c r="X652" s="33">
        <f>IF(V652="","",IF(V652&lt;=Breakdowns!$D$5,1,IF(V652&lt;=Breakdowns!$D$6,2,IF(V652&lt;=Breakdowns!$D$7,3,4))))</f>
        <v>2</v>
      </c>
      <c r="Y652" s="34">
        <f>INDEX(Stores!$F$2:$F$21,MATCH(B652,Stores!$A$2:$A$21,0))</f>
        <v>4.66</v>
      </c>
      <c r="Z652" s="33">
        <f>IF(Y652&gt;Store_Summary!$M$2,1,0)</f>
        <v>0</v>
      </c>
      <c r="AA652" s="33">
        <f>INDEX(Stores!$C$2:$C$21,MATCH(B652,Stores!$A$2:$A$21,0))</f>
        <v>204</v>
      </c>
      <c r="AB652" s="33">
        <f>IF(AA652&lt;180,1,0)</f>
        <v>0</v>
      </c>
      <c r="AC652" s="32" t="str">
        <f>IF(Orders!D649="","",INDEX(Riders!$C$2:$C$81,MATCH(Orders!D649,Riders!$A$2:$A$81,0)))</f>
        <v>Bicycle</v>
      </c>
      <c r="AD652" s="33">
        <f>IF(Orders!D649="","",INDEX(Riders!$D$2:$D$81,MATCH(Orders!D649,Riders!$A$2:$A$81,0)))</f>
        <v>40</v>
      </c>
      <c r="AE652" s="33">
        <f>IF(Orders!D649="","",IF(INDEX(Riders!$B$2:$B$81,MATCH(Orders!D649,Riders!$A$2:$A$81,0))=B652,1,0))</f>
        <v>0</v>
      </c>
      <c r="AF652" s="34">
        <f>IF(E652=1,Orders!L649,"")</f>
        <v>2.71</v>
      </c>
      <c r="AG652" s="34">
        <f>IF(E652=1,Orders!P649,"")</f>
        <v>12</v>
      </c>
      <c r="AH652" s="34">
        <f>IF(E652=1,Orders!Q649,"")</f>
        <v>13.3</v>
      </c>
      <c r="AI652" s="34">
        <f>IF(E652=1,Orders!M649,"")</f>
        <v>4.8</v>
      </c>
      <c r="AJ652" s="34">
        <f>IF(E652=1,Orders!N649,"")</f>
        <v>1.6</v>
      </c>
      <c r="AK652" s="34">
        <f>IF(E652=1,Orders!O649,"")</f>
        <v>6.9</v>
      </c>
      <c r="AL652" s="33">
        <f>IF(E652=1,IF(ROUND(ABS(AI652+AJ652+AK652-AH652),6)&lt;=0.1,1,0),"")</f>
        <v>1</v>
      </c>
      <c r="AM652" s="36">
        <f>IF(E652=1,AI652/AH652,"")</f>
        <v>0.360902255639098</v>
      </c>
      <c r="AN652" s="36">
        <f>IF(E652=1,AJ652/AH652,"")</f>
        <v>0.120300751879699</v>
      </c>
      <c r="AO652" s="36">
        <f>IF(E652=1,AK652/AH652,"")</f>
        <v>0.518796992481203</v>
      </c>
      <c r="AP652" s="34">
        <f>IF(E652=1,Orders!Y649,"")</f>
        <v>0.42</v>
      </c>
      <c r="AQ652" s="33">
        <f>IF(Orders!X649,1,0)</f>
        <v>0</v>
      </c>
      <c r="AR652" s="34" t="str">
        <f>IF(AND(E652=1,L652=1),AJ652,"")</f>
        <v/>
      </c>
      <c r="AS652" s="34">
        <f>IF(AND(E652=1,L652=0),AJ652,"")</f>
        <v>1.6</v>
      </c>
      <c r="AT652" s="34" t="str">
        <f>IF(AND(E652=1,L652=1),AI652,"")</f>
        <v/>
      </c>
      <c r="AU652" s="34">
        <f>IF(AND(E652=1,L652=0),AI652,"")</f>
        <v>4.8</v>
      </c>
      <c r="AV652" s="34" t="str">
        <f>IF(AND(E652=1,L652=1),AG652,"")</f>
        <v/>
      </c>
      <c r="AW652" s="34">
        <f>IF(AND(E652=1,L652=0),AG652,"")</f>
        <v>12</v>
      </c>
      <c r="AX652" s="34" t="str">
        <f>IF(AND(E652=1,L652=1),AH652,"")</f>
        <v/>
      </c>
      <c r="AY652" s="34">
        <f>IF(AND(E652=1,L652=0),AH652,"")</f>
        <v>13.3</v>
      </c>
      <c r="AZ652" s="34">
        <f>IF(G652=1,F652,"")</f>
        <v>1.3</v>
      </c>
      <c r="BA652" s="34" t="str">
        <f>IF(AND(G652=1,L652=1),F652,"")</f>
        <v/>
      </c>
      <c r="BB652" s="34">
        <f>IF(AND(G652=1,L652=0),F652,"")</f>
        <v>1.3</v>
      </c>
      <c r="BC652" s="33">
        <f>IF(E652=1,IF(Orders!R649&gt;3,1,0),"")</f>
        <v>0</v>
      </c>
      <c r="BD652" s="33">
        <f>IF(E652=1,IF(Orders!R649&gt;7,1,0),"")</f>
        <v>0</v>
      </c>
      <c r="BE652" s="32" t="str">
        <f>IF(E652=1,IF(Orders!L649&lt;=1.5,"Up to 1.5 km",IF(Orders!L649&lt;=3,"1.5–3 km","Over 3 km")),"")</f>
        <v>1.5–3 km</v>
      </c>
      <c r="BF652" s="33">
        <f>IF(E652=1,IF(ABS((Orders!G649-Orders!F649)*1440-Orders!R649)&lt;0.06,1,0),"")</f>
        <v>1</v>
      </c>
      <c r="BG652" s="33">
        <f>IF(ABS((Orders!F649-Orders!E649)*1440-Orders!P649)&lt;0.06,1,0)</f>
        <v>1</v>
      </c>
      <c r="BH652" s="33">
        <f>IF(E652=1,IF(IF(Orders!S649,1,0)=1-G652,1,0),"")</f>
        <v>1</v>
      </c>
      <c r="BI652" s="32" t="str">
        <f>INDEX(Stores!$B$2:$B$21,MATCH(B652,Stores!$A$2:$A$21,0))</f>
        <v>Delhi</v>
      </c>
    </row>
    <row r="653">
      <c r="A653" s="32" t="str">
        <f>Orders!A650</f>
        <v>O00649</v>
      </c>
      <c r="B653" s="32" t="str">
        <f>Orders!C650</f>
        <v>S002</v>
      </c>
      <c r="C653" s="32" t="str">
        <f>Orders!B650</f>
        <v>C0192</v>
      </c>
      <c r="D653" s="32" t="str">
        <f>Orders!H650</f>
        <v>Delivered</v>
      </c>
      <c r="E653" s="33">
        <f>IF(Orders!H650="Delivered",1,0)</f>
        <v>1</v>
      </c>
      <c r="F653" s="34">
        <f>IF(E653=1,Orders!R650,"")</f>
        <v>-0.6</v>
      </c>
      <c r="G653" s="33">
        <f>IF(E653=1,IF(Orders!R650&gt;0,1,0),"")</f>
        <v>0</v>
      </c>
      <c r="H653" s="33">
        <f>IF(E653=1,IF(Orders!R650&gt;5,1,0),"")</f>
        <v>0</v>
      </c>
      <c r="I653" s="32" t="str">
        <f>IF(E653=1,"",IF(OR(Orders!T650="Rider unavailable",Orders!T650="Item unavailable"),"Company-caused","Unresolved"))</f>
        <v/>
      </c>
      <c r="J653" s="33">
        <f>IF(OR(E653=1,I653="Company-caused"),1,0)</f>
        <v>1</v>
      </c>
      <c r="K653" s="32" t="str">
        <f>IF(E653=0,IF(I653="Company-caused",IF(Orders!T650="Rider unavailable","C1 Rider unavailable","C2 Item unavailable"),"Outside root: unresolved"),IF(G653=0,"A On time",IF(H653=1,IF(L653=1,"B2a Severe, peak","B2b Severe, off-peak"),IF(L653=1,"B1a Slight, peak","B1b Slight, off-peak"))))</f>
        <v>A On time</v>
      </c>
      <c r="L653" s="33">
        <f>IF(AND(Orders!U650&gt;=19,Orders!U650&lt;22),1,0)</f>
        <v>0</v>
      </c>
      <c r="M653" s="33">
        <f>IF(L653=IF(Orders!V650,1,0),1,0)</f>
        <v>1</v>
      </c>
      <c r="N653" s="32" t="str">
        <f>IF(Orders!W650="","None",Orders!W650)</f>
        <v>None</v>
      </c>
      <c r="O653" s="35">
        <f>INT(Orders!E650)</f>
        <v>46266.0</v>
      </c>
      <c r="P653" s="33">
        <f>Orders!U650</f>
        <v>11</v>
      </c>
      <c r="Q653" s="33">
        <f>COUNTIFS(Demand!$A$2:$A$4481,B653,Demand!$B$2:$B$4481,O653,Demand!$C$2:$C$4481,P653)</f>
        <v>1</v>
      </c>
      <c r="R653" s="33">
        <f>IF(Q653=1,SUMIFS(Demand!$E$2:$E$4481,Demand!$A$2:$A$4481,B653,Demand!$B$2:$B$4481,O653,Demand!$C$2:$C$4481,P653),"")</f>
        <v>36</v>
      </c>
      <c r="S653" s="33">
        <f>INDEX(Stores!$G$2:$G$21,MATCH(B653,Stores!$A$2:$A$21,0))</f>
        <v>33</v>
      </c>
      <c r="T653" s="34">
        <f>IF(R653="","",R653/S653)</f>
        <v>1.09090909090909</v>
      </c>
      <c r="U653" s="34">
        <f>IF(E653=1,T653,"")</f>
        <v>1.09090909090909</v>
      </c>
      <c r="V653" s="34">
        <f>IF(AND(E653=1,L653=0),T653,"")</f>
        <v>1.09090909090909</v>
      </c>
      <c r="W653" s="33">
        <f>IF(U653="","",IF(U653&lt;=Breakdowns!$C$5,1,IF(U653&lt;=Breakdowns!$C$6,2,IF(U653&lt;=Breakdowns!$C$7,3,4))))</f>
        <v>3</v>
      </c>
      <c r="X653" s="33">
        <f>IF(V653="","",IF(V653&lt;=Breakdowns!$D$5,1,IF(V653&lt;=Breakdowns!$D$6,2,IF(V653&lt;=Breakdowns!$D$7,3,4))))</f>
        <v>4</v>
      </c>
      <c r="Y653" s="34">
        <f>INDEX(Stores!$F$2:$F$21,MATCH(B653,Stores!$A$2:$A$21,0))</f>
        <v>2.39</v>
      </c>
      <c r="Z653" s="33">
        <f>IF(Y653&gt;Store_Summary!$M$2,1,0)</f>
        <v>0</v>
      </c>
      <c r="AA653" s="33">
        <f>INDEX(Stores!$C$2:$C$21,MATCH(B653,Stores!$A$2:$A$21,0))</f>
        <v>470</v>
      </c>
      <c r="AB653" s="33">
        <f>IF(AA653&lt;180,1,0)</f>
        <v>0</v>
      </c>
      <c r="AC653" s="32" t="str">
        <f>IF(Orders!D650="","",INDEX(Riders!$C$2:$C$81,MATCH(Orders!D650,Riders!$A$2:$A$81,0)))</f>
        <v>EV scooter</v>
      </c>
      <c r="AD653" s="33">
        <f>IF(Orders!D650="","",INDEX(Riders!$D$2:$D$81,MATCH(Orders!D650,Riders!$A$2:$A$81,0)))</f>
        <v>36</v>
      </c>
      <c r="AE653" s="33">
        <f>IF(Orders!D650="","",IF(INDEX(Riders!$B$2:$B$81,MATCH(Orders!D650,Riders!$A$2:$A$81,0))=B653,1,0))</f>
        <v>0</v>
      </c>
      <c r="AF653" s="34">
        <f>IF(E653=1,Orders!L650,"")</f>
        <v>4.37</v>
      </c>
      <c r="AG653" s="34">
        <f>IF(E653=1,Orders!P650,"")</f>
        <v>11.1</v>
      </c>
      <c r="AH653" s="34">
        <f>IF(E653=1,Orders!Q650,"")</f>
        <v>10.5</v>
      </c>
      <c r="AI653" s="34">
        <f>IF(E653=1,Orders!M650,"")</f>
        <v>2.2</v>
      </c>
      <c r="AJ653" s="34">
        <f>IF(E653=1,Orders!N650,"")</f>
        <v>1.4</v>
      </c>
      <c r="AK653" s="34">
        <f>IF(E653=1,Orders!O650,"")</f>
        <v>6.9</v>
      </c>
      <c r="AL653" s="33">
        <f>IF(E653=1,IF(ROUND(ABS(AI653+AJ653+AK653-AH653),6)&lt;=0.1,1,0),"")</f>
        <v>1</v>
      </c>
      <c r="AM653" s="36">
        <f>IF(E653=1,AI653/AH653,"")</f>
        <v>0.20952380952381</v>
      </c>
      <c r="AN653" s="36">
        <f>IF(E653=1,AJ653/AH653,"")</f>
        <v>0.133333333333333</v>
      </c>
      <c r="AO653" s="36">
        <f>IF(E653=1,AK653/AH653,"")</f>
        <v>0.657142857142857</v>
      </c>
      <c r="AP653" s="34">
        <f>IF(E653=1,Orders!Y650,"")</f>
        <v>0.23</v>
      </c>
      <c r="AQ653" s="33">
        <f>IF(Orders!X650,1,0)</f>
        <v>0</v>
      </c>
      <c r="AR653" s="34" t="str">
        <f>IF(AND(E653=1,L653=1),AJ653,"")</f>
        <v/>
      </c>
      <c r="AS653" s="34">
        <f>IF(AND(E653=1,L653=0),AJ653,"")</f>
        <v>1.4</v>
      </c>
      <c r="AT653" s="34" t="str">
        <f>IF(AND(E653=1,L653=1),AI653,"")</f>
        <v/>
      </c>
      <c r="AU653" s="34">
        <f>IF(AND(E653=1,L653=0),AI653,"")</f>
        <v>2.2</v>
      </c>
      <c r="AV653" s="34" t="str">
        <f>IF(AND(E653=1,L653=1),AG653,"")</f>
        <v/>
      </c>
      <c r="AW653" s="34">
        <f>IF(AND(E653=1,L653=0),AG653,"")</f>
        <v>11.1</v>
      </c>
      <c r="AX653" s="34" t="str">
        <f>IF(AND(E653=1,L653=1),AH653,"")</f>
        <v/>
      </c>
      <c r="AY653" s="34">
        <f>IF(AND(E653=1,L653=0),AH653,"")</f>
        <v>10.5</v>
      </c>
      <c r="AZ653" s="34" t="str">
        <f>IF(G653=1,F653,"")</f>
        <v/>
      </c>
      <c r="BA653" s="34" t="str">
        <f>IF(AND(G653=1,L653=1),F653,"")</f>
        <v/>
      </c>
      <c r="BB653" s="34" t="str">
        <f>IF(AND(G653=1,L653=0),F653,"")</f>
        <v/>
      </c>
      <c r="BC653" s="33">
        <f>IF(E653=1,IF(Orders!R650&gt;3,1,0),"")</f>
        <v>0</v>
      </c>
      <c r="BD653" s="33">
        <f>IF(E653=1,IF(Orders!R650&gt;7,1,0),"")</f>
        <v>0</v>
      </c>
      <c r="BE653" s="32" t="str">
        <f>IF(E653=1,IF(Orders!L650&lt;=1.5,"Up to 1.5 km",IF(Orders!L650&lt;=3,"1.5–3 km","Over 3 km")),"")</f>
        <v>Over 3 km</v>
      </c>
      <c r="BF653" s="33">
        <f>IF(E653=1,IF(ABS((Orders!G650-Orders!F650)*1440-Orders!R650)&lt;0.06,1,0),"")</f>
        <v>1</v>
      </c>
      <c r="BG653" s="33">
        <f>IF(ABS((Orders!F650-Orders!E650)*1440-Orders!P650)&lt;0.06,1,0)</f>
        <v>1</v>
      </c>
      <c r="BH653" s="33">
        <f>IF(E653=1,IF(IF(Orders!S650,1,0)=1-G653,1,0),"")</f>
        <v>1</v>
      </c>
      <c r="BI653" s="32" t="str">
        <f>INDEX(Stores!$B$2:$B$21,MATCH(B653,Stores!$A$2:$A$21,0))</f>
        <v>Hyderabad</v>
      </c>
    </row>
    <row r="654">
      <c r="A654" s="32" t="str">
        <f>Orders!A651</f>
        <v>O00650</v>
      </c>
      <c r="B654" s="32" t="str">
        <f>Orders!C651</f>
        <v>S010</v>
      </c>
      <c r="C654" s="32" t="str">
        <f>Orders!B651</f>
        <v>C0245</v>
      </c>
      <c r="D654" s="32" t="str">
        <f>Orders!H651</f>
        <v>Delivered</v>
      </c>
      <c r="E654" s="33">
        <f>IF(Orders!H651="Delivered",1,0)</f>
        <v>1</v>
      </c>
      <c r="F654" s="34">
        <f>IF(E654=1,Orders!R651,"")</f>
        <v>-1.1</v>
      </c>
      <c r="G654" s="33">
        <f>IF(E654=1,IF(Orders!R651&gt;0,1,0),"")</f>
        <v>0</v>
      </c>
      <c r="H654" s="33">
        <f>IF(E654=1,IF(Orders!R651&gt;5,1,0),"")</f>
        <v>0</v>
      </c>
      <c r="I654" s="32" t="str">
        <f>IF(E654=1,"",IF(OR(Orders!T651="Rider unavailable",Orders!T651="Item unavailable"),"Company-caused","Unresolved"))</f>
        <v/>
      </c>
      <c r="J654" s="33">
        <f>IF(OR(E654=1,I654="Company-caused"),1,0)</f>
        <v>1</v>
      </c>
      <c r="K654" s="32" t="str">
        <f>IF(E654=0,IF(I654="Company-caused",IF(Orders!T651="Rider unavailable","C1 Rider unavailable","C2 Item unavailable"),"Outside root: unresolved"),IF(G654=0,"A On time",IF(H654=1,IF(L654=1,"B2a Severe, peak","B2b Severe, off-peak"),IF(L654=1,"B1a Slight, peak","B1b Slight, off-peak"))))</f>
        <v>A On time</v>
      </c>
      <c r="L654" s="33">
        <f>IF(AND(Orders!U651&gt;=19,Orders!U651&lt;22),1,0)</f>
        <v>0</v>
      </c>
      <c r="M654" s="33">
        <f>IF(L654=IF(Orders!V651,1,0),1,0)</f>
        <v>1</v>
      </c>
      <c r="N654" s="32" t="str">
        <f>IF(Orders!W651="","None",Orders!W651)</f>
        <v>None</v>
      </c>
      <c r="O654" s="35">
        <f>INT(Orders!E651)</f>
        <v>46268.0</v>
      </c>
      <c r="P654" s="33">
        <f>Orders!U651</f>
        <v>18</v>
      </c>
      <c r="Q654" s="33">
        <f>COUNTIFS(Demand!$A$2:$A$4481,B654,Demand!$B$2:$B$4481,O654,Demand!$C$2:$C$4481,P654)</f>
        <v>1</v>
      </c>
      <c r="R654" s="33">
        <f>IF(Q654=1,SUMIFS(Demand!$E$2:$E$4481,Demand!$A$2:$A$4481,B654,Demand!$B$2:$B$4481,O654,Demand!$C$2:$C$4481,P654),"")</f>
        <v>25</v>
      </c>
      <c r="S654" s="33">
        <f>INDEX(Stores!$G$2:$G$21,MATCH(B654,Stores!$A$2:$A$21,0))</f>
        <v>22</v>
      </c>
      <c r="T654" s="34">
        <f>IF(R654="","",R654/S654)</f>
        <v>1.13636363636364</v>
      </c>
      <c r="U654" s="34">
        <f>IF(E654=1,T654,"")</f>
        <v>1.13636363636364</v>
      </c>
      <c r="V654" s="34">
        <f>IF(AND(E654=1,L654=0),T654,"")</f>
        <v>1.13636363636364</v>
      </c>
      <c r="W654" s="33">
        <f>IF(U654="","",IF(U654&lt;=Breakdowns!$C$5,1,IF(U654&lt;=Breakdowns!$C$6,2,IF(U654&lt;=Breakdowns!$C$7,3,4))))</f>
        <v>3</v>
      </c>
      <c r="X654" s="33">
        <f>IF(V654="","",IF(V654&lt;=Breakdowns!$D$5,1,IF(V654&lt;=Breakdowns!$D$6,2,IF(V654&lt;=Breakdowns!$D$7,3,4))))</f>
        <v>4</v>
      </c>
      <c r="Y654" s="34">
        <f>INDEX(Stores!$F$2:$F$21,MATCH(B654,Stores!$A$2:$A$21,0))</f>
        <v>5.61</v>
      </c>
      <c r="Z654" s="33">
        <f>IF(Y654&gt;Store_Summary!$M$2,1,0)</f>
        <v>1</v>
      </c>
      <c r="AA654" s="33">
        <f>INDEX(Stores!$C$2:$C$21,MATCH(B654,Stores!$A$2:$A$21,0))</f>
        <v>744</v>
      </c>
      <c r="AB654" s="33">
        <f>IF(AA654&lt;180,1,0)</f>
        <v>0</v>
      </c>
      <c r="AC654" s="32" t="str">
        <f>IF(Orders!D651="","",INDEX(Riders!$C$2:$C$81,MATCH(Orders!D651,Riders!$A$2:$A$81,0)))</f>
        <v>EV scooter</v>
      </c>
      <c r="AD654" s="33">
        <f>IF(Orders!D651="","",INDEX(Riders!$D$2:$D$81,MATCH(Orders!D651,Riders!$A$2:$A$81,0)))</f>
        <v>14</v>
      </c>
      <c r="AE654" s="33">
        <f>IF(Orders!D651="","",IF(INDEX(Riders!$B$2:$B$81,MATCH(Orders!D651,Riders!$A$2:$A$81,0))=B654,1,0))</f>
        <v>0</v>
      </c>
      <c r="AF654" s="34">
        <f>IF(E654=1,Orders!L651,"")</f>
        <v>1.23</v>
      </c>
      <c r="AG654" s="34">
        <f>IF(E654=1,Orders!P651,"")</f>
        <v>10.3</v>
      </c>
      <c r="AH654" s="34">
        <f>IF(E654=1,Orders!Q651,"")</f>
        <v>9.2</v>
      </c>
      <c r="AI654" s="34">
        <f>IF(E654=1,Orders!M651,"")</f>
        <v>3.7</v>
      </c>
      <c r="AJ654" s="34">
        <f>IF(E654=1,Orders!N651,"")</f>
        <v>2.8</v>
      </c>
      <c r="AK654" s="34">
        <f>IF(E654=1,Orders!O651,"")</f>
        <v>2.7</v>
      </c>
      <c r="AL654" s="33">
        <f>IF(E654=1,IF(ROUND(ABS(AI654+AJ654+AK654-AH654),6)&lt;=0.1,1,0),"")</f>
        <v>1</v>
      </c>
      <c r="AM654" s="36">
        <f>IF(E654=1,AI654/AH654,"")</f>
        <v>0.402173913043478</v>
      </c>
      <c r="AN654" s="36">
        <f>IF(E654=1,AJ654/AH654,"")</f>
        <v>0.304347826086957</v>
      </c>
      <c r="AO654" s="36">
        <f>IF(E654=1,AK654/AH654,"")</f>
        <v>0.293478260869565</v>
      </c>
      <c r="AP654" s="34">
        <f>IF(E654=1,Orders!Y651,"")</f>
        <v>0.44</v>
      </c>
      <c r="AQ654" s="33">
        <f>IF(Orders!X651,1,0)</f>
        <v>0</v>
      </c>
      <c r="AR654" s="34" t="str">
        <f>IF(AND(E654=1,L654=1),AJ654,"")</f>
        <v/>
      </c>
      <c r="AS654" s="34">
        <f>IF(AND(E654=1,L654=0),AJ654,"")</f>
        <v>2.8</v>
      </c>
      <c r="AT654" s="34" t="str">
        <f>IF(AND(E654=1,L654=1),AI654,"")</f>
        <v/>
      </c>
      <c r="AU654" s="34">
        <f>IF(AND(E654=1,L654=0),AI654,"")</f>
        <v>3.7</v>
      </c>
      <c r="AV654" s="34" t="str">
        <f>IF(AND(E654=1,L654=1),AG654,"")</f>
        <v/>
      </c>
      <c r="AW654" s="34">
        <f>IF(AND(E654=1,L654=0),AG654,"")</f>
        <v>10.3</v>
      </c>
      <c r="AX654" s="34" t="str">
        <f>IF(AND(E654=1,L654=1),AH654,"")</f>
        <v/>
      </c>
      <c r="AY654" s="34">
        <f>IF(AND(E654=1,L654=0),AH654,"")</f>
        <v>9.2</v>
      </c>
      <c r="AZ654" s="34" t="str">
        <f>IF(G654=1,F654,"")</f>
        <v/>
      </c>
      <c r="BA654" s="34" t="str">
        <f>IF(AND(G654=1,L654=1),F654,"")</f>
        <v/>
      </c>
      <c r="BB654" s="34" t="str">
        <f>IF(AND(G654=1,L654=0),F654,"")</f>
        <v/>
      </c>
      <c r="BC654" s="33">
        <f>IF(E654=1,IF(Orders!R651&gt;3,1,0),"")</f>
        <v>0</v>
      </c>
      <c r="BD654" s="33">
        <f>IF(E654=1,IF(Orders!R651&gt;7,1,0),"")</f>
        <v>0</v>
      </c>
      <c r="BE654" s="32" t="str">
        <f>IF(E654=1,IF(Orders!L651&lt;=1.5,"Up to 1.5 km",IF(Orders!L651&lt;=3,"1.5–3 km","Over 3 km")),"")</f>
        <v>Up to 1.5 km</v>
      </c>
      <c r="BF654" s="33">
        <f>IF(E654=1,IF(ABS((Orders!G651-Orders!F651)*1440-Orders!R651)&lt;0.06,1,0),"")</f>
        <v>1</v>
      </c>
      <c r="BG654" s="33">
        <f>IF(ABS((Orders!F651-Orders!E651)*1440-Orders!P651)&lt;0.06,1,0)</f>
        <v>1</v>
      </c>
      <c r="BH654" s="33">
        <f>IF(E654=1,IF(IF(Orders!S651,1,0)=1-G654,1,0),"")</f>
        <v>1</v>
      </c>
      <c r="BI654" s="32" t="str">
        <f>INDEX(Stores!$B$2:$B$21,MATCH(B654,Stores!$A$2:$A$21,0))</f>
        <v>Delhi</v>
      </c>
    </row>
    <row r="655">
      <c r="A655" s="32" t="str">
        <f>Orders!A652</f>
        <v>O00651</v>
      </c>
      <c r="B655" s="32" t="str">
        <f>Orders!C652</f>
        <v>S003</v>
      </c>
      <c r="C655" s="32" t="str">
        <f>Orders!B652</f>
        <v>C0163</v>
      </c>
      <c r="D655" s="32" t="str">
        <f>Orders!H652</f>
        <v>Delivered</v>
      </c>
      <c r="E655" s="33">
        <f>IF(Orders!H652="Delivered",1,0)</f>
        <v>1</v>
      </c>
      <c r="F655" s="34">
        <f>IF(E655=1,Orders!R652,"")</f>
        <v>-0.3</v>
      </c>
      <c r="G655" s="33">
        <f>IF(E655=1,IF(Orders!R652&gt;0,1,0),"")</f>
        <v>0</v>
      </c>
      <c r="H655" s="33">
        <f>IF(E655=1,IF(Orders!R652&gt;5,1,0),"")</f>
        <v>0</v>
      </c>
      <c r="I655" s="32" t="str">
        <f>IF(E655=1,"",IF(OR(Orders!T652="Rider unavailable",Orders!T652="Item unavailable"),"Company-caused","Unresolved"))</f>
        <v/>
      </c>
      <c r="J655" s="33">
        <f>IF(OR(E655=1,I655="Company-caused"),1,0)</f>
        <v>1</v>
      </c>
      <c r="K655" s="32" t="str">
        <f>IF(E655=0,IF(I655="Company-caused",IF(Orders!T652="Rider unavailable","C1 Rider unavailable","C2 Item unavailable"),"Outside root: unresolved"),IF(G655=0,"A On time",IF(H655=1,IF(L655=1,"B2a Severe, peak","B2b Severe, off-peak"),IF(L655=1,"B1a Slight, peak","B1b Slight, off-peak"))))</f>
        <v>A On time</v>
      </c>
      <c r="L655" s="33">
        <f>IF(AND(Orders!U652&gt;=19,Orders!U652&lt;22),1,0)</f>
        <v>0</v>
      </c>
      <c r="M655" s="33">
        <f>IF(L655=IF(Orders!V652,1,0),1,0)</f>
        <v>1</v>
      </c>
      <c r="N655" s="32" t="str">
        <f>IF(Orders!W652="","None",Orders!W652)</f>
        <v>None</v>
      </c>
      <c r="O655" s="35">
        <f>INT(Orders!E652)</f>
        <v>46273.0</v>
      </c>
      <c r="P655" s="33">
        <f>Orders!U652</f>
        <v>22</v>
      </c>
      <c r="Q655" s="33">
        <f>COUNTIFS(Demand!$A$2:$A$4481,B655,Demand!$B$2:$B$4481,O655,Demand!$C$2:$C$4481,P655)</f>
        <v>1</v>
      </c>
      <c r="R655" s="33">
        <f>IF(Q655=1,SUMIFS(Demand!$E$2:$E$4481,Demand!$A$2:$A$4481,B655,Demand!$B$2:$B$4481,O655,Demand!$C$2:$C$4481,P655),"")</f>
        <v>24</v>
      </c>
      <c r="S655" s="33">
        <f>INDEX(Stores!$G$2:$G$21,MATCH(B655,Stores!$A$2:$A$21,0))</f>
        <v>41</v>
      </c>
      <c r="T655" s="34">
        <f>IF(R655="","",R655/S655)</f>
        <v>0.585365853658537</v>
      </c>
      <c r="U655" s="34">
        <f>IF(E655=1,T655,"")</f>
        <v>0.585365853658537</v>
      </c>
      <c r="V655" s="34">
        <f>IF(AND(E655=1,L655=0),T655,"")</f>
        <v>0.585365853658537</v>
      </c>
      <c r="W655" s="33">
        <f>IF(U655="","",IF(U655&lt;=Breakdowns!$C$5,1,IF(U655&lt;=Breakdowns!$C$6,2,IF(U655&lt;=Breakdowns!$C$7,3,4))))</f>
        <v>1</v>
      </c>
      <c r="X655" s="33">
        <f>IF(V655="","",IF(V655&lt;=Breakdowns!$D$5,1,IF(V655&lt;=Breakdowns!$D$6,2,IF(V655&lt;=Breakdowns!$D$7,3,4))))</f>
        <v>1</v>
      </c>
      <c r="Y655" s="34">
        <f>INDEX(Stores!$F$2:$F$21,MATCH(B655,Stores!$A$2:$A$21,0))</f>
        <v>3.84</v>
      </c>
      <c r="Z655" s="33">
        <f>IF(Y655&gt;Store_Summary!$M$2,1,0)</f>
        <v>0</v>
      </c>
      <c r="AA655" s="33">
        <f>INDEX(Stores!$C$2:$C$21,MATCH(B655,Stores!$A$2:$A$21,0))</f>
        <v>426</v>
      </c>
      <c r="AB655" s="33">
        <f>IF(AA655&lt;180,1,0)</f>
        <v>0</v>
      </c>
      <c r="AC655" s="32" t="str">
        <f>IF(Orders!D652="","",INDEX(Riders!$C$2:$C$81,MATCH(Orders!D652,Riders!$A$2:$A$81,0)))</f>
        <v>EV scooter</v>
      </c>
      <c r="AD655" s="33">
        <f>IF(Orders!D652="","",INDEX(Riders!$D$2:$D$81,MATCH(Orders!D652,Riders!$A$2:$A$81,0)))</f>
        <v>36</v>
      </c>
      <c r="AE655" s="33">
        <f>IF(Orders!D652="","",IF(INDEX(Riders!$B$2:$B$81,MATCH(Orders!D652,Riders!$A$2:$A$81,0))=B655,1,0))</f>
        <v>0</v>
      </c>
      <c r="AF655" s="34">
        <f>IF(E655=1,Orders!L652,"")</f>
        <v>2.1</v>
      </c>
      <c r="AG655" s="34">
        <f>IF(E655=1,Orders!P652,"")</f>
        <v>9.6</v>
      </c>
      <c r="AH655" s="34">
        <f>IF(E655=1,Orders!Q652,"")</f>
        <v>9.3</v>
      </c>
      <c r="AI655" s="34">
        <f>IF(E655=1,Orders!M652,"")</f>
        <v>2.3</v>
      </c>
      <c r="AJ655" s="34">
        <f>IF(E655=1,Orders!N652,"")</f>
        <v>2.7</v>
      </c>
      <c r="AK655" s="34">
        <f>IF(E655=1,Orders!O652,"")</f>
        <v>4.3</v>
      </c>
      <c r="AL655" s="33">
        <f>IF(E655=1,IF(ROUND(ABS(AI655+AJ655+AK655-AH655),6)&lt;=0.1,1,0),"")</f>
        <v>1</v>
      </c>
      <c r="AM655" s="36">
        <f>IF(E655=1,AI655/AH655,"")</f>
        <v>0.247311827956989</v>
      </c>
      <c r="AN655" s="36">
        <f>IF(E655=1,AJ655/AH655,"")</f>
        <v>0.290322580645161</v>
      </c>
      <c r="AO655" s="36">
        <f>IF(E655=1,AK655/AH655,"")</f>
        <v>0.462365591397849</v>
      </c>
      <c r="AP655" s="34">
        <f>IF(E655=1,Orders!Y652,"")</f>
        <v>0.62</v>
      </c>
      <c r="AQ655" s="33">
        <f>IF(Orders!X652,1,0)</f>
        <v>1</v>
      </c>
      <c r="AR655" s="34" t="str">
        <f>IF(AND(E655=1,L655=1),AJ655,"")</f>
        <v/>
      </c>
      <c r="AS655" s="34">
        <f>IF(AND(E655=1,L655=0),AJ655,"")</f>
        <v>2.7</v>
      </c>
      <c r="AT655" s="34" t="str">
        <f>IF(AND(E655=1,L655=1),AI655,"")</f>
        <v/>
      </c>
      <c r="AU655" s="34">
        <f>IF(AND(E655=1,L655=0),AI655,"")</f>
        <v>2.3</v>
      </c>
      <c r="AV655" s="34" t="str">
        <f>IF(AND(E655=1,L655=1),AG655,"")</f>
        <v/>
      </c>
      <c r="AW655" s="34">
        <f>IF(AND(E655=1,L655=0),AG655,"")</f>
        <v>9.6</v>
      </c>
      <c r="AX655" s="34" t="str">
        <f>IF(AND(E655=1,L655=1),AH655,"")</f>
        <v/>
      </c>
      <c r="AY655" s="34">
        <f>IF(AND(E655=1,L655=0),AH655,"")</f>
        <v>9.3</v>
      </c>
      <c r="AZ655" s="34" t="str">
        <f>IF(G655=1,F655,"")</f>
        <v/>
      </c>
      <c r="BA655" s="34" t="str">
        <f>IF(AND(G655=1,L655=1),F655,"")</f>
        <v/>
      </c>
      <c r="BB655" s="34" t="str">
        <f>IF(AND(G655=1,L655=0),F655,"")</f>
        <v/>
      </c>
      <c r="BC655" s="33">
        <f>IF(E655=1,IF(Orders!R652&gt;3,1,0),"")</f>
        <v>0</v>
      </c>
      <c r="BD655" s="33">
        <f>IF(E655=1,IF(Orders!R652&gt;7,1,0),"")</f>
        <v>0</v>
      </c>
      <c r="BE655" s="32" t="str">
        <f>IF(E655=1,IF(Orders!L652&lt;=1.5,"Up to 1.5 km",IF(Orders!L652&lt;=3,"1.5–3 km","Over 3 km")),"")</f>
        <v>1.5–3 km</v>
      </c>
      <c r="BF655" s="33">
        <f>IF(E655=1,IF(ABS((Orders!G652-Orders!F652)*1440-Orders!R652)&lt;0.06,1,0),"")</f>
        <v>1</v>
      </c>
      <c r="BG655" s="33">
        <f>IF(ABS((Orders!F652-Orders!E652)*1440-Orders!P652)&lt;0.06,1,0)</f>
        <v>1</v>
      </c>
      <c r="BH655" s="33">
        <f>IF(E655=1,IF(IF(Orders!S652,1,0)=1-G655,1,0),"")</f>
        <v>1</v>
      </c>
      <c r="BI655" s="32" t="str">
        <f>INDEX(Stores!$B$2:$B$21,MATCH(B655,Stores!$A$2:$A$21,0))</f>
        <v>Mumbai</v>
      </c>
    </row>
    <row r="656">
      <c r="A656" s="32" t="str">
        <f>Orders!A653</f>
        <v>O00652</v>
      </c>
      <c r="B656" s="32" t="str">
        <f>Orders!C653</f>
        <v>S004</v>
      </c>
      <c r="C656" s="32" t="str">
        <f>Orders!B653</f>
        <v>C0134</v>
      </c>
      <c r="D656" s="32" t="str">
        <f>Orders!H653</f>
        <v>Delivered</v>
      </c>
      <c r="E656" s="33">
        <f>IF(Orders!H653="Delivered",1,0)</f>
        <v>1</v>
      </c>
      <c r="F656" s="34">
        <f>IF(E656=1,Orders!R653,"")</f>
        <v>-0.4</v>
      </c>
      <c r="G656" s="33">
        <f>IF(E656=1,IF(Orders!R653&gt;0,1,0),"")</f>
        <v>0</v>
      </c>
      <c r="H656" s="33">
        <f>IF(E656=1,IF(Orders!R653&gt;5,1,0),"")</f>
        <v>0</v>
      </c>
      <c r="I656" s="32" t="str">
        <f>IF(E656=1,"",IF(OR(Orders!T653="Rider unavailable",Orders!T653="Item unavailable"),"Company-caused","Unresolved"))</f>
        <v/>
      </c>
      <c r="J656" s="33">
        <f>IF(OR(E656=1,I656="Company-caused"),1,0)</f>
        <v>1</v>
      </c>
      <c r="K656" s="32" t="str">
        <f>IF(E656=0,IF(I656="Company-caused",IF(Orders!T653="Rider unavailable","C1 Rider unavailable","C2 Item unavailable"),"Outside root: unresolved"),IF(G656=0,"A On time",IF(H656=1,IF(L656=1,"B2a Severe, peak","B2b Severe, off-peak"),IF(L656=1,"B1a Slight, peak","B1b Slight, off-peak"))))</f>
        <v>A On time</v>
      </c>
      <c r="L656" s="33">
        <f>IF(AND(Orders!U653&gt;=19,Orders!U653&lt;22),1,0)</f>
        <v>0</v>
      </c>
      <c r="M656" s="33">
        <f>IF(L656=IF(Orders!V653,1,0),1,0)</f>
        <v>1</v>
      </c>
      <c r="N656" s="32" t="str">
        <f>IF(Orders!W653="","None",Orders!W653)</f>
        <v>None</v>
      </c>
      <c r="O656" s="35">
        <f>INT(Orders!E653)</f>
        <v>46271.0</v>
      </c>
      <c r="P656" s="33">
        <f>Orders!U653</f>
        <v>13</v>
      </c>
      <c r="Q656" s="33">
        <f>COUNTIFS(Demand!$A$2:$A$4481,B656,Demand!$B$2:$B$4481,O656,Demand!$C$2:$C$4481,P656)</f>
        <v>1</v>
      </c>
      <c r="R656" s="33">
        <f>IF(Q656=1,SUMIFS(Demand!$E$2:$E$4481,Demand!$A$2:$A$4481,B656,Demand!$B$2:$B$4481,O656,Demand!$C$2:$C$4481,P656),"")</f>
        <v>34</v>
      </c>
      <c r="S656" s="33">
        <f>INDEX(Stores!$G$2:$G$21,MATCH(B656,Stores!$A$2:$A$21,0))</f>
        <v>42</v>
      </c>
      <c r="T656" s="34">
        <f>IF(R656="","",R656/S656)</f>
        <v>0.80952380952381</v>
      </c>
      <c r="U656" s="34">
        <f>IF(E656=1,T656,"")</f>
        <v>0.80952380952381</v>
      </c>
      <c r="V656" s="34">
        <f>IF(AND(E656=1,L656=0),T656,"")</f>
        <v>0.80952380952381</v>
      </c>
      <c r="W656" s="33">
        <f>IF(U656="","",IF(U656&lt;=Breakdowns!$C$5,1,IF(U656&lt;=Breakdowns!$C$6,2,IF(U656&lt;=Breakdowns!$C$7,3,4))))</f>
        <v>2</v>
      </c>
      <c r="X656" s="33">
        <f>IF(V656="","",IF(V656&lt;=Breakdowns!$D$5,1,IF(V656&lt;=Breakdowns!$D$6,2,IF(V656&lt;=Breakdowns!$D$7,3,4))))</f>
        <v>2</v>
      </c>
      <c r="Y656" s="34">
        <f>INDEX(Stores!$F$2:$F$21,MATCH(B656,Stores!$A$2:$A$21,0))</f>
        <v>2.19</v>
      </c>
      <c r="Z656" s="33">
        <f>IF(Y656&gt;Store_Summary!$M$2,1,0)</f>
        <v>0</v>
      </c>
      <c r="AA656" s="33">
        <f>INDEX(Stores!$C$2:$C$21,MATCH(B656,Stores!$A$2:$A$21,0))</f>
        <v>850</v>
      </c>
      <c r="AB656" s="33">
        <f>IF(AA656&lt;180,1,0)</f>
        <v>0</v>
      </c>
      <c r="AC656" s="32" t="str">
        <f>IF(Orders!D653="","",INDEX(Riders!$C$2:$C$81,MATCH(Orders!D653,Riders!$A$2:$A$81,0)))</f>
        <v>Bicycle</v>
      </c>
      <c r="AD656" s="33">
        <f>IF(Orders!D653="","",INDEX(Riders!$D$2:$D$81,MATCH(Orders!D653,Riders!$A$2:$A$81,0)))</f>
        <v>44</v>
      </c>
      <c r="AE656" s="33">
        <f>IF(Orders!D653="","",IF(INDEX(Riders!$B$2:$B$81,MATCH(Orders!D653,Riders!$A$2:$A$81,0))=B656,1,0))</f>
        <v>0</v>
      </c>
      <c r="AF656" s="34">
        <f>IF(E656=1,Orders!L653,"")</f>
        <v>2.92</v>
      </c>
      <c r="AG656" s="34">
        <f>IF(E656=1,Orders!P653,"")</f>
        <v>11.5</v>
      </c>
      <c r="AH656" s="34">
        <f>IF(E656=1,Orders!Q653,"")</f>
        <v>11.1</v>
      </c>
      <c r="AI656" s="34">
        <f>IF(E656=1,Orders!M653,"")</f>
        <v>1.8</v>
      </c>
      <c r="AJ656" s="34">
        <f>IF(E656=1,Orders!N653,"")</f>
        <v>4.2</v>
      </c>
      <c r="AK656" s="34">
        <f>IF(E656=1,Orders!O653,"")</f>
        <v>5.1</v>
      </c>
      <c r="AL656" s="33">
        <f>IF(E656=1,IF(ROUND(ABS(AI656+AJ656+AK656-AH656),6)&lt;=0.1,1,0),"")</f>
        <v>1</v>
      </c>
      <c r="AM656" s="36">
        <f>IF(E656=1,AI656/AH656,"")</f>
        <v>0.162162162162162</v>
      </c>
      <c r="AN656" s="36">
        <f>IF(E656=1,AJ656/AH656,"")</f>
        <v>0.378378378378378</v>
      </c>
      <c r="AO656" s="36">
        <f>IF(E656=1,AK656/AH656,"")</f>
        <v>0.459459459459459</v>
      </c>
      <c r="AP656" s="34">
        <f>IF(E656=1,Orders!Y653,"")</f>
        <v>0.52</v>
      </c>
      <c r="AQ656" s="33">
        <f>IF(Orders!X653,1,0)</f>
        <v>0</v>
      </c>
      <c r="AR656" s="34" t="str">
        <f>IF(AND(E656=1,L656=1),AJ656,"")</f>
        <v/>
      </c>
      <c r="AS656" s="34">
        <f>IF(AND(E656=1,L656=0),AJ656,"")</f>
        <v>4.2</v>
      </c>
      <c r="AT656" s="34" t="str">
        <f>IF(AND(E656=1,L656=1),AI656,"")</f>
        <v/>
      </c>
      <c r="AU656" s="34">
        <f>IF(AND(E656=1,L656=0),AI656,"")</f>
        <v>1.8</v>
      </c>
      <c r="AV656" s="34" t="str">
        <f>IF(AND(E656=1,L656=1),AG656,"")</f>
        <v/>
      </c>
      <c r="AW656" s="34">
        <f>IF(AND(E656=1,L656=0),AG656,"")</f>
        <v>11.5</v>
      </c>
      <c r="AX656" s="34" t="str">
        <f>IF(AND(E656=1,L656=1),AH656,"")</f>
        <v/>
      </c>
      <c r="AY656" s="34">
        <f>IF(AND(E656=1,L656=0),AH656,"")</f>
        <v>11.1</v>
      </c>
      <c r="AZ656" s="34" t="str">
        <f>IF(G656=1,F656,"")</f>
        <v/>
      </c>
      <c r="BA656" s="34" t="str">
        <f>IF(AND(G656=1,L656=1),F656,"")</f>
        <v/>
      </c>
      <c r="BB656" s="34" t="str">
        <f>IF(AND(G656=1,L656=0),F656,"")</f>
        <v/>
      </c>
      <c r="BC656" s="33">
        <f>IF(E656=1,IF(Orders!R653&gt;3,1,0),"")</f>
        <v>0</v>
      </c>
      <c r="BD656" s="33">
        <f>IF(E656=1,IF(Orders!R653&gt;7,1,0),"")</f>
        <v>0</v>
      </c>
      <c r="BE656" s="32" t="str">
        <f>IF(E656=1,IF(Orders!L653&lt;=1.5,"Up to 1.5 km",IF(Orders!L653&lt;=3,"1.5–3 km","Over 3 km")),"")</f>
        <v>1.5–3 km</v>
      </c>
      <c r="BF656" s="33">
        <f>IF(E656=1,IF(ABS((Orders!G653-Orders!F653)*1440-Orders!R653)&lt;0.06,1,0),"")</f>
        <v>1</v>
      </c>
      <c r="BG656" s="33">
        <f>IF(ABS((Orders!F653-Orders!E653)*1440-Orders!P653)&lt;0.06,1,0)</f>
        <v>1</v>
      </c>
      <c r="BH656" s="33">
        <f>IF(E656=1,IF(IF(Orders!S653,1,0)=1-G656,1,0),"")</f>
        <v>1</v>
      </c>
      <c r="BI656" s="32" t="str">
        <f>INDEX(Stores!$B$2:$B$21,MATCH(B656,Stores!$A$2:$A$21,0))</f>
        <v>Pune</v>
      </c>
    </row>
    <row r="657">
      <c r="A657" s="32" t="str">
        <f>Orders!A654</f>
        <v>O00653</v>
      </c>
      <c r="B657" s="32" t="str">
        <f>Orders!C654</f>
        <v>S003</v>
      </c>
      <c r="C657" s="32" t="str">
        <f>Orders!B654</f>
        <v>C0118</v>
      </c>
      <c r="D657" s="32" t="str">
        <f>Orders!H654</f>
        <v>Delivered</v>
      </c>
      <c r="E657" s="33">
        <f>IF(Orders!H654="Delivered",1,0)</f>
        <v>1</v>
      </c>
      <c r="F657" s="34">
        <f>IF(E657=1,Orders!R654,"")</f>
        <v>-0.4</v>
      </c>
      <c r="G657" s="33">
        <f>IF(E657=1,IF(Orders!R654&gt;0,1,0),"")</f>
        <v>0</v>
      </c>
      <c r="H657" s="33">
        <f>IF(E657=1,IF(Orders!R654&gt;5,1,0),"")</f>
        <v>0</v>
      </c>
      <c r="I657" s="32" t="str">
        <f>IF(E657=1,"",IF(OR(Orders!T654="Rider unavailable",Orders!T654="Item unavailable"),"Company-caused","Unresolved"))</f>
        <v/>
      </c>
      <c r="J657" s="33">
        <f>IF(OR(E657=1,I657="Company-caused"),1,0)</f>
        <v>1</v>
      </c>
      <c r="K657" s="32" t="str">
        <f>IF(E657=0,IF(I657="Company-caused",IF(Orders!T654="Rider unavailable","C1 Rider unavailable","C2 Item unavailable"),"Outside root: unresolved"),IF(G657=0,"A On time",IF(H657=1,IF(L657=1,"B2a Severe, peak","B2b Severe, off-peak"),IF(L657=1,"B1a Slight, peak","B1b Slight, off-peak"))))</f>
        <v>A On time</v>
      </c>
      <c r="L657" s="33">
        <f>IF(AND(Orders!U654&gt;=19,Orders!U654&lt;22),1,0)</f>
        <v>0</v>
      </c>
      <c r="M657" s="33">
        <f>IF(L657=IF(Orders!V654,1,0),1,0)</f>
        <v>1</v>
      </c>
      <c r="N657" s="32" t="str">
        <f>IF(Orders!W654="","None",Orders!W654)</f>
        <v>Heavy</v>
      </c>
      <c r="O657" s="35">
        <f>INT(Orders!E654)</f>
        <v>46271.0</v>
      </c>
      <c r="P657" s="33">
        <f>Orders!U654</f>
        <v>9</v>
      </c>
      <c r="Q657" s="33">
        <f>COUNTIFS(Demand!$A$2:$A$4481,B657,Demand!$B$2:$B$4481,O657,Demand!$C$2:$C$4481,P657)</f>
        <v>1</v>
      </c>
      <c r="R657" s="33">
        <f>IF(Q657=1,SUMIFS(Demand!$E$2:$E$4481,Demand!$A$2:$A$4481,B657,Demand!$B$2:$B$4481,O657,Demand!$C$2:$C$4481,P657),"")</f>
        <v>30</v>
      </c>
      <c r="S657" s="33">
        <f>INDEX(Stores!$G$2:$G$21,MATCH(B657,Stores!$A$2:$A$21,0))</f>
        <v>41</v>
      </c>
      <c r="T657" s="34">
        <f>IF(R657="","",R657/S657)</f>
        <v>0.731707317073171</v>
      </c>
      <c r="U657" s="34">
        <f>IF(E657=1,T657,"")</f>
        <v>0.731707317073171</v>
      </c>
      <c r="V657" s="34">
        <f>IF(AND(E657=1,L657=0),T657,"")</f>
        <v>0.731707317073171</v>
      </c>
      <c r="W657" s="33">
        <f>IF(U657="","",IF(U657&lt;=Breakdowns!$C$5,1,IF(U657&lt;=Breakdowns!$C$6,2,IF(U657&lt;=Breakdowns!$C$7,3,4))))</f>
        <v>1</v>
      </c>
      <c r="X657" s="33">
        <f>IF(V657="","",IF(V657&lt;=Breakdowns!$D$5,1,IF(V657&lt;=Breakdowns!$D$6,2,IF(V657&lt;=Breakdowns!$D$7,3,4))))</f>
        <v>1</v>
      </c>
      <c r="Y657" s="34">
        <f>INDEX(Stores!$F$2:$F$21,MATCH(B657,Stores!$A$2:$A$21,0))</f>
        <v>3.84</v>
      </c>
      <c r="Z657" s="33">
        <f>IF(Y657&gt;Store_Summary!$M$2,1,0)</f>
        <v>0</v>
      </c>
      <c r="AA657" s="33">
        <f>INDEX(Stores!$C$2:$C$21,MATCH(B657,Stores!$A$2:$A$21,0))</f>
        <v>426</v>
      </c>
      <c r="AB657" s="33">
        <f>IF(AA657&lt;180,1,0)</f>
        <v>0</v>
      </c>
      <c r="AC657" s="32" t="str">
        <f>IF(Orders!D654="","",INDEX(Riders!$C$2:$C$81,MATCH(Orders!D654,Riders!$A$2:$A$81,0)))</f>
        <v>Petrol scooter</v>
      </c>
      <c r="AD657" s="33">
        <f>IF(Orders!D654="","",INDEX(Riders!$D$2:$D$81,MATCH(Orders!D654,Riders!$A$2:$A$81,0)))</f>
        <v>29</v>
      </c>
      <c r="AE657" s="33">
        <f>IF(Orders!D654="","",IF(INDEX(Riders!$B$2:$B$81,MATCH(Orders!D654,Riders!$A$2:$A$81,0))=B657,1,0))</f>
        <v>0</v>
      </c>
      <c r="AF657" s="34">
        <f>IF(E657=1,Orders!L654,"")</f>
        <v>1.43</v>
      </c>
      <c r="AG657" s="34">
        <f>IF(E657=1,Orders!P654,"")</f>
        <v>10.4</v>
      </c>
      <c r="AH657" s="34">
        <f>IF(E657=1,Orders!Q654,"")</f>
        <v>10</v>
      </c>
      <c r="AI657" s="34">
        <f>IF(E657=1,Orders!M654,"")</f>
        <v>2.8</v>
      </c>
      <c r="AJ657" s="34">
        <f>IF(E657=1,Orders!N654,"")</f>
        <v>3.5</v>
      </c>
      <c r="AK657" s="34">
        <f>IF(E657=1,Orders!O654,"")</f>
        <v>3.7</v>
      </c>
      <c r="AL657" s="33">
        <f>IF(E657=1,IF(ROUND(ABS(AI657+AJ657+AK657-AH657),6)&lt;=0.1,1,0),"")</f>
        <v>1</v>
      </c>
      <c r="AM657" s="36">
        <f>IF(E657=1,AI657/AH657,"")</f>
        <v>0.28</v>
      </c>
      <c r="AN657" s="36">
        <f>IF(E657=1,AJ657/AH657,"")</f>
        <v>0.35</v>
      </c>
      <c r="AO657" s="36">
        <f>IF(E657=1,AK657/AH657,"")</f>
        <v>0.37</v>
      </c>
      <c r="AP657" s="34">
        <f>IF(E657=1,Orders!Y654,"")</f>
        <v>0.77</v>
      </c>
      <c r="AQ657" s="33">
        <f>IF(Orders!X654,1,0)</f>
        <v>0</v>
      </c>
      <c r="AR657" s="34" t="str">
        <f>IF(AND(E657=1,L657=1),AJ657,"")</f>
        <v/>
      </c>
      <c r="AS657" s="34">
        <f>IF(AND(E657=1,L657=0),AJ657,"")</f>
        <v>3.5</v>
      </c>
      <c r="AT657" s="34" t="str">
        <f>IF(AND(E657=1,L657=1),AI657,"")</f>
        <v/>
      </c>
      <c r="AU657" s="34">
        <f>IF(AND(E657=1,L657=0),AI657,"")</f>
        <v>2.8</v>
      </c>
      <c r="AV657" s="34" t="str">
        <f>IF(AND(E657=1,L657=1),AG657,"")</f>
        <v/>
      </c>
      <c r="AW657" s="34">
        <f>IF(AND(E657=1,L657=0),AG657,"")</f>
        <v>10.4</v>
      </c>
      <c r="AX657" s="34" t="str">
        <f>IF(AND(E657=1,L657=1),AH657,"")</f>
        <v/>
      </c>
      <c r="AY657" s="34">
        <f>IF(AND(E657=1,L657=0),AH657,"")</f>
        <v>10</v>
      </c>
      <c r="AZ657" s="34" t="str">
        <f>IF(G657=1,F657,"")</f>
        <v/>
      </c>
      <c r="BA657" s="34" t="str">
        <f>IF(AND(G657=1,L657=1),F657,"")</f>
        <v/>
      </c>
      <c r="BB657" s="34" t="str">
        <f>IF(AND(G657=1,L657=0),F657,"")</f>
        <v/>
      </c>
      <c r="BC657" s="33">
        <f>IF(E657=1,IF(Orders!R654&gt;3,1,0),"")</f>
        <v>0</v>
      </c>
      <c r="BD657" s="33">
        <f>IF(E657=1,IF(Orders!R654&gt;7,1,0),"")</f>
        <v>0</v>
      </c>
      <c r="BE657" s="32" t="str">
        <f>IF(E657=1,IF(Orders!L654&lt;=1.5,"Up to 1.5 km",IF(Orders!L654&lt;=3,"1.5–3 km","Over 3 km")),"")</f>
        <v>Up to 1.5 km</v>
      </c>
      <c r="BF657" s="33">
        <f>IF(E657=1,IF(ABS((Orders!G654-Orders!F654)*1440-Orders!R654)&lt;0.06,1,0),"")</f>
        <v>1</v>
      </c>
      <c r="BG657" s="33">
        <f>IF(ABS((Orders!F654-Orders!E654)*1440-Orders!P654)&lt;0.06,1,0)</f>
        <v>1</v>
      </c>
      <c r="BH657" s="33">
        <f>IF(E657=1,IF(IF(Orders!S654,1,0)=1-G657,1,0),"")</f>
        <v>1</v>
      </c>
      <c r="BI657" s="32" t="str">
        <f>INDEX(Stores!$B$2:$B$21,MATCH(B657,Stores!$A$2:$A$21,0))</f>
        <v>Mumbai</v>
      </c>
    </row>
    <row r="658">
      <c r="A658" s="32" t="str">
        <f>Orders!A655</f>
        <v>O00654</v>
      </c>
      <c r="B658" s="32" t="str">
        <f>Orders!C655</f>
        <v>S016</v>
      </c>
      <c r="C658" s="32" t="str">
        <f>Orders!B655</f>
        <v>C0151</v>
      </c>
      <c r="D658" s="32" t="str">
        <f>Orders!H655</f>
        <v>Delivered</v>
      </c>
      <c r="E658" s="33">
        <f>IF(Orders!H655="Delivered",1,0)</f>
        <v>1</v>
      </c>
      <c r="F658" s="34">
        <f>IF(E658=1,Orders!R655,"")</f>
        <v>-1</v>
      </c>
      <c r="G658" s="33">
        <f>IF(E658=1,IF(Orders!R655&gt;0,1,0),"")</f>
        <v>0</v>
      </c>
      <c r="H658" s="33">
        <f>IF(E658=1,IF(Orders!R655&gt;5,1,0),"")</f>
        <v>0</v>
      </c>
      <c r="I658" s="32" t="str">
        <f>IF(E658=1,"",IF(OR(Orders!T655="Rider unavailable",Orders!T655="Item unavailable"),"Company-caused","Unresolved"))</f>
        <v/>
      </c>
      <c r="J658" s="33">
        <f>IF(OR(E658=1,I658="Company-caused"),1,0)</f>
        <v>1</v>
      </c>
      <c r="K658" s="32" t="str">
        <f>IF(E658=0,IF(I658="Company-caused",IF(Orders!T655="Rider unavailable","C1 Rider unavailable","C2 Item unavailable"),"Outside root: unresolved"),IF(G658=0,"A On time",IF(H658=1,IF(L658=1,"B2a Severe, peak","B2b Severe, off-peak"),IF(L658=1,"B1a Slight, peak","B1b Slight, off-peak"))))</f>
        <v>A On time</v>
      </c>
      <c r="L658" s="33">
        <f>IF(AND(Orders!U655&gt;=19,Orders!U655&lt;22),1,0)</f>
        <v>1</v>
      </c>
      <c r="M658" s="33">
        <f>IF(L658=IF(Orders!V655,1,0),1,0)</f>
        <v>1</v>
      </c>
      <c r="N658" s="32" t="str">
        <f>IF(Orders!W655="","None",Orders!W655)</f>
        <v>None</v>
      </c>
      <c r="O658" s="35">
        <f>INT(Orders!E655)</f>
        <v>46273.0</v>
      </c>
      <c r="P658" s="33">
        <f>Orders!U655</f>
        <v>20</v>
      </c>
      <c r="Q658" s="33">
        <f>COUNTIFS(Demand!$A$2:$A$4481,B658,Demand!$B$2:$B$4481,O658,Demand!$C$2:$C$4481,P658)</f>
        <v>1</v>
      </c>
      <c r="R658" s="33">
        <f>IF(Q658=1,SUMIFS(Demand!$E$2:$E$4481,Demand!$A$2:$A$4481,B658,Demand!$B$2:$B$4481,O658,Demand!$C$2:$C$4481,P658),"")</f>
        <v>29</v>
      </c>
      <c r="S658" s="33">
        <f>INDEX(Stores!$G$2:$G$21,MATCH(B658,Stores!$A$2:$A$21,0))</f>
        <v>25</v>
      </c>
      <c r="T658" s="34">
        <f>IF(R658="","",R658/S658)</f>
        <v>1.16</v>
      </c>
      <c r="U658" s="34">
        <f>IF(E658=1,T658,"")</f>
        <v>1.16</v>
      </c>
      <c r="V658" s="34" t="str">
        <f>IF(AND(E658=1,L658=0),T658,"")</f>
        <v/>
      </c>
      <c r="W658" s="33">
        <f>IF(U658="","",IF(U658&lt;=Breakdowns!$C$5,1,IF(U658&lt;=Breakdowns!$C$6,2,IF(U658&lt;=Breakdowns!$C$7,3,4))))</f>
        <v>3</v>
      </c>
      <c r="X658" s="33" t="str">
        <f>IF(V658="","",IF(V658&lt;=Breakdowns!$D$5,1,IF(V658&lt;=Breakdowns!$D$6,2,IF(V658&lt;=Breakdowns!$D$7,3,4))))</f>
        <v/>
      </c>
      <c r="Y658" s="34">
        <f>INDEX(Stores!$F$2:$F$21,MATCH(B658,Stores!$A$2:$A$21,0))</f>
        <v>5.51</v>
      </c>
      <c r="Z658" s="33">
        <f>IF(Y658&gt;Store_Summary!$M$2,1,0)</f>
        <v>1</v>
      </c>
      <c r="AA658" s="33">
        <f>INDEX(Stores!$C$2:$C$21,MATCH(B658,Stores!$A$2:$A$21,0))</f>
        <v>792</v>
      </c>
      <c r="AB658" s="33">
        <f>IF(AA658&lt;180,1,0)</f>
        <v>0</v>
      </c>
      <c r="AC658" s="32" t="str">
        <f>IF(Orders!D655="","",INDEX(Riders!$C$2:$C$81,MATCH(Orders!D655,Riders!$A$2:$A$81,0)))</f>
        <v>EV scooter</v>
      </c>
      <c r="AD658" s="33">
        <f>IF(Orders!D655="","",INDEX(Riders!$D$2:$D$81,MATCH(Orders!D655,Riders!$A$2:$A$81,0)))</f>
        <v>9</v>
      </c>
      <c r="AE658" s="33">
        <f>IF(Orders!D655="","",IF(INDEX(Riders!$B$2:$B$81,MATCH(Orders!D655,Riders!$A$2:$A$81,0))=B658,1,0))</f>
        <v>0</v>
      </c>
      <c r="AF658" s="34">
        <f>IF(E658=1,Orders!L655,"")</f>
        <v>1.68</v>
      </c>
      <c r="AG658" s="34">
        <f>IF(E658=1,Orders!P655,"")</f>
        <v>9.2</v>
      </c>
      <c r="AH658" s="34">
        <f>IF(E658=1,Orders!Q655,"")</f>
        <v>8.2</v>
      </c>
      <c r="AI658" s="34">
        <f>IF(E658=1,Orders!M655,"")</f>
        <v>3</v>
      </c>
      <c r="AJ658" s="34">
        <f>IF(E658=1,Orders!N655,"")</f>
        <v>2.6</v>
      </c>
      <c r="AK658" s="34">
        <f>IF(E658=1,Orders!O655,"")</f>
        <v>2.6</v>
      </c>
      <c r="AL658" s="33">
        <f>IF(E658=1,IF(ROUND(ABS(AI658+AJ658+AK658-AH658),6)&lt;=0.1,1,0),"")</f>
        <v>1</v>
      </c>
      <c r="AM658" s="36">
        <f>IF(E658=1,AI658/AH658,"")</f>
        <v>0.365853658536585</v>
      </c>
      <c r="AN658" s="36">
        <f>IF(E658=1,AJ658/AH658,"")</f>
        <v>0.317073170731707</v>
      </c>
      <c r="AO658" s="36">
        <f>IF(E658=1,AK658/AH658,"")</f>
        <v>0.317073170731707</v>
      </c>
      <c r="AP658" s="34">
        <f>IF(E658=1,Orders!Y655,"")</f>
        <v>0.55</v>
      </c>
      <c r="AQ658" s="33">
        <f>IF(Orders!X655,1,0)</f>
        <v>0</v>
      </c>
      <c r="AR658" s="34">
        <f>IF(AND(E658=1,L658=1),AJ658,"")</f>
        <v>2.6</v>
      </c>
      <c r="AS658" s="34" t="str">
        <f>IF(AND(E658=1,L658=0),AJ658,"")</f>
        <v/>
      </c>
      <c r="AT658" s="34">
        <f>IF(AND(E658=1,L658=1),AI658,"")</f>
        <v>3</v>
      </c>
      <c r="AU658" s="34" t="str">
        <f>IF(AND(E658=1,L658=0),AI658,"")</f>
        <v/>
      </c>
      <c r="AV658" s="34">
        <f>IF(AND(E658=1,L658=1),AG658,"")</f>
        <v>9.2</v>
      </c>
      <c r="AW658" s="34" t="str">
        <f>IF(AND(E658=1,L658=0),AG658,"")</f>
        <v/>
      </c>
      <c r="AX658" s="34">
        <f>IF(AND(E658=1,L658=1),AH658,"")</f>
        <v>8.2</v>
      </c>
      <c r="AY658" s="34" t="str">
        <f>IF(AND(E658=1,L658=0),AH658,"")</f>
        <v/>
      </c>
      <c r="AZ658" s="34" t="str">
        <f>IF(G658=1,F658,"")</f>
        <v/>
      </c>
      <c r="BA658" s="34" t="str">
        <f>IF(AND(G658=1,L658=1),F658,"")</f>
        <v/>
      </c>
      <c r="BB658" s="34" t="str">
        <f>IF(AND(G658=1,L658=0),F658,"")</f>
        <v/>
      </c>
      <c r="BC658" s="33">
        <f>IF(E658=1,IF(Orders!R655&gt;3,1,0),"")</f>
        <v>0</v>
      </c>
      <c r="BD658" s="33">
        <f>IF(E658=1,IF(Orders!R655&gt;7,1,0),"")</f>
        <v>0</v>
      </c>
      <c r="BE658" s="32" t="str">
        <f>IF(E658=1,IF(Orders!L655&lt;=1.5,"Up to 1.5 km",IF(Orders!L655&lt;=3,"1.5–3 km","Over 3 km")),"")</f>
        <v>1.5–3 km</v>
      </c>
      <c r="BF658" s="33">
        <f>IF(E658=1,IF(ABS((Orders!G655-Orders!F655)*1440-Orders!R655)&lt;0.06,1,0),"")</f>
        <v>1</v>
      </c>
      <c r="BG658" s="33">
        <f>IF(ABS((Orders!F655-Orders!E655)*1440-Orders!P655)&lt;0.06,1,0)</f>
        <v>1</v>
      </c>
      <c r="BH658" s="33">
        <f>IF(E658=1,IF(IF(Orders!S655,1,0)=1-G658,1,0),"")</f>
        <v>1</v>
      </c>
      <c r="BI658" s="32" t="str">
        <f>INDEX(Stores!$B$2:$B$21,MATCH(B658,Stores!$A$2:$A$21,0))</f>
        <v>Bengaluru</v>
      </c>
    </row>
    <row r="659">
      <c r="A659" s="32" t="str">
        <f>Orders!A656</f>
        <v>O00655</v>
      </c>
      <c r="B659" s="32" t="str">
        <f>Orders!C656</f>
        <v>S015</v>
      </c>
      <c r="C659" s="32" t="str">
        <f>Orders!B656</f>
        <v>C0122</v>
      </c>
      <c r="D659" s="32" t="str">
        <f>Orders!H656</f>
        <v>Delivered</v>
      </c>
      <c r="E659" s="33">
        <f>IF(Orders!H656="Delivered",1,0)</f>
        <v>1</v>
      </c>
      <c r="F659" s="34">
        <f>IF(E659=1,Orders!R656,"")</f>
        <v>7</v>
      </c>
      <c r="G659" s="33">
        <f>IF(E659=1,IF(Orders!R656&gt;0,1,0),"")</f>
        <v>1</v>
      </c>
      <c r="H659" s="33">
        <f>IF(E659=1,IF(Orders!R656&gt;5,1,0),"")</f>
        <v>1</v>
      </c>
      <c r="I659" s="32" t="str">
        <f>IF(E659=1,"",IF(OR(Orders!T656="Rider unavailable",Orders!T656="Item unavailable"),"Company-caused","Unresolved"))</f>
        <v/>
      </c>
      <c r="J659" s="33">
        <f>IF(OR(E659=1,I659="Company-caused"),1,0)</f>
        <v>1</v>
      </c>
      <c r="K659" s="32" t="str">
        <f>IF(E659=0,IF(I659="Company-caused",IF(Orders!T656="Rider unavailable","C1 Rider unavailable","C2 Item unavailable"),"Outside root: unresolved"),IF(G659=0,"A On time",IF(H659=1,IF(L659=1,"B2a Severe, peak","B2b Severe, off-peak"),IF(L659=1,"B1a Slight, peak","B1b Slight, off-peak"))))</f>
        <v>B2b Severe, off-peak</v>
      </c>
      <c r="L659" s="33">
        <f>IF(AND(Orders!U656&gt;=19,Orders!U656&lt;22),1,0)</f>
        <v>0</v>
      </c>
      <c r="M659" s="33">
        <f>IF(L659=IF(Orders!V656,1,0),1,0)</f>
        <v>1</v>
      </c>
      <c r="N659" s="32" t="str">
        <f>IF(Orders!W656="","None",Orders!W656)</f>
        <v>None</v>
      </c>
      <c r="O659" s="35">
        <f>INT(Orders!E656)</f>
        <v>46279.0</v>
      </c>
      <c r="P659" s="33">
        <f>Orders!U656</f>
        <v>22</v>
      </c>
      <c r="Q659" s="33">
        <f>COUNTIFS(Demand!$A$2:$A$4481,B659,Demand!$B$2:$B$4481,O659,Demand!$C$2:$C$4481,P659)</f>
        <v>1</v>
      </c>
      <c r="R659" s="33">
        <f>IF(Q659=1,SUMIFS(Demand!$E$2:$E$4481,Demand!$A$2:$A$4481,B659,Demand!$B$2:$B$4481,O659,Demand!$C$2:$C$4481,P659),"")</f>
        <v>27</v>
      </c>
      <c r="S659" s="33">
        <f>INDEX(Stores!$G$2:$G$21,MATCH(B659,Stores!$A$2:$A$21,0))</f>
        <v>23</v>
      </c>
      <c r="T659" s="34">
        <f>IF(R659="","",R659/S659)</f>
        <v>1.17391304347826</v>
      </c>
      <c r="U659" s="34">
        <f>IF(E659=1,T659,"")</f>
        <v>1.17391304347826</v>
      </c>
      <c r="V659" s="34">
        <f>IF(AND(E659=1,L659=0),T659,"")</f>
        <v>1.17391304347826</v>
      </c>
      <c r="W659" s="33">
        <f>IF(U659="","",IF(U659&lt;=Breakdowns!$C$5,1,IF(U659&lt;=Breakdowns!$C$6,2,IF(U659&lt;=Breakdowns!$C$7,3,4))))</f>
        <v>3</v>
      </c>
      <c r="X659" s="33">
        <f>IF(V659="","",IF(V659&lt;=Breakdowns!$D$5,1,IF(V659&lt;=Breakdowns!$D$6,2,IF(V659&lt;=Breakdowns!$D$7,3,4))))</f>
        <v>4</v>
      </c>
      <c r="Y659" s="34">
        <f>INDEX(Stores!$F$2:$F$21,MATCH(B659,Stores!$A$2:$A$21,0))</f>
        <v>4.66</v>
      </c>
      <c r="Z659" s="33">
        <f>IF(Y659&gt;Store_Summary!$M$2,1,0)</f>
        <v>0</v>
      </c>
      <c r="AA659" s="33">
        <f>INDEX(Stores!$C$2:$C$21,MATCH(B659,Stores!$A$2:$A$21,0))</f>
        <v>204</v>
      </c>
      <c r="AB659" s="33">
        <f>IF(AA659&lt;180,1,0)</f>
        <v>0</v>
      </c>
      <c r="AC659" s="32" t="str">
        <f>IF(Orders!D656="","",INDEX(Riders!$C$2:$C$81,MATCH(Orders!D656,Riders!$A$2:$A$81,0)))</f>
        <v>EV scooter</v>
      </c>
      <c r="AD659" s="33">
        <f>IF(Orders!D656="","",INDEX(Riders!$D$2:$D$81,MATCH(Orders!D656,Riders!$A$2:$A$81,0)))</f>
        <v>27</v>
      </c>
      <c r="AE659" s="33">
        <f>IF(Orders!D656="","",IF(INDEX(Riders!$B$2:$B$81,MATCH(Orders!D656,Riders!$A$2:$A$81,0))=B659,1,0))</f>
        <v>0</v>
      </c>
      <c r="AF659" s="34">
        <f>IF(E659=1,Orders!L656,"")</f>
        <v>4.06</v>
      </c>
      <c r="AG659" s="34">
        <f>IF(E659=1,Orders!P656,"")</f>
        <v>11.9</v>
      </c>
      <c r="AH659" s="34">
        <f>IF(E659=1,Orders!Q656,"")</f>
        <v>18.9</v>
      </c>
      <c r="AI659" s="34">
        <f>IF(E659=1,Orders!M656,"")</f>
        <v>4.6</v>
      </c>
      <c r="AJ659" s="34">
        <f>IF(E659=1,Orders!N656,"")</f>
        <v>5.7</v>
      </c>
      <c r="AK659" s="34">
        <f>IF(E659=1,Orders!O656,"")</f>
        <v>8.6</v>
      </c>
      <c r="AL659" s="33">
        <f>IF(E659=1,IF(ROUND(ABS(AI659+AJ659+AK659-AH659),6)&lt;=0.1,1,0),"")</f>
        <v>1</v>
      </c>
      <c r="AM659" s="36">
        <f>IF(E659=1,AI659/AH659,"")</f>
        <v>0.243386243386243</v>
      </c>
      <c r="AN659" s="36">
        <f>IF(E659=1,AJ659/AH659,"")</f>
        <v>0.301587301587302</v>
      </c>
      <c r="AO659" s="36">
        <f>IF(E659=1,AK659/AH659,"")</f>
        <v>0.455026455026455</v>
      </c>
      <c r="AP659" s="34">
        <f>IF(E659=1,Orders!Y656,"")</f>
        <v>0.5</v>
      </c>
      <c r="AQ659" s="33">
        <f>IF(Orders!X656,1,0)</f>
        <v>0</v>
      </c>
      <c r="AR659" s="34" t="str">
        <f>IF(AND(E659=1,L659=1),AJ659,"")</f>
        <v/>
      </c>
      <c r="AS659" s="34">
        <f>IF(AND(E659=1,L659=0),AJ659,"")</f>
        <v>5.7</v>
      </c>
      <c r="AT659" s="34" t="str">
        <f>IF(AND(E659=1,L659=1),AI659,"")</f>
        <v/>
      </c>
      <c r="AU659" s="34">
        <f>IF(AND(E659=1,L659=0),AI659,"")</f>
        <v>4.6</v>
      </c>
      <c r="AV659" s="34" t="str">
        <f>IF(AND(E659=1,L659=1),AG659,"")</f>
        <v/>
      </c>
      <c r="AW659" s="34">
        <f>IF(AND(E659=1,L659=0),AG659,"")</f>
        <v>11.9</v>
      </c>
      <c r="AX659" s="34" t="str">
        <f>IF(AND(E659=1,L659=1),AH659,"")</f>
        <v/>
      </c>
      <c r="AY659" s="34">
        <f>IF(AND(E659=1,L659=0),AH659,"")</f>
        <v>18.9</v>
      </c>
      <c r="AZ659" s="34">
        <f>IF(G659=1,F659,"")</f>
        <v>7</v>
      </c>
      <c r="BA659" s="34" t="str">
        <f>IF(AND(G659=1,L659=1),F659,"")</f>
        <v/>
      </c>
      <c r="BB659" s="34">
        <f>IF(AND(G659=1,L659=0),F659,"")</f>
        <v>7</v>
      </c>
      <c r="BC659" s="33">
        <f>IF(E659=1,IF(Orders!R656&gt;3,1,0),"")</f>
        <v>1</v>
      </c>
      <c r="BD659" s="33">
        <f>IF(E659=1,IF(Orders!R656&gt;7,1,0),"")</f>
        <v>0</v>
      </c>
      <c r="BE659" s="32" t="str">
        <f>IF(E659=1,IF(Orders!L656&lt;=1.5,"Up to 1.5 km",IF(Orders!L656&lt;=3,"1.5–3 km","Over 3 km")),"")</f>
        <v>Over 3 km</v>
      </c>
      <c r="BF659" s="33">
        <f>IF(E659=1,IF(ABS((Orders!G656-Orders!F656)*1440-Orders!R656)&lt;0.06,1,0),"")</f>
        <v>1</v>
      </c>
      <c r="BG659" s="33">
        <f>IF(ABS((Orders!F656-Orders!E656)*1440-Orders!P656)&lt;0.06,1,0)</f>
        <v>1</v>
      </c>
      <c r="BH659" s="33">
        <f>IF(E659=1,IF(IF(Orders!S656,1,0)=1-G659,1,0),"")</f>
        <v>1</v>
      </c>
      <c r="BI659" s="32" t="str">
        <f>INDEX(Stores!$B$2:$B$21,MATCH(B659,Stores!$A$2:$A$21,0))</f>
        <v>Delhi</v>
      </c>
    </row>
    <row r="660">
      <c r="A660" s="32" t="str">
        <f>Orders!A657</f>
        <v>O00656</v>
      </c>
      <c r="B660" s="32" t="str">
        <f>Orders!C657</f>
        <v>S017</v>
      </c>
      <c r="C660" s="32" t="str">
        <f>Orders!B657</f>
        <v>C0057</v>
      </c>
      <c r="D660" s="32" t="str">
        <f>Orders!H657</f>
        <v>Delivered</v>
      </c>
      <c r="E660" s="33">
        <f>IF(Orders!H657="Delivered",1,0)</f>
        <v>1</v>
      </c>
      <c r="F660" s="34">
        <f>IF(E660=1,Orders!R657,"")</f>
        <v>0.1</v>
      </c>
      <c r="G660" s="33">
        <f>IF(E660=1,IF(Orders!R657&gt;0,1,0),"")</f>
        <v>1</v>
      </c>
      <c r="H660" s="33">
        <f>IF(E660=1,IF(Orders!R657&gt;5,1,0),"")</f>
        <v>0</v>
      </c>
      <c r="I660" s="32" t="str">
        <f>IF(E660=1,"",IF(OR(Orders!T657="Rider unavailable",Orders!T657="Item unavailable"),"Company-caused","Unresolved"))</f>
        <v/>
      </c>
      <c r="J660" s="33">
        <f>IF(OR(E660=1,I660="Company-caused"),1,0)</f>
        <v>1</v>
      </c>
      <c r="K660" s="32" t="str">
        <f>IF(E660=0,IF(I660="Company-caused",IF(Orders!T657="Rider unavailable","C1 Rider unavailable","C2 Item unavailable"),"Outside root: unresolved"),IF(G660=0,"A On time",IF(H660=1,IF(L660=1,"B2a Severe, peak","B2b Severe, off-peak"),IF(L660=1,"B1a Slight, peak","B1b Slight, off-peak"))))</f>
        <v>B1b Slight, off-peak</v>
      </c>
      <c r="L660" s="33">
        <f>IF(AND(Orders!U657&gt;=19,Orders!U657&lt;22),1,0)</f>
        <v>0</v>
      </c>
      <c r="M660" s="33">
        <f>IF(L660=IF(Orders!V657,1,0),1,0)</f>
        <v>1</v>
      </c>
      <c r="N660" s="32" t="str">
        <f>IF(Orders!W657="","None",Orders!W657)</f>
        <v>Light</v>
      </c>
      <c r="O660" s="35">
        <f>INT(Orders!E657)</f>
        <v>46275.0</v>
      </c>
      <c r="P660" s="33">
        <f>Orders!U657</f>
        <v>15</v>
      </c>
      <c r="Q660" s="33">
        <f>COUNTIFS(Demand!$A$2:$A$4481,B660,Demand!$B$2:$B$4481,O660,Demand!$C$2:$C$4481,P660)</f>
        <v>1</v>
      </c>
      <c r="R660" s="33">
        <f>IF(Q660=1,SUMIFS(Demand!$E$2:$E$4481,Demand!$A$2:$A$4481,B660,Demand!$B$2:$B$4481,O660,Demand!$C$2:$C$4481,P660),"")</f>
        <v>21</v>
      </c>
      <c r="S660" s="33">
        <f>INDEX(Stores!$G$2:$G$21,MATCH(B660,Stores!$A$2:$A$21,0))</f>
        <v>36</v>
      </c>
      <c r="T660" s="34">
        <f>IF(R660="","",R660/S660)</f>
        <v>0.583333333333333</v>
      </c>
      <c r="U660" s="34">
        <f>IF(E660=1,T660,"")</f>
        <v>0.583333333333333</v>
      </c>
      <c r="V660" s="34">
        <f>IF(AND(E660=1,L660=0),T660,"")</f>
        <v>0.583333333333333</v>
      </c>
      <c r="W660" s="33">
        <f>IF(U660="","",IF(U660&lt;=Breakdowns!$C$5,1,IF(U660&lt;=Breakdowns!$C$6,2,IF(U660&lt;=Breakdowns!$C$7,3,4))))</f>
        <v>1</v>
      </c>
      <c r="X660" s="33">
        <f>IF(V660="","",IF(V660&lt;=Breakdowns!$D$5,1,IF(V660&lt;=Breakdowns!$D$6,2,IF(V660&lt;=Breakdowns!$D$7,3,4))))</f>
        <v>1</v>
      </c>
      <c r="Y660" s="34">
        <f>INDEX(Stores!$F$2:$F$21,MATCH(B660,Stores!$A$2:$A$21,0))</f>
        <v>2.16</v>
      </c>
      <c r="Z660" s="33">
        <f>IF(Y660&gt;Store_Summary!$M$2,1,0)</f>
        <v>0</v>
      </c>
      <c r="AA660" s="33">
        <f>INDEX(Stores!$C$2:$C$21,MATCH(B660,Stores!$A$2:$A$21,0))</f>
        <v>47</v>
      </c>
      <c r="AB660" s="33">
        <f>IF(AA660&lt;180,1,0)</f>
        <v>1</v>
      </c>
      <c r="AC660" s="32" t="str">
        <f>IF(Orders!D657="","",INDEX(Riders!$C$2:$C$81,MATCH(Orders!D657,Riders!$A$2:$A$81,0)))</f>
        <v>Petrol scooter</v>
      </c>
      <c r="AD660" s="33">
        <f>IF(Orders!D657="","",INDEX(Riders!$D$2:$D$81,MATCH(Orders!D657,Riders!$A$2:$A$81,0)))</f>
        <v>24</v>
      </c>
      <c r="AE660" s="33">
        <f>IF(Orders!D657="","",IF(INDEX(Riders!$B$2:$B$81,MATCH(Orders!D657,Riders!$A$2:$A$81,0))=B660,1,0))</f>
        <v>0</v>
      </c>
      <c r="AF660" s="34">
        <f>IF(E660=1,Orders!L657,"")</f>
        <v>1.42</v>
      </c>
      <c r="AG660" s="34">
        <f>IF(E660=1,Orders!P657,"")</f>
        <v>11.2</v>
      </c>
      <c r="AH660" s="34">
        <f>IF(E660=1,Orders!Q657,"")</f>
        <v>11.3</v>
      </c>
      <c r="AI660" s="34">
        <f>IF(E660=1,Orders!M657,"")</f>
        <v>2.2</v>
      </c>
      <c r="AJ660" s="34">
        <f>IF(E660=1,Orders!N657,"")</f>
        <v>4.6</v>
      </c>
      <c r="AK660" s="34">
        <f>IF(E660=1,Orders!O657,"")</f>
        <v>4.6</v>
      </c>
      <c r="AL660" s="33">
        <f>IF(E660=1,IF(ROUND(ABS(AI660+AJ660+AK660-AH660),6)&lt;=0.1,1,0),"")</f>
        <v>1</v>
      </c>
      <c r="AM660" s="36">
        <f>IF(E660=1,AI660/AH660,"")</f>
        <v>0.194690265486726</v>
      </c>
      <c r="AN660" s="36">
        <f>IF(E660=1,AJ660/AH660,"")</f>
        <v>0.407079646017699</v>
      </c>
      <c r="AO660" s="36">
        <f>IF(E660=1,AK660/AH660,"")</f>
        <v>0.407079646017699</v>
      </c>
      <c r="AP660" s="34">
        <f>IF(E660=1,Orders!Y657,"")</f>
        <v>0.15</v>
      </c>
      <c r="AQ660" s="33">
        <f>IF(Orders!X657,1,0)</f>
        <v>0</v>
      </c>
      <c r="AR660" s="34" t="str">
        <f>IF(AND(E660=1,L660=1),AJ660,"")</f>
        <v/>
      </c>
      <c r="AS660" s="34">
        <f>IF(AND(E660=1,L660=0),AJ660,"")</f>
        <v>4.6</v>
      </c>
      <c r="AT660" s="34" t="str">
        <f>IF(AND(E660=1,L660=1),AI660,"")</f>
        <v/>
      </c>
      <c r="AU660" s="34">
        <f>IF(AND(E660=1,L660=0),AI660,"")</f>
        <v>2.2</v>
      </c>
      <c r="AV660" s="34" t="str">
        <f>IF(AND(E660=1,L660=1),AG660,"")</f>
        <v/>
      </c>
      <c r="AW660" s="34">
        <f>IF(AND(E660=1,L660=0),AG660,"")</f>
        <v>11.2</v>
      </c>
      <c r="AX660" s="34" t="str">
        <f>IF(AND(E660=1,L660=1),AH660,"")</f>
        <v/>
      </c>
      <c r="AY660" s="34">
        <f>IF(AND(E660=1,L660=0),AH660,"")</f>
        <v>11.3</v>
      </c>
      <c r="AZ660" s="34">
        <f>IF(G660=1,F660,"")</f>
        <v>0.1</v>
      </c>
      <c r="BA660" s="34" t="str">
        <f>IF(AND(G660=1,L660=1),F660,"")</f>
        <v/>
      </c>
      <c r="BB660" s="34">
        <f>IF(AND(G660=1,L660=0),F660,"")</f>
        <v>0.1</v>
      </c>
      <c r="BC660" s="33">
        <f>IF(E660=1,IF(Orders!R657&gt;3,1,0),"")</f>
        <v>0</v>
      </c>
      <c r="BD660" s="33">
        <f>IF(E660=1,IF(Orders!R657&gt;7,1,0),"")</f>
        <v>0</v>
      </c>
      <c r="BE660" s="32" t="str">
        <f>IF(E660=1,IF(Orders!L657&lt;=1.5,"Up to 1.5 km",IF(Orders!L657&lt;=3,"1.5–3 km","Over 3 km")),"")</f>
        <v>Up to 1.5 km</v>
      </c>
      <c r="BF660" s="33">
        <f>IF(E660=1,IF(ABS((Orders!G657-Orders!F657)*1440-Orders!R657)&lt;0.06,1,0),"")</f>
        <v>1</v>
      </c>
      <c r="BG660" s="33">
        <f>IF(ABS((Orders!F657-Orders!E657)*1440-Orders!P657)&lt;0.06,1,0)</f>
        <v>1</v>
      </c>
      <c r="BH660" s="33">
        <f>IF(E660=1,IF(IF(Orders!S657,1,0)=1-G660,1,0),"")</f>
        <v>1</v>
      </c>
      <c r="BI660" s="32" t="str">
        <f>INDEX(Stores!$B$2:$B$21,MATCH(B660,Stores!$A$2:$A$21,0))</f>
        <v>Hyderabad</v>
      </c>
    </row>
    <row r="661">
      <c r="A661" s="32" t="str">
        <f>Orders!A658</f>
        <v>O00657</v>
      </c>
      <c r="B661" s="32" t="str">
        <f>Orders!C658</f>
        <v>S005</v>
      </c>
      <c r="C661" s="32" t="str">
        <f>Orders!B658</f>
        <v>C0113</v>
      </c>
      <c r="D661" s="32" t="str">
        <f>Orders!H658</f>
        <v>Delivered</v>
      </c>
      <c r="E661" s="33">
        <f>IF(Orders!H658="Delivered",1,0)</f>
        <v>1</v>
      </c>
      <c r="F661" s="34">
        <f>IF(E661=1,Orders!R658,"")</f>
        <v>-1.2</v>
      </c>
      <c r="G661" s="33">
        <f>IF(E661=1,IF(Orders!R658&gt;0,1,0),"")</f>
        <v>0</v>
      </c>
      <c r="H661" s="33">
        <f>IF(E661=1,IF(Orders!R658&gt;5,1,0),"")</f>
        <v>0</v>
      </c>
      <c r="I661" s="32" t="str">
        <f>IF(E661=1,"",IF(OR(Orders!T658="Rider unavailable",Orders!T658="Item unavailable"),"Company-caused","Unresolved"))</f>
        <v/>
      </c>
      <c r="J661" s="33">
        <f>IF(OR(E661=1,I661="Company-caused"),1,0)</f>
        <v>1</v>
      </c>
      <c r="K661" s="32" t="str">
        <f>IF(E661=0,IF(I661="Company-caused",IF(Orders!T658="Rider unavailable","C1 Rider unavailable","C2 Item unavailable"),"Outside root: unresolved"),IF(G661=0,"A On time",IF(H661=1,IF(L661=1,"B2a Severe, peak","B2b Severe, off-peak"),IF(L661=1,"B1a Slight, peak","B1b Slight, off-peak"))))</f>
        <v>A On time</v>
      </c>
      <c r="L661" s="33">
        <f>IF(AND(Orders!U658&gt;=19,Orders!U658&lt;22),1,0)</f>
        <v>0</v>
      </c>
      <c r="M661" s="33">
        <f>IF(L661=IF(Orders!V658,1,0),1,0)</f>
        <v>1</v>
      </c>
      <c r="N661" s="32" t="str">
        <f>IF(Orders!W658="","None",Orders!W658)</f>
        <v>None</v>
      </c>
      <c r="O661" s="35">
        <f>INT(Orders!E658)</f>
        <v>46278.0</v>
      </c>
      <c r="P661" s="33">
        <f>Orders!U658</f>
        <v>22</v>
      </c>
      <c r="Q661" s="33">
        <f>COUNTIFS(Demand!$A$2:$A$4481,B661,Demand!$B$2:$B$4481,O661,Demand!$C$2:$C$4481,P661)</f>
        <v>1</v>
      </c>
      <c r="R661" s="33">
        <f>IF(Q661=1,SUMIFS(Demand!$E$2:$E$4481,Demand!$A$2:$A$4481,B661,Demand!$B$2:$B$4481,O661,Demand!$C$2:$C$4481,P661),"")</f>
        <v>13</v>
      </c>
      <c r="S661" s="33">
        <f>INDEX(Stores!$G$2:$G$21,MATCH(B661,Stores!$A$2:$A$21,0))</f>
        <v>14</v>
      </c>
      <c r="T661" s="34">
        <f>IF(R661="","",R661/S661)</f>
        <v>0.928571428571429</v>
      </c>
      <c r="U661" s="34">
        <f>IF(E661=1,T661,"")</f>
        <v>0.928571428571429</v>
      </c>
      <c r="V661" s="34">
        <f>IF(AND(E661=1,L661=0),T661,"")</f>
        <v>0.928571428571429</v>
      </c>
      <c r="W661" s="33">
        <f>IF(U661="","",IF(U661&lt;=Breakdowns!$C$5,1,IF(U661&lt;=Breakdowns!$C$6,2,IF(U661&lt;=Breakdowns!$C$7,3,4))))</f>
        <v>2</v>
      </c>
      <c r="X661" s="33">
        <f>IF(V661="","",IF(V661&lt;=Breakdowns!$D$5,1,IF(V661&lt;=Breakdowns!$D$6,2,IF(V661&lt;=Breakdowns!$D$7,3,4))))</f>
        <v>3</v>
      </c>
      <c r="Y661" s="34">
        <f>INDEX(Stores!$F$2:$F$21,MATCH(B661,Stores!$A$2:$A$21,0))</f>
        <v>4.89</v>
      </c>
      <c r="Z661" s="33">
        <f>IF(Y661&gt;Store_Summary!$M$2,1,0)</f>
        <v>0</v>
      </c>
      <c r="AA661" s="33">
        <f>INDEX(Stores!$C$2:$C$21,MATCH(B661,Stores!$A$2:$A$21,0))</f>
        <v>138</v>
      </c>
      <c r="AB661" s="33">
        <f>IF(AA661&lt;180,1,0)</f>
        <v>1</v>
      </c>
      <c r="AC661" s="32" t="str">
        <f>IF(Orders!D658="","",INDEX(Riders!$C$2:$C$81,MATCH(Orders!D658,Riders!$A$2:$A$81,0)))</f>
        <v>EV scooter</v>
      </c>
      <c r="AD661" s="33">
        <f>IF(Orders!D658="","",INDEX(Riders!$D$2:$D$81,MATCH(Orders!D658,Riders!$A$2:$A$81,0)))</f>
        <v>41</v>
      </c>
      <c r="AE661" s="33">
        <f>IF(Orders!D658="","",IF(INDEX(Riders!$B$2:$B$81,MATCH(Orders!D658,Riders!$A$2:$A$81,0))=B661,1,0))</f>
        <v>0</v>
      </c>
      <c r="AF661" s="34">
        <f>IF(E661=1,Orders!L658,"")</f>
        <v>0.83</v>
      </c>
      <c r="AG661" s="34">
        <f>IF(E661=1,Orders!P658,"")</f>
        <v>8.6</v>
      </c>
      <c r="AH661" s="34">
        <f>IF(E661=1,Orders!Q658,"")</f>
        <v>7.4</v>
      </c>
      <c r="AI661" s="34">
        <f>IF(E661=1,Orders!M658,"")</f>
        <v>2.2</v>
      </c>
      <c r="AJ661" s="34">
        <f>IF(E661=1,Orders!N658,"")</f>
        <v>4</v>
      </c>
      <c r="AK661" s="34">
        <f>IF(E661=1,Orders!O658,"")</f>
        <v>1.2</v>
      </c>
      <c r="AL661" s="33">
        <f>IF(E661=1,IF(ROUND(ABS(AI661+AJ661+AK661-AH661),6)&lt;=0.1,1,0),"")</f>
        <v>1</v>
      </c>
      <c r="AM661" s="36">
        <f>IF(E661=1,AI661/AH661,"")</f>
        <v>0.297297297297297</v>
      </c>
      <c r="AN661" s="36">
        <f>IF(E661=1,AJ661/AH661,"")</f>
        <v>0.540540540540541</v>
      </c>
      <c r="AO661" s="36">
        <f>IF(E661=1,AK661/AH661,"")</f>
        <v>0.162162162162162</v>
      </c>
      <c r="AP661" s="34">
        <f>IF(E661=1,Orders!Y658,"")</f>
        <v>0.27</v>
      </c>
      <c r="AQ661" s="33">
        <f>IF(Orders!X658,1,0)</f>
        <v>0</v>
      </c>
      <c r="AR661" s="34" t="str">
        <f>IF(AND(E661=1,L661=1),AJ661,"")</f>
        <v/>
      </c>
      <c r="AS661" s="34">
        <f>IF(AND(E661=1,L661=0),AJ661,"")</f>
        <v>4</v>
      </c>
      <c r="AT661" s="34" t="str">
        <f>IF(AND(E661=1,L661=1),AI661,"")</f>
        <v/>
      </c>
      <c r="AU661" s="34">
        <f>IF(AND(E661=1,L661=0),AI661,"")</f>
        <v>2.2</v>
      </c>
      <c r="AV661" s="34" t="str">
        <f>IF(AND(E661=1,L661=1),AG661,"")</f>
        <v/>
      </c>
      <c r="AW661" s="34">
        <f>IF(AND(E661=1,L661=0),AG661,"")</f>
        <v>8.6</v>
      </c>
      <c r="AX661" s="34" t="str">
        <f>IF(AND(E661=1,L661=1),AH661,"")</f>
        <v/>
      </c>
      <c r="AY661" s="34">
        <f>IF(AND(E661=1,L661=0),AH661,"")</f>
        <v>7.4</v>
      </c>
      <c r="AZ661" s="34" t="str">
        <f>IF(G661=1,F661,"")</f>
        <v/>
      </c>
      <c r="BA661" s="34" t="str">
        <f>IF(AND(G661=1,L661=1),F661,"")</f>
        <v/>
      </c>
      <c r="BB661" s="34" t="str">
        <f>IF(AND(G661=1,L661=0),F661,"")</f>
        <v/>
      </c>
      <c r="BC661" s="33">
        <f>IF(E661=1,IF(Orders!R658&gt;3,1,0),"")</f>
        <v>0</v>
      </c>
      <c r="BD661" s="33">
        <f>IF(E661=1,IF(Orders!R658&gt;7,1,0),"")</f>
        <v>0</v>
      </c>
      <c r="BE661" s="32" t="str">
        <f>IF(E661=1,IF(Orders!L658&lt;=1.5,"Up to 1.5 km",IF(Orders!L658&lt;=3,"1.5–3 km","Over 3 km")),"")</f>
        <v>Up to 1.5 km</v>
      </c>
      <c r="BF661" s="33">
        <f>IF(E661=1,IF(ABS((Orders!G658-Orders!F658)*1440-Orders!R658)&lt;0.06,1,0),"")</f>
        <v>1</v>
      </c>
      <c r="BG661" s="33">
        <f>IF(ABS((Orders!F658-Orders!E658)*1440-Orders!P658)&lt;0.06,1,0)</f>
        <v>1</v>
      </c>
      <c r="BH661" s="33">
        <f>IF(E661=1,IF(IF(Orders!S658,1,0)=1-G661,1,0),"")</f>
        <v>1</v>
      </c>
      <c r="BI661" s="32" t="str">
        <f>INDEX(Stores!$B$2:$B$21,MATCH(B661,Stores!$A$2:$A$21,0))</f>
        <v>Delhi</v>
      </c>
    </row>
    <row r="662">
      <c r="A662" s="32" t="str">
        <f>Orders!A659</f>
        <v>O00658</v>
      </c>
      <c r="B662" s="32" t="str">
        <f>Orders!C659</f>
        <v>S016</v>
      </c>
      <c r="C662" s="32" t="str">
        <f>Orders!B659</f>
        <v>C0246</v>
      </c>
      <c r="D662" s="32" t="str">
        <f>Orders!H659</f>
        <v>Delivered</v>
      </c>
      <c r="E662" s="33">
        <f>IF(Orders!H659="Delivered",1,0)</f>
        <v>1</v>
      </c>
      <c r="F662" s="34">
        <f>IF(E662=1,Orders!R659,"")</f>
        <v>-0.2</v>
      </c>
      <c r="G662" s="33">
        <f>IF(E662=1,IF(Orders!R659&gt;0,1,0),"")</f>
        <v>0</v>
      </c>
      <c r="H662" s="33">
        <f>IF(E662=1,IF(Orders!R659&gt;5,1,0),"")</f>
        <v>0</v>
      </c>
      <c r="I662" s="32" t="str">
        <f>IF(E662=1,"",IF(OR(Orders!T659="Rider unavailable",Orders!T659="Item unavailable"),"Company-caused","Unresolved"))</f>
        <v/>
      </c>
      <c r="J662" s="33">
        <f>IF(OR(E662=1,I662="Company-caused"),1,0)</f>
        <v>1</v>
      </c>
      <c r="K662" s="32" t="str">
        <f>IF(E662=0,IF(I662="Company-caused",IF(Orders!T659="Rider unavailable","C1 Rider unavailable","C2 Item unavailable"),"Outside root: unresolved"),IF(G662=0,"A On time",IF(H662=1,IF(L662=1,"B2a Severe, peak","B2b Severe, off-peak"),IF(L662=1,"B1a Slight, peak","B1b Slight, off-peak"))))</f>
        <v>A On time</v>
      </c>
      <c r="L662" s="33">
        <f>IF(AND(Orders!U659&gt;=19,Orders!U659&lt;22),1,0)</f>
        <v>0</v>
      </c>
      <c r="M662" s="33">
        <f>IF(L662=IF(Orders!V659,1,0),1,0)</f>
        <v>1</v>
      </c>
      <c r="N662" s="32" t="str">
        <f>IF(Orders!W659="","None",Orders!W659)</f>
        <v>None</v>
      </c>
      <c r="O662" s="35">
        <f>INT(Orders!E659)</f>
        <v>46273.0</v>
      </c>
      <c r="P662" s="33">
        <f>Orders!U659</f>
        <v>14</v>
      </c>
      <c r="Q662" s="33">
        <f>COUNTIFS(Demand!$A$2:$A$4481,B662,Demand!$B$2:$B$4481,O662,Demand!$C$2:$C$4481,P662)</f>
        <v>1</v>
      </c>
      <c r="R662" s="33">
        <f>IF(Q662=1,SUMIFS(Demand!$E$2:$E$4481,Demand!$A$2:$A$4481,B662,Demand!$B$2:$B$4481,O662,Demand!$C$2:$C$4481,P662),"")</f>
        <v>18</v>
      </c>
      <c r="S662" s="33">
        <f>INDEX(Stores!$G$2:$G$21,MATCH(B662,Stores!$A$2:$A$21,0))</f>
        <v>25</v>
      </c>
      <c r="T662" s="34">
        <f>IF(R662="","",R662/S662)</f>
        <v>0.72</v>
      </c>
      <c r="U662" s="34">
        <f>IF(E662=1,T662,"")</f>
        <v>0.72</v>
      </c>
      <c r="V662" s="34">
        <f>IF(AND(E662=1,L662=0),T662,"")</f>
        <v>0.72</v>
      </c>
      <c r="W662" s="33">
        <f>IF(U662="","",IF(U662&lt;=Breakdowns!$C$5,1,IF(U662&lt;=Breakdowns!$C$6,2,IF(U662&lt;=Breakdowns!$C$7,3,4))))</f>
        <v>1</v>
      </c>
      <c r="X662" s="33">
        <f>IF(V662="","",IF(V662&lt;=Breakdowns!$D$5,1,IF(V662&lt;=Breakdowns!$D$6,2,IF(V662&lt;=Breakdowns!$D$7,3,4))))</f>
        <v>1</v>
      </c>
      <c r="Y662" s="34">
        <f>INDEX(Stores!$F$2:$F$21,MATCH(B662,Stores!$A$2:$A$21,0))</f>
        <v>5.51</v>
      </c>
      <c r="Z662" s="33">
        <f>IF(Y662&gt;Store_Summary!$M$2,1,0)</f>
        <v>1</v>
      </c>
      <c r="AA662" s="33">
        <f>INDEX(Stores!$C$2:$C$21,MATCH(B662,Stores!$A$2:$A$21,0))</f>
        <v>792</v>
      </c>
      <c r="AB662" s="33">
        <f>IF(AA662&lt;180,1,0)</f>
        <v>0</v>
      </c>
      <c r="AC662" s="32" t="str">
        <f>IF(Orders!D659="","",INDEX(Riders!$C$2:$C$81,MATCH(Orders!D659,Riders!$A$2:$A$81,0)))</f>
        <v>Petrol scooter</v>
      </c>
      <c r="AD662" s="33">
        <f>IF(Orders!D659="","",INDEX(Riders!$D$2:$D$81,MATCH(Orders!D659,Riders!$A$2:$A$81,0)))</f>
        <v>24</v>
      </c>
      <c r="AE662" s="33">
        <f>IF(Orders!D659="","",IF(INDEX(Riders!$B$2:$B$81,MATCH(Orders!D659,Riders!$A$2:$A$81,0))=B662,1,0))</f>
        <v>1</v>
      </c>
      <c r="AF662" s="34">
        <f>IF(E662=1,Orders!L659,"")</f>
        <v>0.61</v>
      </c>
      <c r="AG662" s="34">
        <f>IF(E662=1,Orders!P659,"")</f>
        <v>9.8</v>
      </c>
      <c r="AH662" s="34">
        <f>IF(E662=1,Orders!Q659,"")</f>
        <v>9.6</v>
      </c>
      <c r="AI662" s="34">
        <f>IF(E662=1,Orders!M659,"")</f>
        <v>5.1</v>
      </c>
      <c r="AJ662" s="34">
        <f>IF(E662=1,Orders!N659,"")</f>
        <v>2.3</v>
      </c>
      <c r="AK662" s="34">
        <f>IF(E662=1,Orders!O659,"")</f>
        <v>2.2</v>
      </c>
      <c r="AL662" s="33">
        <f>IF(E662=1,IF(ROUND(ABS(AI662+AJ662+AK662-AH662),6)&lt;=0.1,1,0),"")</f>
        <v>1</v>
      </c>
      <c r="AM662" s="36">
        <f>IF(E662=1,AI662/AH662,"")</f>
        <v>0.53125</v>
      </c>
      <c r="AN662" s="36">
        <f>IF(E662=1,AJ662/AH662,"")</f>
        <v>0.239583333333333</v>
      </c>
      <c r="AO662" s="36">
        <f>IF(E662=1,AK662/AH662,"")</f>
        <v>0.229166666666667</v>
      </c>
      <c r="AP662" s="34">
        <f>IF(E662=1,Orders!Y659,"")</f>
        <v>0.44</v>
      </c>
      <c r="AQ662" s="33">
        <f>IF(Orders!X659,1,0)</f>
        <v>0</v>
      </c>
      <c r="AR662" s="34" t="str">
        <f>IF(AND(E662=1,L662=1),AJ662,"")</f>
        <v/>
      </c>
      <c r="AS662" s="34">
        <f>IF(AND(E662=1,L662=0),AJ662,"")</f>
        <v>2.3</v>
      </c>
      <c r="AT662" s="34" t="str">
        <f>IF(AND(E662=1,L662=1),AI662,"")</f>
        <v/>
      </c>
      <c r="AU662" s="34">
        <f>IF(AND(E662=1,L662=0),AI662,"")</f>
        <v>5.1</v>
      </c>
      <c r="AV662" s="34" t="str">
        <f>IF(AND(E662=1,L662=1),AG662,"")</f>
        <v/>
      </c>
      <c r="AW662" s="34">
        <f>IF(AND(E662=1,L662=0),AG662,"")</f>
        <v>9.8</v>
      </c>
      <c r="AX662" s="34" t="str">
        <f>IF(AND(E662=1,L662=1),AH662,"")</f>
        <v/>
      </c>
      <c r="AY662" s="34">
        <f>IF(AND(E662=1,L662=0),AH662,"")</f>
        <v>9.6</v>
      </c>
      <c r="AZ662" s="34" t="str">
        <f>IF(G662=1,F662,"")</f>
        <v/>
      </c>
      <c r="BA662" s="34" t="str">
        <f>IF(AND(G662=1,L662=1),F662,"")</f>
        <v/>
      </c>
      <c r="BB662" s="34" t="str">
        <f>IF(AND(G662=1,L662=0),F662,"")</f>
        <v/>
      </c>
      <c r="BC662" s="33">
        <f>IF(E662=1,IF(Orders!R659&gt;3,1,0),"")</f>
        <v>0</v>
      </c>
      <c r="BD662" s="33">
        <f>IF(E662=1,IF(Orders!R659&gt;7,1,0),"")</f>
        <v>0</v>
      </c>
      <c r="BE662" s="32" t="str">
        <f>IF(E662=1,IF(Orders!L659&lt;=1.5,"Up to 1.5 km",IF(Orders!L659&lt;=3,"1.5–3 km","Over 3 km")),"")</f>
        <v>Up to 1.5 km</v>
      </c>
      <c r="BF662" s="33">
        <f>IF(E662=1,IF(ABS((Orders!G659-Orders!F659)*1440-Orders!R659)&lt;0.06,1,0),"")</f>
        <v>1</v>
      </c>
      <c r="BG662" s="33">
        <f>IF(ABS((Orders!F659-Orders!E659)*1440-Orders!P659)&lt;0.06,1,0)</f>
        <v>1</v>
      </c>
      <c r="BH662" s="33">
        <f>IF(E662=1,IF(IF(Orders!S659,1,0)=1-G662,1,0),"")</f>
        <v>1</v>
      </c>
      <c r="BI662" s="32" t="str">
        <f>INDEX(Stores!$B$2:$B$21,MATCH(B662,Stores!$A$2:$A$21,0))</f>
        <v>Bengaluru</v>
      </c>
    </row>
    <row r="663">
      <c r="A663" s="32" t="str">
        <f>Orders!A660</f>
        <v>O00659</v>
      </c>
      <c r="B663" s="32" t="str">
        <f>Orders!C660</f>
        <v>S019</v>
      </c>
      <c r="C663" s="32" t="str">
        <f>Orders!B660</f>
        <v>C0134</v>
      </c>
      <c r="D663" s="32" t="str">
        <f>Orders!H660</f>
        <v>Delivered</v>
      </c>
      <c r="E663" s="33">
        <f>IF(Orders!H660="Delivered",1,0)</f>
        <v>1</v>
      </c>
      <c r="F663" s="34">
        <f>IF(E663=1,Orders!R660,"")</f>
        <v>-0.5</v>
      </c>
      <c r="G663" s="33">
        <f>IF(E663=1,IF(Orders!R660&gt;0,1,0),"")</f>
        <v>0</v>
      </c>
      <c r="H663" s="33">
        <f>IF(E663=1,IF(Orders!R660&gt;5,1,0),"")</f>
        <v>0</v>
      </c>
      <c r="I663" s="32" t="str">
        <f>IF(E663=1,"",IF(OR(Orders!T660="Rider unavailable",Orders!T660="Item unavailable"),"Company-caused","Unresolved"))</f>
        <v/>
      </c>
      <c r="J663" s="33">
        <f>IF(OR(E663=1,I663="Company-caused"),1,0)</f>
        <v>1</v>
      </c>
      <c r="K663" s="32" t="str">
        <f>IF(E663=0,IF(I663="Company-caused",IF(Orders!T660="Rider unavailable","C1 Rider unavailable","C2 Item unavailable"),"Outside root: unresolved"),IF(G663=0,"A On time",IF(H663=1,IF(L663=1,"B2a Severe, peak","B2b Severe, off-peak"),IF(L663=1,"B1a Slight, peak","B1b Slight, off-peak"))))</f>
        <v>A On time</v>
      </c>
      <c r="L663" s="33">
        <f>IF(AND(Orders!U660&gt;=19,Orders!U660&lt;22),1,0)</f>
        <v>0</v>
      </c>
      <c r="M663" s="33">
        <f>IF(L663=IF(Orders!V660,1,0),1,0)</f>
        <v>1</v>
      </c>
      <c r="N663" s="32" t="str">
        <f>IF(Orders!W660="","None",Orders!W660)</f>
        <v>Light</v>
      </c>
      <c r="O663" s="35">
        <f>INT(Orders!E660)</f>
        <v>46270.0</v>
      </c>
      <c r="P663" s="33">
        <f>Orders!U660</f>
        <v>15</v>
      </c>
      <c r="Q663" s="33">
        <f>COUNTIFS(Demand!$A$2:$A$4481,B663,Demand!$B$2:$B$4481,O663,Demand!$C$2:$C$4481,P663)</f>
        <v>1</v>
      </c>
      <c r="R663" s="33">
        <f>IF(Q663=1,SUMIFS(Demand!$E$2:$E$4481,Demand!$A$2:$A$4481,B663,Demand!$B$2:$B$4481,O663,Demand!$C$2:$C$4481,P663),"")</f>
        <v>29</v>
      </c>
      <c r="S663" s="33">
        <f>INDEX(Stores!$G$2:$G$21,MATCH(B663,Stores!$A$2:$A$21,0))</f>
        <v>22</v>
      </c>
      <c r="T663" s="34">
        <f>IF(R663="","",R663/S663)</f>
        <v>1.31818181818182</v>
      </c>
      <c r="U663" s="34">
        <f>IF(E663=1,T663,"")</f>
        <v>1.31818181818182</v>
      </c>
      <c r="V663" s="34">
        <f>IF(AND(E663=1,L663=0),T663,"")</f>
        <v>1.31818181818182</v>
      </c>
      <c r="W663" s="33">
        <f>IF(U663="","",IF(U663&lt;=Breakdowns!$C$5,1,IF(U663&lt;=Breakdowns!$C$6,2,IF(U663&lt;=Breakdowns!$C$7,3,4))))</f>
        <v>4</v>
      </c>
      <c r="X663" s="33">
        <f>IF(V663="","",IF(V663&lt;=Breakdowns!$D$5,1,IF(V663&lt;=Breakdowns!$D$6,2,IF(V663&lt;=Breakdowns!$D$7,3,4))))</f>
        <v>4</v>
      </c>
      <c r="Y663" s="34">
        <f>INDEX(Stores!$F$2:$F$21,MATCH(B663,Stores!$A$2:$A$21,0))</f>
        <v>4.99</v>
      </c>
      <c r="Z663" s="33">
        <f>IF(Y663&gt;Store_Summary!$M$2,1,0)</f>
        <v>1</v>
      </c>
      <c r="AA663" s="33">
        <f>INDEX(Stores!$C$2:$C$21,MATCH(B663,Stores!$A$2:$A$21,0))</f>
        <v>851</v>
      </c>
      <c r="AB663" s="33">
        <f>IF(AA663&lt;180,1,0)</f>
        <v>0</v>
      </c>
      <c r="AC663" s="32" t="str">
        <f>IF(Orders!D660="","",INDEX(Riders!$C$2:$C$81,MATCH(Orders!D660,Riders!$A$2:$A$81,0)))</f>
        <v>EV scooter</v>
      </c>
      <c r="AD663" s="33">
        <f>IF(Orders!D660="","",INDEX(Riders!$D$2:$D$81,MATCH(Orders!D660,Riders!$A$2:$A$81,0)))</f>
        <v>27</v>
      </c>
      <c r="AE663" s="33">
        <f>IF(Orders!D660="","",IF(INDEX(Riders!$B$2:$B$81,MATCH(Orders!D660,Riders!$A$2:$A$81,0))=B663,1,0))</f>
        <v>0</v>
      </c>
      <c r="AF663" s="34">
        <f>IF(E663=1,Orders!L660,"")</f>
        <v>2.5</v>
      </c>
      <c r="AG663" s="34">
        <f>IF(E663=1,Orders!P660,"")</f>
        <v>8.6</v>
      </c>
      <c r="AH663" s="34">
        <f>IF(E663=1,Orders!Q660,"")</f>
        <v>8.1</v>
      </c>
      <c r="AI663" s="34">
        <f>IF(E663=1,Orders!M660,"")</f>
        <v>2.6</v>
      </c>
      <c r="AJ663" s="34">
        <f>IF(E663=1,Orders!N660,"")</f>
        <v>1.5</v>
      </c>
      <c r="AK663" s="34">
        <f>IF(E663=1,Orders!O660,"")</f>
        <v>4</v>
      </c>
      <c r="AL663" s="33">
        <f>IF(E663=1,IF(ROUND(ABS(AI663+AJ663+AK663-AH663),6)&lt;=0.1,1,0),"")</f>
        <v>1</v>
      </c>
      <c r="AM663" s="36">
        <f>IF(E663=1,AI663/AH663,"")</f>
        <v>0.320987654320988</v>
      </c>
      <c r="AN663" s="36">
        <f>IF(E663=1,AJ663/AH663,"")</f>
        <v>0.185185185185185</v>
      </c>
      <c r="AO663" s="36">
        <f>IF(E663=1,AK663/AH663,"")</f>
        <v>0.493827160493827</v>
      </c>
      <c r="AP663" s="34">
        <f>IF(E663=1,Orders!Y660,"")</f>
        <v>0.71</v>
      </c>
      <c r="AQ663" s="33">
        <f>IF(Orders!X660,1,0)</f>
        <v>0</v>
      </c>
      <c r="AR663" s="34" t="str">
        <f>IF(AND(E663=1,L663=1),AJ663,"")</f>
        <v/>
      </c>
      <c r="AS663" s="34">
        <f>IF(AND(E663=1,L663=0),AJ663,"")</f>
        <v>1.5</v>
      </c>
      <c r="AT663" s="34" t="str">
        <f>IF(AND(E663=1,L663=1),AI663,"")</f>
        <v/>
      </c>
      <c r="AU663" s="34">
        <f>IF(AND(E663=1,L663=0),AI663,"")</f>
        <v>2.6</v>
      </c>
      <c r="AV663" s="34" t="str">
        <f>IF(AND(E663=1,L663=1),AG663,"")</f>
        <v/>
      </c>
      <c r="AW663" s="34">
        <f>IF(AND(E663=1,L663=0),AG663,"")</f>
        <v>8.6</v>
      </c>
      <c r="AX663" s="34" t="str">
        <f>IF(AND(E663=1,L663=1),AH663,"")</f>
        <v/>
      </c>
      <c r="AY663" s="34">
        <f>IF(AND(E663=1,L663=0),AH663,"")</f>
        <v>8.1</v>
      </c>
      <c r="AZ663" s="34" t="str">
        <f>IF(G663=1,F663,"")</f>
        <v/>
      </c>
      <c r="BA663" s="34" t="str">
        <f>IF(AND(G663=1,L663=1),F663,"")</f>
        <v/>
      </c>
      <c r="BB663" s="34" t="str">
        <f>IF(AND(G663=1,L663=0),F663,"")</f>
        <v/>
      </c>
      <c r="BC663" s="33">
        <f>IF(E663=1,IF(Orders!R660&gt;3,1,0),"")</f>
        <v>0</v>
      </c>
      <c r="BD663" s="33">
        <f>IF(E663=1,IF(Orders!R660&gt;7,1,0),"")</f>
        <v>0</v>
      </c>
      <c r="BE663" s="32" t="str">
        <f>IF(E663=1,IF(Orders!L660&lt;=1.5,"Up to 1.5 km",IF(Orders!L660&lt;=3,"1.5–3 km","Over 3 km")),"")</f>
        <v>1.5–3 km</v>
      </c>
      <c r="BF663" s="33">
        <f>IF(E663=1,IF(ABS((Orders!G660-Orders!F660)*1440-Orders!R660)&lt;0.06,1,0),"")</f>
        <v>1</v>
      </c>
      <c r="BG663" s="33">
        <f>IF(ABS((Orders!F660-Orders!E660)*1440-Orders!P660)&lt;0.06,1,0)</f>
        <v>1</v>
      </c>
      <c r="BH663" s="33">
        <f>IF(E663=1,IF(IF(Orders!S660,1,0)=1-G663,1,0),"")</f>
        <v>1</v>
      </c>
      <c r="BI663" s="32" t="str">
        <f>INDEX(Stores!$B$2:$B$21,MATCH(B663,Stores!$A$2:$A$21,0))</f>
        <v>Pune</v>
      </c>
    </row>
    <row r="664">
      <c r="A664" s="32" t="str">
        <f>Orders!A661</f>
        <v>O00660</v>
      </c>
      <c r="B664" s="32" t="str">
        <f>Orders!C661</f>
        <v>S008</v>
      </c>
      <c r="C664" s="32" t="str">
        <f>Orders!B661</f>
        <v>C0001</v>
      </c>
      <c r="D664" s="32" t="str">
        <f>Orders!H661</f>
        <v>Delivered</v>
      </c>
      <c r="E664" s="33">
        <f>IF(Orders!H661="Delivered",1,0)</f>
        <v>1</v>
      </c>
      <c r="F664" s="34">
        <f>IF(E664=1,Orders!R661,"")</f>
        <v>-0.6</v>
      </c>
      <c r="G664" s="33">
        <f>IF(E664=1,IF(Orders!R661&gt;0,1,0),"")</f>
        <v>0</v>
      </c>
      <c r="H664" s="33">
        <f>IF(E664=1,IF(Orders!R661&gt;5,1,0),"")</f>
        <v>0</v>
      </c>
      <c r="I664" s="32" t="str">
        <f>IF(E664=1,"",IF(OR(Orders!T661="Rider unavailable",Orders!T661="Item unavailable"),"Company-caused","Unresolved"))</f>
        <v/>
      </c>
      <c r="J664" s="33">
        <f>IF(OR(E664=1,I664="Company-caused"),1,0)</f>
        <v>1</v>
      </c>
      <c r="K664" s="32" t="str">
        <f>IF(E664=0,IF(I664="Company-caused",IF(Orders!T661="Rider unavailable","C1 Rider unavailable","C2 Item unavailable"),"Outside root: unresolved"),IF(G664=0,"A On time",IF(H664=1,IF(L664=1,"B2a Severe, peak","B2b Severe, off-peak"),IF(L664=1,"B1a Slight, peak","B1b Slight, off-peak"))))</f>
        <v>A On time</v>
      </c>
      <c r="L664" s="33">
        <f>IF(AND(Orders!U661&gt;=19,Orders!U661&lt;22),1,0)</f>
        <v>0</v>
      </c>
      <c r="M664" s="33">
        <f>IF(L664=IF(Orders!V661,1,0),1,0)</f>
        <v>1</v>
      </c>
      <c r="N664" s="32" t="str">
        <f>IF(Orders!W661="","None",Orders!W661)</f>
        <v>None</v>
      </c>
      <c r="O664" s="35">
        <f>INT(Orders!E661)</f>
        <v>46278.0</v>
      </c>
      <c r="P664" s="33">
        <f>Orders!U661</f>
        <v>15</v>
      </c>
      <c r="Q664" s="33">
        <f>COUNTIFS(Demand!$A$2:$A$4481,B664,Demand!$B$2:$B$4481,O664,Demand!$C$2:$C$4481,P664)</f>
        <v>1</v>
      </c>
      <c r="R664" s="33">
        <f>IF(Q664=1,SUMIFS(Demand!$E$2:$E$4481,Demand!$A$2:$A$4481,B664,Demand!$B$2:$B$4481,O664,Demand!$C$2:$C$4481,P664),"")</f>
        <v>25</v>
      </c>
      <c r="S664" s="33">
        <f>INDEX(Stores!$G$2:$G$21,MATCH(B664,Stores!$A$2:$A$21,0))</f>
        <v>23</v>
      </c>
      <c r="T664" s="34">
        <f>IF(R664="","",R664/S664)</f>
        <v>1.08695652173913</v>
      </c>
      <c r="U664" s="34">
        <f>IF(E664=1,T664,"")</f>
        <v>1.08695652173913</v>
      </c>
      <c r="V664" s="34">
        <f>IF(AND(E664=1,L664=0),T664,"")</f>
        <v>1.08695652173913</v>
      </c>
      <c r="W664" s="33">
        <f>IF(U664="","",IF(U664&lt;=Breakdowns!$C$5,1,IF(U664&lt;=Breakdowns!$C$6,2,IF(U664&lt;=Breakdowns!$C$7,3,4))))</f>
        <v>3</v>
      </c>
      <c r="X664" s="33">
        <f>IF(V664="","",IF(V664&lt;=Breakdowns!$D$5,1,IF(V664&lt;=Breakdowns!$D$6,2,IF(V664&lt;=Breakdowns!$D$7,3,4))))</f>
        <v>4</v>
      </c>
      <c r="Y664" s="34">
        <f>INDEX(Stores!$F$2:$F$21,MATCH(B664,Stores!$A$2:$A$21,0))</f>
        <v>3.46</v>
      </c>
      <c r="Z664" s="33">
        <f>IF(Y664&gt;Store_Summary!$M$2,1,0)</f>
        <v>0</v>
      </c>
      <c r="AA664" s="33">
        <f>INDEX(Stores!$C$2:$C$21,MATCH(B664,Stores!$A$2:$A$21,0))</f>
        <v>825</v>
      </c>
      <c r="AB664" s="33">
        <f>IF(AA664&lt;180,1,0)</f>
        <v>0</v>
      </c>
      <c r="AC664" s="32" t="str">
        <f>IF(Orders!D661="","",INDEX(Riders!$C$2:$C$81,MATCH(Orders!D661,Riders!$A$2:$A$81,0)))</f>
        <v>EV scooter</v>
      </c>
      <c r="AD664" s="33">
        <f>IF(Orders!D661="","",INDEX(Riders!$D$2:$D$81,MATCH(Orders!D661,Riders!$A$2:$A$81,0)))</f>
        <v>45</v>
      </c>
      <c r="AE664" s="33">
        <f>IF(Orders!D661="","",IF(INDEX(Riders!$B$2:$B$81,MATCH(Orders!D661,Riders!$A$2:$A$81,0))=B664,1,0))</f>
        <v>0</v>
      </c>
      <c r="AF664" s="34">
        <f>IF(E664=1,Orders!L661,"")</f>
        <v>4.83</v>
      </c>
      <c r="AG664" s="34">
        <f>IF(E664=1,Orders!P661,"")</f>
        <v>13.7</v>
      </c>
      <c r="AH664" s="34">
        <f>IF(E664=1,Orders!Q661,"")</f>
        <v>13.1</v>
      </c>
      <c r="AI664" s="34">
        <f>IF(E664=1,Orders!M661,"")</f>
        <v>3.2</v>
      </c>
      <c r="AJ664" s="34">
        <f>IF(E664=1,Orders!N661,"")</f>
        <v>2.5</v>
      </c>
      <c r="AK664" s="34">
        <f>IF(E664=1,Orders!O661,"")</f>
        <v>7.4</v>
      </c>
      <c r="AL664" s="33">
        <f>IF(E664=1,IF(ROUND(ABS(AI664+AJ664+AK664-AH664),6)&lt;=0.1,1,0),"")</f>
        <v>1</v>
      </c>
      <c r="AM664" s="36">
        <f>IF(E664=1,AI664/AH664,"")</f>
        <v>0.244274809160305</v>
      </c>
      <c r="AN664" s="36">
        <f>IF(E664=1,AJ664/AH664,"")</f>
        <v>0.190839694656489</v>
      </c>
      <c r="AO664" s="36">
        <f>IF(E664=1,AK664/AH664,"")</f>
        <v>0.564885496183206</v>
      </c>
      <c r="AP664" s="34">
        <f>IF(E664=1,Orders!Y661,"")</f>
        <v>0.58</v>
      </c>
      <c r="AQ664" s="33">
        <f>IF(Orders!X661,1,0)</f>
        <v>0</v>
      </c>
      <c r="AR664" s="34" t="str">
        <f>IF(AND(E664=1,L664=1),AJ664,"")</f>
        <v/>
      </c>
      <c r="AS664" s="34">
        <f>IF(AND(E664=1,L664=0),AJ664,"")</f>
        <v>2.5</v>
      </c>
      <c r="AT664" s="34" t="str">
        <f>IF(AND(E664=1,L664=1),AI664,"")</f>
        <v/>
      </c>
      <c r="AU664" s="34">
        <f>IF(AND(E664=1,L664=0),AI664,"")</f>
        <v>3.2</v>
      </c>
      <c r="AV664" s="34" t="str">
        <f>IF(AND(E664=1,L664=1),AG664,"")</f>
        <v/>
      </c>
      <c r="AW664" s="34">
        <f>IF(AND(E664=1,L664=0),AG664,"")</f>
        <v>13.7</v>
      </c>
      <c r="AX664" s="34" t="str">
        <f>IF(AND(E664=1,L664=1),AH664,"")</f>
        <v/>
      </c>
      <c r="AY664" s="34">
        <f>IF(AND(E664=1,L664=0),AH664,"")</f>
        <v>13.1</v>
      </c>
      <c r="AZ664" s="34" t="str">
        <f>IF(G664=1,F664,"")</f>
        <v/>
      </c>
      <c r="BA664" s="34" t="str">
        <f>IF(AND(G664=1,L664=1),F664,"")</f>
        <v/>
      </c>
      <c r="BB664" s="34" t="str">
        <f>IF(AND(G664=1,L664=0),F664,"")</f>
        <v/>
      </c>
      <c r="BC664" s="33">
        <f>IF(E664=1,IF(Orders!R661&gt;3,1,0),"")</f>
        <v>0</v>
      </c>
      <c r="BD664" s="33">
        <f>IF(E664=1,IF(Orders!R661&gt;7,1,0),"")</f>
        <v>0</v>
      </c>
      <c r="BE664" s="32" t="str">
        <f>IF(E664=1,IF(Orders!L661&lt;=1.5,"Up to 1.5 km",IF(Orders!L661&lt;=3,"1.5–3 km","Over 3 km")),"")</f>
        <v>Over 3 km</v>
      </c>
      <c r="BF664" s="33">
        <f>IF(E664=1,IF(ABS((Orders!G661-Orders!F661)*1440-Orders!R661)&lt;0.06,1,0),"")</f>
        <v>1</v>
      </c>
      <c r="BG664" s="33">
        <f>IF(ABS((Orders!F661-Orders!E661)*1440-Orders!P661)&lt;0.06,1,0)</f>
        <v>1</v>
      </c>
      <c r="BH664" s="33">
        <f>IF(E664=1,IF(IF(Orders!S661,1,0)=1-G664,1,0),"")</f>
        <v>1</v>
      </c>
      <c r="BI664" s="32" t="str">
        <f>INDEX(Stores!$B$2:$B$21,MATCH(B664,Stores!$A$2:$A$21,0))</f>
        <v>Mumbai</v>
      </c>
    </row>
    <row r="665">
      <c r="A665" s="32" t="str">
        <f>Orders!A662</f>
        <v>O00661</v>
      </c>
      <c r="B665" s="32" t="str">
        <f>Orders!C662</f>
        <v>S010</v>
      </c>
      <c r="C665" s="32" t="str">
        <f>Orders!B662</f>
        <v>C0127</v>
      </c>
      <c r="D665" s="32" t="str">
        <f>Orders!H662</f>
        <v>Delivered</v>
      </c>
      <c r="E665" s="33">
        <f>IF(Orders!H662="Delivered",1,0)</f>
        <v>1</v>
      </c>
      <c r="F665" s="34">
        <f>IF(E665=1,Orders!R662,"")</f>
        <v>-0.7</v>
      </c>
      <c r="G665" s="33">
        <f>IF(E665=1,IF(Orders!R662&gt;0,1,0),"")</f>
        <v>0</v>
      </c>
      <c r="H665" s="33">
        <f>IF(E665=1,IF(Orders!R662&gt;5,1,0),"")</f>
        <v>0</v>
      </c>
      <c r="I665" s="32" t="str">
        <f>IF(E665=1,"",IF(OR(Orders!T662="Rider unavailable",Orders!T662="Item unavailable"),"Company-caused","Unresolved"))</f>
        <v/>
      </c>
      <c r="J665" s="33">
        <f>IF(OR(E665=1,I665="Company-caused"),1,0)</f>
        <v>1</v>
      </c>
      <c r="K665" s="32" t="str">
        <f>IF(E665=0,IF(I665="Company-caused",IF(Orders!T662="Rider unavailable","C1 Rider unavailable","C2 Item unavailable"),"Outside root: unresolved"),IF(G665=0,"A On time",IF(H665=1,IF(L665=1,"B2a Severe, peak","B2b Severe, off-peak"),IF(L665=1,"B1a Slight, peak","B1b Slight, off-peak"))))</f>
        <v>A On time</v>
      </c>
      <c r="L665" s="33">
        <f>IF(AND(Orders!U662&gt;=19,Orders!U662&lt;22),1,0)</f>
        <v>0</v>
      </c>
      <c r="M665" s="33">
        <f>IF(L665=IF(Orders!V662,1,0),1,0)</f>
        <v>1</v>
      </c>
      <c r="N665" s="32" t="str">
        <f>IF(Orders!W662="","None",Orders!W662)</f>
        <v>Light</v>
      </c>
      <c r="O665" s="35">
        <f>INT(Orders!E662)</f>
        <v>46269.0</v>
      </c>
      <c r="P665" s="33">
        <f>Orders!U662</f>
        <v>23</v>
      </c>
      <c r="Q665" s="33">
        <f>COUNTIFS(Demand!$A$2:$A$4481,B665,Demand!$B$2:$B$4481,O665,Demand!$C$2:$C$4481,P665)</f>
        <v>1</v>
      </c>
      <c r="R665" s="33">
        <f>IF(Q665=1,SUMIFS(Demand!$E$2:$E$4481,Demand!$A$2:$A$4481,B665,Demand!$B$2:$B$4481,O665,Demand!$C$2:$C$4481,P665),"")</f>
        <v>16</v>
      </c>
      <c r="S665" s="33">
        <f>INDEX(Stores!$G$2:$G$21,MATCH(B665,Stores!$A$2:$A$21,0))</f>
        <v>22</v>
      </c>
      <c r="T665" s="34">
        <f>IF(R665="","",R665/S665)</f>
        <v>0.727272727272727</v>
      </c>
      <c r="U665" s="34">
        <f>IF(E665=1,T665,"")</f>
        <v>0.727272727272727</v>
      </c>
      <c r="V665" s="34">
        <f>IF(AND(E665=1,L665=0),T665,"")</f>
        <v>0.727272727272727</v>
      </c>
      <c r="W665" s="33">
        <f>IF(U665="","",IF(U665&lt;=Breakdowns!$C$5,1,IF(U665&lt;=Breakdowns!$C$6,2,IF(U665&lt;=Breakdowns!$C$7,3,4))))</f>
        <v>1</v>
      </c>
      <c r="X665" s="33">
        <f>IF(V665="","",IF(V665&lt;=Breakdowns!$D$5,1,IF(V665&lt;=Breakdowns!$D$6,2,IF(V665&lt;=Breakdowns!$D$7,3,4))))</f>
        <v>1</v>
      </c>
      <c r="Y665" s="34">
        <f>INDEX(Stores!$F$2:$F$21,MATCH(B665,Stores!$A$2:$A$21,0))</f>
        <v>5.61</v>
      </c>
      <c r="Z665" s="33">
        <f>IF(Y665&gt;Store_Summary!$M$2,1,0)</f>
        <v>1</v>
      </c>
      <c r="AA665" s="33">
        <f>INDEX(Stores!$C$2:$C$21,MATCH(B665,Stores!$A$2:$A$21,0))</f>
        <v>744</v>
      </c>
      <c r="AB665" s="33">
        <f>IF(AA665&lt;180,1,0)</f>
        <v>0</v>
      </c>
      <c r="AC665" s="32" t="str">
        <f>IF(Orders!D662="","",INDEX(Riders!$C$2:$C$81,MATCH(Orders!D662,Riders!$A$2:$A$81,0)))</f>
        <v>EV scooter</v>
      </c>
      <c r="AD665" s="33">
        <f>IF(Orders!D662="","",INDEX(Riders!$D$2:$D$81,MATCH(Orders!D662,Riders!$A$2:$A$81,0)))</f>
        <v>36</v>
      </c>
      <c r="AE665" s="33">
        <f>IF(Orders!D662="","",IF(INDEX(Riders!$B$2:$B$81,MATCH(Orders!D662,Riders!$A$2:$A$81,0))=B665,1,0))</f>
        <v>1</v>
      </c>
      <c r="AF665" s="34">
        <f>IF(E665=1,Orders!L662,"")</f>
        <v>1.44</v>
      </c>
      <c r="AG665" s="34">
        <f>IF(E665=1,Orders!P662,"")</f>
        <v>9.3</v>
      </c>
      <c r="AH665" s="34">
        <f>IF(E665=1,Orders!Q662,"")</f>
        <v>8.6</v>
      </c>
      <c r="AI665" s="34">
        <f>IF(E665=1,Orders!M662,"")</f>
        <v>3.3</v>
      </c>
      <c r="AJ665" s="34">
        <f>IF(E665=1,Orders!N662,"")</f>
        <v>2.5</v>
      </c>
      <c r="AK665" s="34">
        <f>IF(E665=1,Orders!O662,"")</f>
        <v>2.8</v>
      </c>
      <c r="AL665" s="33">
        <f>IF(E665=1,IF(ROUND(ABS(AI665+AJ665+AK665-AH665),6)&lt;=0.1,1,0),"")</f>
        <v>1</v>
      </c>
      <c r="AM665" s="36">
        <f>IF(E665=1,AI665/AH665,"")</f>
        <v>0.383720930232558</v>
      </c>
      <c r="AN665" s="36">
        <f>IF(E665=1,AJ665/AH665,"")</f>
        <v>0.290697674418605</v>
      </c>
      <c r="AO665" s="36">
        <f>IF(E665=1,AK665/AH665,"")</f>
        <v>0.325581395348837</v>
      </c>
      <c r="AP665" s="34">
        <f>IF(E665=1,Orders!Y662,"")</f>
        <v>0.53</v>
      </c>
      <c r="AQ665" s="33">
        <f>IF(Orders!X662,1,0)</f>
        <v>0</v>
      </c>
      <c r="AR665" s="34" t="str">
        <f>IF(AND(E665=1,L665=1),AJ665,"")</f>
        <v/>
      </c>
      <c r="AS665" s="34">
        <f>IF(AND(E665=1,L665=0),AJ665,"")</f>
        <v>2.5</v>
      </c>
      <c r="AT665" s="34" t="str">
        <f>IF(AND(E665=1,L665=1),AI665,"")</f>
        <v/>
      </c>
      <c r="AU665" s="34">
        <f>IF(AND(E665=1,L665=0),AI665,"")</f>
        <v>3.3</v>
      </c>
      <c r="AV665" s="34" t="str">
        <f>IF(AND(E665=1,L665=1),AG665,"")</f>
        <v/>
      </c>
      <c r="AW665" s="34">
        <f>IF(AND(E665=1,L665=0),AG665,"")</f>
        <v>9.3</v>
      </c>
      <c r="AX665" s="34" t="str">
        <f>IF(AND(E665=1,L665=1),AH665,"")</f>
        <v/>
      </c>
      <c r="AY665" s="34">
        <f>IF(AND(E665=1,L665=0),AH665,"")</f>
        <v>8.6</v>
      </c>
      <c r="AZ665" s="34" t="str">
        <f>IF(G665=1,F665,"")</f>
        <v/>
      </c>
      <c r="BA665" s="34" t="str">
        <f>IF(AND(G665=1,L665=1),F665,"")</f>
        <v/>
      </c>
      <c r="BB665" s="34" t="str">
        <f>IF(AND(G665=1,L665=0),F665,"")</f>
        <v/>
      </c>
      <c r="BC665" s="33">
        <f>IF(E665=1,IF(Orders!R662&gt;3,1,0),"")</f>
        <v>0</v>
      </c>
      <c r="BD665" s="33">
        <f>IF(E665=1,IF(Orders!R662&gt;7,1,0),"")</f>
        <v>0</v>
      </c>
      <c r="BE665" s="32" t="str">
        <f>IF(E665=1,IF(Orders!L662&lt;=1.5,"Up to 1.5 km",IF(Orders!L662&lt;=3,"1.5–3 km","Over 3 km")),"")</f>
        <v>Up to 1.5 km</v>
      </c>
      <c r="BF665" s="33">
        <f>IF(E665=1,IF(ABS((Orders!G662-Orders!F662)*1440-Orders!R662)&lt;0.06,1,0),"")</f>
        <v>1</v>
      </c>
      <c r="BG665" s="33">
        <f>IF(ABS((Orders!F662-Orders!E662)*1440-Orders!P662)&lt;0.06,1,0)</f>
        <v>1</v>
      </c>
      <c r="BH665" s="33">
        <f>IF(E665=1,IF(IF(Orders!S662,1,0)=1-G665,1,0),"")</f>
        <v>1</v>
      </c>
      <c r="BI665" s="32" t="str">
        <f>INDEX(Stores!$B$2:$B$21,MATCH(B665,Stores!$A$2:$A$21,0))</f>
        <v>Delhi</v>
      </c>
    </row>
    <row r="666">
      <c r="A666" s="32" t="str">
        <f>Orders!A663</f>
        <v>O00662</v>
      </c>
      <c r="B666" s="32" t="str">
        <f>Orders!C663</f>
        <v>S015</v>
      </c>
      <c r="C666" s="32" t="str">
        <f>Orders!B663</f>
        <v>C0240</v>
      </c>
      <c r="D666" s="32" t="str">
        <f>Orders!H663</f>
        <v>Delivered</v>
      </c>
      <c r="E666" s="33">
        <f>IF(Orders!H663="Delivered",1,0)</f>
        <v>1</v>
      </c>
      <c r="F666" s="34">
        <f>IF(E666=1,Orders!R663,"")</f>
        <v>-0.7</v>
      </c>
      <c r="G666" s="33">
        <f>IF(E666=1,IF(Orders!R663&gt;0,1,0),"")</f>
        <v>0</v>
      </c>
      <c r="H666" s="33">
        <f>IF(E666=1,IF(Orders!R663&gt;5,1,0),"")</f>
        <v>0</v>
      </c>
      <c r="I666" s="32" t="str">
        <f>IF(E666=1,"",IF(OR(Orders!T663="Rider unavailable",Orders!T663="Item unavailable"),"Company-caused","Unresolved"))</f>
        <v/>
      </c>
      <c r="J666" s="33">
        <f>IF(OR(E666=1,I666="Company-caused"),1,0)</f>
        <v>1</v>
      </c>
      <c r="K666" s="32" t="str">
        <f>IF(E666=0,IF(I666="Company-caused",IF(Orders!T663="Rider unavailable","C1 Rider unavailable","C2 Item unavailable"),"Outside root: unresolved"),IF(G666=0,"A On time",IF(H666=1,IF(L666=1,"B2a Severe, peak","B2b Severe, off-peak"),IF(L666=1,"B1a Slight, peak","B1b Slight, off-peak"))))</f>
        <v>A On time</v>
      </c>
      <c r="L666" s="33">
        <f>IF(AND(Orders!U663&gt;=19,Orders!U663&lt;22),1,0)</f>
        <v>0</v>
      </c>
      <c r="M666" s="33">
        <f>IF(L666=IF(Orders!V663,1,0),1,0)</f>
        <v>1</v>
      </c>
      <c r="N666" s="32" t="str">
        <f>IF(Orders!W663="","None",Orders!W663)</f>
        <v>None</v>
      </c>
      <c r="O666" s="35">
        <f>INT(Orders!E663)</f>
        <v>46270.0</v>
      </c>
      <c r="P666" s="33">
        <f>Orders!U663</f>
        <v>8</v>
      </c>
      <c r="Q666" s="33">
        <f>COUNTIFS(Demand!$A$2:$A$4481,B666,Demand!$B$2:$B$4481,O666,Demand!$C$2:$C$4481,P666)</f>
        <v>1</v>
      </c>
      <c r="R666" s="33">
        <f>IF(Q666=1,SUMIFS(Demand!$E$2:$E$4481,Demand!$A$2:$A$4481,B666,Demand!$B$2:$B$4481,O666,Demand!$C$2:$C$4481,P666),"")</f>
        <v>16</v>
      </c>
      <c r="S666" s="33">
        <f>INDEX(Stores!$G$2:$G$21,MATCH(B666,Stores!$A$2:$A$21,0))</f>
        <v>23</v>
      </c>
      <c r="T666" s="34">
        <f>IF(R666="","",R666/S666)</f>
        <v>0.695652173913044</v>
      </c>
      <c r="U666" s="34">
        <f>IF(E666=1,T666,"")</f>
        <v>0.695652173913044</v>
      </c>
      <c r="V666" s="34">
        <f>IF(AND(E666=1,L666=0),T666,"")</f>
        <v>0.695652173913044</v>
      </c>
      <c r="W666" s="33">
        <f>IF(U666="","",IF(U666&lt;=Breakdowns!$C$5,1,IF(U666&lt;=Breakdowns!$C$6,2,IF(U666&lt;=Breakdowns!$C$7,3,4))))</f>
        <v>1</v>
      </c>
      <c r="X666" s="33">
        <f>IF(V666="","",IF(V666&lt;=Breakdowns!$D$5,1,IF(V666&lt;=Breakdowns!$D$6,2,IF(V666&lt;=Breakdowns!$D$7,3,4))))</f>
        <v>1</v>
      </c>
      <c r="Y666" s="34">
        <f>INDEX(Stores!$F$2:$F$21,MATCH(B666,Stores!$A$2:$A$21,0))</f>
        <v>4.66</v>
      </c>
      <c r="Z666" s="33">
        <f>IF(Y666&gt;Store_Summary!$M$2,1,0)</f>
        <v>0</v>
      </c>
      <c r="AA666" s="33">
        <f>INDEX(Stores!$C$2:$C$21,MATCH(B666,Stores!$A$2:$A$21,0))</f>
        <v>204</v>
      </c>
      <c r="AB666" s="33">
        <f>IF(AA666&lt;180,1,0)</f>
        <v>0</v>
      </c>
      <c r="AC666" s="32" t="str">
        <f>IF(Orders!D663="","",INDEX(Riders!$C$2:$C$81,MATCH(Orders!D663,Riders!$A$2:$A$81,0)))</f>
        <v>Petrol scooter</v>
      </c>
      <c r="AD666" s="33">
        <f>IF(Orders!D663="","",INDEX(Riders!$D$2:$D$81,MATCH(Orders!D663,Riders!$A$2:$A$81,0)))</f>
        <v>42</v>
      </c>
      <c r="AE666" s="33">
        <f>IF(Orders!D663="","",IF(INDEX(Riders!$B$2:$B$81,MATCH(Orders!D663,Riders!$A$2:$A$81,0))=B666,1,0))</f>
        <v>0</v>
      </c>
      <c r="AF666" s="34">
        <f>IF(E666=1,Orders!L663,"")</f>
        <v>0.87</v>
      </c>
      <c r="AG666" s="34">
        <f>IF(E666=1,Orders!P663,"")</f>
        <v>9.6</v>
      </c>
      <c r="AH666" s="34">
        <f>IF(E666=1,Orders!Q663,"")</f>
        <v>8.9</v>
      </c>
      <c r="AI666" s="34">
        <f>IF(E666=1,Orders!M663,"")</f>
        <v>3</v>
      </c>
      <c r="AJ666" s="34">
        <f>IF(E666=1,Orders!N663,"")</f>
        <v>4.1</v>
      </c>
      <c r="AK666" s="34">
        <f>IF(E666=1,Orders!O663,"")</f>
        <v>1.8</v>
      </c>
      <c r="AL666" s="33">
        <f>IF(E666=1,IF(ROUND(ABS(AI666+AJ666+AK666-AH666),6)&lt;=0.1,1,0),"")</f>
        <v>1</v>
      </c>
      <c r="AM666" s="36">
        <f>IF(E666=1,AI666/AH666,"")</f>
        <v>0.337078651685393</v>
      </c>
      <c r="AN666" s="36">
        <f>IF(E666=1,AJ666/AH666,"")</f>
        <v>0.460674157303371</v>
      </c>
      <c r="AO666" s="36">
        <f>IF(E666=1,AK666/AH666,"")</f>
        <v>0.202247191011236</v>
      </c>
      <c r="AP666" s="34">
        <f>IF(E666=1,Orders!Y663,"")</f>
        <v>0.25</v>
      </c>
      <c r="AQ666" s="33">
        <f>IF(Orders!X663,1,0)</f>
        <v>0</v>
      </c>
      <c r="AR666" s="34" t="str">
        <f>IF(AND(E666=1,L666=1),AJ666,"")</f>
        <v/>
      </c>
      <c r="AS666" s="34">
        <f>IF(AND(E666=1,L666=0),AJ666,"")</f>
        <v>4.1</v>
      </c>
      <c r="AT666" s="34" t="str">
        <f>IF(AND(E666=1,L666=1),AI666,"")</f>
        <v/>
      </c>
      <c r="AU666" s="34">
        <f>IF(AND(E666=1,L666=0),AI666,"")</f>
        <v>3</v>
      </c>
      <c r="AV666" s="34" t="str">
        <f>IF(AND(E666=1,L666=1),AG666,"")</f>
        <v/>
      </c>
      <c r="AW666" s="34">
        <f>IF(AND(E666=1,L666=0),AG666,"")</f>
        <v>9.6</v>
      </c>
      <c r="AX666" s="34" t="str">
        <f>IF(AND(E666=1,L666=1),AH666,"")</f>
        <v/>
      </c>
      <c r="AY666" s="34">
        <f>IF(AND(E666=1,L666=0),AH666,"")</f>
        <v>8.9</v>
      </c>
      <c r="AZ666" s="34" t="str">
        <f>IF(G666=1,F666,"")</f>
        <v/>
      </c>
      <c r="BA666" s="34" t="str">
        <f>IF(AND(G666=1,L666=1),F666,"")</f>
        <v/>
      </c>
      <c r="BB666" s="34" t="str">
        <f>IF(AND(G666=1,L666=0),F666,"")</f>
        <v/>
      </c>
      <c r="BC666" s="33">
        <f>IF(E666=1,IF(Orders!R663&gt;3,1,0),"")</f>
        <v>0</v>
      </c>
      <c r="BD666" s="33">
        <f>IF(E666=1,IF(Orders!R663&gt;7,1,0),"")</f>
        <v>0</v>
      </c>
      <c r="BE666" s="32" t="str">
        <f>IF(E666=1,IF(Orders!L663&lt;=1.5,"Up to 1.5 km",IF(Orders!L663&lt;=3,"1.5–3 km","Over 3 km")),"")</f>
        <v>Up to 1.5 km</v>
      </c>
      <c r="BF666" s="33">
        <f>IF(E666=1,IF(ABS((Orders!G663-Orders!F663)*1440-Orders!R663)&lt;0.06,1,0),"")</f>
        <v>1</v>
      </c>
      <c r="BG666" s="33">
        <f>IF(ABS((Orders!F663-Orders!E663)*1440-Orders!P663)&lt;0.06,1,0)</f>
        <v>1</v>
      </c>
      <c r="BH666" s="33">
        <f>IF(E666=1,IF(IF(Orders!S663,1,0)=1-G666,1,0),"")</f>
        <v>1</v>
      </c>
      <c r="BI666" s="32" t="str">
        <f>INDEX(Stores!$B$2:$B$21,MATCH(B666,Stores!$A$2:$A$21,0))</f>
        <v>Delhi</v>
      </c>
    </row>
    <row r="667">
      <c r="A667" s="32" t="str">
        <f>Orders!A664</f>
        <v>O00663</v>
      </c>
      <c r="B667" s="32" t="str">
        <f>Orders!C664</f>
        <v>S008</v>
      </c>
      <c r="C667" s="32" t="str">
        <f>Orders!B664</f>
        <v>C0089</v>
      </c>
      <c r="D667" s="32" t="str">
        <f>Orders!H664</f>
        <v>Delivered</v>
      </c>
      <c r="E667" s="33">
        <f>IF(Orders!H664="Delivered",1,0)</f>
        <v>1</v>
      </c>
      <c r="F667" s="34">
        <f>IF(E667=1,Orders!R664,"")</f>
        <v>9.5</v>
      </c>
      <c r="G667" s="33">
        <f>IF(E667=1,IF(Orders!R664&gt;0,1,0),"")</f>
        <v>1</v>
      </c>
      <c r="H667" s="33">
        <f>IF(E667=1,IF(Orders!R664&gt;5,1,0),"")</f>
        <v>1</v>
      </c>
      <c r="I667" s="32" t="str">
        <f>IF(E667=1,"",IF(OR(Orders!T664="Rider unavailable",Orders!T664="Item unavailable"),"Company-caused","Unresolved"))</f>
        <v/>
      </c>
      <c r="J667" s="33">
        <f>IF(OR(E667=1,I667="Company-caused"),1,0)</f>
        <v>1</v>
      </c>
      <c r="K667" s="32" t="str">
        <f>IF(E667=0,IF(I667="Company-caused",IF(Orders!T664="Rider unavailable","C1 Rider unavailable","C2 Item unavailable"),"Outside root: unresolved"),IF(G667=0,"A On time",IF(H667=1,IF(L667=1,"B2a Severe, peak","B2b Severe, off-peak"),IF(L667=1,"B1a Slight, peak","B1b Slight, off-peak"))))</f>
        <v>B2b Severe, off-peak</v>
      </c>
      <c r="L667" s="33">
        <f>IF(AND(Orders!U664&gt;=19,Orders!U664&lt;22),1,0)</f>
        <v>0</v>
      </c>
      <c r="M667" s="33">
        <f>IF(L667=IF(Orders!V664,1,0),1,0)</f>
        <v>1</v>
      </c>
      <c r="N667" s="32" t="str">
        <f>IF(Orders!W664="","None",Orders!W664)</f>
        <v>Light</v>
      </c>
      <c r="O667" s="35">
        <f>INT(Orders!E664)</f>
        <v>46275.0</v>
      </c>
      <c r="P667" s="33">
        <f>Orders!U664</f>
        <v>22</v>
      </c>
      <c r="Q667" s="33">
        <f>COUNTIFS(Demand!$A$2:$A$4481,B667,Demand!$B$2:$B$4481,O667,Demand!$C$2:$C$4481,P667)</f>
        <v>1</v>
      </c>
      <c r="R667" s="33">
        <f>IF(Q667=1,SUMIFS(Demand!$E$2:$E$4481,Demand!$A$2:$A$4481,B667,Demand!$B$2:$B$4481,O667,Demand!$C$2:$C$4481,P667),"")</f>
        <v>11</v>
      </c>
      <c r="S667" s="33">
        <f>INDEX(Stores!$G$2:$G$21,MATCH(B667,Stores!$A$2:$A$21,0))</f>
        <v>23</v>
      </c>
      <c r="T667" s="34">
        <f>IF(R667="","",R667/S667)</f>
        <v>0.478260869565217</v>
      </c>
      <c r="U667" s="34">
        <f>IF(E667=1,T667,"")</f>
        <v>0.478260869565217</v>
      </c>
      <c r="V667" s="34">
        <f>IF(AND(E667=1,L667=0),T667,"")</f>
        <v>0.478260869565217</v>
      </c>
      <c r="W667" s="33">
        <f>IF(U667="","",IF(U667&lt;=Breakdowns!$C$5,1,IF(U667&lt;=Breakdowns!$C$6,2,IF(U667&lt;=Breakdowns!$C$7,3,4))))</f>
        <v>1</v>
      </c>
      <c r="X667" s="33">
        <f>IF(V667="","",IF(V667&lt;=Breakdowns!$D$5,1,IF(V667&lt;=Breakdowns!$D$6,2,IF(V667&lt;=Breakdowns!$D$7,3,4))))</f>
        <v>1</v>
      </c>
      <c r="Y667" s="34">
        <f>INDEX(Stores!$F$2:$F$21,MATCH(B667,Stores!$A$2:$A$21,0))</f>
        <v>3.46</v>
      </c>
      <c r="Z667" s="33">
        <f>IF(Y667&gt;Store_Summary!$M$2,1,0)</f>
        <v>0</v>
      </c>
      <c r="AA667" s="33">
        <f>INDEX(Stores!$C$2:$C$21,MATCH(B667,Stores!$A$2:$A$21,0))</f>
        <v>825</v>
      </c>
      <c r="AB667" s="33">
        <f>IF(AA667&lt;180,1,0)</f>
        <v>0</v>
      </c>
      <c r="AC667" s="32" t="str">
        <f>IF(Orders!D664="","",INDEX(Riders!$C$2:$C$81,MATCH(Orders!D664,Riders!$A$2:$A$81,0)))</f>
        <v>Petrol scooter</v>
      </c>
      <c r="AD667" s="33">
        <f>IF(Orders!D664="","",INDEX(Riders!$D$2:$D$81,MATCH(Orders!D664,Riders!$A$2:$A$81,0)))</f>
        <v>2</v>
      </c>
      <c r="AE667" s="33">
        <f>IF(Orders!D664="","",IF(INDEX(Riders!$B$2:$B$81,MATCH(Orders!D664,Riders!$A$2:$A$81,0))=B667,1,0))</f>
        <v>0</v>
      </c>
      <c r="AF667" s="34">
        <f>IF(E667=1,Orders!L664,"")</f>
        <v>4.9</v>
      </c>
      <c r="AG667" s="34">
        <f>IF(E667=1,Orders!P664,"")</f>
        <v>13.7</v>
      </c>
      <c r="AH667" s="34">
        <f>IF(E667=1,Orders!Q664,"")</f>
        <v>23.2</v>
      </c>
      <c r="AI667" s="34">
        <f>IF(E667=1,Orders!M664,"")</f>
        <v>3.8</v>
      </c>
      <c r="AJ667" s="34">
        <f>IF(E667=1,Orders!N664,"")</f>
        <v>5.5</v>
      </c>
      <c r="AK667" s="34">
        <f>IF(E667=1,Orders!O664,"")</f>
        <v>13.9</v>
      </c>
      <c r="AL667" s="33">
        <f>IF(E667=1,IF(ROUND(ABS(AI667+AJ667+AK667-AH667),6)&lt;=0.1,1,0),"")</f>
        <v>1</v>
      </c>
      <c r="AM667" s="36">
        <f>IF(E667=1,AI667/AH667,"")</f>
        <v>0.163793103448276</v>
      </c>
      <c r="AN667" s="36">
        <f>IF(E667=1,AJ667/AH667,"")</f>
        <v>0.237068965517241</v>
      </c>
      <c r="AO667" s="36">
        <f>IF(E667=1,AK667/AH667,"")</f>
        <v>0.599137931034483</v>
      </c>
      <c r="AP667" s="34">
        <f>IF(E667=1,Orders!Y664,"")</f>
        <v>0.44</v>
      </c>
      <c r="AQ667" s="33">
        <f>IF(Orders!X664,1,0)</f>
        <v>0</v>
      </c>
      <c r="AR667" s="34" t="str">
        <f>IF(AND(E667=1,L667=1),AJ667,"")</f>
        <v/>
      </c>
      <c r="AS667" s="34">
        <f>IF(AND(E667=1,L667=0),AJ667,"")</f>
        <v>5.5</v>
      </c>
      <c r="AT667" s="34" t="str">
        <f>IF(AND(E667=1,L667=1),AI667,"")</f>
        <v/>
      </c>
      <c r="AU667" s="34">
        <f>IF(AND(E667=1,L667=0),AI667,"")</f>
        <v>3.8</v>
      </c>
      <c r="AV667" s="34" t="str">
        <f>IF(AND(E667=1,L667=1),AG667,"")</f>
        <v/>
      </c>
      <c r="AW667" s="34">
        <f>IF(AND(E667=1,L667=0),AG667,"")</f>
        <v>13.7</v>
      </c>
      <c r="AX667" s="34" t="str">
        <f>IF(AND(E667=1,L667=1),AH667,"")</f>
        <v/>
      </c>
      <c r="AY667" s="34">
        <f>IF(AND(E667=1,L667=0),AH667,"")</f>
        <v>23.2</v>
      </c>
      <c r="AZ667" s="34">
        <f>IF(G667=1,F667,"")</f>
        <v>9.5</v>
      </c>
      <c r="BA667" s="34" t="str">
        <f>IF(AND(G667=1,L667=1),F667,"")</f>
        <v/>
      </c>
      <c r="BB667" s="34">
        <f>IF(AND(G667=1,L667=0),F667,"")</f>
        <v>9.5</v>
      </c>
      <c r="BC667" s="33">
        <f>IF(E667=1,IF(Orders!R664&gt;3,1,0),"")</f>
        <v>1</v>
      </c>
      <c r="BD667" s="33">
        <f>IF(E667=1,IF(Orders!R664&gt;7,1,0),"")</f>
        <v>1</v>
      </c>
      <c r="BE667" s="32" t="str">
        <f>IF(E667=1,IF(Orders!L664&lt;=1.5,"Up to 1.5 km",IF(Orders!L664&lt;=3,"1.5–3 km","Over 3 km")),"")</f>
        <v>Over 3 km</v>
      </c>
      <c r="BF667" s="33">
        <f>IF(E667=1,IF(ABS((Orders!G664-Orders!F664)*1440-Orders!R664)&lt;0.06,1,0),"")</f>
        <v>1</v>
      </c>
      <c r="BG667" s="33">
        <f>IF(ABS((Orders!F664-Orders!E664)*1440-Orders!P664)&lt;0.06,1,0)</f>
        <v>1</v>
      </c>
      <c r="BH667" s="33">
        <f>IF(E667=1,IF(IF(Orders!S664,1,0)=1-G667,1,0),"")</f>
        <v>1</v>
      </c>
      <c r="BI667" s="32" t="str">
        <f>INDEX(Stores!$B$2:$B$21,MATCH(B667,Stores!$A$2:$A$21,0))</f>
        <v>Mumbai</v>
      </c>
    </row>
    <row r="668">
      <c r="A668" s="32" t="str">
        <f>Orders!A665</f>
        <v>O00664</v>
      </c>
      <c r="B668" s="32" t="str">
        <f>Orders!C665</f>
        <v>S009</v>
      </c>
      <c r="C668" s="32" t="str">
        <f>Orders!B665</f>
        <v>C0170</v>
      </c>
      <c r="D668" s="32" t="str">
        <f>Orders!H665</f>
        <v>Delivered</v>
      </c>
      <c r="E668" s="33">
        <f>IF(Orders!H665="Delivered",1,0)</f>
        <v>1</v>
      </c>
      <c r="F668" s="34">
        <f>IF(E668=1,Orders!R665,"")</f>
        <v>1.6</v>
      </c>
      <c r="G668" s="33">
        <f>IF(E668=1,IF(Orders!R665&gt;0,1,0),"")</f>
        <v>1</v>
      </c>
      <c r="H668" s="33">
        <f>IF(E668=1,IF(Orders!R665&gt;5,1,0),"")</f>
        <v>0</v>
      </c>
      <c r="I668" s="32" t="str">
        <f>IF(E668=1,"",IF(OR(Orders!T665="Rider unavailable",Orders!T665="Item unavailable"),"Company-caused","Unresolved"))</f>
        <v/>
      </c>
      <c r="J668" s="33">
        <f>IF(OR(E668=1,I668="Company-caused"),1,0)</f>
        <v>1</v>
      </c>
      <c r="K668" s="32" t="str">
        <f>IF(E668=0,IF(I668="Company-caused",IF(Orders!T665="Rider unavailable","C1 Rider unavailable","C2 Item unavailable"),"Outside root: unresolved"),IF(G668=0,"A On time",IF(H668=1,IF(L668=1,"B2a Severe, peak","B2b Severe, off-peak"),IF(L668=1,"B1a Slight, peak","B1b Slight, off-peak"))))</f>
        <v>B1b Slight, off-peak</v>
      </c>
      <c r="L668" s="33">
        <f>IF(AND(Orders!U665&gt;=19,Orders!U665&lt;22),1,0)</f>
        <v>0</v>
      </c>
      <c r="M668" s="33">
        <f>IF(L668=IF(Orders!V665,1,0),1,0)</f>
        <v>1</v>
      </c>
      <c r="N668" s="32" t="str">
        <f>IF(Orders!W665="","None",Orders!W665)</f>
        <v>None</v>
      </c>
      <c r="O668" s="35">
        <f>INT(Orders!E665)</f>
        <v>46274.0</v>
      </c>
      <c r="P668" s="33">
        <f>Orders!U665</f>
        <v>10</v>
      </c>
      <c r="Q668" s="33">
        <f>COUNTIFS(Demand!$A$2:$A$4481,B668,Demand!$B$2:$B$4481,O668,Demand!$C$2:$C$4481,P668)</f>
        <v>1</v>
      </c>
      <c r="R668" s="33">
        <f>IF(Q668=1,SUMIFS(Demand!$E$2:$E$4481,Demand!$A$2:$A$4481,B668,Demand!$B$2:$B$4481,O668,Demand!$C$2:$C$4481,P668),"")</f>
        <v>18</v>
      </c>
      <c r="S668" s="33">
        <f>INDEX(Stores!$G$2:$G$21,MATCH(B668,Stores!$A$2:$A$21,0))</f>
        <v>29</v>
      </c>
      <c r="T668" s="34">
        <f>IF(R668="","",R668/S668)</f>
        <v>0.620689655172414</v>
      </c>
      <c r="U668" s="34">
        <f>IF(E668=1,T668,"")</f>
        <v>0.620689655172414</v>
      </c>
      <c r="V668" s="34">
        <f>IF(AND(E668=1,L668=0),T668,"")</f>
        <v>0.620689655172414</v>
      </c>
      <c r="W668" s="33">
        <f>IF(U668="","",IF(U668&lt;=Breakdowns!$C$5,1,IF(U668&lt;=Breakdowns!$C$6,2,IF(U668&lt;=Breakdowns!$C$7,3,4))))</f>
        <v>1</v>
      </c>
      <c r="X668" s="33">
        <f>IF(V668="","",IF(V668&lt;=Breakdowns!$D$5,1,IF(V668&lt;=Breakdowns!$D$6,2,IF(V668&lt;=Breakdowns!$D$7,3,4))))</f>
        <v>1</v>
      </c>
      <c r="Y668" s="34">
        <f>INDEX(Stores!$F$2:$F$21,MATCH(B668,Stores!$A$2:$A$21,0))</f>
        <v>2.66</v>
      </c>
      <c r="Z668" s="33">
        <f>IF(Y668&gt;Store_Summary!$M$2,1,0)</f>
        <v>0</v>
      </c>
      <c r="AA668" s="33">
        <f>INDEX(Stores!$C$2:$C$21,MATCH(B668,Stores!$A$2:$A$21,0))</f>
        <v>645</v>
      </c>
      <c r="AB668" s="33">
        <f>IF(AA668&lt;180,1,0)</f>
        <v>0</v>
      </c>
      <c r="AC668" s="32" t="str">
        <f>IF(Orders!D665="","",INDEX(Riders!$C$2:$C$81,MATCH(Orders!D665,Riders!$A$2:$A$81,0)))</f>
        <v>Petrol scooter</v>
      </c>
      <c r="AD668" s="33">
        <f>IF(Orders!D665="","",INDEX(Riders!$D$2:$D$81,MATCH(Orders!D665,Riders!$A$2:$A$81,0)))</f>
        <v>13</v>
      </c>
      <c r="AE668" s="33">
        <f>IF(Orders!D665="","",IF(INDEX(Riders!$B$2:$B$81,MATCH(Orders!D665,Riders!$A$2:$A$81,0))=B668,1,0))</f>
        <v>0</v>
      </c>
      <c r="AF668" s="34">
        <f>IF(E668=1,Orders!L665,"")</f>
        <v>1.49</v>
      </c>
      <c r="AG668" s="34">
        <f>IF(E668=1,Orders!P665,"")</f>
        <v>9.8</v>
      </c>
      <c r="AH668" s="34">
        <f>IF(E668=1,Orders!Q665,"")</f>
        <v>11.4</v>
      </c>
      <c r="AI668" s="34">
        <f>IF(E668=1,Orders!M665,"")</f>
        <v>1.9</v>
      </c>
      <c r="AJ668" s="34">
        <f>IF(E668=1,Orders!N665,"")</f>
        <v>5.2</v>
      </c>
      <c r="AK668" s="34">
        <f>IF(E668=1,Orders!O665,"")</f>
        <v>4.4</v>
      </c>
      <c r="AL668" s="33">
        <f>IF(E668=1,IF(ROUND(ABS(AI668+AJ668+AK668-AH668),6)&lt;=0.1,1,0),"")</f>
        <v>1</v>
      </c>
      <c r="AM668" s="36">
        <f>IF(E668=1,AI668/AH668,"")</f>
        <v>0.166666666666667</v>
      </c>
      <c r="AN668" s="36">
        <f>IF(E668=1,AJ668/AH668,"")</f>
        <v>0.456140350877193</v>
      </c>
      <c r="AO668" s="36">
        <f>IF(E668=1,AK668/AH668,"")</f>
        <v>0.385964912280702</v>
      </c>
      <c r="AP668" s="34">
        <f>IF(E668=1,Orders!Y665,"")</f>
        <v>0.61</v>
      </c>
      <c r="AQ668" s="33">
        <f>IF(Orders!X665,1,0)</f>
        <v>0</v>
      </c>
      <c r="AR668" s="34" t="str">
        <f>IF(AND(E668=1,L668=1),AJ668,"")</f>
        <v/>
      </c>
      <c r="AS668" s="34">
        <f>IF(AND(E668=1,L668=0),AJ668,"")</f>
        <v>5.2</v>
      </c>
      <c r="AT668" s="34" t="str">
        <f>IF(AND(E668=1,L668=1),AI668,"")</f>
        <v/>
      </c>
      <c r="AU668" s="34">
        <f>IF(AND(E668=1,L668=0),AI668,"")</f>
        <v>1.9</v>
      </c>
      <c r="AV668" s="34" t="str">
        <f>IF(AND(E668=1,L668=1),AG668,"")</f>
        <v/>
      </c>
      <c r="AW668" s="34">
        <f>IF(AND(E668=1,L668=0),AG668,"")</f>
        <v>9.8</v>
      </c>
      <c r="AX668" s="34" t="str">
        <f>IF(AND(E668=1,L668=1),AH668,"")</f>
        <v/>
      </c>
      <c r="AY668" s="34">
        <f>IF(AND(E668=1,L668=0),AH668,"")</f>
        <v>11.4</v>
      </c>
      <c r="AZ668" s="34">
        <f>IF(G668=1,F668,"")</f>
        <v>1.6</v>
      </c>
      <c r="BA668" s="34" t="str">
        <f>IF(AND(G668=1,L668=1),F668,"")</f>
        <v/>
      </c>
      <c r="BB668" s="34">
        <f>IF(AND(G668=1,L668=0),F668,"")</f>
        <v>1.6</v>
      </c>
      <c r="BC668" s="33">
        <f>IF(E668=1,IF(Orders!R665&gt;3,1,0),"")</f>
        <v>0</v>
      </c>
      <c r="BD668" s="33">
        <f>IF(E668=1,IF(Orders!R665&gt;7,1,0),"")</f>
        <v>0</v>
      </c>
      <c r="BE668" s="32" t="str">
        <f>IF(E668=1,IF(Orders!L665&lt;=1.5,"Up to 1.5 km",IF(Orders!L665&lt;=3,"1.5–3 km","Over 3 km")),"")</f>
        <v>Up to 1.5 km</v>
      </c>
      <c r="BF668" s="33">
        <f>IF(E668=1,IF(ABS((Orders!G665-Orders!F665)*1440-Orders!R665)&lt;0.06,1,0),"")</f>
        <v>1</v>
      </c>
      <c r="BG668" s="33">
        <f>IF(ABS((Orders!F665-Orders!E665)*1440-Orders!P665)&lt;0.06,1,0)</f>
        <v>1</v>
      </c>
      <c r="BH668" s="33">
        <f>IF(E668=1,IF(IF(Orders!S665,1,0)=1-G668,1,0),"")</f>
        <v>1</v>
      </c>
      <c r="BI668" s="32" t="str">
        <f>INDEX(Stores!$B$2:$B$21,MATCH(B668,Stores!$A$2:$A$21,0))</f>
        <v>Pune</v>
      </c>
    </row>
    <row r="669">
      <c r="A669" s="32" t="str">
        <f>Orders!A666</f>
        <v>O00665</v>
      </c>
      <c r="B669" s="32" t="str">
        <f>Orders!C666</f>
        <v>S017</v>
      </c>
      <c r="C669" s="32" t="str">
        <f>Orders!B666</f>
        <v>C0051</v>
      </c>
      <c r="D669" s="32" t="str">
        <f>Orders!H666</f>
        <v>Delivered</v>
      </c>
      <c r="E669" s="33">
        <f>IF(Orders!H666="Delivered",1,0)</f>
        <v>1</v>
      </c>
      <c r="F669" s="34">
        <f>IF(E669=1,Orders!R666,"")</f>
        <v>7.6</v>
      </c>
      <c r="G669" s="33">
        <f>IF(E669=1,IF(Orders!R666&gt;0,1,0),"")</f>
        <v>1</v>
      </c>
      <c r="H669" s="33">
        <f>IF(E669=1,IF(Orders!R666&gt;5,1,0),"")</f>
        <v>1</v>
      </c>
      <c r="I669" s="32" t="str">
        <f>IF(E669=1,"",IF(OR(Orders!T666="Rider unavailable",Orders!T666="Item unavailable"),"Company-caused","Unresolved"))</f>
        <v/>
      </c>
      <c r="J669" s="33">
        <f>IF(OR(E669=1,I669="Company-caused"),1,0)</f>
        <v>1</v>
      </c>
      <c r="K669" s="32" t="str">
        <f>IF(E669=0,IF(I669="Company-caused",IF(Orders!T666="Rider unavailable","C1 Rider unavailable","C2 Item unavailable"),"Outside root: unresolved"),IF(G669=0,"A On time",IF(H669=1,IF(L669=1,"B2a Severe, peak","B2b Severe, off-peak"),IF(L669=1,"B1a Slight, peak","B1b Slight, off-peak"))))</f>
        <v>B2b Severe, off-peak</v>
      </c>
      <c r="L669" s="33">
        <f>IF(AND(Orders!U666&gt;=19,Orders!U666&lt;22),1,0)</f>
        <v>0</v>
      </c>
      <c r="M669" s="33">
        <f>IF(L669=IF(Orders!V666,1,0),1,0)</f>
        <v>1</v>
      </c>
      <c r="N669" s="32" t="str">
        <f>IF(Orders!W666="","None",Orders!W666)</f>
        <v>Light</v>
      </c>
      <c r="O669" s="35">
        <f>INT(Orders!E666)</f>
        <v>46276.0</v>
      </c>
      <c r="P669" s="33">
        <f>Orders!U666</f>
        <v>11</v>
      </c>
      <c r="Q669" s="33">
        <f>COUNTIFS(Demand!$A$2:$A$4481,B669,Demand!$B$2:$B$4481,O669,Demand!$C$2:$C$4481,P669)</f>
        <v>1</v>
      </c>
      <c r="R669" s="33">
        <f>IF(Q669=1,SUMIFS(Demand!$E$2:$E$4481,Demand!$A$2:$A$4481,B669,Demand!$B$2:$B$4481,O669,Demand!$C$2:$C$4481,P669),"")</f>
        <v>45</v>
      </c>
      <c r="S669" s="33">
        <f>INDEX(Stores!$G$2:$G$21,MATCH(B669,Stores!$A$2:$A$21,0))</f>
        <v>36</v>
      </c>
      <c r="T669" s="34">
        <f>IF(R669="","",R669/S669)</f>
        <v>1.25</v>
      </c>
      <c r="U669" s="34">
        <f>IF(E669=1,T669,"")</f>
        <v>1.25</v>
      </c>
      <c r="V669" s="34">
        <f>IF(AND(E669=1,L669=0),T669,"")</f>
        <v>1.25</v>
      </c>
      <c r="W669" s="33">
        <f>IF(U669="","",IF(U669&lt;=Breakdowns!$C$5,1,IF(U669&lt;=Breakdowns!$C$6,2,IF(U669&lt;=Breakdowns!$C$7,3,4))))</f>
        <v>4</v>
      </c>
      <c r="X669" s="33">
        <f>IF(V669="","",IF(V669&lt;=Breakdowns!$D$5,1,IF(V669&lt;=Breakdowns!$D$6,2,IF(V669&lt;=Breakdowns!$D$7,3,4))))</f>
        <v>4</v>
      </c>
      <c r="Y669" s="34">
        <f>INDEX(Stores!$F$2:$F$21,MATCH(B669,Stores!$A$2:$A$21,0))</f>
        <v>2.16</v>
      </c>
      <c r="Z669" s="33">
        <f>IF(Y669&gt;Store_Summary!$M$2,1,0)</f>
        <v>0</v>
      </c>
      <c r="AA669" s="33">
        <f>INDEX(Stores!$C$2:$C$21,MATCH(B669,Stores!$A$2:$A$21,0))</f>
        <v>47</v>
      </c>
      <c r="AB669" s="33">
        <f>IF(AA669&lt;180,1,0)</f>
        <v>1</v>
      </c>
      <c r="AC669" s="32" t="str">
        <f>IF(Orders!D666="","",INDEX(Riders!$C$2:$C$81,MATCH(Orders!D666,Riders!$A$2:$A$81,0)))</f>
        <v>EV scooter</v>
      </c>
      <c r="AD669" s="33">
        <f>IF(Orders!D666="","",INDEX(Riders!$D$2:$D$81,MATCH(Orders!D666,Riders!$A$2:$A$81,0)))</f>
        <v>33</v>
      </c>
      <c r="AE669" s="33">
        <f>IF(Orders!D666="","",IF(INDEX(Riders!$B$2:$B$81,MATCH(Orders!D666,Riders!$A$2:$A$81,0))=B669,1,0))</f>
        <v>0</v>
      </c>
      <c r="AF669" s="34">
        <f>IF(E669=1,Orders!L666,"")</f>
        <v>1.7</v>
      </c>
      <c r="AG669" s="34">
        <f>IF(E669=1,Orders!P666,"")</f>
        <v>8.7</v>
      </c>
      <c r="AH669" s="34">
        <f>IF(E669=1,Orders!Q666,"")</f>
        <v>16.3</v>
      </c>
      <c r="AI669" s="34">
        <f>IF(E669=1,Orders!M666,"")</f>
        <v>2.6</v>
      </c>
      <c r="AJ669" s="34">
        <f>IF(E669=1,Orders!N666,"")</f>
        <v>8.9</v>
      </c>
      <c r="AK669" s="34">
        <f>IF(E669=1,Orders!O666,"")</f>
        <v>4.8</v>
      </c>
      <c r="AL669" s="33">
        <f>IF(E669=1,IF(ROUND(ABS(AI669+AJ669+AK669-AH669),6)&lt;=0.1,1,0),"")</f>
        <v>1</v>
      </c>
      <c r="AM669" s="36">
        <f>IF(E669=1,AI669/AH669,"")</f>
        <v>0.159509202453988</v>
      </c>
      <c r="AN669" s="36">
        <f>IF(E669=1,AJ669/AH669,"")</f>
        <v>0.54601226993865</v>
      </c>
      <c r="AO669" s="36">
        <f>IF(E669=1,AK669/AH669,"")</f>
        <v>0.294478527607362</v>
      </c>
      <c r="AP669" s="34">
        <f>IF(E669=1,Orders!Y666,"")</f>
        <v>0.07</v>
      </c>
      <c r="AQ669" s="33">
        <f>IF(Orders!X666,1,0)</f>
        <v>0</v>
      </c>
      <c r="AR669" s="34" t="str">
        <f>IF(AND(E669=1,L669=1),AJ669,"")</f>
        <v/>
      </c>
      <c r="AS669" s="34">
        <f>IF(AND(E669=1,L669=0),AJ669,"")</f>
        <v>8.9</v>
      </c>
      <c r="AT669" s="34" t="str">
        <f>IF(AND(E669=1,L669=1),AI669,"")</f>
        <v/>
      </c>
      <c r="AU669" s="34">
        <f>IF(AND(E669=1,L669=0),AI669,"")</f>
        <v>2.6</v>
      </c>
      <c r="AV669" s="34" t="str">
        <f>IF(AND(E669=1,L669=1),AG669,"")</f>
        <v/>
      </c>
      <c r="AW669" s="34">
        <f>IF(AND(E669=1,L669=0),AG669,"")</f>
        <v>8.7</v>
      </c>
      <c r="AX669" s="34" t="str">
        <f>IF(AND(E669=1,L669=1),AH669,"")</f>
        <v/>
      </c>
      <c r="AY669" s="34">
        <f>IF(AND(E669=1,L669=0),AH669,"")</f>
        <v>16.3</v>
      </c>
      <c r="AZ669" s="34">
        <f>IF(G669=1,F669,"")</f>
        <v>7.6</v>
      </c>
      <c r="BA669" s="34" t="str">
        <f>IF(AND(G669=1,L669=1),F669,"")</f>
        <v/>
      </c>
      <c r="BB669" s="34">
        <f>IF(AND(G669=1,L669=0),F669,"")</f>
        <v>7.6</v>
      </c>
      <c r="BC669" s="33">
        <f>IF(E669=1,IF(Orders!R666&gt;3,1,0),"")</f>
        <v>1</v>
      </c>
      <c r="BD669" s="33">
        <f>IF(E669=1,IF(Orders!R666&gt;7,1,0),"")</f>
        <v>1</v>
      </c>
      <c r="BE669" s="32" t="str">
        <f>IF(E669=1,IF(Orders!L666&lt;=1.5,"Up to 1.5 km",IF(Orders!L666&lt;=3,"1.5–3 km","Over 3 km")),"")</f>
        <v>1.5–3 km</v>
      </c>
      <c r="BF669" s="33">
        <f>IF(E669=1,IF(ABS((Orders!G666-Orders!F666)*1440-Orders!R666)&lt;0.06,1,0),"")</f>
        <v>1</v>
      </c>
      <c r="BG669" s="33">
        <f>IF(ABS((Orders!F666-Orders!E666)*1440-Orders!P666)&lt;0.06,1,0)</f>
        <v>1</v>
      </c>
      <c r="BH669" s="33">
        <f>IF(E669=1,IF(IF(Orders!S666,1,0)=1-G669,1,0),"")</f>
        <v>1</v>
      </c>
      <c r="BI669" s="32" t="str">
        <f>INDEX(Stores!$B$2:$B$21,MATCH(B669,Stores!$A$2:$A$21,0))</f>
        <v>Hyderabad</v>
      </c>
    </row>
    <row r="670">
      <c r="A670" s="32" t="str">
        <f>Orders!A667</f>
        <v>O00666</v>
      </c>
      <c r="B670" s="32" t="str">
        <f>Orders!C667</f>
        <v>S014</v>
      </c>
      <c r="C670" s="32" t="str">
        <f>Orders!B667</f>
        <v>C0018</v>
      </c>
      <c r="D670" s="32" t="str">
        <f>Orders!H667</f>
        <v>Delivered</v>
      </c>
      <c r="E670" s="33">
        <f>IF(Orders!H667="Delivered",1,0)</f>
        <v>1</v>
      </c>
      <c r="F670" s="34">
        <f>IF(E670=1,Orders!R667,"")</f>
        <v>5.3</v>
      </c>
      <c r="G670" s="33">
        <f>IF(E670=1,IF(Orders!R667&gt;0,1,0),"")</f>
        <v>1</v>
      </c>
      <c r="H670" s="33">
        <f>IF(E670=1,IF(Orders!R667&gt;5,1,0),"")</f>
        <v>1</v>
      </c>
      <c r="I670" s="32" t="str">
        <f>IF(E670=1,"",IF(OR(Orders!T667="Rider unavailable",Orders!T667="Item unavailable"),"Company-caused","Unresolved"))</f>
        <v/>
      </c>
      <c r="J670" s="33">
        <f>IF(OR(E670=1,I670="Company-caused"),1,0)</f>
        <v>1</v>
      </c>
      <c r="K670" s="32" t="str">
        <f>IF(E670=0,IF(I670="Company-caused",IF(Orders!T667="Rider unavailable","C1 Rider unavailable","C2 Item unavailable"),"Outside root: unresolved"),IF(G670=0,"A On time",IF(H670=1,IF(L670=1,"B2a Severe, peak","B2b Severe, off-peak"),IF(L670=1,"B1a Slight, peak","B1b Slight, off-peak"))))</f>
        <v>B2b Severe, off-peak</v>
      </c>
      <c r="L670" s="33">
        <f>IF(AND(Orders!U667&gt;=19,Orders!U667&lt;22),1,0)</f>
        <v>0</v>
      </c>
      <c r="M670" s="33">
        <f>IF(L670=IF(Orders!V667,1,0),1,0)</f>
        <v>1</v>
      </c>
      <c r="N670" s="32" t="str">
        <f>IF(Orders!W667="","None",Orders!W667)</f>
        <v>Heavy</v>
      </c>
      <c r="O670" s="35">
        <f>INT(Orders!E667)</f>
        <v>46269.0</v>
      </c>
      <c r="P670" s="33">
        <f>Orders!U667</f>
        <v>8</v>
      </c>
      <c r="Q670" s="33">
        <f>COUNTIFS(Demand!$A$2:$A$4481,B670,Demand!$B$2:$B$4481,O670,Demand!$C$2:$C$4481,P670)</f>
        <v>1</v>
      </c>
      <c r="R670" s="33">
        <f>IF(Q670=1,SUMIFS(Demand!$E$2:$E$4481,Demand!$A$2:$A$4481,B670,Demand!$B$2:$B$4481,O670,Demand!$C$2:$C$4481,P670),"")</f>
        <v>25</v>
      </c>
      <c r="S670" s="33">
        <f>INDEX(Stores!$G$2:$G$21,MATCH(B670,Stores!$A$2:$A$21,0))</f>
        <v>37</v>
      </c>
      <c r="T670" s="34">
        <f>IF(R670="","",R670/S670)</f>
        <v>0.675675675675676</v>
      </c>
      <c r="U670" s="34">
        <f>IF(E670=1,T670,"")</f>
        <v>0.675675675675676</v>
      </c>
      <c r="V670" s="34">
        <f>IF(AND(E670=1,L670=0),T670,"")</f>
        <v>0.675675675675676</v>
      </c>
      <c r="W670" s="33">
        <f>IF(U670="","",IF(U670&lt;=Breakdowns!$C$5,1,IF(U670&lt;=Breakdowns!$C$6,2,IF(U670&lt;=Breakdowns!$C$7,3,4))))</f>
        <v>1</v>
      </c>
      <c r="X670" s="33">
        <f>IF(V670="","",IF(V670&lt;=Breakdowns!$D$5,1,IF(V670&lt;=Breakdowns!$D$6,2,IF(V670&lt;=Breakdowns!$D$7,3,4))))</f>
        <v>1</v>
      </c>
      <c r="Y670" s="34">
        <f>INDEX(Stores!$F$2:$F$21,MATCH(B670,Stores!$A$2:$A$21,0))</f>
        <v>5.55</v>
      </c>
      <c r="Z670" s="33">
        <f>IF(Y670&gt;Store_Summary!$M$2,1,0)</f>
        <v>1</v>
      </c>
      <c r="AA670" s="33">
        <f>INDEX(Stores!$C$2:$C$21,MATCH(B670,Stores!$A$2:$A$21,0))</f>
        <v>241</v>
      </c>
      <c r="AB670" s="33">
        <f>IF(AA670&lt;180,1,0)</f>
        <v>0</v>
      </c>
      <c r="AC670" s="32" t="str">
        <f>IF(Orders!D667="","",INDEX(Riders!$C$2:$C$81,MATCH(Orders!D667,Riders!$A$2:$A$81,0)))</f>
        <v>EV scooter</v>
      </c>
      <c r="AD670" s="33">
        <f>IF(Orders!D667="","",INDEX(Riders!$D$2:$D$81,MATCH(Orders!D667,Riders!$A$2:$A$81,0)))</f>
        <v>18</v>
      </c>
      <c r="AE670" s="33">
        <f>IF(Orders!D667="","",IF(INDEX(Riders!$B$2:$B$81,MATCH(Orders!D667,Riders!$A$2:$A$81,0))=B670,1,0))</f>
        <v>0</v>
      </c>
      <c r="AF670" s="34">
        <f>IF(E670=1,Orders!L667,"")</f>
        <v>1.44</v>
      </c>
      <c r="AG670" s="34">
        <f>IF(E670=1,Orders!P667,"")</f>
        <v>10.8</v>
      </c>
      <c r="AH670" s="34">
        <f>IF(E670=1,Orders!Q667,"")</f>
        <v>16.1</v>
      </c>
      <c r="AI670" s="34">
        <f>IF(E670=1,Orders!M667,"")</f>
        <v>6.1</v>
      </c>
      <c r="AJ670" s="34">
        <f>IF(E670=1,Orders!N667,"")</f>
        <v>3.4</v>
      </c>
      <c r="AK670" s="34">
        <f>IF(E670=1,Orders!O667,"")</f>
        <v>6.6</v>
      </c>
      <c r="AL670" s="33">
        <f>IF(E670=1,IF(ROUND(ABS(AI670+AJ670+AK670-AH670),6)&lt;=0.1,1,0),"")</f>
        <v>1</v>
      </c>
      <c r="AM670" s="36">
        <f>IF(E670=1,AI670/AH670,"")</f>
        <v>0.37888198757764</v>
      </c>
      <c r="AN670" s="36">
        <f>IF(E670=1,AJ670/AH670,"")</f>
        <v>0.211180124223602</v>
      </c>
      <c r="AO670" s="36">
        <f>IF(E670=1,AK670/AH670,"")</f>
        <v>0.409937888198758</v>
      </c>
      <c r="AP670" s="34">
        <f>IF(E670=1,Orders!Y667,"")</f>
        <v>0.54</v>
      </c>
      <c r="AQ670" s="33">
        <f>IF(Orders!X667,1,0)</f>
        <v>0</v>
      </c>
      <c r="AR670" s="34" t="str">
        <f>IF(AND(E670=1,L670=1),AJ670,"")</f>
        <v/>
      </c>
      <c r="AS670" s="34">
        <f>IF(AND(E670=1,L670=0),AJ670,"")</f>
        <v>3.4</v>
      </c>
      <c r="AT670" s="34" t="str">
        <f>IF(AND(E670=1,L670=1),AI670,"")</f>
        <v/>
      </c>
      <c r="AU670" s="34">
        <f>IF(AND(E670=1,L670=0),AI670,"")</f>
        <v>6.1</v>
      </c>
      <c r="AV670" s="34" t="str">
        <f>IF(AND(E670=1,L670=1),AG670,"")</f>
        <v/>
      </c>
      <c r="AW670" s="34">
        <f>IF(AND(E670=1,L670=0),AG670,"")</f>
        <v>10.8</v>
      </c>
      <c r="AX670" s="34" t="str">
        <f>IF(AND(E670=1,L670=1),AH670,"")</f>
        <v/>
      </c>
      <c r="AY670" s="34">
        <f>IF(AND(E670=1,L670=0),AH670,"")</f>
        <v>16.1</v>
      </c>
      <c r="AZ670" s="34">
        <f>IF(G670=1,F670,"")</f>
        <v>5.3</v>
      </c>
      <c r="BA670" s="34" t="str">
        <f>IF(AND(G670=1,L670=1),F670,"")</f>
        <v/>
      </c>
      <c r="BB670" s="34">
        <f>IF(AND(G670=1,L670=0),F670,"")</f>
        <v>5.3</v>
      </c>
      <c r="BC670" s="33">
        <f>IF(E670=1,IF(Orders!R667&gt;3,1,0),"")</f>
        <v>1</v>
      </c>
      <c r="BD670" s="33">
        <f>IF(E670=1,IF(Orders!R667&gt;7,1,0),"")</f>
        <v>0</v>
      </c>
      <c r="BE670" s="32" t="str">
        <f>IF(E670=1,IF(Orders!L667&lt;=1.5,"Up to 1.5 km",IF(Orders!L667&lt;=3,"1.5–3 km","Over 3 km")),"")</f>
        <v>Up to 1.5 km</v>
      </c>
      <c r="BF670" s="33">
        <f>IF(E670=1,IF(ABS((Orders!G667-Orders!F667)*1440-Orders!R667)&lt;0.06,1,0),"")</f>
        <v>1</v>
      </c>
      <c r="BG670" s="33">
        <f>IF(ABS((Orders!F667-Orders!E667)*1440-Orders!P667)&lt;0.06,1,0)</f>
        <v>1</v>
      </c>
      <c r="BH670" s="33">
        <f>IF(E670=1,IF(IF(Orders!S667,1,0)=1-G670,1,0),"")</f>
        <v>1</v>
      </c>
      <c r="BI670" s="32" t="str">
        <f>INDEX(Stores!$B$2:$B$21,MATCH(B670,Stores!$A$2:$A$21,0))</f>
        <v>Pune</v>
      </c>
    </row>
    <row r="671">
      <c r="A671" s="32" t="str">
        <f>Orders!A668</f>
        <v>O00667</v>
      </c>
      <c r="B671" s="32" t="str">
        <f>Orders!C668</f>
        <v>S002</v>
      </c>
      <c r="C671" s="32" t="str">
        <f>Orders!B668</f>
        <v>C0231</v>
      </c>
      <c r="D671" s="32" t="str">
        <f>Orders!H668</f>
        <v>Delivered</v>
      </c>
      <c r="E671" s="33">
        <f>IF(Orders!H668="Delivered",1,0)</f>
        <v>1</v>
      </c>
      <c r="F671" s="34">
        <f>IF(E671=1,Orders!R668,"")</f>
        <v>4.9</v>
      </c>
      <c r="G671" s="33">
        <f>IF(E671=1,IF(Orders!R668&gt;0,1,0),"")</f>
        <v>1</v>
      </c>
      <c r="H671" s="33">
        <f>IF(E671=1,IF(Orders!R668&gt;5,1,0),"")</f>
        <v>0</v>
      </c>
      <c r="I671" s="32" t="str">
        <f>IF(E671=1,"",IF(OR(Orders!T668="Rider unavailable",Orders!T668="Item unavailable"),"Company-caused","Unresolved"))</f>
        <v/>
      </c>
      <c r="J671" s="33">
        <f>IF(OR(E671=1,I671="Company-caused"),1,0)</f>
        <v>1</v>
      </c>
      <c r="K671" s="32" t="str">
        <f>IF(E671=0,IF(I671="Company-caused",IF(Orders!T668="Rider unavailable","C1 Rider unavailable","C2 Item unavailable"),"Outside root: unresolved"),IF(G671=0,"A On time",IF(H671=1,IF(L671=1,"B2a Severe, peak","B2b Severe, off-peak"),IF(L671=1,"B1a Slight, peak","B1b Slight, off-peak"))))</f>
        <v>B1a Slight, peak</v>
      </c>
      <c r="L671" s="33">
        <f>IF(AND(Orders!U668&gt;=19,Orders!U668&lt;22),1,0)</f>
        <v>1</v>
      </c>
      <c r="M671" s="33">
        <f>IF(L671=IF(Orders!V668,1,0),1,0)</f>
        <v>1</v>
      </c>
      <c r="N671" s="32" t="str">
        <f>IF(Orders!W668="","None",Orders!W668)</f>
        <v>Heavy</v>
      </c>
      <c r="O671" s="35">
        <f>INT(Orders!E668)</f>
        <v>46266.0</v>
      </c>
      <c r="P671" s="33">
        <f>Orders!U668</f>
        <v>21</v>
      </c>
      <c r="Q671" s="33">
        <f>COUNTIFS(Demand!$A$2:$A$4481,B671,Demand!$B$2:$B$4481,O671,Demand!$C$2:$C$4481,P671)</f>
        <v>1</v>
      </c>
      <c r="R671" s="33">
        <f>IF(Q671=1,SUMIFS(Demand!$E$2:$E$4481,Demand!$A$2:$A$4481,B671,Demand!$B$2:$B$4481,O671,Demand!$C$2:$C$4481,P671),"")</f>
        <v>39</v>
      </c>
      <c r="S671" s="33">
        <f>INDEX(Stores!$G$2:$G$21,MATCH(B671,Stores!$A$2:$A$21,0))</f>
        <v>33</v>
      </c>
      <c r="T671" s="34">
        <f>IF(R671="","",R671/S671)</f>
        <v>1.18181818181818</v>
      </c>
      <c r="U671" s="34">
        <f>IF(E671=1,T671,"")</f>
        <v>1.18181818181818</v>
      </c>
      <c r="V671" s="34" t="str">
        <f>IF(AND(E671=1,L671=0),T671,"")</f>
        <v/>
      </c>
      <c r="W671" s="33">
        <f>IF(U671="","",IF(U671&lt;=Breakdowns!$C$5,1,IF(U671&lt;=Breakdowns!$C$6,2,IF(U671&lt;=Breakdowns!$C$7,3,4))))</f>
        <v>3</v>
      </c>
      <c r="X671" s="33" t="str">
        <f>IF(V671="","",IF(V671&lt;=Breakdowns!$D$5,1,IF(V671&lt;=Breakdowns!$D$6,2,IF(V671&lt;=Breakdowns!$D$7,3,4))))</f>
        <v/>
      </c>
      <c r="Y671" s="34">
        <f>INDEX(Stores!$F$2:$F$21,MATCH(B671,Stores!$A$2:$A$21,0))</f>
        <v>2.39</v>
      </c>
      <c r="Z671" s="33">
        <f>IF(Y671&gt;Store_Summary!$M$2,1,0)</f>
        <v>0</v>
      </c>
      <c r="AA671" s="33">
        <f>INDEX(Stores!$C$2:$C$21,MATCH(B671,Stores!$A$2:$A$21,0))</f>
        <v>470</v>
      </c>
      <c r="AB671" s="33">
        <f>IF(AA671&lt;180,1,0)</f>
        <v>0</v>
      </c>
      <c r="AC671" s="32" t="str">
        <f>IF(Orders!D668="","",INDEX(Riders!$C$2:$C$81,MATCH(Orders!D668,Riders!$A$2:$A$81,0)))</f>
        <v>Petrol scooter</v>
      </c>
      <c r="AD671" s="33">
        <f>IF(Orders!D668="","",INDEX(Riders!$D$2:$D$81,MATCH(Orders!D668,Riders!$A$2:$A$81,0)))</f>
        <v>20</v>
      </c>
      <c r="AE671" s="33">
        <f>IF(Orders!D668="","",IF(INDEX(Riders!$B$2:$B$81,MATCH(Orders!D668,Riders!$A$2:$A$81,0))=B671,1,0))</f>
        <v>0</v>
      </c>
      <c r="AF671" s="34">
        <f>IF(E671=1,Orders!L668,"")</f>
        <v>0.72</v>
      </c>
      <c r="AG671" s="34">
        <f>IF(E671=1,Orders!P668,"")</f>
        <v>10.7</v>
      </c>
      <c r="AH671" s="34">
        <f>IF(E671=1,Orders!Q668,"")</f>
        <v>15.6</v>
      </c>
      <c r="AI671" s="34">
        <f>IF(E671=1,Orders!M668,"")</f>
        <v>3.3</v>
      </c>
      <c r="AJ671" s="34">
        <f>IF(E671=1,Orders!N668,"")</f>
        <v>7.3</v>
      </c>
      <c r="AK671" s="34">
        <f>IF(E671=1,Orders!O668,"")</f>
        <v>5</v>
      </c>
      <c r="AL671" s="33">
        <f>IF(E671=1,IF(ROUND(ABS(AI671+AJ671+AK671-AH671),6)&lt;=0.1,1,0),"")</f>
        <v>1</v>
      </c>
      <c r="AM671" s="36">
        <f>IF(E671=1,AI671/AH671,"")</f>
        <v>0.211538461538462</v>
      </c>
      <c r="AN671" s="36">
        <f>IF(E671=1,AJ671/AH671,"")</f>
        <v>0.467948717948718</v>
      </c>
      <c r="AO671" s="36">
        <f>IF(E671=1,AK671/AH671,"")</f>
        <v>0.320512820512821</v>
      </c>
      <c r="AP671" s="34">
        <f>IF(E671=1,Orders!Y668,"")</f>
        <v>0.56</v>
      </c>
      <c r="AQ671" s="33">
        <f>IF(Orders!X668,1,0)</f>
        <v>0</v>
      </c>
      <c r="AR671" s="34">
        <f>IF(AND(E671=1,L671=1),AJ671,"")</f>
        <v>7.3</v>
      </c>
      <c r="AS671" s="34" t="str">
        <f>IF(AND(E671=1,L671=0),AJ671,"")</f>
        <v/>
      </c>
      <c r="AT671" s="34">
        <f>IF(AND(E671=1,L671=1),AI671,"")</f>
        <v>3.3</v>
      </c>
      <c r="AU671" s="34" t="str">
        <f>IF(AND(E671=1,L671=0),AI671,"")</f>
        <v/>
      </c>
      <c r="AV671" s="34">
        <f>IF(AND(E671=1,L671=1),AG671,"")</f>
        <v>10.7</v>
      </c>
      <c r="AW671" s="34" t="str">
        <f>IF(AND(E671=1,L671=0),AG671,"")</f>
        <v/>
      </c>
      <c r="AX671" s="34">
        <f>IF(AND(E671=1,L671=1),AH671,"")</f>
        <v>15.6</v>
      </c>
      <c r="AY671" s="34" t="str">
        <f>IF(AND(E671=1,L671=0),AH671,"")</f>
        <v/>
      </c>
      <c r="AZ671" s="34">
        <f>IF(G671=1,F671,"")</f>
        <v>4.9</v>
      </c>
      <c r="BA671" s="34">
        <f>IF(AND(G671=1,L671=1),F671,"")</f>
        <v>4.9</v>
      </c>
      <c r="BB671" s="34" t="str">
        <f>IF(AND(G671=1,L671=0),F671,"")</f>
        <v/>
      </c>
      <c r="BC671" s="33">
        <f>IF(E671=1,IF(Orders!R668&gt;3,1,0),"")</f>
        <v>1</v>
      </c>
      <c r="BD671" s="33">
        <f>IF(E671=1,IF(Orders!R668&gt;7,1,0),"")</f>
        <v>0</v>
      </c>
      <c r="BE671" s="32" t="str">
        <f>IF(E671=1,IF(Orders!L668&lt;=1.5,"Up to 1.5 km",IF(Orders!L668&lt;=3,"1.5–3 km","Over 3 km")),"")</f>
        <v>Up to 1.5 km</v>
      </c>
      <c r="BF671" s="33">
        <f>IF(E671=1,IF(ABS((Orders!G668-Orders!F668)*1440-Orders!R668)&lt;0.06,1,0),"")</f>
        <v>1</v>
      </c>
      <c r="BG671" s="33">
        <f>IF(ABS((Orders!F668-Orders!E668)*1440-Orders!P668)&lt;0.06,1,0)</f>
        <v>1</v>
      </c>
      <c r="BH671" s="33">
        <f>IF(E671=1,IF(IF(Orders!S668,1,0)=1-G671,1,0),"")</f>
        <v>1</v>
      </c>
      <c r="BI671" s="32" t="str">
        <f>INDEX(Stores!$B$2:$B$21,MATCH(B671,Stores!$A$2:$A$21,0))</f>
        <v>Hyderabad</v>
      </c>
    </row>
    <row r="672">
      <c r="A672" s="32" t="str">
        <f>Orders!A669</f>
        <v>O00668</v>
      </c>
      <c r="B672" s="32" t="str">
        <f>Orders!C669</f>
        <v>S008</v>
      </c>
      <c r="C672" s="32" t="str">
        <f>Orders!B669</f>
        <v>C0241</v>
      </c>
      <c r="D672" s="32" t="str">
        <f>Orders!H669</f>
        <v>Delivered</v>
      </c>
      <c r="E672" s="33">
        <f>IF(Orders!H669="Delivered",1,0)</f>
        <v>1</v>
      </c>
      <c r="F672" s="34">
        <f>IF(E672=1,Orders!R669,"")</f>
        <v>-0.5</v>
      </c>
      <c r="G672" s="33">
        <f>IF(E672=1,IF(Orders!R669&gt;0,1,0),"")</f>
        <v>0</v>
      </c>
      <c r="H672" s="33">
        <f>IF(E672=1,IF(Orders!R669&gt;5,1,0),"")</f>
        <v>0</v>
      </c>
      <c r="I672" s="32" t="str">
        <f>IF(E672=1,"",IF(OR(Orders!T669="Rider unavailable",Orders!T669="Item unavailable"),"Company-caused","Unresolved"))</f>
        <v/>
      </c>
      <c r="J672" s="33">
        <f>IF(OR(E672=1,I672="Company-caused"),1,0)</f>
        <v>1</v>
      </c>
      <c r="K672" s="32" t="str">
        <f>IF(E672=0,IF(I672="Company-caused",IF(Orders!T669="Rider unavailable","C1 Rider unavailable","C2 Item unavailable"),"Outside root: unresolved"),IF(G672=0,"A On time",IF(H672=1,IF(L672=1,"B2a Severe, peak","B2b Severe, off-peak"),IF(L672=1,"B1a Slight, peak","B1b Slight, off-peak"))))</f>
        <v>A On time</v>
      </c>
      <c r="L672" s="33">
        <f>IF(AND(Orders!U669&gt;=19,Orders!U669&lt;22),1,0)</f>
        <v>0</v>
      </c>
      <c r="M672" s="33">
        <f>IF(L672=IF(Orders!V669,1,0),1,0)</f>
        <v>1</v>
      </c>
      <c r="N672" s="32" t="str">
        <f>IF(Orders!W669="","None",Orders!W669)</f>
        <v>None</v>
      </c>
      <c r="O672" s="35">
        <f>INT(Orders!E669)</f>
        <v>46276.0</v>
      </c>
      <c r="P672" s="33">
        <f>Orders!U669</f>
        <v>18</v>
      </c>
      <c r="Q672" s="33">
        <f>COUNTIFS(Demand!$A$2:$A$4481,B672,Demand!$B$2:$B$4481,O672,Demand!$C$2:$C$4481,P672)</f>
        <v>1</v>
      </c>
      <c r="R672" s="33">
        <f>IF(Q672=1,SUMIFS(Demand!$E$2:$E$4481,Demand!$A$2:$A$4481,B672,Demand!$B$2:$B$4481,O672,Demand!$C$2:$C$4481,P672),"")</f>
        <v>32</v>
      </c>
      <c r="S672" s="33">
        <f>INDEX(Stores!$G$2:$G$21,MATCH(B672,Stores!$A$2:$A$21,0))</f>
        <v>23</v>
      </c>
      <c r="T672" s="34">
        <f>IF(R672="","",R672/S672)</f>
        <v>1.39130434782609</v>
      </c>
      <c r="U672" s="34">
        <f>IF(E672=1,T672,"")</f>
        <v>1.39130434782609</v>
      </c>
      <c r="V672" s="34">
        <f>IF(AND(E672=1,L672=0),T672,"")</f>
        <v>1.39130434782609</v>
      </c>
      <c r="W672" s="33">
        <f>IF(U672="","",IF(U672&lt;=Breakdowns!$C$5,1,IF(U672&lt;=Breakdowns!$C$6,2,IF(U672&lt;=Breakdowns!$C$7,3,4))))</f>
        <v>4</v>
      </c>
      <c r="X672" s="33">
        <f>IF(V672="","",IF(V672&lt;=Breakdowns!$D$5,1,IF(V672&lt;=Breakdowns!$D$6,2,IF(V672&lt;=Breakdowns!$D$7,3,4))))</f>
        <v>4</v>
      </c>
      <c r="Y672" s="34">
        <f>INDEX(Stores!$F$2:$F$21,MATCH(B672,Stores!$A$2:$A$21,0))</f>
        <v>3.46</v>
      </c>
      <c r="Z672" s="33">
        <f>IF(Y672&gt;Store_Summary!$M$2,1,0)</f>
        <v>0</v>
      </c>
      <c r="AA672" s="33">
        <f>INDEX(Stores!$C$2:$C$21,MATCH(B672,Stores!$A$2:$A$21,0))</f>
        <v>825</v>
      </c>
      <c r="AB672" s="33">
        <f>IF(AA672&lt;180,1,0)</f>
        <v>0</v>
      </c>
      <c r="AC672" s="32" t="str">
        <f>IF(Orders!D669="","",INDEX(Riders!$C$2:$C$81,MATCH(Orders!D669,Riders!$A$2:$A$81,0)))</f>
        <v>EV scooter</v>
      </c>
      <c r="AD672" s="33">
        <f>IF(Orders!D669="","",INDEX(Riders!$D$2:$D$81,MATCH(Orders!D669,Riders!$A$2:$A$81,0)))</f>
        <v>33</v>
      </c>
      <c r="AE672" s="33">
        <f>IF(Orders!D669="","",IF(INDEX(Riders!$B$2:$B$81,MATCH(Orders!D669,Riders!$A$2:$A$81,0))=B672,1,0))</f>
        <v>0</v>
      </c>
      <c r="AF672" s="34">
        <f>IF(E672=1,Orders!L669,"")</f>
        <v>2.75</v>
      </c>
      <c r="AG672" s="34">
        <f>IF(E672=1,Orders!P669,"")</f>
        <v>11.3</v>
      </c>
      <c r="AH672" s="34">
        <f>IF(E672=1,Orders!Q669,"")</f>
        <v>10.8</v>
      </c>
      <c r="AI672" s="34">
        <f>IF(E672=1,Orders!M669,"")</f>
        <v>2.7</v>
      </c>
      <c r="AJ672" s="34">
        <f>IF(E672=1,Orders!N669,"")</f>
        <v>3.5</v>
      </c>
      <c r="AK672" s="34">
        <f>IF(E672=1,Orders!O669,"")</f>
        <v>4.6</v>
      </c>
      <c r="AL672" s="33">
        <f>IF(E672=1,IF(ROUND(ABS(AI672+AJ672+AK672-AH672),6)&lt;=0.1,1,0),"")</f>
        <v>1</v>
      </c>
      <c r="AM672" s="36">
        <f>IF(E672=1,AI672/AH672,"")</f>
        <v>0.25</v>
      </c>
      <c r="AN672" s="36">
        <f>IF(E672=1,AJ672/AH672,"")</f>
        <v>0.324074074074074</v>
      </c>
      <c r="AO672" s="36">
        <f>IF(E672=1,AK672/AH672,"")</f>
        <v>0.425925925925926</v>
      </c>
      <c r="AP672" s="34">
        <f>IF(E672=1,Orders!Y669,"")</f>
        <v>0.29</v>
      </c>
      <c r="AQ672" s="33">
        <f>IF(Orders!X669,1,0)</f>
        <v>0</v>
      </c>
      <c r="AR672" s="34" t="str">
        <f>IF(AND(E672=1,L672=1),AJ672,"")</f>
        <v/>
      </c>
      <c r="AS672" s="34">
        <f>IF(AND(E672=1,L672=0),AJ672,"")</f>
        <v>3.5</v>
      </c>
      <c r="AT672" s="34" t="str">
        <f>IF(AND(E672=1,L672=1),AI672,"")</f>
        <v/>
      </c>
      <c r="AU672" s="34">
        <f>IF(AND(E672=1,L672=0),AI672,"")</f>
        <v>2.7</v>
      </c>
      <c r="AV672" s="34" t="str">
        <f>IF(AND(E672=1,L672=1),AG672,"")</f>
        <v/>
      </c>
      <c r="AW672" s="34">
        <f>IF(AND(E672=1,L672=0),AG672,"")</f>
        <v>11.3</v>
      </c>
      <c r="AX672" s="34" t="str">
        <f>IF(AND(E672=1,L672=1),AH672,"")</f>
        <v/>
      </c>
      <c r="AY672" s="34">
        <f>IF(AND(E672=1,L672=0),AH672,"")</f>
        <v>10.8</v>
      </c>
      <c r="AZ672" s="34" t="str">
        <f>IF(G672=1,F672,"")</f>
        <v/>
      </c>
      <c r="BA672" s="34" t="str">
        <f>IF(AND(G672=1,L672=1),F672,"")</f>
        <v/>
      </c>
      <c r="BB672" s="34" t="str">
        <f>IF(AND(G672=1,L672=0),F672,"")</f>
        <v/>
      </c>
      <c r="BC672" s="33">
        <f>IF(E672=1,IF(Orders!R669&gt;3,1,0),"")</f>
        <v>0</v>
      </c>
      <c r="BD672" s="33">
        <f>IF(E672=1,IF(Orders!R669&gt;7,1,0),"")</f>
        <v>0</v>
      </c>
      <c r="BE672" s="32" t="str">
        <f>IF(E672=1,IF(Orders!L669&lt;=1.5,"Up to 1.5 km",IF(Orders!L669&lt;=3,"1.5–3 km","Over 3 km")),"")</f>
        <v>1.5–3 km</v>
      </c>
      <c r="BF672" s="33">
        <f>IF(E672=1,IF(ABS((Orders!G669-Orders!F669)*1440-Orders!R669)&lt;0.06,1,0),"")</f>
        <v>1</v>
      </c>
      <c r="BG672" s="33">
        <f>IF(ABS((Orders!F669-Orders!E669)*1440-Orders!P669)&lt;0.06,1,0)</f>
        <v>1</v>
      </c>
      <c r="BH672" s="33">
        <f>IF(E672=1,IF(IF(Orders!S669,1,0)=1-G672,1,0),"")</f>
        <v>1</v>
      </c>
      <c r="BI672" s="32" t="str">
        <f>INDEX(Stores!$B$2:$B$21,MATCH(B672,Stores!$A$2:$A$21,0))</f>
        <v>Mumbai</v>
      </c>
    </row>
    <row r="673">
      <c r="A673" s="32" t="str">
        <f>Orders!A670</f>
        <v>O00669</v>
      </c>
      <c r="B673" s="32" t="str">
        <f>Orders!C670</f>
        <v>S004</v>
      </c>
      <c r="C673" s="32" t="str">
        <f>Orders!B670</f>
        <v>C0191</v>
      </c>
      <c r="D673" s="32" t="str">
        <f>Orders!H670</f>
        <v>Delivered</v>
      </c>
      <c r="E673" s="33">
        <f>IF(Orders!H670="Delivered",1,0)</f>
        <v>1</v>
      </c>
      <c r="F673" s="34">
        <f>IF(E673=1,Orders!R670,"")</f>
        <v>-3</v>
      </c>
      <c r="G673" s="33">
        <f>IF(E673=1,IF(Orders!R670&gt;0,1,0),"")</f>
        <v>0</v>
      </c>
      <c r="H673" s="33">
        <f>IF(E673=1,IF(Orders!R670&gt;5,1,0),"")</f>
        <v>0</v>
      </c>
      <c r="I673" s="32" t="str">
        <f>IF(E673=1,"",IF(OR(Orders!T670="Rider unavailable",Orders!T670="Item unavailable"),"Company-caused","Unresolved"))</f>
        <v/>
      </c>
      <c r="J673" s="33">
        <f>IF(OR(E673=1,I673="Company-caused"),1,0)</f>
        <v>1</v>
      </c>
      <c r="K673" s="32" t="str">
        <f>IF(E673=0,IF(I673="Company-caused",IF(Orders!T670="Rider unavailable","C1 Rider unavailable","C2 Item unavailable"),"Outside root: unresolved"),IF(G673=0,"A On time",IF(H673=1,IF(L673=1,"B2a Severe, peak","B2b Severe, off-peak"),IF(L673=1,"B1a Slight, peak","B1b Slight, off-peak"))))</f>
        <v>A On time</v>
      </c>
      <c r="L673" s="33">
        <f>IF(AND(Orders!U670&gt;=19,Orders!U670&lt;22),1,0)</f>
        <v>0</v>
      </c>
      <c r="M673" s="33">
        <f>IF(L673=IF(Orders!V670,1,0),1,0)</f>
        <v>1</v>
      </c>
      <c r="N673" s="32" t="str">
        <f>IF(Orders!W670="","None",Orders!W670)</f>
        <v>Light</v>
      </c>
      <c r="O673" s="35">
        <f>INT(Orders!E670)</f>
        <v>46269.0</v>
      </c>
      <c r="P673" s="33">
        <f>Orders!U670</f>
        <v>13</v>
      </c>
      <c r="Q673" s="33">
        <f>COUNTIFS(Demand!$A$2:$A$4481,B673,Demand!$B$2:$B$4481,O673,Demand!$C$2:$C$4481,P673)</f>
        <v>1</v>
      </c>
      <c r="R673" s="33">
        <f>IF(Q673=1,SUMIFS(Demand!$E$2:$E$4481,Demand!$A$2:$A$4481,B673,Demand!$B$2:$B$4481,O673,Demand!$C$2:$C$4481,P673),"")</f>
        <v>44</v>
      </c>
      <c r="S673" s="33">
        <f>INDEX(Stores!$G$2:$G$21,MATCH(B673,Stores!$A$2:$A$21,0))</f>
        <v>42</v>
      </c>
      <c r="T673" s="34">
        <f>IF(R673="","",R673/S673)</f>
        <v>1.04761904761905</v>
      </c>
      <c r="U673" s="34">
        <f>IF(E673=1,T673,"")</f>
        <v>1.04761904761905</v>
      </c>
      <c r="V673" s="34">
        <f>IF(AND(E673=1,L673=0),T673,"")</f>
        <v>1.04761904761905</v>
      </c>
      <c r="W673" s="33">
        <f>IF(U673="","",IF(U673&lt;=Breakdowns!$C$5,1,IF(U673&lt;=Breakdowns!$C$6,2,IF(U673&lt;=Breakdowns!$C$7,3,4))))</f>
        <v>3</v>
      </c>
      <c r="X673" s="33">
        <f>IF(V673="","",IF(V673&lt;=Breakdowns!$D$5,1,IF(V673&lt;=Breakdowns!$D$6,2,IF(V673&lt;=Breakdowns!$D$7,3,4))))</f>
        <v>3</v>
      </c>
      <c r="Y673" s="34">
        <f>INDEX(Stores!$F$2:$F$21,MATCH(B673,Stores!$A$2:$A$21,0))</f>
        <v>2.19</v>
      </c>
      <c r="Z673" s="33">
        <f>IF(Y673&gt;Store_Summary!$M$2,1,0)</f>
        <v>0</v>
      </c>
      <c r="AA673" s="33">
        <f>INDEX(Stores!$C$2:$C$21,MATCH(B673,Stores!$A$2:$A$21,0))</f>
        <v>850</v>
      </c>
      <c r="AB673" s="33">
        <f>IF(AA673&lt;180,1,0)</f>
        <v>0</v>
      </c>
      <c r="AC673" s="32" t="str">
        <f>IF(Orders!D670="","",INDEX(Riders!$C$2:$C$81,MATCH(Orders!D670,Riders!$A$2:$A$81,0)))</f>
        <v>EV scooter</v>
      </c>
      <c r="AD673" s="33">
        <f>IF(Orders!D670="","",INDEX(Riders!$D$2:$D$81,MATCH(Orders!D670,Riders!$A$2:$A$81,0)))</f>
        <v>22</v>
      </c>
      <c r="AE673" s="33">
        <f>IF(Orders!D670="","",IF(INDEX(Riders!$B$2:$B$81,MATCH(Orders!D670,Riders!$A$2:$A$81,0))=B673,1,0))</f>
        <v>0</v>
      </c>
      <c r="AF673" s="34">
        <f>IF(E673=1,Orders!L670,"")</f>
        <v>0.5</v>
      </c>
      <c r="AG673" s="34">
        <f>IF(E673=1,Orders!P670,"")</f>
        <v>11.3</v>
      </c>
      <c r="AH673" s="34">
        <f>IF(E673=1,Orders!Q670,"")</f>
        <v>8.3</v>
      </c>
      <c r="AI673" s="34">
        <f>IF(E673=1,Orders!M670,"")</f>
        <v>2.8</v>
      </c>
      <c r="AJ673" s="34">
        <f>IF(E673=1,Orders!N670,"")</f>
        <v>2.9</v>
      </c>
      <c r="AK673" s="34">
        <f>IF(E673=1,Orders!O670,"")</f>
        <v>2.6</v>
      </c>
      <c r="AL673" s="33">
        <f>IF(E673=1,IF(ROUND(ABS(AI673+AJ673+AK673-AH673),6)&lt;=0.1,1,0),"")</f>
        <v>1</v>
      </c>
      <c r="AM673" s="36">
        <f>IF(E673=1,AI673/AH673,"")</f>
        <v>0.337349397590361</v>
      </c>
      <c r="AN673" s="36">
        <f>IF(E673=1,AJ673/AH673,"")</f>
        <v>0.349397590361446</v>
      </c>
      <c r="AO673" s="36">
        <f>IF(E673=1,AK673/AH673,"")</f>
        <v>0.313253012048193</v>
      </c>
      <c r="AP673" s="34">
        <f>IF(E673=1,Orders!Y670,"")</f>
        <v>0.22</v>
      </c>
      <c r="AQ673" s="33">
        <f>IF(Orders!X670,1,0)</f>
        <v>0</v>
      </c>
      <c r="AR673" s="34" t="str">
        <f>IF(AND(E673=1,L673=1),AJ673,"")</f>
        <v/>
      </c>
      <c r="AS673" s="34">
        <f>IF(AND(E673=1,L673=0),AJ673,"")</f>
        <v>2.9</v>
      </c>
      <c r="AT673" s="34" t="str">
        <f>IF(AND(E673=1,L673=1),AI673,"")</f>
        <v/>
      </c>
      <c r="AU673" s="34">
        <f>IF(AND(E673=1,L673=0),AI673,"")</f>
        <v>2.8</v>
      </c>
      <c r="AV673" s="34" t="str">
        <f>IF(AND(E673=1,L673=1),AG673,"")</f>
        <v/>
      </c>
      <c r="AW673" s="34">
        <f>IF(AND(E673=1,L673=0),AG673,"")</f>
        <v>11.3</v>
      </c>
      <c r="AX673" s="34" t="str">
        <f>IF(AND(E673=1,L673=1),AH673,"")</f>
        <v/>
      </c>
      <c r="AY673" s="34">
        <f>IF(AND(E673=1,L673=0),AH673,"")</f>
        <v>8.3</v>
      </c>
      <c r="AZ673" s="34" t="str">
        <f>IF(G673=1,F673,"")</f>
        <v/>
      </c>
      <c r="BA673" s="34" t="str">
        <f>IF(AND(G673=1,L673=1),F673,"")</f>
        <v/>
      </c>
      <c r="BB673" s="34" t="str">
        <f>IF(AND(G673=1,L673=0),F673,"")</f>
        <v/>
      </c>
      <c r="BC673" s="33">
        <f>IF(E673=1,IF(Orders!R670&gt;3,1,0),"")</f>
        <v>0</v>
      </c>
      <c r="BD673" s="33">
        <f>IF(E673=1,IF(Orders!R670&gt;7,1,0),"")</f>
        <v>0</v>
      </c>
      <c r="BE673" s="32" t="str">
        <f>IF(E673=1,IF(Orders!L670&lt;=1.5,"Up to 1.5 km",IF(Orders!L670&lt;=3,"1.5–3 km","Over 3 km")),"")</f>
        <v>Up to 1.5 km</v>
      </c>
      <c r="BF673" s="33">
        <f>IF(E673=1,IF(ABS((Orders!G670-Orders!F670)*1440-Orders!R670)&lt;0.06,1,0),"")</f>
        <v>1</v>
      </c>
      <c r="BG673" s="33">
        <f>IF(ABS((Orders!F670-Orders!E670)*1440-Orders!P670)&lt;0.06,1,0)</f>
        <v>1</v>
      </c>
      <c r="BH673" s="33">
        <f>IF(E673=1,IF(IF(Orders!S670,1,0)=1-G673,1,0),"")</f>
        <v>1</v>
      </c>
      <c r="BI673" s="32" t="str">
        <f>INDEX(Stores!$B$2:$B$21,MATCH(B673,Stores!$A$2:$A$21,0))</f>
        <v>Pune</v>
      </c>
    </row>
    <row r="674">
      <c r="A674" s="32" t="str">
        <f>Orders!A671</f>
        <v>O00670</v>
      </c>
      <c r="B674" s="32" t="str">
        <f>Orders!C671</f>
        <v>S013</v>
      </c>
      <c r="C674" s="32" t="str">
        <f>Orders!B671</f>
        <v>C0073</v>
      </c>
      <c r="D674" s="32" t="str">
        <f>Orders!H671</f>
        <v>Delivered</v>
      </c>
      <c r="E674" s="33">
        <f>IF(Orders!H671="Delivered",1,0)</f>
        <v>1</v>
      </c>
      <c r="F674" s="34">
        <f>IF(E674=1,Orders!R671,"")</f>
        <v>12.6</v>
      </c>
      <c r="G674" s="33">
        <f>IF(E674=1,IF(Orders!R671&gt;0,1,0),"")</f>
        <v>1</v>
      </c>
      <c r="H674" s="33">
        <f>IF(E674=1,IF(Orders!R671&gt;5,1,0),"")</f>
        <v>1</v>
      </c>
      <c r="I674" s="32" t="str">
        <f>IF(E674=1,"",IF(OR(Orders!T671="Rider unavailable",Orders!T671="Item unavailable"),"Company-caused","Unresolved"))</f>
        <v/>
      </c>
      <c r="J674" s="33">
        <f>IF(OR(E674=1,I674="Company-caused"),1,0)</f>
        <v>1</v>
      </c>
      <c r="K674" s="32" t="str">
        <f>IF(E674=0,IF(I674="Company-caused",IF(Orders!T671="Rider unavailable","C1 Rider unavailable","C2 Item unavailable"),"Outside root: unresolved"),IF(G674=0,"A On time",IF(H674=1,IF(L674=1,"B2a Severe, peak","B2b Severe, off-peak"),IF(L674=1,"B1a Slight, peak","B1b Slight, off-peak"))))</f>
        <v>B2b Severe, off-peak</v>
      </c>
      <c r="L674" s="33">
        <f>IF(AND(Orders!U671&gt;=19,Orders!U671&lt;22),1,0)</f>
        <v>0</v>
      </c>
      <c r="M674" s="33">
        <f>IF(L674=IF(Orders!V671,1,0),1,0)</f>
        <v>1</v>
      </c>
      <c r="N674" s="32" t="str">
        <f>IF(Orders!W671="","None",Orders!W671)</f>
        <v>None</v>
      </c>
      <c r="O674" s="35">
        <f>INT(Orders!E671)</f>
        <v>46273.0</v>
      </c>
      <c r="P674" s="33">
        <f>Orders!U671</f>
        <v>23</v>
      </c>
      <c r="Q674" s="33">
        <f>COUNTIFS(Demand!$A$2:$A$4481,B674,Demand!$B$2:$B$4481,O674,Demand!$C$2:$C$4481,P674)</f>
        <v>1</v>
      </c>
      <c r="R674" s="33">
        <f>IF(Q674=1,SUMIFS(Demand!$E$2:$E$4481,Demand!$A$2:$A$4481,B674,Demand!$B$2:$B$4481,O674,Demand!$C$2:$C$4481,P674),"")</f>
        <v>44</v>
      </c>
      <c r="S674" s="33">
        <f>INDEX(Stores!$G$2:$G$21,MATCH(B674,Stores!$A$2:$A$21,0))</f>
        <v>49</v>
      </c>
      <c r="T674" s="34">
        <f>IF(R674="","",R674/S674)</f>
        <v>0.897959183673469</v>
      </c>
      <c r="U674" s="34">
        <f>IF(E674=1,T674,"")</f>
        <v>0.897959183673469</v>
      </c>
      <c r="V674" s="34">
        <f>IF(AND(E674=1,L674=0),T674,"")</f>
        <v>0.897959183673469</v>
      </c>
      <c r="W674" s="33">
        <f>IF(U674="","",IF(U674&lt;=Breakdowns!$C$5,1,IF(U674&lt;=Breakdowns!$C$6,2,IF(U674&lt;=Breakdowns!$C$7,3,4))))</f>
        <v>2</v>
      </c>
      <c r="X674" s="33">
        <f>IF(V674="","",IF(V674&lt;=Breakdowns!$D$5,1,IF(V674&lt;=Breakdowns!$D$6,2,IF(V674&lt;=Breakdowns!$D$7,3,4))))</f>
        <v>2</v>
      </c>
      <c r="Y674" s="34">
        <f>INDEX(Stores!$F$2:$F$21,MATCH(B674,Stores!$A$2:$A$21,0))</f>
        <v>5.82</v>
      </c>
      <c r="Z674" s="33">
        <f>IF(Y674&gt;Store_Summary!$M$2,1,0)</f>
        <v>1</v>
      </c>
      <c r="AA674" s="33">
        <f>INDEX(Stores!$C$2:$C$21,MATCH(B674,Stores!$A$2:$A$21,0))</f>
        <v>705</v>
      </c>
      <c r="AB674" s="33">
        <f>IF(AA674&lt;180,1,0)</f>
        <v>0</v>
      </c>
      <c r="AC674" s="32" t="str">
        <f>IF(Orders!D671="","",INDEX(Riders!$C$2:$C$81,MATCH(Orders!D671,Riders!$A$2:$A$81,0)))</f>
        <v>EV scooter</v>
      </c>
      <c r="AD674" s="33">
        <f>IF(Orders!D671="","",INDEX(Riders!$D$2:$D$81,MATCH(Orders!D671,Riders!$A$2:$A$81,0)))</f>
        <v>38</v>
      </c>
      <c r="AE674" s="33">
        <f>IF(Orders!D671="","",IF(INDEX(Riders!$B$2:$B$81,MATCH(Orders!D671,Riders!$A$2:$A$81,0))=B674,1,0))</f>
        <v>0</v>
      </c>
      <c r="AF674" s="34">
        <f>IF(E674=1,Orders!L671,"")</f>
        <v>2.55</v>
      </c>
      <c r="AG674" s="34">
        <f>IF(E674=1,Orders!P671,"")</f>
        <v>9.5</v>
      </c>
      <c r="AH674" s="34">
        <f>IF(E674=1,Orders!Q671,"")</f>
        <v>22.1</v>
      </c>
      <c r="AI674" s="34">
        <f>IF(E674=1,Orders!M671,"")</f>
        <v>6.7</v>
      </c>
      <c r="AJ674" s="34">
        <f>IF(E674=1,Orders!N671,"")</f>
        <v>9</v>
      </c>
      <c r="AK674" s="34">
        <f>IF(E674=1,Orders!O671,"")</f>
        <v>6.5</v>
      </c>
      <c r="AL674" s="33">
        <f>IF(E674=1,IF(ROUND(ABS(AI674+AJ674+AK674-AH674),6)&lt;=0.1,1,0),"")</f>
        <v>1</v>
      </c>
      <c r="AM674" s="36">
        <f>IF(E674=1,AI674/AH674,"")</f>
        <v>0.30316742081448</v>
      </c>
      <c r="AN674" s="36">
        <f>IF(E674=1,AJ674/AH674,"")</f>
        <v>0.407239819004525</v>
      </c>
      <c r="AO674" s="36">
        <f>IF(E674=1,AK674/AH674,"")</f>
        <v>0.294117647058824</v>
      </c>
      <c r="AP674" s="34">
        <f>IF(E674=1,Orders!Y671,"")</f>
        <v>0.44</v>
      </c>
      <c r="AQ674" s="33">
        <f>IF(Orders!X671,1,0)</f>
        <v>0</v>
      </c>
      <c r="AR674" s="34" t="str">
        <f>IF(AND(E674=1,L674=1),AJ674,"")</f>
        <v/>
      </c>
      <c r="AS674" s="34">
        <f>IF(AND(E674=1,L674=0),AJ674,"")</f>
        <v>9</v>
      </c>
      <c r="AT674" s="34" t="str">
        <f>IF(AND(E674=1,L674=1),AI674,"")</f>
        <v/>
      </c>
      <c r="AU674" s="34">
        <f>IF(AND(E674=1,L674=0),AI674,"")</f>
        <v>6.7</v>
      </c>
      <c r="AV674" s="34" t="str">
        <f>IF(AND(E674=1,L674=1),AG674,"")</f>
        <v/>
      </c>
      <c r="AW674" s="34">
        <f>IF(AND(E674=1,L674=0),AG674,"")</f>
        <v>9.5</v>
      </c>
      <c r="AX674" s="34" t="str">
        <f>IF(AND(E674=1,L674=1),AH674,"")</f>
        <v/>
      </c>
      <c r="AY674" s="34">
        <f>IF(AND(E674=1,L674=0),AH674,"")</f>
        <v>22.1</v>
      </c>
      <c r="AZ674" s="34">
        <f>IF(G674=1,F674,"")</f>
        <v>12.6</v>
      </c>
      <c r="BA674" s="34" t="str">
        <f>IF(AND(G674=1,L674=1),F674,"")</f>
        <v/>
      </c>
      <c r="BB674" s="34">
        <f>IF(AND(G674=1,L674=0),F674,"")</f>
        <v>12.6</v>
      </c>
      <c r="BC674" s="33">
        <f>IF(E674=1,IF(Orders!R671&gt;3,1,0),"")</f>
        <v>1</v>
      </c>
      <c r="BD674" s="33">
        <f>IF(E674=1,IF(Orders!R671&gt;7,1,0),"")</f>
        <v>1</v>
      </c>
      <c r="BE674" s="32" t="str">
        <f>IF(E674=1,IF(Orders!L671&lt;=1.5,"Up to 1.5 km",IF(Orders!L671&lt;=3,"1.5–3 km","Over 3 km")),"")</f>
        <v>1.5–3 km</v>
      </c>
      <c r="BF674" s="33">
        <f>IF(E674=1,IF(ABS((Orders!G671-Orders!F671)*1440-Orders!R671)&lt;0.06,1,0),"")</f>
        <v>1</v>
      </c>
      <c r="BG674" s="33">
        <f>IF(ABS((Orders!F671-Orders!E671)*1440-Orders!P671)&lt;0.06,1,0)</f>
        <v>1</v>
      </c>
      <c r="BH674" s="33">
        <f>IF(E674=1,IF(IF(Orders!S671,1,0)=1-G674,1,0),"")</f>
        <v>1</v>
      </c>
      <c r="BI674" s="32" t="str">
        <f>INDEX(Stores!$B$2:$B$21,MATCH(B674,Stores!$A$2:$A$21,0))</f>
        <v>Mumbai</v>
      </c>
    </row>
    <row r="675">
      <c r="A675" s="32" t="str">
        <f>Orders!A672</f>
        <v>O00671</v>
      </c>
      <c r="B675" s="32" t="str">
        <f>Orders!C672</f>
        <v>S020</v>
      </c>
      <c r="C675" s="32" t="str">
        <f>Orders!B672</f>
        <v>C0026</v>
      </c>
      <c r="D675" s="32" t="str">
        <f>Orders!H672</f>
        <v>Delivered</v>
      </c>
      <c r="E675" s="33">
        <f>IF(Orders!H672="Delivered",1,0)</f>
        <v>1</v>
      </c>
      <c r="F675" s="34">
        <f>IF(E675=1,Orders!R672,"")</f>
        <v>-1.2</v>
      </c>
      <c r="G675" s="33">
        <f>IF(E675=1,IF(Orders!R672&gt;0,1,0),"")</f>
        <v>0</v>
      </c>
      <c r="H675" s="33">
        <f>IF(E675=1,IF(Orders!R672&gt;5,1,0),"")</f>
        <v>0</v>
      </c>
      <c r="I675" s="32" t="str">
        <f>IF(E675=1,"",IF(OR(Orders!T672="Rider unavailable",Orders!T672="Item unavailable"),"Company-caused","Unresolved"))</f>
        <v/>
      </c>
      <c r="J675" s="33">
        <f>IF(OR(E675=1,I675="Company-caused"),1,0)</f>
        <v>1</v>
      </c>
      <c r="K675" s="32" t="str">
        <f>IF(E675=0,IF(I675="Company-caused",IF(Orders!T672="Rider unavailable","C1 Rider unavailable","C2 Item unavailable"),"Outside root: unresolved"),IF(G675=0,"A On time",IF(H675=1,IF(L675=1,"B2a Severe, peak","B2b Severe, off-peak"),IF(L675=1,"B1a Slight, peak","B1b Slight, off-peak"))))</f>
        <v>A On time</v>
      </c>
      <c r="L675" s="33">
        <f>IF(AND(Orders!U672&gt;=19,Orders!U672&lt;22),1,0)</f>
        <v>0</v>
      </c>
      <c r="M675" s="33">
        <f>IF(L675=IF(Orders!V672,1,0),1,0)</f>
        <v>1</v>
      </c>
      <c r="N675" s="32" t="str">
        <f>IF(Orders!W672="","None",Orders!W672)</f>
        <v>Heavy</v>
      </c>
      <c r="O675" s="35">
        <f>INT(Orders!E672)</f>
        <v>46275.0</v>
      </c>
      <c r="P675" s="33">
        <f>Orders!U672</f>
        <v>15</v>
      </c>
      <c r="Q675" s="33">
        <f>COUNTIFS(Demand!$A$2:$A$4481,B675,Demand!$B$2:$B$4481,O675,Demand!$C$2:$C$4481,P675)</f>
        <v>1</v>
      </c>
      <c r="R675" s="33">
        <f>IF(Q675=1,SUMIFS(Demand!$E$2:$E$4481,Demand!$A$2:$A$4481,B675,Demand!$B$2:$B$4481,O675,Demand!$C$2:$C$4481,P675),"")</f>
        <v>15</v>
      </c>
      <c r="S675" s="33">
        <f>INDEX(Stores!$G$2:$G$21,MATCH(B675,Stores!$A$2:$A$21,0))</f>
        <v>15</v>
      </c>
      <c r="T675" s="34">
        <f>IF(R675="","",R675/S675)</f>
        <v>1</v>
      </c>
      <c r="U675" s="34">
        <f>IF(E675=1,T675,"")</f>
        <v>1</v>
      </c>
      <c r="V675" s="34">
        <f>IF(AND(E675=1,L675=0),T675,"")</f>
        <v>1</v>
      </c>
      <c r="W675" s="33">
        <f>IF(U675="","",IF(U675&lt;=Breakdowns!$C$5,1,IF(U675&lt;=Breakdowns!$C$6,2,IF(U675&lt;=Breakdowns!$C$7,3,4))))</f>
        <v>2</v>
      </c>
      <c r="X675" s="33">
        <f>IF(V675="","",IF(V675&lt;=Breakdowns!$D$5,1,IF(V675&lt;=Breakdowns!$D$6,2,IF(V675&lt;=Breakdowns!$D$7,3,4))))</f>
        <v>3</v>
      </c>
      <c r="Y675" s="34">
        <f>INDEX(Stores!$F$2:$F$21,MATCH(B675,Stores!$A$2:$A$21,0))</f>
        <v>5.74</v>
      </c>
      <c r="Z675" s="33">
        <f>IF(Y675&gt;Store_Summary!$M$2,1,0)</f>
        <v>1</v>
      </c>
      <c r="AA675" s="33">
        <f>INDEX(Stores!$C$2:$C$21,MATCH(B675,Stores!$A$2:$A$21,0))</f>
        <v>647</v>
      </c>
      <c r="AB675" s="33">
        <f>IF(AA675&lt;180,1,0)</f>
        <v>0</v>
      </c>
      <c r="AC675" s="32" t="str">
        <f>IF(Orders!D672="","",INDEX(Riders!$C$2:$C$81,MATCH(Orders!D672,Riders!$A$2:$A$81,0)))</f>
        <v>EV scooter</v>
      </c>
      <c r="AD675" s="33">
        <f>IF(Orders!D672="","",INDEX(Riders!$D$2:$D$81,MATCH(Orders!D672,Riders!$A$2:$A$81,0)))</f>
        <v>36</v>
      </c>
      <c r="AE675" s="33">
        <f>IF(Orders!D672="","",IF(INDEX(Riders!$B$2:$B$81,MATCH(Orders!D672,Riders!$A$2:$A$81,0))=B675,1,0))</f>
        <v>0</v>
      </c>
      <c r="AF675" s="34">
        <f>IF(E675=1,Orders!L672,"")</f>
        <v>1.88</v>
      </c>
      <c r="AG675" s="34">
        <f>IF(E675=1,Orders!P672,"")</f>
        <v>9.2</v>
      </c>
      <c r="AH675" s="34">
        <f>IF(E675=1,Orders!Q672,"")</f>
        <v>8</v>
      </c>
      <c r="AI675" s="34">
        <f>IF(E675=1,Orders!M672,"")</f>
        <v>3.1</v>
      </c>
      <c r="AJ675" s="34">
        <f>IF(E675=1,Orders!N672,"")</f>
        <v>1.3</v>
      </c>
      <c r="AK675" s="34">
        <f>IF(E675=1,Orders!O672,"")</f>
        <v>3.6</v>
      </c>
      <c r="AL675" s="33">
        <f>IF(E675=1,IF(ROUND(ABS(AI675+AJ675+AK675-AH675),6)&lt;=0.1,1,0),"")</f>
        <v>1</v>
      </c>
      <c r="AM675" s="36">
        <f>IF(E675=1,AI675/AH675,"")</f>
        <v>0.3875</v>
      </c>
      <c r="AN675" s="36">
        <f>IF(E675=1,AJ675/AH675,"")</f>
        <v>0.1625</v>
      </c>
      <c r="AO675" s="36">
        <f>IF(E675=1,AK675/AH675,"")</f>
        <v>0.45</v>
      </c>
      <c r="AP675" s="34">
        <f>IF(E675=1,Orders!Y672,"")</f>
        <v>0.43</v>
      </c>
      <c r="AQ675" s="33">
        <f>IF(Orders!X672,1,0)</f>
        <v>0</v>
      </c>
      <c r="AR675" s="34" t="str">
        <f>IF(AND(E675=1,L675=1),AJ675,"")</f>
        <v/>
      </c>
      <c r="AS675" s="34">
        <f>IF(AND(E675=1,L675=0),AJ675,"")</f>
        <v>1.3</v>
      </c>
      <c r="AT675" s="34" t="str">
        <f>IF(AND(E675=1,L675=1),AI675,"")</f>
        <v/>
      </c>
      <c r="AU675" s="34">
        <f>IF(AND(E675=1,L675=0),AI675,"")</f>
        <v>3.1</v>
      </c>
      <c r="AV675" s="34" t="str">
        <f>IF(AND(E675=1,L675=1),AG675,"")</f>
        <v/>
      </c>
      <c r="AW675" s="34">
        <f>IF(AND(E675=1,L675=0),AG675,"")</f>
        <v>9.2</v>
      </c>
      <c r="AX675" s="34" t="str">
        <f>IF(AND(E675=1,L675=1),AH675,"")</f>
        <v/>
      </c>
      <c r="AY675" s="34">
        <f>IF(AND(E675=1,L675=0),AH675,"")</f>
        <v>8</v>
      </c>
      <c r="AZ675" s="34" t="str">
        <f>IF(G675=1,F675,"")</f>
        <v/>
      </c>
      <c r="BA675" s="34" t="str">
        <f>IF(AND(G675=1,L675=1),F675,"")</f>
        <v/>
      </c>
      <c r="BB675" s="34" t="str">
        <f>IF(AND(G675=1,L675=0),F675,"")</f>
        <v/>
      </c>
      <c r="BC675" s="33">
        <f>IF(E675=1,IF(Orders!R672&gt;3,1,0),"")</f>
        <v>0</v>
      </c>
      <c r="BD675" s="33">
        <f>IF(E675=1,IF(Orders!R672&gt;7,1,0),"")</f>
        <v>0</v>
      </c>
      <c r="BE675" s="32" t="str">
        <f>IF(E675=1,IF(Orders!L672&lt;=1.5,"Up to 1.5 km",IF(Orders!L672&lt;=3,"1.5–3 km","Over 3 km")),"")</f>
        <v>1.5–3 km</v>
      </c>
      <c r="BF675" s="33">
        <f>IF(E675=1,IF(ABS((Orders!G672-Orders!F672)*1440-Orders!R672)&lt;0.06,1,0),"")</f>
        <v>1</v>
      </c>
      <c r="BG675" s="33">
        <f>IF(ABS((Orders!F672-Orders!E672)*1440-Orders!P672)&lt;0.06,1,0)</f>
        <v>1</v>
      </c>
      <c r="BH675" s="33">
        <f>IF(E675=1,IF(IF(Orders!S672,1,0)=1-G675,1,0),"")</f>
        <v>1</v>
      </c>
      <c r="BI675" s="32" t="str">
        <f>INDEX(Stores!$B$2:$B$21,MATCH(B675,Stores!$A$2:$A$21,0))</f>
        <v>Delhi</v>
      </c>
    </row>
    <row r="676">
      <c r="A676" s="32" t="str">
        <f>Orders!A673</f>
        <v>O00672</v>
      </c>
      <c r="B676" s="32" t="str">
        <f>Orders!C673</f>
        <v>S002</v>
      </c>
      <c r="C676" s="32" t="str">
        <f>Orders!B673</f>
        <v>C0231</v>
      </c>
      <c r="D676" s="32" t="str">
        <f>Orders!H673</f>
        <v>Delivered</v>
      </c>
      <c r="E676" s="33">
        <f>IF(Orders!H673="Delivered",1,0)</f>
        <v>1</v>
      </c>
      <c r="F676" s="34">
        <f>IF(E676=1,Orders!R673,"")</f>
        <v>-0.6</v>
      </c>
      <c r="G676" s="33">
        <f>IF(E676=1,IF(Orders!R673&gt;0,1,0),"")</f>
        <v>0</v>
      </c>
      <c r="H676" s="33">
        <f>IF(E676=1,IF(Orders!R673&gt;5,1,0),"")</f>
        <v>0</v>
      </c>
      <c r="I676" s="32" t="str">
        <f>IF(E676=1,"",IF(OR(Orders!T673="Rider unavailable",Orders!T673="Item unavailable"),"Company-caused","Unresolved"))</f>
        <v/>
      </c>
      <c r="J676" s="33">
        <f>IF(OR(E676=1,I676="Company-caused"),1,0)</f>
        <v>1</v>
      </c>
      <c r="K676" s="32" t="str">
        <f>IF(E676=0,IF(I676="Company-caused",IF(Orders!T673="Rider unavailable","C1 Rider unavailable","C2 Item unavailable"),"Outside root: unresolved"),IF(G676=0,"A On time",IF(H676=1,IF(L676=1,"B2a Severe, peak","B2b Severe, off-peak"),IF(L676=1,"B1a Slight, peak","B1b Slight, off-peak"))))</f>
        <v>A On time</v>
      </c>
      <c r="L676" s="33">
        <f>IF(AND(Orders!U673&gt;=19,Orders!U673&lt;22),1,0)</f>
        <v>1</v>
      </c>
      <c r="M676" s="33">
        <f>IF(L676=IF(Orders!V673,1,0),1,0)</f>
        <v>1</v>
      </c>
      <c r="N676" s="32" t="str">
        <f>IF(Orders!W673="","None",Orders!W673)</f>
        <v>None</v>
      </c>
      <c r="O676" s="35">
        <f>INT(Orders!E673)</f>
        <v>46267.0</v>
      </c>
      <c r="P676" s="33">
        <f>Orders!U673</f>
        <v>19</v>
      </c>
      <c r="Q676" s="33">
        <f>COUNTIFS(Demand!$A$2:$A$4481,B676,Demand!$B$2:$B$4481,O676,Demand!$C$2:$C$4481,P676)</f>
        <v>1</v>
      </c>
      <c r="R676" s="33">
        <f>IF(Q676=1,SUMIFS(Demand!$E$2:$E$4481,Demand!$A$2:$A$4481,B676,Demand!$B$2:$B$4481,O676,Demand!$C$2:$C$4481,P676),"")</f>
        <v>43</v>
      </c>
      <c r="S676" s="33">
        <f>INDEX(Stores!$G$2:$G$21,MATCH(B676,Stores!$A$2:$A$21,0))</f>
        <v>33</v>
      </c>
      <c r="T676" s="34">
        <f>IF(R676="","",R676/S676)</f>
        <v>1.3030303030303</v>
      </c>
      <c r="U676" s="34">
        <f>IF(E676=1,T676,"")</f>
        <v>1.3030303030303</v>
      </c>
      <c r="V676" s="34" t="str">
        <f>IF(AND(E676=1,L676=0),T676,"")</f>
        <v/>
      </c>
      <c r="W676" s="33">
        <f>IF(U676="","",IF(U676&lt;=Breakdowns!$C$5,1,IF(U676&lt;=Breakdowns!$C$6,2,IF(U676&lt;=Breakdowns!$C$7,3,4))))</f>
        <v>4</v>
      </c>
      <c r="X676" s="33" t="str">
        <f>IF(V676="","",IF(V676&lt;=Breakdowns!$D$5,1,IF(V676&lt;=Breakdowns!$D$6,2,IF(V676&lt;=Breakdowns!$D$7,3,4))))</f>
        <v/>
      </c>
      <c r="Y676" s="34">
        <f>INDEX(Stores!$F$2:$F$21,MATCH(B676,Stores!$A$2:$A$21,0))</f>
        <v>2.39</v>
      </c>
      <c r="Z676" s="33">
        <f>IF(Y676&gt;Store_Summary!$M$2,1,0)</f>
        <v>0</v>
      </c>
      <c r="AA676" s="33">
        <f>INDEX(Stores!$C$2:$C$21,MATCH(B676,Stores!$A$2:$A$21,0))</f>
        <v>470</v>
      </c>
      <c r="AB676" s="33">
        <f>IF(AA676&lt;180,1,0)</f>
        <v>0</v>
      </c>
      <c r="AC676" s="32" t="str">
        <f>IF(Orders!D673="","",INDEX(Riders!$C$2:$C$81,MATCH(Orders!D673,Riders!$A$2:$A$81,0)))</f>
        <v>EV scooter</v>
      </c>
      <c r="AD676" s="33">
        <f>IF(Orders!D673="","",INDEX(Riders!$D$2:$D$81,MATCH(Orders!D673,Riders!$A$2:$A$81,0)))</f>
        <v>9</v>
      </c>
      <c r="AE676" s="33">
        <f>IF(Orders!D673="","",IF(INDEX(Riders!$B$2:$B$81,MATCH(Orders!D673,Riders!$A$2:$A$81,0))=B676,1,0))</f>
        <v>0</v>
      </c>
      <c r="AF676" s="34">
        <f>IF(E676=1,Orders!L673,"")</f>
        <v>3.46</v>
      </c>
      <c r="AG676" s="34">
        <f>IF(E676=1,Orders!P673,"")</f>
        <v>10.1</v>
      </c>
      <c r="AH676" s="34">
        <f>IF(E676=1,Orders!Q673,"")</f>
        <v>9.5</v>
      </c>
      <c r="AI676" s="34">
        <f>IF(E676=1,Orders!M673,"")</f>
        <v>1</v>
      </c>
      <c r="AJ676" s="34">
        <f>IF(E676=1,Orders!N673,"")</f>
        <v>3.4</v>
      </c>
      <c r="AK676" s="34">
        <f>IF(E676=1,Orders!O673,"")</f>
        <v>5.1</v>
      </c>
      <c r="AL676" s="33">
        <f>IF(E676=1,IF(ROUND(ABS(AI676+AJ676+AK676-AH676),6)&lt;=0.1,1,0),"")</f>
        <v>1</v>
      </c>
      <c r="AM676" s="36">
        <f>IF(E676=1,AI676/AH676,"")</f>
        <v>0.105263157894737</v>
      </c>
      <c r="AN676" s="36">
        <f>IF(E676=1,AJ676/AH676,"")</f>
        <v>0.357894736842105</v>
      </c>
      <c r="AO676" s="36">
        <f>IF(E676=1,AK676/AH676,"")</f>
        <v>0.536842105263158</v>
      </c>
      <c r="AP676" s="34">
        <f>IF(E676=1,Orders!Y673,"")</f>
        <v>0.49</v>
      </c>
      <c r="AQ676" s="33">
        <f>IF(Orders!X673,1,0)</f>
        <v>0</v>
      </c>
      <c r="AR676" s="34">
        <f>IF(AND(E676=1,L676=1),AJ676,"")</f>
        <v>3.4</v>
      </c>
      <c r="AS676" s="34" t="str">
        <f>IF(AND(E676=1,L676=0),AJ676,"")</f>
        <v/>
      </c>
      <c r="AT676" s="34">
        <f>IF(AND(E676=1,L676=1),AI676,"")</f>
        <v>1</v>
      </c>
      <c r="AU676" s="34" t="str">
        <f>IF(AND(E676=1,L676=0),AI676,"")</f>
        <v/>
      </c>
      <c r="AV676" s="34">
        <f>IF(AND(E676=1,L676=1),AG676,"")</f>
        <v>10.1</v>
      </c>
      <c r="AW676" s="34" t="str">
        <f>IF(AND(E676=1,L676=0),AG676,"")</f>
        <v/>
      </c>
      <c r="AX676" s="34">
        <f>IF(AND(E676=1,L676=1),AH676,"")</f>
        <v>9.5</v>
      </c>
      <c r="AY676" s="34" t="str">
        <f>IF(AND(E676=1,L676=0),AH676,"")</f>
        <v/>
      </c>
      <c r="AZ676" s="34" t="str">
        <f>IF(G676=1,F676,"")</f>
        <v/>
      </c>
      <c r="BA676" s="34" t="str">
        <f>IF(AND(G676=1,L676=1),F676,"")</f>
        <v/>
      </c>
      <c r="BB676" s="34" t="str">
        <f>IF(AND(G676=1,L676=0),F676,"")</f>
        <v/>
      </c>
      <c r="BC676" s="33">
        <f>IF(E676=1,IF(Orders!R673&gt;3,1,0),"")</f>
        <v>0</v>
      </c>
      <c r="BD676" s="33">
        <f>IF(E676=1,IF(Orders!R673&gt;7,1,0),"")</f>
        <v>0</v>
      </c>
      <c r="BE676" s="32" t="str">
        <f>IF(E676=1,IF(Orders!L673&lt;=1.5,"Up to 1.5 km",IF(Orders!L673&lt;=3,"1.5–3 km","Over 3 km")),"")</f>
        <v>Over 3 km</v>
      </c>
      <c r="BF676" s="33">
        <f>IF(E676=1,IF(ABS((Orders!G673-Orders!F673)*1440-Orders!R673)&lt;0.06,1,0),"")</f>
        <v>1</v>
      </c>
      <c r="BG676" s="33">
        <f>IF(ABS((Orders!F673-Orders!E673)*1440-Orders!P673)&lt;0.06,1,0)</f>
        <v>1</v>
      </c>
      <c r="BH676" s="33">
        <f>IF(E676=1,IF(IF(Orders!S673,1,0)=1-G676,1,0),"")</f>
        <v>1</v>
      </c>
      <c r="BI676" s="32" t="str">
        <f>INDEX(Stores!$B$2:$B$21,MATCH(B676,Stores!$A$2:$A$21,0))</f>
        <v>Hyderabad</v>
      </c>
    </row>
    <row r="677">
      <c r="A677" s="32" t="str">
        <f>Orders!A674</f>
        <v>O00673</v>
      </c>
      <c r="B677" s="32" t="str">
        <f>Orders!C674</f>
        <v>S003</v>
      </c>
      <c r="C677" s="32" t="str">
        <f>Orders!B674</f>
        <v>C0085</v>
      </c>
      <c r="D677" s="32" t="str">
        <f>Orders!H674</f>
        <v>Delivered</v>
      </c>
      <c r="E677" s="33">
        <f>IF(Orders!H674="Delivered",1,0)</f>
        <v>1</v>
      </c>
      <c r="F677" s="34">
        <f>IF(E677=1,Orders!R674,"")</f>
        <v>1.1</v>
      </c>
      <c r="G677" s="33">
        <f>IF(E677=1,IF(Orders!R674&gt;0,1,0),"")</f>
        <v>1</v>
      </c>
      <c r="H677" s="33">
        <f>IF(E677=1,IF(Orders!R674&gt;5,1,0),"")</f>
        <v>0</v>
      </c>
      <c r="I677" s="32" t="str">
        <f>IF(E677=1,"",IF(OR(Orders!T674="Rider unavailable",Orders!T674="Item unavailable"),"Company-caused","Unresolved"))</f>
        <v/>
      </c>
      <c r="J677" s="33">
        <f>IF(OR(E677=1,I677="Company-caused"),1,0)</f>
        <v>1</v>
      </c>
      <c r="K677" s="32" t="str">
        <f>IF(E677=0,IF(I677="Company-caused",IF(Orders!T674="Rider unavailable","C1 Rider unavailable","C2 Item unavailable"),"Outside root: unresolved"),IF(G677=0,"A On time",IF(H677=1,IF(L677=1,"B2a Severe, peak","B2b Severe, off-peak"),IF(L677=1,"B1a Slight, peak","B1b Slight, off-peak"))))</f>
        <v>B1b Slight, off-peak</v>
      </c>
      <c r="L677" s="33">
        <f>IF(AND(Orders!U674&gt;=19,Orders!U674&lt;22),1,0)</f>
        <v>0</v>
      </c>
      <c r="M677" s="33">
        <f>IF(L677=IF(Orders!V674,1,0),1,0)</f>
        <v>1</v>
      </c>
      <c r="N677" s="32" t="str">
        <f>IF(Orders!W674="","None",Orders!W674)</f>
        <v>None</v>
      </c>
      <c r="O677" s="35">
        <f>INT(Orders!E674)</f>
        <v>46275.0</v>
      </c>
      <c r="P677" s="33">
        <f>Orders!U674</f>
        <v>14</v>
      </c>
      <c r="Q677" s="33">
        <f>COUNTIFS(Demand!$A$2:$A$4481,B677,Demand!$B$2:$B$4481,O677,Demand!$C$2:$C$4481,P677)</f>
        <v>1</v>
      </c>
      <c r="R677" s="33">
        <f>IF(Q677=1,SUMIFS(Demand!$E$2:$E$4481,Demand!$A$2:$A$4481,B677,Demand!$B$2:$B$4481,O677,Demand!$C$2:$C$4481,P677),"")</f>
        <v>29</v>
      </c>
      <c r="S677" s="33">
        <f>INDEX(Stores!$G$2:$G$21,MATCH(B677,Stores!$A$2:$A$21,0))</f>
        <v>41</v>
      </c>
      <c r="T677" s="34">
        <f>IF(R677="","",R677/S677)</f>
        <v>0.707317073170732</v>
      </c>
      <c r="U677" s="34">
        <f>IF(E677=1,T677,"")</f>
        <v>0.707317073170732</v>
      </c>
      <c r="V677" s="34">
        <f>IF(AND(E677=1,L677=0),T677,"")</f>
        <v>0.707317073170732</v>
      </c>
      <c r="W677" s="33">
        <f>IF(U677="","",IF(U677&lt;=Breakdowns!$C$5,1,IF(U677&lt;=Breakdowns!$C$6,2,IF(U677&lt;=Breakdowns!$C$7,3,4))))</f>
        <v>1</v>
      </c>
      <c r="X677" s="33">
        <f>IF(V677="","",IF(V677&lt;=Breakdowns!$D$5,1,IF(V677&lt;=Breakdowns!$D$6,2,IF(V677&lt;=Breakdowns!$D$7,3,4))))</f>
        <v>1</v>
      </c>
      <c r="Y677" s="34">
        <f>INDEX(Stores!$F$2:$F$21,MATCH(B677,Stores!$A$2:$A$21,0))</f>
        <v>3.84</v>
      </c>
      <c r="Z677" s="33">
        <f>IF(Y677&gt;Store_Summary!$M$2,1,0)</f>
        <v>0</v>
      </c>
      <c r="AA677" s="33">
        <f>INDEX(Stores!$C$2:$C$21,MATCH(B677,Stores!$A$2:$A$21,0))</f>
        <v>426</v>
      </c>
      <c r="AB677" s="33">
        <f>IF(AA677&lt;180,1,0)</f>
        <v>0</v>
      </c>
      <c r="AC677" s="32" t="str">
        <f>IF(Orders!D674="","",INDEX(Riders!$C$2:$C$81,MATCH(Orders!D674,Riders!$A$2:$A$81,0)))</f>
        <v>EV scooter</v>
      </c>
      <c r="AD677" s="33">
        <f>IF(Orders!D674="","",INDEX(Riders!$D$2:$D$81,MATCH(Orders!D674,Riders!$A$2:$A$81,0)))</f>
        <v>27</v>
      </c>
      <c r="AE677" s="33">
        <f>IF(Orders!D674="","",IF(INDEX(Riders!$B$2:$B$81,MATCH(Orders!D674,Riders!$A$2:$A$81,0))=B677,1,0))</f>
        <v>0</v>
      </c>
      <c r="AF677" s="34">
        <f>IF(E677=1,Orders!L674,"")</f>
        <v>2.1</v>
      </c>
      <c r="AG677" s="34">
        <f>IF(E677=1,Orders!P674,"")</f>
        <v>10.7</v>
      </c>
      <c r="AH677" s="34">
        <f>IF(E677=1,Orders!Q674,"")</f>
        <v>11.8</v>
      </c>
      <c r="AI677" s="34">
        <f>IF(E677=1,Orders!M674,"")</f>
        <v>4.7</v>
      </c>
      <c r="AJ677" s="34">
        <f>IF(E677=1,Orders!N674,"")</f>
        <v>1</v>
      </c>
      <c r="AK677" s="34">
        <f>IF(E677=1,Orders!O674,"")</f>
        <v>6</v>
      </c>
      <c r="AL677" s="33">
        <f>IF(E677=1,IF(ROUND(ABS(AI677+AJ677+AK677-AH677),6)&lt;=0.1,1,0),"")</f>
        <v>1</v>
      </c>
      <c r="AM677" s="36">
        <f>IF(E677=1,AI677/AH677,"")</f>
        <v>0.398305084745763</v>
      </c>
      <c r="AN677" s="36">
        <f>IF(E677=1,AJ677/AH677,"")</f>
        <v>0.0847457627118644</v>
      </c>
      <c r="AO677" s="36">
        <f>IF(E677=1,AK677/AH677,"")</f>
        <v>0.508474576271186</v>
      </c>
      <c r="AP677" s="34">
        <f>IF(E677=1,Orders!Y674,"")</f>
        <v>0.45</v>
      </c>
      <c r="AQ677" s="33">
        <f>IF(Orders!X674,1,0)</f>
        <v>0</v>
      </c>
      <c r="AR677" s="34" t="str">
        <f>IF(AND(E677=1,L677=1),AJ677,"")</f>
        <v/>
      </c>
      <c r="AS677" s="34">
        <f>IF(AND(E677=1,L677=0),AJ677,"")</f>
        <v>1</v>
      </c>
      <c r="AT677" s="34" t="str">
        <f>IF(AND(E677=1,L677=1),AI677,"")</f>
        <v/>
      </c>
      <c r="AU677" s="34">
        <f>IF(AND(E677=1,L677=0),AI677,"")</f>
        <v>4.7</v>
      </c>
      <c r="AV677" s="34" t="str">
        <f>IF(AND(E677=1,L677=1),AG677,"")</f>
        <v/>
      </c>
      <c r="AW677" s="34">
        <f>IF(AND(E677=1,L677=0),AG677,"")</f>
        <v>10.7</v>
      </c>
      <c r="AX677" s="34" t="str">
        <f>IF(AND(E677=1,L677=1),AH677,"")</f>
        <v/>
      </c>
      <c r="AY677" s="34">
        <f>IF(AND(E677=1,L677=0),AH677,"")</f>
        <v>11.8</v>
      </c>
      <c r="AZ677" s="34">
        <f>IF(G677=1,F677,"")</f>
        <v>1.1</v>
      </c>
      <c r="BA677" s="34" t="str">
        <f>IF(AND(G677=1,L677=1),F677,"")</f>
        <v/>
      </c>
      <c r="BB677" s="34">
        <f>IF(AND(G677=1,L677=0),F677,"")</f>
        <v>1.1</v>
      </c>
      <c r="BC677" s="33">
        <f>IF(E677=1,IF(Orders!R674&gt;3,1,0),"")</f>
        <v>0</v>
      </c>
      <c r="BD677" s="33">
        <f>IF(E677=1,IF(Orders!R674&gt;7,1,0),"")</f>
        <v>0</v>
      </c>
      <c r="BE677" s="32" t="str">
        <f>IF(E677=1,IF(Orders!L674&lt;=1.5,"Up to 1.5 km",IF(Orders!L674&lt;=3,"1.5–3 km","Over 3 km")),"")</f>
        <v>1.5–3 km</v>
      </c>
      <c r="BF677" s="33">
        <f>IF(E677=1,IF(ABS((Orders!G674-Orders!F674)*1440-Orders!R674)&lt;0.06,1,0),"")</f>
        <v>1</v>
      </c>
      <c r="BG677" s="33">
        <f>IF(ABS((Orders!F674-Orders!E674)*1440-Orders!P674)&lt;0.06,1,0)</f>
        <v>1</v>
      </c>
      <c r="BH677" s="33">
        <f>IF(E677=1,IF(IF(Orders!S674,1,0)=1-G677,1,0),"")</f>
        <v>1</v>
      </c>
      <c r="BI677" s="32" t="str">
        <f>INDEX(Stores!$B$2:$B$21,MATCH(B677,Stores!$A$2:$A$21,0))</f>
        <v>Mumbai</v>
      </c>
    </row>
    <row r="678">
      <c r="A678" s="32" t="str">
        <f>Orders!A675</f>
        <v>O00674</v>
      </c>
      <c r="B678" s="32" t="str">
        <f>Orders!C675</f>
        <v>S006</v>
      </c>
      <c r="C678" s="32" t="str">
        <f>Orders!B675</f>
        <v>C0143</v>
      </c>
      <c r="D678" s="32" t="str">
        <f>Orders!H675</f>
        <v>Delivered</v>
      </c>
      <c r="E678" s="33">
        <f>IF(Orders!H675="Delivered",1,0)</f>
        <v>1</v>
      </c>
      <c r="F678" s="34">
        <f>IF(E678=1,Orders!R675,"")</f>
        <v>-0.9</v>
      </c>
      <c r="G678" s="33">
        <f>IF(E678=1,IF(Orders!R675&gt;0,1,0),"")</f>
        <v>0</v>
      </c>
      <c r="H678" s="33">
        <f>IF(E678=1,IF(Orders!R675&gt;5,1,0),"")</f>
        <v>0</v>
      </c>
      <c r="I678" s="32" t="str">
        <f>IF(E678=1,"",IF(OR(Orders!T675="Rider unavailable",Orders!T675="Item unavailable"),"Company-caused","Unresolved"))</f>
        <v/>
      </c>
      <c r="J678" s="33">
        <f>IF(OR(E678=1,I678="Company-caused"),1,0)</f>
        <v>1</v>
      </c>
      <c r="K678" s="32" t="str">
        <f>IF(E678=0,IF(I678="Company-caused",IF(Orders!T675="Rider unavailable","C1 Rider unavailable","C2 Item unavailable"),"Outside root: unresolved"),IF(G678=0,"A On time",IF(H678=1,IF(L678=1,"B2a Severe, peak","B2b Severe, off-peak"),IF(L678=1,"B1a Slight, peak","B1b Slight, off-peak"))))</f>
        <v>A On time</v>
      </c>
      <c r="L678" s="33">
        <f>IF(AND(Orders!U675&gt;=19,Orders!U675&lt;22),1,0)</f>
        <v>0</v>
      </c>
      <c r="M678" s="33">
        <f>IF(L678=IF(Orders!V675,1,0),1,0)</f>
        <v>1</v>
      </c>
      <c r="N678" s="32" t="str">
        <f>IF(Orders!W675="","None",Orders!W675)</f>
        <v>Heavy</v>
      </c>
      <c r="O678" s="35">
        <f>INT(Orders!E675)</f>
        <v>46271.0</v>
      </c>
      <c r="P678" s="33">
        <f>Orders!U675</f>
        <v>22</v>
      </c>
      <c r="Q678" s="33">
        <f>COUNTIFS(Demand!$A$2:$A$4481,B678,Demand!$B$2:$B$4481,O678,Demand!$C$2:$C$4481,P678)</f>
        <v>1</v>
      </c>
      <c r="R678" s="33">
        <f>IF(Q678=1,SUMIFS(Demand!$E$2:$E$4481,Demand!$A$2:$A$4481,B678,Demand!$B$2:$B$4481,O678,Demand!$C$2:$C$4481,P678),"")</f>
        <v>37</v>
      </c>
      <c r="S678" s="33">
        <f>INDEX(Stores!$G$2:$G$21,MATCH(B678,Stores!$A$2:$A$21,0))</f>
        <v>26</v>
      </c>
      <c r="T678" s="34">
        <f>IF(R678="","",R678/S678)</f>
        <v>1.42307692307692</v>
      </c>
      <c r="U678" s="34">
        <f>IF(E678=1,T678,"")</f>
        <v>1.42307692307692</v>
      </c>
      <c r="V678" s="34">
        <f>IF(AND(E678=1,L678=0),T678,"")</f>
        <v>1.42307692307692</v>
      </c>
      <c r="W678" s="33">
        <f>IF(U678="","",IF(U678&lt;=Breakdowns!$C$5,1,IF(U678&lt;=Breakdowns!$C$6,2,IF(U678&lt;=Breakdowns!$C$7,3,4))))</f>
        <v>4</v>
      </c>
      <c r="X678" s="33">
        <f>IF(V678="","",IF(V678&lt;=Breakdowns!$D$5,1,IF(V678&lt;=Breakdowns!$D$6,2,IF(V678&lt;=Breakdowns!$D$7,3,4))))</f>
        <v>4</v>
      </c>
      <c r="Y678" s="34">
        <f>INDEX(Stores!$F$2:$F$21,MATCH(B678,Stores!$A$2:$A$21,0))</f>
        <v>5.22</v>
      </c>
      <c r="Z678" s="33">
        <f>IF(Y678&gt;Store_Summary!$M$2,1,0)</f>
        <v>1</v>
      </c>
      <c r="AA678" s="33">
        <f>INDEX(Stores!$C$2:$C$21,MATCH(B678,Stores!$A$2:$A$21,0))</f>
        <v>412</v>
      </c>
      <c r="AB678" s="33">
        <f>IF(AA678&lt;180,1,0)</f>
        <v>0</v>
      </c>
      <c r="AC678" s="32" t="str">
        <f>IF(Orders!D675="","",INDEX(Riders!$C$2:$C$81,MATCH(Orders!D675,Riders!$A$2:$A$81,0)))</f>
        <v>Petrol scooter</v>
      </c>
      <c r="AD678" s="33">
        <f>IF(Orders!D675="","",INDEX(Riders!$D$2:$D$81,MATCH(Orders!D675,Riders!$A$2:$A$81,0)))</f>
        <v>2</v>
      </c>
      <c r="AE678" s="33">
        <f>IF(Orders!D675="","",IF(INDEX(Riders!$B$2:$B$81,MATCH(Orders!D675,Riders!$A$2:$A$81,0))=B678,1,0))</f>
        <v>0</v>
      </c>
      <c r="AF678" s="34">
        <f>IF(E678=1,Orders!L675,"")</f>
        <v>2.43</v>
      </c>
      <c r="AG678" s="34">
        <f>IF(E678=1,Orders!P675,"")</f>
        <v>10.6</v>
      </c>
      <c r="AH678" s="34">
        <f>IF(E678=1,Orders!Q675,"")</f>
        <v>9.7</v>
      </c>
      <c r="AI678" s="34">
        <f>IF(E678=1,Orders!M675,"")</f>
        <v>2.9</v>
      </c>
      <c r="AJ678" s="34">
        <f>IF(E678=1,Orders!N675,"")</f>
        <v>2.9</v>
      </c>
      <c r="AK678" s="34">
        <f>IF(E678=1,Orders!O675,"")</f>
        <v>3.9</v>
      </c>
      <c r="AL678" s="33">
        <f>IF(E678=1,IF(ROUND(ABS(AI678+AJ678+AK678-AH678),6)&lt;=0.1,1,0),"")</f>
        <v>1</v>
      </c>
      <c r="AM678" s="36">
        <f>IF(E678=1,AI678/AH678,"")</f>
        <v>0.298969072164948</v>
      </c>
      <c r="AN678" s="36">
        <f>IF(E678=1,AJ678/AH678,"")</f>
        <v>0.298969072164948</v>
      </c>
      <c r="AO678" s="36">
        <f>IF(E678=1,AK678/AH678,"")</f>
        <v>0.402061855670103</v>
      </c>
      <c r="AP678" s="34">
        <f>IF(E678=1,Orders!Y675,"")</f>
        <v>0.57</v>
      </c>
      <c r="AQ678" s="33">
        <f>IF(Orders!X675,1,0)</f>
        <v>0</v>
      </c>
      <c r="AR678" s="34" t="str">
        <f>IF(AND(E678=1,L678=1),AJ678,"")</f>
        <v/>
      </c>
      <c r="AS678" s="34">
        <f>IF(AND(E678=1,L678=0),AJ678,"")</f>
        <v>2.9</v>
      </c>
      <c r="AT678" s="34" t="str">
        <f>IF(AND(E678=1,L678=1),AI678,"")</f>
        <v/>
      </c>
      <c r="AU678" s="34">
        <f>IF(AND(E678=1,L678=0),AI678,"")</f>
        <v>2.9</v>
      </c>
      <c r="AV678" s="34" t="str">
        <f>IF(AND(E678=1,L678=1),AG678,"")</f>
        <v/>
      </c>
      <c r="AW678" s="34">
        <f>IF(AND(E678=1,L678=0),AG678,"")</f>
        <v>10.6</v>
      </c>
      <c r="AX678" s="34" t="str">
        <f>IF(AND(E678=1,L678=1),AH678,"")</f>
        <v/>
      </c>
      <c r="AY678" s="34">
        <f>IF(AND(E678=1,L678=0),AH678,"")</f>
        <v>9.7</v>
      </c>
      <c r="AZ678" s="34" t="str">
        <f>IF(G678=1,F678,"")</f>
        <v/>
      </c>
      <c r="BA678" s="34" t="str">
        <f>IF(AND(G678=1,L678=1),F678,"")</f>
        <v/>
      </c>
      <c r="BB678" s="34" t="str">
        <f>IF(AND(G678=1,L678=0),F678,"")</f>
        <v/>
      </c>
      <c r="BC678" s="33">
        <f>IF(E678=1,IF(Orders!R675&gt;3,1,0),"")</f>
        <v>0</v>
      </c>
      <c r="BD678" s="33">
        <f>IF(E678=1,IF(Orders!R675&gt;7,1,0),"")</f>
        <v>0</v>
      </c>
      <c r="BE678" s="32" t="str">
        <f>IF(E678=1,IF(Orders!L675&lt;=1.5,"Up to 1.5 km",IF(Orders!L675&lt;=3,"1.5–3 km","Over 3 km")),"")</f>
        <v>1.5–3 km</v>
      </c>
      <c r="BF678" s="33">
        <f>IF(E678=1,IF(ABS((Orders!G675-Orders!F675)*1440-Orders!R675)&lt;0.06,1,0),"")</f>
        <v>1</v>
      </c>
      <c r="BG678" s="33">
        <f>IF(ABS((Orders!F675-Orders!E675)*1440-Orders!P675)&lt;0.06,1,0)</f>
        <v>1</v>
      </c>
      <c r="BH678" s="33">
        <f>IF(E678=1,IF(IF(Orders!S675,1,0)=1-G678,1,0),"")</f>
        <v>1</v>
      </c>
      <c r="BI678" s="32" t="str">
        <f>INDEX(Stores!$B$2:$B$21,MATCH(B678,Stores!$A$2:$A$21,0))</f>
        <v>Bengaluru</v>
      </c>
    </row>
    <row r="679">
      <c r="A679" s="32" t="str">
        <f>Orders!A676</f>
        <v>O00675</v>
      </c>
      <c r="B679" s="32" t="str">
        <f>Orders!C676</f>
        <v>S019</v>
      </c>
      <c r="C679" s="32" t="str">
        <f>Orders!B676</f>
        <v>C0028</v>
      </c>
      <c r="D679" s="32" t="str">
        <f>Orders!H676</f>
        <v>Delivered</v>
      </c>
      <c r="E679" s="33">
        <f>IF(Orders!H676="Delivered",1,0)</f>
        <v>1</v>
      </c>
      <c r="F679" s="34">
        <f>IF(E679=1,Orders!R676,"")</f>
        <v>7.2</v>
      </c>
      <c r="G679" s="33">
        <f>IF(E679=1,IF(Orders!R676&gt;0,1,0),"")</f>
        <v>1</v>
      </c>
      <c r="H679" s="33">
        <f>IF(E679=1,IF(Orders!R676&gt;5,1,0),"")</f>
        <v>1</v>
      </c>
      <c r="I679" s="32" t="str">
        <f>IF(E679=1,"",IF(OR(Orders!T676="Rider unavailable",Orders!T676="Item unavailable"),"Company-caused","Unresolved"))</f>
        <v/>
      </c>
      <c r="J679" s="33">
        <f>IF(OR(E679=1,I679="Company-caused"),1,0)</f>
        <v>1</v>
      </c>
      <c r="K679" s="32" t="str">
        <f>IF(E679=0,IF(I679="Company-caused",IF(Orders!T676="Rider unavailable","C1 Rider unavailable","C2 Item unavailable"),"Outside root: unresolved"),IF(G679=0,"A On time",IF(H679=1,IF(L679=1,"B2a Severe, peak","B2b Severe, off-peak"),IF(L679=1,"B1a Slight, peak","B1b Slight, off-peak"))))</f>
        <v>B2b Severe, off-peak</v>
      </c>
      <c r="L679" s="33">
        <f>IF(AND(Orders!U676&gt;=19,Orders!U676&lt;22),1,0)</f>
        <v>0</v>
      </c>
      <c r="M679" s="33">
        <f>IF(L679=IF(Orders!V676,1,0),1,0)</f>
        <v>1</v>
      </c>
      <c r="N679" s="32" t="str">
        <f>IF(Orders!W676="","None",Orders!W676)</f>
        <v>Light</v>
      </c>
      <c r="O679" s="35">
        <f>INT(Orders!E676)</f>
        <v>46266.0</v>
      </c>
      <c r="P679" s="33">
        <f>Orders!U676</f>
        <v>14</v>
      </c>
      <c r="Q679" s="33">
        <f>COUNTIFS(Demand!$A$2:$A$4481,B679,Demand!$B$2:$B$4481,O679,Demand!$C$2:$C$4481,P679)</f>
        <v>1</v>
      </c>
      <c r="R679" s="33">
        <f>IF(Q679=1,SUMIFS(Demand!$E$2:$E$4481,Demand!$A$2:$A$4481,B679,Demand!$B$2:$B$4481,O679,Demand!$C$2:$C$4481,P679),"")</f>
        <v>14</v>
      </c>
      <c r="S679" s="33">
        <f>INDEX(Stores!$G$2:$G$21,MATCH(B679,Stores!$A$2:$A$21,0))</f>
        <v>22</v>
      </c>
      <c r="T679" s="34">
        <f>IF(R679="","",R679/S679)</f>
        <v>0.636363636363636</v>
      </c>
      <c r="U679" s="34">
        <f>IF(E679=1,T679,"")</f>
        <v>0.636363636363636</v>
      </c>
      <c r="V679" s="34">
        <f>IF(AND(E679=1,L679=0),T679,"")</f>
        <v>0.636363636363636</v>
      </c>
      <c r="W679" s="33">
        <f>IF(U679="","",IF(U679&lt;=Breakdowns!$C$5,1,IF(U679&lt;=Breakdowns!$C$6,2,IF(U679&lt;=Breakdowns!$C$7,3,4))))</f>
        <v>1</v>
      </c>
      <c r="X679" s="33">
        <f>IF(V679="","",IF(V679&lt;=Breakdowns!$D$5,1,IF(V679&lt;=Breakdowns!$D$6,2,IF(V679&lt;=Breakdowns!$D$7,3,4))))</f>
        <v>1</v>
      </c>
      <c r="Y679" s="34">
        <f>INDEX(Stores!$F$2:$F$21,MATCH(B679,Stores!$A$2:$A$21,0))</f>
        <v>4.99</v>
      </c>
      <c r="Z679" s="33">
        <f>IF(Y679&gt;Store_Summary!$M$2,1,0)</f>
        <v>1</v>
      </c>
      <c r="AA679" s="33">
        <f>INDEX(Stores!$C$2:$C$21,MATCH(B679,Stores!$A$2:$A$21,0))</f>
        <v>851</v>
      </c>
      <c r="AB679" s="33">
        <f>IF(AA679&lt;180,1,0)</f>
        <v>0</v>
      </c>
      <c r="AC679" s="32" t="str">
        <f>IF(Orders!D676="","",INDEX(Riders!$C$2:$C$81,MATCH(Orders!D676,Riders!$A$2:$A$81,0)))</f>
        <v>EV scooter</v>
      </c>
      <c r="AD679" s="33">
        <f>IF(Orders!D676="","",INDEX(Riders!$D$2:$D$81,MATCH(Orders!D676,Riders!$A$2:$A$81,0)))</f>
        <v>14</v>
      </c>
      <c r="AE679" s="33">
        <f>IF(Orders!D676="","",IF(INDEX(Riders!$B$2:$B$81,MATCH(Orders!D676,Riders!$A$2:$A$81,0))=B679,1,0))</f>
        <v>0</v>
      </c>
      <c r="AF679" s="34">
        <f>IF(E679=1,Orders!L676,"")</f>
        <v>2.18</v>
      </c>
      <c r="AG679" s="34">
        <f>IF(E679=1,Orders!P676,"")</f>
        <v>10.6</v>
      </c>
      <c r="AH679" s="34">
        <f>IF(E679=1,Orders!Q676,"")</f>
        <v>17.8</v>
      </c>
      <c r="AI679" s="34">
        <f>IF(E679=1,Orders!M676,"")</f>
        <v>5.4</v>
      </c>
      <c r="AJ679" s="34">
        <f>IF(E679=1,Orders!N676,"")</f>
        <v>5.1</v>
      </c>
      <c r="AK679" s="34">
        <f>IF(E679=1,Orders!O676,"")</f>
        <v>7.3</v>
      </c>
      <c r="AL679" s="33">
        <f>IF(E679=1,IF(ROUND(ABS(AI679+AJ679+AK679-AH679),6)&lt;=0.1,1,0),"")</f>
        <v>1</v>
      </c>
      <c r="AM679" s="36">
        <f>IF(E679=1,AI679/AH679,"")</f>
        <v>0.303370786516854</v>
      </c>
      <c r="AN679" s="36">
        <f>IF(E679=1,AJ679/AH679,"")</f>
        <v>0.286516853932584</v>
      </c>
      <c r="AO679" s="36">
        <f>IF(E679=1,AK679/AH679,"")</f>
        <v>0.410112359550562</v>
      </c>
      <c r="AP679" s="34">
        <f>IF(E679=1,Orders!Y676,"")</f>
        <v>0.69</v>
      </c>
      <c r="AQ679" s="33">
        <f>IF(Orders!X676,1,0)</f>
        <v>0</v>
      </c>
      <c r="AR679" s="34" t="str">
        <f>IF(AND(E679=1,L679=1),AJ679,"")</f>
        <v/>
      </c>
      <c r="AS679" s="34">
        <f>IF(AND(E679=1,L679=0),AJ679,"")</f>
        <v>5.1</v>
      </c>
      <c r="AT679" s="34" t="str">
        <f>IF(AND(E679=1,L679=1),AI679,"")</f>
        <v/>
      </c>
      <c r="AU679" s="34">
        <f>IF(AND(E679=1,L679=0),AI679,"")</f>
        <v>5.4</v>
      </c>
      <c r="AV679" s="34" t="str">
        <f>IF(AND(E679=1,L679=1),AG679,"")</f>
        <v/>
      </c>
      <c r="AW679" s="34">
        <f>IF(AND(E679=1,L679=0),AG679,"")</f>
        <v>10.6</v>
      </c>
      <c r="AX679" s="34" t="str">
        <f>IF(AND(E679=1,L679=1),AH679,"")</f>
        <v/>
      </c>
      <c r="AY679" s="34">
        <f>IF(AND(E679=1,L679=0),AH679,"")</f>
        <v>17.8</v>
      </c>
      <c r="AZ679" s="34">
        <f>IF(G679=1,F679,"")</f>
        <v>7.2</v>
      </c>
      <c r="BA679" s="34" t="str">
        <f>IF(AND(G679=1,L679=1),F679,"")</f>
        <v/>
      </c>
      <c r="BB679" s="34">
        <f>IF(AND(G679=1,L679=0),F679,"")</f>
        <v>7.2</v>
      </c>
      <c r="BC679" s="33">
        <f>IF(E679=1,IF(Orders!R676&gt;3,1,0),"")</f>
        <v>1</v>
      </c>
      <c r="BD679" s="33">
        <f>IF(E679=1,IF(Orders!R676&gt;7,1,0),"")</f>
        <v>1</v>
      </c>
      <c r="BE679" s="32" t="str">
        <f>IF(E679=1,IF(Orders!L676&lt;=1.5,"Up to 1.5 km",IF(Orders!L676&lt;=3,"1.5–3 km","Over 3 km")),"")</f>
        <v>1.5–3 km</v>
      </c>
      <c r="BF679" s="33">
        <f>IF(E679=1,IF(ABS((Orders!G676-Orders!F676)*1440-Orders!R676)&lt;0.06,1,0),"")</f>
        <v>1</v>
      </c>
      <c r="BG679" s="33">
        <f>IF(ABS((Orders!F676-Orders!E676)*1440-Orders!P676)&lt;0.06,1,0)</f>
        <v>1</v>
      </c>
      <c r="BH679" s="33">
        <f>IF(E679=1,IF(IF(Orders!S676,1,0)=1-G679,1,0),"")</f>
        <v>1</v>
      </c>
      <c r="BI679" s="32" t="str">
        <f>INDEX(Stores!$B$2:$B$21,MATCH(B679,Stores!$A$2:$A$21,0))</f>
        <v>Pune</v>
      </c>
    </row>
    <row r="680">
      <c r="A680" s="32" t="str">
        <f>Orders!A677</f>
        <v>O00676</v>
      </c>
      <c r="B680" s="32" t="str">
        <f>Orders!C677</f>
        <v>S007</v>
      </c>
      <c r="C680" s="32" t="str">
        <f>Orders!B677</f>
        <v>C0010</v>
      </c>
      <c r="D680" s="32" t="str">
        <f>Orders!H677</f>
        <v>Delivered</v>
      </c>
      <c r="E680" s="33">
        <f>IF(Orders!H677="Delivered",1,0)</f>
        <v>1</v>
      </c>
      <c r="F680" s="34">
        <f>IF(E680=1,Orders!R677,"")</f>
        <v>-0.8</v>
      </c>
      <c r="G680" s="33">
        <f>IF(E680=1,IF(Orders!R677&gt;0,1,0),"")</f>
        <v>0</v>
      </c>
      <c r="H680" s="33">
        <f>IF(E680=1,IF(Orders!R677&gt;5,1,0),"")</f>
        <v>0</v>
      </c>
      <c r="I680" s="32" t="str">
        <f>IF(E680=1,"",IF(OR(Orders!T677="Rider unavailable",Orders!T677="Item unavailable"),"Company-caused","Unresolved"))</f>
        <v/>
      </c>
      <c r="J680" s="33">
        <f>IF(OR(E680=1,I680="Company-caused"),1,0)</f>
        <v>1</v>
      </c>
      <c r="K680" s="32" t="str">
        <f>IF(E680=0,IF(I680="Company-caused",IF(Orders!T677="Rider unavailable","C1 Rider unavailable","C2 Item unavailable"),"Outside root: unresolved"),IF(G680=0,"A On time",IF(H680=1,IF(L680=1,"B2a Severe, peak","B2b Severe, off-peak"),IF(L680=1,"B1a Slight, peak","B1b Slight, off-peak"))))</f>
        <v>A On time</v>
      </c>
      <c r="L680" s="33">
        <f>IF(AND(Orders!U677&gt;=19,Orders!U677&lt;22),1,0)</f>
        <v>0</v>
      </c>
      <c r="M680" s="33">
        <f>IF(L680=IF(Orders!V677,1,0),1,0)</f>
        <v>1</v>
      </c>
      <c r="N680" s="32" t="str">
        <f>IF(Orders!W677="","None",Orders!W677)</f>
        <v>None</v>
      </c>
      <c r="O680" s="35">
        <f>INT(Orders!E677)</f>
        <v>46269.0</v>
      </c>
      <c r="P680" s="33">
        <f>Orders!U677</f>
        <v>22</v>
      </c>
      <c r="Q680" s="33">
        <f>COUNTIFS(Demand!$A$2:$A$4481,B680,Demand!$B$2:$B$4481,O680,Demand!$C$2:$C$4481,P680)</f>
        <v>1</v>
      </c>
      <c r="R680" s="33">
        <f>IF(Q680=1,SUMIFS(Demand!$E$2:$E$4481,Demand!$A$2:$A$4481,B680,Demand!$B$2:$B$4481,O680,Demand!$C$2:$C$4481,P680),"")</f>
        <v>45</v>
      </c>
      <c r="S680" s="33">
        <f>INDEX(Stores!$G$2:$G$21,MATCH(B680,Stores!$A$2:$A$21,0))</f>
        <v>37</v>
      </c>
      <c r="T680" s="34">
        <f>IF(R680="","",R680/S680)</f>
        <v>1.21621621621622</v>
      </c>
      <c r="U680" s="34">
        <f>IF(E680=1,T680,"")</f>
        <v>1.21621621621622</v>
      </c>
      <c r="V680" s="34">
        <f>IF(AND(E680=1,L680=0),T680,"")</f>
        <v>1.21621621621622</v>
      </c>
      <c r="W680" s="33">
        <f>IF(U680="","",IF(U680&lt;=Breakdowns!$C$5,1,IF(U680&lt;=Breakdowns!$C$6,2,IF(U680&lt;=Breakdowns!$C$7,3,4))))</f>
        <v>3</v>
      </c>
      <c r="X680" s="33">
        <f>IF(V680="","",IF(V680&lt;=Breakdowns!$D$5,1,IF(V680&lt;=Breakdowns!$D$6,2,IF(V680&lt;=Breakdowns!$D$7,3,4))))</f>
        <v>4</v>
      </c>
      <c r="Y680" s="34">
        <f>INDEX(Stores!$F$2:$F$21,MATCH(B680,Stores!$A$2:$A$21,0))</f>
        <v>4.05</v>
      </c>
      <c r="Z680" s="33">
        <f>IF(Y680&gt;Store_Summary!$M$2,1,0)</f>
        <v>0</v>
      </c>
      <c r="AA680" s="33">
        <f>INDEX(Stores!$C$2:$C$21,MATCH(B680,Stores!$A$2:$A$21,0))</f>
        <v>661</v>
      </c>
      <c r="AB680" s="33">
        <f>IF(AA680&lt;180,1,0)</f>
        <v>0</v>
      </c>
      <c r="AC680" s="32" t="str">
        <f>IF(Orders!D677="","",INDEX(Riders!$C$2:$C$81,MATCH(Orders!D677,Riders!$A$2:$A$81,0)))</f>
        <v>EV scooter</v>
      </c>
      <c r="AD680" s="33">
        <f>IF(Orders!D677="","",INDEX(Riders!$D$2:$D$81,MATCH(Orders!D677,Riders!$A$2:$A$81,0)))</f>
        <v>22</v>
      </c>
      <c r="AE680" s="33">
        <f>IF(Orders!D677="","",IF(INDEX(Riders!$B$2:$B$81,MATCH(Orders!D677,Riders!$A$2:$A$81,0))=B680,1,0))</f>
        <v>1</v>
      </c>
      <c r="AF680" s="34">
        <f>IF(E680=1,Orders!L677,"")</f>
        <v>2</v>
      </c>
      <c r="AG680" s="34">
        <f>IF(E680=1,Orders!P677,"")</f>
        <v>10.9</v>
      </c>
      <c r="AH680" s="34">
        <f>IF(E680=1,Orders!Q677,"")</f>
        <v>10.1</v>
      </c>
      <c r="AI680" s="34">
        <f>IF(E680=1,Orders!M677,"")</f>
        <v>3.6</v>
      </c>
      <c r="AJ680" s="34">
        <f>IF(E680=1,Orders!N677,"")</f>
        <v>1.7</v>
      </c>
      <c r="AK680" s="34">
        <f>IF(E680=1,Orders!O677,"")</f>
        <v>4.8</v>
      </c>
      <c r="AL680" s="33">
        <f>IF(E680=1,IF(ROUND(ABS(AI680+AJ680+AK680-AH680),6)&lt;=0.1,1,0),"")</f>
        <v>1</v>
      </c>
      <c r="AM680" s="36">
        <f>IF(E680=1,AI680/AH680,"")</f>
        <v>0.356435643564357</v>
      </c>
      <c r="AN680" s="36">
        <f>IF(E680=1,AJ680/AH680,"")</f>
        <v>0.168316831683168</v>
      </c>
      <c r="AO680" s="36">
        <f>IF(E680=1,AK680/AH680,"")</f>
        <v>0.475247524752475</v>
      </c>
      <c r="AP680" s="34">
        <f>IF(E680=1,Orders!Y677,"")</f>
        <v>0.66</v>
      </c>
      <c r="AQ680" s="33">
        <f>IF(Orders!X677,1,0)</f>
        <v>0</v>
      </c>
      <c r="AR680" s="34" t="str">
        <f>IF(AND(E680=1,L680=1),AJ680,"")</f>
        <v/>
      </c>
      <c r="AS680" s="34">
        <f>IF(AND(E680=1,L680=0),AJ680,"")</f>
        <v>1.7</v>
      </c>
      <c r="AT680" s="34" t="str">
        <f>IF(AND(E680=1,L680=1),AI680,"")</f>
        <v/>
      </c>
      <c r="AU680" s="34">
        <f>IF(AND(E680=1,L680=0),AI680,"")</f>
        <v>3.6</v>
      </c>
      <c r="AV680" s="34" t="str">
        <f>IF(AND(E680=1,L680=1),AG680,"")</f>
        <v/>
      </c>
      <c r="AW680" s="34">
        <f>IF(AND(E680=1,L680=0),AG680,"")</f>
        <v>10.9</v>
      </c>
      <c r="AX680" s="34" t="str">
        <f>IF(AND(E680=1,L680=1),AH680,"")</f>
        <v/>
      </c>
      <c r="AY680" s="34">
        <f>IF(AND(E680=1,L680=0),AH680,"")</f>
        <v>10.1</v>
      </c>
      <c r="AZ680" s="34" t="str">
        <f>IF(G680=1,F680,"")</f>
        <v/>
      </c>
      <c r="BA680" s="34" t="str">
        <f>IF(AND(G680=1,L680=1),F680,"")</f>
        <v/>
      </c>
      <c r="BB680" s="34" t="str">
        <f>IF(AND(G680=1,L680=0),F680,"")</f>
        <v/>
      </c>
      <c r="BC680" s="33">
        <f>IF(E680=1,IF(Orders!R677&gt;3,1,0),"")</f>
        <v>0</v>
      </c>
      <c r="BD680" s="33">
        <f>IF(E680=1,IF(Orders!R677&gt;7,1,0),"")</f>
        <v>0</v>
      </c>
      <c r="BE680" s="32" t="str">
        <f>IF(E680=1,IF(Orders!L677&lt;=1.5,"Up to 1.5 km",IF(Orders!L677&lt;=3,"1.5–3 km","Over 3 km")),"")</f>
        <v>1.5–3 km</v>
      </c>
      <c r="BF680" s="33">
        <f>IF(E680=1,IF(ABS((Orders!G677-Orders!F677)*1440-Orders!R677)&lt;0.06,1,0),"")</f>
        <v>1</v>
      </c>
      <c r="BG680" s="33">
        <f>IF(ABS((Orders!F677-Orders!E677)*1440-Orders!P677)&lt;0.06,1,0)</f>
        <v>1</v>
      </c>
      <c r="BH680" s="33">
        <f>IF(E680=1,IF(IF(Orders!S677,1,0)=1-G680,1,0),"")</f>
        <v>1</v>
      </c>
      <c r="BI680" s="32" t="str">
        <f>INDEX(Stores!$B$2:$B$21,MATCH(B680,Stores!$A$2:$A$21,0))</f>
        <v>Hyderabad</v>
      </c>
    </row>
    <row r="681">
      <c r="A681" s="32" t="str">
        <f>Orders!A678</f>
        <v>O00677</v>
      </c>
      <c r="B681" s="32" t="str">
        <f>Orders!C678</f>
        <v>S010</v>
      </c>
      <c r="C681" s="32" t="str">
        <f>Orders!B678</f>
        <v>C0240</v>
      </c>
      <c r="D681" s="32" t="str">
        <f>Orders!H678</f>
        <v>Delivered</v>
      </c>
      <c r="E681" s="33">
        <f>IF(Orders!H678="Delivered",1,0)</f>
        <v>1</v>
      </c>
      <c r="F681" s="34">
        <f>IF(E681=1,Orders!R678,"")</f>
        <v>-0.2</v>
      </c>
      <c r="G681" s="33">
        <f>IF(E681=1,IF(Orders!R678&gt;0,1,0),"")</f>
        <v>0</v>
      </c>
      <c r="H681" s="33">
        <f>IF(E681=1,IF(Orders!R678&gt;5,1,0),"")</f>
        <v>0</v>
      </c>
      <c r="I681" s="32" t="str">
        <f>IF(E681=1,"",IF(OR(Orders!T678="Rider unavailable",Orders!T678="Item unavailable"),"Company-caused","Unresolved"))</f>
        <v/>
      </c>
      <c r="J681" s="33">
        <f>IF(OR(E681=1,I681="Company-caused"),1,0)</f>
        <v>1</v>
      </c>
      <c r="K681" s="32" t="str">
        <f>IF(E681=0,IF(I681="Company-caused",IF(Orders!T678="Rider unavailable","C1 Rider unavailable","C2 Item unavailable"),"Outside root: unresolved"),IF(G681=0,"A On time",IF(H681=1,IF(L681=1,"B2a Severe, peak","B2b Severe, off-peak"),IF(L681=1,"B1a Slight, peak","B1b Slight, off-peak"))))</f>
        <v>A On time</v>
      </c>
      <c r="L681" s="33">
        <f>IF(AND(Orders!U678&gt;=19,Orders!U678&lt;22),1,0)</f>
        <v>0</v>
      </c>
      <c r="M681" s="33">
        <f>IF(L681=IF(Orders!V678,1,0),1,0)</f>
        <v>1</v>
      </c>
      <c r="N681" s="32" t="str">
        <f>IF(Orders!W678="","None",Orders!W678)</f>
        <v>Light</v>
      </c>
      <c r="O681" s="35">
        <f>INT(Orders!E678)</f>
        <v>46269.0</v>
      </c>
      <c r="P681" s="33">
        <f>Orders!U678</f>
        <v>23</v>
      </c>
      <c r="Q681" s="33">
        <f>COUNTIFS(Demand!$A$2:$A$4481,B681,Demand!$B$2:$B$4481,O681,Demand!$C$2:$C$4481,P681)</f>
        <v>1</v>
      </c>
      <c r="R681" s="33">
        <f>IF(Q681=1,SUMIFS(Demand!$E$2:$E$4481,Demand!$A$2:$A$4481,B681,Demand!$B$2:$B$4481,O681,Demand!$C$2:$C$4481,P681),"")</f>
        <v>16</v>
      </c>
      <c r="S681" s="33">
        <f>INDEX(Stores!$G$2:$G$21,MATCH(B681,Stores!$A$2:$A$21,0))</f>
        <v>22</v>
      </c>
      <c r="T681" s="34">
        <f>IF(R681="","",R681/S681)</f>
        <v>0.727272727272727</v>
      </c>
      <c r="U681" s="34">
        <f>IF(E681=1,T681,"")</f>
        <v>0.727272727272727</v>
      </c>
      <c r="V681" s="34">
        <f>IF(AND(E681=1,L681=0),T681,"")</f>
        <v>0.727272727272727</v>
      </c>
      <c r="W681" s="33">
        <f>IF(U681="","",IF(U681&lt;=Breakdowns!$C$5,1,IF(U681&lt;=Breakdowns!$C$6,2,IF(U681&lt;=Breakdowns!$C$7,3,4))))</f>
        <v>1</v>
      </c>
      <c r="X681" s="33">
        <f>IF(V681="","",IF(V681&lt;=Breakdowns!$D$5,1,IF(V681&lt;=Breakdowns!$D$6,2,IF(V681&lt;=Breakdowns!$D$7,3,4))))</f>
        <v>1</v>
      </c>
      <c r="Y681" s="34">
        <f>INDEX(Stores!$F$2:$F$21,MATCH(B681,Stores!$A$2:$A$21,0))</f>
        <v>5.61</v>
      </c>
      <c r="Z681" s="33">
        <f>IF(Y681&gt;Store_Summary!$M$2,1,0)</f>
        <v>1</v>
      </c>
      <c r="AA681" s="33">
        <f>INDEX(Stores!$C$2:$C$21,MATCH(B681,Stores!$A$2:$A$21,0))</f>
        <v>744</v>
      </c>
      <c r="AB681" s="33">
        <f>IF(AA681&lt;180,1,0)</f>
        <v>0</v>
      </c>
      <c r="AC681" s="32" t="str">
        <f>IF(Orders!D678="","",INDEX(Riders!$C$2:$C$81,MATCH(Orders!D678,Riders!$A$2:$A$81,0)))</f>
        <v>Petrol scooter</v>
      </c>
      <c r="AD681" s="33">
        <f>IF(Orders!D678="","",INDEX(Riders!$D$2:$D$81,MATCH(Orders!D678,Riders!$A$2:$A$81,0)))</f>
        <v>37</v>
      </c>
      <c r="AE681" s="33">
        <f>IF(Orders!D678="","",IF(INDEX(Riders!$B$2:$B$81,MATCH(Orders!D678,Riders!$A$2:$A$81,0))=B681,1,0))</f>
        <v>0</v>
      </c>
      <c r="AF681" s="34">
        <f>IF(E681=1,Orders!L678,"")</f>
        <v>3.04</v>
      </c>
      <c r="AG681" s="34">
        <f>IF(E681=1,Orders!P678,"")</f>
        <v>11.8</v>
      </c>
      <c r="AH681" s="34">
        <f>IF(E681=1,Orders!Q678,"")</f>
        <v>11.6</v>
      </c>
      <c r="AI681" s="34">
        <f>IF(E681=1,Orders!M678,"")</f>
        <v>3.9</v>
      </c>
      <c r="AJ681" s="34">
        <f>IF(E681=1,Orders!N678,"")</f>
        <v>2.5</v>
      </c>
      <c r="AK681" s="34">
        <f>IF(E681=1,Orders!O678,"")</f>
        <v>5.2</v>
      </c>
      <c r="AL681" s="33">
        <f>IF(E681=1,IF(ROUND(ABS(AI681+AJ681+AK681-AH681),6)&lt;=0.1,1,0),"")</f>
        <v>1</v>
      </c>
      <c r="AM681" s="36">
        <f>IF(E681=1,AI681/AH681,"")</f>
        <v>0.336206896551724</v>
      </c>
      <c r="AN681" s="36">
        <f>IF(E681=1,AJ681/AH681,"")</f>
        <v>0.21551724137931</v>
      </c>
      <c r="AO681" s="36">
        <f>IF(E681=1,AK681/AH681,"")</f>
        <v>0.448275862068966</v>
      </c>
      <c r="AP681" s="34">
        <f>IF(E681=1,Orders!Y678,"")</f>
        <v>0.58</v>
      </c>
      <c r="AQ681" s="33">
        <f>IF(Orders!X678,1,0)</f>
        <v>0</v>
      </c>
      <c r="AR681" s="34" t="str">
        <f>IF(AND(E681=1,L681=1),AJ681,"")</f>
        <v/>
      </c>
      <c r="AS681" s="34">
        <f>IF(AND(E681=1,L681=0),AJ681,"")</f>
        <v>2.5</v>
      </c>
      <c r="AT681" s="34" t="str">
        <f>IF(AND(E681=1,L681=1),AI681,"")</f>
        <v/>
      </c>
      <c r="AU681" s="34">
        <f>IF(AND(E681=1,L681=0),AI681,"")</f>
        <v>3.9</v>
      </c>
      <c r="AV681" s="34" t="str">
        <f>IF(AND(E681=1,L681=1),AG681,"")</f>
        <v/>
      </c>
      <c r="AW681" s="34">
        <f>IF(AND(E681=1,L681=0),AG681,"")</f>
        <v>11.8</v>
      </c>
      <c r="AX681" s="34" t="str">
        <f>IF(AND(E681=1,L681=1),AH681,"")</f>
        <v/>
      </c>
      <c r="AY681" s="34">
        <f>IF(AND(E681=1,L681=0),AH681,"")</f>
        <v>11.6</v>
      </c>
      <c r="AZ681" s="34" t="str">
        <f>IF(G681=1,F681,"")</f>
        <v/>
      </c>
      <c r="BA681" s="34" t="str">
        <f>IF(AND(G681=1,L681=1),F681,"")</f>
        <v/>
      </c>
      <c r="BB681" s="34" t="str">
        <f>IF(AND(G681=1,L681=0),F681,"")</f>
        <v/>
      </c>
      <c r="BC681" s="33">
        <f>IF(E681=1,IF(Orders!R678&gt;3,1,0),"")</f>
        <v>0</v>
      </c>
      <c r="BD681" s="33">
        <f>IF(E681=1,IF(Orders!R678&gt;7,1,0),"")</f>
        <v>0</v>
      </c>
      <c r="BE681" s="32" t="str">
        <f>IF(E681=1,IF(Orders!L678&lt;=1.5,"Up to 1.5 km",IF(Orders!L678&lt;=3,"1.5–3 km","Over 3 km")),"")</f>
        <v>Over 3 km</v>
      </c>
      <c r="BF681" s="33">
        <f>IF(E681=1,IF(ABS((Orders!G678-Orders!F678)*1440-Orders!R678)&lt;0.06,1,0),"")</f>
        <v>1</v>
      </c>
      <c r="BG681" s="33">
        <f>IF(ABS((Orders!F678-Orders!E678)*1440-Orders!P678)&lt;0.06,1,0)</f>
        <v>1</v>
      </c>
      <c r="BH681" s="33">
        <f>IF(E681=1,IF(IF(Orders!S678,1,0)=1-G681,1,0),"")</f>
        <v>1</v>
      </c>
      <c r="BI681" s="32" t="str">
        <f>INDEX(Stores!$B$2:$B$21,MATCH(B681,Stores!$A$2:$A$21,0))</f>
        <v>Delhi</v>
      </c>
    </row>
    <row r="682">
      <c r="A682" s="32" t="str">
        <f>Orders!A679</f>
        <v>O00678</v>
      </c>
      <c r="B682" s="32" t="str">
        <f>Orders!C679</f>
        <v>S014</v>
      </c>
      <c r="C682" s="32" t="str">
        <f>Orders!B679</f>
        <v>C0121</v>
      </c>
      <c r="D682" s="32" t="str">
        <f>Orders!H679</f>
        <v>Delivered</v>
      </c>
      <c r="E682" s="33">
        <f>IF(Orders!H679="Delivered",1,0)</f>
        <v>1</v>
      </c>
      <c r="F682" s="34">
        <f>IF(E682=1,Orders!R679,"")</f>
        <v>-0.3</v>
      </c>
      <c r="G682" s="33">
        <f>IF(E682=1,IF(Orders!R679&gt;0,1,0),"")</f>
        <v>0</v>
      </c>
      <c r="H682" s="33">
        <f>IF(E682=1,IF(Orders!R679&gt;5,1,0),"")</f>
        <v>0</v>
      </c>
      <c r="I682" s="32" t="str">
        <f>IF(E682=1,"",IF(OR(Orders!T679="Rider unavailable",Orders!T679="Item unavailable"),"Company-caused","Unresolved"))</f>
        <v/>
      </c>
      <c r="J682" s="33">
        <f>IF(OR(E682=1,I682="Company-caused"),1,0)</f>
        <v>1</v>
      </c>
      <c r="K682" s="32" t="str">
        <f>IF(E682=0,IF(I682="Company-caused",IF(Orders!T679="Rider unavailable","C1 Rider unavailable","C2 Item unavailable"),"Outside root: unresolved"),IF(G682=0,"A On time",IF(H682=1,IF(L682=1,"B2a Severe, peak","B2b Severe, off-peak"),IF(L682=1,"B1a Slight, peak","B1b Slight, off-peak"))))</f>
        <v>A On time</v>
      </c>
      <c r="L682" s="33">
        <f>IF(AND(Orders!U679&gt;=19,Orders!U679&lt;22),1,0)</f>
        <v>0</v>
      </c>
      <c r="M682" s="33">
        <f>IF(L682=IF(Orders!V679,1,0),1,0)</f>
        <v>1</v>
      </c>
      <c r="N682" s="32" t="str">
        <f>IF(Orders!W679="","None",Orders!W679)</f>
        <v>None</v>
      </c>
      <c r="O682" s="35">
        <f>INT(Orders!E679)</f>
        <v>46268.0</v>
      </c>
      <c r="P682" s="33">
        <f>Orders!U679</f>
        <v>17</v>
      </c>
      <c r="Q682" s="33">
        <f>COUNTIFS(Demand!$A$2:$A$4481,B682,Demand!$B$2:$B$4481,O682,Demand!$C$2:$C$4481,P682)</f>
        <v>1</v>
      </c>
      <c r="R682" s="33">
        <f>IF(Q682=1,SUMIFS(Demand!$E$2:$E$4481,Demand!$A$2:$A$4481,B682,Demand!$B$2:$B$4481,O682,Demand!$C$2:$C$4481,P682),"")</f>
        <v>42</v>
      </c>
      <c r="S682" s="33">
        <f>INDEX(Stores!$G$2:$G$21,MATCH(B682,Stores!$A$2:$A$21,0))</f>
        <v>37</v>
      </c>
      <c r="T682" s="34">
        <f>IF(R682="","",R682/S682)</f>
        <v>1.13513513513514</v>
      </c>
      <c r="U682" s="34">
        <f>IF(E682=1,T682,"")</f>
        <v>1.13513513513514</v>
      </c>
      <c r="V682" s="34">
        <f>IF(AND(E682=1,L682=0),T682,"")</f>
        <v>1.13513513513514</v>
      </c>
      <c r="W682" s="33">
        <f>IF(U682="","",IF(U682&lt;=Breakdowns!$C$5,1,IF(U682&lt;=Breakdowns!$C$6,2,IF(U682&lt;=Breakdowns!$C$7,3,4))))</f>
        <v>3</v>
      </c>
      <c r="X682" s="33">
        <f>IF(V682="","",IF(V682&lt;=Breakdowns!$D$5,1,IF(V682&lt;=Breakdowns!$D$6,2,IF(V682&lt;=Breakdowns!$D$7,3,4))))</f>
        <v>4</v>
      </c>
      <c r="Y682" s="34">
        <f>INDEX(Stores!$F$2:$F$21,MATCH(B682,Stores!$A$2:$A$21,0))</f>
        <v>5.55</v>
      </c>
      <c r="Z682" s="33">
        <f>IF(Y682&gt;Store_Summary!$M$2,1,0)</f>
        <v>1</v>
      </c>
      <c r="AA682" s="33">
        <f>INDEX(Stores!$C$2:$C$21,MATCH(B682,Stores!$A$2:$A$21,0))</f>
        <v>241</v>
      </c>
      <c r="AB682" s="33">
        <f>IF(AA682&lt;180,1,0)</f>
        <v>0</v>
      </c>
      <c r="AC682" s="32" t="str">
        <f>IF(Orders!D679="","",INDEX(Riders!$C$2:$C$81,MATCH(Orders!D679,Riders!$A$2:$A$81,0)))</f>
        <v>EV scooter</v>
      </c>
      <c r="AD682" s="33">
        <f>IF(Orders!D679="","",INDEX(Riders!$D$2:$D$81,MATCH(Orders!D679,Riders!$A$2:$A$81,0)))</f>
        <v>11</v>
      </c>
      <c r="AE682" s="33">
        <f>IF(Orders!D679="","",IF(INDEX(Riders!$B$2:$B$81,MATCH(Orders!D679,Riders!$A$2:$A$81,0))=B682,1,0))</f>
        <v>0</v>
      </c>
      <c r="AF682" s="34">
        <f>IF(E682=1,Orders!L679,"")</f>
        <v>3.26</v>
      </c>
      <c r="AG682" s="34">
        <f>IF(E682=1,Orders!P679,"")</f>
        <v>11.1</v>
      </c>
      <c r="AH682" s="34">
        <f>IF(E682=1,Orders!Q679,"")</f>
        <v>10.8</v>
      </c>
      <c r="AI682" s="34">
        <f>IF(E682=1,Orders!M679,"")</f>
        <v>4.3</v>
      </c>
      <c r="AJ682" s="34">
        <f>IF(E682=1,Orders!N679,"")</f>
        <v>0.9</v>
      </c>
      <c r="AK682" s="34">
        <f>IF(E682=1,Orders!O679,"")</f>
        <v>5.6</v>
      </c>
      <c r="AL682" s="33">
        <f>IF(E682=1,IF(ROUND(ABS(AI682+AJ682+AK682-AH682),6)&lt;=0.1,1,0),"")</f>
        <v>1</v>
      </c>
      <c r="AM682" s="36">
        <f>IF(E682=1,AI682/AH682,"")</f>
        <v>0.398148148148148</v>
      </c>
      <c r="AN682" s="36">
        <f>IF(E682=1,AJ682/AH682,"")</f>
        <v>0.0833333333333333</v>
      </c>
      <c r="AO682" s="36">
        <f>IF(E682=1,AK682/AH682,"")</f>
        <v>0.518518518518519</v>
      </c>
      <c r="AP682" s="34">
        <f>IF(E682=1,Orders!Y679,"")</f>
        <v>0.42</v>
      </c>
      <c r="AQ682" s="33">
        <f>IF(Orders!X679,1,0)</f>
        <v>0</v>
      </c>
      <c r="AR682" s="34" t="str">
        <f>IF(AND(E682=1,L682=1),AJ682,"")</f>
        <v/>
      </c>
      <c r="AS682" s="34">
        <f>IF(AND(E682=1,L682=0),AJ682,"")</f>
        <v>0.9</v>
      </c>
      <c r="AT682" s="34" t="str">
        <f>IF(AND(E682=1,L682=1),AI682,"")</f>
        <v/>
      </c>
      <c r="AU682" s="34">
        <f>IF(AND(E682=1,L682=0),AI682,"")</f>
        <v>4.3</v>
      </c>
      <c r="AV682" s="34" t="str">
        <f>IF(AND(E682=1,L682=1),AG682,"")</f>
        <v/>
      </c>
      <c r="AW682" s="34">
        <f>IF(AND(E682=1,L682=0),AG682,"")</f>
        <v>11.1</v>
      </c>
      <c r="AX682" s="34" t="str">
        <f>IF(AND(E682=1,L682=1),AH682,"")</f>
        <v/>
      </c>
      <c r="AY682" s="34">
        <f>IF(AND(E682=1,L682=0),AH682,"")</f>
        <v>10.8</v>
      </c>
      <c r="AZ682" s="34" t="str">
        <f>IF(G682=1,F682,"")</f>
        <v/>
      </c>
      <c r="BA682" s="34" t="str">
        <f>IF(AND(G682=1,L682=1),F682,"")</f>
        <v/>
      </c>
      <c r="BB682" s="34" t="str">
        <f>IF(AND(G682=1,L682=0),F682,"")</f>
        <v/>
      </c>
      <c r="BC682" s="33">
        <f>IF(E682=1,IF(Orders!R679&gt;3,1,0),"")</f>
        <v>0</v>
      </c>
      <c r="BD682" s="33">
        <f>IF(E682=1,IF(Orders!R679&gt;7,1,0),"")</f>
        <v>0</v>
      </c>
      <c r="BE682" s="32" t="str">
        <f>IF(E682=1,IF(Orders!L679&lt;=1.5,"Up to 1.5 km",IF(Orders!L679&lt;=3,"1.5–3 km","Over 3 km")),"")</f>
        <v>Over 3 km</v>
      </c>
      <c r="BF682" s="33">
        <f>IF(E682=1,IF(ABS((Orders!G679-Orders!F679)*1440-Orders!R679)&lt;0.06,1,0),"")</f>
        <v>1</v>
      </c>
      <c r="BG682" s="33">
        <f>IF(ABS((Orders!F679-Orders!E679)*1440-Orders!P679)&lt;0.06,1,0)</f>
        <v>1</v>
      </c>
      <c r="BH682" s="33">
        <f>IF(E682=1,IF(IF(Orders!S679,1,0)=1-G682,1,0),"")</f>
        <v>1</v>
      </c>
      <c r="BI682" s="32" t="str">
        <f>INDEX(Stores!$B$2:$B$21,MATCH(B682,Stores!$A$2:$A$21,0))</f>
        <v>Pune</v>
      </c>
    </row>
    <row r="683">
      <c r="A683" s="32" t="str">
        <f>Orders!A680</f>
        <v>O00679</v>
      </c>
      <c r="B683" s="32" t="str">
        <f>Orders!C680</f>
        <v>S003</v>
      </c>
      <c r="C683" s="32" t="str">
        <f>Orders!B680</f>
        <v>C0218</v>
      </c>
      <c r="D683" s="32" t="str">
        <f>Orders!H680</f>
        <v>Delivered</v>
      </c>
      <c r="E683" s="33">
        <f>IF(Orders!H680="Delivered",1,0)</f>
        <v>1</v>
      </c>
      <c r="F683" s="34">
        <f>IF(E683=1,Orders!R680,"")</f>
        <v>-0.3</v>
      </c>
      <c r="G683" s="33">
        <f>IF(E683=1,IF(Orders!R680&gt;0,1,0),"")</f>
        <v>0</v>
      </c>
      <c r="H683" s="33">
        <f>IF(E683=1,IF(Orders!R680&gt;5,1,0),"")</f>
        <v>0</v>
      </c>
      <c r="I683" s="32" t="str">
        <f>IF(E683=1,"",IF(OR(Orders!T680="Rider unavailable",Orders!T680="Item unavailable"),"Company-caused","Unresolved"))</f>
        <v/>
      </c>
      <c r="J683" s="33">
        <f>IF(OR(E683=1,I683="Company-caused"),1,0)</f>
        <v>1</v>
      </c>
      <c r="K683" s="32" t="str">
        <f>IF(E683=0,IF(I683="Company-caused",IF(Orders!T680="Rider unavailable","C1 Rider unavailable","C2 Item unavailable"),"Outside root: unresolved"),IF(G683=0,"A On time",IF(H683=1,IF(L683=1,"B2a Severe, peak","B2b Severe, off-peak"),IF(L683=1,"B1a Slight, peak","B1b Slight, off-peak"))))</f>
        <v>A On time</v>
      </c>
      <c r="L683" s="33">
        <f>IF(AND(Orders!U680&gt;=19,Orders!U680&lt;22),1,0)</f>
        <v>0</v>
      </c>
      <c r="M683" s="33">
        <f>IF(L683=IF(Orders!V680,1,0),1,0)</f>
        <v>1</v>
      </c>
      <c r="N683" s="32" t="str">
        <f>IF(Orders!W680="","None",Orders!W680)</f>
        <v>None</v>
      </c>
      <c r="O683" s="35">
        <f>INT(Orders!E680)</f>
        <v>46266.0</v>
      </c>
      <c r="P683" s="33">
        <f>Orders!U680</f>
        <v>12</v>
      </c>
      <c r="Q683" s="33">
        <f>COUNTIFS(Demand!$A$2:$A$4481,B683,Demand!$B$2:$B$4481,O683,Demand!$C$2:$C$4481,P683)</f>
        <v>1</v>
      </c>
      <c r="R683" s="33">
        <f>IF(Q683=1,SUMIFS(Demand!$E$2:$E$4481,Demand!$A$2:$A$4481,B683,Demand!$B$2:$B$4481,O683,Demand!$C$2:$C$4481,P683),"")</f>
        <v>46</v>
      </c>
      <c r="S683" s="33">
        <f>INDEX(Stores!$G$2:$G$21,MATCH(B683,Stores!$A$2:$A$21,0))</f>
        <v>41</v>
      </c>
      <c r="T683" s="34">
        <f>IF(R683="","",R683/S683)</f>
        <v>1.1219512195122</v>
      </c>
      <c r="U683" s="34">
        <f>IF(E683=1,T683,"")</f>
        <v>1.1219512195122</v>
      </c>
      <c r="V683" s="34">
        <f>IF(AND(E683=1,L683=0),T683,"")</f>
        <v>1.1219512195122</v>
      </c>
      <c r="W683" s="33">
        <f>IF(U683="","",IF(U683&lt;=Breakdowns!$C$5,1,IF(U683&lt;=Breakdowns!$C$6,2,IF(U683&lt;=Breakdowns!$C$7,3,4))))</f>
        <v>3</v>
      </c>
      <c r="X683" s="33">
        <f>IF(V683="","",IF(V683&lt;=Breakdowns!$D$5,1,IF(V683&lt;=Breakdowns!$D$6,2,IF(V683&lt;=Breakdowns!$D$7,3,4))))</f>
        <v>4</v>
      </c>
      <c r="Y683" s="34">
        <f>INDEX(Stores!$F$2:$F$21,MATCH(B683,Stores!$A$2:$A$21,0))</f>
        <v>3.84</v>
      </c>
      <c r="Z683" s="33">
        <f>IF(Y683&gt;Store_Summary!$M$2,1,0)</f>
        <v>0</v>
      </c>
      <c r="AA683" s="33">
        <f>INDEX(Stores!$C$2:$C$21,MATCH(B683,Stores!$A$2:$A$21,0))</f>
        <v>426</v>
      </c>
      <c r="AB683" s="33">
        <f>IF(AA683&lt;180,1,0)</f>
        <v>0</v>
      </c>
      <c r="AC683" s="32" t="str">
        <f>IF(Orders!D680="","",INDEX(Riders!$C$2:$C$81,MATCH(Orders!D680,Riders!$A$2:$A$81,0)))</f>
        <v>Petrol scooter</v>
      </c>
      <c r="AD683" s="33">
        <f>IF(Orders!D680="","",INDEX(Riders!$D$2:$D$81,MATCH(Orders!D680,Riders!$A$2:$A$81,0)))</f>
        <v>32</v>
      </c>
      <c r="AE683" s="33">
        <f>IF(Orders!D680="","",IF(INDEX(Riders!$B$2:$B$81,MATCH(Orders!D680,Riders!$A$2:$A$81,0))=B683,1,0))</f>
        <v>0</v>
      </c>
      <c r="AF683" s="34">
        <f>IF(E683=1,Orders!L680,"")</f>
        <v>2.1</v>
      </c>
      <c r="AG683" s="34">
        <f>IF(E683=1,Orders!P680,"")</f>
        <v>11</v>
      </c>
      <c r="AH683" s="34">
        <f>IF(E683=1,Orders!Q680,"")</f>
        <v>10.7</v>
      </c>
      <c r="AI683" s="34">
        <f>IF(E683=1,Orders!M680,"")</f>
        <v>3.1</v>
      </c>
      <c r="AJ683" s="34">
        <f>IF(E683=1,Orders!N680,"")</f>
        <v>3</v>
      </c>
      <c r="AK683" s="34">
        <f>IF(E683=1,Orders!O680,"")</f>
        <v>4.6</v>
      </c>
      <c r="AL683" s="33">
        <f>IF(E683=1,IF(ROUND(ABS(AI683+AJ683+AK683-AH683),6)&lt;=0.1,1,0),"")</f>
        <v>1</v>
      </c>
      <c r="AM683" s="36">
        <f>IF(E683=1,AI683/AH683,"")</f>
        <v>0.289719626168224</v>
      </c>
      <c r="AN683" s="36">
        <f>IF(E683=1,AJ683/AH683,"")</f>
        <v>0.280373831775701</v>
      </c>
      <c r="AO683" s="36">
        <f>IF(E683=1,AK683/AH683,"")</f>
        <v>0.429906542056075</v>
      </c>
      <c r="AP683" s="34">
        <f>IF(E683=1,Orders!Y680,"")</f>
        <v>0.63</v>
      </c>
      <c r="AQ683" s="33">
        <f>IF(Orders!X680,1,0)</f>
        <v>0</v>
      </c>
      <c r="AR683" s="34" t="str">
        <f>IF(AND(E683=1,L683=1),AJ683,"")</f>
        <v/>
      </c>
      <c r="AS683" s="34">
        <f>IF(AND(E683=1,L683=0),AJ683,"")</f>
        <v>3</v>
      </c>
      <c r="AT683" s="34" t="str">
        <f>IF(AND(E683=1,L683=1),AI683,"")</f>
        <v/>
      </c>
      <c r="AU683" s="34">
        <f>IF(AND(E683=1,L683=0),AI683,"")</f>
        <v>3.1</v>
      </c>
      <c r="AV683" s="34" t="str">
        <f>IF(AND(E683=1,L683=1),AG683,"")</f>
        <v/>
      </c>
      <c r="AW683" s="34">
        <f>IF(AND(E683=1,L683=0),AG683,"")</f>
        <v>11</v>
      </c>
      <c r="AX683" s="34" t="str">
        <f>IF(AND(E683=1,L683=1),AH683,"")</f>
        <v/>
      </c>
      <c r="AY683" s="34">
        <f>IF(AND(E683=1,L683=0),AH683,"")</f>
        <v>10.7</v>
      </c>
      <c r="AZ683" s="34" t="str">
        <f>IF(G683=1,F683,"")</f>
        <v/>
      </c>
      <c r="BA683" s="34" t="str">
        <f>IF(AND(G683=1,L683=1),F683,"")</f>
        <v/>
      </c>
      <c r="BB683" s="34" t="str">
        <f>IF(AND(G683=1,L683=0),F683,"")</f>
        <v/>
      </c>
      <c r="BC683" s="33">
        <f>IF(E683=1,IF(Orders!R680&gt;3,1,0),"")</f>
        <v>0</v>
      </c>
      <c r="BD683" s="33">
        <f>IF(E683=1,IF(Orders!R680&gt;7,1,0),"")</f>
        <v>0</v>
      </c>
      <c r="BE683" s="32" t="str">
        <f>IF(E683=1,IF(Orders!L680&lt;=1.5,"Up to 1.5 km",IF(Orders!L680&lt;=3,"1.5–3 km","Over 3 km")),"")</f>
        <v>1.5–3 km</v>
      </c>
      <c r="BF683" s="33">
        <f>IF(E683=1,IF(ABS((Orders!G680-Orders!F680)*1440-Orders!R680)&lt;0.06,1,0),"")</f>
        <v>1</v>
      </c>
      <c r="BG683" s="33">
        <f>IF(ABS((Orders!F680-Orders!E680)*1440-Orders!P680)&lt;0.06,1,0)</f>
        <v>1</v>
      </c>
      <c r="BH683" s="33">
        <f>IF(E683=1,IF(IF(Orders!S680,1,0)=1-G683,1,0),"")</f>
        <v>1</v>
      </c>
      <c r="BI683" s="32" t="str">
        <f>INDEX(Stores!$B$2:$B$21,MATCH(B683,Stores!$A$2:$A$21,0))</f>
        <v>Mumbai</v>
      </c>
    </row>
    <row r="684">
      <c r="A684" s="32" t="str">
        <f>Orders!A681</f>
        <v>O00680</v>
      </c>
      <c r="B684" s="32" t="str">
        <f>Orders!C681</f>
        <v>S002</v>
      </c>
      <c r="C684" s="32" t="str">
        <f>Orders!B681</f>
        <v>C0231</v>
      </c>
      <c r="D684" s="32" t="str">
        <f>Orders!H681</f>
        <v>Delivered</v>
      </c>
      <c r="E684" s="33">
        <f>IF(Orders!H681="Delivered",1,0)</f>
        <v>1</v>
      </c>
      <c r="F684" s="34">
        <f>IF(E684=1,Orders!R681,"")</f>
        <v>-1.9</v>
      </c>
      <c r="G684" s="33">
        <f>IF(E684=1,IF(Orders!R681&gt;0,1,0),"")</f>
        <v>0</v>
      </c>
      <c r="H684" s="33">
        <f>IF(E684=1,IF(Orders!R681&gt;5,1,0),"")</f>
        <v>0</v>
      </c>
      <c r="I684" s="32" t="str">
        <f>IF(E684=1,"",IF(OR(Orders!T681="Rider unavailable",Orders!T681="Item unavailable"),"Company-caused","Unresolved"))</f>
        <v/>
      </c>
      <c r="J684" s="33">
        <f>IF(OR(E684=1,I684="Company-caused"),1,0)</f>
        <v>1</v>
      </c>
      <c r="K684" s="32" t="str">
        <f>IF(E684=0,IF(I684="Company-caused",IF(Orders!T681="Rider unavailable","C1 Rider unavailable","C2 Item unavailable"),"Outside root: unresolved"),IF(G684=0,"A On time",IF(H684=1,IF(L684=1,"B2a Severe, peak","B2b Severe, off-peak"),IF(L684=1,"B1a Slight, peak","B1b Slight, off-peak"))))</f>
        <v>A On time</v>
      </c>
      <c r="L684" s="33">
        <f>IF(AND(Orders!U681&gt;=19,Orders!U681&lt;22),1,0)</f>
        <v>0</v>
      </c>
      <c r="M684" s="33">
        <f>IF(L684=IF(Orders!V681,1,0),1,0)</f>
        <v>1</v>
      </c>
      <c r="N684" s="32" t="str">
        <f>IF(Orders!W681="","None",Orders!W681)</f>
        <v>None</v>
      </c>
      <c r="O684" s="35">
        <f>INT(Orders!E681)</f>
        <v>46276.0</v>
      </c>
      <c r="P684" s="33">
        <f>Orders!U681</f>
        <v>8</v>
      </c>
      <c r="Q684" s="33">
        <f>COUNTIFS(Demand!$A$2:$A$4481,B684,Demand!$B$2:$B$4481,O684,Demand!$C$2:$C$4481,P684)</f>
        <v>1</v>
      </c>
      <c r="R684" s="33">
        <f>IF(Q684=1,SUMIFS(Demand!$E$2:$E$4481,Demand!$A$2:$A$4481,B684,Demand!$B$2:$B$4481,O684,Demand!$C$2:$C$4481,P684),"")</f>
        <v>23</v>
      </c>
      <c r="S684" s="33">
        <f>INDEX(Stores!$G$2:$G$21,MATCH(B684,Stores!$A$2:$A$21,0))</f>
        <v>33</v>
      </c>
      <c r="T684" s="34">
        <f>IF(R684="","",R684/S684)</f>
        <v>0.696969696969697</v>
      </c>
      <c r="U684" s="34">
        <f>IF(E684=1,T684,"")</f>
        <v>0.696969696969697</v>
      </c>
      <c r="V684" s="34">
        <f>IF(AND(E684=1,L684=0),T684,"")</f>
        <v>0.696969696969697</v>
      </c>
      <c r="W684" s="33">
        <f>IF(U684="","",IF(U684&lt;=Breakdowns!$C$5,1,IF(U684&lt;=Breakdowns!$C$6,2,IF(U684&lt;=Breakdowns!$C$7,3,4))))</f>
        <v>1</v>
      </c>
      <c r="X684" s="33">
        <f>IF(V684="","",IF(V684&lt;=Breakdowns!$D$5,1,IF(V684&lt;=Breakdowns!$D$6,2,IF(V684&lt;=Breakdowns!$D$7,3,4))))</f>
        <v>1</v>
      </c>
      <c r="Y684" s="34">
        <f>INDEX(Stores!$F$2:$F$21,MATCH(B684,Stores!$A$2:$A$21,0))</f>
        <v>2.39</v>
      </c>
      <c r="Z684" s="33">
        <f>IF(Y684&gt;Store_Summary!$M$2,1,0)</f>
        <v>0</v>
      </c>
      <c r="AA684" s="33">
        <f>INDEX(Stores!$C$2:$C$21,MATCH(B684,Stores!$A$2:$A$21,0))</f>
        <v>470</v>
      </c>
      <c r="AB684" s="33">
        <f>IF(AA684&lt;180,1,0)</f>
        <v>0</v>
      </c>
      <c r="AC684" s="32" t="str">
        <f>IF(Orders!D681="","",INDEX(Riders!$C$2:$C$81,MATCH(Orders!D681,Riders!$A$2:$A$81,0)))</f>
        <v>Petrol scooter</v>
      </c>
      <c r="AD684" s="33">
        <f>IF(Orders!D681="","",INDEX(Riders!$D$2:$D$81,MATCH(Orders!D681,Riders!$A$2:$A$81,0)))</f>
        <v>6</v>
      </c>
      <c r="AE684" s="33">
        <f>IF(Orders!D681="","",IF(INDEX(Riders!$B$2:$B$81,MATCH(Orders!D681,Riders!$A$2:$A$81,0))=B684,1,0))</f>
        <v>0</v>
      </c>
      <c r="AF684" s="34">
        <f>IF(E684=1,Orders!L681,"")</f>
        <v>2.72</v>
      </c>
      <c r="AG684" s="34">
        <f>IF(E684=1,Orders!P681,"")</f>
        <v>11.4</v>
      </c>
      <c r="AH684" s="34">
        <f>IF(E684=1,Orders!Q681,"")</f>
        <v>9.5</v>
      </c>
      <c r="AI684" s="34">
        <f>IF(E684=1,Orders!M681,"")</f>
        <v>3</v>
      </c>
      <c r="AJ684" s="34">
        <f>IF(E684=1,Orders!N681,"")</f>
        <v>0.4</v>
      </c>
      <c r="AK684" s="34">
        <f>IF(E684=1,Orders!O681,"")</f>
        <v>6.1</v>
      </c>
      <c r="AL684" s="33">
        <f>IF(E684=1,IF(ROUND(ABS(AI684+AJ684+AK684-AH684),6)&lt;=0.1,1,0),"")</f>
        <v>1</v>
      </c>
      <c r="AM684" s="36">
        <f>IF(E684=1,AI684/AH684,"")</f>
        <v>0.315789473684211</v>
      </c>
      <c r="AN684" s="36">
        <f>IF(E684=1,AJ684/AH684,"")</f>
        <v>0.0421052631578947</v>
      </c>
      <c r="AO684" s="36">
        <f>IF(E684=1,AK684/AH684,"")</f>
        <v>0.642105263157895</v>
      </c>
      <c r="AP684" s="34">
        <f>IF(E684=1,Orders!Y681,"")</f>
        <v>0.27</v>
      </c>
      <c r="AQ684" s="33">
        <f>IF(Orders!X681,1,0)</f>
        <v>0</v>
      </c>
      <c r="AR684" s="34" t="str">
        <f>IF(AND(E684=1,L684=1),AJ684,"")</f>
        <v/>
      </c>
      <c r="AS684" s="34">
        <f>IF(AND(E684=1,L684=0),AJ684,"")</f>
        <v>0.4</v>
      </c>
      <c r="AT684" s="34" t="str">
        <f>IF(AND(E684=1,L684=1),AI684,"")</f>
        <v/>
      </c>
      <c r="AU684" s="34">
        <f>IF(AND(E684=1,L684=0),AI684,"")</f>
        <v>3</v>
      </c>
      <c r="AV684" s="34" t="str">
        <f>IF(AND(E684=1,L684=1),AG684,"")</f>
        <v/>
      </c>
      <c r="AW684" s="34">
        <f>IF(AND(E684=1,L684=0),AG684,"")</f>
        <v>11.4</v>
      </c>
      <c r="AX684" s="34" t="str">
        <f>IF(AND(E684=1,L684=1),AH684,"")</f>
        <v/>
      </c>
      <c r="AY684" s="34">
        <f>IF(AND(E684=1,L684=0),AH684,"")</f>
        <v>9.5</v>
      </c>
      <c r="AZ684" s="34" t="str">
        <f>IF(G684=1,F684,"")</f>
        <v/>
      </c>
      <c r="BA684" s="34" t="str">
        <f>IF(AND(G684=1,L684=1),F684,"")</f>
        <v/>
      </c>
      <c r="BB684" s="34" t="str">
        <f>IF(AND(G684=1,L684=0),F684,"")</f>
        <v/>
      </c>
      <c r="BC684" s="33">
        <f>IF(E684=1,IF(Orders!R681&gt;3,1,0),"")</f>
        <v>0</v>
      </c>
      <c r="BD684" s="33">
        <f>IF(E684=1,IF(Orders!R681&gt;7,1,0),"")</f>
        <v>0</v>
      </c>
      <c r="BE684" s="32" t="str">
        <f>IF(E684=1,IF(Orders!L681&lt;=1.5,"Up to 1.5 km",IF(Orders!L681&lt;=3,"1.5–3 km","Over 3 km")),"")</f>
        <v>1.5–3 km</v>
      </c>
      <c r="BF684" s="33">
        <f>IF(E684=1,IF(ABS((Orders!G681-Orders!F681)*1440-Orders!R681)&lt;0.06,1,0),"")</f>
        <v>1</v>
      </c>
      <c r="BG684" s="33">
        <f>IF(ABS((Orders!F681-Orders!E681)*1440-Orders!P681)&lt;0.06,1,0)</f>
        <v>1</v>
      </c>
      <c r="BH684" s="33">
        <f>IF(E684=1,IF(IF(Orders!S681,1,0)=1-G684,1,0),"")</f>
        <v>1</v>
      </c>
      <c r="BI684" s="32" t="str">
        <f>INDEX(Stores!$B$2:$B$21,MATCH(B684,Stores!$A$2:$A$21,0))</f>
        <v>Hyderabad</v>
      </c>
    </row>
    <row r="685">
      <c r="A685" s="32" t="str">
        <f>Orders!A682</f>
        <v>O00681</v>
      </c>
      <c r="B685" s="32" t="str">
        <f>Orders!C682</f>
        <v>S004</v>
      </c>
      <c r="C685" s="32" t="str">
        <f>Orders!B682</f>
        <v>C0023</v>
      </c>
      <c r="D685" s="32" t="str">
        <f>Orders!H682</f>
        <v>Delivered</v>
      </c>
      <c r="E685" s="33">
        <f>IF(Orders!H682="Delivered",1,0)</f>
        <v>1</v>
      </c>
      <c r="F685" s="34">
        <f>IF(E685=1,Orders!R682,"")</f>
        <v>-0.3</v>
      </c>
      <c r="G685" s="33">
        <f>IF(E685=1,IF(Orders!R682&gt;0,1,0),"")</f>
        <v>0</v>
      </c>
      <c r="H685" s="33">
        <f>IF(E685=1,IF(Orders!R682&gt;5,1,0),"")</f>
        <v>0</v>
      </c>
      <c r="I685" s="32" t="str">
        <f>IF(E685=1,"",IF(OR(Orders!T682="Rider unavailable",Orders!T682="Item unavailable"),"Company-caused","Unresolved"))</f>
        <v/>
      </c>
      <c r="J685" s="33">
        <f>IF(OR(E685=1,I685="Company-caused"),1,0)</f>
        <v>1</v>
      </c>
      <c r="K685" s="32" t="str">
        <f>IF(E685=0,IF(I685="Company-caused",IF(Orders!T682="Rider unavailable","C1 Rider unavailable","C2 Item unavailable"),"Outside root: unresolved"),IF(G685=0,"A On time",IF(H685=1,IF(L685=1,"B2a Severe, peak","B2b Severe, off-peak"),IF(L685=1,"B1a Slight, peak","B1b Slight, off-peak"))))</f>
        <v>A On time</v>
      </c>
      <c r="L685" s="33">
        <f>IF(AND(Orders!U682&gt;=19,Orders!U682&lt;22),1,0)</f>
        <v>1</v>
      </c>
      <c r="M685" s="33">
        <f>IF(L685=IF(Orders!V682,1,0),1,0)</f>
        <v>1</v>
      </c>
      <c r="N685" s="32" t="str">
        <f>IF(Orders!W682="","None",Orders!W682)</f>
        <v>None</v>
      </c>
      <c r="O685" s="35">
        <f>INT(Orders!E682)</f>
        <v>46271.0</v>
      </c>
      <c r="P685" s="33">
        <f>Orders!U682</f>
        <v>21</v>
      </c>
      <c r="Q685" s="33">
        <f>COUNTIFS(Demand!$A$2:$A$4481,B685,Demand!$B$2:$B$4481,O685,Demand!$C$2:$C$4481,P685)</f>
        <v>1</v>
      </c>
      <c r="R685" s="33">
        <f>IF(Q685=1,SUMIFS(Demand!$E$2:$E$4481,Demand!$A$2:$A$4481,B685,Demand!$B$2:$B$4481,O685,Demand!$C$2:$C$4481,P685),"")</f>
        <v>72</v>
      </c>
      <c r="S685" s="33">
        <f>INDEX(Stores!$G$2:$G$21,MATCH(B685,Stores!$A$2:$A$21,0))</f>
        <v>42</v>
      </c>
      <c r="T685" s="34">
        <f>IF(R685="","",R685/S685)</f>
        <v>1.71428571428571</v>
      </c>
      <c r="U685" s="34">
        <f>IF(E685=1,T685,"")</f>
        <v>1.71428571428571</v>
      </c>
      <c r="V685" s="34" t="str">
        <f>IF(AND(E685=1,L685=0),T685,"")</f>
        <v/>
      </c>
      <c r="W685" s="33">
        <f>IF(U685="","",IF(U685&lt;=Breakdowns!$C$5,1,IF(U685&lt;=Breakdowns!$C$6,2,IF(U685&lt;=Breakdowns!$C$7,3,4))))</f>
        <v>4</v>
      </c>
      <c r="X685" s="33" t="str">
        <f>IF(V685="","",IF(V685&lt;=Breakdowns!$D$5,1,IF(V685&lt;=Breakdowns!$D$6,2,IF(V685&lt;=Breakdowns!$D$7,3,4))))</f>
        <v/>
      </c>
      <c r="Y685" s="34">
        <f>INDEX(Stores!$F$2:$F$21,MATCH(B685,Stores!$A$2:$A$21,0))</f>
        <v>2.19</v>
      </c>
      <c r="Z685" s="33">
        <f>IF(Y685&gt;Store_Summary!$M$2,1,0)</f>
        <v>0</v>
      </c>
      <c r="AA685" s="33">
        <f>INDEX(Stores!$C$2:$C$21,MATCH(B685,Stores!$A$2:$A$21,0))</f>
        <v>850</v>
      </c>
      <c r="AB685" s="33">
        <f>IF(AA685&lt;180,1,0)</f>
        <v>0</v>
      </c>
      <c r="AC685" s="32" t="str">
        <f>IF(Orders!D682="","",INDEX(Riders!$C$2:$C$81,MATCH(Orders!D682,Riders!$A$2:$A$81,0)))</f>
        <v>EV scooter</v>
      </c>
      <c r="AD685" s="33">
        <f>IF(Orders!D682="","",INDEX(Riders!$D$2:$D$81,MATCH(Orders!D682,Riders!$A$2:$A$81,0)))</f>
        <v>45</v>
      </c>
      <c r="AE685" s="33">
        <f>IF(Orders!D682="","",IF(INDEX(Riders!$B$2:$B$81,MATCH(Orders!D682,Riders!$A$2:$A$81,0))=B685,1,0))</f>
        <v>0</v>
      </c>
      <c r="AF685" s="34">
        <f>IF(E685=1,Orders!L682,"")</f>
        <v>3.3</v>
      </c>
      <c r="AG685" s="34">
        <f>IF(E685=1,Orders!P682,"")</f>
        <v>11.3</v>
      </c>
      <c r="AH685" s="34">
        <f>IF(E685=1,Orders!Q682,"")</f>
        <v>11</v>
      </c>
      <c r="AI685" s="34">
        <f>IF(E685=1,Orders!M682,"")</f>
        <v>1.7</v>
      </c>
      <c r="AJ685" s="34">
        <f>IF(E685=1,Orders!N682,"")</f>
        <v>3.2</v>
      </c>
      <c r="AK685" s="34">
        <f>IF(E685=1,Orders!O682,"")</f>
        <v>6.1</v>
      </c>
      <c r="AL685" s="33">
        <f>IF(E685=1,IF(ROUND(ABS(AI685+AJ685+AK685-AH685),6)&lt;=0.1,1,0),"")</f>
        <v>1</v>
      </c>
      <c r="AM685" s="36">
        <f>IF(E685=1,AI685/AH685,"")</f>
        <v>0.154545454545455</v>
      </c>
      <c r="AN685" s="36">
        <f>IF(E685=1,AJ685/AH685,"")</f>
        <v>0.290909090909091</v>
      </c>
      <c r="AO685" s="36">
        <f>IF(E685=1,AK685/AH685,"")</f>
        <v>0.554545454545455</v>
      </c>
      <c r="AP685" s="34">
        <f>IF(E685=1,Orders!Y682,"")</f>
        <v>0.63</v>
      </c>
      <c r="AQ685" s="33">
        <f>IF(Orders!X682,1,0)</f>
        <v>0</v>
      </c>
      <c r="AR685" s="34">
        <f>IF(AND(E685=1,L685=1),AJ685,"")</f>
        <v>3.2</v>
      </c>
      <c r="AS685" s="34" t="str">
        <f>IF(AND(E685=1,L685=0),AJ685,"")</f>
        <v/>
      </c>
      <c r="AT685" s="34">
        <f>IF(AND(E685=1,L685=1),AI685,"")</f>
        <v>1.7</v>
      </c>
      <c r="AU685" s="34" t="str">
        <f>IF(AND(E685=1,L685=0),AI685,"")</f>
        <v/>
      </c>
      <c r="AV685" s="34">
        <f>IF(AND(E685=1,L685=1),AG685,"")</f>
        <v>11.3</v>
      </c>
      <c r="AW685" s="34" t="str">
        <f>IF(AND(E685=1,L685=0),AG685,"")</f>
        <v/>
      </c>
      <c r="AX685" s="34">
        <f>IF(AND(E685=1,L685=1),AH685,"")</f>
        <v>11</v>
      </c>
      <c r="AY685" s="34" t="str">
        <f>IF(AND(E685=1,L685=0),AH685,"")</f>
        <v/>
      </c>
      <c r="AZ685" s="34" t="str">
        <f>IF(G685=1,F685,"")</f>
        <v/>
      </c>
      <c r="BA685" s="34" t="str">
        <f>IF(AND(G685=1,L685=1),F685,"")</f>
        <v/>
      </c>
      <c r="BB685" s="34" t="str">
        <f>IF(AND(G685=1,L685=0),F685,"")</f>
        <v/>
      </c>
      <c r="BC685" s="33">
        <f>IF(E685=1,IF(Orders!R682&gt;3,1,0),"")</f>
        <v>0</v>
      </c>
      <c r="BD685" s="33">
        <f>IF(E685=1,IF(Orders!R682&gt;7,1,0),"")</f>
        <v>0</v>
      </c>
      <c r="BE685" s="32" t="str">
        <f>IF(E685=1,IF(Orders!L682&lt;=1.5,"Up to 1.5 km",IF(Orders!L682&lt;=3,"1.5–3 km","Over 3 km")),"")</f>
        <v>Over 3 km</v>
      </c>
      <c r="BF685" s="33">
        <f>IF(E685=1,IF(ABS((Orders!G682-Orders!F682)*1440-Orders!R682)&lt;0.06,1,0),"")</f>
        <v>1</v>
      </c>
      <c r="BG685" s="33">
        <f>IF(ABS((Orders!F682-Orders!E682)*1440-Orders!P682)&lt;0.06,1,0)</f>
        <v>1</v>
      </c>
      <c r="BH685" s="33">
        <f>IF(E685=1,IF(IF(Orders!S682,1,0)=1-G685,1,0),"")</f>
        <v>1</v>
      </c>
      <c r="BI685" s="32" t="str">
        <f>INDEX(Stores!$B$2:$B$21,MATCH(B685,Stores!$A$2:$A$21,0))</f>
        <v>Pune</v>
      </c>
    </row>
    <row r="686">
      <c r="A686" s="32" t="str">
        <f>Orders!A683</f>
        <v>O00682</v>
      </c>
      <c r="B686" s="32" t="str">
        <f>Orders!C683</f>
        <v>S020</v>
      </c>
      <c r="C686" s="32" t="str">
        <f>Orders!B683</f>
        <v>C0244</v>
      </c>
      <c r="D686" s="32" t="str">
        <f>Orders!H683</f>
        <v>Delivered</v>
      </c>
      <c r="E686" s="33">
        <f>IF(Orders!H683="Delivered",1,0)</f>
        <v>1</v>
      </c>
      <c r="F686" s="34">
        <f>IF(E686=1,Orders!R683,"")</f>
        <v>-1</v>
      </c>
      <c r="G686" s="33">
        <f>IF(E686=1,IF(Orders!R683&gt;0,1,0),"")</f>
        <v>0</v>
      </c>
      <c r="H686" s="33">
        <f>IF(E686=1,IF(Orders!R683&gt;5,1,0),"")</f>
        <v>0</v>
      </c>
      <c r="I686" s="32" t="str">
        <f>IF(E686=1,"",IF(OR(Orders!T683="Rider unavailable",Orders!T683="Item unavailable"),"Company-caused","Unresolved"))</f>
        <v/>
      </c>
      <c r="J686" s="33">
        <f>IF(OR(E686=1,I686="Company-caused"),1,0)</f>
        <v>1</v>
      </c>
      <c r="K686" s="32" t="str">
        <f>IF(E686=0,IF(I686="Company-caused",IF(Orders!T683="Rider unavailable","C1 Rider unavailable","C2 Item unavailable"),"Outside root: unresolved"),IF(G686=0,"A On time",IF(H686=1,IF(L686=1,"B2a Severe, peak","B2b Severe, off-peak"),IF(L686=1,"B1a Slight, peak","B1b Slight, off-peak"))))</f>
        <v>A On time</v>
      </c>
      <c r="L686" s="33">
        <f>IF(AND(Orders!U683&gt;=19,Orders!U683&lt;22),1,0)</f>
        <v>0</v>
      </c>
      <c r="M686" s="33">
        <f>IF(L686=IF(Orders!V683,1,0),1,0)</f>
        <v>1</v>
      </c>
      <c r="N686" s="32" t="str">
        <f>IF(Orders!W683="","None",Orders!W683)</f>
        <v>None</v>
      </c>
      <c r="O686" s="35">
        <f>INT(Orders!E683)</f>
        <v>46271.0</v>
      </c>
      <c r="P686" s="33">
        <f>Orders!U683</f>
        <v>12</v>
      </c>
      <c r="Q686" s="33">
        <f>COUNTIFS(Demand!$A$2:$A$4481,B686,Demand!$B$2:$B$4481,O686,Demand!$C$2:$C$4481,P686)</f>
        <v>1</v>
      </c>
      <c r="R686" s="33">
        <f>IF(Q686=1,SUMIFS(Demand!$E$2:$E$4481,Demand!$A$2:$A$4481,B686,Demand!$B$2:$B$4481,O686,Demand!$C$2:$C$4481,P686),"")</f>
        <v>14</v>
      </c>
      <c r="S686" s="33">
        <f>INDEX(Stores!$G$2:$G$21,MATCH(B686,Stores!$A$2:$A$21,0))</f>
        <v>15</v>
      </c>
      <c r="T686" s="34">
        <f>IF(R686="","",R686/S686)</f>
        <v>0.933333333333333</v>
      </c>
      <c r="U686" s="34">
        <f>IF(E686=1,T686,"")</f>
        <v>0.933333333333333</v>
      </c>
      <c r="V686" s="34">
        <f>IF(AND(E686=1,L686=0),T686,"")</f>
        <v>0.933333333333333</v>
      </c>
      <c r="W686" s="33">
        <f>IF(U686="","",IF(U686&lt;=Breakdowns!$C$5,1,IF(U686&lt;=Breakdowns!$C$6,2,IF(U686&lt;=Breakdowns!$C$7,3,4))))</f>
        <v>2</v>
      </c>
      <c r="X686" s="33">
        <f>IF(V686="","",IF(V686&lt;=Breakdowns!$D$5,1,IF(V686&lt;=Breakdowns!$D$6,2,IF(V686&lt;=Breakdowns!$D$7,3,4))))</f>
        <v>3</v>
      </c>
      <c r="Y686" s="34">
        <f>INDEX(Stores!$F$2:$F$21,MATCH(B686,Stores!$A$2:$A$21,0))</f>
        <v>5.74</v>
      </c>
      <c r="Z686" s="33">
        <f>IF(Y686&gt;Store_Summary!$M$2,1,0)</f>
        <v>1</v>
      </c>
      <c r="AA686" s="33">
        <f>INDEX(Stores!$C$2:$C$21,MATCH(B686,Stores!$A$2:$A$21,0))</f>
        <v>647</v>
      </c>
      <c r="AB686" s="33">
        <f>IF(AA686&lt;180,1,0)</f>
        <v>0</v>
      </c>
      <c r="AC686" s="32" t="str">
        <f>IF(Orders!D683="","",INDEX(Riders!$C$2:$C$81,MATCH(Orders!D683,Riders!$A$2:$A$81,0)))</f>
        <v>Petrol scooter</v>
      </c>
      <c r="AD686" s="33">
        <f>IF(Orders!D683="","",INDEX(Riders!$D$2:$D$81,MATCH(Orders!D683,Riders!$A$2:$A$81,0)))</f>
        <v>1</v>
      </c>
      <c r="AE686" s="33">
        <f>IF(Orders!D683="","",IF(INDEX(Riders!$B$2:$B$81,MATCH(Orders!D683,Riders!$A$2:$A$81,0))=B686,1,0))</f>
        <v>0</v>
      </c>
      <c r="AF686" s="34">
        <f>IF(E686=1,Orders!L683,"")</f>
        <v>1.18</v>
      </c>
      <c r="AG686" s="34">
        <f>IF(E686=1,Orders!P683,"")</f>
        <v>10.7</v>
      </c>
      <c r="AH686" s="34">
        <f>IF(E686=1,Orders!Q683,"")</f>
        <v>9.7</v>
      </c>
      <c r="AI686" s="34">
        <f>IF(E686=1,Orders!M683,"")</f>
        <v>3.9</v>
      </c>
      <c r="AJ686" s="34">
        <f>IF(E686=1,Orders!N683,"")</f>
        <v>3.4</v>
      </c>
      <c r="AK686" s="34">
        <f>IF(E686=1,Orders!O683,"")</f>
        <v>2.4</v>
      </c>
      <c r="AL686" s="33">
        <f>IF(E686=1,IF(ROUND(ABS(AI686+AJ686+AK686-AH686),6)&lt;=0.1,1,0),"")</f>
        <v>1</v>
      </c>
      <c r="AM686" s="36">
        <f>IF(E686=1,AI686/AH686,"")</f>
        <v>0.402061855670103</v>
      </c>
      <c r="AN686" s="36">
        <f>IF(E686=1,AJ686/AH686,"")</f>
        <v>0.350515463917526</v>
      </c>
      <c r="AO686" s="36">
        <f>IF(E686=1,AK686/AH686,"")</f>
        <v>0.247422680412371</v>
      </c>
      <c r="AP686" s="34">
        <f>IF(E686=1,Orders!Y683,"")</f>
        <v>0.3</v>
      </c>
      <c r="AQ686" s="33">
        <f>IF(Orders!X683,1,0)</f>
        <v>0</v>
      </c>
      <c r="AR686" s="34" t="str">
        <f>IF(AND(E686=1,L686=1),AJ686,"")</f>
        <v/>
      </c>
      <c r="AS686" s="34">
        <f>IF(AND(E686=1,L686=0),AJ686,"")</f>
        <v>3.4</v>
      </c>
      <c r="AT686" s="34" t="str">
        <f>IF(AND(E686=1,L686=1),AI686,"")</f>
        <v/>
      </c>
      <c r="AU686" s="34">
        <f>IF(AND(E686=1,L686=0),AI686,"")</f>
        <v>3.9</v>
      </c>
      <c r="AV686" s="34" t="str">
        <f>IF(AND(E686=1,L686=1),AG686,"")</f>
        <v/>
      </c>
      <c r="AW686" s="34">
        <f>IF(AND(E686=1,L686=0),AG686,"")</f>
        <v>10.7</v>
      </c>
      <c r="AX686" s="34" t="str">
        <f>IF(AND(E686=1,L686=1),AH686,"")</f>
        <v/>
      </c>
      <c r="AY686" s="34">
        <f>IF(AND(E686=1,L686=0),AH686,"")</f>
        <v>9.7</v>
      </c>
      <c r="AZ686" s="34" t="str">
        <f>IF(G686=1,F686,"")</f>
        <v/>
      </c>
      <c r="BA686" s="34" t="str">
        <f>IF(AND(G686=1,L686=1),F686,"")</f>
        <v/>
      </c>
      <c r="BB686" s="34" t="str">
        <f>IF(AND(G686=1,L686=0),F686,"")</f>
        <v/>
      </c>
      <c r="BC686" s="33">
        <f>IF(E686=1,IF(Orders!R683&gt;3,1,0),"")</f>
        <v>0</v>
      </c>
      <c r="BD686" s="33">
        <f>IF(E686=1,IF(Orders!R683&gt;7,1,0),"")</f>
        <v>0</v>
      </c>
      <c r="BE686" s="32" t="str">
        <f>IF(E686=1,IF(Orders!L683&lt;=1.5,"Up to 1.5 km",IF(Orders!L683&lt;=3,"1.5–3 km","Over 3 km")),"")</f>
        <v>Up to 1.5 km</v>
      </c>
      <c r="BF686" s="33">
        <f>IF(E686=1,IF(ABS((Orders!G683-Orders!F683)*1440-Orders!R683)&lt;0.06,1,0),"")</f>
        <v>1</v>
      </c>
      <c r="BG686" s="33">
        <f>IF(ABS((Orders!F683-Orders!E683)*1440-Orders!P683)&lt;0.06,1,0)</f>
        <v>1</v>
      </c>
      <c r="BH686" s="33">
        <f>IF(E686=1,IF(IF(Orders!S683,1,0)=1-G686,1,0),"")</f>
        <v>1</v>
      </c>
      <c r="BI686" s="32" t="str">
        <f>INDEX(Stores!$B$2:$B$21,MATCH(B686,Stores!$A$2:$A$21,0))</f>
        <v>Delhi</v>
      </c>
    </row>
    <row r="687">
      <c r="A687" s="32" t="str">
        <f>Orders!A684</f>
        <v>O00683</v>
      </c>
      <c r="B687" s="32" t="str">
        <f>Orders!C684</f>
        <v>S005</v>
      </c>
      <c r="C687" s="32" t="str">
        <f>Orders!B684</f>
        <v>C0150</v>
      </c>
      <c r="D687" s="32" t="str">
        <f>Orders!H684</f>
        <v>Delivered</v>
      </c>
      <c r="E687" s="33">
        <f>IF(Orders!H684="Delivered",1,0)</f>
        <v>1</v>
      </c>
      <c r="F687" s="34">
        <f>IF(E687=1,Orders!R684,"")</f>
        <v>11.3</v>
      </c>
      <c r="G687" s="33">
        <f>IF(E687=1,IF(Orders!R684&gt;0,1,0),"")</f>
        <v>1</v>
      </c>
      <c r="H687" s="33">
        <f>IF(E687=1,IF(Orders!R684&gt;5,1,0),"")</f>
        <v>1</v>
      </c>
      <c r="I687" s="32" t="str">
        <f>IF(E687=1,"",IF(OR(Orders!T684="Rider unavailable",Orders!T684="Item unavailable"),"Company-caused","Unresolved"))</f>
        <v/>
      </c>
      <c r="J687" s="33">
        <f>IF(OR(E687=1,I687="Company-caused"),1,0)</f>
        <v>1</v>
      </c>
      <c r="K687" s="32" t="str">
        <f>IF(E687=0,IF(I687="Company-caused",IF(Orders!T684="Rider unavailable","C1 Rider unavailable","C2 Item unavailable"),"Outside root: unresolved"),IF(G687=0,"A On time",IF(H687=1,IF(L687=1,"B2a Severe, peak","B2b Severe, off-peak"),IF(L687=1,"B1a Slight, peak","B1b Slight, off-peak"))))</f>
        <v>B2b Severe, off-peak</v>
      </c>
      <c r="L687" s="33">
        <f>IF(AND(Orders!U684&gt;=19,Orders!U684&lt;22),1,0)</f>
        <v>0</v>
      </c>
      <c r="M687" s="33">
        <f>IF(L687=IF(Orders!V684,1,0),1,0)</f>
        <v>1</v>
      </c>
      <c r="N687" s="32" t="str">
        <f>IF(Orders!W684="","None",Orders!W684)</f>
        <v>Heavy</v>
      </c>
      <c r="O687" s="35">
        <f>INT(Orders!E684)</f>
        <v>46270.0</v>
      </c>
      <c r="P687" s="33">
        <f>Orders!U684</f>
        <v>8</v>
      </c>
      <c r="Q687" s="33">
        <f>COUNTIFS(Demand!$A$2:$A$4481,B687,Demand!$B$2:$B$4481,O687,Demand!$C$2:$C$4481,P687)</f>
        <v>1</v>
      </c>
      <c r="R687" s="33">
        <f>IF(Q687=1,SUMIFS(Demand!$E$2:$E$4481,Demand!$A$2:$A$4481,B687,Demand!$B$2:$B$4481,O687,Demand!$C$2:$C$4481,P687),"")</f>
        <v>11</v>
      </c>
      <c r="S687" s="33">
        <f>INDEX(Stores!$G$2:$G$21,MATCH(B687,Stores!$A$2:$A$21,0))</f>
        <v>14</v>
      </c>
      <c r="T687" s="34">
        <f>IF(R687="","",R687/S687)</f>
        <v>0.785714285714286</v>
      </c>
      <c r="U687" s="34">
        <f>IF(E687=1,T687,"")</f>
        <v>0.785714285714286</v>
      </c>
      <c r="V687" s="34">
        <f>IF(AND(E687=1,L687=0),T687,"")</f>
        <v>0.785714285714286</v>
      </c>
      <c r="W687" s="33">
        <f>IF(U687="","",IF(U687&lt;=Breakdowns!$C$5,1,IF(U687&lt;=Breakdowns!$C$6,2,IF(U687&lt;=Breakdowns!$C$7,3,4))))</f>
        <v>1</v>
      </c>
      <c r="X687" s="33">
        <f>IF(V687="","",IF(V687&lt;=Breakdowns!$D$5,1,IF(V687&lt;=Breakdowns!$D$6,2,IF(V687&lt;=Breakdowns!$D$7,3,4))))</f>
        <v>2</v>
      </c>
      <c r="Y687" s="34">
        <f>INDEX(Stores!$F$2:$F$21,MATCH(B687,Stores!$A$2:$A$21,0))</f>
        <v>4.89</v>
      </c>
      <c r="Z687" s="33">
        <f>IF(Y687&gt;Store_Summary!$M$2,1,0)</f>
        <v>0</v>
      </c>
      <c r="AA687" s="33">
        <f>INDEX(Stores!$C$2:$C$21,MATCH(B687,Stores!$A$2:$A$21,0))</f>
        <v>138</v>
      </c>
      <c r="AB687" s="33">
        <f>IF(AA687&lt;180,1,0)</f>
        <v>1</v>
      </c>
      <c r="AC687" s="32" t="str">
        <f>IF(Orders!D684="","",INDEX(Riders!$C$2:$C$81,MATCH(Orders!D684,Riders!$A$2:$A$81,0)))</f>
        <v>EV scooter</v>
      </c>
      <c r="AD687" s="33">
        <f>IF(Orders!D684="","",INDEX(Riders!$D$2:$D$81,MATCH(Orders!D684,Riders!$A$2:$A$81,0)))</f>
        <v>2</v>
      </c>
      <c r="AE687" s="33">
        <f>IF(Orders!D684="","",IF(INDEX(Riders!$B$2:$B$81,MATCH(Orders!D684,Riders!$A$2:$A$81,0))=B687,1,0))</f>
        <v>0</v>
      </c>
      <c r="AF687" s="34">
        <f>IF(E687=1,Orders!L684,"")</f>
        <v>3.31</v>
      </c>
      <c r="AG687" s="34">
        <f>IF(E687=1,Orders!P684,"")</f>
        <v>10.1</v>
      </c>
      <c r="AH687" s="34">
        <f>IF(E687=1,Orders!Q684,"")</f>
        <v>21.4</v>
      </c>
      <c r="AI687" s="34">
        <f>IF(E687=1,Orders!M684,"")</f>
        <v>6.2</v>
      </c>
      <c r="AJ687" s="34">
        <f>IF(E687=1,Orders!N684,"")</f>
        <v>5.4</v>
      </c>
      <c r="AK687" s="34">
        <f>IF(E687=1,Orders!O684,"")</f>
        <v>9.8</v>
      </c>
      <c r="AL687" s="33">
        <f>IF(E687=1,IF(ROUND(ABS(AI687+AJ687+AK687-AH687),6)&lt;=0.1,1,0),"")</f>
        <v>1</v>
      </c>
      <c r="AM687" s="36">
        <f>IF(E687=1,AI687/AH687,"")</f>
        <v>0.289719626168224</v>
      </c>
      <c r="AN687" s="36">
        <f>IF(E687=1,AJ687/AH687,"")</f>
        <v>0.252336448598131</v>
      </c>
      <c r="AO687" s="36">
        <f>IF(E687=1,AK687/AH687,"")</f>
        <v>0.457943925233645</v>
      </c>
      <c r="AP687" s="34">
        <f>IF(E687=1,Orders!Y684,"")</f>
        <v>0.43</v>
      </c>
      <c r="AQ687" s="33">
        <f>IF(Orders!X684,1,0)</f>
        <v>0</v>
      </c>
      <c r="AR687" s="34" t="str">
        <f>IF(AND(E687=1,L687=1),AJ687,"")</f>
        <v/>
      </c>
      <c r="AS687" s="34">
        <f>IF(AND(E687=1,L687=0),AJ687,"")</f>
        <v>5.4</v>
      </c>
      <c r="AT687" s="34" t="str">
        <f>IF(AND(E687=1,L687=1),AI687,"")</f>
        <v/>
      </c>
      <c r="AU687" s="34">
        <f>IF(AND(E687=1,L687=0),AI687,"")</f>
        <v>6.2</v>
      </c>
      <c r="AV687" s="34" t="str">
        <f>IF(AND(E687=1,L687=1),AG687,"")</f>
        <v/>
      </c>
      <c r="AW687" s="34">
        <f>IF(AND(E687=1,L687=0),AG687,"")</f>
        <v>10.1</v>
      </c>
      <c r="AX687" s="34" t="str">
        <f>IF(AND(E687=1,L687=1),AH687,"")</f>
        <v/>
      </c>
      <c r="AY687" s="34">
        <f>IF(AND(E687=1,L687=0),AH687,"")</f>
        <v>21.4</v>
      </c>
      <c r="AZ687" s="34">
        <f>IF(G687=1,F687,"")</f>
        <v>11.3</v>
      </c>
      <c r="BA687" s="34" t="str">
        <f>IF(AND(G687=1,L687=1),F687,"")</f>
        <v/>
      </c>
      <c r="BB687" s="34">
        <f>IF(AND(G687=1,L687=0),F687,"")</f>
        <v>11.3</v>
      </c>
      <c r="BC687" s="33">
        <f>IF(E687=1,IF(Orders!R684&gt;3,1,0),"")</f>
        <v>1</v>
      </c>
      <c r="BD687" s="33">
        <f>IF(E687=1,IF(Orders!R684&gt;7,1,0),"")</f>
        <v>1</v>
      </c>
      <c r="BE687" s="32" t="str">
        <f>IF(E687=1,IF(Orders!L684&lt;=1.5,"Up to 1.5 km",IF(Orders!L684&lt;=3,"1.5–3 km","Over 3 km")),"")</f>
        <v>Over 3 km</v>
      </c>
      <c r="BF687" s="33">
        <f>IF(E687=1,IF(ABS((Orders!G684-Orders!F684)*1440-Orders!R684)&lt;0.06,1,0),"")</f>
        <v>1</v>
      </c>
      <c r="BG687" s="33">
        <f>IF(ABS((Orders!F684-Orders!E684)*1440-Orders!P684)&lt;0.06,1,0)</f>
        <v>1</v>
      </c>
      <c r="BH687" s="33">
        <f>IF(E687=1,IF(IF(Orders!S684,1,0)=1-G687,1,0),"")</f>
        <v>1</v>
      </c>
      <c r="BI687" s="32" t="str">
        <f>INDEX(Stores!$B$2:$B$21,MATCH(B687,Stores!$A$2:$A$21,0))</f>
        <v>Delhi</v>
      </c>
    </row>
    <row r="688">
      <c r="A688" s="32" t="str">
        <f>Orders!A685</f>
        <v>O00684</v>
      </c>
      <c r="B688" s="32" t="str">
        <f>Orders!C685</f>
        <v>S017</v>
      </c>
      <c r="C688" s="32" t="str">
        <f>Orders!B685</f>
        <v>C0164</v>
      </c>
      <c r="D688" s="32" t="str">
        <f>Orders!H685</f>
        <v>Delivered</v>
      </c>
      <c r="E688" s="33">
        <f>IF(Orders!H685="Delivered",1,0)</f>
        <v>1</v>
      </c>
      <c r="F688" s="34">
        <f>IF(E688=1,Orders!R685,"")</f>
        <v>-0.6</v>
      </c>
      <c r="G688" s="33">
        <f>IF(E688=1,IF(Orders!R685&gt;0,1,0),"")</f>
        <v>0</v>
      </c>
      <c r="H688" s="33">
        <f>IF(E688=1,IF(Orders!R685&gt;5,1,0),"")</f>
        <v>0</v>
      </c>
      <c r="I688" s="32" t="str">
        <f>IF(E688=1,"",IF(OR(Orders!T685="Rider unavailable",Orders!T685="Item unavailable"),"Company-caused","Unresolved"))</f>
        <v/>
      </c>
      <c r="J688" s="33">
        <f>IF(OR(E688=1,I688="Company-caused"),1,0)</f>
        <v>1</v>
      </c>
      <c r="K688" s="32" t="str">
        <f>IF(E688=0,IF(I688="Company-caused",IF(Orders!T685="Rider unavailable","C1 Rider unavailable","C2 Item unavailable"),"Outside root: unresolved"),IF(G688=0,"A On time",IF(H688=1,IF(L688=1,"B2a Severe, peak","B2b Severe, off-peak"),IF(L688=1,"B1a Slight, peak","B1b Slight, off-peak"))))</f>
        <v>A On time</v>
      </c>
      <c r="L688" s="33">
        <f>IF(AND(Orders!U685&gt;=19,Orders!U685&lt;22),1,0)</f>
        <v>0</v>
      </c>
      <c r="M688" s="33">
        <f>IF(L688=IF(Orders!V685,1,0),1,0)</f>
        <v>1</v>
      </c>
      <c r="N688" s="32" t="str">
        <f>IF(Orders!W685="","None",Orders!W685)</f>
        <v>None</v>
      </c>
      <c r="O688" s="35">
        <f>INT(Orders!E685)</f>
        <v>46275.0</v>
      </c>
      <c r="P688" s="33">
        <f>Orders!U685</f>
        <v>10</v>
      </c>
      <c r="Q688" s="33">
        <f>COUNTIFS(Demand!$A$2:$A$4481,B688,Demand!$B$2:$B$4481,O688,Demand!$C$2:$C$4481,P688)</f>
        <v>1</v>
      </c>
      <c r="R688" s="33">
        <f>IF(Q688=1,SUMIFS(Demand!$E$2:$E$4481,Demand!$A$2:$A$4481,B688,Demand!$B$2:$B$4481,O688,Demand!$C$2:$C$4481,P688),"")</f>
        <v>23</v>
      </c>
      <c r="S688" s="33">
        <f>INDEX(Stores!$G$2:$G$21,MATCH(B688,Stores!$A$2:$A$21,0))</f>
        <v>36</v>
      </c>
      <c r="T688" s="34">
        <f>IF(R688="","",R688/S688)</f>
        <v>0.638888888888889</v>
      </c>
      <c r="U688" s="34">
        <f>IF(E688=1,T688,"")</f>
        <v>0.638888888888889</v>
      </c>
      <c r="V688" s="34">
        <f>IF(AND(E688=1,L688=0),T688,"")</f>
        <v>0.638888888888889</v>
      </c>
      <c r="W688" s="33">
        <f>IF(U688="","",IF(U688&lt;=Breakdowns!$C$5,1,IF(U688&lt;=Breakdowns!$C$6,2,IF(U688&lt;=Breakdowns!$C$7,3,4))))</f>
        <v>1</v>
      </c>
      <c r="X688" s="33">
        <f>IF(V688="","",IF(V688&lt;=Breakdowns!$D$5,1,IF(V688&lt;=Breakdowns!$D$6,2,IF(V688&lt;=Breakdowns!$D$7,3,4))))</f>
        <v>1</v>
      </c>
      <c r="Y688" s="34">
        <f>INDEX(Stores!$F$2:$F$21,MATCH(B688,Stores!$A$2:$A$21,0))</f>
        <v>2.16</v>
      </c>
      <c r="Z688" s="33">
        <f>IF(Y688&gt;Store_Summary!$M$2,1,0)</f>
        <v>0</v>
      </c>
      <c r="AA688" s="33">
        <f>INDEX(Stores!$C$2:$C$21,MATCH(B688,Stores!$A$2:$A$21,0))</f>
        <v>47</v>
      </c>
      <c r="AB688" s="33">
        <f>IF(AA688&lt;180,1,0)</f>
        <v>1</v>
      </c>
      <c r="AC688" s="32" t="str">
        <f>IF(Orders!D685="","",INDEX(Riders!$C$2:$C$81,MATCH(Orders!D685,Riders!$A$2:$A$81,0)))</f>
        <v>Petrol scooter</v>
      </c>
      <c r="AD688" s="33">
        <f>IF(Orders!D685="","",INDEX(Riders!$D$2:$D$81,MATCH(Orders!D685,Riders!$A$2:$A$81,0)))</f>
        <v>29</v>
      </c>
      <c r="AE688" s="33">
        <f>IF(Orders!D685="","",IF(INDEX(Riders!$B$2:$B$81,MATCH(Orders!D685,Riders!$A$2:$A$81,0))=B688,1,0))</f>
        <v>0</v>
      </c>
      <c r="AF688" s="34">
        <f>IF(E688=1,Orders!L685,"")</f>
        <v>1.95</v>
      </c>
      <c r="AG688" s="34">
        <f>IF(E688=1,Orders!P685,"")</f>
        <v>10.3</v>
      </c>
      <c r="AH688" s="34">
        <f>IF(E688=1,Orders!Q685,"")</f>
        <v>9.7</v>
      </c>
      <c r="AI688" s="34">
        <f>IF(E688=1,Orders!M685,"")</f>
        <v>2.2</v>
      </c>
      <c r="AJ688" s="34">
        <f>IF(E688=1,Orders!N685,"")</f>
        <v>3.4</v>
      </c>
      <c r="AK688" s="34">
        <f>IF(E688=1,Orders!O685,"")</f>
        <v>4.1</v>
      </c>
      <c r="AL688" s="33">
        <f>IF(E688=1,IF(ROUND(ABS(AI688+AJ688+AK688-AH688),6)&lt;=0.1,1,0),"")</f>
        <v>1</v>
      </c>
      <c r="AM688" s="36">
        <f>IF(E688=1,AI688/AH688,"")</f>
        <v>0.22680412371134</v>
      </c>
      <c r="AN688" s="36">
        <f>IF(E688=1,AJ688/AH688,"")</f>
        <v>0.350515463917526</v>
      </c>
      <c r="AO688" s="36">
        <f>IF(E688=1,AK688/AH688,"")</f>
        <v>0.422680412371134</v>
      </c>
      <c r="AP688" s="34">
        <f>IF(E688=1,Orders!Y685,"")</f>
        <v>0.39</v>
      </c>
      <c r="AQ688" s="33">
        <f>IF(Orders!X685,1,0)</f>
        <v>0</v>
      </c>
      <c r="AR688" s="34" t="str">
        <f>IF(AND(E688=1,L688=1),AJ688,"")</f>
        <v/>
      </c>
      <c r="AS688" s="34">
        <f>IF(AND(E688=1,L688=0),AJ688,"")</f>
        <v>3.4</v>
      </c>
      <c r="AT688" s="34" t="str">
        <f>IF(AND(E688=1,L688=1),AI688,"")</f>
        <v/>
      </c>
      <c r="AU688" s="34">
        <f>IF(AND(E688=1,L688=0),AI688,"")</f>
        <v>2.2</v>
      </c>
      <c r="AV688" s="34" t="str">
        <f>IF(AND(E688=1,L688=1),AG688,"")</f>
        <v/>
      </c>
      <c r="AW688" s="34">
        <f>IF(AND(E688=1,L688=0),AG688,"")</f>
        <v>10.3</v>
      </c>
      <c r="AX688" s="34" t="str">
        <f>IF(AND(E688=1,L688=1),AH688,"")</f>
        <v/>
      </c>
      <c r="AY688" s="34">
        <f>IF(AND(E688=1,L688=0),AH688,"")</f>
        <v>9.7</v>
      </c>
      <c r="AZ688" s="34" t="str">
        <f>IF(G688=1,F688,"")</f>
        <v/>
      </c>
      <c r="BA688" s="34" t="str">
        <f>IF(AND(G688=1,L688=1),F688,"")</f>
        <v/>
      </c>
      <c r="BB688" s="34" t="str">
        <f>IF(AND(G688=1,L688=0),F688,"")</f>
        <v/>
      </c>
      <c r="BC688" s="33">
        <f>IF(E688=1,IF(Orders!R685&gt;3,1,0),"")</f>
        <v>0</v>
      </c>
      <c r="BD688" s="33">
        <f>IF(E688=1,IF(Orders!R685&gt;7,1,0),"")</f>
        <v>0</v>
      </c>
      <c r="BE688" s="32" t="str">
        <f>IF(E688=1,IF(Orders!L685&lt;=1.5,"Up to 1.5 km",IF(Orders!L685&lt;=3,"1.5–3 km","Over 3 km")),"")</f>
        <v>1.5–3 km</v>
      </c>
      <c r="BF688" s="33">
        <f>IF(E688=1,IF(ABS((Orders!G685-Orders!F685)*1440-Orders!R685)&lt;0.06,1,0),"")</f>
        <v>1</v>
      </c>
      <c r="BG688" s="33">
        <f>IF(ABS((Orders!F685-Orders!E685)*1440-Orders!P685)&lt;0.06,1,0)</f>
        <v>1</v>
      </c>
      <c r="BH688" s="33">
        <f>IF(E688=1,IF(IF(Orders!S685,1,0)=1-G688,1,0),"")</f>
        <v>1</v>
      </c>
      <c r="BI688" s="32" t="str">
        <f>INDEX(Stores!$B$2:$B$21,MATCH(B688,Stores!$A$2:$A$21,0))</f>
        <v>Hyderabad</v>
      </c>
    </row>
    <row r="689">
      <c r="A689" s="32" t="str">
        <f>Orders!A686</f>
        <v>O00685</v>
      </c>
      <c r="B689" s="32" t="str">
        <f>Orders!C686</f>
        <v>S016</v>
      </c>
      <c r="C689" s="32" t="str">
        <f>Orders!B686</f>
        <v>C0110</v>
      </c>
      <c r="D689" s="32" t="str">
        <f>Orders!H686</f>
        <v>Delivered</v>
      </c>
      <c r="E689" s="33">
        <f>IF(Orders!H686="Delivered",1,0)</f>
        <v>1</v>
      </c>
      <c r="F689" s="34">
        <f>IF(E689=1,Orders!R686,"")</f>
        <v>-0.8</v>
      </c>
      <c r="G689" s="33">
        <f>IF(E689=1,IF(Orders!R686&gt;0,1,0),"")</f>
        <v>0</v>
      </c>
      <c r="H689" s="33">
        <f>IF(E689=1,IF(Orders!R686&gt;5,1,0),"")</f>
        <v>0</v>
      </c>
      <c r="I689" s="32" t="str">
        <f>IF(E689=1,"",IF(OR(Orders!T686="Rider unavailable",Orders!T686="Item unavailable"),"Company-caused","Unresolved"))</f>
        <v/>
      </c>
      <c r="J689" s="33">
        <f>IF(OR(E689=1,I689="Company-caused"),1,0)</f>
        <v>1</v>
      </c>
      <c r="K689" s="32" t="str">
        <f>IF(E689=0,IF(I689="Company-caused",IF(Orders!T686="Rider unavailable","C1 Rider unavailable","C2 Item unavailable"),"Outside root: unresolved"),IF(G689=0,"A On time",IF(H689=1,IF(L689=1,"B2a Severe, peak","B2b Severe, off-peak"),IF(L689=1,"B1a Slight, peak","B1b Slight, off-peak"))))</f>
        <v>A On time</v>
      </c>
      <c r="L689" s="33">
        <f>IF(AND(Orders!U686&gt;=19,Orders!U686&lt;22),1,0)</f>
        <v>0</v>
      </c>
      <c r="M689" s="33">
        <f>IF(L689=IF(Orders!V686,1,0),1,0)</f>
        <v>1</v>
      </c>
      <c r="N689" s="32" t="str">
        <f>IF(Orders!W686="","None",Orders!W686)</f>
        <v>None</v>
      </c>
      <c r="O689" s="35">
        <f>INT(Orders!E686)</f>
        <v>46278.0</v>
      </c>
      <c r="P689" s="33">
        <f>Orders!U686</f>
        <v>15</v>
      </c>
      <c r="Q689" s="33">
        <f>COUNTIFS(Demand!$A$2:$A$4481,B689,Demand!$B$2:$B$4481,O689,Demand!$C$2:$C$4481,P689)</f>
        <v>1</v>
      </c>
      <c r="R689" s="33">
        <f>IF(Q689=1,SUMIFS(Demand!$E$2:$E$4481,Demand!$A$2:$A$4481,B689,Demand!$B$2:$B$4481,O689,Demand!$C$2:$C$4481,P689),"")</f>
        <v>19</v>
      </c>
      <c r="S689" s="33">
        <f>INDEX(Stores!$G$2:$G$21,MATCH(B689,Stores!$A$2:$A$21,0))</f>
        <v>25</v>
      </c>
      <c r="T689" s="34">
        <f>IF(R689="","",R689/S689)</f>
        <v>0.76</v>
      </c>
      <c r="U689" s="34">
        <f>IF(E689=1,T689,"")</f>
        <v>0.76</v>
      </c>
      <c r="V689" s="34">
        <f>IF(AND(E689=1,L689=0),T689,"")</f>
        <v>0.76</v>
      </c>
      <c r="W689" s="33">
        <f>IF(U689="","",IF(U689&lt;=Breakdowns!$C$5,1,IF(U689&lt;=Breakdowns!$C$6,2,IF(U689&lt;=Breakdowns!$C$7,3,4))))</f>
        <v>1</v>
      </c>
      <c r="X689" s="33">
        <f>IF(V689="","",IF(V689&lt;=Breakdowns!$D$5,1,IF(V689&lt;=Breakdowns!$D$6,2,IF(V689&lt;=Breakdowns!$D$7,3,4))))</f>
        <v>2</v>
      </c>
      <c r="Y689" s="34">
        <f>INDEX(Stores!$F$2:$F$21,MATCH(B689,Stores!$A$2:$A$21,0))</f>
        <v>5.51</v>
      </c>
      <c r="Z689" s="33">
        <f>IF(Y689&gt;Store_Summary!$M$2,1,0)</f>
        <v>1</v>
      </c>
      <c r="AA689" s="33">
        <f>INDEX(Stores!$C$2:$C$21,MATCH(B689,Stores!$A$2:$A$21,0))</f>
        <v>792</v>
      </c>
      <c r="AB689" s="33">
        <f>IF(AA689&lt;180,1,0)</f>
        <v>0</v>
      </c>
      <c r="AC689" s="32" t="str">
        <f>IF(Orders!D686="","",INDEX(Riders!$C$2:$C$81,MATCH(Orders!D686,Riders!$A$2:$A$81,0)))</f>
        <v>Petrol scooter</v>
      </c>
      <c r="AD689" s="33">
        <f>IF(Orders!D686="","",INDEX(Riders!$D$2:$D$81,MATCH(Orders!D686,Riders!$A$2:$A$81,0)))</f>
        <v>42</v>
      </c>
      <c r="AE689" s="33">
        <f>IF(Orders!D686="","",IF(INDEX(Riders!$B$2:$B$81,MATCH(Orders!D686,Riders!$A$2:$A$81,0))=B689,1,0))</f>
        <v>0</v>
      </c>
      <c r="AF689" s="34">
        <f>IF(E689=1,Orders!L686,"")</f>
        <v>2.6</v>
      </c>
      <c r="AG689" s="34">
        <f>IF(E689=1,Orders!P686,"")</f>
        <v>10.9</v>
      </c>
      <c r="AH689" s="34">
        <f>IF(E689=1,Orders!Q686,"")</f>
        <v>10.1</v>
      </c>
      <c r="AI689" s="34">
        <f>IF(E689=1,Orders!M686,"")</f>
        <v>3.8</v>
      </c>
      <c r="AJ689" s="34">
        <f>IF(E689=1,Orders!N686,"")</f>
        <v>2.5</v>
      </c>
      <c r="AK689" s="34">
        <f>IF(E689=1,Orders!O686,"")</f>
        <v>3.8</v>
      </c>
      <c r="AL689" s="33">
        <f>IF(E689=1,IF(ROUND(ABS(AI689+AJ689+AK689-AH689),6)&lt;=0.1,1,0),"")</f>
        <v>1</v>
      </c>
      <c r="AM689" s="36">
        <f>IF(E689=1,AI689/AH689,"")</f>
        <v>0.376237623762376</v>
      </c>
      <c r="AN689" s="36">
        <f>IF(E689=1,AJ689/AH689,"")</f>
        <v>0.247524752475248</v>
      </c>
      <c r="AO689" s="36">
        <f>IF(E689=1,AK689/AH689,"")</f>
        <v>0.376237623762376</v>
      </c>
      <c r="AP689" s="34">
        <f>IF(E689=1,Orders!Y686,"")</f>
        <v>0.46</v>
      </c>
      <c r="AQ689" s="33">
        <f>IF(Orders!X686,1,0)</f>
        <v>0</v>
      </c>
      <c r="AR689" s="34" t="str">
        <f>IF(AND(E689=1,L689=1),AJ689,"")</f>
        <v/>
      </c>
      <c r="AS689" s="34">
        <f>IF(AND(E689=1,L689=0),AJ689,"")</f>
        <v>2.5</v>
      </c>
      <c r="AT689" s="34" t="str">
        <f>IF(AND(E689=1,L689=1),AI689,"")</f>
        <v/>
      </c>
      <c r="AU689" s="34">
        <f>IF(AND(E689=1,L689=0),AI689,"")</f>
        <v>3.8</v>
      </c>
      <c r="AV689" s="34" t="str">
        <f>IF(AND(E689=1,L689=1),AG689,"")</f>
        <v/>
      </c>
      <c r="AW689" s="34">
        <f>IF(AND(E689=1,L689=0),AG689,"")</f>
        <v>10.9</v>
      </c>
      <c r="AX689" s="34" t="str">
        <f>IF(AND(E689=1,L689=1),AH689,"")</f>
        <v/>
      </c>
      <c r="AY689" s="34">
        <f>IF(AND(E689=1,L689=0),AH689,"")</f>
        <v>10.1</v>
      </c>
      <c r="AZ689" s="34" t="str">
        <f>IF(G689=1,F689,"")</f>
        <v/>
      </c>
      <c r="BA689" s="34" t="str">
        <f>IF(AND(G689=1,L689=1),F689,"")</f>
        <v/>
      </c>
      <c r="BB689" s="34" t="str">
        <f>IF(AND(G689=1,L689=0),F689,"")</f>
        <v/>
      </c>
      <c r="BC689" s="33">
        <f>IF(E689=1,IF(Orders!R686&gt;3,1,0),"")</f>
        <v>0</v>
      </c>
      <c r="BD689" s="33">
        <f>IF(E689=1,IF(Orders!R686&gt;7,1,0),"")</f>
        <v>0</v>
      </c>
      <c r="BE689" s="32" t="str">
        <f>IF(E689=1,IF(Orders!L686&lt;=1.5,"Up to 1.5 km",IF(Orders!L686&lt;=3,"1.5–3 km","Over 3 km")),"")</f>
        <v>1.5–3 km</v>
      </c>
      <c r="BF689" s="33">
        <f>IF(E689=1,IF(ABS((Orders!G686-Orders!F686)*1440-Orders!R686)&lt;0.06,1,0),"")</f>
        <v>1</v>
      </c>
      <c r="BG689" s="33">
        <f>IF(ABS((Orders!F686-Orders!E686)*1440-Orders!P686)&lt;0.06,1,0)</f>
        <v>1</v>
      </c>
      <c r="BH689" s="33">
        <f>IF(E689=1,IF(IF(Orders!S686,1,0)=1-G689,1,0),"")</f>
        <v>1</v>
      </c>
      <c r="BI689" s="32" t="str">
        <f>INDEX(Stores!$B$2:$B$21,MATCH(B689,Stores!$A$2:$A$21,0))</f>
        <v>Bengaluru</v>
      </c>
    </row>
    <row r="690">
      <c r="A690" s="32" t="str">
        <f>Orders!A687</f>
        <v>O00686</v>
      </c>
      <c r="B690" s="32" t="str">
        <f>Orders!C687</f>
        <v>S007</v>
      </c>
      <c r="C690" s="32" t="str">
        <f>Orders!B687</f>
        <v>C0164</v>
      </c>
      <c r="D690" s="32" t="str">
        <f>Orders!H687</f>
        <v>Delivered</v>
      </c>
      <c r="E690" s="33">
        <f>IF(Orders!H687="Delivered",1,0)</f>
        <v>1</v>
      </c>
      <c r="F690" s="34">
        <f>IF(E690=1,Orders!R687,"")</f>
        <v>0</v>
      </c>
      <c r="G690" s="33">
        <f>IF(E690=1,IF(Orders!R687&gt;0,1,0),"")</f>
        <v>0</v>
      </c>
      <c r="H690" s="33">
        <f>IF(E690=1,IF(Orders!R687&gt;5,1,0),"")</f>
        <v>0</v>
      </c>
      <c r="I690" s="32" t="str">
        <f>IF(E690=1,"",IF(OR(Orders!T687="Rider unavailable",Orders!T687="Item unavailable"),"Company-caused","Unresolved"))</f>
        <v/>
      </c>
      <c r="J690" s="33">
        <f>IF(OR(E690=1,I690="Company-caused"),1,0)</f>
        <v>1</v>
      </c>
      <c r="K690" s="32" t="str">
        <f>IF(E690=0,IF(I690="Company-caused",IF(Orders!T687="Rider unavailable","C1 Rider unavailable","C2 Item unavailable"),"Outside root: unresolved"),IF(G690=0,"A On time",IF(H690=1,IF(L690=1,"B2a Severe, peak","B2b Severe, off-peak"),IF(L690=1,"B1a Slight, peak","B1b Slight, off-peak"))))</f>
        <v>A On time</v>
      </c>
      <c r="L690" s="33">
        <f>IF(AND(Orders!U687&gt;=19,Orders!U687&lt;22),1,0)</f>
        <v>0</v>
      </c>
      <c r="M690" s="33">
        <f>IF(L690=IF(Orders!V687,1,0),1,0)</f>
        <v>1</v>
      </c>
      <c r="N690" s="32" t="str">
        <f>IF(Orders!W687="","None",Orders!W687)</f>
        <v>None</v>
      </c>
      <c r="O690" s="35">
        <f>INT(Orders!E687)</f>
        <v>46277.0</v>
      </c>
      <c r="P690" s="33">
        <f>Orders!U687</f>
        <v>12</v>
      </c>
      <c r="Q690" s="33">
        <f>COUNTIFS(Demand!$A$2:$A$4481,B690,Demand!$B$2:$B$4481,O690,Demand!$C$2:$C$4481,P690)</f>
        <v>1</v>
      </c>
      <c r="R690" s="33">
        <f>IF(Q690=1,SUMIFS(Demand!$E$2:$E$4481,Demand!$A$2:$A$4481,B690,Demand!$B$2:$B$4481,O690,Demand!$C$2:$C$4481,P690),"")</f>
        <v>47</v>
      </c>
      <c r="S690" s="33">
        <f>INDEX(Stores!$G$2:$G$21,MATCH(B690,Stores!$A$2:$A$21,0))</f>
        <v>37</v>
      </c>
      <c r="T690" s="34">
        <f>IF(R690="","",R690/S690)</f>
        <v>1.27027027027027</v>
      </c>
      <c r="U690" s="34">
        <f>IF(E690=1,T690,"")</f>
        <v>1.27027027027027</v>
      </c>
      <c r="V690" s="34">
        <f>IF(AND(E690=1,L690=0),T690,"")</f>
        <v>1.27027027027027</v>
      </c>
      <c r="W690" s="33">
        <f>IF(U690="","",IF(U690&lt;=Breakdowns!$C$5,1,IF(U690&lt;=Breakdowns!$C$6,2,IF(U690&lt;=Breakdowns!$C$7,3,4))))</f>
        <v>4</v>
      </c>
      <c r="X690" s="33">
        <f>IF(V690="","",IF(V690&lt;=Breakdowns!$D$5,1,IF(V690&lt;=Breakdowns!$D$6,2,IF(V690&lt;=Breakdowns!$D$7,3,4))))</f>
        <v>4</v>
      </c>
      <c r="Y690" s="34">
        <f>INDEX(Stores!$F$2:$F$21,MATCH(B690,Stores!$A$2:$A$21,0))</f>
        <v>4.05</v>
      </c>
      <c r="Z690" s="33">
        <f>IF(Y690&gt;Store_Summary!$M$2,1,0)</f>
        <v>0</v>
      </c>
      <c r="AA690" s="33">
        <f>INDEX(Stores!$C$2:$C$21,MATCH(B690,Stores!$A$2:$A$21,0))</f>
        <v>661</v>
      </c>
      <c r="AB690" s="33">
        <f>IF(AA690&lt;180,1,0)</f>
        <v>0</v>
      </c>
      <c r="AC690" s="32" t="str">
        <f>IF(Orders!D687="","",INDEX(Riders!$C$2:$C$81,MATCH(Orders!D687,Riders!$A$2:$A$81,0)))</f>
        <v>EV scooter</v>
      </c>
      <c r="AD690" s="33">
        <f>IF(Orders!D687="","",INDEX(Riders!$D$2:$D$81,MATCH(Orders!D687,Riders!$A$2:$A$81,0)))</f>
        <v>22</v>
      </c>
      <c r="AE690" s="33">
        <f>IF(Orders!D687="","",IF(INDEX(Riders!$B$2:$B$81,MATCH(Orders!D687,Riders!$A$2:$A$81,0))=B690,1,0))</f>
        <v>1</v>
      </c>
      <c r="AF690" s="34">
        <f>IF(E690=1,Orders!L687,"")</f>
        <v>0.5</v>
      </c>
      <c r="AG690" s="34">
        <f>IF(E690=1,Orders!P687,"")</f>
        <v>10</v>
      </c>
      <c r="AH690" s="34">
        <f>IF(E690=1,Orders!Q687,"")</f>
        <v>10</v>
      </c>
      <c r="AI690" s="34">
        <f>IF(E690=1,Orders!M687,"")</f>
        <v>3.4</v>
      </c>
      <c r="AJ690" s="34">
        <f>IF(E690=1,Orders!N687,"")</f>
        <v>3.5</v>
      </c>
      <c r="AK690" s="34">
        <f>IF(E690=1,Orders!O687,"")</f>
        <v>3.1</v>
      </c>
      <c r="AL690" s="33">
        <f>IF(E690=1,IF(ROUND(ABS(AI690+AJ690+AK690-AH690),6)&lt;=0.1,1,0),"")</f>
        <v>1</v>
      </c>
      <c r="AM690" s="36">
        <f>IF(E690=1,AI690/AH690,"")</f>
        <v>0.34</v>
      </c>
      <c r="AN690" s="36">
        <f>IF(E690=1,AJ690/AH690,"")</f>
        <v>0.35</v>
      </c>
      <c r="AO690" s="36">
        <f>IF(E690=1,AK690/AH690,"")</f>
        <v>0.31</v>
      </c>
      <c r="AP690" s="34">
        <f>IF(E690=1,Orders!Y687,"")</f>
        <v>0.68</v>
      </c>
      <c r="AQ690" s="33">
        <f>IF(Orders!X687,1,0)</f>
        <v>1</v>
      </c>
      <c r="AR690" s="34" t="str">
        <f>IF(AND(E690=1,L690=1),AJ690,"")</f>
        <v/>
      </c>
      <c r="AS690" s="34">
        <f>IF(AND(E690=1,L690=0),AJ690,"")</f>
        <v>3.5</v>
      </c>
      <c r="AT690" s="34" t="str">
        <f>IF(AND(E690=1,L690=1),AI690,"")</f>
        <v/>
      </c>
      <c r="AU690" s="34">
        <f>IF(AND(E690=1,L690=0),AI690,"")</f>
        <v>3.4</v>
      </c>
      <c r="AV690" s="34" t="str">
        <f>IF(AND(E690=1,L690=1),AG690,"")</f>
        <v/>
      </c>
      <c r="AW690" s="34">
        <f>IF(AND(E690=1,L690=0),AG690,"")</f>
        <v>10</v>
      </c>
      <c r="AX690" s="34" t="str">
        <f>IF(AND(E690=1,L690=1),AH690,"")</f>
        <v/>
      </c>
      <c r="AY690" s="34">
        <f>IF(AND(E690=1,L690=0),AH690,"")</f>
        <v>10</v>
      </c>
      <c r="AZ690" s="34" t="str">
        <f>IF(G690=1,F690,"")</f>
        <v/>
      </c>
      <c r="BA690" s="34" t="str">
        <f>IF(AND(G690=1,L690=1),F690,"")</f>
        <v/>
      </c>
      <c r="BB690" s="34" t="str">
        <f>IF(AND(G690=1,L690=0),F690,"")</f>
        <v/>
      </c>
      <c r="BC690" s="33">
        <f>IF(E690=1,IF(Orders!R687&gt;3,1,0),"")</f>
        <v>0</v>
      </c>
      <c r="BD690" s="33">
        <f>IF(E690=1,IF(Orders!R687&gt;7,1,0),"")</f>
        <v>0</v>
      </c>
      <c r="BE690" s="32" t="str">
        <f>IF(E690=1,IF(Orders!L687&lt;=1.5,"Up to 1.5 km",IF(Orders!L687&lt;=3,"1.5–3 km","Over 3 km")),"")</f>
        <v>Up to 1.5 km</v>
      </c>
      <c r="BF690" s="33">
        <f>IF(E690=1,IF(ABS((Orders!G687-Orders!F687)*1440-Orders!R687)&lt;0.06,1,0),"")</f>
        <v>1</v>
      </c>
      <c r="BG690" s="33">
        <f>IF(ABS((Orders!F687-Orders!E687)*1440-Orders!P687)&lt;0.06,1,0)</f>
        <v>1</v>
      </c>
      <c r="BH690" s="33">
        <f>IF(E690=1,IF(IF(Orders!S687,1,0)=1-G690,1,0),"")</f>
        <v>1</v>
      </c>
      <c r="BI690" s="32" t="str">
        <f>INDEX(Stores!$B$2:$B$21,MATCH(B690,Stores!$A$2:$A$21,0))</f>
        <v>Hyderabad</v>
      </c>
    </row>
    <row r="691">
      <c r="A691" s="32" t="str">
        <f>Orders!A688</f>
        <v>O00687</v>
      </c>
      <c r="B691" s="32" t="str">
        <f>Orders!C688</f>
        <v>S005</v>
      </c>
      <c r="C691" s="32" t="str">
        <f>Orders!B688</f>
        <v>C0127</v>
      </c>
      <c r="D691" s="32" t="str">
        <f>Orders!H688</f>
        <v>Delivered</v>
      </c>
      <c r="E691" s="33">
        <f>IF(Orders!H688="Delivered",1,0)</f>
        <v>1</v>
      </c>
      <c r="F691" s="34">
        <f>IF(E691=1,Orders!R688,"")</f>
        <v>-1</v>
      </c>
      <c r="G691" s="33">
        <f>IF(E691=1,IF(Orders!R688&gt;0,1,0),"")</f>
        <v>0</v>
      </c>
      <c r="H691" s="33">
        <f>IF(E691=1,IF(Orders!R688&gt;5,1,0),"")</f>
        <v>0</v>
      </c>
      <c r="I691" s="32" t="str">
        <f>IF(E691=1,"",IF(OR(Orders!T688="Rider unavailable",Orders!T688="Item unavailable"),"Company-caused","Unresolved"))</f>
        <v/>
      </c>
      <c r="J691" s="33">
        <f>IF(OR(E691=1,I691="Company-caused"),1,0)</f>
        <v>1</v>
      </c>
      <c r="K691" s="32" t="str">
        <f>IF(E691=0,IF(I691="Company-caused",IF(Orders!T688="Rider unavailable","C1 Rider unavailable","C2 Item unavailable"),"Outside root: unresolved"),IF(G691=0,"A On time",IF(H691=1,IF(L691=1,"B2a Severe, peak","B2b Severe, off-peak"),IF(L691=1,"B1a Slight, peak","B1b Slight, off-peak"))))</f>
        <v>A On time</v>
      </c>
      <c r="L691" s="33">
        <f>IF(AND(Orders!U688&gt;=19,Orders!U688&lt;22),1,0)</f>
        <v>1</v>
      </c>
      <c r="M691" s="33">
        <f>IF(L691=IF(Orders!V688,1,0),1,0)</f>
        <v>1</v>
      </c>
      <c r="N691" s="32" t="str">
        <f>IF(Orders!W688="","None",Orders!W688)</f>
        <v>None</v>
      </c>
      <c r="O691" s="35">
        <f>INT(Orders!E688)</f>
        <v>46275.0</v>
      </c>
      <c r="P691" s="33">
        <f>Orders!U688</f>
        <v>19</v>
      </c>
      <c r="Q691" s="33">
        <f>COUNTIFS(Demand!$A$2:$A$4481,B691,Demand!$B$2:$B$4481,O691,Demand!$C$2:$C$4481,P691)</f>
        <v>1</v>
      </c>
      <c r="R691" s="33">
        <f>IF(Q691=1,SUMIFS(Demand!$E$2:$E$4481,Demand!$A$2:$A$4481,B691,Demand!$B$2:$B$4481,O691,Demand!$C$2:$C$4481,P691),"")</f>
        <v>16</v>
      </c>
      <c r="S691" s="33">
        <f>INDEX(Stores!$G$2:$G$21,MATCH(B691,Stores!$A$2:$A$21,0))</f>
        <v>14</v>
      </c>
      <c r="T691" s="34">
        <f>IF(R691="","",R691/S691)</f>
        <v>1.14285714285714</v>
      </c>
      <c r="U691" s="34">
        <f>IF(E691=1,T691,"")</f>
        <v>1.14285714285714</v>
      </c>
      <c r="V691" s="34" t="str">
        <f>IF(AND(E691=1,L691=0),T691,"")</f>
        <v/>
      </c>
      <c r="W691" s="33">
        <f>IF(U691="","",IF(U691&lt;=Breakdowns!$C$5,1,IF(U691&lt;=Breakdowns!$C$6,2,IF(U691&lt;=Breakdowns!$C$7,3,4))))</f>
        <v>3</v>
      </c>
      <c r="X691" s="33" t="str">
        <f>IF(V691="","",IF(V691&lt;=Breakdowns!$D$5,1,IF(V691&lt;=Breakdowns!$D$6,2,IF(V691&lt;=Breakdowns!$D$7,3,4))))</f>
        <v/>
      </c>
      <c r="Y691" s="34">
        <f>INDEX(Stores!$F$2:$F$21,MATCH(B691,Stores!$A$2:$A$21,0))</f>
        <v>4.89</v>
      </c>
      <c r="Z691" s="33">
        <f>IF(Y691&gt;Store_Summary!$M$2,1,0)</f>
        <v>0</v>
      </c>
      <c r="AA691" s="33">
        <f>INDEX(Stores!$C$2:$C$21,MATCH(B691,Stores!$A$2:$A$21,0))</f>
        <v>138</v>
      </c>
      <c r="AB691" s="33">
        <f>IF(AA691&lt;180,1,0)</f>
        <v>1</v>
      </c>
      <c r="AC691" s="32" t="str">
        <f>IF(Orders!D688="","",INDEX(Riders!$C$2:$C$81,MATCH(Orders!D688,Riders!$A$2:$A$81,0)))</f>
        <v>Petrol scooter</v>
      </c>
      <c r="AD691" s="33">
        <f>IF(Orders!D688="","",INDEX(Riders!$D$2:$D$81,MATCH(Orders!D688,Riders!$A$2:$A$81,0)))</f>
        <v>20</v>
      </c>
      <c r="AE691" s="33">
        <f>IF(Orders!D688="","",IF(INDEX(Riders!$B$2:$B$81,MATCH(Orders!D688,Riders!$A$2:$A$81,0))=B691,1,0))</f>
        <v>0</v>
      </c>
      <c r="AF691" s="34">
        <f>IF(E691=1,Orders!L688,"")</f>
        <v>0.84</v>
      </c>
      <c r="AG691" s="34">
        <f>IF(E691=1,Orders!P688,"")</f>
        <v>10.8</v>
      </c>
      <c r="AH691" s="34">
        <f>IF(E691=1,Orders!Q688,"")</f>
        <v>9.8</v>
      </c>
      <c r="AI691" s="34">
        <f>IF(E691=1,Orders!M688,"")</f>
        <v>2.4</v>
      </c>
      <c r="AJ691" s="34">
        <f>IF(E691=1,Orders!N688,"")</f>
        <v>5</v>
      </c>
      <c r="AK691" s="34">
        <f>IF(E691=1,Orders!O688,"")</f>
        <v>2.4</v>
      </c>
      <c r="AL691" s="33">
        <f>IF(E691=1,IF(ROUND(ABS(AI691+AJ691+AK691-AH691),6)&lt;=0.1,1,0),"")</f>
        <v>1</v>
      </c>
      <c r="AM691" s="36">
        <f>IF(E691=1,AI691/AH691,"")</f>
        <v>0.244897959183673</v>
      </c>
      <c r="AN691" s="36">
        <f>IF(E691=1,AJ691/AH691,"")</f>
        <v>0.510204081632653</v>
      </c>
      <c r="AO691" s="36">
        <f>IF(E691=1,AK691/AH691,"")</f>
        <v>0.244897959183673</v>
      </c>
      <c r="AP691" s="34">
        <f>IF(E691=1,Orders!Y688,"")</f>
        <v>0.65</v>
      </c>
      <c r="AQ691" s="33">
        <f>IF(Orders!X688,1,0)</f>
        <v>0</v>
      </c>
      <c r="AR691" s="34">
        <f>IF(AND(E691=1,L691=1),AJ691,"")</f>
        <v>5</v>
      </c>
      <c r="AS691" s="34" t="str">
        <f>IF(AND(E691=1,L691=0),AJ691,"")</f>
        <v/>
      </c>
      <c r="AT691" s="34">
        <f>IF(AND(E691=1,L691=1),AI691,"")</f>
        <v>2.4</v>
      </c>
      <c r="AU691" s="34" t="str">
        <f>IF(AND(E691=1,L691=0),AI691,"")</f>
        <v/>
      </c>
      <c r="AV691" s="34">
        <f>IF(AND(E691=1,L691=1),AG691,"")</f>
        <v>10.8</v>
      </c>
      <c r="AW691" s="34" t="str">
        <f>IF(AND(E691=1,L691=0),AG691,"")</f>
        <v/>
      </c>
      <c r="AX691" s="34">
        <f>IF(AND(E691=1,L691=1),AH691,"")</f>
        <v>9.8</v>
      </c>
      <c r="AY691" s="34" t="str">
        <f>IF(AND(E691=1,L691=0),AH691,"")</f>
        <v/>
      </c>
      <c r="AZ691" s="34" t="str">
        <f>IF(G691=1,F691,"")</f>
        <v/>
      </c>
      <c r="BA691" s="34" t="str">
        <f>IF(AND(G691=1,L691=1),F691,"")</f>
        <v/>
      </c>
      <c r="BB691" s="34" t="str">
        <f>IF(AND(G691=1,L691=0),F691,"")</f>
        <v/>
      </c>
      <c r="BC691" s="33">
        <f>IF(E691=1,IF(Orders!R688&gt;3,1,0),"")</f>
        <v>0</v>
      </c>
      <c r="BD691" s="33">
        <f>IF(E691=1,IF(Orders!R688&gt;7,1,0),"")</f>
        <v>0</v>
      </c>
      <c r="BE691" s="32" t="str">
        <f>IF(E691=1,IF(Orders!L688&lt;=1.5,"Up to 1.5 km",IF(Orders!L688&lt;=3,"1.5–3 km","Over 3 km")),"")</f>
        <v>Up to 1.5 km</v>
      </c>
      <c r="BF691" s="33">
        <f>IF(E691=1,IF(ABS((Orders!G688-Orders!F688)*1440-Orders!R688)&lt;0.06,1,0),"")</f>
        <v>1</v>
      </c>
      <c r="BG691" s="33">
        <f>IF(ABS((Orders!F688-Orders!E688)*1440-Orders!P688)&lt;0.06,1,0)</f>
        <v>1</v>
      </c>
      <c r="BH691" s="33">
        <f>IF(E691=1,IF(IF(Orders!S688,1,0)=1-G691,1,0),"")</f>
        <v>1</v>
      </c>
      <c r="BI691" s="32" t="str">
        <f>INDEX(Stores!$B$2:$B$21,MATCH(B691,Stores!$A$2:$A$21,0))</f>
        <v>Delhi</v>
      </c>
    </row>
    <row r="692">
      <c r="A692" s="32" t="str">
        <f>Orders!A689</f>
        <v>O00688</v>
      </c>
      <c r="B692" s="32" t="str">
        <f>Orders!C689</f>
        <v>S011</v>
      </c>
      <c r="C692" s="32" t="str">
        <f>Orders!B689</f>
        <v>C0196</v>
      </c>
      <c r="D692" s="32" t="str">
        <f>Orders!H689</f>
        <v>Delivered</v>
      </c>
      <c r="E692" s="33">
        <f>IF(Orders!H689="Delivered",1,0)</f>
        <v>1</v>
      </c>
      <c r="F692" s="34">
        <f>IF(E692=1,Orders!R689,"")</f>
        <v>-0.8</v>
      </c>
      <c r="G692" s="33">
        <f>IF(E692=1,IF(Orders!R689&gt;0,1,0),"")</f>
        <v>0</v>
      </c>
      <c r="H692" s="33">
        <f>IF(E692=1,IF(Orders!R689&gt;5,1,0),"")</f>
        <v>0</v>
      </c>
      <c r="I692" s="32" t="str">
        <f>IF(E692=1,"",IF(OR(Orders!T689="Rider unavailable",Orders!T689="Item unavailable"),"Company-caused","Unresolved"))</f>
        <v/>
      </c>
      <c r="J692" s="33">
        <f>IF(OR(E692=1,I692="Company-caused"),1,0)</f>
        <v>1</v>
      </c>
      <c r="K692" s="32" t="str">
        <f>IF(E692=0,IF(I692="Company-caused",IF(Orders!T689="Rider unavailable","C1 Rider unavailable","C2 Item unavailable"),"Outside root: unresolved"),IF(G692=0,"A On time",IF(H692=1,IF(L692=1,"B2a Severe, peak","B2b Severe, off-peak"),IF(L692=1,"B1a Slight, peak","B1b Slight, off-peak"))))</f>
        <v>A On time</v>
      </c>
      <c r="L692" s="33">
        <f>IF(AND(Orders!U689&gt;=19,Orders!U689&lt;22),1,0)</f>
        <v>0</v>
      </c>
      <c r="M692" s="33">
        <f>IF(L692=IF(Orders!V689,1,0),1,0)</f>
        <v>1</v>
      </c>
      <c r="N692" s="32" t="str">
        <f>IF(Orders!W689="","None",Orders!W689)</f>
        <v>None</v>
      </c>
      <c r="O692" s="35">
        <f>INT(Orders!E689)</f>
        <v>46277.0</v>
      </c>
      <c r="P692" s="33">
        <f>Orders!U689</f>
        <v>8</v>
      </c>
      <c r="Q692" s="33">
        <f>COUNTIFS(Demand!$A$2:$A$4481,B692,Demand!$B$2:$B$4481,O692,Demand!$C$2:$C$4481,P692)</f>
        <v>1</v>
      </c>
      <c r="R692" s="33">
        <f>IF(Q692=1,SUMIFS(Demand!$E$2:$E$4481,Demand!$A$2:$A$4481,B692,Demand!$B$2:$B$4481,O692,Demand!$C$2:$C$4481,P692),"")</f>
        <v>23</v>
      </c>
      <c r="S692" s="33">
        <f>INDEX(Stores!$G$2:$G$21,MATCH(B692,Stores!$A$2:$A$21,0))</f>
        <v>31</v>
      </c>
      <c r="T692" s="34">
        <f>IF(R692="","",R692/S692)</f>
        <v>0.741935483870968</v>
      </c>
      <c r="U692" s="34">
        <f>IF(E692=1,T692,"")</f>
        <v>0.741935483870968</v>
      </c>
      <c r="V692" s="34">
        <f>IF(AND(E692=1,L692=0),T692,"")</f>
        <v>0.741935483870968</v>
      </c>
      <c r="W692" s="33">
        <f>IF(U692="","",IF(U692&lt;=Breakdowns!$C$5,1,IF(U692&lt;=Breakdowns!$C$6,2,IF(U692&lt;=Breakdowns!$C$7,3,4))))</f>
        <v>1</v>
      </c>
      <c r="X692" s="33">
        <f>IF(V692="","",IF(V692&lt;=Breakdowns!$D$5,1,IF(V692&lt;=Breakdowns!$D$6,2,IF(V692&lt;=Breakdowns!$D$7,3,4))))</f>
        <v>1</v>
      </c>
      <c r="Y692" s="34">
        <f>INDEX(Stores!$F$2:$F$21,MATCH(B692,Stores!$A$2:$A$21,0))</f>
        <v>5.67</v>
      </c>
      <c r="Z692" s="33">
        <f>IF(Y692&gt;Store_Summary!$M$2,1,0)</f>
        <v>1</v>
      </c>
      <c r="AA692" s="33">
        <f>INDEX(Stores!$C$2:$C$21,MATCH(B692,Stores!$A$2:$A$21,0))</f>
        <v>732</v>
      </c>
      <c r="AB692" s="33">
        <f>IF(AA692&lt;180,1,0)</f>
        <v>0</v>
      </c>
      <c r="AC692" s="32" t="str">
        <f>IF(Orders!D689="","",INDEX(Riders!$C$2:$C$81,MATCH(Orders!D689,Riders!$A$2:$A$81,0)))</f>
        <v>Petrol scooter</v>
      </c>
      <c r="AD692" s="33">
        <f>IF(Orders!D689="","",INDEX(Riders!$D$2:$D$81,MATCH(Orders!D689,Riders!$A$2:$A$81,0)))</f>
        <v>19</v>
      </c>
      <c r="AE692" s="33">
        <f>IF(Orders!D689="","",IF(INDEX(Riders!$B$2:$B$81,MATCH(Orders!D689,Riders!$A$2:$A$81,0))=B692,1,0))</f>
        <v>0</v>
      </c>
      <c r="AF692" s="34">
        <f>IF(E692=1,Orders!L689,"")</f>
        <v>1.4</v>
      </c>
      <c r="AG692" s="34">
        <f>IF(E692=1,Orders!P689,"")</f>
        <v>9.5</v>
      </c>
      <c r="AH692" s="34">
        <f>IF(E692=1,Orders!Q689,"")</f>
        <v>8.7</v>
      </c>
      <c r="AI692" s="34">
        <f>IF(E692=1,Orders!M689,"")</f>
        <v>3.6</v>
      </c>
      <c r="AJ692" s="34">
        <f>IF(E692=1,Orders!N689,"")</f>
        <v>3.4</v>
      </c>
      <c r="AK692" s="34">
        <f>IF(E692=1,Orders!O689,"")</f>
        <v>1.7</v>
      </c>
      <c r="AL692" s="33">
        <f>IF(E692=1,IF(ROUND(ABS(AI692+AJ692+AK692-AH692),6)&lt;=0.1,1,0),"")</f>
        <v>1</v>
      </c>
      <c r="AM692" s="36">
        <f>IF(E692=1,AI692/AH692,"")</f>
        <v>0.413793103448276</v>
      </c>
      <c r="AN692" s="36">
        <f>IF(E692=1,AJ692/AH692,"")</f>
        <v>0.390804597701149</v>
      </c>
      <c r="AO692" s="36">
        <f>IF(E692=1,AK692/AH692,"")</f>
        <v>0.195402298850575</v>
      </c>
      <c r="AP692" s="34">
        <f>IF(E692=1,Orders!Y689,"")</f>
        <v>0.27</v>
      </c>
      <c r="AQ692" s="33">
        <f>IF(Orders!X689,1,0)</f>
        <v>0</v>
      </c>
      <c r="AR692" s="34" t="str">
        <f>IF(AND(E692=1,L692=1),AJ692,"")</f>
        <v/>
      </c>
      <c r="AS692" s="34">
        <f>IF(AND(E692=1,L692=0),AJ692,"")</f>
        <v>3.4</v>
      </c>
      <c r="AT692" s="34" t="str">
        <f>IF(AND(E692=1,L692=1),AI692,"")</f>
        <v/>
      </c>
      <c r="AU692" s="34">
        <f>IF(AND(E692=1,L692=0),AI692,"")</f>
        <v>3.6</v>
      </c>
      <c r="AV692" s="34" t="str">
        <f>IF(AND(E692=1,L692=1),AG692,"")</f>
        <v/>
      </c>
      <c r="AW692" s="34">
        <f>IF(AND(E692=1,L692=0),AG692,"")</f>
        <v>9.5</v>
      </c>
      <c r="AX692" s="34" t="str">
        <f>IF(AND(E692=1,L692=1),AH692,"")</f>
        <v/>
      </c>
      <c r="AY692" s="34">
        <f>IF(AND(E692=1,L692=0),AH692,"")</f>
        <v>8.7</v>
      </c>
      <c r="AZ692" s="34" t="str">
        <f>IF(G692=1,F692,"")</f>
        <v/>
      </c>
      <c r="BA692" s="34" t="str">
        <f>IF(AND(G692=1,L692=1),F692,"")</f>
        <v/>
      </c>
      <c r="BB692" s="34" t="str">
        <f>IF(AND(G692=1,L692=0),F692,"")</f>
        <v/>
      </c>
      <c r="BC692" s="33">
        <f>IF(E692=1,IF(Orders!R689&gt;3,1,0),"")</f>
        <v>0</v>
      </c>
      <c r="BD692" s="33">
        <f>IF(E692=1,IF(Orders!R689&gt;7,1,0),"")</f>
        <v>0</v>
      </c>
      <c r="BE692" s="32" t="str">
        <f>IF(E692=1,IF(Orders!L689&lt;=1.5,"Up to 1.5 km",IF(Orders!L689&lt;=3,"1.5–3 km","Over 3 km")),"")</f>
        <v>Up to 1.5 km</v>
      </c>
      <c r="BF692" s="33">
        <f>IF(E692=1,IF(ABS((Orders!G689-Orders!F689)*1440-Orders!R689)&lt;0.06,1,0),"")</f>
        <v>1</v>
      </c>
      <c r="BG692" s="33">
        <f>IF(ABS((Orders!F689-Orders!E689)*1440-Orders!P689)&lt;0.06,1,0)</f>
        <v>1</v>
      </c>
      <c r="BH692" s="33">
        <f>IF(E692=1,IF(IF(Orders!S689,1,0)=1-G692,1,0),"")</f>
        <v>1</v>
      </c>
      <c r="BI692" s="32" t="str">
        <f>INDEX(Stores!$B$2:$B$21,MATCH(B692,Stores!$A$2:$A$21,0))</f>
        <v>Bengaluru</v>
      </c>
    </row>
    <row r="693">
      <c r="A693" s="32" t="str">
        <f>Orders!A690</f>
        <v>O00689</v>
      </c>
      <c r="B693" s="32" t="str">
        <f>Orders!C690</f>
        <v>S005</v>
      </c>
      <c r="C693" s="32" t="str">
        <f>Orders!B690</f>
        <v>C0061</v>
      </c>
      <c r="D693" s="32" t="str">
        <f>Orders!H690</f>
        <v>Delivered</v>
      </c>
      <c r="E693" s="33">
        <f>IF(Orders!H690="Delivered",1,0)</f>
        <v>1</v>
      </c>
      <c r="F693" s="34">
        <f>IF(E693=1,Orders!R690,"")</f>
        <v>13.5</v>
      </c>
      <c r="G693" s="33">
        <f>IF(E693=1,IF(Orders!R690&gt;0,1,0),"")</f>
        <v>1</v>
      </c>
      <c r="H693" s="33">
        <f>IF(E693=1,IF(Orders!R690&gt;5,1,0),"")</f>
        <v>1</v>
      </c>
      <c r="I693" s="32" t="str">
        <f>IF(E693=1,"",IF(OR(Orders!T690="Rider unavailable",Orders!T690="Item unavailable"),"Company-caused","Unresolved"))</f>
        <v/>
      </c>
      <c r="J693" s="33">
        <f>IF(OR(E693=1,I693="Company-caused"),1,0)</f>
        <v>1</v>
      </c>
      <c r="K693" s="32" t="str">
        <f>IF(E693=0,IF(I693="Company-caused",IF(Orders!T690="Rider unavailable","C1 Rider unavailable","C2 Item unavailable"),"Outside root: unresolved"),IF(G693=0,"A On time",IF(H693=1,IF(L693=1,"B2a Severe, peak","B2b Severe, off-peak"),IF(L693=1,"B1a Slight, peak","B1b Slight, off-peak"))))</f>
        <v>B2a Severe, peak</v>
      </c>
      <c r="L693" s="33">
        <f>IF(AND(Orders!U690&gt;=19,Orders!U690&lt;22),1,0)</f>
        <v>1</v>
      </c>
      <c r="M693" s="33">
        <f>IF(L693=IF(Orders!V690,1,0),1,0)</f>
        <v>1</v>
      </c>
      <c r="N693" s="32" t="str">
        <f>IF(Orders!W690="","None",Orders!W690)</f>
        <v>Heavy</v>
      </c>
      <c r="O693" s="35">
        <f>INT(Orders!E690)</f>
        <v>46276.0</v>
      </c>
      <c r="P693" s="33">
        <f>Orders!U690</f>
        <v>20</v>
      </c>
      <c r="Q693" s="33">
        <f>COUNTIFS(Demand!$A$2:$A$4481,B693,Demand!$B$2:$B$4481,O693,Demand!$C$2:$C$4481,P693)</f>
        <v>1</v>
      </c>
      <c r="R693" s="33">
        <f>IF(Q693=1,SUMIFS(Demand!$E$2:$E$4481,Demand!$A$2:$A$4481,B693,Demand!$B$2:$B$4481,O693,Demand!$C$2:$C$4481,P693),"")</f>
        <v>15</v>
      </c>
      <c r="S693" s="33">
        <f>INDEX(Stores!$G$2:$G$21,MATCH(B693,Stores!$A$2:$A$21,0))</f>
        <v>14</v>
      </c>
      <c r="T693" s="34">
        <f>IF(R693="","",R693/S693)</f>
        <v>1.07142857142857</v>
      </c>
      <c r="U693" s="34">
        <f>IF(E693=1,T693,"")</f>
        <v>1.07142857142857</v>
      </c>
      <c r="V693" s="34" t="str">
        <f>IF(AND(E693=1,L693=0),T693,"")</f>
        <v/>
      </c>
      <c r="W693" s="33">
        <f>IF(U693="","",IF(U693&lt;=Breakdowns!$C$5,1,IF(U693&lt;=Breakdowns!$C$6,2,IF(U693&lt;=Breakdowns!$C$7,3,4))))</f>
        <v>3</v>
      </c>
      <c r="X693" s="33" t="str">
        <f>IF(V693="","",IF(V693&lt;=Breakdowns!$D$5,1,IF(V693&lt;=Breakdowns!$D$6,2,IF(V693&lt;=Breakdowns!$D$7,3,4))))</f>
        <v/>
      </c>
      <c r="Y693" s="34">
        <f>INDEX(Stores!$F$2:$F$21,MATCH(B693,Stores!$A$2:$A$21,0))</f>
        <v>4.89</v>
      </c>
      <c r="Z693" s="33">
        <f>IF(Y693&gt;Store_Summary!$M$2,1,0)</f>
        <v>0</v>
      </c>
      <c r="AA693" s="33">
        <f>INDEX(Stores!$C$2:$C$21,MATCH(B693,Stores!$A$2:$A$21,0))</f>
        <v>138</v>
      </c>
      <c r="AB693" s="33">
        <f>IF(AA693&lt;180,1,0)</f>
        <v>1</v>
      </c>
      <c r="AC693" s="32" t="str">
        <f>IF(Orders!D690="","",INDEX(Riders!$C$2:$C$81,MATCH(Orders!D690,Riders!$A$2:$A$81,0)))</f>
        <v>Bicycle</v>
      </c>
      <c r="AD693" s="33">
        <f>IF(Orders!D690="","",INDEX(Riders!$D$2:$D$81,MATCH(Orders!D690,Riders!$A$2:$A$81,0)))</f>
        <v>26</v>
      </c>
      <c r="AE693" s="33">
        <f>IF(Orders!D690="","",IF(INDEX(Riders!$B$2:$B$81,MATCH(Orders!D690,Riders!$A$2:$A$81,0))=B693,1,0))</f>
        <v>0</v>
      </c>
      <c r="AF693" s="34">
        <f>IF(E693=1,Orders!L690,"")</f>
        <v>2.17</v>
      </c>
      <c r="AG693" s="34">
        <f>IF(E693=1,Orders!P690,"")</f>
        <v>8.8</v>
      </c>
      <c r="AH693" s="34">
        <f>IF(E693=1,Orders!Q690,"")</f>
        <v>22.3</v>
      </c>
      <c r="AI693" s="34">
        <f>IF(E693=1,Orders!M690,"")</f>
        <v>7</v>
      </c>
      <c r="AJ693" s="34">
        <f>IF(E693=1,Orders!N690,"")</f>
        <v>7</v>
      </c>
      <c r="AK693" s="34">
        <f>IF(E693=1,Orders!O690,"")</f>
        <v>8.3</v>
      </c>
      <c r="AL693" s="33">
        <f>IF(E693=1,IF(ROUND(ABS(AI693+AJ693+AK693-AH693),6)&lt;=0.1,1,0),"")</f>
        <v>1</v>
      </c>
      <c r="AM693" s="36">
        <f>IF(E693=1,AI693/AH693,"")</f>
        <v>0.31390134529148</v>
      </c>
      <c r="AN693" s="36">
        <f>IF(E693=1,AJ693/AH693,"")</f>
        <v>0.31390134529148</v>
      </c>
      <c r="AO693" s="36">
        <f>IF(E693=1,AK693/AH693,"")</f>
        <v>0.37219730941704</v>
      </c>
      <c r="AP693" s="34">
        <f>IF(E693=1,Orders!Y690,"")</f>
        <v>0.76</v>
      </c>
      <c r="AQ693" s="33">
        <f>IF(Orders!X690,1,0)</f>
        <v>0</v>
      </c>
      <c r="AR693" s="34">
        <f>IF(AND(E693=1,L693=1),AJ693,"")</f>
        <v>7</v>
      </c>
      <c r="AS693" s="34" t="str">
        <f>IF(AND(E693=1,L693=0),AJ693,"")</f>
        <v/>
      </c>
      <c r="AT693" s="34">
        <f>IF(AND(E693=1,L693=1),AI693,"")</f>
        <v>7</v>
      </c>
      <c r="AU693" s="34" t="str">
        <f>IF(AND(E693=1,L693=0),AI693,"")</f>
        <v/>
      </c>
      <c r="AV693" s="34">
        <f>IF(AND(E693=1,L693=1),AG693,"")</f>
        <v>8.8</v>
      </c>
      <c r="AW693" s="34" t="str">
        <f>IF(AND(E693=1,L693=0),AG693,"")</f>
        <v/>
      </c>
      <c r="AX693" s="34">
        <f>IF(AND(E693=1,L693=1),AH693,"")</f>
        <v>22.3</v>
      </c>
      <c r="AY693" s="34" t="str">
        <f>IF(AND(E693=1,L693=0),AH693,"")</f>
        <v/>
      </c>
      <c r="AZ693" s="34">
        <f>IF(G693=1,F693,"")</f>
        <v>13.5</v>
      </c>
      <c r="BA693" s="34">
        <f>IF(AND(G693=1,L693=1),F693,"")</f>
        <v>13.5</v>
      </c>
      <c r="BB693" s="34" t="str">
        <f>IF(AND(G693=1,L693=0),F693,"")</f>
        <v/>
      </c>
      <c r="BC693" s="33">
        <f>IF(E693=1,IF(Orders!R690&gt;3,1,0),"")</f>
        <v>1</v>
      </c>
      <c r="BD693" s="33">
        <f>IF(E693=1,IF(Orders!R690&gt;7,1,0),"")</f>
        <v>1</v>
      </c>
      <c r="BE693" s="32" t="str">
        <f>IF(E693=1,IF(Orders!L690&lt;=1.5,"Up to 1.5 km",IF(Orders!L690&lt;=3,"1.5–3 km","Over 3 km")),"")</f>
        <v>1.5–3 km</v>
      </c>
      <c r="BF693" s="33">
        <f>IF(E693=1,IF(ABS((Orders!G690-Orders!F690)*1440-Orders!R690)&lt;0.06,1,0),"")</f>
        <v>1</v>
      </c>
      <c r="BG693" s="33">
        <f>IF(ABS((Orders!F690-Orders!E690)*1440-Orders!P690)&lt;0.06,1,0)</f>
        <v>1</v>
      </c>
      <c r="BH693" s="33">
        <f>IF(E693=1,IF(IF(Orders!S690,1,0)=1-G693,1,0),"")</f>
        <v>1</v>
      </c>
      <c r="BI693" s="32" t="str">
        <f>INDEX(Stores!$B$2:$B$21,MATCH(B693,Stores!$A$2:$A$21,0))</f>
        <v>Delhi</v>
      </c>
    </row>
    <row r="694">
      <c r="A694" s="32" t="str">
        <f>Orders!A691</f>
        <v>O00690</v>
      </c>
      <c r="B694" s="32" t="str">
        <f>Orders!C691</f>
        <v>S020</v>
      </c>
      <c r="C694" s="32" t="str">
        <f>Orders!B691</f>
        <v>C0062</v>
      </c>
      <c r="D694" s="32" t="str">
        <f>Orders!H691</f>
        <v>Delivered</v>
      </c>
      <c r="E694" s="33">
        <f>IF(Orders!H691="Delivered",1,0)</f>
        <v>1</v>
      </c>
      <c r="F694" s="34">
        <f>IF(E694=1,Orders!R691,"")</f>
        <v>-1.1</v>
      </c>
      <c r="G694" s="33">
        <f>IF(E694=1,IF(Orders!R691&gt;0,1,0),"")</f>
        <v>0</v>
      </c>
      <c r="H694" s="33">
        <f>IF(E694=1,IF(Orders!R691&gt;5,1,0),"")</f>
        <v>0</v>
      </c>
      <c r="I694" s="32" t="str">
        <f>IF(E694=1,"",IF(OR(Orders!T691="Rider unavailable",Orders!T691="Item unavailable"),"Company-caused","Unresolved"))</f>
        <v/>
      </c>
      <c r="J694" s="33">
        <f>IF(OR(E694=1,I694="Company-caused"),1,0)</f>
        <v>1</v>
      </c>
      <c r="K694" s="32" t="str">
        <f>IF(E694=0,IF(I694="Company-caused",IF(Orders!T691="Rider unavailable","C1 Rider unavailable","C2 Item unavailable"),"Outside root: unresolved"),IF(G694=0,"A On time",IF(H694=1,IF(L694=1,"B2a Severe, peak","B2b Severe, off-peak"),IF(L694=1,"B1a Slight, peak","B1b Slight, off-peak"))))</f>
        <v>A On time</v>
      </c>
      <c r="L694" s="33">
        <f>IF(AND(Orders!U691&gt;=19,Orders!U691&lt;22),1,0)</f>
        <v>0</v>
      </c>
      <c r="M694" s="33">
        <f>IF(L694=IF(Orders!V691,1,0),1,0)</f>
        <v>1</v>
      </c>
      <c r="N694" s="32" t="str">
        <f>IF(Orders!W691="","None",Orders!W691)</f>
        <v>None</v>
      </c>
      <c r="O694" s="35">
        <f>INT(Orders!E691)</f>
        <v>46277.0</v>
      </c>
      <c r="P694" s="33">
        <f>Orders!U691</f>
        <v>14</v>
      </c>
      <c r="Q694" s="33">
        <f>COUNTIFS(Demand!$A$2:$A$4481,B694,Demand!$B$2:$B$4481,O694,Demand!$C$2:$C$4481,P694)</f>
        <v>1</v>
      </c>
      <c r="R694" s="33">
        <f>IF(Q694=1,SUMIFS(Demand!$E$2:$E$4481,Demand!$A$2:$A$4481,B694,Demand!$B$2:$B$4481,O694,Demand!$C$2:$C$4481,P694),"")</f>
        <v>10</v>
      </c>
      <c r="S694" s="33">
        <f>INDEX(Stores!$G$2:$G$21,MATCH(B694,Stores!$A$2:$A$21,0))</f>
        <v>15</v>
      </c>
      <c r="T694" s="34">
        <f>IF(R694="","",R694/S694)</f>
        <v>0.666666666666667</v>
      </c>
      <c r="U694" s="34">
        <f>IF(E694=1,T694,"")</f>
        <v>0.666666666666667</v>
      </c>
      <c r="V694" s="34">
        <f>IF(AND(E694=1,L694=0),T694,"")</f>
        <v>0.666666666666667</v>
      </c>
      <c r="W694" s="33">
        <f>IF(U694="","",IF(U694&lt;=Breakdowns!$C$5,1,IF(U694&lt;=Breakdowns!$C$6,2,IF(U694&lt;=Breakdowns!$C$7,3,4))))</f>
        <v>1</v>
      </c>
      <c r="X694" s="33">
        <f>IF(V694="","",IF(V694&lt;=Breakdowns!$D$5,1,IF(V694&lt;=Breakdowns!$D$6,2,IF(V694&lt;=Breakdowns!$D$7,3,4))))</f>
        <v>1</v>
      </c>
      <c r="Y694" s="34">
        <f>INDEX(Stores!$F$2:$F$21,MATCH(B694,Stores!$A$2:$A$21,0))</f>
        <v>5.74</v>
      </c>
      <c r="Z694" s="33">
        <f>IF(Y694&gt;Store_Summary!$M$2,1,0)</f>
        <v>1</v>
      </c>
      <c r="AA694" s="33">
        <f>INDEX(Stores!$C$2:$C$21,MATCH(B694,Stores!$A$2:$A$21,0))</f>
        <v>647</v>
      </c>
      <c r="AB694" s="33">
        <f>IF(AA694&lt;180,1,0)</f>
        <v>0</v>
      </c>
      <c r="AC694" s="32" t="str">
        <f>IF(Orders!D691="","",INDEX(Riders!$C$2:$C$81,MATCH(Orders!D691,Riders!$A$2:$A$81,0)))</f>
        <v>Petrol scooter</v>
      </c>
      <c r="AD694" s="33">
        <f>IF(Orders!D691="","",INDEX(Riders!$D$2:$D$81,MATCH(Orders!D691,Riders!$A$2:$A$81,0)))</f>
        <v>37</v>
      </c>
      <c r="AE694" s="33">
        <f>IF(Orders!D691="","",IF(INDEX(Riders!$B$2:$B$81,MATCH(Orders!D691,Riders!$A$2:$A$81,0))=B694,1,0))</f>
        <v>0</v>
      </c>
      <c r="AF694" s="34">
        <f>IF(E694=1,Orders!L691,"")</f>
        <v>0.63</v>
      </c>
      <c r="AG694" s="34">
        <f>IF(E694=1,Orders!P691,"")</f>
        <v>10.9</v>
      </c>
      <c r="AH694" s="34">
        <f>IF(E694=1,Orders!Q691,"")</f>
        <v>9.8</v>
      </c>
      <c r="AI694" s="34">
        <f>IF(E694=1,Orders!M691,"")</f>
        <v>4</v>
      </c>
      <c r="AJ694" s="34">
        <f>IF(E694=1,Orders!N691,"")</f>
        <v>3.9</v>
      </c>
      <c r="AK694" s="34">
        <f>IF(E694=1,Orders!O691,"")</f>
        <v>1.9</v>
      </c>
      <c r="AL694" s="33">
        <f>IF(E694=1,IF(ROUND(ABS(AI694+AJ694+AK694-AH694),6)&lt;=0.1,1,0),"")</f>
        <v>1</v>
      </c>
      <c r="AM694" s="36">
        <f>IF(E694=1,AI694/AH694,"")</f>
        <v>0.408163265306122</v>
      </c>
      <c r="AN694" s="36">
        <f>IF(E694=1,AJ694/AH694,"")</f>
        <v>0.397959183673469</v>
      </c>
      <c r="AO694" s="36">
        <f>IF(E694=1,AK694/AH694,"")</f>
        <v>0.193877551020408</v>
      </c>
      <c r="AP694" s="34">
        <f>IF(E694=1,Orders!Y691,"")</f>
        <v>0.58</v>
      </c>
      <c r="AQ694" s="33">
        <f>IF(Orders!X691,1,0)</f>
        <v>0</v>
      </c>
      <c r="AR694" s="34" t="str">
        <f>IF(AND(E694=1,L694=1),AJ694,"")</f>
        <v/>
      </c>
      <c r="AS694" s="34">
        <f>IF(AND(E694=1,L694=0),AJ694,"")</f>
        <v>3.9</v>
      </c>
      <c r="AT694" s="34" t="str">
        <f>IF(AND(E694=1,L694=1),AI694,"")</f>
        <v/>
      </c>
      <c r="AU694" s="34">
        <f>IF(AND(E694=1,L694=0),AI694,"")</f>
        <v>4</v>
      </c>
      <c r="AV694" s="34" t="str">
        <f>IF(AND(E694=1,L694=1),AG694,"")</f>
        <v/>
      </c>
      <c r="AW694" s="34">
        <f>IF(AND(E694=1,L694=0),AG694,"")</f>
        <v>10.9</v>
      </c>
      <c r="AX694" s="34" t="str">
        <f>IF(AND(E694=1,L694=1),AH694,"")</f>
        <v/>
      </c>
      <c r="AY694" s="34">
        <f>IF(AND(E694=1,L694=0),AH694,"")</f>
        <v>9.8</v>
      </c>
      <c r="AZ694" s="34" t="str">
        <f>IF(G694=1,F694,"")</f>
        <v/>
      </c>
      <c r="BA694" s="34" t="str">
        <f>IF(AND(G694=1,L694=1),F694,"")</f>
        <v/>
      </c>
      <c r="BB694" s="34" t="str">
        <f>IF(AND(G694=1,L694=0),F694,"")</f>
        <v/>
      </c>
      <c r="BC694" s="33">
        <f>IF(E694=1,IF(Orders!R691&gt;3,1,0),"")</f>
        <v>0</v>
      </c>
      <c r="BD694" s="33">
        <f>IF(E694=1,IF(Orders!R691&gt;7,1,0),"")</f>
        <v>0</v>
      </c>
      <c r="BE694" s="32" t="str">
        <f>IF(E694=1,IF(Orders!L691&lt;=1.5,"Up to 1.5 km",IF(Orders!L691&lt;=3,"1.5–3 km","Over 3 km")),"")</f>
        <v>Up to 1.5 km</v>
      </c>
      <c r="BF694" s="33">
        <f>IF(E694=1,IF(ABS((Orders!G691-Orders!F691)*1440-Orders!R691)&lt;0.06,1,0),"")</f>
        <v>1</v>
      </c>
      <c r="BG694" s="33">
        <f>IF(ABS((Orders!F691-Orders!E691)*1440-Orders!P691)&lt;0.06,1,0)</f>
        <v>1</v>
      </c>
      <c r="BH694" s="33">
        <f>IF(E694=1,IF(IF(Orders!S691,1,0)=1-G694,1,0),"")</f>
        <v>1</v>
      </c>
      <c r="BI694" s="32" t="str">
        <f>INDEX(Stores!$B$2:$B$21,MATCH(B694,Stores!$A$2:$A$21,0))</f>
        <v>Delhi</v>
      </c>
    </row>
    <row r="695">
      <c r="A695" s="32" t="str">
        <f>Orders!A692</f>
        <v>O00691</v>
      </c>
      <c r="B695" s="32" t="str">
        <f>Orders!C692</f>
        <v>S015</v>
      </c>
      <c r="C695" s="32" t="str">
        <f>Orders!B692</f>
        <v>C0176</v>
      </c>
      <c r="D695" s="32" t="str">
        <f>Orders!H692</f>
        <v>Delivered</v>
      </c>
      <c r="E695" s="33">
        <f>IF(Orders!H692="Delivered",1,0)</f>
        <v>1</v>
      </c>
      <c r="F695" s="34">
        <f>IF(E695=1,Orders!R692,"")</f>
        <v>3.7</v>
      </c>
      <c r="G695" s="33">
        <f>IF(E695=1,IF(Orders!R692&gt;0,1,0),"")</f>
        <v>1</v>
      </c>
      <c r="H695" s="33">
        <f>IF(E695=1,IF(Orders!R692&gt;5,1,0),"")</f>
        <v>0</v>
      </c>
      <c r="I695" s="32" t="str">
        <f>IF(E695=1,"",IF(OR(Orders!T692="Rider unavailable",Orders!T692="Item unavailable"),"Company-caused","Unresolved"))</f>
        <v/>
      </c>
      <c r="J695" s="33">
        <f>IF(OR(E695=1,I695="Company-caused"),1,0)</f>
        <v>1</v>
      </c>
      <c r="K695" s="32" t="str">
        <f>IF(E695=0,IF(I695="Company-caused",IF(Orders!T692="Rider unavailable","C1 Rider unavailable","C2 Item unavailable"),"Outside root: unresolved"),IF(G695=0,"A On time",IF(H695=1,IF(L695=1,"B2a Severe, peak","B2b Severe, off-peak"),IF(L695=1,"B1a Slight, peak","B1b Slight, off-peak"))))</f>
        <v>B1b Slight, off-peak</v>
      </c>
      <c r="L695" s="33">
        <f>IF(AND(Orders!U692&gt;=19,Orders!U692&lt;22),1,0)</f>
        <v>0</v>
      </c>
      <c r="M695" s="33">
        <f>IF(L695=IF(Orders!V692,1,0),1,0)</f>
        <v>1</v>
      </c>
      <c r="N695" s="32" t="str">
        <f>IF(Orders!W692="","None",Orders!W692)</f>
        <v>None</v>
      </c>
      <c r="O695" s="35">
        <f>INT(Orders!E692)</f>
        <v>46267.0</v>
      </c>
      <c r="P695" s="33">
        <f>Orders!U692</f>
        <v>11</v>
      </c>
      <c r="Q695" s="33">
        <f>COUNTIFS(Demand!$A$2:$A$4481,B695,Demand!$B$2:$B$4481,O695,Demand!$C$2:$C$4481,P695)</f>
        <v>1</v>
      </c>
      <c r="R695" s="33">
        <f>IF(Q695=1,SUMIFS(Demand!$E$2:$E$4481,Demand!$A$2:$A$4481,B695,Demand!$B$2:$B$4481,O695,Demand!$C$2:$C$4481,P695),"")</f>
        <v>35</v>
      </c>
      <c r="S695" s="33">
        <f>INDEX(Stores!$G$2:$G$21,MATCH(B695,Stores!$A$2:$A$21,0))</f>
        <v>23</v>
      </c>
      <c r="T695" s="34">
        <f>IF(R695="","",R695/S695)</f>
        <v>1.52173913043478</v>
      </c>
      <c r="U695" s="34">
        <f>IF(E695=1,T695,"")</f>
        <v>1.52173913043478</v>
      </c>
      <c r="V695" s="34">
        <f>IF(AND(E695=1,L695=0),T695,"")</f>
        <v>1.52173913043478</v>
      </c>
      <c r="W695" s="33">
        <f>IF(U695="","",IF(U695&lt;=Breakdowns!$C$5,1,IF(U695&lt;=Breakdowns!$C$6,2,IF(U695&lt;=Breakdowns!$C$7,3,4))))</f>
        <v>4</v>
      </c>
      <c r="X695" s="33">
        <f>IF(V695="","",IF(V695&lt;=Breakdowns!$D$5,1,IF(V695&lt;=Breakdowns!$D$6,2,IF(V695&lt;=Breakdowns!$D$7,3,4))))</f>
        <v>4</v>
      </c>
      <c r="Y695" s="34">
        <f>INDEX(Stores!$F$2:$F$21,MATCH(B695,Stores!$A$2:$A$21,0))</f>
        <v>4.66</v>
      </c>
      <c r="Z695" s="33">
        <f>IF(Y695&gt;Store_Summary!$M$2,1,0)</f>
        <v>0</v>
      </c>
      <c r="AA695" s="33">
        <f>INDEX(Stores!$C$2:$C$21,MATCH(B695,Stores!$A$2:$A$21,0))</f>
        <v>204</v>
      </c>
      <c r="AB695" s="33">
        <f>IF(AA695&lt;180,1,0)</f>
        <v>0</v>
      </c>
      <c r="AC695" s="32" t="str">
        <f>IF(Orders!D692="","",INDEX(Riders!$C$2:$C$81,MATCH(Orders!D692,Riders!$A$2:$A$81,0)))</f>
        <v>EV scooter</v>
      </c>
      <c r="AD695" s="33">
        <f>IF(Orders!D692="","",INDEX(Riders!$D$2:$D$81,MATCH(Orders!D692,Riders!$A$2:$A$81,0)))</f>
        <v>32</v>
      </c>
      <c r="AE695" s="33">
        <f>IF(Orders!D692="","",IF(INDEX(Riders!$B$2:$B$81,MATCH(Orders!D692,Riders!$A$2:$A$81,0))=B695,1,0))</f>
        <v>0</v>
      </c>
      <c r="AF695" s="34">
        <f>IF(E695=1,Orders!L692,"")</f>
        <v>0.84</v>
      </c>
      <c r="AG695" s="34">
        <f>IF(E695=1,Orders!P692,"")</f>
        <v>10.4</v>
      </c>
      <c r="AH695" s="34">
        <f>IF(E695=1,Orders!Q692,"")</f>
        <v>14.1</v>
      </c>
      <c r="AI695" s="34">
        <f>IF(E695=1,Orders!M692,"")</f>
        <v>5.5</v>
      </c>
      <c r="AJ695" s="34">
        <f>IF(E695=1,Orders!N692,"")</f>
        <v>6.6</v>
      </c>
      <c r="AK695" s="34">
        <f>IF(E695=1,Orders!O692,"")</f>
        <v>2</v>
      </c>
      <c r="AL695" s="33">
        <f>IF(E695=1,IF(ROUND(ABS(AI695+AJ695+AK695-AH695),6)&lt;=0.1,1,0),"")</f>
        <v>1</v>
      </c>
      <c r="AM695" s="36">
        <f>IF(E695=1,AI695/AH695,"")</f>
        <v>0.390070921985816</v>
      </c>
      <c r="AN695" s="36">
        <f>IF(E695=1,AJ695/AH695,"")</f>
        <v>0.468085106382979</v>
      </c>
      <c r="AO695" s="36">
        <f>IF(E695=1,AK695/AH695,"")</f>
        <v>0.141843971631206</v>
      </c>
      <c r="AP695" s="34">
        <f>IF(E695=1,Orders!Y692,"")</f>
        <v>0.08</v>
      </c>
      <c r="AQ695" s="33">
        <f>IF(Orders!X692,1,0)</f>
        <v>0</v>
      </c>
      <c r="AR695" s="34" t="str">
        <f>IF(AND(E695=1,L695=1),AJ695,"")</f>
        <v/>
      </c>
      <c r="AS695" s="34">
        <f>IF(AND(E695=1,L695=0),AJ695,"")</f>
        <v>6.6</v>
      </c>
      <c r="AT695" s="34" t="str">
        <f>IF(AND(E695=1,L695=1),AI695,"")</f>
        <v/>
      </c>
      <c r="AU695" s="34">
        <f>IF(AND(E695=1,L695=0),AI695,"")</f>
        <v>5.5</v>
      </c>
      <c r="AV695" s="34" t="str">
        <f>IF(AND(E695=1,L695=1),AG695,"")</f>
        <v/>
      </c>
      <c r="AW695" s="34">
        <f>IF(AND(E695=1,L695=0),AG695,"")</f>
        <v>10.4</v>
      </c>
      <c r="AX695" s="34" t="str">
        <f>IF(AND(E695=1,L695=1),AH695,"")</f>
        <v/>
      </c>
      <c r="AY695" s="34">
        <f>IF(AND(E695=1,L695=0),AH695,"")</f>
        <v>14.1</v>
      </c>
      <c r="AZ695" s="34">
        <f>IF(G695=1,F695,"")</f>
        <v>3.7</v>
      </c>
      <c r="BA695" s="34" t="str">
        <f>IF(AND(G695=1,L695=1),F695,"")</f>
        <v/>
      </c>
      <c r="BB695" s="34">
        <f>IF(AND(G695=1,L695=0),F695,"")</f>
        <v>3.7</v>
      </c>
      <c r="BC695" s="33">
        <f>IF(E695=1,IF(Orders!R692&gt;3,1,0),"")</f>
        <v>1</v>
      </c>
      <c r="BD695" s="33">
        <f>IF(E695=1,IF(Orders!R692&gt;7,1,0),"")</f>
        <v>0</v>
      </c>
      <c r="BE695" s="32" t="str">
        <f>IF(E695=1,IF(Orders!L692&lt;=1.5,"Up to 1.5 km",IF(Orders!L692&lt;=3,"1.5–3 km","Over 3 km")),"")</f>
        <v>Up to 1.5 km</v>
      </c>
      <c r="BF695" s="33">
        <f>IF(E695=1,IF(ABS((Orders!G692-Orders!F692)*1440-Orders!R692)&lt;0.06,1,0),"")</f>
        <v>1</v>
      </c>
      <c r="BG695" s="33">
        <f>IF(ABS((Orders!F692-Orders!E692)*1440-Orders!P692)&lt;0.06,1,0)</f>
        <v>1</v>
      </c>
      <c r="BH695" s="33">
        <f>IF(E695=1,IF(IF(Orders!S692,1,0)=1-G695,1,0),"")</f>
        <v>1</v>
      </c>
      <c r="BI695" s="32" t="str">
        <f>INDEX(Stores!$B$2:$B$21,MATCH(B695,Stores!$A$2:$A$21,0))</f>
        <v>Delhi</v>
      </c>
    </row>
    <row r="696">
      <c r="A696" s="32" t="str">
        <f>Orders!A693</f>
        <v>O00692</v>
      </c>
      <c r="B696" s="32" t="str">
        <f>Orders!C693</f>
        <v>S019</v>
      </c>
      <c r="C696" s="32" t="str">
        <f>Orders!B693</f>
        <v>C0124</v>
      </c>
      <c r="D696" s="32" t="str">
        <f>Orders!H693</f>
        <v>Delivered</v>
      </c>
      <c r="E696" s="33">
        <f>IF(Orders!H693="Delivered",1,0)</f>
        <v>1</v>
      </c>
      <c r="F696" s="34">
        <f>IF(E696=1,Orders!R693,"")</f>
        <v>6.5</v>
      </c>
      <c r="G696" s="33">
        <f>IF(E696=1,IF(Orders!R693&gt;0,1,0),"")</f>
        <v>1</v>
      </c>
      <c r="H696" s="33">
        <f>IF(E696=1,IF(Orders!R693&gt;5,1,0),"")</f>
        <v>1</v>
      </c>
      <c r="I696" s="32" t="str">
        <f>IF(E696=1,"",IF(OR(Orders!T693="Rider unavailable",Orders!T693="Item unavailable"),"Company-caused","Unresolved"))</f>
        <v/>
      </c>
      <c r="J696" s="33">
        <f>IF(OR(E696=1,I696="Company-caused"),1,0)</f>
        <v>1</v>
      </c>
      <c r="K696" s="32" t="str">
        <f>IF(E696=0,IF(I696="Company-caused",IF(Orders!T693="Rider unavailable","C1 Rider unavailable","C2 Item unavailable"),"Outside root: unresolved"),IF(G696=0,"A On time",IF(H696=1,IF(L696=1,"B2a Severe, peak","B2b Severe, off-peak"),IF(L696=1,"B1a Slight, peak","B1b Slight, off-peak"))))</f>
        <v>B2b Severe, off-peak</v>
      </c>
      <c r="L696" s="33">
        <f>IF(AND(Orders!U693&gt;=19,Orders!U693&lt;22),1,0)</f>
        <v>0</v>
      </c>
      <c r="M696" s="33">
        <f>IF(L696=IF(Orders!V693,1,0),1,0)</f>
        <v>1</v>
      </c>
      <c r="N696" s="32" t="str">
        <f>IF(Orders!W693="","None",Orders!W693)</f>
        <v>Light</v>
      </c>
      <c r="O696" s="35">
        <f>INT(Orders!E693)</f>
        <v>46271.0</v>
      </c>
      <c r="P696" s="33">
        <f>Orders!U693</f>
        <v>10</v>
      </c>
      <c r="Q696" s="33">
        <f>COUNTIFS(Demand!$A$2:$A$4481,B696,Demand!$B$2:$B$4481,O696,Demand!$C$2:$C$4481,P696)</f>
        <v>1</v>
      </c>
      <c r="R696" s="33">
        <f>IF(Q696=1,SUMIFS(Demand!$E$2:$E$4481,Demand!$A$2:$A$4481,B696,Demand!$B$2:$B$4481,O696,Demand!$C$2:$C$4481,P696),"")</f>
        <v>17</v>
      </c>
      <c r="S696" s="33">
        <f>INDEX(Stores!$G$2:$G$21,MATCH(B696,Stores!$A$2:$A$21,0))</f>
        <v>22</v>
      </c>
      <c r="T696" s="34">
        <f>IF(R696="","",R696/S696)</f>
        <v>0.772727272727273</v>
      </c>
      <c r="U696" s="34">
        <f>IF(E696=1,T696,"")</f>
        <v>0.772727272727273</v>
      </c>
      <c r="V696" s="34">
        <f>IF(AND(E696=1,L696=0),T696,"")</f>
        <v>0.772727272727273</v>
      </c>
      <c r="W696" s="33">
        <f>IF(U696="","",IF(U696&lt;=Breakdowns!$C$5,1,IF(U696&lt;=Breakdowns!$C$6,2,IF(U696&lt;=Breakdowns!$C$7,3,4))))</f>
        <v>1</v>
      </c>
      <c r="X696" s="33">
        <f>IF(V696="","",IF(V696&lt;=Breakdowns!$D$5,1,IF(V696&lt;=Breakdowns!$D$6,2,IF(V696&lt;=Breakdowns!$D$7,3,4))))</f>
        <v>2</v>
      </c>
      <c r="Y696" s="34">
        <f>INDEX(Stores!$F$2:$F$21,MATCH(B696,Stores!$A$2:$A$21,0))</f>
        <v>4.99</v>
      </c>
      <c r="Z696" s="33">
        <f>IF(Y696&gt;Store_Summary!$M$2,1,0)</f>
        <v>1</v>
      </c>
      <c r="AA696" s="33">
        <f>INDEX(Stores!$C$2:$C$21,MATCH(B696,Stores!$A$2:$A$21,0))</f>
        <v>851</v>
      </c>
      <c r="AB696" s="33">
        <f>IF(AA696&lt;180,1,0)</f>
        <v>0</v>
      </c>
      <c r="AC696" s="32" t="str">
        <f>IF(Orders!D693="","",INDEX(Riders!$C$2:$C$81,MATCH(Orders!D693,Riders!$A$2:$A$81,0)))</f>
        <v>Petrol scooter</v>
      </c>
      <c r="AD696" s="33">
        <f>IF(Orders!D693="","",INDEX(Riders!$D$2:$D$81,MATCH(Orders!D693,Riders!$A$2:$A$81,0)))</f>
        <v>37</v>
      </c>
      <c r="AE696" s="33">
        <f>IF(Orders!D693="","",IF(INDEX(Riders!$B$2:$B$81,MATCH(Orders!D693,Riders!$A$2:$A$81,0))=B696,1,0))</f>
        <v>1</v>
      </c>
      <c r="AF696" s="34">
        <f>IF(E696=1,Orders!L693,"")</f>
        <v>2.5</v>
      </c>
      <c r="AG696" s="34">
        <f>IF(E696=1,Orders!P693,"")</f>
        <v>10.9</v>
      </c>
      <c r="AH696" s="34">
        <f>IF(E696=1,Orders!Q693,"")</f>
        <v>17.4</v>
      </c>
      <c r="AI696" s="34">
        <f>IF(E696=1,Orders!M693,"")</f>
        <v>4.5</v>
      </c>
      <c r="AJ696" s="34">
        <f>IF(E696=1,Orders!N693,"")</f>
        <v>5.9</v>
      </c>
      <c r="AK696" s="34">
        <f>IF(E696=1,Orders!O693,"")</f>
        <v>7.1</v>
      </c>
      <c r="AL696" s="33">
        <f>IF(E696=1,IF(ROUND(ABS(AI696+AJ696+AK696-AH696),6)&lt;=0.1,1,0),"")</f>
        <v>1</v>
      </c>
      <c r="AM696" s="36">
        <f>IF(E696=1,AI696/AH696,"")</f>
        <v>0.258620689655172</v>
      </c>
      <c r="AN696" s="36">
        <f>IF(E696=1,AJ696/AH696,"")</f>
        <v>0.339080459770115</v>
      </c>
      <c r="AO696" s="36">
        <f>IF(E696=1,AK696/AH696,"")</f>
        <v>0.408045977011494</v>
      </c>
      <c r="AP696" s="34">
        <f>IF(E696=1,Orders!Y693,"")</f>
        <v>0.6</v>
      </c>
      <c r="AQ696" s="33">
        <f>IF(Orders!X693,1,0)</f>
        <v>0</v>
      </c>
      <c r="AR696" s="34" t="str">
        <f>IF(AND(E696=1,L696=1),AJ696,"")</f>
        <v/>
      </c>
      <c r="AS696" s="34">
        <f>IF(AND(E696=1,L696=0),AJ696,"")</f>
        <v>5.9</v>
      </c>
      <c r="AT696" s="34" t="str">
        <f>IF(AND(E696=1,L696=1),AI696,"")</f>
        <v/>
      </c>
      <c r="AU696" s="34">
        <f>IF(AND(E696=1,L696=0),AI696,"")</f>
        <v>4.5</v>
      </c>
      <c r="AV696" s="34" t="str">
        <f>IF(AND(E696=1,L696=1),AG696,"")</f>
        <v/>
      </c>
      <c r="AW696" s="34">
        <f>IF(AND(E696=1,L696=0),AG696,"")</f>
        <v>10.9</v>
      </c>
      <c r="AX696" s="34" t="str">
        <f>IF(AND(E696=1,L696=1),AH696,"")</f>
        <v/>
      </c>
      <c r="AY696" s="34">
        <f>IF(AND(E696=1,L696=0),AH696,"")</f>
        <v>17.4</v>
      </c>
      <c r="AZ696" s="34">
        <f>IF(G696=1,F696,"")</f>
        <v>6.5</v>
      </c>
      <c r="BA696" s="34" t="str">
        <f>IF(AND(G696=1,L696=1),F696,"")</f>
        <v/>
      </c>
      <c r="BB696" s="34">
        <f>IF(AND(G696=1,L696=0),F696,"")</f>
        <v>6.5</v>
      </c>
      <c r="BC696" s="33">
        <f>IF(E696=1,IF(Orders!R693&gt;3,1,0),"")</f>
        <v>1</v>
      </c>
      <c r="BD696" s="33">
        <f>IF(E696=1,IF(Orders!R693&gt;7,1,0),"")</f>
        <v>0</v>
      </c>
      <c r="BE696" s="32" t="str">
        <f>IF(E696=1,IF(Orders!L693&lt;=1.5,"Up to 1.5 km",IF(Orders!L693&lt;=3,"1.5–3 km","Over 3 km")),"")</f>
        <v>1.5–3 km</v>
      </c>
      <c r="BF696" s="33">
        <f>IF(E696=1,IF(ABS((Orders!G693-Orders!F693)*1440-Orders!R693)&lt;0.06,1,0),"")</f>
        <v>1</v>
      </c>
      <c r="BG696" s="33">
        <f>IF(ABS((Orders!F693-Orders!E693)*1440-Orders!P693)&lt;0.06,1,0)</f>
        <v>1</v>
      </c>
      <c r="BH696" s="33">
        <f>IF(E696=1,IF(IF(Orders!S693,1,0)=1-G696,1,0),"")</f>
        <v>1</v>
      </c>
      <c r="BI696" s="32" t="str">
        <f>INDEX(Stores!$B$2:$B$21,MATCH(B696,Stores!$A$2:$A$21,0))</f>
        <v>Pune</v>
      </c>
    </row>
    <row r="697">
      <c r="A697" s="32" t="str">
        <f>Orders!A694</f>
        <v>O00693</v>
      </c>
      <c r="B697" s="32" t="str">
        <f>Orders!C694</f>
        <v>S010</v>
      </c>
      <c r="C697" s="32" t="str">
        <f>Orders!B694</f>
        <v>C0035</v>
      </c>
      <c r="D697" s="32" t="str">
        <f>Orders!H694</f>
        <v>Delivered</v>
      </c>
      <c r="E697" s="33">
        <f>IF(Orders!H694="Delivered",1,0)</f>
        <v>1</v>
      </c>
      <c r="F697" s="34">
        <f>IF(E697=1,Orders!R694,"")</f>
        <v>-0.3</v>
      </c>
      <c r="G697" s="33">
        <f>IF(E697=1,IF(Orders!R694&gt;0,1,0),"")</f>
        <v>0</v>
      </c>
      <c r="H697" s="33">
        <f>IF(E697=1,IF(Orders!R694&gt;5,1,0),"")</f>
        <v>0</v>
      </c>
      <c r="I697" s="32" t="str">
        <f>IF(E697=1,"",IF(OR(Orders!T694="Rider unavailable",Orders!T694="Item unavailable"),"Company-caused","Unresolved"))</f>
        <v/>
      </c>
      <c r="J697" s="33">
        <f>IF(OR(E697=1,I697="Company-caused"),1,0)</f>
        <v>1</v>
      </c>
      <c r="K697" s="32" t="str">
        <f>IF(E697=0,IF(I697="Company-caused",IF(Orders!T694="Rider unavailable","C1 Rider unavailable","C2 Item unavailable"),"Outside root: unresolved"),IF(G697=0,"A On time",IF(H697=1,IF(L697=1,"B2a Severe, peak","B2b Severe, off-peak"),IF(L697=1,"B1a Slight, peak","B1b Slight, off-peak"))))</f>
        <v>A On time</v>
      </c>
      <c r="L697" s="33">
        <f>IF(AND(Orders!U694&gt;=19,Orders!U694&lt;22),1,0)</f>
        <v>1</v>
      </c>
      <c r="M697" s="33">
        <f>IF(L697=IF(Orders!V694,1,0),1,0)</f>
        <v>1</v>
      </c>
      <c r="N697" s="32" t="str">
        <f>IF(Orders!W694="","None",Orders!W694)</f>
        <v>None</v>
      </c>
      <c r="O697" s="35">
        <f>INT(Orders!E694)</f>
        <v>46271.0</v>
      </c>
      <c r="P697" s="33">
        <f>Orders!U694</f>
        <v>21</v>
      </c>
      <c r="Q697" s="33">
        <f>COUNTIFS(Demand!$A$2:$A$4481,B697,Demand!$B$2:$B$4481,O697,Demand!$C$2:$C$4481,P697)</f>
        <v>1</v>
      </c>
      <c r="R697" s="33">
        <f>IF(Q697=1,SUMIFS(Demand!$E$2:$E$4481,Demand!$A$2:$A$4481,B697,Demand!$B$2:$B$4481,O697,Demand!$C$2:$C$4481,P697),"")</f>
        <v>51</v>
      </c>
      <c r="S697" s="33">
        <f>INDEX(Stores!$G$2:$G$21,MATCH(B697,Stores!$A$2:$A$21,0))</f>
        <v>22</v>
      </c>
      <c r="T697" s="34">
        <f>IF(R697="","",R697/S697)</f>
        <v>2.31818181818182</v>
      </c>
      <c r="U697" s="34">
        <f>IF(E697=1,T697,"")</f>
        <v>2.31818181818182</v>
      </c>
      <c r="V697" s="34" t="str">
        <f>IF(AND(E697=1,L697=0),T697,"")</f>
        <v/>
      </c>
      <c r="W697" s="33">
        <f>IF(U697="","",IF(U697&lt;=Breakdowns!$C$5,1,IF(U697&lt;=Breakdowns!$C$6,2,IF(U697&lt;=Breakdowns!$C$7,3,4))))</f>
        <v>4</v>
      </c>
      <c r="X697" s="33" t="str">
        <f>IF(V697="","",IF(V697&lt;=Breakdowns!$D$5,1,IF(V697&lt;=Breakdowns!$D$6,2,IF(V697&lt;=Breakdowns!$D$7,3,4))))</f>
        <v/>
      </c>
      <c r="Y697" s="34">
        <f>INDEX(Stores!$F$2:$F$21,MATCH(B697,Stores!$A$2:$A$21,0))</f>
        <v>5.61</v>
      </c>
      <c r="Z697" s="33">
        <f>IF(Y697&gt;Store_Summary!$M$2,1,0)</f>
        <v>1</v>
      </c>
      <c r="AA697" s="33">
        <f>INDEX(Stores!$C$2:$C$21,MATCH(B697,Stores!$A$2:$A$21,0))</f>
        <v>744</v>
      </c>
      <c r="AB697" s="33">
        <f>IF(AA697&lt;180,1,0)</f>
        <v>0</v>
      </c>
      <c r="AC697" s="32" t="str">
        <f>IF(Orders!D694="","",INDEX(Riders!$C$2:$C$81,MATCH(Orders!D694,Riders!$A$2:$A$81,0)))</f>
        <v>Petrol scooter</v>
      </c>
      <c r="AD697" s="33">
        <f>IF(Orders!D694="","",INDEX(Riders!$D$2:$D$81,MATCH(Orders!D694,Riders!$A$2:$A$81,0)))</f>
        <v>15</v>
      </c>
      <c r="AE697" s="33">
        <f>IF(Orders!D694="","",IF(INDEX(Riders!$B$2:$B$81,MATCH(Orders!D694,Riders!$A$2:$A$81,0))=B697,1,0))</f>
        <v>0</v>
      </c>
      <c r="AF697" s="34">
        <f>IF(E697=1,Orders!L694,"")</f>
        <v>1.43</v>
      </c>
      <c r="AG697" s="34">
        <f>IF(E697=1,Orders!P694,"")</f>
        <v>9.6</v>
      </c>
      <c r="AH697" s="34">
        <f>IF(E697=1,Orders!Q694,"")</f>
        <v>9.3</v>
      </c>
      <c r="AI697" s="34">
        <f>IF(E697=1,Orders!M694,"")</f>
        <v>2.2</v>
      </c>
      <c r="AJ697" s="34">
        <f>IF(E697=1,Orders!N694,"")</f>
        <v>4.8</v>
      </c>
      <c r="AK697" s="34">
        <f>IF(E697=1,Orders!O694,"")</f>
        <v>2.3</v>
      </c>
      <c r="AL697" s="33">
        <f>IF(E697=1,IF(ROUND(ABS(AI697+AJ697+AK697-AH697),6)&lt;=0.1,1,0),"")</f>
        <v>1</v>
      </c>
      <c r="AM697" s="36">
        <f>IF(E697=1,AI697/AH697,"")</f>
        <v>0.236559139784946</v>
      </c>
      <c r="AN697" s="36">
        <f>IF(E697=1,AJ697/AH697,"")</f>
        <v>0.516129032258065</v>
      </c>
      <c r="AO697" s="36">
        <f>IF(E697=1,AK697/AH697,"")</f>
        <v>0.247311827956989</v>
      </c>
      <c r="AP697" s="34">
        <f>IF(E697=1,Orders!Y694,"")</f>
        <v>0.56</v>
      </c>
      <c r="AQ697" s="33">
        <f>IF(Orders!X694,1,0)</f>
        <v>0</v>
      </c>
      <c r="AR697" s="34">
        <f>IF(AND(E697=1,L697=1),AJ697,"")</f>
        <v>4.8</v>
      </c>
      <c r="AS697" s="34" t="str">
        <f>IF(AND(E697=1,L697=0),AJ697,"")</f>
        <v/>
      </c>
      <c r="AT697" s="34">
        <f>IF(AND(E697=1,L697=1),AI697,"")</f>
        <v>2.2</v>
      </c>
      <c r="AU697" s="34" t="str">
        <f>IF(AND(E697=1,L697=0),AI697,"")</f>
        <v/>
      </c>
      <c r="AV697" s="34">
        <f>IF(AND(E697=1,L697=1),AG697,"")</f>
        <v>9.6</v>
      </c>
      <c r="AW697" s="34" t="str">
        <f>IF(AND(E697=1,L697=0),AG697,"")</f>
        <v/>
      </c>
      <c r="AX697" s="34">
        <f>IF(AND(E697=1,L697=1),AH697,"")</f>
        <v>9.3</v>
      </c>
      <c r="AY697" s="34" t="str">
        <f>IF(AND(E697=1,L697=0),AH697,"")</f>
        <v/>
      </c>
      <c r="AZ697" s="34" t="str">
        <f>IF(G697=1,F697,"")</f>
        <v/>
      </c>
      <c r="BA697" s="34" t="str">
        <f>IF(AND(G697=1,L697=1),F697,"")</f>
        <v/>
      </c>
      <c r="BB697" s="34" t="str">
        <f>IF(AND(G697=1,L697=0),F697,"")</f>
        <v/>
      </c>
      <c r="BC697" s="33">
        <f>IF(E697=1,IF(Orders!R694&gt;3,1,0),"")</f>
        <v>0</v>
      </c>
      <c r="BD697" s="33">
        <f>IF(E697=1,IF(Orders!R694&gt;7,1,0),"")</f>
        <v>0</v>
      </c>
      <c r="BE697" s="32" t="str">
        <f>IF(E697=1,IF(Orders!L694&lt;=1.5,"Up to 1.5 km",IF(Orders!L694&lt;=3,"1.5–3 km","Over 3 km")),"")</f>
        <v>Up to 1.5 km</v>
      </c>
      <c r="BF697" s="33">
        <f>IF(E697=1,IF(ABS((Orders!G694-Orders!F694)*1440-Orders!R694)&lt;0.06,1,0),"")</f>
        <v>1</v>
      </c>
      <c r="BG697" s="33">
        <f>IF(ABS((Orders!F694-Orders!E694)*1440-Orders!P694)&lt;0.06,1,0)</f>
        <v>1</v>
      </c>
      <c r="BH697" s="33">
        <f>IF(E697=1,IF(IF(Orders!S694,1,0)=1-G697,1,0),"")</f>
        <v>1</v>
      </c>
      <c r="BI697" s="32" t="str">
        <f>INDEX(Stores!$B$2:$B$21,MATCH(B697,Stores!$A$2:$A$21,0))</f>
        <v>Delhi</v>
      </c>
    </row>
    <row r="698">
      <c r="A698" s="32" t="str">
        <f>Orders!A695</f>
        <v>O00694</v>
      </c>
      <c r="B698" s="32" t="str">
        <f>Orders!C695</f>
        <v>S008</v>
      </c>
      <c r="C698" s="32" t="str">
        <f>Orders!B695</f>
        <v>C0195</v>
      </c>
      <c r="D698" s="32" t="str">
        <f>Orders!H695</f>
        <v>Delivered</v>
      </c>
      <c r="E698" s="33">
        <f>IF(Orders!H695="Delivered",1,0)</f>
        <v>1</v>
      </c>
      <c r="F698" s="34">
        <f>IF(E698=1,Orders!R695,"")</f>
        <v>9.8</v>
      </c>
      <c r="G698" s="33">
        <f>IF(E698=1,IF(Orders!R695&gt;0,1,0),"")</f>
        <v>1</v>
      </c>
      <c r="H698" s="33">
        <f>IF(E698=1,IF(Orders!R695&gt;5,1,0),"")</f>
        <v>1</v>
      </c>
      <c r="I698" s="32" t="str">
        <f>IF(E698=1,"",IF(OR(Orders!T695="Rider unavailable",Orders!T695="Item unavailable"),"Company-caused","Unresolved"))</f>
        <v/>
      </c>
      <c r="J698" s="33">
        <f>IF(OR(E698=1,I698="Company-caused"),1,0)</f>
        <v>1</v>
      </c>
      <c r="K698" s="32" t="str">
        <f>IF(E698=0,IF(I698="Company-caused",IF(Orders!T695="Rider unavailable","C1 Rider unavailable","C2 Item unavailable"),"Outside root: unresolved"),IF(G698=0,"A On time",IF(H698=1,IF(L698=1,"B2a Severe, peak","B2b Severe, off-peak"),IF(L698=1,"B1a Slight, peak","B1b Slight, off-peak"))))</f>
        <v>B2b Severe, off-peak</v>
      </c>
      <c r="L698" s="33">
        <f>IF(AND(Orders!U695&gt;=19,Orders!U695&lt;22),1,0)</f>
        <v>0</v>
      </c>
      <c r="M698" s="33">
        <f>IF(L698=IF(Orders!V695,1,0),1,0)</f>
        <v>1</v>
      </c>
      <c r="N698" s="32" t="str">
        <f>IF(Orders!W695="","None",Orders!W695)</f>
        <v>None</v>
      </c>
      <c r="O698" s="35">
        <f>INT(Orders!E695)</f>
        <v>46266.0</v>
      </c>
      <c r="P698" s="33">
        <f>Orders!U695</f>
        <v>10</v>
      </c>
      <c r="Q698" s="33">
        <f>COUNTIFS(Demand!$A$2:$A$4481,B698,Demand!$B$2:$B$4481,O698,Demand!$C$2:$C$4481,P698)</f>
        <v>1</v>
      </c>
      <c r="R698" s="33">
        <f>IF(Q698=1,SUMIFS(Demand!$E$2:$E$4481,Demand!$A$2:$A$4481,B698,Demand!$B$2:$B$4481,O698,Demand!$C$2:$C$4481,P698),"")</f>
        <v>10</v>
      </c>
      <c r="S698" s="33">
        <f>INDEX(Stores!$G$2:$G$21,MATCH(B698,Stores!$A$2:$A$21,0))</f>
        <v>23</v>
      </c>
      <c r="T698" s="34">
        <f>IF(R698="","",R698/S698)</f>
        <v>0.434782608695652</v>
      </c>
      <c r="U698" s="34">
        <f>IF(E698=1,T698,"")</f>
        <v>0.434782608695652</v>
      </c>
      <c r="V698" s="34">
        <f>IF(AND(E698=1,L698=0),T698,"")</f>
        <v>0.434782608695652</v>
      </c>
      <c r="W698" s="33">
        <f>IF(U698="","",IF(U698&lt;=Breakdowns!$C$5,1,IF(U698&lt;=Breakdowns!$C$6,2,IF(U698&lt;=Breakdowns!$C$7,3,4))))</f>
        <v>1</v>
      </c>
      <c r="X698" s="33">
        <f>IF(V698="","",IF(V698&lt;=Breakdowns!$D$5,1,IF(V698&lt;=Breakdowns!$D$6,2,IF(V698&lt;=Breakdowns!$D$7,3,4))))</f>
        <v>1</v>
      </c>
      <c r="Y698" s="34">
        <f>INDEX(Stores!$F$2:$F$21,MATCH(B698,Stores!$A$2:$A$21,0))</f>
        <v>3.46</v>
      </c>
      <c r="Z698" s="33">
        <f>IF(Y698&gt;Store_Summary!$M$2,1,0)</f>
        <v>0</v>
      </c>
      <c r="AA698" s="33">
        <f>INDEX(Stores!$C$2:$C$21,MATCH(B698,Stores!$A$2:$A$21,0))</f>
        <v>825</v>
      </c>
      <c r="AB698" s="33">
        <f>IF(AA698&lt;180,1,0)</f>
        <v>0</v>
      </c>
      <c r="AC698" s="32" t="str">
        <f>IF(Orders!D695="","",INDEX(Riders!$C$2:$C$81,MATCH(Orders!D695,Riders!$A$2:$A$81,0)))</f>
        <v>EV scooter</v>
      </c>
      <c r="AD698" s="33">
        <f>IF(Orders!D695="","",INDEX(Riders!$D$2:$D$81,MATCH(Orders!D695,Riders!$A$2:$A$81,0)))</f>
        <v>38</v>
      </c>
      <c r="AE698" s="33">
        <f>IF(Orders!D695="","",IF(INDEX(Riders!$B$2:$B$81,MATCH(Orders!D695,Riders!$A$2:$A$81,0))=B698,1,0))</f>
        <v>1</v>
      </c>
      <c r="AF698" s="34">
        <f>IF(E698=1,Orders!L695,"")</f>
        <v>1.5</v>
      </c>
      <c r="AG698" s="34">
        <f>IF(E698=1,Orders!P695,"")</f>
        <v>9.5</v>
      </c>
      <c r="AH698" s="34">
        <f>IF(E698=1,Orders!Q695,"")</f>
        <v>19.3</v>
      </c>
      <c r="AI698" s="34">
        <f>IF(E698=1,Orders!M695,"")</f>
        <v>5.1</v>
      </c>
      <c r="AJ698" s="34">
        <f>IF(E698=1,Orders!N695,"")</f>
        <v>9.3</v>
      </c>
      <c r="AK698" s="34">
        <f>IF(E698=1,Orders!O695,"")</f>
        <v>4.9</v>
      </c>
      <c r="AL698" s="33">
        <f>IF(E698=1,IF(ROUND(ABS(AI698+AJ698+AK698-AH698),6)&lt;=0.1,1,0),"")</f>
        <v>1</v>
      </c>
      <c r="AM698" s="36">
        <f>IF(E698=1,AI698/AH698,"")</f>
        <v>0.264248704663212</v>
      </c>
      <c r="AN698" s="36">
        <f>IF(E698=1,AJ698/AH698,"")</f>
        <v>0.481865284974093</v>
      </c>
      <c r="AO698" s="36">
        <f>IF(E698=1,AK698/AH698,"")</f>
        <v>0.253886010362694</v>
      </c>
      <c r="AP698" s="34">
        <f>IF(E698=1,Orders!Y695,"")</f>
        <v>0.56</v>
      </c>
      <c r="AQ698" s="33">
        <f>IF(Orders!X695,1,0)</f>
        <v>0</v>
      </c>
      <c r="AR698" s="34" t="str">
        <f>IF(AND(E698=1,L698=1),AJ698,"")</f>
        <v/>
      </c>
      <c r="AS698" s="34">
        <f>IF(AND(E698=1,L698=0),AJ698,"")</f>
        <v>9.3</v>
      </c>
      <c r="AT698" s="34" t="str">
        <f>IF(AND(E698=1,L698=1),AI698,"")</f>
        <v/>
      </c>
      <c r="AU698" s="34">
        <f>IF(AND(E698=1,L698=0),AI698,"")</f>
        <v>5.1</v>
      </c>
      <c r="AV698" s="34" t="str">
        <f>IF(AND(E698=1,L698=1),AG698,"")</f>
        <v/>
      </c>
      <c r="AW698" s="34">
        <f>IF(AND(E698=1,L698=0),AG698,"")</f>
        <v>9.5</v>
      </c>
      <c r="AX698" s="34" t="str">
        <f>IF(AND(E698=1,L698=1),AH698,"")</f>
        <v/>
      </c>
      <c r="AY698" s="34">
        <f>IF(AND(E698=1,L698=0),AH698,"")</f>
        <v>19.3</v>
      </c>
      <c r="AZ698" s="34">
        <f>IF(G698=1,F698,"")</f>
        <v>9.8</v>
      </c>
      <c r="BA698" s="34" t="str">
        <f>IF(AND(G698=1,L698=1),F698,"")</f>
        <v/>
      </c>
      <c r="BB698" s="34">
        <f>IF(AND(G698=1,L698=0),F698,"")</f>
        <v>9.8</v>
      </c>
      <c r="BC698" s="33">
        <f>IF(E698=1,IF(Orders!R695&gt;3,1,0),"")</f>
        <v>1</v>
      </c>
      <c r="BD698" s="33">
        <f>IF(E698=1,IF(Orders!R695&gt;7,1,0),"")</f>
        <v>1</v>
      </c>
      <c r="BE698" s="32" t="str">
        <f>IF(E698=1,IF(Orders!L695&lt;=1.5,"Up to 1.5 km",IF(Orders!L695&lt;=3,"1.5–3 km","Over 3 km")),"")</f>
        <v>Up to 1.5 km</v>
      </c>
      <c r="BF698" s="33">
        <f>IF(E698=1,IF(ABS((Orders!G695-Orders!F695)*1440-Orders!R695)&lt;0.06,1,0),"")</f>
        <v>1</v>
      </c>
      <c r="BG698" s="33">
        <f>IF(ABS((Orders!F695-Orders!E695)*1440-Orders!P695)&lt;0.06,1,0)</f>
        <v>1</v>
      </c>
      <c r="BH698" s="33">
        <f>IF(E698=1,IF(IF(Orders!S695,1,0)=1-G698,1,0),"")</f>
        <v>1</v>
      </c>
      <c r="BI698" s="32" t="str">
        <f>INDEX(Stores!$B$2:$B$21,MATCH(B698,Stores!$A$2:$A$21,0))</f>
        <v>Mumbai</v>
      </c>
    </row>
    <row r="699">
      <c r="A699" s="32" t="str">
        <f>Orders!A696</f>
        <v>O00695</v>
      </c>
      <c r="B699" s="32" t="str">
        <f>Orders!C696</f>
        <v>S008</v>
      </c>
      <c r="C699" s="32" t="str">
        <f>Orders!B696</f>
        <v>C0091</v>
      </c>
      <c r="D699" s="32" t="str">
        <f>Orders!H696</f>
        <v>Delivered</v>
      </c>
      <c r="E699" s="33">
        <f>IF(Orders!H696="Delivered",1,0)</f>
        <v>1</v>
      </c>
      <c r="F699" s="34">
        <f>IF(E699=1,Orders!R696,"")</f>
        <v>2.1</v>
      </c>
      <c r="G699" s="33">
        <f>IF(E699=1,IF(Orders!R696&gt;0,1,0),"")</f>
        <v>1</v>
      </c>
      <c r="H699" s="33">
        <f>IF(E699=1,IF(Orders!R696&gt;5,1,0),"")</f>
        <v>0</v>
      </c>
      <c r="I699" s="32" t="str">
        <f>IF(E699=1,"",IF(OR(Orders!T696="Rider unavailable",Orders!T696="Item unavailable"),"Company-caused","Unresolved"))</f>
        <v/>
      </c>
      <c r="J699" s="33">
        <f>IF(OR(E699=1,I699="Company-caused"),1,0)</f>
        <v>1</v>
      </c>
      <c r="K699" s="32" t="str">
        <f>IF(E699=0,IF(I699="Company-caused",IF(Orders!T696="Rider unavailable","C1 Rider unavailable","C2 Item unavailable"),"Outside root: unresolved"),IF(G699=0,"A On time",IF(H699=1,IF(L699=1,"B2a Severe, peak","B2b Severe, off-peak"),IF(L699=1,"B1a Slight, peak","B1b Slight, off-peak"))))</f>
        <v>B1b Slight, off-peak</v>
      </c>
      <c r="L699" s="33">
        <f>IF(AND(Orders!U696&gt;=19,Orders!U696&lt;22),1,0)</f>
        <v>0</v>
      </c>
      <c r="M699" s="33">
        <f>IF(L699=IF(Orders!V696,1,0),1,0)</f>
        <v>1</v>
      </c>
      <c r="N699" s="32" t="str">
        <f>IF(Orders!W696="","None",Orders!W696)</f>
        <v>Light</v>
      </c>
      <c r="O699" s="35">
        <f>INT(Orders!E696)</f>
        <v>46279.0</v>
      </c>
      <c r="P699" s="33">
        <f>Orders!U696</f>
        <v>15</v>
      </c>
      <c r="Q699" s="33">
        <f>COUNTIFS(Demand!$A$2:$A$4481,B699,Demand!$B$2:$B$4481,O699,Demand!$C$2:$C$4481,P699)</f>
        <v>1</v>
      </c>
      <c r="R699" s="33">
        <f>IF(Q699=1,SUMIFS(Demand!$E$2:$E$4481,Demand!$A$2:$A$4481,B699,Demand!$B$2:$B$4481,O699,Demand!$C$2:$C$4481,P699),"")</f>
        <v>17</v>
      </c>
      <c r="S699" s="33">
        <f>INDEX(Stores!$G$2:$G$21,MATCH(B699,Stores!$A$2:$A$21,0))</f>
        <v>23</v>
      </c>
      <c r="T699" s="34">
        <f>IF(R699="","",R699/S699)</f>
        <v>0.739130434782609</v>
      </c>
      <c r="U699" s="34">
        <f>IF(E699=1,T699,"")</f>
        <v>0.739130434782609</v>
      </c>
      <c r="V699" s="34">
        <f>IF(AND(E699=1,L699=0),T699,"")</f>
        <v>0.739130434782609</v>
      </c>
      <c r="W699" s="33">
        <f>IF(U699="","",IF(U699&lt;=Breakdowns!$C$5,1,IF(U699&lt;=Breakdowns!$C$6,2,IF(U699&lt;=Breakdowns!$C$7,3,4))))</f>
        <v>1</v>
      </c>
      <c r="X699" s="33">
        <f>IF(V699="","",IF(V699&lt;=Breakdowns!$D$5,1,IF(V699&lt;=Breakdowns!$D$6,2,IF(V699&lt;=Breakdowns!$D$7,3,4))))</f>
        <v>1</v>
      </c>
      <c r="Y699" s="34">
        <f>INDEX(Stores!$F$2:$F$21,MATCH(B699,Stores!$A$2:$A$21,0))</f>
        <v>3.46</v>
      </c>
      <c r="Z699" s="33">
        <f>IF(Y699&gt;Store_Summary!$M$2,1,0)</f>
        <v>0</v>
      </c>
      <c r="AA699" s="33">
        <f>INDEX(Stores!$C$2:$C$21,MATCH(B699,Stores!$A$2:$A$21,0))</f>
        <v>825</v>
      </c>
      <c r="AB699" s="33">
        <f>IF(AA699&lt;180,1,0)</f>
        <v>0</v>
      </c>
      <c r="AC699" s="32" t="str">
        <f>IF(Orders!D696="","",INDEX(Riders!$C$2:$C$81,MATCH(Orders!D696,Riders!$A$2:$A$81,0)))</f>
        <v>Petrol scooter</v>
      </c>
      <c r="AD699" s="33">
        <f>IF(Orders!D696="","",INDEX(Riders!$D$2:$D$81,MATCH(Orders!D696,Riders!$A$2:$A$81,0)))</f>
        <v>44</v>
      </c>
      <c r="AE699" s="33">
        <f>IF(Orders!D696="","",IF(INDEX(Riders!$B$2:$B$81,MATCH(Orders!D696,Riders!$A$2:$A$81,0))=B699,1,0))</f>
        <v>0</v>
      </c>
      <c r="AF699" s="34">
        <f>IF(E699=1,Orders!L696,"")</f>
        <v>1.45</v>
      </c>
      <c r="AG699" s="34">
        <f>IF(E699=1,Orders!P696,"")</f>
        <v>11</v>
      </c>
      <c r="AH699" s="34">
        <f>IF(E699=1,Orders!Q696,"")</f>
        <v>13.1</v>
      </c>
      <c r="AI699" s="34">
        <f>IF(E699=1,Orders!M696,"")</f>
        <v>2.6</v>
      </c>
      <c r="AJ699" s="34">
        <f>IF(E699=1,Orders!N696,"")</f>
        <v>4.6</v>
      </c>
      <c r="AK699" s="34">
        <f>IF(E699=1,Orders!O696,"")</f>
        <v>5.9</v>
      </c>
      <c r="AL699" s="33">
        <f>IF(E699=1,IF(ROUND(ABS(AI699+AJ699+AK699-AH699),6)&lt;=0.1,1,0),"")</f>
        <v>1</v>
      </c>
      <c r="AM699" s="36">
        <f>IF(E699=1,AI699/AH699,"")</f>
        <v>0.198473282442748</v>
      </c>
      <c r="AN699" s="36">
        <f>IF(E699=1,AJ699/AH699,"")</f>
        <v>0.351145038167939</v>
      </c>
      <c r="AO699" s="36">
        <f>IF(E699=1,AK699/AH699,"")</f>
        <v>0.450381679389313</v>
      </c>
      <c r="AP699" s="34">
        <f>IF(E699=1,Orders!Y696,"")</f>
        <v>0.53</v>
      </c>
      <c r="AQ699" s="33">
        <f>IF(Orders!X696,1,0)</f>
        <v>0</v>
      </c>
      <c r="AR699" s="34" t="str">
        <f>IF(AND(E699=1,L699=1),AJ699,"")</f>
        <v/>
      </c>
      <c r="AS699" s="34">
        <f>IF(AND(E699=1,L699=0),AJ699,"")</f>
        <v>4.6</v>
      </c>
      <c r="AT699" s="34" t="str">
        <f>IF(AND(E699=1,L699=1),AI699,"")</f>
        <v/>
      </c>
      <c r="AU699" s="34">
        <f>IF(AND(E699=1,L699=0),AI699,"")</f>
        <v>2.6</v>
      </c>
      <c r="AV699" s="34" t="str">
        <f>IF(AND(E699=1,L699=1),AG699,"")</f>
        <v/>
      </c>
      <c r="AW699" s="34">
        <f>IF(AND(E699=1,L699=0),AG699,"")</f>
        <v>11</v>
      </c>
      <c r="AX699" s="34" t="str">
        <f>IF(AND(E699=1,L699=1),AH699,"")</f>
        <v/>
      </c>
      <c r="AY699" s="34">
        <f>IF(AND(E699=1,L699=0),AH699,"")</f>
        <v>13.1</v>
      </c>
      <c r="AZ699" s="34">
        <f>IF(G699=1,F699,"")</f>
        <v>2.1</v>
      </c>
      <c r="BA699" s="34" t="str">
        <f>IF(AND(G699=1,L699=1),F699,"")</f>
        <v/>
      </c>
      <c r="BB699" s="34">
        <f>IF(AND(G699=1,L699=0),F699,"")</f>
        <v>2.1</v>
      </c>
      <c r="BC699" s="33">
        <f>IF(E699=1,IF(Orders!R696&gt;3,1,0),"")</f>
        <v>0</v>
      </c>
      <c r="BD699" s="33">
        <f>IF(E699=1,IF(Orders!R696&gt;7,1,0),"")</f>
        <v>0</v>
      </c>
      <c r="BE699" s="32" t="str">
        <f>IF(E699=1,IF(Orders!L696&lt;=1.5,"Up to 1.5 km",IF(Orders!L696&lt;=3,"1.5–3 km","Over 3 km")),"")</f>
        <v>Up to 1.5 km</v>
      </c>
      <c r="BF699" s="33">
        <f>IF(E699=1,IF(ABS((Orders!G696-Orders!F696)*1440-Orders!R696)&lt;0.06,1,0),"")</f>
        <v>1</v>
      </c>
      <c r="BG699" s="33">
        <f>IF(ABS((Orders!F696-Orders!E696)*1440-Orders!P696)&lt;0.06,1,0)</f>
        <v>1</v>
      </c>
      <c r="BH699" s="33">
        <f>IF(E699=1,IF(IF(Orders!S696,1,0)=1-G699,1,0),"")</f>
        <v>1</v>
      </c>
      <c r="BI699" s="32" t="str">
        <f>INDEX(Stores!$B$2:$B$21,MATCH(B699,Stores!$A$2:$A$21,0))</f>
        <v>Mumbai</v>
      </c>
    </row>
    <row r="700">
      <c r="A700" s="32" t="str">
        <f>Orders!A697</f>
        <v>O00696</v>
      </c>
      <c r="B700" s="32" t="str">
        <f>Orders!C697</f>
        <v>S007</v>
      </c>
      <c r="C700" s="32" t="str">
        <f>Orders!B697</f>
        <v>C0155</v>
      </c>
      <c r="D700" s="32" t="str">
        <f>Orders!H697</f>
        <v>Delivered</v>
      </c>
      <c r="E700" s="33">
        <f>IF(Orders!H697="Delivered",1,0)</f>
        <v>1</v>
      </c>
      <c r="F700" s="34">
        <f>IF(E700=1,Orders!R697,"")</f>
        <v>-1.2</v>
      </c>
      <c r="G700" s="33">
        <f>IF(E700=1,IF(Orders!R697&gt;0,1,0),"")</f>
        <v>0</v>
      </c>
      <c r="H700" s="33">
        <f>IF(E700=1,IF(Orders!R697&gt;5,1,0),"")</f>
        <v>0</v>
      </c>
      <c r="I700" s="32" t="str">
        <f>IF(E700=1,"",IF(OR(Orders!T697="Rider unavailable",Orders!T697="Item unavailable"),"Company-caused","Unresolved"))</f>
        <v/>
      </c>
      <c r="J700" s="33">
        <f>IF(OR(E700=1,I700="Company-caused"),1,0)</f>
        <v>1</v>
      </c>
      <c r="K700" s="32" t="str">
        <f>IF(E700=0,IF(I700="Company-caused",IF(Orders!T697="Rider unavailable","C1 Rider unavailable","C2 Item unavailable"),"Outside root: unresolved"),IF(G700=0,"A On time",IF(H700=1,IF(L700=1,"B2a Severe, peak","B2b Severe, off-peak"),IF(L700=1,"B1a Slight, peak","B1b Slight, off-peak"))))</f>
        <v>A On time</v>
      </c>
      <c r="L700" s="33">
        <f>IF(AND(Orders!U697&gt;=19,Orders!U697&lt;22),1,0)</f>
        <v>1</v>
      </c>
      <c r="M700" s="33">
        <f>IF(L700=IF(Orders!V697,1,0),1,0)</f>
        <v>1</v>
      </c>
      <c r="N700" s="32" t="str">
        <f>IF(Orders!W697="","None",Orders!W697)</f>
        <v>None</v>
      </c>
      <c r="O700" s="35">
        <f>INT(Orders!E697)</f>
        <v>46276.0</v>
      </c>
      <c r="P700" s="33">
        <f>Orders!U697</f>
        <v>21</v>
      </c>
      <c r="Q700" s="33">
        <f>COUNTIFS(Demand!$A$2:$A$4481,B700,Demand!$B$2:$B$4481,O700,Demand!$C$2:$C$4481,P700)</f>
        <v>1</v>
      </c>
      <c r="R700" s="33">
        <f>IF(Q700=1,SUMIFS(Demand!$E$2:$E$4481,Demand!$A$2:$A$4481,B700,Demand!$B$2:$B$4481,O700,Demand!$C$2:$C$4481,P700),"")</f>
        <v>60</v>
      </c>
      <c r="S700" s="33">
        <f>INDEX(Stores!$G$2:$G$21,MATCH(B700,Stores!$A$2:$A$21,0))</f>
        <v>37</v>
      </c>
      <c r="T700" s="34">
        <f>IF(R700="","",R700/S700)</f>
        <v>1.62162162162162</v>
      </c>
      <c r="U700" s="34">
        <f>IF(E700=1,T700,"")</f>
        <v>1.62162162162162</v>
      </c>
      <c r="V700" s="34" t="str">
        <f>IF(AND(E700=1,L700=0),T700,"")</f>
        <v/>
      </c>
      <c r="W700" s="33">
        <f>IF(U700="","",IF(U700&lt;=Breakdowns!$C$5,1,IF(U700&lt;=Breakdowns!$C$6,2,IF(U700&lt;=Breakdowns!$C$7,3,4))))</f>
        <v>4</v>
      </c>
      <c r="X700" s="33" t="str">
        <f>IF(V700="","",IF(V700&lt;=Breakdowns!$D$5,1,IF(V700&lt;=Breakdowns!$D$6,2,IF(V700&lt;=Breakdowns!$D$7,3,4))))</f>
        <v/>
      </c>
      <c r="Y700" s="34">
        <f>INDEX(Stores!$F$2:$F$21,MATCH(B700,Stores!$A$2:$A$21,0))</f>
        <v>4.05</v>
      </c>
      <c r="Z700" s="33">
        <f>IF(Y700&gt;Store_Summary!$M$2,1,0)</f>
        <v>0</v>
      </c>
      <c r="AA700" s="33">
        <f>INDEX(Stores!$C$2:$C$21,MATCH(B700,Stores!$A$2:$A$21,0))</f>
        <v>661</v>
      </c>
      <c r="AB700" s="33">
        <f>IF(AA700&lt;180,1,0)</f>
        <v>0</v>
      </c>
      <c r="AC700" s="32" t="str">
        <f>IF(Orders!D697="","",INDEX(Riders!$C$2:$C$81,MATCH(Orders!D697,Riders!$A$2:$A$81,0)))</f>
        <v>Petrol scooter</v>
      </c>
      <c r="AD700" s="33">
        <f>IF(Orders!D697="","",INDEX(Riders!$D$2:$D$81,MATCH(Orders!D697,Riders!$A$2:$A$81,0)))</f>
        <v>44</v>
      </c>
      <c r="AE700" s="33">
        <f>IF(Orders!D697="","",IF(INDEX(Riders!$B$2:$B$81,MATCH(Orders!D697,Riders!$A$2:$A$81,0))=B700,1,0))</f>
        <v>0</v>
      </c>
      <c r="AF700" s="34">
        <f>IF(E700=1,Orders!L697,"")</f>
        <v>0.98</v>
      </c>
      <c r="AG700" s="34">
        <f>IF(E700=1,Orders!P697,"")</f>
        <v>10.6</v>
      </c>
      <c r="AH700" s="34">
        <f>IF(E700=1,Orders!Q697,"")</f>
        <v>9.4</v>
      </c>
      <c r="AI700" s="34">
        <f>IF(E700=1,Orders!M697,"")</f>
        <v>3.1</v>
      </c>
      <c r="AJ700" s="34">
        <f>IF(E700=1,Orders!N697,"")</f>
        <v>4.2</v>
      </c>
      <c r="AK700" s="34">
        <f>IF(E700=1,Orders!O697,"")</f>
        <v>2.1</v>
      </c>
      <c r="AL700" s="33">
        <f>IF(E700=1,IF(ROUND(ABS(AI700+AJ700+AK700-AH700),6)&lt;=0.1,1,0),"")</f>
        <v>1</v>
      </c>
      <c r="AM700" s="36">
        <f>IF(E700=1,AI700/AH700,"")</f>
        <v>0.329787234042553</v>
      </c>
      <c r="AN700" s="36">
        <f>IF(E700=1,AJ700/AH700,"")</f>
        <v>0.446808510638298</v>
      </c>
      <c r="AO700" s="36">
        <f>IF(E700=1,AK700/AH700,"")</f>
        <v>0.223404255319149</v>
      </c>
      <c r="AP700" s="34">
        <f>IF(E700=1,Orders!Y697,"")</f>
        <v>0.39</v>
      </c>
      <c r="AQ700" s="33">
        <f>IF(Orders!X697,1,0)</f>
        <v>1</v>
      </c>
      <c r="AR700" s="34">
        <f>IF(AND(E700=1,L700=1),AJ700,"")</f>
        <v>4.2</v>
      </c>
      <c r="AS700" s="34" t="str">
        <f>IF(AND(E700=1,L700=0),AJ700,"")</f>
        <v/>
      </c>
      <c r="AT700" s="34">
        <f>IF(AND(E700=1,L700=1),AI700,"")</f>
        <v>3.1</v>
      </c>
      <c r="AU700" s="34" t="str">
        <f>IF(AND(E700=1,L700=0),AI700,"")</f>
        <v/>
      </c>
      <c r="AV700" s="34">
        <f>IF(AND(E700=1,L700=1),AG700,"")</f>
        <v>10.6</v>
      </c>
      <c r="AW700" s="34" t="str">
        <f>IF(AND(E700=1,L700=0),AG700,"")</f>
        <v/>
      </c>
      <c r="AX700" s="34">
        <f>IF(AND(E700=1,L700=1),AH700,"")</f>
        <v>9.4</v>
      </c>
      <c r="AY700" s="34" t="str">
        <f>IF(AND(E700=1,L700=0),AH700,"")</f>
        <v/>
      </c>
      <c r="AZ700" s="34" t="str">
        <f>IF(G700=1,F700,"")</f>
        <v/>
      </c>
      <c r="BA700" s="34" t="str">
        <f>IF(AND(G700=1,L700=1),F700,"")</f>
        <v/>
      </c>
      <c r="BB700" s="34" t="str">
        <f>IF(AND(G700=1,L700=0),F700,"")</f>
        <v/>
      </c>
      <c r="BC700" s="33">
        <f>IF(E700=1,IF(Orders!R697&gt;3,1,0),"")</f>
        <v>0</v>
      </c>
      <c r="BD700" s="33">
        <f>IF(E700=1,IF(Orders!R697&gt;7,1,0),"")</f>
        <v>0</v>
      </c>
      <c r="BE700" s="32" t="str">
        <f>IF(E700=1,IF(Orders!L697&lt;=1.5,"Up to 1.5 km",IF(Orders!L697&lt;=3,"1.5–3 km","Over 3 km")),"")</f>
        <v>Up to 1.5 km</v>
      </c>
      <c r="BF700" s="33">
        <f>IF(E700=1,IF(ABS((Orders!G697-Orders!F697)*1440-Orders!R697)&lt;0.06,1,0),"")</f>
        <v>1</v>
      </c>
      <c r="BG700" s="33">
        <f>IF(ABS((Orders!F697-Orders!E697)*1440-Orders!P697)&lt;0.06,1,0)</f>
        <v>1</v>
      </c>
      <c r="BH700" s="33">
        <f>IF(E700=1,IF(IF(Orders!S697,1,0)=1-G700,1,0),"")</f>
        <v>1</v>
      </c>
      <c r="BI700" s="32" t="str">
        <f>INDEX(Stores!$B$2:$B$21,MATCH(B700,Stores!$A$2:$A$21,0))</f>
        <v>Hyderabad</v>
      </c>
    </row>
    <row r="701">
      <c r="A701" s="32" t="str">
        <f>Orders!A698</f>
        <v>O00697</v>
      </c>
      <c r="B701" s="32" t="str">
        <f>Orders!C698</f>
        <v>S006</v>
      </c>
      <c r="C701" s="32" t="str">
        <f>Orders!B698</f>
        <v>C0143</v>
      </c>
      <c r="D701" s="32" t="str">
        <f>Orders!H698</f>
        <v>Delivered</v>
      </c>
      <c r="E701" s="33">
        <f>IF(Orders!H698="Delivered",1,0)</f>
        <v>1</v>
      </c>
      <c r="F701" s="34">
        <f>IF(E701=1,Orders!R698,"")</f>
        <v>16.8</v>
      </c>
      <c r="G701" s="33">
        <f>IF(E701=1,IF(Orders!R698&gt;0,1,0),"")</f>
        <v>1</v>
      </c>
      <c r="H701" s="33">
        <f>IF(E701=1,IF(Orders!R698&gt;5,1,0),"")</f>
        <v>1</v>
      </c>
      <c r="I701" s="32" t="str">
        <f>IF(E701=1,"",IF(OR(Orders!T698="Rider unavailable",Orders!T698="Item unavailable"),"Company-caused","Unresolved"))</f>
        <v/>
      </c>
      <c r="J701" s="33">
        <f>IF(OR(E701=1,I701="Company-caused"),1,0)</f>
        <v>1</v>
      </c>
      <c r="K701" s="32" t="str">
        <f>IF(E701=0,IF(I701="Company-caused",IF(Orders!T698="Rider unavailable","C1 Rider unavailable","C2 Item unavailable"),"Outside root: unresolved"),IF(G701=0,"A On time",IF(H701=1,IF(L701=1,"B2a Severe, peak","B2b Severe, off-peak"),IF(L701=1,"B1a Slight, peak","B1b Slight, off-peak"))))</f>
        <v>B2a Severe, peak</v>
      </c>
      <c r="L701" s="33">
        <f>IF(AND(Orders!U698&gt;=19,Orders!U698&lt;22),1,0)</f>
        <v>1</v>
      </c>
      <c r="M701" s="33">
        <f>IF(L701=IF(Orders!V698,1,0),1,0)</f>
        <v>1</v>
      </c>
      <c r="N701" s="32" t="str">
        <f>IF(Orders!W698="","None",Orders!W698)</f>
        <v>Heavy</v>
      </c>
      <c r="O701" s="35">
        <f>INT(Orders!E698)</f>
        <v>46270.0</v>
      </c>
      <c r="P701" s="33">
        <f>Orders!U698</f>
        <v>21</v>
      </c>
      <c r="Q701" s="33">
        <f>COUNTIFS(Demand!$A$2:$A$4481,B701,Demand!$B$2:$B$4481,O701,Demand!$C$2:$C$4481,P701)</f>
        <v>1</v>
      </c>
      <c r="R701" s="33">
        <f>IF(Q701=1,SUMIFS(Demand!$E$2:$E$4481,Demand!$A$2:$A$4481,B701,Demand!$B$2:$B$4481,O701,Demand!$C$2:$C$4481,P701),"")</f>
        <v>39</v>
      </c>
      <c r="S701" s="33">
        <f>INDEX(Stores!$G$2:$G$21,MATCH(B701,Stores!$A$2:$A$21,0))</f>
        <v>26</v>
      </c>
      <c r="T701" s="34">
        <f>IF(R701="","",R701/S701)</f>
        <v>1.5</v>
      </c>
      <c r="U701" s="34">
        <f>IF(E701=1,T701,"")</f>
        <v>1.5</v>
      </c>
      <c r="V701" s="34" t="str">
        <f>IF(AND(E701=1,L701=0),T701,"")</f>
        <v/>
      </c>
      <c r="W701" s="33">
        <f>IF(U701="","",IF(U701&lt;=Breakdowns!$C$5,1,IF(U701&lt;=Breakdowns!$C$6,2,IF(U701&lt;=Breakdowns!$C$7,3,4))))</f>
        <v>4</v>
      </c>
      <c r="X701" s="33" t="str">
        <f>IF(V701="","",IF(V701&lt;=Breakdowns!$D$5,1,IF(V701&lt;=Breakdowns!$D$6,2,IF(V701&lt;=Breakdowns!$D$7,3,4))))</f>
        <v/>
      </c>
      <c r="Y701" s="34">
        <f>INDEX(Stores!$F$2:$F$21,MATCH(B701,Stores!$A$2:$A$21,0))</f>
        <v>5.22</v>
      </c>
      <c r="Z701" s="33">
        <f>IF(Y701&gt;Store_Summary!$M$2,1,0)</f>
        <v>1</v>
      </c>
      <c r="AA701" s="33">
        <f>INDEX(Stores!$C$2:$C$21,MATCH(B701,Stores!$A$2:$A$21,0))</f>
        <v>412</v>
      </c>
      <c r="AB701" s="33">
        <f>IF(AA701&lt;180,1,0)</f>
        <v>0</v>
      </c>
      <c r="AC701" s="32" t="str">
        <f>IF(Orders!D698="","",INDEX(Riders!$C$2:$C$81,MATCH(Orders!D698,Riders!$A$2:$A$81,0)))</f>
        <v>EV scooter</v>
      </c>
      <c r="AD701" s="33">
        <f>IF(Orders!D698="","",INDEX(Riders!$D$2:$D$81,MATCH(Orders!D698,Riders!$A$2:$A$81,0)))</f>
        <v>33</v>
      </c>
      <c r="AE701" s="33">
        <f>IF(Orders!D698="","",IF(INDEX(Riders!$B$2:$B$81,MATCH(Orders!D698,Riders!$A$2:$A$81,0))=B701,1,0))</f>
        <v>0</v>
      </c>
      <c r="AF701" s="34">
        <f>IF(E701=1,Orders!L698,"")</f>
        <v>2.7</v>
      </c>
      <c r="AG701" s="34">
        <f>IF(E701=1,Orders!P698,"")</f>
        <v>8.8</v>
      </c>
      <c r="AH701" s="34">
        <f>IF(E701=1,Orders!Q698,"")</f>
        <v>25.6</v>
      </c>
      <c r="AI701" s="34">
        <f>IF(E701=1,Orders!M698,"")</f>
        <v>7.1</v>
      </c>
      <c r="AJ701" s="34">
        <f>IF(E701=1,Orders!N698,"")</f>
        <v>9</v>
      </c>
      <c r="AK701" s="34">
        <f>IF(E701=1,Orders!O698,"")</f>
        <v>9.5</v>
      </c>
      <c r="AL701" s="33">
        <f>IF(E701=1,IF(ROUND(ABS(AI701+AJ701+AK701-AH701),6)&lt;=0.1,1,0),"")</f>
        <v>1</v>
      </c>
      <c r="AM701" s="36">
        <f>IF(E701=1,AI701/AH701,"")</f>
        <v>0.27734375</v>
      </c>
      <c r="AN701" s="36">
        <f>IF(E701=1,AJ701/AH701,"")</f>
        <v>0.3515625</v>
      </c>
      <c r="AO701" s="36">
        <f>IF(E701=1,AK701/AH701,"")</f>
        <v>0.37109375</v>
      </c>
      <c r="AP701" s="34">
        <f>IF(E701=1,Orders!Y698,"")</f>
        <v>0.9</v>
      </c>
      <c r="AQ701" s="33">
        <f>IF(Orders!X698,1,0)</f>
        <v>0</v>
      </c>
      <c r="AR701" s="34">
        <f>IF(AND(E701=1,L701=1),AJ701,"")</f>
        <v>9</v>
      </c>
      <c r="AS701" s="34" t="str">
        <f>IF(AND(E701=1,L701=0),AJ701,"")</f>
        <v/>
      </c>
      <c r="AT701" s="34">
        <f>IF(AND(E701=1,L701=1),AI701,"")</f>
        <v>7.1</v>
      </c>
      <c r="AU701" s="34" t="str">
        <f>IF(AND(E701=1,L701=0),AI701,"")</f>
        <v/>
      </c>
      <c r="AV701" s="34">
        <f>IF(AND(E701=1,L701=1),AG701,"")</f>
        <v>8.8</v>
      </c>
      <c r="AW701" s="34" t="str">
        <f>IF(AND(E701=1,L701=0),AG701,"")</f>
        <v/>
      </c>
      <c r="AX701" s="34">
        <f>IF(AND(E701=1,L701=1),AH701,"")</f>
        <v>25.6</v>
      </c>
      <c r="AY701" s="34" t="str">
        <f>IF(AND(E701=1,L701=0),AH701,"")</f>
        <v/>
      </c>
      <c r="AZ701" s="34">
        <f>IF(G701=1,F701,"")</f>
        <v>16.8</v>
      </c>
      <c r="BA701" s="34">
        <f>IF(AND(G701=1,L701=1),F701,"")</f>
        <v>16.8</v>
      </c>
      <c r="BB701" s="34" t="str">
        <f>IF(AND(G701=1,L701=0),F701,"")</f>
        <v/>
      </c>
      <c r="BC701" s="33">
        <f>IF(E701=1,IF(Orders!R698&gt;3,1,0),"")</f>
        <v>1</v>
      </c>
      <c r="BD701" s="33">
        <f>IF(E701=1,IF(Orders!R698&gt;7,1,0),"")</f>
        <v>1</v>
      </c>
      <c r="BE701" s="32" t="str">
        <f>IF(E701=1,IF(Orders!L698&lt;=1.5,"Up to 1.5 km",IF(Orders!L698&lt;=3,"1.5–3 km","Over 3 km")),"")</f>
        <v>1.5–3 km</v>
      </c>
      <c r="BF701" s="33">
        <f>IF(E701=1,IF(ABS((Orders!G698-Orders!F698)*1440-Orders!R698)&lt;0.06,1,0),"")</f>
        <v>1</v>
      </c>
      <c r="BG701" s="33">
        <f>IF(ABS((Orders!F698-Orders!E698)*1440-Orders!P698)&lt;0.06,1,0)</f>
        <v>1</v>
      </c>
      <c r="BH701" s="33">
        <f>IF(E701=1,IF(IF(Orders!S698,1,0)=1-G701,1,0),"")</f>
        <v>1</v>
      </c>
      <c r="BI701" s="32" t="str">
        <f>INDEX(Stores!$B$2:$B$21,MATCH(B701,Stores!$A$2:$A$21,0))</f>
        <v>Bengaluru</v>
      </c>
    </row>
    <row r="702">
      <c r="A702" s="32" t="str">
        <f>Orders!A699</f>
        <v>O00698</v>
      </c>
      <c r="B702" s="32" t="str">
        <f>Orders!C699</f>
        <v>S006</v>
      </c>
      <c r="C702" s="32" t="str">
        <f>Orders!B699</f>
        <v>C0096</v>
      </c>
      <c r="D702" s="32" t="str">
        <f>Orders!H699</f>
        <v>Delivered</v>
      </c>
      <c r="E702" s="33">
        <f>IF(Orders!H699="Delivered",1,0)</f>
        <v>1</v>
      </c>
      <c r="F702" s="34">
        <f>IF(E702=1,Orders!R699,"")</f>
        <v>-0.3</v>
      </c>
      <c r="G702" s="33">
        <f>IF(E702=1,IF(Orders!R699&gt;0,1,0),"")</f>
        <v>0</v>
      </c>
      <c r="H702" s="33">
        <f>IF(E702=1,IF(Orders!R699&gt;5,1,0),"")</f>
        <v>0</v>
      </c>
      <c r="I702" s="32" t="str">
        <f>IF(E702=1,"",IF(OR(Orders!T699="Rider unavailable",Orders!T699="Item unavailable"),"Company-caused","Unresolved"))</f>
        <v/>
      </c>
      <c r="J702" s="33">
        <f>IF(OR(E702=1,I702="Company-caused"),1,0)</f>
        <v>1</v>
      </c>
      <c r="K702" s="32" t="str">
        <f>IF(E702=0,IF(I702="Company-caused",IF(Orders!T699="Rider unavailable","C1 Rider unavailable","C2 Item unavailable"),"Outside root: unresolved"),IF(G702=0,"A On time",IF(H702=1,IF(L702=1,"B2a Severe, peak","B2b Severe, off-peak"),IF(L702=1,"B1a Slight, peak","B1b Slight, off-peak"))))</f>
        <v>A On time</v>
      </c>
      <c r="L702" s="33">
        <f>IF(AND(Orders!U699&gt;=19,Orders!U699&lt;22),1,0)</f>
        <v>0</v>
      </c>
      <c r="M702" s="33">
        <f>IF(L702=IF(Orders!V699,1,0),1,0)</f>
        <v>1</v>
      </c>
      <c r="N702" s="32" t="str">
        <f>IF(Orders!W699="","None",Orders!W699)</f>
        <v>None</v>
      </c>
      <c r="O702" s="35">
        <f>INT(Orders!E699)</f>
        <v>46271.0</v>
      </c>
      <c r="P702" s="33">
        <f>Orders!U699</f>
        <v>23</v>
      </c>
      <c r="Q702" s="33">
        <f>COUNTIFS(Demand!$A$2:$A$4481,B702,Demand!$B$2:$B$4481,O702,Demand!$C$2:$C$4481,P702)</f>
        <v>1</v>
      </c>
      <c r="R702" s="33">
        <f>IF(Q702=1,SUMIFS(Demand!$E$2:$E$4481,Demand!$A$2:$A$4481,B702,Demand!$B$2:$B$4481,O702,Demand!$C$2:$C$4481,P702),"")</f>
        <v>33</v>
      </c>
      <c r="S702" s="33">
        <f>INDEX(Stores!$G$2:$G$21,MATCH(B702,Stores!$A$2:$A$21,0))</f>
        <v>26</v>
      </c>
      <c r="T702" s="34">
        <f>IF(R702="","",R702/S702)</f>
        <v>1.26923076923077</v>
      </c>
      <c r="U702" s="34">
        <f>IF(E702=1,T702,"")</f>
        <v>1.26923076923077</v>
      </c>
      <c r="V702" s="34">
        <f>IF(AND(E702=1,L702=0),T702,"")</f>
        <v>1.26923076923077</v>
      </c>
      <c r="W702" s="33">
        <f>IF(U702="","",IF(U702&lt;=Breakdowns!$C$5,1,IF(U702&lt;=Breakdowns!$C$6,2,IF(U702&lt;=Breakdowns!$C$7,3,4))))</f>
        <v>4</v>
      </c>
      <c r="X702" s="33">
        <f>IF(V702="","",IF(V702&lt;=Breakdowns!$D$5,1,IF(V702&lt;=Breakdowns!$D$6,2,IF(V702&lt;=Breakdowns!$D$7,3,4))))</f>
        <v>4</v>
      </c>
      <c r="Y702" s="34">
        <f>INDEX(Stores!$F$2:$F$21,MATCH(B702,Stores!$A$2:$A$21,0))</f>
        <v>5.22</v>
      </c>
      <c r="Z702" s="33">
        <f>IF(Y702&gt;Store_Summary!$M$2,1,0)</f>
        <v>1</v>
      </c>
      <c r="AA702" s="33">
        <f>INDEX(Stores!$C$2:$C$21,MATCH(B702,Stores!$A$2:$A$21,0))</f>
        <v>412</v>
      </c>
      <c r="AB702" s="33">
        <f>IF(AA702&lt;180,1,0)</f>
        <v>0</v>
      </c>
      <c r="AC702" s="32" t="str">
        <f>IF(Orders!D699="","",INDEX(Riders!$C$2:$C$81,MATCH(Orders!D699,Riders!$A$2:$A$81,0)))</f>
        <v>Bicycle</v>
      </c>
      <c r="AD702" s="33">
        <f>IF(Orders!D699="","",INDEX(Riders!$D$2:$D$81,MATCH(Orders!D699,Riders!$A$2:$A$81,0)))</f>
        <v>40</v>
      </c>
      <c r="AE702" s="33">
        <f>IF(Orders!D699="","",IF(INDEX(Riders!$B$2:$B$81,MATCH(Orders!D699,Riders!$A$2:$A$81,0))=B702,1,0))</f>
        <v>0</v>
      </c>
      <c r="AF702" s="34">
        <f>IF(E702=1,Orders!L699,"")</f>
        <v>3.01</v>
      </c>
      <c r="AG702" s="34">
        <f>IF(E702=1,Orders!P699,"")</f>
        <v>11.1</v>
      </c>
      <c r="AH702" s="34">
        <f>IF(E702=1,Orders!Q699,"")</f>
        <v>10.8</v>
      </c>
      <c r="AI702" s="34">
        <f>IF(E702=1,Orders!M699,"")</f>
        <v>3.6</v>
      </c>
      <c r="AJ702" s="34">
        <f>IF(E702=1,Orders!N699,"")</f>
        <v>2.5</v>
      </c>
      <c r="AK702" s="34">
        <f>IF(E702=1,Orders!O699,"")</f>
        <v>4.7</v>
      </c>
      <c r="AL702" s="33">
        <f>IF(E702=1,IF(ROUND(ABS(AI702+AJ702+AK702-AH702),6)&lt;=0.1,1,0),"")</f>
        <v>1</v>
      </c>
      <c r="AM702" s="36">
        <f>IF(E702=1,AI702/AH702,"")</f>
        <v>0.333333333333333</v>
      </c>
      <c r="AN702" s="36">
        <f>IF(E702=1,AJ702/AH702,"")</f>
        <v>0.231481481481481</v>
      </c>
      <c r="AO702" s="36">
        <f>IF(E702=1,AK702/AH702,"")</f>
        <v>0.435185185185185</v>
      </c>
      <c r="AP702" s="34">
        <f>IF(E702=1,Orders!Y699,"")</f>
        <v>0.24</v>
      </c>
      <c r="AQ702" s="33">
        <f>IF(Orders!X699,1,0)</f>
        <v>0</v>
      </c>
      <c r="AR702" s="34" t="str">
        <f>IF(AND(E702=1,L702=1),AJ702,"")</f>
        <v/>
      </c>
      <c r="AS702" s="34">
        <f>IF(AND(E702=1,L702=0),AJ702,"")</f>
        <v>2.5</v>
      </c>
      <c r="AT702" s="34" t="str">
        <f>IF(AND(E702=1,L702=1),AI702,"")</f>
        <v/>
      </c>
      <c r="AU702" s="34">
        <f>IF(AND(E702=1,L702=0),AI702,"")</f>
        <v>3.6</v>
      </c>
      <c r="AV702" s="34" t="str">
        <f>IF(AND(E702=1,L702=1),AG702,"")</f>
        <v/>
      </c>
      <c r="AW702" s="34">
        <f>IF(AND(E702=1,L702=0),AG702,"")</f>
        <v>11.1</v>
      </c>
      <c r="AX702" s="34" t="str">
        <f>IF(AND(E702=1,L702=1),AH702,"")</f>
        <v/>
      </c>
      <c r="AY702" s="34">
        <f>IF(AND(E702=1,L702=0),AH702,"")</f>
        <v>10.8</v>
      </c>
      <c r="AZ702" s="34" t="str">
        <f>IF(G702=1,F702,"")</f>
        <v/>
      </c>
      <c r="BA702" s="34" t="str">
        <f>IF(AND(G702=1,L702=1),F702,"")</f>
        <v/>
      </c>
      <c r="BB702" s="34" t="str">
        <f>IF(AND(G702=1,L702=0),F702,"")</f>
        <v/>
      </c>
      <c r="BC702" s="33">
        <f>IF(E702=1,IF(Orders!R699&gt;3,1,0),"")</f>
        <v>0</v>
      </c>
      <c r="BD702" s="33">
        <f>IF(E702=1,IF(Orders!R699&gt;7,1,0),"")</f>
        <v>0</v>
      </c>
      <c r="BE702" s="32" t="str">
        <f>IF(E702=1,IF(Orders!L699&lt;=1.5,"Up to 1.5 km",IF(Orders!L699&lt;=3,"1.5–3 km","Over 3 km")),"")</f>
        <v>Over 3 km</v>
      </c>
      <c r="BF702" s="33">
        <f>IF(E702=1,IF(ABS((Orders!G699-Orders!F699)*1440-Orders!R699)&lt;0.06,1,0),"")</f>
        <v>1</v>
      </c>
      <c r="BG702" s="33">
        <f>IF(ABS((Orders!F699-Orders!E699)*1440-Orders!P699)&lt;0.06,1,0)</f>
        <v>1</v>
      </c>
      <c r="BH702" s="33">
        <f>IF(E702=1,IF(IF(Orders!S699,1,0)=1-G702,1,0),"")</f>
        <v>1</v>
      </c>
      <c r="BI702" s="32" t="str">
        <f>INDEX(Stores!$B$2:$B$21,MATCH(B702,Stores!$A$2:$A$21,0))</f>
        <v>Bengaluru</v>
      </c>
    </row>
    <row r="703">
      <c r="A703" s="32" t="str">
        <f>Orders!A700</f>
        <v>O00699</v>
      </c>
      <c r="B703" s="32" t="str">
        <f>Orders!C700</f>
        <v>S019</v>
      </c>
      <c r="C703" s="32" t="str">
        <f>Orders!B700</f>
        <v>C0211</v>
      </c>
      <c r="D703" s="32" t="str">
        <f>Orders!H700</f>
        <v>Delivered</v>
      </c>
      <c r="E703" s="33">
        <f>IF(Orders!H700="Delivered",1,0)</f>
        <v>1</v>
      </c>
      <c r="F703" s="34">
        <f>IF(E703=1,Orders!R700,"")</f>
        <v>-0.7</v>
      </c>
      <c r="G703" s="33">
        <f>IF(E703=1,IF(Orders!R700&gt;0,1,0),"")</f>
        <v>0</v>
      </c>
      <c r="H703" s="33">
        <f>IF(E703=1,IF(Orders!R700&gt;5,1,0),"")</f>
        <v>0</v>
      </c>
      <c r="I703" s="32" t="str">
        <f>IF(E703=1,"",IF(OR(Orders!T700="Rider unavailable",Orders!T700="Item unavailable"),"Company-caused","Unresolved"))</f>
        <v/>
      </c>
      <c r="J703" s="33">
        <f>IF(OR(E703=1,I703="Company-caused"),1,0)</f>
        <v>1</v>
      </c>
      <c r="K703" s="32" t="str">
        <f>IF(E703=0,IF(I703="Company-caused",IF(Orders!T700="Rider unavailable","C1 Rider unavailable","C2 Item unavailable"),"Outside root: unresolved"),IF(G703=0,"A On time",IF(H703=1,IF(L703=1,"B2a Severe, peak","B2b Severe, off-peak"),IF(L703=1,"B1a Slight, peak","B1b Slight, off-peak"))))</f>
        <v>A On time</v>
      </c>
      <c r="L703" s="33">
        <f>IF(AND(Orders!U700&gt;=19,Orders!U700&lt;22),1,0)</f>
        <v>0</v>
      </c>
      <c r="M703" s="33">
        <f>IF(L703=IF(Orders!V700,1,0),1,0)</f>
        <v>1</v>
      </c>
      <c r="N703" s="32" t="str">
        <f>IF(Orders!W700="","None",Orders!W700)</f>
        <v>None</v>
      </c>
      <c r="O703" s="35">
        <f>INT(Orders!E700)</f>
        <v>46271.0</v>
      </c>
      <c r="P703" s="33">
        <f>Orders!U700</f>
        <v>17</v>
      </c>
      <c r="Q703" s="33">
        <f>COUNTIFS(Demand!$A$2:$A$4481,B703,Demand!$B$2:$B$4481,O703,Demand!$C$2:$C$4481,P703)</f>
        <v>1</v>
      </c>
      <c r="R703" s="33">
        <f>IF(Q703=1,SUMIFS(Demand!$E$2:$E$4481,Demand!$A$2:$A$4481,B703,Demand!$B$2:$B$4481,O703,Demand!$C$2:$C$4481,P703),"")</f>
        <v>23</v>
      </c>
      <c r="S703" s="33">
        <f>INDEX(Stores!$G$2:$G$21,MATCH(B703,Stores!$A$2:$A$21,0))</f>
        <v>22</v>
      </c>
      <c r="T703" s="34">
        <f>IF(R703="","",R703/S703)</f>
        <v>1.04545454545455</v>
      </c>
      <c r="U703" s="34">
        <f>IF(E703=1,T703,"")</f>
        <v>1.04545454545455</v>
      </c>
      <c r="V703" s="34">
        <f>IF(AND(E703=1,L703=0),T703,"")</f>
        <v>1.04545454545455</v>
      </c>
      <c r="W703" s="33">
        <f>IF(U703="","",IF(U703&lt;=Breakdowns!$C$5,1,IF(U703&lt;=Breakdowns!$C$6,2,IF(U703&lt;=Breakdowns!$C$7,3,4))))</f>
        <v>3</v>
      </c>
      <c r="X703" s="33">
        <f>IF(V703="","",IF(V703&lt;=Breakdowns!$D$5,1,IF(V703&lt;=Breakdowns!$D$6,2,IF(V703&lt;=Breakdowns!$D$7,3,4))))</f>
        <v>3</v>
      </c>
      <c r="Y703" s="34">
        <f>INDEX(Stores!$F$2:$F$21,MATCH(B703,Stores!$A$2:$A$21,0))</f>
        <v>4.99</v>
      </c>
      <c r="Z703" s="33">
        <f>IF(Y703&gt;Store_Summary!$M$2,1,0)</f>
        <v>1</v>
      </c>
      <c r="AA703" s="33">
        <f>INDEX(Stores!$C$2:$C$21,MATCH(B703,Stores!$A$2:$A$21,0))</f>
        <v>851</v>
      </c>
      <c r="AB703" s="33">
        <f>IF(AA703&lt;180,1,0)</f>
        <v>0</v>
      </c>
      <c r="AC703" s="32" t="str">
        <f>IF(Orders!D700="","",INDEX(Riders!$C$2:$C$81,MATCH(Orders!D700,Riders!$A$2:$A$81,0)))</f>
        <v>Bicycle</v>
      </c>
      <c r="AD703" s="33">
        <f>IF(Orders!D700="","",INDEX(Riders!$D$2:$D$81,MATCH(Orders!D700,Riders!$A$2:$A$81,0)))</f>
        <v>8</v>
      </c>
      <c r="AE703" s="33">
        <f>IF(Orders!D700="","",IF(INDEX(Riders!$B$2:$B$81,MATCH(Orders!D700,Riders!$A$2:$A$81,0))=B703,1,0))</f>
        <v>0</v>
      </c>
      <c r="AF703" s="34">
        <f>IF(E703=1,Orders!L700,"")</f>
        <v>2.5</v>
      </c>
      <c r="AG703" s="34">
        <f>IF(E703=1,Orders!P700,"")</f>
        <v>11.5</v>
      </c>
      <c r="AH703" s="34">
        <f>IF(E703=1,Orders!Q700,"")</f>
        <v>10.8</v>
      </c>
      <c r="AI703" s="34">
        <f>IF(E703=1,Orders!M700,"")</f>
        <v>3.6</v>
      </c>
      <c r="AJ703" s="34">
        <f>IF(E703=1,Orders!N700,"")</f>
        <v>3.3</v>
      </c>
      <c r="AK703" s="34">
        <f>IF(E703=1,Orders!O700,"")</f>
        <v>3.9</v>
      </c>
      <c r="AL703" s="33">
        <f>IF(E703=1,IF(ROUND(ABS(AI703+AJ703+AK703-AH703),6)&lt;=0.1,1,0),"")</f>
        <v>1</v>
      </c>
      <c r="AM703" s="36">
        <f>IF(E703=1,AI703/AH703,"")</f>
        <v>0.333333333333333</v>
      </c>
      <c r="AN703" s="36">
        <f>IF(E703=1,AJ703/AH703,"")</f>
        <v>0.305555555555556</v>
      </c>
      <c r="AO703" s="36">
        <f>IF(E703=1,AK703/AH703,"")</f>
        <v>0.361111111111111</v>
      </c>
      <c r="AP703" s="34">
        <f>IF(E703=1,Orders!Y700,"")</f>
        <v>0.57</v>
      </c>
      <c r="AQ703" s="33">
        <f>IF(Orders!X700,1,0)</f>
        <v>0</v>
      </c>
      <c r="AR703" s="34" t="str">
        <f>IF(AND(E703=1,L703=1),AJ703,"")</f>
        <v/>
      </c>
      <c r="AS703" s="34">
        <f>IF(AND(E703=1,L703=0),AJ703,"")</f>
        <v>3.3</v>
      </c>
      <c r="AT703" s="34" t="str">
        <f>IF(AND(E703=1,L703=1),AI703,"")</f>
        <v/>
      </c>
      <c r="AU703" s="34">
        <f>IF(AND(E703=1,L703=0),AI703,"")</f>
        <v>3.6</v>
      </c>
      <c r="AV703" s="34" t="str">
        <f>IF(AND(E703=1,L703=1),AG703,"")</f>
        <v/>
      </c>
      <c r="AW703" s="34">
        <f>IF(AND(E703=1,L703=0),AG703,"")</f>
        <v>11.5</v>
      </c>
      <c r="AX703" s="34" t="str">
        <f>IF(AND(E703=1,L703=1),AH703,"")</f>
        <v/>
      </c>
      <c r="AY703" s="34">
        <f>IF(AND(E703=1,L703=0),AH703,"")</f>
        <v>10.8</v>
      </c>
      <c r="AZ703" s="34" t="str">
        <f>IF(G703=1,F703,"")</f>
        <v/>
      </c>
      <c r="BA703" s="34" t="str">
        <f>IF(AND(G703=1,L703=1),F703,"")</f>
        <v/>
      </c>
      <c r="BB703" s="34" t="str">
        <f>IF(AND(G703=1,L703=0),F703,"")</f>
        <v/>
      </c>
      <c r="BC703" s="33">
        <f>IF(E703=1,IF(Orders!R700&gt;3,1,0),"")</f>
        <v>0</v>
      </c>
      <c r="BD703" s="33">
        <f>IF(E703=1,IF(Orders!R700&gt;7,1,0),"")</f>
        <v>0</v>
      </c>
      <c r="BE703" s="32" t="str">
        <f>IF(E703=1,IF(Orders!L700&lt;=1.5,"Up to 1.5 km",IF(Orders!L700&lt;=3,"1.5–3 km","Over 3 km")),"")</f>
        <v>1.5–3 km</v>
      </c>
      <c r="BF703" s="33">
        <f>IF(E703=1,IF(ABS((Orders!G700-Orders!F700)*1440-Orders!R700)&lt;0.06,1,0),"")</f>
        <v>1</v>
      </c>
      <c r="BG703" s="33">
        <f>IF(ABS((Orders!F700-Orders!E700)*1440-Orders!P700)&lt;0.06,1,0)</f>
        <v>1</v>
      </c>
      <c r="BH703" s="33">
        <f>IF(E703=1,IF(IF(Orders!S700,1,0)=1-G703,1,0),"")</f>
        <v>1</v>
      </c>
      <c r="BI703" s="32" t="str">
        <f>INDEX(Stores!$B$2:$B$21,MATCH(B703,Stores!$A$2:$A$21,0))</f>
        <v>Pune</v>
      </c>
    </row>
    <row r="704">
      <c r="A704" s="32" t="str">
        <f>Orders!A701</f>
        <v>O00700</v>
      </c>
      <c r="B704" s="32" t="str">
        <f>Orders!C701</f>
        <v>S014</v>
      </c>
      <c r="C704" s="32" t="str">
        <f>Orders!B701</f>
        <v>C0211</v>
      </c>
      <c r="D704" s="32" t="str">
        <f>Orders!H701</f>
        <v>Delivered</v>
      </c>
      <c r="E704" s="33">
        <f>IF(Orders!H701="Delivered",1,0)</f>
        <v>1</v>
      </c>
      <c r="F704" s="34">
        <f>IF(E704=1,Orders!R701,"")</f>
        <v>-0.3</v>
      </c>
      <c r="G704" s="33">
        <f>IF(E704=1,IF(Orders!R701&gt;0,1,0),"")</f>
        <v>0</v>
      </c>
      <c r="H704" s="33">
        <f>IF(E704=1,IF(Orders!R701&gt;5,1,0),"")</f>
        <v>0</v>
      </c>
      <c r="I704" s="32" t="str">
        <f>IF(E704=1,"",IF(OR(Orders!T701="Rider unavailable",Orders!T701="Item unavailable"),"Company-caused","Unresolved"))</f>
        <v/>
      </c>
      <c r="J704" s="33">
        <f>IF(OR(E704=1,I704="Company-caused"),1,0)</f>
        <v>1</v>
      </c>
      <c r="K704" s="32" t="str">
        <f>IF(E704=0,IF(I704="Company-caused",IF(Orders!T701="Rider unavailable","C1 Rider unavailable","C2 Item unavailable"),"Outside root: unresolved"),IF(G704=0,"A On time",IF(H704=1,IF(L704=1,"B2a Severe, peak","B2b Severe, off-peak"),IF(L704=1,"B1a Slight, peak","B1b Slight, off-peak"))))</f>
        <v>A On time</v>
      </c>
      <c r="L704" s="33">
        <f>IF(AND(Orders!U701&gt;=19,Orders!U701&lt;22),1,0)</f>
        <v>0</v>
      </c>
      <c r="M704" s="33">
        <f>IF(L704=IF(Orders!V701,1,0),1,0)</f>
        <v>1</v>
      </c>
      <c r="N704" s="32" t="str">
        <f>IF(Orders!W701="","None",Orders!W701)</f>
        <v>None</v>
      </c>
      <c r="O704" s="35">
        <f>INT(Orders!E701)</f>
        <v>46268.0</v>
      </c>
      <c r="P704" s="33">
        <f>Orders!U701</f>
        <v>9</v>
      </c>
      <c r="Q704" s="33">
        <f>COUNTIFS(Demand!$A$2:$A$4481,B704,Demand!$B$2:$B$4481,O704,Demand!$C$2:$C$4481,P704)</f>
        <v>1</v>
      </c>
      <c r="R704" s="33">
        <f>IF(Q704=1,SUMIFS(Demand!$E$2:$E$4481,Demand!$A$2:$A$4481,B704,Demand!$B$2:$B$4481,O704,Demand!$C$2:$C$4481,P704),"")</f>
        <v>25</v>
      </c>
      <c r="S704" s="33">
        <f>INDEX(Stores!$G$2:$G$21,MATCH(B704,Stores!$A$2:$A$21,0))</f>
        <v>37</v>
      </c>
      <c r="T704" s="34">
        <f>IF(R704="","",R704/S704)</f>
        <v>0.675675675675676</v>
      </c>
      <c r="U704" s="34">
        <f>IF(E704=1,T704,"")</f>
        <v>0.675675675675676</v>
      </c>
      <c r="V704" s="34">
        <f>IF(AND(E704=1,L704=0),T704,"")</f>
        <v>0.675675675675676</v>
      </c>
      <c r="W704" s="33">
        <f>IF(U704="","",IF(U704&lt;=Breakdowns!$C$5,1,IF(U704&lt;=Breakdowns!$C$6,2,IF(U704&lt;=Breakdowns!$C$7,3,4))))</f>
        <v>1</v>
      </c>
      <c r="X704" s="33">
        <f>IF(V704="","",IF(V704&lt;=Breakdowns!$D$5,1,IF(V704&lt;=Breakdowns!$D$6,2,IF(V704&lt;=Breakdowns!$D$7,3,4))))</f>
        <v>1</v>
      </c>
      <c r="Y704" s="34">
        <f>INDEX(Stores!$F$2:$F$21,MATCH(B704,Stores!$A$2:$A$21,0))</f>
        <v>5.55</v>
      </c>
      <c r="Z704" s="33">
        <f>IF(Y704&gt;Store_Summary!$M$2,1,0)</f>
        <v>1</v>
      </c>
      <c r="AA704" s="33">
        <f>INDEX(Stores!$C$2:$C$21,MATCH(B704,Stores!$A$2:$A$21,0))</f>
        <v>241</v>
      </c>
      <c r="AB704" s="33">
        <f>IF(AA704&lt;180,1,0)</f>
        <v>0</v>
      </c>
      <c r="AC704" s="32" t="str">
        <f>IF(Orders!D701="","",INDEX(Riders!$C$2:$C$81,MATCH(Orders!D701,Riders!$A$2:$A$81,0)))</f>
        <v>EV scooter</v>
      </c>
      <c r="AD704" s="33">
        <f>IF(Orders!D701="","",INDEX(Riders!$D$2:$D$81,MATCH(Orders!D701,Riders!$A$2:$A$81,0)))</f>
        <v>4</v>
      </c>
      <c r="AE704" s="33">
        <f>IF(Orders!D701="","",IF(INDEX(Riders!$B$2:$B$81,MATCH(Orders!D701,Riders!$A$2:$A$81,0))=B704,1,0))</f>
        <v>0</v>
      </c>
      <c r="AF704" s="34">
        <f>IF(E704=1,Orders!L701,"")</f>
        <v>1.51</v>
      </c>
      <c r="AG704" s="34">
        <f>IF(E704=1,Orders!P701,"")</f>
        <v>10.8</v>
      </c>
      <c r="AH704" s="34">
        <f>IF(E704=1,Orders!Q701,"")</f>
        <v>10.5</v>
      </c>
      <c r="AI704" s="34">
        <f>IF(E704=1,Orders!M701,"")</f>
        <v>4.8</v>
      </c>
      <c r="AJ704" s="34">
        <f>IF(E704=1,Orders!N701,"")</f>
        <v>2.4</v>
      </c>
      <c r="AK704" s="34">
        <f>IF(E704=1,Orders!O701,"")</f>
        <v>3.3</v>
      </c>
      <c r="AL704" s="33">
        <f>IF(E704=1,IF(ROUND(ABS(AI704+AJ704+AK704-AH704),6)&lt;=0.1,1,0),"")</f>
        <v>1</v>
      </c>
      <c r="AM704" s="36">
        <f>IF(E704=1,AI704/AH704,"")</f>
        <v>0.457142857142857</v>
      </c>
      <c r="AN704" s="36">
        <f>IF(E704=1,AJ704/AH704,"")</f>
        <v>0.228571428571429</v>
      </c>
      <c r="AO704" s="36">
        <f>IF(E704=1,AK704/AH704,"")</f>
        <v>0.314285714285714</v>
      </c>
      <c r="AP704" s="34">
        <f>IF(E704=1,Orders!Y701,"")</f>
        <v>0.48</v>
      </c>
      <c r="AQ704" s="33">
        <f>IF(Orders!X701,1,0)</f>
        <v>0</v>
      </c>
      <c r="AR704" s="34" t="str">
        <f>IF(AND(E704=1,L704=1),AJ704,"")</f>
        <v/>
      </c>
      <c r="AS704" s="34">
        <f>IF(AND(E704=1,L704=0),AJ704,"")</f>
        <v>2.4</v>
      </c>
      <c r="AT704" s="34" t="str">
        <f>IF(AND(E704=1,L704=1),AI704,"")</f>
        <v/>
      </c>
      <c r="AU704" s="34">
        <f>IF(AND(E704=1,L704=0),AI704,"")</f>
        <v>4.8</v>
      </c>
      <c r="AV704" s="34" t="str">
        <f>IF(AND(E704=1,L704=1),AG704,"")</f>
        <v/>
      </c>
      <c r="AW704" s="34">
        <f>IF(AND(E704=1,L704=0),AG704,"")</f>
        <v>10.8</v>
      </c>
      <c r="AX704" s="34" t="str">
        <f>IF(AND(E704=1,L704=1),AH704,"")</f>
        <v/>
      </c>
      <c r="AY704" s="34">
        <f>IF(AND(E704=1,L704=0),AH704,"")</f>
        <v>10.5</v>
      </c>
      <c r="AZ704" s="34" t="str">
        <f>IF(G704=1,F704,"")</f>
        <v/>
      </c>
      <c r="BA704" s="34" t="str">
        <f>IF(AND(G704=1,L704=1),F704,"")</f>
        <v/>
      </c>
      <c r="BB704" s="34" t="str">
        <f>IF(AND(G704=1,L704=0),F704,"")</f>
        <v/>
      </c>
      <c r="BC704" s="33">
        <f>IF(E704=1,IF(Orders!R701&gt;3,1,0),"")</f>
        <v>0</v>
      </c>
      <c r="BD704" s="33">
        <f>IF(E704=1,IF(Orders!R701&gt;7,1,0),"")</f>
        <v>0</v>
      </c>
      <c r="BE704" s="32" t="str">
        <f>IF(E704=1,IF(Orders!L701&lt;=1.5,"Up to 1.5 km",IF(Orders!L701&lt;=3,"1.5–3 km","Over 3 km")),"")</f>
        <v>1.5–3 km</v>
      </c>
      <c r="BF704" s="33">
        <f>IF(E704=1,IF(ABS((Orders!G701-Orders!F701)*1440-Orders!R701)&lt;0.06,1,0),"")</f>
        <v>1</v>
      </c>
      <c r="BG704" s="33">
        <f>IF(ABS((Orders!F701-Orders!E701)*1440-Orders!P701)&lt;0.06,1,0)</f>
        <v>1</v>
      </c>
      <c r="BH704" s="33">
        <f>IF(E704=1,IF(IF(Orders!S701,1,0)=1-G704,1,0),"")</f>
        <v>1</v>
      </c>
      <c r="BI704" s="32" t="str">
        <f>INDEX(Stores!$B$2:$B$21,MATCH(B704,Stores!$A$2:$A$21,0))</f>
        <v>Pune</v>
      </c>
    </row>
    <row r="705">
      <c r="A705" s="32" t="str">
        <f>Orders!A702</f>
        <v>O00701</v>
      </c>
      <c r="B705" s="32" t="str">
        <f>Orders!C702</f>
        <v>S007</v>
      </c>
      <c r="C705" s="32" t="str">
        <f>Orders!B702</f>
        <v>C0140</v>
      </c>
      <c r="D705" s="32" t="str">
        <f>Orders!H702</f>
        <v>Delivered</v>
      </c>
      <c r="E705" s="33">
        <f>IF(Orders!H702="Delivered",1,0)</f>
        <v>1</v>
      </c>
      <c r="F705" s="34">
        <f>IF(E705=1,Orders!R702,"")</f>
        <v>-0.6</v>
      </c>
      <c r="G705" s="33">
        <f>IF(E705=1,IF(Orders!R702&gt;0,1,0),"")</f>
        <v>0</v>
      </c>
      <c r="H705" s="33">
        <f>IF(E705=1,IF(Orders!R702&gt;5,1,0),"")</f>
        <v>0</v>
      </c>
      <c r="I705" s="32" t="str">
        <f>IF(E705=1,"",IF(OR(Orders!T702="Rider unavailable",Orders!T702="Item unavailable"),"Company-caused","Unresolved"))</f>
        <v/>
      </c>
      <c r="J705" s="33">
        <f>IF(OR(E705=1,I705="Company-caused"),1,0)</f>
        <v>1</v>
      </c>
      <c r="K705" s="32" t="str">
        <f>IF(E705=0,IF(I705="Company-caused",IF(Orders!T702="Rider unavailable","C1 Rider unavailable","C2 Item unavailable"),"Outside root: unresolved"),IF(G705=0,"A On time",IF(H705=1,IF(L705=1,"B2a Severe, peak","B2b Severe, off-peak"),IF(L705=1,"B1a Slight, peak","B1b Slight, off-peak"))))</f>
        <v>A On time</v>
      </c>
      <c r="L705" s="33">
        <f>IF(AND(Orders!U702&gt;=19,Orders!U702&lt;22),1,0)</f>
        <v>1</v>
      </c>
      <c r="M705" s="33">
        <f>IF(L705=IF(Orders!V702,1,0),1,0)</f>
        <v>1</v>
      </c>
      <c r="N705" s="32" t="str">
        <f>IF(Orders!W702="","None",Orders!W702)</f>
        <v>None</v>
      </c>
      <c r="O705" s="35">
        <f>INT(Orders!E702)</f>
        <v>46274.0</v>
      </c>
      <c r="P705" s="33">
        <f>Orders!U702</f>
        <v>21</v>
      </c>
      <c r="Q705" s="33">
        <f>COUNTIFS(Demand!$A$2:$A$4481,B705,Demand!$B$2:$B$4481,O705,Demand!$C$2:$C$4481,P705)</f>
        <v>1</v>
      </c>
      <c r="R705" s="33">
        <f>IF(Q705=1,SUMIFS(Demand!$E$2:$E$4481,Demand!$A$2:$A$4481,B705,Demand!$B$2:$B$4481,O705,Demand!$C$2:$C$4481,P705),"")</f>
        <v>48</v>
      </c>
      <c r="S705" s="33">
        <f>INDEX(Stores!$G$2:$G$21,MATCH(B705,Stores!$A$2:$A$21,0))</f>
        <v>37</v>
      </c>
      <c r="T705" s="34">
        <f>IF(R705="","",R705/S705)</f>
        <v>1.2972972972973</v>
      </c>
      <c r="U705" s="34">
        <f>IF(E705=1,T705,"")</f>
        <v>1.2972972972973</v>
      </c>
      <c r="V705" s="34" t="str">
        <f>IF(AND(E705=1,L705=0),T705,"")</f>
        <v/>
      </c>
      <c r="W705" s="33">
        <f>IF(U705="","",IF(U705&lt;=Breakdowns!$C$5,1,IF(U705&lt;=Breakdowns!$C$6,2,IF(U705&lt;=Breakdowns!$C$7,3,4))))</f>
        <v>4</v>
      </c>
      <c r="X705" s="33" t="str">
        <f>IF(V705="","",IF(V705&lt;=Breakdowns!$D$5,1,IF(V705&lt;=Breakdowns!$D$6,2,IF(V705&lt;=Breakdowns!$D$7,3,4))))</f>
        <v/>
      </c>
      <c r="Y705" s="34">
        <f>INDEX(Stores!$F$2:$F$21,MATCH(B705,Stores!$A$2:$A$21,0))</f>
        <v>4.05</v>
      </c>
      <c r="Z705" s="33">
        <f>IF(Y705&gt;Store_Summary!$M$2,1,0)</f>
        <v>0</v>
      </c>
      <c r="AA705" s="33">
        <f>INDEX(Stores!$C$2:$C$21,MATCH(B705,Stores!$A$2:$A$21,0))</f>
        <v>661</v>
      </c>
      <c r="AB705" s="33">
        <f>IF(AA705&lt;180,1,0)</f>
        <v>0</v>
      </c>
      <c r="AC705" s="32" t="str">
        <f>IF(Orders!D702="","",INDEX(Riders!$C$2:$C$81,MATCH(Orders!D702,Riders!$A$2:$A$81,0)))</f>
        <v>EV scooter</v>
      </c>
      <c r="AD705" s="33">
        <f>IF(Orders!D702="","",INDEX(Riders!$D$2:$D$81,MATCH(Orders!D702,Riders!$A$2:$A$81,0)))</f>
        <v>4</v>
      </c>
      <c r="AE705" s="33">
        <f>IF(Orders!D702="","",IF(INDEX(Riders!$B$2:$B$81,MATCH(Orders!D702,Riders!$A$2:$A$81,0))=B705,1,0))</f>
        <v>0</v>
      </c>
      <c r="AF705" s="34">
        <f>IF(E705=1,Orders!L702,"")</f>
        <v>1.84</v>
      </c>
      <c r="AG705" s="34">
        <f>IF(E705=1,Orders!P702,"")</f>
        <v>11.6</v>
      </c>
      <c r="AH705" s="34">
        <f>IF(E705=1,Orders!Q702,"")</f>
        <v>11</v>
      </c>
      <c r="AI705" s="34">
        <f>IF(E705=1,Orders!M702,"")</f>
        <v>3.2</v>
      </c>
      <c r="AJ705" s="34">
        <f>IF(E705=1,Orders!N702,"")</f>
        <v>3.3</v>
      </c>
      <c r="AK705" s="34">
        <f>IF(E705=1,Orders!O702,"")</f>
        <v>4.5</v>
      </c>
      <c r="AL705" s="33">
        <f>IF(E705=1,IF(ROUND(ABS(AI705+AJ705+AK705-AH705),6)&lt;=0.1,1,0),"")</f>
        <v>1</v>
      </c>
      <c r="AM705" s="36">
        <f>IF(E705=1,AI705/AH705,"")</f>
        <v>0.290909090909091</v>
      </c>
      <c r="AN705" s="36">
        <f>IF(E705=1,AJ705/AH705,"")</f>
        <v>0.3</v>
      </c>
      <c r="AO705" s="36">
        <f>IF(E705=1,AK705/AH705,"")</f>
        <v>0.409090909090909</v>
      </c>
      <c r="AP705" s="34">
        <f>IF(E705=1,Orders!Y702,"")</f>
        <v>0.65</v>
      </c>
      <c r="AQ705" s="33">
        <f>IF(Orders!X702,1,0)</f>
        <v>0</v>
      </c>
      <c r="AR705" s="34">
        <f>IF(AND(E705=1,L705=1),AJ705,"")</f>
        <v>3.3</v>
      </c>
      <c r="AS705" s="34" t="str">
        <f>IF(AND(E705=1,L705=0),AJ705,"")</f>
        <v/>
      </c>
      <c r="AT705" s="34">
        <f>IF(AND(E705=1,L705=1),AI705,"")</f>
        <v>3.2</v>
      </c>
      <c r="AU705" s="34" t="str">
        <f>IF(AND(E705=1,L705=0),AI705,"")</f>
        <v/>
      </c>
      <c r="AV705" s="34">
        <f>IF(AND(E705=1,L705=1),AG705,"")</f>
        <v>11.6</v>
      </c>
      <c r="AW705" s="34" t="str">
        <f>IF(AND(E705=1,L705=0),AG705,"")</f>
        <v/>
      </c>
      <c r="AX705" s="34">
        <f>IF(AND(E705=1,L705=1),AH705,"")</f>
        <v>11</v>
      </c>
      <c r="AY705" s="34" t="str">
        <f>IF(AND(E705=1,L705=0),AH705,"")</f>
        <v/>
      </c>
      <c r="AZ705" s="34" t="str">
        <f>IF(G705=1,F705,"")</f>
        <v/>
      </c>
      <c r="BA705" s="34" t="str">
        <f>IF(AND(G705=1,L705=1),F705,"")</f>
        <v/>
      </c>
      <c r="BB705" s="34" t="str">
        <f>IF(AND(G705=1,L705=0),F705,"")</f>
        <v/>
      </c>
      <c r="BC705" s="33">
        <f>IF(E705=1,IF(Orders!R702&gt;3,1,0),"")</f>
        <v>0</v>
      </c>
      <c r="BD705" s="33">
        <f>IF(E705=1,IF(Orders!R702&gt;7,1,0),"")</f>
        <v>0</v>
      </c>
      <c r="BE705" s="32" t="str">
        <f>IF(E705=1,IF(Orders!L702&lt;=1.5,"Up to 1.5 km",IF(Orders!L702&lt;=3,"1.5–3 km","Over 3 km")),"")</f>
        <v>1.5–3 km</v>
      </c>
      <c r="BF705" s="33">
        <f>IF(E705=1,IF(ABS((Orders!G702-Orders!F702)*1440-Orders!R702)&lt;0.06,1,0),"")</f>
        <v>1</v>
      </c>
      <c r="BG705" s="33">
        <f>IF(ABS((Orders!F702-Orders!E702)*1440-Orders!P702)&lt;0.06,1,0)</f>
        <v>1</v>
      </c>
      <c r="BH705" s="33">
        <f>IF(E705=1,IF(IF(Orders!S702,1,0)=1-G705,1,0),"")</f>
        <v>1</v>
      </c>
      <c r="BI705" s="32" t="str">
        <f>INDEX(Stores!$B$2:$B$21,MATCH(B705,Stores!$A$2:$A$21,0))</f>
        <v>Hyderabad</v>
      </c>
    </row>
    <row r="706">
      <c r="A706" s="32" t="str">
        <f>Orders!A703</f>
        <v>O00702</v>
      </c>
      <c r="B706" s="32" t="str">
        <f>Orders!C703</f>
        <v>S012</v>
      </c>
      <c r="C706" s="32" t="str">
        <f>Orders!B703</f>
        <v>C0011</v>
      </c>
      <c r="D706" s="32" t="str">
        <f>Orders!H703</f>
        <v>Delivered</v>
      </c>
      <c r="E706" s="33">
        <f>IF(Orders!H703="Delivered",1,0)</f>
        <v>1</v>
      </c>
      <c r="F706" s="34">
        <f>IF(E706=1,Orders!R703,"")</f>
        <v>4.1</v>
      </c>
      <c r="G706" s="33">
        <f>IF(E706=1,IF(Orders!R703&gt;0,1,0),"")</f>
        <v>1</v>
      </c>
      <c r="H706" s="33">
        <f>IF(E706=1,IF(Orders!R703&gt;5,1,0),"")</f>
        <v>0</v>
      </c>
      <c r="I706" s="32" t="str">
        <f>IF(E706=1,"",IF(OR(Orders!T703="Rider unavailable",Orders!T703="Item unavailable"),"Company-caused","Unresolved"))</f>
        <v/>
      </c>
      <c r="J706" s="33">
        <f>IF(OR(E706=1,I706="Company-caused"),1,0)</f>
        <v>1</v>
      </c>
      <c r="K706" s="32" t="str">
        <f>IF(E706=0,IF(I706="Company-caused",IF(Orders!T703="Rider unavailable","C1 Rider unavailable","C2 Item unavailable"),"Outside root: unresolved"),IF(G706=0,"A On time",IF(H706=1,IF(L706=1,"B2a Severe, peak","B2b Severe, off-peak"),IF(L706=1,"B1a Slight, peak","B1b Slight, off-peak"))))</f>
        <v>B1b Slight, off-peak</v>
      </c>
      <c r="L706" s="33">
        <f>IF(AND(Orders!U703&gt;=19,Orders!U703&lt;22),1,0)</f>
        <v>0</v>
      </c>
      <c r="M706" s="33">
        <f>IF(L706=IF(Orders!V703,1,0),1,0)</f>
        <v>1</v>
      </c>
      <c r="N706" s="32" t="str">
        <f>IF(Orders!W703="","None",Orders!W703)</f>
        <v>Light</v>
      </c>
      <c r="O706" s="35">
        <f>INT(Orders!E703)</f>
        <v>46269.0</v>
      </c>
      <c r="P706" s="33">
        <f>Orders!U703</f>
        <v>10</v>
      </c>
      <c r="Q706" s="33">
        <f>COUNTIFS(Demand!$A$2:$A$4481,B706,Demand!$B$2:$B$4481,O706,Demand!$C$2:$C$4481,P706)</f>
        <v>1</v>
      </c>
      <c r="R706" s="33">
        <f>IF(Q706=1,SUMIFS(Demand!$E$2:$E$4481,Demand!$A$2:$A$4481,B706,Demand!$B$2:$B$4481,O706,Demand!$C$2:$C$4481,P706),"")</f>
        <v>13</v>
      </c>
      <c r="S706" s="33">
        <f>INDEX(Stores!$G$2:$G$21,MATCH(B706,Stores!$A$2:$A$21,0))</f>
        <v>15</v>
      </c>
      <c r="T706" s="34">
        <f>IF(R706="","",R706/S706)</f>
        <v>0.866666666666667</v>
      </c>
      <c r="U706" s="34">
        <f>IF(E706=1,T706,"")</f>
        <v>0.866666666666667</v>
      </c>
      <c r="V706" s="34">
        <f>IF(AND(E706=1,L706=0),T706,"")</f>
        <v>0.866666666666667</v>
      </c>
      <c r="W706" s="33">
        <f>IF(U706="","",IF(U706&lt;=Breakdowns!$C$5,1,IF(U706&lt;=Breakdowns!$C$6,2,IF(U706&lt;=Breakdowns!$C$7,3,4))))</f>
        <v>2</v>
      </c>
      <c r="X706" s="33">
        <f>IF(V706="","",IF(V706&lt;=Breakdowns!$D$5,1,IF(V706&lt;=Breakdowns!$D$6,2,IF(V706&lt;=Breakdowns!$D$7,3,4))))</f>
        <v>2</v>
      </c>
      <c r="Y706" s="34">
        <f>INDEX(Stores!$F$2:$F$21,MATCH(B706,Stores!$A$2:$A$21,0))</f>
        <v>5.23</v>
      </c>
      <c r="Z706" s="33">
        <f>IF(Y706&gt;Store_Summary!$M$2,1,0)</f>
        <v>1</v>
      </c>
      <c r="AA706" s="33">
        <f>INDEX(Stores!$C$2:$C$21,MATCH(B706,Stores!$A$2:$A$21,0))</f>
        <v>300</v>
      </c>
      <c r="AB706" s="33">
        <f>IF(AA706&lt;180,1,0)</f>
        <v>0</v>
      </c>
      <c r="AC706" s="32" t="str">
        <f>IF(Orders!D703="","",INDEX(Riders!$C$2:$C$81,MATCH(Orders!D703,Riders!$A$2:$A$81,0)))</f>
        <v>EV scooter</v>
      </c>
      <c r="AD706" s="33">
        <f>IF(Orders!D703="","",INDEX(Riders!$D$2:$D$81,MATCH(Orders!D703,Riders!$A$2:$A$81,0)))</f>
        <v>11</v>
      </c>
      <c r="AE706" s="33">
        <f>IF(Orders!D703="","",IF(INDEX(Riders!$B$2:$B$81,MATCH(Orders!D703,Riders!$A$2:$A$81,0))=B706,1,0))</f>
        <v>0</v>
      </c>
      <c r="AF706" s="34">
        <f>IF(E706=1,Orders!L703,"")</f>
        <v>0.79</v>
      </c>
      <c r="AG706" s="34">
        <f>IF(E706=1,Orders!P703,"")</f>
        <v>10.1</v>
      </c>
      <c r="AH706" s="34">
        <f>IF(E706=1,Orders!Q703,"")</f>
        <v>14.2</v>
      </c>
      <c r="AI706" s="34">
        <f>IF(E706=1,Orders!M703,"")</f>
        <v>5.7</v>
      </c>
      <c r="AJ706" s="34">
        <f>IF(E706=1,Orders!N703,"")</f>
        <v>4.9</v>
      </c>
      <c r="AK706" s="34">
        <f>IF(E706=1,Orders!O703,"")</f>
        <v>3.6</v>
      </c>
      <c r="AL706" s="33">
        <f>IF(E706=1,IF(ROUND(ABS(AI706+AJ706+AK706-AH706),6)&lt;=0.1,1,0),"")</f>
        <v>1</v>
      </c>
      <c r="AM706" s="36">
        <f>IF(E706=1,AI706/AH706,"")</f>
        <v>0.401408450704225</v>
      </c>
      <c r="AN706" s="36">
        <f>IF(E706=1,AJ706/AH706,"")</f>
        <v>0.345070422535211</v>
      </c>
      <c r="AO706" s="36">
        <f>IF(E706=1,AK706/AH706,"")</f>
        <v>0.253521126760563</v>
      </c>
      <c r="AP706" s="34">
        <f>IF(E706=1,Orders!Y703,"")</f>
        <v>0.27</v>
      </c>
      <c r="AQ706" s="33">
        <f>IF(Orders!X703,1,0)</f>
        <v>0</v>
      </c>
      <c r="AR706" s="34" t="str">
        <f>IF(AND(E706=1,L706=1),AJ706,"")</f>
        <v/>
      </c>
      <c r="AS706" s="34">
        <f>IF(AND(E706=1,L706=0),AJ706,"")</f>
        <v>4.9</v>
      </c>
      <c r="AT706" s="34" t="str">
        <f>IF(AND(E706=1,L706=1),AI706,"")</f>
        <v/>
      </c>
      <c r="AU706" s="34">
        <f>IF(AND(E706=1,L706=0),AI706,"")</f>
        <v>5.7</v>
      </c>
      <c r="AV706" s="34" t="str">
        <f>IF(AND(E706=1,L706=1),AG706,"")</f>
        <v/>
      </c>
      <c r="AW706" s="34">
        <f>IF(AND(E706=1,L706=0),AG706,"")</f>
        <v>10.1</v>
      </c>
      <c r="AX706" s="34" t="str">
        <f>IF(AND(E706=1,L706=1),AH706,"")</f>
        <v/>
      </c>
      <c r="AY706" s="34">
        <f>IF(AND(E706=1,L706=0),AH706,"")</f>
        <v>14.2</v>
      </c>
      <c r="AZ706" s="34">
        <f>IF(G706=1,F706,"")</f>
        <v>4.1</v>
      </c>
      <c r="BA706" s="34" t="str">
        <f>IF(AND(G706=1,L706=1),F706,"")</f>
        <v/>
      </c>
      <c r="BB706" s="34">
        <f>IF(AND(G706=1,L706=0),F706,"")</f>
        <v>4.1</v>
      </c>
      <c r="BC706" s="33">
        <f>IF(E706=1,IF(Orders!R703&gt;3,1,0),"")</f>
        <v>1</v>
      </c>
      <c r="BD706" s="33">
        <f>IF(E706=1,IF(Orders!R703&gt;7,1,0),"")</f>
        <v>0</v>
      </c>
      <c r="BE706" s="32" t="str">
        <f>IF(E706=1,IF(Orders!L703&lt;=1.5,"Up to 1.5 km",IF(Orders!L703&lt;=3,"1.5–3 km","Over 3 km")),"")</f>
        <v>Up to 1.5 km</v>
      </c>
      <c r="BF706" s="33">
        <f>IF(E706=1,IF(ABS((Orders!G703-Orders!F703)*1440-Orders!R703)&lt;0.06,1,0),"")</f>
        <v>1</v>
      </c>
      <c r="BG706" s="33">
        <f>IF(ABS((Orders!F703-Orders!E703)*1440-Orders!P703)&lt;0.06,1,0)</f>
        <v>1</v>
      </c>
      <c r="BH706" s="33">
        <f>IF(E706=1,IF(IF(Orders!S703,1,0)=1-G706,1,0),"")</f>
        <v>1</v>
      </c>
      <c r="BI706" s="32" t="str">
        <f>INDEX(Stores!$B$2:$B$21,MATCH(B706,Stores!$A$2:$A$21,0))</f>
        <v>Hyderabad</v>
      </c>
    </row>
    <row r="707">
      <c r="A707" s="32" t="str">
        <f>Orders!A704</f>
        <v>O00703</v>
      </c>
      <c r="B707" s="32" t="str">
        <f>Orders!C704</f>
        <v>S003</v>
      </c>
      <c r="C707" s="32" t="str">
        <f>Orders!B704</f>
        <v>C0190</v>
      </c>
      <c r="D707" s="32" t="str">
        <f>Orders!H704</f>
        <v>Delivered</v>
      </c>
      <c r="E707" s="33">
        <f>IF(Orders!H704="Delivered",1,0)</f>
        <v>1</v>
      </c>
      <c r="F707" s="34">
        <f>IF(E707=1,Orders!R704,"")</f>
        <v>3.6</v>
      </c>
      <c r="G707" s="33">
        <f>IF(E707=1,IF(Orders!R704&gt;0,1,0),"")</f>
        <v>1</v>
      </c>
      <c r="H707" s="33">
        <f>IF(E707=1,IF(Orders!R704&gt;5,1,0),"")</f>
        <v>0</v>
      </c>
      <c r="I707" s="32" t="str">
        <f>IF(E707=1,"",IF(OR(Orders!T704="Rider unavailable",Orders!T704="Item unavailable"),"Company-caused","Unresolved"))</f>
        <v/>
      </c>
      <c r="J707" s="33">
        <f>IF(OR(E707=1,I707="Company-caused"),1,0)</f>
        <v>1</v>
      </c>
      <c r="K707" s="32" t="str">
        <f>IF(E707=0,IF(I707="Company-caused",IF(Orders!T704="Rider unavailable","C1 Rider unavailable","C2 Item unavailable"),"Outside root: unresolved"),IF(G707=0,"A On time",IF(H707=1,IF(L707=1,"B2a Severe, peak","B2b Severe, off-peak"),IF(L707=1,"B1a Slight, peak","B1b Slight, off-peak"))))</f>
        <v>B1b Slight, off-peak</v>
      </c>
      <c r="L707" s="33">
        <f>IF(AND(Orders!U704&gt;=19,Orders!U704&lt;22),1,0)</f>
        <v>0</v>
      </c>
      <c r="M707" s="33">
        <f>IF(L707=IF(Orders!V704,1,0),1,0)</f>
        <v>1</v>
      </c>
      <c r="N707" s="32" t="str">
        <f>IF(Orders!W704="","None",Orders!W704)</f>
        <v>None</v>
      </c>
      <c r="O707" s="35">
        <f>INT(Orders!E704)</f>
        <v>46272.0</v>
      </c>
      <c r="P707" s="33">
        <f>Orders!U704</f>
        <v>9</v>
      </c>
      <c r="Q707" s="33">
        <f>COUNTIFS(Demand!$A$2:$A$4481,B707,Demand!$B$2:$B$4481,O707,Demand!$C$2:$C$4481,P707)</f>
        <v>1</v>
      </c>
      <c r="R707" s="33">
        <f>IF(Q707=1,SUMIFS(Demand!$E$2:$E$4481,Demand!$A$2:$A$4481,B707,Demand!$B$2:$B$4481,O707,Demand!$C$2:$C$4481,P707),"")</f>
        <v>25</v>
      </c>
      <c r="S707" s="33">
        <f>INDEX(Stores!$G$2:$G$21,MATCH(B707,Stores!$A$2:$A$21,0))</f>
        <v>41</v>
      </c>
      <c r="T707" s="34">
        <f>IF(R707="","",R707/S707)</f>
        <v>0.609756097560976</v>
      </c>
      <c r="U707" s="34">
        <f>IF(E707=1,T707,"")</f>
        <v>0.609756097560976</v>
      </c>
      <c r="V707" s="34">
        <f>IF(AND(E707=1,L707=0),T707,"")</f>
        <v>0.609756097560976</v>
      </c>
      <c r="W707" s="33">
        <f>IF(U707="","",IF(U707&lt;=Breakdowns!$C$5,1,IF(U707&lt;=Breakdowns!$C$6,2,IF(U707&lt;=Breakdowns!$C$7,3,4))))</f>
        <v>1</v>
      </c>
      <c r="X707" s="33">
        <f>IF(V707="","",IF(V707&lt;=Breakdowns!$D$5,1,IF(V707&lt;=Breakdowns!$D$6,2,IF(V707&lt;=Breakdowns!$D$7,3,4))))</f>
        <v>1</v>
      </c>
      <c r="Y707" s="34">
        <f>INDEX(Stores!$F$2:$F$21,MATCH(B707,Stores!$A$2:$A$21,0))</f>
        <v>3.84</v>
      </c>
      <c r="Z707" s="33">
        <f>IF(Y707&gt;Store_Summary!$M$2,1,0)</f>
        <v>0</v>
      </c>
      <c r="AA707" s="33">
        <f>INDEX(Stores!$C$2:$C$21,MATCH(B707,Stores!$A$2:$A$21,0))</f>
        <v>426</v>
      </c>
      <c r="AB707" s="33">
        <f>IF(AA707&lt;180,1,0)</f>
        <v>0</v>
      </c>
      <c r="AC707" s="32" t="str">
        <f>IF(Orders!D704="","",INDEX(Riders!$C$2:$C$81,MATCH(Orders!D704,Riders!$A$2:$A$81,0)))</f>
        <v>Petrol scooter</v>
      </c>
      <c r="AD707" s="33">
        <f>IF(Orders!D704="","",INDEX(Riders!$D$2:$D$81,MATCH(Orders!D704,Riders!$A$2:$A$81,0)))</f>
        <v>44</v>
      </c>
      <c r="AE707" s="33">
        <f>IF(Orders!D704="","",IF(INDEX(Riders!$B$2:$B$81,MATCH(Orders!D704,Riders!$A$2:$A$81,0))=B707,1,0))</f>
        <v>0</v>
      </c>
      <c r="AF707" s="34">
        <f>IF(E707=1,Orders!L704,"")</f>
        <v>0.7</v>
      </c>
      <c r="AG707" s="34">
        <f>IF(E707=1,Orders!P704,"")</f>
        <v>10.1</v>
      </c>
      <c r="AH707" s="34">
        <f>IF(E707=1,Orders!Q704,"")</f>
        <v>13.7</v>
      </c>
      <c r="AI707" s="34">
        <f>IF(E707=1,Orders!M704,"")</f>
        <v>5.5</v>
      </c>
      <c r="AJ707" s="34">
        <f>IF(E707=1,Orders!N704,"")</f>
        <v>3.8</v>
      </c>
      <c r="AK707" s="34">
        <f>IF(E707=1,Orders!O704,"")</f>
        <v>4.4</v>
      </c>
      <c r="AL707" s="33">
        <f>IF(E707=1,IF(ROUND(ABS(AI707+AJ707+AK707-AH707),6)&lt;=0.1,1,0),"")</f>
        <v>1</v>
      </c>
      <c r="AM707" s="36">
        <f>IF(E707=1,AI707/AH707,"")</f>
        <v>0.401459854014599</v>
      </c>
      <c r="AN707" s="36">
        <f>IF(E707=1,AJ707/AH707,"")</f>
        <v>0.277372262773723</v>
      </c>
      <c r="AO707" s="36">
        <f>IF(E707=1,AK707/AH707,"")</f>
        <v>0.321167883211679</v>
      </c>
      <c r="AP707" s="34">
        <f>IF(E707=1,Orders!Y704,"")</f>
        <v>0.95</v>
      </c>
      <c r="AQ707" s="33">
        <f>IF(Orders!X704,1,0)</f>
        <v>0</v>
      </c>
      <c r="AR707" s="34" t="str">
        <f>IF(AND(E707=1,L707=1),AJ707,"")</f>
        <v/>
      </c>
      <c r="AS707" s="34">
        <f>IF(AND(E707=1,L707=0),AJ707,"")</f>
        <v>3.8</v>
      </c>
      <c r="AT707" s="34" t="str">
        <f>IF(AND(E707=1,L707=1),AI707,"")</f>
        <v/>
      </c>
      <c r="AU707" s="34">
        <f>IF(AND(E707=1,L707=0),AI707,"")</f>
        <v>5.5</v>
      </c>
      <c r="AV707" s="34" t="str">
        <f>IF(AND(E707=1,L707=1),AG707,"")</f>
        <v/>
      </c>
      <c r="AW707" s="34">
        <f>IF(AND(E707=1,L707=0),AG707,"")</f>
        <v>10.1</v>
      </c>
      <c r="AX707" s="34" t="str">
        <f>IF(AND(E707=1,L707=1),AH707,"")</f>
        <v/>
      </c>
      <c r="AY707" s="34">
        <f>IF(AND(E707=1,L707=0),AH707,"")</f>
        <v>13.7</v>
      </c>
      <c r="AZ707" s="34">
        <f>IF(G707=1,F707,"")</f>
        <v>3.6</v>
      </c>
      <c r="BA707" s="34" t="str">
        <f>IF(AND(G707=1,L707=1),F707,"")</f>
        <v/>
      </c>
      <c r="BB707" s="34">
        <f>IF(AND(G707=1,L707=0),F707,"")</f>
        <v>3.6</v>
      </c>
      <c r="BC707" s="33">
        <f>IF(E707=1,IF(Orders!R704&gt;3,1,0),"")</f>
        <v>1</v>
      </c>
      <c r="BD707" s="33">
        <f>IF(E707=1,IF(Orders!R704&gt;7,1,0),"")</f>
        <v>0</v>
      </c>
      <c r="BE707" s="32" t="str">
        <f>IF(E707=1,IF(Orders!L704&lt;=1.5,"Up to 1.5 km",IF(Orders!L704&lt;=3,"1.5–3 km","Over 3 km")),"")</f>
        <v>Up to 1.5 km</v>
      </c>
      <c r="BF707" s="33">
        <f>IF(E707=1,IF(ABS((Orders!G704-Orders!F704)*1440-Orders!R704)&lt;0.06,1,0),"")</f>
        <v>1</v>
      </c>
      <c r="BG707" s="33">
        <f>IF(ABS((Orders!F704-Orders!E704)*1440-Orders!P704)&lt;0.06,1,0)</f>
        <v>1</v>
      </c>
      <c r="BH707" s="33">
        <f>IF(E707=1,IF(IF(Orders!S704,1,0)=1-G707,1,0),"")</f>
        <v>1</v>
      </c>
      <c r="BI707" s="32" t="str">
        <f>INDEX(Stores!$B$2:$B$21,MATCH(B707,Stores!$A$2:$A$21,0))</f>
        <v>Mumbai</v>
      </c>
    </row>
    <row r="708">
      <c r="A708" s="32" t="str">
        <f>Orders!A705</f>
        <v>O00704</v>
      </c>
      <c r="B708" s="32" t="str">
        <f>Orders!C705</f>
        <v>S011</v>
      </c>
      <c r="C708" s="32" t="str">
        <f>Orders!B705</f>
        <v>C0109</v>
      </c>
      <c r="D708" s="32" t="str">
        <f>Orders!H705</f>
        <v>Cancelled</v>
      </c>
      <c r="E708" s="33">
        <f>IF(Orders!H705="Delivered",1,0)</f>
        <v>0</v>
      </c>
      <c r="F708" s="34" t="str">
        <f>IF(E708=1,Orders!R705,"")</f>
        <v/>
      </c>
      <c r="G708" s="33" t="str">
        <f>IF(E708=1,IF(Orders!R705&gt;0,1,0),"")</f>
        <v/>
      </c>
      <c r="H708" s="33" t="str">
        <f>IF(E708=1,IF(Orders!R705&gt;5,1,0),"")</f>
        <v/>
      </c>
      <c r="I708" s="32" t="str">
        <f>IF(E708=1,"",IF(OR(Orders!T705="Rider unavailable",Orders!T705="Item unavailable"),"Company-caused","Unresolved"))</f>
        <v>Company-caused</v>
      </c>
      <c r="J708" s="33">
        <f>IF(OR(E708=1,I708="Company-caused"),1,0)</f>
        <v>1</v>
      </c>
      <c r="K708" s="32" t="str">
        <f>IF(E708=0,IF(I708="Company-caused",IF(Orders!T705="Rider unavailable","C1 Rider unavailable","C2 Item unavailable"),"Outside root: unresolved"),IF(G708=0,"A On time",IF(H708=1,IF(L708=1,"B2a Severe, peak","B2b Severe, off-peak"),IF(L708=1,"B1a Slight, peak","B1b Slight, off-peak"))))</f>
        <v>C1 Rider unavailable</v>
      </c>
      <c r="L708" s="33">
        <f>IF(AND(Orders!U705&gt;=19,Orders!U705&lt;22),1,0)</f>
        <v>0</v>
      </c>
      <c r="M708" s="33">
        <f>IF(L708=IF(Orders!V705,1,0),1,0)</f>
        <v>1</v>
      </c>
      <c r="N708" s="32" t="str">
        <f>IF(Orders!W705="","None",Orders!W705)</f>
        <v>None</v>
      </c>
      <c r="O708" s="35">
        <f>INT(Orders!E705)</f>
        <v>46275.0</v>
      </c>
      <c r="P708" s="33">
        <f>Orders!U705</f>
        <v>11</v>
      </c>
      <c r="Q708" s="33">
        <f>COUNTIFS(Demand!$A$2:$A$4481,B708,Demand!$B$2:$B$4481,O708,Demand!$C$2:$C$4481,P708)</f>
        <v>1</v>
      </c>
      <c r="R708" s="33">
        <f>IF(Q708=1,SUMIFS(Demand!$E$2:$E$4481,Demand!$A$2:$A$4481,B708,Demand!$B$2:$B$4481,O708,Demand!$C$2:$C$4481,P708),"")</f>
        <v>33</v>
      </c>
      <c r="S708" s="33">
        <f>INDEX(Stores!$G$2:$G$21,MATCH(B708,Stores!$A$2:$A$21,0))</f>
        <v>31</v>
      </c>
      <c r="T708" s="34">
        <f>IF(R708="","",R708/S708)</f>
        <v>1.06451612903226</v>
      </c>
      <c r="U708" s="34" t="str">
        <f>IF(E708=1,T708,"")</f>
        <v/>
      </c>
      <c r="V708" s="34" t="str">
        <f>IF(AND(E708=1,L708=0),T708,"")</f>
        <v/>
      </c>
      <c r="W708" s="33" t="str">
        <f>IF(U708="","",IF(U708&lt;=Breakdowns!$C$5,1,IF(U708&lt;=Breakdowns!$C$6,2,IF(U708&lt;=Breakdowns!$C$7,3,4))))</f>
        <v/>
      </c>
      <c r="X708" s="33" t="str">
        <f>IF(V708="","",IF(V708&lt;=Breakdowns!$D$5,1,IF(V708&lt;=Breakdowns!$D$6,2,IF(V708&lt;=Breakdowns!$D$7,3,4))))</f>
        <v/>
      </c>
      <c r="Y708" s="34">
        <f>INDEX(Stores!$F$2:$F$21,MATCH(B708,Stores!$A$2:$A$21,0))</f>
        <v>5.67</v>
      </c>
      <c r="Z708" s="33">
        <f>IF(Y708&gt;Store_Summary!$M$2,1,0)</f>
        <v>1</v>
      </c>
      <c r="AA708" s="33">
        <f>INDEX(Stores!$C$2:$C$21,MATCH(B708,Stores!$A$2:$A$21,0))</f>
        <v>732</v>
      </c>
      <c r="AB708" s="33">
        <f>IF(AA708&lt;180,1,0)</f>
        <v>0</v>
      </c>
      <c r="AC708" s="32" t="str">
        <f>IF(Orders!D705="","",INDEX(Riders!$C$2:$C$81,MATCH(Orders!D705,Riders!$A$2:$A$81,0)))</f>
        <v/>
      </c>
      <c r="AD708" s="33" t="str">
        <f>IF(Orders!D705="","",INDEX(Riders!$D$2:$D$81,MATCH(Orders!D705,Riders!$A$2:$A$81,0)))</f>
        <v/>
      </c>
      <c r="AE708" s="33" t="str">
        <f>IF(Orders!D705="","",IF(INDEX(Riders!$B$2:$B$81,MATCH(Orders!D705,Riders!$A$2:$A$81,0))=B708,1,0))</f>
        <v/>
      </c>
      <c r="AF708" s="34" t="str">
        <f>IF(E708=1,Orders!L705,"")</f>
        <v/>
      </c>
      <c r="AG708" s="34" t="str">
        <f>IF(E708=1,Orders!P705,"")</f>
        <v/>
      </c>
      <c r="AH708" s="34" t="str">
        <f>IF(E708=1,Orders!Q705,"")</f>
        <v/>
      </c>
      <c r="AI708" s="34" t="str">
        <f>IF(E708=1,Orders!M705,"")</f>
        <v/>
      </c>
      <c r="AJ708" s="34" t="str">
        <f>IF(E708=1,Orders!N705,"")</f>
        <v/>
      </c>
      <c r="AK708" s="34" t="str">
        <f>IF(E708=1,Orders!O705,"")</f>
        <v/>
      </c>
      <c r="AL708" s="33" t="str">
        <f>IF(E708=1,IF(ROUND(ABS(AI708+AJ708+AK708-AH708),6)&lt;=0.1,1,0),"")</f>
        <v/>
      </c>
      <c r="AM708" s="36" t="str">
        <f>IF(E708=1,AI708/AH708,"")</f>
        <v/>
      </c>
      <c r="AN708" s="36" t="str">
        <f>IF(E708=1,AJ708/AH708,"")</f>
        <v/>
      </c>
      <c r="AO708" s="36" t="str">
        <f>IF(E708=1,AK708/AH708,"")</f>
        <v/>
      </c>
      <c r="AP708" s="34" t="str">
        <f>IF(E708=1,Orders!Y705,"")</f>
        <v/>
      </c>
      <c r="AQ708" s="33">
        <f>IF(Orders!X705,1,0)</f>
        <v>0</v>
      </c>
      <c r="AR708" s="34" t="str">
        <f>IF(AND(E708=1,L708=1),AJ708,"")</f>
        <v/>
      </c>
      <c r="AS708" s="34" t="str">
        <f>IF(AND(E708=1,L708=0),AJ708,"")</f>
        <v/>
      </c>
      <c r="AT708" s="34" t="str">
        <f>IF(AND(E708=1,L708=1),AI708,"")</f>
        <v/>
      </c>
      <c r="AU708" s="34" t="str">
        <f>IF(AND(E708=1,L708=0),AI708,"")</f>
        <v/>
      </c>
      <c r="AV708" s="34" t="str">
        <f>IF(AND(E708=1,L708=1),AG708,"")</f>
        <v/>
      </c>
      <c r="AW708" s="34" t="str">
        <f>IF(AND(E708=1,L708=0),AG708,"")</f>
        <v/>
      </c>
      <c r="AX708" s="34" t="str">
        <f>IF(AND(E708=1,L708=1),AH708,"")</f>
        <v/>
      </c>
      <c r="AY708" s="34" t="str">
        <f>IF(AND(E708=1,L708=0),AH708,"")</f>
        <v/>
      </c>
      <c r="AZ708" s="34" t="str">
        <f>IF(G708=1,F708,"")</f>
        <v/>
      </c>
      <c r="BA708" s="34" t="str">
        <f>IF(AND(G708=1,L708=1),F708,"")</f>
        <v/>
      </c>
      <c r="BB708" s="34" t="str">
        <f>IF(AND(G708=1,L708=0),F708,"")</f>
        <v/>
      </c>
      <c r="BC708" s="33" t="str">
        <f>IF(E708=1,IF(Orders!R705&gt;3,1,0),"")</f>
        <v/>
      </c>
      <c r="BD708" s="33" t="str">
        <f>IF(E708=1,IF(Orders!R705&gt;7,1,0),"")</f>
        <v/>
      </c>
      <c r="BE708" s="32" t="str">
        <f>IF(E708=1,IF(Orders!L705&lt;=1.5,"Up to 1.5 km",IF(Orders!L705&lt;=3,"1.5–3 km","Over 3 km")),"")</f>
        <v/>
      </c>
      <c r="BF708" s="33" t="str">
        <f>IF(E708=1,IF(ABS((Orders!G705-Orders!F705)*1440-Orders!R705)&lt;0.06,1,0),"")</f>
        <v/>
      </c>
      <c r="BG708" s="33">
        <f>IF(ABS((Orders!F705-Orders!E705)*1440-Orders!P705)&lt;0.06,1,0)</f>
        <v>1</v>
      </c>
      <c r="BH708" s="33" t="str">
        <f>IF(E708=1,IF(IF(Orders!S705,1,0)=1-G708,1,0),"")</f>
        <v/>
      </c>
      <c r="BI708" s="32" t="str">
        <f>INDEX(Stores!$B$2:$B$21,MATCH(B708,Stores!$A$2:$A$21,0))</f>
        <v>Bengaluru</v>
      </c>
    </row>
    <row r="709">
      <c r="A709" s="32" t="str">
        <f>Orders!A706</f>
        <v>O00705</v>
      </c>
      <c r="B709" s="32" t="str">
        <f>Orders!C706</f>
        <v>S005</v>
      </c>
      <c r="C709" s="32" t="str">
        <f>Orders!B706</f>
        <v>C0154</v>
      </c>
      <c r="D709" s="32" t="str">
        <f>Orders!H706</f>
        <v>Delivered</v>
      </c>
      <c r="E709" s="33">
        <f>IF(Orders!H706="Delivered",1,0)</f>
        <v>1</v>
      </c>
      <c r="F709" s="34">
        <f>IF(E709=1,Orders!R706,"")</f>
        <v>-0.8</v>
      </c>
      <c r="G709" s="33">
        <f>IF(E709=1,IF(Orders!R706&gt;0,1,0),"")</f>
        <v>0</v>
      </c>
      <c r="H709" s="33">
        <f>IF(E709=1,IF(Orders!R706&gt;5,1,0),"")</f>
        <v>0</v>
      </c>
      <c r="I709" s="32" t="str">
        <f>IF(E709=1,"",IF(OR(Orders!T706="Rider unavailable",Orders!T706="Item unavailable"),"Company-caused","Unresolved"))</f>
        <v/>
      </c>
      <c r="J709" s="33">
        <f>IF(OR(E709=1,I709="Company-caused"),1,0)</f>
        <v>1</v>
      </c>
      <c r="K709" s="32" t="str">
        <f>IF(E709=0,IF(I709="Company-caused",IF(Orders!T706="Rider unavailable","C1 Rider unavailable","C2 Item unavailable"),"Outside root: unresolved"),IF(G709=0,"A On time",IF(H709=1,IF(L709=1,"B2a Severe, peak","B2b Severe, off-peak"),IF(L709=1,"B1a Slight, peak","B1b Slight, off-peak"))))</f>
        <v>A On time</v>
      </c>
      <c r="L709" s="33">
        <f>IF(AND(Orders!U706&gt;=19,Orders!U706&lt;22),1,0)</f>
        <v>0</v>
      </c>
      <c r="M709" s="33">
        <f>IF(L709=IF(Orders!V706,1,0),1,0)</f>
        <v>1</v>
      </c>
      <c r="N709" s="32" t="str">
        <f>IF(Orders!W706="","None",Orders!W706)</f>
        <v>None</v>
      </c>
      <c r="O709" s="35">
        <f>INT(Orders!E706)</f>
        <v>46272.0</v>
      </c>
      <c r="P709" s="33">
        <f>Orders!U706</f>
        <v>18</v>
      </c>
      <c r="Q709" s="33">
        <f>COUNTIFS(Demand!$A$2:$A$4481,B709,Demand!$B$2:$B$4481,O709,Demand!$C$2:$C$4481,P709)</f>
        <v>1</v>
      </c>
      <c r="R709" s="33">
        <f>IF(Q709=1,SUMIFS(Demand!$E$2:$E$4481,Demand!$A$2:$A$4481,B709,Demand!$B$2:$B$4481,O709,Demand!$C$2:$C$4481,P709),"")</f>
        <v>16</v>
      </c>
      <c r="S709" s="33">
        <f>INDEX(Stores!$G$2:$G$21,MATCH(B709,Stores!$A$2:$A$21,0))</f>
        <v>14</v>
      </c>
      <c r="T709" s="34">
        <f>IF(R709="","",R709/S709)</f>
        <v>1.14285714285714</v>
      </c>
      <c r="U709" s="34">
        <f>IF(E709=1,T709,"")</f>
        <v>1.14285714285714</v>
      </c>
      <c r="V709" s="34">
        <f>IF(AND(E709=1,L709=0),T709,"")</f>
        <v>1.14285714285714</v>
      </c>
      <c r="W709" s="33">
        <f>IF(U709="","",IF(U709&lt;=Breakdowns!$C$5,1,IF(U709&lt;=Breakdowns!$C$6,2,IF(U709&lt;=Breakdowns!$C$7,3,4))))</f>
        <v>3</v>
      </c>
      <c r="X709" s="33">
        <f>IF(V709="","",IF(V709&lt;=Breakdowns!$D$5,1,IF(V709&lt;=Breakdowns!$D$6,2,IF(V709&lt;=Breakdowns!$D$7,3,4))))</f>
        <v>4</v>
      </c>
      <c r="Y709" s="34">
        <f>INDEX(Stores!$F$2:$F$21,MATCH(B709,Stores!$A$2:$A$21,0))</f>
        <v>4.89</v>
      </c>
      <c r="Z709" s="33">
        <f>IF(Y709&gt;Store_Summary!$M$2,1,0)</f>
        <v>0</v>
      </c>
      <c r="AA709" s="33">
        <f>INDEX(Stores!$C$2:$C$21,MATCH(B709,Stores!$A$2:$A$21,0))</f>
        <v>138</v>
      </c>
      <c r="AB709" s="33">
        <f>IF(AA709&lt;180,1,0)</f>
        <v>1</v>
      </c>
      <c r="AC709" s="32" t="str">
        <f>IF(Orders!D706="","",INDEX(Riders!$C$2:$C$81,MATCH(Orders!D706,Riders!$A$2:$A$81,0)))</f>
        <v>EV scooter</v>
      </c>
      <c r="AD709" s="33">
        <f>IF(Orders!D706="","",INDEX(Riders!$D$2:$D$81,MATCH(Orders!D706,Riders!$A$2:$A$81,0)))</f>
        <v>2</v>
      </c>
      <c r="AE709" s="33">
        <f>IF(Orders!D706="","",IF(INDEX(Riders!$B$2:$B$81,MATCH(Orders!D706,Riders!$A$2:$A$81,0))=B709,1,0))</f>
        <v>0</v>
      </c>
      <c r="AF709" s="34">
        <f>IF(E709=1,Orders!L706,"")</f>
        <v>0.5</v>
      </c>
      <c r="AG709" s="34">
        <f>IF(E709=1,Orders!P706,"")</f>
        <v>9.2</v>
      </c>
      <c r="AH709" s="34">
        <f>IF(E709=1,Orders!Q706,"")</f>
        <v>8.4</v>
      </c>
      <c r="AI709" s="34">
        <f>IF(E709=1,Orders!M706,"")</f>
        <v>5.1</v>
      </c>
      <c r="AJ709" s="34">
        <f>IF(E709=1,Orders!N706,"")</f>
        <v>1.3</v>
      </c>
      <c r="AK709" s="34">
        <f>IF(E709=1,Orders!O706,"")</f>
        <v>2</v>
      </c>
      <c r="AL709" s="33">
        <f>IF(E709=1,IF(ROUND(ABS(AI709+AJ709+AK709-AH709),6)&lt;=0.1,1,0),"")</f>
        <v>1</v>
      </c>
      <c r="AM709" s="36">
        <f>IF(E709=1,AI709/AH709,"")</f>
        <v>0.607142857142857</v>
      </c>
      <c r="AN709" s="36">
        <f>IF(E709=1,AJ709/AH709,"")</f>
        <v>0.154761904761905</v>
      </c>
      <c r="AO709" s="36">
        <f>IF(E709=1,AK709/AH709,"")</f>
        <v>0.238095238095238</v>
      </c>
      <c r="AP709" s="34">
        <f>IF(E709=1,Orders!Y706,"")</f>
        <v>0.2</v>
      </c>
      <c r="AQ709" s="33">
        <f>IF(Orders!X706,1,0)</f>
        <v>0</v>
      </c>
      <c r="AR709" s="34" t="str">
        <f>IF(AND(E709=1,L709=1),AJ709,"")</f>
        <v/>
      </c>
      <c r="AS709" s="34">
        <f>IF(AND(E709=1,L709=0),AJ709,"")</f>
        <v>1.3</v>
      </c>
      <c r="AT709" s="34" t="str">
        <f>IF(AND(E709=1,L709=1),AI709,"")</f>
        <v/>
      </c>
      <c r="AU709" s="34">
        <f>IF(AND(E709=1,L709=0),AI709,"")</f>
        <v>5.1</v>
      </c>
      <c r="AV709" s="34" t="str">
        <f>IF(AND(E709=1,L709=1),AG709,"")</f>
        <v/>
      </c>
      <c r="AW709" s="34">
        <f>IF(AND(E709=1,L709=0),AG709,"")</f>
        <v>9.2</v>
      </c>
      <c r="AX709" s="34" t="str">
        <f>IF(AND(E709=1,L709=1),AH709,"")</f>
        <v/>
      </c>
      <c r="AY709" s="34">
        <f>IF(AND(E709=1,L709=0),AH709,"")</f>
        <v>8.4</v>
      </c>
      <c r="AZ709" s="34" t="str">
        <f>IF(G709=1,F709,"")</f>
        <v/>
      </c>
      <c r="BA709" s="34" t="str">
        <f>IF(AND(G709=1,L709=1),F709,"")</f>
        <v/>
      </c>
      <c r="BB709" s="34" t="str">
        <f>IF(AND(G709=1,L709=0),F709,"")</f>
        <v/>
      </c>
      <c r="BC709" s="33">
        <f>IF(E709=1,IF(Orders!R706&gt;3,1,0),"")</f>
        <v>0</v>
      </c>
      <c r="BD709" s="33">
        <f>IF(E709=1,IF(Orders!R706&gt;7,1,0),"")</f>
        <v>0</v>
      </c>
      <c r="BE709" s="32" t="str">
        <f>IF(E709=1,IF(Orders!L706&lt;=1.5,"Up to 1.5 km",IF(Orders!L706&lt;=3,"1.5–3 km","Over 3 km")),"")</f>
        <v>Up to 1.5 km</v>
      </c>
      <c r="BF709" s="33">
        <f>IF(E709=1,IF(ABS((Orders!G706-Orders!F706)*1440-Orders!R706)&lt;0.06,1,0),"")</f>
        <v>1</v>
      </c>
      <c r="BG709" s="33">
        <f>IF(ABS((Orders!F706-Orders!E706)*1440-Orders!P706)&lt;0.06,1,0)</f>
        <v>1</v>
      </c>
      <c r="BH709" s="33">
        <f>IF(E709=1,IF(IF(Orders!S706,1,0)=1-G709,1,0),"")</f>
        <v>1</v>
      </c>
      <c r="BI709" s="32" t="str">
        <f>INDEX(Stores!$B$2:$B$21,MATCH(B709,Stores!$A$2:$A$21,0))</f>
        <v>Delhi</v>
      </c>
    </row>
    <row r="710">
      <c r="A710" s="32" t="str">
        <f>Orders!A707</f>
        <v>O00706</v>
      </c>
      <c r="B710" s="32" t="str">
        <f>Orders!C707</f>
        <v>S017</v>
      </c>
      <c r="C710" s="32" t="str">
        <f>Orders!B707</f>
        <v>C0003</v>
      </c>
      <c r="D710" s="32" t="str">
        <f>Orders!H707</f>
        <v>Delivered</v>
      </c>
      <c r="E710" s="33">
        <f>IF(Orders!H707="Delivered",1,0)</f>
        <v>1</v>
      </c>
      <c r="F710" s="34">
        <f>IF(E710=1,Orders!R707,"")</f>
        <v>-0.9</v>
      </c>
      <c r="G710" s="33">
        <f>IF(E710=1,IF(Orders!R707&gt;0,1,0),"")</f>
        <v>0</v>
      </c>
      <c r="H710" s="33">
        <f>IF(E710=1,IF(Orders!R707&gt;5,1,0),"")</f>
        <v>0</v>
      </c>
      <c r="I710" s="32" t="str">
        <f>IF(E710=1,"",IF(OR(Orders!T707="Rider unavailable",Orders!T707="Item unavailable"),"Company-caused","Unresolved"))</f>
        <v/>
      </c>
      <c r="J710" s="33">
        <f>IF(OR(E710=1,I710="Company-caused"),1,0)</f>
        <v>1</v>
      </c>
      <c r="K710" s="32" t="str">
        <f>IF(E710=0,IF(I710="Company-caused",IF(Orders!T707="Rider unavailable","C1 Rider unavailable","C2 Item unavailable"),"Outside root: unresolved"),IF(G710=0,"A On time",IF(H710=1,IF(L710=1,"B2a Severe, peak","B2b Severe, off-peak"),IF(L710=1,"B1a Slight, peak","B1b Slight, off-peak"))))</f>
        <v>A On time</v>
      </c>
      <c r="L710" s="33">
        <f>IF(AND(Orders!U707&gt;=19,Orders!U707&lt;22),1,0)</f>
        <v>1</v>
      </c>
      <c r="M710" s="33">
        <f>IF(L710=IF(Orders!V707,1,0),1,0)</f>
        <v>1</v>
      </c>
      <c r="N710" s="32" t="str">
        <f>IF(Orders!W707="","None",Orders!W707)</f>
        <v>None</v>
      </c>
      <c r="O710" s="35">
        <f>INT(Orders!E707)</f>
        <v>46274.0</v>
      </c>
      <c r="P710" s="33">
        <f>Orders!U707</f>
        <v>21</v>
      </c>
      <c r="Q710" s="33">
        <f>COUNTIFS(Demand!$A$2:$A$4481,B710,Demand!$B$2:$B$4481,O710,Demand!$C$2:$C$4481,P710)</f>
        <v>1</v>
      </c>
      <c r="R710" s="33">
        <f>IF(Q710=1,SUMIFS(Demand!$E$2:$E$4481,Demand!$A$2:$A$4481,B710,Demand!$B$2:$B$4481,O710,Demand!$C$2:$C$4481,P710),"")</f>
        <v>66</v>
      </c>
      <c r="S710" s="33">
        <f>INDEX(Stores!$G$2:$G$21,MATCH(B710,Stores!$A$2:$A$21,0))</f>
        <v>36</v>
      </c>
      <c r="T710" s="34">
        <f>IF(R710="","",R710/S710)</f>
        <v>1.83333333333333</v>
      </c>
      <c r="U710" s="34">
        <f>IF(E710=1,T710,"")</f>
        <v>1.83333333333333</v>
      </c>
      <c r="V710" s="34" t="str">
        <f>IF(AND(E710=1,L710=0),T710,"")</f>
        <v/>
      </c>
      <c r="W710" s="33">
        <f>IF(U710="","",IF(U710&lt;=Breakdowns!$C$5,1,IF(U710&lt;=Breakdowns!$C$6,2,IF(U710&lt;=Breakdowns!$C$7,3,4))))</f>
        <v>4</v>
      </c>
      <c r="X710" s="33" t="str">
        <f>IF(V710="","",IF(V710&lt;=Breakdowns!$D$5,1,IF(V710&lt;=Breakdowns!$D$6,2,IF(V710&lt;=Breakdowns!$D$7,3,4))))</f>
        <v/>
      </c>
      <c r="Y710" s="34">
        <f>INDEX(Stores!$F$2:$F$21,MATCH(B710,Stores!$A$2:$A$21,0))</f>
        <v>2.16</v>
      </c>
      <c r="Z710" s="33">
        <f>IF(Y710&gt;Store_Summary!$M$2,1,0)</f>
        <v>0</v>
      </c>
      <c r="AA710" s="33">
        <f>INDEX(Stores!$C$2:$C$21,MATCH(B710,Stores!$A$2:$A$21,0))</f>
        <v>47</v>
      </c>
      <c r="AB710" s="33">
        <f>IF(AA710&lt;180,1,0)</f>
        <v>1</v>
      </c>
      <c r="AC710" s="32" t="str">
        <f>IF(Orders!D707="","",INDEX(Riders!$C$2:$C$81,MATCH(Orders!D707,Riders!$A$2:$A$81,0)))</f>
        <v>Petrol scooter</v>
      </c>
      <c r="AD710" s="33">
        <f>IF(Orders!D707="","",INDEX(Riders!$D$2:$D$81,MATCH(Orders!D707,Riders!$A$2:$A$81,0)))</f>
        <v>42</v>
      </c>
      <c r="AE710" s="33">
        <f>IF(Orders!D707="","",IF(INDEX(Riders!$B$2:$B$81,MATCH(Orders!D707,Riders!$A$2:$A$81,0))=B710,1,0))</f>
        <v>0</v>
      </c>
      <c r="AF710" s="34">
        <f>IF(E710=1,Orders!L707,"")</f>
        <v>1.29</v>
      </c>
      <c r="AG710" s="34">
        <f>IF(E710=1,Orders!P707,"")</f>
        <v>10.3</v>
      </c>
      <c r="AH710" s="34">
        <f>IF(E710=1,Orders!Q707,"")</f>
        <v>9.4</v>
      </c>
      <c r="AI710" s="34">
        <f>IF(E710=1,Orders!M707,"")</f>
        <v>1.9</v>
      </c>
      <c r="AJ710" s="34">
        <f>IF(E710=1,Orders!N707,"")</f>
        <v>3.9</v>
      </c>
      <c r="AK710" s="34">
        <f>IF(E710=1,Orders!O707,"")</f>
        <v>3.6</v>
      </c>
      <c r="AL710" s="33">
        <f>IF(E710=1,IF(ROUND(ABS(AI710+AJ710+AK710-AH710),6)&lt;=0.1,1,0),"")</f>
        <v>1</v>
      </c>
      <c r="AM710" s="36">
        <f>IF(E710=1,AI710/AH710,"")</f>
        <v>0.202127659574468</v>
      </c>
      <c r="AN710" s="36">
        <f>IF(E710=1,AJ710/AH710,"")</f>
        <v>0.414893617021277</v>
      </c>
      <c r="AO710" s="36">
        <f>IF(E710=1,AK710/AH710,"")</f>
        <v>0.382978723404255</v>
      </c>
      <c r="AP710" s="34">
        <f>IF(E710=1,Orders!Y707,"")</f>
        <v>0.58</v>
      </c>
      <c r="AQ710" s="33">
        <f>IF(Orders!X707,1,0)</f>
        <v>0</v>
      </c>
      <c r="AR710" s="34">
        <f>IF(AND(E710=1,L710=1),AJ710,"")</f>
        <v>3.9</v>
      </c>
      <c r="AS710" s="34" t="str">
        <f>IF(AND(E710=1,L710=0),AJ710,"")</f>
        <v/>
      </c>
      <c r="AT710" s="34">
        <f>IF(AND(E710=1,L710=1),AI710,"")</f>
        <v>1.9</v>
      </c>
      <c r="AU710" s="34" t="str">
        <f>IF(AND(E710=1,L710=0),AI710,"")</f>
        <v/>
      </c>
      <c r="AV710" s="34">
        <f>IF(AND(E710=1,L710=1),AG710,"")</f>
        <v>10.3</v>
      </c>
      <c r="AW710" s="34" t="str">
        <f>IF(AND(E710=1,L710=0),AG710,"")</f>
        <v/>
      </c>
      <c r="AX710" s="34">
        <f>IF(AND(E710=1,L710=1),AH710,"")</f>
        <v>9.4</v>
      </c>
      <c r="AY710" s="34" t="str">
        <f>IF(AND(E710=1,L710=0),AH710,"")</f>
        <v/>
      </c>
      <c r="AZ710" s="34" t="str">
        <f>IF(G710=1,F710,"")</f>
        <v/>
      </c>
      <c r="BA710" s="34" t="str">
        <f>IF(AND(G710=1,L710=1),F710,"")</f>
        <v/>
      </c>
      <c r="BB710" s="34" t="str">
        <f>IF(AND(G710=1,L710=0),F710,"")</f>
        <v/>
      </c>
      <c r="BC710" s="33">
        <f>IF(E710=1,IF(Orders!R707&gt;3,1,0),"")</f>
        <v>0</v>
      </c>
      <c r="BD710" s="33">
        <f>IF(E710=1,IF(Orders!R707&gt;7,1,0),"")</f>
        <v>0</v>
      </c>
      <c r="BE710" s="32" t="str">
        <f>IF(E710=1,IF(Orders!L707&lt;=1.5,"Up to 1.5 km",IF(Orders!L707&lt;=3,"1.5–3 km","Over 3 km")),"")</f>
        <v>Up to 1.5 km</v>
      </c>
      <c r="BF710" s="33">
        <f>IF(E710=1,IF(ABS((Orders!G707-Orders!F707)*1440-Orders!R707)&lt;0.06,1,0),"")</f>
        <v>1</v>
      </c>
      <c r="BG710" s="33">
        <f>IF(ABS((Orders!F707-Orders!E707)*1440-Orders!P707)&lt;0.06,1,0)</f>
        <v>1</v>
      </c>
      <c r="BH710" s="33">
        <f>IF(E710=1,IF(IF(Orders!S707,1,0)=1-G710,1,0),"")</f>
        <v>1</v>
      </c>
      <c r="BI710" s="32" t="str">
        <f>INDEX(Stores!$B$2:$B$21,MATCH(B710,Stores!$A$2:$A$21,0))</f>
        <v>Hyderabad</v>
      </c>
    </row>
    <row r="711">
      <c r="A711" s="32" t="str">
        <f>Orders!A708</f>
        <v>O00707</v>
      </c>
      <c r="B711" s="32" t="str">
        <f>Orders!C708</f>
        <v>S011</v>
      </c>
      <c r="C711" s="32" t="str">
        <f>Orders!B708</f>
        <v>C0009</v>
      </c>
      <c r="D711" s="32" t="str">
        <f>Orders!H708</f>
        <v>Delivered</v>
      </c>
      <c r="E711" s="33">
        <f>IF(Orders!H708="Delivered",1,0)</f>
        <v>1</v>
      </c>
      <c r="F711" s="34">
        <f>IF(E711=1,Orders!R708,"")</f>
        <v>6.2</v>
      </c>
      <c r="G711" s="33">
        <f>IF(E711=1,IF(Orders!R708&gt;0,1,0),"")</f>
        <v>1</v>
      </c>
      <c r="H711" s="33">
        <f>IF(E711=1,IF(Orders!R708&gt;5,1,0),"")</f>
        <v>1</v>
      </c>
      <c r="I711" s="32" t="str">
        <f>IF(E711=1,"",IF(OR(Orders!T708="Rider unavailable",Orders!T708="Item unavailable"),"Company-caused","Unresolved"))</f>
        <v/>
      </c>
      <c r="J711" s="33">
        <f>IF(OR(E711=1,I711="Company-caused"),1,0)</f>
        <v>1</v>
      </c>
      <c r="K711" s="32" t="str">
        <f>IF(E711=0,IF(I711="Company-caused",IF(Orders!T708="Rider unavailable","C1 Rider unavailable","C2 Item unavailable"),"Outside root: unresolved"),IF(G711=0,"A On time",IF(H711=1,IF(L711=1,"B2a Severe, peak","B2b Severe, off-peak"),IF(L711=1,"B1a Slight, peak","B1b Slight, off-peak"))))</f>
        <v>B2a Severe, peak</v>
      </c>
      <c r="L711" s="33">
        <f>IF(AND(Orders!U708&gt;=19,Orders!U708&lt;22),1,0)</f>
        <v>1</v>
      </c>
      <c r="M711" s="33">
        <f>IF(L711=IF(Orders!V708,1,0),1,0)</f>
        <v>1</v>
      </c>
      <c r="N711" s="32" t="str">
        <f>IF(Orders!W708="","None",Orders!W708)</f>
        <v>None</v>
      </c>
      <c r="O711" s="35">
        <f>INT(Orders!E708)</f>
        <v>46273.0</v>
      </c>
      <c r="P711" s="33">
        <f>Orders!U708</f>
        <v>19</v>
      </c>
      <c r="Q711" s="33">
        <f>COUNTIFS(Demand!$A$2:$A$4481,B711,Demand!$B$2:$B$4481,O711,Demand!$C$2:$C$4481,P711)</f>
        <v>1</v>
      </c>
      <c r="R711" s="33">
        <f>IF(Q711=1,SUMIFS(Demand!$E$2:$E$4481,Demand!$A$2:$A$4481,B711,Demand!$B$2:$B$4481,O711,Demand!$C$2:$C$4481,P711),"")</f>
        <v>46</v>
      </c>
      <c r="S711" s="33">
        <f>INDEX(Stores!$G$2:$G$21,MATCH(B711,Stores!$A$2:$A$21,0))</f>
        <v>31</v>
      </c>
      <c r="T711" s="34">
        <f>IF(R711="","",R711/S711)</f>
        <v>1.48387096774194</v>
      </c>
      <c r="U711" s="34">
        <f>IF(E711=1,T711,"")</f>
        <v>1.48387096774194</v>
      </c>
      <c r="V711" s="34" t="str">
        <f>IF(AND(E711=1,L711=0),T711,"")</f>
        <v/>
      </c>
      <c r="W711" s="33">
        <f>IF(U711="","",IF(U711&lt;=Breakdowns!$C$5,1,IF(U711&lt;=Breakdowns!$C$6,2,IF(U711&lt;=Breakdowns!$C$7,3,4))))</f>
        <v>4</v>
      </c>
      <c r="X711" s="33" t="str">
        <f>IF(V711="","",IF(V711&lt;=Breakdowns!$D$5,1,IF(V711&lt;=Breakdowns!$D$6,2,IF(V711&lt;=Breakdowns!$D$7,3,4))))</f>
        <v/>
      </c>
      <c r="Y711" s="34">
        <f>INDEX(Stores!$F$2:$F$21,MATCH(B711,Stores!$A$2:$A$21,0))</f>
        <v>5.67</v>
      </c>
      <c r="Z711" s="33">
        <f>IF(Y711&gt;Store_Summary!$M$2,1,0)</f>
        <v>1</v>
      </c>
      <c r="AA711" s="33">
        <f>INDEX(Stores!$C$2:$C$21,MATCH(B711,Stores!$A$2:$A$21,0))</f>
        <v>732</v>
      </c>
      <c r="AB711" s="33">
        <f>IF(AA711&lt;180,1,0)</f>
        <v>0</v>
      </c>
      <c r="AC711" s="32" t="str">
        <f>IF(Orders!D708="","",INDEX(Riders!$C$2:$C$81,MATCH(Orders!D708,Riders!$A$2:$A$81,0)))</f>
        <v>Bicycle</v>
      </c>
      <c r="AD711" s="33">
        <f>IF(Orders!D708="","",INDEX(Riders!$D$2:$D$81,MATCH(Orders!D708,Riders!$A$2:$A$81,0)))</f>
        <v>40</v>
      </c>
      <c r="AE711" s="33">
        <f>IF(Orders!D708="","",IF(INDEX(Riders!$B$2:$B$81,MATCH(Orders!D708,Riders!$A$2:$A$81,0))=B711,1,0))</f>
        <v>0</v>
      </c>
      <c r="AF711" s="34">
        <f>IF(E711=1,Orders!L708,"")</f>
        <v>0.79</v>
      </c>
      <c r="AG711" s="34">
        <f>IF(E711=1,Orders!P708,"")</f>
        <v>8.4</v>
      </c>
      <c r="AH711" s="34">
        <f>IF(E711=1,Orders!Q708,"")</f>
        <v>14.6</v>
      </c>
      <c r="AI711" s="34">
        <f>IF(E711=1,Orders!M708,"")</f>
        <v>6.1</v>
      </c>
      <c r="AJ711" s="34">
        <f>IF(E711=1,Orders!N708,"")</f>
        <v>5.3</v>
      </c>
      <c r="AK711" s="34">
        <f>IF(E711=1,Orders!O708,"")</f>
        <v>3.2</v>
      </c>
      <c r="AL711" s="33">
        <f>IF(E711=1,IF(ROUND(ABS(AI711+AJ711+AK711-AH711),6)&lt;=0.1,1,0),"")</f>
        <v>1</v>
      </c>
      <c r="AM711" s="36">
        <f>IF(E711=1,AI711/AH711,"")</f>
        <v>0.417808219178082</v>
      </c>
      <c r="AN711" s="36">
        <f>IF(E711=1,AJ711/AH711,"")</f>
        <v>0.363013698630137</v>
      </c>
      <c r="AO711" s="36">
        <f>IF(E711=1,AK711/AH711,"")</f>
        <v>0.219178082191781</v>
      </c>
      <c r="AP711" s="34">
        <f>IF(E711=1,Orders!Y708,"")</f>
        <v>0.45</v>
      </c>
      <c r="AQ711" s="33">
        <f>IF(Orders!X708,1,0)</f>
        <v>0</v>
      </c>
      <c r="AR711" s="34">
        <f>IF(AND(E711=1,L711=1),AJ711,"")</f>
        <v>5.3</v>
      </c>
      <c r="AS711" s="34" t="str">
        <f>IF(AND(E711=1,L711=0),AJ711,"")</f>
        <v/>
      </c>
      <c r="AT711" s="34">
        <f>IF(AND(E711=1,L711=1),AI711,"")</f>
        <v>6.1</v>
      </c>
      <c r="AU711" s="34" t="str">
        <f>IF(AND(E711=1,L711=0),AI711,"")</f>
        <v/>
      </c>
      <c r="AV711" s="34">
        <f>IF(AND(E711=1,L711=1),AG711,"")</f>
        <v>8.4</v>
      </c>
      <c r="AW711" s="34" t="str">
        <f>IF(AND(E711=1,L711=0),AG711,"")</f>
        <v/>
      </c>
      <c r="AX711" s="34">
        <f>IF(AND(E711=1,L711=1),AH711,"")</f>
        <v>14.6</v>
      </c>
      <c r="AY711" s="34" t="str">
        <f>IF(AND(E711=1,L711=0),AH711,"")</f>
        <v/>
      </c>
      <c r="AZ711" s="34">
        <f>IF(G711=1,F711,"")</f>
        <v>6.2</v>
      </c>
      <c r="BA711" s="34">
        <f>IF(AND(G711=1,L711=1),F711,"")</f>
        <v>6.2</v>
      </c>
      <c r="BB711" s="34" t="str">
        <f>IF(AND(G711=1,L711=0),F711,"")</f>
        <v/>
      </c>
      <c r="BC711" s="33">
        <f>IF(E711=1,IF(Orders!R708&gt;3,1,0),"")</f>
        <v>1</v>
      </c>
      <c r="BD711" s="33">
        <f>IF(E711=1,IF(Orders!R708&gt;7,1,0),"")</f>
        <v>0</v>
      </c>
      <c r="BE711" s="32" t="str">
        <f>IF(E711=1,IF(Orders!L708&lt;=1.5,"Up to 1.5 km",IF(Orders!L708&lt;=3,"1.5–3 km","Over 3 km")),"")</f>
        <v>Up to 1.5 km</v>
      </c>
      <c r="BF711" s="33">
        <f>IF(E711=1,IF(ABS((Orders!G708-Orders!F708)*1440-Orders!R708)&lt;0.06,1,0),"")</f>
        <v>1</v>
      </c>
      <c r="BG711" s="33">
        <f>IF(ABS((Orders!F708-Orders!E708)*1440-Orders!P708)&lt;0.06,1,0)</f>
        <v>1</v>
      </c>
      <c r="BH711" s="33">
        <f>IF(E711=1,IF(IF(Orders!S708,1,0)=1-G711,1,0),"")</f>
        <v>1</v>
      </c>
      <c r="BI711" s="32" t="str">
        <f>INDEX(Stores!$B$2:$B$21,MATCH(B711,Stores!$A$2:$A$21,0))</f>
        <v>Bengaluru</v>
      </c>
    </row>
    <row r="712">
      <c r="A712" s="32" t="str">
        <f>Orders!A709</f>
        <v>O00708</v>
      </c>
      <c r="B712" s="32" t="str">
        <f>Orders!C709</f>
        <v>S004</v>
      </c>
      <c r="C712" s="32" t="str">
        <f>Orders!B709</f>
        <v>C0005</v>
      </c>
      <c r="D712" s="32" t="str">
        <f>Orders!H709</f>
        <v>Delivered</v>
      </c>
      <c r="E712" s="33">
        <f>IF(Orders!H709="Delivered",1,0)</f>
        <v>1</v>
      </c>
      <c r="F712" s="34">
        <f>IF(E712=1,Orders!R709,"")</f>
        <v>-0.9</v>
      </c>
      <c r="G712" s="33">
        <f>IF(E712=1,IF(Orders!R709&gt;0,1,0),"")</f>
        <v>0</v>
      </c>
      <c r="H712" s="33">
        <f>IF(E712=1,IF(Orders!R709&gt;5,1,0),"")</f>
        <v>0</v>
      </c>
      <c r="I712" s="32" t="str">
        <f>IF(E712=1,"",IF(OR(Orders!T709="Rider unavailable",Orders!T709="Item unavailable"),"Company-caused","Unresolved"))</f>
        <v/>
      </c>
      <c r="J712" s="33">
        <f>IF(OR(E712=1,I712="Company-caused"),1,0)</f>
        <v>1</v>
      </c>
      <c r="K712" s="32" t="str">
        <f>IF(E712=0,IF(I712="Company-caused",IF(Orders!T709="Rider unavailable","C1 Rider unavailable","C2 Item unavailable"),"Outside root: unresolved"),IF(G712=0,"A On time",IF(H712=1,IF(L712=1,"B2a Severe, peak","B2b Severe, off-peak"),IF(L712=1,"B1a Slight, peak","B1b Slight, off-peak"))))</f>
        <v>A On time</v>
      </c>
      <c r="L712" s="33">
        <f>IF(AND(Orders!U709&gt;=19,Orders!U709&lt;22),1,0)</f>
        <v>1</v>
      </c>
      <c r="M712" s="33">
        <f>IF(L712=IF(Orders!V709,1,0),1,0)</f>
        <v>1</v>
      </c>
      <c r="N712" s="32" t="str">
        <f>IF(Orders!W709="","None",Orders!W709)</f>
        <v>Light</v>
      </c>
      <c r="O712" s="35">
        <f>INT(Orders!E709)</f>
        <v>46267.0</v>
      </c>
      <c r="P712" s="33">
        <f>Orders!U709</f>
        <v>20</v>
      </c>
      <c r="Q712" s="33">
        <f>COUNTIFS(Demand!$A$2:$A$4481,B712,Demand!$B$2:$B$4481,O712,Demand!$C$2:$C$4481,P712)</f>
        <v>1</v>
      </c>
      <c r="R712" s="33">
        <f>IF(Q712=1,SUMIFS(Demand!$E$2:$E$4481,Demand!$A$2:$A$4481,B712,Demand!$B$2:$B$4481,O712,Demand!$C$2:$C$4481,P712),"")</f>
        <v>71</v>
      </c>
      <c r="S712" s="33">
        <f>INDEX(Stores!$G$2:$G$21,MATCH(B712,Stores!$A$2:$A$21,0))</f>
        <v>42</v>
      </c>
      <c r="T712" s="34">
        <f>IF(R712="","",R712/S712)</f>
        <v>1.69047619047619</v>
      </c>
      <c r="U712" s="34">
        <f>IF(E712=1,T712,"")</f>
        <v>1.69047619047619</v>
      </c>
      <c r="V712" s="34" t="str">
        <f>IF(AND(E712=1,L712=0),T712,"")</f>
        <v/>
      </c>
      <c r="W712" s="33">
        <f>IF(U712="","",IF(U712&lt;=Breakdowns!$C$5,1,IF(U712&lt;=Breakdowns!$C$6,2,IF(U712&lt;=Breakdowns!$C$7,3,4))))</f>
        <v>4</v>
      </c>
      <c r="X712" s="33" t="str">
        <f>IF(V712="","",IF(V712&lt;=Breakdowns!$D$5,1,IF(V712&lt;=Breakdowns!$D$6,2,IF(V712&lt;=Breakdowns!$D$7,3,4))))</f>
        <v/>
      </c>
      <c r="Y712" s="34">
        <f>INDEX(Stores!$F$2:$F$21,MATCH(B712,Stores!$A$2:$A$21,0))</f>
        <v>2.19</v>
      </c>
      <c r="Z712" s="33">
        <f>IF(Y712&gt;Store_Summary!$M$2,1,0)</f>
        <v>0</v>
      </c>
      <c r="AA712" s="33">
        <f>INDEX(Stores!$C$2:$C$21,MATCH(B712,Stores!$A$2:$A$21,0))</f>
        <v>850</v>
      </c>
      <c r="AB712" s="33">
        <f>IF(AA712&lt;180,1,0)</f>
        <v>0</v>
      </c>
      <c r="AC712" s="32" t="str">
        <f>IF(Orders!D709="","",INDEX(Riders!$C$2:$C$81,MATCH(Orders!D709,Riders!$A$2:$A$81,0)))</f>
        <v>EV scooter</v>
      </c>
      <c r="AD712" s="33">
        <f>IF(Orders!D709="","",INDEX(Riders!$D$2:$D$81,MATCH(Orders!D709,Riders!$A$2:$A$81,0)))</f>
        <v>12</v>
      </c>
      <c r="AE712" s="33">
        <f>IF(Orders!D709="","",IF(INDEX(Riders!$B$2:$B$81,MATCH(Orders!D709,Riders!$A$2:$A$81,0))=B712,1,0))</f>
        <v>0</v>
      </c>
      <c r="AF712" s="34">
        <f>IF(E712=1,Orders!L709,"")</f>
        <v>2.18</v>
      </c>
      <c r="AG712" s="34">
        <f>IF(E712=1,Orders!P709,"")</f>
        <v>10.3</v>
      </c>
      <c r="AH712" s="34">
        <f>IF(E712=1,Orders!Q709,"")</f>
        <v>9.4</v>
      </c>
      <c r="AI712" s="34">
        <f>IF(E712=1,Orders!M709,"")</f>
        <v>0.5</v>
      </c>
      <c r="AJ712" s="34">
        <f>IF(E712=1,Orders!N709,"")</f>
        <v>4.6</v>
      </c>
      <c r="AK712" s="34">
        <f>IF(E712=1,Orders!O709,"")</f>
        <v>4.3</v>
      </c>
      <c r="AL712" s="33">
        <f>IF(E712=1,IF(ROUND(ABS(AI712+AJ712+AK712-AH712),6)&lt;=0.1,1,0),"")</f>
        <v>1</v>
      </c>
      <c r="AM712" s="36">
        <f>IF(E712=1,AI712/AH712,"")</f>
        <v>0.0531914893617021</v>
      </c>
      <c r="AN712" s="36">
        <f>IF(E712=1,AJ712/AH712,"")</f>
        <v>0.48936170212766</v>
      </c>
      <c r="AO712" s="36">
        <f>IF(E712=1,AK712/AH712,"")</f>
        <v>0.457446808510638</v>
      </c>
      <c r="AP712" s="34">
        <f>IF(E712=1,Orders!Y709,"")</f>
        <v>0.64</v>
      </c>
      <c r="AQ712" s="33">
        <f>IF(Orders!X709,1,0)</f>
        <v>0</v>
      </c>
      <c r="AR712" s="34">
        <f>IF(AND(E712=1,L712=1),AJ712,"")</f>
        <v>4.6</v>
      </c>
      <c r="AS712" s="34" t="str">
        <f>IF(AND(E712=1,L712=0),AJ712,"")</f>
        <v/>
      </c>
      <c r="AT712" s="34">
        <f>IF(AND(E712=1,L712=1),AI712,"")</f>
        <v>0.5</v>
      </c>
      <c r="AU712" s="34" t="str">
        <f>IF(AND(E712=1,L712=0),AI712,"")</f>
        <v/>
      </c>
      <c r="AV712" s="34">
        <f>IF(AND(E712=1,L712=1),AG712,"")</f>
        <v>10.3</v>
      </c>
      <c r="AW712" s="34" t="str">
        <f>IF(AND(E712=1,L712=0),AG712,"")</f>
        <v/>
      </c>
      <c r="AX712" s="34">
        <f>IF(AND(E712=1,L712=1),AH712,"")</f>
        <v>9.4</v>
      </c>
      <c r="AY712" s="34" t="str">
        <f>IF(AND(E712=1,L712=0),AH712,"")</f>
        <v/>
      </c>
      <c r="AZ712" s="34" t="str">
        <f>IF(G712=1,F712,"")</f>
        <v/>
      </c>
      <c r="BA712" s="34" t="str">
        <f>IF(AND(G712=1,L712=1),F712,"")</f>
        <v/>
      </c>
      <c r="BB712" s="34" t="str">
        <f>IF(AND(G712=1,L712=0),F712,"")</f>
        <v/>
      </c>
      <c r="BC712" s="33">
        <f>IF(E712=1,IF(Orders!R709&gt;3,1,0),"")</f>
        <v>0</v>
      </c>
      <c r="BD712" s="33">
        <f>IF(E712=1,IF(Orders!R709&gt;7,1,0),"")</f>
        <v>0</v>
      </c>
      <c r="BE712" s="32" t="str">
        <f>IF(E712=1,IF(Orders!L709&lt;=1.5,"Up to 1.5 km",IF(Orders!L709&lt;=3,"1.5–3 km","Over 3 km")),"")</f>
        <v>1.5–3 km</v>
      </c>
      <c r="BF712" s="33">
        <f>IF(E712=1,IF(ABS((Orders!G709-Orders!F709)*1440-Orders!R709)&lt;0.06,1,0),"")</f>
        <v>1</v>
      </c>
      <c r="BG712" s="33">
        <f>IF(ABS((Orders!F709-Orders!E709)*1440-Orders!P709)&lt;0.06,1,0)</f>
        <v>1</v>
      </c>
      <c r="BH712" s="33">
        <f>IF(E712=1,IF(IF(Orders!S709,1,0)=1-G712,1,0),"")</f>
        <v>1</v>
      </c>
      <c r="BI712" s="32" t="str">
        <f>INDEX(Stores!$B$2:$B$21,MATCH(B712,Stores!$A$2:$A$21,0))</f>
        <v>Pune</v>
      </c>
    </row>
    <row r="713">
      <c r="A713" s="32" t="str">
        <f>Orders!A710</f>
        <v>O00709</v>
      </c>
      <c r="B713" s="32" t="str">
        <f>Orders!C710</f>
        <v>S014</v>
      </c>
      <c r="C713" s="32" t="str">
        <f>Orders!B710</f>
        <v>C0112</v>
      </c>
      <c r="D713" s="32" t="str">
        <f>Orders!H710</f>
        <v>Delivered</v>
      </c>
      <c r="E713" s="33">
        <f>IF(Orders!H710="Delivered",1,0)</f>
        <v>1</v>
      </c>
      <c r="F713" s="34">
        <f>IF(E713=1,Orders!R710,"")</f>
        <v>-0.8</v>
      </c>
      <c r="G713" s="33">
        <f>IF(E713=1,IF(Orders!R710&gt;0,1,0),"")</f>
        <v>0</v>
      </c>
      <c r="H713" s="33">
        <f>IF(E713=1,IF(Orders!R710&gt;5,1,0),"")</f>
        <v>0</v>
      </c>
      <c r="I713" s="32" t="str">
        <f>IF(E713=1,"",IF(OR(Orders!T710="Rider unavailable",Orders!T710="Item unavailable"),"Company-caused","Unresolved"))</f>
        <v/>
      </c>
      <c r="J713" s="33">
        <f>IF(OR(E713=1,I713="Company-caused"),1,0)</f>
        <v>1</v>
      </c>
      <c r="K713" s="32" t="str">
        <f>IF(E713=0,IF(I713="Company-caused",IF(Orders!T710="Rider unavailable","C1 Rider unavailable","C2 Item unavailable"),"Outside root: unresolved"),IF(G713=0,"A On time",IF(H713=1,IF(L713=1,"B2a Severe, peak","B2b Severe, off-peak"),IF(L713=1,"B1a Slight, peak","B1b Slight, off-peak"))))</f>
        <v>A On time</v>
      </c>
      <c r="L713" s="33">
        <f>IF(AND(Orders!U710&gt;=19,Orders!U710&lt;22),1,0)</f>
        <v>0</v>
      </c>
      <c r="M713" s="33">
        <f>IF(L713=IF(Orders!V710,1,0),1,0)</f>
        <v>1</v>
      </c>
      <c r="N713" s="32" t="str">
        <f>IF(Orders!W710="","None",Orders!W710)</f>
        <v>None</v>
      </c>
      <c r="O713" s="35">
        <f>INT(Orders!E710)</f>
        <v>46277.0</v>
      </c>
      <c r="P713" s="33">
        <f>Orders!U710</f>
        <v>15</v>
      </c>
      <c r="Q713" s="33">
        <f>COUNTIFS(Demand!$A$2:$A$4481,B713,Demand!$B$2:$B$4481,O713,Demand!$C$2:$C$4481,P713)</f>
        <v>1</v>
      </c>
      <c r="R713" s="33">
        <f>IF(Q713=1,SUMIFS(Demand!$E$2:$E$4481,Demand!$A$2:$A$4481,B713,Demand!$B$2:$B$4481,O713,Demand!$C$2:$C$4481,P713),"")</f>
        <v>22</v>
      </c>
      <c r="S713" s="33">
        <f>INDEX(Stores!$G$2:$G$21,MATCH(B713,Stores!$A$2:$A$21,0))</f>
        <v>37</v>
      </c>
      <c r="T713" s="34">
        <f>IF(R713="","",R713/S713)</f>
        <v>0.594594594594595</v>
      </c>
      <c r="U713" s="34">
        <f>IF(E713=1,T713,"")</f>
        <v>0.594594594594595</v>
      </c>
      <c r="V713" s="34">
        <f>IF(AND(E713=1,L713=0),T713,"")</f>
        <v>0.594594594594595</v>
      </c>
      <c r="W713" s="33">
        <f>IF(U713="","",IF(U713&lt;=Breakdowns!$C$5,1,IF(U713&lt;=Breakdowns!$C$6,2,IF(U713&lt;=Breakdowns!$C$7,3,4))))</f>
        <v>1</v>
      </c>
      <c r="X713" s="33">
        <f>IF(V713="","",IF(V713&lt;=Breakdowns!$D$5,1,IF(V713&lt;=Breakdowns!$D$6,2,IF(V713&lt;=Breakdowns!$D$7,3,4))))</f>
        <v>1</v>
      </c>
      <c r="Y713" s="34">
        <f>INDEX(Stores!$F$2:$F$21,MATCH(B713,Stores!$A$2:$A$21,0))</f>
        <v>5.55</v>
      </c>
      <c r="Z713" s="33">
        <f>IF(Y713&gt;Store_Summary!$M$2,1,0)</f>
        <v>1</v>
      </c>
      <c r="AA713" s="33">
        <f>INDEX(Stores!$C$2:$C$21,MATCH(B713,Stores!$A$2:$A$21,0))</f>
        <v>241</v>
      </c>
      <c r="AB713" s="33">
        <f>IF(AA713&lt;180,1,0)</f>
        <v>0</v>
      </c>
      <c r="AC713" s="32" t="str">
        <f>IF(Orders!D710="","",INDEX(Riders!$C$2:$C$81,MATCH(Orders!D710,Riders!$A$2:$A$81,0)))</f>
        <v>Petrol scooter</v>
      </c>
      <c r="AD713" s="33">
        <f>IF(Orders!D710="","",INDEX(Riders!$D$2:$D$81,MATCH(Orders!D710,Riders!$A$2:$A$81,0)))</f>
        <v>6</v>
      </c>
      <c r="AE713" s="33">
        <f>IF(Orders!D710="","",IF(INDEX(Riders!$B$2:$B$81,MATCH(Orders!D710,Riders!$A$2:$A$81,0))=B713,1,0))</f>
        <v>0</v>
      </c>
      <c r="AF713" s="34">
        <f>IF(E713=1,Orders!L710,"")</f>
        <v>3.3</v>
      </c>
      <c r="AG713" s="34">
        <f>IF(E713=1,Orders!P710,"")</f>
        <v>10.5</v>
      </c>
      <c r="AH713" s="34">
        <f>IF(E713=1,Orders!Q710,"")</f>
        <v>9.7</v>
      </c>
      <c r="AI713" s="34">
        <f>IF(E713=1,Orders!M710,"")</f>
        <v>3.5</v>
      </c>
      <c r="AJ713" s="34">
        <f>IF(E713=1,Orders!N710,"")</f>
        <v>0</v>
      </c>
      <c r="AK713" s="34">
        <f>IF(E713=1,Orders!O710,"")</f>
        <v>6.2</v>
      </c>
      <c r="AL713" s="33">
        <f>IF(E713=1,IF(ROUND(ABS(AI713+AJ713+AK713-AH713),6)&lt;=0.1,1,0),"")</f>
        <v>1</v>
      </c>
      <c r="AM713" s="36">
        <f>IF(E713=1,AI713/AH713,"")</f>
        <v>0.360824742268041</v>
      </c>
      <c r="AN713" s="36">
        <f>IF(E713=1,AJ713/AH713,"")</f>
        <v>0</v>
      </c>
      <c r="AO713" s="36">
        <f>IF(E713=1,AK713/AH713,"")</f>
        <v>0.639175257731959</v>
      </c>
      <c r="AP713" s="34">
        <f>IF(E713=1,Orders!Y710,"")</f>
        <v>0.46</v>
      </c>
      <c r="AQ713" s="33">
        <f>IF(Orders!X710,1,0)</f>
        <v>0</v>
      </c>
      <c r="AR713" s="34" t="str">
        <f>IF(AND(E713=1,L713=1),AJ713,"")</f>
        <v/>
      </c>
      <c r="AS713" s="34">
        <f>IF(AND(E713=1,L713=0),AJ713,"")</f>
        <v>0</v>
      </c>
      <c r="AT713" s="34" t="str">
        <f>IF(AND(E713=1,L713=1),AI713,"")</f>
        <v/>
      </c>
      <c r="AU713" s="34">
        <f>IF(AND(E713=1,L713=0),AI713,"")</f>
        <v>3.5</v>
      </c>
      <c r="AV713" s="34" t="str">
        <f>IF(AND(E713=1,L713=1),AG713,"")</f>
        <v/>
      </c>
      <c r="AW713" s="34">
        <f>IF(AND(E713=1,L713=0),AG713,"")</f>
        <v>10.5</v>
      </c>
      <c r="AX713" s="34" t="str">
        <f>IF(AND(E713=1,L713=1),AH713,"")</f>
        <v/>
      </c>
      <c r="AY713" s="34">
        <f>IF(AND(E713=1,L713=0),AH713,"")</f>
        <v>9.7</v>
      </c>
      <c r="AZ713" s="34" t="str">
        <f>IF(G713=1,F713,"")</f>
        <v/>
      </c>
      <c r="BA713" s="34" t="str">
        <f>IF(AND(G713=1,L713=1),F713,"")</f>
        <v/>
      </c>
      <c r="BB713" s="34" t="str">
        <f>IF(AND(G713=1,L713=0),F713,"")</f>
        <v/>
      </c>
      <c r="BC713" s="33">
        <f>IF(E713=1,IF(Orders!R710&gt;3,1,0),"")</f>
        <v>0</v>
      </c>
      <c r="BD713" s="33">
        <f>IF(E713=1,IF(Orders!R710&gt;7,1,0),"")</f>
        <v>0</v>
      </c>
      <c r="BE713" s="32" t="str">
        <f>IF(E713=1,IF(Orders!L710&lt;=1.5,"Up to 1.5 km",IF(Orders!L710&lt;=3,"1.5–3 km","Over 3 km")),"")</f>
        <v>Over 3 km</v>
      </c>
      <c r="BF713" s="33">
        <f>IF(E713=1,IF(ABS((Orders!G710-Orders!F710)*1440-Orders!R710)&lt;0.06,1,0),"")</f>
        <v>1</v>
      </c>
      <c r="BG713" s="33">
        <f>IF(ABS((Orders!F710-Orders!E710)*1440-Orders!P710)&lt;0.06,1,0)</f>
        <v>1</v>
      </c>
      <c r="BH713" s="33">
        <f>IF(E713=1,IF(IF(Orders!S710,1,0)=1-G713,1,0),"")</f>
        <v>1</v>
      </c>
      <c r="BI713" s="32" t="str">
        <f>INDEX(Stores!$B$2:$B$21,MATCH(B713,Stores!$A$2:$A$21,0))</f>
        <v>Pune</v>
      </c>
    </row>
    <row r="714">
      <c r="A714" s="32" t="str">
        <f>Orders!A711</f>
        <v>O00710</v>
      </c>
      <c r="B714" s="32" t="str">
        <f>Orders!C711</f>
        <v>S011</v>
      </c>
      <c r="C714" s="32" t="str">
        <f>Orders!B711</f>
        <v>C0072</v>
      </c>
      <c r="D714" s="32" t="str">
        <f>Orders!H711</f>
        <v>Delivered</v>
      </c>
      <c r="E714" s="33">
        <f>IF(Orders!H711="Delivered",1,0)</f>
        <v>1</v>
      </c>
      <c r="F714" s="34">
        <f>IF(E714=1,Orders!R711,"")</f>
        <v>-1</v>
      </c>
      <c r="G714" s="33">
        <f>IF(E714=1,IF(Orders!R711&gt;0,1,0),"")</f>
        <v>0</v>
      </c>
      <c r="H714" s="33">
        <f>IF(E714=1,IF(Orders!R711&gt;5,1,0),"")</f>
        <v>0</v>
      </c>
      <c r="I714" s="32" t="str">
        <f>IF(E714=1,"",IF(OR(Orders!T711="Rider unavailable",Orders!T711="Item unavailable"),"Company-caused","Unresolved"))</f>
        <v/>
      </c>
      <c r="J714" s="33">
        <f>IF(OR(E714=1,I714="Company-caused"),1,0)</f>
        <v>1</v>
      </c>
      <c r="K714" s="32" t="str">
        <f>IF(E714=0,IF(I714="Company-caused",IF(Orders!T711="Rider unavailable","C1 Rider unavailable","C2 Item unavailable"),"Outside root: unresolved"),IF(G714=0,"A On time",IF(H714=1,IF(L714=1,"B2a Severe, peak","B2b Severe, off-peak"),IF(L714=1,"B1a Slight, peak","B1b Slight, off-peak"))))</f>
        <v>A On time</v>
      </c>
      <c r="L714" s="33">
        <f>IF(AND(Orders!U711&gt;=19,Orders!U711&lt;22),1,0)</f>
        <v>0</v>
      </c>
      <c r="M714" s="33">
        <f>IF(L714=IF(Orders!V711,1,0),1,0)</f>
        <v>1</v>
      </c>
      <c r="N714" s="32" t="str">
        <f>IF(Orders!W711="","None",Orders!W711)</f>
        <v>None</v>
      </c>
      <c r="O714" s="35">
        <f>INT(Orders!E711)</f>
        <v>46267.0</v>
      </c>
      <c r="P714" s="33">
        <f>Orders!U711</f>
        <v>18</v>
      </c>
      <c r="Q714" s="33">
        <f>COUNTIFS(Demand!$A$2:$A$4481,B714,Demand!$B$2:$B$4481,O714,Demand!$C$2:$C$4481,P714)</f>
        <v>1</v>
      </c>
      <c r="R714" s="33">
        <f>IF(Q714=1,SUMIFS(Demand!$E$2:$E$4481,Demand!$A$2:$A$4481,B714,Demand!$B$2:$B$4481,O714,Demand!$C$2:$C$4481,P714),"")</f>
        <v>30</v>
      </c>
      <c r="S714" s="33">
        <f>INDEX(Stores!$G$2:$G$21,MATCH(B714,Stores!$A$2:$A$21,0))</f>
        <v>31</v>
      </c>
      <c r="T714" s="34">
        <f>IF(R714="","",R714/S714)</f>
        <v>0.967741935483871</v>
      </c>
      <c r="U714" s="34">
        <f>IF(E714=1,T714,"")</f>
        <v>0.967741935483871</v>
      </c>
      <c r="V714" s="34">
        <f>IF(AND(E714=1,L714=0),T714,"")</f>
        <v>0.967741935483871</v>
      </c>
      <c r="W714" s="33">
        <f>IF(U714="","",IF(U714&lt;=Breakdowns!$C$5,1,IF(U714&lt;=Breakdowns!$C$6,2,IF(U714&lt;=Breakdowns!$C$7,3,4))))</f>
        <v>2</v>
      </c>
      <c r="X714" s="33">
        <f>IF(V714="","",IF(V714&lt;=Breakdowns!$D$5,1,IF(V714&lt;=Breakdowns!$D$6,2,IF(V714&lt;=Breakdowns!$D$7,3,4))))</f>
        <v>3</v>
      </c>
      <c r="Y714" s="34">
        <f>INDEX(Stores!$F$2:$F$21,MATCH(B714,Stores!$A$2:$A$21,0))</f>
        <v>5.67</v>
      </c>
      <c r="Z714" s="33">
        <f>IF(Y714&gt;Store_Summary!$M$2,1,0)</f>
        <v>1</v>
      </c>
      <c r="AA714" s="33">
        <f>INDEX(Stores!$C$2:$C$21,MATCH(B714,Stores!$A$2:$A$21,0))</f>
        <v>732</v>
      </c>
      <c r="AB714" s="33">
        <f>IF(AA714&lt;180,1,0)</f>
        <v>0</v>
      </c>
      <c r="AC714" s="32" t="str">
        <f>IF(Orders!D711="","",INDEX(Riders!$C$2:$C$81,MATCH(Orders!D711,Riders!$A$2:$A$81,0)))</f>
        <v>Petrol scooter</v>
      </c>
      <c r="AD714" s="33">
        <f>IF(Orders!D711="","",INDEX(Riders!$D$2:$D$81,MATCH(Orders!D711,Riders!$A$2:$A$81,0)))</f>
        <v>37</v>
      </c>
      <c r="AE714" s="33">
        <f>IF(Orders!D711="","",IF(INDEX(Riders!$B$2:$B$81,MATCH(Orders!D711,Riders!$A$2:$A$81,0))=B714,1,0))</f>
        <v>0</v>
      </c>
      <c r="AF714" s="34">
        <f>IF(E714=1,Orders!L711,"")</f>
        <v>1.72</v>
      </c>
      <c r="AG714" s="34">
        <f>IF(E714=1,Orders!P711,"")</f>
        <v>10.4</v>
      </c>
      <c r="AH714" s="34">
        <f>IF(E714=1,Orders!Q711,"")</f>
        <v>9.4</v>
      </c>
      <c r="AI714" s="34">
        <f>IF(E714=1,Orders!M711,"")</f>
        <v>3.9</v>
      </c>
      <c r="AJ714" s="34">
        <f>IF(E714=1,Orders!N711,"")</f>
        <v>2.5</v>
      </c>
      <c r="AK714" s="34">
        <f>IF(E714=1,Orders!O711,"")</f>
        <v>3</v>
      </c>
      <c r="AL714" s="33">
        <f>IF(E714=1,IF(ROUND(ABS(AI714+AJ714+AK714-AH714),6)&lt;=0.1,1,0),"")</f>
        <v>1</v>
      </c>
      <c r="AM714" s="36">
        <f>IF(E714=1,AI714/AH714,"")</f>
        <v>0.414893617021277</v>
      </c>
      <c r="AN714" s="36">
        <f>IF(E714=1,AJ714/AH714,"")</f>
        <v>0.265957446808511</v>
      </c>
      <c r="AO714" s="36">
        <f>IF(E714=1,AK714/AH714,"")</f>
        <v>0.319148936170213</v>
      </c>
      <c r="AP714" s="34">
        <f>IF(E714=1,Orders!Y711,"")</f>
        <v>0.48</v>
      </c>
      <c r="AQ714" s="33">
        <f>IF(Orders!X711,1,0)</f>
        <v>0</v>
      </c>
      <c r="AR714" s="34" t="str">
        <f>IF(AND(E714=1,L714=1),AJ714,"")</f>
        <v/>
      </c>
      <c r="AS714" s="34">
        <f>IF(AND(E714=1,L714=0),AJ714,"")</f>
        <v>2.5</v>
      </c>
      <c r="AT714" s="34" t="str">
        <f>IF(AND(E714=1,L714=1),AI714,"")</f>
        <v/>
      </c>
      <c r="AU714" s="34">
        <f>IF(AND(E714=1,L714=0),AI714,"")</f>
        <v>3.9</v>
      </c>
      <c r="AV714" s="34" t="str">
        <f>IF(AND(E714=1,L714=1),AG714,"")</f>
        <v/>
      </c>
      <c r="AW714" s="34">
        <f>IF(AND(E714=1,L714=0),AG714,"")</f>
        <v>10.4</v>
      </c>
      <c r="AX714" s="34" t="str">
        <f>IF(AND(E714=1,L714=1),AH714,"")</f>
        <v/>
      </c>
      <c r="AY714" s="34">
        <f>IF(AND(E714=1,L714=0),AH714,"")</f>
        <v>9.4</v>
      </c>
      <c r="AZ714" s="34" t="str">
        <f>IF(G714=1,F714,"")</f>
        <v/>
      </c>
      <c r="BA714" s="34" t="str">
        <f>IF(AND(G714=1,L714=1),F714,"")</f>
        <v/>
      </c>
      <c r="BB714" s="34" t="str">
        <f>IF(AND(G714=1,L714=0),F714,"")</f>
        <v/>
      </c>
      <c r="BC714" s="33">
        <f>IF(E714=1,IF(Orders!R711&gt;3,1,0),"")</f>
        <v>0</v>
      </c>
      <c r="BD714" s="33">
        <f>IF(E714=1,IF(Orders!R711&gt;7,1,0),"")</f>
        <v>0</v>
      </c>
      <c r="BE714" s="32" t="str">
        <f>IF(E714=1,IF(Orders!L711&lt;=1.5,"Up to 1.5 km",IF(Orders!L711&lt;=3,"1.5–3 km","Over 3 km")),"")</f>
        <v>1.5–3 km</v>
      </c>
      <c r="BF714" s="33">
        <f>IF(E714=1,IF(ABS((Orders!G711-Orders!F711)*1440-Orders!R711)&lt;0.06,1,0),"")</f>
        <v>1</v>
      </c>
      <c r="BG714" s="33">
        <f>IF(ABS((Orders!F711-Orders!E711)*1440-Orders!P711)&lt;0.06,1,0)</f>
        <v>1</v>
      </c>
      <c r="BH714" s="33">
        <f>IF(E714=1,IF(IF(Orders!S711,1,0)=1-G714,1,0),"")</f>
        <v>1</v>
      </c>
      <c r="BI714" s="32" t="str">
        <f>INDEX(Stores!$B$2:$B$21,MATCH(B714,Stores!$A$2:$A$21,0))</f>
        <v>Bengaluru</v>
      </c>
    </row>
    <row r="715">
      <c r="A715" s="32" t="str">
        <f>Orders!A712</f>
        <v>O00711</v>
      </c>
      <c r="B715" s="32" t="str">
        <f>Orders!C712</f>
        <v>S017</v>
      </c>
      <c r="C715" s="32" t="str">
        <f>Orders!B712</f>
        <v>C0173</v>
      </c>
      <c r="D715" s="32" t="str">
        <f>Orders!H712</f>
        <v>Delivered</v>
      </c>
      <c r="E715" s="33">
        <f>IF(Orders!H712="Delivered",1,0)</f>
        <v>1</v>
      </c>
      <c r="F715" s="34">
        <f>IF(E715=1,Orders!R712,"")</f>
        <v>-4.5</v>
      </c>
      <c r="G715" s="33">
        <f>IF(E715=1,IF(Orders!R712&gt;0,1,0),"")</f>
        <v>0</v>
      </c>
      <c r="H715" s="33">
        <f>IF(E715=1,IF(Orders!R712&gt;5,1,0),"")</f>
        <v>0</v>
      </c>
      <c r="I715" s="32" t="str">
        <f>IF(E715=1,"",IF(OR(Orders!T712="Rider unavailable",Orders!T712="Item unavailable"),"Company-caused","Unresolved"))</f>
        <v/>
      </c>
      <c r="J715" s="33">
        <f>IF(OR(E715=1,I715="Company-caused"),1,0)</f>
        <v>1</v>
      </c>
      <c r="K715" s="32" t="str">
        <f>IF(E715=0,IF(I715="Company-caused",IF(Orders!T712="Rider unavailable","C1 Rider unavailable","C2 Item unavailable"),"Outside root: unresolved"),IF(G715=0,"A On time",IF(H715=1,IF(L715=1,"B2a Severe, peak","B2b Severe, off-peak"),IF(L715=1,"B1a Slight, peak","B1b Slight, off-peak"))))</f>
        <v>A On time</v>
      </c>
      <c r="L715" s="33">
        <f>IF(AND(Orders!U712&gt;=19,Orders!U712&lt;22),1,0)</f>
        <v>0</v>
      </c>
      <c r="M715" s="33">
        <f>IF(L715=IF(Orders!V712,1,0),1,0)</f>
        <v>1</v>
      </c>
      <c r="N715" s="32" t="str">
        <f>IF(Orders!W712="","None",Orders!W712)</f>
        <v>None</v>
      </c>
      <c r="O715" s="35">
        <f>INT(Orders!E712)</f>
        <v>46269.0</v>
      </c>
      <c r="P715" s="33">
        <f>Orders!U712</f>
        <v>14</v>
      </c>
      <c r="Q715" s="33">
        <f>COUNTIFS(Demand!$A$2:$A$4481,B715,Demand!$B$2:$B$4481,O715,Demand!$C$2:$C$4481,P715)</f>
        <v>1</v>
      </c>
      <c r="R715" s="33">
        <f>IF(Q715=1,SUMIFS(Demand!$E$2:$E$4481,Demand!$A$2:$A$4481,B715,Demand!$B$2:$B$4481,O715,Demand!$C$2:$C$4481,P715),"")</f>
        <v>37</v>
      </c>
      <c r="S715" s="33">
        <f>INDEX(Stores!$G$2:$G$21,MATCH(B715,Stores!$A$2:$A$21,0))</f>
        <v>36</v>
      </c>
      <c r="T715" s="34">
        <f>IF(R715="","",R715/S715)</f>
        <v>1.02777777777778</v>
      </c>
      <c r="U715" s="34">
        <f>IF(E715=1,T715,"")</f>
        <v>1.02777777777778</v>
      </c>
      <c r="V715" s="34">
        <f>IF(AND(E715=1,L715=0),T715,"")</f>
        <v>1.02777777777778</v>
      </c>
      <c r="W715" s="33">
        <f>IF(U715="","",IF(U715&lt;=Breakdowns!$C$5,1,IF(U715&lt;=Breakdowns!$C$6,2,IF(U715&lt;=Breakdowns!$C$7,3,4))))</f>
        <v>3</v>
      </c>
      <c r="X715" s="33">
        <f>IF(V715="","",IF(V715&lt;=Breakdowns!$D$5,1,IF(V715&lt;=Breakdowns!$D$6,2,IF(V715&lt;=Breakdowns!$D$7,3,4))))</f>
        <v>3</v>
      </c>
      <c r="Y715" s="34">
        <f>INDEX(Stores!$F$2:$F$21,MATCH(B715,Stores!$A$2:$A$21,0))</f>
        <v>2.16</v>
      </c>
      <c r="Z715" s="33">
        <f>IF(Y715&gt;Store_Summary!$M$2,1,0)</f>
        <v>0</v>
      </c>
      <c r="AA715" s="33">
        <f>INDEX(Stores!$C$2:$C$21,MATCH(B715,Stores!$A$2:$A$21,0))</f>
        <v>47</v>
      </c>
      <c r="AB715" s="33">
        <f>IF(AA715&lt;180,1,0)</f>
        <v>1</v>
      </c>
      <c r="AC715" s="32" t="str">
        <f>IF(Orders!D712="","",INDEX(Riders!$C$2:$C$81,MATCH(Orders!D712,Riders!$A$2:$A$81,0)))</f>
        <v>Petrol scooter</v>
      </c>
      <c r="AD715" s="33">
        <f>IF(Orders!D712="","",INDEX(Riders!$D$2:$D$81,MATCH(Orders!D712,Riders!$A$2:$A$81,0)))</f>
        <v>43</v>
      </c>
      <c r="AE715" s="33">
        <f>IF(Orders!D712="","",IF(INDEX(Riders!$B$2:$B$81,MATCH(Orders!D712,Riders!$A$2:$A$81,0))=B715,1,0))</f>
        <v>0</v>
      </c>
      <c r="AF715" s="34">
        <f>IF(E715=1,Orders!L712,"")</f>
        <v>0.84</v>
      </c>
      <c r="AG715" s="34">
        <f>IF(E715=1,Orders!P712,"")</f>
        <v>9.6</v>
      </c>
      <c r="AH715" s="34">
        <f>IF(E715=1,Orders!Q712,"")</f>
        <v>5.1</v>
      </c>
      <c r="AI715" s="34">
        <f>IF(E715=1,Orders!M712,"")</f>
        <v>1.5</v>
      </c>
      <c r="AJ715" s="34">
        <f>IF(E715=1,Orders!N712,"")</f>
        <v>0.8</v>
      </c>
      <c r="AK715" s="34">
        <f>IF(E715=1,Orders!O712,"")</f>
        <v>2.8</v>
      </c>
      <c r="AL715" s="33">
        <f>IF(E715=1,IF(ROUND(ABS(AI715+AJ715+AK715-AH715),6)&lt;=0.1,1,0),"")</f>
        <v>1</v>
      </c>
      <c r="AM715" s="36">
        <f>IF(E715=1,AI715/AH715,"")</f>
        <v>0.294117647058824</v>
      </c>
      <c r="AN715" s="36">
        <f>IF(E715=1,AJ715/AH715,"")</f>
        <v>0.156862745098039</v>
      </c>
      <c r="AO715" s="36">
        <f>IF(E715=1,AK715/AH715,"")</f>
        <v>0.549019607843137</v>
      </c>
      <c r="AP715" s="34">
        <f>IF(E715=1,Orders!Y712,"")</f>
        <v>0.24</v>
      </c>
      <c r="AQ715" s="33">
        <f>IF(Orders!X712,1,0)</f>
        <v>0</v>
      </c>
      <c r="AR715" s="34" t="str">
        <f>IF(AND(E715=1,L715=1),AJ715,"")</f>
        <v/>
      </c>
      <c r="AS715" s="34">
        <f>IF(AND(E715=1,L715=0),AJ715,"")</f>
        <v>0.8</v>
      </c>
      <c r="AT715" s="34" t="str">
        <f>IF(AND(E715=1,L715=1),AI715,"")</f>
        <v/>
      </c>
      <c r="AU715" s="34">
        <f>IF(AND(E715=1,L715=0),AI715,"")</f>
        <v>1.5</v>
      </c>
      <c r="AV715" s="34" t="str">
        <f>IF(AND(E715=1,L715=1),AG715,"")</f>
        <v/>
      </c>
      <c r="AW715" s="34">
        <f>IF(AND(E715=1,L715=0),AG715,"")</f>
        <v>9.6</v>
      </c>
      <c r="AX715" s="34" t="str">
        <f>IF(AND(E715=1,L715=1),AH715,"")</f>
        <v/>
      </c>
      <c r="AY715" s="34">
        <f>IF(AND(E715=1,L715=0),AH715,"")</f>
        <v>5.1</v>
      </c>
      <c r="AZ715" s="34" t="str">
        <f>IF(G715=1,F715,"")</f>
        <v/>
      </c>
      <c r="BA715" s="34" t="str">
        <f>IF(AND(G715=1,L715=1),F715,"")</f>
        <v/>
      </c>
      <c r="BB715" s="34" t="str">
        <f>IF(AND(G715=1,L715=0),F715,"")</f>
        <v/>
      </c>
      <c r="BC715" s="33">
        <f>IF(E715=1,IF(Orders!R712&gt;3,1,0),"")</f>
        <v>0</v>
      </c>
      <c r="BD715" s="33">
        <f>IF(E715=1,IF(Orders!R712&gt;7,1,0),"")</f>
        <v>0</v>
      </c>
      <c r="BE715" s="32" t="str">
        <f>IF(E715=1,IF(Orders!L712&lt;=1.5,"Up to 1.5 km",IF(Orders!L712&lt;=3,"1.5–3 km","Over 3 km")),"")</f>
        <v>Up to 1.5 km</v>
      </c>
      <c r="BF715" s="33">
        <f>IF(E715=1,IF(ABS((Orders!G712-Orders!F712)*1440-Orders!R712)&lt;0.06,1,0),"")</f>
        <v>1</v>
      </c>
      <c r="BG715" s="33">
        <f>IF(ABS((Orders!F712-Orders!E712)*1440-Orders!P712)&lt;0.06,1,0)</f>
        <v>1</v>
      </c>
      <c r="BH715" s="33">
        <f>IF(E715=1,IF(IF(Orders!S712,1,0)=1-G715,1,0),"")</f>
        <v>1</v>
      </c>
      <c r="BI715" s="32" t="str">
        <f>INDEX(Stores!$B$2:$B$21,MATCH(B715,Stores!$A$2:$A$21,0))</f>
        <v>Hyderabad</v>
      </c>
    </row>
    <row r="716">
      <c r="A716" s="32" t="str">
        <f>Orders!A713</f>
        <v>O00712</v>
      </c>
      <c r="B716" s="32" t="str">
        <f>Orders!C713</f>
        <v>S009</v>
      </c>
      <c r="C716" s="32" t="str">
        <f>Orders!B713</f>
        <v>C0018</v>
      </c>
      <c r="D716" s="32" t="str">
        <f>Orders!H713</f>
        <v>Delivered</v>
      </c>
      <c r="E716" s="33">
        <f>IF(Orders!H713="Delivered",1,0)</f>
        <v>1</v>
      </c>
      <c r="F716" s="34">
        <f>IF(E716=1,Orders!R713,"")</f>
        <v>-0.5</v>
      </c>
      <c r="G716" s="33">
        <f>IF(E716=1,IF(Orders!R713&gt;0,1,0),"")</f>
        <v>0</v>
      </c>
      <c r="H716" s="33">
        <f>IF(E716=1,IF(Orders!R713&gt;5,1,0),"")</f>
        <v>0</v>
      </c>
      <c r="I716" s="32" t="str">
        <f>IF(E716=1,"",IF(OR(Orders!T713="Rider unavailable",Orders!T713="Item unavailable"),"Company-caused","Unresolved"))</f>
        <v/>
      </c>
      <c r="J716" s="33">
        <f>IF(OR(E716=1,I716="Company-caused"),1,0)</f>
        <v>1</v>
      </c>
      <c r="K716" s="32" t="str">
        <f>IF(E716=0,IF(I716="Company-caused",IF(Orders!T713="Rider unavailable","C1 Rider unavailable","C2 Item unavailable"),"Outside root: unresolved"),IF(G716=0,"A On time",IF(H716=1,IF(L716=1,"B2a Severe, peak","B2b Severe, off-peak"),IF(L716=1,"B1a Slight, peak","B1b Slight, off-peak"))))</f>
        <v>A On time</v>
      </c>
      <c r="L716" s="33">
        <f>IF(AND(Orders!U713&gt;=19,Orders!U713&lt;22),1,0)</f>
        <v>0</v>
      </c>
      <c r="M716" s="33">
        <f>IF(L716=IF(Orders!V713,1,0),1,0)</f>
        <v>1</v>
      </c>
      <c r="N716" s="32" t="str">
        <f>IF(Orders!W713="","None",Orders!W713)</f>
        <v>None</v>
      </c>
      <c r="O716" s="35">
        <f>INT(Orders!E713)</f>
        <v>46270.0</v>
      </c>
      <c r="P716" s="33">
        <f>Orders!U713</f>
        <v>13</v>
      </c>
      <c r="Q716" s="33">
        <f>COUNTIFS(Demand!$A$2:$A$4481,B716,Demand!$B$2:$B$4481,O716,Demand!$C$2:$C$4481,P716)</f>
        <v>1</v>
      </c>
      <c r="R716" s="33">
        <f>IF(Q716=1,SUMIFS(Demand!$E$2:$E$4481,Demand!$A$2:$A$4481,B716,Demand!$B$2:$B$4481,O716,Demand!$C$2:$C$4481,P716),"")</f>
        <v>31</v>
      </c>
      <c r="S716" s="33">
        <f>INDEX(Stores!$G$2:$G$21,MATCH(B716,Stores!$A$2:$A$21,0))</f>
        <v>29</v>
      </c>
      <c r="T716" s="34">
        <f>IF(R716="","",R716/S716)</f>
        <v>1.06896551724138</v>
      </c>
      <c r="U716" s="34">
        <f>IF(E716=1,T716,"")</f>
        <v>1.06896551724138</v>
      </c>
      <c r="V716" s="34">
        <f>IF(AND(E716=1,L716=0),T716,"")</f>
        <v>1.06896551724138</v>
      </c>
      <c r="W716" s="33">
        <f>IF(U716="","",IF(U716&lt;=Breakdowns!$C$5,1,IF(U716&lt;=Breakdowns!$C$6,2,IF(U716&lt;=Breakdowns!$C$7,3,4))))</f>
        <v>3</v>
      </c>
      <c r="X716" s="33">
        <f>IF(V716="","",IF(V716&lt;=Breakdowns!$D$5,1,IF(V716&lt;=Breakdowns!$D$6,2,IF(V716&lt;=Breakdowns!$D$7,3,4))))</f>
        <v>4</v>
      </c>
      <c r="Y716" s="34">
        <f>INDEX(Stores!$F$2:$F$21,MATCH(B716,Stores!$A$2:$A$21,0))</f>
        <v>2.66</v>
      </c>
      <c r="Z716" s="33">
        <f>IF(Y716&gt;Store_Summary!$M$2,1,0)</f>
        <v>0</v>
      </c>
      <c r="AA716" s="33">
        <f>INDEX(Stores!$C$2:$C$21,MATCH(B716,Stores!$A$2:$A$21,0))</f>
        <v>645</v>
      </c>
      <c r="AB716" s="33">
        <f>IF(AA716&lt;180,1,0)</f>
        <v>0</v>
      </c>
      <c r="AC716" s="32" t="str">
        <f>IF(Orders!D713="","",INDEX(Riders!$C$2:$C$81,MATCH(Orders!D713,Riders!$A$2:$A$81,0)))</f>
        <v>EV scooter</v>
      </c>
      <c r="AD716" s="33">
        <f>IF(Orders!D713="","",INDEX(Riders!$D$2:$D$81,MATCH(Orders!D713,Riders!$A$2:$A$81,0)))</f>
        <v>18</v>
      </c>
      <c r="AE716" s="33">
        <f>IF(Orders!D713="","",IF(INDEX(Riders!$B$2:$B$81,MATCH(Orders!D713,Riders!$A$2:$A$81,0))=B716,1,0))</f>
        <v>0</v>
      </c>
      <c r="AF716" s="34">
        <f>IF(E716=1,Orders!L713,"")</f>
        <v>0.59</v>
      </c>
      <c r="AG716" s="34">
        <f>IF(E716=1,Orders!P713,"")</f>
        <v>9.3</v>
      </c>
      <c r="AH716" s="34">
        <f>IF(E716=1,Orders!Q713,"")</f>
        <v>8.8</v>
      </c>
      <c r="AI716" s="34">
        <f>IF(E716=1,Orders!M713,"")</f>
        <v>2.4</v>
      </c>
      <c r="AJ716" s="34">
        <f>IF(E716=1,Orders!N713,"")</f>
        <v>3.5</v>
      </c>
      <c r="AK716" s="34">
        <f>IF(E716=1,Orders!O713,"")</f>
        <v>2.8</v>
      </c>
      <c r="AL716" s="33">
        <f>IF(E716=1,IF(ROUND(ABS(AI716+AJ716+AK716-AH716),6)&lt;=0.1,1,0),"")</f>
        <v>1</v>
      </c>
      <c r="AM716" s="36">
        <f>IF(E716=1,AI716/AH716,"")</f>
        <v>0.272727272727273</v>
      </c>
      <c r="AN716" s="36">
        <f>IF(E716=1,AJ716/AH716,"")</f>
        <v>0.397727272727273</v>
      </c>
      <c r="AO716" s="36">
        <f>IF(E716=1,AK716/AH716,"")</f>
        <v>0.318181818181818</v>
      </c>
      <c r="AP716" s="34">
        <f>IF(E716=1,Orders!Y713,"")</f>
        <v>0.56</v>
      </c>
      <c r="AQ716" s="33">
        <f>IF(Orders!X713,1,0)</f>
        <v>0</v>
      </c>
      <c r="AR716" s="34" t="str">
        <f>IF(AND(E716=1,L716=1),AJ716,"")</f>
        <v/>
      </c>
      <c r="AS716" s="34">
        <f>IF(AND(E716=1,L716=0),AJ716,"")</f>
        <v>3.5</v>
      </c>
      <c r="AT716" s="34" t="str">
        <f>IF(AND(E716=1,L716=1),AI716,"")</f>
        <v/>
      </c>
      <c r="AU716" s="34">
        <f>IF(AND(E716=1,L716=0),AI716,"")</f>
        <v>2.4</v>
      </c>
      <c r="AV716" s="34" t="str">
        <f>IF(AND(E716=1,L716=1),AG716,"")</f>
        <v/>
      </c>
      <c r="AW716" s="34">
        <f>IF(AND(E716=1,L716=0),AG716,"")</f>
        <v>9.3</v>
      </c>
      <c r="AX716" s="34" t="str">
        <f>IF(AND(E716=1,L716=1),AH716,"")</f>
        <v/>
      </c>
      <c r="AY716" s="34">
        <f>IF(AND(E716=1,L716=0),AH716,"")</f>
        <v>8.8</v>
      </c>
      <c r="AZ716" s="34" t="str">
        <f>IF(G716=1,F716,"")</f>
        <v/>
      </c>
      <c r="BA716" s="34" t="str">
        <f>IF(AND(G716=1,L716=1),F716,"")</f>
        <v/>
      </c>
      <c r="BB716" s="34" t="str">
        <f>IF(AND(G716=1,L716=0),F716,"")</f>
        <v/>
      </c>
      <c r="BC716" s="33">
        <f>IF(E716=1,IF(Orders!R713&gt;3,1,0),"")</f>
        <v>0</v>
      </c>
      <c r="BD716" s="33">
        <f>IF(E716=1,IF(Orders!R713&gt;7,1,0),"")</f>
        <v>0</v>
      </c>
      <c r="BE716" s="32" t="str">
        <f>IF(E716=1,IF(Orders!L713&lt;=1.5,"Up to 1.5 km",IF(Orders!L713&lt;=3,"1.5–3 km","Over 3 km")),"")</f>
        <v>Up to 1.5 km</v>
      </c>
      <c r="BF716" s="33">
        <f>IF(E716=1,IF(ABS((Orders!G713-Orders!F713)*1440-Orders!R713)&lt;0.06,1,0),"")</f>
        <v>1</v>
      </c>
      <c r="BG716" s="33">
        <f>IF(ABS((Orders!F713-Orders!E713)*1440-Orders!P713)&lt;0.06,1,0)</f>
        <v>1</v>
      </c>
      <c r="BH716" s="33">
        <f>IF(E716=1,IF(IF(Orders!S713,1,0)=1-G716,1,0),"")</f>
        <v>1</v>
      </c>
      <c r="BI716" s="32" t="str">
        <f>INDEX(Stores!$B$2:$B$21,MATCH(B716,Stores!$A$2:$A$21,0))</f>
        <v>Pune</v>
      </c>
    </row>
    <row r="717">
      <c r="A717" s="32" t="str">
        <f>Orders!A714</f>
        <v>O00713</v>
      </c>
      <c r="B717" s="32" t="str">
        <f>Orders!C714</f>
        <v>S001</v>
      </c>
      <c r="C717" s="32" t="str">
        <f>Orders!B714</f>
        <v>C0226</v>
      </c>
      <c r="D717" s="32" t="str">
        <f>Orders!H714</f>
        <v>Delivered</v>
      </c>
      <c r="E717" s="33">
        <f>IF(Orders!H714="Delivered",1,0)</f>
        <v>1</v>
      </c>
      <c r="F717" s="34">
        <f>IF(E717=1,Orders!R714,"")</f>
        <v>-1</v>
      </c>
      <c r="G717" s="33">
        <f>IF(E717=1,IF(Orders!R714&gt;0,1,0),"")</f>
        <v>0</v>
      </c>
      <c r="H717" s="33">
        <f>IF(E717=1,IF(Orders!R714&gt;5,1,0),"")</f>
        <v>0</v>
      </c>
      <c r="I717" s="32" t="str">
        <f>IF(E717=1,"",IF(OR(Orders!T714="Rider unavailable",Orders!T714="Item unavailable"),"Company-caused","Unresolved"))</f>
        <v/>
      </c>
      <c r="J717" s="33">
        <f>IF(OR(E717=1,I717="Company-caused"),1,0)</f>
        <v>1</v>
      </c>
      <c r="K717" s="32" t="str">
        <f>IF(E717=0,IF(I717="Company-caused",IF(Orders!T714="Rider unavailable","C1 Rider unavailable","C2 Item unavailable"),"Outside root: unresolved"),IF(G717=0,"A On time",IF(H717=1,IF(L717=1,"B2a Severe, peak","B2b Severe, off-peak"),IF(L717=1,"B1a Slight, peak","B1b Slight, off-peak"))))</f>
        <v>A On time</v>
      </c>
      <c r="L717" s="33">
        <f>IF(AND(Orders!U714&gt;=19,Orders!U714&lt;22),1,0)</f>
        <v>0</v>
      </c>
      <c r="M717" s="33">
        <f>IF(L717=IF(Orders!V714,1,0),1,0)</f>
        <v>1</v>
      </c>
      <c r="N717" s="32" t="str">
        <f>IF(Orders!W714="","None",Orders!W714)</f>
        <v>Heavy</v>
      </c>
      <c r="O717" s="35">
        <f>INT(Orders!E714)</f>
        <v>46268.0</v>
      </c>
      <c r="P717" s="33">
        <f>Orders!U714</f>
        <v>10</v>
      </c>
      <c r="Q717" s="33">
        <f>COUNTIFS(Demand!$A$2:$A$4481,B717,Demand!$B$2:$B$4481,O717,Demand!$C$2:$C$4481,P717)</f>
        <v>1</v>
      </c>
      <c r="R717" s="33">
        <f>IF(Q717=1,SUMIFS(Demand!$E$2:$E$4481,Demand!$A$2:$A$4481,B717,Demand!$B$2:$B$4481,O717,Demand!$C$2:$C$4481,P717),"")</f>
        <v>12</v>
      </c>
      <c r="S717" s="33">
        <f>INDEX(Stores!$G$2:$G$21,MATCH(B717,Stores!$A$2:$A$21,0))</f>
        <v>16</v>
      </c>
      <c r="T717" s="34">
        <f>IF(R717="","",R717/S717)</f>
        <v>0.75</v>
      </c>
      <c r="U717" s="34">
        <f>IF(E717=1,T717,"")</f>
        <v>0.75</v>
      </c>
      <c r="V717" s="34">
        <f>IF(AND(E717=1,L717=0),T717,"")</f>
        <v>0.75</v>
      </c>
      <c r="W717" s="33">
        <f>IF(U717="","",IF(U717&lt;=Breakdowns!$C$5,1,IF(U717&lt;=Breakdowns!$C$6,2,IF(U717&lt;=Breakdowns!$C$7,3,4))))</f>
        <v>1</v>
      </c>
      <c r="X717" s="33">
        <f>IF(V717="","",IF(V717&lt;=Breakdowns!$D$5,1,IF(V717&lt;=Breakdowns!$D$6,2,IF(V717&lt;=Breakdowns!$D$7,3,4))))</f>
        <v>1</v>
      </c>
      <c r="Y717" s="34">
        <f>INDEX(Stores!$F$2:$F$21,MATCH(B717,Stores!$A$2:$A$21,0))</f>
        <v>4.59</v>
      </c>
      <c r="Z717" s="33">
        <f>IF(Y717&gt;Store_Summary!$M$2,1,0)</f>
        <v>0</v>
      </c>
      <c r="AA717" s="33">
        <f>INDEX(Stores!$C$2:$C$21,MATCH(B717,Stores!$A$2:$A$21,0))</f>
        <v>362</v>
      </c>
      <c r="AB717" s="33">
        <f>IF(AA717&lt;180,1,0)</f>
        <v>0</v>
      </c>
      <c r="AC717" s="32" t="str">
        <f>IF(Orders!D714="","",INDEX(Riders!$C$2:$C$81,MATCH(Orders!D714,Riders!$A$2:$A$81,0)))</f>
        <v>EV scooter</v>
      </c>
      <c r="AD717" s="33">
        <f>IF(Orders!D714="","",INDEX(Riders!$D$2:$D$81,MATCH(Orders!D714,Riders!$A$2:$A$81,0)))</f>
        <v>1</v>
      </c>
      <c r="AE717" s="33">
        <f>IF(Orders!D714="","",IF(INDEX(Riders!$B$2:$B$81,MATCH(Orders!D714,Riders!$A$2:$A$81,0))=B717,1,0))</f>
        <v>0</v>
      </c>
      <c r="AF717" s="34">
        <f>IF(E717=1,Orders!L714,"")</f>
        <v>1.69</v>
      </c>
      <c r="AG717" s="34">
        <f>IF(E717=1,Orders!P714,"")</f>
        <v>9.8</v>
      </c>
      <c r="AH717" s="34">
        <f>IF(E717=1,Orders!Q714,"")</f>
        <v>8.8</v>
      </c>
      <c r="AI717" s="34">
        <f>IF(E717=1,Orders!M714,"")</f>
        <v>2.9</v>
      </c>
      <c r="AJ717" s="34">
        <f>IF(E717=1,Orders!N714,"")</f>
        <v>2.4</v>
      </c>
      <c r="AK717" s="34">
        <f>IF(E717=1,Orders!O714,"")</f>
        <v>3.5</v>
      </c>
      <c r="AL717" s="33">
        <f>IF(E717=1,IF(ROUND(ABS(AI717+AJ717+AK717-AH717),6)&lt;=0.1,1,0),"")</f>
        <v>1</v>
      </c>
      <c r="AM717" s="36">
        <f>IF(E717=1,AI717/AH717,"")</f>
        <v>0.329545454545455</v>
      </c>
      <c r="AN717" s="36">
        <f>IF(E717=1,AJ717/AH717,"")</f>
        <v>0.272727272727273</v>
      </c>
      <c r="AO717" s="36">
        <f>IF(E717=1,AK717/AH717,"")</f>
        <v>0.397727272727273</v>
      </c>
      <c r="AP717" s="34">
        <f>IF(E717=1,Orders!Y714,"")</f>
        <v>0.44</v>
      </c>
      <c r="AQ717" s="33">
        <f>IF(Orders!X714,1,0)</f>
        <v>0</v>
      </c>
      <c r="AR717" s="34" t="str">
        <f>IF(AND(E717=1,L717=1),AJ717,"")</f>
        <v/>
      </c>
      <c r="AS717" s="34">
        <f>IF(AND(E717=1,L717=0),AJ717,"")</f>
        <v>2.4</v>
      </c>
      <c r="AT717" s="34" t="str">
        <f>IF(AND(E717=1,L717=1),AI717,"")</f>
        <v/>
      </c>
      <c r="AU717" s="34">
        <f>IF(AND(E717=1,L717=0),AI717,"")</f>
        <v>2.9</v>
      </c>
      <c r="AV717" s="34" t="str">
        <f>IF(AND(E717=1,L717=1),AG717,"")</f>
        <v/>
      </c>
      <c r="AW717" s="34">
        <f>IF(AND(E717=1,L717=0),AG717,"")</f>
        <v>9.8</v>
      </c>
      <c r="AX717" s="34" t="str">
        <f>IF(AND(E717=1,L717=1),AH717,"")</f>
        <v/>
      </c>
      <c r="AY717" s="34">
        <f>IF(AND(E717=1,L717=0),AH717,"")</f>
        <v>8.8</v>
      </c>
      <c r="AZ717" s="34" t="str">
        <f>IF(G717=1,F717,"")</f>
        <v/>
      </c>
      <c r="BA717" s="34" t="str">
        <f>IF(AND(G717=1,L717=1),F717,"")</f>
        <v/>
      </c>
      <c r="BB717" s="34" t="str">
        <f>IF(AND(G717=1,L717=0),F717,"")</f>
        <v/>
      </c>
      <c r="BC717" s="33">
        <f>IF(E717=1,IF(Orders!R714&gt;3,1,0),"")</f>
        <v>0</v>
      </c>
      <c r="BD717" s="33">
        <f>IF(E717=1,IF(Orders!R714&gt;7,1,0),"")</f>
        <v>0</v>
      </c>
      <c r="BE717" s="32" t="str">
        <f>IF(E717=1,IF(Orders!L714&lt;=1.5,"Up to 1.5 km",IF(Orders!L714&lt;=3,"1.5–3 km","Over 3 km")),"")</f>
        <v>1.5–3 km</v>
      </c>
      <c r="BF717" s="33">
        <f>IF(E717=1,IF(ABS((Orders!G714-Orders!F714)*1440-Orders!R714)&lt;0.06,1,0),"")</f>
        <v>1</v>
      </c>
      <c r="BG717" s="33">
        <f>IF(ABS((Orders!F714-Orders!E714)*1440-Orders!P714)&lt;0.06,1,0)</f>
        <v>1</v>
      </c>
      <c r="BH717" s="33">
        <f>IF(E717=1,IF(IF(Orders!S714,1,0)=1-G717,1,0),"")</f>
        <v>1</v>
      </c>
      <c r="BI717" s="32" t="str">
        <f>INDEX(Stores!$B$2:$B$21,MATCH(B717,Stores!$A$2:$A$21,0))</f>
        <v>Bengaluru</v>
      </c>
    </row>
    <row r="718">
      <c r="A718" s="32" t="str">
        <f>Orders!A715</f>
        <v>O00714</v>
      </c>
      <c r="B718" s="32" t="str">
        <f>Orders!C715</f>
        <v>S020</v>
      </c>
      <c r="C718" s="32" t="str">
        <f>Orders!B715</f>
        <v>C0045</v>
      </c>
      <c r="D718" s="32" t="str">
        <f>Orders!H715</f>
        <v>Delivered</v>
      </c>
      <c r="E718" s="33">
        <f>IF(Orders!H715="Delivered",1,0)</f>
        <v>1</v>
      </c>
      <c r="F718" s="34">
        <f>IF(E718=1,Orders!R715,"")</f>
        <v>6.2</v>
      </c>
      <c r="G718" s="33">
        <f>IF(E718=1,IF(Orders!R715&gt;0,1,0),"")</f>
        <v>1</v>
      </c>
      <c r="H718" s="33">
        <f>IF(E718=1,IF(Orders!R715&gt;5,1,0),"")</f>
        <v>1</v>
      </c>
      <c r="I718" s="32" t="str">
        <f>IF(E718=1,"",IF(OR(Orders!T715="Rider unavailable",Orders!T715="Item unavailable"),"Company-caused","Unresolved"))</f>
        <v/>
      </c>
      <c r="J718" s="33">
        <f>IF(OR(E718=1,I718="Company-caused"),1,0)</f>
        <v>1</v>
      </c>
      <c r="K718" s="32" t="str">
        <f>IF(E718=0,IF(I718="Company-caused",IF(Orders!T715="Rider unavailable","C1 Rider unavailable","C2 Item unavailable"),"Outside root: unresolved"),IF(G718=0,"A On time",IF(H718=1,IF(L718=1,"B2a Severe, peak","B2b Severe, off-peak"),IF(L718=1,"B1a Slight, peak","B1b Slight, off-peak"))))</f>
        <v>B2b Severe, off-peak</v>
      </c>
      <c r="L718" s="33">
        <f>IF(AND(Orders!U715&gt;=19,Orders!U715&lt;22),1,0)</f>
        <v>0</v>
      </c>
      <c r="M718" s="33">
        <f>IF(L718=IF(Orders!V715,1,0),1,0)</f>
        <v>1</v>
      </c>
      <c r="N718" s="32" t="str">
        <f>IF(Orders!W715="","None",Orders!W715)</f>
        <v>None</v>
      </c>
      <c r="O718" s="35">
        <f>INT(Orders!E715)</f>
        <v>46271.0</v>
      </c>
      <c r="P718" s="33">
        <f>Orders!U715</f>
        <v>12</v>
      </c>
      <c r="Q718" s="33">
        <f>COUNTIFS(Demand!$A$2:$A$4481,B718,Demand!$B$2:$B$4481,O718,Demand!$C$2:$C$4481,P718)</f>
        <v>1</v>
      </c>
      <c r="R718" s="33">
        <f>IF(Q718=1,SUMIFS(Demand!$E$2:$E$4481,Demand!$A$2:$A$4481,B718,Demand!$B$2:$B$4481,O718,Demand!$C$2:$C$4481,P718),"")</f>
        <v>14</v>
      </c>
      <c r="S718" s="33">
        <f>INDEX(Stores!$G$2:$G$21,MATCH(B718,Stores!$A$2:$A$21,0))</f>
        <v>15</v>
      </c>
      <c r="T718" s="34">
        <f>IF(R718="","",R718/S718)</f>
        <v>0.933333333333333</v>
      </c>
      <c r="U718" s="34">
        <f>IF(E718=1,T718,"")</f>
        <v>0.933333333333333</v>
      </c>
      <c r="V718" s="34">
        <f>IF(AND(E718=1,L718=0),T718,"")</f>
        <v>0.933333333333333</v>
      </c>
      <c r="W718" s="33">
        <f>IF(U718="","",IF(U718&lt;=Breakdowns!$C$5,1,IF(U718&lt;=Breakdowns!$C$6,2,IF(U718&lt;=Breakdowns!$C$7,3,4))))</f>
        <v>2</v>
      </c>
      <c r="X718" s="33">
        <f>IF(V718="","",IF(V718&lt;=Breakdowns!$D$5,1,IF(V718&lt;=Breakdowns!$D$6,2,IF(V718&lt;=Breakdowns!$D$7,3,4))))</f>
        <v>3</v>
      </c>
      <c r="Y718" s="34">
        <f>INDEX(Stores!$F$2:$F$21,MATCH(B718,Stores!$A$2:$A$21,0))</f>
        <v>5.74</v>
      </c>
      <c r="Z718" s="33">
        <f>IF(Y718&gt;Store_Summary!$M$2,1,0)</f>
        <v>1</v>
      </c>
      <c r="AA718" s="33">
        <f>INDEX(Stores!$C$2:$C$21,MATCH(B718,Stores!$A$2:$A$21,0))</f>
        <v>647</v>
      </c>
      <c r="AB718" s="33">
        <f>IF(AA718&lt;180,1,0)</f>
        <v>0</v>
      </c>
      <c r="AC718" s="32" t="str">
        <f>IF(Orders!D715="","",INDEX(Riders!$C$2:$C$81,MATCH(Orders!D715,Riders!$A$2:$A$81,0)))</f>
        <v>Petrol scooter</v>
      </c>
      <c r="AD718" s="33">
        <f>IF(Orders!D715="","",INDEX(Riders!$D$2:$D$81,MATCH(Orders!D715,Riders!$A$2:$A$81,0)))</f>
        <v>24</v>
      </c>
      <c r="AE718" s="33">
        <f>IF(Orders!D715="","",IF(INDEX(Riders!$B$2:$B$81,MATCH(Orders!D715,Riders!$A$2:$A$81,0))=B718,1,0))</f>
        <v>0</v>
      </c>
      <c r="AF718" s="34">
        <f>IF(E718=1,Orders!L715,"")</f>
        <v>3.63</v>
      </c>
      <c r="AG718" s="34">
        <f>IF(E718=1,Orders!P715,"")</f>
        <v>9.7</v>
      </c>
      <c r="AH718" s="34">
        <f>IF(E718=1,Orders!Q715,"")</f>
        <v>15.9</v>
      </c>
      <c r="AI718" s="34">
        <f>IF(E718=1,Orders!M715,"")</f>
        <v>4.9</v>
      </c>
      <c r="AJ718" s="34">
        <f>IF(E718=1,Orders!N715,"")</f>
        <v>2.7</v>
      </c>
      <c r="AK718" s="34">
        <f>IF(E718=1,Orders!O715,"")</f>
        <v>8.4</v>
      </c>
      <c r="AL718" s="33">
        <f>IF(E718=1,IF(ROUND(ABS(AI718+AJ718+AK718-AH718),6)&lt;=0.1,1,0),"")</f>
        <v>1</v>
      </c>
      <c r="AM718" s="36">
        <f>IF(E718=1,AI718/AH718,"")</f>
        <v>0.308176100628931</v>
      </c>
      <c r="AN718" s="36">
        <f>IF(E718=1,AJ718/AH718,"")</f>
        <v>0.169811320754717</v>
      </c>
      <c r="AO718" s="36">
        <f>IF(E718=1,AK718/AH718,"")</f>
        <v>0.528301886792453</v>
      </c>
      <c r="AP718" s="34">
        <f>IF(E718=1,Orders!Y715,"")</f>
        <v>0.52</v>
      </c>
      <c r="AQ718" s="33">
        <f>IF(Orders!X715,1,0)</f>
        <v>0</v>
      </c>
      <c r="AR718" s="34" t="str">
        <f>IF(AND(E718=1,L718=1),AJ718,"")</f>
        <v/>
      </c>
      <c r="AS718" s="34">
        <f>IF(AND(E718=1,L718=0),AJ718,"")</f>
        <v>2.7</v>
      </c>
      <c r="AT718" s="34" t="str">
        <f>IF(AND(E718=1,L718=1),AI718,"")</f>
        <v/>
      </c>
      <c r="AU718" s="34">
        <f>IF(AND(E718=1,L718=0),AI718,"")</f>
        <v>4.9</v>
      </c>
      <c r="AV718" s="34" t="str">
        <f>IF(AND(E718=1,L718=1),AG718,"")</f>
        <v/>
      </c>
      <c r="AW718" s="34">
        <f>IF(AND(E718=1,L718=0),AG718,"")</f>
        <v>9.7</v>
      </c>
      <c r="AX718" s="34" t="str">
        <f>IF(AND(E718=1,L718=1),AH718,"")</f>
        <v/>
      </c>
      <c r="AY718" s="34">
        <f>IF(AND(E718=1,L718=0),AH718,"")</f>
        <v>15.9</v>
      </c>
      <c r="AZ718" s="34">
        <f>IF(G718=1,F718,"")</f>
        <v>6.2</v>
      </c>
      <c r="BA718" s="34" t="str">
        <f>IF(AND(G718=1,L718=1),F718,"")</f>
        <v/>
      </c>
      <c r="BB718" s="34">
        <f>IF(AND(G718=1,L718=0),F718,"")</f>
        <v>6.2</v>
      </c>
      <c r="BC718" s="33">
        <f>IF(E718=1,IF(Orders!R715&gt;3,1,0),"")</f>
        <v>1</v>
      </c>
      <c r="BD718" s="33">
        <f>IF(E718=1,IF(Orders!R715&gt;7,1,0),"")</f>
        <v>0</v>
      </c>
      <c r="BE718" s="32" t="str">
        <f>IF(E718=1,IF(Orders!L715&lt;=1.5,"Up to 1.5 km",IF(Orders!L715&lt;=3,"1.5–3 km","Over 3 km")),"")</f>
        <v>Over 3 km</v>
      </c>
      <c r="BF718" s="33">
        <f>IF(E718=1,IF(ABS((Orders!G715-Orders!F715)*1440-Orders!R715)&lt;0.06,1,0),"")</f>
        <v>1</v>
      </c>
      <c r="BG718" s="33">
        <f>IF(ABS((Orders!F715-Orders!E715)*1440-Orders!P715)&lt;0.06,1,0)</f>
        <v>1</v>
      </c>
      <c r="BH718" s="33">
        <f>IF(E718=1,IF(IF(Orders!S715,1,0)=1-G718,1,0),"")</f>
        <v>1</v>
      </c>
      <c r="BI718" s="32" t="str">
        <f>INDEX(Stores!$B$2:$B$21,MATCH(B718,Stores!$A$2:$A$21,0))</f>
        <v>Delhi</v>
      </c>
    </row>
    <row r="719">
      <c r="A719" s="32" t="str">
        <f>Orders!A716</f>
        <v>O00715</v>
      </c>
      <c r="B719" s="32" t="str">
        <f>Orders!C716</f>
        <v>S001</v>
      </c>
      <c r="C719" s="32" t="str">
        <f>Orders!B716</f>
        <v>C0160</v>
      </c>
      <c r="D719" s="32" t="str">
        <f>Orders!H716</f>
        <v>Delivered</v>
      </c>
      <c r="E719" s="33">
        <f>IF(Orders!H716="Delivered",1,0)</f>
        <v>1</v>
      </c>
      <c r="F719" s="34">
        <f>IF(E719=1,Orders!R716,"")</f>
        <v>-0.8</v>
      </c>
      <c r="G719" s="33">
        <f>IF(E719=1,IF(Orders!R716&gt;0,1,0),"")</f>
        <v>0</v>
      </c>
      <c r="H719" s="33">
        <f>IF(E719=1,IF(Orders!R716&gt;5,1,0),"")</f>
        <v>0</v>
      </c>
      <c r="I719" s="32" t="str">
        <f>IF(E719=1,"",IF(OR(Orders!T716="Rider unavailable",Orders!T716="Item unavailable"),"Company-caused","Unresolved"))</f>
        <v/>
      </c>
      <c r="J719" s="33">
        <f>IF(OR(E719=1,I719="Company-caused"),1,0)</f>
        <v>1</v>
      </c>
      <c r="K719" s="32" t="str">
        <f>IF(E719=0,IF(I719="Company-caused",IF(Orders!T716="Rider unavailable","C1 Rider unavailable","C2 Item unavailable"),"Outside root: unresolved"),IF(G719=0,"A On time",IF(H719=1,IF(L719=1,"B2a Severe, peak","B2b Severe, off-peak"),IF(L719=1,"B1a Slight, peak","B1b Slight, off-peak"))))</f>
        <v>A On time</v>
      </c>
      <c r="L719" s="33">
        <f>IF(AND(Orders!U716&gt;=19,Orders!U716&lt;22),1,0)</f>
        <v>1</v>
      </c>
      <c r="M719" s="33">
        <f>IF(L719=IF(Orders!V716,1,0),1,0)</f>
        <v>1</v>
      </c>
      <c r="N719" s="32" t="str">
        <f>IF(Orders!W716="","None",Orders!W716)</f>
        <v>None</v>
      </c>
      <c r="O719" s="35">
        <f>INT(Orders!E716)</f>
        <v>46275.0</v>
      </c>
      <c r="P719" s="33">
        <f>Orders!U716</f>
        <v>20</v>
      </c>
      <c r="Q719" s="33">
        <f>COUNTIFS(Demand!$A$2:$A$4481,B719,Demand!$B$2:$B$4481,O719,Demand!$C$2:$C$4481,P719)</f>
        <v>1</v>
      </c>
      <c r="R719" s="33">
        <f>IF(Q719=1,SUMIFS(Demand!$E$2:$E$4481,Demand!$A$2:$A$4481,B719,Demand!$B$2:$B$4481,O719,Demand!$C$2:$C$4481,P719),"")</f>
        <v>25</v>
      </c>
      <c r="S719" s="33">
        <f>INDEX(Stores!$G$2:$G$21,MATCH(B719,Stores!$A$2:$A$21,0))</f>
        <v>16</v>
      </c>
      <c r="T719" s="34">
        <f>IF(R719="","",R719/S719)</f>
        <v>1.5625</v>
      </c>
      <c r="U719" s="34">
        <f>IF(E719=1,T719,"")</f>
        <v>1.5625</v>
      </c>
      <c r="V719" s="34" t="str">
        <f>IF(AND(E719=1,L719=0),T719,"")</f>
        <v/>
      </c>
      <c r="W719" s="33">
        <f>IF(U719="","",IF(U719&lt;=Breakdowns!$C$5,1,IF(U719&lt;=Breakdowns!$C$6,2,IF(U719&lt;=Breakdowns!$C$7,3,4))))</f>
        <v>4</v>
      </c>
      <c r="X719" s="33" t="str">
        <f>IF(V719="","",IF(V719&lt;=Breakdowns!$D$5,1,IF(V719&lt;=Breakdowns!$D$6,2,IF(V719&lt;=Breakdowns!$D$7,3,4))))</f>
        <v/>
      </c>
      <c r="Y719" s="34">
        <f>INDEX(Stores!$F$2:$F$21,MATCH(B719,Stores!$A$2:$A$21,0))</f>
        <v>4.59</v>
      </c>
      <c r="Z719" s="33">
        <f>IF(Y719&gt;Store_Summary!$M$2,1,0)</f>
        <v>0</v>
      </c>
      <c r="AA719" s="33">
        <f>INDEX(Stores!$C$2:$C$21,MATCH(B719,Stores!$A$2:$A$21,0))</f>
        <v>362</v>
      </c>
      <c r="AB719" s="33">
        <f>IF(AA719&lt;180,1,0)</f>
        <v>0</v>
      </c>
      <c r="AC719" s="32" t="str">
        <f>IF(Orders!D716="","",INDEX(Riders!$C$2:$C$81,MATCH(Orders!D716,Riders!$A$2:$A$81,0)))</f>
        <v>EV scooter</v>
      </c>
      <c r="AD719" s="33">
        <f>IF(Orders!D716="","",INDEX(Riders!$D$2:$D$81,MATCH(Orders!D716,Riders!$A$2:$A$81,0)))</f>
        <v>38</v>
      </c>
      <c r="AE719" s="33">
        <f>IF(Orders!D716="","",IF(INDEX(Riders!$B$2:$B$81,MATCH(Orders!D716,Riders!$A$2:$A$81,0))=B719,1,0))</f>
        <v>0</v>
      </c>
      <c r="AF719" s="34">
        <f>IF(E719=1,Orders!L716,"")</f>
        <v>2.58</v>
      </c>
      <c r="AG719" s="34">
        <f>IF(E719=1,Orders!P716,"")</f>
        <v>10.6</v>
      </c>
      <c r="AH719" s="34">
        <f>IF(E719=1,Orders!Q716,"")</f>
        <v>9.8</v>
      </c>
      <c r="AI719" s="34">
        <f>IF(E719=1,Orders!M716,"")</f>
        <v>2.2</v>
      </c>
      <c r="AJ719" s="34">
        <f>IF(E719=1,Orders!N716,"")</f>
        <v>4.3</v>
      </c>
      <c r="AK719" s="34">
        <f>IF(E719=1,Orders!O716,"")</f>
        <v>3.3</v>
      </c>
      <c r="AL719" s="33">
        <f>IF(E719=1,IF(ROUND(ABS(AI719+AJ719+AK719-AH719),6)&lt;=0.1,1,0),"")</f>
        <v>1</v>
      </c>
      <c r="AM719" s="36">
        <f>IF(E719=1,AI719/AH719,"")</f>
        <v>0.224489795918367</v>
      </c>
      <c r="AN719" s="36">
        <f>IF(E719=1,AJ719/AH719,"")</f>
        <v>0.438775510204082</v>
      </c>
      <c r="AO719" s="36">
        <f>IF(E719=1,AK719/AH719,"")</f>
        <v>0.336734693877551</v>
      </c>
      <c r="AP719" s="34">
        <f>IF(E719=1,Orders!Y716,"")</f>
        <v>0.55</v>
      </c>
      <c r="AQ719" s="33">
        <f>IF(Orders!X716,1,0)</f>
        <v>0</v>
      </c>
      <c r="AR719" s="34">
        <f>IF(AND(E719=1,L719=1),AJ719,"")</f>
        <v>4.3</v>
      </c>
      <c r="AS719" s="34" t="str">
        <f>IF(AND(E719=1,L719=0),AJ719,"")</f>
        <v/>
      </c>
      <c r="AT719" s="34">
        <f>IF(AND(E719=1,L719=1),AI719,"")</f>
        <v>2.2</v>
      </c>
      <c r="AU719" s="34" t="str">
        <f>IF(AND(E719=1,L719=0),AI719,"")</f>
        <v/>
      </c>
      <c r="AV719" s="34">
        <f>IF(AND(E719=1,L719=1),AG719,"")</f>
        <v>10.6</v>
      </c>
      <c r="AW719" s="34" t="str">
        <f>IF(AND(E719=1,L719=0),AG719,"")</f>
        <v/>
      </c>
      <c r="AX719" s="34">
        <f>IF(AND(E719=1,L719=1),AH719,"")</f>
        <v>9.8</v>
      </c>
      <c r="AY719" s="34" t="str">
        <f>IF(AND(E719=1,L719=0),AH719,"")</f>
        <v/>
      </c>
      <c r="AZ719" s="34" t="str">
        <f>IF(G719=1,F719,"")</f>
        <v/>
      </c>
      <c r="BA719" s="34" t="str">
        <f>IF(AND(G719=1,L719=1),F719,"")</f>
        <v/>
      </c>
      <c r="BB719" s="34" t="str">
        <f>IF(AND(G719=1,L719=0),F719,"")</f>
        <v/>
      </c>
      <c r="BC719" s="33">
        <f>IF(E719=1,IF(Orders!R716&gt;3,1,0),"")</f>
        <v>0</v>
      </c>
      <c r="BD719" s="33">
        <f>IF(E719=1,IF(Orders!R716&gt;7,1,0),"")</f>
        <v>0</v>
      </c>
      <c r="BE719" s="32" t="str">
        <f>IF(E719=1,IF(Orders!L716&lt;=1.5,"Up to 1.5 km",IF(Orders!L716&lt;=3,"1.5–3 km","Over 3 km")),"")</f>
        <v>1.5–3 km</v>
      </c>
      <c r="BF719" s="33">
        <f>IF(E719=1,IF(ABS((Orders!G716-Orders!F716)*1440-Orders!R716)&lt;0.06,1,0),"")</f>
        <v>1</v>
      </c>
      <c r="BG719" s="33">
        <f>IF(ABS((Orders!F716-Orders!E716)*1440-Orders!P716)&lt;0.06,1,0)</f>
        <v>1</v>
      </c>
      <c r="BH719" s="33">
        <f>IF(E719=1,IF(IF(Orders!S716,1,0)=1-G719,1,0),"")</f>
        <v>1</v>
      </c>
      <c r="BI719" s="32" t="str">
        <f>INDEX(Stores!$B$2:$B$21,MATCH(B719,Stores!$A$2:$A$21,0))</f>
        <v>Bengaluru</v>
      </c>
    </row>
    <row r="720">
      <c r="A720" s="32" t="str">
        <f>Orders!A717</f>
        <v>O00716</v>
      </c>
      <c r="B720" s="32" t="str">
        <f>Orders!C717</f>
        <v>S012</v>
      </c>
      <c r="C720" s="32" t="str">
        <f>Orders!B717</f>
        <v>C0021</v>
      </c>
      <c r="D720" s="32" t="str">
        <f>Orders!H717</f>
        <v>Delivered</v>
      </c>
      <c r="E720" s="33">
        <f>IF(Orders!H717="Delivered",1,0)</f>
        <v>1</v>
      </c>
      <c r="F720" s="34">
        <f>IF(E720=1,Orders!R717,"")</f>
        <v>1.8</v>
      </c>
      <c r="G720" s="33">
        <f>IF(E720=1,IF(Orders!R717&gt;0,1,0),"")</f>
        <v>1</v>
      </c>
      <c r="H720" s="33">
        <f>IF(E720=1,IF(Orders!R717&gt;5,1,0),"")</f>
        <v>0</v>
      </c>
      <c r="I720" s="32" t="str">
        <f>IF(E720=1,"",IF(OR(Orders!T717="Rider unavailable",Orders!T717="Item unavailable"),"Company-caused","Unresolved"))</f>
        <v/>
      </c>
      <c r="J720" s="33">
        <f>IF(OR(E720=1,I720="Company-caused"),1,0)</f>
        <v>1</v>
      </c>
      <c r="K720" s="32" t="str">
        <f>IF(E720=0,IF(I720="Company-caused",IF(Orders!T717="Rider unavailable","C1 Rider unavailable","C2 Item unavailable"),"Outside root: unresolved"),IF(G720=0,"A On time",IF(H720=1,IF(L720=1,"B2a Severe, peak","B2b Severe, off-peak"),IF(L720=1,"B1a Slight, peak","B1b Slight, off-peak"))))</f>
        <v>B1b Slight, off-peak</v>
      </c>
      <c r="L720" s="33">
        <f>IF(AND(Orders!U717&gt;=19,Orders!U717&lt;22),1,0)</f>
        <v>0</v>
      </c>
      <c r="M720" s="33">
        <f>IF(L720=IF(Orders!V717,1,0),1,0)</f>
        <v>1</v>
      </c>
      <c r="N720" s="32" t="str">
        <f>IF(Orders!W717="","None",Orders!W717)</f>
        <v>None</v>
      </c>
      <c r="O720" s="35">
        <f>INT(Orders!E717)</f>
        <v>46271.0</v>
      </c>
      <c r="P720" s="33">
        <f>Orders!U717</f>
        <v>8</v>
      </c>
      <c r="Q720" s="33">
        <f>COUNTIFS(Demand!$A$2:$A$4481,B720,Demand!$B$2:$B$4481,O720,Demand!$C$2:$C$4481,P720)</f>
        <v>1</v>
      </c>
      <c r="R720" s="33">
        <f>IF(Q720=1,SUMIFS(Demand!$E$2:$E$4481,Demand!$A$2:$A$4481,B720,Demand!$B$2:$B$4481,O720,Demand!$C$2:$C$4481,P720),"")</f>
        <v>8</v>
      </c>
      <c r="S720" s="33">
        <f>INDEX(Stores!$G$2:$G$21,MATCH(B720,Stores!$A$2:$A$21,0))</f>
        <v>15</v>
      </c>
      <c r="T720" s="34">
        <f>IF(R720="","",R720/S720)</f>
        <v>0.533333333333333</v>
      </c>
      <c r="U720" s="34">
        <f>IF(E720=1,T720,"")</f>
        <v>0.533333333333333</v>
      </c>
      <c r="V720" s="34">
        <f>IF(AND(E720=1,L720=0),T720,"")</f>
        <v>0.533333333333333</v>
      </c>
      <c r="W720" s="33">
        <f>IF(U720="","",IF(U720&lt;=Breakdowns!$C$5,1,IF(U720&lt;=Breakdowns!$C$6,2,IF(U720&lt;=Breakdowns!$C$7,3,4))))</f>
        <v>1</v>
      </c>
      <c r="X720" s="33">
        <f>IF(V720="","",IF(V720&lt;=Breakdowns!$D$5,1,IF(V720&lt;=Breakdowns!$D$6,2,IF(V720&lt;=Breakdowns!$D$7,3,4))))</f>
        <v>1</v>
      </c>
      <c r="Y720" s="34">
        <f>INDEX(Stores!$F$2:$F$21,MATCH(B720,Stores!$A$2:$A$21,0))</f>
        <v>5.23</v>
      </c>
      <c r="Z720" s="33">
        <f>IF(Y720&gt;Store_Summary!$M$2,1,0)</f>
        <v>1</v>
      </c>
      <c r="AA720" s="33">
        <f>INDEX(Stores!$C$2:$C$21,MATCH(B720,Stores!$A$2:$A$21,0))</f>
        <v>300</v>
      </c>
      <c r="AB720" s="33">
        <f>IF(AA720&lt;180,1,0)</f>
        <v>0</v>
      </c>
      <c r="AC720" s="32" t="str">
        <f>IF(Orders!D717="","",INDEX(Riders!$C$2:$C$81,MATCH(Orders!D717,Riders!$A$2:$A$81,0)))</f>
        <v>Petrol scooter</v>
      </c>
      <c r="AD720" s="33">
        <f>IF(Orders!D717="","",INDEX(Riders!$D$2:$D$81,MATCH(Orders!D717,Riders!$A$2:$A$81,0)))</f>
        <v>44</v>
      </c>
      <c r="AE720" s="33">
        <f>IF(Orders!D717="","",IF(INDEX(Riders!$B$2:$B$81,MATCH(Orders!D717,Riders!$A$2:$A$81,0))=B720,1,0))</f>
        <v>0</v>
      </c>
      <c r="AF720" s="34">
        <f>IF(E720=1,Orders!L717,"")</f>
        <v>1.14</v>
      </c>
      <c r="AG720" s="34">
        <f>IF(E720=1,Orders!P717,"")</f>
        <v>11.5</v>
      </c>
      <c r="AH720" s="34">
        <f>IF(E720=1,Orders!Q717,"")</f>
        <v>13.3</v>
      </c>
      <c r="AI720" s="34">
        <f>IF(E720=1,Orders!M717,"")</f>
        <v>6.6</v>
      </c>
      <c r="AJ720" s="34">
        <f>IF(E720=1,Orders!N717,"")</f>
        <v>3.4</v>
      </c>
      <c r="AK720" s="34">
        <f>IF(E720=1,Orders!O717,"")</f>
        <v>3.3</v>
      </c>
      <c r="AL720" s="33">
        <f>IF(E720=1,IF(ROUND(ABS(AI720+AJ720+AK720-AH720),6)&lt;=0.1,1,0),"")</f>
        <v>1</v>
      </c>
      <c r="AM720" s="36">
        <f>IF(E720=1,AI720/AH720,"")</f>
        <v>0.496240601503759</v>
      </c>
      <c r="AN720" s="36">
        <f>IF(E720=1,AJ720/AH720,"")</f>
        <v>0.255639097744361</v>
      </c>
      <c r="AO720" s="36">
        <f>IF(E720=1,AK720/AH720,"")</f>
        <v>0.24812030075188</v>
      </c>
      <c r="AP720" s="34">
        <f>IF(E720=1,Orders!Y717,"")</f>
        <v>0.38</v>
      </c>
      <c r="AQ720" s="33">
        <f>IF(Orders!X717,1,0)</f>
        <v>0</v>
      </c>
      <c r="AR720" s="34" t="str">
        <f>IF(AND(E720=1,L720=1),AJ720,"")</f>
        <v/>
      </c>
      <c r="AS720" s="34">
        <f>IF(AND(E720=1,L720=0),AJ720,"")</f>
        <v>3.4</v>
      </c>
      <c r="AT720" s="34" t="str">
        <f>IF(AND(E720=1,L720=1),AI720,"")</f>
        <v/>
      </c>
      <c r="AU720" s="34">
        <f>IF(AND(E720=1,L720=0),AI720,"")</f>
        <v>6.6</v>
      </c>
      <c r="AV720" s="34" t="str">
        <f>IF(AND(E720=1,L720=1),AG720,"")</f>
        <v/>
      </c>
      <c r="AW720" s="34">
        <f>IF(AND(E720=1,L720=0),AG720,"")</f>
        <v>11.5</v>
      </c>
      <c r="AX720" s="34" t="str">
        <f>IF(AND(E720=1,L720=1),AH720,"")</f>
        <v/>
      </c>
      <c r="AY720" s="34">
        <f>IF(AND(E720=1,L720=0),AH720,"")</f>
        <v>13.3</v>
      </c>
      <c r="AZ720" s="34">
        <f>IF(G720=1,F720,"")</f>
        <v>1.8</v>
      </c>
      <c r="BA720" s="34" t="str">
        <f>IF(AND(G720=1,L720=1),F720,"")</f>
        <v/>
      </c>
      <c r="BB720" s="34">
        <f>IF(AND(G720=1,L720=0),F720,"")</f>
        <v>1.8</v>
      </c>
      <c r="BC720" s="33">
        <f>IF(E720=1,IF(Orders!R717&gt;3,1,0),"")</f>
        <v>0</v>
      </c>
      <c r="BD720" s="33">
        <f>IF(E720=1,IF(Orders!R717&gt;7,1,0),"")</f>
        <v>0</v>
      </c>
      <c r="BE720" s="32" t="str">
        <f>IF(E720=1,IF(Orders!L717&lt;=1.5,"Up to 1.5 km",IF(Orders!L717&lt;=3,"1.5–3 km","Over 3 km")),"")</f>
        <v>Up to 1.5 km</v>
      </c>
      <c r="BF720" s="33">
        <f>IF(E720=1,IF(ABS((Orders!G717-Orders!F717)*1440-Orders!R717)&lt;0.06,1,0),"")</f>
        <v>1</v>
      </c>
      <c r="BG720" s="33">
        <f>IF(ABS((Orders!F717-Orders!E717)*1440-Orders!P717)&lt;0.06,1,0)</f>
        <v>1</v>
      </c>
      <c r="BH720" s="33">
        <f>IF(E720=1,IF(IF(Orders!S717,1,0)=1-G720,1,0),"")</f>
        <v>1</v>
      </c>
      <c r="BI720" s="32" t="str">
        <f>INDEX(Stores!$B$2:$B$21,MATCH(B720,Stores!$A$2:$A$21,0))</f>
        <v>Hyderabad</v>
      </c>
    </row>
    <row r="721">
      <c r="A721" s="32" t="str">
        <f>Orders!A718</f>
        <v>O00717</v>
      </c>
      <c r="B721" s="32" t="str">
        <f>Orders!C718</f>
        <v>S003</v>
      </c>
      <c r="C721" s="32" t="str">
        <f>Orders!B718</f>
        <v>C0129</v>
      </c>
      <c r="D721" s="32" t="str">
        <f>Orders!H718</f>
        <v>Delivered</v>
      </c>
      <c r="E721" s="33">
        <f>IF(Orders!H718="Delivered",1,0)</f>
        <v>1</v>
      </c>
      <c r="F721" s="34">
        <f>IF(E721=1,Orders!R718,"")</f>
        <v>-0.5</v>
      </c>
      <c r="G721" s="33">
        <f>IF(E721=1,IF(Orders!R718&gt;0,1,0),"")</f>
        <v>0</v>
      </c>
      <c r="H721" s="33">
        <f>IF(E721=1,IF(Orders!R718&gt;5,1,0),"")</f>
        <v>0</v>
      </c>
      <c r="I721" s="32" t="str">
        <f>IF(E721=1,"",IF(OR(Orders!T718="Rider unavailable",Orders!T718="Item unavailable"),"Company-caused","Unresolved"))</f>
        <v/>
      </c>
      <c r="J721" s="33">
        <f>IF(OR(E721=1,I721="Company-caused"),1,0)</f>
        <v>1</v>
      </c>
      <c r="K721" s="32" t="str">
        <f>IF(E721=0,IF(I721="Company-caused",IF(Orders!T718="Rider unavailable","C1 Rider unavailable","C2 Item unavailable"),"Outside root: unresolved"),IF(G721=0,"A On time",IF(H721=1,IF(L721=1,"B2a Severe, peak","B2b Severe, off-peak"),IF(L721=1,"B1a Slight, peak","B1b Slight, off-peak"))))</f>
        <v>A On time</v>
      </c>
      <c r="L721" s="33">
        <f>IF(AND(Orders!U718&gt;=19,Orders!U718&lt;22),1,0)</f>
        <v>0</v>
      </c>
      <c r="M721" s="33">
        <f>IF(L721=IF(Orders!V718,1,0),1,0)</f>
        <v>1</v>
      </c>
      <c r="N721" s="32" t="str">
        <f>IF(Orders!W718="","None",Orders!W718)</f>
        <v>None</v>
      </c>
      <c r="O721" s="35">
        <f>INT(Orders!E718)</f>
        <v>46274.0</v>
      </c>
      <c r="P721" s="33">
        <f>Orders!U718</f>
        <v>16</v>
      </c>
      <c r="Q721" s="33">
        <f>COUNTIFS(Demand!$A$2:$A$4481,B721,Demand!$B$2:$B$4481,O721,Demand!$C$2:$C$4481,P721)</f>
        <v>1</v>
      </c>
      <c r="R721" s="33">
        <f>IF(Q721=1,SUMIFS(Demand!$E$2:$E$4481,Demand!$A$2:$A$4481,B721,Demand!$B$2:$B$4481,O721,Demand!$C$2:$C$4481,P721),"")</f>
        <v>42</v>
      </c>
      <c r="S721" s="33">
        <f>INDEX(Stores!$G$2:$G$21,MATCH(B721,Stores!$A$2:$A$21,0))</f>
        <v>41</v>
      </c>
      <c r="T721" s="34">
        <f>IF(R721="","",R721/S721)</f>
        <v>1.02439024390244</v>
      </c>
      <c r="U721" s="34">
        <f>IF(E721=1,T721,"")</f>
        <v>1.02439024390244</v>
      </c>
      <c r="V721" s="34">
        <f>IF(AND(E721=1,L721=0),T721,"")</f>
        <v>1.02439024390244</v>
      </c>
      <c r="W721" s="33">
        <f>IF(U721="","",IF(U721&lt;=Breakdowns!$C$5,1,IF(U721&lt;=Breakdowns!$C$6,2,IF(U721&lt;=Breakdowns!$C$7,3,4))))</f>
        <v>3</v>
      </c>
      <c r="X721" s="33">
        <f>IF(V721="","",IF(V721&lt;=Breakdowns!$D$5,1,IF(V721&lt;=Breakdowns!$D$6,2,IF(V721&lt;=Breakdowns!$D$7,3,4))))</f>
        <v>3</v>
      </c>
      <c r="Y721" s="34">
        <f>INDEX(Stores!$F$2:$F$21,MATCH(B721,Stores!$A$2:$A$21,0))</f>
        <v>3.84</v>
      </c>
      <c r="Z721" s="33">
        <f>IF(Y721&gt;Store_Summary!$M$2,1,0)</f>
        <v>0</v>
      </c>
      <c r="AA721" s="33">
        <f>INDEX(Stores!$C$2:$C$21,MATCH(B721,Stores!$A$2:$A$21,0))</f>
        <v>426</v>
      </c>
      <c r="AB721" s="33">
        <f>IF(AA721&lt;180,1,0)</f>
        <v>0</v>
      </c>
      <c r="AC721" s="32" t="str">
        <f>IF(Orders!D718="","",INDEX(Riders!$C$2:$C$81,MATCH(Orders!D718,Riders!$A$2:$A$81,0)))</f>
        <v>Petrol scooter</v>
      </c>
      <c r="AD721" s="33">
        <f>IF(Orders!D718="","",INDEX(Riders!$D$2:$D$81,MATCH(Orders!D718,Riders!$A$2:$A$81,0)))</f>
        <v>42</v>
      </c>
      <c r="AE721" s="33">
        <f>IF(Orders!D718="","",IF(INDEX(Riders!$B$2:$B$81,MATCH(Orders!D718,Riders!$A$2:$A$81,0))=B721,1,0))</f>
        <v>0</v>
      </c>
      <c r="AF721" s="34">
        <f>IF(E721=1,Orders!L718,"")</f>
        <v>1.01</v>
      </c>
      <c r="AG721" s="34">
        <f>IF(E721=1,Orders!P718,"")</f>
        <v>10.6</v>
      </c>
      <c r="AH721" s="34">
        <f>IF(E721=1,Orders!Q718,"")</f>
        <v>10.1</v>
      </c>
      <c r="AI721" s="34">
        <f>IF(E721=1,Orders!M718,"")</f>
        <v>3.2</v>
      </c>
      <c r="AJ721" s="34">
        <f>IF(E721=1,Orders!N718,"")</f>
        <v>4.1</v>
      </c>
      <c r="AK721" s="34">
        <f>IF(E721=1,Orders!O718,"")</f>
        <v>2.8</v>
      </c>
      <c r="AL721" s="33">
        <f>IF(E721=1,IF(ROUND(ABS(AI721+AJ721+AK721-AH721),6)&lt;=0.1,1,0),"")</f>
        <v>1</v>
      </c>
      <c r="AM721" s="36">
        <f>IF(E721=1,AI721/AH721,"")</f>
        <v>0.316831683168317</v>
      </c>
      <c r="AN721" s="36">
        <f>IF(E721=1,AJ721/AH721,"")</f>
        <v>0.405940594059406</v>
      </c>
      <c r="AO721" s="36">
        <f>IF(E721=1,AK721/AH721,"")</f>
        <v>0.277227722772277</v>
      </c>
      <c r="AP721" s="34">
        <f>IF(E721=1,Orders!Y718,"")</f>
        <v>0.33</v>
      </c>
      <c r="AQ721" s="33">
        <f>IF(Orders!X718,1,0)</f>
        <v>0</v>
      </c>
      <c r="AR721" s="34" t="str">
        <f>IF(AND(E721=1,L721=1),AJ721,"")</f>
        <v/>
      </c>
      <c r="AS721" s="34">
        <f>IF(AND(E721=1,L721=0),AJ721,"")</f>
        <v>4.1</v>
      </c>
      <c r="AT721" s="34" t="str">
        <f>IF(AND(E721=1,L721=1),AI721,"")</f>
        <v/>
      </c>
      <c r="AU721" s="34">
        <f>IF(AND(E721=1,L721=0),AI721,"")</f>
        <v>3.2</v>
      </c>
      <c r="AV721" s="34" t="str">
        <f>IF(AND(E721=1,L721=1),AG721,"")</f>
        <v/>
      </c>
      <c r="AW721" s="34">
        <f>IF(AND(E721=1,L721=0),AG721,"")</f>
        <v>10.6</v>
      </c>
      <c r="AX721" s="34" t="str">
        <f>IF(AND(E721=1,L721=1),AH721,"")</f>
        <v/>
      </c>
      <c r="AY721" s="34">
        <f>IF(AND(E721=1,L721=0),AH721,"")</f>
        <v>10.1</v>
      </c>
      <c r="AZ721" s="34" t="str">
        <f>IF(G721=1,F721,"")</f>
        <v/>
      </c>
      <c r="BA721" s="34" t="str">
        <f>IF(AND(G721=1,L721=1),F721,"")</f>
        <v/>
      </c>
      <c r="BB721" s="34" t="str">
        <f>IF(AND(G721=1,L721=0),F721,"")</f>
        <v/>
      </c>
      <c r="BC721" s="33">
        <f>IF(E721=1,IF(Orders!R718&gt;3,1,0),"")</f>
        <v>0</v>
      </c>
      <c r="BD721" s="33">
        <f>IF(E721=1,IF(Orders!R718&gt;7,1,0),"")</f>
        <v>0</v>
      </c>
      <c r="BE721" s="32" t="str">
        <f>IF(E721=1,IF(Orders!L718&lt;=1.5,"Up to 1.5 km",IF(Orders!L718&lt;=3,"1.5–3 km","Over 3 km")),"")</f>
        <v>Up to 1.5 km</v>
      </c>
      <c r="BF721" s="33">
        <f>IF(E721=1,IF(ABS((Orders!G718-Orders!F718)*1440-Orders!R718)&lt;0.06,1,0),"")</f>
        <v>1</v>
      </c>
      <c r="BG721" s="33">
        <f>IF(ABS((Orders!F718-Orders!E718)*1440-Orders!P718)&lt;0.06,1,0)</f>
        <v>1</v>
      </c>
      <c r="BH721" s="33">
        <f>IF(E721=1,IF(IF(Orders!S718,1,0)=1-G721,1,0),"")</f>
        <v>1</v>
      </c>
      <c r="BI721" s="32" t="str">
        <f>INDEX(Stores!$B$2:$B$21,MATCH(B721,Stores!$A$2:$A$21,0))</f>
        <v>Mumbai</v>
      </c>
    </row>
    <row r="722">
      <c r="A722" s="32" t="str">
        <f>Orders!A719</f>
        <v>O00718</v>
      </c>
      <c r="B722" s="32" t="str">
        <f>Orders!C719</f>
        <v>S014</v>
      </c>
      <c r="C722" s="32" t="str">
        <f>Orders!B719</f>
        <v>C0170</v>
      </c>
      <c r="D722" s="32" t="str">
        <f>Orders!H719</f>
        <v>Delivered</v>
      </c>
      <c r="E722" s="33">
        <f>IF(Orders!H719="Delivered",1,0)</f>
        <v>1</v>
      </c>
      <c r="F722" s="34">
        <f>IF(E722=1,Orders!R719,"")</f>
        <v>-0.9</v>
      </c>
      <c r="G722" s="33">
        <f>IF(E722=1,IF(Orders!R719&gt;0,1,0),"")</f>
        <v>0</v>
      </c>
      <c r="H722" s="33">
        <f>IF(E722=1,IF(Orders!R719&gt;5,1,0),"")</f>
        <v>0</v>
      </c>
      <c r="I722" s="32" t="str">
        <f>IF(E722=1,"",IF(OR(Orders!T719="Rider unavailable",Orders!T719="Item unavailable"),"Company-caused","Unresolved"))</f>
        <v/>
      </c>
      <c r="J722" s="33">
        <f>IF(OR(E722=1,I722="Company-caused"),1,0)</f>
        <v>1</v>
      </c>
      <c r="K722" s="32" t="str">
        <f>IF(E722=0,IF(I722="Company-caused",IF(Orders!T719="Rider unavailable","C1 Rider unavailable","C2 Item unavailable"),"Outside root: unresolved"),IF(G722=0,"A On time",IF(H722=1,IF(L722=1,"B2a Severe, peak","B2b Severe, off-peak"),IF(L722=1,"B1a Slight, peak","B1b Slight, off-peak"))))</f>
        <v>A On time</v>
      </c>
      <c r="L722" s="33">
        <f>IF(AND(Orders!U719&gt;=19,Orders!U719&lt;22),1,0)</f>
        <v>0</v>
      </c>
      <c r="M722" s="33">
        <f>IF(L722=IF(Orders!V719,1,0),1,0)</f>
        <v>1</v>
      </c>
      <c r="N722" s="32" t="str">
        <f>IF(Orders!W719="","None",Orders!W719)</f>
        <v>None</v>
      </c>
      <c r="O722" s="35">
        <f>INT(Orders!E719)</f>
        <v>46266.0</v>
      </c>
      <c r="P722" s="33">
        <f>Orders!U719</f>
        <v>11</v>
      </c>
      <c r="Q722" s="33">
        <f>COUNTIFS(Demand!$A$2:$A$4481,B722,Demand!$B$2:$B$4481,O722,Demand!$C$2:$C$4481,P722)</f>
        <v>1</v>
      </c>
      <c r="R722" s="33">
        <f>IF(Q722=1,SUMIFS(Demand!$E$2:$E$4481,Demand!$A$2:$A$4481,B722,Demand!$B$2:$B$4481,O722,Demand!$C$2:$C$4481,P722),"")</f>
        <v>46</v>
      </c>
      <c r="S722" s="33">
        <f>INDEX(Stores!$G$2:$G$21,MATCH(B722,Stores!$A$2:$A$21,0))</f>
        <v>37</v>
      </c>
      <c r="T722" s="34">
        <f>IF(R722="","",R722/S722)</f>
        <v>1.24324324324324</v>
      </c>
      <c r="U722" s="34">
        <f>IF(E722=1,T722,"")</f>
        <v>1.24324324324324</v>
      </c>
      <c r="V722" s="34">
        <f>IF(AND(E722=1,L722=0),T722,"")</f>
        <v>1.24324324324324</v>
      </c>
      <c r="W722" s="33">
        <f>IF(U722="","",IF(U722&lt;=Breakdowns!$C$5,1,IF(U722&lt;=Breakdowns!$C$6,2,IF(U722&lt;=Breakdowns!$C$7,3,4))))</f>
        <v>4</v>
      </c>
      <c r="X722" s="33">
        <f>IF(V722="","",IF(V722&lt;=Breakdowns!$D$5,1,IF(V722&lt;=Breakdowns!$D$6,2,IF(V722&lt;=Breakdowns!$D$7,3,4))))</f>
        <v>4</v>
      </c>
      <c r="Y722" s="34">
        <f>INDEX(Stores!$F$2:$F$21,MATCH(B722,Stores!$A$2:$A$21,0))</f>
        <v>5.55</v>
      </c>
      <c r="Z722" s="33">
        <f>IF(Y722&gt;Store_Summary!$M$2,1,0)</f>
        <v>1</v>
      </c>
      <c r="AA722" s="33">
        <f>INDEX(Stores!$C$2:$C$21,MATCH(B722,Stores!$A$2:$A$21,0))</f>
        <v>241</v>
      </c>
      <c r="AB722" s="33">
        <f>IF(AA722&lt;180,1,0)</f>
        <v>0</v>
      </c>
      <c r="AC722" s="32" t="str">
        <f>IF(Orders!D719="","",INDEX(Riders!$C$2:$C$81,MATCH(Orders!D719,Riders!$A$2:$A$81,0)))</f>
        <v>EV scooter</v>
      </c>
      <c r="AD722" s="33">
        <f>IF(Orders!D719="","",INDEX(Riders!$D$2:$D$81,MATCH(Orders!D719,Riders!$A$2:$A$81,0)))</f>
        <v>45</v>
      </c>
      <c r="AE722" s="33">
        <f>IF(Orders!D719="","",IF(INDEX(Riders!$B$2:$B$81,MATCH(Orders!D719,Riders!$A$2:$A$81,0))=B722,1,0))</f>
        <v>0</v>
      </c>
      <c r="AF722" s="34">
        <f>IF(E722=1,Orders!L719,"")</f>
        <v>3.3</v>
      </c>
      <c r="AG722" s="34">
        <f>IF(E722=1,Orders!P719,"")</f>
        <v>10.7</v>
      </c>
      <c r="AH722" s="34">
        <f>IF(E722=1,Orders!Q719,"")</f>
        <v>9.8</v>
      </c>
      <c r="AI722" s="34">
        <f>IF(E722=1,Orders!M719,"")</f>
        <v>3.2</v>
      </c>
      <c r="AJ722" s="34">
        <f>IF(E722=1,Orders!N719,"")</f>
        <v>3.1</v>
      </c>
      <c r="AK722" s="34">
        <f>IF(E722=1,Orders!O719,"")</f>
        <v>3.5</v>
      </c>
      <c r="AL722" s="33">
        <f>IF(E722=1,IF(ROUND(ABS(AI722+AJ722+AK722-AH722),6)&lt;=0.1,1,0),"")</f>
        <v>1</v>
      </c>
      <c r="AM722" s="36">
        <f>IF(E722=1,AI722/AH722,"")</f>
        <v>0.326530612244898</v>
      </c>
      <c r="AN722" s="36">
        <f>IF(E722=1,AJ722/AH722,"")</f>
        <v>0.316326530612245</v>
      </c>
      <c r="AO722" s="36">
        <f>IF(E722=1,AK722/AH722,"")</f>
        <v>0.357142857142857</v>
      </c>
      <c r="AP722" s="34">
        <f>IF(E722=1,Orders!Y719,"")</f>
        <v>0</v>
      </c>
      <c r="AQ722" s="33">
        <f>IF(Orders!X719,1,0)</f>
        <v>0</v>
      </c>
      <c r="AR722" s="34" t="str">
        <f>IF(AND(E722=1,L722=1),AJ722,"")</f>
        <v/>
      </c>
      <c r="AS722" s="34">
        <f>IF(AND(E722=1,L722=0),AJ722,"")</f>
        <v>3.1</v>
      </c>
      <c r="AT722" s="34" t="str">
        <f>IF(AND(E722=1,L722=1),AI722,"")</f>
        <v/>
      </c>
      <c r="AU722" s="34">
        <f>IF(AND(E722=1,L722=0),AI722,"")</f>
        <v>3.2</v>
      </c>
      <c r="AV722" s="34" t="str">
        <f>IF(AND(E722=1,L722=1),AG722,"")</f>
        <v/>
      </c>
      <c r="AW722" s="34">
        <f>IF(AND(E722=1,L722=0),AG722,"")</f>
        <v>10.7</v>
      </c>
      <c r="AX722" s="34" t="str">
        <f>IF(AND(E722=1,L722=1),AH722,"")</f>
        <v/>
      </c>
      <c r="AY722" s="34">
        <f>IF(AND(E722=1,L722=0),AH722,"")</f>
        <v>9.8</v>
      </c>
      <c r="AZ722" s="34" t="str">
        <f>IF(G722=1,F722,"")</f>
        <v/>
      </c>
      <c r="BA722" s="34" t="str">
        <f>IF(AND(G722=1,L722=1),F722,"")</f>
        <v/>
      </c>
      <c r="BB722" s="34" t="str">
        <f>IF(AND(G722=1,L722=0),F722,"")</f>
        <v/>
      </c>
      <c r="BC722" s="33">
        <f>IF(E722=1,IF(Orders!R719&gt;3,1,0),"")</f>
        <v>0</v>
      </c>
      <c r="BD722" s="33">
        <f>IF(E722=1,IF(Orders!R719&gt;7,1,0),"")</f>
        <v>0</v>
      </c>
      <c r="BE722" s="32" t="str">
        <f>IF(E722=1,IF(Orders!L719&lt;=1.5,"Up to 1.5 km",IF(Orders!L719&lt;=3,"1.5–3 km","Over 3 km")),"")</f>
        <v>Over 3 km</v>
      </c>
      <c r="BF722" s="33">
        <f>IF(E722=1,IF(ABS((Orders!G719-Orders!F719)*1440-Orders!R719)&lt;0.06,1,0),"")</f>
        <v>1</v>
      </c>
      <c r="BG722" s="33">
        <f>IF(ABS((Orders!F719-Orders!E719)*1440-Orders!P719)&lt;0.06,1,0)</f>
        <v>1</v>
      </c>
      <c r="BH722" s="33">
        <f>IF(E722=1,IF(IF(Orders!S719,1,0)=1-G722,1,0),"")</f>
        <v>1</v>
      </c>
      <c r="BI722" s="32" t="str">
        <f>INDEX(Stores!$B$2:$B$21,MATCH(B722,Stores!$A$2:$A$21,0))</f>
        <v>Pune</v>
      </c>
    </row>
    <row r="723">
      <c r="A723" s="32" t="str">
        <f>Orders!A720</f>
        <v>O00719</v>
      </c>
      <c r="B723" s="32" t="str">
        <f>Orders!C720</f>
        <v>S016</v>
      </c>
      <c r="C723" s="32" t="str">
        <f>Orders!B720</f>
        <v>C0143</v>
      </c>
      <c r="D723" s="32" t="str">
        <f>Orders!H720</f>
        <v>Delivered</v>
      </c>
      <c r="E723" s="33">
        <f>IF(Orders!H720="Delivered",1,0)</f>
        <v>1</v>
      </c>
      <c r="F723" s="34">
        <f>IF(E723=1,Orders!R720,"")</f>
        <v>-0.9</v>
      </c>
      <c r="G723" s="33">
        <f>IF(E723=1,IF(Orders!R720&gt;0,1,0),"")</f>
        <v>0</v>
      </c>
      <c r="H723" s="33">
        <f>IF(E723=1,IF(Orders!R720&gt;5,1,0),"")</f>
        <v>0</v>
      </c>
      <c r="I723" s="32" t="str">
        <f>IF(E723=1,"",IF(OR(Orders!T720="Rider unavailable",Orders!T720="Item unavailable"),"Company-caused","Unresolved"))</f>
        <v/>
      </c>
      <c r="J723" s="33">
        <f>IF(OR(E723=1,I723="Company-caused"),1,0)</f>
        <v>1</v>
      </c>
      <c r="K723" s="32" t="str">
        <f>IF(E723=0,IF(I723="Company-caused",IF(Orders!T720="Rider unavailable","C1 Rider unavailable","C2 Item unavailable"),"Outside root: unresolved"),IF(G723=0,"A On time",IF(H723=1,IF(L723=1,"B2a Severe, peak","B2b Severe, off-peak"),IF(L723=1,"B1a Slight, peak","B1b Slight, off-peak"))))</f>
        <v>A On time</v>
      </c>
      <c r="L723" s="33">
        <f>IF(AND(Orders!U720&gt;=19,Orders!U720&lt;22),1,0)</f>
        <v>0</v>
      </c>
      <c r="M723" s="33">
        <f>IF(L723=IF(Orders!V720,1,0),1,0)</f>
        <v>1</v>
      </c>
      <c r="N723" s="32" t="str">
        <f>IF(Orders!W720="","None",Orders!W720)</f>
        <v>None</v>
      </c>
      <c r="O723" s="35">
        <f>INT(Orders!E720)</f>
        <v>46276.0</v>
      </c>
      <c r="P723" s="33">
        <f>Orders!U720</f>
        <v>9</v>
      </c>
      <c r="Q723" s="33">
        <f>COUNTIFS(Demand!$A$2:$A$4481,B723,Demand!$B$2:$B$4481,O723,Demand!$C$2:$C$4481,P723)</f>
        <v>1</v>
      </c>
      <c r="R723" s="33">
        <f>IF(Q723=1,SUMIFS(Demand!$E$2:$E$4481,Demand!$A$2:$A$4481,B723,Demand!$B$2:$B$4481,O723,Demand!$C$2:$C$4481,P723),"")</f>
        <v>18</v>
      </c>
      <c r="S723" s="33">
        <f>INDEX(Stores!$G$2:$G$21,MATCH(B723,Stores!$A$2:$A$21,0))</f>
        <v>25</v>
      </c>
      <c r="T723" s="34">
        <f>IF(R723="","",R723/S723)</f>
        <v>0.72</v>
      </c>
      <c r="U723" s="34">
        <f>IF(E723=1,T723,"")</f>
        <v>0.72</v>
      </c>
      <c r="V723" s="34">
        <f>IF(AND(E723=1,L723=0),T723,"")</f>
        <v>0.72</v>
      </c>
      <c r="W723" s="33">
        <f>IF(U723="","",IF(U723&lt;=Breakdowns!$C$5,1,IF(U723&lt;=Breakdowns!$C$6,2,IF(U723&lt;=Breakdowns!$C$7,3,4))))</f>
        <v>1</v>
      </c>
      <c r="X723" s="33">
        <f>IF(V723="","",IF(V723&lt;=Breakdowns!$D$5,1,IF(V723&lt;=Breakdowns!$D$6,2,IF(V723&lt;=Breakdowns!$D$7,3,4))))</f>
        <v>1</v>
      </c>
      <c r="Y723" s="34">
        <f>INDEX(Stores!$F$2:$F$21,MATCH(B723,Stores!$A$2:$A$21,0))</f>
        <v>5.51</v>
      </c>
      <c r="Z723" s="33">
        <f>IF(Y723&gt;Store_Summary!$M$2,1,0)</f>
        <v>1</v>
      </c>
      <c r="AA723" s="33">
        <f>INDEX(Stores!$C$2:$C$21,MATCH(B723,Stores!$A$2:$A$21,0))</f>
        <v>792</v>
      </c>
      <c r="AB723" s="33">
        <f>IF(AA723&lt;180,1,0)</f>
        <v>0</v>
      </c>
      <c r="AC723" s="32" t="str">
        <f>IF(Orders!D720="","",INDEX(Riders!$C$2:$C$81,MATCH(Orders!D720,Riders!$A$2:$A$81,0)))</f>
        <v>EV scooter</v>
      </c>
      <c r="AD723" s="33">
        <f>IF(Orders!D720="","",INDEX(Riders!$D$2:$D$81,MATCH(Orders!D720,Riders!$A$2:$A$81,0)))</f>
        <v>1</v>
      </c>
      <c r="AE723" s="33">
        <f>IF(Orders!D720="","",IF(INDEX(Riders!$B$2:$B$81,MATCH(Orders!D720,Riders!$A$2:$A$81,0))=B723,1,0))</f>
        <v>1</v>
      </c>
      <c r="AF723" s="34">
        <f>IF(E723=1,Orders!L720,"")</f>
        <v>2.6</v>
      </c>
      <c r="AG723" s="34">
        <f>IF(E723=1,Orders!P720,"")</f>
        <v>10.5</v>
      </c>
      <c r="AH723" s="34">
        <f>IF(E723=1,Orders!Q720,"")</f>
        <v>9.6</v>
      </c>
      <c r="AI723" s="34">
        <f>IF(E723=1,Orders!M720,"")</f>
        <v>2.3</v>
      </c>
      <c r="AJ723" s="34">
        <f>IF(E723=1,Orders!N720,"")</f>
        <v>3.3</v>
      </c>
      <c r="AK723" s="34">
        <f>IF(E723=1,Orders!O720,"")</f>
        <v>4</v>
      </c>
      <c r="AL723" s="33">
        <f>IF(E723=1,IF(ROUND(ABS(AI723+AJ723+AK723-AH723),6)&lt;=0.1,1,0),"")</f>
        <v>1</v>
      </c>
      <c r="AM723" s="36">
        <f>IF(E723=1,AI723/AH723,"")</f>
        <v>0.239583333333333</v>
      </c>
      <c r="AN723" s="36">
        <f>IF(E723=1,AJ723/AH723,"")</f>
        <v>0.34375</v>
      </c>
      <c r="AO723" s="36">
        <f>IF(E723=1,AK723/AH723,"")</f>
        <v>0.416666666666667</v>
      </c>
      <c r="AP723" s="34">
        <f>IF(E723=1,Orders!Y720,"")</f>
        <v>0.61</v>
      </c>
      <c r="AQ723" s="33">
        <f>IF(Orders!X720,1,0)</f>
        <v>0</v>
      </c>
      <c r="AR723" s="34" t="str">
        <f>IF(AND(E723=1,L723=1),AJ723,"")</f>
        <v/>
      </c>
      <c r="AS723" s="34">
        <f>IF(AND(E723=1,L723=0),AJ723,"")</f>
        <v>3.3</v>
      </c>
      <c r="AT723" s="34" t="str">
        <f>IF(AND(E723=1,L723=1),AI723,"")</f>
        <v/>
      </c>
      <c r="AU723" s="34">
        <f>IF(AND(E723=1,L723=0),AI723,"")</f>
        <v>2.3</v>
      </c>
      <c r="AV723" s="34" t="str">
        <f>IF(AND(E723=1,L723=1),AG723,"")</f>
        <v/>
      </c>
      <c r="AW723" s="34">
        <f>IF(AND(E723=1,L723=0),AG723,"")</f>
        <v>10.5</v>
      </c>
      <c r="AX723" s="34" t="str">
        <f>IF(AND(E723=1,L723=1),AH723,"")</f>
        <v/>
      </c>
      <c r="AY723" s="34">
        <f>IF(AND(E723=1,L723=0),AH723,"")</f>
        <v>9.6</v>
      </c>
      <c r="AZ723" s="34" t="str">
        <f>IF(G723=1,F723,"")</f>
        <v/>
      </c>
      <c r="BA723" s="34" t="str">
        <f>IF(AND(G723=1,L723=1),F723,"")</f>
        <v/>
      </c>
      <c r="BB723" s="34" t="str">
        <f>IF(AND(G723=1,L723=0),F723,"")</f>
        <v/>
      </c>
      <c r="BC723" s="33">
        <f>IF(E723=1,IF(Orders!R720&gt;3,1,0),"")</f>
        <v>0</v>
      </c>
      <c r="BD723" s="33">
        <f>IF(E723=1,IF(Orders!R720&gt;7,1,0),"")</f>
        <v>0</v>
      </c>
      <c r="BE723" s="32" t="str">
        <f>IF(E723=1,IF(Orders!L720&lt;=1.5,"Up to 1.5 km",IF(Orders!L720&lt;=3,"1.5–3 km","Over 3 km")),"")</f>
        <v>1.5–3 km</v>
      </c>
      <c r="BF723" s="33">
        <f>IF(E723=1,IF(ABS((Orders!G720-Orders!F720)*1440-Orders!R720)&lt;0.06,1,0),"")</f>
        <v>1</v>
      </c>
      <c r="BG723" s="33">
        <f>IF(ABS((Orders!F720-Orders!E720)*1440-Orders!P720)&lt;0.06,1,0)</f>
        <v>1</v>
      </c>
      <c r="BH723" s="33">
        <f>IF(E723=1,IF(IF(Orders!S720,1,0)=1-G723,1,0),"")</f>
        <v>1</v>
      </c>
      <c r="BI723" s="32" t="str">
        <f>INDEX(Stores!$B$2:$B$21,MATCH(B723,Stores!$A$2:$A$21,0))</f>
        <v>Bengaluru</v>
      </c>
    </row>
    <row r="724">
      <c r="A724" s="32" t="str">
        <f>Orders!A721</f>
        <v>O00720</v>
      </c>
      <c r="B724" s="32" t="str">
        <f>Orders!C721</f>
        <v>S015</v>
      </c>
      <c r="C724" s="32" t="str">
        <f>Orders!B721</f>
        <v>C0188</v>
      </c>
      <c r="D724" s="32" t="str">
        <f>Orders!H721</f>
        <v>Delivered</v>
      </c>
      <c r="E724" s="33">
        <f>IF(Orders!H721="Delivered",1,0)</f>
        <v>1</v>
      </c>
      <c r="F724" s="34">
        <f>IF(E724=1,Orders!R721,"")</f>
        <v>-0.8</v>
      </c>
      <c r="G724" s="33">
        <f>IF(E724=1,IF(Orders!R721&gt;0,1,0),"")</f>
        <v>0</v>
      </c>
      <c r="H724" s="33">
        <f>IF(E724=1,IF(Orders!R721&gt;5,1,0),"")</f>
        <v>0</v>
      </c>
      <c r="I724" s="32" t="str">
        <f>IF(E724=1,"",IF(OR(Orders!T721="Rider unavailable",Orders!T721="Item unavailable"),"Company-caused","Unresolved"))</f>
        <v/>
      </c>
      <c r="J724" s="33">
        <f>IF(OR(E724=1,I724="Company-caused"),1,0)</f>
        <v>1</v>
      </c>
      <c r="K724" s="32" t="str">
        <f>IF(E724=0,IF(I724="Company-caused",IF(Orders!T721="Rider unavailable","C1 Rider unavailable","C2 Item unavailable"),"Outside root: unresolved"),IF(G724=0,"A On time",IF(H724=1,IF(L724=1,"B2a Severe, peak","B2b Severe, off-peak"),IF(L724=1,"B1a Slight, peak","B1b Slight, off-peak"))))</f>
        <v>A On time</v>
      </c>
      <c r="L724" s="33">
        <f>IF(AND(Orders!U721&gt;=19,Orders!U721&lt;22),1,0)</f>
        <v>1</v>
      </c>
      <c r="M724" s="33">
        <f>IF(L724=IF(Orders!V721,1,0),1,0)</f>
        <v>1</v>
      </c>
      <c r="N724" s="32" t="str">
        <f>IF(Orders!W721="","None",Orders!W721)</f>
        <v>None</v>
      </c>
      <c r="O724" s="35">
        <f>INT(Orders!E721)</f>
        <v>46278.0</v>
      </c>
      <c r="P724" s="33">
        <f>Orders!U721</f>
        <v>21</v>
      </c>
      <c r="Q724" s="33">
        <f>COUNTIFS(Demand!$A$2:$A$4481,B724,Demand!$B$2:$B$4481,O724,Demand!$C$2:$C$4481,P724)</f>
        <v>1</v>
      </c>
      <c r="R724" s="33">
        <f>IF(Q724=1,SUMIFS(Demand!$E$2:$E$4481,Demand!$A$2:$A$4481,B724,Demand!$B$2:$B$4481,O724,Demand!$C$2:$C$4481,P724),"")</f>
        <v>31</v>
      </c>
      <c r="S724" s="33">
        <f>INDEX(Stores!$G$2:$G$21,MATCH(B724,Stores!$A$2:$A$21,0))</f>
        <v>23</v>
      </c>
      <c r="T724" s="34">
        <f>IF(R724="","",R724/S724)</f>
        <v>1.34782608695652</v>
      </c>
      <c r="U724" s="34">
        <f>IF(E724=1,T724,"")</f>
        <v>1.34782608695652</v>
      </c>
      <c r="V724" s="34" t="str">
        <f>IF(AND(E724=1,L724=0),T724,"")</f>
        <v/>
      </c>
      <c r="W724" s="33">
        <f>IF(U724="","",IF(U724&lt;=Breakdowns!$C$5,1,IF(U724&lt;=Breakdowns!$C$6,2,IF(U724&lt;=Breakdowns!$C$7,3,4))))</f>
        <v>4</v>
      </c>
      <c r="X724" s="33" t="str">
        <f>IF(V724="","",IF(V724&lt;=Breakdowns!$D$5,1,IF(V724&lt;=Breakdowns!$D$6,2,IF(V724&lt;=Breakdowns!$D$7,3,4))))</f>
        <v/>
      </c>
      <c r="Y724" s="34">
        <f>INDEX(Stores!$F$2:$F$21,MATCH(B724,Stores!$A$2:$A$21,0))</f>
        <v>4.66</v>
      </c>
      <c r="Z724" s="33">
        <f>IF(Y724&gt;Store_Summary!$M$2,1,0)</f>
        <v>0</v>
      </c>
      <c r="AA724" s="33">
        <f>INDEX(Stores!$C$2:$C$21,MATCH(B724,Stores!$A$2:$A$21,0))</f>
        <v>204</v>
      </c>
      <c r="AB724" s="33">
        <f>IF(AA724&lt;180,1,0)</f>
        <v>0</v>
      </c>
      <c r="AC724" s="32" t="str">
        <f>IF(Orders!D721="","",INDEX(Riders!$C$2:$C$81,MATCH(Orders!D721,Riders!$A$2:$A$81,0)))</f>
        <v>EV scooter</v>
      </c>
      <c r="AD724" s="33">
        <f>IF(Orders!D721="","",INDEX(Riders!$D$2:$D$81,MATCH(Orders!D721,Riders!$A$2:$A$81,0)))</f>
        <v>37</v>
      </c>
      <c r="AE724" s="33">
        <f>IF(Orders!D721="","",IF(INDEX(Riders!$B$2:$B$81,MATCH(Orders!D721,Riders!$A$2:$A$81,0))=B724,1,0))</f>
        <v>0</v>
      </c>
      <c r="AF724" s="34">
        <f>IF(E724=1,Orders!L721,"")</f>
        <v>2.56</v>
      </c>
      <c r="AG724" s="34">
        <f>IF(E724=1,Orders!P721,"")</f>
        <v>8.7</v>
      </c>
      <c r="AH724" s="34">
        <f>IF(E724=1,Orders!Q721,"")</f>
        <v>7.9</v>
      </c>
      <c r="AI724" s="34">
        <f>IF(E724=1,Orders!M721,"")</f>
        <v>1.9</v>
      </c>
      <c r="AJ724" s="34">
        <f>IF(E724=1,Orders!N721,"")</f>
        <v>2.2</v>
      </c>
      <c r="AK724" s="34">
        <f>IF(E724=1,Orders!O721,"")</f>
        <v>3.8</v>
      </c>
      <c r="AL724" s="33">
        <f>IF(E724=1,IF(ROUND(ABS(AI724+AJ724+AK724-AH724),6)&lt;=0.1,1,0),"")</f>
        <v>1</v>
      </c>
      <c r="AM724" s="36">
        <f>IF(E724=1,AI724/AH724,"")</f>
        <v>0.240506329113924</v>
      </c>
      <c r="AN724" s="36">
        <f>IF(E724=1,AJ724/AH724,"")</f>
        <v>0.278481012658228</v>
      </c>
      <c r="AO724" s="36">
        <f>IF(E724=1,AK724/AH724,"")</f>
        <v>0.481012658227848</v>
      </c>
      <c r="AP724" s="34">
        <f>IF(E724=1,Orders!Y721,"")</f>
        <v>0.58</v>
      </c>
      <c r="AQ724" s="33">
        <f>IF(Orders!X721,1,0)</f>
        <v>0</v>
      </c>
      <c r="AR724" s="34">
        <f>IF(AND(E724=1,L724=1),AJ724,"")</f>
        <v>2.2</v>
      </c>
      <c r="AS724" s="34" t="str">
        <f>IF(AND(E724=1,L724=0),AJ724,"")</f>
        <v/>
      </c>
      <c r="AT724" s="34">
        <f>IF(AND(E724=1,L724=1),AI724,"")</f>
        <v>1.9</v>
      </c>
      <c r="AU724" s="34" t="str">
        <f>IF(AND(E724=1,L724=0),AI724,"")</f>
        <v/>
      </c>
      <c r="AV724" s="34">
        <f>IF(AND(E724=1,L724=1),AG724,"")</f>
        <v>8.7</v>
      </c>
      <c r="AW724" s="34" t="str">
        <f>IF(AND(E724=1,L724=0),AG724,"")</f>
        <v/>
      </c>
      <c r="AX724" s="34">
        <f>IF(AND(E724=1,L724=1),AH724,"")</f>
        <v>7.9</v>
      </c>
      <c r="AY724" s="34" t="str">
        <f>IF(AND(E724=1,L724=0),AH724,"")</f>
        <v/>
      </c>
      <c r="AZ724" s="34" t="str">
        <f>IF(G724=1,F724,"")</f>
        <v/>
      </c>
      <c r="BA724" s="34" t="str">
        <f>IF(AND(G724=1,L724=1),F724,"")</f>
        <v/>
      </c>
      <c r="BB724" s="34" t="str">
        <f>IF(AND(G724=1,L724=0),F724,"")</f>
        <v/>
      </c>
      <c r="BC724" s="33">
        <f>IF(E724=1,IF(Orders!R721&gt;3,1,0),"")</f>
        <v>0</v>
      </c>
      <c r="BD724" s="33">
        <f>IF(E724=1,IF(Orders!R721&gt;7,1,0),"")</f>
        <v>0</v>
      </c>
      <c r="BE724" s="32" t="str">
        <f>IF(E724=1,IF(Orders!L721&lt;=1.5,"Up to 1.5 km",IF(Orders!L721&lt;=3,"1.5–3 km","Over 3 km")),"")</f>
        <v>1.5–3 km</v>
      </c>
      <c r="BF724" s="33">
        <f>IF(E724=1,IF(ABS((Orders!G721-Orders!F721)*1440-Orders!R721)&lt;0.06,1,0),"")</f>
        <v>1</v>
      </c>
      <c r="BG724" s="33">
        <f>IF(ABS((Orders!F721-Orders!E721)*1440-Orders!P721)&lt;0.06,1,0)</f>
        <v>1</v>
      </c>
      <c r="BH724" s="33">
        <f>IF(E724=1,IF(IF(Orders!S721,1,0)=1-G724,1,0),"")</f>
        <v>1</v>
      </c>
      <c r="BI724" s="32" t="str">
        <f>INDEX(Stores!$B$2:$B$21,MATCH(B724,Stores!$A$2:$A$21,0))</f>
        <v>Delhi</v>
      </c>
    </row>
    <row r="725">
      <c r="A725" s="32" t="str">
        <f>Orders!A722</f>
        <v>O00721</v>
      </c>
      <c r="B725" s="32" t="str">
        <f>Orders!C722</f>
        <v>S017</v>
      </c>
      <c r="C725" s="32" t="str">
        <f>Orders!B722</f>
        <v>C0177</v>
      </c>
      <c r="D725" s="32" t="str">
        <f>Orders!H722</f>
        <v>Delivered</v>
      </c>
      <c r="E725" s="33">
        <f>IF(Orders!H722="Delivered",1,0)</f>
        <v>1</v>
      </c>
      <c r="F725" s="34">
        <f>IF(E725=1,Orders!R722,"")</f>
        <v>0</v>
      </c>
      <c r="G725" s="33">
        <f>IF(E725=1,IF(Orders!R722&gt;0,1,0),"")</f>
        <v>0</v>
      </c>
      <c r="H725" s="33">
        <f>IF(E725=1,IF(Orders!R722&gt;5,1,0),"")</f>
        <v>0</v>
      </c>
      <c r="I725" s="32" t="str">
        <f>IF(E725=1,"",IF(OR(Orders!T722="Rider unavailable",Orders!T722="Item unavailable"),"Company-caused","Unresolved"))</f>
        <v/>
      </c>
      <c r="J725" s="33">
        <f>IF(OR(E725=1,I725="Company-caused"),1,0)</f>
        <v>1</v>
      </c>
      <c r="K725" s="32" t="str">
        <f>IF(E725=0,IF(I725="Company-caused",IF(Orders!T722="Rider unavailable","C1 Rider unavailable","C2 Item unavailable"),"Outside root: unresolved"),IF(G725=0,"A On time",IF(H725=1,IF(L725=1,"B2a Severe, peak","B2b Severe, off-peak"),IF(L725=1,"B1a Slight, peak","B1b Slight, off-peak"))))</f>
        <v>A On time</v>
      </c>
      <c r="L725" s="33">
        <f>IF(AND(Orders!U722&gt;=19,Orders!U722&lt;22),1,0)</f>
        <v>0</v>
      </c>
      <c r="M725" s="33">
        <f>IF(L725=IF(Orders!V722,1,0),1,0)</f>
        <v>1</v>
      </c>
      <c r="N725" s="32" t="str">
        <f>IF(Orders!W722="","None",Orders!W722)</f>
        <v>Light</v>
      </c>
      <c r="O725" s="35">
        <f>INT(Orders!E722)</f>
        <v>46268.0</v>
      </c>
      <c r="P725" s="33">
        <f>Orders!U722</f>
        <v>15</v>
      </c>
      <c r="Q725" s="33">
        <f>COUNTIFS(Demand!$A$2:$A$4481,B725,Demand!$B$2:$B$4481,O725,Demand!$C$2:$C$4481,P725)</f>
        <v>1</v>
      </c>
      <c r="R725" s="33">
        <f>IF(Q725=1,SUMIFS(Demand!$E$2:$E$4481,Demand!$A$2:$A$4481,B725,Demand!$B$2:$B$4481,O725,Demand!$C$2:$C$4481,P725),"")</f>
        <v>26</v>
      </c>
      <c r="S725" s="33">
        <f>INDEX(Stores!$G$2:$G$21,MATCH(B725,Stores!$A$2:$A$21,0))</f>
        <v>36</v>
      </c>
      <c r="T725" s="34">
        <f>IF(R725="","",R725/S725)</f>
        <v>0.722222222222222</v>
      </c>
      <c r="U725" s="34">
        <f>IF(E725=1,T725,"")</f>
        <v>0.722222222222222</v>
      </c>
      <c r="V725" s="34">
        <f>IF(AND(E725=1,L725=0),T725,"")</f>
        <v>0.722222222222222</v>
      </c>
      <c r="W725" s="33">
        <f>IF(U725="","",IF(U725&lt;=Breakdowns!$C$5,1,IF(U725&lt;=Breakdowns!$C$6,2,IF(U725&lt;=Breakdowns!$C$7,3,4))))</f>
        <v>1</v>
      </c>
      <c r="X725" s="33">
        <f>IF(V725="","",IF(V725&lt;=Breakdowns!$D$5,1,IF(V725&lt;=Breakdowns!$D$6,2,IF(V725&lt;=Breakdowns!$D$7,3,4))))</f>
        <v>1</v>
      </c>
      <c r="Y725" s="34">
        <f>INDEX(Stores!$F$2:$F$21,MATCH(B725,Stores!$A$2:$A$21,0))</f>
        <v>2.16</v>
      </c>
      <c r="Z725" s="33">
        <f>IF(Y725&gt;Store_Summary!$M$2,1,0)</f>
        <v>0</v>
      </c>
      <c r="AA725" s="33">
        <f>INDEX(Stores!$C$2:$C$21,MATCH(B725,Stores!$A$2:$A$21,0))</f>
        <v>47</v>
      </c>
      <c r="AB725" s="33">
        <f>IF(AA725&lt;180,1,0)</f>
        <v>1</v>
      </c>
      <c r="AC725" s="32" t="str">
        <f>IF(Orders!D722="","",INDEX(Riders!$C$2:$C$81,MATCH(Orders!D722,Riders!$A$2:$A$81,0)))</f>
        <v>EV scooter</v>
      </c>
      <c r="AD725" s="33">
        <f>IF(Orders!D722="","",INDEX(Riders!$D$2:$D$81,MATCH(Orders!D722,Riders!$A$2:$A$81,0)))</f>
        <v>45</v>
      </c>
      <c r="AE725" s="33">
        <f>IF(Orders!D722="","",IF(INDEX(Riders!$B$2:$B$81,MATCH(Orders!D722,Riders!$A$2:$A$81,0))=B725,1,0))</f>
        <v>0</v>
      </c>
      <c r="AF725" s="34">
        <f>IF(E725=1,Orders!L722,"")</f>
        <v>2.87</v>
      </c>
      <c r="AG725" s="34">
        <f>IF(E725=1,Orders!P722,"")</f>
        <v>10.8</v>
      </c>
      <c r="AH725" s="34">
        <f>IF(E725=1,Orders!Q722,"")</f>
        <v>10.8</v>
      </c>
      <c r="AI725" s="34">
        <f>IF(E725=1,Orders!M722,"")</f>
        <v>1.5</v>
      </c>
      <c r="AJ725" s="34">
        <f>IF(E725=1,Orders!N722,"")</f>
        <v>2.2</v>
      </c>
      <c r="AK725" s="34">
        <f>IF(E725=1,Orders!O722,"")</f>
        <v>7.1</v>
      </c>
      <c r="AL725" s="33">
        <f>IF(E725=1,IF(ROUND(ABS(AI725+AJ725+AK725-AH725),6)&lt;=0.1,1,0),"")</f>
        <v>1</v>
      </c>
      <c r="AM725" s="36">
        <f>IF(E725=1,AI725/AH725,"")</f>
        <v>0.138888888888889</v>
      </c>
      <c r="AN725" s="36">
        <f>IF(E725=1,AJ725/AH725,"")</f>
        <v>0.203703703703704</v>
      </c>
      <c r="AO725" s="36">
        <f>IF(E725=1,AK725/AH725,"")</f>
        <v>0.657407407407407</v>
      </c>
      <c r="AP725" s="34">
        <f>IF(E725=1,Orders!Y722,"")</f>
        <v>0.41</v>
      </c>
      <c r="AQ725" s="33">
        <f>IF(Orders!X722,1,0)</f>
        <v>0</v>
      </c>
      <c r="AR725" s="34" t="str">
        <f>IF(AND(E725=1,L725=1),AJ725,"")</f>
        <v/>
      </c>
      <c r="AS725" s="34">
        <f>IF(AND(E725=1,L725=0),AJ725,"")</f>
        <v>2.2</v>
      </c>
      <c r="AT725" s="34" t="str">
        <f>IF(AND(E725=1,L725=1),AI725,"")</f>
        <v/>
      </c>
      <c r="AU725" s="34">
        <f>IF(AND(E725=1,L725=0),AI725,"")</f>
        <v>1.5</v>
      </c>
      <c r="AV725" s="34" t="str">
        <f>IF(AND(E725=1,L725=1),AG725,"")</f>
        <v/>
      </c>
      <c r="AW725" s="34">
        <f>IF(AND(E725=1,L725=0),AG725,"")</f>
        <v>10.8</v>
      </c>
      <c r="AX725" s="34" t="str">
        <f>IF(AND(E725=1,L725=1),AH725,"")</f>
        <v/>
      </c>
      <c r="AY725" s="34">
        <f>IF(AND(E725=1,L725=0),AH725,"")</f>
        <v>10.8</v>
      </c>
      <c r="AZ725" s="34" t="str">
        <f>IF(G725=1,F725,"")</f>
        <v/>
      </c>
      <c r="BA725" s="34" t="str">
        <f>IF(AND(G725=1,L725=1),F725,"")</f>
        <v/>
      </c>
      <c r="BB725" s="34" t="str">
        <f>IF(AND(G725=1,L725=0),F725,"")</f>
        <v/>
      </c>
      <c r="BC725" s="33">
        <f>IF(E725=1,IF(Orders!R722&gt;3,1,0),"")</f>
        <v>0</v>
      </c>
      <c r="BD725" s="33">
        <f>IF(E725=1,IF(Orders!R722&gt;7,1,0),"")</f>
        <v>0</v>
      </c>
      <c r="BE725" s="32" t="str">
        <f>IF(E725=1,IF(Orders!L722&lt;=1.5,"Up to 1.5 km",IF(Orders!L722&lt;=3,"1.5–3 km","Over 3 km")),"")</f>
        <v>1.5–3 km</v>
      </c>
      <c r="BF725" s="33">
        <f>IF(E725=1,IF(ABS((Orders!G722-Orders!F722)*1440-Orders!R722)&lt;0.06,1,0),"")</f>
        <v>1</v>
      </c>
      <c r="BG725" s="33">
        <f>IF(ABS((Orders!F722-Orders!E722)*1440-Orders!P722)&lt;0.06,1,0)</f>
        <v>1</v>
      </c>
      <c r="BH725" s="33">
        <f>IF(E725=1,IF(IF(Orders!S722,1,0)=1-G725,1,0),"")</f>
        <v>1</v>
      </c>
      <c r="BI725" s="32" t="str">
        <f>INDEX(Stores!$B$2:$B$21,MATCH(B725,Stores!$A$2:$A$21,0))</f>
        <v>Hyderabad</v>
      </c>
    </row>
    <row r="726">
      <c r="A726" s="32" t="str">
        <f>Orders!A723</f>
        <v>O00722</v>
      </c>
      <c r="B726" s="32" t="str">
        <f>Orders!C723</f>
        <v>S014</v>
      </c>
      <c r="C726" s="32" t="str">
        <f>Orders!B723</f>
        <v>C0079</v>
      </c>
      <c r="D726" s="32" t="str">
        <f>Orders!H723</f>
        <v>Delivered</v>
      </c>
      <c r="E726" s="33">
        <f>IF(Orders!H723="Delivered",1,0)</f>
        <v>1</v>
      </c>
      <c r="F726" s="34">
        <f>IF(E726=1,Orders!R723,"")</f>
        <v>8.2</v>
      </c>
      <c r="G726" s="33">
        <f>IF(E726=1,IF(Orders!R723&gt;0,1,0),"")</f>
        <v>1</v>
      </c>
      <c r="H726" s="33">
        <f>IF(E726=1,IF(Orders!R723&gt;5,1,0),"")</f>
        <v>1</v>
      </c>
      <c r="I726" s="32" t="str">
        <f>IF(E726=1,"",IF(OR(Orders!T723="Rider unavailable",Orders!T723="Item unavailable"),"Company-caused","Unresolved"))</f>
        <v/>
      </c>
      <c r="J726" s="33">
        <f>IF(OR(E726=1,I726="Company-caused"),1,0)</f>
        <v>1</v>
      </c>
      <c r="K726" s="32" t="str">
        <f>IF(E726=0,IF(I726="Company-caused",IF(Orders!T723="Rider unavailable","C1 Rider unavailable","C2 Item unavailable"),"Outside root: unresolved"),IF(G726=0,"A On time",IF(H726=1,IF(L726=1,"B2a Severe, peak","B2b Severe, off-peak"),IF(L726=1,"B1a Slight, peak","B1b Slight, off-peak"))))</f>
        <v>B2a Severe, peak</v>
      </c>
      <c r="L726" s="33">
        <f>IF(AND(Orders!U723&gt;=19,Orders!U723&lt;22),1,0)</f>
        <v>1</v>
      </c>
      <c r="M726" s="33">
        <f>IF(L726=IF(Orders!V723,1,0),1,0)</f>
        <v>1</v>
      </c>
      <c r="N726" s="32" t="str">
        <f>IF(Orders!W723="","None",Orders!W723)</f>
        <v>Heavy</v>
      </c>
      <c r="O726" s="35">
        <f>INT(Orders!E723)</f>
        <v>46275.0</v>
      </c>
      <c r="P726" s="33">
        <f>Orders!U723</f>
        <v>20</v>
      </c>
      <c r="Q726" s="33">
        <f>COUNTIFS(Demand!$A$2:$A$4481,B726,Demand!$B$2:$B$4481,O726,Demand!$C$2:$C$4481,P726)</f>
        <v>1</v>
      </c>
      <c r="R726" s="33">
        <f>IF(Q726=1,SUMIFS(Demand!$E$2:$E$4481,Demand!$A$2:$A$4481,B726,Demand!$B$2:$B$4481,O726,Demand!$C$2:$C$4481,P726),"")</f>
        <v>54</v>
      </c>
      <c r="S726" s="33">
        <f>INDEX(Stores!$G$2:$G$21,MATCH(B726,Stores!$A$2:$A$21,0))</f>
        <v>37</v>
      </c>
      <c r="T726" s="34">
        <f>IF(R726="","",R726/S726)</f>
        <v>1.45945945945946</v>
      </c>
      <c r="U726" s="34">
        <f>IF(E726=1,T726,"")</f>
        <v>1.45945945945946</v>
      </c>
      <c r="V726" s="34" t="str">
        <f>IF(AND(E726=1,L726=0),T726,"")</f>
        <v/>
      </c>
      <c r="W726" s="33">
        <f>IF(U726="","",IF(U726&lt;=Breakdowns!$C$5,1,IF(U726&lt;=Breakdowns!$C$6,2,IF(U726&lt;=Breakdowns!$C$7,3,4))))</f>
        <v>4</v>
      </c>
      <c r="X726" s="33" t="str">
        <f>IF(V726="","",IF(V726&lt;=Breakdowns!$D$5,1,IF(V726&lt;=Breakdowns!$D$6,2,IF(V726&lt;=Breakdowns!$D$7,3,4))))</f>
        <v/>
      </c>
      <c r="Y726" s="34">
        <f>INDEX(Stores!$F$2:$F$21,MATCH(B726,Stores!$A$2:$A$21,0))</f>
        <v>5.55</v>
      </c>
      <c r="Z726" s="33">
        <f>IF(Y726&gt;Store_Summary!$M$2,1,0)</f>
        <v>1</v>
      </c>
      <c r="AA726" s="33">
        <f>INDEX(Stores!$C$2:$C$21,MATCH(B726,Stores!$A$2:$A$21,0))</f>
        <v>241</v>
      </c>
      <c r="AB726" s="33">
        <f>IF(AA726&lt;180,1,0)</f>
        <v>0</v>
      </c>
      <c r="AC726" s="32" t="str">
        <f>IF(Orders!D723="","",INDEX(Riders!$C$2:$C$81,MATCH(Orders!D723,Riders!$A$2:$A$81,0)))</f>
        <v>Petrol scooter</v>
      </c>
      <c r="AD726" s="33">
        <f>IF(Orders!D723="","",INDEX(Riders!$D$2:$D$81,MATCH(Orders!D723,Riders!$A$2:$A$81,0)))</f>
        <v>6</v>
      </c>
      <c r="AE726" s="33">
        <f>IF(Orders!D723="","",IF(INDEX(Riders!$B$2:$B$81,MATCH(Orders!D723,Riders!$A$2:$A$81,0))=B726,1,0))</f>
        <v>0</v>
      </c>
      <c r="AF726" s="34">
        <f>IF(E726=1,Orders!L723,"")</f>
        <v>2.2</v>
      </c>
      <c r="AG726" s="34">
        <f>IF(E726=1,Orders!P723,"")</f>
        <v>10.4</v>
      </c>
      <c r="AH726" s="34">
        <f>IF(E726=1,Orders!Q723,"")</f>
        <v>18.6</v>
      </c>
      <c r="AI726" s="34">
        <f>IF(E726=1,Orders!M723,"")</f>
        <v>5.2</v>
      </c>
      <c r="AJ726" s="34">
        <f>IF(E726=1,Orders!N723,"")</f>
        <v>5.2</v>
      </c>
      <c r="AK726" s="34">
        <f>IF(E726=1,Orders!O723,"")</f>
        <v>8.2</v>
      </c>
      <c r="AL726" s="33">
        <f>IF(E726=1,IF(ROUND(ABS(AI726+AJ726+AK726-AH726),6)&lt;=0.1,1,0),"")</f>
        <v>1</v>
      </c>
      <c r="AM726" s="36">
        <f>IF(E726=1,AI726/AH726,"")</f>
        <v>0.279569892473118</v>
      </c>
      <c r="AN726" s="36">
        <f>IF(E726=1,AJ726/AH726,"")</f>
        <v>0.279569892473118</v>
      </c>
      <c r="AO726" s="36">
        <f>IF(E726=1,AK726/AH726,"")</f>
        <v>0.440860215053763</v>
      </c>
      <c r="AP726" s="34">
        <f>IF(E726=1,Orders!Y723,"")</f>
        <v>0.62</v>
      </c>
      <c r="AQ726" s="33">
        <f>IF(Orders!X723,1,0)</f>
        <v>0</v>
      </c>
      <c r="AR726" s="34">
        <f>IF(AND(E726=1,L726=1),AJ726,"")</f>
        <v>5.2</v>
      </c>
      <c r="AS726" s="34" t="str">
        <f>IF(AND(E726=1,L726=0),AJ726,"")</f>
        <v/>
      </c>
      <c r="AT726" s="34">
        <f>IF(AND(E726=1,L726=1),AI726,"")</f>
        <v>5.2</v>
      </c>
      <c r="AU726" s="34" t="str">
        <f>IF(AND(E726=1,L726=0),AI726,"")</f>
        <v/>
      </c>
      <c r="AV726" s="34">
        <f>IF(AND(E726=1,L726=1),AG726,"")</f>
        <v>10.4</v>
      </c>
      <c r="AW726" s="34" t="str">
        <f>IF(AND(E726=1,L726=0),AG726,"")</f>
        <v/>
      </c>
      <c r="AX726" s="34">
        <f>IF(AND(E726=1,L726=1),AH726,"")</f>
        <v>18.6</v>
      </c>
      <c r="AY726" s="34" t="str">
        <f>IF(AND(E726=1,L726=0),AH726,"")</f>
        <v/>
      </c>
      <c r="AZ726" s="34">
        <f>IF(G726=1,F726,"")</f>
        <v>8.2</v>
      </c>
      <c r="BA726" s="34">
        <f>IF(AND(G726=1,L726=1),F726,"")</f>
        <v>8.2</v>
      </c>
      <c r="BB726" s="34" t="str">
        <f>IF(AND(G726=1,L726=0),F726,"")</f>
        <v/>
      </c>
      <c r="BC726" s="33">
        <f>IF(E726=1,IF(Orders!R723&gt;3,1,0),"")</f>
        <v>1</v>
      </c>
      <c r="BD726" s="33">
        <f>IF(E726=1,IF(Orders!R723&gt;7,1,0),"")</f>
        <v>1</v>
      </c>
      <c r="BE726" s="32" t="str">
        <f>IF(E726=1,IF(Orders!L723&lt;=1.5,"Up to 1.5 km",IF(Orders!L723&lt;=3,"1.5–3 km","Over 3 km")),"")</f>
        <v>1.5–3 km</v>
      </c>
      <c r="BF726" s="33">
        <f>IF(E726=1,IF(ABS((Orders!G723-Orders!F723)*1440-Orders!R723)&lt;0.06,1,0),"")</f>
        <v>1</v>
      </c>
      <c r="BG726" s="33">
        <f>IF(ABS((Orders!F723-Orders!E723)*1440-Orders!P723)&lt;0.06,1,0)</f>
        <v>1</v>
      </c>
      <c r="BH726" s="33">
        <f>IF(E726=1,IF(IF(Orders!S723,1,0)=1-G726,1,0),"")</f>
        <v>1</v>
      </c>
      <c r="BI726" s="32" t="str">
        <f>INDEX(Stores!$B$2:$B$21,MATCH(B726,Stores!$A$2:$A$21,0))</f>
        <v>Pune</v>
      </c>
    </row>
    <row r="727">
      <c r="A727" s="32" t="str">
        <f>Orders!A724</f>
        <v>O00723</v>
      </c>
      <c r="B727" s="32" t="str">
        <f>Orders!C724</f>
        <v>S016</v>
      </c>
      <c r="C727" s="32" t="str">
        <f>Orders!B724</f>
        <v>C0160</v>
      </c>
      <c r="D727" s="32" t="str">
        <f>Orders!H724</f>
        <v>Delivered</v>
      </c>
      <c r="E727" s="33">
        <f>IF(Orders!H724="Delivered",1,0)</f>
        <v>1</v>
      </c>
      <c r="F727" s="34">
        <f>IF(E727=1,Orders!R724,"")</f>
        <v>-0.7</v>
      </c>
      <c r="G727" s="33">
        <f>IF(E727=1,IF(Orders!R724&gt;0,1,0),"")</f>
        <v>0</v>
      </c>
      <c r="H727" s="33">
        <f>IF(E727=1,IF(Orders!R724&gt;5,1,0),"")</f>
        <v>0</v>
      </c>
      <c r="I727" s="32" t="str">
        <f>IF(E727=1,"",IF(OR(Orders!T724="Rider unavailable",Orders!T724="Item unavailable"),"Company-caused","Unresolved"))</f>
        <v/>
      </c>
      <c r="J727" s="33">
        <f>IF(OR(E727=1,I727="Company-caused"),1,0)</f>
        <v>1</v>
      </c>
      <c r="K727" s="32" t="str">
        <f>IF(E727=0,IF(I727="Company-caused",IF(Orders!T724="Rider unavailable","C1 Rider unavailable","C2 Item unavailable"),"Outside root: unresolved"),IF(G727=0,"A On time",IF(H727=1,IF(L727=1,"B2a Severe, peak","B2b Severe, off-peak"),IF(L727=1,"B1a Slight, peak","B1b Slight, off-peak"))))</f>
        <v>A On time</v>
      </c>
      <c r="L727" s="33">
        <f>IF(AND(Orders!U724&gt;=19,Orders!U724&lt;22),1,0)</f>
        <v>1</v>
      </c>
      <c r="M727" s="33">
        <f>IF(L727=IF(Orders!V724,1,0),1,0)</f>
        <v>1</v>
      </c>
      <c r="N727" s="32" t="str">
        <f>IF(Orders!W724="","None",Orders!W724)</f>
        <v>None</v>
      </c>
      <c r="O727" s="35">
        <f>INT(Orders!E724)</f>
        <v>46278.0</v>
      </c>
      <c r="P727" s="33">
        <f>Orders!U724</f>
        <v>20</v>
      </c>
      <c r="Q727" s="33">
        <f>COUNTIFS(Demand!$A$2:$A$4481,B727,Demand!$B$2:$B$4481,O727,Demand!$C$2:$C$4481,P727)</f>
        <v>1</v>
      </c>
      <c r="R727" s="33">
        <f>IF(Q727=1,SUMIFS(Demand!$E$2:$E$4481,Demand!$A$2:$A$4481,B727,Demand!$B$2:$B$4481,O727,Demand!$C$2:$C$4481,P727),"")</f>
        <v>48</v>
      </c>
      <c r="S727" s="33">
        <f>INDEX(Stores!$G$2:$G$21,MATCH(B727,Stores!$A$2:$A$21,0))</f>
        <v>25</v>
      </c>
      <c r="T727" s="34">
        <f>IF(R727="","",R727/S727)</f>
        <v>1.92</v>
      </c>
      <c r="U727" s="34">
        <f>IF(E727=1,T727,"")</f>
        <v>1.92</v>
      </c>
      <c r="V727" s="34" t="str">
        <f>IF(AND(E727=1,L727=0),T727,"")</f>
        <v/>
      </c>
      <c r="W727" s="33">
        <f>IF(U727="","",IF(U727&lt;=Breakdowns!$C$5,1,IF(U727&lt;=Breakdowns!$C$6,2,IF(U727&lt;=Breakdowns!$C$7,3,4))))</f>
        <v>4</v>
      </c>
      <c r="X727" s="33" t="str">
        <f>IF(V727="","",IF(V727&lt;=Breakdowns!$D$5,1,IF(V727&lt;=Breakdowns!$D$6,2,IF(V727&lt;=Breakdowns!$D$7,3,4))))</f>
        <v/>
      </c>
      <c r="Y727" s="34">
        <f>INDEX(Stores!$F$2:$F$21,MATCH(B727,Stores!$A$2:$A$21,0))</f>
        <v>5.51</v>
      </c>
      <c r="Z727" s="33">
        <f>IF(Y727&gt;Store_Summary!$M$2,1,0)</f>
        <v>1</v>
      </c>
      <c r="AA727" s="33">
        <f>INDEX(Stores!$C$2:$C$21,MATCH(B727,Stores!$A$2:$A$21,0))</f>
        <v>792</v>
      </c>
      <c r="AB727" s="33">
        <f>IF(AA727&lt;180,1,0)</f>
        <v>0</v>
      </c>
      <c r="AC727" s="32" t="str">
        <f>IF(Orders!D724="","",INDEX(Riders!$C$2:$C$81,MATCH(Orders!D724,Riders!$A$2:$A$81,0)))</f>
        <v>EV scooter</v>
      </c>
      <c r="AD727" s="33">
        <f>IF(Orders!D724="","",INDEX(Riders!$D$2:$D$81,MATCH(Orders!D724,Riders!$A$2:$A$81,0)))</f>
        <v>12</v>
      </c>
      <c r="AE727" s="33">
        <f>IF(Orders!D724="","",IF(INDEX(Riders!$B$2:$B$81,MATCH(Orders!D724,Riders!$A$2:$A$81,0))=B727,1,0))</f>
        <v>1</v>
      </c>
      <c r="AF727" s="34">
        <f>IF(E727=1,Orders!L724,"")</f>
        <v>0.99</v>
      </c>
      <c r="AG727" s="34">
        <f>IF(E727=1,Orders!P724,"")</f>
        <v>8.3</v>
      </c>
      <c r="AH727" s="34">
        <f>IF(E727=1,Orders!Q724,"")</f>
        <v>7.6</v>
      </c>
      <c r="AI727" s="34">
        <f>IF(E727=1,Orders!M724,"")</f>
        <v>2.8</v>
      </c>
      <c r="AJ727" s="34">
        <f>IF(E727=1,Orders!N724,"")</f>
        <v>3</v>
      </c>
      <c r="AK727" s="34">
        <f>IF(E727=1,Orders!O724,"")</f>
        <v>1.8</v>
      </c>
      <c r="AL727" s="33">
        <f>IF(E727=1,IF(ROUND(ABS(AI727+AJ727+AK727-AH727),6)&lt;=0.1,1,0),"")</f>
        <v>1</v>
      </c>
      <c r="AM727" s="36">
        <f>IF(E727=1,AI727/AH727,"")</f>
        <v>0.368421052631579</v>
      </c>
      <c r="AN727" s="36">
        <f>IF(E727=1,AJ727/AH727,"")</f>
        <v>0.394736842105263</v>
      </c>
      <c r="AO727" s="36">
        <f>IF(E727=1,AK727/AH727,"")</f>
        <v>0.236842105263158</v>
      </c>
      <c r="AP727" s="34">
        <f>IF(E727=1,Orders!Y724,"")</f>
        <v>0.74</v>
      </c>
      <c r="AQ727" s="33">
        <f>IF(Orders!X724,1,0)</f>
        <v>0</v>
      </c>
      <c r="AR727" s="34">
        <f>IF(AND(E727=1,L727=1),AJ727,"")</f>
        <v>3</v>
      </c>
      <c r="AS727" s="34" t="str">
        <f>IF(AND(E727=1,L727=0),AJ727,"")</f>
        <v/>
      </c>
      <c r="AT727" s="34">
        <f>IF(AND(E727=1,L727=1),AI727,"")</f>
        <v>2.8</v>
      </c>
      <c r="AU727" s="34" t="str">
        <f>IF(AND(E727=1,L727=0),AI727,"")</f>
        <v/>
      </c>
      <c r="AV727" s="34">
        <f>IF(AND(E727=1,L727=1),AG727,"")</f>
        <v>8.3</v>
      </c>
      <c r="AW727" s="34" t="str">
        <f>IF(AND(E727=1,L727=0),AG727,"")</f>
        <v/>
      </c>
      <c r="AX727" s="34">
        <f>IF(AND(E727=1,L727=1),AH727,"")</f>
        <v>7.6</v>
      </c>
      <c r="AY727" s="34" t="str">
        <f>IF(AND(E727=1,L727=0),AH727,"")</f>
        <v/>
      </c>
      <c r="AZ727" s="34" t="str">
        <f>IF(G727=1,F727,"")</f>
        <v/>
      </c>
      <c r="BA727" s="34" t="str">
        <f>IF(AND(G727=1,L727=1),F727,"")</f>
        <v/>
      </c>
      <c r="BB727" s="34" t="str">
        <f>IF(AND(G727=1,L727=0),F727,"")</f>
        <v/>
      </c>
      <c r="BC727" s="33">
        <f>IF(E727=1,IF(Orders!R724&gt;3,1,0),"")</f>
        <v>0</v>
      </c>
      <c r="BD727" s="33">
        <f>IF(E727=1,IF(Orders!R724&gt;7,1,0),"")</f>
        <v>0</v>
      </c>
      <c r="BE727" s="32" t="str">
        <f>IF(E727=1,IF(Orders!L724&lt;=1.5,"Up to 1.5 km",IF(Orders!L724&lt;=3,"1.5–3 km","Over 3 km")),"")</f>
        <v>Up to 1.5 km</v>
      </c>
      <c r="BF727" s="33">
        <f>IF(E727=1,IF(ABS((Orders!G724-Orders!F724)*1440-Orders!R724)&lt;0.06,1,0),"")</f>
        <v>1</v>
      </c>
      <c r="BG727" s="33">
        <f>IF(ABS((Orders!F724-Orders!E724)*1440-Orders!P724)&lt;0.06,1,0)</f>
        <v>1</v>
      </c>
      <c r="BH727" s="33">
        <f>IF(E727=1,IF(IF(Orders!S724,1,0)=1-G727,1,0),"")</f>
        <v>1</v>
      </c>
      <c r="BI727" s="32" t="str">
        <f>INDEX(Stores!$B$2:$B$21,MATCH(B727,Stores!$A$2:$A$21,0))</f>
        <v>Bengaluru</v>
      </c>
    </row>
    <row r="728">
      <c r="A728" s="32" t="str">
        <f>Orders!A725</f>
        <v>O00724</v>
      </c>
      <c r="B728" s="32" t="str">
        <f>Orders!C725</f>
        <v>S006</v>
      </c>
      <c r="C728" s="32" t="str">
        <f>Orders!B725</f>
        <v>C0249</v>
      </c>
      <c r="D728" s="32" t="str">
        <f>Orders!H725</f>
        <v>Delivered</v>
      </c>
      <c r="E728" s="33">
        <f>IF(Orders!H725="Delivered",1,0)</f>
        <v>1</v>
      </c>
      <c r="F728" s="34">
        <f>IF(E728=1,Orders!R725,"")</f>
        <v>-1.1</v>
      </c>
      <c r="G728" s="33">
        <f>IF(E728=1,IF(Orders!R725&gt;0,1,0),"")</f>
        <v>0</v>
      </c>
      <c r="H728" s="33">
        <f>IF(E728=1,IF(Orders!R725&gt;5,1,0),"")</f>
        <v>0</v>
      </c>
      <c r="I728" s="32" t="str">
        <f>IF(E728=1,"",IF(OR(Orders!T725="Rider unavailable",Orders!T725="Item unavailable"),"Company-caused","Unresolved"))</f>
        <v/>
      </c>
      <c r="J728" s="33">
        <f>IF(OR(E728=1,I728="Company-caused"),1,0)</f>
        <v>1</v>
      </c>
      <c r="K728" s="32" t="str">
        <f>IF(E728=0,IF(I728="Company-caused",IF(Orders!T725="Rider unavailable","C1 Rider unavailable","C2 Item unavailable"),"Outside root: unresolved"),IF(G728=0,"A On time",IF(H728=1,IF(L728=1,"B2a Severe, peak","B2b Severe, off-peak"),IF(L728=1,"B1a Slight, peak","B1b Slight, off-peak"))))</f>
        <v>A On time</v>
      </c>
      <c r="L728" s="33">
        <f>IF(AND(Orders!U725&gt;=19,Orders!U725&lt;22),1,0)</f>
        <v>0</v>
      </c>
      <c r="M728" s="33">
        <f>IF(L728=IF(Orders!V725,1,0),1,0)</f>
        <v>1</v>
      </c>
      <c r="N728" s="32" t="str">
        <f>IF(Orders!W725="","None",Orders!W725)</f>
        <v>None</v>
      </c>
      <c r="O728" s="35">
        <f>INT(Orders!E725)</f>
        <v>46277.0</v>
      </c>
      <c r="P728" s="33">
        <f>Orders!U725</f>
        <v>17</v>
      </c>
      <c r="Q728" s="33">
        <f>COUNTIFS(Demand!$A$2:$A$4481,B728,Demand!$B$2:$B$4481,O728,Demand!$C$2:$C$4481,P728)</f>
        <v>1</v>
      </c>
      <c r="R728" s="33">
        <f>IF(Q728=1,SUMIFS(Demand!$E$2:$E$4481,Demand!$A$2:$A$4481,B728,Demand!$B$2:$B$4481,O728,Demand!$C$2:$C$4481,P728),"")</f>
        <v>18</v>
      </c>
      <c r="S728" s="33">
        <f>INDEX(Stores!$G$2:$G$21,MATCH(B728,Stores!$A$2:$A$21,0))</f>
        <v>26</v>
      </c>
      <c r="T728" s="34">
        <f>IF(R728="","",R728/S728)</f>
        <v>0.692307692307692</v>
      </c>
      <c r="U728" s="34">
        <f>IF(E728=1,T728,"")</f>
        <v>0.692307692307692</v>
      </c>
      <c r="V728" s="34">
        <f>IF(AND(E728=1,L728=0),T728,"")</f>
        <v>0.692307692307692</v>
      </c>
      <c r="W728" s="33">
        <f>IF(U728="","",IF(U728&lt;=Breakdowns!$C$5,1,IF(U728&lt;=Breakdowns!$C$6,2,IF(U728&lt;=Breakdowns!$C$7,3,4))))</f>
        <v>1</v>
      </c>
      <c r="X728" s="33">
        <f>IF(V728="","",IF(V728&lt;=Breakdowns!$D$5,1,IF(V728&lt;=Breakdowns!$D$6,2,IF(V728&lt;=Breakdowns!$D$7,3,4))))</f>
        <v>1</v>
      </c>
      <c r="Y728" s="34">
        <f>INDEX(Stores!$F$2:$F$21,MATCH(B728,Stores!$A$2:$A$21,0))</f>
        <v>5.22</v>
      </c>
      <c r="Z728" s="33">
        <f>IF(Y728&gt;Store_Summary!$M$2,1,0)</f>
        <v>1</v>
      </c>
      <c r="AA728" s="33">
        <f>INDEX(Stores!$C$2:$C$21,MATCH(B728,Stores!$A$2:$A$21,0))</f>
        <v>412</v>
      </c>
      <c r="AB728" s="33">
        <f>IF(AA728&lt;180,1,0)</f>
        <v>0</v>
      </c>
      <c r="AC728" s="32" t="str">
        <f>IF(Orders!D725="","",INDEX(Riders!$C$2:$C$81,MATCH(Orders!D725,Riders!$A$2:$A$81,0)))</f>
        <v>Petrol scooter</v>
      </c>
      <c r="AD728" s="33">
        <f>IF(Orders!D725="","",INDEX(Riders!$D$2:$D$81,MATCH(Orders!D725,Riders!$A$2:$A$81,0)))</f>
        <v>6</v>
      </c>
      <c r="AE728" s="33">
        <f>IF(Orders!D725="","",IF(INDEX(Riders!$B$2:$B$81,MATCH(Orders!D725,Riders!$A$2:$A$81,0))=B728,1,0))</f>
        <v>0</v>
      </c>
      <c r="AF728" s="34">
        <f>IF(E728=1,Orders!L725,"")</f>
        <v>2.26</v>
      </c>
      <c r="AG728" s="34">
        <f>IF(E728=1,Orders!P725,"")</f>
        <v>10.6</v>
      </c>
      <c r="AH728" s="34">
        <f>IF(E728=1,Orders!Q725,"")</f>
        <v>9.5</v>
      </c>
      <c r="AI728" s="34">
        <f>IF(E728=1,Orders!M725,"")</f>
        <v>4.3</v>
      </c>
      <c r="AJ728" s="34">
        <f>IF(E728=1,Orders!N725,"")</f>
        <v>0.8</v>
      </c>
      <c r="AK728" s="34">
        <f>IF(E728=1,Orders!O725,"")</f>
        <v>4.4</v>
      </c>
      <c r="AL728" s="33">
        <f>IF(E728=1,IF(ROUND(ABS(AI728+AJ728+AK728-AH728),6)&lt;=0.1,1,0),"")</f>
        <v>1</v>
      </c>
      <c r="AM728" s="36">
        <f>IF(E728=1,AI728/AH728,"")</f>
        <v>0.452631578947368</v>
      </c>
      <c r="AN728" s="36">
        <f>IF(E728=1,AJ728/AH728,"")</f>
        <v>0.0842105263157895</v>
      </c>
      <c r="AO728" s="36">
        <f>IF(E728=1,AK728/AH728,"")</f>
        <v>0.463157894736842</v>
      </c>
      <c r="AP728" s="34">
        <f>IF(E728=1,Orders!Y725,"")</f>
        <v>0.66</v>
      </c>
      <c r="AQ728" s="33">
        <f>IF(Orders!X725,1,0)</f>
        <v>0</v>
      </c>
      <c r="AR728" s="34" t="str">
        <f>IF(AND(E728=1,L728=1),AJ728,"")</f>
        <v/>
      </c>
      <c r="AS728" s="34">
        <f>IF(AND(E728=1,L728=0),AJ728,"")</f>
        <v>0.8</v>
      </c>
      <c r="AT728" s="34" t="str">
        <f>IF(AND(E728=1,L728=1),AI728,"")</f>
        <v/>
      </c>
      <c r="AU728" s="34">
        <f>IF(AND(E728=1,L728=0),AI728,"")</f>
        <v>4.3</v>
      </c>
      <c r="AV728" s="34" t="str">
        <f>IF(AND(E728=1,L728=1),AG728,"")</f>
        <v/>
      </c>
      <c r="AW728" s="34">
        <f>IF(AND(E728=1,L728=0),AG728,"")</f>
        <v>10.6</v>
      </c>
      <c r="AX728" s="34" t="str">
        <f>IF(AND(E728=1,L728=1),AH728,"")</f>
        <v/>
      </c>
      <c r="AY728" s="34">
        <f>IF(AND(E728=1,L728=0),AH728,"")</f>
        <v>9.5</v>
      </c>
      <c r="AZ728" s="34" t="str">
        <f>IF(G728=1,F728,"")</f>
        <v/>
      </c>
      <c r="BA728" s="34" t="str">
        <f>IF(AND(G728=1,L728=1),F728,"")</f>
        <v/>
      </c>
      <c r="BB728" s="34" t="str">
        <f>IF(AND(G728=1,L728=0),F728,"")</f>
        <v/>
      </c>
      <c r="BC728" s="33">
        <f>IF(E728=1,IF(Orders!R725&gt;3,1,0),"")</f>
        <v>0</v>
      </c>
      <c r="BD728" s="33">
        <f>IF(E728=1,IF(Orders!R725&gt;7,1,0),"")</f>
        <v>0</v>
      </c>
      <c r="BE728" s="32" t="str">
        <f>IF(E728=1,IF(Orders!L725&lt;=1.5,"Up to 1.5 km",IF(Orders!L725&lt;=3,"1.5–3 km","Over 3 km")),"")</f>
        <v>1.5–3 km</v>
      </c>
      <c r="BF728" s="33">
        <f>IF(E728=1,IF(ABS((Orders!G725-Orders!F725)*1440-Orders!R725)&lt;0.06,1,0),"")</f>
        <v>1</v>
      </c>
      <c r="BG728" s="33">
        <f>IF(ABS((Orders!F725-Orders!E725)*1440-Orders!P725)&lt;0.06,1,0)</f>
        <v>1</v>
      </c>
      <c r="BH728" s="33">
        <f>IF(E728=1,IF(IF(Orders!S725,1,0)=1-G728,1,0),"")</f>
        <v>1</v>
      </c>
      <c r="BI728" s="32" t="str">
        <f>INDEX(Stores!$B$2:$B$21,MATCH(B728,Stores!$A$2:$A$21,0))</f>
        <v>Bengaluru</v>
      </c>
    </row>
    <row r="729">
      <c r="A729" s="32" t="str">
        <f>Orders!A726</f>
        <v>O00725</v>
      </c>
      <c r="B729" s="32" t="str">
        <f>Orders!C726</f>
        <v>S007</v>
      </c>
      <c r="C729" s="32" t="str">
        <f>Orders!B726</f>
        <v>C0057</v>
      </c>
      <c r="D729" s="32" t="str">
        <f>Orders!H726</f>
        <v>Delivered</v>
      </c>
      <c r="E729" s="33">
        <f>IF(Orders!H726="Delivered",1,0)</f>
        <v>1</v>
      </c>
      <c r="F729" s="34">
        <f>IF(E729=1,Orders!R726,"")</f>
        <v>11.6</v>
      </c>
      <c r="G729" s="33">
        <f>IF(E729=1,IF(Orders!R726&gt;0,1,0),"")</f>
        <v>1</v>
      </c>
      <c r="H729" s="33">
        <f>IF(E729=1,IF(Orders!R726&gt;5,1,0),"")</f>
        <v>1</v>
      </c>
      <c r="I729" s="32" t="str">
        <f>IF(E729=1,"",IF(OR(Orders!T726="Rider unavailable",Orders!T726="Item unavailable"),"Company-caused","Unresolved"))</f>
        <v/>
      </c>
      <c r="J729" s="33">
        <f>IF(OR(E729=1,I729="Company-caused"),1,0)</f>
        <v>1</v>
      </c>
      <c r="K729" s="32" t="str">
        <f>IF(E729=0,IF(I729="Company-caused",IF(Orders!T726="Rider unavailable","C1 Rider unavailable","C2 Item unavailable"),"Outside root: unresolved"),IF(G729=0,"A On time",IF(H729=1,IF(L729=1,"B2a Severe, peak","B2b Severe, off-peak"),IF(L729=1,"B1a Slight, peak","B1b Slight, off-peak"))))</f>
        <v>B2a Severe, peak</v>
      </c>
      <c r="L729" s="33">
        <f>IF(AND(Orders!U726&gt;=19,Orders!U726&lt;22),1,0)</f>
        <v>1</v>
      </c>
      <c r="M729" s="33">
        <f>IF(L729=IF(Orders!V726,1,0),1,0)</f>
        <v>1</v>
      </c>
      <c r="N729" s="32" t="str">
        <f>IF(Orders!W726="","None",Orders!W726)</f>
        <v>Heavy</v>
      </c>
      <c r="O729" s="35">
        <f>INT(Orders!E726)</f>
        <v>46279.0</v>
      </c>
      <c r="P729" s="33">
        <f>Orders!U726</f>
        <v>20</v>
      </c>
      <c r="Q729" s="33">
        <f>COUNTIFS(Demand!$A$2:$A$4481,B729,Demand!$B$2:$B$4481,O729,Demand!$C$2:$C$4481,P729)</f>
        <v>1</v>
      </c>
      <c r="R729" s="33">
        <f>IF(Q729=1,SUMIFS(Demand!$E$2:$E$4481,Demand!$A$2:$A$4481,B729,Demand!$B$2:$B$4481,O729,Demand!$C$2:$C$4481,P729),"")</f>
        <v>62</v>
      </c>
      <c r="S729" s="33">
        <f>INDEX(Stores!$G$2:$G$21,MATCH(B729,Stores!$A$2:$A$21,0))</f>
        <v>37</v>
      </c>
      <c r="T729" s="34">
        <f>IF(R729="","",R729/S729)</f>
        <v>1.67567567567568</v>
      </c>
      <c r="U729" s="34">
        <f>IF(E729=1,T729,"")</f>
        <v>1.67567567567568</v>
      </c>
      <c r="V729" s="34" t="str">
        <f>IF(AND(E729=1,L729=0),T729,"")</f>
        <v/>
      </c>
      <c r="W729" s="33">
        <f>IF(U729="","",IF(U729&lt;=Breakdowns!$C$5,1,IF(U729&lt;=Breakdowns!$C$6,2,IF(U729&lt;=Breakdowns!$C$7,3,4))))</f>
        <v>4</v>
      </c>
      <c r="X729" s="33" t="str">
        <f>IF(V729="","",IF(V729&lt;=Breakdowns!$D$5,1,IF(V729&lt;=Breakdowns!$D$6,2,IF(V729&lt;=Breakdowns!$D$7,3,4))))</f>
        <v/>
      </c>
      <c r="Y729" s="34">
        <f>INDEX(Stores!$F$2:$F$21,MATCH(B729,Stores!$A$2:$A$21,0))</f>
        <v>4.05</v>
      </c>
      <c r="Z729" s="33">
        <f>IF(Y729&gt;Store_Summary!$M$2,1,0)</f>
        <v>0</v>
      </c>
      <c r="AA729" s="33">
        <f>INDEX(Stores!$C$2:$C$21,MATCH(B729,Stores!$A$2:$A$21,0))</f>
        <v>661</v>
      </c>
      <c r="AB729" s="33">
        <f>IF(AA729&lt;180,1,0)</f>
        <v>0</v>
      </c>
      <c r="AC729" s="32" t="str">
        <f>IF(Orders!D726="","",INDEX(Riders!$C$2:$C$81,MATCH(Orders!D726,Riders!$A$2:$A$81,0)))</f>
        <v>Bicycle</v>
      </c>
      <c r="AD729" s="33">
        <f>IF(Orders!D726="","",INDEX(Riders!$D$2:$D$81,MATCH(Orders!D726,Riders!$A$2:$A$81,0)))</f>
        <v>2</v>
      </c>
      <c r="AE729" s="33">
        <f>IF(Orders!D726="","",IF(INDEX(Riders!$B$2:$B$81,MATCH(Orders!D726,Riders!$A$2:$A$81,0))=B729,1,0))</f>
        <v>0</v>
      </c>
      <c r="AF729" s="34">
        <f>IF(E729=1,Orders!L726,"")</f>
        <v>1.45</v>
      </c>
      <c r="AG729" s="34">
        <f>IF(E729=1,Orders!P726,"")</f>
        <v>8.9</v>
      </c>
      <c r="AH729" s="34">
        <f>IF(E729=1,Orders!Q726,"")</f>
        <v>20.5</v>
      </c>
      <c r="AI729" s="34">
        <f>IF(E729=1,Orders!M726,"")</f>
        <v>4.6</v>
      </c>
      <c r="AJ729" s="34">
        <f>IF(E729=1,Orders!N726,"")</f>
        <v>8.8</v>
      </c>
      <c r="AK729" s="34">
        <f>IF(E729=1,Orders!O726,"")</f>
        <v>7</v>
      </c>
      <c r="AL729" s="33">
        <f>IF(E729=1,IF(ROUND(ABS(AI729+AJ729+AK729-AH729),6)&lt;=0.1,1,0),"")</f>
        <v>1</v>
      </c>
      <c r="AM729" s="36">
        <f>IF(E729=1,AI729/AH729,"")</f>
        <v>0.224390243902439</v>
      </c>
      <c r="AN729" s="36">
        <f>IF(E729=1,AJ729/AH729,"")</f>
        <v>0.429268292682927</v>
      </c>
      <c r="AO729" s="36">
        <f>IF(E729=1,AK729/AH729,"")</f>
        <v>0.341463414634146</v>
      </c>
      <c r="AP729" s="34">
        <f>IF(E729=1,Orders!Y726,"")</f>
        <v>0.47</v>
      </c>
      <c r="AQ729" s="33">
        <f>IF(Orders!X726,1,0)</f>
        <v>0</v>
      </c>
      <c r="AR729" s="34">
        <f>IF(AND(E729=1,L729=1),AJ729,"")</f>
        <v>8.8</v>
      </c>
      <c r="AS729" s="34" t="str">
        <f>IF(AND(E729=1,L729=0),AJ729,"")</f>
        <v/>
      </c>
      <c r="AT729" s="34">
        <f>IF(AND(E729=1,L729=1),AI729,"")</f>
        <v>4.6</v>
      </c>
      <c r="AU729" s="34" t="str">
        <f>IF(AND(E729=1,L729=0),AI729,"")</f>
        <v/>
      </c>
      <c r="AV729" s="34">
        <f>IF(AND(E729=1,L729=1),AG729,"")</f>
        <v>8.9</v>
      </c>
      <c r="AW729" s="34" t="str">
        <f>IF(AND(E729=1,L729=0),AG729,"")</f>
        <v/>
      </c>
      <c r="AX729" s="34">
        <f>IF(AND(E729=1,L729=1),AH729,"")</f>
        <v>20.5</v>
      </c>
      <c r="AY729" s="34" t="str">
        <f>IF(AND(E729=1,L729=0),AH729,"")</f>
        <v/>
      </c>
      <c r="AZ729" s="34">
        <f>IF(G729=1,F729,"")</f>
        <v>11.6</v>
      </c>
      <c r="BA729" s="34">
        <f>IF(AND(G729=1,L729=1),F729,"")</f>
        <v>11.6</v>
      </c>
      <c r="BB729" s="34" t="str">
        <f>IF(AND(G729=1,L729=0),F729,"")</f>
        <v/>
      </c>
      <c r="BC729" s="33">
        <f>IF(E729=1,IF(Orders!R726&gt;3,1,0),"")</f>
        <v>1</v>
      </c>
      <c r="BD729" s="33">
        <f>IF(E729=1,IF(Orders!R726&gt;7,1,0),"")</f>
        <v>1</v>
      </c>
      <c r="BE729" s="32" t="str">
        <f>IF(E729=1,IF(Orders!L726&lt;=1.5,"Up to 1.5 km",IF(Orders!L726&lt;=3,"1.5–3 km","Over 3 km")),"")</f>
        <v>Up to 1.5 km</v>
      </c>
      <c r="BF729" s="33">
        <f>IF(E729=1,IF(ABS((Orders!G726-Orders!F726)*1440-Orders!R726)&lt;0.06,1,0),"")</f>
        <v>1</v>
      </c>
      <c r="BG729" s="33">
        <f>IF(ABS((Orders!F726-Orders!E726)*1440-Orders!P726)&lt;0.06,1,0)</f>
        <v>1</v>
      </c>
      <c r="BH729" s="33">
        <f>IF(E729=1,IF(IF(Orders!S726,1,0)=1-G729,1,0),"")</f>
        <v>1</v>
      </c>
      <c r="BI729" s="32" t="str">
        <f>INDEX(Stores!$B$2:$B$21,MATCH(B729,Stores!$A$2:$A$21,0))</f>
        <v>Hyderabad</v>
      </c>
    </row>
    <row r="730">
      <c r="A730" s="32" t="str">
        <f>Orders!A727</f>
        <v>O00726</v>
      </c>
      <c r="B730" s="32" t="str">
        <f>Orders!C727</f>
        <v>S013</v>
      </c>
      <c r="C730" s="32" t="str">
        <f>Orders!B727</f>
        <v>C0047</v>
      </c>
      <c r="D730" s="32" t="str">
        <f>Orders!H727</f>
        <v>Delivered</v>
      </c>
      <c r="E730" s="33">
        <f>IF(Orders!H727="Delivered",1,0)</f>
        <v>1</v>
      </c>
      <c r="F730" s="34">
        <f>IF(E730=1,Orders!R727,"")</f>
        <v>-0.6</v>
      </c>
      <c r="G730" s="33">
        <f>IF(E730=1,IF(Orders!R727&gt;0,1,0),"")</f>
        <v>0</v>
      </c>
      <c r="H730" s="33">
        <f>IF(E730=1,IF(Orders!R727&gt;5,1,0),"")</f>
        <v>0</v>
      </c>
      <c r="I730" s="32" t="str">
        <f>IF(E730=1,"",IF(OR(Orders!T727="Rider unavailable",Orders!T727="Item unavailable"),"Company-caused","Unresolved"))</f>
        <v/>
      </c>
      <c r="J730" s="33">
        <f>IF(OR(E730=1,I730="Company-caused"),1,0)</f>
        <v>1</v>
      </c>
      <c r="K730" s="32" t="str">
        <f>IF(E730=0,IF(I730="Company-caused",IF(Orders!T727="Rider unavailable","C1 Rider unavailable","C2 Item unavailable"),"Outside root: unresolved"),IF(G730=0,"A On time",IF(H730=1,IF(L730=1,"B2a Severe, peak","B2b Severe, off-peak"),IF(L730=1,"B1a Slight, peak","B1b Slight, off-peak"))))</f>
        <v>A On time</v>
      </c>
      <c r="L730" s="33">
        <f>IF(AND(Orders!U727&gt;=19,Orders!U727&lt;22),1,0)</f>
        <v>0</v>
      </c>
      <c r="M730" s="33">
        <f>IF(L730=IF(Orders!V727,1,0),1,0)</f>
        <v>1</v>
      </c>
      <c r="N730" s="32" t="str">
        <f>IF(Orders!W727="","None",Orders!W727)</f>
        <v>Heavy</v>
      </c>
      <c r="O730" s="35">
        <f>INT(Orders!E727)</f>
        <v>46272.0</v>
      </c>
      <c r="P730" s="33">
        <f>Orders!U727</f>
        <v>18</v>
      </c>
      <c r="Q730" s="33">
        <f>COUNTIFS(Demand!$A$2:$A$4481,B730,Demand!$B$2:$B$4481,O730,Demand!$C$2:$C$4481,P730)</f>
        <v>1</v>
      </c>
      <c r="R730" s="33">
        <f>IF(Q730=1,SUMIFS(Demand!$E$2:$E$4481,Demand!$A$2:$A$4481,B730,Demand!$B$2:$B$4481,O730,Demand!$C$2:$C$4481,P730),"")</f>
        <v>52</v>
      </c>
      <c r="S730" s="33">
        <f>INDEX(Stores!$G$2:$G$21,MATCH(B730,Stores!$A$2:$A$21,0))</f>
        <v>49</v>
      </c>
      <c r="T730" s="34">
        <f>IF(R730="","",R730/S730)</f>
        <v>1.06122448979592</v>
      </c>
      <c r="U730" s="34">
        <f>IF(E730=1,T730,"")</f>
        <v>1.06122448979592</v>
      </c>
      <c r="V730" s="34">
        <f>IF(AND(E730=1,L730=0),T730,"")</f>
        <v>1.06122448979592</v>
      </c>
      <c r="W730" s="33">
        <f>IF(U730="","",IF(U730&lt;=Breakdowns!$C$5,1,IF(U730&lt;=Breakdowns!$C$6,2,IF(U730&lt;=Breakdowns!$C$7,3,4))))</f>
        <v>3</v>
      </c>
      <c r="X730" s="33">
        <f>IF(V730="","",IF(V730&lt;=Breakdowns!$D$5,1,IF(V730&lt;=Breakdowns!$D$6,2,IF(V730&lt;=Breakdowns!$D$7,3,4))))</f>
        <v>3</v>
      </c>
      <c r="Y730" s="34">
        <f>INDEX(Stores!$F$2:$F$21,MATCH(B730,Stores!$A$2:$A$21,0))</f>
        <v>5.82</v>
      </c>
      <c r="Z730" s="33">
        <f>IF(Y730&gt;Store_Summary!$M$2,1,0)</f>
        <v>1</v>
      </c>
      <c r="AA730" s="33">
        <f>INDEX(Stores!$C$2:$C$21,MATCH(B730,Stores!$A$2:$A$21,0))</f>
        <v>705</v>
      </c>
      <c r="AB730" s="33">
        <f>IF(AA730&lt;180,1,0)</f>
        <v>0</v>
      </c>
      <c r="AC730" s="32" t="str">
        <f>IF(Orders!D727="","",INDEX(Riders!$C$2:$C$81,MATCH(Orders!D727,Riders!$A$2:$A$81,0)))</f>
        <v>EV scooter</v>
      </c>
      <c r="AD730" s="33">
        <f>IF(Orders!D727="","",INDEX(Riders!$D$2:$D$81,MATCH(Orders!D727,Riders!$A$2:$A$81,0)))</f>
        <v>33</v>
      </c>
      <c r="AE730" s="33">
        <f>IF(Orders!D727="","",IF(INDEX(Riders!$B$2:$B$81,MATCH(Orders!D727,Riders!$A$2:$A$81,0))=B730,1,0))</f>
        <v>0</v>
      </c>
      <c r="AF730" s="34">
        <f>IF(E730=1,Orders!L727,"")</f>
        <v>2.72</v>
      </c>
      <c r="AG730" s="34">
        <f>IF(E730=1,Orders!P727,"")</f>
        <v>11.6</v>
      </c>
      <c r="AH730" s="34">
        <f>IF(E730=1,Orders!Q727,"")</f>
        <v>11</v>
      </c>
      <c r="AI730" s="34">
        <f>IF(E730=1,Orders!M727,"")</f>
        <v>2.4</v>
      </c>
      <c r="AJ730" s="34">
        <f>IF(E730=1,Orders!N727,"")</f>
        <v>4.3</v>
      </c>
      <c r="AK730" s="34">
        <f>IF(E730=1,Orders!O727,"")</f>
        <v>4.3</v>
      </c>
      <c r="AL730" s="33">
        <f>IF(E730=1,IF(ROUND(ABS(AI730+AJ730+AK730-AH730),6)&lt;=0.1,1,0),"")</f>
        <v>1</v>
      </c>
      <c r="AM730" s="36">
        <f>IF(E730=1,AI730/AH730,"")</f>
        <v>0.218181818181818</v>
      </c>
      <c r="AN730" s="36">
        <f>IF(E730=1,AJ730/AH730,"")</f>
        <v>0.390909090909091</v>
      </c>
      <c r="AO730" s="36">
        <f>IF(E730=1,AK730/AH730,"")</f>
        <v>0.390909090909091</v>
      </c>
      <c r="AP730" s="34">
        <f>IF(E730=1,Orders!Y727,"")</f>
        <v>0.4</v>
      </c>
      <c r="AQ730" s="33">
        <f>IF(Orders!X727,1,0)</f>
        <v>0</v>
      </c>
      <c r="AR730" s="34" t="str">
        <f>IF(AND(E730=1,L730=1),AJ730,"")</f>
        <v/>
      </c>
      <c r="AS730" s="34">
        <f>IF(AND(E730=1,L730=0),AJ730,"")</f>
        <v>4.3</v>
      </c>
      <c r="AT730" s="34" t="str">
        <f>IF(AND(E730=1,L730=1),AI730,"")</f>
        <v/>
      </c>
      <c r="AU730" s="34">
        <f>IF(AND(E730=1,L730=0),AI730,"")</f>
        <v>2.4</v>
      </c>
      <c r="AV730" s="34" t="str">
        <f>IF(AND(E730=1,L730=1),AG730,"")</f>
        <v/>
      </c>
      <c r="AW730" s="34">
        <f>IF(AND(E730=1,L730=0),AG730,"")</f>
        <v>11.6</v>
      </c>
      <c r="AX730" s="34" t="str">
        <f>IF(AND(E730=1,L730=1),AH730,"")</f>
        <v/>
      </c>
      <c r="AY730" s="34">
        <f>IF(AND(E730=1,L730=0),AH730,"")</f>
        <v>11</v>
      </c>
      <c r="AZ730" s="34" t="str">
        <f>IF(G730=1,F730,"")</f>
        <v/>
      </c>
      <c r="BA730" s="34" t="str">
        <f>IF(AND(G730=1,L730=1),F730,"")</f>
        <v/>
      </c>
      <c r="BB730" s="34" t="str">
        <f>IF(AND(G730=1,L730=0),F730,"")</f>
        <v/>
      </c>
      <c r="BC730" s="33">
        <f>IF(E730=1,IF(Orders!R727&gt;3,1,0),"")</f>
        <v>0</v>
      </c>
      <c r="BD730" s="33">
        <f>IF(E730=1,IF(Orders!R727&gt;7,1,0),"")</f>
        <v>0</v>
      </c>
      <c r="BE730" s="32" t="str">
        <f>IF(E730=1,IF(Orders!L727&lt;=1.5,"Up to 1.5 km",IF(Orders!L727&lt;=3,"1.5–3 km","Over 3 km")),"")</f>
        <v>1.5–3 km</v>
      </c>
      <c r="BF730" s="33">
        <f>IF(E730=1,IF(ABS((Orders!G727-Orders!F727)*1440-Orders!R727)&lt;0.06,1,0),"")</f>
        <v>1</v>
      </c>
      <c r="BG730" s="33">
        <f>IF(ABS((Orders!F727-Orders!E727)*1440-Orders!P727)&lt;0.06,1,0)</f>
        <v>1</v>
      </c>
      <c r="BH730" s="33">
        <f>IF(E730=1,IF(IF(Orders!S727,1,0)=1-G730,1,0),"")</f>
        <v>1</v>
      </c>
      <c r="BI730" s="32" t="str">
        <f>INDEX(Stores!$B$2:$B$21,MATCH(B730,Stores!$A$2:$A$21,0))</f>
        <v>Mumbai</v>
      </c>
    </row>
    <row r="731">
      <c r="A731" s="32" t="str">
        <f>Orders!A728</f>
        <v>O00727</v>
      </c>
      <c r="B731" s="32" t="str">
        <f>Orders!C728</f>
        <v>S002</v>
      </c>
      <c r="C731" s="32" t="str">
        <f>Orders!B728</f>
        <v>C0125</v>
      </c>
      <c r="D731" s="32" t="str">
        <f>Orders!H728</f>
        <v>Delivered</v>
      </c>
      <c r="E731" s="33">
        <f>IF(Orders!H728="Delivered",1,0)</f>
        <v>1</v>
      </c>
      <c r="F731" s="34">
        <f>IF(E731=1,Orders!R728,"")</f>
        <v>4.5</v>
      </c>
      <c r="G731" s="33">
        <f>IF(E731=1,IF(Orders!R728&gt;0,1,0),"")</f>
        <v>1</v>
      </c>
      <c r="H731" s="33">
        <f>IF(E731=1,IF(Orders!R728&gt;5,1,0),"")</f>
        <v>0</v>
      </c>
      <c r="I731" s="32" t="str">
        <f>IF(E731=1,"",IF(OR(Orders!T728="Rider unavailable",Orders!T728="Item unavailable"),"Company-caused","Unresolved"))</f>
        <v/>
      </c>
      <c r="J731" s="33">
        <f>IF(OR(E731=1,I731="Company-caused"),1,0)</f>
        <v>1</v>
      </c>
      <c r="K731" s="32" t="str">
        <f>IF(E731=0,IF(I731="Company-caused",IF(Orders!T728="Rider unavailable","C1 Rider unavailable","C2 Item unavailable"),"Outside root: unresolved"),IF(G731=0,"A On time",IF(H731=1,IF(L731=1,"B2a Severe, peak","B2b Severe, off-peak"),IF(L731=1,"B1a Slight, peak","B1b Slight, off-peak"))))</f>
        <v>B1b Slight, off-peak</v>
      </c>
      <c r="L731" s="33">
        <f>IF(AND(Orders!U728&gt;=19,Orders!U728&lt;22),1,0)</f>
        <v>0</v>
      </c>
      <c r="M731" s="33">
        <f>IF(L731=IF(Orders!V728,1,0),1,0)</f>
        <v>1</v>
      </c>
      <c r="N731" s="32" t="str">
        <f>IF(Orders!W728="","None",Orders!W728)</f>
        <v>None</v>
      </c>
      <c r="O731" s="35">
        <f>INT(Orders!E728)</f>
        <v>46276.0</v>
      </c>
      <c r="P731" s="33">
        <f>Orders!U728</f>
        <v>13</v>
      </c>
      <c r="Q731" s="33">
        <f>COUNTIFS(Demand!$A$2:$A$4481,B731,Demand!$B$2:$B$4481,O731,Demand!$C$2:$C$4481,P731)</f>
        <v>1</v>
      </c>
      <c r="R731" s="33">
        <f>IF(Q731=1,SUMIFS(Demand!$E$2:$E$4481,Demand!$A$2:$A$4481,B731,Demand!$B$2:$B$4481,O731,Demand!$C$2:$C$4481,P731),"")</f>
        <v>33</v>
      </c>
      <c r="S731" s="33">
        <f>INDEX(Stores!$G$2:$G$21,MATCH(B731,Stores!$A$2:$A$21,0))</f>
        <v>33</v>
      </c>
      <c r="T731" s="34">
        <f>IF(R731="","",R731/S731)</f>
        <v>1</v>
      </c>
      <c r="U731" s="34">
        <f>IF(E731=1,T731,"")</f>
        <v>1</v>
      </c>
      <c r="V731" s="34">
        <f>IF(AND(E731=1,L731=0),T731,"")</f>
        <v>1</v>
      </c>
      <c r="W731" s="33">
        <f>IF(U731="","",IF(U731&lt;=Breakdowns!$C$5,1,IF(U731&lt;=Breakdowns!$C$6,2,IF(U731&lt;=Breakdowns!$C$7,3,4))))</f>
        <v>2</v>
      </c>
      <c r="X731" s="33">
        <f>IF(V731="","",IF(V731&lt;=Breakdowns!$D$5,1,IF(V731&lt;=Breakdowns!$D$6,2,IF(V731&lt;=Breakdowns!$D$7,3,4))))</f>
        <v>3</v>
      </c>
      <c r="Y731" s="34">
        <f>INDEX(Stores!$F$2:$F$21,MATCH(B731,Stores!$A$2:$A$21,0))</f>
        <v>2.39</v>
      </c>
      <c r="Z731" s="33">
        <f>IF(Y731&gt;Store_Summary!$M$2,1,0)</f>
        <v>0</v>
      </c>
      <c r="AA731" s="33">
        <f>INDEX(Stores!$C$2:$C$21,MATCH(B731,Stores!$A$2:$A$21,0))</f>
        <v>470</v>
      </c>
      <c r="AB731" s="33">
        <f>IF(AA731&lt;180,1,0)</f>
        <v>0</v>
      </c>
      <c r="AC731" s="32" t="str">
        <f>IF(Orders!D728="","",INDEX(Riders!$C$2:$C$81,MATCH(Orders!D728,Riders!$A$2:$A$81,0)))</f>
        <v>Petrol scooter</v>
      </c>
      <c r="AD731" s="33">
        <f>IF(Orders!D728="","",INDEX(Riders!$D$2:$D$81,MATCH(Orders!D728,Riders!$A$2:$A$81,0)))</f>
        <v>44</v>
      </c>
      <c r="AE731" s="33">
        <f>IF(Orders!D728="","",IF(INDEX(Riders!$B$2:$B$81,MATCH(Orders!D728,Riders!$A$2:$A$81,0))=B731,1,0))</f>
        <v>0</v>
      </c>
      <c r="AF731" s="34">
        <f>IF(E731=1,Orders!L728,"")</f>
        <v>2.54</v>
      </c>
      <c r="AG731" s="34">
        <f>IF(E731=1,Orders!P728,"")</f>
        <v>8.8</v>
      </c>
      <c r="AH731" s="34">
        <f>IF(E731=1,Orders!Q728,"")</f>
        <v>13.3</v>
      </c>
      <c r="AI731" s="34">
        <f>IF(E731=1,Orders!M728,"")</f>
        <v>2.6</v>
      </c>
      <c r="AJ731" s="34">
        <f>IF(E731=1,Orders!N728,"")</f>
        <v>2.6</v>
      </c>
      <c r="AK731" s="34">
        <f>IF(E731=1,Orders!O728,"")</f>
        <v>8.1</v>
      </c>
      <c r="AL731" s="33">
        <f>IF(E731=1,IF(ROUND(ABS(AI731+AJ731+AK731-AH731),6)&lt;=0.1,1,0),"")</f>
        <v>1</v>
      </c>
      <c r="AM731" s="36">
        <f>IF(E731=1,AI731/AH731,"")</f>
        <v>0.195488721804511</v>
      </c>
      <c r="AN731" s="36">
        <f>IF(E731=1,AJ731/AH731,"")</f>
        <v>0.195488721804511</v>
      </c>
      <c r="AO731" s="36">
        <f>IF(E731=1,AK731/AH731,"")</f>
        <v>0.609022556390977</v>
      </c>
      <c r="AP731" s="34">
        <f>IF(E731=1,Orders!Y728,"")</f>
        <v>0.68</v>
      </c>
      <c r="AQ731" s="33">
        <f>IF(Orders!X728,1,0)</f>
        <v>0</v>
      </c>
      <c r="AR731" s="34" t="str">
        <f>IF(AND(E731=1,L731=1),AJ731,"")</f>
        <v/>
      </c>
      <c r="AS731" s="34">
        <f>IF(AND(E731=1,L731=0),AJ731,"")</f>
        <v>2.6</v>
      </c>
      <c r="AT731" s="34" t="str">
        <f>IF(AND(E731=1,L731=1),AI731,"")</f>
        <v/>
      </c>
      <c r="AU731" s="34">
        <f>IF(AND(E731=1,L731=0),AI731,"")</f>
        <v>2.6</v>
      </c>
      <c r="AV731" s="34" t="str">
        <f>IF(AND(E731=1,L731=1),AG731,"")</f>
        <v/>
      </c>
      <c r="AW731" s="34">
        <f>IF(AND(E731=1,L731=0),AG731,"")</f>
        <v>8.8</v>
      </c>
      <c r="AX731" s="34" t="str">
        <f>IF(AND(E731=1,L731=1),AH731,"")</f>
        <v/>
      </c>
      <c r="AY731" s="34">
        <f>IF(AND(E731=1,L731=0),AH731,"")</f>
        <v>13.3</v>
      </c>
      <c r="AZ731" s="34">
        <f>IF(G731=1,F731,"")</f>
        <v>4.5</v>
      </c>
      <c r="BA731" s="34" t="str">
        <f>IF(AND(G731=1,L731=1),F731,"")</f>
        <v/>
      </c>
      <c r="BB731" s="34">
        <f>IF(AND(G731=1,L731=0),F731,"")</f>
        <v>4.5</v>
      </c>
      <c r="BC731" s="33">
        <f>IF(E731=1,IF(Orders!R728&gt;3,1,0),"")</f>
        <v>1</v>
      </c>
      <c r="BD731" s="33">
        <f>IF(E731=1,IF(Orders!R728&gt;7,1,0),"")</f>
        <v>0</v>
      </c>
      <c r="BE731" s="32" t="str">
        <f>IF(E731=1,IF(Orders!L728&lt;=1.5,"Up to 1.5 km",IF(Orders!L728&lt;=3,"1.5–3 km","Over 3 km")),"")</f>
        <v>1.5–3 km</v>
      </c>
      <c r="BF731" s="33">
        <f>IF(E731=1,IF(ABS((Orders!G728-Orders!F728)*1440-Orders!R728)&lt;0.06,1,0),"")</f>
        <v>1</v>
      </c>
      <c r="BG731" s="33">
        <f>IF(ABS((Orders!F728-Orders!E728)*1440-Orders!P728)&lt;0.06,1,0)</f>
        <v>1</v>
      </c>
      <c r="BH731" s="33">
        <f>IF(E731=1,IF(IF(Orders!S728,1,0)=1-G731,1,0),"")</f>
        <v>1</v>
      </c>
      <c r="BI731" s="32" t="str">
        <f>INDEX(Stores!$B$2:$B$21,MATCH(B731,Stores!$A$2:$A$21,0))</f>
        <v>Hyderabad</v>
      </c>
    </row>
    <row r="732">
      <c r="A732" s="32" t="str">
        <f>Orders!A729</f>
        <v>O00728</v>
      </c>
      <c r="B732" s="32" t="str">
        <f>Orders!C729</f>
        <v>S019</v>
      </c>
      <c r="C732" s="32" t="str">
        <f>Orders!B729</f>
        <v>C0046</v>
      </c>
      <c r="D732" s="32" t="str">
        <f>Orders!H729</f>
        <v>Delivered</v>
      </c>
      <c r="E732" s="33">
        <f>IF(Orders!H729="Delivered",1,0)</f>
        <v>1</v>
      </c>
      <c r="F732" s="34">
        <f>IF(E732=1,Orders!R729,"")</f>
        <v>-1</v>
      </c>
      <c r="G732" s="33">
        <f>IF(E732=1,IF(Orders!R729&gt;0,1,0),"")</f>
        <v>0</v>
      </c>
      <c r="H732" s="33">
        <f>IF(E732=1,IF(Orders!R729&gt;5,1,0),"")</f>
        <v>0</v>
      </c>
      <c r="I732" s="32" t="str">
        <f>IF(E732=1,"",IF(OR(Orders!T729="Rider unavailable",Orders!T729="Item unavailable"),"Company-caused","Unresolved"))</f>
        <v/>
      </c>
      <c r="J732" s="33">
        <f>IF(OR(E732=1,I732="Company-caused"),1,0)</f>
        <v>1</v>
      </c>
      <c r="K732" s="32" t="str">
        <f>IF(E732=0,IF(I732="Company-caused",IF(Orders!T729="Rider unavailable","C1 Rider unavailable","C2 Item unavailable"),"Outside root: unresolved"),IF(G732=0,"A On time",IF(H732=1,IF(L732=1,"B2a Severe, peak","B2b Severe, off-peak"),IF(L732=1,"B1a Slight, peak","B1b Slight, off-peak"))))</f>
        <v>A On time</v>
      </c>
      <c r="L732" s="33">
        <f>IF(AND(Orders!U729&gt;=19,Orders!U729&lt;22),1,0)</f>
        <v>0</v>
      </c>
      <c r="M732" s="33">
        <f>IF(L732=IF(Orders!V729,1,0),1,0)</f>
        <v>1</v>
      </c>
      <c r="N732" s="32" t="str">
        <f>IF(Orders!W729="","None",Orders!W729)</f>
        <v>None</v>
      </c>
      <c r="O732" s="35">
        <f>INT(Orders!E729)</f>
        <v>46269.0</v>
      </c>
      <c r="P732" s="33">
        <f>Orders!U729</f>
        <v>12</v>
      </c>
      <c r="Q732" s="33">
        <f>COUNTIFS(Demand!$A$2:$A$4481,B732,Demand!$B$2:$B$4481,O732,Demand!$C$2:$C$4481,P732)</f>
        <v>1</v>
      </c>
      <c r="R732" s="33">
        <f>IF(Q732=1,SUMIFS(Demand!$E$2:$E$4481,Demand!$A$2:$A$4481,B732,Demand!$B$2:$B$4481,O732,Demand!$C$2:$C$4481,P732),"")</f>
        <v>24</v>
      </c>
      <c r="S732" s="33">
        <f>INDEX(Stores!$G$2:$G$21,MATCH(B732,Stores!$A$2:$A$21,0))</f>
        <v>22</v>
      </c>
      <c r="T732" s="34">
        <f>IF(R732="","",R732/S732)</f>
        <v>1.09090909090909</v>
      </c>
      <c r="U732" s="34">
        <f>IF(E732=1,T732,"")</f>
        <v>1.09090909090909</v>
      </c>
      <c r="V732" s="34">
        <f>IF(AND(E732=1,L732=0),T732,"")</f>
        <v>1.09090909090909</v>
      </c>
      <c r="W732" s="33">
        <f>IF(U732="","",IF(U732&lt;=Breakdowns!$C$5,1,IF(U732&lt;=Breakdowns!$C$6,2,IF(U732&lt;=Breakdowns!$C$7,3,4))))</f>
        <v>3</v>
      </c>
      <c r="X732" s="33">
        <f>IF(V732="","",IF(V732&lt;=Breakdowns!$D$5,1,IF(V732&lt;=Breakdowns!$D$6,2,IF(V732&lt;=Breakdowns!$D$7,3,4))))</f>
        <v>4</v>
      </c>
      <c r="Y732" s="34">
        <f>INDEX(Stores!$F$2:$F$21,MATCH(B732,Stores!$A$2:$A$21,0))</f>
        <v>4.99</v>
      </c>
      <c r="Z732" s="33">
        <f>IF(Y732&gt;Store_Summary!$M$2,1,0)</f>
        <v>1</v>
      </c>
      <c r="AA732" s="33">
        <f>INDEX(Stores!$C$2:$C$21,MATCH(B732,Stores!$A$2:$A$21,0))</f>
        <v>851</v>
      </c>
      <c r="AB732" s="33">
        <f>IF(AA732&lt;180,1,0)</f>
        <v>0</v>
      </c>
      <c r="AC732" s="32" t="str">
        <f>IF(Orders!D729="","",INDEX(Riders!$C$2:$C$81,MATCH(Orders!D729,Riders!$A$2:$A$81,0)))</f>
        <v>Petrol scooter</v>
      </c>
      <c r="AD732" s="33">
        <f>IF(Orders!D729="","",INDEX(Riders!$D$2:$D$81,MATCH(Orders!D729,Riders!$A$2:$A$81,0)))</f>
        <v>19</v>
      </c>
      <c r="AE732" s="33">
        <f>IF(Orders!D729="","",IF(INDEX(Riders!$B$2:$B$81,MATCH(Orders!D729,Riders!$A$2:$A$81,0))=B732,1,0))</f>
        <v>0</v>
      </c>
      <c r="AF732" s="34">
        <f>IF(E732=1,Orders!L729,"")</f>
        <v>2.5</v>
      </c>
      <c r="AG732" s="34">
        <f>IF(E732=1,Orders!P729,"")</f>
        <v>7.8</v>
      </c>
      <c r="AH732" s="34">
        <f>IF(E732=1,Orders!Q729,"")</f>
        <v>6.8</v>
      </c>
      <c r="AI732" s="34">
        <f>IF(E732=1,Orders!M729,"")</f>
        <v>1.8</v>
      </c>
      <c r="AJ732" s="34">
        <f>IF(E732=1,Orders!N729,"")</f>
        <v>3.1</v>
      </c>
      <c r="AK732" s="34">
        <f>IF(E732=1,Orders!O729,"")</f>
        <v>1.9</v>
      </c>
      <c r="AL732" s="33">
        <f>IF(E732=1,IF(ROUND(ABS(AI732+AJ732+AK732-AH732),6)&lt;=0.1,1,0),"")</f>
        <v>1</v>
      </c>
      <c r="AM732" s="36">
        <f>IF(E732=1,AI732/AH732,"")</f>
        <v>0.264705882352941</v>
      </c>
      <c r="AN732" s="36">
        <f>IF(E732=1,AJ732/AH732,"")</f>
        <v>0.455882352941177</v>
      </c>
      <c r="AO732" s="36">
        <f>IF(E732=1,AK732/AH732,"")</f>
        <v>0.279411764705882</v>
      </c>
      <c r="AP732" s="34">
        <f>IF(E732=1,Orders!Y729,"")</f>
        <v>0.66</v>
      </c>
      <c r="AQ732" s="33">
        <f>IF(Orders!X729,1,0)</f>
        <v>0</v>
      </c>
      <c r="AR732" s="34" t="str">
        <f>IF(AND(E732=1,L732=1),AJ732,"")</f>
        <v/>
      </c>
      <c r="AS732" s="34">
        <f>IF(AND(E732=1,L732=0),AJ732,"")</f>
        <v>3.1</v>
      </c>
      <c r="AT732" s="34" t="str">
        <f>IF(AND(E732=1,L732=1),AI732,"")</f>
        <v/>
      </c>
      <c r="AU732" s="34">
        <f>IF(AND(E732=1,L732=0),AI732,"")</f>
        <v>1.8</v>
      </c>
      <c r="AV732" s="34" t="str">
        <f>IF(AND(E732=1,L732=1),AG732,"")</f>
        <v/>
      </c>
      <c r="AW732" s="34">
        <f>IF(AND(E732=1,L732=0),AG732,"")</f>
        <v>7.8</v>
      </c>
      <c r="AX732" s="34" t="str">
        <f>IF(AND(E732=1,L732=1),AH732,"")</f>
        <v/>
      </c>
      <c r="AY732" s="34">
        <f>IF(AND(E732=1,L732=0),AH732,"")</f>
        <v>6.8</v>
      </c>
      <c r="AZ732" s="34" t="str">
        <f>IF(G732=1,F732,"")</f>
        <v/>
      </c>
      <c r="BA732" s="34" t="str">
        <f>IF(AND(G732=1,L732=1),F732,"")</f>
        <v/>
      </c>
      <c r="BB732" s="34" t="str">
        <f>IF(AND(G732=1,L732=0),F732,"")</f>
        <v/>
      </c>
      <c r="BC732" s="33">
        <f>IF(E732=1,IF(Orders!R729&gt;3,1,0),"")</f>
        <v>0</v>
      </c>
      <c r="BD732" s="33">
        <f>IF(E732=1,IF(Orders!R729&gt;7,1,0),"")</f>
        <v>0</v>
      </c>
      <c r="BE732" s="32" t="str">
        <f>IF(E732=1,IF(Orders!L729&lt;=1.5,"Up to 1.5 km",IF(Orders!L729&lt;=3,"1.5–3 km","Over 3 km")),"")</f>
        <v>1.5–3 km</v>
      </c>
      <c r="BF732" s="33">
        <f>IF(E732=1,IF(ABS((Orders!G729-Orders!F729)*1440-Orders!R729)&lt;0.06,1,0),"")</f>
        <v>1</v>
      </c>
      <c r="BG732" s="33">
        <f>IF(ABS((Orders!F729-Orders!E729)*1440-Orders!P729)&lt;0.06,1,0)</f>
        <v>1</v>
      </c>
      <c r="BH732" s="33">
        <f>IF(E732=1,IF(IF(Orders!S729,1,0)=1-G732,1,0),"")</f>
        <v>1</v>
      </c>
      <c r="BI732" s="32" t="str">
        <f>INDEX(Stores!$B$2:$B$21,MATCH(B732,Stores!$A$2:$A$21,0))</f>
        <v>Pune</v>
      </c>
    </row>
    <row r="733">
      <c r="A733" s="32" t="str">
        <f>Orders!A730</f>
        <v>O00729</v>
      </c>
      <c r="B733" s="32" t="str">
        <f>Orders!C730</f>
        <v>S018</v>
      </c>
      <c r="C733" s="32" t="str">
        <f>Orders!B730</f>
        <v>C0167</v>
      </c>
      <c r="D733" s="32" t="str">
        <f>Orders!H730</f>
        <v>Delivered</v>
      </c>
      <c r="E733" s="33">
        <f>IF(Orders!H730="Delivered",1,0)</f>
        <v>1</v>
      </c>
      <c r="F733" s="34">
        <f>IF(E733=1,Orders!R730,"")</f>
        <v>1.1</v>
      </c>
      <c r="G733" s="33">
        <f>IF(E733=1,IF(Orders!R730&gt;0,1,0),"")</f>
        <v>1</v>
      </c>
      <c r="H733" s="33">
        <f>IF(E733=1,IF(Orders!R730&gt;5,1,0),"")</f>
        <v>0</v>
      </c>
      <c r="I733" s="32" t="str">
        <f>IF(E733=1,"",IF(OR(Orders!T730="Rider unavailable",Orders!T730="Item unavailable"),"Company-caused","Unresolved"))</f>
        <v/>
      </c>
      <c r="J733" s="33">
        <f>IF(OR(E733=1,I733="Company-caused"),1,0)</f>
        <v>1</v>
      </c>
      <c r="K733" s="32" t="str">
        <f>IF(E733=0,IF(I733="Company-caused",IF(Orders!T730="Rider unavailable","C1 Rider unavailable","C2 Item unavailable"),"Outside root: unresolved"),IF(G733=0,"A On time",IF(H733=1,IF(L733=1,"B2a Severe, peak","B2b Severe, off-peak"),IF(L733=1,"B1a Slight, peak","B1b Slight, off-peak"))))</f>
        <v>B1b Slight, off-peak</v>
      </c>
      <c r="L733" s="33">
        <f>IF(AND(Orders!U730&gt;=19,Orders!U730&lt;22),1,0)</f>
        <v>0</v>
      </c>
      <c r="M733" s="33">
        <f>IF(L733=IF(Orders!V730,1,0),1,0)</f>
        <v>1</v>
      </c>
      <c r="N733" s="32" t="str">
        <f>IF(Orders!W730="","None",Orders!W730)</f>
        <v>None</v>
      </c>
      <c r="O733" s="35">
        <f>INT(Orders!E730)</f>
        <v>46272.0</v>
      </c>
      <c r="P733" s="33">
        <f>Orders!U730</f>
        <v>11</v>
      </c>
      <c r="Q733" s="33">
        <f>COUNTIFS(Demand!$A$2:$A$4481,B733,Demand!$B$2:$B$4481,O733,Demand!$C$2:$C$4481,P733)</f>
        <v>1</v>
      </c>
      <c r="R733" s="33">
        <f>IF(Q733=1,SUMIFS(Demand!$E$2:$E$4481,Demand!$A$2:$A$4481,B733,Demand!$B$2:$B$4481,O733,Demand!$C$2:$C$4481,P733),"")</f>
        <v>16</v>
      </c>
      <c r="S733" s="33">
        <f>INDEX(Stores!$G$2:$G$21,MATCH(B733,Stores!$A$2:$A$21,0))</f>
        <v>20</v>
      </c>
      <c r="T733" s="34">
        <f>IF(R733="","",R733/S733)</f>
        <v>0.8</v>
      </c>
      <c r="U733" s="34">
        <f>IF(E733=1,T733,"")</f>
        <v>0.8</v>
      </c>
      <c r="V733" s="34">
        <f>IF(AND(E733=1,L733=0),T733,"")</f>
        <v>0.8</v>
      </c>
      <c r="W733" s="33">
        <f>IF(U733="","",IF(U733&lt;=Breakdowns!$C$5,1,IF(U733&lt;=Breakdowns!$C$6,2,IF(U733&lt;=Breakdowns!$C$7,3,4))))</f>
        <v>2</v>
      </c>
      <c r="X733" s="33">
        <f>IF(V733="","",IF(V733&lt;=Breakdowns!$D$5,1,IF(V733&lt;=Breakdowns!$D$6,2,IF(V733&lt;=Breakdowns!$D$7,3,4))))</f>
        <v>2</v>
      </c>
      <c r="Y733" s="34">
        <f>INDEX(Stores!$F$2:$F$21,MATCH(B733,Stores!$A$2:$A$21,0))</f>
        <v>5.31</v>
      </c>
      <c r="Z733" s="33">
        <f>IF(Y733&gt;Store_Summary!$M$2,1,0)</f>
        <v>1</v>
      </c>
      <c r="AA733" s="33">
        <f>INDEX(Stores!$C$2:$C$21,MATCH(B733,Stores!$A$2:$A$21,0))</f>
        <v>214</v>
      </c>
      <c r="AB733" s="33">
        <f>IF(AA733&lt;180,1,0)</f>
        <v>0</v>
      </c>
      <c r="AC733" s="32" t="str">
        <f>IF(Orders!D730="","",INDEX(Riders!$C$2:$C$81,MATCH(Orders!D730,Riders!$A$2:$A$81,0)))</f>
        <v>Petrol scooter</v>
      </c>
      <c r="AD733" s="33">
        <f>IF(Orders!D730="","",INDEX(Riders!$D$2:$D$81,MATCH(Orders!D730,Riders!$A$2:$A$81,0)))</f>
        <v>24</v>
      </c>
      <c r="AE733" s="33">
        <f>IF(Orders!D730="","",IF(INDEX(Riders!$B$2:$B$81,MATCH(Orders!D730,Riders!$A$2:$A$81,0))=B733,1,0))</f>
        <v>0</v>
      </c>
      <c r="AF733" s="34">
        <f>IF(E733=1,Orders!L730,"")</f>
        <v>1.13</v>
      </c>
      <c r="AG733" s="34">
        <f>IF(E733=1,Orders!P730,"")</f>
        <v>11.6</v>
      </c>
      <c r="AH733" s="34">
        <f>IF(E733=1,Orders!Q730,"")</f>
        <v>12.7</v>
      </c>
      <c r="AI733" s="34">
        <f>IF(E733=1,Orders!M730,"")</f>
        <v>5.5</v>
      </c>
      <c r="AJ733" s="34">
        <f>IF(E733=1,Orders!N730,"")</f>
        <v>2.2</v>
      </c>
      <c r="AK733" s="34">
        <f>IF(E733=1,Orders!O730,"")</f>
        <v>5</v>
      </c>
      <c r="AL733" s="33">
        <f>IF(E733=1,IF(ROUND(ABS(AI733+AJ733+AK733-AH733),6)&lt;=0.1,1,0),"")</f>
        <v>1</v>
      </c>
      <c r="AM733" s="36">
        <f>IF(E733=1,AI733/AH733,"")</f>
        <v>0.433070866141732</v>
      </c>
      <c r="AN733" s="36">
        <f>IF(E733=1,AJ733/AH733,"")</f>
        <v>0.173228346456693</v>
      </c>
      <c r="AO733" s="36">
        <f>IF(E733=1,AK733/AH733,"")</f>
        <v>0.393700787401575</v>
      </c>
      <c r="AP733" s="34">
        <f>IF(E733=1,Orders!Y730,"")</f>
        <v>1</v>
      </c>
      <c r="AQ733" s="33">
        <f>IF(Orders!X730,1,0)</f>
        <v>0</v>
      </c>
      <c r="AR733" s="34" t="str">
        <f>IF(AND(E733=1,L733=1),AJ733,"")</f>
        <v/>
      </c>
      <c r="AS733" s="34">
        <f>IF(AND(E733=1,L733=0),AJ733,"")</f>
        <v>2.2</v>
      </c>
      <c r="AT733" s="34" t="str">
        <f>IF(AND(E733=1,L733=1),AI733,"")</f>
        <v/>
      </c>
      <c r="AU733" s="34">
        <f>IF(AND(E733=1,L733=0),AI733,"")</f>
        <v>5.5</v>
      </c>
      <c r="AV733" s="34" t="str">
        <f>IF(AND(E733=1,L733=1),AG733,"")</f>
        <v/>
      </c>
      <c r="AW733" s="34">
        <f>IF(AND(E733=1,L733=0),AG733,"")</f>
        <v>11.6</v>
      </c>
      <c r="AX733" s="34" t="str">
        <f>IF(AND(E733=1,L733=1),AH733,"")</f>
        <v/>
      </c>
      <c r="AY733" s="34">
        <f>IF(AND(E733=1,L733=0),AH733,"")</f>
        <v>12.7</v>
      </c>
      <c r="AZ733" s="34">
        <f>IF(G733=1,F733,"")</f>
        <v>1.1</v>
      </c>
      <c r="BA733" s="34" t="str">
        <f>IF(AND(G733=1,L733=1),F733,"")</f>
        <v/>
      </c>
      <c r="BB733" s="34">
        <f>IF(AND(G733=1,L733=0),F733,"")</f>
        <v>1.1</v>
      </c>
      <c r="BC733" s="33">
        <f>IF(E733=1,IF(Orders!R730&gt;3,1,0),"")</f>
        <v>0</v>
      </c>
      <c r="BD733" s="33">
        <f>IF(E733=1,IF(Orders!R730&gt;7,1,0),"")</f>
        <v>0</v>
      </c>
      <c r="BE733" s="32" t="str">
        <f>IF(E733=1,IF(Orders!L730&lt;=1.5,"Up to 1.5 km",IF(Orders!L730&lt;=3,"1.5–3 km","Over 3 km")),"")</f>
        <v>Up to 1.5 km</v>
      </c>
      <c r="BF733" s="33">
        <f>IF(E733=1,IF(ABS((Orders!G730-Orders!F730)*1440-Orders!R730)&lt;0.06,1,0),"")</f>
        <v>1</v>
      </c>
      <c r="BG733" s="33">
        <f>IF(ABS((Orders!F730-Orders!E730)*1440-Orders!P730)&lt;0.06,1,0)</f>
        <v>1</v>
      </c>
      <c r="BH733" s="33">
        <f>IF(E733=1,IF(IF(Orders!S730,1,0)=1-G733,1,0),"")</f>
        <v>1</v>
      </c>
      <c r="BI733" s="32" t="str">
        <f>INDEX(Stores!$B$2:$B$21,MATCH(B733,Stores!$A$2:$A$21,0))</f>
        <v>Mumbai</v>
      </c>
    </row>
    <row r="734">
      <c r="A734" s="32" t="str">
        <f>Orders!A731</f>
        <v>O00730</v>
      </c>
      <c r="B734" s="32" t="str">
        <f>Orders!C731</f>
        <v>S004</v>
      </c>
      <c r="C734" s="32" t="str">
        <f>Orders!B731</f>
        <v>C0131</v>
      </c>
      <c r="D734" s="32" t="str">
        <f>Orders!H731</f>
        <v>Cancelled</v>
      </c>
      <c r="E734" s="33">
        <f>IF(Orders!H731="Delivered",1,0)</f>
        <v>0</v>
      </c>
      <c r="F734" s="34" t="str">
        <f>IF(E734=1,Orders!R731,"")</f>
        <v/>
      </c>
      <c r="G734" s="33" t="str">
        <f>IF(E734=1,IF(Orders!R731&gt;0,1,0),"")</f>
        <v/>
      </c>
      <c r="H734" s="33" t="str">
        <f>IF(E734=1,IF(Orders!R731&gt;5,1,0),"")</f>
        <v/>
      </c>
      <c r="I734" s="32" t="str">
        <f>IF(E734=1,"",IF(OR(Orders!T731="Rider unavailable",Orders!T731="Item unavailable"),"Company-caused","Unresolved"))</f>
        <v>Company-caused</v>
      </c>
      <c r="J734" s="33">
        <f>IF(OR(E734=1,I734="Company-caused"),1,0)</f>
        <v>1</v>
      </c>
      <c r="K734" s="32" t="str">
        <f>IF(E734=0,IF(I734="Company-caused",IF(Orders!T731="Rider unavailable","C1 Rider unavailable","C2 Item unavailable"),"Outside root: unresolved"),IF(G734=0,"A On time",IF(H734=1,IF(L734=1,"B2a Severe, peak","B2b Severe, off-peak"),IF(L734=1,"B1a Slight, peak","B1b Slight, off-peak"))))</f>
        <v>C1 Rider unavailable</v>
      </c>
      <c r="L734" s="33">
        <f>IF(AND(Orders!U731&gt;=19,Orders!U731&lt;22),1,0)</f>
        <v>0</v>
      </c>
      <c r="M734" s="33">
        <f>IF(L734=IF(Orders!V731,1,0),1,0)</f>
        <v>1</v>
      </c>
      <c r="N734" s="32" t="str">
        <f>IF(Orders!W731="","None",Orders!W731)</f>
        <v>Heavy</v>
      </c>
      <c r="O734" s="35">
        <f>INT(Orders!E731)</f>
        <v>46276.0</v>
      </c>
      <c r="P734" s="33">
        <f>Orders!U731</f>
        <v>16</v>
      </c>
      <c r="Q734" s="33">
        <f>COUNTIFS(Demand!$A$2:$A$4481,B734,Demand!$B$2:$B$4481,O734,Demand!$C$2:$C$4481,P734)</f>
        <v>1</v>
      </c>
      <c r="R734" s="33">
        <f>IF(Q734=1,SUMIFS(Demand!$E$2:$E$4481,Demand!$A$2:$A$4481,B734,Demand!$B$2:$B$4481,O734,Demand!$C$2:$C$4481,P734),"")</f>
        <v>36</v>
      </c>
      <c r="S734" s="33">
        <f>INDEX(Stores!$G$2:$G$21,MATCH(B734,Stores!$A$2:$A$21,0))</f>
        <v>42</v>
      </c>
      <c r="T734" s="34">
        <f>IF(R734="","",R734/S734)</f>
        <v>0.857142857142857</v>
      </c>
      <c r="U734" s="34" t="str">
        <f>IF(E734=1,T734,"")</f>
        <v/>
      </c>
      <c r="V734" s="34" t="str">
        <f>IF(AND(E734=1,L734=0),T734,"")</f>
        <v/>
      </c>
      <c r="W734" s="33" t="str">
        <f>IF(U734="","",IF(U734&lt;=Breakdowns!$C$5,1,IF(U734&lt;=Breakdowns!$C$6,2,IF(U734&lt;=Breakdowns!$C$7,3,4))))</f>
        <v/>
      </c>
      <c r="X734" s="33" t="str">
        <f>IF(V734="","",IF(V734&lt;=Breakdowns!$D$5,1,IF(V734&lt;=Breakdowns!$D$6,2,IF(V734&lt;=Breakdowns!$D$7,3,4))))</f>
        <v/>
      </c>
      <c r="Y734" s="34">
        <f>INDEX(Stores!$F$2:$F$21,MATCH(B734,Stores!$A$2:$A$21,0))</f>
        <v>2.19</v>
      </c>
      <c r="Z734" s="33">
        <f>IF(Y734&gt;Store_Summary!$M$2,1,0)</f>
        <v>0</v>
      </c>
      <c r="AA734" s="33">
        <f>INDEX(Stores!$C$2:$C$21,MATCH(B734,Stores!$A$2:$A$21,0))</f>
        <v>850</v>
      </c>
      <c r="AB734" s="33">
        <f>IF(AA734&lt;180,1,0)</f>
        <v>0</v>
      </c>
      <c r="AC734" s="32" t="str">
        <f>IF(Orders!D731="","",INDEX(Riders!$C$2:$C$81,MATCH(Orders!D731,Riders!$A$2:$A$81,0)))</f>
        <v/>
      </c>
      <c r="AD734" s="33" t="str">
        <f>IF(Orders!D731="","",INDEX(Riders!$D$2:$D$81,MATCH(Orders!D731,Riders!$A$2:$A$81,0)))</f>
        <v/>
      </c>
      <c r="AE734" s="33" t="str">
        <f>IF(Orders!D731="","",IF(INDEX(Riders!$B$2:$B$81,MATCH(Orders!D731,Riders!$A$2:$A$81,0))=B734,1,0))</f>
        <v/>
      </c>
      <c r="AF734" s="34" t="str">
        <f>IF(E734=1,Orders!L731,"")</f>
        <v/>
      </c>
      <c r="AG734" s="34" t="str">
        <f>IF(E734=1,Orders!P731,"")</f>
        <v/>
      </c>
      <c r="AH734" s="34" t="str">
        <f>IF(E734=1,Orders!Q731,"")</f>
        <v/>
      </c>
      <c r="AI734" s="34" t="str">
        <f>IF(E734=1,Orders!M731,"")</f>
        <v/>
      </c>
      <c r="AJ734" s="34" t="str">
        <f>IF(E734=1,Orders!N731,"")</f>
        <v/>
      </c>
      <c r="AK734" s="34" t="str">
        <f>IF(E734=1,Orders!O731,"")</f>
        <v/>
      </c>
      <c r="AL734" s="33" t="str">
        <f>IF(E734=1,IF(ROUND(ABS(AI734+AJ734+AK734-AH734),6)&lt;=0.1,1,0),"")</f>
        <v/>
      </c>
      <c r="AM734" s="36" t="str">
        <f>IF(E734=1,AI734/AH734,"")</f>
        <v/>
      </c>
      <c r="AN734" s="36" t="str">
        <f>IF(E734=1,AJ734/AH734,"")</f>
        <v/>
      </c>
      <c r="AO734" s="36" t="str">
        <f>IF(E734=1,AK734/AH734,"")</f>
        <v/>
      </c>
      <c r="AP734" s="34" t="str">
        <f>IF(E734=1,Orders!Y731,"")</f>
        <v/>
      </c>
      <c r="AQ734" s="33">
        <f>IF(Orders!X731,1,0)</f>
        <v>0</v>
      </c>
      <c r="AR734" s="34" t="str">
        <f>IF(AND(E734=1,L734=1),AJ734,"")</f>
        <v/>
      </c>
      <c r="AS734" s="34" t="str">
        <f>IF(AND(E734=1,L734=0),AJ734,"")</f>
        <v/>
      </c>
      <c r="AT734" s="34" t="str">
        <f>IF(AND(E734=1,L734=1),AI734,"")</f>
        <v/>
      </c>
      <c r="AU734" s="34" t="str">
        <f>IF(AND(E734=1,L734=0),AI734,"")</f>
        <v/>
      </c>
      <c r="AV734" s="34" t="str">
        <f>IF(AND(E734=1,L734=1),AG734,"")</f>
        <v/>
      </c>
      <c r="AW734" s="34" t="str">
        <f>IF(AND(E734=1,L734=0),AG734,"")</f>
        <v/>
      </c>
      <c r="AX734" s="34" t="str">
        <f>IF(AND(E734=1,L734=1),AH734,"")</f>
        <v/>
      </c>
      <c r="AY734" s="34" t="str">
        <f>IF(AND(E734=1,L734=0),AH734,"")</f>
        <v/>
      </c>
      <c r="AZ734" s="34" t="str">
        <f>IF(G734=1,F734,"")</f>
        <v/>
      </c>
      <c r="BA734" s="34" t="str">
        <f>IF(AND(G734=1,L734=1),F734,"")</f>
        <v/>
      </c>
      <c r="BB734" s="34" t="str">
        <f>IF(AND(G734=1,L734=0),F734,"")</f>
        <v/>
      </c>
      <c r="BC734" s="33" t="str">
        <f>IF(E734=1,IF(Orders!R731&gt;3,1,0),"")</f>
        <v/>
      </c>
      <c r="BD734" s="33" t="str">
        <f>IF(E734=1,IF(Orders!R731&gt;7,1,0),"")</f>
        <v/>
      </c>
      <c r="BE734" s="32" t="str">
        <f>IF(E734=1,IF(Orders!L731&lt;=1.5,"Up to 1.5 km",IF(Orders!L731&lt;=3,"1.5–3 km","Over 3 km")),"")</f>
        <v/>
      </c>
      <c r="BF734" s="33" t="str">
        <f>IF(E734=1,IF(ABS((Orders!G731-Orders!F731)*1440-Orders!R731)&lt;0.06,1,0),"")</f>
        <v/>
      </c>
      <c r="BG734" s="33">
        <f>IF(ABS((Orders!F731-Orders!E731)*1440-Orders!P731)&lt;0.06,1,0)</f>
        <v>1</v>
      </c>
      <c r="BH734" s="33" t="str">
        <f>IF(E734=1,IF(IF(Orders!S731,1,0)=1-G734,1,0),"")</f>
        <v/>
      </c>
      <c r="BI734" s="32" t="str">
        <f>INDEX(Stores!$B$2:$B$21,MATCH(B734,Stores!$A$2:$A$21,0))</f>
        <v>Pune</v>
      </c>
    </row>
    <row r="735">
      <c r="A735" s="32" t="str">
        <f>Orders!A732</f>
        <v>O00731</v>
      </c>
      <c r="B735" s="32" t="str">
        <f>Orders!C732</f>
        <v>S012</v>
      </c>
      <c r="C735" s="32" t="str">
        <f>Orders!B732</f>
        <v>C0173</v>
      </c>
      <c r="D735" s="32" t="str">
        <f>Orders!H732</f>
        <v>Delivered</v>
      </c>
      <c r="E735" s="33">
        <f>IF(Orders!H732="Delivered",1,0)</f>
        <v>1</v>
      </c>
      <c r="F735" s="34">
        <f>IF(E735=1,Orders!R732,"")</f>
        <v>-0.4</v>
      </c>
      <c r="G735" s="33">
        <f>IF(E735=1,IF(Orders!R732&gt;0,1,0),"")</f>
        <v>0</v>
      </c>
      <c r="H735" s="33">
        <f>IF(E735=1,IF(Orders!R732&gt;5,1,0),"")</f>
        <v>0</v>
      </c>
      <c r="I735" s="32" t="str">
        <f>IF(E735=1,"",IF(OR(Orders!T732="Rider unavailable",Orders!T732="Item unavailable"),"Company-caused","Unresolved"))</f>
        <v/>
      </c>
      <c r="J735" s="33">
        <f>IF(OR(E735=1,I735="Company-caused"),1,0)</f>
        <v>1</v>
      </c>
      <c r="K735" s="32" t="str">
        <f>IF(E735=0,IF(I735="Company-caused",IF(Orders!T732="Rider unavailable","C1 Rider unavailable","C2 Item unavailable"),"Outside root: unresolved"),IF(G735=0,"A On time",IF(H735=1,IF(L735=1,"B2a Severe, peak","B2b Severe, off-peak"),IF(L735=1,"B1a Slight, peak","B1b Slight, off-peak"))))</f>
        <v>A On time</v>
      </c>
      <c r="L735" s="33">
        <f>IF(AND(Orders!U732&gt;=19,Orders!U732&lt;22),1,0)</f>
        <v>0</v>
      </c>
      <c r="M735" s="33">
        <f>IF(L735=IF(Orders!V732,1,0),1,0)</f>
        <v>1</v>
      </c>
      <c r="N735" s="32" t="str">
        <f>IF(Orders!W732="","None",Orders!W732)</f>
        <v>None</v>
      </c>
      <c r="O735" s="35">
        <f>INT(Orders!E732)</f>
        <v>46269.0</v>
      </c>
      <c r="P735" s="33">
        <f>Orders!U732</f>
        <v>22</v>
      </c>
      <c r="Q735" s="33">
        <f>COUNTIFS(Demand!$A$2:$A$4481,B735,Demand!$B$2:$B$4481,O735,Demand!$C$2:$C$4481,P735)</f>
        <v>1</v>
      </c>
      <c r="R735" s="33">
        <f>IF(Q735=1,SUMIFS(Demand!$E$2:$E$4481,Demand!$A$2:$A$4481,B735,Demand!$B$2:$B$4481,O735,Demand!$C$2:$C$4481,P735),"")</f>
        <v>12</v>
      </c>
      <c r="S735" s="33">
        <f>INDEX(Stores!$G$2:$G$21,MATCH(B735,Stores!$A$2:$A$21,0))</f>
        <v>15</v>
      </c>
      <c r="T735" s="34">
        <f>IF(R735="","",R735/S735)</f>
        <v>0.8</v>
      </c>
      <c r="U735" s="34">
        <f>IF(E735=1,T735,"")</f>
        <v>0.8</v>
      </c>
      <c r="V735" s="34">
        <f>IF(AND(E735=1,L735=0),T735,"")</f>
        <v>0.8</v>
      </c>
      <c r="W735" s="33">
        <f>IF(U735="","",IF(U735&lt;=Breakdowns!$C$5,1,IF(U735&lt;=Breakdowns!$C$6,2,IF(U735&lt;=Breakdowns!$C$7,3,4))))</f>
        <v>2</v>
      </c>
      <c r="X735" s="33">
        <f>IF(V735="","",IF(V735&lt;=Breakdowns!$D$5,1,IF(V735&lt;=Breakdowns!$D$6,2,IF(V735&lt;=Breakdowns!$D$7,3,4))))</f>
        <v>2</v>
      </c>
      <c r="Y735" s="34">
        <f>INDEX(Stores!$F$2:$F$21,MATCH(B735,Stores!$A$2:$A$21,0))</f>
        <v>5.23</v>
      </c>
      <c r="Z735" s="33">
        <f>IF(Y735&gt;Store_Summary!$M$2,1,0)</f>
        <v>1</v>
      </c>
      <c r="AA735" s="33">
        <f>INDEX(Stores!$C$2:$C$21,MATCH(B735,Stores!$A$2:$A$21,0))</f>
        <v>300</v>
      </c>
      <c r="AB735" s="33">
        <f>IF(AA735&lt;180,1,0)</f>
        <v>0</v>
      </c>
      <c r="AC735" s="32" t="str">
        <f>IF(Orders!D732="","",INDEX(Riders!$C$2:$C$81,MATCH(Orders!D732,Riders!$A$2:$A$81,0)))</f>
        <v>Bicycle</v>
      </c>
      <c r="AD735" s="33">
        <f>IF(Orders!D732="","",INDEX(Riders!$D$2:$D$81,MATCH(Orders!D732,Riders!$A$2:$A$81,0)))</f>
        <v>2</v>
      </c>
      <c r="AE735" s="33">
        <f>IF(Orders!D732="","",IF(INDEX(Riders!$B$2:$B$81,MATCH(Orders!D732,Riders!$A$2:$A$81,0))=B735,1,0))</f>
        <v>0</v>
      </c>
      <c r="AF735" s="34">
        <f>IF(E735=1,Orders!L732,"")</f>
        <v>2.73</v>
      </c>
      <c r="AG735" s="34">
        <f>IF(E735=1,Orders!P732,"")</f>
        <v>11.4</v>
      </c>
      <c r="AH735" s="34">
        <f>IF(E735=1,Orders!Q732,"")</f>
        <v>11</v>
      </c>
      <c r="AI735" s="34">
        <f>IF(E735=1,Orders!M732,"")</f>
        <v>3.6</v>
      </c>
      <c r="AJ735" s="34">
        <f>IF(E735=1,Orders!N732,"")</f>
        <v>1.9</v>
      </c>
      <c r="AK735" s="34">
        <f>IF(E735=1,Orders!O732,"")</f>
        <v>5.5</v>
      </c>
      <c r="AL735" s="33">
        <f>IF(E735=1,IF(ROUND(ABS(AI735+AJ735+AK735-AH735),6)&lt;=0.1,1,0),"")</f>
        <v>1</v>
      </c>
      <c r="AM735" s="36">
        <f>IF(E735=1,AI735/AH735,"")</f>
        <v>0.327272727272727</v>
      </c>
      <c r="AN735" s="36">
        <f>IF(E735=1,AJ735/AH735,"")</f>
        <v>0.172727272727273</v>
      </c>
      <c r="AO735" s="36">
        <f>IF(E735=1,AK735/AH735,"")</f>
        <v>0.5</v>
      </c>
      <c r="AP735" s="34">
        <f>IF(E735=1,Orders!Y732,"")</f>
        <v>0.86</v>
      </c>
      <c r="AQ735" s="33">
        <f>IF(Orders!X732,1,0)</f>
        <v>0</v>
      </c>
      <c r="AR735" s="34" t="str">
        <f>IF(AND(E735=1,L735=1),AJ735,"")</f>
        <v/>
      </c>
      <c r="AS735" s="34">
        <f>IF(AND(E735=1,L735=0),AJ735,"")</f>
        <v>1.9</v>
      </c>
      <c r="AT735" s="34" t="str">
        <f>IF(AND(E735=1,L735=1),AI735,"")</f>
        <v/>
      </c>
      <c r="AU735" s="34">
        <f>IF(AND(E735=1,L735=0),AI735,"")</f>
        <v>3.6</v>
      </c>
      <c r="AV735" s="34" t="str">
        <f>IF(AND(E735=1,L735=1),AG735,"")</f>
        <v/>
      </c>
      <c r="AW735" s="34">
        <f>IF(AND(E735=1,L735=0),AG735,"")</f>
        <v>11.4</v>
      </c>
      <c r="AX735" s="34" t="str">
        <f>IF(AND(E735=1,L735=1),AH735,"")</f>
        <v/>
      </c>
      <c r="AY735" s="34">
        <f>IF(AND(E735=1,L735=0),AH735,"")</f>
        <v>11</v>
      </c>
      <c r="AZ735" s="34" t="str">
        <f>IF(G735=1,F735,"")</f>
        <v/>
      </c>
      <c r="BA735" s="34" t="str">
        <f>IF(AND(G735=1,L735=1),F735,"")</f>
        <v/>
      </c>
      <c r="BB735" s="34" t="str">
        <f>IF(AND(G735=1,L735=0),F735,"")</f>
        <v/>
      </c>
      <c r="BC735" s="33">
        <f>IF(E735=1,IF(Orders!R732&gt;3,1,0),"")</f>
        <v>0</v>
      </c>
      <c r="BD735" s="33">
        <f>IF(E735=1,IF(Orders!R732&gt;7,1,0),"")</f>
        <v>0</v>
      </c>
      <c r="BE735" s="32" t="str">
        <f>IF(E735=1,IF(Orders!L732&lt;=1.5,"Up to 1.5 km",IF(Orders!L732&lt;=3,"1.5–3 km","Over 3 km")),"")</f>
        <v>1.5–3 km</v>
      </c>
      <c r="BF735" s="33">
        <f>IF(E735=1,IF(ABS((Orders!G732-Orders!F732)*1440-Orders!R732)&lt;0.06,1,0),"")</f>
        <v>1</v>
      </c>
      <c r="BG735" s="33">
        <f>IF(ABS((Orders!F732-Orders!E732)*1440-Orders!P732)&lt;0.06,1,0)</f>
        <v>1</v>
      </c>
      <c r="BH735" s="33">
        <f>IF(E735=1,IF(IF(Orders!S732,1,0)=1-G735,1,0),"")</f>
        <v>1</v>
      </c>
      <c r="BI735" s="32" t="str">
        <f>INDEX(Stores!$B$2:$B$21,MATCH(B735,Stores!$A$2:$A$21,0))</f>
        <v>Hyderabad</v>
      </c>
    </row>
    <row r="736">
      <c r="A736" s="32" t="str">
        <f>Orders!A733</f>
        <v>O00732</v>
      </c>
      <c r="B736" s="32" t="str">
        <f>Orders!C733</f>
        <v>S002</v>
      </c>
      <c r="C736" s="32" t="str">
        <f>Orders!B733</f>
        <v>C0067</v>
      </c>
      <c r="D736" s="32" t="str">
        <f>Orders!H733</f>
        <v>Cancelled</v>
      </c>
      <c r="E736" s="33">
        <f>IF(Orders!H733="Delivered",1,0)</f>
        <v>0</v>
      </c>
      <c r="F736" s="34" t="str">
        <f>IF(E736=1,Orders!R733,"")</f>
        <v/>
      </c>
      <c r="G736" s="33" t="str">
        <f>IF(E736=1,IF(Orders!R733&gt;0,1,0),"")</f>
        <v/>
      </c>
      <c r="H736" s="33" t="str">
        <f>IF(E736=1,IF(Orders!R733&gt;5,1,0),"")</f>
        <v/>
      </c>
      <c r="I736" s="32" t="str">
        <f>IF(E736=1,"",IF(OR(Orders!T733="Rider unavailable",Orders!T733="Item unavailable"),"Company-caused","Unresolved"))</f>
        <v>Company-caused</v>
      </c>
      <c r="J736" s="33">
        <f>IF(OR(E736=1,I736="Company-caused"),1,0)</f>
        <v>1</v>
      </c>
      <c r="K736" s="32" t="str">
        <f>IF(E736=0,IF(I736="Company-caused",IF(Orders!T733="Rider unavailable","C1 Rider unavailable","C2 Item unavailable"),"Outside root: unresolved"),IF(G736=0,"A On time",IF(H736=1,IF(L736=1,"B2a Severe, peak","B2b Severe, off-peak"),IF(L736=1,"B1a Slight, peak","B1b Slight, off-peak"))))</f>
        <v>C1 Rider unavailable</v>
      </c>
      <c r="L736" s="33">
        <f>IF(AND(Orders!U733&gt;=19,Orders!U733&lt;22),1,0)</f>
        <v>0</v>
      </c>
      <c r="M736" s="33">
        <f>IF(L736=IF(Orders!V733,1,0),1,0)</f>
        <v>1</v>
      </c>
      <c r="N736" s="32" t="str">
        <f>IF(Orders!W733="","None",Orders!W733)</f>
        <v>None</v>
      </c>
      <c r="O736" s="35">
        <f>INT(Orders!E733)</f>
        <v>46270.0</v>
      </c>
      <c r="P736" s="33">
        <f>Orders!U733</f>
        <v>18</v>
      </c>
      <c r="Q736" s="33">
        <f>COUNTIFS(Demand!$A$2:$A$4481,B736,Demand!$B$2:$B$4481,O736,Demand!$C$2:$C$4481,P736)</f>
        <v>1</v>
      </c>
      <c r="R736" s="33">
        <f>IF(Q736=1,SUMIFS(Demand!$E$2:$E$4481,Demand!$A$2:$A$4481,B736,Demand!$B$2:$B$4481,O736,Demand!$C$2:$C$4481,P736),"")</f>
        <v>35</v>
      </c>
      <c r="S736" s="33">
        <f>INDEX(Stores!$G$2:$G$21,MATCH(B736,Stores!$A$2:$A$21,0))</f>
        <v>33</v>
      </c>
      <c r="T736" s="34">
        <f>IF(R736="","",R736/S736)</f>
        <v>1.06060606060606</v>
      </c>
      <c r="U736" s="34" t="str">
        <f>IF(E736=1,T736,"")</f>
        <v/>
      </c>
      <c r="V736" s="34" t="str">
        <f>IF(AND(E736=1,L736=0),T736,"")</f>
        <v/>
      </c>
      <c r="W736" s="33" t="str">
        <f>IF(U736="","",IF(U736&lt;=Breakdowns!$C$5,1,IF(U736&lt;=Breakdowns!$C$6,2,IF(U736&lt;=Breakdowns!$C$7,3,4))))</f>
        <v/>
      </c>
      <c r="X736" s="33" t="str">
        <f>IF(V736="","",IF(V736&lt;=Breakdowns!$D$5,1,IF(V736&lt;=Breakdowns!$D$6,2,IF(V736&lt;=Breakdowns!$D$7,3,4))))</f>
        <v/>
      </c>
      <c r="Y736" s="34">
        <f>INDEX(Stores!$F$2:$F$21,MATCH(B736,Stores!$A$2:$A$21,0))</f>
        <v>2.39</v>
      </c>
      <c r="Z736" s="33">
        <f>IF(Y736&gt;Store_Summary!$M$2,1,0)</f>
        <v>0</v>
      </c>
      <c r="AA736" s="33">
        <f>INDEX(Stores!$C$2:$C$21,MATCH(B736,Stores!$A$2:$A$21,0))</f>
        <v>470</v>
      </c>
      <c r="AB736" s="33">
        <f>IF(AA736&lt;180,1,0)</f>
        <v>0</v>
      </c>
      <c r="AC736" s="32" t="str">
        <f>IF(Orders!D733="","",INDEX(Riders!$C$2:$C$81,MATCH(Orders!D733,Riders!$A$2:$A$81,0)))</f>
        <v/>
      </c>
      <c r="AD736" s="33" t="str">
        <f>IF(Orders!D733="","",INDEX(Riders!$D$2:$D$81,MATCH(Orders!D733,Riders!$A$2:$A$81,0)))</f>
        <v/>
      </c>
      <c r="AE736" s="33" t="str">
        <f>IF(Orders!D733="","",IF(INDEX(Riders!$B$2:$B$81,MATCH(Orders!D733,Riders!$A$2:$A$81,0))=B736,1,0))</f>
        <v/>
      </c>
      <c r="AF736" s="34" t="str">
        <f>IF(E736=1,Orders!L733,"")</f>
        <v/>
      </c>
      <c r="AG736" s="34" t="str">
        <f>IF(E736=1,Orders!P733,"")</f>
        <v/>
      </c>
      <c r="AH736" s="34" t="str">
        <f>IF(E736=1,Orders!Q733,"")</f>
        <v/>
      </c>
      <c r="AI736" s="34" t="str">
        <f>IF(E736=1,Orders!M733,"")</f>
        <v/>
      </c>
      <c r="AJ736" s="34" t="str">
        <f>IF(E736=1,Orders!N733,"")</f>
        <v/>
      </c>
      <c r="AK736" s="34" t="str">
        <f>IF(E736=1,Orders!O733,"")</f>
        <v/>
      </c>
      <c r="AL736" s="33" t="str">
        <f>IF(E736=1,IF(ROUND(ABS(AI736+AJ736+AK736-AH736),6)&lt;=0.1,1,0),"")</f>
        <v/>
      </c>
      <c r="AM736" s="36" t="str">
        <f>IF(E736=1,AI736/AH736,"")</f>
        <v/>
      </c>
      <c r="AN736" s="36" t="str">
        <f>IF(E736=1,AJ736/AH736,"")</f>
        <v/>
      </c>
      <c r="AO736" s="36" t="str">
        <f>IF(E736=1,AK736/AH736,"")</f>
        <v/>
      </c>
      <c r="AP736" s="34" t="str">
        <f>IF(E736=1,Orders!Y733,"")</f>
        <v/>
      </c>
      <c r="AQ736" s="33">
        <f>IF(Orders!X733,1,0)</f>
        <v>0</v>
      </c>
      <c r="AR736" s="34" t="str">
        <f>IF(AND(E736=1,L736=1),AJ736,"")</f>
        <v/>
      </c>
      <c r="AS736" s="34" t="str">
        <f>IF(AND(E736=1,L736=0),AJ736,"")</f>
        <v/>
      </c>
      <c r="AT736" s="34" t="str">
        <f>IF(AND(E736=1,L736=1),AI736,"")</f>
        <v/>
      </c>
      <c r="AU736" s="34" t="str">
        <f>IF(AND(E736=1,L736=0),AI736,"")</f>
        <v/>
      </c>
      <c r="AV736" s="34" t="str">
        <f>IF(AND(E736=1,L736=1),AG736,"")</f>
        <v/>
      </c>
      <c r="AW736" s="34" t="str">
        <f>IF(AND(E736=1,L736=0),AG736,"")</f>
        <v/>
      </c>
      <c r="AX736" s="34" t="str">
        <f>IF(AND(E736=1,L736=1),AH736,"")</f>
        <v/>
      </c>
      <c r="AY736" s="34" t="str">
        <f>IF(AND(E736=1,L736=0),AH736,"")</f>
        <v/>
      </c>
      <c r="AZ736" s="34" t="str">
        <f>IF(G736=1,F736,"")</f>
        <v/>
      </c>
      <c r="BA736" s="34" t="str">
        <f>IF(AND(G736=1,L736=1),F736,"")</f>
        <v/>
      </c>
      <c r="BB736" s="34" t="str">
        <f>IF(AND(G736=1,L736=0),F736,"")</f>
        <v/>
      </c>
      <c r="BC736" s="33" t="str">
        <f>IF(E736=1,IF(Orders!R733&gt;3,1,0),"")</f>
        <v/>
      </c>
      <c r="BD736" s="33" t="str">
        <f>IF(E736=1,IF(Orders!R733&gt;7,1,0),"")</f>
        <v/>
      </c>
      <c r="BE736" s="32" t="str">
        <f>IF(E736=1,IF(Orders!L733&lt;=1.5,"Up to 1.5 km",IF(Orders!L733&lt;=3,"1.5–3 km","Over 3 km")),"")</f>
        <v/>
      </c>
      <c r="BF736" s="33" t="str">
        <f>IF(E736=1,IF(ABS((Orders!G733-Orders!F733)*1440-Orders!R733)&lt;0.06,1,0),"")</f>
        <v/>
      </c>
      <c r="BG736" s="33">
        <f>IF(ABS((Orders!F733-Orders!E733)*1440-Orders!P733)&lt;0.06,1,0)</f>
        <v>1</v>
      </c>
      <c r="BH736" s="33" t="str">
        <f>IF(E736=1,IF(IF(Orders!S733,1,0)=1-G736,1,0),"")</f>
        <v/>
      </c>
      <c r="BI736" s="32" t="str">
        <f>INDEX(Stores!$B$2:$B$21,MATCH(B736,Stores!$A$2:$A$21,0))</f>
        <v>Hyderabad</v>
      </c>
    </row>
    <row r="737">
      <c r="A737" s="32" t="str">
        <f>Orders!A734</f>
        <v>O00733</v>
      </c>
      <c r="B737" s="32" t="str">
        <f>Orders!C734</f>
        <v>S008</v>
      </c>
      <c r="C737" s="32" t="str">
        <f>Orders!B734</f>
        <v>C0032</v>
      </c>
      <c r="D737" s="32" t="str">
        <f>Orders!H734</f>
        <v>Delivered</v>
      </c>
      <c r="E737" s="33">
        <f>IF(Orders!H734="Delivered",1,0)</f>
        <v>1</v>
      </c>
      <c r="F737" s="34">
        <f>IF(E737=1,Orders!R734,"")</f>
        <v>-0.3</v>
      </c>
      <c r="G737" s="33">
        <f>IF(E737=1,IF(Orders!R734&gt;0,1,0),"")</f>
        <v>0</v>
      </c>
      <c r="H737" s="33">
        <f>IF(E737=1,IF(Orders!R734&gt;5,1,0),"")</f>
        <v>0</v>
      </c>
      <c r="I737" s="32" t="str">
        <f>IF(E737=1,"",IF(OR(Orders!T734="Rider unavailable",Orders!T734="Item unavailable"),"Company-caused","Unresolved"))</f>
        <v/>
      </c>
      <c r="J737" s="33">
        <f>IF(OR(E737=1,I737="Company-caused"),1,0)</f>
        <v>1</v>
      </c>
      <c r="K737" s="32" t="str">
        <f>IF(E737=0,IF(I737="Company-caused",IF(Orders!T734="Rider unavailable","C1 Rider unavailable","C2 Item unavailable"),"Outside root: unresolved"),IF(G737=0,"A On time",IF(H737=1,IF(L737=1,"B2a Severe, peak","B2b Severe, off-peak"),IF(L737=1,"B1a Slight, peak","B1b Slight, off-peak"))))</f>
        <v>A On time</v>
      </c>
      <c r="L737" s="33">
        <f>IF(AND(Orders!U734&gt;=19,Orders!U734&lt;22),1,0)</f>
        <v>0</v>
      </c>
      <c r="M737" s="33">
        <f>IF(L737=IF(Orders!V734,1,0),1,0)</f>
        <v>1</v>
      </c>
      <c r="N737" s="32" t="str">
        <f>IF(Orders!W734="","None",Orders!W734)</f>
        <v>None</v>
      </c>
      <c r="O737" s="35">
        <f>INT(Orders!E734)</f>
        <v>46269.0</v>
      </c>
      <c r="P737" s="33">
        <f>Orders!U734</f>
        <v>17</v>
      </c>
      <c r="Q737" s="33">
        <f>COUNTIFS(Demand!$A$2:$A$4481,B737,Demand!$B$2:$B$4481,O737,Demand!$C$2:$C$4481,P737)</f>
        <v>1</v>
      </c>
      <c r="R737" s="33">
        <f>IF(Q737=1,SUMIFS(Demand!$E$2:$E$4481,Demand!$A$2:$A$4481,B737,Demand!$B$2:$B$4481,O737,Demand!$C$2:$C$4481,P737),"")</f>
        <v>21</v>
      </c>
      <c r="S737" s="33">
        <f>INDEX(Stores!$G$2:$G$21,MATCH(B737,Stores!$A$2:$A$21,0))</f>
        <v>23</v>
      </c>
      <c r="T737" s="34">
        <f>IF(R737="","",R737/S737)</f>
        <v>0.91304347826087</v>
      </c>
      <c r="U737" s="34">
        <f>IF(E737=1,T737,"")</f>
        <v>0.91304347826087</v>
      </c>
      <c r="V737" s="34">
        <f>IF(AND(E737=1,L737=0),T737,"")</f>
        <v>0.91304347826087</v>
      </c>
      <c r="W737" s="33">
        <f>IF(U737="","",IF(U737&lt;=Breakdowns!$C$5,1,IF(U737&lt;=Breakdowns!$C$6,2,IF(U737&lt;=Breakdowns!$C$7,3,4))))</f>
        <v>2</v>
      </c>
      <c r="X737" s="33">
        <f>IF(V737="","",IF(V737&lt;=Breakdowns!$D$5,1,IF(V737&lt;=Breakdowns!$D$6,2,IF(V737&lt;=Breakdowns!$D$7,3,4))))</f>
        <v>2</v>
      </c>
      <c r="Y737" s="34">
        <f>INDEX(Stores!$F$2:$F$21,MATCH(B737,Stores!$A$2:$A$21,0))</f>
        <v>3.46</v>
      </c>
      <c r="Z737" s="33">
        <f>IF(Y737&gt;Store_Summary!$M$2,1,0)</f>
        <v>0</v>
      </c>
      <c r="AA737" s="33">
        <f>INDEX(Stores!$C$2:$C$21,MATCH(B737,Stores!$A$2:$A$21,0))</f>
        <v>825</v>
      </c>
      <c r="AB737" s="33">
        <f>IF(AA737&lt;180,1,0)</f>
        <v>0</v>
      </c>
      <c r="AC737" s="32" t="str">
        <f>IF(Orders!D734="","",INDEX(Riders!$C$2:$C$81,MATCH(Orders!D734,Riders!$A$2:$A$81,0)))</f>
        <v>EV scooter</v>
      </c>
      <c r="AD737" s="33">
        <f>IF(Orders!D734="","",INDEX(Riders!$D$2:$D$81,MATCH(Orders!D734,Riders!$A$2:$A$81,0)))</f>
        <v>44</v>
      </c>
      <c r="AE737" s="33">
        <f>IF(Orders!D734="","",IF(INDEX(Riders!$B$2:$B$81,MATCH(Orders!D734,Riders!$A$2:$A$81,0))=B737,1,0))</f>
        <v>0</v>
      </c>
      <c r="AF737" s="34">
        <f>IF(E737=1,Orders!L734,"")</f>
        <v>0.94</v>
      </c>
      <c r="AG737" s="34">
        <f>IF(E737=1,Orders!P734,"")</f>
        <v>10.6</v>
      </c>
      <c r="AH737" s="34">
        <f>IF(E737=1,Orders!Q734,"")</f>
        <v>10.3</v>
      </c>
      <c r="AI737" s="34">
        <f>IF(E737=1,Orders!M734,"")</f>
        <v>3.8</v>
      </c>
      <c r="AJ737" s="34">
        <f>IF(E737=1,Orders!N734,"")</f>
        <v>3.4</v>
      </c>
      <c r="AK737" s="34">
        <f>IF(E737=1,Orders!O734,"")</f>
        <v>3.1</v>
      </c>
      <c r="AL737" s="33">
        <f>IF(E737=1,IF(ROUND(ABS(AI737+AJ737+AK737-AH737),6)&lt;=0.1,1,0),"")</f>
        <v>1</v>
      </c>
      <c r="AM737" s="36">
        <f>IF(E737=1,AI737/AH737,"")</f>
        <v>0.368932038834951</v>
      </c>
      <c r="AN737" s="36">
        <f>IF(E737=1,AJ737/AH737,"")</f>
        <v>0.330097087378641</v>
      </c>
      <c r="AO737" s="36">
        <f>IF(E737=1,AK737/AH737,"")</f>
        <v>0.300970873786408</v>
      </c>
      <c r="AP737" s="34">
        <f>IF(E737=1,Orders!Y734,"")</f>
        <v>0.43</v>
      </c>
      <c r="AQ737" s="33">
        <f>IF(Orders!X734,1,0)</f>
        <v>0</v>
      </c>
      <c r="AR737" s="34" t="str">
        <f>IF(AND(E737=1,L737=1),AJ737,"")</f>
        <v/>
      </c>
      <c r="AS737" s="34">
        <f>IF(AND(E737=1,L737=0),AJ737,"")</f>
        <v>3.4</v>
      </c>
      <c r="AT737" s="34" t="str">
        <f>IF(AND(E737=1,L737=1),AI737,"")</f>
        <v/>
      </c>
      <c r="AU737" s="34">
        <f>IF(AND(E737=1,L737=0),AI737,"")</f>
        <v>3.8</v>
      </c>
      <c r="AV737" s="34" t="str">
        <f>IF(AND(E737=1,L737=1),AG737,"")</f>
        <v/>
      </c>
      <c r="AW737" s="34">
        <f>IF(AND(E737=1,L737=0),AG737,"")</f>
        <v>10.6</v>
      </c>
      <c r="AX737" s="34" t="str">
        <f>IF(AND(E737=1,L737=1),AH737,"")</f>
        <v/>
      </c>
      <c r="AY737" s="34">
        <f>IF(AND(E737=1,L737=0),AH737,"")</f>
        <v>10.3</v>
      </c>
      <c r="AZ737" s="34" t="str">
        <f>IF(G737=1,F737,"")</f>
        <v/>
      </c>
      <c r="BA737" s="34" t="str">
        <f>IF(AND(G737=1,L737=1),F737,"")</f>
        <v/>
      </c>
      <c r="BB737" s="34" t="str">
        <f>IF(AND(G737=1,L737=0),F737,"")</f>
        <v/>
      </c>
      <c r="BC737" s="33">
        <f>IF(E737=1,IF(Orders!R734&gt;3,1,0),"")</f>
        <v>0</v>
      </c>
      <c r="BD737" s="33">
        <f>IF(E737=1,IF(Orders!R734&gt;7,1,0),"")</f>
        <v>0</v>
      </c>
      <c r="BE737" s="32" t="str">
        <f>IF(E737=1,IF(Orders!L734&lt;=1.5,"Up to 1.5 km",IF(Orders!L734&lt;=3,"1.5–3 km","Over 3 km")),"")</f>
        <v>Up to 1.5 km</v>
      </c>
      <c r="BF737" s="33">
        <f>IF(E737=1,IF(ABS((Orders!G734-Orders!F734)*1440-Orders!R734)&lt;0.06,1,0),"")</f>
        <v>1</v>
      </c>
      <c r="BG737" s="33">
        <f>IF(ABS((Orders!F734-Orders!E734)*1440-Orders!P734)&lt;0.06,1,0)</f>
        <v>1</v>
      </c>
      <c r="BH737" s="33">
        <f>IF(E737=1,IF(IF(Orders!S734,1,0)=1-G737,1,0),"")</f>
        <v>1</v>
      </c>
      <c r="BI737" s="32" t="str">
        <f>INDEX(Stores!$B$2:$B$21,MATCH(B737,Stores!$A$2:$A$21,0))</f>
        <v>Mumbai</v>
      </c>
    </row>
    <row r="738">
      <c r="A738" s="32" t="str">
        <f>Orders!A735</f>
        <v>O00734</v>
      </c>
      <c r="B738" s="32" t="str">
        <f>Orders!C735</f>
        <v>S003</v>
      </c>
      <c r="C738" s="32" t="str">
        <f>Orders!B735</f>
        <v>C0237</v>
      </c>
      <c r="D738" s="32" t="str">
        <f>Orders!H735</f>
        <v>Delivered</v>
      </c>
      <c r="E738" s="33">
        <f>IF(Orders!H735="Delivered",1,0)</f>
        <v>1</v>
      </c>
      <c r="F738" s="34">
        <f>IF(E738=1,Orders!R735,"")</f>
        <v>-0.6</v>
      </c>
      <c r="G738" s="33">
        <f>IF(E738=1,IF(Orders!R735&gt;0,1,0),"")</f>
        <v>0</v>
      </c>
      <c r="H738" s="33">
        <f>IF(E738=1,IF(Orders!R735&gt;5,1,0),"")</f>
        <v>0</v>
      </c>
      <c r="I738" s="32" t="str">
        <f>IF(E738=1,"",IF(OR(Orders!T735="Rider unavailable",Orders!T735="Item unavailable"),"Company-caused","Unresolved"))</f>
        <v/>
      </c>
      <c r="J738" s="33">
        <f>IF(OR(E738=1,I738="Company-caused"),1,0)</f>
        <v>1</v>
      </c>
      <c r="K738" s="32" t="str">
        <f>IF(E738=0,IF(I738="Company-caused",IF(Orders!T735="Rider unavailable","C1 Rider unavailable","C2 Item unavailable"),"Outside root: unresolved"),IF(G738=0,"A On time",IF(H738=1,IF(L738=1,"B2a Severe, peak","B2b Severe, off-peak"),IF(L738=1,"B1a Slight, peak","B1b Slight, off-peak"))))</f>
        <v>A On time</v>
      </c>
      <c r="L738" s="33">
        <f>IF(AND(Orders!U735&gt;=19,Orders!U735&lt;22),1,0)</f>
        <v>1</v>
      </c>
      <c r="M738" s="33">
        <f>IF(L738=IF(Orders!V735,1,0),1,0)</f>
        <v>1</v>
      </c>
      <c r="N738" s="32" t="str">
        <f>IF(Orders!W735="","None",Orders!W735)</f>
        <v>None</v>
      </c>
      <c r="O738" s="35">
        <f>INT(Orders!E735)</f>
        <v>46271.0</v>
      </c>
      <c r="P738" s="33">
        <f>Orders!U735</f>
        <v>20</v>
      </c>
      <c r="Q738" s="33">
        <f>COUNTIFS(Demand!$A$2:$A$4481,B738,Demand!$B$2:$B$4481,O738,Demand!$C$2:$C$4481,P738)</f>
        <v>1</v>
      </c>
      <c r="R738" s="33">
        <f>IF(Q738=1,SUMIFS(Demand!$E$2:$E$4481,Demand!$A$2:$A$4481,B738,Demand!$B$2:$B$4481,O738,Demand!$C$2:$C$4481,P738),"")</f>
        <v>55</v>
      </c>
      <c r="S738" s="33">
        <f>INDEX(Stores!$G$2:$G$21,MATCH(B738,Stores!$A$2:$A$21,0))</f>
        <v>41</v>
      </c>
      <c r="T738" s="34">
        <f>IF(R738="","",R738/S738)</f>
        <v>1.34146341463415</v>
      </c>
      <c r="U738" s="34">
        <f>IF(E738=1,T738,"")</f>
        <v>1.34146341463415</v>
      </c>
      <c r="V738" s="34" t="str">
        <f>IF(AND(E738=1,L738=0),T738,"")</f>
        <v/>
      </c>
      <c r="W738" s="33">
        <f>IF(U738="","",IF(U738&lt;=Breakdowns!$C$5,1,IF(U738&lt;=Breakdowns!$C$6,2,IF(U738&lt;=Breakdowns!$C$7,3,4))))</f>
        <v>4</v>
      </c>
      <c r="X738" s="33" t="str">
        <f>IF(V738="","",IF(V738&lt;=Breakdowns!$D$5,1,IF(V738&lt;=Breakdowns!$D$6,2,IF(V738&lt;=Breakdowns!$D$7,3,4))))</f>
        <v/>
      </c>
      <c r="Y738" s="34">
        <f>INDEX(Stores!$F$2:$F$21,MATCH(B738,Stores!$A$2:$A$21,0))</f>
        <v>3.84</v>
      </c>
      <c r="Z738" s="33">
        <f>IF(Y738&gt;Store_Summary!$M$2,1,0)</f>
        <v>0</v>
      </c>
      <c r="AA738" s="33">
        <f>INDEX(Stores!$C$2:$C$21,MATCH(B738,Stores!$A$2:$A$21,0))</f>
        <v>426</v>
      </c>
      <c r="AB738" s="33">
        <f>IF(AA738&lt;180,1,0)</f>
        <v>0</v>
      </c>
      <c r="AC738" s="32" t="str">
        <f>IF(Orders!D735="","",INDEX(Riders!$C$2:$C$81,MATCH(Orders!D735,Riders!$A$2:$A$81,0)))</f>
        <v>Petrol scooter</v>
      </c>
      <c r="AD738" s="33">
        <f>IF(Orders!D735="","",INDEX(Riders!$D$2:$D$81,MATCH(Orders!D735,Riders!$A$2:$A$81,0)))</f>
        <v>24</v>
      </c>
      <c r="AE738" s="33">
        <f>IF(Orders!D735="","",IF(INDEX(Riders!$B$2:$B$81,MATCH(Orders!D735,Riders!$A$2:$A$81,0))=B738,1,0))</f>
        <v>0</v>
      </c>
      <c r="AF738" s="34">
        <f>IF(E738=1,Orders!L735,"")</f>
        <v>2.1</v>
      </c>
      <c r="AG738" s="34">
        <f>IF(E738=1,Orders!P735,"")</f>
        <v>9.5</v>
      </c>
      <c r="AH738" s="34">
        <f>IF(E738=1,Orders!Q735,"")</f>
        <v>8.9</v>
      </c>
      <c r="AI738" s="34">
        <f>IF(E738=1,Orders!M735,"")</f>
        <v>2.3</v>
      </c>
      <c r="AJ738" s="34">
        <f>IF(E738=1,Orders!N735,"")</f>
        <v>3.1</v>
      </c>
      <c r="AK738" s="34">
        <f>IF(E738=1,Orders!O735,"")</f>
        <v>3.5</v>
      </c>
      <c r="AL738" s="33">
        <f>IF(E738=1,IF(ROUND(ABS(AI738+AJ738+AK738-AH738),6)&lt;=0.1,1,0),"")</f>
        <v>1</v>
      </c>
      <c r="AM738" s="36">
        <f>IF(E738=1,AI738/AH738,"")</f>
        <v>0.258426966292135</v>
      </c>
      <c r="AN738" s="36">
        <f>IF(E738=1,AJ738/AH738,"")</f>
        <v>0.348314606741573</v>
      </c>
      <c r="AO738" s="36">
        <f>IF(E738=1,AK738/AH738,"")</f>
        <v>0.393258426966292</v>
      </c>
      <c r="AP738" s="34">
        <f>IF(E738=1,Orders!Y735,"")</f>
        <v>0.7</v>
      </c>
      <c r="AQ738" s="33">
        <f>IF(Orders!X735,1,0)</f>
        <v>0</v>
      </c>
      <c r="AR738" s="34">
        <f>IF(AND(E738=1,L738=1),AJ738,"")</f>
        <v>3.1</v>
      </c>
      <c r="AS738" s="34" t="str">
        <f>IF(AND(E738=1,L738=0),AJ738,"")</f>
        <v/>
      </c>
      <c r="AT738" s="34">
        <f>IF(AND(E738=1,L738=1),AI738,"")</f>
        <v>2.3</v>
      </c>
      <c r="AU738" s="34" t="str">
        <f>IF(AND(E738=1,L738=0),AI738,"")</f>
        <v/>
      </c>
      <c r="AV738" s="34">
        <f>IF(AND(E738=1,L738=1),AG738,"")</f>
        <v>9.5</v>
      </c>
      <c r="AW738" s="34" t="str">
        <f>IF(AND(E738=1,L738=0),AG738,"")</f>
        <v/>
      </c>
      <c r="AX738" s="34">
        <f>IF(AND(E738=1,L738=1),AH738,"")</f>
        <v>8.9</v>
      </c>
      <c r="AY738" s="34" t="str">
        <f>IF(AND(E738=1,L738=0),AH738,"")</f>
        <v/>
      </c>
      <c r="AZ738" s="34" t="str">
        <f>IF(G738=1,F738,"")</f>
        <v/>
      </c>
      <c r="BA738" s="34" t="str">
        <f>IF(AND(G738=1,L738=1),F738,"")</f>
        <v/>
      </c>
      <c r="BB738" s="34" t="str">
        <f>IF(AND(G738=1,L738=0),F738,"")</f>
        <v/>
      </c>
      <c r="BC738" s="33">
        <f>IF(E738=1,IF(Orders!R735&gt;3,1,0),"")</f>
        <v>0</v>
      </c>
      <c r="BD738" s="33">
        <f>IF(E738=1,IF(Orders!R735&gt;7,1,0),"")</f>
        <v>0</v>
      </c>
      <c r="BE738" s="32" t="str">
        <f>IF(E738=1,IF(Orders!L735&lt;=1.5,"Up to 1.5 km",IF(Orders!L735&lt;=3,"1.5–3 km","Over 3 km")),"")</f>
        <v>1.5–3 km</v>
      </c>
      <c r="BF738" s="33">
        <f>IF(E738=1,IF(ABS((Orders!G735-Orders!F735)*1440-Orders!R735)&lt;0.06,1,0),"")</f>
        <v>1</v>
      </c>
      <c r="BG738" s="33">
        <f>IF(ABS((Orders!F735-Orders!E735)*1440-Orders!P735)&lt;0.06,1,0)</f>
        <v>1</v>
      </c>
      <c r="BH738" s="33">
        <f>IF(E738=1,IF(IF(Orders!S735,1,0)=1-G738,1,0),"")</f>
        <v>1</v>
      </c>
      <c r="BI738" s="32" t="str">
        <f>INDEX(Stores!$B$2:$B$21,MATCH(B738,Stores!$A$2:$A$21,0))</f>
        <v>Mumbai</v>
      </c>
    </row>
    <row r="739">
      <c r="A739" s="32" t="str">
        <f>Orders!A736</f>
        <v>O00735</v>
      </c>
      <c r="B739" s="32" t="str">
        <f>Orders!C736</f>
        <v>S018</v>
      </c>
      <c r="C739" s="32" t="str">
        <f>Orders!B736</f>
        <v>C0167</v>
      </c>
      <c r="D739" s="32" t="str">
        <f>Orders!H736</f>
        <v>Delivered</v>
      </c>
      <c r="E739" s="33">
        <f>IF(Orders!H736="Delivered",1,0)</f>
        <v>1</v>
      </c>
      <c r="F739" s="34">
        <f>IF(E739=1,Orders!R736,"")</f>
        <v>-1</v>
      </c>
      <c r="G739" s="33">
        <f>IF(E739=1,IF(Orders!R736&gt;0,1,0),"")</f>
        <v>0</v>
      </c>
      <c r="H739" s="33">
        <f>IF(E739=1,IF(Orders!R736&gt;5,1,0),"")</f>
        <v>0</v>
      </c>
      <c r="I739" s="32" t="str">
        <f>IF(E739=1,"",IF(OR(Orders!T736="Rider unavailable",Orders!T736="Item unavailable"),"Company-caused","Unresolved"))</f>
        <v/>
      </c>
      <c r="J739" s="33">
        <f>IF(OR(E739=1,I739="Company-caused"),1,0)</f>
        <v>1</v>
      </c>
      <c r="K739" s="32" t="str">
        <f>IF(E739=0,IF(I739="Company-caused",IF(Orders!T736="Rider unavailable","C1 Rider unavailable","C2 Item unavailable"),"Outside root: unresolved"),IF(G739=0,"A On time",IF(H739=1,IF(L739=1,"B2a Severe, peak","B2b Severe, off-peak"),IF(L739=1,"B1a Slight, peak","B1b Slight, off-peak"))))</f>
        <v>A On time</v>
      </c>
      <c r="L739" s="33">
        <f>IF(AND(Orders!U736&gt;=19,Orders!U736&lt;22),1,0)</f>
        <v>1</v>
      </c>
      <c r="M739" s="33">
        <f>IF(L739=IF(Orders!V736,1,0),1,0)</f>
        <v>1</v>
      </c>
      <c r="N739" s="32" t="str">
        <f>IF(Orders!W736="","None",Orders!W736)</f>
        <v>None</v>
      </c>
      <c r="O739" s="35">
        <f>INT(Orders!E736)</f>
        <v>46270.0</v>
      </c>
      <c r="P739" s="33">
        <f>Orders!U736</f>
        <v>19</v>
      </c>
      <c r="Q739" s="33">
        <f>COUNTIFS(Demand!$A$2:$A$4481,B739,Demand!$B$2:$B$4481,O739,Demand!$C$2:$C$4481,P739)</f>
        <v>1</v>
      </c>
      <c r="R739" s="33">
        <f>IF(Q739=1,SUMIFS(Demand!$E$2:$E$4481,Demand!$A$2:$A$4481,B739,Demand!$B$2:$B$4481,O739,Demand!$C$2:$C$4481,P739),"")</f>
        <v>30</v>
      </c>
      <c r="S739" s="33">
        <f>INDEX(Stores!$G$2:$G$21,MATCH(B739,Stores!$A$2:$A$21,0))</f>
        <v>20</v>
      </c>
      <c r="T739" s="34">
        <f>IF(R739="","",R739/S739)</f>
        <v>1.5</v>
      </c>
      <c r="U739" s="34">
        <f>IF(E739=1,T739,"")</f>
        <v>1.5</v>
      </c>
      <c r="V739" s="34" t="str">
        <f>IF(AND(E739=1,L739=0),T739,"")</f>
        <v/>
      </c>
      <c r="W739" s="33">
        <f>IF(U739="","",IF(U739&lt;=Breakdowns!$C$5,1,IF(U739&lt;=Breakdowns!$C$6,2,IF(U739&lt;=Breakdowns!$C$7,3,4))))</f>
        <v>4</v>
      </c>
      <c r="X739" s="33" t="str">
        <f>IF(V739="","",IF(V739&lt;=Breakdowns!$D$5,1,IF(V739&lt;=Breakdowns!$D$6,2,IF(V739&lt;=Breakdowns!$D$7,3,4))))</f>
        <v/>
      </c>
      <c r="Y739" s="34">
        <f>INDEX(Stores!$F$2:$F$21,MATCH(B739,Stores!$A$2:$A$21,0))</f>
        <v>5.31</v>
      </c>
      <c r="Z739" s="33">
        <f>IF(Y739&gt;Store_Summary!$M$2,1,0)</f>
        <v>1</v>
      </c>
      <c r="AA739" s="33">
        <f>INDEX(Stores!$C$2:$C$21,MATCH(B739,Stores!$A$2:$A$21,0))</f>
        <v>214</v>
      </c>
      <c r="AB739" s="33">
        <f>IF(AA739&lt;180,1,0)</f>
        <v>0</v>
      </c>
      <c r="AC739" s="32" t="str">
        <f>IF(Orders!D736="","",INDEX(Riders!$C$2:$C$81,MATCH(Orders!D736,Riders!$A$2:$A$81,0)))</f>
        <v>EV scooter</v>
      </c>
      <c r="AD739" s="33">
        <f>IF(Orders!D736="","",INDEX(Riders!$D$2:$D$81,MATCH(Orders!D736,Riders!$A$2:$A$81,0)))</f>
        <v>2</v>
      </c>
      <c r="AE739" s="33">
        <f>IF(Orders!D736="","",IF(INDEX(Riders!$B$2:$B$81,MATCH(Orders!D736,Riders!$A$2:$A$81,0))=B739,1,0))</f>
        <v>0</v>
      </c>
      <c r="AF739" s="34">
        <f>IF(E739=1,Orders!L736,"")</f>
        <v>1.14</v>
      </c>
      <c r="AG739" s="34">
        <f>IF(E739=1,Orders!P736,"")</f>
        <v>9.4</v>
      </c>
      <c r="AH739" s="34">
        <f>IF(E739=1,Orders!Q736,"")</f>
        <v>8.4</v>
      </c>
      <c r="AI739" s="34">
        <f>IF(E739=1,Orders!M736,"")</f>
        <v>3.2</v>
      </c>
      <c r="AJ739" s="34">
        <f>IF(E739=1,Orders!N736,"")</f>
        <v>1.7</v>
      </c>
      <c r="AK739" s="34">
        <f>IF(E739=1,Orders!O736,"")</f>
        <v>3.5</v>
      </c>
      <c r="AL739" s="33">
        <f>IF(E739=1,IF(ROUND(ABS(AI739+AJ739+AK739-AH739),6)&lt;=0.1,1,0),"")</f>
        <v>1</v>
      </c>
      <c r="AM739" s="36">
        <f>IF(E739=1,AI739/AH739,"")</f>
        <v>0.380952380952381</v>
      </c>
      <c r="AN739" s="36">
        <f>IF(E739=1,AJ739/AH739,"")</f>
        <v>0.202380952380952</v>
      </c>
      <c r="AO739" s="36">
        <f>IF(E739=1,AK739/AH739,"")</f>
        <v>0.416666666666667</v>
      </c>
      <c r="AP739" s="34">
        <f>IF(E739=1,Orders!Y736,"")</f>
        <v>0.6</v>
      </c>
      <c r="AQ739" s="33">
        <f>IF(Orders!X736,1,0)</f>
        <v>0</v>
      </c>
      <c r="AR739" s="34">
        <f>IF(AND(E739=1,L739=1),AJ739,"")</f>
        <v>1.7</v>
      </c>
      <c r="AS739" s="34" t="str">
        <f>IF(AND(E739=1,L739=0),AJ739,"")</f>
        <v/>
      </c>
      <c r="AT739" s="34">
        <f>IF(AND(E739=1,L739=1),AI739,"")</f>
        <v>3.2</v>
      </c>
      <c r="AU739" s="34" t="str">
        <f>IF(AND(E739=1,L739=0),AI739,"")</f>
        <v/>
      </c>
      <c r="AV739" s="34">
        <f>IF(AND(E739=1,L739=1),AG739,"")</f>
        <v>9.4</v>
      </c>
      <c r="AW739" s="34" t="str">
        <f>IF(AND(E739=1,L739=0),AG739,"")</f>
        <v/>
      </c>
      <c r="AX739" s="34">
        <f>IF(AND(E739=1,L739=1),AH739,"")</f>
        <v>8.4</v>
      </c>
      <c r="AY739" s="34" t="str">
        <f>IF(AND(E739=1,L739=0),AH739,"")</f>
        <v/>
      </c>
      <c r="AZ739" s="34" t="str">
        <f>IF(G739=1,F739,"")</f>
        <v/>
      </c>
      <c r="BA739" s="34" t="str">
        <f>IF(AND(G739=1,L739=1),F739,"")</f>
        <v/>
      </c>
      <c r="BB739" s="34" t="str">
        <f>IF(AND(G739=1,L739=0),F739,"")</f>
        <v/>
      </c>
      <c r="BC739" s="33">
        <f>IF(E739=1,IF(Orders!R736&gt;3,1,0),"")</f>
        <v>0</v>
      </c>
      <c r="BD739" s="33">
        <f>IF(E739=1,IF(Orders!R736&gt;7,1,0),"")</f>
        <v>0</v>
      </c>
      <c r="BE739" s="32" t="str">
        <f>IF(E739=1,IF(Orders!L736&lt;=1.5,"Up to 1.5 km",IF(Orders!L736&lt;=3,"1.5–3 km","Over 3 km")),"")</f>
        <v>Up to 1.5 km</v>
      </c>
      <c r="BF739" s="33">
        <f>IF(E739=1,IF(ABS((Orders!G736-Orders!F736)*1440-Orders!R736)&lt;0.06,1,0),"")</f>
        <v>1</v>
      </c>
      <c r="BG739" s="33">
        <f>IF(ABS((Orders!F736-Orders!E736)*1440-Orders!P736)&lt;0.06,1,0)</f>
        <v>1</v>
      </c>
      <c r="BH739" s="33">
        <f>IF(E739=1,IF(IF(Orders!S736,1,0)=1-G739,1,0),"")</f>
        <v>1</v>
      </c>
      <c r="BI739" s="32" t="str">
        <f>INDEX(Stores!$B$2:$B$21,MATCH(B739,Stores!$A$2:$A$21,0))</f>
        <v>Mumbai</v>
      </c>
    </row>
    <row r="740">
      <c r="A740" s="32" t="str">
        <f>Orders!A737</f>
        <v>O00736</v>
      </c>
      <c r="B740" s="32" t="str">
        <f>Orders!C737</f>
        <v>S016</v>
      </c>
      <c r="C740" s="32" t="str">
        <f>Orders!B737</f>
        <v>C0081</v>
      </c>
      <c r="D740" s="32" t="str">
        <f>Orders!H737</f>
        <v>Delivered</v>
      </c>
      <c r="E740" s="33">
        <f>IF(Orders!H737="Delivered",1,0)</f>
        <v>1</v>
      </c>
      <c r="F740" s="34">
        <f>IF(E740=1,Orders!R737,"")</f>
        <v>3.9</v>
      </c>
      <c r="G740" s="33">
        <f>IF(E740=1,IF(Orders!R737&gt;0,1,0),"")</f>
        <v>1</v>
      </c>
      <c r="H740" s="33">
        <f>IF(E740=1,IF(Orders!R737&gt;5,1,0),"")</f>
        <v>0</v>
      </c>
      <c r="I740" s="32" t="str">
        <f>IF(E740=1,"",IF(OR(Orders!T737="Rider unavailable",Orders!T737="Item unavailable"),"Company-caused","Unresolved"))</f>
        <v/>
      </c>
      <c r="J740" s="33">
        <f>IF(OR(E740=1,I740="Company-caused"),1,0)</f>
        <v>1</v>
      </c>
      <c r="K740" s="32" t="str">
        <f>IF(E740=0,IF(I740="Company-caused",IF(Orders!T737="Rider unavailable","C1 Rider unavailable","C2 Item unavailable"),"Outside root: unresolved"),IF(G740=0,"A On time",IF(H740=1,IF(L740=1,"B2a Severe, peak","B2b Severe, off-peak"),IF(L740=1,"B1a Slight, peak","B1b Slight, off-peak"))))</f>
        <v>B1b Slight, off-peak</v>
      </c>
      <c r="L740" s="33">
        <f>IF(AND(Orders!U737&gt;=19,Orders!U737&lt;22),1,0)</f>
        <v>0</v>
      </c>
      <c r="M740" s="33">
        <f>IF(L740=IF(Orders!V737,1,0),1,0)</f>
        <v>1</v>
      </c>
      <c r="N740" s="32" t="str">
        <f>IF(Orders!W737="","None",Orders!W737)</f>
        <v>None</v>
      </c>
      <c r="O740" s="35">
        <f>INT(Orders!E737)</f>
        <v>46269.0</v>
      </c>
      <c r="P740" s="33">
        <f>Orders!U737</f>
        <v>10</v>
      </c>
      <c r="Q740" s="33">
        <f>COUNTIFS(Demand!$A$2:$A$4481,B740,Demand!$B$2:$B$4481,O740,Demand!$C$2:$C$4481,P740)</f>
        <v>1</v>
      </c>
      <c r="R740" s="33">
        <f>IF(Q740=1,SUMIFS(Demand!$E$2:$E$4481,Demand!$A$2:$A$4481,B740,Demand!$B$2:$B$4481,O740,Demand!$C$2:$C$4481,P740),"")</f>
        <v>13</v>
      </c>
      <c r="S740" s="33">
        <f>INDEX(Stores!$G$2:$G$21,MATCH(B740,Stores!$A$2:$A$21,0))</f>
        <v>25</v>
      </c>
      <c r="T740" s="34">
        <f>IF(R740="","",R740/S740)</f>
        <v>0.52</v>
      </c>
      <c r="U740" s="34">
        <f>IF(E740=1,T740,"")</f>
        <v>0.52</v>
      </c>
      <c r="V740" s="34">
        <f>IF(AND(E740=1,L740=0),T740,"")</f>
        <v>0.52</v>
      </c>
      <c r="W740" s="33">
        <f>IF(U740="","",IF(U740&lt;=Breakdowns!$C$5,1,IF(U740&lt;=Breakdowns!$C$6,2,IF(U740&lt;=Breakdowns!$C$7,3,4))))</f>
        <v>1</v>
      </c>
      <c r="X740" s="33">
        <f>IF(V740="","",IF(V740&lt;=Breakdowns!$D$5,1,IF(V740&lt;=Breakdowns!$D$6,2,IF(V740&lt;=Breakdowns!$D$7,3,4))))</f>
        <v>1</v>
      </c>
      <c r="Y740" s="34">
        <f>INDEX(Stores!$F$2:$F$21,MATCH(B740,Stores!$A$2:$A$21,0))</f>
        <v>5.51</v>
      </c>
      <c r="Z740" s="33">
        <f>IF(Y740&gt;Store_Summary!$M$2,1,0)</f>
        <v>1</v>
      </c>
      <c r="AA740" s="33">
        <f>INDEX(Stores!$C$2:$C$21,MATCH(B740,Stores!$A$2:$A$21,0))</f>
        <v>792</v>
      </c>
      <c r="AB740" s="33">
        <f>IF(AA740&lt;180,1,0)</f>
        <v>0</v>
      </c>
      <c r="AC740" s="32" t="str">
        <f>IF(Orders!D737="","",INDEX(Riders!$C$2:$C$81,MATCH(Orders!D737,Riders!$A$2:$A$81,0)))</f>
        <v>Bicycle</v>
      </c>
      <c r="AD740" s="33">
        <f>IF(Orders!D737="","",INDEX(Riders!$D$2:$D$81,MATCH(Orders!D737,Riders!$A$2:$A$81,0)))</f>
        <v>2</v>
      </c>
      <c r="AE740" s="33">
        <f>IF(Orders!D737="","",IF(INDEX(Riders!$B$2:$B$81,MATCH(Orders!D737,Riders!$A$2:$A$81,0))=B740,1,0))</f>
        <v>0</v>
      </c>
      <c r="AF740" s="34">
        <f>IF(E740=1,Orders!L737,"")</f>
        <v>1.48</v>
      </c>
      <c r="AG740" s="34">
        <f>IF(E740=1,Orders!P737,"")</f>
        <v>13.8</v>
      </c>
      <c r="AH740" s="34">
        <f>IF(E740=1,Orders!Q737,"")</f>
        <v>17.7</v>
      </c>
      <c r="AI740" s="34">
        <f>IF(E740=1,Orders!M737,"")</f>
        <v>7.2</v>
      </c>
      <c r="AJ740" s="34">
        <f>IF(E740=1,Orders!N737,"")</f>
        <v>5.8</v>
      </c>
      <c r="AK740" s="34">
        <f>IF(E740=1,Orders!O737,"")</f>
        <v>4.6</v>
      </c>
      <c r="AL740" s="33">
        <f>IF(E740=1,IF(ROUND(ABS(AI740+AJ740+AK740-AH740),6)&lt;=0.1,1,0),"")</f>
        <v>1</v>
      </c>
      <c r="AM740" s="36">
        <f>IF(E740=1,AI740/AH740,"")</f>
        <v>0.406779661016949</v>
      </c>
      <c r="AN740" s="36">
        <f>IF(E740=1,AJ740/AH740,"")</f>
        <v>0.327683615819209</v>
      </c>
      <c r="AO740" s="36">
        <f>IF(E740=1,AK740/AH740,"")</f>
        <v>0.259887005649718</v>
      </c>
      <c r="AP740" s="34">
        <f>IF(E740=1,Orders!Y737,"")</f>
        <v>0.32</v>
      </c>
      <c r="AQ740" s="33">
        <f>IF(Orders!X737,1,0)</f>
        <v>0</v>
      </c>
      <c r="AR740" s="34" t="str">
        <f>IF(AND(E740=1,L740=1),AJ740,"")</f>
        <v/>
      </c>
      <c r="AS740" s="34">
        <f>IF(AND(E740=1,L740=0),AJ740,"")</f>
        <v>5.8</v>
      </c>
      <c r="AT740" s="34" t="str">
        <f>IF(AND(E740=1,L740=1),AI740,"")</f>
        <v/>
      </c>
      <c r="AU740" s="34">
        <f>IF(AND(E740=1,L740=0),AI740,"")</f>
        <v>7.2</v>
      </c>
      <c r="AV740" s="34" t="str">
        <f>IF(AND(E740=1,L740=1),AG740,"")</f>
        <v/>
      </c>
      <c r="AW740" s="34">
        <f>IF(AND(E740=1,L740=0),AG740,"")</f>
        <v>13.8</v>
      </c>
      <c r="AX740" s="34" t="str">
        <f>IF(AND(E740=1,L740=1),AH740,"")</f>
        <v/>
      </c>
      <c r="AY740" s="34">
        <f>IF(AND(E740=1,L740=0),AH740,"")</f>
        <v>17.7</v>
      </c>
      <c r="AZ740" s="34">
        <f>IF(G740=1,F740,"")</f>
        <v>3.9</v>
      </c>
      <c r="BA740" s="34" t="str">
        <f>IF(AND(G740=1,L740=1),F740,"")</f>
        <v/>
      </c>
      <c r="BB740" s="34">
        <f>IF(AND(G740=1,L740=0),F740,"")</f>
        <v>3.9</v>
      </c>
      <c r="BC740" s="33">
        <f>IF(E740=1,IF(Orders!R737&gt;3,1,0),"")</f>
        <v>1</v>
      </c>
      <c r="BD740" s="33">
        <f>IF(E740=1,IF(Orders!R737&gt;7,1,0),"")</f>
        <v>0</v>
      </c>
      <c r="BE740" s="32" t="str">
        <f>IF(E740=1,IF(Orders!L737&lt;=1.5,"Up to 1.5 km",IF(Orders!L737&lt;=3,"1.5–3 km","Over 3 km")),"")</f>
        <v>Up to 1.5 km</v>
      </c>
      <c r="BF740" s="33">
        <f>IF(E740=1,IF(ABS((Orders!G737-Orders!F737)*1440-Orders!R737)&lt;0.06,1,0),"")</f>
        <v>1</v>
      </c>
      <c r="BG740" s="33">
        <f>IF(ABS((Orders!F737-Orders!E737)*1440-Orders!P737)&lt;0.06,1,0)</f>
        <v>1</v>
      </c>
      <c r="BH740" s="33">
        <f>IF(E740=1,IF(IF(Orders!S737,1,0)=1-G740,1,0),"")</f>
        <v>1</v>
      </c>
      <c r="BI740" s="32" t="str">
        <f>INDEX(Stores!$B$2:$B$21,MATCH(B740,Stores!$A$2:$A$21,0))</f>
        <v>Bengaluru</v>
      </c>
    </row>
    <row r="741">
      <c r="A741" s="32" t="str">
        <f>Orders!A738</f>
        <v>O00737</v>
      </c>
      <c r="B741" s="32" t="str">
        <f>Orders!C738</f>
        <v>S012</v>
      </c>
      <c r="C741" s="32" t="str">
        <f>Orders!B738</f>
        <v>C0179</v>
      </c>
      <c r="D741" s="32" t="str">
        <f>Orders!H738</f>
        <v>Delivered</v>
      </c>
      <c r="E741" s="33">
        <f>IF(Orders!H738="Delivered",1,0)</f>
        <v>1</v>
      </c>
      <c r="F741" s="34">
        <f>IF(E741=1,Orders!R738,"")</f>
        <v>-1</v>
      </c>
      <c r="G741" s="33">
        <f>IF(E741=1,IF(Orders!R738&gt;0,1,0),"")</f>
        <v>0</v>
      </c>
      <c r="H741" s="33">
        <f>IF(E741=1,IF(Orders!R738&gt;5,1,0),"")</f>
        <v>0</v>
      </c>
      <c r="I741" s="32" t="str">
        <f>IF(E741=1,"",IF(OR(Orders!T738="Rider unavailable",Orders!T738="Item unavailable"),"Company-caused","Unresolved"))</f>
        <v/>
      </c>
      <c r="J741" s="33">
        <f>IF(OR(E741=1,I741="Company-caused"),1,0)</f>
        <v>1</v>
      </c>
      <c r="K741" s="32" t="str">
        <f>IF(E741=0,IF(I741="Company-caused",IF(Orders!T738="Rider unavailable","C1 Rider unavailable","C2 Item unavailable"),"Outside root: unresolved"),IF(G741=0,"A On time",IF(H741=1,IF(L741=1,"B2a Severe, peak","B2b Severe, off-peak"),IF(L741=1,"B1a Slight, peak","B1b Slight, off-peak"))))</f>
        <v>A On time</v>
      </c>
      <c r="L741" s="33">
        <f>IF(AND(Orders!U738&gt;=19,Orders!U738&lt;22),1,0)</f>
        <v>1</v>
      </c>
      <c r="M741" s="33">
        <f>IF(L741=IF(Orders!V738,1,0),1,0)</f>
        <v>1</v>
      </c>
      <c r="N741" s="32" t="str">
        <f>IF(Orders!W738="","None",Orders!W738)</f>
        <v>Light</v>
      </c>
      <c r="O741" s="35">
        <f>INT(Orders!E738)</f>
        <v>46272.0</v>
      </c>
      <c r="P741" s="33">
        <f>Orders!U738</f>
        <v>21</v>
      </c>
      <c r="Q741" s="33">
        <f>COUNTIFS(Demand!$A$2:$A$4481,B741,Demand!$B$2:$B$4481,O741,Demand!$C$2:$C$4481,P741)</f>
        <v>1</v>
      </c>
      <c r="R741" s="33">
        <f>IF(Q741=1,SUMIFS(Demand!$E$2:$E$4481,Demand!$A$2:$A$4481,B741,Demand!$B$2:$B$4481,O741,Demand!$C$2:$C$4481,P741),"")</f>
        <v>28</v>
      </c>
      <c r="S741" s="33">
        <f>INDEX(Stores!$G$2:$G$21,MATCH(B741,Stores!$A$2:$A$21,0))</f>
        <v>15</v>
      </c>
      <c r="T741" s="34">
        <f>IF(R741="","",R741/S741)</f>
        <v>1.86666666666667</v>
      </c>
      <c r="U741" s="34">
        <f>IF(E741=1,T741,"")</f>
        <v>1.86666666666667</v>
      </c>
      <c r="V741" s="34" t="str">
        <f>IF(AND(E741=1,L741=0),T741,"")</f>
        <v/>
      </c>
      <c r="W741" s="33">
        <f>IF(U741="","",IF(U741&lt;=Breakdowns!$C$5,1,IF(U741&lt;=Breakdowns!$C$6,2,IF(U741&lt;=Breakdowns!$C$7,3,4))))</f>
        <v>4</v>
      </c>
      <c r="X741" s="33" t="str">
        <f>IF(V741="","",IF(V741&lt;=Breakdowns!$D$5,1,IF(V741&lt;=Breakdowns!$D$6,2,IF(V741&lt;=Breakdowns!$D$7,3,4))))</f>
        <v/>
      </c>
      <c r="Y741" s="34">
        <f>INDEX(Stores!$F$2:$F$21,MATCH(B741,Stores!$A$2:$A$21,0))</f>
        <v>5.23</v>
      </c>
      <c r="Z741" s="33">
        <f>IF(Y741&gt;Store_Summary!$M$2,1,0)</f>
        <v>1</v>
      </c>
      <c r="AA741" s="33">
        <f>INDEX(Stores!$C$2:$C$21,MATCH(B741,Stores!$A$2:$A$21,0))</f>
        <v>300</v>
      </c>
      <c r="AB741" s="33">
        <f>IF(AA741&lt;180,1,0)</f>
        <v>0</v>
      </c>
      <c r="AC741" s="32" t="str">
        <f>IF(Orders!D738="","",INDEX(Riders!$C$2:$C$81,MATCH(Orders!D738,Riders!$A$2:$A$81,0)))</f>
        <v>Petrol scooter</v>
      </c>
      <c r="AD741" s="33">
        <f>IF(Orders!D738="","",INDEX(Riders!$D$2:$D$81,MATCH(Orders!D738,Riders!$A$2:$A$81,0)))</f>
        <v>44</v>
      </c>
      <c r="AE741" s="33">
        <f>IF(Orders!D738="","",IF(INDEX(Riders!$B$2:$B$81,MATCH(Orders!D738,Riders!$A$2:$A$81,0))=B741,1,0))</f>
        <v>0</v>
      </c>
      <c r="AF741" s="34">
        <f>IF(E741=1,Orders!L738,"")</f>
        <v>2.08</v>
      </c>
      <c r="AG741" s="34">
        <f>IF(E741=1,Orders!P738,"")</f>
        <v>11.1</v>
      </c>
      <c r="AH741" s="34">
        <f>IF(E741=1,Orders!Q738,"")</f>
        <v>10.1</v>
      </c>
      <c r="AI741" s="34">
        <f>IF(E741=1,Orders!M738,"")</f>
        <v>1.8</v>
      </c>
      <c r="AJ741" s="34">
        <f>IF(E741=1,Orders!N738,"")</f>
        <v>4.1</v>
      </c>
      <c r="AK741" s="34">
        <f>IF(E741=1,Orders!O738,"")</f>
        <v>4.2</v>
      </c>
      <c r="AL741" s="33">
        <f>IF(E741=1,IF(ROUND(ABS(AI741+AJ741+AK741-AH741),6)&lt;=0.1,1,0),"")</f>
        <v>1</v>
      </c>
      <c r="AM741" s="36">
        <f>IF(E741=1,AI741/AH741,"")</f>
        <v>0.178217821782178</v>
      </c>
      <c r="AN741" s="36">
        <f>IF(E741=1,AJ741/AH741,"")</f>
        <v>0.405940594059406</v>
      </c>
      <c r="AO741" s="36">
        <f>IF(E741=1,AK741/AH741,"")</f>
        <v>0.415841584158416</v>
      </c>
      <c r="AP741" s="34">
        <f>IF(E741=1,Orders!Y738,"")</f>
        <v>0.88</v>
      </c>
      <c r="AQ741" s="33">
        <f>IF(Orders!X738,1,0)</f>
        <v>0</v>
      </c>
      <c r="AR741" s="34">
        <f>IF(AND(E741=1,L741=1),AJ741,"")</f>
        <v>4.1</v>
      </c>
      <c r="AS741" s="34" t="str">
        <f>IF(AND(E741=1,L741=0),AJ741,"")</f>
        <v/>
      </c>
      <c r="AT741" s="34">
        <f>IF(AND(E741=1,L741=1),AI741,"")</f>
        <v>1.8</v>
      </c>
      <c r="AU741" s="34" t="str">
        <f>IF(AND(E741=1,L741=0),AI741,"")</f>
        <v/>
      </c>
      <c r="AV741" s="34">
        <f>IF(AND(E741=1,L741=1),AG741,"")</f>
        <v>11.1</v>
      </c>
      <c r="AW741" s="34" t="str">
        <f>IF(AND(E741=1,L741=0),AG741,"")</f>
        <v/>
      </c>
      <c r="AX741" s="34">
        <f>IF(AND(E741=1,L741=1),AH741,"")</f>
        <v>10.1</v>
      </c>
      <c r="AY741" s="34" t="str">
        <f>IF(AND(E741=1,L741=0),AH741,"")</f>
        <v/>
      </c>
      <c r="AZ741" s="34" t="str">
        <f>IF(G741=1,F741,"")</f>
        <v/>
      </c>
      <c r="BA741" s="34" t="str">
        <f>IF(AND(G741=1,L741=1),F741,"")</f>
        <v/>
      </c>
      <c r="BB741" s="34" t="str">
        <f>IF(AND(G741=1,L741=0),F741,"")</f>
        <v/>
      </c>
      <c r="BC741" s="33">
        <f>IF(E741=1,IF(Orders!R738&gt;3,1,0),"")</f>
        <v>0</v>
      </c>
      <c r="BD741" s="33">
        <f>IF(E741=1,IF(Orders!R738&gt;7,1,0),"")</f>
        <v>0</v>
      </c>
      <c r="BE741" s="32" t="str">
        <f>IF(E741=1,IF(Orders!L738&lt;=1.5,"Up to 1.5 km",IF(Orders!L738&lt;=3,"1.5–3 km","Over 3 km")),"")</f>
        <v>1.5–3 km</v>
      </c>
      <c r="BF741" s="33">
        <f>IF(E741=1,IF(ABS((Orders!G738-Orders!F738)*1440-Orders!R738)&lt;0.06,1,0),"")</f>
        <v>1</v>
      </c>
      <c r="BG741" s="33">
        <f>IF(ABS((Orders!F738-Orders!E738)*1440-Orders!P738)&lt;0.06,1,0)</f>
        <v>1</v>
      </c>
      <c r="BH741" s="33">
        <f>IF(E741=1,IF(IF(Orders!S738,1,0)=1-G741,1,0),"")</f>
        <v>1</v>
      </c>
      <c r="BI741" s="32" t="str">
        <f>INDEX(Stores!$B$2:$B$21,MATCH(B741,Stores!$A$2:$A$21,0))</f>
        <v>Hyderabad</v>
      </c>
    </row>
    <row r="742">
      <c r="A742" s="32" t="str">
        <f>Orders!A739</f>
        <v>O00738</v>
      </c>
      <c r="B742" s="32" t="str">
        <f>Orders!C739</f>
        <v>S010</v>
      </c>
      <c r="C742" s="32" t="str">
        <f>Orders!B739</f>
        <v>C0154</v>
      </c>
      <c r="D742" s="32" t="str">
        <f>Orders!H739</f>
        <v>Delivered</v>
      </c>
      <c r="E742" s="33">
        <f>IF(Orders!H739="Delivered",1,0)</f>
        <v>1</v>
      </c>
      <c r="F742" s="34">
        <f>IF(E742=1,Orders!R739,"")</f>
        <v>-0.7</v>
      </c>
      <c r="G742" s="33">
        <f>IF(E742=1,IF(Orders!R739&gt;0,1,0),"")</f>
        <v>0</v>
      </c>
      <c r="H742" s="33">
        <f>IF(E742=1,IF(Orders!R739&gt;5,1,0),"")</f>
        <v>0</v>
      </c>
      <c r="I742" s="32" t="str">
        <f>IF(E742=1,"",IF(OR(Orders!T739="Rider unavailable",Orders!T739="Item unavailable"),"Company-caused","Unresolved"))</f>
        <v/>
      </c>
      <c r="J742" s="33">
        <f>IF(OR(E742=1,I742="Company-caused"),1,0)</f>
        <v>1</v>
      </c>
      <c r="K742" s="32" t="str">
        <f>IF(E742=0,IF(I742="Company-caused",IF(Orders!T739="Rider unavailable","C1 Rider unavailable","C2 Item unavailable"),"Outside root: unresolved"),IF(G742=0,"A On time",IF(H742=1,IF(L742=1,"B2a Severe, peak","B2b Severe, off-peak"),IF(L742=1,"B1a Slight, peak","B1b Slight, off-peak"))))</f>
        <v>A On time</v>
      </c>
      <c r="L742" s="33">
        <f>IF(AND(Orders!U739&gt;=19,Orders!U739&lt;22),1,0)</f>
        <v>0</v>
      </c>
      <c r="M742" s="33">
        <f>IF(L742=IF(Orders!V739,1,0),1,0)</f>
        <v>1</v>
      </c>
      <c r="N742" s="32" t="str">
        <f>IF(Orders!W739="","None",Orders!W739)</f>
        <v>None</v>
      </c>
      <c r="O742" s="35">
        <f>INT(Orders!E739)</f>
        <v>46273.0</v>
      </c>
      <c r="P742" s="33">
        <f>Orders!U739</f>
        <v>22</v>
      </c>
      <c r="Q742" s="33">
        <f>COUNTIFS(Demand!$A$2:$A$4481,B742,Demand!$B$2:$B$4481,O742,Demand!$C$2:$C$4481,P742)</f>
        <v>1</v>
      </c>
      <c r="R742" s="33">
        <f>IF(Q742=1,SUMIFS(Demand!$E$2:$E$4481,Demand!$A$2:$A$4481,B742,Demand!$B$2:$B$4481,O742,Demand!$C$2:$C$4481,P742),"")</f>
        <v>21</v>
      </c>
      <c r="S742" s="33">
        <f>INDEX(Stores!$G$2:$G$21,MATCH(B742,Stores!$A$2:$A$21,0))</f>
        <v>22</v>
      </c>
      <c r="T742" s="34">
        <f>IF(R742="","",R742/S742)</f>
        <v>0.954545454545455</v>
      </c>
      <c r="U742" s="34">
        <f>IF(E742=1,T742,"")</f>
        <v>0.954545454545455</v>
      </c>
      <c r="V742" s="34">
        <f>IF(AND(E742=1,L742=0),T742,"")</f>
        <v>0.954545454545455</v>
      </c>
      <c r="W742" s="33">
        <f>IF(U742="","",IF(U742&lt;=Breakdowns!$C$5,1,IF(U742&lt;=Breakdowns!$C$6,2,IF(U742&lt;=Breakdowns!$C$7,3,4))))</f>
        <v>2</v>
      </c>
      <c r="X742" s="33">
        <f>IF(V742="","",IF(V742&lt;=Breakdowns!$D$5,1,IF(V742&lt;=Breakdowns!$D$6,2,IF(V742&lt;=Breakdowns!$D$7,3,4))))</f>
        <v>3</v>
      </c>
      <c r="Y742" s="34">
        <f>INDEX(Stores!$F$2:$F$21,MATCH(B742,Stores!$A$2:$A$21,0))</f>
        <v>5.61</v>
      </c>
      <c r="Z742" s="33">
        <f>IF(Y742&gt;Store_Summary!$M$2,1,0)</f>
        <v>1</v>
      </c>
      <c r="AA742" s="33">
        <f>INDEX(Stores!$C$2:$C$21,MATCH(B742,Stores!$A$2:$A$21,0))</f>
        <v>744</v>
      </c>
      <c r="AB742" s="33">
        <f>IF(AA742&lt;180,1,0)</f>
        <v>0</v>
      </c>
      <c r="AC742" s="32" t="str">
        <f>IF(Orders!D739="","",INDEX(Riders!$C$2:$C$81,MATCH(Orders!D739,Riders!$A$2:$A$81,0)))</f>
        <v>EV scooter</v>
      </c>
      <c r="AD742" s="33">
        <f>IF(Orders!D739="","",INDEX(Riders!$D$2:$D$81,MATCH(Orders!D739,Riders!$A$2:$A$81,0)))</f>
        <v>11</v>
      </c>
      <c r="AE742" s="33">
        <f>IF(Orders!D739="","",IF(INDEX(Riders!$B$2:$B$81,MATCH(Orders!D739,Riders!$A$2:$A$81,0))=B742,1,0))</f>
        <v>0</v>
      </c>
      <c r="AF742" s="34">
        <f>IF(E742=1,Orders!L739,"")</f>
        <v>1.72</v>
      </c>
      <c r="AG742" s="34">
        <f>IF(E742=1,Orders!P739,"")</f>
        <v>10.9</v>
      </c>
      <c r="AH742" s="34">
        <f>IF(E742=1,Orders!Q739,"")</f>
        <v>10.2</v>
      </c>
      <c r="AI742" s="34">
        <f>IF(E742=1,Orders!M739,"")</f>
        <v>3.2</v>
      </c>
      <c r="AJ742" s="34">
        <f>IF(E742=1,Orders!N739,"")</f>
        <v>4.1</v>
      </c>
      <c r="AK742" s="34">
        <f>IF(E742=1,Orders!O739,"")</f>
        <v>2.9</v>
      </c>
      <c r="AL742" s="33">
        <f>IF(E742=1,IF(ROUND(ABS(AI742+AJ742+AK742-AH742),6)&lt;=0.1,1,0),"")</f>
        <v>1</v>
      </c>
      <c r="AM742" s="36">
        <f>IF(E742=1,AI742/AH742,"")</f>
        <v>0.313725490196079</v>
      </c>
      <c r="AN742" s="36">
        <f>IF(E742=1,AJ742/AH742,"")</f>
        <v>0.401960784313726</v>
      </c>
      <c r="AO742" s="36">
        <f>IF(E742=1,AK742/AH742,"")</f>
        <v>0.284313725490196</v>
      </c>
      <c r="AP742" s="34">
        <f>IF(E742=1,Orders!Y739,"")</f>
        <v>0.62</v>
      </c>
      <c r="AQ742" s="33">
        <f>IF(Orders!X739,1,0)</f>
        <v>0</v>
      </c>
      <c r="AR742" s="34" t="str">
        <f>IF(AND(E742=1,L742=1),AJ742,"")</f>
        <v/>
      </c>
      <c r="AS742" s="34">
        <f>IF(AND(E742=1,L742=0),AJ742,"")</f>
        <v>4.1</v>
      </c>
      <c r="AT742" s="34" t="str">
        <f>IF(AND(E742=1,L742=1),AI742,"")</f>
        <v/>
      </c>
      <c r="AU742" s="34">
        <f>IF(AND(E742=1,L742=0),AI742,"")</f>
        <v>3.2</v>
      </c>
      <c r="AV742" s="34" t="str">
        <f>IF(AND(E742=1,L742=1),AG742,"")</f>
        <v/>
      </c>
      <c r="AW742" s="34">
        <f>IF(AND(E742=1,L742=0),AG742,"")</f>
        <v>10.9</v>
      </c>
      <c r="AX742" s="34" t="str">
        <f>IF(AND(E742=1,L742=1),AH742,"")</f>
        <v/>
      </c>
      <c r="AY742" s="34">
        <f>IF(AND(E742=1,L742=0),AH742,"")</f>
        <v>10.2</v>
      </c>
      <c r="AZ742" s="34" t="str">
        <f>IF(G742=1,F742,"")</f>
        <v/>
      </c>
      <c r="BA742" s="34" t="str">
        <f>IF(AND(G742=1,L742=1),F742,"")</f>
        <v/>
      </c>
      <c r="BB742" s="34" t="str">
        <f>IF(AND(G742=1,L742=0),F742,"")</f>
        <v/>
      </c>
      <c r="BC742" s="33">
        <f>IF(E742=1,IF(Orders!R739&gt;3,1,0),"")</f>
        <v>0</v>
      </c>
      <c r="BD742" s="33">
        <f>IF(E742=1,IF(Orders!R739&gt;7,1,0),"")</f>
        <v>0</v>
      </c>
      <c r="BE742" s="32" t="str">
        <f>IF(E742=1,IF(Orders!L739&lt;=1.5,"Up to 1.5 km",IF(Orders!L739&lt;=3,"1.5–3 km","Over 3 km")),"")</f>
        <v>1.5–3 km</v>
      </c>
      <c r="BF742" s="33">
        <f>IF(E742=1,IF(ABS((Orders!G739-Orders!F739)*1440-Orders!R739)&lt;0.06,1,0),"")</f>
        <v>1</v>
      </c>
      <c r="BG742" s="33">
        <f>IF(ABS((Orders!F739-Orders!E739)*1440-Orders!P739)&lt;0.06,1,0)</f>
        <v>1</v>
      </c>
      <c r="BH742" s="33">
        <f>IF(E742=1,IF(IF(Orders!S739,1,0)=1-G742,1,0),"")</f>
        <v>1</v>
      </c>
      <c r="BI742" s="32" t="str">
        <f>INDEX(Stores!$B$2:$B$21,MATCH(B742,Stores!$A$2:$A$21,0))</f>
        <v>Delhi</v>
      </c>
    </row>
    <row r="743">
      <c r="A743" s="32" t="str">
        <f>Orders!A740</f>
        <v>O00739</v>
      </c>
      <c r="B743" s="32" t="str">
        <f>Orders!C740</f>
        <v>S019</v>
      </c>
      <c r="C743" s="32" t="str">
        <f>Orders!B740</f>
        <v>C0202</v>
      </c>
      <c r="D743" s="32" t="str">
        <f>Orders!H740</f>
        <v>Delivered</v>
      </c>
      <c r="E743" s="33">
        <f>IF(Orders!H740="Delivered",1,0)</f>
        <v>1</v>
      </c>
      <c r="F743" s="34">
        <f>IF(E743=1,Orders!R740,"")</f>
        <v>-0.4</v>
      </c>
      <c r="G743" s="33">
        <f>IF(E743=1,IF(Orders!R740&gt;0,1,0),"")</f>
        <v>0</v>
      </c>
      <c r="H743" s="33">
        <f>IF(E743=1,IF(Orders!R740&gt;5,1,0),"")</f>
        <v>0</v>
      </c>
      <c r="I743" s="32" t="str">
        <f>IF(E743=1,"",IF(OR(Orders!T740="Rider unavailable",Orders!T740="Item unavailable"),"Company-caused","Unresolved"))</f>
        <v/>
      </c>
      <c r="J743" s="33">
        <f>IF(OR(E743=1,I743="Company-caused"),1,0)</f>
        <v>1</v>
      </c>
      <c r="K743" s="32" t="str">
        <f>IF(E743=0,IF(I743="Company-caused",IF(Orders!T740="Rider unavailable","C1 Rider unavailable","C2 Item unavailable"),"Outside root: unresolved"),IF(G743=0,"A On time",IF(H743=1,IF(L743=1,"B2a Severe, peak","B2b Severe, off-peak"),IF(L743=1,"B1a Slight, peak","B1b Slight, off-peak"))))</f>
        <v>A On time</v>
      </c>
      <c r="L743" s="33">
        <f>IF(AND(Orders!U740&gt;=19,Orders!U740&lt;22),1,0)</f>
        <v>0</v>
      </c>
      <c r="M743" s="33">
        <f>IF(L743=IF(Orders!V740,1,0),1,0)</f>
        <v>1</v>
      </c>
      <c r="N743" s="32" t="str">
        <f>IF(Orders!W740="","None",Orders!W740)</f>
        <v>Heavy</v>
      </c>
      <c r="O743" s="35">
        <f>INT(Orders!E740)</f>
        <v>46277.0</v>
      </c>
      <c r="P743" s="33">
        <f>Orders!U740</f>
        <v>22</v>
      </c>
      <c r="Q743" s="33">
        <f>COUNTIFS(Demand!$A$2:$A$4481,B743,Demand!$B$2:$B$4481,O743,Demand!$C$2:$C$4481,P743)</f>
        <v>1</v>
      </c>
      <c r="R743" s="33">
        <f>IF(Q743=1,SUMIFS(Demand!$E$2:$E$4481,Demand!$A$2:$A$4481,B743,Demand!$B$2:$B$4481,O743,Demand!$C$2:$C$4481,P743),"")</f>
        <v>17</v>
      </c>
      <c r="S743" s="33">
        <f>INDEX(Stores!$G$2:$G$21,MATCH(B743,Stores!$A$2:$A$21,0))</f>
        <v>22</v>
      </c>
      <c r="T743" s="34">
        <f>IF(R743="","",R743/S743)</f>
        <v>0.772727272727273</v>
      </c>
      <c r="U743" s="34">
        <f>IF(E743=1,T743,"")</f>
        <v>0.772727272727273</v>
      </c>
      <c r="V743" s="34">
        <f>IF(AND(E743=1,L743=0),T743,"")</f>
        <v>0.772727272727273</v>
      </c>
      <c r="W743" s="33">
        <f>IF(U743="","",IF(U743&lt;=Breakdowns!$C$5,1,IF(U743&lt;=Breakdowns!$C$6,2,IF(U743&lt;=Breakdowns!$C$7,3,4))))</f>
        <v>1</v>
      </c>
      <c r="X743" s="33">
        <f>IF(V743="","",IF(V743&lt;=Breakdowns!$D$5,1,IF(V743&lt;=Breakdowns!$D$6,2,IF(V743&lt;=Breakdowns!$D$7,3,4))))</f>
        <v>2</v>
      </c>
      <c r="Y743" s="34">
        <f>INDEX(Stores!$F$2:$F$21,MATCH(B743,Stores!$A$2:$A$21,0))</f>
        <v>4.99</v>
      </c>
      <c r="Z743" s="33">
        <f>IF(Y743&gt;Store_Summary!$M$2,1,0)</f>
        <v>1</v>
      </c>
      <c r="AA743" s="33">
        <f>INDEX(Stores!$C$2:$C$21,MATCH(B743,Stores!$A$2:$A$21,0))</f>
        <v>851</v>
      </c>
      <c r="AB743" s="33">
        <f>IF(AA743&lt;180,1,0)</f>
        <v>0</v>
      </c>
      <c r="AC743" s="32" t="str">
        <f>IF(Orders!D740="","",INDEX(Riders!$C$2:$C$81,MATCH(Orders!D740,Riders!$A$2:$A$81,0)))</f>
        <v>EV scooter</v>
      </c>
      <c r="AD743" s="33">
        <f>IF(Orders!D740="","",INDEX(Riders!$D$2:$D$81,MATCH(Orders!D740,Riders!$A$2:$A$81,0)))</f>
        <v>4</v>
      </c>
      <c r="AE743" s="33">
        <f>IF(Orders!D740="","",IF(INDEX(Riders!$B$2:$B$81,MATCH(Orders!D740,Riders!$A$2:$A$81,0))=B743,1,0))</f>
        <v>0</v>
      </c>
      <c r="AF743" s="34">
        <f>IF(E743=1,Orders!L740,"")</f>
        <v>1.52</v>
      </c>
      <c r="AG743" s="34">
        <f>IF(E743=1,Orders!P740,"")</f>
        <v>9.1</v>
      </c>
      <c r="AH743" s="34">
        <f>IF(E743=1,Orders!Q740,"")</f>
        <v>8.7</v>
      </c>
      <c r="AI743" s="34">
        <f>IF(E743=1,Orders!M740,"")</f>
        <v>3.7</v>
      </c>
      <c r="AJ743" s="34">
        <f>IF(E743=1,Orders!N740,"")</f>
        <v>1.4</v>
      </c>
      <c r="AK743" s="34">
        <f>IF(E743=1,Orders!O740,"")</f>
        <v>3.6</v>
      </c>
      <c r="AL743" s="33">
        <f>IF(E743=1,IF(ROUND(ABS(AI743+AJ743+AK743-AH743),6)&lt;=0.1,1,0),"")</f>
        <v>1</v>
      </c>
      <c r="AM743" s="36">
        <f>IF(E743=1,AI743/AH743,"")</f>
        <v>0.425287356321839</v>
      </c>
      <c r="AN743" s="36">
        <f>IF(E743=1,AJ743/AH743,"")</f>
        <v>0.160919540229885</v>
      </c>
      <c r="AO743" s="36">
        <f>IF(E743=1,AK743/AH743,"")</f>
        <v>0.413793103448276</v>
      </c>
      <c r="AP743" s="34">
        <f>IF(E743=1,Orders!Y740,"")</f>
        <v>0.45</v>
      </c>
      <c r="AQ743" s="33">
        <f>IF(Orders!X740,1,0)</f>
        <v>0</v>
      </c>
      <c r="AR743" s="34" t="str">
        <f>IF(AND(E743=1,L743=1),AJ743,"")</f>
        <v/>
      </c>
      <c r="AS743" s="34">
        <f>IF(AND(E743=1,L743=0),AJ743,"")</f>
        <v>1.4</v>
      </c>
      <c r="AT743" s="34" t="str">
        <f>IF(AND(E743=1,L743=1),AI743,"")</f>
        <v/>
      </c>
      <c r="AU743" s="34">
        <f>IF(AND(E743=1,L743=0),AI743,"")</f>
        <v>3.7</v>
      </c>
      <c r="AV743" s="34" t="str">
        <f>IF(AND(E743=1,L743=1),AG743,"")</f>
        <v/>
      </c>
      <c r="AW743" s="34">
        <f>IF(AND(E743=1,L743=0),AG743,"")</f>
        <v>9.1</v>
      </c>
      <c r="AX743" s="34" t="str">
        <f>IF(AND(E743=1,L743=1),AH743,"")</f>
        <v/>
      </c>
      <c r="AY743" s="34">
        <f>IF(AND(E743=1,L743=0),AH743,"")</f>
        <v>8.7</v>
      </c>
      <c r="AZ743" s="34" t="str">
        <f>IF(G743=1,F743,"")</f>
        <v/>
      </c>
      <c r="BA743" s="34" t="str">
        <f>IF(AND(G743=1,L743=1),F743,"")</f>
        <v/>
      </c>
      <c r="BB743" s="34" t="str">
        <f>IF(AND(G743=1,L743=0),F743,"")</f>
        <v/>
      </c>
      <c r="BC743" s="33">
        <f>IF(E743=1,IF(Orders!R740&gt;3,1,0),"")</f>
        <v>0</v>
      </c>
      <c r="BD743" s="33">
        <f>IF(E743=1,IF(Orders!R740&gt;7,1,0),"")</f>
        <v>0</v>
      </c>
      <c r="BE743" s="32" t="str">
        <f>IF(E743=1,IF(Orders!L740&lt;=1.5,"Up to 1.5 km",IF(Orders!L740&lt;=3,"1.5–3 km","Over 3 km")),"")</f>
        <v>1.5–3 km</v>
      </c>
      <c r="BF743" s="33">
        <f>IF(E743=1,IF(ABS((Orders!G740-Orders!F740)*1440-Orders!R740)&lt;0.06,1,0),"")</f>
        <v>1</v>
      </c>
      <c r="BG743" s="33">
        <f>IF(ABS((Orders!F740-Orders!E740)*1440-Orders!P740)&lt;0.06,1,0)</f>
        <v>1</v>
      </c>
      <c r="BH743" s="33">
        <f>IF(E743=1,IF(IF(Orders!S740,1,0)=1-G743,1,0),"")</f>
        <v>1</v>
      </c>
      <c r="BI743" s="32" t="str">
        <f>INDEX(Stores!$B$2:$B$21,MATCH(B743,Stores!$A$2:$A$21,0))</f>
        <v>Pune</v>
      </c>
    </row>
    <row r="744">
      <c r="A744" s="32" t="str">
        <f>Orders!A741</f>
        <v>O00740</v>
      </c>
      <c r="B744" s="32" t="str">
        <f>Orders!C741</f>
        <v>S009</v>
      </c>
      <c r="C744" s="32" t="str">
        <f>Orders!B741</f>
        <v>C0207</v>
      </c>
      <c r="D744" s="32" t="str">
        <f>Orders!H741</f>
        <v>Delivered</v>
      </c>
      <c r="E744" s="33">
        <f>IF(Orders!H741="Delivered",1,0)</f>
        <v>1</v>
      </c>
      <c r="F744" s="34">
        <f>IF(E744=1,Orders!R741,"")</f>
        <v>-1.2</v>
      </c>
      <c r="G744" s="33">
        <f>IF(E744=1,IF(Orders!R741&gt;0,1,0),"")</f>
        <v>0</v>
      </c>
      <c r="H744" s="33">
        <f>IF(E744=1,IF(Orders!R741&gt;5,1,0),"")</f>
        <v>0</v>
      </c>
      <c r="I744" s="32" t="str">
        <f>IF(E744=1,"",IF(OR(Orders!T741="Rider unavailable",Orders!T741="Item unavailable"),"Company-caused","Unresolved"))</f>
        <v/>
      </c>
      <c r="J744" s="33">
        <f>IF(OR(E744=1,I744="Company-caused"),1,0)</f>
        <v>1</v>
      </c>
      <c r="K744" s="32" t="str">
        <f>IF(E744=0,IF(I744="Company-caused",IF(Orders!T741="Rider unavailable","C1 Rider unavailable","C2 Item unavailable"),"Outside root: unresolved"),IF(G744=0,"A On time",IF(H744=1,IF(L744=1,"B2a Severe, peak","B2b Severe, off-peak"),IF(L744=1,"B1a Slight, peak","B1b Slight, off-peak"))))</f>
        <v>A On time</v>
      </c>
      <c r="L744" s="33">
        <f>IF(AND(Orders!U741&gt;=19,Orders!U741&lt;22),1,0)</f>
        <v>0</v>
      </c>
      <c r="M744" s="33">
        <f>IF(L744=IF(Orders!V741,1,0),1,0)</f>
        <v>1</v>
      </c>
      <c r="N744" s="32" t="str">
        <f>IF(Orders!W741="","None",Orders!W741)</f>
        <v>None</v>
      </c>
      <c r="O744" s="35">
        <f>INT(Orders!E741)</f>
        <v>46269.0</v>
      </c>
      <c r="P744" s="33">
        <f>Orders!U741</f>
        <v>14</v>
      </c>
      <c r="Q744" s="33">
        <f>COUNTIFS(Demand!$A$2:$A$4481,B744,Demand!$B$2:$B$4481,O744,Demand!$C$2:$C$4481,P744)</f>
        <v>1</v>
      </c>
      <c r="R744" s="33">
        <f>IF(Q744=1,SUMIFS(Demand!$E$2:$E$4481,Demand!$A$2:$A$4481,B744,Demand!$B$2:$B$4481,O744,Demand!$C$2:$C$4481,P744),"")</f>
        <v>17</v>
      </c>
      <c r="S744" s="33">
        <f>INDEX(Stores!$G$2:$G$21,MATCH(B744,Stores!$A$2:$A$21,0))</f>
        <v>29</v>
      </c>
      <c r="T744" s="34">
        <f>IF(R744="","",R744/S744)</f>
        <v>0.586206896551724</v>
      </c>
      <c r="U744" s="34">
        <f>IF(E744=1,T744,"")</f>
        <v>0.586206896551724</v>
      </c>
      <c r="V744" s="34">
        <f>IF(AND(E744=1,L744=0),T744,"")</f>
        <v>0.586206896551724</v>
      </c>
      <c r="W744" s="33">
        <f>IF(U744="","",IF(U744&lt;=Breakdowns!$C$5,1,IF(U744&lt;=Breakdowns!$C$6,2,IF(U744&lt;=Breakdowns!$C$7,3,4))))</f>
        <v>1</v>
      </c>
      <c r="X744" s="33">
        <f>IF(V744="","",IF(V744&lt;=Breakdowns!$D$5,1,IF(V744&lt;=Breakdowns!$D$6,2,IF(V744&lt;=Breakdowns!$D$7,3,4))))</f>
        <v>1</v>
      </c>
      <c r="Y744" s="34">
        <f>INDEX(Stores!$F$2:$F$21,MATCH(B744,Stores!$A$2:$A$21,0))</f>
        <v>2.66</v>
      </c>
      <c r="Z744" s="33">
        <f>IF(Y744&gt;Store_Summary!$M$2,1,0)</f>
        <v>0</v>
      </c>
      <c r="AA744" s="33">
        <f>INDEX(Stores!$C$2:$C$21,MATCH(B744,Stores!$A$2:$A$21,0))</f>
        <v>645</v>
      </c>
      <c r="AB744" s="33">
        <f>IF(AA744&lt;180,1,0)</f>
        <v>0</v>
      </c>
      <c r="AC744" s="32" t="str">
        <f>IF(Orders!D741="","",INDEX(Riders!$C$2:$C$81,MATCH(Orders!D741,Riders!$A$2:$A$81,0)))</f>
        <v>EV scooter</v>
      </c>
      <c r="AD744" s="33">
        <f>IF(Orders!D741="","",INDEX(Riders!$D$2:$D$81,MATCH(Orders!D741,Riders!$A$2:$A$81,0)))</f>
        <v>36</v>
      </c>
      <c r="AE744" s="33">
        <f>IF(Orders!D741="","",IF(INDEX(Riders!$B$2:$B$81,MATCH(Orders!D741,Riders!$A$2:$A$81,0))=B744,1,0))</f>
        <v>0</v>
      </c>
      <c r="AF744" s="34">
        <f>IF(E744=1,Orders!L741,"")</f>
        <v>2.8</v>
      </c>
      <c r="AG744" s="34">
        <f>IF(E744=1,Orders!P741,"")</f>
        <v>9.3</v>
      </c>
      <c r="AH744" s="34">
        <f>IF(E744=1,Orders!Q741,"")</f>
        <v>8.1</v>
      </c>
      <c r="AI744" s="34">
        <f>IF(E744=1,Orders!M741,"")</f>
        <v>1.9</v>
      </c>
      <c r="AJ744" s="34">
        <f>IF(E744=1,Orders!N741,"")</f>
        <v>1.7</v>
      </c>
      <c r="AK744" s="34">
        <f>IF(E744=1,Orders!O741,"")</f>
        <v>4.5</v>
      </c>
      <c r="AL744" s="33">
        <f>IF(E744=1,IF(ROUND(ABS(AI744+AJ744+AK744-AH744),6)&lt;=0.1,1,0),"")</f>
        <v>1</v>
      </c>
      <c r="AM744" s="36">
        <f>IF(E744=1,AI744/AH744,"")</f>
        <v>0.234567901234568</v>
      </c>
      <c r="AN744" s="36">
        <f>IF(E744=1,AJ744/AH744,"")</f>
        <v>0.209876543209877</v>
      </c>
      <c r="AO744" s="36">
        <f>IF(E744=1,AK744/AH744,"")</f>
        <v>0.555555555555556</v>
      </c>
      <c r="AP744" s="34">
        <f>IF(E744=1,Orders!Y741,"")</f>
        <v>0.18</v>
      </c>
      <c r="AQ744" s="33">
        <f>IF(Orders!X741,1,0)</f>
        <v>0</v>
      </c>
      <c r="AR744" s="34" t="str">
        <f>IF(AND(E744=1,L744=1),AJ744,"")</f>
        <v/>
      </c>
      <c r="AS744" s="34">
        <f>IF(AND(E744=1,L744=0),AJ744,"")</f>
        <v>1.7</v>
      </c>
      <c r="AT744" s="34" t="str">
        <f>IF(AND(E744=1,L744=1),AI744,"")</f>
        <v/>
      </c>
      <c r="AU744" s="34">
        <f>IF(AND(E744=1,L744=0),AI744,"")</f>
        <v>1.9</v>
      </c>
      <c r="AV744" s="34" t="str">
        <f>IF(AND(E744=1,L744=1),AG744,"")</f>
        <v/>
      </c>
      <c r="AW744" s="34">
        <f>IF(AND(E744=1,L744=0),AG744,"")</f>
        <v>9.3</v>
      </c>
      <c r="AX744" s="34" t="str">
        <f>IF(AND(E744=1,L744=1),AH744,"")</f>
        <v/>
      </c>
      <c r="AY744" s="34">
        <f>IF(AND(E744=1,L744=0),AH744,"")</f>
        <v>8.1</v>
      </c>
      <c r="AZ744" s="34" t="str">
        <f>IF(G744=1,F744,"")</f>
        <v/>
      </c>
      <c r="BA744" s="34" t="str">
        <f>IF(AND(G744=1,L744=1),F744,"")</f>
        <v/>
      </c>
      <c r="BB744" s="34" t="str">
        <f>IF(AND(G744=1,L744=0),F744,"")</f>
        <v/>
      </c>
      <c r="BC744" s="33">
        <f>IF(E744=1,IF(Orders!R741&gt;3,1,0),"")</f>
        <v>0</v>
      </c>
      <c r="BD744" s="33">
        <f>IF(E744=1,IF(Orders!R741&gt;7,1,0),"")</f>
        <v>0</v>
      </c>
      <c r="BE744" s="32" t="str">
        <f>IF(E744=1,IF(Orders!L741&lt;=1.5,"Up to 1.5 km",IF(Orders!L741&lt;=3,"1.5–3 km","Over 3 km")),"")</f>
        <v>1.5–3 km</v>
      </c>
      <c r="BF744" s="33">
        <f>IF(E744=1,IF(ABS((Orders!G741-Orders!F741)*1440-Orders!R741)&lt;0.06,1,0),"")</f>
        <v>1</v>
      </c>
      <c r="BG744" s="33">
        <f>IF(ABS((Orders!F741-Orders!E741)*1440-Orders!P741)&lt;0.06,1,0)</f>
        <v>1</v>
      </c>
      <c r="BH744" s="33">
        <f>IF(E744=1,IF(IF(Orders!S741,1,0)=1-G744,1,0),"")</f>
        <v>1</v>
      </c>
      <c r="BI744" s="32" t="str">
        <f>INDEX(Stores!$B$2:$B$21,MATCH(B744,Stores!$A$2:$A$21,0))</f>
        <v>Pune</v>
      </c>
    </row>
    <row r="745">
      <c r="A745" s="32" t="str">
        <f>Orders!A742</f>
        <v>O00741</v>
      </c>
      <c r="B745" s="32" t="str">
        <f>Orders!C742</f>
        <v>S008</v>
      </c>
      <c r="C745" s="32" t="str">
        <f>Orders!B742</f>
        <v>C0073</v>
      </c>
      <c r="D745" s="32" t="str">
        <f>Orders!H742</f>
        <v>Delivered</v>
      </c>
      <c r="E745" s="33">
        <f>IF(Orders!H742="Delivered",1,0)</f>
        <v>1</v>
      </c>
      <c r="F745" s="34">
        <f>IF(E745=1,Orders!R742,"")</f>
        <v>7.8</v>
      </c>
      <c r="G745" s="33">
        <f>IF(E745=1,IF(Orders!R742&gt;0,1,0),"")</f>
        <v>1</v>
      </c>
      <c r="H745" s="33">
        <f>IF(E745=1,IF(Orders!R742&gt;5,1,0),"")</f>
        <v>1</v>
      </c>
      <c r="I745" s="32" t="str">
        <f>IF(E745=1,"",IF(OR(Orders!T742="Rider unavailable",Orders!T742="Item unavailable"),"Company-caused","Unresolved"))</f>
        <v/>
      </c>
      <c r="J745" s="33">
        <f>IF(OR(E745=1,I745="Company-caused"),1,0)</f>
        <v>1</v>
      </c>
      <c r="K745" s="32" t="str">
        <f>IF(E745=0,IF(I745="Company-caused",IF(Orders!T742="Rider unavailable","C1 Rider unavailable","C2 Item unavailable"),"Outside root: unresolved"),IF(G745=0,"A On time",IF(H745=1,IF(L745=1,"B2a Severe, peak","B2b Severe, off-peak"),IF(L745=1,"B1a Slight, peak","B1b Slight, off-peak"))))</f>
        <v>B2a Severe, peak</v>
      </c>
      <c r="L745" s="33">
        <f>IF(AND(Orders!U742&gt;=19,Orders!U742&lt;22),1,0)</f>
        <v>1</v>
      </c>
      <c r="M745" s="33">
        <f>IF(L745=IF(Orders!V742,1,0),1,0)</f>
        <v>1</v>
      </c>
      <c r="N745" s="32" t="str">
        <f>IF(Orders!W742="","None",Orders!W742)</f>
        <v>None</v>
      </c>
      <c r="O745" s="35">
        <f>INT(Orders!E742)</f>
        <v>46277.0</v>
      </c>
      <c r="P745" s="33">
        <f>Orders!U742</f>
        <v>19</v>
      </c>
      <c r="Q745" s="33">
        <f>COUNTIFS(Demand!$A$2:$A$4481,B745,Demand!$B$2:$B$4481,O745,Demand!$C$2:$C$4481,P745)</f>
        <v>1</v>
      </c>
      <c r="R745" s="33">
        <f>IF(Q745=1,SUMIFS(Demand!$E$2:$E$4481,Demand!$A$2:$A$4481,B745,Demand!$B$2:$B$4481,O745,Demand!$C$2:$C$4481,P745),"")</f>
        <v>42</v>
      </c>
      <c r="S745" s="33">
        <f>INDEX(Stores!$G$2:$G$21,MATCH(B745,Stores!$A$2:$A$21,0))</f>
        <v>23</v>
      </c>
      <c r="T745" s="34">
        <f>IF(R745="","",R745/S745)</f>
        <v>1.82608695652174</v>
      </c>
      <c r="U745" s="34">
        <f>IF(E745=1,T745,"")</f>
        <v>1.82608695652174</v>
      </c>
      <c r="V745" s="34" t="str">
        <f>IF(AND(E745=1,L745=0),T745,"")</f>
        <v/>
      </c>
      <c r="W745" s="33">
        <f>IF(U745="","",IF(U745&lt;=Breakdowns!$C$5,1,IF(U745&lt;=Breakdowns!$C$6,2,IF(U745&lt;=Breakdowns!$C$7,3,4))))</f>
        <v>4</v>
      </c>
      <c r="X745" s="33" t="str">
        <f>IF(V745="","",IF(V745&lt;=Breakdowns!$D$5,1,IF(V745&lt;=Breakdowns!$D$6,2,IF(V745&lt;=Breakdowns!$D$7,3,4))))</f>
        <v/>
      </c>
      <c r="Y745" s="34">
        <f>INDEX(Stores!$F$2:$F$21,MATCH(B745,Stores!$A$2:$A$21,0))</f>
        <v>3.46</v>
      </c>
      <c r="Z745" s="33">
        <f>IF(Y745&gt;Store_Summary!$M$2,1,0)</f>
        <v>0</v>
      </c>
      <c r="AA745" s="33">
        <f>INDEX(Stores!$C$2:$C$21,MATCH(B745,Stores!$A$2:$A$21,0))</f>
        <v>825</v>
      </c>
      <c r="AB745" s="33">
        <f>IF(AA745&lt;180,1,0)</f>
        <v>0</v>
      </c>
      <c r="AC745" s="32" t="str">
        <f>IF(Orders!D742="","",INDEX(Riders!$C$2:$C$81,MATCH(Orders!D742,Riders!$A$2:$A$81,0)))</f>
        <v>Petrol scooter</v>
      </c>
      <c r="AD745" s="33">
        <f>IF(Orders!D742="","",INDEX(Riders!$D$2:$D$81,MATCH(Orders!D742,Riders!$A$2:$A$81,0)))</f>
        <v>2</v>
      </c>
      <c r="AE745" s="33">
        <f>IF(Orders!D742="","",IF(INDEX(Riders!$B$2:$B$81,MATCH(Orders!D742,Riders!$A$2:$A$81,0))=B745,1,0))</f>
        <v>0</v>
      </c>
      <c r="AF745" s="34">
        <f>IF(E745=1,Orders!L742,"")</f>
        <v>1.6</v>
      </c>
      <c r="AG745" s="34">
        <f>IF(E745=1,Orders!P742,"")</f>
        <v>9.5</v>
      </c>
      <c r="AH745" s="34">
        <f>IF(E745=1,Orders!Q742,"")</f>
        <v>17.3</v>
      </c>
      <c r="AI745" s="34">
        <f>IF(E745=1,Orders!M742,"")</f>
        <v>4.9</v>
      </c>
      <c r="AJ745" s="34">
        <f>IF(E745=1,Orders!N742,"")</f>
        <v>6.8</v>
      </c>
      <c r="AK745" s="34">
        <f>IF(E745=1,Orders!O742,"")</f>
        <v>5.6</v>
      </c>
      <c r="AL745" s="33">
        <f>IF(E745=1,IF(ROUND(ABS(AI745+AJ745+AK745-AH745),6)&lt;=0.1,1,0),"")</f>
        <v>1</v>
      </c>
      <c r="AM745" s="36">
        <f>IF(E745=1,AI745/AH745,"")</f>
        <v>0.283236994219653</v>
      </c>
      <c r="AN745" s="36">
        <f>IF(E745=1,AJ745/AH745,"")</f>
        <v>0.393063583815029</v>
      </c>
      <c r="AO745" s="36">
        <f>IF(E745=1,AK745/AH745,"")</f>
        <v>0.323699421965318</v>
      </c>
      <c r="AP745" s="34">
        <f>IF(E745=1,Orders!Y742,"")</f>
        <v>0.87</v>
      </c>
      <c r="AQ745" s="33">
        <f>IF(Orders!X742,1,0)</f>
        <v>0</v>
      </c>
      <c r="AR745" s="34">
        <f>IF(AND(E745=1,L745=1),AJ745,"")</f>
        <v>6.8</v>
      </c>
      <c r="AS745" s="34" t="str">
        <f>IF(AND(E745=1,L745=0),AJ745,"")</f>
        <v/>
      </c>
      <c r="AT745" s="34">
        <f>IF(AND(E745=1,L745=1),AI745,"")</f>
        <v>4.9</v>
      </c>
      <c r="AU745" s="34" t="str">
        <f>IF(AND(E745=1,L745=0),AI745,"")</f>
        <v/>
      </c>
      <c r="AV745" s="34">
        <f>IF(AND(E745=1,L745=1),AG745,"")</f>
        <v>9.5</v>
      </c>
      <c r="AW745" s="34" t="str">
        <f>IF(AND(E745=1,L745=0),AG745,"")</f>
        <v/>
      </c>
      <c r="AX745" s="34">
        <f>IF(AND(E745=1,L745=1),AH745,"")</f>
        <v>17.3</v>
      </c>
      <c r="AY745" s="34" t="str">
        <f>IF(AND(E745=1,L745=0),AH745,"")</f>
        <v/>
      </c>
      <c r="AZ745" s="34">
        <f>IF(G745=1,F745,"")</f>
        <v>7.8</v>
      </c>
      <c r="BA745" s="34">
        <f>IF(AND(G745=1,L745=1),F745,"")</f>
        <v>7.8</v>
      </c>
      <c r="BB745" s="34" t="str">
        <f>IF(AND(G745=1,L745=0),F745,"")</f>
        <v/>
      </c>
      <c r="BC745" s="33">
        <f>IF(E745=1,IF(Orders!R742&gt;3,1,0),"")</f>
        <v>1</v>
      </c>
      <c r="BD745" s="33">
        <f>IF(E745=1,IF(Orders!R742&gt;7,1,0),"")</f>
        <v>1</v>
      </c>
      <c r="BE745" s="32" t="str">
        <f>IF(E745=1,IF(Orders!L742&lt;=1.5,"Up to 1.5 km",IF(Orders!L742&lt;=3,"1.5–3 km","Over 3 km")),"")</f>
        <v>1.5–3 km</v>
      </c>
      <c r="BF745" s="33">
        <f>IF(E745=1,IF(ABS((Orders!G742-Orders!F742)*1440-Orders!R742)&lt;0.06,1,0),"")</f>
        <v>1</v>
      </c>
      <c r="BG745" s="33">
        <f>IF(ABS((Orders!F742-Orders!E742)*1440-Orders!P742)&lt;0.06,1,0)</f>
        <v>1</v>
      </c>
      <c r="BH745" s="33">
        <f>IF(E745=1,IF(IF(Orders!S742,1,0)=1-G745,1,0),"")</f>
        <v>1</v>
      </c>
      <c r="BI745" s="32" t="str">
        <f>INDEX(Stores!$B$2:$B$21,MATCH(B745,Stores!$A$2:$A$21,0))</f>
        <v>Mumbai</v>
      </c>
    </row>
    <row r="746">
      <c r="A746" s="32" t="str">
        <f>Orders!A743</f>
        <v>O00742</v>
      </c>
      <c r="B746" s="32" t="str">
        <f>Orders!C743</f>
        <v>S015</v>
      </c>
      <c r="C746" s="32" t="str">
        <f>Orders!B743</f>
        <v>C0070</v>
      </c>
      <c r="D746" s="32" t="str">
        <f>Orders!H743</f>
        <v>Delivered</v>
      </c>
      <c r="E746" s="33">
        <f>IF(Orders!H743="Delivered",1,0)</f>
        <v>1</v>
      </c>
      <c r="F746" s="34">
        <f>IF(E746=1,Orders!R743,"")</f>
        <v>-0.3</v>
      </c>
      <c r="G746" s="33">
        <f>IF(E746=1,IF(Orders!R743&gt;0,1,0),"")</f>
        <v>0</v>
      </c>
      <c r="H746" s="33">
        <f>IF(E746=1,IF(Orders!R743&gt;5,1,0),"")</f>
        <v>0</v>
      </c>
      <c r="I746" s="32" t="str">
        <f>IF(E746=1,"",IF(OR(Orders!T743="Rider unavailable",Orders!T743="Item unavailable"),"Company-caused","Unresolved"))</f>
        <v/>
      </c>
      <c r="J746" s="33">
        <f>IF(OR(E746=1,I746="Company-caused"),1,0)</f>
        <v>1</v>
      </c>
      <c r="K746" s="32" t="str">
        <f>IF(E746=0,IF(I746="Company-caused",IF(Orders!T743="Rider unavailable","C1 Rider unavailable","C2 Item unavailable"),"Outside root: unresolved"),IF(G746=0,"A On time",IF(H746=1,IF(L746=1,"B2a Severe, peak","B2b Severe, off-peak"),IF(L746=1,"B1a Slight, peak","B1b Slight, off-peak"))))</f>
        <v>A On time</v>
      </c>
      <c r="L746" s="33">
        <f>IF(AND(Orders!U743&gt;=19,Orders!U743&lt;22),1,0)</f>
        <v>0</v>
      </c>
      <c r="M746" s="33">
        <f>IF(L746=IF(Orders!V743,1,0),1,0)</f>
        <v>1</v>
      </c>
      <c r="N746" s="32" t="str">
        <f>IF(Orders!W743="","None",Orders!W743)</f>
        <v>None</v>
      </c>
      <c r="O746" s="35">
        <f>INT(Orders!E743)</f>
        <v>46266.0</v>
      </c>
      <c r="P746" s="33">
        <f>Orders!U743</f>
        <v>9</v>
      </c>
      <c r="Q746" s="33">
        <f>COUNTIFS(Demand!$A$2:$A$4481,B746,Demand!$B$2:$B$4481,O746,Demand!$C$2:$C$4481,P746)</f>
        <v>1</v>
      </c>
      <c r="R746" s="33">
        <f>IF(Q746=1,SUMIFS(Demand!$E$2:$E$4481,Demand!$A$2:$A$4481,B746,Demand!$B$2:$B$4481,O746,Demand!$C$2:$C$4481,P746),"")</f>
        <v>11</v>
      </c>
      <c r="S746" s="33">
        <f>INDEX(Stores!$G$2:$G$21,MATCH(B746,Stores!$A$2:$A$21,0))</f>
        <v>23</v>
      </c>
      <c r="T746" s="34">
        <f>IF(R746="","",R746/S746)</f>
        <v>0.478260869565217</v>
      </c>
      <c r="U746" s="34">
        <f>IF(E746=1,T746,"")</f>
        <v>0.478260869565217</v>
      </c>
      <c r="V746" s="34">
        <f>IF(AND(E746=1,L746=0),T746,"")</f>
        <v>0.478260869565217</v>
      </c>
      <c r="W746" s="33">
        <f>IF(U746="","",IF(U746&lt;=Breakdowns!$C$5,1,IF(U746&lt;=Breakdowns!$C$6,2,IF(U746&lt;=Breakdowns!$C$7,3,4))))</f>
        <v>1</v>
      </c>
      <c r="X746" s="33">
        <f>IF(V746="","",IF(V746&lt;=Breakdowns!$D$5,1,IF(V746&lt;=Breakdowns!$D$6,2,IF(V746&lt;=Breakdowns!$D$7,3,4))))</f>
        <v>1</v>
      </c>
      <c r="Y746" s="34">
        <f>INDEX(Stores!$F$2:$F$21,MATCH(B746,Stores!$A$2:$A$21,0))</f>
        <v>4.66</v>
      </c>
      <c r="Z746" s="33">
        <f>IF(Y746&gt;Store_Summary!$M$2,1,0)</f>
        <v>0</v>
      </c>
      <c r="AA746" s="33">
        <f>INDEX(Stores!$C$2:$C$21,MATCH(B746,Stores!$A$2:$A$21,0))</f>
        <v>204</v>
      </c>
      <c r="AB746" s="33">
        <f>IF(AA746&lt;180,1,0)</f>
        <v>0</v>
      </c>
      <c r="AC746" s="32" t="str">
        <f>IF(Orders!D743="","",INDEX(Riders!$C$2:$C$81,MATCH(Orders!D743,Riders!$A$2:$A$81,0)))</f>
        <v>Petrol scooter</v>
      </c>
      <c r="AD746" s="33">
        <f>IF(Orders!D743="","",INDEX(Riders!$D$2:$D$81,MATCH(Orders!D743,Riders!$A$2:$A$81,0)))</f>
        <v>37</v>
      </c>
      <c r="AE746" s="33">
        <f>IF(Orders!D743="","",IF(INDEX(Riders!$B$2:$B$81,MATCH(Orders!D743,Riders!$A$2:$A$81,0))=B746,1,0))</f>
        <v>0</v>
      </c>
      <c r="AF746" s="34">
        <f>IF(E746=1,Orders!L743,"")</f>
        <v>2.46</v>
      </c>
      <c r="AG746" s="34">
        <f>IF(E746=1,Orders!P743,"")</f>
        <v>11.3</v>
      </c>
      <c r="AH746" s="34">
        <f>IF(E746=1,Orders!Q743,"")</f>
        <v>11</v>
      </c>
      <c r="AI746" s="34">
        <f>IF(E746=1,Orders!M743,"")</f>
        <v>3.4</v>
      </c>
      <c r="AJ746" s="34">
        <f>IF(E746=1,Orders!N743,"")</f>
        <v>2.6</v>
      </c>
      <c r="AK746" s="34">
        <f>IF(E746=1,Orders!O743,"")</f>
        <v>5</v>
      </c>
      <c r="AL746" s="33">
        <f>IF(E746=1,IF(ROUND(ABS(AI746+AJ746+AK746-AH746),6)&lt;=0.1,1,0),"")</f>
        <v>1</v>
      </c>
      <c r="AM746" s="36">
        <f>IF(E746=1,AI746/AH746,"")</f>
        <v>0.309090909090909</v>
      </c>
      <c r="AN746" s="36">
        <f>IF(E746=1,AJ746/AH746,"")</f>
        <v>0.236363636363636</v>
      </c>
      <c r="AO746" s="36">
        <f>IF(E746=1,AK746/AH746,"")</f>
        <v>0.454545454545455</v>
      </c>
      <c r="AP746" s="34">
        <f>IF(E746=1,Orders!Y743,"")</f>
        <v>0.91</v>
      </c>
      <c r="AQ746" s="33">
        <f>IF(Orders!X743,1,0)</f>
        <v>0</v>
      </c>
      <c r="AR746" s="34" t="str">
        <f>IF(AND(E746=1,L746=1),AJ746,"")</f>
        <v/>
      </c>
      <c r="AS746" s="34">
        <f>IF(AND(E746=1,L746=0),AJ746,"")</f>
        <v>2.6</v>
      </c>
      <c r="AT746" s="34" t="str">
        <f>IF(AND(E746=1,L746=1),AI746,"")</f>
        <v/>
      </c>
      <c r="AU746" s="34">
        <f>IF(AND(E746=1,L746=0),AI746,"")</f>
        <v>3.4</v>
      </c>
      <c r="AV746" s="34" t="str">
        <f>IF(AND(E746=1,L746=1),AG746,"")</f>
        <v/>
      </c>
      <c r="AW746" s="34">
        <f>IF(AND(E746=1,L746=0),AG746,"")</f>
        <v>11.3</v>
      </c>
      <c r="AX746" s="34" t="str">
        <f>IF(AND(E746=1,L746=1),AH746,"")</f>
        <v/>
      </c>
      <c r="AY746" s="34">
        <f>IF(AND(E746=1,L746=0),AH746,"")</f>
        <v>11</v>
      </c>
      <c r="AZ746" s="34" t="str">
        <f>IF(G746=1,F746,"")</f>
        <v/>
      </c>
      <c r="BA746" s="34" t="str">
        <f>IF(AND(G746=1,L746=1),F746,"")</f>
        <v/>
      </c>
      <c r="BB746" s="34" t="str">
        <f>IF(AND(G746=1,L746=0),F746,"")</f>
        <v/>
      </c>
      <c r="BC746" s="33">
        <f>IF(E746=1,IF(Orders!R743&gt;3,1,0),"")</f>
        <v>0</v>
      </c>
      <c r="BD746" s="33">
        <f>IF(E746=1,IF(Orders!R743&gt;7,1,0),"")</f>
        <v>0</v>
      </c>
      <c r="BE746" s="32" t="str">
        <f>IF(E746=1,IF(Orders!L743&lt;=1.5,"Up to 1.5 km",IF(Orders!L743&lt;=3,"1.5–3 km","Over 3 km")),"")</f>
        <v>1.5–3 km</v>
      </c>
      <c r="BF746" s="33">
        <f>IF(E746=1,IF(ABS((Orders!G743-Orders!F743)*1440-Orders!R743)&lt;0.06,1,0),"")</f>
        <v>1</v>
      </c>
      <c r="BG746" s="33">
        <f>IF(ABS((Orders!F743-Orders!E743)*1440-Orders!P743)&lt;0.06,1,0)</f>
        <v>1</v>
      </c>
      <c r="BH746" s="33">
        <f>IF(E746=1,IF(IF(Orders!S743,1,0)=1-G746,1,0),"")</f>
        <v>1</v>
      </c>
      <c r="BI746" s="32" t="str">
        <f>INDEX(Stores!$B$2:$B$21,MATCH(B746,Stores!$A$2:$A$21,0))</f>
        <v>Delhi</v>
      </c>
    </row>
    <row r="747">
      <c r="A747" s="32" t="str">
        <f>Orders!A744</f>
        <v>O00743</v>
      </c>
      <c r="B747" s="32" t="str">
        <f>Orders!C744</f>
        <v>S014</v>
      </c>
      <c r="C747" s="32" t="str">
        <f>Orders!B744</f>
        <v>C0121</v>
      </c>
      <c r="D747" s="32" t="str">
        <f>Orders!H744</f>
        <v>Cancelled</v>
      </c>
      <c r="E747" s="33">
        <f>IF(Orders!H744="Delivered",1,0)</f>
        <v>0</v>
      </c>
      <c r="F747" s="34" t="str">
        <f>IF(E747=1,Orders!R744,"")</f>
        <v/>
      </c>
      <c r="G747" s="33" t="str">
        <f>IF(E747=1,IF(Orders!R744&gt;0,1,0),"")</f>
        <v/>
      </c>
      <c r="H747" s="33" t="str">
        <f>IF(E747=1,IF(Orders!R744&gt;5,1,0),"")</f>
        <v/>
      </c>
      <c r="I747" s="32" t="str">
        <f>IF(E747=1,"",IF(OR(Orders!T744="Rider unavailable",Orders!T744="Item unavailable"),"Company-caused","Unresolved"))</f>
        <v>Company-caused</v>
      </c>
      <c r="J747" s="33">
        <f>IF(OR(E747=1,I747="Company-caused"),1,0)</f>
        <v>1</v>
      </c>
      <c r="K747" s="32" t="str">
        <f>IF(E747=0,IF(I747="Company-caused",IF(Orders!T744="Rider unavailable","C1 Rider unavailable","C2 Item unavailable"),"Outside root: unresolved"),IF(G747=0,"A On time",IF(H747=1,IF(L747=1,"B2a Severe, peak","B2b Severe, off-peak"),IF(L747=1,"B1a Slight, peak","B1b Slight, off-peak"))))</f>
        <v>C1 Rider unavailable</v>
      </c>
      <c r="L747" s="33">
        <f>IF(AND(Orders!U744&gt;=19,Orders!U744&lt;22),1,0)</f>
        <v>1</v>
      </c>
      <c r="M747" s="33">
        <f>IF(L747=IF(Orders!V744,1,0),1,0)</f>
        <v>1</v>
      </c>
      <c r="N747" s="32" t="str">
        <f>IF(Orders!W744="","None",Orders!W744)</f>
        <v>None</v>
      </c>
      <c r="O747" s="35">
        <f>INT(Orders!E744)</f>
        <v>46278.0</v>
      </c>
      <c r="P747" s="33">
        <f>Orders!U744</f>
        <v>21</v>
      </c>
      <c r="Q747" s="33">
        <f>COUNTIFS(Demand!$A$2:$A$4481,B747,Demand!$B$2:$B$4481,O747,Demand!$C$2:$C$4481,P747)</f>
        <v>1</v>
      </c>
      <c r="R747" s="33">
        <f>IF(Q747=1,SUMIFS(Demand!$E$2:$E$4481,Demand!$A$2:$A$4481,B747,Demand!$B$2:$B$4481,O747,Demand!$C$2:$C$4481,P747),"")</f>
        <v>54</v>
      </c>
      <c r="S747" s="33">
        <f>INDEX(Stores!$G$2:$G$21,MATCH(B747,Stores!$A$2:$A$21,0))</f>
        <v>37</v>
      </c>
      <c r="T747" s="34">
        <f>IF(R747="","",R747/S747)</f>
        <v>1.45945945945946</v>
      </c>
      <c r="U747" s="34" t="str">
        <f>IF(E747=1,T747,"")</f>
        <v/>
      </c>
      <c r="V747" s="34" t="str">
        <f>IF(AND(E747=1,L747=0),T747,"")</f>
        <v/>
      </c>
      <c r="W747" s="33" t="str">
        <f>IF(U747="","",IF(U747&lt;=Breakdowns!$C$5,1,IF(U747&lt;=Breakdowns!$C$6,2,IF(U747&lt;=Breakdowns!$C$7,3,4))))</f>
        <v/>
      </c>
      <c r="X747" s="33" t="str">
        <f>IF(V747="","",IF(V747&lt;=Breakdowns!$D$5,1,IF(V747&lt;=Breakdowns!$D$6,2,IF(V747&lt;=Breakdowns!$D$7,3,4))))</f>
        <v/>
      </c>
      <c r="Y747" s="34">
        <f>INDEX(Stores!$F$2:$F$21,MATCH(B747,Stores!$A$2:$A$21,0))</f>
        <v>5.55</v>
      </c>
      <c r="Z747" s="33">
        <f>IF(Y747&gt;Store_Summary!$M$2,1,0)</f>
        <v>1</v>
      </c>
      <c r="AA747" s="33">
        <f>INDEX(Stores!$C$2:$C$21,MATCH(B747,Stores!$A$2:$A$21,0))</f>
        <v>241</v>
      </c>
      <c r="AB747" s="33">
        <f>IF(AA747&lt;180,1,0)</f>
        <v>0</v>
      </c>
      <c r="AC747" s="32" t="str">
        <f>IF(Orders!D744="","",INDEX(Riders!$C$2:$C$81,MATCH(Orders!D744,Riders!$A$2:$A$81,0)))</f>
        <v/>
      </c>
      <c r="AD747" s="33" t="str">
        <f>IF(Orders!D744="","",INDEX(Riders!$D$2:$D$81,MATCH(Orders!D744,Riders!$A$2:$A$81,0)))</f>
        <v/>
      </c>
      <c r="AE747" s="33" t="str">
        <f>IF(Orders!D744="","",IF(INDEX(Riders!$B$2:$B$81,MATCH(Orders!D744,Riders!$A$2:$A$81,0))=B747,1,0))</f>
        <v/>
      </c>
      <c r="AF747" s="34" t="str">
        <f>IF(E747=1,Orders!L744,"")</f>
        <v/>
      </c>
      <c r="AG747" s="34" t="str">
        <f>IF(E747=1,Orders!P744,"")</f>
        <v/>
      </c>
      <c r="AH747" s="34" t="str">
        <f>IF(E747=1,Orders!Q744,"")</f>
        <v/>
      </c>
      <c r="AI747" s="34" t="str">
        <f>IF(E747=1,Orders!M744,"")</f>
        <v/>
      </c>
      <c r="AJ747" s="34" t="str">
        <f>IF(E747=1,Orders!N744,"")</f>
        <v/>
      </c>
      <c r="AK747" s="34" t="str">
        <f>IF(E747=1,Orders!O744,"")</f>
        <v/>
      </c>
      <c r="AL747" s="33" t="str">
        <f>IF(E747=1,IF(ROUND(ABS(AI747+AJ747+AK747-AH747),6)&lt;=0.1,1,0),"")</f>
        <v/>
      </c>
      <c r="AM747" s="36" t="str">
        <f>IF(E747=1,AI747/AH747,"")</f>
        <v/>
      </c>
      <c r="AN747" s="36" t="str">
        <f>IF(E747=1,AJ747/AH747,"")</f>
        <v/>
      </c>
      <c r="AO747" s="36" t="str">
        <f>IF(E747=1,AK747/AH747,"")</f>
        <v/>
      </c>
      <c r="AP747" s="34" t="str">
        <f>IF(E747=1,Orders!Y744,"")</f>
        <v/>
      </c>
      <c r="AQ747" s="33">
        <f>IF(Orders!X744,1,0)</f>
        <v>0</v>
      </c>
      <c r="AR747" s="34" t="str">
        <f>IF(AND(E747=1,L747=1),AJ747,"")</f>
        <v/>
      </c>
      <c r="AS747" s="34" t="str">
        <f>IF(AND(E747=1,L747=0),AJ747,"")</f>
        <v/>
      </c>
      <c r="AT747" s="34" t="str">
        <f>IF(AND(E747=1,L747=1),AI747,"")</f>
        <v/>
      </c>
      <c r="AU747" s="34" t="str">
        <f>IF(AND(E747=1,L747=0),AI747,"")</f>
        <v/>
      </c>
      <c r="AV747" s="34" t="str">
        <f>IF(AND(E747=1,L747=1),AG747,"")</f>
        <v/>
      </c>
      <c r="AW747" s="34" t="str">
        <f>IF(AND(E747=1,L747=0),AG747,"")</f>
        <v/>
      </c>
      <c r="AX747" s="34" t="str">
        <f>IF(AND(E747=1,L747=1),AH747,"")</f>
        <v/>
      </c>
      <c r="AY747" s="34" t="str">
        <f>IF(AND(E747=1,L747=0),AH747,"")</f>
        <v/>
      </c>
      <c r="AZ747" s="34" t="str">
        <f>IF(G747=1,F747,"")</f>
        <v/>
      </c>
      <c r="BA747" s="34" t="str">
        <f>IF(AND(G747=1,L747=1),F747,"")</f>
        <v/>
      </c>
      <c r="BB747" s="34" t="str">
        <f>IF(AND(G747=1,L747=0),F747,"")</f>
        <v/>
      </c>
      <c r="BC747" s="33" t="str">
        <f>IF(E747=1,IF(Orders!R744&gt;3,1,0),"")</f>
        <v/>
      </c>
      <c r="BD747" s="33" t="str">
        <f>IF(E747=1,IF(Orders!R744&gt;7,1,0),"")</f>
        <v/>
      </c>
      <c r="BE747" s="32" t="str">
        <f>IF(E747=1,IF(Orders!L744&lt;=1.5,"Up to 1.5 km",IF(Orders!L744&lt;=3,"1.5–3 km","Over 3 km")),"")</f>
        <v/>
      </c>
      <c r="BF747" s="33" t="str">
        <f>IF(E747=1,IF(ABS((Orders!G744-Orders!F744)*1440-Orders!R744)&lt;0.06,1,0),"")</f>
        <v/>
      </c>
      <c r="BG747" s="33">
        <f>IF(ABS((Orders!F744-Orders!E744)*1440-Orders!P744)&lt;0.06,1,0)</f>
        <v>1</v>
      </c>
      <c r="BH747" s="33" t="str">
        <f>IF(E747=1,IF(IF(Orders!S744,1,0)=1-G747,1,0),"")</f>
        <v/>
      </c>
      <c r="BI747" s="32" t="str">
        <f>INDEX(Stores!$B$2:$B$21,MATCH(B747,Stores!$A$2:$A$21,0))</f>
        <v>Pune</v>
      </c>
    </row>
    <row r="748">
      <c r="A748" s="32" t="str">
        <f>Orders!A745</f>
        <v>O00744</v>
      </c>
      <c r="B748" s="32" t="str">
        <f>Orders!C745</f>
        <v>S007</v>
      </c>
      <c r="C748" s="32" t="str">
        <f>Orders!B745</f>
        <v>C0138</v>
      </c>
      <c r="D748" s="32" t="str">
        <f>Orders!H745</f>
        <v>Delivered</v>
      </c>
      <c r="E748" s="33">
        <f>IF(Orders!H745="Delivered",1,0)</f>
        <v>1</v>
      </c>
      <c r="F748" s="34">
        <f>IF(E748=1,Orders!R745,"")</f>
        <v>-0.7</v>
      </c>
      <c r="G748" s="33">
        <f>IF(E748=1,IF(Orders!R745&gt;0,1,0),"")</f>
        <v>0</v>
      </c>
      <c r="H748" s="33">
        <f>IF(E748=1,IF(Orders!R745&gt;5,1,0),"")</f>
        <v>0</v>
      </c>
      <c r="I748" s="32" t="str">
        <f>IF(E748=1,"",IF(OR(Orders!T745="Rider unavailable",Orders!T745="Item unavailable"),"Company-caused","Unresolved"))</f>
        <v/>
      </c>
      <c r="J748" s="33">
        <f>IF(OR(E748=1,I748="Company-caused"),1,0)</f>
        <v>1</v>
      </c>
      <c r="K748" s="32" t="str">
        <f>IF(E748=0,IF(I748="Company-caused",IF(Orders!T745="Rider unavailable","C1 Rider unavailable","C2 Item unavailable"),"Outside root: unresolved"),IF(G748=0,"A On time",IF(H748=1,IF(L748=1,"B2a Severe, peak","B2b Severe, off-peak"),IF(L748=1,"B1a Slight, peak","B1b Slight, off-peak"))))</f>
        <v>A On time</v>
      </c>
      <c r="L748" s="33">
        <f>IF(AND(Orders!U745&gt;=19,Orders!U745&lt;22),1,0)</f>
        <v>1</v>
      </c>
      <c r="M748" s="33">
        <f>IF(L748=IF(Orders!V745,1,0),1,0)</f>
        <v>1</v>
      </c>
      <c r="N748" s="32" t="str">
        <f>IF(Orders!W745="","None",Orders!W745)</f>
        <v>None</v>
      </c>
      <c r="O748" s="35">
        <f>INT(Orders!E745)</f>
        <v>46275.0</v>
      </c>
      <c r="P748" s="33">
        <f>Orders!U745</f>
        <v>20</v>
      </c>
      <c r="Q748" s="33">
        <f>COUNTIFS(Demand!$A$2:$A$4481,B748,Demand!$B$2:$B$4481,O748,Demand!$C$2:$C$4481,P748)</f>
        <v>1</v>
      </c>
      <c r="R748" s="33">
        <f>IF(Q748=1,SUMIFS(Demand!$E$2:$E$4481,Demand!$A$2:$A$4481,B748,Demand!$B$2:$B$4481,O748,Demand!$C$2:$C$4481,P748),"")</f>
        <v>57</v>
      </c>
      <c r="S748" s="33">
        <f>INDEX(Stores!$G$2:$G$21,MATCH(B748,Stores!$A$2:$A$21,0))</f>
        <v>37</v>
      </c>
      <c r="T748" s="34">
        <f>IF(R748="","",R748/S748)</f>
        <v>1.54054054054054</v>
      </c>
      <c r="U748" s="34">
        <f>IF(E748=1,T748,"")</f>
        <v>1.54054054054054</v>
      </c>
      <c r="V748" s="34" t="str">
        <f>IF(AND(E748=1,L748=0),T748,"")</f>
        <v/>
      </c>
      <c r="W748" s="33">
        <f>IF(U748="","",IF(U748&lt;=Breakdowns!$C$5,1,IF(U748&lt;=Breakdowns!$C$6,2,IF(U748&lt;=Breakdowns!$C$7,3,4))))</f>
        <v>4</v>
      </c>
      <c r="X748" s="33" t="str">
        <f>IF(V748="","",IF(V748&lt;=Breakdowns!$D$5,1,IF(V748&lt;=Breakdowns!$D$6,2,IF(V748&lt;=Breakdowns!$D$7,3,4))))</f>
        <v/>
      </c>
      <c r="Y748" s="34">
        <f>INDEX(Stores!$F$2:$F$21,MATCH(B748,Stores!$A$2:$A$21,0))</f>
        <v>4.05</v>
      </c>
      <c r="Z748" s="33">
        <f>IF(Y748&gt;Store_Summary!$M$2,1,0)</f>
        <v>0</v>
      </c>
      <c r="AA748" s="33">
        <f>INDEX(Stores!$C$2:$C$21,MATCH(B748,Stores!$A$2:$A$21,0))</f>
        <v>661</v>
      </c>
      <c r="AB748" s="33">
        <f>IF(AA748&lt;180,1,0)</f>
        <v>0</v>
      </c>
      <c r="AC748" s="32" t="str">
        <f>IF(Orders!D745="","",INDEX(Riders!$C$2:$C$81,MATCH(Orders!D745,Riders!$A$2:$A$81,0)))</f>
        <v>Petrol scooter</v>
      </c>
      <c r="AD748" s="33">
        <f>IF(Orders!D745="","",INDEX(Riders!$D$2:$D$81,MATCH(Orders!D745,Riders!$A$2:$A$81,0)))</f>
        <v>30</v>
      </c>
      <c r="AE748" s="33">
        <f>IF(Orders!D745="","",IF(INDEX(Riders!$B$2:$B$81,MATCH(Orders!D745,Riders!$A$2:$A$81,0))=B748,1,0))</f>
        <v>0</v>
      </c>
      <c r="AF748" s="34">
        <f>IF(E748=1,Orders!L745,"")</f>
        <v>3.78</v>
      </c>
      <c r="AG748" s="34">
        <f>IF(E748=1,Orders!P745,"")</f>
        <v>11</v>
      </c>
      <c r="AH748" s="34">
        <f>IF(E748=1,Orders!Q745,"")</f>
        <v>10.3</v>
      </c>
      <c r="AI748" s="34">
        <f>IF(E748=1,Orders!M745,"")</f>
        <v>2.9</v>
      </c>
      <c r="AJ748" s="34">
        <f>IF(E748=1,Orders!N745,"")</f>
        <v>2.6</v>
      </c>
      <c r="AK748" s="34">
        <f>IF(E748=1,Orders!O745,"")</f>
        <v>4.8</v>
      </c>
      <c r="AL748" s="33">
        <f>IF(E748=1,IF(ROUND(ABS(AI748+AJ748+AK748-AH748),6)&lt;=0.1,1,0),"")</f>
        <v>1</v>
      </c>
      <c r="AM748" s="36">
        <f>IF(E748=1,AI748/AH748,"")</f>
        <v>0.281553398058252</v>
      </c>
      <c r="AN748" s="36">
        <f>IF(E748=1,AJ748/AH748,"")</f>
        <v>0.252427184466019</v>
      </c>
      <c r="AO748" s="36">
        <f>IF(E748=1,AK748/AH748,"")</f>
        <v>0.466019417475728</v>
      </c>
      <c r="AP748" s="34">
        <f>IF(E748=1,Orders!Y745,"")</f>
        <v>0.75</v>
      </c>
      <c r="AQ748" s="33">
        <f>IF(Orders!X745,1,0)</f>
        <v>0</v>
      </c>
      <c r="AR748" s="34">
        <f>IF(AND(E748=1,L748=1),AJ748,"")</f>
        <v>2.6</v>
      </c>
      <c r="AS748" s="34" t="str">
        <f>IF(AND(E748=1,L748=0),AJ748,"")</f>
        <v/>
      </c>
      <c r="AT748" s="34">
        <f>IF(AND(E748=1,L748=1),AI748,"")</f>
        <v>2.9</v>
      </c>
      <c r="AU748" s="34" t="str">
        <f>IF(AND(E748=1,L748=0),AI748,"")</f>
        <v/>
      </c>
      <c r="AV748" s="34">
        <f>IF(AND(E748=1,L748=1),AG748,"")</f>
        <v>11</v>
      </c>
      <c r="AW748" s="34" t="str">
        <f>IF(AND(E748=1,L748=0),AG748,"")</f>
        <v/>
      </c>
      <c r="AX748" s="34">
        <f>IF(AND(E748=1,L748=1),AH748,"")</f>
        <v>10.3</v>
      </c>
      <c r="AY748" s="34" t="str">
        <f>IF(AND(E748=1,L748=0),AH748,"")</f>
        <v/>
      </c>
      <c r="AZ748" s="34" t="str">
        <f>IF(G748=1,F748,"")</f>
        <v/>
      </c>
      <c r="BA748" s="34" t="str">
        <f>IF(AND(G748=1,L748=1),F748,"")</f>
        <v/>
      </c>
      <c r="BB748" s="34" t="str">
        <f>IF(AND(G748=1,L748=0),F748,"")</f>
        <v/>
      </c>
      <c r="BC748" s="33">
        <f>IF(E748=1,IF(Orders!R745&gt;3,1,0),"")</f>
        <v>0</v>
      </c>
      <c r="BD748" s="33">
        <f>IF(E748=1,IF(Orders!R745&gt;7,1,0),"")</f>
        <v>0</v>
      </c>
      <c r="BE748" s="32" t="str">
        <f>IF(E748=1,IF(Orders!L745&lt;=1.5,"Up to 1.5 km",IF(Orders!L745&lt;=3,"1.5–3 km","Over 3 km")),"")</f>
        <v>Over 3 km</v>
      </c>
      <c r="BF748" s="33">
        <f>IF(E748=1,IF(ABS((Orders!G745-Orders!F745)*1440-Orders!R745)&lt;0.06,1,0),"")</f>
        <v>1</v>
      </c>
      <c r="BG748" s="33">
        <f>IF(ABS((Orders!F745-Orders!E745)*1440-Orders!P745)&lt;0.06,1,0)</f>
        <v>1</v>
      </c>
      <c r="BH748" s="33">
        <f>IF(E748=1,IF(IF(Orders!S745,1,0)=1-G748,1,0),"")</f>
        <v>1</v>
      </c>
      <c r="BI748" s="32" t="str">
        <f>INDEX(Stores!$B$2:$B$21,MATCH(B748,Stores!$A$2:$A$21,0))</f>
        <v>Hyderabad</v>
      </c>
    </row>
    <row r="749">
      <c r="A749" s="32" t="str">
        <f>Orders!A746</f>
        <v>O00745</v>
      </c>
      <c r="B749" s="32" t="str">
        <f>Orders!C746</f>
        <v>S014</v>
      </c>
      <c r="C749" s="32" t="str">
        <f>Orders!B746</f>
        <v>C0202</v>
      </c>
      <c r="D749" s="32" t="str">
        <f>Orders!H746</f>
        <v>Delivered</v>
      </c>
      <c r="E749" s="33">
        <f>IF(Orders!H746="Delivered",1,0)</f>
        <v>1</v>
      </c>
      <c r="F749" s="34">
        <f>IF(E749=1,Orders!R746,"")</f>
        <v>-1.1</v>
      </c>
      <c r="G749" s="33">
        <f>IF(E749=1,IF(Orders!R746&gt;0,1,0),"")</f>
        <v>0</v>
      </c>
      <c r="H749" s="33">
        <f>IF(E749=1,IF(Orders!R746&gt;5,1,0),"")</f>
        <v>0</v>
      </c>
      <c r="I749" s="32" t="str">
        <f>IF(E749=1,"",IF(OR(Orders!T746="Rider unavailable",Orders!T746="Item unavailable"),"Company-caused","Unresolved"))</f>
        <v/>
      </c>
      <c r="J749" s="33">
        <f>IF(OR(E749=1,I749="Company-caused"),1,0)</f>
        <v>1</v>
      </c>
      <c r="K749" s="32" t="str">
        <f>IF(E749=0,IF(I749="Company-caused",IF(Orders!T746="Rider unavailable","C1 Rider unavailable","C2 Item unavailable"),"Outside root: unresolved"),IF(G749=0,"A On time",IF(H749=1,IF(L749=1,"B2a Severe, peak","B2b Severe, off-peak"),IF(L749=1,"B1a Slight, peak","B1b Slight, off-peak"))))</f>
        <v>A On time</v>
      </c>
      <c r="L749" s="33">
        <f>IF(AND(Orders!U746&gt;=19,Orders!U746&lt;22),1,0)</f>
        <v>0</v>
      </c>
      <c r="M749" s="33">
        <f>IF(L749=IF(Orders!V746,1,0),1,0)</f>
        <v>1</v>
      </c>
      <c r="N749" s="32" t="str">
        <f>IF(Orders!W746="","None",Orders!W746)</f>
        <v>None</v>
      </c>
      <c r="O749" s="35">
        <f>INT(Orders!E746)</f>
        <v>46279.0</v>
      </c>
      <c r="P749" s="33">
        <f>Orders!U746</f>
        <v>10</v>
      </c>
      <c r="Q749" s="33">
        <f>COUNTIFS(Demand!$A$2:$A$4481,B749,Demand!$B$2:$B$4481,O749,Demand!$C$2:$C$4481,P749)</f>
        <v>1</v>
      </c>
      <c r="R749" s="33">
        <f>IF(Q749=1,SUMIFS(Demand!$E$2:$E$4481,Demand!$A$2:$A$4481,B749,Demand!$B$2:$B$4481,O749,Demand!$C$2:$C$4481,P749),"")</f>
        <v>29</v>
      </c>
      <c r="S749" s="33">
        <f>INDEX(Stores!$G$2:$G$21,MATCH(B749,Stores!$A$2:$A$21,0))</f>
        <v>37</v>
      </c>
      <c r="T749" s="34">
        <f>IF(R749="","",R749/S749)</f>
        <v>0.783783783783784</v>
      </c>
      <c r="U749" s="34">
        <f>IF(E749=1,T749,"")</f>
        <v>0.783783783783784</v>
      </c>
      <c r="V749" s="34">
        <f>IF(AND(E749=1,L749=0),T749,"")</f>
        <v>0.783783783783784</v>
      </c>
      <c r="W749" s="33">
        <f>IF(U749="","",IF(U749&lt;=Breakdowns!$C$5,1,IF(U749&lt;=Breakdowns!$C$6,2,IF(U749&lt;=Breakdowns!$C$7,3,4))))</f>
        <v>1</v>
      </c>
      <c r="X749" s="33">
        <f>IF(V749="","",IF(V749&lt;=Breakdowns!$D$5,1,IF(V749&lt;=Breakdowns!$D$6,2,IF(V749&lt;=Breakdowns!$D$7,3,4))))</f>
        <v>2</v>
      </c>
      <c r="Y749" s="34">
        <f>INDEX(Stores!$F$2:$F$21,MATCH(B749,Stores!$A$2:$A$21,0))</f>
        <v>5.55</v>
      </c>
      <c r="Z749" s="33">
        <f>IF(Y749&gt;Store_Summary!$M$2,1,0)</f>
        <v>1</v>
      </c>
      <c r="AA749" s="33">
        <f>INDEX(Stores!$C$2:$C$21,MATCH(B749,Stores!$A$2:$A$21,0))</f>
        <v>241</v>
      </c>
      <c r="AB749" s="33">
        <f>IF(AA749&lt;180,1,0)</f>
        <v>0</v>
      </c>
      <c r="AC749" s="32" t="str">
        <f>IF(Orders!D746="","",INDEX(Riders!$C$2:$C$81,MATCH(Orders!D746,Riders!$A$2:$A$81,0)))</f>
        <v>EV scooter</v>
      </c>
      <c r="AD749" s="33">
        <f>IF(Orders!D746="","",INDEX(Riders!$D$2:$D$81,MATCH(Orders!D746,Riders!$A$2:$A$81,0)))</f>
        <v>38</v>
      </c>
      <c r="AE749" s="33">
        <f>IF(Orders!D746="","",IF(INDEX(Riders!$B$2:$B$81,MATCH(Orders!D746,Riders!$A$2:$A$81,0))=B749,1,0))</f>
        <v>0</v>
      </c>
      <c r="AF749" s="34">
        <f>IF(E749=1,Orders!L746,"")</f>
        <v>3.3</v>
      </c>
      <c r="AG749" s="34">
        <f>IF(E749=1,Orders!P746,"")</f>
        <v>11.8</v>
      </c>
      <c r="AH749" s="34">
        <f>IF(E749=1,Orders!Q746,"")</f>
        <v>10.7</v>
      </c>
      <c r="AI749" s="34">
        <f>IF(E749=1,Orders!M746,"")</f>
        <v>2.6</v>
      </c>
      <c r="AJ749" s="34">
        <f>IF(E749=1,Orders!N746,"")</f>
        <v>3.6</v>
      </c>
      <c r="AK749" s="34">
        <f>IF(E749=1,Orders!O746,"")</f>
        <v>4.5</v>
      </c>
      <c r="AL749" s="33">
        <f>IF(E749=1,IF(ROUND(ABS(AI749+AJ749+AK749-AH749),6)&lt;=0.1,1,0),"")</f>
        <v>1</v>
      </c>
      <c r="AM749" s="36">
        <f>IF(E749=1,AI749/AH749,"")</f>
        <v>0.242990654205608</v>
      </c>
      <c r="AN749" s="36">
        <f>IF(E749=1,AJ749/AH749,"")</f>
        <v>0.336448598130841</v>
      </c>
      <c r="AO749" s="36">
        <f>IF(E749=1,AK749/AH749,"")</f>
        <v>0.420560747663551</v>
      </c>
      <c r="AP749" s="34">
        <f>IF(E749=1,Orders!Y746,"")</f>
        <v>0.38</v>
      </c>
      <c r="AQ749" s="33">
        <f>IF(Orders!X746,1,0)</f>
        <v>0</v>
      </c>
      <c r="AR749" s="34" t="str">
        <f>IF(AND(E749=1,L749=1),AJ749,"")</f>
        <v/>
      </c>
      <c r="AS749" s="34">
        <f>IF(AND(E749=1,L749=0),AJ749,"")</f>
        <v>3.6</v>
      </c>
      <c r="AT749" s="34" t="str">
        <f>IF(AND(E749=1,L749=1),AI749,"")</f>
        <v/>
      </c>
      <c r="AU749" s="34">
        <f>IF(AND(E749=1,L749=0),AI749,"")</f>
        <v>2.6</v>
      </c>
      <c r="AV749" s="34" t="str">
        <f>IF(AND(E749=1,L749=1),AG749,"")</f>
        <v/>
      </c>
      <c r="AW749" s="34">
        <f>IF(AND(E749=1,L749=0),AG749,"")</f>
        <v>11.8</v>
      </c>
      <c r="AX749" s="34" t="str">
        <f>IF(AND(E749=1,L749=1),AH749,"")</f>
        <v/>
      </c>
      <c r="AY749" s="34">
        <f>IF(AND(E749=1,L749=0),AH749,"")</f>
        <v>10.7</v>
      </c>
      <c r="AZ749" s="34" t="str">
        <f>IF(G749=1,F749,"")</f>
        <v/>
      </c>
      <c r="BA749" s="34" t="str">
        <f>IF(AND(G749=1,L749=1),F749,"")</f>
        <v/>
      </c>
      <c r="BB749" s="34" t="str">
        <f>IF(AND(G749=1,L749=0),F749,"")</f>
        <v/>
      </c>
      <c r="BC749" s="33">
        <f>IF(E749=1,IF(Orders!R746&gt;3,1,0),"")</f>
        <v>0</v>
      </c>
      <c r="BD749" s="33">
        <f>IF(E749=1,IF(Orders!R746&gt;7,1,0),"")</f>
        <v>0</v>
      </c>
      <c r="BE749" s="32" t="str">
        <f>IF(E749=1,IF(Orders!L746&lt;=1.5,"Up to 1.5 km",IF(Orders!L746&lt;=3,"1.5–3 km","Over 3 km")),"")</f>
        <v>Over 3 km</v>
      </c>
      <c r="BF749" s="33">
        <f>IF(E749=1,IF(ABS((Orders!G746-Orders!F746)*1440-Orders!R746)&lt;0.06,1,0),"")</f>
        <v>1</v>
      </c>
      <c r="BG749" s="33">
        <f>IF(ABS((Orders!F746-Orders!E746)*1440-Orders!P746)&lt;0.06,1,0)</f>
        <v>1</v>
      </c>
      <c r="BH749" s="33">
        <f>IF(E749=1,IF(IF(Orders!S746,1,0)=1-G749,1,0),"")</f>
        <v>1</v>
      </c>
      <c r="BI749" s="32" t="str">
        <f>INDEX(Stores!$B$2:$B$21,MATCH(B749,Stores!$A$2:$A$21,0))</f>
        <v>Pune</v>
      </c>
    </row>
    <row r="750">
      <c r="A750" s="32" t="str">
        <f>Orders!A747</f>
        <v>O00746</v>
      </c>
      <c r="B750" s="32" t="str">
        <f>Orders!C747</f>
        <v>S001</v>
      </c>
      <c r="C750" s="32" t="str">
        <f>Orders!B747</f>
        <v>C0238</v>
      </c>
      <c r="D750" s="32" t="str">
        <f>Orders!H747</f>
        <v>Delivered</v>
      </c>
      <c r="E750" s="33">
        <f>IF(Orders!H747="Delivered",1,0)</f>
        <v>1</v>
      </c>
      <c r="F750" s="34">
        <f>IF(E750=1,Orders!R747,"")</f>
        <v>-1</v>
      </c>
      <c r="G750" s="33">
        <f>IF(E750=1,IF(Orders!R747&gt;0,1,0),"")</f>
        <v>0</v>
      </c>
      <c r="H750" s="33">
        <f>IF(E750=1,IF(Orders!R747&gt;5,1,0),"")</f>
        <v>0</v>
      </c>
      <c r="I750" s="32" t="str">
        <f>IF(E750=1,"",IF(OR(Orders!T747="Rider unavailable",Orders!T747="Item unavailable"),"Company-caused","Unresolved"))</f>
        <v/>
      </c>
      <c r="J750" s="33">
        <f>IF(OR(E750=1,I750="Company-caused"),1,0)</f>
        <v>1</v>
      </c>
      <c r="K750" s="32" t="str">
        <f>IF(E750=0,IF(I750="Company-caused",IF(Orders!T747="Rider unavailable","C1 Rider unavailable","C2 Item unavailable"),"Outside root: unresolved"),IF(G750=0,"A On time",IF(H750=1,IF(L750=1,"B2a Severe, peak","B2b Severe, off-peak"),IF(L750=1,"B1a Slight, peak","B1b Slight, off-peak"))))</f>
        <v>A On time</v>
      </c>
      <c r="L750" s="33">
        <f>IF(AND(Orders!U747&gt;=19,Orders!U747&lt;22),1,0)</f>
        <v>0</v>
      </c>
      <c r="M750" s="33">
        <f>IF(L750=IF(Orders!V747,1,0),1,0)</f>
        <v>1</v>
      </c>
      <c r="N750" s="32" t="str">
        <f>IF(Orders!W747="","None",Orders!W747)</f>
        <v>None</v>
      </c>
      <c r="O750" s="35">
        <f>INT(Orders!E747)</f>
        <v>46269.0</v>
      </c>
      <c r="P750" s="33">
        <f>Orders!U747</f>
        <v>22</v>
      </c>
      <c r="Q750" s="33">
        <f>COUNTIFS(Demand!$A$2:$A$4481,B750,Demand!$B$2:$B$4481,O750,Demand!$C$2:$C$4481,P750)</f>
        <v>1</v>
      </c>
      <c r="R750" s="33">
        <f>IF(Q750=1,SUMIFS(Demand!$E$2:$E$4481,Demand!$A$2:$A$4481,B750,Demand!$B$2:$B$4481,O750,Demand!$C$2:$C$4481,P750),"")</f>
        <v>14</v>
      </c>
      <c r="S750" s="33">
        <f>INDEX(Stores!$G$2:$G$21,MATCH(B750,Stores!$A$2:$A$21,0))</f>
        <v>16</v>
      </c>
      <c r="T750" s="34">
        <f>IF(R750="","",R750/S750)</f>
        <v>0.875</v>
      </c>
      <c r="U750" s="34">
        <f>IF(E750=1,T750,"")</f>
        <v>0.875</v>
      </c>
      <c r="V750" s="34">
        <f>IF(AND(E750=1,L750=0),T750,"")</f>
        <v>0.875</v>
      </c>
      <c r="W750" s="33">
        <f>IF(U750="","",IF(U750&lt;=Breakdowns!$C$5,1,IF(U750&lt;=Breakdowns!$C$6,2,IF(U750&lt;=Breakdowns!$C$7,3,4))))</f>
        <v>2</v>
      </c>
      <c r="X750" s="33">
        <f>IF(V750="","",IF(V750&lt;=Breakdowns!$D$5,1,IF(V750&lt;=Breakdowns!$D$6,2,IF(V750&lt;=Breakdowns!$D$7,3,4))))</f>
        <v>2</v>
      </c>
      <c r="Y750" s="34">
        <f>INDEX(Stores!$F$2:$F$21,MATCH(B750,Stores!$A$2:$A$21,0))</f>
        <v>4.59</v>
      </c>
      <c r="Z750" s="33">
        <f>IF(Y750&gt;Store_Summary!$M$2,1,0)</f>
        <v>0</v>
      </c>
      <c r="AA750" s="33">
        <f>INDEX(Stores!$C$2:$C$21,MATCH(B750,Stores!$A$2:$A$21,0))</f>
        <v>362</v>
      </c>
      <c r="AB750" s="33">
        <f>IF(AA750&lt;180,1,0)</f>
        <v>0</v>
      </c>
      <c r="AC750" s="32" t="str">
        <f>IF(Orders!D747="","",INDEX(Riders!$C$2:$C$81,MATCH(Orders!D747,Riders!$A$2:$A$81,0)))</f>
        <v>Petrol scooter</v>
      </c>
      <c r="AD750" s="33">
        <f>IF(Orders!D747="","",INDEX(Riders!$D$2:$D$81,MATCH(Orders!D747,Riders!$A$2:$A$81,0)))</f>
        <v>10</v>
      </c>
      <c r="AE750" s="33">
        <f>IF(Orders!D747="","",IF(INDEX(Riders!$B$2:$B$81,MATCH(Orders!D747,Riders!$A$2:$A$81,0))=B750,1,0))</f>
        <v>0</v>
      </c>
      <c r="AF750" s="34">
        <f>IF(E750=1,Orders!L747,"")</f>
        <v>0.5</v>
      </c>
      <c r="AG750" s="34">
        <f>IF(E750=1,Orders!P747,"")</f>
        <v>10.6</v>
      </c>
      <c r="AH750" s="34">
        <f>IF(E750=1,Orders!Q747,"")</f>
        <v>9.6</v>
      </c>
      <c r="AI750" s="34">
        <f>IF(E750=1,Orders!M747,"")</f>
        <v>3.3</v>
      </c>
      <c r="AJ750" s="34">
        <f>IF(E750=1,Orders!N747,"")</f>
        <v>3.7</v>
      </c>
      <c r="AK750" s="34">
        <f>IF(E750=1,Orders!O747,"")</f>
        <v>2.6</v>
      </c>
      <c r="AL750" s="33">
        <f>IF(E750=1,IF(ROUND(ABS(AI750+AJ750+AK750-AH750),6)&lt;=0.1,1,0),"")</f>
        <v>1</v>
      </c>
      <c r="AM750" s="36">
        <f>IF(E750=1,AI750/AH750,"")</f>
        <v>0.34375</v>
      </c>
      <c r="AN750" s="36">
        <f>IF(E750=1,AJ750/AH750,"")</f>
        <v>0.385416666666667</v>
      </c>
      <c r="AO750" s="36">
        <f>IF(E750=1,AK750/AH750,"")</f>
        <v>0.270833333333333</v>
      </c>
      <c r="AP750" s="34">
        <f>IF(E750=1,Orders!Y747,"")</f>
        <v>0.64</v>
      </c>
      <c r="AQ750" s="33">
        <f>IF(Orders!X747,1,0)</f>
        <v>0</v>
      </c>
      <c r="AR750" s="34" t="str">
        <f>IF(AND(E750=1,L750=1),AJ750,"")</f>
        <v/>
      </c>
      <c r="AS750" s="34">
        <f>IF(AND(E750=1,L750=0),AJ750,"")</f>
        <v>3.7</v>
      </c>
      <c r="AT750" s="34" t="str">
        <f>IF(AND(E750=1,L750=1),AI750,"")</f>
        <v/>
      </c>
      <c r="AU750" s="34">
        <f>IF(AND(E750=1,L750=0),AI750,"")</f>
        <v>3.3</v>
      </c>
      <c r="AV750" s="34" t="str">
        <f>IF(AND(E750=1,L750=1),AG750,"")</f>
        <v/>
      </c>
      <c r="AW750" s="34">
        <f>IF(AND(E750=1,L750=0),AG750,"")</f>
        <v>10.6</v>
      </c>
      <c r="AX750" s="34" t="str">
        <f>IF(AND(E750=1,L750=1),AH750,"")</f>
        <v/>
      </c>
      <c r="AY750" s="34">
        <f>IF(AND(E750=1,L750=0),AH750,"")</f>
        <v>9.6</v>
      </c>
      <c r="AZ750" s="34" t="str">
        <f>IF(G750=1,F750,"")</f>
        <v/>
      </c>
      <c r="BA750" s="34" t="str">
        <f>IF(AND(G750=1,L750=1),F750,"")</f>
        <v/>
      </c>
      <c r="BB750" s="34" t="str">
        <f>IF(AND(G750=1,L750=0),F750,"")</f>
        <v/>
      </c>
      <c r="BC750" s="33">
        <f>IF(E750=1,IF(Orders!R747&gt;3,1,0),"")</f>
        <v>0</v>
      </c>
      <c r="BD750" s="33">
        <f>IF(E750=1,IF(Orders!R747&gt;7,1,0),"")</f>
        <v>0</v>
      </c>
      <c r="BE750" s="32" t="str">
        <f>IF(E750=1,IF(Orders!L747&lt;=1.5,"Up to 1.5 km",IF(Orders!L747&lt;=3,"1.5–3 km","Over 3 km")),"")</f>
        <v>Up to 1.5 km</v>
      </c>
      <c r="BF750" s="33">
        <f>IF(E750=1,IF(ABS((Orders!G747-Orders!F747)*1440-Orders!R747)&lt;0.06,1,0),"")</f>
        <v>1</v>
      </c>
      <c r="BG750" s="33">
        <f>IF(ABS((Orders!F747-Orders!E747)*1440-Orders!P747)&lt;0.06,1,0)</f>
        <v>1</v>
      </c>
      <c r="BH750" s="33">
        <f>IF(E750=1,IF(IF(Orders!S747,1,0)=1-G750,1,0),"")</f>
        <v>1</v>
      </c>
      <c r="BI750" s="32" t="str">
        <f>INDEX(Stores!$B$2:$B$21,MATCH(B750,Stores!$A$2:$A$21,0))</f>
        <v>Bengaluru</v>
      </c>
    </row>
    <row r="751">
      <c r="A751" s="32" t="str">
        <f>Orders!A748</f>
        <v>O00747</v>
      </c>
      <c r="B751" s="32" t="str">
        <f>Orders!C748</f>
        <v>S014</v>
      </c>
      <c r="C751" s="32" t="str">
        <f>Orders!B748</f>
        <v>C0171</v>
      </c>
      <c r="D751" s="32" t="str">
        <f>Orders!H748</f>
        <v>Delivered</v>
      </c>
      <c r="E751" s="33">
        <f>IF(Orders!H748="Delivered",1,0)</f>
        <v>1</v>
      </c>
      <c r="F751" s="34">
        <f>IF(E751=1,Orders!R748,"")</f>
        <v>-0.7</v>
      </c>
      <c r="G751" s="33">
        <f>IF(E751=1,IF(Orders!R748&gt;0,1,0),"")</f>
        <v>0</v>
      </c>
      <c r="H751" s="33">
        <f>IF(E751=1,IF(Orders!R748&gt;5,1,0),"")</f>
        <v>0</v>
      </c>
      <c r="I751" s="32" t="str">
        <f>IF(E751=1,"",IF(OR(Orders!T748="Rider unavailable",Orders!T748="Item unavailable"),"Company-caused","Unresolved"))</f>
        <v/>
      </c>
      <c r="J751" s="33">
        <f>IF(OR(E751=1,I751="Company-caused"),1,0)</f>
        <v>1</v>
      </c>
      <c r="K751" s="32" t="str">
        <f>IF(E751=0,IF(I751="Company-caused",IF(Orders!T748="Rider unavailable","C1 Rider unavailable","C2 Item unavailable"),"Outside root: unresolved"),IF(G751=0,"A On time",IF(H751=1,IF(L751=1,"B2a Severe, peak","B2b Severe, off-peak"),IF(L751=1,"B1a Slight, peak","B1b Slight, off-peak"))))</f>
        <v>A On time</v>
      </c>
      <c r="L751" s="33">
        <f>IF(AND(Orders!U748&gt;=19,Orders!U748&lt;22),1,0)</f>
        <v>0</v>
      </c>
      <c r="M751" s="33">
        <f>IF(L751=IF(Orders!V748,1,0),1,0)</f>
        <v>1</v>
      </c>
      <c r="N751" s="32" t="str">
        <f>IF(Orders!W748="","None",Orders!W748)</f>
        <v>None</v>
      </c>
      <c r="O751" s="35">
        <f>INT(Orders!E748)</f>
        <v>46276.0</v>
      </c>
      <c r="P751" s="33">
        <f>Orders!U748</f>
        <v>18</v>
      </c>
      <c r="Q751" s="33">
        <f>COUNTIFS(Demand!$A$2:$A$4481,B751,Demand!$B$2:$B$4481,O751,Demand!$C$2:$C$4481,P751)</f>
        <v>1</v>
      </c>
      <c r="R751" s="33">
        <f>IF(Q751=1,SUMIFS(Demand!$E$2:$E$4481,Demand!$A$2:$A$4481,B751,Demand!$B$2:$B$4481,O751,Demand!$C$2:$C$4481,P751),"")</f>
        <v>48</v>
      </c>
      <c r="S751" s="33">
        <f>INDEX(Stores!$G$2:$G$21,MATCH(B751,Stores!$A$2:$A$21,0))</f>
        <v>37</v>
      </c>
      <c r="T751" s="34">
        <f>IF(R751="","",R751/S751)</f>
        <v>1.2972972972973</v>
      </c>
      <c r="U751" s="34">
        <f>IF(E751=1,T751,"")</f>
        <v>1.2972972972973</v>
      </c>
      <c r="V751" s="34">
        <f>IF(AND(E751=1,L751=0),T751,"")</f>
        <v>1.2972972972973</v>
      </c>
      <c r="W751" s="33">
        <f>IF(U751="","",IF(U751&lt;=Breakdowns!$C$5,1,IF(U751&lt;=Breakdowns!$C$6,2,IF(U751&lt;=Breakdowns!$C$7,3,4))))</f>
        <v>4</v>
      </c>
      <c r="X751" s="33">
        <f>IF(V751="","",IF(V751&lt;=Breakdowns!$D$5,1,IF(V751&lt;=Breakdowns!$D$6,2,IF(V751&lt;=Breakdowns!$D$7,3,4))))</f>
        <v>4</v>
      </c>
      <c r="Y751" s="34">
        <f>INDEX(Stores!$F$2:$F$21,MATCH(B751,Stores!$A$2:$A$21,0))</f>
        <v>5.55</v>
      </c>
      <c r="Z751" s="33">
        <f>IF(Y751&gt;Store_Summary!$M$2,1,0)</f>
        <v>1</v>
      </c>
      <c r="AA751" s="33">
        <f>INDEX(Stores!$C$2:$C$21,MATCH(B751,Stores!$A$2:$A$21,0))</f>
        <v>241</v>
      </c>
      <c r="AB751" s="33">
        <f>IF(AA751&lt;180,1,0)</f>
        <v>0</v>
      </c>
      <c r="AC751" s="32" t="str">
        <f>IF(Orders!D748="","",INDEX(Riders!$C$2:$C$81,MATCH(Orders!D748,Riders!$A$2:$A$81,0)))</f>
        <v>EV scooter</v>
      </c>
      <c r="AD751" s="33">
        <f>IF(Orders!D748="","",INDEX(Riders!$D$2:$D$81,MATCH(Orders!D748,Riders!$A$2:$A$81,0)))</f>
        <v>38</v>
      </c>
      <c r="AE751" s="33">
        <f>IF(Orders!D748="","",IF(INDEX(Riders!$B$2:$B$81,MATCH(Orders!D748,Riders!$A$2:$A$81,0))=B751,1,0))</f>
        <v>0</v>
      </c>
      <c r="AF751" s="34">
        <f>IF(E751=1,Orders!L748,"")</f>
        <v>1.79</v>
      </c>
      <c r="AG751" s="34">
        <f>IF(E751=1,Orders!P748,"")</f>
        <v>9.7</v>
      </c>
      <c r="AH751" s="34">
        <f>IF(E751=1,Orders!Q748,"")</f>
        <v>9</v>
      </c>
      <c r="AI751" s="34">
        <f>IF(E751=1,Orders!M748,"")</f>
        <v>2.2</v>
      </c>
      <c r="AJ751" s="34">
        <f>IF(E751=1,Orders!N748,"")</f>
        <v>4.2</v>
      </c>
      <c r="AK751" s="34">
        <f>IF(E751=1,Orders!O748,"")</f>
        <v>2.6</v>
      </c>
      <c r="AL751" s="33">
        <f>IF(E751=1,IF(ROUND(ABS(AI751+AJ751+AK751-AH751),6)&lt;=0.1,1,0),"")</f>
        <v>1</v>
      </c>
      <c r="AM751" s="36">
        <f>IF(E751=1,AI751/AH751,"")</f>
        <v>0.244444444444444</v>
      </c>
      <c r="AN751" s="36">
        <f>IF(E751=1,AJ751/AH751,"")</f>
        <v>0.466666666666667</v>
      </c>
      <c r="AO751" s="36">
        <f>IF(E751=1,AK751/AH751,"")</f>
        <v>0.288888888888889</v>
      </c>
      <c r="AP751" s="34">
        <f>IF(E751=1,Orders!Y748,"")</f>
        <v>0.43</v>
      </c>
      <c r="AQ751" s="33">
        <f>IF(Orders!X748,1,0)</f>
        <v>0</v>
      </c>
      <c r="AR751" s="34" t="str">
        <f>IF(AND(E751=1,L751=1),AJ751,"")</f>
        <v/>
      </c>
      <c r="AS751" s="34">
        <f>IF(AND(E751=1,L751=0),AJ751,"")</f>
        <v>4.2</v>
      </c>
      <c r="AT751" s="34" t="str">
        <f>IF(AND(E751=1,L751=1),AI751,"")</f>
        <v/>
      </c>
      <c r="AU751" s="34">
        <f>IF(AND(E751=1,L751=0),AI751,"")</f>
        <v>2.2</v>
      </c>
      <c r="AV751" s="34" t="str">
        <f>IF(AND(E751=1,L751=1),AG751,"")</f>
        <v/>
      </c>
      <c r="AW751" s="34">
        <f>IF(AND(E751=1,L751=0),AG751,"")</f>
        <v>9.7</v>
      </c>
      <c r="AX751" s="34" t="str">
        <f>IF(AND(E751=1,L751=1),AH751,"")</f>
        <v/>
      </c>
      <c r="AY751" s="34">
        <f>IF(AND(E751=1,L751=0),AH751,"")</f>
        <v>9</v>
      </c>
      <c r="AZ751" s="34" t="str">
        <f>IF(G751=1,F751,"")</f>
        <v/>
      </c>
      <c r="BA751" s="34" t="str">
        <f>IF(AND(G751=1,L751=1),F751,"")</f>
        <v/>
      </c>
      <c r="BB751" s="34" t="str">
        <f>IF(AND(G751=1,L751=0),F751,"")</f>
        <v/>
      </c>
      <c r="BC751" s="33">
        <f>IF(E751=1,IF(Orders!R748&gt;3,1,0),"")</f>
        <v>0</v>
      </c>
      <c r="BD751" s="33">
        <f>IF(E751=1,IF(Orders!R748&gt;7,1,0),"")</f>
        <v>0</v>
      </c>
      <c r="BE751" s="32" t="str">
        <f>IF(E751=1,IF(Orders!L748&lt;=1.5,"Up to 1.5 km",IF(Orders!L748&lt;=3,"1.5–3 km","Over 3 km")),"")</f>
        <v>1.5–3 km</v>
      </c>
      <c r="BF751" s="33">
        <f>IF(E751=1,IF(ABS((Orders!G748-Orders!F748)*1440-Orders!R748)&lt;0.06,1,0),"")</f>
        <v>1</v>
      </c>
      <c r="BG751" s="33">
        <f>IF(ABS((Orders!F748-Orders!E748)*1440-Orders!P748)&lt;0.06,1,0)</f>
        <v>1</v>
      </c>
      <c r="BH751" s="33">
        <f>IF(E751=1,IF(IF(Orders!S748,1,0)=1-G751,1,0),"")</f>
        <v>1</v>
      </c>
      <c r="BI751" s="32" t="str">
        <f>INDEX(Stores!$B$2:$B$21,MATCH(B751,Stores!$A$2:$A$21,0))</f>
        <v>Pune</v>
      </c>
    </row>
    <row r="752">
      <c r="A752" s="32" t="str">
        <f>Orders!A749</f>
        <v>O00748</v>
      </c>
      <c r="B752" s="32" t="str">
        <f>Orders!C749</f>
        <v>S017</v>
      </c>
      <c r="C752" s="32" t="str">
        <f>Orders!B749</f>
        <v>C0053</v>
      </c>
      <c r="D752" s="32" t="str">
        <f>Orders!H749</f>
        <v>Delivered</v>
      </c>
      <c r="E752" s="33">
        <f>IF(Orders!H749="Delivered",1,0)</f>
        <v>1</v>
      </c>
      <c r="F752" s="34">
        <f>IF(E752=1,Orders!R749,"")</f>
        <v>8.4</v>
      </c>
      <c r="G752" s="33">
        <f>IF(E752=1,IF(Orders!R749&gt;0,1,0),"")</f>
        <v>1</v>
      </c>
      <c r="H752" s="33">
        <f>IF(E752=1,IF(Orders!R749&gt;5,1,0),"")</f>
        <v>1</v>
      </c>
      <c r="I752" s="32" t="str">
        <f>IF(E752=1,"",IF(OR(Orders!T749="Rider unavailable",Orders!T749="Item unavailable"),"Company-caused","Unresolved"))</f>
        <v/>
      </c>
      <c r="J752" s="33">
        <f>IF(OR(E752=1,I752="Company-caused"),1,0)</f>
        <v>1</v>
      </c>
      <c r="K752" s="32" t="str">
        <f>IF(E752=0,IF(I752="Company-caused",IF(Orders!T749="Rider unavailable","C1 Rider unavailable","C2 Item unavailable"),"Outside root: unresolved"),IF(G752=0,"A On time",IF(H752=1,IF(L752=1,"B2a Severe, peak","B2b Severe, off-peak"),IF(L752=1,"B1a Slight, peak","B1b Slight, off-peak"))))</f>
        <v>B2b Severe, off-peak</v>
      </c>
      <c r="L752" s="33">
        <f>IF(AND(Orders!U749&gt;=19,Orders!U749&lt;22),1,0)</f>
        <v>0</v>
      </c>
      <c r="M752" s="33">
        <f>IF(L752=IF(Orders!V749,1,0),1,0)</f>
        <v>1</v>
      </c>
      <c r="N752" s="32" t="str">
        <f>IF(Orders!W749="","None",Orders!W749)</f>
        <v>None</v>
      </c>
      <c r="O752" s="35">
        <f>INT(Orders!E749)</f>
        <v>46278.0</v>
      </c>
      <c r="P752" s="33">
        <f>Orders!U749</f>
        <v>22</v>
      </c>
      <c r="Q752" s="33">
        <f>COUNTIFS(Demand!$A$2:$A$4481,B752,Demand!$B$2:$B$4481,O752,Demand!$C$2:$C$4481,P752)</f>
        <v>1</v>
      </c>
      <c r="R752" s="33">
        <f>IF(Q752=1,SUMIFS(Demand!$E$2:$E$4481,Demand!$A$2:$A$4481,B752,Demand!$B$2:$B$4481,O752,Demand!$C$2:$C$4481,P752),"")</f>
        <v>43</v>
      </c>
      <c r="S752" s="33">
        <f>INDEX(Stores!$G$2:$G$21,MATCH(B752,Stores!$A$2:$A$21,0))</f>
        <v>36</v>
      </c>
      <c r="T752" s="34">
        <f>IF(R752="","",R752/S752)</f>
        <v>1.19444444444444</v>
      </c>
      <c r="U752" s="34">
        <f>IF(E752=1,T752,"")</f>
        <v>1.19444444444444</v>
      </c>
      <c r="V752" s="34">
        <f>IF(AND(E752=1,L752=0),T752,"")</f>
        <v>1.19444444444444</v>
      </c>
      <c r="W752" s="33">
        <f>IF(U752="","",IF(U752&lt;=Breakdowns!$C$5,1,IF(U752&lt;=Breakdowns!$C$6,2,IF(U752&lt;=Breakdowns!$C$7,3,4))))</f>
        <v>3</v>
      </c>
      <c r="X752" s="33">
        <f>IF(V752="","",IF(V752&lt;=Breakdowns!$D$5,1,IF(V752&lt;=Breakdowns!$D$6,2,IF(V752&lt;=Breakdowns!$D$7,3,4))))</f>
        <v>4</v>
      </c>
      <c r="Y752" s="34">
        <f>INDEX(Stores!$F$2:$F$21,MATCH(B752,Stores!$A$2:$A$21,0))</f>
        <v>2.16</v>
      </c>
      <c r="Z752" s="33">
        <f>IF(Y752&gt;Store_Summary!$M$2,1,0)</f>
        <v>0</v>
      </c>
      <c r="AA752" s="33">
        <f>INDEX(Stores!$C$2:$C$21,MATCH(B752,Stores!$A$2:$A$21,0))</f>
        <v>47</v>
      </c>
      <c r="AB752" s="33">
        <f>IF(AA752&lt;180,1,0)</f>
        <v>1</v>
      </c>
      <c r="AC752" s="32" t="str">
        <f>IF(Orders!D749="","",INDEX(Riders!$C$2:$C$81,MATCH(Orders!D749,Riders!$A$2:$A$81,0)))</f>
        <v>EV scooter</v>
      </c>
      <c r="AD752" s="33">
        <f>IF(Orders!D749="","",INDEX(Riders!$D$2:$D$81,MATCH(Orders!D749,Riders!$A$2:$A$81,0)))</f>
        <v>3</v>
      </c>
      <c r="AE752" s="33">
        <f>IF(Orders!D749="","",IF(INDEX(Riders!$B$2:$B$81,MATCH(Orders!D749,Riders!$A$2:$A$81,0))=B752,1,0))</f>
        <v>0</v>
      </c>
      <c r="AF752" s="34">
        <f>IF(E752=1,Orders!L749,"")</f>
        <v>3.4</v>
      </c>
      <c r="AG752" s="34">
        <f>IF(E752=1,Orders!P749,"")</f>
        <v>11.1</v>
      </c>
      <c r="AH752" s="34">
        <f>IF(E752=1,Orders!Q749,"")</f>
        <v>19.5</v>
      </c>
      <c r="AI752" s="34">
        <f>IF(E752=1,Orders!M749,"")</f>
        <v>4.2</v>
      </c>
      <c r="AJ752" s="34">
        <f>IF(E752=1,Orders!N749,"")</f>
        <v>7.5</v>
      </c>
      <c r="AK752" s="34">
        <f>IF(E752=1,Orders!O749,"")</f>
        <v>7.8</v>
      </c>
      <c r="AL752" s="33">
        <f>IF(E752=1,IF(ROUND(ABS(AI752+AJ752+AK752-AH752),6)&lt;=0.1,1,0),"")</f>
        <v>1</v>
      </c>
      <c r="AM752" s="36">
        <f>IF(E752=1,AI752/AH752,"")</f>
        <v>0.215384615384615</v>
      </c>
      <c r="AN752" s="36">
        <f>IF(E752=1,AJ752/AH752,"")</f>
        <v>0.384615384615385</v>
      </c>
      <c r="AO752" s="36">
        <f>IF(E752=1,AK752/AH752,"")</f>
        <v>0.4</v>
      </c>
      <c r="AP752" s="34">
        <f>IF(E752=1,Orders!Y749,"")</f>
        <v>0.47</v>
      </c>
      <c r="AQ752" s="33">
        <f>IF(Orders!X749,1,0)</f>
        <v>0</v>
      </c>
      <c r="AR752" s="34" t="str">
        <f>IF(AND(E752=1,L752=1),AJ752,"")</f>
        <v/>
      </c>
      <c r="AS752" s="34">
        <f>IF(AND(E752=1,L752=0),AJ752,"")</f>
        <v>7.5</v>
      </c>
      <c r="AT752" s="34" t="str">
        <f>IF(AND(E752=1,L752=1),AI752,"")</f>
        <v/>
      </c>
      <c r="AU752" s="34">
        <f>IF(AND(E752=1,L752=0),AI752,"")</f>
        <v>4.2</v>
      </c>
      <c r="AV752" s="34" t="str">
        <f>IF(AND(E752=1,L752=1),AG752,"")</f>
        <v/>
      </c>
      <c r="AW752" s="34">
        <f>IF(AND(E752=1,L752=0),AG752,"")</f>
        <v>11.1</v>
      </c>
      <c r="AX752" s="34" t="str">
        <f>IF(AND(E752=1,L752=1),AH752,"")</f>
        <v/>
      </c>
      <c r="AY752" s="34">
        <f>IF(AND(E752=1,L752=0),AH752,"")</f>
        <v>19.5</v>
      </c>
      <c r="AZ752" s="34">
        <f>IF(G752=1,F752,"")</f>
        <v>8.4</v>
      </c>
      <c r="BA752" s="34" t="str">
        <f>IF(AND(G752=1,L752=1),F752,"")</f>
        <v/>
      </c>
      <c r="BB752" s="34">
        <f>IF(AND(G752=1,L752=0),F752,"")</f>
        <v>8.4</v>
      </c>
      <c r="BC752" s="33">
        <f>IF(E752=1,IF(Orders!R749&gt;3,1,0),"")</f>
        <v>1</v>
      </c>
      <c r="BD752" s="33">
        <f>IF(E752=1,IF(Orders!R749&gt;7,1,0),"")</f>
        <v>1</v>
      </c>
      <c r="BE752" s="32" t="str">
        <f>IF(E752=1,IF(Orders!L749&lt;=1.5,"Up to 1.5 km",IF(Orders!L749&lt;=3,"1.5–3 km","Over 3 km")),"")</f>
        <v>Over 3 km</v>
      </c>
      <c r="BF752" s="33">
        <f>IF(E752=1,IF(ABS((Orders!G749-Orders!F749)*1440-Orders!R749)&lt;0.06,1,0),"")</f>
        <v>1</v>
      </c>
      <c r="BG752" s="33">
        <f>IF(ABS((Orders!F749-Orders!E749)*1440-Orders!P749)&lt;0.06,1,0)</f>
        <v>1</v>
      </c>
      <c r="BH752" s="33">
        <f>IF(E752=1,IF(IF(Orders!S749,1,0)=1-G752,1,0),"")</f>
        <v>1</v>
      </c>
      <c r="BI752" s="32" t="str">
        <f>INDEX(Stores!$B$2:$B$21,MATCH(B752,Stores!$A$2:$A$21,0))</f>
        <v>Hyderabad</v>
      </c>
    </row>
    <row r="753">
      <c r="A753" s="32" t="str">
        <f>Orders!A750</f>
        <v>O00749</v>
      </c>
      <c r="B753" s="32" t="str">
        <f>Orders!C750</f>
        <v>S016</v>
      </c>
      <c r="C753" s="32" t="str">
        <f>Orders!B750</f>
        <v>C0033</v>
      </c>
      <c r="D753" s="32" t="str">
        <f>Orders!H750</f>
        <v>Delivered</v>
      </c>
      <c r="E753" s="33">
        <f>IF(Orders!H750="Delivered",1,0)</f>
        <v>1</v>
      </c>
      <c r="F753" s="34">
        <f>IF(E753=1,Orders!R750,"")</f>
        <v>12.8</v>
      </c>
      <c r="G753" s="33">
        <f>IF(E753=1,IF(Orders!R750&gt;0,1,0),"")</f>
        <v>1</v>
      </c>
      <c r="H753" s="33">
        <f>IF(E753=1,IF(Orders!R750&gt;5,1,0),"")</f>
        <v>1</v>
      </c>
      <c r="I753" s="32" t="str">
        <f>IF(E753=1,"",IF(OR(Orders!T750="Rider unavailable",Orders!T750="Item unavailable"),"Company-caused","Unresolved"))</f>
        <v/>
      </c>
      <c r="J753" s="33">
        <f>IF(OR(E753=1,I753="Company-caused"),1,0)</f>
        <v>1</v>
      </c>
      <c r="K753" s="32" t="str">
        <f>IF(E753=0,IF(I753="Company-caused",IF(Orders!T750="Rider unavailable","C1 Rider unavailable","C2 Item unavailable"),"Outside root: unresolved"),IF(G753=0,"A On time",IF(H753=1,IF(L753=1,"B2a Severe, peak","B2b Severe, off-peak"),IF(L753=1,"B1a Slight, peak","B1b Slight, off-peak"))))</f>
        <v>B2b Severe, off-peak</v>
      </c>
      <c r="L753" s="33">
        <f>IF(AND(Orders!U750&gt;=19,Orders!U750&lt;22),1,0)</f>
        <v>0</v>
      </c>
      <c r="M753" s="33">
        <f>IF(L753=IF(Orders!V750,1,0),1,0)</f>
        <v>1</v>
      </c>
      <c r="N753" s="32" t="str">
        <f>IF(Orders!W750="","None",Orders!W750)</f>
        <v>None</v>
      </c>
      <c r="O753" s="35">
        <f>INT(Orders!E750)</f>
        <v>46271.0</v>
      </c>
      <c r="P753" s="33">
        <f>Orders!U750</f>
        <v>17</v>
      </c>
      <c r="Q753" s="33">
        <f>COUNTIFS(Demand!$A$2:$A$4481,B753,Demand!$B$2:$B$4481,O753,Demand!$C$2:$C$4481,P753)</f>
        <v>1</v>
      </c>
      <c r="R753" s="33">
        <f>IF(Q753=1,SUMIFS(Demand!$E$2:$E$4481,Demand!$A$2:$A$4481,B753,Demand!$B$2:$B$4481,O753,Demand!$C$2:$C$4481,P753),"")</f>
        <v>27</v>
      </c>
      <c r="S753" s="33">
        <f>INDEX(Stores!$G$2:$G$21,MATCH(B753,Stores!$A$2:$A$21,0))</f>
        <v>25</v>
      </c>
      <c r="T753" s="34">
        <f>IF(R753="","",R753/S753)</f>
        <v>1.08</v>
      </c>
      <c r="U753" s="34">
        <f>IF(E753=1,T753,"")</f>
        <v>1.08</v>
      </c>
      <c r="V753" s="34">
        <f>IF(AND(E753=1,L753=0),T753,"")</f>
        <v>1.08</v>
      </c>
      <c r="W753" s="33">
        <f>IF(U753="","",IF(U753&lt;=Breakdowns!$C$5,1,IF(U753&lt;=Breakdowns!$C$6,2,IF(U753&lt;=Breakdowns!$C$7,3,4))))</f>
        <v>3</v>
      </c>
      <c r="X753" s="33">
        <f>IF(V753="","",IF(V753&lt;=Breakdowns!$D$5,1,IF(V753&lt;=Breakdowns!$D$6,2,IF(V753&lt;=Breakdowns!$D$7,3,4))))</f>
        <v>4</v>
      </c>
      <c r="Y753" s="34">
        <f>INDEX(Stores!$F$2:$F$21,MATCH(B753,Stores!$A$2:$A$21,0))</f>
        <v>5.51</v>
      </c>
      <c r="Z753" s="33">
        <f>IF(Y753&gt;Store_Summary!$M$2,1,0)</f>
        <v>1</v>
      </c>
      <c r="AA753" s="33">
        <f>INDEX(Stores!$C$2:$C$21,MATCH(B753,Stores!$A$2:$A$21,0))</f>
        <v>792</v>
      </c>
      <c r="AB753" s="33">
        <f>IF(AA753&lt;180,1,0)</f>
        <v>0</v>
      </c>
      <c r="AC753" s="32" t="str">
        <f>IF(Orders!D750="","",INDEX(Riders!$C$2:$C$81,MATCH(Orders!D750,Riders!$A$2:$A$81,0)))</f>
        <v>EV scooter</v>
      </c>
      <c r="AD753" s="33">
        <f>IF(Orders!D750="","",INDEX(Riders!$D$2:$D$81,MATCH(Orders!D750,Riders!$A$2:$A$81,0)))</f>
        <v>1</v>
      </c>
      <c r="AE753" s="33">
        <f>IF(Orders!D750="","",IF(INDEX(Riders!$B$2:$B$81,MATCH(Orders!D750,Riders!$A$2:$A$81,0))=B753,1,0))</f>
        <v>1</v>
      </c>
      <c r="AF753" s="34">
        <f>IF(E753=1,Orders!L750,"")</f>
        <v>2.6</v>
      </c>
      <c r="AG753" s="34">
        <f>IF(E753=1,Orders!P750,"")</f>
        <v>11.4</v>
      </c>
      <c r="AH753" s="34">
        <f>IF(E753=1,Orders!Q750,"")</f>
        <v>24.2</v>
      </c>
      <c r="AI753" s="34">
        <f>IF(E753=1,Orders!M750,"")</f>
        <v>6.3</v>
      </c>
      <c r="AJ753" s="34">
        <f>IF(E753=1,Orders!N750,"")</f>
        <v>10</v>
      </c>
      <c r="AK753" s="34">
        <f>IF(E753=1,Orders!O750,"")</f>
        <v>7.8</v>
      </c>
      <c r="AL753" s="33">
        <f>IF(E753=1,IF(ROUND(ABS(AI753+AJ753+AK753-AH753),6)&lt;=0.1,1,0),"")</f>
        <v>1</v>
      </c>
      <c r="AM753" s="36">
        <f>IF(E753=1,AI753/AH753,"")</f>
        <v>0.260330578512397</v>
      </c>
      <c r="AN753" s="36">
        <f>IF(E753=1,AJ753/AH753,"")</f>
        <v>0.413223140495868</v>
      </c>
      <c r="AO753" s="36">
        <f>IF(E753=1,AK753/AH753,"")</f>
        <v>0.322314049586777</v>
      </c>
      <c r="AP753" s="34">
        <f>IF(E753=1,Orders!Y750,"")</f>
        <v>0.54</v>
      </c>
      <c r="AQ753" s="33">
        <f>IF(Orders!X750,1,0)</f>
        <v>0</v>
      </c>
      <c r="AR753" s="34" t="str">
        <f>IF(AND(E753=1,L753=1),AJ753,"")</f>
        <v/>
      </c>
      <c r="AS753" s="34">
        <f>IF(AND(E753=1,L753=0),AJ753,"")</f>
        <v>10</v>
      </c>
      <c r="AT753" s="34" t="str">
        <f>IF(AND(E753=1,L753=1),AI753,"")</f>
        <v/>
      </c>
      <c r="AU753" s="34">
        <f>IF(AND(E753=1,L753=0),AI753,"")</f>
        <v>6.3</v>
      </c>
      <c r="AV753" s="34" t="str">
        <f>IF(AND(E753=1,L753=1),AG753,"")</f>
        <v/>
      </c>
      <c r="AW753" s="34">
        <f>IF(AND(E753=1,L753=0),AG753,"")</f>
        <v>11.4</v>
      </c>
      <c r="AX753" s="34" t="str">
        <f>IF(AND(E753=1,L753=1),AH753,"")</f>
        <v/>
      </c>
      <c r="AY753" s="34">
        <f>IF(AND(E753=1,L753=0),AH753,"")</f>
        <v>24.2</v>
      </c>
      <c r="AZ753" s="34">
        <f>IF(G753=1,F753,"")</f>
        <v>12.8</v>
      </c>
      <c r="BA753" s="34" t="str">
        <f>IF(AND(G753=1,L753=1),F753,"")</f>
        <v/>
      </c>
      <c r="BB753" s="34">
        <f>IF(AND(G753=1,L753=0),F753,"")</f>
        <v>12.8</v>
      </c>
      <c r="BC753" s="33">
        <f>IF(E753=1,IF(Orders!R750&gt;3,1,0),"")</f>
        <v>1</v>
      </c>
      <c r="BD753" s="33">
        <f>IF(E753=1,IF(Orders!R750&gt;7,1,0),"")</f>
        <v>1</v>
      </c>
      <c r="BE753" s="32" t="str">
        <f>IF(E753=1,IF(Orders!L750&lt;=1.5,"Up to 1.5 km",IF(Orders!L750&lt;=3,"1.5–3 km","Over 3 km")),"")</f>
        <v>1.5–3 km</v>
      </c>
      <c r="BF753" s="33">
        <f>IF(E753=1,IF(ABS((Orders!G750-Orders!F750)*1440-Orders!R750)&lt;0.06,1,0),"")</f>
        <v>1</v>
      </c>
      <c r="BG753" s="33">
        <f>IF(ABS((Orders!F750-Orders!E750)*1440-Orders!P750)&lt;0.06,1,0)</f>
        <v>1</v>
      </c>
      <c r="BH753" s="33">
        <f>IF(E753=1,IF(IF(Orders!S750,1,0)=1-G753,1,0),"")</f>
        <v>1</v>
      </c>
      <c r="BI753" s="32" t="str">
        <f>INDEX(Stores!$B$2:$B$21,MATCH(B753,Stores!$A$2:$A$21,0))</f>
        <v>Bengaluru</v>
      </c>
    </row>
    <row r="754">
      <c r="A754" s="32" t="str">
        <f>Orders!A751</f>
        <v>O00750</v>
      </c>
      <c r="B754" s="32" t="str">
        <f>Orders!C751</f>
        <v>S009</v>
      </c>
      <c r="C754" s="32" t="str">
        <f>Orders!B751</f>
        <v>C0116</v>
      </c>
      <c r="D754" s="32" t="str">
        <f>Orders!H751</f>
        <v>Delivered</v>
      </c>
      <c r="E754" s="33">
        <f>IF(Orders!H751="Delivered",1,0)</f>
        <v>1</v>
      </c>
      <c r="F754" s="34">
        <f>IF(E754=1,Orders!R751,"")</f>
        <v>-2.9</v>
      </c>
      <c r="G754" s="33">
        <f>IF(E754=1,IF(Orders!R751&gt;0,1,0),"")</f>
        <v>0</v>
      </c>
      <c r="H754" s="33">
        <f>IF(E754=1,IF(Orders!R751&gt;5,1,0),"")</f>
        <v>0</v>
      </c>
      <c r="I754" s="32" t="str">
        <f>IF(E754=1,"",IF(OR(Orders!T751="Rider unavailable",Orders!T751="Item unavailable"),"Company-caused","Unresolved"))</f>
        <v/>
      </c>
      <c r="J754" s="33">
        <f>IF(OR(E754=1,I754="Company-caused"),1,0)</f>
        <v>1</v>
      </c>
      <c r="K754" s="32" t="str">
        <f>IF(E754=0,IF(I754="Company-caused",IF(Orders!T751="Rider unavailable","C1 Rider unavailable","C2 Item unavailable"),"Outside root: unresolved"),IF(G754=0,"A On time",IF(H754=1,IF(L754=1,"B2a Severe, peak","B2b Severe, off-peak"),IF(L754=1,"B1a Slight, peak","B1b Slight, off-peak"))))</f>
        <v>A On time</v>
      </c>
      <c r="L754" s="33">
        <f>IF(AND(Orders!U751&gt;=19,Orders!U751&lt;22),1,0)</f>
        <v>0</v>
      </c>
      <c r="M754" s="33">
        <f>IF(L754=IF(Orders!V751,1,0),1,0)</f>
        <v>1</v>
      </c>
      <c r="N754" s="32" t="str">
        <f>IF(Orders!W751="","None",Orders!W751)</f>
        <v>None</v>
      </c>
      <c r="O754" s="35">
        <f>INT(Orders!E751)</f>
        <v>46273.0</v>
      </c>
      <c r="P754" s="33">
        <f>Orders!U751</f>
        <v>18</v>
      </c>
      <c r="Q754" s="33">
        <f>COUNTIFS(Demand!$A$2:$A$4481,B754,Demand!$B$2:$B$4481,O754,Demand!$C$2:$C$4481,P754)</f>
        <v>1</v>
      </c>
      <c r="R754" s="33">
        <f>IF(Q754=1,SUMIFS(Demand!$E$2:$E$4481,Demand!$A$2:$A$4481,B754,Demand!$B$2:$B$4481,O754,Demand!$C$2:$C$4481,P754),"")</f>
        <v>25</v>
      </c>
      <c r="S754" s="33">
        <f>INDEX(Stores!$G$2:$G$21,MATCH(B754,Stores!$A$2:$A$21,0))</f>
        <v>29</v>
      </c>
      <c r="T754" s="34">
        <f>IF(R754="","",R754/S754)</f>
        <v>0.862068965517241</v>
      </c>
      <c r="U754" s="34">
        <f>IF(E754=1,T754,"")</f>
        <v>0.862068965517241</v>
      </c>
      <c r="V754" s="34">
        <f>IF(AND(E754=1,L754=0),T754,"")</f>
        <v>0.862068965517241</v>
      </c>
      <c r="W754" s="33">
        <f>IF(U754="","",IF(U754&lt;=Breakdowns!$C$5,1,IF(U754&lt;=Breakdowns!$C$6,2,IF(U754&lt;=Breakdowns!$C$7,3,4))))</f>
        <v>2</v>
      </c>
      <c r="X754" s="33">
        <f>IF(V754="","",IF(V754&lt;=Breakdowns!$D$5,1,IF(V754&lt;=Breakdowns!$D$6,2,IF(V754&lt;=Breakdowns!$D$7,3,4))))</f>
        <v>2</v>
      </c>
      <c r="Y754" s="34">
        <f>INDEX(Stores!$F$2:$F$21,MATCH(B754,Stores!$A$2:$A$21,0))</f>
        <v>2.66</v>
      </c>
      <c r="Z754" s="33">
        <f>IF(Y754&gt;Store_Summary!$M$2,1,0)</f>
        <v>0</v>
      </c>
      <c r="AA754" s="33">
        <f>INDEX(Stores!$C$2:$C$21,MATCH(B754,Stores!$A$2:$A$21,0))</f>
        <v>645</v>
      </c>
      <c r="AB754" s="33">
        <f>IF(AA754&lt;180,1,0)</f>
        <v>0</v>
      </c>
      <c r="AC754" s="32" t="str">
        <f>IF(Orders!D751="","",INDEX(Riders!$C$2:$C$81,MATCH(Orders!D751,Riders!$A$2:$A$81,0)))</f>
        <v>EV scooter</v>
      </c>
      <c r="AD754" s="33">
        <f>IF(Orders!D751="","",INDEX(Riders!$D$2:$D$81,MATCH(Orders!D751,Riders!$A$2:$A$81,0)))</f>
        <v>11</v>
      </c>
      <c r="AE754" s="33">
        <f>IF(Orders!D751="","",IF(INDEX(Riders!$B$2:$B$81,MATCH(Orders!D751,Riders!$A$2:$A$81,0))=B754,1,0))</f>
        <v>0</v>
      </c>
      <c r="AF754" s="34">
        <f>IF(E754=1,Orders!L751,"")</f>
        <v>1.53</v>
      </c>
      <c r="AG754" s="34">
        <f>IF(E754=1,Orders!P751,"")</f>
        <v>12.4</v>
      </c>
      <c r="AH754" s="34">
        <f>IF(E754=1,Orders!Q751,"")</f>
        <v>9.5</v>
      </c>
      <c r="AI754" s="34">
        <f>IF(E754=1,Orders!M751,"")</f>
        <v>4.3</v>
      </c>
      <c r="AJ754" s="34">
        <f>IF(E754=1,Orders!N751,"")</f>
        <v>0.8</v>
      </c>
      <c r="AK754" s="34">
        <f>IF(E754=1,Orders!O751,"")</f>
        <v>4.4</v>
      </c>
      <c r="AL754" s="33">
        <f>IF(E754=1,IF(ROUND(ABS(AI754+AJ754+AK754-AH754),6)&lt;=0.1,1,0),"")</f>
        <v>1</v>
      </c>
      <c r="AM754" s="36">
        <f>IF(E754=1,AI754/AH754,"")</f>
        <v>0.452631578947368</v>
      </c>
      <c r="AN754" s="36">
        <f>IF(E754=1,AJ754/AH754,"")</f>
        <v>0.0842105263157895</v>
      </c>
      <c r="AO754" s="36">
        <f>IF(E754=1,AK754/AH754,"")</f>
        <v>0.463157894736842</v>
      </c>
      <c r="AP754" s="34">
        <f>IF(E754=1,Orders!Y751,"")</f>
        <v>0.42</v>
      </c>
      <c r="AQ754" s="33">
        <f>IF(Orders!X751,1,0)</f>
        <v>1</v>
      </c>
      <c r="AR754" s="34" t="str">
        <f>IF(AND(E754=1,L754=1),AJ754,"")</f>
        <v/>
      </c>
      <c r="AS754" s="34">
        <f>IF(AND(E754=1,L754=0),AJ754,"")</f>
        <v>0.8</v>
      </c>
      <c r="AT754" s="34" t="str">
        <f>IF(AND(E754=1,L754=1),AI754,"")</f>
        <v/>
      </c>
      <c r="AU754" s="34">
        <f>IF(AND(E754=1,L754=0),AI754,"")</f>
        <v>4.3</v>
      </c>
      <c r="AV754" s="34" t="str">
        <f>IF(AND(E754=1,L754=1),AG754,"")</f>
        <v/>
      </c>
      <c r="AW754" s="34">
        <f>IF(AND(E754=1,L754=0),AG754,"")</f>
        <v>12.4</v>
      </c>
      <c r="AX754" s="34" t="str">
        <f>IF(AND(E754=1,L754=1),AH754,"")</f>
        <v/>
      </c>
      <c r="AY754" s="34">
        <f>IF(AND(E754=1,L754=0),AH754,"")</f>
        <v>9.5</v>
      </c>
      <c r="AZ754" s="34" t="str">
        <f>IF(G754=1,F754,"")</f>
        <v/>
      </c>
      <c r="BA754" s="34" t="str">
        <f>IF(AND(G754=1,L754=1),F754,"")</f>
        <v/>
      </c>
      <c r="BB754" s="34" t="str">
        <f>IF(AND(G754=1,L754=0),F754,"")</f>
        <v/>
      </c>
      <c r="BC754" s="33">
        <f>IF(E754=1,IF(Orders!R751&gt;3,1,0),"")</f>
        <v>0</v>
      </c>
      <c r="BD754" s="33">
        <f>IF(E754=1,IF(Orders!R751&gt;7,1,0),"")</f>
        <v>0</v>
      </c>
      <c r="BE754" s="32" t="str">
        <f>IF(E754=1,IF(Orders!L751&lt;=1.5,"Up to 1.5 km",IF(Orders!L751&lt;=3,"1.5–3 km","Over 3 km")),"")</f>
        <v>1.5–3 km</v>
      </c>
      <c r="BF754" s="33">
        <f>IF(E754=1,IF(ABS((Orders!G751-Orders!F751)*1440-Orders!R751)&lt;0.06,1,0),"")</f>
        <v>1</v>
      </c>
      <c r="BG754" s="33">
        <f>IF(ABS((Orders!F751-Orders!E751)*1440-Orders!P751)&lt;0.06,1,0)</f>
        <v>1</v>
      </c>
      <c r="BH754" s="33">
        <f>IF(E754=1,IF(IF(Orders!S751,1,0)=1-G754,1,0),"")</f>
        <v>1</v>
      </c>
      <c r="BI754" s="32" t="str">
        <f>INDEX(Stores!$B$2:$B$21,MATCH(B754,Stores!$A$2:$A$21,0))</f>
        <v>Pune</v>
      </c>
    </row>
    <row r="755">
      <c r="A755" s="32" t="str">
        <f>Orders!A752</f>
        <v>O00751</v>
      </c>
      <c r="B755" s="32" t="str">
        <f>Orders!C752</f>
        <v>S004</v>
      </c>
      <c r="C755" s="32" t="str">
        <f>Orders!B752</f>
        <v>C0123</v>
      </c>
      <c r="D755" s="32" t="str">
        <f>Orders!H752</f>
        <v>Delivered</v>
      </c>
      <c r="E755" s="33">
        <f>IF(Orders!H752="Delivered",1,0)</f>
        <v>1</v>
      </c>
      <c r="F755" s="34">
        <f>IF(E755=1,Orders!R752,"")</f>
        <v>-1.7</v>
      </c>
      <c r="G755" s="33">
        <f>IF(E755=1,IF(Orders!R752&gt;0,1,0),"")</f>
        <v>0</v>
      </c>
      <c r="H755" s="33">
        <f>IF(E755=1,IF(Orders!R752&gt;5,1,0),"")</f>
        <v>0</v>
      </c>
      <c r="I755" s="32" t="str">
        <f>IF(E755=1,"",IF(OR(Orders!T752="Rider unavailable",Orders!T752="Item unavailable"),"Company-caused","Unresolved"))</f>
        <v/>
      </c>
      <c r="J755" s="33">
        <f>IF(OR(E755=1,I755="Company-caused"),1,0)</f>
        <v>1</v>
      </c>
      <c r="K755" s="32" t="str">
        <f>IF(E755=0,IF(I755="Company-caused",IF(Orders!T752="Rider unavailable","C1 Rider unavailable","C2 Item unavailable"),"Outside root: unresolved"),IF(G755=0,"A On time",IF(H755=1,IF(L755=1,"B2a Severe, peak","B2b Severe, off-peak"),IF(L755=1,"B1a Slight, peak","B1b Slight, off-peak"))))</f>
        <v>A On time</v>
      </c>
      <c r="L755" s="33">
        <f>IF(AND(Orders!U752&gt;=19,Orders!U752&lt;22),1,0)</f>
        <v>0</v>
      </c>
      <c r="M755" s="33">
        <f>IF(L755=IF(Orders!V752,1,0),1,0)</f>
        <v>1</v>
      </c>
      <c r="N755" s="32" t="str">
        <f>IF(Orders!W752="","None",Orders!W752)</f>
        <v>None</v>
      </c>
      <c r="O755" s="35">
        <f>INT(Orders!E752)</f>
        <v>46275.0</v>
      </c>
      <c r="P755" s="33">
        <f>Orders!U752</f>
        <v>11</v>
      </c>
      <c r="Q755" s="33">
        <f>COUNTIFS(Demand!$A$2:$A$4481,B755,Demand!$B$2:$B$4481,O755,Demand!$C$2:$C$4481,P755)</f>
        <v>1</v>
      </c>
      <c r="R755" s="33">
        <f>IF(Q755=1,SUMIFS(Demand!$E$2:$E$4481,Demand!$A$2:$A$4481,B755,Demand!$B$2:$B$4481,O755,Demand!$C$2:$C$4481,P755),"")</f>
        <v>49</v>
      </c>
      <c r="S755" s="33">
        <f>INDEX(Stores!$G$2:$G$21,MATCH(B755,Stores!$A$2:$A$21,0))</f>
        <v>42</v>
      </c>
      <c r="T755" s="34">
        <f>IF(R755="","",R755/S755)</f>
        <v>1.16666666666667</v>
      </c>
      <c r="U755" s="34">
        <f>IF(E755=1,T755,"")</f>
        <v>1.16666666666667</v>
      </c>
      <c r="V755" s="34">
        <f>IF(AND(E755=1,L755=0),T755,"")</f>
        <v>1.16666666666667</v>
      </c>
      <c r="W755" s="33">
        <f>IF(U755="","",IF(U755&lt;=Breakdowns!$C$5,1,IF(U755&lt;=Breakdowns!$C$6,2,IF(U755&lt;=Breakdowns!$C$7,3,4))))</f>
        <v>3</v>
      </c>
      <c r="X755" s="33">
        <f>IF(V755="","",IF(V755&lt;=Breakdowns!$D$5,1,IF(V755&lt;=Breakdowns!$D$6,2,IF(V755&lt;=Breakdowns!$D$7,3,4))))</f>
        <v>4</v>
      </c>
      <c r="Y755" s="34">
        <f>INDEX(Stores!$F$2:$F$21,MATCH(B755,Stores!$A$2:$A$21,0))</f>
        <v>2.19</v>
      </c>
      <c r="Z755" s="33">
        <f>IF(Y755&gt;Store_Summary!$M$2,1,0)</f>
        <v>0</v>
      </c>
      <c r="AA755" s="33">
        <f>INDEX(Stores!$C$2:$C$21,MATCH(B755,Stores!$A$2:$A$21,0))</f>
        <v>850</v>
      </c>
      <c r="AB755" s="33">
        <f>IF(AA755&lt;180,1,0)</f>
        <v>0</v>
      </c>
      <c r="AC755" s="32" t="str">
        <f>IF(Orders!D752="","",INDEX(Riders!$C$2:$C$81,MATCH(Orders!D752,Riders!$A$2:$A$81,0)))</f>
        <v>Petrol scooter</v>
      </c>
      <c r="AD755" s="33">
        <f>IF(Orders!D752="","",INDEX(Riders!$D$2:$D$81,MATCH(Orders!D752,Riders!$A$2:$A$81,0)))</f>
        <v>24</v>
      </c>
      <c r="AE755" s="33">
        <f>IF(Orders!D752="","",IF(INDEX(Riders!$B$2:$B$81,MATCH(Orders!D752,Riders!$A$2:$A$81,0))=B755,1,0))</f>
        <v>0</v>
      </c>
      <c r="AF755" s="34">
        <f>IF(E755=1,Orders!L752,"")</f>
        <v>0.74</v>
      </c>
      <c r="AG755" s="34">
        <f>IF(E755=1,Orders!P752,"")</f>
        <v>9.3</v>
      </c>
      <c r="AH755" s="34">
        <f>IF(E755=1,Orders!Q752,"")</f>
        <v>7.6</v>
      </c>
      <c r="AI755" s="34">
        <f>IF(E755=1,Orders!M752,"")</f>
        <v>1</v>
      </c>
      <c r="AJ755" s="34">
        <f>IF(E755=1,Orders!N752,"")</f>
        <v>4.1</v>
      </c>
      <c r="AK755" s="34">
        <f>IF(E755=1,Orders!O752,"")</f>
        <v>2.5</v>
      </c>
      <c r="AL755" s="33">
        <f>IF(E755=1,IF(ROUND(ABS(AI755+AJ755+AK755-AH755),6)&lt;=0.1,1,0),"")</f>
        <v>1</v>
      </c>
      <c r="AM755" s="36">
        <f>IF(E755=1,AI755/AH755,"")</f>
        <v>0.131578947368421</v>
      </c>
      <c r="AN755" s="36">
        <f>IF(E755=1,AJ755/AH755,"")</f>
        <v>0.539473684210526</v>
      </c>
      <c r="AO755" s="36">
        <f>IF(E755=1,AK755/AH755,"")</f>
        <v>0.328947368421053</v>
      </c>
      <c r="AP755" s="34">
        <f>IF(E755=1,Orders!Y752,"")</f>
        <v>0.33</v>
      </c>
      <c r="AQ755" s="33">
        <f>IF(Orders!X752,1,0)</f>
        <v>0</v>
      </c>
      <c r="AR755" s="34" t="str">
        <f>IF(AND(E755=1,L755=1),AJ755,"")</f>
        <v/>
      </c>
      <c r="AS755" s="34">
        <f>IF(AND(E755=1,L755=0),AJ755,"")</f>
        <v>4.1</v>
      </c>
      <c r="AT755" s="34" t="str">
        <f>IF(AND(E755=1,L755=1),AI755,"")</f>
        <v/>
      </c>
      <c r="AU755" s="34">
        <f>IF(AND(E755=1,L755=0),AI755,"")</f>
        <v>1</v>
      </c>
      <c r="AV755" s="34" t="str">
        <f>IF(AND(E755=1,L755=1),AG755,"")</f>
        <v/>
      </c>
      <c r="AW755" s="34">
        <f>IF(AND(E755=1,L755=0),AG755,"")</f>
        <v>9.3</v>
      </c>
      <c r="AX755" s="34" t="str">
        <f>IF(AND(E755=1,L755=1),AH755,"")</f>
        <v/>
      </c>
      <c r="AY755" s="34">
        <f>IF(AND(E755=1,L755=0),AH755,"")</f>
        <v>7.6</v>
      </c>
      <c r="AZ755" s="34" t="str">
        <f>IF(G755=1,F755,"")</f>
        <v/>
      </c>
      <c r="BA755" s="34" t="str">
        <f>IF(AND(G755=1,L755=1),F755,"")</f>
        <v/>
      </c>
      <c r="BB755" s="34" t="str">
        <f>IF(AND(G755=1,L755=0),F755,"")</f>
        <v/>
      </c>
      <c r="BC755" s="33">
        <f>IF(E755=1,IF(Orders!R752&gt;3,1,0),"")</f>
        <v>0</v>
      </c>
      <c r="BD755" s="33">
        <f>IF(E755=1,IF(Orders!R752&gt;7,1,0),"")</f>
        <v>0</v>
      </c>
      <c r="BE755" s="32" t="str">
        <f>IF(E755=1,IF(Orders!L752&lt;=1.5,"Up to 1.5 km",IF(Orders!L752&lt;=3,"1.5–3 km","Over 3 km")),"")</f>
        <v>Up to 1.5 km</v>
      </c>
      <c r="BF755" s="33">
        <f>IF(E755=1,IF(ABS((Orders!G752-Orders!F752)*1440-Orders!R752)&lt;0.06,1,0),"")</f>
        <v>1</v>
      </c>
      <c r="BG755" s="33">
        <f>IF(ABS((Orders!F752-Orders!E752)*1440-Orders!P752)&lt;0.06,1,0)</f>
        <v>1</v>
      </c>
      <c r="BH755" s="33">
        <f>IF(E755=1,IF(IF(Orders!S752,1,0)=1-G755,1,0),"")</f>
        <v>1</v>
      </c>
      <c r="BI755" s="32" t="str">
        <f>INDEX(Stores!$B$2:$B$21,MATCH(B755,Stores!$A$2:$A$21,0))</f>
        <v>Pune</v>
      </c>
    </row>
    <row r="756">
      <c r="A756" s="32" t="str">
        <f>Orders!A753</f>
        <v>O00752</v>
      </c>
      <c r="B756" s="32" t="str">
        <f>Orders!C753</f>
        <v>S015</v>
      </c>
      <c r="C756" s="32" t="str">
        <f>Orders!B753</f>
        <v>C0147</v>
      </c>
      <c r="D756" s="32" t="str">
        <f>Orders!H753</f>
        <v>Delivered</v>
      </c>
      <c r="E756" s="33">
        <f>IF(Orders!H753="Delivered",1,0)</f>
        <v>1</v>
      </c>
      <c r="F756" s="34">
        <f>IF(E756=1,Orders!R753,"")</f>
        <v>-0.9</v>
      </c>
      <c r="G756" s="33">
        <f>IF(E756=1,IF(Orders!R753&gt;0,1,0),"")</f>
        <v>0</v>
      </c>
      <c r="H756" s="33">
        <f>IF(E756=1,IF(Orders!R753&gt;5,1,0),"")</f>
        <v>0</v>
      </c>
      <c r="I756" s="32" t="str">
        <f>IF(E756=1,"",IF(OR(Orders!T753="Rider unavailable",Orders!T753="Item unavailable"),"Company-caused","Unresolved"))</f>
        <v/>
      </c>
      <c r="J756" s="33">
        <f>IF(OR(E756=1,I756="Company-caused"),1,0)</f>
        <v>1</v>
      </c>
      <c r="K756" s="32" t="str">
        <f>IF(E756=0,IF(I756="Company-caused",IF(Orders!T753="Rider unavailable","C1 Rider unavailable","C2 Item unavailable"),"Outside root: unresolved"),IF(G756=0,"A On time",IF(H756=1,IF(L756=1,"B2a Severe, peak","B2b Severe, off-peak"),IF(L756=1,"B1a Slight, peak","B1b Slight, off-peak"))))</f>
        <v>A On time</v>
      </c>
      <c r="L756" s="33">
        <f>IF(AND(Orders!U753&gt;=19,Orders!U753&lt;22),1,0)</f>
        <v>0</v>
      </c>
      <c r="M756" s="33">
        <f>IF(L756=IF(Orders!V753,1,0),1,0)</f>
        <v>1</v>
      </c>
      <c r="N756" s="32" t="str">
        <f>IF(Orders!W753="","None",Orders!W753)</f>
        <v>Light</v>
      </c>
      <c r="O756" s="35">
        <f>INT(Orders!E753)</f>
        <v>46267.0</v>
      </c>
      <c r="P756" s="33">
        <f>Orders!U753</f>
        <v>22</v>
      </c>
      <c r="Q756" s="33">
        <f>COUNTIFS(Demand!$A$2:$A$4481,B756,Demand!$B$2:$B$4481,O756,Demand!$C$2:$C$4481,P756)</f>
        <v>1</v>
      </c>
      <c r="R756" s="33">
        <f>IF(Q756=1,SUMIFS(Demand!$E$2:$E$4481,Demand!$A$2:$A$4481,B756,Demand!$B$2:$B$4481,O756,Demand!$C$2:$C$4481,P756),"")</f>
        <v>27</v>
      </c>
      <c r="S756" s="33">
        <f>INDEX(Stores!$G$2:$G$21,MATCH(B756,Stores!$A$2:$A$21,0))</f>
        <v>23</v>
      </c>
      <c r="T756" s="34">
        <f>IF(R756="","",R756/S756)</f>
        <v>1.17391304347826</v>
      </c>
      <c r="U756" s="34">
        <f>IF(E756=1,T756,"")</f>
        <v>1.17391304347826</v>
      </c>
      <c r="V756" s="34">
        <f>IF(AND(E756=1,L756=0),T756,"")</f>
        <v>1.17391304347826</v>
      </c>
      <c r="W756" s="33">
        <f>IF(U756="","",IF(U756&lt;=Breakdowns!$C$5,1,IF(U756&lt;=Breakdowns!$C$6,2,IF(U756&lt;=Breakdowns!$C$7,3,4))))</f>
        <v>3</v>
      </c>
      <c r="X756" s="33">
        <f>IF(V756="","",IF(V756&lt;=Breakdowns!$D$5,1,IF(V756&lt;=Breakdowns!$D$6,2,IF(V756&lt;=Breakdowns!$D$7,3,4))))</f>
        <v>4</v>
      </c>
      <c r="Y756" s="34">
        <f>INDEX(Stores!$F$2:$F$21,MATCH(B756,Stores!$A$2:$A$21,0))</f>
        <v>4.66</v>
      </c>
      <c r="Z756" s="33">
        <f>IF(Y756&gt;Store_Summary!$M$2,1,0)</f>
        <v>0</v>
      </c>
      <c r="AA756" s="33">
        <f>INDEX(Stores!$C$2:$C$21,MATCH(B756,Stores!$A$2:$A$21,0))</f>
        <v>204</v>
      </c>
      <c r="AB756" s="33">
        <f>IF(AA756&lt;180,1,0)</f>
        <v>0</v>
      </c>
      <c r="AC756" s="32" t="str">
        <f>IF(Orders!D753="","",INDEX(Riders!$C$2:$C$81,MATCH(Orders!D753,Riders!$A$2:$A$81,0)))</f>
        <v>EV scooter</v>
      </c>
      <c r="AD756" s="33">
        <f>IF(Orders!D753="","",INDEX(Riders!$D$2:$D$81,MATCH(Orders!D753,Riders!$A$2:$A$81,0)))</f>
        <v>38</v>
      </c>
      <c r="AE756" s="33">
        <f>IF(Orders!D753="","",IF(INDEX(Riders!$B$2:$B$81,MATCH(Orders!D753,Riders!$A$2:$A$81,0))=B756,1,0))</f>
        <v>0</v>
      </c>
      <c r="AF756" s="34">
        <f>IF(E756=1,Orders!L753,"")</f>
        <v>0.73</v>
      </c>
      <c r="AG756" s="34">
        <f>IF(E756=1,Orders!P753,"")</f>
        <v>11.1</v>
      </c>
      <c r="AH756" s="34">
        <f>IF(E756=1,Orders!Q753,"")</f>
        <v>10.2</v>
      </c>
      <c r="AI756" s="34">
        <f>IF(E756=1,Orders!M753,"")</f>
        <v>3.5</v>
      </c>
      <c r="AJ756" s="34">
        <f>IF(E756=1,Orders!N753,"")</f>
        <v>4.8</v>
      </c>
      <c r="AK756" s="34">
        <f>IF(E756=1,Orders!O753,"")</f>
        <v>1.9</v>
      </c>
      <c r="AL756" s="33">
        <f>IF(E756=1,IF(ROUND(ABS(AI756+AJ756+AK756-AH756),6)&lt;=0.1,1,0),"")</f>
        <v>1</v>
      </c>
      <c r="AM756" s="36">
        <f>IF(E756=1,AI756/AH756,"")</f>
        <v>0.343137254901961</v>
      </c>
      <c r="AN756" s="36">
        <f>IF(E756=1,AJ756/AH756,"")</f>
        <v>0.470588235294118</v>
      </c>
      <c r="AO756" s="36">
        <f>IF(E756=1,AK756/AH756,"")</f>
        <v>0.186274509803922</v>
      </c>
      <c r="AP756" s="34">
        <f>IF(E756=1,Orders!Y753,"")</f>
        <v>0.19</v>
      </c>
      <c r="AQ756" s="33">
        <f>IF(Orders!X753,1,0)</f>
        <v>0</v>
      </c>
      <c r="AR756" s="34" t="str">
        <f>IF(AND(E756=1,L756=1),AJ756,"")</f>
        <v/>
      </c>
      <c r="AS756" s="34">
        <f>IF(AND(E756=1,L756=0),AJ756,"")</f>
        <v>4.8</v>
      </c>
      <c r="AT756" s="34" t="str">
        <f>IF(AND(E756=1,L756=1),AI756,"")</f>
        <v/>
      </c>
      <c r="AU756" s="34">
        <f>IF(AND(E756=1,L756=0),AI756,"")</f>
        <v>3.5</v>
      </c>
      <c r="AV756" s="34" t="str">
        <f>IF(AND(E756=1,L756=1),AG756,"")</f>
        <v/>
      </c>
      <c r="AW756" s="34">
        <f>IF(AND(E756=1,L756=0),AG756,"")</f>
        <v>11.1</v>
      </c>
      <c r="AX756" s="34" t="str">
        <f>IF(AND(E756=1,L756=1),AH756,"")</f>
        <v/>
      </c>
      <c r="AY756" s="34">
        <f>IF(AND(E756=1,L756=0),AH756,"")</f>
        <v>10.2</v>
      </c>
      <c r="AZ756" s="34" t="str">
        <f>IF(G756=1,F756,"")</f>
        <v/>
      </c>
      <c r="BA756" s="34" t="str">
        <f>IF(AND(G756=1,L756=1),F756,"")</f>
        <v/>
      </c>
      <c r="BB756" s="34" t="str">
        <f>IF(AND(G756=1,L756=0),F756,"")</f>
        <v/>
      </c>
      <c r="BC756" s="33">
        <f>IF(E756=1,IF(Orders!R753&gt;3,1,0),"")</f>
        <v>0</v>
      </c>
      <c r="BD756" s="33">
        <f>IF(E756=1,IF(Orders!R753&gt;7,1,0),"")</f>
        <v>0</v>
      </c>
      <c r="BE756" s="32" t="str">
        <f>IF(E756=1,IF(Orders!L753&lt;=1.5,"Up to 1.5 km",IF(Orders!L753&lt;=3,"1.5–3 km","Over 3 km")),"")</f>
        <v>Up to 1.5 km</v>
      </c>
      <c r="BF756" s="33">
        <f>IF(E756=1,IF(ABS((Orders!G753-Orders!F753)*1440-Orders!R753)&lt;0.06,1,0),"")</f>
        <v>1</v>
      </c>
      <c r="BG756" s="33">
        <f>IF(ABS((Orders!F753-Orders!E753)*1440-Orders!P753)&lt;0.06,1,0)</f>
        <v>1</v>
      </c>
      <c r="BH756" s="33">
        <f>IF(E756=1,IF(IF(Orders!S753,1,0)=1-G756,1,0),"")</f>
        <v>1</v>
      </c>
      <c r="BI756" s="32" t="str">
        <f>INDEX(Stores!$B$2:$B$21,MATCH(B756,Stores!$A$2:$A$21,0))</f>
        <v>Delhi</v>
      </c>
    </row>
    <row r="757">
      <c r="A757" s="32" t="str">
        <f>Orders!A754</f>
        <v>O00753</v>
      </c>
      <c r="B757" s="32" t="str">
        <f>Orders!C754</f>
        <v>S015</v>
      </c>
      <c r="C757" s="32" t="str">
        <f>Orders!B754</f>
        <v>C0122</v>
      </c>
      <c r="D757" s="32" t="str">
        <f>Orders!H754</f>
        <v>Delivered</v>
      </c>
      <c r="E757" s="33">
        <f>IF(Orders!H754="Delivered",1,0)</f>
        <v>1</v>
      </c>
      <c r="F757" s="34">
        <f>IF(E757=1,Orders!R754,"")</f>
        <v>-0.3</v>
      </c>
      <c r="G757" s="33">
        <f>IF(E757=1,IF(Orders!R754&gt;0,1,0),"")</f>
        <v>0</v>
      </c>
      <c r="H757" s="33">
        <f>IF(E757=1,IF(Orders!R754&gt;5,1,0),"")</f>
        <v>0</v>
      </c>
      <c r="I757" s="32" t="str">
        <f>IF(E757=1,"",IF(OR(Orders!T754="Rider unavailable",Orders!T754="Item unavailable"),"Company-caused","Unresolved"))</f>
        <v/>
      </c>
      <c r="J757" s="33">
        <f>IF(OR(E757=1,I757="Company-caused"),1,0)</f>
        <v>1</v>
      </c>
      <c r="K757" s="32" t="str">
        <f>IF(E757=0,IF(I757="Company-caused",IF(Orders!T754="Rider unavailable","C1 Rider unavailable","C2 Item unavailable"),"Outside root: unresolved"),IF(G757=0,"A On time",IF(H757=1,IF(L757=1,"B2a Severe, peak","B2b Severe, off-peak"),IF(L757=1,"B1a Slight, peak","B1b Slight, off-peak"))))</f>
        <v>A On time</v>
      </c>
      <c r="L757" s="33">
        <f>IF(AND(Orders!U754&gt;=19,Orders!U754&lt;22),1,0)</f>
        <v>0</v>
      </c>
      <c r="M757" s="33">
        <f>IF(L757=IF(Orders!V754,1,0),1,0)</f>
        <v>1</v>
      </c>
      <c r="N757" s="32" t="str">
        <f>IF(Orders!W754="","None",Orders!W754)</f>
        <v>Heavy</v>
      </c>
      <c r="O757" s="35">
        <f>INT(Orders!E754)</f>
        <v>46275.0</v>
      </c>
      <c r="P757" s="33">
        <f>Orders!U754</f>
        <v>16</v>
      </c>
      <c r="Q757" s="33">
        <f>COUNTIFS(Demand!$A$2:$A$4481,B757,Demand!$B$2:$B$4481,O757,Demand!$C$2:$C$4481,P757)</f>
        <v>1</v>
      </c>
      <c r="R757" s="33">
        <f>IF(Q757=1,SUMIFS(Demand!$E$2:$E$4481,Demand!$A$2:$A$4481,B757,Demand!$B$2:$B$4481,O757,Demand!$C$2:$C$4481,P757),"")</f>
        <v>16</v>
      </c>
      <c r="S757" s="33">
        <f>INDEX(Stores!$G$2:$G$21,MATCH(B757,Stores!$A$2:$A$21,0))</f>
        <v>23</v>
      </c>
      <c r="T757" s="34">
        <f>IF(R757="","",R757/S757)</f>
        <v>0.695652173913044</v>
      </c>
      <c r="U757" s="34">
        <f>IF(E757=1,T757,"")</f>
        <v>0.695652173913044</v>
      </c>
      <c r="V757" s="34">
        <f>IF(AND(E757=1,L757=0),T757,"")</f>
        <v>0.695652173913044</v>
      </c>
      <c r="W757" s="33">
        <f>IF(U757="","",IF(U757&lt;=Breakdowns!$C$5,1,IF(U757&lt;=Breakdowns!$C$6,2,IF(U757&lt;=Breakdowns!$C$7,3,4))))</f>
        <v>1</v>
      </c>
      <c r="X757" s="33">
        <f>IF(V757="","",IF(V757&lt;=Breakdowns!$D$5,1,IF(V757&lt;=Breakdowns!$D$6,2,IF(V757&lt;=Breakdowns!$D$7,3,4))))</f>
        <v>1</v>
      </c>
      <c r="Y757" s="34">
        <f>INDEX(Stores!$F$2:$F$21,MATCH(B757,Stores!$A$2:$A$21,0))</f>
        <v>4.66</v>
      </c>
      <c r="Z757" s="33">
        <f>IF(Y757&gt;Store_Summary!$M$2,1,0)</f>
        <v>0</v>
      </c>
      <c r="AA757" s="33">
        <f>INDEX(Stores!$C$2:$C$21,MATCH(B757,Stores!$A$2:$A$21,0))</f>
        <v>204</v>
      </c>
      <c r="AB757" s="33">
        <f>IF(AA757&lt;180,1,0)</f>
        <v>0</v>
      </c>
      <c r="AC757" s="32" t="str">
        <f>IF(Orders!D754="","",INDEX(Riders!$C$2:$C$81,MATCH(Orders!D754,Riders!$A$2:$A$81,0)))</f>
        <v>EV scooter</v>
      </c>
      <c r="AD757" s="33">
        <f>IF(Orders!D754="","",INDEX(Riders!$D$2:$D$81,MATCH(Orders!D754,Riders!$A$2:$A$81,0)))</f>
        <v>39</v>
      </c>
      <c r="AE757" s="33">
        <f>IF(Orders!D754="","",IF(INDEX(Riders!$B$2:$B$81,MATCH(Orders!D754,Riders!$A$2:$A$81,0))=B757,1,0))</f>
        <v>0</v>
      </c>
      <c r="AF757" s="34">
        <f>IF(E757=1,Orders!L754,"")</f>
        <v>4.6</v>
      </c>
      <c r="AG757" s="34">
        <f>IF(E757=1,Orders!P754,"")</f>
        <v>11.3</v>
      </c>
      <c r="AH757" s="34">
        <f>IF(E757=1,Orders!Q754,"")</f>
        <v>11</v>
      </c>
      <c r="AI757" s="34">
        <f>IF(E757=1,Orders!M754,"")</f>
        <v>2.3</v>
      </c>
      <c r="AJ757" s="34">
        <f>IF(E757=1,Orders!N754,"")</f>
        <v>1.9</v>
      </c>
      <c r="AK757" s="34">
        <f>IF(E757=1,Orders!O754,"")</f>
        <v>6.8</v>
      </c>
      <c r="AL757" s="33">
        <f>IF(E757=1,IF(ROUND(ABS(AI757+AJ757+AK757-AH757),6)&lt;=0.1,1,0),"")</f>
        <v>1</v>
      </c>
      <c r="AM757" s="36">
        <f>IF(E757=1,AI757/AH757,"")</f>
        <v>0.209090909090909</v>
      </c>
      <c r="AN757" s="36">
        <f>IF(E757=1,AJ757/AH757,"")</f>
        <v>0.172727272727273</v>
      </c>
      <c r="AO757" s="36">
        <f>IF(E757=1,AK757/AH757,"")</f>
        <v>0.618181818181818</v>
      </c>
      <c r="AP757" s="34">
        <f>IF(E757=1,Orders!Y754,"")</f>
        <v>0.57</v>
      </c>
      <c r="AQ757" s="33">
        <f>IF(Orders!X754,1,0)</f>
        <v>0</v>
      </c>
      <c r="AR757" s="34" t="str">
        <f>IF(AND(E757=1,L757=1),AJ757,"")</f>
        <v/>
      </c>
      <c r="AS757" s="34">
        <f>IF(AND(E757=1,L757=0),AJ757,"")</f>
        <v>1.9</v>
      </c>
      <c r="AT757" s="34" t="str">
        <f>IF(AND(E757=1,L757=1),AI757,"")</f>
        <v/>
      </c>
      <c r="AU757" s="34">
        <f>IF(AND(E757=1,L757=0),AI757,"")</f>
        <v>2.3</v>
      </c>
      <c r="AV757" s="34" t="str">
        <f>IF(AND(E757=1,L757=1),AG757,"")</f>
        <v/>
      </c>
      <c r="AW757" s="34">
        <f>IF(AND(E757=1,L757=0),AG757,"")</f>
        <v>11.3</v>
      </c>
      <c r="AX757" s="34" t="str">
        <f>IF(AND(E757=1,L757=1),AH757,"")</f>
        <v/>
      </c>
      <c r="AY757" s="34">
        <f>IF(AND(E757=1,L757=0),AH757,"")</f>
        <v>11</v>
      </c>
      <c r="AZ757" s="34" t="str">
        <f>IF(G757=1,F757,"")</f>
        <v/>
      </c>
      <c r="BA757" s="34" t="str">
        <f>IF(AND(G757=1,L757=1),F757,"")</f>
        <v/>
      </c>
      <c r="BB757" s="34" t="str">
        <f>IF(AND(G757=1,L757=0),F757,"")</f>
        <v/>
      </c>
      <c r="BC757" s="33">
        <f>IF(E757=1,IF(Orders!R754&gt;3,1,0),"")</f>
        <v>0</v>
      </c>
      <c r="BD757" s="33">
        <f>IF(E757=1,IF(Orders!R754&gt;7,1,0),"")</f>
        <v>0</v>
      </c>
      <c r="BE757" s="32" t="str">
        <f>IF(E757=1,IF(Orders!L754&lt;=1.5,"Up to 1.5 km",IF(Orders!L754&lt;=3,"1.5–3 km","Over 3 km")),"")</f>
        <v>Over 3 km</v>
      </c>
      <c r="BF757" s="33">
        <f>IF(E757=1,IF(ABS((Orders!G754-Orders!F754)*1440-Orders!R754)&lt;0.06,1,0),"")</f>
        <v>1</v>
      </c>
      <c r="BG757" s="33">
        <f>IF(ABS((Orders!F754-Orders!E754)*1440-Orders!P754)&lt;0.06,1,0)</f>
        <v>1</v>
      </c>
      <c r="BH757" s="33">
        <f>IF(E757=1,IF(IF(Orders!S754,1,0)=1-G757,1,0),"")</f>
        <v>1</v>
      </c>
      <c r="BI757" s="32" t="str">
        <f>INDEX(Stores!$B$2:$B$21,MATCH(B757,Stores!$A$2:$A$21,0))</f>
        <v>Delhi</v>
      </c>
    </row>
    <row r="758">
      <c r="A758" s="32" t="str">
        <f>Orders!A755</f>
        <v>O00754</v>
      </c>
      <c r="B758" s="32" t="str">
        <f>Orders!C755</f>
        <v>S014</v>
      </c>
      <c r="C758" s="32" t="str">
        <f>Orders!B755</f>
        <v>C0022</v>
      </c>
      <c r="D758" s="32" t="str">
        <f>Orders!H755</f>
        <v>Delivered</v>
      </c>
      <c r="E758" s="33">
        <f>IF(Orders!H755="Delivered",1,0)</f>
        <v>1</v>
      </c>
      <c r="F758" s="34">
        <f>IF(E758=1,Orders!R755,"")</f>
        <v>-0.3</v>
      </c>
      <c r="G758" s="33">
        <f>IF(E758=1,IF(Orders!R755&gt;0,1,0),"")</f>
        <v>0</v>
      </c>
      <c r="H758" s="33">
        <f>IF(E758=1,IF(Orders!R755&gt;5,1,0),"")</f>
        <v>0</v>
      </c>
      <c r="I758" s="32" t="str">
        <f>IF(E758=1,"",IF(OR(Orders!T755="Rider unavailable",Orders!T755="Item unavailable"),"Company-caused","Unresolved"))</f>
        <v/>
      </c>
      <c r="J758" s="33">
        <f>IF(OR(E758=1,I758="Company-caused"),1,0)</f>
        <v>1</v>
      </c>
      <c r="K758" s="32" t="str">
        <f>IF(E758=0,IF(I758="Company-caused",IF(Orders!T755="Rider unavailable","C1 Rider unavailable","C2 Item unavailable"),"Outside root: unresolved"),IF(G758=0,"A On time",IF(H758=1,IF(L758=1,"B2a Severe, peak","B2b Severe, off-peak"),IF(L758=1,"B1a Slight, peak","B1b Slight, off-peak"))))</f>
        <v>A On time</v>
      </c>
      <c r="L758" s="33">
        <f>IF(AND(Orders!U755&gt;=19,Orders!U755&lt;22),1,0)</f>
        <v>0</v>
      </c>
      <c r="M758" s="33">
        <f>IF(L758=IF(Orders!V755,1,0),1,0)</f>
        <v>1</v>
      </c>
      <c r="N758" s="32" t="str">
        <f>IF(Orders!W755="","None",Orders!W755)</f>
        <v>Light</v>
      </c>
      <c r="O758" s="35">
        <f>INT(Orders!E755)</f>
        <v>46268.0</v>
      </c>
      <c r="P758" s="33">
        <f>Orders!U755</f>
        <v>10</v>
      </c>
      <c r="Q758" s="33">
        <f>COUNTIFS(Demand!$A$2:$A$4481,B758,Demand!$B$2:$B$4481,O758,Demand!$C$2:$C$4481,P758)</f>
        <v>1</v>
      </c>
      <c r="R758" s="33">
        <f>IF(Q758=1,SUMIFS(Demand!$E$2:$E$4481,Demand!$A$2:$A$4481,B758,Demand!$B$2:$B$4481,O758,Demand!$C$2:$C$4481,P758),"")</f>
        <v>34</v>
      </c>
      <c r="S758" s="33">
        <f>INDEX(Stores!$G$2:$G$21,MATCH(B758,Stores!$A$2:$A$21,0))</f>
        <v>37</v>
      </c>
      <c r="T758" s="34">
        <f>IF(R758="","",R758/S758)</f>
        <v>0.918918918918919</v>
      </c>
      <c r="U758" s="34">
        <f>IF(E758=1,T758,"")</f>
        <v>0.918918918918919</v>
      </c>
      <c r="V758" s="34">
        <f>IF(AND(E758=1,L758=0),T758,"")</f>
        <v>0.918918918918919</v>
      </c>
      <c r="W758" s="33">
        <f>IF(U758="","",IF(U758&lt;=Breakdowns!$C$5,1,IF(U758&lt;=Breakdowns!$C$6,2,IF(U758&lt;=Breakdowns!$C$7,3,4))))</f>
        <v>2</v>
      </c>
      <c r="X758" s="33">
        <f>IF(V758="","",IF(V758&lt;=Breakdowns!$D$5,1,IF(V758&lt;=Breakdowns!$D$6,2,IF(V758&lt;=Breakdowns!$D$7,3,4))))</f>
        <v>3</v>
      </c>
      <c r="Y758" s="34">
        <f>INDEX(Stores!$F$2:$F$21,MATCH(B758,Stores!$A$2:$A$21,0))</f>
        <v>5.55</v>
      </c>
      <c r="Z758" s="33">
        <f>IF(Y758&gt;Store_Summary!$M$2,1,0)</f>
        <v>1</v>
      </c>
      <c r="AA758" s="33">
        <f>INDEX(Stores!$C$2:$C$21,MATCH(B758,Stores!$A$2:$A$21,0))</f>
        <v>241</v>
      </c>
      <c r="AB758" s="33">
        <f>IF(AA758&lt;180,1,0)</f>
        <v>0</v>
      </c>
      <c r="AC758" s="32" t="str">
        <f>IF(Orders!D755="","",INDEX(Riders!$C$2:$C$81,MATCH(Orders!D755,Riders!$A$2:$A$81,0)))</f>
        <v>Petrol scooter</v>
      </c>
      <c r="AD758" s="33">
        <f>IF(Orders!D755="","",INDEX(Riders!$D$2:$D$81,MATCH(Orders!D755,Riders!$A$2:$A$81,0)))</f>
        <v>19</v>
      </c>
      <c r="AE758" s="33">
        <f>IF(Orders!D755="","",IF(INDEX(Riders!$B$2:$B$81,MATCH(Orders!D755,Riders!$A$2:$A$81,0))=B758,1,0))</f>
        <v>0</v>
      </c>
      <c r="AF758" s="34">
        <f>IF(E758=1,Orders!L755,"")</f>
        <v>3.3</v>
      </c>
      <c r="AG758" s="34">
        <f>IF(E758=1,Orders!P755,"")</f>
        <v>11.2</v>
      </c>
      <c r="AH758" s="34">
        <f>IF(E758=1,Orders!Q755,"")</f>
        <v>10.9</v>
      </c>
      <c r="AI758" s="34">
        <f>IF(E758=1,Orders!M755,"")</f>
        <v>2.3</v>
      </c>
      <c r="AJ758" s="34">
        <f>IF(E758=1,Orders!N755,"")</f>
        <v>3.8</v>
      </c>
      <c r="AK758" s="34">
        <f>IF(E758=1,Orders!O755,"")</f>
        <v>4.8</v>
      </c>
      <c r="AL758" s="33">
        <f>IF(E758=1,IF(ROUND(ABS(AI758+AJ758+AK758-AH758),6)&lt;=0.1,1,0),"")</f>
        <v>1</v>
      </c>
      <c r="AM758" s="36">
        <f>IF(E758=1,AI758/AH758,"")</f>
        <v>0.211009174311927</v>
      </c>
      <c r="AN758" s="36">
        <f>IF(E758=1,AJ758/AH758,"")</f>
        <v>0.348623853211009</v>
      </c>
      <c r="AO758" s="36">
        <f>IF(E758=1,AK758/AH758,"")</f>
        <v>0.440366972477064</v>
      </c>
      <c r="AP758" s="34">
        <f>IF(E758=1,Orders!Y755,"")</f>
        <v>0.47</v>
      </c>
      <c r="AQ758" s="33">
        <f>IF(Orders!X755,1,0)</f>
        <v>0</v>
      </c>
      <c r="AR758" s="34" t="str">
        <f>IF(AND(E758=1,L758=1),AJ758,"")</f>
        <v/>
      </c>
      <c r="AS758" s="34">
        <f>IF(AND(E758=1,L758=0),AJ758,"")</f>
        <v>3.8</v>
      </c>
      <c r="AT758" s="34" t="str">
        <f>IF(AND(E758=1,L758=1),AI758,"")</f>
        <v/>
      </c>
      <c r="AU758" s="34">
        <f>IF(AND(E758=1,L758=0),AI758,"")</f>
        <v>2.3</v>
      </c>
      <c r="AV758" s="34" t="str">
        <f>IF(AND(E758=1,L758=1),AG758,"")</f>
        <v/>
      </c>
      <c r="AW758" s="34">
        <f>IF(AND(E758=1,L758=0),AG758,"")</f>
        <v>11.2</v>
      </c>
      <c r="AX758" s="34" t="str">
        <f>IF(AND(E758=1,L758=1),AH758,"")</f>
        <v/>
      </c>
      <c r="AY758" s="34">
        <f>IF(AND(E758=1,L758=0),AH758,"")</f>
        <v>10.9</v>
      </c>
      <c r="AZ758" s="34" t="str">
        <f>IF(G758=1,F758,"")</f>
        <v/>
      </c>
      <c r="BA758" s="34" t="str">
        <f>IF(AND(G758=1,L758=1),F758,"")</f>
        <v/>
      </c>
      <c r="BB758" s="34" t="str">
        <f>IF(AND(G758=1,L758=0),F758,"")</f>
        <v/>
      </c>
      <c r="BC758" s="33">
        <f>IF(E758=1,IF(Orders!R755&gt;3,1,0),"")</f>
        <v>0</v>
      </c>
      <c r="BD758" s="33">
        <f>IF(E758=1,IF(Orders!R755&gt;7,1,0),"")</f>
        <v>0</v>
      </c>
      <c r="BE758" s="32" t="str">
        <f>IF(E758=1,IF(Orders!L755&lt;=1.5,"Up to 1.5 km",IF(Orders!L755&lt;=3,"1.5–3 km","Over 3 km")),"")</f>
        <v>Over 3 km</v>
      </c>
      <c r="BF758" s="33">
        <f>IF(E758=1,IF(ABS((Orders!G755-Orders!F755)*1440-Orders!R755)&lt;0.06,1,0),"")</f>
        <v>1</v>
      </c>
      <c r="BG758" s="33">
        <f>IF(ABS((Orders!F755-Orders!E755)*1440-Orders!P755)&lt;0.06,1,0)</f>
        <v>1</v>
      </c>
      <c r="BH758" s="33">
        <f>IF(E758=1,IF(IF(Orders!S755,1,0)=1-G758,1,0),"")</f>
        <v>1</v>
      </c>
      <c r="BI758" s="32" t="str">
        <f>INDEX(Stores!$B$2:$B$21,MATCH(B758,Stores!$A$2:$A$21,0))</f>
        <v>Pune</v>
      </c>
    </row>
    <row r="759">
      <c r="A759" s="32" t="str">
        <f>Orders!A756</f>
        <v>O00755</v>
      </c>
      <c r="B759" s="32" t="str">
        <f>Orders!C756</f>
        <v>S018</v>
      </c>
      <c r="C759" s="32" t="str">
        <f>Orders!B756</f>
        <v>C0145</v>
      </c>
      <c r="D759" s="32" t="str">
        <f>Orders!H756</f>
        <v>Delivered</v>
      </c>
      <c r="E759" s="33">
        <f>IF(Orders!H756="Delivered",1,0)</f>
        <v>1</v>
      </c>
      <c r="F759" s="34">
        <f>IF(E759=1,Orders!R756,"")</f>
        <v>4.1</v>
      </c>
      <c r="G759" s="33">
        <f>IF(E759=1,IF(Orders!R756&gt;0,1,0),"")</f>
        <v>1</v>
      </c>
      <c r="H759" s="33">
        <f>IF(E759=1,IF(Orders!R756&gt;5,1,0),"")</f>
        <v>0</v>
      </c>
      <c r="I759" s="32" t="str">
        <f>IF(E759=1,"",IF(OR(Orders!T756="Rider unavailable",Orders!T756="Item unavailable"),"Company-caused","Unresolved"))</f>
        <v/>
      </c>
      <c r="J759" s="33">
        <f>IF(OR(E759=1,I759="Company-caused"),1,0)</f>
        <v>1</v>
      </c>
      <c r="K759" s="32" t="str">
        <f>IF(E759=0,IF(I759="Company-caused",IF(Orders!T756="Rider unavailable","C1 Rider unavailable","C2 Item unavailable"),"Outside root: unresolved"),IF(G759=0,"A On time",IF(H759=1,IF(L759=1,"B2a Severe, peak","B2b Severe, off-peak"),IF(L759=1,"B1a Slight, peak","B1b Slight, off-peak"))))</f>
        <v>B1b Slight, off-peak</v>
      </c>
      <c r="L759" s="33">
        <f>IF(AND(Orders!U756&gt;=19,Orders!U756&lt;22),1,0)</f>
        <v>0</v>
      </c>
      <c r="M759" s="33">
        <f>IF(L759=IF(Orders!V756,1,0),1,0)</f>
        <v>1</v>
      </c>
      <c r="N759" s="32" t="str">
        <f>IF(Orders!W756="","None",Orders!W756)</f>
        <v>None</v>
      </c>
      <c r="O759" s="35">
        <f>INT(Orders!E756)</f>
        <v>46278.0</v>
      </c>
      <c r="P759" s="33">
        <f>Orders!U756</f>
        <v>17</v>
      </c>
      <c r="Q759" s="33">
        <f>COUNTIFS(Demand!$A$2:$A$4481,B759,Demand!$B$2:$B$4481,O759,Demand!$C$2:$C$4481,P759)</f>
        <v>1</v>
      </c>
      <c r="R759" s="33">
        <f>IF(Q759=1,SUMIFS(Demand!$E$2:$E$4481,Demand!$A$2:$A$4481,B759,Demand!$B$2:$B$4481,O759,Demand!$C$2:$C$4481,P759),"")</f>
        <v>25</v>
      </c>
      <c r="S759" s="33">
        <f>INDEX(Stores!$G$2:$G$21,MATCH(B759,Stores!$A$2:$A$21,0))</f>
        <v>20</v>
      </c>
      <c r="T759" s="34">
        <f>IF(R759="","",R759/S759)</f>
        <v>1.25</v>
      </c>
      <c r="U759" s="34">
        <f>IF(E759=1,T759,"")</f>
        <v>1.25</v>
      </c>
      <c r="V759" s="34">
        <f>IF(AND(E759=1,L759=0),T759,"")</f>
        <v>1.25</v>
      </c>
      <c r="W759" s="33">
        <f>IF(U759="","",IF(U759&lt;=Breakdowns!$C$5,1,IF(U759&lt;=Breakdowns!$C$6,2,IF(U759&lt;=Breakdowns!$C$7,3,4))))</f>
        <v>4</v>
      </c>
      <c r="X759" s="33">
        <f>IF(V759="","",IF(V759&lt;=Breakdowns!$D$5,1,IF(V759&lt;=Breakdowns!$D$6,2,IF(V759&lt;=Breakdowns!$D$7,3,4))))</f>
        <v>4</v>
      </c>
      <c r="Y759" s="34">
        <f>INDEX(Stores!$F$2:$F$21,MATCH(B759,Stores!$A$2:$A$21,0))</f>
        <v>5.31</v>
      </c>
      <c r="Z759" s="33">
        <f>IF(Y759&gt;Store_Summary!$M$2,1,0)</f>
        <v>1</v>
      </c>
      <c r="AA759" s="33">
        <f>INDEX(Stores!$C$2:$C$21,MATCH(B759,Stores!$A$2:$A$21,0))</f>
        <v>214</v>
      </c>
      <c r="AB759" s="33">
        <f>IF(AA759&lt;180,1,0)</f>
        <v>0</v>
      </c>
      <c r="AC759" s="32" t="str">
        <f>IF(Orders!D756="","",INDEX(Riders!$C$2:$C$81,MATCH(Orders!D756,Riders!$A$2:$A$81,0)))</f>
        <v>Petrol scooter</v>
      </c>
      <c r="AD759" s="33">
        <f>IF(Orders!D756="","",INDEX(Riders!$D$2:$D$81,MATCH(Orders!D756,Riders!$A$2:$A$81,0)))</f>
        <v>30</v>
      </c>
      <c r="AE759" s="33">
        <f>IF(Orders!D756="","",IF(INDEX(Riders!$B$2:$B$81,MATCH(Orders!D756,Riders!$A$2:$A$81,0))=B759,1,0))</f>
        <v>0</v>
      </c>
      <c r="AF759" s="34">
        <f>IF(E759=1,Orders!L756,"")</f>
        <v>2.27</v>
      </c>
      <c r="AG759" s="34">
        <f>IF(E759=1,Orders!P756,"")</f>
        <v>12</v>
      </c>
      <c r="AH759" s="34">
        <f>IF(E759=1,Orders!Q756,"")</f>
        <v>16.1</v>
      </c>
      <c r="AI759" s="34">
        <f>IF(E759=1,Orders!M756,"")</f>
        <v>7</v>
      </c>
      <c r="AJ759" s="34">
        <f>IF(E759=1,Orders!N756,"")</f>
        <v>2.7</v>
      </c>
      <c r="AK759" s="34">
        <f>IF(E759=1,Orders!O756,"")</f>
        <v>6.3</v>
      </c>
      <c r="AL759" s="33">
        <f>IF(E759=1,IF(ROUND(ABS(AI759+AJ759+AK759-AH759),6)&lt;=0.1,1,0),"")</f>
        <v>1</v>
      </c>
      <c r="AM759" s="36">
        <f>IF(E759=1,AI759/AH759,"")</f>
        <v>0.434782608695652</v>
      </c>
      <c r="AN759" s="36">
        <f>IF(E759=1,AJ759/AH759,"")</f>
        <v>0.167701863354037</v>
      </c>
      <c r="AO759" s="36">
        <f>IF(E759=1,AK759/AH759,"")</f>
        <v>0.391304347826087</v>
      </c>
      <c r="AP759" s="34">
        <f>IF(E759=1,Orders!Y756,"")</f>
        <v>0.54</v>
      </c>
      <c r="AQ759" s="33">
        <f>IF(Orders!X756,1,0)</f>
        <v>0</v>
      </c>
      <c r="AR759" s="34" t="str">
        <f>IF(AND(E759=1,L759=1),AJ759,"")</f>
        <v/>
      </c>
      <c r="AS759" s="34">
        <f>IF(AND(E759=1,L759=0),AJ759,"")</f>
        <v>2.7</v>
      </c>
      <c r="AT759" s="34" t="str">
        <f>IF(AND(E759=1,L759=1),AI759,"")</f>
        <v/>
      </c>
      <c r="AU759" s="34">
        <f>IF(AND(E759=1,L759=0),AI759,"")</f>
        <v>7</v>
      </c>
      <c r="AV759" s="34" t="str">
        <f>IF(AND(E759=1,L759=1),AG759,"")</f>
        <v/>
      </c>
      <c r="AW759" s="34">
        <f>IF(AND(E759=1,L759=0),AG759,"")</f>
        <v>12</v>
      </c>
      <c r="AX759" s="34" t="str">
        <f>IF(AND(E759=1,L759=1),AH759,"")</f>
        <v/>
      </c>
      <c r="AY759" s="34">
        <f>IF(AND(E759=1,L759=0),AH759,"")</f>
        <v>16.1</v>
      </c>
      <c r="AZ759" s="34">
        <f>IF(G759=1,F759,"")</f>
        <v>4.1</v>
      </c>
      <c r="BA759" s="34" t="str">
        <f>IF(AND(G759=1,L759=1),F759,"")</f>
        <v/>
      </c>
      <c r="BB759" s="34">
        <f>IF(AND(G759=1,L759=0),F759,"")</f>
        <v>4.1</v>
      </c>
      <c r="BC759" s="33">
        <f>IF(E759=1,IF(Orders!R756&gt;3,1,0),"")</f>
        <v>1</v>
      </c>
      <c r="BD759" s="33">
        <f>IF(E759=1,IF(Orders!R756&gt;7,1,0),"")</f>
        <v>0</v>
      </c>
      <c r="BE759" s="32" t="str">
        <f>IF(E759=1,IF(Orders!L756&lt;=1.5,"Up to 1.5 km",IF(Orders!L756&lt;=3,"1.5–3 km","Over 3 km")),"")</f>
        <v>1.5–3 km</v>
      </c>
      <c r="BF759" s="33">
        <f>IF(E759=1,IF(ABS((Orders!G756-Orders!F756)*1440-Orders!R756)&lt;0.06,1,0),"")</f>
        <v>1</v>
      </c>
      <c r="BG759" s="33">
        <f>IF(ABS((Orders!F756-Orders!E756)*1440-Orders!P756)&lt;0.06,1,0)</f>
        <v>1</v>
      </c>
      <c r="BH759" s="33">
        <f>IF(E759=1,IF(IF(Orders!S756,1,0)=1-G759,1,0),"")</f>
        <v>1</v>
      </c>
      <c r="BI759" s="32" t="str">
        <f>INDEX(Stores!$B$2:$B$21,MATCH(B759,Stores!$A$2:$A$21,0))</f>
        <v>Mumbai</v>
      </c>
    </row>
    <row r="760">
      <c r="A760" s="32" t="str">
        <f>Orders!A757</f>
        <v>O00756</v>
      </c>
      <c r="B760" s="32" t="str">
        <f>Orders!C757</f>
        <v>S014</v>
      </c>
      <c r="C760" s="32" t="str">
        <f>Orders!B757</f>
        <v>C0124</v>
      </c>
      <c r="D760" s="32" t="str">
        <f>Orders!H757</f>
        <v>Delivered</v>
      </c>
      <c r="E760" s="33">
        <f>IF(Orders!H757="Delivered",1,0)</f>
        <v>1</v>
      </c>
      <c r="F760" s="34">
        <f>IF(E760=1,Orders!R757,"")</f>
        <v>-0.1</v>
      </c>
      <c r="G760" s="33">
        <f>IF(E760=1,IF(Orders!R757&gt;0,1,0),"")</f>
        <v>0</v>
      </c>
      <c r="H760" s="33">
        <f>IF(E760=1,IF(Orders!R757&gt;5,1,0),"")</f>
        <v>0</v>
      </c>
      <c r="I760" s="32" t="str">
        <f>IF(E760=1,"",IF(OR(Orders!T757="Rider unavailable",Orders!T757="Item unavailable"),"Company-caused","Unresolved"))</f>
        <v/>
      </c>
      <c r="J760" s="33">
        <f>IF(OR(E760=1,I760="Company-caused"),1,0)</f>
        <v>1</v>
      </c>
      <c r="K760" s="32" t="str">
        <f>IF(E760=0,IF(I760="Company-caused",IF(Orders!T757="Rider unavailable","C1 Rider unavailable","C2 Item unavailable"),"Outside root: unresolved"),IF(G760=0,"A On time",IF(H760=1,IF(L760=1,"B2a Severe, peak","B2b Severe, off-peak"),IF(L760=1,"B1a Slight, peak","B1b Slight, off-peak"))))</f>
        <v>A On time</v>
      </c>
      <c r="L760" s="33">
        <f>IF(AND(Orders!U757&gt;=19,Orders!U757&lt;22),1,0)</f>
        <v>0</v>
      </c>
      <c r="M760" s="33">
        <f>IF(L760=IF(Orders!V757,1,0),1,0)</f>
        <v>1</v>
      </c>
      <c r="N760" s="32" t="str">
        <f>IF(Orders!W757="","None",Orders!W757)</f>
        <v>None</v>
      </c>
      <c r="O760" s="35">
        <f>INT(Orders!E757)</f>
        <v>46278.0</v>
      </c>
      <c r="P760" s="33">
        <f>Orders!U757</f>
        <v>17</v>
      </c>
      <c r="Q760" s="33">
        <f>COUNTIFS(Demand!$A$2:$A$4481,B760,Demand!$B$2:$B$4481,O760,Demand!$C$2:$C$4481,P760)</f>
        <v>1</v>
      </c>
      <c r="R760" s="33">
        <f>IF(Q760=1,SUMIFS(Demand!$E$2:$E$4481,Demand!$A$2:$A$4481,B760,Demand!$B$2:$B$4481,O760,Demand!$C$2:$C$4481,P760),"")</f>
        <v>45</v>
      </c>
      <c r="S760" s="33">
        <f>INDEX(Stores!$G$2:$G$21,MATCH(B760,Stores!$A$2:$A$21,0))</f>
        <v>37</v>
      </c>
      <c r="T760" s="34">
        <f>IF(R760="","",R760/S760)</f>
        <v>1.21621621621622</v>
      </c>
      <c r="U760" s="34">
        <f>IF(E760=1,T760,"")</f>
        <v>1.21621621621622</v>
      </c>
      <c r="V760" s="34">
        <f>IF(AND(E760=1,L760=0),T760,"")</f>
        <v>1.21621621621622</v>
      </c>
      <c r="W760" s="33">
        <f>IF(U760="","",IF(U760&lt;=Breakdowns!$C$5,1,IF(U760&lt;=Breakdowns!$C$6,2,IF(U760&lt;=Breakdowns!$C$7,3,4))))</f>
        <v>3</v>
      </c>
      <c r="X760" s="33">
        <f>IF(V760="","",IF(V760&lt;=Breakdowns!$D$5,1,IF(V760&lt;=Breakdowns!$D$6,2,IF(V760&lt;=Breakdowns!$D$7,3,4))))</f>
        <v>4</v>
      </c>
      <c r="Y760" s="34">
        <f>INDEX(Stores!$F$2:$F$21,MATCH(B760,Stores!$A$2:$A$21,0))</f>
        <v>5.55</v>
      </c>
      <c r="Z760" s="33">
        <f>IF(Y760&gt;Store_Summary!$M$2,1,0)</f>
        <v>1</v>
      </c>
      <c r="AA760" s="33">
        <f>INDEX(Stores!$C$2:$C$21,MATCH(B760,Stores!$A$2:$A$21,0))</f>
        <v>241</v>
      </c>
      <c r="AB760" s="33">
        <f>IF(AA760&lt;180,1,0)</f>
        <v>0</v>
      </c>
      <c r="AC760" s="32" t="str">
        <f>IF(Orders!D757="","",INDEX(Riders!$C$2:$C$81,MATCH(Orders!D757,Riders!$A$2:$A$81,0)))</f>
        <v>Bicycle</v>
      </c>
      <c r="AD760" s="33">
        <f>IF(Orders!D757="","",INDEX(Riders!$D$2:$D$81,MATCH(Orders!D757,Riders!$A$2:$A$81,0)))</f>
        <v>44</v>
      </c>
      <c r="AE760" s="33">
        <f>IF(Orders!D757="","",IF(INDEX(Riders!$B$2:$B$81,MATCH(Orders!D757,Riders!$A$2:$A$81,0))=B760,1,0))</f>
        <v>0</v>
      </c>
      <c r="AF760" s="34">
        <f>IF(E760=1,Orders!L757,"")</f>
        <v>1.23</v>
      </c>
      <c r="AG760" s="34">
        <f>IF(E760=1,Orders!P757,"")</f>
        <v>11.3</v>
      </c>
      <c r="AH760" s="34">
        <f>IF(E760=1,Orders!Q757,"")</f>
        <v>11.2</v>
      </c>
      <c r="AI760" s="34">
        <f>IF(E760=1,Orders!M757,"")</f>
        <v>4.2</v>
      </c>
      <c r="AJ760" s="34">
        <f>IF(E760=1,Orders!N757,"")</f>
        <v>4.4</v>
      </c>
      <c r="AK760" s="34">
        <f>IF(E760=1,Orders!O757,"")</f>
        <v>2.6</v>
      </c>
      <c r="AL760" s="33">
        <f>IF(E760=1,IF(ROUND(ABS(AI760+AJ760+AK760-AH760),6)&lt;=0.1,1,0),"")</f>
        <v>1</v>
      </c>
      <c r="AM760" s="36">
        <f>IF(E760=1,AI760/AH760,"")</f>
        <v>0.375</v>
      </c>
      <c r="AN760" s="36">
        <f>IF(E760=1,AJ760/AH760,"")</f>
        <v>0.392857142857143</v>
      </c>
      <c r="AO760" s="36">
        <f>IF(E760=1,AK760/AH760,"")</f>
        <v>0.232142857142857</v>
      </c>
      <c r="AP760" s="34">
        <f>IF(E760=1,Orders!Y757,"")</f>
        <v>0.33</v>
      </c>
      <c r="AQ760" s="33">
        <f>IF(Orders!X757,1,0)</f>
        <v>0</v>
      </c>
      <c r="AR760" s="34" t="str">
        <f>IF(AND(E760=1,L760=1),AJ760,"")</f>
        <v/>
      </c>
      <c r="AS760" s="34">
        <f>IF(AND(E760=1,L760=0),AJ760,"")</f>
        <v>4.4</v>
      </c>
      <c r="AT760" s="34" t="str">
        <f>IF(AND(E760=1,L760=1),AI760,"")</f>
        <v/>
      </c>
      <c r="AU760" s="34">
        <f>IF(AND(E760=1,L760=0),AI760,"")</f>
        <v>4.2</v>
      </c>
      <c r="AV760" s="34" t="str">
        <f>IF(AND(E760=1,L760=1),AG760,"")</f>
        <v/>
      </c>
      <c r="AW760" s="34">
        <f>IF(AND(E760=1,L760=0),AG760,"")</f>
        <v>11.3</v>
      </c>
      <c r="AX760" s="34" t="str">
        <f>IF(AND(E760=1,L760=1),AH760,"")</f>
        <v/>
      </c>
      <c r="AY760" s="34">
        <f>IF(AND(E760=1,L760=0),AH760,"")</f>
        <v>11.2</v>
      </c>
      <c r="AZ760" s="34" t="str">
        <f>IF(G760=1,F760,"")</f>
        <v/>
      </c>
      <c r="BA760" s="34" t="str">
        <f>IF(AND(G760=1,L760=1),F760,"")</f>
        <v/>
      </c>
      <c r="BB760" s="34" t="str">
        <f>IF(AND(G760=1,L760=0),F760,"")</f>
        <v/>
      </c>
      <c r="BC760" s="33">
        <f>IF(E760=1,IF(Orders!R757&gt;3,1,0),"")</f>
        <v>0</v>
      </c>
      <c r="BD760" s="33">
        <f>IF(E760=1,IF(Orders!R757&gt;7,1,0),"")</f>
        <v>0</v>
      </c>
      <c r="BE760" s="32" t="str">
        <f>IF(E760=1,IF(Orders!L757&lt;=1.5,"Up to 1.5 km",IF(Orders!L757&lt;=3,"1.5–3 km","Over 3 km")),"")</f>
        <v>Up to 1.5 km</v>
      </c>
      <c r="BF760" s="33">
        <f>IF(E760=1,IF(ABS((Orders!G757-Orders!F757)*1440-Orders!R757)&lt;0.06,1,0),"")</f>
        <v>1</v>
      </c>
      <c r="BG760" s="33">
        <f>IF(ABS((Orders!F757-Orders!E757)*1440-Orders!P757)&lt;0.06,1,0)</f>
        <v>1</v>
      </c>
      <c r="BH760" s="33">
        <f>IF(E760=1,IF(IF(Orders!S757,1,0)=1-G760,1,0),"")</f>
        <v>1</v>
      </c>
      <c r="BI760" s="32" t="str">
        <f>INDEX(Stores!$B$2:$B$21,MATCH(B760,Stores!$A$2:$A$21,0))</f>
        <v>Pune</v>
      </c>
    </row>
    <row r="761">
      <c r="A761" s="32" t="str">
        <f>Orders!A758</f>
        <v>O00757</v>
      </c>
      <c r="B761" s="32" t="str">
        <f>Orders!C758</f>
        <v>S011</v>
      </c>
      <c r="C761" s="32" t="str">
        <f>Orders!B758</f>
        <v>C0205</v>
      </c>
      <c r="D761" s="32" t="str">
        <f>Orders!H758</f>
        <v>Delivered</v>
      </c>
      <c r="E761" s="33">
        <f>IF(Orders!H758="Delivered",1,0)</f>
        <v>1</v>
      </c>
      <c r="F761" s="34">
        <f>IF(E761=1,Orders!R758,"")</f>
        <v>-0.6</v>
      </c>
      <c r="G761" s="33">
        <f>IF(E761=1,IF(Orders!R758&gt;0,1,0),"")</f>
        <v>0</v>
      </c>
      <c r="H761" s="33">
        <f>IF(E761=1,IF(Orders!R758&gt;5,1,0),"")</f>
        <v>0</v>
      </c>
      <c r="I761" s="32" t="str">
        <f>IF(E761=1,"",IF(OR(Orders!T758="Rider unavailable",Orders!T758="Item unavailable"),"Company-caused","Unresolved"))</f>
        <v/>
      </c>
      <c r="J761" s="33">
        <f>IF(OR(E761=1,I761="Company-caused"),1,0)</f>
        <v>1</v>
      </c>
      <c r="K761" s="32" t="str">
        <f>IF(E761=0,IF(I761="Company-caused",IF(Orders!T758="Rider unavailable","C1 Rider unavailable","C2 Item unavailable"),"Outside root: unresolved"),IF(G761=0,"A On time",IF(H761=1,IF(L761=1,"B2a Severe, peak","B2b Severe, off-peak"),IF(L761=1,"B1a Slight, peak","B1b Slight, off-peak"))))</f>
        <v>A On time</v>
      </c>
      <c r="L761" s="33">
        <f>IF(AND(Orders!U758&gt;=19,Orders!U758&lt;22),1,0)</f>
        <v>1</v>
      </c>
      <c r="M761" s="33">
        <f>IF(L761=IF(Orders!V758,1,0),1,0)</f>
        <v>1</v>
      </c>
      <c r="N761" s="32" t="str">
        <f>IF(Orders!W758="","None",Orders!W758)</f>
        <v>None</v>
      </c>
      <c r="O761" s="35">
        <f>INT(Orders!E758)</f>
        <v>46270.0</v>
      </c>
      <c r="P761" s="33">
        <f>Orders!U758</f>
        <v>20</v>
      </c>
      <c r="Q761" s="33">
        <f>COUNTIFS(Demand!$A$2:$A$4481,B761,Demand!$B$2:$B$4481,O761,Demand!$C$2:$C$4481,P761)</f>
        <v>1</v>
      </c>
      <c r="R761" s="33">
        <f>IF(Q761=1,SUMIFS(Demand!$E$2:$E$4481,Demand!$A$2:$A$4481,B761,Demand!$B$2:$B$4481,O761,Demand!$C$2:$C$4481,P761),"")</f>
        <v>60</v>
      </c>
      <c r="S761" s="33">
        <f>INDEX(Stores!$G$2:$G$21,MATCH(B761,Stores!$A$2:$A$21,0))</f>
        <v>31</v>
      </c>
      <c r="T761" s="34">
        <f>IF(R761="","",R761/S761)</f>
        <v>1.93548387096774</v>
      </c>
      <c r="U761" s="34">
        <f>IF(E761=1,T761,"")</f>
        <v>1.93548387096774</v>
      </c>
      <c r="V761" s="34" t="str">
        <f>IF(AND(E761=1,L761=0),T761,"")</f>
        <v/>
      </c>
      <c r="W761" s="33">
        <f>IF(U761="","",IF(U761&lt;=Breakdowns!$C$5,1,IF(U761&lt;=Breakdowns!$C$6,2,IF(U761&lt;=Breakdowns!$C$7,3,4))))</f>
        <v>4</v>
      </c>
      <c r="X761" s="33" t="str">
        <f>IF(V761="","",IF(V761&lt;=Breakdowns!$D$5,1,IF(V761&lt;=Breakdowns!$D$6,2,IF(V761&lt;=Breakdowns!$D$7,3,4))))</f>
        <v/>
      </c>
      <c r="Y761" s="34">
        <f>INDEX(Stores!$F$2:$F$21,MATCH(B761,Stores!$A$2:$A$21,0))</f>
        <v>5.67</v>
      </c>
      <c r="Z761" s="33">
        <f>IF(Y761&gt;Store_Summary!$M$2,1,0)</f>
        <v>1</v>
      </c>
      <c r="AA761" s="33">
        <f>INDEX(Stores!$C$2:$C$21,MATCH(B761,Stores!$A$2:$A$21,0))</f>
        <v>732</v>
      </c>
      <c r="AB761" s="33">
        <f>IF(AA761&lt;180,1,0)</f>
        <v>0</v>
      </c>
      <c r="AC761" s="32" t="str">
        <f>IF(Orders!D758="","",INDEX(Riders!$C$2:$C$81,MATCH(Orders!D758,Riders!$A$2:$A$81,0)))</f>
        <v>Petrol scooter</v>
      </c>
      <c r="AD761" s="33">
        <f>IF(Orders!D758="","",INDEX(Riders!$D$2:$D$81,MATCH(Orders!D758,Riders!$A$2:$A$81,0)))</f>
        <v>48</v>
      </c>
      <c r="AE761" s="33">
        <f>IF(Orders!D758="","",IF(INDEX(Riders!$B$2:$B$81,MATCH(Orders!D758,Riders!$A$2:$A$81,0))=B761,1,0))</f>
        <v>0</v>
      </c>
      <c r="AF761" s="34">
        <f>IF(E761=1,Orders!L758,"")</f>
        <v>2.52</v>
      </c>
      <c r="AG761" s="34">
        <f>IF(E761=1,Orders!P758,"")</f>
        <v>10.6</v>
      </c>
      <c r="AH761" s="34">
        <f>IF(E761=1,Orders!Q758,"")</f>
        <v>10</v>
      </c>
      <c r="AI761" s="34">
        <f>IF(E761=1,Orders!M758,"")</f>
        <v>3.3</v>
      </c>
      <c r="AJ761" s="34">
        <f>IF(E761=1,Orders!N758,"")</f>
        <v>3.7</v>
      </c>
      <c r="AK761" s="34">
        <f>IF(E761=1,Orders!O758,"")</f>
        <v>3</v>
      </c>
      <c r="AL761" s="33">
        <f>IF(E761=1,IF(ROUND(ABS(AI761+AJ761+AK761-AH761),6)&lt;=0.1,1,0),"")</f>
        <v>1</v>
      </c>
      <c r="AM761" s="36">
        <f>IF(E761=1,AI761/AH761,"")</f>
        <v>0.33</v>
      </c>
      <c r="AN761" s="36">
        <f>IF(E761=1,AJ761/AH761,"")</f>
        <v>0.37</v>
      </c>
      <c r="AO761" s="36">
        <f>IF(E761=1,AK761/AH761,"")</f>
        <v>0.3</v>
      </c>
      <c r="AP761" s="34">
        <f>IF(E761=1,Orders!Y758,"")</f>
        <v>0.48</v>
      </c>
      <c r="AQ761" s="33">
        <f>IF(Orders!X758,1,0)</f>
        <v>0</v>
      </c>
      <c r="AR761" s="34">
        <f>IF(AND(E761=1,L761=1),AJ761,"")</f>
        <v>3.7</v>
      </c>
      <c r="AS761" s="34" t="str">
        <f>IF(AND(E761=1,L761=0),AJ761,"")</f>
        <v/>
      </c>
      <c r="AT761" s="34">
        <f>IF(AND(E761=1,L761=1),AI761,"")</f>
        <v>3.3</v>
      </c>
      <c r="AU761" s="34" t="str">
        <f>IF(AND(E761=1,L761=0),AI761,"")</f>
        <v/>
      </c>
      <c r="AV761" s="34">
        <f>IF(AND(E761=1,L761=1),AG761,"")</f>
        <v>10.6</v>
      </c>
      <c r="AW761" s="34" t="str">
        <f>IF(AND(E761=1,L761=0),AG761,"")</f>
        <v/>
      </c>
      <c r="AX761" s="34">
        <f>IF(AND(E761=1,L761=1),AH761,"")</f>
        <v>10</v>
      </c>
      <c r="AY761" s="34" t="str">
        <f>IF(AND(E761=1,L761=0),AH761,"")</f>
        <v/>
      </c>
      <c r="AZ761" s="34" t="str">
        <f>IF(G761=1,F761,"")</f>
        <v/>
      </c>
      <c r="BA761" s="34" t="str">
        <f>IF(AND(G761=1,L761=1),F761,"")</f>
        <v/>
      </c>
      <c r="BB761" s="34" t="str">
        <f>IF(AND(G761=1,L761=0),F761,"")</f>
        <v/>
      </c>
      <c r="BC761" s="33">
        <f>IF(E761=1,IF(Orders!R758&gt;3,1,0),"")</f>
        <v>0</v>
      </c>
      <c r="BD761" s="33">
        <f>IF(E761=1,IF(Orders!R758&gt;7,1,0),"")</f>
        <v>0</v>
      </c>
      <c r="BE761" s="32" t="str">
        <f>IF(E761=1,IF(Orders!L758&lt;=1.5,"Up to 1.5 km",IF(Orders!L758&lt;=3,"1.5–3 km","Over 3 km")),"")</f>
        <v>1.5–3 km</v>
      </c>
      <c r="BF761" s="33">
        <f>IF(E761=1,IF(ABS((Orders!G758-Orders!F758)*1440-Orders!R758)&lt;0.06,1,0),"")</f>
        <v>1</v>
      </c>
      <c r="BG761" s="33">
        <f>IF(ABS((Orders!F758-Orders!E758)*1440-Orders!P758)&lt;0.06,1,0)</f>
        <v>1</v>
      </c>
      <c r="BH761" s="33">
        <f>IF(E761=1,IF(IF(Orders!S758,1,0)=1-G761,1,0),"")</f>
        <v>1</v>
      </c>
      <c r="BI761" s="32" t="str">
        <f>INDEX(Stores!$B$2:$B$21,MATCH(B761,Stores!$A$2:$A$21,0))</f>
        <v>Bengaluru</v>
      </c>
    </row>
    <row r="762">
      <c r="A762" s="32" t="str">
        <f>Orders!A759</f>
        <v>O00758</v>
      </c>
      <c r="B762" s="32" t="str">
        <f>Orders!C759</f>
        <v>S005</v>
      </c>
      <c r="C762" s="32" t="str">
        <f>Orders!B759</f>
        <v>C0070</v>
      </c>
      <c r="D762" s="32" t="str">
        <f>Orders!H759</f>
        <v>Delivered</v>
      </c>
      <c r="E762" s="33">
        <f>IF(Orders!H759="Delivered",1,0)</f>
        <v>1</v>
      </c>
      <c r="F762" s="34">
        <f>IF(E762=1,Orders!R759,"")</f>
        <v>-0.4</v>
      </c>
      <c r="G762" s="33">
        <f>IF(E762=1,IF(Orders!R759&gt;0,1,0),"")</f>
        <v>0</v>
      </c>
      <c r="H762" s="33">
        <f>IF(E762=1,IF(Orders!R759&gt;5,1,0),"")</f>
        <v>0</v>
      </c>
      <c r="I762" s="32" t="str">
        <f>IF(E762=1,"",IF(OR(Orders!T759="Rider unavailable",Orders!T759="Item unavailable"),"Company-caused","Unresolved"))</f>
        <v/>
      </c>
      <c r="J762" s="33">
        <f>IF(OR(E762=1,I762="Company-caused"),1,0)</f>
        <v>1</v>
      </c>
      <c r="K762" s="32" t="str">
        <f>IF(E762=0,IF(I762="Company-caused",IF(Orders!T759="Rider unavailable","C1 Rider unavailable","C2 Item unavailable"),"Outside root: unresolved"),IF(G762=0,"A On time",IF(H762=1,IF(L762=1,"B2a Severe, peak","B2b Severe, off-peak"),IF(L762=1,"B1a Slight, peak","B1b Slight, off-peak"))))</f>
        <v>A On time</v>
      </c>
      <c r="L762" s="33">
        <f>IF(AND(Orders!U759&gt;=19,Orders!U759&lt;22),1,0)</f>
        <v>0</v>
      </c>
      <c r="M762" s="33">
        <f>IF(L762=IF(Orders!V759,1,0),1,0)</f>
        <v>1</v>
      </c>
      <c r="N762" s="32" t="str">
        <f>IF(Orders!W759="","None",Orders!W759)</f>
        <v>None</v>
      </c>
      <c r="O762" s="35">
        <f>INT(Orders!E759)</f>
        <v>46279.0</v>
      </c>
      <c r="P762" s="33">
        <f>Orders!U759</f>
        <v>22</v>
      </c>
      <c r="Q762" s="33">
        <f>COUNTIFS(Demand!$A$2:$A$4481,B762,Demand!$B$2:$B$4481,O762,Demand!$C$2:$C$4481,P762)</f>
        <v>1</v>
      </c>
      <c r="R762" s="33">
        <f>IF(Q762=1,SUMIFS(Demand!$E$2:$E$4481,Demand!$A$2:$A$4481,B762,Demand!$B$2:$B$4481,O762,Demand!$C$2:$C$4481,P762),"")</f>
        <v>14</v>
      </c>
      <c r="S762" s="33">
        <f>INDEX(Stores!$G$2:$G$21,MATCH(B762,Stores!$A$2:$A$21,0))</f>
        <v>14</v>
      </c>
      <c r="T762" s="34">
        <f>IF(R762="","",R762/S762)</f>
        <v>1</v>
      </c>
      <c r="U762" s="34">
        <f>IF(E762=1,T762,"")</f>
        <v>1</v>
      </c>
      <c r="V762" s="34">
        <f>IF(AND(E762=1,L762=0),T762,"")</f>
        <v>1</v>
      </c>
      <c r="W762" s="33">
        <f>IF(U762="","",IF(U762&lt;=Breakdowns!$C$5,1,IF(U762&lt;=Breakdowns!$C$6,2,IF(U762&lt;=Breakdowns!$C$7,3,4))))</f>
        <v>2</v>
      </c>
      <c r="X762" s="33">
        <f>IF(V762="","",IF(V762&lt;=Breakdowns!$D$5,1,IF(V762&lt;=Breakdowns!$D$6,2,IF(V762&lt;=Breakdowns!$D$7,3,4))))</f>
        <v>3</v>
      </c>
      <c r="Y762" s="34">
        <f>INDEX(Stores!$F$2:$F$21,MATCH(B762,Stores!$A$2:$A$21,0))</f>
        <v>4.89</v>
      </c>
      <c r="Z762" s="33">
        <f>IF(Y762&gt;Store_Summary!$M$2,1,0)</f>
        <v>0</v>
      </c>
      <c r="AA762" s="33">
        <f>INDEX(Stores!$C$2:$C$21,MATCH(B762,Stores!$A$2:$A$21,0))</f>
        <v>138</v>
      </c>
      <c r="AB762" s="33">
        <f>IF(AA762&lt;180,1,0)</f>
        <v>1</v>
      </c>
      <c r="AC762" s="32" t="str">
        <f>IF(Orders!D759="","",INDEX(Riders!$C$2:$C$81,MATCH(Orders!D759,Riders!$A$2:$A$81,0)))</f>
        <v>EV scooter</v>
      </c>
      <c r="AD762" s="33">
        <f>IF(Orders!D759="","",INDEX(Riders!$D$2:$D$81,MATCH(Orders!D759,Riders!$A$2:$A$81,0)))</f>
        <v>45</v>
      </c>
      <c r="AE762" s="33">
        <f>IF(Orders!D759="","",IF(INDEX(Riders!$B$2:$B$81,MATCH(Orders!D759,Riders!$A$2:$A$81,0))=B762,1,0))</f>
        <v>0</v>
      </c>
      <c r="AF762" s="34">
        <f>IF(E762=1,Orders!L759,"")</f>
        <v>2.3</v>
      </c>
      <c r="AG762" s="34">
        <f>IF(E762=1,Orders!P759,"")</f>
        <v>10.7</v>
      </c>
      <c r="AH762" s="34">
        <f>IF(E762=1,Orders!Q759,"")</f>
        <v>10.3</v>
      </c>
      <c r="AI762" s="34">
        <f>IF(E762=1,Orders!M759,"")</f>
        <v>3.4</v>
      </c>
      <c r="AJ762" s="34">
        <f>IF(E762=1,Orders!N759,"")</f>
        <v>3.7</v>
      </c>
      <c r="AK762" s="34">
        <f>IF(E762=1,Orders!O759,"")</f>
        <v>3.2</v>
      </c>
      <c r="AL762" s="33">
        <f>IF(E762=1,IF(ROUND(ABS(AI762+AJ762+AK762-AH762),6)&lt;=0.1,1,0),"")</f>
        <v>1</v>
      </c>
      <c r="AM762" s="36">
        <f>IF(E762=1,AI762/AH762,"")</f>
        <v>0.330097087378641</v>
      </c>
      <c r="AN762" s="36">
        <f>IF(E762=1,AJ762/AH762,"")</f>
        <v>0.359223300970874</v>
      </c>
      <c r="AO762" s="36">
        <f>IF(E762=1,AK762/AH762,"")</f>
        <v>0.310679611650485</v>
      </c>
      <c r="AP762" s="34">
        <f>IF(E762=1,Orders!Y759,"")</f>
        <v>0.88</v>
      </c>
      <c r="AQ762" s="33">
        <f>IF(Orders!X759,1,0)</f>
        <v>0</v>
      </c>
      <c r="AR762" s="34" t="str">
        <f>IF(AND(E762=1,L762=1),AJ762,"")</f>
        <v/>
      </c>
      <c r="AS762" s="34">
        <f>IF(AND(E762=1,L762=0),AJ762,"")</f>
        <v>3.7</v>
      </c>
      <c r="AT762" s="34" t="str">
        <f>IF(AND(E762=1,L762=1),AI762,"")</f>
        <v/>
      </c>
      <c r="AU762" s="34">
        <f>IF(AND(E762=1,L762=0),AI762,"")</f>
        <v>3.4</v>
      </c>
      <c r="AV762" s="34" t="str">
        <f>IF(AND(E762=1,L762=1),AG762,"")</f>
        <v/>
      </c>
      <c r="AW762" s="34">
        <f>IF(AND(E762=1,L762=0),AG762,"")</f>
        <v>10.7</v>
      </c>
      <c r="AX762" s="34" t="str">
        <f>IF(AND(E762=1,L762=1),AH762,"")</f>
        <v/>
      </c>
      <c r="AY762" s="34">
        <f>IF(AND(E762=1,L762=0),AH762,"")</f>
        <v>10.3</v>
      </c>
      <c r="AZ762" s="34" t="str">
        <f>IF(G762=1,F762,"")</f>
        <v/>
      </c>
      <c r="BA762" s="34" t="str">
        <f>IF(AND(G762=1,L762=1),F762,"")</f>
        <v/>
      </c>
      <c r="BB762" s="34" t="str">
        <f>IF(AND(G762=1,L762=0),F762,"")</f>
        <v/>
      </c>
      <c r="BC762" s="33">
        <f>IF(E762=1,IF(Orders!R759&gt;3,1,0),"")</f>
        <v>0</v>
      </c>
      <c r="BD762" s="33">
        <f>IF(E762=1,IF(Orders!R759&gt;7,1,0),"")</f>
        <v>0</v>
      </c>
      <c r="BE762" s="32" t="str">
        <f>IF(E762=1,IF(Orders!L759&lt;=1.5,"Up to 1.5 km",IF(Orders!L759&lt;=3,"1.5–3 km","Over 3 km")),"")</f>
        <v>1.5–3 km</v>
      </c>
      <c r="BF762" s="33">
        <f>IF(E762=1,IF(ABS((Orders!G759-Orders!F759)*1440-Orders!R759)&lt;0.06,1,0),"")</f>
        <v>1</v>
      </c>
      <c r="BG762" s="33">
        <f>IF(ABS((Orders!F759-Orders!E759)*1440-Orders!P759)&lt;0.06,1,0)</f>
        <v>1</v>
      </c>
      <c r="BH762" s="33">
        <f>IF(E762=1,IF(IF(Orders!S759,1,0)=1-G762,1,0),"")</f>
        <v>1</v>
      </c>
      <c r="BI762" s="32" t="str">
        <f>INDEX(Stores!$B$2:$B$21,MATCH(B762,Stores!$A$2:$A$21,0))</f>
        <v>Delhi</v>
      </c>
    </row>
    <row r="763">
      <c r="A763" s="32" t="str">
        <f>Orders!A760</f>
        <v>O00759</v>
      </c>
      <c r="B763" s="32" t="str">
        <f>Orders!C760</f>
        <v>S017</v>
      </c>
      <c r="C763" s="32" t="str">
        <f>Orders!B760</f>
        <v>C0105</v>
      </c>
      <c r="D763" s="32" t="str">
        <f>Orders!H760</f>
        <v>Delivered</v>
      </c>
      <c r="E763" s="33">
        <f>IF(Orders!H760="Delivered",1,0)</f>
        <v>1</v>
      </c>
      <c r="F763" s="34">
        <f>IF(E763=1,Orders!R760,"")</f>
        <v>0.2</v>
      </c>
      <c r="G763" s="33">
        <f>IF(E763=1,IF(Orders!R760&gt;0,1,0),"")</f>
        <v>1</v>
      </c>
      <c r="H763" s="33">
        <f>IF(E763=1,IF(Orders!R760&gt;5,1,0),"")</f>
        <v>0</v>
      </c>
      <c r="I763" s="32" t="str">
        <f>IF(E763=1,"",IF(OR(Orders!T760="Rider unavailable",Orders!T760="Item unavailable"),"Company-caused","Unresolved"))</f>
        <v/>
      </c>
      <c r="J763" s="33">
        <f>IF(OR(E763=1,I763="Company-caused"),1,0)</f>
        <v>1</v>
      </c>
      <c r="K763" s="32" t="str">
        <f>IF(E763=0,IF(I763="Company-caused",IF(Orders!T760="Rider unavailable","C1 Rider unavailable","C2 Item unavailable"),"Outside root: unresolved"),IF(G763=0,"A On time",IF(H763=1,IF(L763=1,"B2a Severe, peak","B2b Severe, off-peak"),IF(L763=1,"B1a Slight, peak","B1b Slight, off-peak"))))</f>
        <v>B1b Slight, off-peak</v>
      </c>
      <c r="L763" s="33">
        <f>IF(AND(Orders!U760&gt;=19,Orders!U760&lt;22),1,0)</f>
        <v>0</v>
      </c>
      <c r="M763" s="33">
        <f>IF(L763=IF(Orders!V760,1,0),1,0)</f>
        <v>1</v>
      </c>
      <c r="N763" s="32" t="str">
        <f>IF(Orders!W760="","None",Orders!W760)</f>
        <v>None</v>
      </c>
      <c r="O763" s="35">
        <f>INT(Orders!E760)</f>
        <v>46271.0</v>
      </c>
      <c r="P763" s="33">
        <f>Orders!U760</f>
        <v>22</v>
      </c>
      <c r="Q763" s="33">
        <f>COUNTIFS(Demand!$A$2:$A$4481,B763,Demand!$B$2:$B$4481,O763,Demand!$C$2:$C$4481,P763)</f>
        <v>1</v>
      </c>
      <c r="R763" s="33">
        <f>IF(Q763=1,SUMIFS(Demand!$E$2:$E$4481,Demand!$A$2:$A$4481,B763,Demand!$B$2:$B$4481,O763,Demand!$C$2:$C$4481,P763),"")</f>
        <v>39</v>
      </c>
      <c r="S763" s="33">
        <f>INDEX(Stores!$G$2:$G$21,MATCH(B763,Stores!$A$2:$A$21,0))</f>
        <v>36</v>
      </c>
      <c r="T763" s="34">
        <f>IF(R763="","",R763/S763)</f>
        <v>1.08333333333333</v>
      </c>
      <c r="U763" s="34">
        <f>IF(E763=1,T763,"")</f>
        <v>1.08333333333333</v>
      </c>
      <c r="V763" s="34">
        <f>IF(AND(E763=1,L763=0),T763,"")</f>
        <v>1.08333333333333</v>
      </c>
      <c r="W763" s="33">
        <f>IF(U763="","",IF(U763&lt;=Breakdowns!$C$5,1,IF(U763&lt;=Breakdowns!$C$6,2,IF(U763&lt;=Breakdowns!$C$7,3,4))))</f>
        <v>3</v>
      </c>
      <c r="X763" s="33">
        <f>IF(V763="","",IF(V763&lt;=Breakdowns!$D$5,1,IF(V763&lt;=Breakdowns!$D$6,2,IF(V763&lt;=Breakdowns!$D$7,3,4))))</f>
        <v>4</v>
      </c>
      <c r="Y763" s="34">
        <f>INDEX(Stores!$F$2:$F$21,MATCH(B763,Stores!$A$2:$A$21,0))</f>
        <v>2.16</v>
      </c>
      <c r="Z763" s="33">
        <f>IF(Y763&gt;Store_Summary!$M$2,1,0)</f>
        <v>0</v>
      </c>
      <c r="AA763" s="33">
        <f>INDEX(Stores!$C$2:$C$21,MATCH(B763,Stores!$A$2:$A$21,0))</f>
        <v>47</v>
      </c>
      <c r="AB763" s="33">
        <f>IF(AA763&lt;180,1,0)</f>
        <v>1</v>
      </c>
      <c r="AC763" s="32" t="str">
        <f>IF(Orders!D760="","",INDEX(Riders!$C$2:$C$81,MATCH(Orders!D760,Riders!$A$2:$A$81,0)))</f>
        <v>Petrol scooter</v>
      </c>
      <c r="AD763" s="33">
        <f>IF(Orders!D760="","",INDEX(Riders!$D$2:$D$81,MATCH(Orders!D760,Riders!$A$2:$A$81,0)))</f>
        <v>11</v>
      </c>
      <c r="AE763" s="33">
        <f>IF(Orders!D760="","",IF(INDEX(Riders!$B$2:$B$81,MATCH(Orders!D760,Riders!$A$2:$A$81,0))=B763,1,0))</f>
        <v>1</v>
      </c>
      <c r="AF763" s="34">
        <f>IF(E763=1,Orders!L760,"")</f>
        <v>1.25</v>
      </c>
      <c r="AG763" s="34">
        <f>IF(E763=1,Orders!P760,"")</f>
        <v>10.1</v>
      </c>
      <c r="AH763" s="34">
        <f>IF(E763=1,Orders!Q760,"")</f>
        <v>10.3</v>
      </c>
      <c r="AI763" s="34">
        <f>IF(E763=1,Orders!M760,"")</f>
        <v>4.1</v>
      </c>
      <c r="AJ763" s="34">
        <f>IF(E763=1,Orders!N760,"")</f>
        <v>1.9</v>
      </c>
      <c r="AK763" s="34">
        <f>IF(E763=1,Orders!O760,"")</f>
        <v>4.3</v>
      </c>
      <c r="AL763" s="33">
        <f>IF(E763=1,IF(ROUND(ABS(AI763+AJ763+AK763-AH763),6)&lt;=0.1,1,0),"")</f>
        <v>1</v>
      </c>
      <c r="AM763" s="36">
        <f>IF(E763=1,AI763/AH763,"")</f>
        <v>0.398058252427184</v>
      </c>
      <c r="AN763" s="36">
        <f>IF(E763=1,AJ763/AH763,"")</f>
        <v>0.184466019417476</v>
      </c>
      <c r="AO763" s="36">
        <f>IF(E763=1,AK763/AH763,"")</f>
        <v>0.41747572815534</v>
      </c>
      <c r="AP763" s="34">
        <f>IF(E763=1,Orders!Y760,"")</f>
        <v>0.44</v>
      </c>
      <c r="AQ763" s="33">
        <f>IF(Orders!X760,1,0)</f>
        <v>0</v>
      </c>
      <c r="AR763" s="34" t="str">
        <f>IF(AND(E763=1,L763=1),AJ763,"")</f>
        <v/>
      </c>
      <c r="AS763" s="34">
        <f>IF(AND(E763=1,L763=0),AJ763,"")</f>
        <v>1.9</v>
      </c>
      <c r="AT763" s="34" t="str">
        <f>IF(AND(E763=1,L763=1),AI763,"")</f>
        <v/>
      </c>
      <c r="AU763" s="34">
        <f>IF(AND(E763=1,L763=0),AI763,"")</f>
        <v>4.1</v>
      </c>
      <c r="AV763" s="34" t="str">
        <f>IF(AND(E763=1,L763=1),AG763,"")</f>
        <v/>
      </c>
      <c r="AW763" s="34">
        <f>IF(AND(E763=1,L763=0),AG763,"")</f>
        <v>10.1</v>
      </c>
      <c r="AX763" s="34" t="str">
        <f>IF(AND(E763=1,L763=1),AH763,"")</f>
        <v/>
      </c>
      <c r="AY763" s="34">
        <f>IF(AND(E763=1,L763=0),AH763,"")</f>
        <v>10.3</v>
      </c>
      <c r="AZ763" s="34">
        <f>IF(G763=1,F763,"")</f>
        <v>0.2</v>
      </c>
      <c r="BA763" s="34" t="str">
        <f>IF(AND(G763=1,L763=1),F763,"")</f>
        <v/>
      </c>
      <c r="BB763" s="34">
        <f>IF(AND(G763=1,L763=0),F763,"")</f>
        <v>0.2</v>
      </c>
      <c r="BC763" s="33">
        <f>IF(E763=1,IF(Orders!R760&gt;3,1,0),"")</f>
        <v>0</v>
      </c>
      <c r="BD763" s="33">
        <f>IF(E763=1,IF(Orders!R760&gt;7,1,0),"")</f>
        <v>0</v>
      </c>
      <c r="BE763" s="32" t="str">
        <f>IF(E763=1,IF(Orders!L760&lt;=1.5,"Up to 1.5 km",IF(Orders!L760&lt;=3,"1.5–3 km","Over 3 km")),"")</f>
        <v>Up to 1.5 km</v>
      </c>
      <c r="BF763" s="33">
        <f>IF(E763=1,IF(ABS((Orders!G760-Orders!F760)*1440-Orders!R760)&lt;0.06,1,0),"")</f>
        <v>1</v>
      </c>
      <c r="BG763" s="33">
        <f>IF(ABS((Orders!F760-Orders!E760)*1440-Orders!P760)&lt;0.06,1,0)</f>
        <v>1</v>
      </c>
      <c r="BH763" s="33">
        <f>IF(E763=1,IF(IF(Orders!S760,1,0)=1-G763,1,0),"")</f>
        <v>1</v>
      </c>
      <c r="BI763" s="32" t="str">
        <f>INDEX(Stores!$B$2:$B$21,MATCH(B763,Stores!$A$2:$A$21,0))</f>
        <v>Hyderabad</v>
      </c>
    </row>
    <row r="764">
      <c r="A764" s="32" t="str">
        <f>Orders!A761</f>
        <v>O00760</v>
      </c>
      <c r="B764" s="32" t="str">
        <f>Orders!C761</f>
        <v>S020</v>
      </c>
      <c r="C764" s="32" t="str">
        <f>Orders!B761</f>
        <v>C0111</v>
      </c>
      <c r="D764" s="32" t="str">
        <f>Orders!H761</f>
        <v>Delivered</v>
      </c>
      <c r="E764" s="33">
        <f>IF(Orders!H761="Delivered",1,0)</f>
        <v>1</v>
      </c>
      <c r="F764" s="34">
        <f>IF(E764=1,Orders!R761,"")</f>
        <v>9</v>
      </c>
      <c r="G764" s="33">
        <f>IF(E764=1,IF(Orders!R761&gt;0,1,0),"")</f>
        <v>1</v>
      </c>
      <c r="H764" s="33">
        <f>IF(E764=1,IF(Orders!R761&gt;5,1,0),"")</f>
        <v>1</v>
      </c>
      <c r="I764" s="32" t="str">
        <f>IF(E764=1,"",IF(OR(Orders!T761="Rider unavailable",Orders!T761="Item unavailable"),"Company-caused","Unresolved"))</f>
        <v/>
      </c>
      <c r="J764" s="33">
        <f>IF(OR(E764=1,I764="Company-caused"),1,0)</f>
        <v>1</v>
      </c>
      <c r="K764" s="32" t="str">
        <f>IF(E764=0,IF(I764="Company-caused",IF(Orders!T761="Rider unavailable","C1 Rider unavailable","C2 Item unavailable"),"Outside root: unresolved"),IF(G764=0,"A On time",IF(H764=1,IF(L764=1,"B2a Severe, peak","B2b Severe, off-peak"),IF(L764=1,"B1a Slight, peak","B1b Slight, off-peak"))))</f>
        <v>B2b Severe, off-peak</v>
      </c>
      <c r="L764" s="33">
        <f>IF(AND(Orders!U761&gt;=19,Orders!U761&lt;22),1,0)</f>
        <v>0</v>
      </c>
      <c r="M764" s="33">
        <f>IF(L764=IF(Orders!V761,1,0),1,0)</f>
        <v>1</v>
      </c>
      <c r="N764" s="32" t="str">
        <f>IF(Orders!W761="","None",Orders!W761)</f>
        <v>Light</v>
      </c>
      <c r="O764" s="35">
        <f>INT(Orders!E761)</f>
        <v>46276.0</v>
      </c>
      <c r="P764" s="33">
        <f>Orders!U761</f>
        <v>8</v>
      </c>
      <c r="Q764" s="33">
        <f>COUNTIFS(Demand!$A$2:$A$4481,B764,Demand!$B$2:$B$4481,O764,Demand!$C$2:$C$4481,P764)</f>
        <v>1</v>
      </c>
      <c r="R764" s="33">
        <f>IF(Q764=1,SUMIFS(Demand!$E$2:$E$4481,Demand!$A$2:$A$4481,B764,Demand!$B$2:$B$4481,O764,Demand!$C$2:$C$4481,P764),"")</f>
        <v>11</v>
      </c>
      <c r="S764" s="33">
        <f>INDEX(Stores!$G$2:$G$21,MATCH(B764,Stores!$A$2:$A$21,0))</f>
        <v>15</v>
      </c>
      <c r="T764" s="34">
        <f>IF(R764="","",R764/S764)</f>
        <v>0.733333333333333</v>
      </c>
      <c r="U764" s="34">
        <f>IF(E764=1,T764,"")</f>
        <v>0.733333333333333</v>
      </c>
      <c r="V764" s="34">
        <f>IF(AND(E764=1,L764=0),T764,"")</f>
        <v>0.733333333333333</v>
      </c>
      <c r="W764" s="33">
        <f>IF(U764="","",IF(U764&lt;=Breakdowns!$C$5,1,IF(U764&lt;=Breakdowns!$C$6,2,IF(U764&lt;=Breakdowns!$C$7,3,4))))</f>
        <v>1</v>
      </c>
      <c r="X764" s="33">
        <f>IF(V764="","",IF(V764&lt;=Breakdowns!$D$5,1,IF(V764&lt;=Breakdowns!$D$6,2,IF(V764&lt;=Breakdowns!$D$7,3,4))))</f>
        <v>1</v>
      </c>
      <c r="Y764" s="34">
        <f>INDEX(Stores!$F$2:$F$21,MATCH(B764,Stores!$A$2:$A$21,0))</f>
        <v>5.74</v>
      </c>
      <c r="Z764" s="33">
        <f>IF(Y764&gt;Store_Summary!$M$2,1,0)</f>
        <v>1</v>
      </c>
      <c r="AA764" s="33">
        <f>INDEX(Stores!$C$2:$C$21,MATCH(B764,Stores!$A$2:$A$21,0))</f>
        <v>647</v>
      </c>
      <c r="AB764" s="33">
        <f>IF(AA764&lt;180,1,0)</f>
        <v>0</v>
      </c>
      <c r="AC764" s="32" t="str">
        <f>IF(Orders!D761="","",INDEX(Riders!$C$2:$C$81,MATCH(Orders!D761,Riders!$A$2:$A$81,0)))</f>
        <v>Petrol scooter</v>
      </c>
      <c r="AD764" s="33">
        <f>IF(Orders!D761="","",INDEX(Riders!$D$2:$D$81,MATCH(Orders!D761,Riders!$A$2:$A$81,0)))</f>
        <v>37</v>
      </c>
      <c r="AE764" s="33">
        <f>IF(Orders!D761="","",IF(INDEX(Riders!$B$2:$B$81,MATCH(Orders!D761,Riders!$A$2:$A$81,0))=B764,1,0))</f>
        <v>0</v>
      </c>
      <c r="AF764" s="34">
        <f>IF(E764=1,Orders!L761,"")</f>
        <v>0.66</v>
      </c>
      <c r="AG764" s="34">
        <f>IF(E764=1,Orders!P761,"")</f>
        <v>9</v>
      </c>
      <c r="AH764" s="34">
        <f>IF(E764=1,Orders!Q761,"")</f>
        <v>18</v>
      </c>
      <c r="AI764" s="34">
        <f>IF(E764=1,Orders!M761,"")</f>
        <v>5.7</v>
      </c>
      <c r="AJ764" s="34">
        <f>IF(E764=1,Orders!N761,"")</f>
        <v>7.8</v>
      </c>
      <c r="AK764" s="34">
        <f>IF(E764=1,Orders!O761,"")</f>
        <v>4.5</v>
      </c>
      <c r="AL764" s="33">
        <f>IF(E764=1,IF(ROUND(ABS(AI764+AJ764+AK764-AH764),6)&lt;=0.1,1,0),"")</f>
        <v>1</v>
      </c>
      <c r="AM764" s="36">
        <f>IF(E764=1,AI764/AH764,"")</f>
        <v>0.316666666666667</v>
      </c>
      <c r="AN764" s="36">
        <f>IF(E764=1,AJ764/AH764,"")</f>
        <v>0.433333333333333</v>
      </c>
      <c r="AO764" s="36">
        <f>IF(E764=1,AK764/AH764,"")</f>
        <v>0.25</v>
      </c>
      <c r="AP764" s="34">
        <f>IF(E764=1,Orders!Y761,"")</f>
        <v>0.74</v>
      </c>
      <c r="AQ764" s="33">
        <f>IF(Orders!X761,1,0)</f>
        <v>0</v>
      </c>
      <c r="AR764" s="34" t="str">
        <f>IF(AND(E764=1,L764=1),AJ764,"")</f>
        <v/>
      </c>
      <c r="AS764" s="34">
        <f>IF(AND(E764=1,L764=0),AJ764,"")</f>
        <v>7.8</v>
      </c>
      <c r="AT764" s="34" t="str">
        <f>IF(AND(E764=1,L764=1),AI764,"")</f>
        <v/>
      </c>
      <c r="AU764" s="34">
        <f>IF(AND(E764=1,L764=0),AI764,"")</f>
        <v>5.7</v>
      </c>
      <c r="AV764" s="34" t="str">
        <f>IF(AND(E764=1,L764=1),AG764,"")</f>
        <v/>
      </c>
      <c r="AW764" s="34">
        <f>IF(AND(E764=1,L764=0),AG764,"")</f>
        <v>9</v>
      </c>
      <c r="AX764" s="34" t="str">
        <f>IF(AND(E764=1,L764=1),AH764,"")</f>
        <v/>
      </c>
      <c r="AY764" s="34">
        <f>IF(AND(E764=1,L764=0),AH764,"")</f>
        <v>18</v>
      </c>
      <c r="AZ764" s="34">
        <f>IF(G764=1,F764,"")</f>
        <v>9</v>
      </c>
      <c r="BA764" s="34" t="str">
        <f>IF(AND(G764=1,L764=1),F764,"")</f>
        <v/>
      </c>
      <c r="BB764" s="34">
        <f>IF(AND(G764=1,L764=0),F764,"")</f>
        <v>9</v>
      </c>
      <c r="BC764" s="33">
        <f>IF(E764=1,IF(Orders!R761&gt;3,1,0),"")</f>
        <v>1</v>
      </c>
      <c r="BD764" s="33">
        <f>IF(E764=1,IF(Orders!R761&gt;7,1,0),"")</f>
        <v>1</v>
      </c>
      <c r="BE764" s="32" t="str">
        <f>IF(E764=1,IF(Orders!L761&lt;=1.5,"Up to 1.5 km",IF(Orders!L761&lt;=3,"1.5–3 km","Over 3 km")),"")</f>
        <v>Up to 1.5 km</v>
      </c>
      <c r="BF764" s="33">
        <f>IF(E764=1,IF(ABS((Orders!G761-Orders!F761)*1440-Orders!R761)&lt;0.06,1,0),"")</f>
        <v>1</v>
      </c>
      <c r="BG764" s="33">
        <f>IF(ABS((Orders!F761-Orders!E761)*1440-Orders!P761)&lt;0.06,1,0)</f>
        <v>1</v>
      </c>
      <c r="BH764" s="33">
        <f>IF(E764=1,IF(IF(Orders!S761,1,0)=1-G764,1,0),"")</f>
        <v>1</v>
      </c>
      <c r="BI764" s="32" t="str">
        <f>INDEX(Stores!$B$2:$B$21,MATCH(B764,Stores!$A$2:$A$21,0))</f>
        <v>Delhi</v>
      </c>
    </row>
    <row r="765">
      <c r="A765" s="32" t="str">
        <f>Orders!A762</f>
        <v>O00761</v>
      </c>
      <c r="B765" s="32" t="str">
        <f>Orders!C762</f>
        <v>S007</v>
      </c>
      <c r="C765" s="32" t="str">
        <f>Orders!B762</f>
        <v>C0200</v>
      </c>
      <c r="D765" s="32" t="str">
        <f>Orders!H762</f>
        <v>Delivered</v>
      </c>
      <c r="E765" s="33">
        <f>IF(Orders!H762="Delivered",1,0)</f>
        <v>1</v>
      </c>
      <c r="F765" s="34">
        <f>IF(E765=1,Orders!R762,"")</f>
        <v>-0.4</v>
      </c>
      <c r="G765" s="33">
        <f>IF(E765=1,IF(Orders!R762&gt;0,1,0),"")</f>
        <v>0</v>
      </c>
      <c r="H765" s="33">
        <f>IF(E765=1,IF(Orders!R762&gt;5,1,0),"")</f>
        <v>0</v>
      </c>
      <c r="I765" s="32" t="str">
        <f>IF(E765=1,"",IF(OR(Orders!T762="Rider unavailable",Orders!T762="Item unavailable"),"Company-caused","Unresolved"))</f>
        <v/>
      </c>
      <c r="J765" s="33">
        <f>IF(OR(E765=1,I765="Company-caused"),1,0)</f>
        <v>1</v>
      </c>
      <c r="K765" s="32" t="str">
        <f>IF(E765=0,IF(I765="Company-caused",IF(Orders!T762="Rider unavailable","C1 Rider unavailable","C2 Item unavailable"),"Outside root: unresolved"),IF(G765=0,"A On time",IF(H765=1,IF(L765=1,"B2a Severe, peak","B2b Severe, off-peak"),IF(L765=1,"B1a Slight, peak","B1b Slight, off-peak"))))</f>
        <v>A On time</v>
      </c>
      <c r="L765" s="33">
        <f>IF(AND(Orders!U762&gt;=19,Orders!U762&lt;22),1,0)</f>
        <v>0</v>
      </c>
      <c r="M765" s="33">
        <f>IF(L765=IF(Orders!V762,1,0),1,0)</f>
        <v>1</v>
      </c>
      <c r="N765" s="32" t="str">
        <f>IF(Orders!W762="","None",Orders!W762)</f>
        <v>Light</v>
      </c>
      <c r="O765" s="35">
        <f>INT(Orders!E762)</f>
        <v>46271.0</v>
      </c>
      <c r="P765" s="33">
        <f>Orders!U762</f>
        <v>13</v>
      </c>
      <c r="Q765" s="33">
        <f>COUNTIFS(Demand!$A$2:$A$4481,B765,Demand!$B$2:$B$4481,O765,Demand!$C$2:$C$4481,P765)</f>
        <v>1</v>
      </c>
      <c r="R765" s="33">
        <f>IF(Q765=1,SUMIFS(Demand!$E$2:$E$4481,Demand!$A$2:$A$4481,B765,Demand!$B$2:$B$4481,O765,Demand!$C$2:$C$4481,P765),"")</f>
        <v>40</v>
      </c>
      <c r="S765" s="33">
        <f>INDEX(Stores!$G$2:$G$21,MATCH(B765,Stores!$A$2:$A$21,0))</f>
        <v>37</v>
      </c>
      <c r="T765" s="34">
        <f>IF(R765="","",R765/S765)</f>
        <v>1.08108108108108</v>
      </c>
      <c r="U765" s="34">
        <f>IF(E765=1,T765,"")</f>
        <v>1.08108108108108</v>
      </c>
      <c r="V765" s="34">
        <f>IF(AND(E765=1,L765=0),T765,"")</f>
        <v>1.08108108108108</v>
      </c>
      <c r="W765" s="33">
        <f>IF(U765="","",IF(U765&lt;=Breakdowns!$C$5,1,IF(U765&lt;=Breakdowns!$C$6,2,IF(U765&lt;=Breakdowns!$C$7,3,4))))</f>
        <v>3</v>
      </c>
      <c r="X765" s="33">
        <f>IF(V765="","",IF(V765&lt;=Breakdowns!$D$5,1,IF(V765&lt;=Breakdowns!$D$6,2,IF(V765&lt;=Breakdowns!$D$7,3,4))))</f>
        <v>4</v>
      </c>
      <c r="Y765" s="34">
        <f>INDEX(Stores!$F$2:$F$21,MATCH(B765,Stores!$A$2:$A$21,0))</f>
        <v>4.05</v>
      </c>
      <c r="Z765" s="33">
        <f>IF(Y765&gt;Store_Summary!$M$2,1,0)</f>
        <v>0</v>
      </c>
      <c r="AA765" s="33">
        <f>INDEX(Stores!$C$2:$C$21,MATCH(B765,Stores!$A$2:$A$21,0))</f>
        <v>661</v>
      </c>
      <c r="AB765" s="33">
        <f>IF(AA765&lt;180,1,0)</f>
        <v>0</v>
      </c>
      <c r="AC765" s="32" t="str">
        <f>IF(Orders!D762="","",INDEX(Riders!$C$2:$C$81,MATCH(Orders!D762,Riders!$A$2:$A$81,0)))</f>
        <v>EV scooter</v>
      </c>
      <c r="AD765" s="33">
        <f>IF(Orders!D762="","",INDEX(Riders!$D$2:$D$81,MATCH(Orders!D762,Riders!$A$2:$A$81,0)))</f>
        <v>36</v>
      </c>
      <c r="AE765" s="33">
        <f>IF(Orders!D762="","",IF(INDEX(Riders!$B$2:$B$81,MATCH(Orders!D762,Riders!$A$2:$A$81,0))=B765,1,0))</f>
        <v>0</v>
      </c>
      <c r="AF765" s="34">
        <f>IF(E765=1,Orders!L762,"")</f>
        <v>1.49</v>
      </c>
      <c r="AG765" s="34">
        <f>IF(E765=1,Orders!P762,"")</f>
        <v>11.4</v>
      </c>
      <c r="AH765" s="34">
        <f>IF(E765=1,Orders!Q762,"")</f>
        <v>11</v>
      </c>
      <c r="AI765" s="34">
        <f>IF(E765=1,Orders!M762,"")</f>
        <v>5.3</v>
      </c>
      <c r="AJ765" s="34">
        <f>IF(E765=1,Orders!N762,"")</f>
        <v>0.6</v>
      </c>
      <c r="AK765" s="34">
        <f>IF(E765=1,Orders!O762,"")</f>
        <v>5.1</v>
      </c>
      <c r="AL765" s="33">
        <f>IF(E765=1,IF(ROUND(ABS(AI765+AJ765+AK765-AH765),6)&lt;=0.1,1,0),"")</f>
        <v>1</v>
      </c>
      <c r="AM765" s="36">
        <f>IF(E765=1,AI765/AH765,"")</f>
        <v>0.481818181818182</v>
      </c>
      <c r="AN765" s="36">
        <f>IF(E765=1,AJ765/AH765,"")</f>
        <v>0.0545454545454545</v>
      </c>
      <c r="AO765" s="36">
        <f>IF(E765=1,AK765/AH765,"")</f>
        <v>0.463636363636364</v>
      </c>
      <c r="AP765" s="34">
        <f>IF(E765=1,Orders!Y762,"")</f>
        <v>0.37</v>
      </c>
      <c r="AQ765" s="33">
        <f>IF(Orders!X762,1,0)</f>
        <v>0</v>
      </c>
      <c r="AR765" s="34" t="str">
        <f>IF(AND(E765=1,L765=1),AJ765,"")</f>
        <v/>
      </c>
      <c r="AS765" s="34">
        <f>IF(AND(E765=1,L765=0),AJ765,"")</f>
        <v>0.6</v>
      </c>
      <c r="AT765" s="34" t="str">
        <f>IF(AND(E765=1,L765=1),AI765,"")</f>
        <v/>
      </c>
      <c r="AU765" s="34">
        <f>IF(AND(E765=1,L765=0),AI765,"")</f>
        <v>5.3</v>
      </c>
      <c r="AV765" s="34" t="str">
        <f>IF(AND(E765=1,L765=1),AG765,"")</f>
        <v/>
      </c>
      <c r="AW765" s="34">
        <f>IF(AND(E765=1,L765=0),AG765,"")</f>
        <v>11.4</v>
      </c>
      <c r="AX765" s="34" t="str">
        <f>IF(AND(E765=1,L765=1),AH765,"")</f>
        <v/>
      </c>
      <c r="AY765" s="34">
        <f>IF(AND(E765=1,L765=0),AH765,"")</f>
        <v>11</v>
      </c>
      <c r="AZ765" s="34" t="str">
        <f>IF(G765=1,F765,"")</f>
        <v/>
      </c>
      <c r="BA765" s="34" t="str">
        <f>IF(AND(G765=1,L765=1),F765,"")</f>
        <v/>
      </c>
      <c r="BB765" s="34" t="str">
        <f>IF(AND(G765=1,L765=0),F765,"")</f>
        <v/>
      </c>
      <c r="BC765" s="33">
        <f>IF(E765=1,IF(Orders!R762&gt;3,1,0),"")</f>
        <v>0</v>
      </c>
      <c r="BD765" s="33">
        <f>IF(E765=1,IF(Orders!R762&gt;7,1,0),"")</f>
        <v>0</v>
      </c>
      <c r="BE765" s="32" t="str">
        <f>IF(E765=1,IF(Orders!L762&lt;=1.5,"Up to 1.5 km",IF(Orders!L762&lt;=3,"1.5–3 km","Over 3 km")),"")</f>
        <v>Up to 1.5 km</v>
      </c>
      <c r="BF765" s="33">
        <f>IF(E765=1,IF(ABS((Orders!G762-Orders!F762)*1440-Orders!R762)&lt;0.06,1,0),"")</f>
        <v>1</v>
      </c>
      <c r="BG765" s="33">
        <f>IF(ABS((Orders!F762-Orders!E762)*1440-Orders!P762)&lt;0.06,1,0)</f>
        <v>1</v>
      </c>
      <c r="BH765" s="33">
        <f>IF(E765=1,IF(IF(Orders!S762,1,0)=1-G765,1,0),"")</f>
        <v>1</v>
      </c>
      <c r="BI765" s="32" t="str">
        <f>INDEX(Stores!$B$2:$B$21,MATCH(B765,Stores!$A$2:$A$21,0))</f>
        <v>Hyderabad</v>
      </c>
    </row>
    <row r="766">
      <c r="A766" s="32" t="str">
        <f>Orders!A763</f>
        <v>O00762</v>
      </c>
      <c r="B766" s="32" t="str">
        <f>Orders!C763</f>
        <v>S015</v>
      </c>
      <c r="C766" s="32" t="str">
        <f>Orders!B763</f>
        <v>C0176</v>
      </c>
      <c r="D766" s="32" t="str">
        <f>Orders!H763</f>
        <v>Cancelled</v>
      </c>
      <c r="E766" s="33">
        <f>IF(Orders!H763="Delivered",1,0)</f>
        <v>0</v>
      </c>
      <c r="F766" s="34" t="str">
        <f>IF(E766=1,Orders!R763,"")</f>
        <v/>
      </c>
      <c r="G766" s="33" t="str">
        <f>IF(E766=1,IF(Orders!R763&gt;0,1,0),"")</f>
        <v/>
      </c>
      <c r="H766" s="33" t="str">
        <f>IF(E766=1,IF(Orders!R763&gt;5,1,0),"")</f>
        <v/>
      </c>
      <c r="I766" s="32" t="str">
        <f>IF(E766=1,"",IF(OR(Orders!T763="Rider unavailable",Orders!T763="Item unavailable"),"Company-caused","Unresolved"))</f>
        <v>Unresolved</v>
      </c>
      <c r="J766" s="33">
        <f>IF(OR(E766=1,I766="Company-caused"),1,0)</f>
        <v>0</v>
      </c>
      <c r="K766" s="32" t="str">
        <f>IF(E766=0,IF(I766="Company-caused",IF(Orders!T763="Rider unavailable","C1 Rider unavailable","C2 Item unavailable"),"Outside root: unresolved"),IF(G766=0,"A On time",IF(H766=1,IF(L766=1,"B2a Severe, peak","B2b Severe, off-peak"),IF(L766=1,"B1a Slight, peak","B1b Slight, off-peak"))))</f>
        <v>Outside root: unresolved</v>
      </c>
      <c r="L766" s="33">
        <f>IF(AND(Orders!U763&gt;=19,Orders!U763&lt;22),1,0)</f>
        <v>1</v>
      </c>
      <c r="M766" s="33">
        <f>IF(L766=IF(Orders!V763,1,0),1,0)</f>
        <v>1</v>
      </c>
      <c r="N766" s="32" t="str">
        <f>IF(Orders!W763="","None",Orders!W763)</f>
        <v>Light</v>
      </c>
      <c r="O766" s="35">
        <f>INT(Orders!E763)</f>
        <v>46279.0</v>
      </c>
      <c r="P766" s="33">
        <f>Orders!U763</f>
        <v>21</v>
      </c>
      <c r="Q766" s="33">
        <f>COUNTIFS(Demand!$A$2:$A$4481,B766,Demand!$B$2:$B$4481,O766,Demand!$C$2:$C$4481,P766)</f>
        <v>1</v>
      </c>
      <c r="R766" s="33">
        <f>IF(Q766=1,SUMIFS(Demand!$E$2:$E$4481,Demand!$A$2:$A$4481,B766,Demand!$B$2:$B$4481,O766,Demand!$C$2:$C$4481,P766),"")</f>
        <v>26</v>
      </c>
      <c r="S766" s="33">
        <f>INDEX(Stores!$G$2:$G$21,MATCH(B766,Stores!$A$2:$A$21,0))</f>
        <v>23</v>
      </c>
      <c r="T766" s="34">
        <f>IF(R766="","",R766/S766)</f>
        <v>1.1304347826087</v>
      </c>
      <c r="U766" s="34" t="str">
        <f>IF(E766=1,T766,"")</f>
        <v/>
      </c>
      <c r="V766" s="34" t="str">
        <f>IF(AND(E766=1,L766=0),T766,"")</f>
        <v/>
      </c>
      <c r="W766" s="33" t="str">
        <f>IF(U766="","",IF(U766&lt;=Breakdowns!$C$5,1,IF(U766&lt;=Breakdowns!$C$6,2,IF(U766&lt;=Breakdowns!$C$7,3,4))))</f>
        <v/>
      </c>
      <c r="X766" s="33" t="str">
        <f>IF(V766="","",IF(V766&lt;=Breakdowns!$D$5,1,IF(V766&lt;=Breakdowns!$D$6,2,IF(V766&lt;=Breakdowns!$D$7,3,4))))</f>
        <v/>
      </c>
      <c r="Y766" s="34">
        <f>INDEX(Stores!$F$2:$F$21,MATCH(B766,Stores!$A$2:$A$21,0))</f>
        <v>4.66</v>
      </c>
      <c r="Z766" s="33">
        <f>IF(Y766&gt;Store_Summary!$M$2,1,0)</f>
        <v>0</v>
      </c>
      <c r="AA766" s="33">
        <f>INDEX(Stores!$C$2:$C$21,MATCH(B766,Stores!$A$2:$A$21,0))</f>
        <v>204</v>
      </c>
      <c r="AB766" s="33">
        <f>IF(AA766&lt;180,1,0)</f>
        <v>0</v>
      </c>
      <c r="AC766" s="32" t="str">
        <f>IF(Orders!D763="","",INDEX(Riders!$C$2:$C$81,MATCH(Orders!D763,Riders!$A$2:$A$81,0)))</f>
        <v/>
      </c>
      <c r="AD766" s="33" t="str">
        <f>IF(Orders!D763="","",INDEX(Riders!$D$2:$D$81,MATCH(Orders!D763,Riders!$A$2:$A$81,0)))</f>
        <v/>
      </c>
      <c r="AE766" s="33" t="str">
        <f>IF(Orders!D763="","",IF(INDEX(Riders!$B$2:$B$81,MATCH(Orders!D763,Riders!$A$2:$A$81,0))=B766,1,0))</f>
        <v/>
      </c>
      <c r="AF766" s="34" t="str">
        <f>IF(E766=1,Orders!L763,"")</f>
        <v/>
      </c>
      <c r="AG766" s="34" t="str">
        <f>IF(E766=1,Orders!P763,"")</f>
        <v/>
      </c>
      <c r="AH766" s="34" t="str">
        <f>IF(E766=1,Orders!Q763,"")</f>
        <v/>
      </c>
      <c r="AI766" s="34" t="str">
        <f>IF(E766=1,Orders!M763,"")</f>
        <v/>
      </c>
      <c r="AJ766" s="34" t="str">
        <f>IF(E766=1,Orders!N763,"")</f>
        <v/>
      </c>
      <c r="AK766" s="34" t="str">
        <f>IF(E766=1,Orders!O763,"")</f>
        <v/>
      </c>
      <c r="AL766" s="33" t="str">
        <f>IF(E766=1,IF(ROUND(ABS(AI766+AJ766+AK766-AH766),6)&lt;=0.1,1,0),"")</f>
        <v/>
      </c>
      <c r="AM766" s="36" t="str">
        <f>IF(E766=1,AI766/AH766,"")</f>
        <v/>
      </c>
      <c r="AN766" s="36" t="str">
        <f>IF(E766=1,AJ766/AH766,"")</f>
        <v/>
      </c>
      <c r="AO766" s="36" t="str">
        <f>IF(E766=1,AK766/AH766,"")</f>
        <v/>
      </c>
      <c r="AP766" s="34" t="str">
        <f>IF(E766=1,Orders!Y763,"")</f>
        <v/>
      </c>
      <c r="AQ766" s="33">
        <f>IF(Orders!X763,1,0)</f>
        <v>0</v>
      </c>
      <c r="AR766" s="34" t="str">
        <f>IF(AND(E766=1,L766=1),AJ766,"")</f>
        <v/>
      </c>
      <c r="AS766" s="34" t="str">
        <f>IF(AND(E766=1,L766=0),AJ766,"")</f>
        <v/>
      </c>
      <c r="AT766" s="34" t="str">
        <f>IF(AND(E766=1,L766=1),AI766,"")</f>
        <v/>
      </c>
      <c r="AU766" s="34" t="str">
        <f>IF(AND(E766=1,L766=0),AI766,"")</f>
        <v/>
      </c>
      <c r="AV766" s="34" t="str">
        <f>IF(AND(E766=1,L766=1),AG766,"")</f>
        <v/>
      </c>
      <c r="AW766" s="34" t="str">
        <f>IF(AND(E766=1,L766=0),AG766,"")</f>
        <v/>
      </c>
      <c r="AX766" s="34" t="str">
        <f>IF(AND(E766=1,L766=1),AH766,"")</f>
        <v/>
      </c>
      <c r="AY766" s="34" t="str">
        <f>IF(AND(E766=1,L766=0),AH766,"")</f>
        <v/>
      </c>
      <c r="AZ766" s="34" t="str">
        <f>IF(G766=1,F766,"")</f>
        <v/>
      </c>
      <c r="BA766" s="34" t="str">
        <f>IF(AND(G766=1,L766=1),F766,"")</f>
        <v/>
      </c>
      <c r="BB766" s="34" t="str">
        <f>IF(AND(G766=1,L766=0),F766,"")</f>
        <v/>
      </c>
      <c r="BC766" s="33" t="str">
        <f>IF(E766=1,IF(Orders!R763&gt;3,1,0),"")</f>
        <v/>
      </c>
      <c r="BD766" s="33" t="str">
        <f>IF(E766=1,IF(Orders!R763&gt;7,1,0),"")</f>
        <v/>
      </c>
      <c r="BE766" s="32" t="str">
        <f>IF(E766=1,IF(Orders!L763&lt;=1.5,"Up to 1.5 km",IF(Orders!L763&lt;=3,"1.5–3 km","Over 3 km")),"")</f>
        <v/>
      </c>
      <c r="BF766" s="33" t="str">
        <f>IF(E766=1,IF(ABS((Orders!G763-Orders!F763)*1440-Orders!R763)&lt;0.06,1,0),"")</f>
        <v/>
      </c>
      <c r="BG766" s="33">
        <f>IF(ABS((Orders!F763-Orders!E763)*1440-Orders!P763)&lt;0.06,1,0)</f>
        <v>1</v>
      </c>
      <c r="BH766" s="33" t="str">
        <f>IF(E766=1,IF(IF(Orders!S763,1,0)=1-G766,1,0),"")</f>
        <v/>
      </c>
      <c r="BI766" s="32" t="str">
        <f>INDEX(Stores!$B$2:$B$21,MATCH(B766,Stores!$A$2:$A$21,0))</f>
        <v>Delhi</v>
      </c>
    </row>
    <row r="767">
      <c r="A767" s="32" t="str">
        <f>Orders!A764</f>
        <v>O00763</v>
      </c>
      <c r="B767" s="32" t="str">
        <f>Orders!C764</f>
        <v>S019</v>
      </c>
      <c r="C767" s="32" t="str">
        <f>Orders!B764</f>
        <v>C0069</v>
      </c>
      <c r="D767" s="32" t="str">
        <f>Orders!H764</f>
        <v>Delivered</v>
      </c>
      <c r="E767" s="33">
        <f>IF(Orders!H764="Delivered",1,0)</f>
        <v>1</v>
      </c>
      <c r="F767" s="34">
        <f>IF(E767=1,Orders!R764,"")</f>
        <v>-1</v>
      </c>
      <c r="G767" s="33">
        <f>IF(E767=1,IF(Orders!R764&gt;0,1,0),"")</f>
        <v>0</v>
      </c>
      <c r="H767" s="33">
        <f>IF(E767=1,IF(Orders!R764&gt;5,1,0),"")</f>
        <v>0</v>
      </c>
      <c r="I767" s="32" t="str">
        <f>IF(E767=1,"",IF(OR(Orders!T764="Rider unavailable",Orders!T764="Item unavailable"),"Company-caused","Unresolved"))</f>
        <v/>
      </c>
      <c r="J767" s="33">
        <f>IF(OR(E767=1,I767="Company-caused"),1,0)</f>
        <v>1</v>
      </c>
      <c r="K767" s="32" t="str">
        <f>IF(E767=0,IF(I767="Company-caused",IF(Orders!T764="Rider unavailable","C1 Rider unavailable","C2 Item unavailable"),"Outside root: unresolved"),IF(G767=0,"A On time",IF(H767=1,IF(L767=1,"B2a Severe, peak","B2b Severe, off-peak"),IF(L767=1,"B1a Slight, peak","B1b Slight, off-peak"))))</f>
        <v>A On time</v>
      </c>
      <c r="L767" s="33">
        <f>IF(AND(Orders!U764&gt;=19,Orders!U764&lt;22),1,0)</f>
        <v>0</v>
      </c>
      <c r="M767" s="33">
        <f>IF(L767=IF(Orders!V764,1,0),1,0)</f>
        <v>1</v>
      </c>
      <c r="N767" s="32" t="str">
        <f>IF(Orders!W764="","None",Orders!W764)</f>
        <v>None</v>
      </c>
      <c r="O767" s="35">
        <f>INT(Orders!E764)</f>
        <v>46279.0</v>
      </c>
      <c r="P767" s="33">
        <f>Orders!U764</f>
        <v>22</v>
      </c>
      <c r="Q767" s="33">
        <f>COUNTIFS(Demand!$A$2:$A$4481,B767,Demand!$B$2:$B$4481,O767,Demand!$C$2:$C$4481,P767)</f>
        <v>1</v>
      </c>
      <c r="R767" s="33">
        <f>IF(Q767=1,SUMIFS(Demand!$E$2:$E$4481,Demand!$A$2:$A$4481,B767,Demand!$B$2:$B$4481,O767,Demand!$C$2:$C$4481,P767),"")</f>
        <v>19</v>
      </c>
      <c r="S767" s="33">
        <f>INDEX(Stores!$G$2:$G$21,MATCH(B767,Stores!$A$2:$A$21,0))</f>
        <v>22</v>
      </c>
      <c r="T767" s="34">
        <f>IF(R767="","",R767/S767)</f>
        <v>0.863636363636364</v>
      </c>
      <c r="U767" s="34">
        <f>IF(E767=1,T767,"")</f>
        <v>0.863636363636364</v>
      </c>
      <c r="V767" s="34">
        <f>IF(AND(E767=1,L767=0),T767,"")</f>
        <v>0.863636363636364</v>
      </c>
      <c r="W767" s="33">
        <f>IF(U767="","",IF(U767&lt;=Breakdowns!$C$5,1,IF(U767&lt;=Breakdowns!$C$6,2,IF(U767&lt;=Breakdowns!$C$7,3,4))))</f>
        <v>2</v>
      </c>
      <c r="X767" s="33">
        <f>IF(V767="","",IF(V767&lt;=Breakdowns!$D$5,1,IF(V767&lt;=Breakdowns!$D$6,2,IF(V767&lt;=Breakdowns!$D$7,3,4))))</f>
        <v>2</v>
      </c>
      <c r="Y767" s="34">
        <f>INDEX(Stores!$F$2:$F$21,MATCH(B767,Stores!$A$2:$A$21,0))</f>
        <v>4.99</v>
      </c>
      <c r="Z767" s="33">
        <f>IF(Y767&gt;Store_Summary!$M$2,1,0)</f>
        <v>1</v>
      </c>
      <c r="AA767" s="33">
        <f>INDEX(Stores!$C$2:$C$21,MATCH(B767,Stores!$A$2:$A$21,0))</f>
        <v>851</v>
      </c>
      <c r="AB767" s="33">
        <f>IF(AA767&lt;180,1,0)</f>
        <v>0</v>
      </c>
      <c r="AC767" s="32" t="str">
        <f>IF(Orders!D764="","",INDEX(Riders!$C$2:$C$81,MATCH(Orders!D764,Riders!$A$2:$A$81,0)))</f>
        <v>EV scooter</v>
      </c>
      <c r="AD767" s="33">
        <f>IF(Orders!D764="","",INDEX(Riders!$D$2:$D$81,MATCH(Orders!D764,Riders!$A$2:$A$81,0)))</f>
        <v>37</v>
      </c>
      <c r="AE767" s="33">
        <f>IF(Orders!D764="","",IF(INDEX(Riders!$B$2:$B$81,MATCH(Orders!D764,Riders!$A$2:$A$81,0))=B767,1,0))</f>
        <v>1</v>
      </c>
      <c r="AF767" s="34">
        <f>IF(E767=1,Orders!L764,"")</f>
        <v>2.1</v>
      </c>
      <c r="AG767" s="34">
        <f>IF(E767=1,Orders!P764,"")</f>
        <v>8.7</v>
      </c>
      <c r="AH767" s="34">
        <f>IF(E767=1,Orders!Q764,"")</f>
        <v>7.7</v>
      </c>
      <c r="AI767" s="34">
        <f>IF(E767=1,Orders!M764,"")</f>
        <v>3</v>
      </c>
      <c r="AJ767" s="34">
        <f>IF(E767=1,Orders!N764,"")</f>
        <v>1.4</v>
      </c>
      <c r="AK767" s="34">
        <f>IF(E767=1,Orders!O764,"")</f>
        <v>3.3</v>
      </c>
      <c r="AL767" s="33">
        <f>IF(E767=1,IF(ROUND(ABS(AI767+AJ767+AK767-AH767),6)&lt;=0.1,1,0),"")</f>
        <v>1</v>
      </c>
      <c r="AM767" s="36">
        <f>IF(E767=1,AI767/AH767,"")</f>
        <v>0.38961038961039</v>
      </c>
      <c r="AN767" s="36">
        <f>IF(E767=1,AJ767/AH767,"")</f>
        <v>0.181818181818182</v>
      </c>
      <c r="AO767" s="36">
        <f>IF(E767=1,AK767/AH767,"")</f>
        <v>0.428571428571429</v>
      </c>
      <c r="AP767" s="34">
        <f>IF(E767=1,Orders!Y764,"")</f>
        <v>0.63</v>
      </c>
      <c r="AQ767" s="33">
        <f>IF(Orders!X764,1,0)</f>
        <v>0</v>
      </c>
      <c r="AR767" s="34" t="str">
        <f>IF(AND(E767=1,L767=1),AJ767,"")</f>
        <v/>
      </c>
      <c r="AS767" s="34">
        <f>IF(AND(E767=1,L767=0),AJ767,"")</f>
        <v>1.4</v>
      </c>
      <c r="AT767" s="34" t="str">
        <f>IF(AND(E767=1,L767=1),AI767,"")</f>
        <v/>
      </c>
      <c r="AU767" s="34">
        <f>IF(AND(E767=1,L767=0),AI767,"")</f>
        <v>3</v>
      </c>
      <c r="AV767" s="34" t="str">
        <f>IF(AND(E767=1,L767=1),AG767,"")</f>
        <v/>
      </c>
      <c r="AW767" s="34">
        <f>IF(AND(E767=1,L767=0),AG767,"")</f>
        <v>8.7</v>
      </c>
      <c r="AX767" s="34" t="str">
        <f>IF(AND(E767=1,L767=1),AH767,"")</f>
        <v/>
      </c>
      <c r="AY767" s="34">
        <f>IF(AND(E767=1,L767=0),AH767,"")</f>
        <v>7.7</v>
      </c>
      <c r="AZ767" s="34" t="str">
        <f>IF(G767=1,F767,"")</f>
        <v/>
      </c>
      <c r="BA767" s="34" t="str">
        <f>IF(AND(G767=1,L767=1),F767,"")</f>
        <v/>
      </c>
      <c r="BB767" s="34" t="str">
        <f>IF(AND(G767=1,L767=0),F767,"")</f>
        <v/>
      </c>
      <c r="BC767" s="33">
        <f>IF(E767=1,IF(Orders!R764&gt;3,1,0),"")</f>
        <v>0</v>
      </c>
      <c r="BD767" s="33">
        <f>IF(E767=1,IF(Orders!R764&gt;7,1,0),"")</f>
        <v>0</v>
      </c>
      <c r="BE767" s="32" t="str">
        <f>IF(E767=1,IF(Orders!L764&lt;=1.5,"Up to 1.5 km",IF(Orders!L764&lt;=3,"1.5–3 km","Over 3 km")),"")</f>
        <v>1.5–3 km</v>
      </c>
      <c r="BF767" s="33">
        <f>IF(E767=1,IF(ABS((Orders!G764-Orders!F764)*1440-Orders!R764)&lt;0.06,1,0),"")</f>
        <v>1</v>
      </c>
      <c r="BG767" s="33">
        <f>IF(ABS((Orders!F764-Orders!E764)*1440-Orders!P764)&lt;0.06,1,0)</f>
        <v>1</v>
      </c>
      <c r="BH767" s="33">
        <f>IF(E767=1,IF(IF(Orders!S764,1,0)=1-G767,1,0),"")</f>
        <v>1</v>
      </c>
      <c r="BI767" s="32" t="str">
        <f>INDEX(Stores!$B$2:$B$21,MATCH(B767,Stores!$A$2:$A$21,0))</f>
        <v>Pune</v>
      </c>
    </row>
    <row r="768">
      <c r="A768" s="32" t="str">
        <f>Orders!A765</f>
        <v>O00764</v>
      </c>
      <c r="B768" s="32" t="str">
        <f>Orders!C765</f>
        <v>S010</v>
      </c>
      <c r="C768" s="32" t="str">
        <f>Orders!B765</f>
        <v>C0222</v>
      </c>
      <c r="D768" s="32" t="str">
        <f>Orders!H765</f>
        <v>Delivered</v>
      </c>
      <c r="E768" s="33">
        <f>IF(Orders!H765="Delivered",1,0)</f>
        <v>1</v>
      </c>
      <c r="F768" s="34">
        <f>IF(E768=1,Orders!R765,"")</f>
        <v>6.7</v>
      </c>
      <c r="G768" s="33">
        <f>IF(E768=1,IF(Orders!R765&gt;0,1,0),"")</f>
        <v>1</v>
      </c>
      <c r="H768" s="33">
        <f>IF(E768=1,IF(Orders!R765&gt;5,1,0),"")</f>
        <v>1</v>
      </c>
      <c r="I768" s="32" t="str">
        <f>IF(E768=1,"",IF(OR(Orders!T765="Rider unavailable",Orders!T765="Item unavailable"),"Company-caused","Unresolved"))</f>
        <v/>
      </c>
      <c r="J768" s="33">
        <f>IF(OR(E768=1,I768="Company-caused"),1,0)</f>
        <v>1</v>
      </c>
      <c r="K768" s="32" t="str">
        <f>IF(E768=0,IF(I768="Company-caused",IF(Orders!T765="Rider unavailable","C1 Rider unavailable","C2 Item unavailable"),"Outside root: unresolved"),IF(G768=0,"A On time",IF(H768=1,IF(L768=1,"B2a Severe, peak","B2b Severe, off-peak"),IF(L768=1,"B1a Slight, peak","B1b Slight, off-peak"))))</f>
        <v>B2b Severe, off-peak</v>
      </c>
      <c r="L768" s="33">
        <f>IF(AND(Orders!U765&gt;=19,Orders!U765&lt;22),1,0)</f>
        <v>0</v>
      </c>
      <c r="M768" s="33">
        <f>IF(L768=IF(Orders!V765,1,0),1,0)</f>
        <v>1</v>
      </c>
      <c r="N768" s="32" t="str">
        <f>IF(Orders!W765="","None",Orders!W765)</f>
        <v>None</v>
      </c>
      <c r="O768" s="35">
        <f>INT(Orders!E765)</f>
        <v>46277.0</v>
      </c>
      <c r="P768" s="33">
        <f>Orders!U765</f>
        <v>22</v>
      </c>
      <c r="Q768" s="33">
        <f>COUNTIFS(Demand!$A$2:$A$4481,B768,Demand!$B$2:$B$4481,O768,Demand!$C$2:$C$4481,P768)</f>
        <v>1</v>
      </c>
      <c r="R768" s="33">
        <f>IF(Q768=1,SUMIFS(Demand!$E$2:$E$4481,Demand!$A$2:$A$4481,B768,Demand!$B$2:$B$4481,O768,Demand!$C$2:$C$4481,P768),"")</f>
        <v>26</v>
      </c>
      <c r="S768" s="33">
        <f>INDEX(Stores!$G$2:$G$21,MATCH(B768,Stores!$A$2:$A$21,0))</f>
        <v>22</v>
      </c>
      <c r="T768" s="34">
        <f>IF(R768="","",R768/S768)</f>
        <v>1.18181818181818</v>
      </c>
      <c r="U768" s="34">
        <f>IF(E768=1,T768,"")</f>
        <v>1.18181818181818</v>
      </c>
      <c r="V768" s="34">
        <f>IF(AND(E768=1,L768=0),T768,"")</f>
        <v>1.18181818181818</v>
      </c>
      <c r="W768" s="33">
        <f>IF(U768="","",IF(U768&lt;=Breakdowns!$C$5,1,IF(U768&lt;=Breakdowns!$C$6,2,IF(U768&lt;=Breakdowns!$C$7,3,4))))</f>
        <v>3</v>
      </c>
      <c r="X768" s="33">
        <f>IF(V768="","",IF(V768&lt;=Breakdowns!$D$5,1,IF(V768&lt;=Breakdowns!$D$6,2,IF(V768&lt;=Breakdowns!$D$7,3,4))))</f>
        <v>4</v>
      </c>
      <c r="Y768" s="34">
        <f>INDEX(Stores!$F$2:$F$21,MATCH(B768,Stores!$A$2:$A$21,0))</f>
        <v>5.61</v>
      </c>
      <c r="Z768" s="33">
        <f>IF(Y768&gt;Store_Summary!$M$2,1,0)</f>
        <v>1</v>
      </c>
      <c r="AA768" s="33">
        <f>INDEX(Stores!$C$2:$C$21,MATCH(B768,Stores!$A$2:$A$21,0))</f>
        <v>744</v>
      </c>
      <c r="AB768" s="33">
        <f>IF(AA768&lt;180,1,0)</f>
        <v>0</v>
      </c>
      <c r="AC768" s="32" t="str">
        <f>IF(Orders!D765="","",INDEX(Riders!$C$2:$C$81,MATCH(Orders!D765,Riders!$A$2:$A$81,0)))</f>
        <v>Petrol scooter</v>
      </c>
      <c r="AD768" s="33">
        <f>IF(Orders!D765="","",INDEX(Riders!$D$2:$D$81,MATCH(Orders!D765,Riders!$A$2:$A$81,0)))</f>
        <v>42</v>
      </c>
      <c r="AE768" s="33">
        <f>IF(Orders!D765="","",IF(INDEX(Riders!$B$2:$B$81,MATCH(Orders!D765,Riders!$A$2:$A$81,0))=B768,1,0))</f>
        <v>0</v>
      </c>
      <c r="AF768" s="34">
        <f>IF(E768=1,Orders!L765,"")</f>
        <v>1.76</v>
      </c>
      <c r="AG768" s="34">
        <f>IF(E768=1,Orders!P765,"")</f>
        <v>9</v>
      </c>
      <c r="AH768" s="34">
        <f>IF(E768=1,Orders!Q765,"")</f>
        <v>15.7</v>
      </c>
      <c r="AI768" s="34">
        <f>IF(E768=1,Orders!M765,"")</f>
        <v>6.3</v>
      </c>
      <c r="AJ768" s="34">
        <f>IF(E768=1,Orders!N765,"")</f>
        <v>5</v>
      </c>
      <c r="AK768" s="34">
        <f>IF(E768=1,Orders!O765,"")</f>
        <v>4.4</v>
      </c>
      <c r="AL768" s="33">
        <f>IF(E768=1,IF(ROUND(ABS(AI768+AJ768+AK768-AH768),6)&lt;=0.1,1,0),"")</f>
        <v>1</v>
      </c>
      <c r="AM768" s="36">
        <f>IF(E768=1,AI768/AH768,"")</f>
        <v>0.401273885350319</v>
      </c>
      <c r="AN768" s="36">
        <f>IF(E768=1,AJ768/AH768,"")</f>
        <v>0.318471337579618</v>
      </c>
      <c r="AO768" s="36">
        <f>IF(E768=1,AK768/AH768,"")</f>
        <v>0.280254777070064</v>
      </c>
      <c r="AP768" s="34">
        <f>IF(E768=1,Orders!Y765,"")</f>
        <v>0.4</v>
      </c>
      <c r="AQ768" s="33">
        <f>IF(Orders!X765,1,0)</f>
        <v>0</v>
      </c>
      <c r="AR768" s="34" t="str">
        <f>IF(AND(E768=1,L768=1),AJ768,"")</f>
        <v/>
      </c>
      <c r="AS768" s="34">
        <f>IF(AND(E768=1,L768=0),AJ768,"")</f>
        <v>5</v>
      </c>
      <c r="AT768" s="34" t="str">
        <f>IF(AND(E768=1,L768=1),AI768,"")</f>
        <v/>
      </c>
      <c r="AU768" s="34">
        <f>IF(AND(E768=1,L768=0),AI768,"")</f>
        <v>6.3</v>
      </c>
      <c r="AV768" s="34" t="str">
        <f>IF(AND(E768=1,L768=1),AG768,"")</f>
        <v/>
      </c>
      <c r="AW768" s="34">
        <f>IF(AND(E768=1,L768=0),AG768,"")</f>
        <v>9</v>
      </c>
      <c r="AX768" s="34" t="str">
        <f>IF(AND(E768=1,L768=1),AH768,"")</f>
        <v/>
      </c>
      <c r="AY768" s="34">
        <f>IF(AND(E768=1,L768=0),AH768,"")</f>
        <v>15.7</v>
      </c>
      <c r="AZ768" s="34">
        <f>IF(G768=1,F768,"")</f>
        <v>6.7</v>
      </c>
      <c r="BA768" s="34" t="str">
        <f>IF(AND(G768=1,L768=1),F768,"")</f>
        <v/>
      </c>
      <c r="BB768" s="34">
        <f>IF(AND(G768=1,L768=0),F768,"")</f>
        <v>6.7</v>
      </c>
      <c r="BC768" s="33">
        <f>IF(E768=1,IF(Orders!R765&gt;3,1,0),"")</f>
        <v>1</v>
      </c>
      <c r="BD768" s="33">
        <f>IF(E768=1,IF(Orders!R765&gt;7,1,0),"")</f>
        <v>0</v>
      </c>
      <c r="BE768" s="32" t="str">
        <f>IF(E768=1,IF(Orders!L765&lt;=1.5,"Up to 1.5 km",IF(Orders!L765&lt;=3,"1.5–3 km","Over 3 km")),"")</f>
        <v>1.5–3 km</v>
      </c>
      <c r="BF768" s="33">
        <f>IF(E768=1,IF(ABS((Orders!G765-Orders!F765)*1440-Orders!R765)&lt;0.06,1,0),"")</f>
        <v>1</v>
      </c>
      <c r="BG768" s="33">
        <f>IF(ABS((Orders!F765-Orders!E765)*1440-Orders!P765)&lt;0.06,1,0)</f>
        <v>1</v>
      </c>
      <c r="BH768" s="33">
        <f>IF(E768=1,IF(IF(Orders!S765,1,0)=1-G768,1,0),"")</f>
        <v>1</v>
      </c>
      <c r="BI768" s="32" t="str">
        <f>INDEX(Stores!$B$2:$B$21,MATCH(B768,Stores!$A$2:$A$21,0))</f>
        <v>Delhi</v>
      </c>
    </row>
    <row r="769">
      <c r="A769" s="32" t="str">
        <f>Orders!A766</f>
        <v>O00765</v>
      </c>
      <c r="B769" s="32" t="str">
        <f>Orders!C766</f>
        <v>S018</v>
      </c>
      <c r="C769" s="32" t="str">
        <f>Orders!B766</f>
        <v>C0163</v>
      </c>
      <c r="D769" s="32" t="str">
        <f>Orders!H766</f>
        <v>Delivered</v>
      </c>
      <c r="E769" s="33">
        <f>IF(Orders!H766="Delivered",1,0)</f>
        <v>1</v>
      </c>
      <c r="F769" s="34">
        <f>IF(E769=1,Orders!R766,"")</f>
        <v>-0.6</v>
      </c>
      <c r="G769" s="33">
        <f>IF(E769=1,IF(Orders!R766&gt;0,1,0),"")</f>
        <v>0</v>
      </c>
      <c r="H769" s="33">
        <f>IF(E769=1,IF(Orders!R766&gt;5,1,0),"")</f>
        <v>0</v>
      </c>
      <c r="I769" s="32" t="str">
        <f>IF(E769=1,"",IF(OR(Orders!T766="Rider unavailable",Orders!T766="Item unavailable"),"Company-caused","Unresolved"))</f>
        <v/>
      </c>
      <c r="J769" s="33">
        <f>IF(OR(E769=1,I769="Company-caused"),1,0)</f>
        <v>1</v>
      </c>
      <c r="K769" s="32" t="str">
        <f>IF(E769=0,IF(I769="Company-caused",IF(Orders!T766="Rider unavailable","C1 Rider unavailable","C2 Item unavailable"),"Outside root: unresolved"),IF(G769=0,"A On time",IF(H769=1,IF(L769=1,"B2a Severe, peak","B2b Severe, off-peak"),IF(L769=1,"B1a Slight, peak","B1b Slight, off-peak"))))</f>
        <v>A On time</v>
      </c>
      <c r="L769" s="33">
        <f>IF(AND(Orders!U766&gt;=19,Orders!U766&lt;22),1,0)</f>
        <v>0</v>
      </c>
      <c r="M769" s="33">
        <f>IF(L769=IF(Orders!V766,1,0),1,0)</f>
        <v>1</v>
      </c>
      <c r="N769" s="32" t="str">
        <f>IF(Orders!W766="","None",Orders!W766)</f>
        <v>None</v>
      </c>
      <c r="O769" s="35">
        <f>INT(Orders!E766)</f>
        <v>46270.0</v>
      </c>
      <c r="P769" s="33">
        <f>Orders!U766</f>
        <v>9</v>
      </c>
      <c r="Q769" s="33">
        <f>COUNTIFS(Demand!$A$2:$A$4481,B769,Demand!$B$2:$B$4481,O769,Demand!$C$2:$C$4481,P769)</f>
        <v>1</v>
      </c>
      <c r="R769" s="33">
        <f>IF(Q769=1,SUMIFS(Demand!$E$2:$E$4481,Demand!$A$2:$A$4481,B769,Demand!$B$2:$B$4481,O769,Demand!$C$2:$C$4481,P769),"")</f>
        <v>15</v>
      </c>
      <c r="S769" s="33">
        <f>INDEX(Stores!$G$2:$G$21,MATCH(B769,Stores!$A$2:$A$21,0))</f>
        <v>20</v>
      </c>
      <c r="T769" s="34">
        <f>IF(R769="","",R769/S769)</f>
        <v>0.75</v>
      </c>
      <c r="U769" s="34">
        <f>IF(E769=1,T769,"")</f>
        <v>0.75</v>
      </c>
      <c r="V769" s="34">
        <f>IF(AND(E769=1,L769=0),T769,"")</f>
        <v>0.75</v>
      </c>
      <c r="W769" s="33">
        <f>IF(U769="","",IF(U769&lt;=Breakdowns!$C$5,1,IF(U769&lt;=Breakdowns!$C$6,2,IF(U769&lt;=Breakdowns!$C$7,3,4))))</f>
        <v>1</v>
      </c>
      <c r="X769" s="33">
        <f>IF(V769="","",IF(V769&lt;=Breakdowns!$D$5,1,IF(V769&lt;=Breakdowns!$D$6,2,IF(V769&lt;=Breakdowns!$D$7,3,4))))</f>
        <v>1</v>
      </c>
      <c r="Y769" s="34">
        <f>INDEX(Stores!$F$2:$F$21,MATCH(B769,Stores!$A$2:$A$21,0))</f>
        <v>5.31</v>
      </c>
      <c r="Z769" s="33">
        <f>IF(Y769&gt;Store_Summary!$M$2,1,0)</f>
        <v>1</v>
      </c>
      <c r="AA769" s="33">
        <f>INDEX(Stores!$C$2:$C$21,MATCH(B769,Stores!$A$2:$A$21,0))</f>
        <v>214</v>
      </c>
      <c r="AB769" s="33">
        <f>IF(AA769&lt;180,1,0)</f>
        <v>0</v>
      </c>
      <c r="AC769" s="32" t="str">
        <f>IF(Orders!D766="","",INDEX(Riders!$C$2:$C$81,MATCH(Orders!D766,Riders!$A$2:$A$81,0)))</f>
        <v>EV scooter</v>
      </c>
      <c r="AD769" s="33">
        <f>IF(Orders!D766="","",INDEX(Riders!$D$2:$D$81,MATCH(Orders!D766,Riders!$A$2:$A$81,0)))</f>
        <v>27</v>
      </c>
      <c r="AE769" s="33">
        <f>IF(Orders!D766="","",IF(INDEX(Riders!$B$2:$B$81,MATCH(Orders!D766,Riders!$A$2:$A$81,0))=B769,1,0))</f>
        <v>0</v>
      </c>
      <c r="AF769" s="34">
        <f>IF(E769=1,Orders!L766,"")</f>
        <v>0.5</v>
      </c>
      <c r="AG769" s="34">
        <f>IF(E769=1,Orders!P766,"")</f>
        <v>11.1</v>
      </c>
      <c r="AH769" s="34">
        <f>IF(E769=1,Orders!Q766,"")</f>
        <v>10.5</v>
      </c>
      <c r="AI769" s="34">
        <f>IF(E769=1,Orders!M766,"")</f>
        <v>5.2</v>
      </c>
      <c r="AJ769" s="34">
        <f>IF(E769=1,Orders!N766,"")</f>
        <v>3.2</v>
      </c>
      <c r="AK769" s="34">
        <f>IF(E769=1,Orders!O766,"")</f>
        <v>2.1</v>
      </c>
      <c r="AL769" s="33">
        <f>IF(E769=1,IF(ROUND(ABS(AI769+AJ769+AK769-AH769),6)&lt;=0.1,1,0),"")</f>
        <v>1</v>
      </c>
      <c r="AM769" s="36">
        <f>IF(E769=1,AI769/AH769,"")</f>
        <v>0.495238095238095</v>
      </c>
      <c r="AN769" s="36">
        <f>IF(E769=1,AJ769/AH769,"")</f>
        <v>0.304761904761905</v>
      </c>
      <c r="AO769" s="36">
        <f>IF(E769=1,AK769/AH769,"")</f>
        <v>0.2</v>
      </c>
      <c r="AP769" s="34">
        <f>IF(E769=1,Orders!Y766,"")</f>
        <v>0.39</v>
      </c>
      <c r="AQ769" s="33">
        <f>IF(Orders!X766,1,0)</f>
        <v>0</v>
      </c>
      <c r="AR769" s="34" t="str">
        <f>IF(AND(E769=1,L769=1),AJ769,"")</f>
        <v/>
      </c>
      <c r="AS769" s="34">
        <f>IF(AND(E769=1,L769=0),AJ769,"")</f>
        <v>3.2</v>
      </c>
      <c r="AT769" s="34" t="str">
        <f>IF(AND(E769=1,L769=1),AI769,"")</f>
        <v/>
      </c>
      <c r="AU769" s="34">
        <f>IF(AND(E769=1,L769=0),AI769,"")</f>
        <v>5.2</v>
      </c>
      <c r="AV769" s="34" t="str">
        <f>IF(AND(E769=1,L769=1),AG769,"")</f>
        <v/>
      </c>
      <c r="AW769" s="34">
        <f>IF(AND(E769=1,L769=0),AG769,"")</f>
        <v>11.1</v>
      </c>
      <c r="AX769" s="34" t="str">
        <f>IF(AND(E769=1,L769=1),AH769,"")</f>
        <v/>
      </c>
      <c r="AY769" s="34">
        <f>IF(AND(E769=1,L769=0),AH769,"")</f>
        <v>10.5</v>
      </c>
      <c r="AZ769" s="34" t="str">
        <f>IF(G769=1,F769,"")</f>
        <v/>
      </c>
      <c r="BA769" s="34" t="str">
        <f>IF(AND(G769=1,L769=1),F769,"")</f>
        <v/>
      </c>
      <c r="BB769" s="34" t="str">
        <f>IF(AND(G769=1,L769=0),F769,"")</f>
        <v/>
      </c>
      <c r="BC769" s="33">
        <f>IF(E769=1,IF(Orders!R766&gt;3,1,0),"")</f>
        <v>0</v>
      </c>
      <c r="BD769" s="33">
        <f>IF(E769=1,IF(Orders!R766&gt;7,1,0),"")</f>
        <v>0</v>
      </c>
      <c r="BE769" s="32" t="str">
        <f>IF(E769=1,IF(Orders!L766&lt;=1.5,"Up to 1.5 km",IF(Orders!L766&lt;=3,"1.5–3 km","Over 3 km")),"")</f>
        <v>Up to 1.5 km</v>
      </c>
      <c r="BF769" s="33">
        <f>IF(E769=1,IF(ABS((Orders!G766-Orders!F766)*1440-Orders!R766)&lt;0.06,1,0),"")</f>
        <v>1</v>
      </c>
      <c r="BG769" s="33">
        <f>IF(ABS((Orders!F766-Orders!E766)*1440-Orders!P766)&lt;0.06,1,0)</f>
        <v>1</v>
      </c>
      <c r="BH769" s="33">
        <f>IF(E769=1,IF(IF(Orders!S766,1,0)=1-G769,1,0),"")</f>
        <v>1</v>
      </c>
      <c r="BI769" s="32" t="str">
        <f>INDEX(Stores!$B$2:$B$21,MATCH(B769,Stores!$A$2:$A$21,0))</f>
        <v>Mumbai</v>
      </c>
    </row>
    <row r="770">
      <c r="A770" s="32" t="str">
        <f>Orders!A767</f>
        <v>O00766</v>
      </c>
      <c r="B770" s="32" t="str">
        <f>Orders!C767</f>
        <v>S016</v>
      </c>
      <c r="C770" s="32" t="str">
        <f>Orders!B767</f>
        <v>C0082</v>
      </c>
      <c r="D770" s="32" t="str">
        <f>Orders!H767</f>
        <v>Delivered</v>
      </c>
      <c r="E770" s="33">
        <f>IF(Orders!H767="Delivered",1,0)</f>
        <v>1</v>
      </c>
      <c r="F770" s="34">
        <f>IF(E770=1,Orders!R767,"")</f>
        <v>10.8</v>
      </c>
      <c r="G770" s="33">
        <f>IF(E770=1,IF(Orders!R767&gt;0,1,0),"")</f>
        <v>1</v>
      </c>
      <c r="H770" s="33">
        <f>IF(E770=1,IF(Orders!R767&gt;5,1,0),"")</f>
        <v>1</v>
      </c>
      <c r="I770" s="32" t="str">
        <f>IF(E770=1,"",IF(OR(Orders!T767="Rider unavailable",Orders!T767="Item unavailable"),"Company-caused","Unresolved"))</f>
        <v/>
      </c>
      <c r="J770" s="33">
        <f>IF(OR(E770=1,I770="Company-caused"),1,0)</f>
        <v>1</v>
      </c>
      <c r="K770" s="32" t="str">
        <f>IF(E770=0,IF(I770="Company-caused",IF(Orders!T767="Rider unavailable","C1 Rider unavailable","C2 Item unavailable"),"Outside root: unresolved"),IF(G770=0,"A On time",IF(H770=1,IF(L770=1,"B2a Severe, peak","B2b Severe, off-peak"),IF(L770=1,"B1a Slight, peak","B1b Slight, off-peak"))))</f>
        <v>B2a Severe, peak</v>
      </c>
      <c r="L770" s="33">
        <f>IF(AND(Orders!U767&gt;=19,Orders!U767&lt;22),1,0)</f>
        <v>1</v>
      </c>
      <c r="M770" s="33">
        <f>IF(L770=IF(Orders!V767,1,0),1,0)</f>
        <v>1</v>
      </c>
      <c r="N770" s="32" t="str">
        <f>IF(Orders!W767="","None",Orders!W767)</f>
        <v>None</v>
      </c>
      <c r="O770" s="35">
        <f>INT(Orders!E767)</f>
        <v>46277.0</v>
      </c>
      <c r="P770" s="33">
        <f>Orders!U767</f>
        <v>20</v>
      </c>
      <c r="Q770" s="33">
        <f>COUNTIFS(Demand!$A$2:$A$4481,B770,Demand!$B$2:$B$4481,O770,Demand!$C$2:$C$4481,P770)</f>
        <v>1</v>
      </c>
      <c r="R770" s="33">
        <f>IF(Q770=1,SUMIFS(Demand!$E$2:$E$4481,Demand!$A$2:$A$4481,B770,Demand!$B$2:$B$4481,O770,Demand!$C$2:$C$4481,P770),"")</f>
        <v>33</v>
      </c>
      <c r="S770" s="33">
        <f>INDEX(Stores!$G$2:$G$21,MATCH(B770,Stores!$A$2:$A$21,0))</f>
        <v>25</v>
      </c>
      <c r="T770" s="34">
        <f>IF(R770="","",R770/S770)</f>
        <v>1.32</v>
      </c>
      <c r="U770" s="34">
        <f>IF(E770=1,T770,"")</f>
        <v>1.32</v>
      </c>
      <c r="V770" s="34" t="str">
        <f>IF(AND(E770=1,L770=0),T770,"")</f>
        <v/>
      </c>
      <c r="W770" s="33">
        <f>IF(U770="","",IF(U770&lt;=Breakdowns!$C$5,1,IF(U770&lt;=Breakdowns!$C$6,2,IF(U770&lt;=Breakdowns!$C$7,3,4))))</f>
        <v>4</v>
      </c>
      <c r="X770" s="33" t="str">
        <f>IF(V770="","",IF(V770&lt;=Breakdowns!$D$5,1,IF(V770&lt;=Breakdowns!$D$6,2,IF(V770&lt;=Breakdowns!$D$7,3,4))))</f>
        <v/>
      </c>
      <c r="Y770" s="34">
        <f>INDEX(Stores!$F$2:$F$21,MATCH(B770,Stores!$A$2:$A$21,0))</f>
        <v>5.51</v>
      </c>
      <c r="Z770" s="33">
        <f>IF(Y770&gt;Store_Summary!$M$2,1,0)</f>
        <v>1</v>
      </c>
      <c r="AA770" s="33">
        <f>INDEX(Stores!$C$2:$C$21,MATCH(B770,Stores!$A$2:$A$21,0))</f>
        <v>792</v>
      </c>
      <c r="AB770" s="33">
        <f>IF(AA770&lt;180,1,0)</f>
        <v>0</v>
      </c>
      <c r="AC770" s="32" t="str">
        <f>IF(Orders!D767="","",INDEX(Riders!$C$2:$C$81,MATCH(Orders!D767,Riders!$A$2:$A$81,0)))</f>
        <v>Petrol scooter</v>
      </c>
      <c r="AD770" s="33">
        <f>IF(Orders!D767="","",INDEX(Riders!$D$2:$D$81,MATCH(Orders!D767,Riders!$A$2:$A$81,0)))</f>
        <v>19</v>
      </c>
      <c r="AE770" s="33">
        <f>IF(Orders!D767="","",IF(INDEX(Riders!$B$2:$B$81,MATCH(Orders!D767,Riders!$A$2:$A$81,0))=B770,1,0))</f>
        <v>0</v>
      </c>
      <c r="AF770" s="34">
        <f>IF(E770=1,Orders!L767,"")</f>
        <v>0.61</v>
      </c>
      <c r="AG770" s="34">
        <f>IF(E770=1,Orders!P767,"")</f>
        <v>7.5</v>
      </c>
      <c r="AH770" s="34">
        <f>IF(E770=1,Orders!Q767,"")</f>
        <v>18.3</v>
      </c>
      <c r="AI770" s="34">
        <f>IF(E770=1,Orders!M767,"")</f>
        <v>6</v>
      </c>
      <c r="AJ770" s="34">
        <f>IF(E770=1,Orders!N767,"")</f>
        <v>8.6</v>
      </c>
      <c r="AK770" s="34">
        <f>IF(E770=1,Orders!O767,"")</f>
        <v>3.7</v>
      </c>
      <c r="AL770" s="33">
        <f>IF(E770=1,IF(ROUND(ABS(AI770+AJ770+AK770-AH770),6)&lt;=0.1,1,0),"")</f>
        <v>1</v>
      </c>
      <c r="AM770" s="36">
        <f>IF(E770=1,AI770/AH770,"")</f>
        <v>0.327868852459016</v>
      </c>
      <c r="AN770" s="36">
        <f>IF(E770=1,AJ770/AH770,"")</f>
        <v>0.469945355191257</v>
      </c>
      <c r="AO770" s="36">
        <f>IF(E770=1,AK770/AH770,"")</f>
        <v>0.202185792349727</v>
      </c>
      <c r="AP770" s="34">
        <f>IF(E770=1,Orders!Y767,"")</f>
        <v>0.75</v>
      </c>
      <c r="AQ770" s="33">
        <f>IF(Orders!X767,1,0)</f>
        <v>0</v>
      </c>
      <c r="AR770" s="34">
        <f>IF(AND(E770=1,L770=1),AJ770,"")</f>
        <v>8.6</v>
      </c>
      <c r="AS770" s="34" t="str">
        <f>IF(AND(E770=1,L770=0),AJ770,"")</f>
        <v/>
      </c>
      <c r="AT770" s="34">
        <f>IF(AND(E770=1,L770=1),AI770,"")</f>
        <v>6</v>
      </c>
      <c r="AU770" s="34" t="str">
        <f>IF(AND(E770=1,L770=0),AI770,"")</f>
        <v/>
      </c>
      <c r="AV770" s="34">
        <f>IF(AND(E770=1,L770=1),AG770,"")</f>
        <v>7.5</v>
      </c>
      <c r="AW770" s="34" t="str">
        <f>IF(AND(E770=1,L770=0),AG770,"")</f>
        <v/>
      </c>
      <c r="AX770" s="34">
        <f>IF(AND(E770=1,L770=1),AH770,"")</f>
        <v>18.3</v>
      </c>
      <c r="AY770" s="34" t="str">
        <f>IF(AND(E770=1,L770=0),AH770,"")</f>
        <v/>
      </c>
      <c r="AZ770" s="34">
        <f>IF(G770=1,F770,"")</f>
        <v>10.8</v>
      </c>
      <c r="BA770" s="34">
        <f>IF(AND(G770=1,L770=1),F770,"")</f>
        <v>10.8</v>
      </c>
      <c r="BB770" s="34" t="str">
        <f>IF(AND(G770=1,L770=0),F770,"")</f>
        <v/>
      </c>
      <c r="BC770" s="33">
        <f>IF(E770=1,IF(Orders!R767&gt;3,1,0),"")</f>
        <v>1</v>
      </c>
      <c r="BD770" s="33">
        <f>IF(E770=1,IF(Orders!R767&gt;7,1,0),"")</f>
        <v>1</v>
      </c>
      <c r="BE770" s="32" t="str">
        <f>IF(E770=1,IF(Orders!L767&lt;=1.5,"Up to 1.5 km",IF(Orders!L767&lt;=3,"1.5–3 km","Over 3 km")),"")</f>
        <v>Up to 1.5 km</v>
      </c>
      <c r="BF770" s="33">
        <f>IF(E770=1,IF(ABS((Orders!G767-Orders!F767)*1440-Orders!R767)&lt;0.06,1,0),"")</f>
        <v>1</v>
      </c>
      <c r="BG770" s="33">
        <f>IF(ABS((Orders!F767-Orders!E767)*1440-Orders!P767)&lt;0.06,1,0)</f>
        <v>1</v>
      </c>
      <c r="BH770" s="33">
        <f>IF(E770=1,IF(IF(Orders!S767,1,0)=1-G770,1,0),"")</f>
        <v>1</v>
      </c>
      <c r="BI770" s="32" t="str">
        <f>INDEX(Stores!$B$2:$B$21,MATCH(B770,Stores!$A$2:$A$21,0))</f>
        <v>Bengaluru</v>
      </c>
    </row>
    <row r="771">
      <c r="A771" s="32" t="str">
        <f>Orders!A768</f>
        <v>O00767</v>
      </c>
      <c r="B771" s="32" t="str">
        <f>Orders!C768</f>
        <v>S007</v>
      </c>
      <c r="C771" s="32" t="str">
        <f>Orders!B768</f>
        <v>C0105</v>
      </c>
      <c r="D771" s="32" t="str">
        <f>Orders!H768</f>
        <v>Delivered</v>
      </c>
      <c r="E771" s="33">
        <f>IF(Orders!H768="Delivered",1,0)</f>
        <v>1</v>
      </c>
      <c r="F771" s="34">
        <f>IF(E771=1,Orders!R768,"")</f>
        <v>-0.4</v>
      </c>
      <c r="G771" s="33">
        <f>IF(E771=1,IF(Orders!R768&gt;0,1,0),"")</f>
        <v>0</v>
      </c>
      <c r="H771" s="33">
        <f>IF(E771=1,IF(Orders!R768&gt;5,1,0),"")</f>
        <v>0</v>
      </c>
      <c r="I771" s="32" t="str">
        <f>IF(E771=1,"",IF(OR(Orders!T768="Rider unavailable",Orders!T768="Item unavailable"),"Company-caused","Unresolved"))</f>
        <v/>
      </c>
      <c r="J771" s="33">
        <f>IF(OR(E771=1,I771="Company-caused"),1,0)</f>
        <v>1</v>
      </c>
      <c r="K771" s="32" t="str">
        <f>IF(E771=0,IF(I771="Company-caused",IF(Orders!T768="Rider unavailable","C1 Rider unavailable","C2 Item unavailable"),"Outside root: unresolved"),IF(G771=0,"A On time",IF(H771=1,IF(L771=1,"B2a Severe, peak","B2b Severe, off-peak"),IF(L771=1,"B1a Slight, peak","B1b Slight, off-peak"))))</f>
        <v>A On time</v>
      </c>
      <c r="L771" s="33">
        <f>IF(AND(Orders!U768&gt;=19,Orders!U768&lt;22),1,0)</f>
        <v>0</v>
      </c>
      <c r="M771" s="33">
        <f>IF(L771=IF(Orders!V768,1,0),1,0)</f>
        <v>1</v>
      </c>
      <c r="N771" s="32" t="str">
        <f>IF(Orders!W768="","None",Orders!W768)</f>
        <v>None</v>
      </c>
      <c r="O771" s="35">
        <f>INT(Orders!E768)</f>
        <v>46273.0</v>
      </c>
      <c r="P771" s="33">
        <f>Orders!U768</f>
        <v>16</v>
      </c>
      <c r="Q771" s="33">
        <f>COUNTIFS(Demand!$A$2:$A$4481,B771,Demand!$B$2:$B$4481,O771,Demand!$C$2:$C$4481,P771)</f>
        <v>1</v>
      </c>
      <c r="R771" s="33">
        <f>IF(Q771=1,SUMIFS(Demand!$E$2:$E$4481,Demand!$A$2:$A$4481,B771,Demand!$B$2:$B$4481,O771,Demand!$C$2:$C$4481,P771),"")</f>
        <v>33</v>
      </c>
      <c r="S771" s="33">
        <f>INDEX(Stores!$G$2:$G$21,MATCH(B771,Stores!$A$2:$A$21,0))</f>
        <v>37</v>
      </c>
      <c r="T771" s="34">
        <f>IF(R771="","",R771/S771)</f>
        <v>0.891891891891892</v>
      </c>
      <c r="U771" s="34">
        <f>IF(E771=1,T771,"")</f>
        <v>0.891891891891892</v>
      </c>
      <c r="V771" s="34">
        <f>IF(AND(E771=1,L771=0),T771,"")</f>
        <v>0.891891891891892</v>
      </c>
      <c r="W771" s="33">
        <f>IF(U771="","",IF(U771&lt;=Breakdowns!$C$5,1,IF(U771&lt;=Breakdowns!$C$6,2,IF(U771&lt;=Breakdowns!$C$7,3,4))))</f>
        <v>2</v>
      </c>
      <c r="X771" s="33">
        <f>IF(V771="","",IF(V771&lt;=Breakdowns!$D$5,1,IF(V771&lt;=Breakdowns!$D$6,2,IF(V771&lt;=Breakdowns!$D$7,3,4))))</f>
        <v>2</v>
      </c>
      <c r="Y771" s="34">
        <f>INDEX(Stores!$F$2:$F$21,MATCH(B771,Stores!$A$2:$A$21,0))</f>
        <v>4.05</v>
      </c>
      <c r="Z771" s="33">
        <f>IF(Y771&gt;Store_Summary!$M$2,1,0)</f>
        <v>0</v>
      </c>
      <c r="AA771" s="33">
        <f>INDEX(Stores!$C$2:$C$21,MATCH(B771,Stores!$A$2:$A$21,0))</f>
        <v>661</v>
      </c>
      <c r="AB771" s="33">
        <f>IF(AA771&lt;180,1,0)</f>
        <v>0</v>
      </c>
      <c r="AC771" s="32" t="str">
        <f>IF(Orders!D768="","",INDEX(Riders!$C$2:$C$81,MATCH(Orders!D768,Riders!$A$2:$A$81,0)))</f>
        <v>Bicycle</v>
      </c>
      <c r="AD771" s="33">
        <f>IF(Orders!D768="","",INDEX(Riders!$D$2:$D$81,MATCH(Orders!D768,Riders!$A$2:$A$81,0)))</f>
        <v>44</v>
      </c>
      <c r="AE771" s="33">
        <f>IF(Orders!D768="","",IF(INDEX(Riders!$B$2:$B$81,MATCH(Orders!D768,Riders!$A$2:$A$81,0))=B771,1,0))</f>
        <v>0</v>
      </c>
      <c r="AF771" s="34">
        <f>IF(E771=1,Orders!L768,"")</f>
        <v>0.5</v>
      </c>
      <c r="AG771" s="34">
        <f>IF(E771=1,Orders!P768,"")</f>
        <v>10</v>
      </c>
      <c r="AH771" s="34">
        <f>IF(E771=1,Orders!Q768,"")</f>
        <v>9.6</v>
      </c>
      <c r="AI771" s="34">
        <f>IF(E771=1,Orders!M768,"")</f>
        <v>3.4</v>
      </c>
      <c r="AJ771" s="34">
        <f>IF(E771=1,Orders!N768,"")</f>
        <v>4.6</v>
      </c>
      <c r="AK771" s="34">
        <f>IF(E771=1,Orders!O768,"")</f>
        <v>1.6</v>
      </c>
      <c r="AL771" s="33">
        <f>IF(E771=1,IF(ROUND(ABS(AI771+AJ771+AK771-AH771),6)&lt;=0.1,1,0),"")</f>
        <v>1</v>
      </c>
      <c r="AM771" s="36">
        <f>IF(E771=1,AI771/AH771,"")</f>
        <v>0.354166666666667</v>
      </c>
      <c r="AN771" s="36">
        <f>IF(E771=1,AJ771/AH771,"")</f>
        <v>0.479166666666667</v>
      </c>
      <c r="AO771" s="36">
        <f>IF(E771=1,AK771/AH771,"")</f>
        <v>0.166666666666667</v>
      </c>
      <c r="AP771" s="34">
        <f>IF(E771=1,Orders!Y768,"")</f>
        <v>0.36</v>
      </c>
      <c r="AQ771" s="33">
        <f>IF(Orders!X768,1,0)</f>
        <v>0</v>
      </c>
      <c r="AR771" s="34" t="str">
        <f>IF(AND(E771=1,L771=1),AJ771,"")</f>
        <v/>
      </c>
      <c r="AS771" s="34">
        <f>IF(AND(E771=1,L771=0),AJ771,"")</f>
        <v>4.6</v>
      </c>
      <c r="AT771" s="34" t="str">
        <f>IF(AND(E771=1,L771=1),AI771,"")</f>
        <v/>
      </c>
      <c r="AU771" s="34">
        <f>IF(AND(E771=1,L771=0),AI771,"")</f>
        <v>3.4</v>
      </c>
      <c r="AV771" s="34" t="str">
        <f>IF(AND(E771=1,L771=1),AG771,"")</f>
        <v/>
      </c>
      <c r="AW771" s="34">
        <f>IF(AND(E771=1,L771=0),AG771,"")</f>
        <v>10</v>
      </c>
      <c r="AX771" s="34" t="str">
        <f>IF(AND(E771=1,L771=1),AH771,"")</f>
        <v/>
      </c>
      <c r="AY771" s="34">
        <f>IF(AND(E771=1,L771=0),AH771,"")</f>
        <v>9.6</v>
      </c>
      <c r="AZ771" s="34" t="str">
        <f>IF(G771=1,F771,"")</f>
        <v/>
      </c>
      <c r="BA771" s="34" t="str">
        <f>IF(AND(G771=1,L771=1),F771,"")</f>
        <v/>
      </c>
      <c r="BB771" s="34" t="str">
        <f>IF(AND(G771=1,L771=0),F771,"")</f>
        <v/>
      </c>
      <c r="BC771" s="33">
        <f>IF(E771=1,IF(Orders!R768&gt;3,1,0),"")</f>
        <v>0</v>
      </c>
      <c r="BD771" s="33">
        <f>IF(E771=1,IF(Orders!R768&gt;7,1,0),"")</f>
        <v>0</v>
      </c>
      <c r="BE771" s="32" t="str">
        <f>IF(E771=1,IF(Orders!L768&lt;=1.5,"Up to 1.5 km",IF(Orders!L768&lt;=3,"1.5–3 km","Over 3 km")),"")</f>
        <v>Up to 1.5 km</v>
      </c>
      <c r="BF771" s="33">
        <f>IF(E771=1,IF(ABS((Orders!G768-Orders!F768)*1440-Orders!R768)&lt;0.06,1,0),"")</f>
        <v>1</v>
      </c>
      <c r="BG771" s="33">
        <f>IF(ABS((Orders!F768-Orders!E768)*1440-Orders!P768)&lt;0.06,1,0)</f>
        <v>1</v>
      </c>
      <c r="BH771" s="33">
        <f>IF(E771=1,IF(IF(Orders!S768,1,0)=1-G771,1,0),"")</f>
        <v>1</v>
      </c>
      <c r="BI771" s="32" t="str">
        <f>INDEX(Stores!$B$2:$B$21,MATCH(B771,Stores!$A$2:$A$21,0))</f>
        <v>Hyderabad</v>
      </c>
    </row>
    <row r="772">
      <c r="A772" s="32" t="str">
        <f>Orders!A769</f>
        <v>O00768</v>
      </c>
      <c r="B772" s="32" t="str">
        <f>Orders!C769</f>
        <v>S009</v>
      </c>
      <c r="C772" s="32" t="str">
        <f>Orders!B769</f>
        <v>C0194</v>
      </c>
      <c r="D772" s="32" t="str">
        <f>Orders!H769</f>
        <v>Delivered</v>
      </c>
      <c r="E772" s="33">
        <f>IF(Orders!H769="Delivered",1,0)</f>
        <v>1</v>
      </c>
      <c r="F772" s="34">
        <f>IF(E772=1,Orders!R769,"")</f>
        <v>-1</v>
      </c>
      <c r="G772" s="33">
        <f>IF(E772=1,IF(Orders!R769&gt;0,1,0),"")</f>
        <v>0</v>
      </c>
      <c r="H772" s="33">
        <f>IF(E772=1,IF(Orders!R769&gt;5,1,0),"")</f>
        <v>0</v>
      </c>
      <c r="I772" s="32" t="str">
        <f>IF(E772=1,"",IF(OR(Orders!T769="Rider unavailable",Orders!T769="Item unavailable"),"Company-caused","Unresolved"))</f>
        <v/>
      </c>
      <c r="J772" s="33">
        <f>IF(OR(E772=1,I772="Company-caused"),1,0)</f>
        <v>1</v>
      </c>
      <c r="K772" s="32" t="str">
        <f>IF(E772=0,IF(I772="Company-caused",IF(Orders!T769="Rider unavailable","C1 Rider unavailable","C2 Item unavailable"),"Outside root: unresolved"),IF(G772=0,"A On time",IF(H772=1,IF(L772=1,"B2a Severe, peak","B2b Severe, off-peak"),IF(L772=1,"B1a Slight, peak","B1b Slight, off-peak"))))</f>
        <v>A On time</v>
      </c>
      <c r="L772" s="33">
        <f>IF(AND(Orders!U769&gt;=19,Orders!U769&lt;22),1,0)</f>
        <v>1</v>
      </c>
      <c r="M772" s="33">
        <f>IF(L772=IF(Orders!V769,1,0),1,0)</f>
        <v>1</v>
      </c>
      <c r="N772" s="32" t="str">
        <f>IF(Orders!W769="","None",Orders!W769)</f>
        <v>Light</v>
      </c>
      <c r="O772" s="35">
        <f>INT(Orders!E769)</f>
        <v>46270.0</v>
      </c>
      <c r="P772" s="33">
        <f>Orders!U769</f>
        <v>19</v>
      </c>
      <c r="Q772" s="33">
        <f>COUNTIFS(Demand!$A$2:$A$4481,B772,Demand!$B$2:$B$4481,O772,Demand!$C$2:$C$4481,P772)</f>
        <v>1</v>
      </c>
      <c r="R772" s="33">
        <f>IF(Q772=1,SUMIFS(Demand!$E$2:$E$4481,Demand!$A$2:$A$4481,B772,Demand!$B$2:$B$4481,O772,Demand!$C$2:$C$4481,P772),"")</f>
        <v>49</v>
      </c>
      <c r="S772" s="33">
        <f>INDEX(Stores!$G$2:$G$21,MATCH(B772,Stores!$A$2:$A$21,0))</f>
        <v>29</v>
      </c>
      <c r="T772" s="34">
        <f>IF(R772="","",R772/S772)</f>
        <v>1.68965517241379</v>
      </c>
      <c r="U772" s="34">
        <f>IF(E772=1,T772,"")</f>
        <v>1.68965517241379</v>
      </c>
      <c r="V772" s="34" t="str">
        <f>IF(AND(E772=1,L772=0),T772,"")</f>
        <v/>
      </c>
      <c r="W772" s="33">
        <f>IF(U772="","",IF(U772&lt;=Breakdowns!$C$5,1,IF(U772&lt;=Breakdowns!$C$6,2,IF(U772&lt;=Breakdowns!$C$7,3,4))))</f>
        <v>4</v>
      </c>
      <c r="X772" s="33" t="str">
        <f>IF(V772="","",IF(V772&lt;=Breakdowns!$D$5,1,IF(V772&lt;=Breakdowns!$D$6,2,IF(V772&lt;=Breakdowns!$D$7,3,4))))</f>
        <v/>
      </c>
      <c r="Y772" s="34">
        <f>INDEX(Stores!$F$2:$F$21,MATCH(B772,Stores!$A$2:$A$21,0))</f>
        <v>2.66</v>
      </c>
      <c r="Z772" s="33">
        <f>IF(Y772&gt;Store_Summary!$M$2,1,0)</f>
        <v>0</v>
      </c>
      <c r="AA772" s="33">
        <f>INDEX(Stores!$C$2:$C$21,MATCH(B772,Stores!$A$2:$A$21,0))</f>
        <v>645</v>
      </c>
      <c r="AB772" s="33">
        <f>IF(AA772&lt;180,1,0)</f>
        <v>0</v>
      </c>
      <c r="AC772" s="32" t="str">
        <f>IF(Orders!D769="","",INDEX(Riders!$C$2:$C$81,MATCH(Orders!D769,Riders!$A$2:$A$81,0)))</f>
        <v>EV scooter</v>
      </c>
      <c r="AD772" s="33">
        <f>IF(Orders!D769="","",INDEX(Riders!$D$2:$D$81,MATCH(Orders!D769,Riders!$A$2:$A$81,0)))</f>
        <v>45</v>
      </c>
      <c r="AE772" s="33">
        <f>IF(Orders!D769="","",IF(INDEX(Riders!$B$2:$B$81,MATCH(Orders!D769,Riders!$A$2:$A$81,0))=B772,1,0))</f>
        <v>0</v>
      </c>
      <c r="AF772" s="34">
        <f>IF(E772=1,Orders!L769,"")</f>
        <v>2.77</v>
      </c>
      <c r="AG772" s="34">
        <f>IF(E772=1,Orders!P769,"")</f>
        <v>11.3</v>
      </c>
      <c r="AH772" s="34">
        <f>IF(E772=1,Orders!Q769,"")</f>
        <v>10.3</v>
      </c>
      <c r="AI772" s="34">
        <f>IF(E772=1,Orders!M769,"")</f>
        <v>1.4</v>
      </c>
      <c r="AJ772" s="34">
        <f>IF(E772=1,Orders!N769,"")</f>
        <v>4.9</v>
      </c>
      <c r="AK772" s="34">
        <f>IF(E772=1,Orders!O769,"")</f>
        <v>4</v>
      </c>
      <c r="AL772" s="33">
        <f>IF(E772=1,IF(ROUND(ABS(AI772+AJ772+AK772-AH772),6)&lt;=0.1,1,0),"")</f>
        <v>1</v>
      </c>
      <c r="AM772" s="36">
        <f>IF(E772=1,AI772/AH772,"")</f>
        <v>0.135922330097087</v>
      </c>
      <c r="AN772" s="36">
        <f>IF(E772=1,AJ772/AH772,"")</f>
        <v>0.475728155339806</v>
      </c>
      <c r="AO772" s="36">
        <f>IF(E772=1,AK772/AH772,"")</f>
        <v>0.388349514563107</v>
      </c>
      <c r="AP772" s="34">
        <f>IF(E772=1,Orders!Y769,"")</f>
        <v>0.26</v>
      </c>
      <c r="AQ772" s="33">
        <f>IF(Orders!X769,1,0)</f>
        <v>0</v>
      </c>
      <c r="AR772" s="34">
        <f>IF(AND(E772=1,L772=1),AJ772,"")</f>
        <v>4.9</v>
      </c>
      <c r="AS772" s="34" t="str">
        <f>IF(AND(E772=1,L772=0),AJ772,"")</f>
        <v/>
      </c>
      <c r="AT772" s="34">
        <f>IF(AND(E772=1,L772=1),AI772,"")</f>
        <v>1.4</v>
      </c>
      <c r="AU772" s="34" t="str">
        <f>IF(AND(E772=1,L772=0),AI772,"")</f>
        <v/>
      </c>
      <c r="AV772" s="34">
        <f>IF(AND(E772=1,L772=1),AG772,"")</f>
        <v>11.3</v>
      </c>
      <c r="AW772" s="34" t="str">
        <f>IF(AND(E772=1,L772=0),AG772,"")</f>
        <v/>
      </c>
      <c r="AX772" s="34">
        <f>IF(AND(E772=1,L772=1),AH772,"")</f>
        <v>10.3</v>
      </c>
      <c r="AY772" s="34" t="str">
        <f>IF(AND(E772=1,L772=0),AH772,"")</f>
        <v/>
      </c>
      <c r="AZ772" s="34" t="str">
        <f>IF(G772=1,F772,"")</f>
        <v/>
      </c>
      <c r="BA772" s="34" t="str">
        <f>IF(AND(G772=1,L772=1),F772,"")</f>
        <v/>
      </c>
      <c r="BB772" s="34" t="str">
        <f>IF(AND(G772=1,L772=0),F772,"")</f>
        <v/>
      </c>
      <c r="BC772" s="33">
        <f>IF(E772=1,IF(Orders!R769&gt;3,1,0),"")</f>
        <v>0</v>
      </c>
      <c r="BD772" s="33">
        <f>IF(E772=1,IF(Orders!R769&gt;7,1,0),"")</f>
        <v>0</v>
      </c>
      <c r="BE772" s="32" t="str">
        <f>IF(E772=1,IF(Orders!L769&lt;=1.5,"Up to 1.5 km",IF(Orders!L769&lt;=3,"1.5–3 km","Over 3 km")),"")</f>
        <v>1.5–3 km</v>
      </c>
      <c r="BF772" s="33">
        <f>IF(E772=1,IF(ABS((Orders!G769-Orders!F769)*1440-Orders!R769)&lt;0.06,1,0),"")</f>
        <v>1</v>
      </c>
      <c r="BG772" s="33">
        <f>IF(ABS((Orders!F769-Orders!E769)*1440-Orders!P769)&lt;0.06,1,0)</f>
        <v>1</v>
      </c>
      <c r="BH772" s="33">
        <f>IF(E772=1,IF(IF(Orders!S769,1,0)=1-G772,1,0),"")</f>
        <v>1</v>
      </c>
      <c r="BI772" s="32" t="str">
        <f>INDEX(Stores!$B$2:$B$21,MATCH(B772,Stores!$A$2:$A$21,0))</f>
        <v>Pune</v>
      </c>
    </row>
    <row r="773">
      <c r="A773" s="32" t="str">
        <f>Orders!A770</f>
        <v>O00769</v>
      </c>
      <c r="B773" s="32" t="str">
        <f>Orders!C770</f>
        <v>S005</v>
      </c>
      <c r="C773" s="32" t="str">
        <f>Orders!B770</f>
        <v>C0168</v>
      </c>
      <c r="D773" s="32" t="str">
        <f>Orders!H770</f>
        <v>Delivered</v>
      </c>
      <c r="E773" s="33">
        <f>IF(Orders!H770="Delivered",1,0)</f>
        <v>1</v>
      </c>
      <c r="F773" s="34">
        <f>IF(E773=1,Orders!R770,"")</f>
        <v>-0.6</v>
      </c>
      <c r="G773" s="33">
        <f>IF(E773=1,IF(Orders!R770&gt;0,1,0),"")</f>
        <v>0</v>
      </c>
      <c r="H773" s="33">
        <f>IF(E773=1,IF(Orders!R770&gt;5,1,0),"")</f>
        <v>0</v>
      </c>
      <c r="I773" s="32" t="str">
        <f>IF(E773=1,"",IF(OR(Orders!T770="Rider unavailable",Orders!T770="Item unavailable"),"Company-caused","Unresolved"))</f>
        <v/>
      </c>
      <c r="J773" s="33">
        <f>IF(OR(E773=1,I773="Company-caused"),1,0)</f>
        <v>1</v>
      </c>
      <c r="K773" s="32" t="str">
        <f>IF(E773=0,IF(I773="Company-caused",IF(Orders!T770="Rider unavailable","C1 Rider unavailable","C2 Item unavailable"),"Outside root: unresolved"),IF(G773=0,"A On time",IF(H773=1,IF(L773=1,"B2a Severe, peak","B2b Severe, off-peak"),IF(L773=1,"B1a Slight, peak","B1b Slight, off-peak"))))</f>
        <v>A On time</v>
      </c>
      <c r="L773" s="33">
        <f>IF(AND(Orders!U770&gt;=19,Orders!U770&lt;22),1,0)</f>
        <v>0</v>
      </c>
      <c r="M773" s="33">
        <f>IF(L773=IF(Orders!V770,1,0),1,0)</f>
        <v>1</v>
      </c>
      <c r="N773" s="32" t="str">
        <f>IF(Orders!W770="","None",Orders!W770)</f>
        <v>None</v>
      </c>
      <c r="O773" s="35">
        <f>INT(Orders!E770)</f>
        <v>46273.0</v>
      </c>
      <c r="P773" s="33">
        <f>Orders!U770</f>
        <v>14</v>
      </c>
      <c r="Q773" s="33">
        <f>COUNTIFS(Demand!$A$2:$A$4481,B773,Demand!$B$2:$B$4481,O773,Demand!$C$2:$C$4481,P773)</f>
        <v>1</v>
      </c>
      <c r="R773" s="33">
        <f>IF(Q773=1,SUMIFS(Demand!$E$2:$E$4481,Demand!$A$2:$A$4481,B773,Demand!$B$2:$B$4481,O773,Demand!$C$2:$C$4481,P773),"")</f>
        <v>13</v>
      </c>
      <c r="S773" s="33">
        <f>INDEX(Stores!$G$2:$G$21,MATCH(B773,Stores!$A$2:$A$21,0))</f>
        <v>14</v>
      </c>
      <c r="T773" s="34">
        <f>IF(R773="","",R773/S773)</f>
        <v>0.928571428571429</v>
      </c>
      <c r="U773" s="34">
        <f>IF(E773=1,T773,"")</f>
        <v>0.928571428571429</v>
      </c>
      <c r="V773" s="34">
        <f>IF(AND(E773=1,L773=0),T773,"")</f>
        <v>0.928571428571429</v>
      </c>
      <c r="W773" s="33">
        <f>IF(U773="","",IF(U773&lt;=Breakdowns!$C$5,1,IF(U773&lt;=Breakdowns!$C$6,2,IF(U773&lt;=Breakdowns!$C$7,3,4))))</f>
        <v>2</v>
      </c>
      <c r="X773" s="33">
        <f>IF(V773="","",IF(V773&lt;=Breakdowns!$D$5,1,IF(V773&lt;=Breakdowns!$D$6,2,IF(V773&lt;=Breakdowns!$D$7,3,4))))</f>
        <v>3</v>
      </c>
      <c r="Y773" s="34">
        <f>INDEX(Stores!$F$2:$F$21,MATCH(B773,Stores!$A$2:$A$21,0))</f>
        <v>4.89</v>
      </c>
      <c r="Z773" s="33">
        <f>IF(Y773&gt;Store_Summary!$M$2,1,0)</f>
        <v>0</v>
      </c>
      <c r="AA773" s="33">
        <f>INDEX(Stores!$C$2:$C$21,MATCH(B773,Stores!$A$2:$A$21,0))</f>
        <v>138</v>
      </c>
      <c r="AB773" s="33">
        <f>IF(AA773&lt;180,1,0)</f>
        <v>1</v>
      </c>
      <c r="AC773" s="32" t="str">
        <f>IF(Orders!D770="","",INDEX(Riders!$C$2:$C$81,MATCH(Orders!D770,Riders!$A$2:$A$81,0)))</f>
        <v>Petrol scooter</v>
      </c>
      <c r="AD773" s="33">
        <f>IF(Orders!D770="","",INDEX(Riders!$D$2:$D$81,MATCH(Orders!D770,Riders!$A$2:$A$81,0)))</f>
        <v>29</v>
      </c>
      <c r="AE773" s="33">
        <f>IF(Orders!D770="","",IF(INDEX(Riders!$B$2:$B$81,MATCH(Orders!D770,Riders!$A$2:$A$81,0))=B773,1,0))</f>
        <v>1</v>
      </c>
      <c r="AF773" s="34">
        <f>IF(E773=1,Orders!L770,"")</f>
        <v>1.21</v>
      </c>
      <c r="AG773" s="34">
        <f>IF(E773=1,Orders!P770,"")</f>
        <v>9.3</v>
      </c>
      <c r="AH773" s="34">
        <f>IF(E773=1,Orders!Q770,"")</f>
        <v>8.7</v>
      </c>
      <c r="AI773" s="34">
        <f>IF(E773=1,Orders!M770,"")</f>
        <v>3.2</v>
      </c>
      <c r="AJ773" s="34">
        <f>IF(E773=1,Orders!N770,"")</f>
        <v>2.4</v>
      </c>
      <c r="AK773" s="34">
        <f>IF(E773=1,Orders!O770,"")</f>
        <v>3.1</v>
      </c>
      <c r="AL773" s="33">
        <f>IF(E773=1,IF(ROUND(ABS(AI773+AJ773+AK773-AH773),6)&lt;=0.1,1,0),"")</f>
        <v>1</v>
      </c>
      <c r="AM773" s="36">
        <f>IF(E773=1,AI773/AH773,"")</f>
        <v>0.367816091954023</v>
      </c>
      <c r="AN773" s="36">
        <f>IF(E773=1,AJ773/AH773,"")</f>
        <v>0.275862068965517</v>
      </c>
      <c r="AO773" s="36">
        <f>IF(E773=1,AK773/AH773,"")</f>
        <v>0.35632183908046</v>
      </c>
      <c r="AP773" s="34">
        <f>IF(E773=1,Orders!Y770,"")</f>
        <v>0.78</v>
      </c>
      <c r="AQ773" s="33">
        <f>IF(Orders!X770,1,0)</f>
        <v>0</v>
      </c>
      <c r="AR773" s="34" t="str">
        <f>IF(AND(E773=1,L773=1),AJ773,"")</f>
        <v/>
      </c>
      <c r="AS773" s="34">
        <f>IF(AND(E773=1,L773=0),AJ773,"")</f>
        <v>2.4</v>
      </c>
      <c r="AT773" s="34" t="str">
        <f>IF(AND(E773=1,L773=1),AI773,"")</f>
        <v/>
      </c>
      <c r="AU773" s="34">
        <f>IF(AND(E773=1,L773=0),AI773,"")</f>
        <v>3.2</v>
      </c>
      <c r="AV773" s="34" t="str">
        <f>IF(AND(E773=1,L773=1),AG773,"")</f>
        <v/>
      </c>
      <c r="AW773" s="34">
        <f>IF(AND(E773=1,L773=0),AG773,"")</f>
        <v>9.3</v>
      </c>
      <c r="AX773" s="34" t="str">
        <f>IF(AND(E773=1,L773=1),AH773,"")</f>
        <v/>
      </c>
      <c r="AY773" s="34">
        <f>IF(AND(E773=1,L773=0),AH773,"")</f>
        <v>8.7</v>
      </c>
      <c r="AZ773" s="34" t="str">
        <f>IF(G773=1,F773,"")</f>
        <v/>
      </c>
      <c r="BA773" s="34" t="str">
        <f>IF(AND(G773=1,L773=1),F773,"")</f>
        <v/>
      </c>
      <c r="BB773" s="34" t="str">
        <f>IF(AND(G773=1,L773=0),F773,"")</f>
        <v/>
      </c>
      <c r="BC773" s="33">
        <f>IF(E773=1,IF(Orders!R770&gt;3,1,0),"")</f>
        <v>0</v>
      </c>
      <c r="BD773" s="33">
        <f>IF(E773=1,IF(Orders!R770&gt;7,1,0),"")</f>
        <v>0</v>
      </c>
      <c r="BE773" s="32" t="str">
        <f>IF(E773=1,IF(Orders!L770&lt;=1.5,"Up to 1.5 km",IF(Orders!L770&lt;=3,"1.5–3 km","Over 3 km")),"")</f>
        <v>Up to 1.5 km</v>
      </c>
      <c r="BF773" s="33">
        <f>IF(E773=1,IF(ABS((Orders!G770-Orders!F770)*1440-Orders!R770)&lt;0.06,1,0),"")</f>
        <v>1</v>
      </c>
      <c r="BG773" s="33">
        <f>IF(ABS((Orders!F770-Orders!E770)*1440-Orders!P770)&lt;0.06,1,0)</f>
        <v>1</v>
      </c>
      <c r="BH773" s="33">
        <f>IF(E773=1,IF(IF(Orders!S770,1,0)=1-G773,1,0),"")</f>
        <v>1</v>
      </c>
      <c r="BI773" s="32" t="str">
        <f>INDEX(Stores!$B$2:$B$21,MATCH(B773,Stores!$A$2:$A$21,0))</f>
        <v>Delhi</v>
      </c>
    </row>
    <row r="774">
      <c r="A774" s="32" t="str">
        <f>Orders!A771</f>
        <v>O00770</v>
      </c>
      <c r="B774" s="32" t="str">
        <f>Orders!C771</f>
        <v>S003</v>
      </c>
      <c r="C774" s="32" t="str">
        <f>Orders!B771</f>
        <v>C0059</v>
      </c>
      <c r="D774" s="32" t="str">
        <f>Orders!H771</f>
        <v>Delivered</v>
      </c>
      <c r="E774" s="33">
        <f>IF(Orders!H771="Delivered",1,0)</f>
        <v>1</v>
      </c>
      <c r="F774" s="34">
        <f>IF(E774=1,Orders!R771,"")</f>
        <v>16.3</v>
      </c>
      <c r="G774" s="33">
        <f>IF(E774=1,IF(Orders!R771&gt;0,1,0),"")</f>
        <v>1</v>
      </c>
      <c r="H774" s="33">
        <f>IF(E774=1,IF(Orders!R771&gt;5,1,0),"")</f>
        <v>1</v>
      </c>
      <c r="I774" s="32" t="str">
        <f>IF(E774=1,"",IF(OR(Orders!T771="Rider unavailable",Orders!T771="Item unavailable"),"Company-caused","Unresolved"))</f>
        <v/>
      </c>
      <c r="J774" s="33">
        <f>IF(OR(E774=1,I774="Company-caused"),1,0)</f>
        <v>1</v>
      </c>
      <c r="K774" s="32" t="str">
        <f>IF(E774=0,IF(I774="Company-caused",IF(Orders!T771="Rider unavailable","C1 Rider unavailable","C2 Item unavailable"),"Outside root: unresolved"),IF(G774=0,"A On time",IF(H774=1,IF(L774=1,"B2a Severe, peak","B2b Severe, off-peak"),IF(L774=1,"B1a Slight, peak","B1b Slight, off-peak"))))</f>
        <v>B2a Severe, peak</v>
      </c>
      <c r="L774" s="33">
        <f>IF(AND(Orders!U771&gt;=19,Orders!U771&lt;22),1,0)</f>
        <v>1</v>
      </c>
      <c r="M774" s="33">
        <f>IF(L774=IF(Orders!V771,1,0),1,0)</f>
        <v>1</v>
      </c>
      <c r="N774" s="32" t="str">
        <f>IF(Orders!W771="","None",Orders!W771)</f>
        <v>None</v>
      </c>
      <c r="O774" s="35">
        <f>INT(Orders!E771)</f>
        <v>46266.0</v>
      </c>
      <c r="P774" s="33">
        <f>Orders!U771</f>
        <v>20</v>
      </c>
      <c r="Q774" s="33">
        <f>COUNTIFS(Demand!$A$2:$A$4481,B774,Demand!$B$2:$B$4481,O774,Demand!$C$2:$C$4481,P774)</f>
        <v>1</v>
      </c>
      <c r="R774" s="33">
        <f>IF(Q774=1,SUMIFS(Demand!$E$2:$E$4481,Demand!$A$2:$A$4481,B774,Demand!$B$2:$B$4481,O774,Demand!$C$2:$C$4481,P774),"")</f>
        <v>70</v>
      </c>
      <c r="S774" s="33">
        <f>INDEX(Stores!$G$2:$G$21,MATCH(B774,Stores!$A$2:$A$21,0))</f>
        <v>41</v>
      </c>
      <c r="T774" s="34">
        <f>IF(R774="","",R774/S774)</f>
        <v>1.70731707317073</v>
      </c>
      <c r="U774" s="34">
        <f>IF(E774=1,T774,"")</f>
        <v>1.70731707317073</v>
      </c>
      <c r="V774" s="34" t="str">
        <f>IF(AND(E774=1,L774=0),T774,"")</f>
        <v/>
      </c>
      <c r="W774" s="33">
        <f>IF(U774="","",IF(U774&lt;=Breakdowns!$C$5,1,IF(U774&lt;=Breakdowns!$C$6,2,IF(U774&lt;=Breakdowns!$C$7,3,4))))</f>
        <v>4</v>
      </c>
      <c r="X774" s="33" t="str">
        <f>IF(V774="","",IF(V774&lt;=Breakdowns!$D$5,1,IF(V774&lt;=Breakdowns!$D$6,2,IF(V774&lt;=Breakdowns!$D$7,3,4))))</f>
        <v/>
      </c>
      <c r="Y774" s="34">
        <f>INDEX(Stores!$F$2:$F$21,MATCH(B774,Stores!$A$2:$A$21,0))</f>
        <v>3.84</v>
      </c>
      <c r="Z774" s="33">
        <f>IF(Y774&gt;Store_Summary!$M$2,1,0)</f>
        <v>0</v>
      </c>
      <c r="AA774" s="33">
        <f>INDEX(Stores!$C$2:$C$21,MATCH(B774,Stores!$A$2:$A$21,0))</f>
        <v>426</v>
      </c>
      <c r="AB774" s="33">
        <f>IF(AA774&lt;180,1,0)</f>
        <v>0</v>
      </c>
      <c r="AC774" s="32" t="str">
        <f>IF(Orders!D771="","",INDEX(Riders!$C$2:$C$81,MATCH(Orders!D771,Riders!$A$2:$A$81,0)))</f>
        <v>EV scooter</v>
      </c>
      <c r="AD774" s="33">
        <f>IF(Orders!D771="","",INDEX(Riders!$D$2:$D$81,MATCH(Orders!D771,Riders!$A$2:$A$81,0)))</f>
        <v>38</v>
      </c>
      <c r="AE774" s="33">
        <f>IF(Orders!D771="","",IF(INDEX(Riders!$B$2:$B$81,MATCH(Orders!D771,Riders!$A$2:$A$81,0))=B774,1,0))</f>
        <v>0</v>
      </c>
      <c r="AF774" s="34">
        <f>IF(E774=1,Orders!L771,"")</f>
        <v>2.1</v>
      </c>
      <c r="AG774" s="34">
        <f>IF(E774=1,Orders!P771,"")</f>
        <v>8.2</v>
      </c>
      <c r="AH774" s="34">
        <f>IF(E774=1,Orders!Q771,"")</f>
        <v>24.5</v>
      </c>
      <c r="AI774" s="34">
        <f>IF(E774=1,Orders!M771,"")</f>
        <v>5.6</v>
      </c>
      <c r="AJ774" s="34">
        <f>IF(E774=1,Orders!N771,"")</f>
        <v>11.6</v>
      </c>
      <c r="AK774" s="34">
        <f>IF(E774=1,Orders!O771,"")</f>
        <v>7.2</v>
      </c>
      <c r="AL774" s="33">
        <f>IF(E774=1,IF(ROUND(ABS(AI774+AJ774+AK774-AH774),6)&lt;=0.1,1,0),"")</f>
        <v>1</v>
      </c>
      <c r="AM774" s="36">
        <f>IF(E774=1,AI774/AH774,"")</f>
        <v>0.228571428571429</v>
      </c>
      <c r="AN774" s="36">
        <f>IF(E774=1,AJ774/AH774,"")</f>
        <v>0.473469387755102</v>
      </c>
      <c r="AO774" s="36">
        <f>IF(E774=1,AK774/AH774,"")</f>
        <v>0.293877551020408</v>
      </c>
      <c r="AP774" s="34">
        <f>IF(E774=1,Orders!Y771,"")</f>
        <v>0.94</v>
      </c>
      <c r="AQ774" s="33">
        <f>IF(Orders!X771,1,0)</f>
        <v>0</v>
      </c>
      <c r="AR774" s="34">
        <f>IF(AND(E774=1,L774=1),AJ774,"")</f>
        <v>11.6</v>
      </c>
      <c r="AS774" s="34" t="str">
        <f>IF(AND(E774=1,L774=0),AJ774,"")</f>
        <v/>
      </c>
      <c r="AT774" s="34">
        <f>IF(AND(E774=1,L774=1),AI774,"")</f>
        <v>5.6</v>
      </c>
      <c r="AU774" s="34" t="str">
        <f>IF(AND(E774=1,L774=0),AI774,"")</f>
        <v/>
      </c>
      <c r="AV774" s="34">
        <f>IF(AND(E774=1,L774=1),AG774,"")</f>
        <v>8.2</v>
      </c>
      <c r="AW774" s="34" t="str">
        <f>IF(AND(E774=1,L774=0),AG774,"")</f>
        <v/>
      </c>
      <c r="AX774" s="34">
        <f>IF(AND(E774=1,L774=1),AH774,"")</f>
        <v>24.5</v>
      </c>
      <c r="AY774" s="34" t="str">
        <f>IF(AND(E774=1,L774=0),AH774,"")</f>
        <v/>
      </c>
      <c r="AZ774" s="34">
        <f>IF(G774=1,F774,"")</f>
        <v>16.3</v>
      </c>
      <c r="BA774" s="34">
        <f>IF(AND(G774=1,L774=1),F774,"")</f>
        <v>16.3</v>
      </c>
      <c r="BB774" s="34" t="str">
        <f>IF(AND(G774=1,L774=0),F774,"")</f>
        <v/>
      </c>
      <c r="BC774" s="33">
        <f>IF(E774=1,IF(Orders!R771&gt;3,1,0),"")</f>
        <v>1</v>
      </c>
      <c r="BD774" s="33">
        <f>IF(E774=1,IF(Orders!R771&gt;7,1,0),"")</f>
        <v>1</v>
      </c>
      <c r="BE774" s="32" t="str">
        <f>IF(E774=1,IF(Orders!L771&lt;=1.5,"Up to 1.5 km",IF(Orders!L771&lt;=3,"1.5–3 km","Over 3 km")),"")</f>
        <v>1.5–3 km</v>
      </c>
      <c r="BF774" s="33">
        <f>IF(E774=1,IF(ABS((Orders!G771-Orders!F771)*1440-Orders!R771)&lt;0.06,1,0),"")</f>
        <v>1</v>
      </c>
      <c r="BG774" s="33">
        <f>IF(ABS((Orders!F771-Orders!E771)*1440-Orders!P771)&lt;0.06,1,0)</f>
        <v>1</v>
      </c>
      <c r="BH774" s="33">
        <f>IF(E774=1,IF(IF(Orders!S771,1,0)=1-G774,1,0),"")</f>
        <v>1</v>
      </c>
      <c r="BI774" s="32" t="str">
        <f>INDEX(Stores!$B$2:$B$21,MATCH(B774,Stores!$A$2:$A$21,0))</f>
        <v>Mumbai</v>
      </c>
    </row>
    <row r="775">
      <c r="A775" s="32" t="str">
        <f>Orders!A772</f>
        <v>O00771</v>
      </c>
      <c r="B775" s="32" t="str">
        <f>Orders!C772</f>
        <v>S002</v>
      </c>
      <c r="C775" s="32" t="str">
        <f>Orders!B772</f>
        <v>C0055</v>
      </c>
      <c r="D775" s="32" t="str">
        <f>Orders!H772</f>
        <v>Delivered</v>
      </c>
      <c r="E775" s="33">
        <f>IF(Orders!H772="Delivered",1,0)</f>
        <v>1</v>
      </c>
      <c r="F775" s="34">
        <f>IF(E775=1,Orders!R772,"")</f>
        <v>2.9</v>
      </c>
      <c r="G775" s="33">
        <f>IF(E775=1,IF(Orders!R772&gt;0,1,0),"")</f>
        <v>1</v>
      </c>
      <c r="H775" s="33">
        <f>IF(E775=1,IF(Orders!R772&gt;5,1,0),"")</f>
        <v>0</v>
      </c>
      <c r="I775" s="32" t="str">
        <f>IF(E775=1,"",IF(OR(Orders!T772="Rider unavailable",Orders!T772="Item unavailable"),"Company-caused","Unresolved"))</f>
        <v/>
      </c>
      <c r="J775" s="33">
        <f>IF(OR(E775=1,I775="Company-caused"),1,0)</f>
        <v>1</v>
      </c>
      <c r="K775" s="32" t="str">
        <f>IF(E775=0,IF(I775="Company-caused",IF(Orders!T772="Rider unavailable","C1 Rider unavailable","C2 Item unavailable"),"Outside root: unresolved"),IF(G775=0,"A On time",IF(H775=1,IF(L775=1,"B2a Severe, peak","B2b Severe, off-peak"),IF(L775=1,"B1a Slight, peak","B1b Slight, off-peak"))))</f>
        <v>B1b Slight, off-peak</v>
      </c>
      <c r="L775" s="33">
        <f>IF(AND(Orders!U772&gt;=19,Orders!U772&lt;22),1,0)</f>
        <v>0</v>
      </c>
      <c r="M775" s="33">
        <f>IF(L775=IF(Orders!V772,1,0),1,0)</f>
        <v>1</v>
      </c>
      <c r="N775" s="32" t="str">
        <f>IF(Orders!W772="","None",Orders!W772)</f>
        <v>None</v>
      </c>
      <c r="O775" s="35">
        <f>INT(Orders!E772)</f>
        <v>46272.0</v>
      </c>
      <c r="P775" s="33">
        <f>Orders!U772</f>
        <v>15</v>
      </c>
      <c r="Q775" s="33">
        <f>COUNTIFS(Demand!$A$2:$A$4481,B775,Demand!$B$2:$B$4481,O775,Demand!$C$2:$C$4481,P775)</f>
        <v>1</v>
      </c>
      <c r="R775" s="33">
        <f>IF(Q775=1,SUMIFS(Demand!$E$2:$E$4481,Demand!$A$2:$A$4481,B775,Demand!$B$2:$B$4481,O775,Demand!$C$2:$C$4481,P775),"")</f>
        <v>21</v>
      </c>
      <c r="S775" s="33">
        <f>INDEX(Stores!$G$2:$G$21,MATCH(B775,Stores!$A$2:$A$21,0))</f>
        <v>33</v>
      </c>
      <c r="T775" s="34">
        <f>IF(R775="","",R775/S775)</f>
        <v>0.636363636363636</v>
      </c>
      <c r="U775" s="34">
        <f>IF(E775=1,T775,"")</f>
        <v>0.636363636363636</v>
      </c>
      <c r="V775" s="34">
        <f>IF(AND(E775=1,L775=0),T775,"")</f>
        <v>0.636363636363636</v>
      </c>
      <c r="W775" s="33">
        <f>IF(U775="","",IF(U775&lt;=Breakdowns!$C$5,1,IF(U775&lt;=Breakdowns!$C$6,2,IF(U775&lt;=Breakdowns!$C$7,3,4))))</f>
        <v>1</v>
      </c>
      <c r="X775" s="33">
        <f>IF(V775="","",IF(V775&lt;=Breakdowns!$D$5,1,IF(V775&lt;=Breakdowns!$D$6,2,IF(V775&lt;=Breakdowns!$D$7,3,4))))</f>
        <v>1</v>
      </c>
      <c r="Y775" s="34">
        <f>INDEX(Stores!$F$2:$F$21,MATCH(B775,Stores!$A$2:$A$21,0))</f>
        <v>2.39</v>
      </c>
      <c r="Z775" s="33">
        <f>IF(Y775&gt;Store_Summary!$M$2,1,0)</f>
        <v>0</v>
      </c>
      <c r="AA775" s="33">
        <f>INDEX(Stores!$C$2:$C$21,MATCH(B775,Stores!$A$2:$A$21,0))</f>
        <v>470</v>
      </c>
      <c r="AB775" s="33">
        <f>IF(AA775&lt;180,1,0)</f>
        <v>0</v>
      </c>
      <c r="AC775" s="32" t="str">
        <f>IF(Orders!D772="","",INDEX(Riders!$C$2:$C$81,MATCH(Orders!D772,Riders!$A$2:$A$81,0)))</f>
        <v>Petrol scooter</v>
      </c>
      <c r="AD775" s="33">
        <f>IF(Orders!D772="","",INDEX(Riders!$D$2:$D$81,MATCH(Orders!D772,Riders!$A$2:$A$81,0)))</f>
        <v>37</v>
      </c>
      <c r="AE775" s="33">
        <f>IF(Orders!D772="","",IF(INDEX(Riders!$B$2:$B$81,MATCH(Orders!D772,Riders!$A$2:$A$81,0))=B775,1,0))</f>
        <v>0</v>
      </c>
      <c r="AF775" s="34">
        <f>IF(E775=1,Orders!L772,"")</f>
        <v>2.48</v>
      </c>
      <c r="AG775" s="34">
        <f>IF(E775=1,Orders!P772,"")</f>
        <v>9.4</v>
      </c>
      <c r="AH775" s="34">
        <f>IF(E775=1,Orders!Q772,"")</f>
        <v>12.3</v>
      </c>
      <c r="AI775" s="34">
        <f>IF(E775=1,Orders!M772,"")</f>
        <v>1.6</v>
      </c>
      <c r="AJ775" s="34">
        <f>IF(E775=1,Orders!N772,"")</f>
        <v>3.6</v>
      </c>
      <c r="AK775" s="34">
        <f>IF(E775=1,Orders!O772,"")</f>
        <v>7.1</v>
      </c>
      <c r="AL775" s="33">
        <f>IF(E775=1,IF(ROUND(ABS(AI775+AJ775+AK775-AH775),6)&lt;=0.1,1,0),"")</f>
        <v>1</v>
      </c>
      <c r="AM775" s="36">
        <f>IF(E775=1,AI775/AH775,"")</f>
        <v>0.130081300813008</v>
      </c>
      <c r="AN775" s="36">
        <f>IF(E775=1,AJ775/AH775,"")</f>
        <v>0.292682926829268</v>
      </c>
      <c r="AO775" s="36">
        <f>IF(E775=1,AK775/AH775,"")</f>
        <v>0.577235772357724</v>
      </c>
      <c r="AP775" s="34">
        <f>IF(E775=1,Orders!Y772,"")</f>
        <v>0.72</v>
      </c>
      <c r="AQ775" s="33">
        <f>IF(Orders!X772,1,0)</f>
        <v>0</v>
      </c>
      <c r="AR775" s="34" t="str">
        <f>IF(AND(E775=1,L775=1),AJ775,"")</f>
        <v/>
      </c>
      <c r="AS775" s="34">
        <f>IF(AND(E775=1,L775=0),AJ775,"")</f>
        <v>3.6</v>
      </c>
      <c r="AT775" s="34" t="str">
        <f>IF(AND(E775=1,L775=1),AI775,"")</f>
        <v/>
      </c>
      <c r="AU775" s="34">
        <f>IF(AND(E775=1,L775=0),AI775,"")</f>
        <v>1.6</v>
      </c>
      <c r="AV775" s="34" t="str">
        <f>IF(AND(E775=1,L775=1),AG775,"")</f>
        <v/>
      </c>
      <c r="AW775" s="34">
        <f>IF(AND(E775=1,L775=0),AG775,"")</f>
        <v>9.4</v>
      </c>
      <c r="AX775" s="34" t="str">
        <f>IF(AND(E775=1,L775=1),AH775,"")</f>
        <v/>
      </c>
      <c r="AY775" s="34">
        <f>IF(AND(E775=1,L775=0),AH775,"")</f>
        <v>12.3</v>
      </c>
      <c r="AZ775" s="34">
        <f>IF(G775=1,F775,"")</f>
        <v>2.9</v>
      </c>
      <c r="BA775" s="34" t="str">
        <f>IF(AND(G775=1,L775=1),F775,"")</f>
        <v/>
      </c>
      <c r="BB775" s="34">
        <f>IF(AND(G775=1,L775=0),F775,"")</f>
        <v>2.9</v>
      </c>
      <c r="BC775" s="33">
        <f>IF(E775=1,IF(Orders!R772&gt;3,1,0),"")</f>
        <v>0</v>
      </c>
      <c r="BD775" s="33">
        <f>IF(E775=1,IF(Orders!R772&gt;7,1,0),"")</f>
        <v>0</v>
      </c>
      <c r="BE775" s="32" t="str">
        <f>IF(E775=1,IF(Orders!L772&lt;=1.5,"Up to 1.5 km",IF(Orders!L772&lt;=3,"1.5–3 km","Over 3 km")),"")</f>
        <v>1.5–3 km</v>
      </c>
      <c r="BF775" s="33">
        <f>IF(E775=1,IF(ABS((Orders!G772-Orders!F772)*1440-Orders!R772)&lt;0.06,1,0),"")</f>
        <v>1</v>
      </c>
      <c r="BG775" s="33">
        <f>IF(ABS((Orders!F772-Orders!E772)*1440-Orders!P772)&lt;0.06,1,0)</f>
        <v>1</v>
      </c>
      <c r="BH775" s="33">
        <f>IF(E775=1,IF(IF(Orders!S772,1,0)=1-G775,1,0),"")</f>
        <v>1</v>
      </c>
      <c r="BI775" s="32" t="str">
        <f>INDEX(Stores!$B$2:$B$21,MATCH(B775,Stores!$A$2:$A$21,0))</f>
        <v>Hyderabad</v>
      </c>
    </row>
    <row r="776">
      <c r="A776" s="32" t="str">
        <f>Orders!A773</f>
        <v>O00772</v>
      </c>
      <c r="B776" s="32" t="str">
        <f>Orders!C773</f>
        <v>S001</v>
      </c>
      <c r="C776" s="32" t="str">
        <f>Orders!B773</f>
        <v>C0204</v>
      </c>
      <c r="D776" s="32" t="str">
        <f>Orders!H773</f>
        <v>Delivered</v>
      </c>
      <c r="E776" s="33">
        <f>IF(Orders!H773="Delivered",1,0)</f>
        <v>1</v>
      </c>
      <c r="F776" s="34">
        <f>IF(E776=1,Orders!R773,"")</f>
        <v>-0.7</v>
      </c>
      <c r="G776" s="33">
        <f>IF(E776=1,IF(Orders!R773&gt;0,1,0),"")</f>
        <v>0</v>
      </c>
      <c r="H776" s="33">
        <f>IF(E776=1,IF(Orders!R773&gt;5,1,0),"")</f>
        <v>0</v>
      </c>
      <c r="I776" s="32" t="str">
        <f>IF(E776=1,"",IF(OR(Orders!T773="Rider unavailable",Orders!T773="Item unavailable"),"Company-caused","Unresolved"))</f>
        <v/>
      </c>
      <c r="J776" s="33">
        <f>IF(OR(E776=1,I776="Company-caused"),1,0)</f>
        <v>1</v>
      </c>
      <c r="K776" s="32" t="str">
        <f>IF(E776=0,IF(I776="Company-caused",IF(Orders!T773="Rider unavailable","C1 Rider unavailable","C2 Item unavailable"),"Outside root: unresolved"),IF(G776=0,"A On time",IF(H776=1,IF(L776=1,"B2a Severe, peak","B2b Severe, off-peak"),IF(L776=1,"B1a Slight, peak","B1b Slight, off-peak"))))</f>
        <v>A On time</v>
      </c>
      <c r="L776" s="33">
        <f>IF(AND(Orders!U773&gt;=19,Orders!U773&lt;22),1,0)</f>
        <v>0</v>
      </c>
      <c r="M776" s="33">
        <f>IF(L776=IF(Orders!V773,1,0),1,0)</f>
        <v>1</v>
      </c>
      <c r="N776" s="32" t="str">
        <f>IF(Orders!W773="","None",Orders!W773)</f>
        <v>None</v>
      </c>
      <c r="O776" s="35">
        <f>INT(Orders!E773)</f>
        <v>46269.0</v>
      </c>
      <c r="P776" s="33">
        <f>Orders!U773</f>
        <v>15</v>
      </c>
      <c r="Q776" s="33">
        <f>COUNTIFS(Demand!$A$2:$A$4481,B776,Demand!$B$2:$B$4481,O776,Demand!$C$2:$C$4481,P776)</f>
        <v>1</v>
      </c>
      <c r="R776" s="33">
        <f>IF(Q776=1,SUMIFS(Demand!$E$2:$E$4481,Demand!$A$2:$A$4481,B776,Demand!$B$2:$B$4481,O776,Demand!$C$2:$C$4481,P776),"")</f>
        <v>8</v>
      </c>
      <c r="S776" s="33">
        <f>INDEX(Stores!$G$2:$G$21,MATCH(B776,Stores!$A$2:$A$21,0))</f>
        <v>16</v>
      </c>
      <c r="T776" s="34">
        <f>IF(R776="","",R776/S776)</f>
        <v>0.5</v>
      </c>
      <c r="U776" s="34">
        <f>IF(E776=1,T776,"")</f>
        <v>0.5</v>
      </c>
      <c r="V776" s="34">
        <f>IF(AND(E776=1,L776=0),T776,"")</f>
        <v>0.5</v>
      </c>
      <c r="W776" s="33">
        <f>IF(U776="","",IF(U776&lt;=Breakdowns!$C$5,1,IF(U776&lt;=Breakdowns!$C$6,2,IF(U776&lt;=Breakdowns!$C$7,3,4))))</f>
        <v>1</v>
      </c>
      <c r="X776" s="33">
        <f>IF(V776="","",IF(V776&lt;=Breakdowns!$D$5,1,IF(V776&lt;=Breakdowns!$D$6,2,IF(V776&lt;=Breakdowns!$D$7,3,4))))</f>
        <v>1</v>
      </c>
      <c r="Y776" s="34">
        <f>INDEX(Stores!$F$2:$F$21,MATCH(B776,Stores!$A$2:$A$21,0))</f>
        <v>4.59</v>
      </c>
      <c r="Z776" s="33">
        <f>IF(Y776&gt;Store_Summary!$M$2,1,0)</f>
        <v>0</v>
      </c>
      <c r="AA776" s="33">
        <f>INDEX(Stores!$C$2:$C$21,MATCH(B776,Stores!$A$2:$A$21,0))</f>
        <v>362</v>
      </c>
      <c r="AB776" s="33">
        <f>IF(AA776&lt;180,1,0)</f>
        <v>0</v>
      </c>
      <c r="AC776" s="32" t="str">
        <f>IF(Orders!D773="","",INDEX(Riders!$C$2:$C$81,MATCH(Orders!D773,Riders!$A$2:$A$81,0)))</f>
        <v>Petrol scooter</v>
      </c>
      <c r="AD776" s="33">
        <f>IF(Orders!D773="","",INDEX(Riders!$D$2:$D$81,MATCH(Orders!D773,Riders!$A$2:$A$81,0)))</f>
        <v>19</v>
      </c>
      <c r="AE776" s="33">
        <f>IF(Orders!D773="","",IF(INDEX(Riders!$B$2:$B$81,MATCH(Orders!D773,Riders!$A$2:$A$81,0))=B776,1,0))</f>
        <v>0</v>
      </c>
      <c r="AF776" s="34">
        <f>IF(E776=1,Orders!L773,"")</f>
        <v>1.71</v>
      </c>
      <c r="AG776" s="34">
        <f>IF(E776=1,Orders!P773,"")</f>
        <v>11.5</v>
      </c>
      <c r="AH776" s="34">
        <f>IF(E776=1,Orders!Q773,"")</f>
        <v>10.8</v>
      </c>
      <c r="AI776" s="34">
        <f>IF(E776=1,Orders!M773,"")</f>
        <v>2.9</v>
      </c>
      <c r="AJ776" s="34">
        <f>IF(E776=1,Orders!N773,"")</f>
        <v>4.9</v>
      </c>
      <c r="AK776" s="34">
        <f>IF(E776=1,Orders!O773,"")</f>
        <v>3</v>
      </c>
      <c r="AL776" s="33">
        <f>IF(E776=1,IF(ROUND(ABS(AI776+AJ776+AK776-AH776),6)&lt;=0.1,1,0),"")</f>
        <v>1</v>
      </c>
      <c r="AM776" s="36">
        <f>IF(E776=1,AI776/AH776,"")</f>
        <v>0.268518518518519</v>
      </c>
      <c r="AN776" s="36">
        <f>IF(E776=1,AJ776/AH776,"")</f>
        <v>0.453703703703704</v>
      </c>
      <c r="AO776" s="36">
        <f>IF(E776=1,AK776/AH776,"")</f>
        <v>0.277777777777778</v>
      </c>
      <c r="AP776" s="34">
        <f>IF(E776=1,Orders!Y773,"")</f>
        <v>0.74</v>
      </c>
      <c r="AQ776" s="33">
        <f>IF(Orders!X773,1,0)</f>
        <v>0</v>
      </c>
      <c r="AR776" s="34" t="str">
        <f>IF(AND(E776=1,L776=1),AJ776,"")</f>
        <v/>
      </c>
      <c r="AS776" s="34">
        <f>IF(AND(E776=1,L776=0),AJ776,"")</f>
        <v>4.9</v>
      </c>
      <c r="AT776" s="34" t="str">
        <f>IF(AND(E776=1,L776=1),AI776,"")</f>
        <v/>
      </c>
      <c r="AU776" s="34">
        <f>IF(AND(E776=1,L776=0),AI776,"")</f>
        <v>2.9</v>
      </c>
      <c r="AV776" s="34" t="str">
        <f>IF(AND(E776=1,L776=1),AG776,"")</f>
        <v/>
      </c>
      <c r="AW776" s="34">
        <f>IF(AND(E776=1,L776=0),AG776,"")</f>
        <v>11.5</v>
      </c>
      <c r="AX776" s="34" t="str">
        <f>IF(AND(E776=1,L776=1),AH776,"")</f>
        <v/>
      </c>
      <c r="AY776" s="34">
        <f>IF(AND(E776=1,L776=0),AH776,"")</f>
        <v>10.8</v>
      </c>
      <c r="AZ776" s="34" t="str">
        <f>IF(G776=1,F776,"")</f>
        <v/>
      </c>
      <c r="BA776" s="34" t="str">
        <f>IF(AND(G776=1,L776=1),F776,"")</f>
        <v/>
      </c>
      <c r="BB776" s="34" t="str">
        <f>IF(AND(G776=1,L776=0),F776,"")</f>
        <v/>
      </c>
      <c r="BC776" s="33">
        <f>IF(E776=1,IF(Orders!R773&gt;3,1,0),"")</f>
        <v>0</v>
      </c>
      <c r="BD776" s="33">
        <f>IF(E776=1,IF(Orders!R773&gt;7,1,0),"")</f>
        <v>0</v>
      </c>
      <c r="BE776" s="32" t="str">
        <f>IF(E776=1,IF(Orders!L773&lt;=1.5,"Up to 1.5 km",IF(Orders!L773&lt;=3,"1.5–3 km","Over 3 km")),"")</f>
        <v>1.5–3 km</v>
      </c>
      <c r="BF776" s="33">
        <f>IF(E776=1,IF(ABS((Orders!G773-Orders!F773)*1440-Orders!R773)&lt;0.06,1,0),"")</f>
        <v>1</v>
      </c>
      <c r="BG776" s="33">
        <f>IF(ABS((Orders!F773-Orders!E773)*1440-Orders!P773)&lt;0.06,1,0)</f>
        <v>1</v>
      </c>
      <c r="BH776" s="33">
        <f>IF(E776=1,IF(IF(Orders!S773,1,0)=1-G776,1,0),"")</f>
        <v>1</v>
      </c>
      <c r="BI776" s="32" t="str">
        <f>INDEX(Stores!$B$2:$B$21,MATCH(B776,Stores!$A$2:$A$21,0))</f>
        <v>Bengaluru</v>
      </c>
    </row>
    <row r="777">
      <c r="A777" s="32" t="str">
        <f>Orders!A774</f>
        <v>O00773</v>
      </c>
      <c r="B777" s="32" t="str">
        <f>Orders!C774</f>
        <v>S005</v>
      </c>
      <c r="C777" s="32" t="str">
        <f>Orders!B774</f>
        <v>C0240</v>
      </c>
      <c r="D777" s="32" t="str">
        <f>Orders!H774</f>
        <v>Delivered</v>
      </c>
      <c r="E777" s="33">
        <f>IF(Orders!H774="Delivered",1,0)</f>
        <v>1</v>
      </c>
      <c r="F777" s="34">
        <f>IF(E777=1,Orders!R774,"")</f>
        <v>-0.3</v>
      </c>
      <c r="G777" s="33">
        <f>IF(E777=1,IF(Orders!R774&gt;0,1,0),"")</f>
        <v>0</v>
      </c>
      <c r="H777" s="33">
        <f>IF(E777=1,IF(Orders!R774&gt;5,1,0),"")</f>
        <v>0</v>
      </c>
      <c r="I777" s="32" t="str">
        <f>IF(E777=1,"",IF(OR(Orders!T774="Rider unavailable",Orders!T774="Item unavailable"),"Company-caused","Unresolved"))</f>
        <v/>
      </c>
      <c r="J777" s="33">
        <f>IF(OR(E777=1,I777="Company-caused"),1,0)</f>
        <v>1</v>
      </c>
      <c r="K777" s="32" t="str">
        <f>IF(E777=0,IF(I777="Company-caused",IF(Orders!T774="Rider unavailable","C1 Rider unavailable","C2 Item unavailable"),"Outside root: unresolved"),IF(G777=0,"A On time",IF(H777=1,IF(L777=1,"B2a Severe, peak","B2b Severe, off-peak"),IF(L777=1,"B1a Slight, peak","B1b Slight, off-peak"))))</f>
        <v>A On time</v>
      </c>
      <c r="L777" s="33">
        <f>IF(AND(Orders!U774&gt;=19,Orders!U774&lt;22),1,0)</f>
        <v>0</v>
      </c>
      <c r="M777" s="33">
        <f>IF(L777=IF(Orders!V774,1,0),1,0)</f>
        <v>1</v>
      </c>
      <c r="N777" s="32" t="str">
        <f>IF(Orders!W774="","None",Orders!W774)</f>
        <v>None</v>
      </c>
      <c r="O777" s="35">
        <f>INT(Orders!E774)</f>
        <v>46279.0</v>
      </c>
      <c r="P777" s="33">
        <f>Orders!U774</f>
        <v>8</v>
      </c>
      <c r="Q777" s="33">
        <f>COUNTIFS(Demand!$A$2:$A$4481,B777,Demand!$B$2:$B$4481,O777,Demand!$C$2:$C$4481,P777)</f>
        <v>1</v>
      </c>
      <c r="R777" s="33">
        <f>IF(Q777=1,SUMIFS(Demand!$E$2:$E$4481,Demand!$A$2:$A$4481,B777,Demand!$B$2:$B$4481,O777,Demand!$C$2:$C$4481,P777),"")</f>
        <v>13</v>
      </c>
      <c r="S777" s="33">
        <f>INDEX(Stores!$G$2:$G$21,MATCH(B777,Stores!$A$2:$A$21,0))</f>
        <v>14</v>
      </c>
      <c r="T777" s="34">
        <f>IF(R777="","",R777/S777)</f>
        <v>0.928571428571429</v>
      </c>
      <c r="U777" s="34">
        <f>IF(E777=1,T777,"")</f>
        <v>0.928571428571429</v>
      </c>
      <c r="V777" s="34">
        <f>IF(AND(E777=1,L777=0),T777,"")</f>
        <v>0.928571428571429</v>
      </c>
      <c r="W777" s="33">
        <f>IF(U777="","",IF(U777&lt;=Breakdowns!$C$5,1,IF(U777&lt;=Breakdowns!$C$6,2,IF(U777&lt;=Breakdowns!$C$7,3,4))))</f>
        <v>2</v>
      </c>
      <c r="X777" s="33">
        <f>IF(V777="","",IF(V777&lt;=Breakdowns!$D$5,1,IF(V777&lt;=Breakdowns!$D$6,2,IF(V777&lt;=Breakdowns!$D$7,3,4))))</f>
        <v>3</v>
      </c>
      <c r="Y777" s="34">
        <f>INDEX(Stores!$F$2:$F$21,MATCH(B777,Stores!$A$2:$A$21,0))</f>
        <v>4.89</v>
      </c>
      <c r="Z777" s="33">
        <f>IF(Y777&gt;Store_Summary!$M$2,1,0)</f>
        <v>0</v>
      </c>
      <c r="AA777" s="33">
        <f>INDEX(Stores!$C$2:$C$21,MATCH(B777,Stores!$A$2:$A$21,0))</f>
        <v>138</v>
      </c>
      <c r="AB777" s="33">
        <f>IF(AA777&lt;180,1,0)</f>
        <v>1</v>
      </c>
      <c r="AC777" s="32" t="str">
        <f>IF(Orders!D774="","",INDEX(Riders!$C$2:$C$81,MATCH(Orders!D774,Riders!$A$2:$A$81,0)))</f>
        <v>EV scooter</v>
      </c>
      <c r="AD777" s="33">
        <f>IF(Orders!D774="","",INDEX(Riders!$D$2:$D$81,MATCH(Orders!D774,Riders!$A$2:$A$81,0)))</f>
        <v>24</v>
      </c>
      <c r="AE777" s="33">
        <f>IF(Orders!D774="","",IF(INDEX(Riders!$B$2:$B$81,MATCH(Orders!D774,Riders!$A$2:$A$81,0))=B777,1,0))</f>
        <v>0</v>
      </c>
      <c r="AF777" s="34">
        <f>IF(E777=1,Orders!L774,"")</f>
        <v>3.19</v>
      </c>
      <c r="AG777" s="34">
        <f>IF(E777=1,Orders!P774,"")</f>
        <v>11.6</v>
      </c>
      <c r="AH777" s="34">
        <f>IF(E777=1,Orders!Q774,"")</f>
        <v>11.3</v>
      </c>
      <c r="AI777" s="34">
        <f>IF(E777=1,Orders!M774,"")</f>
        <v>4.7</v>
      </c>
      <c r="AJ777" s="34">
        <f>IF(E777=1,Orders!N774,"")</f>
        <v>2</v>
      </c>
      <c r="AK777" s="34">
        <f>IF(E777=1,Orders!O774,"")</f>
        <v>4.6</v>
      </c>
      <c r="AL777" s="33">
        <f>IF(E777=1,IF(ROUND(ABS(AI777+AJ777+AK777-AH777),6)&lt;=0.1,1,0),"")</f>
        <v>1</v>
      </c>
      <c r="AM777" s="36">
        <f>IF(E777=1,AI777/AH777,"")</f>
        <v>0.415929203539823</v>
      </c>
      <c r="AN777" s="36">
        <f>IF(E777=1,AJ777/AH777,"")</f>
        <v>0.176991150442478</v>
      </c>
      <c r="AO777" s="36">
        <f>IF(E777=1,AK777/AH777,"")</f>
        <v>0.407079646017699</v>
      </c>
      <c r="AP777" s="34">
        <f>IF(E777=1,Orders!Y774,"")</f>
        <v>0.1</v>
      </c>
      <c r="AQ777" s="33">
        <f>IF(Orders!X774,1,0)</f>
        <v>0</v>
      </c>
      <c r="AR777" s="34" t="str">
        <f>IF(AND(E777=1,L777=1),AJ777,"")</f>
        <v/>
      </c>
      <c r="AS777" s="34">
        <f>IF(AND(E777=1,L777=0),AJ777,"")</f>
        <v>2</v>
      </c>
      <c r="AT777" s="34" t="str">
        <f>IF(AND(E777=1,L777=1),AI777,"")</f>
        <v/>
      </c>
      <c r="AU777" s="34">
        <f>IF(AND(E777=1,L777=0),AI777,"")</f>
        <v>4.7</v>
      </c>
      <c r="AV777" s="34" t="str">
        <f>IF(AND(E777=1,L777=1),AG777,"")</f>
        <v/>
      </c>
      <c r="AW777" s="34">
        <f>IF(AND(E777=1,L777=0),AG777,"")</f>
        <v>11.6</v>
      </c>
      <c r="AX777" s="34" t="str">
        <f>IF(AND(E777=1,L777=1),AH777,"")</f>
        <v/>
      </c>
      <c r="AY777" s="34">
        <f>IF(AND(E777=1,L777=0),AH777,"")</f>
        <v>11.3</v>
      </c>
      <c r="AZ777" s="34" t="str">
        <f>IF(G777=1,F777,"")</f>
        <v/>
      </c>
      <c r="BA777" s="34" t="str">
        <f>IF(AND(G777=1,L777=1),F777,"")</f>
        <v/>
      </c>
      <c r="BB777" s="34" t="str">
        <f>IF(AND(G777=1,L777=0),F777,"")</f>
        <v/>
      </c>
      <c r="BC777" s="33">
        <f>IF(E777=1,IF(Orders!R774&gt;3,1,0),"")</f>
        <v>0</v>
      </c>
      <c r="BD777" s="33">
        <f>IF(E777=1,IF(Orders!R774&gt;7,1,0),"")</f>
        <v>0</v>
      </c>
      <c r="BE777" s="32" t="str">
        <f>IF(E777=1,IF(Orders!L774&lt;=1.5,"Up to 1.5 km",IF(Orders!L774&lt;=3,"1.5–3 km","Over 3 km")),"")</f>
        <v>Over 3 km</v>
      </c>
      <c r="BF777" s="33">
        <f>IF(E777=1,IF(ABS((Orders!G774-Orders!F774)*1440-Orders!R774)&lt;0.06,1,0),"")</f>
        <v>1</v>
      </c>
      <c r="BG777" s="33">
        <f>IF(ABS((Orders!F774-Orders!E774)*1440-Orders!P774)&lt;0.06,1,0)</f>
        <v>1</v>
      </c>
      <c r="BH777" s="33">
        <f>IF(E777=1,IF(IF(Orders!S774,1,0)=1-G777,1,0),"")</f>
        <v>1</v>
      </c>
      <c r="BI777" s="32" t="str">
        <f>INDEX(Stores!$B$2:$B$21,MATCH(B777,Stores!$A$2:$A$21,0))</f>
        <v>Delhi</v>
      </c>
    </row>
    <row r="778">
      <c r="A778" s="32" t="str">
        <f>Orders!A775</f>
        <v>O00774</v>
      </c>
      <c r="B778" s="32" t="str">
        <f>Orders!C775</f>
        <v>S008</v>
      </c>
      <c r="C778" s="32" t="str">
        <f>Orders!B775</f>
        <v>C0183</v>
      </c>
      <c r="D778" s="32" t="str">
        <f>Orders!H775</f>
        <v>Delivered</v>
      </c>
      <c r="E778" s="33">
        <f>IF(Orders!H775="Delivered",1,0)</f>
        <v>1</v>
      </c>
      <c r="F778" s="34">
        <f>IF(E778=1,Orders!R775,"")</f>
        <v>-0.8</v>
      </c>
      <c r="G778" s="33">
        <f>IF(E778=1,IF(Orders!R775&gt;0,1,0),"")</f>
        <v>0</v>
      </c>
      <c r="H778" s="33">
        <f>IF(E778=1,IF(Orders!R775&gt;5,1,0),"")</f>
        <v>0</v>
      </c>
      <c r="I778" s="32" t="str">
        <f>IF(E778=1,"",IF(OR(Orders!T775="Rider unavailable",Orders!T775="Item unavailable"),"Company-caused","Unresolved"))</f>
        <v/>
      </c>
      <c r="J778" s="33">
        <f>IF(OR(E778=1,I778="Company-caused"),1,0)</f>
        <v>1</v>
      </c>
      <c r="K778" s="32" t="str">
        <f>IF(E778=0,IF(I778="Company-caused",IF(Orders!T775="Rider unavailable","C1 Rider unavailable","C2 Item unavailable"),"Outside root: unresolved"),IF(G778=0,"A On time",IF(H778=1,IF(L778=1,"B2a Severe, peak","B2b Severe, off-peak"),IF(L778=1,"B1a Slight, peak","B1b Slight, off-peak"))))</f>
        <v>A On time</v>
      </c>
      <c r="L778" s="33">
        <f>IF(AND(Orders!U775&gt;=19,Orders!U775&lt;22),1,0)</f>
        <v>0</v>
      </c>
      <c r="M778" s="33">
        <f>IF(L778=IF(Orders!V775,1,0),1,0)</f>
        <v>1</v>
      </c>
      <c r="N778" s="32" t="str">
        <f>IF(Orders!W775="","None",Orders!W775)</f>
        <v>Light</v>
      </c>
      <c r="O778" s="35">
        <f>INT(Orders!E775)</f>
        <v>46269.0</v>
      </c>
      <c r="P778" s="33">
        <f>Orders!U775</f>
        <v>13</v>
      </c>
      <c r="Q778" s="33">
        <f>COUNTIFS(Demand!$A$2:$A$4481,B778,Demand!$B$2:$B$4481,O778,Demand!$C$2:$C$4481,P778)</f>
        <v>1</v>
      </c>
      <c r="R778" s="33">
        <f>IF(Q778=1,SUMIFS(Demand!$E$2:$E$4481,Demand!$A$2:$A$4481,B778,Demand!$B$2:$B$4481,O778,Demand!$C$2:$C$4481,P778),"")</f>
        <v>18</v>
      </c>
      <c r="S778" s="33">
        <f>INDEX(Stores!$G$2:$G$21,MATCH(B778,Stores!$A$2:$A$21,0))</f>
        <v>23</v>
      </c>
      <c r="T778" s="34">
        <f>IF(R778="","",R778/S778)</f>
        <v>0.782608695652174</v>
      </c>
      <c r="U778" s="34">
        <f>IF(E778=1,T778,"")</f>
        <v>0.782608695652174</v>
      </c>
      <c r="V778" s="34">
        <f>IF(AND(E778=1,L778=0),T778,"")</f>
        <v>0.782608695652174</v>
      </c>
      <c r="W778" s="33">
        <f>IF(U778="","",IF(U778&lt;=Breakdowns!$C$5,1,IF(U778&lt;=Breakdowns!$C$6,2,IF(U778&lt;=Breakdowns!$C$7,3,4))))</f>
        <v>1</v>
      </c>
      <c r="X778" s="33">
        <f>IF(V778="","",IF(V778&lt;=Breakdowns!$D$5,1,IF(V778&lt;=Breakdowns!$D$6,2,IF(V778&lt;=Breakdowns!$D$7,3,4))))</f>
        <v>2</v>
      </c>
      <c r="Y778" s="34">
        <f>INDEX(Stores!$F$2:$F$21,MATCH(B778,Stores!$A$2:$A$21,0))</f>
        <v>3.46</v>
      </c>
      <c r="Z778" s="33">
        <f>IF(Y778&gt;Store_Summary!$M$2,1,0)</f>
        <v>0</v>
      </c>
      <c r="AA778" s="33">
        <f>INDEX(Stores!$C$2:$C$21,MATCH(B778,Stores!$A$2:$A$21,0))</f>
        <v>825</v>
      </c>
      <c r="AB778" s="33">
        <f>IF(AA778&lt;180,1,0)</f>
        <v>0</v>
      </c>
      <c r="AC778" s="32" t="str">
        <f>IF(Orders!D775="","",INDEX(Riders!$C$2:$C$81,MATCH(Orders!D775,Riders!$A$2:$A$81,0)))</f>
        <v>EV scooter</v>
      </c>
      <c r="AD778" s="33">
        <f>IF(Orders!D775="","",INDEX(Riders!$D$2:$D$81,MATCH(Orders!D775,Riders!$A$2:$A$81,0)))</f>
        <v>40</v>
      </c>
      <c r="AE778" s="33">
        <f>IF(Orders!D775="","",IF(INDEX(Riders!$B$2:$B$81,MATCH(Orders!D775,Riders!$A$2:$A$81,0))=B778,1,0))</f>
        <v>0</v>
      </c>
      <c r="AF778" s="34">
        <f>IF(E778=1,Orders!L775,"")</f>
        <v>1.47</v>
      </c>
      <c r="AG778" s="34">
        <f>IF(E778=1,Orders!P775,"")</f>
        <v>9.4</v>
      </c>
      <c r="AH778" s="34">
        <f>IF(E778=1,Orders!Q775,"")</f>
        <v>8.6</v>
      </c>
      <c r="AI778" s="34">
        <f>IF(E778=1,Orders!M775,"")</f>
        <v>3</v>
      </c>
      <c r="AJ778" s="34">
        <f>IF(E778=1,Orders!N775,"")</f>
        <v>1.7</v>
      </c>
      <c r="AK778" s="34">
        <f>IF(E778=1,Orders!O775,"")</f>
        <v>3.9</v>
      </c>
      <c r="AL778" s="33">
        <f>IF(E778=1,IF(ROUND(ABS(AI778+AJ778+AK778-AH778),6)&lt;=0.1,1,0),"")</f>
        <v>1</v>
      </c>
      <c r="AM778" s="36">
        <f>IF(E778=1,AI778/AH778,"")</f>
        <v>0.348837209302326</v>
      </c>
      <c r="AN778" s="36">
        <f>IF(E778=1,AJ778/AH778,"")</f>
        <v>0.197674418604651</v>
      </c>
      <c r="AO778" s="36">
        <f>IF(E778=1,AK778/AH778,"")</f>
        <v>0.453488372093023</v>
      </c>
      <c r="AP778" s="34">
        <f>IF(E778=1,Orders!Y775,"")</f>
        <v>0.58</v>
      </c>
      <c r="AQ778" s="33">
        <f>IF(Orders!X775,1,0)</f>
        <v>0</v>
      </c>
      <c r="AR778" s="34" t="str">
        <f>IF(AND(E778=1,L778=1),AJ778,"")</f>
        <v/>
      </c>
      <c r="AS778" s="34">
        <f>IF(AND(E778=1,L778=0),AJ778,"")</f>
        <v>1.7</v>
      </c>
      <c r="AT778" s="34" t="str">
        <f>IF(AND(E778=1,L778=1),AI778,"")</f>
        <v/>
      </c>
      <c r="AU778" s="34">
        <f>IF(AND(E778=1,L778=0),AI778,"")</f>
        <v>3</v>
      </c>
      <c r="AV778" s="34" t="str">
        <f>IF(AND(E778=1,L778=1),AG778,"")</f>
        <v/>
      </c>
      <c r="AW778" s="34">
        <f>IF(AND(E778=1,L778=0),AG778,"")</f>
        <v>9.4</v>
      </c>
      <c r="AX778" s="34" t="str">
        <f>IF(AND(E778=1,L778=1),AH778,"")</f>
        <v/>
      </c>
      <c r="AY778" s="34">
        <f>IF(AND(E778=1,L778=0),AH778,"")</f>
        <v>8.6</v>
      </c>
      <c r="AZ778" s="34" t="str">
        <f>IF(G778=1,F778,"")</f>
        <v/>
      </c>
      <c r="BA778" s="34" t="str">
        <f>IF(AND(G778=1,L778=1),F778,"")</f>
        <v/>
      </c>
      <c r="BB778" s="34" t="str">
        <f>IF(AND(G778=1,L778=0),F778,"")</f>
        <v/>
      </c>
      <c r="BC778" s="33">
        <f>IF(E778=1,IF(Orders!R775&gt;3,1,0),"")</f>
        <v>0</v>
      </c>
      <c r="BD778" s="33">
        <f>IF(E778=1,IF(Orders!R775&gt;7,1,0),"")</f>
        <v>0</v>
      </c>
      <c r="BE778" s="32" t="str">
        <f>IF(E778=1,IF(Orders!L775&lt;=1.5,"Up to 1.5 km",IF(Orders!L775&lt;=3,"1.5–3 km","Over 3 km")),"")</f>
        <v>Up to 1.5 km</v>
      </c>
      <c r="BF778" s="33">
        <f>IF(E778=1,IF(ABS((Orders!G775-Orders!F775)*1440-Orders!R775)&lt;0.06,1,0),"")</f>
        <v>1</v>
      </c>
      <c r="BG778" s="33">
        <f>IF(ABS((Orders!F775-Orders!E775)*1440-Orders!P775)&lt;0.06,1,0)</f>
        <v>1</v>
      </c>
      <c r="BH778" s="33">
        <f>IF(E778=1,IF(IF(Orders!S775,1,0)=1-G778,1,0),"")</f>
        <v>1</v>
      </c>
      <c r="BI778" s="32" t="str">
        <f>INDEX(Stores!$B$2:$B$21,MATCH(B778,Stores!$A$2:$A$21,0))</f>
        <v>Mumbai</v>
      </c>
    </row>
    <row r="779">
      <c r="A779" s="32" t="str">
        <f>Orders!A776</f>
        <v>O00775</v>
      </c>
      <c r="B779" s="32" t="str">
        <f>Orders!C776</f>
        <v>S016</v>
      </c>
      <c r="C779" s="32" t="str">
        <f>Orders!B776</f>
        <v>C0040</v>
      </c>
      <c r="D779" s="32" t="str">
        <f>Orders!H776</f>
        <v>Delivered</v>
      </c>
      <c r="E779" s="33">
        <f>IF(Orders!H776="Delivered",1,0)</f>
        <v>1</v>
      </c>
      <c r="F779" s="34">
        <f>IF(E779=1,Orders!R776,"")</f>
        <v>9.3</v>
      </c>
      <c r="G779" s="33">
        <f>IF(E779=1,IF(Orders!R776&gt;0,1,0),"")</f>
        <v>1</v>
      </c>
      <c r="H779" s="33">
        <f>IF(E779=1,IF(Orders!R776&gt;5,1,0),"")</f>
        <v>1</v>
      </c>
      <c r="I779" s="32" t="str">
        <f>IF(E779=1,"",IF(OR(Orders!T776="Rider unavailable",Orders!T776="Item unavailable"),"Company-caused","Unresolved"))</f>
        <v/>
      </c>
      <c r="J779" s="33">
        <f>IF(OR(E779=1,I779="Company-caused"),1,0)</f>
        <v>1</v>
      </c>
      <c r="K779" s="32" t="str">
        <f>IF(E779=0,IF(I779="Company-caused",IF(Orders!T776="Rider unavailable","C1 Rider unavailable","C2 Item unavailable"),"Outside root: unresolved"),IF(G779=0,"A On time",IF(H779=1,IF(L779=1,"B2a Severe, peak","B2b Severe, off-peak"),IF(L779=1,"B1a Slight, peak","B1b Slight, off-peak"))))</f>
        <v>B2b Severe, off-peak</v>
      </c>
      <c r="L779" s="33">
        <f>IF(AND(Orders!U776&gt;=19,Orders!U776&lt;22),1,0)</f>
        <v>0</v>
      </c>
      <c r="M779" s="33">
        <f>IF(L779=IF(Orders!V776,1,0),1,0)</f>
        <v>1</v>
      </c>
      <c r="N779" s="32" t="str">
        <f>IF(Orders!W776="","None",Orders!W776)</f>
        <v>Heavy</v>
      </c>
      <c r="O779" s="35">
        <f>INT(Orders!E776)</f>
        <v>46277.0</v>
      </c>
      <c r="P779" s="33">
        <f>Orders!U776</f>
        <v>8</v>
      </c>
      <c r="Q779" s="33">
        <f>COUNTIFS(Demand!$A$2:$A$4481,B779,Demand!$B$2:$B$4481,O779,Demand!$C$2:$C$4481,P779)</f>
        <v>1</v>
      </c>
      <c r="R779" s="33">
        <f>IF(Q779=1,SUMIFS(Demand!$E$2:$E$4481,Demand!$A$2:$A$4481,B779,Demand!$B$2:$B$4481,O779,Demand!$C$2:$C$4481,P779),"")</f>
        <v>16</v>
      </c>
      <c r="S779" s="33">
        <f>INDEX(Stores!$G$2:$G$21,MATCH(B779,Stores!$A$2:$A$21,0))</f>
        <v>25</v>
      </c>
      <c r="T779" s="34">
        <f>IF(R779="","",R779/S779)</f>
        <v>0.64</v>
      </c>
      <c r="U779" s="34">
        <f>IF(E779=1,T779,"")</f>
        <v>0.64</v>
      </c>
      <c r="V779" s="34">
        <f>IF(AND(E779=1,L779=0),T779,"")</f>
        <v>0.64</v>
      </c>
      <c r="W779" s="33">
        <f>IF(U779="","",IF(U779&lt;=Breakdowns!$C$5,1,IF(U779&lt;=Breakdowns!$C$6,2,IF(U779&lt;=Breakdowns!$C$7,3,4))))</f>
        <v>1</v>
      </c>
      <c r="X779" s="33">
        <f>IF(V779="","",IF(V779&lt;=Breakdowns!$D$5,1,IF(V779&lt;=Breakdowns!$D$6,2,IF(V779&lt;=Breakdowns!$D$7,3,4))))</f>
        <v>1</v>
      </c>
      <c r="Y779" s="34">
        <f>INDEX(Stores!$F$2:$F$21,MATCH(B779,Stores!$A$2:$A$21,0))</f>
        <v>5.51</v>
      </c>
      <c r="Z779" s="33">
        <f>IF(Y779&gt;Store_Summary!$M$2,1,0)</f>
        <v>1</v>
      </c>
      <c r="AA779" s="33">
        <f>INDEX(Stores!$C$2:$C$21,MATCH(B779,Stores!$A$2:$A$21,0))</f>
        <v>792</v>
      </c>
      <c r="AB779" s="33">
        <f>IF(AA779&lt;180,1,0)</f>
        <v>0</v>
      </c>
      <c r="AC779" s="32" t="str">
        <f>IF(Orders!D776="","",INDEX(Riders!$C$2:$C$81,MATCH(Orders!D776,Riders!$A$2:$A$81,0)))</f>
        <v>EV scooter</v>
      </c>
      <c r="AD779" s="33">
        <f>IF(Orders!D776="","",INDEX(Riders!$D$2:$D$81,MATCH(Orders!D776,Riders!$A$2:$A$81,0)))</f>
        <v>12</v>
      </c>
      <c r="AE779" s="33">
        <f>IF(Orders!D776="","",IF(INDEX(Riders!$B$2:$B$81,MATCH(Orders!D776,Riders!$A$2:$A$81,0))=B779,1,0))</f>
        <v>1</v>
      </c>
      <c r="AF779" s="34">
        <f>IF(E779=1,Orders!L776,"")</f>
        <v>2.6</v>
      </c>
      <c r="AG779" s="34">
        <f>IF(E779=1,Orders!P776,"")</f>
        <v>12.7</v>
      </c>
      <c r="AH779" s="34">
        <f>IF(E779=1,Orders!Q776,"")</f>
        <v>22</v>
      </c>
      <c r="AI779" s="34">
        <f>IF(E779=1,Orders!M776,"")</f>
        <v>6.4</v>
      </c>
      <c r="AJ779" s="34">
        <f>IF(E779=1,Orders!N776,"")</f>
        <v>7.4</v>
      </c>
      <c r="AK779" s="34">
        <f>IF(E779=1,Orders!O776,"")</f>
        <v>8.2</v>
      </c>
      <c r="AL779" s="33">
        <f>IF(E779=1,IF(ROUND(ABS(AI779+AJ779+AK779-AH779),6)&lt;=0.1,1,0),"")</f>
        <v>1</v>
      </c>
      <c r="AM779" s="36">
        <f>IF(E779=1,AI779/AH779,"")</f>
        <v>0.290909090909091</v>
      </c>
      <c r="AN779" s="36">
        <f>IF(E779=1,AJ779/AH779,"")</f>
        <v>0.336363636363636</v>
      </c>
      <c r="AO779" s="36">
        <f>IF(E779=1,AK779/AH779,"")</f>
        <v>0.372727272727273</v>
      </c>
      <c r="AP779" s="34">
        <f>IF(E779=1,Orders!Y776,"")</f>
        <v>0.55</v>
      </c>
      <c r="AQ779" s="33">
        <f>IF(Orders!X776,1,0)</f>
        <v>0</v>
      </c>
      <c r="AR779" s="34" t="str">
        <f>IF(AND(E779=1,L779=1),AJ779,"")</f>
        <v/>
      </c>
      <c r="AS779" s="34">
        <f>IF(AND(E779=1,L779=0),AJ779,"")</f>
        <v>7.4</v>
      </c>
      <c r="AT779" s="34" t="str">
        <f>IF(AND(E779=1,L779=1),AI779,"")</f>
        <v/>
      </c>
      <c r="AU779" s="34">
        <f>IF(AND(E779=1,L779=0),AI779,"")</f>
        <v>6.4</v>
      </c>
      <c r="AV779" s="34" t="str">
        <f>IF(AND(E779=1,L779=1),AG779,"")</f>
        <v/>
      </c>
      <c r="AW779" s="34">
        <f>IF(AND(E779=1,L779=0),AG779,"")</f>
        <v>12.7</v>
      </c>
      <c r="AX779" s="34" t="str">
        <f>IF(AND(E779=1,L779=1),AH779,"")</f>
        <v/>
      </c>
      <c r="AY779" s="34">
        <f>IF(AND(E779=1,L779=0),AH779,"")</f>
        <v>22</v>
      </c>
      <c r="AZ779" s="34">
        <f>IF(G779=1,F779,"")</f>
        <v>9.3</v>
      </c>
      <c r="BA779" s="34" t="str">
        <f>IF(AND(G779=1,L779=1),F779,"")</f>
        <v/>
      </c>
      <c r="BB779" s="34">
        <f>IF(AND(G779=1,L779=0),F779,"")</f>
        <v>9.3</v>
      </c>
      <c r="BC779" s="33">
        <f>IF(E779=1,IF(Orders!R776&gt;3,1,0),"")</f>
        <v>1</v>
      </c>
      <c r="BD779" s="33">
        <f>IF(E779=1,IF(Orders!R776&gt;7,1,0),"")</f>
        <v>1</v>
      </c>
      <c r="BE779" s="32" t="str">
        <f>IF(E779=1,IF(Orders!L776&lt;=1.5,"Up to 1.5 km",IF(Orders!L776&lt;=3,"1.5–3 km","Over 3 km")),"")</f>
        <v>1.5–3 km</v>
      </c>
      <c r="BF779" s="33">
        <f>IF(E779=1,IF(ABS((Orders!G776-Orders!F776)*1440-Orders!R776)&lt;0.06,1,0),"")</f>
        <v>1</v>
      </c>
      <c r="BG779" s="33">
        <f>IF(ABS((Orders!F776-Orders!E776)*1440-Orders!P776)&lt;0.06,1,0)</f>
        <v>1</v>
      </c>
      <c r="BH779" s="33">
        <f>IF(E779=1,IF(IF(Orders!S776,1,0)=1-G779,1,0),"")</f>
        <v>1</v>
      </c>
      <c r="BI779" s="32" t="str">
        <f>INDEX(Stores!$B$2:$B$21,MATCH(B779,Stores!$A$2:$A$21,0))</f>
        <v>Bengaluru</v>
      </c>
    </row>
    <row r="780">
      <c r="A780" s="32" t="str">
        <f>Orders!A777</f>
        <v>O00776</v>
      </c>
      <c r="B780" s="32" t="str">
        <f>Orders!C777</f>
        <v>S002</v>
      </c>
      <c r="C780" s="32" t="str">
        <f>Orders!B777</f>
        <v>C0200</v>
      </c>
      <c r="D780" s="32" t="str">
        <f>Orders!H777</f>
        <v>Delivered</v>
      </c>
      <c r="E780" s="33">
        <f>IF(Orders!H777="Delivered",1,0)</f>
        <v>1</v>
      </c>
      <c r="F780" s="34">
        <f>IF(E780=1,Orders!R777,"")</f>
        <v>-4.2</v>
      </c>
      <c r="G780" s="33">
        <f>IF(E780=1,IF(Orders!R777&gt;0,1,0),"")</f>
        <v>0</v>
      </c>
      <c r="H780" s="33">
        <f>IF(E780=1,IF(Orders!R777&gt;5,1,0),"")</f>
        <v>0</v>
      </c>
      <c r="I780" s="32" t="str">
        <f>IF(E780=1,"",IF(OR(Orders!T777="Rider unavailable",Orders!T777="Item unavailable"),"Company-caused","Unresolved"))</f>
        <v/>
      </c>
      <c r="J780" s="33">
        <f>IF(OR(E780=1,I780="Company-caused"),1,0)</f>
        <v>1</v>
      </c>
      <c r="K780" s="32" t="str">
        <f>IF(E780=0,IF(I780="Company-caused",IF(Orders!T777="Rider unavailable","C1 Rider unavailable","C2 Item unavailable"),"Outside root: unresolved"),IF(G780=0,"A On time",IF(H780=1,IF(L780=1,"B2a Severe, peak","B2b Severe, off-peak"),IF(L780=1,"B1a Slight, peak","B1b Slight, off-peak"))))</f>
        <v>A On time</v>
      </c>
      <c r="L780" s="33">
        <f>IF(AND(Orders!U777&gt;=19,Orders!U777&lt;22),1,0)</f>
        <v>0</v>
      </c>
      <c r="M780" s="33">
        <f>IF(L780=IF(Orders!V777,1,0),1,0)</f>
        <v>1</v>
      </c>
      <c r="N780" s="32" t="str">
        <f>IF(Orders!W777="","None",Orders!W777)</f>
        <v>None</v>
      </c>
      <c r="O780" s="35">
        <f>INT(Orders!E777)</f>
        <v>46271.0</v>
      </c>
      <c r="P780" s="33">
        <f>Orders!U777</f>
        <v>15</v>
      </c>
      <c r="Q780" s="33">
        <f>COUNTIFS(Demand!$A$2:$A$4481,B780,Demand!$B$2:$B$4481,O780,Demand!$C$2:$C$4481,P780)</f>
        <v>1</v>
      </c>
      <c r="R780" s="33">
        <f>IF(Q780=1,SUMIFS(Demand!$E$2:$E$4481,Demand!$A$2:$A$4481,B780,Demand!$B$2:$B$4481,O780,Demand!$C$2:$C$4481,P780),"")</f>
        <v>23</v>
      </c>
      <c r="S780" s="33">
        <f>INDEX(Stores!$G$2:$G$21,MATCH(B780,Stores!$A$2:$A$21,0))</f>
        <v>33</v>
      </c>
      <c r="T780" s="34">
        <f>IF(R780="","",R780/S780)</f>
        <v>0.696969696969697</v>
      </c>
      <c r="U780" s="34">
        <f>IF(E780=1,T780,"")</f>
        <v>0.696969696969697</v>
      </c>
      <c r="V780" s="34">
        <f>IF(AND(E780=1,L780=0),T780,"")</f>
        <v>0.696969696969697</v>
      </c>
      <c r="W780" s="33">
        <f>IF(U780="","",IF(U780&lt;=Breakdowns!$C$5,1,IF(U780&lt;=Breakdowns!$C$6,2,IF(U780&lt;=Breakdowns!$C$7,3,4))))</f>
        <v>1</v>
      </c>
      <c r="X780" s="33">
        <f>IF(V780="","",IF(V780&lt;=Breakdowns!$D$5,1,IF(V780&lt;=Breakdowns!$D$6,2,IF(V780&lt;=Breakdowns!$D$7,3,4))))</f>
        <v>1</v>
      </c>
      <c r="Y780" s="34">
        <f>INDEX(Stores!$F$2:$F$21,MATCH(B780,Stores!$A$2:$A$21,0))</f>
        <v>2.39</v>
      </c>
      <c r="Z780" s="33">
        <f>IF(Y780&gt;Store_Summary!$M$2,1,0)</f>
        <v>0</v>
      </c>
      <c r="AA780" s="33">
        <f>INDEX(Stores!$C$2:$C$21,MATCH(B780,Stores!$A$2:$A$21,0))</f>
        <v>470</v>
      </c>
      <c r="AB780" s="33">
        <f>IF(AA780&lt;180,1,0)</f>
        <v>0</v>
      </c>
      <c r="AC780" s="32" t="str">
        <f>IF(Orders!D777="","",INDEX(Riders!$C$2:$C$81,MATCH(Orders!D777,Riders!$A$2:$A$81,0)))</f>
        <v>EV scooter</v>
      </c>
      <c r="AD780" s="33">
        <f>IF(Orders!D777="","",INDEX(Riders!$D$2:$D$81,MATCH(Orders!D777,Riders!$A$2:$A$81,0)))</f>
        <v>41</v>
      </c>
      <c r="AE780" s="33">
        <f>IF(Orders!D777="","",IF(INDEX(Riders!$B$2:$B$81,MATCH(Orders!D777,Riders!$A$2:$A$81,0))=B780,1,0))</f>
        <v>0</v>
      </c>
      <c r="AF780" s="34">
        <f>IF(E780=1,Orders!L777,"")</f>
        <v>1.48</v>
      </c>
      <c r="AG780" s="34">
        <f>IF(E780=1,Orders!P777,"")</f>
        <v>13</v>
      </c>
      <c r="AH780" s="34">
        <f>IF(E780=1,Orders!Q777,"")</f>
        <v>8.8</v>
      </c>
      <c r="AI780" s="34">
        <f>IF(E780=1,Orders!M777,"")</f>
        <v>3.7</v>
      </c>
      <c r="AJ780" s="34">
        <f>IF(E780=1,Orders!N777,"")</f>
        <v>0</v>
      </c>
      <c r="AK780" s="34">
        <f>IF(E780=1,Orders!O777,"")</f>
        <v>5.2</v>
      </c>
      <c r="AL780" s="33">
        <f>IF(E780=1,IF(ROUND(ABS(AI780+AJ780+AK780-AH780),6)&lt;=0.1,1,0),"")</f>
        <v>1</v>
      </c>
      <c r="AM780" s="36">
        <f>IF(E780=1,AI780/AH780,"")</f>
        <v>0.420454545454545</v>
      </c>
      <c r="AN780" s="36">
        <f>IF(E780=1,AJ780/AH780,"")</f>
        <v>0</v>
      </c>
      <c r="AO780" s="36">
        <f>IF(E780=1,AK780/AH780,"")</f>
        <v>0.590909090909091</v>
      </c>
      <c r="AP780" s="34">
        <f>IF(E780=1,Orders!Y777,"")</f>
        <v>0.62</v>
      </c>
      <c r="AQ780" s="33">
        <f>IF(Orders!X777,1,0)</f>
        <v>0</v>
      </c>
      <c r="AR780" s="34" t="str">
        <f>IF(AND(E780=1,L780=1),AJ780,"")</f>
        <v/>
      </c>
      <c r="AS780" s="34">
        <f>IF(AND(E780=1,L780=0),AJ780,"")</f>
        <v>0</v>
      </c>
      <c r="AT780" s="34" t="str">
        <f>IF(AND(E780=1,L780=1),AI780,"")</f>
        <v/>
      </c>
      <c r="AU780" s="34">
        <f>IF(AND(E780=1,L780=0),AI780,"")</f>
        <v>3.7</v>
      </c>
      <c r="AV780" s="34" t="str">
        <f>IF(AND(E780=1,L780=1),AG780,"")</f>
        <v/>
      </c>
      <c r="AW780" s="34">
        <f>IF(AND(E780=1,L780=0),AG780,"")</f>
        <v>13</v>
      </c>
      <c r="AX780" s="34" t="str">
        <f>IF(AND(E780=1,L780=1),AH780,"")</f>
        <v/>
      </c>
      <c r="AY780" s="34">
        <f>IF(AND(E780=1,L780=0),AH780,"")</f>
        <v>8.8</v>
      </c>
      <c r="AZ780" s="34" t="str">
        <f>IF(G780=1,F780,"")</f>
        <v/>
      </c>
      <c r="BA780" s="34" t="str">
        <f>IF(AND(G780=1,L780=1),F780,"")</f>
        <v/>
      </c>
      <c r="BB780" s="34" t="str">
        <f>IF(AND(G780=1,L780=0),F780,"")</f>
        <v/>
      </c>
      <c r="BC780" s="33">
        <f>IF(E780=1,IF(Orders!R777&gt;3,1,0),"")</f>
        <v>0</v>
      </c>
      <c r="BD780" s="33">
        <f>IF(E780=1,IF(Orders!R777&gt;7,1,0),"")</f>
        <v>0</v>
      </c>
      <c r="BE780" s="32" t="str">
        <f>IF(E780=1,IF(Orders!L777&lt;=1.5,"Up to 1.5 km",IF(Orders!L777&lt;=3,"1.5–3 km","Over 3 km")),"")</f>
        <v>Up to 1.5 km</v>
      </c>
      <c r="BF780" s="33">
        <f>IF(E780=1,IF(ABS((Orders!G777-Orders!F777)*1440-Orders!R777)&lt;0.06,1,0),"")</f>
        <v>1</v>
      </c>
      <c r="BG780" s="33">
        <f>IF(ABS((Orders!F777-Orders!E777)*1440-Orders!P777)&lt;0.06,1,0)</f>
        <v>1</v>
      </c>
      <c r="BH780" s="33">
        <f>IF(E780=1,IF(IF(Orders!S777,1,0)=1-G780,1,0),"")</f>
        <v>1</v>
      </c>
      <c r="BI780" s="32" t="str">
        <f>INDEX(Stores!$B$2:$B$21,MATCH(B780,Stores!$A$2:$A$21,0))</f>
        <v>Hyderabad</v>
      </c>
    </row>
    <row r="781">
      <c r="A781" s="32" t="str">
        <f>Orders!A778</f>
        <v>O00777</v>
      </c>
      <c r="B781" s="32" t="str">
        <f>Orders!C778</f>
        <v>S007</v>
      </c>
      <c r="C781" s="32" t="str">
        <f>Orders!B778</f>
        <v>C0048</v>
      </c>
      <c r="D781" s="32" t="str">
        <f>Orders!H778</f>
        <v>Delivered</v>
      </c>
      <c r="E781" s="33">
        <f>IF(Orders!H778="Delivered",1,0)</f>
        <v>1</v>
      </c>
      <c r="F781" s="34">
        <f>IF(E781=1,Orders!R778,"")</f>
        <v>-0.9</v>
      </c>
      <c r="G781" s="33">
        <f>IF(E781=1,IF(Orders!R778&gt;0,1,0),"")</f>
        <v>0</v>
      </c>
      <c r="H781" s="33">
        <f>IF(E781=1,IF(Orders!R778&gt;5,1,0),"")</f>
        <v>0</v>
      </c>
      <c r="I781" s="32" t="str">
        <f>IF(E781=1,"",IF(OR(Orders!T778="Rider unavailable",Orders!T778="Item unavailable"),"Company-caused","Unresolved"))</f>
        <v/>
      </c>
      <c r="J781" s="33">
        <f>IF(OR(E781=1,I781="Company-caused"),1,0)</f>
        <v>1</v>
      </c>
      <c r="K781" s="32" t="str">
        <f>IF(E781=0,IF(I781="Company-caused",IF(Orders!T778="Rider unavailable","C1 Rider unavailable","C2 Item unavailable"),"Outside root: unresolved"),IF(G781=0,"A On time",IF(H781=1,IF(L781=1,"B2a Severe, peak","B2b Severe, off-peak"),IF(L781=1,"B1a Slight, peak","B1b Slight, off-peak"))))</f>
        <v>A On time</v>
      </c>
      <c r="L781" s="33">
        <f>IF(AND(Orders!U778&gt;=19,Orders!U778&lt;22),1,0)</f>
        <v>1</v>
      </c>
      <c r="M781" s="33">
        <f>IF(L781=IF(Orders!V778,1,0),1,0)</f>
        <v>1</v>
      </c>
      <c r="N781" s="32" t="str">
        <f>IF(Orders!W778="","None",Orders!W778)</f>
        <v>None</v>
      </c>
      <c r="O781" s="35">
        <f>INT(Orders!E778)</f>
        <v>46273.0</v>
      </c>
      <c r="P781" s="33">
        <f>Orders!U778</f>
        <v>20</v>
      </c>
      <c r="Q781" s="33">
        <f>COUNTIFS(Demand!$A$2:$A$4481,B781,Demand!$B$2:$B$4481,O781,Demand!$C$2:$C$4481,P781)</f>
        <v>1</v>
      </c>
      <c r="R781" s="33">
        <f>IF(Q781=1,SUMIFS(Demand!$E$2:$E$4481,Demand!$A$2:$A$4481,B781,Demand!$B$2:$B$4481,O781,Demand!$C$2:$C$4481,P781),"")</f>
        <v>42</v>
      </c>
      <c r="S781" s="33">
        <f>INDEX(Stores!$G$2:$G$21,MATCH(B781,Stores!$A$2:$A$21,0))</f>
        <v>37</v>
      </c>
      <c r="T781" s="34">
        <f>IF(R781="","",R781/S781)</f>
        <v>1.13513513513514</v>
      </c>
      <c r="U781" s="34">
        <f>IF(E781=1,T781,"")</f>
        <v>1.13513513513514</v>
      </c>
      <c r="V781" s="34" t="str">
        <f>IF(AND(E781=1,L781=0),T781,"")</f>
        <v/>
      </c>
      <c r="W781" s="33">
        <f>IF(U781="","",IF(U781&lt;=Breakdowns!$C$5,1,IF(U781&lt;=Breakdowns!$C$6,2,IF(U781&lt;=Breakdowns!$C$7,3,4))))</f>
        <v>3</v>
      </c>
      <c r="X781" s="33" t="str">
        <f>IF(V781="","",IF(V781&lt;=Breakdowns!$D$5,1,IF(V781&lt;=Breakdowns!$D$6,2,IF(V781&lt;=Breakdowns!$D$7,3,4))))</f>
        <v/>
      </c>
      <c r="Y781" s="34">
        <f>INDEX(Stores!$F$2:$F$21,MATCH(B781,Stores!$A$2:$A$21,0))</f>
        <v>4.05</v>
      </c>
      <c r="Z781" s="33">
        <f>IF(Y781&gt;Store_Summary!$M$2,1,0)</f>
        <v>0</v>
      </c>
      <c r="AA781" s="33">
        <f>INDEX(Stores!$C$2:$C$21,MATCH(B781,Stores!$A$2:$A$21,0))</f>
        <v>661</v>
      </c>
      <c r="AB781" s="33">
        <f>IF(AA781&lt;180,1,0)</f>
        <v>0</v>
      </c>
      <c r="AC781" s="32" t="str">
        <f>IF(Orders!D778="","",INDEX(Riders!$C$2:$C$81,MATCH(Orders!D778,Riders!$A$2:$A$81,0)))</f>
        <v>EV scooter</v>
      </c>
      <c r="AD781" s="33">
        <f>IF(Orders!D778="","",INDEX(Riders!$D$2:$D$81,MATCH(Orders!D778,Riders!$A$2:$A$81,0)))</f>
        <v>41</v>
      </c>
      <c r="AE781" s="33">
        <f>IF(Orders!D778="","",IF(INDEX(Riders!$B$2:$B$81,MATCH(Orders!D778,Riders!$A$2:$A$81,0))=B781,1,0))</f>
        <v>0</v>
      </c>
      <c r="AF781" s="34">
        <f>IF(E781=1,Orders!L778,"")</f>
        <v>0.83</v>
      </c>
      <c r="AG781" s="34">
        <f>IF(E781=1,Orders!P778,"")</f>
        <v>9.4</v>
      </c>
      <c r="AH781" s="34">
        <f>IF(E781=1,Orders!Q778,"")</f>
        <v>8.5</v>
      </c>
      <c r="AI781" s="34">
        <f>IF(E781=1,Orders!M778,"")</f>
        <v>1.8</v>
      </c>
      <c r="AJ781" s="34">
        <f>IF(E781=1,Orders!N778,"")</f>
        <v>5.2</v>
      </c>
      <c r="AK781" s="34">
        <f>IF(E781=1,Orders!O778,"")</f>
        <v>1.5</v>
      </c>
      <c r="AL781" s="33">
        <f>IF(E781=1,IF(ROUND(ABS(AI781+AJ781+AK781-AH781),6)&lt;=0.1,1,0),"")</f>
        <v>1</v>
      </c>
      <c r="AM781" s="36">
        <f>IF(E781=1,AI781/AH781,"")</f>
        <v>0.211764705882353</v>
      </c>
      <c r="AN781" s="36">
        <f>IF(E781=1,AJ781/AH781,"")</f>
        <v>0.611764705882353</v>
      </c>
      <c r="AO781" s="36">
        <f>IF(E781=1,AK781/AH781,"")</f>
        <v>0.176470588235294</v>
      </c>
      <c r="AP781" s="34">
        <f>IF(E781=1,Orders!Y778,"")</f>
        <v>0.64</v>
      </c>
      <c r="AQ781" s="33">
        <f>IF(Orders!X778,1,0)</f>
        <v>0</v>
      </c>
      <c r="AR781" s="34">
        <f>IF(AND(E781=1,L781=1),AJ781,"")</f>
        <v>5.2</v>
      </c>
      <c r="AS781" s="34" t="str">
        <f>IF(AND(E781=1,L781=0),AJ781,"")</f>
        <v/>
      </c>
      <c r="AT781" s="34">
        <f>IF(AND(E781=1,L781=1),AI781,"")</f>
        <v>1.8</v>
      </c>
      <c r="AU781" s="34" t="str">
        <f>IF(AND(E781=1,L781=0),AI781,"")</f>
        <v/>
      </c>
      <c r="AV781" s="34">
        <f>IF(AND(E781=1,L781=1),AG781,"")</f>
        <v>9.4</v>
      </c>
      <c r="AW781" s="34" t="str">
        <f>IF(AND(E781=1,L781=0),AG781,"")</f>
        <v/>
      </c>
      <c r="AX781" s="34">
        <f>IF(AND(E781=1,L781=1),AH781,"")</f>
        <v>8.5</v>
      </c>
      <c r="AY781" s="34" t="str">
        <f>IF(AND(E781=1,L781=0),AH781,"")</f>
        <v/>
      </c>
      <c r="AZ781" s="34" t="str">
        <f>IF(G781=1,F781,"")</f>
        <v/>
      </c>
      <c r="BA781" s="34" t="str">
        <f>IF(AND(G781=1,L781=1),F781,"")</f>
        <v/>
      </c>
      <c r="BB781" s="34" t="str">
        <f>IF(AND(G781=1,L781=0),F781,"")</f>
        <v/>
      </c>
      <c r="BC781" s="33">
        <f>IF(E781=1,IF(Orders!R778&gt;3,1,0),"")</f>
        <v>0</v>
      </c>
      <c r="BD781" s="33">
        <f>IF(E781=1,IF(Orders!R778&gt;7,1,0),"")</f>
        <v>0</v>
      </c>
      <c r="BE781" s="32" t="str">
        <f>IF(E781=1,IF(Orders!L778&lt;=1.5,"Up to 1.5 km",IF(Orders!L778&lt;=3,"1.5–3 km","Over 3 km")),"")</f>
        <v>Up to 1.5 km</v>
      </c>
      <c r="BF781" s="33">
        <f>IF(E781=1,IF(ABS((Orders!G778-Orders!F778)*1440-Orders!R778)&lt;0.06,1,0),"")</f>
        <v>1</v>
      </c>
      <c r="BG781" s="33">
        <f>IF(ABS((Orders!F778-Orders!E778)*1440-Orders!P778)&lt;0.06,1,0)</f>
        <v>1</v>
      </c>
      <c r="BH781" s="33">
        <f>IF(E781=1,IF(IF(Orders!S778,1,0)=1-G781,1,0),"")</f>
        <v>1</v>
      </c>
      <c r="BI781" s="32" t="str">
        <f>INDEX(Stores!$B$2:$B$21,MATCH(B781,Stores!$A$2:$A$21,0))</f>
        <v>Hyderabad</v>
      </c>
    </row>
    <row r="782">
      <c r="A782" s="32" t="str">
        <f>Orders!A779</f>
        <v>O00778</v>
      </c>
      <c r="B782" s="32" t="str">
        <f>Orders!C779</f>
        <v>S009</v>
      </c>
      <c r="C782" s="32" t="str">
        <f>Orders!B779</f>
        <v>C0229</v>
      </c>
      <c r="D782" s="32" t="str">
        <f>Orders!H779</f>
        <v>Delivered</v>
      </c>
      <c r="E782" s="33">
        <f>IF(Orders!H779="Delivered",1,0)</f>
        <v>1</v>
      </c>
      <c r="F782" s="34">
        <f>IF(E782=1,Orders!R779,"")</f>
        <v>-1.1</v>
      </c>
      <c r="G782" s="33">
        <f>IF(E782=1,IF(Orders!R779&gt;0,1,0),"")</f>
        <v>0</v>
      </c>
      <c r="H782" s="33">
        <f>IF(E782=1,IF(Orders!R779&gt;5,1,0),"")</f>
        <v>0</v>
      </c>
      <c r="I782" s="32" t="str">
        <f>IF(E782=1,"",IF(OR(Orders!T779="Rider unavailable",Orders!T779="Item unavailable"),"Company-caused","Unresolved"))</f>
        <v/>
      </c>
      <c r="J782" s="33">
        <f>IF(OR(E782=1,I782="Company-caused"),1,0)</f>
        <v>1</v>
      </c>
      <c r="K782" s="32" t="str">
        <f>IF(E782=0,IF(I782="Company-caused",IF(Orders!T779="Rider unavailable","C1 Rider unavailable","C2 Item unavailable"),"Outside root: unresolved"),IF(G782=0,"A On time",IF(H782=1,IF(L782=1,"B2a Severe, peak","B2b Severe, off-peak"),IF(L782=1,"B1a Slight, peak","B1b Slight, off-peak"))))</f>
        <v>A On time</v>
      </c>
      <c r="L782" s="33">
        <f>IF(AND(Orders!U779&gt;=19,Orders!U779&lt;22),1,0)</f>
        <v>0</v>
      </c>
      <c r="M782" s="33">
        <f>IF(L782=IF(Orders!V779,1,0),1,0)</f>
        <v>1</v>
      </c>
      <c r="N782" s="32" t="str">
        <f>IF(Orders!W779="","None",Orders!W779)</f>
        <v>Light</v>
      </c>
      <c r="O782" s="35">
        <f>INT(Orders!E779)</f>
        <v>46270.0</v>
      </c>
      <c r="P782" s="33">
        <f>Orders!U779</f>
        <v>18</v>
      </c>
      <c r="Q782" s="33">
        <f>COUNTIFS(Demand!$A$2:$A$4481,B782,Demand!$B$2:$B$4481,O782,Demand!$C$2:$C$4481,P782)</f>
        <v>1</v>
      </c>
      <c r="R782" s="33">
        <f>IF(Q782=1,SUMIFS(Demand!$E$2:$E$4481,Demand!$A$2:$A$4481,B782,Demand!$B$2:$B$4481,O782,Demand!$C$2:$C$4481,P782),"")</f>
        <v>30</v>
      </c>
      <c r="S782" s="33">
        <f>INDEX(Stores!$G$2:$G$21,MATCH(B782,Stores!$A$2:$A$21,0))</f>
        <v>29</v>
      </c>
      <c r="T782" s="34">
        <f>IF(R782="","",R782/S782)</f>
        <v>1.03448275862069</v>
      </c>
      <c r="U782" s="34">
        <f>IF(E782=1,T782,"")</f>
        <v>1.03448275862069</v>
      </c>
      <c r="V782" s="34">
        <f>IF(AND(E782=1,L782=0),T782,"")</f>
        <v>1.03448275862069</v>
      </c>
      <c r="W782" s="33">
        <f>IF(U782="","",IF(U782&lt;=Breakdowns!$C$5,1,IF(U782&lt;=Breakdowns!$C$6,2,IF(U782&lt;=Breakdowns!$C$7,3,4))))</f>
        <v>3</v>
      </c>
      <c r="X782" s="33">
        <f>IF(V782="","",IF(V782&lt;=Breakdowns!$D$5,1,IF(V782&lt;=Breakdowns!$D$6,2,IF(V782&lt;=Breakdowns!$D$7,3,4))))</f>
        <v>3</v>
      </c>
      <c r="Y782" s="34">
        <f>INDEX(Stores!$F$2:$F$21,MATCH(B782,Stores!$A$2:$A$21,0))</f>
        <v>2.66</v>
      </c>
      <c r="Z782" s="33">
        <f>IF(Y782&gt;Store_Summary!$M$2,1,0)</f>
        <v>0</v>
      </c>
      <c r="AA782" s="33">
        <f>INDEX(Stores!$C$2:$C$21,MATCH(B782,Stores!$A$2:$A$21,0))</f>
        <v>645</v>
      </c>
      <c r="AB782" s="33">
        <f>IF(AA782&lt;180,1,0)</f>
        <v>0</v>
      </c>
      <c r="AC782" s="32" t="str">
        <f>IF(Orders!D779="","",INDEX(Riders!$C$2:$C$81,MATCH(Orders!D779,Riders!$A$2:$A$81,0)))</f>
        <v>Petrol scooter</v>
      </c>
      <c r="AD782" s="33">
        <f>IF(Orders!D779="","",INDEX(Riders!$D$2:$D$81,MATCH(Orders!D779,Riders!$A$2:$A$81,0)))</f>
        <v>44</v>
      </c>
      <c r="AE782" s="33">
        <f>IF(Orders!D779="","",IF(INDEX(Riders!$B$2:$B$81,MATCH(Orders!D779,Riders!$A$2:$A$81,0))=B782,1,0))</f>
        <v>0</v>
      </c>
      <c r="AF782" s="34">
        <f>IF(E782=1,Orders!L779,"")</f>
        <v>1.87</v>
      </c>
      <c r="AG782" s="34">
        <f>IF(E782=1,Orders!P779,"")</f>
        <v>10.8</v>
      </c>
      <c r="AH782" s="34">
        <f>IF(E782=1,Orders!Q779,"")</f>
        <v>9.7</v>
      </c>
      <c r="AI782" s="34">
        <f>IF(E782=1,Orders!M779,"")</f>
        <v>1.6</v>
      </c>
      <c r="AJ782" s="34">
        <f>IF(E782=1,Orders!N779,"")</f>
        <v>4.3</v>
      </c>
      <c r="AK782" s="34">
        <f>IF(E782=1,Orders!O779,"")</f>
        <v>3.8</v>
      </c>
      <c r="AL782" s="33">
        <f>IF(E782=1,IF(ROUND(ABS(AI782+AJ782+AK782-AH782),6)&lt;=0.1,1,0),"")</f>
        <v>1</v>
      </c>
      <c r="AM782" s="36">
        <f>IF(E782=1,AI782/AH782,"")</f>
        <v>0.164948453608247</v>
      </c>
      <c r="AN782" s="36">
        <f>IF(E782=1,AJ782/AH782,"")</f>
        <v>0.443298969072165</v>
      </c>
      <c r="AO782" s="36">
        <f>IF(E782=1,AK782/AH782,"")</f>
        <v>0.391752577319588</v>
      </c>
      <c r="AP782" s="34">
        <f>IF(E782=1,Orders!Y779,"")</f>
        <v>0.33</v>
      </c>
      <c r="AQ782" s="33">
        <f>IF(Orders!X779,1,0)</f>
        <v>0</v>
      </c>
      <c r="AR782" s="34" t="str">
        <f>IF(AND(E782=1,L782=1),AJ782,"")</f>
        <v/>
      </c>
      <c r="AS782" s="34">
        <f>IF(AND(E782=1,L782=0),AJ782,"")</f>
        <v>4.3</v>
      </c>
      <c r="AT782" s="34" t="str">
        <f>IF(AND(E782=1,L782=1),AI782,"")</f>
        <v/>
      </c>
      <c r="AU782" s="34">
        <f>IF(AND(E782=1,L782=0),AI782,"")</f>
        <v>1.6</v>
      </c>
      <c r="AV782" s="34" t="str">
        <f>IF(AND(E782=1,L782=1),AG782,"")</f>
        <v/>
      </c>
      <c r="AW782" s="34">
        <f>IF(AND(E782=1,L782=0),AG782,"")</f>
        <v>10.8</v>
      </c>
      <c r="AX782" s="34" t="str">
        <f>IF(AND(E782=1,L782=1),AH782,"")</f>
        <v/>
      </c>
      <c r="AY782" s="34">
        <f>IF(AND(E782=1,L782=0),AH782,"")</f>
        <v>9.7</v>
      </c>
      <c r="AZ782" s="34" t="str">
        <f>IF(G782=1,F782,"")</f>
        <v/>
      </c>
      <c r="BA782" s="34" t="str">
        <f>IF(AND(G782=1,L782=1),F782,"")</f>
        <v/>
      </c>
      <c r="BB782" s="34" t="str">
        <f>IF(AND(G782=1,L782=0),F782,"")</f>
        <v/>
      </c>
      <c r="BC782" s="33">
        <f>IF(E782=1,IF(Orders!R779&gt;3,1,0),"")</f>
        <v>0</v>
      </c>
      <c r="BD782" s="33">
        <f>IF(E782=1,IF(Orders!R779&gt;7,1,0),"")</f>
        <v>0</v>
      </c>
      <c r="BE782" s="32" t="str">
        <f>IF(E782=1,IF(Orders!L779&lt;=1.5,"Up to 1.5 km",IF(Orders!L779&lt;=3,"1.5–3 km","Over 3 km")),"")</f>
        <v>1.5–3 km</v>
      </c>
      <c r="BF782" s="33">
        <f>IF(E782=1,IF(ABS((Orders!G779-Orders!F779)*1440-Orders!R779)&lt;0.06,1,0),"")</f>
        <v>1</v>
      </c>
      <c r="BG782" s="33">
        <f>IF(ABS((Orders!F779-Orders!E779)*1440-Orders!P779)&lt;0.06,1,0)</f>
        <v>1</v>
      </c>
      <c r="BH782" s="33">
        <f>IF(E782=1,IF(IF(Orders!S779,1,0)=1-G782,1,0),"")</f>
        <v>1</v>
      </c>
      <c r="BI782" s="32" t="str">
        <f>INDEX(Stores!$B$2:$B$21,MATCH(B782,Stores!$A$2:$A$21,0))</f>
        <v>Pune</v>
      </c>
    </row>
    <row r="783">
      <c r="A783" s="32" t="str">
        <f>Orders!A780</f>
        <v>O00779</v>
      </c>
      <c r="B783" s="32" t="str">
        <f>Orders!C780</f>
        <v>S003</v>
      </c>
      <c r="C783" s="32" t="str">
        <f>Orders!B780</f>
        <v>C0071</v>
      </c>
      <c r="D783" s="32" t="str">
        <f>Orders!H780</f>
        <v>Delivered</v>
      </c>
      <c r="E783" s="33">
        <f>IF(Orders!H780="Delivered",1,0)</f>
        <v>1</v>
      </c>
      <c r="F783" s="34">
        <f>IF(E783=1,Orders!R780,"")</f>
        <v>-0.9</v>
      </c>
      <c r="G783" s="33">
        <f>IF(E783=1,IF(Orders!R780&gt;0,1,0),"")</f>
        <v>0</v>
      </c>
      <c r="H783" s="33">
        <f>IF(E783=1,IF(Orders!R780&gt;5,1,0),"")</f>
        <v>0</v>
      </c>
      <c r="I783" s="32" t="str">
        <f>IF(E783=1,"",IF(OR(Orders!T780="Rider unavailable",Orders!T780="Item unavailable"),"Company-caused","Unresolved"))</f>
        <v/>
      </c>
      <c r="J783" s="33">
        <f>IF(OR(E783=1,I783="Company-caused"),1,0)</f>
        <v>1</v>
      </c>
      <c r="K783" s="32" t="str">
        <f>IF(E783=0,IF(I783="Company-caused",IF(Orders!T780="Rider unavailable","C1 Rider unavailable","C2 Item unavailable"),"Outside root: unresolved"),IF(G783=0,"A On time",IF(H783=1,IF(L783=1,"B2a Severe, peak","B2b Severe, off-peak"),IF(L783=1,"B1a Slight, peak","B1b Slight, off-peak"))))</f>
        <v>A On time</v>
      </c>
      <c r="L783" s="33">
        <f>IF(AND(Orders!U780&gt;=19,Orders!U780&lt;22),1,0)</f>
        <v>0</v>
      </c>
      <c r="M783" s="33">
        <f>IF(L783=IF(Orders!V780,1,0),1,0)</f>
        <v>1</v>
      </c>
      <c r="N783" s="32" t="str">
        <f>IF(Orders!W780="","None",Orders!W780)</f>
        <v>None</v>
      </c>
      <c r="O783" s="35">
        <f>INT(Orders!E780)</f>
        <v>46266.0</v>
      </c>
      <c r="P783" s="33">
        <f>Orders!U780</f>
        <v>10</v>
      </c>
      <c r="Q783" s="33">
        <f>COUNTIFS(Demand!$A$2:$A$4481,B783,Demand!$B$2:$B$4481,O783,Demand!$C$2:$C$4481,P783)</f>
        <v>1</v>
      </c>
      <c r="R783" s="33">
        <f>IF(Q783=1,SUMIFS(Demand!$E$2:$E$4481,Demand!$A$2:$A$4481,B783,Demand!$B$2:$B$4481,O783,Demand!$C$2:$C$4481,P783),"")</f>
        <v>27</v>
      </c>
      <c r="S783" s="33">
        <f>INDEX(Stores!$G$2:$G$21,MATCH(B783,Stores!$A$2:$A$21,0))</f>
        <v>41</v>
      </c>
      <c r="T783" s="34">
        <f>IF(R783="","",R783/S783)</f>
        <v>0.658536585365854</v>
      </c>
      <c r="U783" s="34">
        <f>IF(E783=1,T783,"")</f>
        <v>0.658536585365854</v>
      </c>
      <c r="V783" s="34">
        <f>IF(AND(E783=1,L783=0),T783,"")</f>
        <v>0.658536585365854</v>
      </c>
      <c r="W783" s="33">
        <f>IF(U783="","",IF(U783&lt;=Breakdowns!$C$5,1,IF(U783&lt;=Breakdowns!$C$6,2,IF(U783&lt;=Breakdowns!$C$7,3,4))))</f>
        <v>1</v>
      </c>
      <c r="X783" s="33">
        <f>IF(V783="","",IF(V783&lt;=Breakdowns!$D$5,1,IF(V783&lt;=Breakdowns!$D$6,2,IF(V783&lt;=Breakdowns!$D$7,3,4))))</f>
        <v>1</v>
      </c>
      <c r="Y783" s="34">
        <f>INDEX(Stores!$F$2:$F$21,MATCH(B783,Stores!$A$2:$A$21,0))</f>
        <v>3.84</v>
      </c>
      <c r="Z783" s="33">
        <f>IF(Y783&gt;Store_Summary!$M$2,1,0)</f>
        <v>0</v>
      </c>
      <c r="AA783" s="33">
        <f>INDEX(Stores!$C$2:$C$21,MATCH(B783,Stores!$A$2:$A$21,0))</f>
        <v>426</v>
      </c>
      <c r="AB783" s="33">
        <f>IF(AA783&lt;180,1,0)</f>
        <v>0</v>
      </c>
      <c r="AC783" s="32" t="str">
        <f>IF(Orders!D780="","",INDEX(Riders!$C$2:$C$81,MATCH(Orders!D780,Riders!$A$2:$A$81,0)))</f>
        <v>Petrol scooter</v>
      </c>
      <c r="AD783" s="33">
        <f>IF(Orders!D780="","",INDEX(Riders!$D$2:$D$81,MATCH(Orders!D780,Riders!$A$2:$A$81,0)))</f>
        <v>15</v>
      </c>
      <c r="AE783" s="33">
        <f>IF(Orders!D780="","",IF(INDEX(Riders!$B$2:$B$81,MATCH(Orders!D780,Riders!$A$2:$A$81,0))=B783,1,0))</f>
        <v>0</v>
      </c>
      <c r="AF783" s="34">
        <f>IF(E783=1,Orders!L780,"")</f>
        <v>2.1</v>
      </c>
      <c r="AG783" s="34">
        <f>IF(E783=1,Orders!P780,"")</f>
        <v>9.4</v>
      </c>
      <c r="AH783" s="34">
        <f>IF(E783=1,Orders!Q780,"")</f>
        <v>8.5</v>
      </c>
      <c r="AI783" s="34">
        <f>IF(E783=1,Orders!M780,"")</f>
        <v>3</v>
      </c>
      <c r="AJ783" s="34">
        <f>IF(E783=1,Orders!N780,"")</f>
        <v>1.9</v>
      </c>
      <c r="AK783" s="34">
        <f>IF(E783=1,Orders!O780,"")</f>
        <v>3.6</v>
      </c>
      <c r="AL783" s="33">
        <f>IF(E783=1,IF(ROUND(ABS(AI783+AJ783+AK783-AH783),6)&lt;=0.1,1,0),"")</f>
        <v>1</v>
      </c>
      <c r="AM783" s="36">
        <f>IF(E783=1,AI783/AH783,"")</f>
        <v>0.352941176470588</v>
      </c>
      <c r="AN783" s="36">
        <f>IF(E783=1,AJ783/AH783,"")</f>
        <v>0.223529411764706</v>
      </c>
      <c r="AO783" s="36">
        <f>IF(E783=1,AK783/AH783,"")</f>
        <v>0.423529411764706</v>
      </c>
      <c r="AP783" s="34">
        <f>IF(E783=1,Orders!Y780,"")</f>
        <v>0.31</v>
      </c>
      <c r="AQ783" s="33">
        <f>IF(Orders!X780,1,0)</f>
        <v>0</v>
      </c>
      <c r="AR783" s="34" t="str">
        <f>IF(AND(E783=1,L783=1),AJ783,"")</f>
        <v/>
      </c>
      <c r="AS783" s="34">
        <f>IF(AND(E783=1,L783=0),AJ783,"")</f>
        <v>1.9</v>
      </c>
      <c r="AT783" s="34" t="str">
        <f>IF(AND(E783=1,L783=1),AI783,"")</f>
        <v/>
      </c>
      <c r="AU783" s="34">
        <f>IF(AND(E783=1,L783=0),AI783,"")</f>
        <v>3</v>
      </c>
      <c r="AV783" s="34" t="str">
        <f>IF(AND(E783=1,L783=1),AG783,"")</f>
        <v/>
      </c>
      <c r="AW783" s="34">
        <f>IF(AND(E783=1,L783=0),AG783,"")</f>
        <v>9.4</v>
      </c>
      <c r="AX783" s="34" t="str">
        <f>IF(AND(E783=1,L783=1),AH783,"")</f>
        <v/>
      </c>
      <c r="AY783" s="34">
        <f>IF(AND(E783=1,L783=0),AH783,"")</f>
        <v>8.5</v>
      </c>
      <c r="AZ783" s="34" t="str">
        <f>IF(G783=1,F783,"")</f>
        <v/>
      </c>
      <c r="BA783" s="34" t="str">
        <f>IF(AND(G783=1,L783=1),F783,"")</f>
        <v/>
      </c>
      <c r="BB783" s="34" t="str">
        <f>IF(AND(G783=1,L783=0),F783,"")</f>
        <v/>
      </c>
      <c r="BC783" s="33">
        <f>IF(E783=1,IF(Orders!R780&gt;3,1,0),"")</f>
        <v>0</v>
      </c>
      <c r="BD783" s="33">
        <f>IF(E783=1,IF(Orders!R780&gt;7,1,0),"")</f>
        <v>0</v>
      </c>
      <c r="BE783" s="32" t="str">
        <f>IF(E783=1,IF(Orders!L780&lt;=1.5,"Up to 1.5 km",IF(Orders!L780&lt;=3,"1.5–3 km","Over 3 km")),"")</f>
        <v>1.5–3 km</v>
      </c>
      <c r="BF783" s="33">
        <f>IF(E783=1,IF(ABS((Orders!G780-Orders!F780)*1440-Orders!R780)&lt;0.06,1,0),"")</f>
        <v>1</v>
      </c>
      <c r="BG783" s="33">
        <f>IF(ABS((Orders!F780-Orders!E780)*1440-Orders!P780)&lt;0.06,1,0)</f>
        <v>1</v>
      </c>
      <c r="BH783" s="33">
        <f>IF(E783=1,IF(IF(Orders!S780,1,0)=1-G783,1,0),"")</f>
        <v>1</v>
      </c>
      <c r="BI783" s="32" t="str">
        <f>INDEX(Stores!$B$2:$B$21,MATCH(B783,Stores!$A$2:$A$21,0))</f>
        <v>Mumbai</v>
      </c>
    </row>
    <row r="784">
      <c r="A784" s="32" t="str">
        <f>Orders!A781</f>
        <v>O00780</v>
      </c>
      <c r="B784" s="32" t="str">
        <f>Orders!C781</f>
        <v>S015</v>
      </c>
      <c r="C784" s="32" t="str">
        <f>Orders!B781</f>
        <v>C0102</v>
      </c>
      <c r="D784" s="32" t="str">
        <f>Orders!H781</f>
        <v>Delivered</v>
      </c>
      <c r="E784" s="33">
        <f>IF(Orders!H781="Delivered",1,0)</f>
        <v>1</v>
      </c>
      <c r="F784" s="34">
        <f>IF(E784=1,Orders!R781,"")</f>
        <v>8.5</v>
      </c>
      <c r="G784" s="33">
        <f>IF(E784=1,IF(Orders!R781&gt;0,1,0),"")</f>
        <v>1</v>
      </c>
      <c r="H784" s="33">
        <f>IF(E784=1,IF(Orders!R781&gt;5,1,0),"")</f>
        <v>1</v>
      </c>
      <c r="I784" s="32" t="str">
        <f>IF(E784=1,"",IF(OR(Orders!T781="Rider unavailable",Orders!T781="Item unavailable"),"Company-caused","Unresolved"))</f>
        <v/>
      </c>
      <c r="J784" s="33">
        <f>IF(OR(E784=1,I784="Company-caused"),1,0)</f>
        <v>1</v>
      </c>
      <c r="K784" s="32" t="str">
        <f>IF(E784=0,IF(I784="Company-caused",IF(Orders!T781="Rider unavailable","C1 Rider unavailable","C2 Item unavailable"),"Outside root: unresolved"),IF(G784=0,"A On time",IF(H784=1,IF(L784=1,"B2a Severe, peak","B2b Severe, off-peak"),IF(L784=1,"B1a Slight, peak","B1b Slight, off-peak"))))</f>
        <v>B2a Severe, peak</v>
      </c>
      <c r="L784" s="33">
        <f>IF(AND(Orders!U781&gt;=19,Orders!U781&lt;22),1,0)</f>
        <v>1</v>
      </c>
      <c r="M784" s="33">
        <f>IF(L784=IF(Orders!V781,1,0),1,0)</f>
        <v>1</v>
      </c>
      <c r="N784" s="32" t="str">
        <f>IF(Orders!W781="","None",Orders!W781)</f>
        <v>None</v>
      </c>
      <c r="O784" s="35">
        <f>INT(Orders!E781)</f>
        <v>46278.0</v>
      </c>
      <c r="P784" s="33">
        <f>Orders!U781</f>
        <v>21</v>
      </c>
      <c r="Q784" s="33">
        <f>COUNTIFS(Demand!$A$2:$A$4481,B784,Demand!$B$2:$B$4481,O784,Demand!$C$2:$C$4481,P784)</f>
        <v>1</v>
      </c>
      <c r="R784" s="33">
        <f>IF(Q784=1,SUMIFS(Demand!$E$2:$E$4481,Demand!$A$2:$A$4481,B784,Demand!$B$2:$B$4481,O784,Demand!$C$2:$C$4481,P784),"")</f>
        <v>31</v>
      </c>
      <c r="S784" s="33">
        <f>INDEX(Stores!$G$2:$G$21,MATCH(B784,Stores!$A$2:$A$21,0))</f>
        <v>23</v>
      </c>
      <c r="T784" s="34">
        <f>IF(R784="","",R784/S784)</f>
        <v>1.34782608695652</v>
      </c>
      <c r="U784" s="34">
        <f>IF(E784=1,T784,"")</f>
        <v>1.34782608695652</v>
      </c>
      <c r="V784" s="34" t="str">
        <f>IF(AND(E784=1,L784=0),T784,"")</f>
        <v/>
      </c>
      <c r="W784" s="33">
        <f>IF(U784="","",IF(U784&lt;=Breakdowns!$C$5,1,IF(U784&lt;=Breakdowns!$C$6,2,IF(U784&lt;=Breakdowns!$C$7,3,4))))</f>
        <v>4</v>
      </c>
      <c r="X784" s="33" t="str">
        <f>IF(V784="","",IF(V784&lt;=Breakdowns!$D$5,1,IF(V784&lt;=Breakdowns!$D$6,2,IF(V784&lt;=Breakdowns!$D$7,3,4))))</f>
        <v/>
      </c>
      <c r="Y784" s="34">
        <f>INDEX(Stores!$F$2:$F$21,MATCH(B784,Stores!$A$2:$A$21,0))</f>
        <v>4.66</v>
      </c>
      <c r="Z784" s="33">
        <f>IF(Y784&gt;Store_Summary!$M$2,1,0)</f>
        <v>0</v>
      </c>
      <c r="AA784" s="33">
        <f>INDEX(Stores!$C$2:$C$21,MATCH(B784,Stores!$A$2:$A$21,0))</f>
        <v>204</v>
      </c>
      <c r="AB784" s="33">
        <f>IF(AA784&lt;180,1,0)</f>
        <v>0</v>
      </c>
      <c r="AC784" s="32" t="str">
        <f>IF(Orders!D781="","",INDEX(Riders!$C$2:$C$81,MATCH(Orders!D781,Riders!$A$2:$A$81,0)))</f>
        <v>Bicycle</v>
      </c>
      <c r="AD784" s="33">
        <f>IF(Orders!D781="","",INDEX(Riders!$D$2:$D$81,MATCH(Orders!D781,Riders!$A$2:$A$81,0)))</f>
        <v>8</v>
      </c>
      <c r="AE784" s="33">
        <f>IF(Orders!D781="","",IF(INDEX(Riders!$B$2:$B$81,MATCH(Orders!D781,Riders!$A$2:$A$81,0))=B784,1,0))</f>
        <v>1</v>
      </c>
      <c r="AF784" s="34">
        <f>IF(E784=1,Orders!L781,"")</f>
        <v>1.5</v>
      </c>
      <c r="AG784" s="34">
        <f>IF(E784=1,Orders!P781,"")</f>
        <v>9</v>
      </c>
      <c r="AH784" s="34">
        <f>IF(E784=1,Orders!Q781,"")</f>
        <v>17.5</v>
      </c>
      <c r="AI784" s="34">
        <f>IF(E784=1,Orders!M781,"")</f>
        <v>4.6</v>
      </c>
      <c r="AJ784" s="34">
        <f>IF(E784=1,Orders!N781,"")</f>
        <v>7.3</v>
      </c>
      <c r="AK784" s="34">
        <f>IF(E784=1,Orders!O781,"")</f>
        <v>5.6</v>
      </c>
      <c r="AL784" s="33">
        <f>IF(E784=1,IF(ROUND(ABS(AI784+AJ784+AK784-AH784),6)&lt;=0.1,1,0),"")</f>
        <v>1</v>
      </c>
      <c r="AM784" s="36">
        <f>IF(E784=1,AI784/AH784,"")</f>
        <v>0.262857142857143</v>
      </c>
      <c r="AN784" s="36">
        <f>IF(E784=1,AJ784/AH784,"")</f>
        <v>0.417142857142857</v>
      </c>
      <c r="AO784" s="36">
        <f>IF(E784=1,AK784/AH784,"")</f>
        <v>0.32</v>
      </c>
      <c r="AP784" s="34">
        <f>IF(E784=1,Orders!Y781,"")</f>
        <v>1</v>
      </c>
      <c r="AQ784" s="33">
        <f>IF(Orders!X781,1,0)</f>
        <v>0</v>
      </c>
      <c r="AR784" s="34">
        <f>IF(AND(E784=1,L784=1),AJ784,"")</f>
        <v>7.3</v>
      </c>
      <c r="AS784" s="34" t="str">
        <f>IF(AND(E784=1,L784=0),AJ784,"")</f>
        <v/>
      </c>
      <c r="AT784" s="34">
        <f>IF(AND(E784=1,L784=1),AI784,"")</f>
        <v>4.6</v>
      </c>
      <c r="AU784" s="34" t="str">
        <f>IF(AND(E784=1,L784=0),AI784,"")</f>
        <v/>
      </c>
      <c r="AV784" s="34">
        <f>IF(AND(E784=1,L784=1),AG784,"")</f>
        <v>9</v>
      </c>
      <c r="AW784" s="34" t="str">
        <f>IF(AND(E784=1,L784=0),AG784,"")</f>
        <v/>
      </c>
      <c r="AX784" s="34">
        <f>IF(AND(E784=1,L784=1),AH784,"")</f>
        <v>17.5</v>
      </c>
      <c r="AY784" s="34" t="str">
        <f>IF(AND(E784=1,L784=0),AH784,"")</f>
        <v/>
      </c>
      <c r="AZ784" s="34">
        <f>IF(G784=1,F784,"")</f>
        <v>8.5</v>
      </c>
      <c r="BA784" s="34">
        <f>IF(AND(G784=1,L784=1),F784,"")</f>
        <v>8.5</v>
      </c>
      <c r="BB784" s="34" t="str">
        <f>IF(AND(G784=1,L784=0),F784,"")</f>
        <v/>
      </c>
      <c r="BC784" s="33">
        <f>IF(E784=1,IF(Orders!R781&gt;3,1,0),"")</f>
        <v>1</v>
      </c>
      <c r="BD784" s="33">
        <f>IF(E784=1,IF(Orders!R781&gt;7,1,0),"")</f>
        <v>1</v>
      </c>
      <c r="BE784" s="32" t="str">
        <f>IF(E784=1,IF(Orders!L781&lt;=1.5,"Up to 1.5 km",IF(Orders!L781&lt;=3,"1.5–3 km","Over 3 km")),"")</f>
        <v>Up to 1.5 km</v>
      </c>
      <c r="BF784" s="33">
        <f>IF(E784=1,IF(ABS((Orders!G781-Orders!F781)*1440-Orders!R781)&lt;0.06,1,0),"")</f>
        <v>1</v>
      </c>
      <c r="BG784" s="33">
        <f>IF(ABS((Orders!F781-Orders!E781)*1440-Orders!P781)&lt;0.06,1,0)</f>
        <v>1</v>
      </c>
      <c r="BH784" s="33">
        <f>IF(E784=1,IF(IF(Orders!S781,1,0)=1-G784,1,0),"")</f>
        <v>1</v>
      </c>
      <c r="BI784" s="32" t="str">
        <f>INDEX(Stores!$B$2:$B$21,MATCH(B784,Stores!$A$2:$A$21,0))</f>
        <v>Delhi</v>
      </c>
    </row>
    <row r="785">
      <c r="A785" s="32" t="str">
        <f>Orders!A782</f>
        <v>O00781</v>
      </c>
      <c r="B785" s="32" t="str">
        <f>Orders!C782</f>
        <v>S011</v>
      </c>
      <c r="C785" s="32" t="str">
        <f>Orders!B782</f>
        <v>C0246</v>
      </c>
      <c r="D785" s="32" t="str">
        <f>Orders!H782</f>
        <v>Delivered</v>
      </c>
      <c r="E785" s="33">
        <f>IF(Orders!H782="Delivered",1,0)</f>
        <v>1</v>
      </c>
      <c r="F785" s="34">
        <f>IF(E785=1,Orders!R782,"")</f>
        <v>-0.7</v>
      </c>
      <c r="G785" s="33">
        <f>IF(E785=1,IF(Orders!R782&gt;0,1,0),"")</f>
        <v>0</v>
      </c>
      <c r="H785" s="33">
        <f>IF(E785=1,IF(Orders!R782&gt;5,1,0),"")</f>
        <v>0</v>
      </c>
      <c r="I785" s="32" t="str">
        <f>IF(E785=1,"",IF(OR(Orders!T782="Rider unavailable",Orders!T782="Item unavailable"),"Company-caused","Unresolved"))</f>
        <v/>
      </c>
      <c r="J785" s="33">
        <f>IF(OR(E785=1,I785="Company-caused"),1,0)</f>
        <v>1</v>
      </c>
      <c r="K785" s="32" t="str">
        <f>IF(E785=0,IF(I785="Company-caused",IF(Orders!T782="Rider unavailable","C1 Rider unavailable","C2 Item unavailable"),"Outside root: unresolved"),IF(G785=0,"A On time",IF(H785=1,IF(L785=1,"B2a Severe, peak","B2b Severe, off-peak"),IF(L785=1,"B1a Slight, peak","B1b Slight, off-peak"))))</f>
        <v>A On time</v>
      </c>
      <c r="L785" s="33">
        <f>IF(AND(Orders!U782&gt;=19,Orders!U782&lt;22),1,0)</f>
        <v>1</v>
      </c>
      <c r="M785" s="33">
        <f>IF(L785=IF(Orders!V782,1,0),1,0)</f>
        <v>1</v>
      </c>
      <c r="N785" s="32" t="str">
        <f>IF(Orders!W782="","None",Orders!W782)</f>
        <v>None</v>
      </c>
      <c r="O785" s="35">
        <f>INT(Orders!E782)</f>
        <v>46268.0</v>
      </c>
      <c r="P785" s="33">
        <f>Orders!U782</f>
        <v>19</v>
      </c>
      <c r="Q785" s="33">
        <f>COUNTIFS(Demand!$A$2:$A$4481,B785,Demand!$B$2:$B$4481,O785,Demand!$C$2:$C$4481,P785)</f>
        <v>1</v>
      </c>
      <c r="R785" s="33">
        <f>IF(Q785=1,SUMIFS(Demand!$E$2:$E$4481,Demand!$A$2:$A$4481,B785,Demand!$B$2:$B$4481,O785,Demand!$C$2:$C$4481,P785),"")</f>
        <v>40</v>
      </c>
      <c r="S785" s="33">
        <f>INDEX(Stores!$G$2:$G$21,MATCH(B785,Stores!$A$2:$A$21,0))</f>
        <v>31</v>
      </c>
      <c r="T785" s="34">
        <f>IF(R785="","",R785/S785)</f>
        <v>1.29032258064516</v>
      </c>
      <c r="U785" s="34">
        <f>IF(E785=1,T785,"")</f>
        <v>1.29032258064516</v>
      </c>
      <c r="V785" s="34" t="str">
        <f>IF(AND(E785=1,L785=0),T785,"")</f>
        <v/>
      </c>
      <c r="W785" s="33">
        <f>IF(U785="","",IF(U785&lt;=Breakdowns!$C$5,1,IF(U785&lt;=Breakdowns!$C$6,2,IF(U785&lt;=Breakdowns!$C$7,3,4))))</f>
        <v>4</v>
      </c>
      <c r="X785" s="33" t="str">
        <f>IF(V785="","",IF(V785&lt;=Breakdowns!$D$5,1,IF(V785&lt;=Breakdowns!$D$6,2,IF(V785&lt;=Breakdowns!$D$7,3,4))))</f>
        <v/>
      </c>
      <c r="Y785" s="34">
        <f>INDEX(Stores!$F$2:$F$21,MATCH(B785,Stores!$A$2:$A$21,0))</f>
        <v>5.67</v>
      </c>
      <c r="Z785" s="33">
        <f>IF(Y785&gt;Store_Summary!$M$2,1,0)</f>
        <v>1</v>
      </c>
      <c r="AA785" s="33">
        <f>INDEX(Stores!$C$2:$C$21,MATCH(B785,Stores!$A$2:$A$21,0))</f>
        <v>732</v>
      </c>
      <c r="AB785" s="33">
        <f>IF(AA785&lt;180,1,0)</f>
        <v>0</v>
      </c>
      <c r="AC785" s="32" t="str">
        <f>IF(Orders!D782="","",INDEX(Riders!$C$2:$C$81,MATCH(Orders!D782,Riders!$A$2:$A$81,0)))</f>
        <v>EV scooter</v>
      </c>
      <c r="AD785" s="33">
        <f>IF(Orders!D782="","",INDEX(Riders!$D$2:$D$81,MATCH(Orders!D782,Riders!$A$2:$A$81,0)))</f>
        <v>41</v>
      </c>
      <c r="AE785" s="33">
        <f>IF(Orders!D782="","",IF(INDEX(Riders!$B$2:$B$81,MATCH(Orders!D782,Riders!$A$2:$A$81,0))=B785,1,0))</f>
        <v>0</v>
      </c>
      <c r="AF785" s="34">
        <f>IF(E785=1,Orders!L782,"")</f>
        <v>3.3</v>
      </c>
      <c r="AG785" s="34">
        <f>IF(E785=1,Orders!P782,"")</f>
        <v>11.8</v>
      </c>
      <c r="AH785" s="34">
        <f>IF(E785=1,Orders!Q782,"")</f>
        <v>11.1</v>
      </c>
      <c r="AI785" s="34">
        <f>IF(E785=1,Orders!M782,"")</f>
        <v>2.6</v>
      </c>
      <c r="AJ785" s="34">
        <f>IF(E785=1,Orders!N782,"")</f>
        <v>5.3</v>
      </c>
      <c r="AK785" s="34">
        <f>IF(E785=1,Orders!O782,"")</f>
        <v>3.2</v>
      </c>
      <c r="AL785" s="33">
        <f>IF(E785=1,IF(ROUND(ABS(AI785+AJ785+AK785-AH785),6)&lt;=0.1,1,0),"")</f>
        <v>1</v>
      </c>
      <c r="AM785" s="36">
        <f>IF(E785=1,AI785/AH785,"")</f>
        <v>0.234234234234234</v>
      </c>
      <c r="AN785" s="36">
        <f>IF(E785=1,AJ785/AH785,"")</f>
        <v>0.477477477477478</v>
      </c>
      <c r="AO785" s="36">
        <f>IF(E785=1,AK785/AH785,"")</f>
        <v>0.288288288288288</v>
      </c>
      <c r="AP785" s="34">
        <f>IF(E785=1,Orders!Y782,"")</f>
        <v>0.62</v>
      </c>
      <c r="AQ785" s="33">
        <f>IF(Orders!X782,1,0)</f>
        <v>0</v>
      </c>
      <c r="AR785" s="34">
        <f>IF(AND(E785=1,L785=1),AJ785,"")</f>
        <v>5.3</v>
      </c>
      <c r="AS785" s="34" t="str">
        <f>IF(AND(E785=1,L785=0),AJ785,"")</f>
        <v/>
      </c>
      <c r="AT785" s="34">
        <f>IF(AND(E785=1,L785=1),AI785,"")</f>
        <v>2.6</v>
      </c>
      <c r="AU785" s="34" t="str">
        <f>IF(AND(E785=1,L785=0),AI785,"")</f>
        <v/>
      </c>
      <c r="AV785" s="34">
        <f>IF(AND(E785=1,L785=1),AG785,"")</f>
        <v>11.8</v>
      </c>
      <c r="AW785" s="34" t="str">
        <f>IF(AND(E785=1,L785=0),AG785,"")</f>
        <v/>
      </c>
      <c r="AX785" s="34">
        <f>IF(AND(E785=1,L785=1),AH785,"")</f>
        <v>11.1</v>
      </c>
      <c r="AY785" s="34" t="str">
        <f>IF(AND(E785=1,L785=0),AH785,"")</f>
        <v/>
      </c>
      <c r="AZ785" s="34" t="str">
        <f>IF(G785=1,F785,"")</f>
        <v/>
      </c>
      <c r="BA785" s="34" t="str">
        <f>IF(AND(G785=1,L785=1),F785,"")</f>
        <v/>
      </c>
      <c r="BB785" s="34" t="str">
        <f>IF(AND(G785=1,L785=0),F785,"")</f>
        <v/>
      </c>
      <c r="BC785" s="33">
        <f>IF(E785=1,IF(Orders!R782&gt;3,1,0),"")</f>
        <v>0</v>
      </c>
      <c r="BD785" s="33">
        <f>IF(E785=1,IF(Orders!R782&gt;7,1,0),"")</f>
        <v>0</v>
      </c>
      <c r="BE785" s="32" t="str">
        <f>IF(E785=1,IF(Orders!L782&lt;=1.5,"Up to 1.5 km",IF(Orders!L782&lt;=3,"1.5–3 km","Over 3 km")),"")</f>
        <v>Over 3 km</v>
      </c>
      <c r="BF785" s="33">
        <f>IF(E785=1,IF(ABS((Orders!G782-Orders!F782)*1440-Orders!R782)&lt;0.06,1,0),"")</f>
        <v>1</v>
      </c>
      <c r="BG785" s="33">
        <f>IF(ABS((Orders!F782-Orders!E782)*1440-Orders!P782)&lt;0.06,1,0)</f>
        <v>1</v>
      </c>
      <c r="BH785" s="33">
        <f>IF(E785=1,IF(IF(Orders!S782,1,0)=1-G785,1,0),"")</f>
        <v>1</v>
      </c>
      <c r="BI785" s="32" t="str">
        <f>INDEX(Stores!$B$2:$B$21,MATCH(B785,Stores!$A$2:$A$21,0))</f>
        <v>Bengaluru</v>
      </c>
    </row>
    <row r="786">
      <c r="A786" s="32" t="str">
        <f>Orders!A783</f>
        <v>O00782</v>
      </c>
      <c r="B786" s="32" t="str">
        <f>Orders!C783</f>
        <v>S003</v>
      </c>
      <c r="C786" s="32" t="str">
        <f>Orders!B783</f>
        <v>C0001</v>
      </c>
      <c r="D786" s="32" t="str">
        <f>Orders!H783</f>
        <v>Delivered</v>
      </c>
      <c r="E786" s="33">
        <f>IF(Orders!H783="Delivered",1,0)</f>
        <v>1</v>
      </c>
      <c r="F786" s="34">
        <f>IF(E786=1,Orders!R783,"")</f>
        <v>-0.5</v>
      </c>
      <c r="G786" s="33">
        <f>IF(E786=1,IF(Orders!R783&gt;0,1,0),"")</f>
        <v>0</v>
      </c>
      <c r="H786" s="33">
        <f>IF(E786=1,IF(Orders!R783&gt;5,1,0),"")</f>
        <v>0</v>
      </c>
      <c r="I786" s="32" t="str">
        <f>IF(E786=1,"",IF(OR(Orders!T783="Rider unavailable",Orders!T783="Item unavailable"),"Company-caused","Unresolved"))</f>
        <v/>
      </c>
      <c r="J786" s="33">
        <f>IF(OR(E786=1,I786="Company-caused"),1,0)</f>
        <v>1</v>
      </c>
      <c r="K786" s="32" t="str">
        <f>IF(E786=0,IF(I786="Company-caused",IF(Orders!T783="Rider unavailable","C1 Rider unavailable","C2 Item unavailable"),"Outside root: unresolved"),IF(G786=0,"A On time",IF(H786=1,IF(L786=1,"B2a Severe, peak","B2b Severe, off-peak"),IF(L786=1,"B1a Slight, peak","B1b Slight, off-peak"))))</f>
        <v>A On time</v>
      </c>
      <c r="L786" s="33">
        <f>IF(AND(Orders!U783&gt;=19,Orders!U783&lt;22),1,0)</f>
        <v>0</v>
      </c>
      <c r="M786" s="33">
        <f>IF(L786=IF(Orders!V783,1,0),1,0)</f>
        <v>1</v>
      </c>
      <c r="N786" s="32" t="str">
        <f>IF(Orders!W783="","None",Orders!W783)</f>
        <v>Heavy</v>
      </c>
      <c r="O786" s="35">
        <f>INT(Orders!E783)</f>
        <v>46267.0</v>
      </c>
      <c r="P786" s="33">
        <f>Orders!U783</f>
        <v>12</v>
      </c>
      <c r="Q786" s="33">
        <f>COUNTIFS(Demand!$A$2:$A$4481,B786,Demand!$B$2:$B$4481,O786,Demand!$C$2:$C$4481,P786)</f>
        <v>1</v>
      </c>
      <c r="R786" s="33">
        <f>IF(Q786=1,SUMIFS(Demand!$E$2:$E$4481,Demand!$A$2:$A$4481,B786,Demand!$B$2:$B$4481,O786,Demand!$C$2:$C$4481,P786),"")</f>
        <v>34</v>
      </c>
      <c r="S786" s="33">
        <f>INDEX(Stores!$G$2:$G$21,MATCH(B786,Stores!$A$2:$A$21,0))</f>
        <v>41</v>
      </c>
      <c r="T786" s="34">
        <f>IF(R786="","",R786/S786)</f>
        <v>0.829268292682927</v>
      </c>
      <c r="U786" s="34">
        <f>IF(E786=1,T786,"")</f>
        <v>0.829268292682927</v>
      </c>
      <c r="V786" s="34">
        <f>IF(AND(E786=1,L786=0),T786,"")</f>
        <v>0.829268292682927</v>
      </c>
      <c r="W786" s="33">
        <f>IF(U786="","",IF(U786&lt;=Breakdowns!$C$5,1,IF(U786&lt;=Breakdowns!$C$6,2,IF(U786&lt;=Breakdowns!$C$7,3,4))))</f>
        <v>2</v>
      </c>
      <c r="X786" s="33">
        <f>IF(V786="","",IF(V786&lt;=Breakdowns!$D$5,1,IF(V786&lt;=Breakdowns!$D$6,2,IF(V786&lt;=Breakdowns!$D$7,3,4))))</f>
        <v>2</v>
      </c>
      <c r="Y786" s="34">
        <f>INDEX(Stores!$F$2:$F$21,MATCH(B786,Stores!$A$2:$A$21,0))</f>
        <v>3.84</v>
      </c>
      <c r="Z786" s="33">
        <f>IF(Y786&gt;Store_Summary!$M$2,1,0)</f>
        <v>0</v>
      </c>
      <c r="AA786" s="33">
        <f>INDEX(Stores!$C$2:$C$21,MATCH(B786,Stores!$A$2:$A$21,0))</f>
        <v>426</v>
      </c>
      <c r="AB786" s="33">
        <f>IF(AA786&lt;180,1,0)</f>
        <v>0</v>
      </c>
      <c r="AC786" s="32" t="str">
        <f>IF(Orders!D783="","",INDEX(Riders!$C$2:$C$81,MATCH(Orders!D783,Riders!$A$2:$A$81,0)))</f>
        <v>Petrol scooter</v>
      </c>
      <c r="AD786" s="33">
        <f>IF(Orders!D783="","",INDEX(Riders!$D$2:$D$81,MATCH(Orders!D783,Riders!$A$2:$A$81,0)))</f>
        <v>30</v>
      </c>
      <c r="AE786" s="33">
        <f>IF(Orders!D783="","",IF(INDEX(Riders!$B$2:$B$81,MATCH(Orders!D783,Riders!$A$2:$A$81,0))=B786,1,0))</f>
        <v>0</v>
      </c>
      <c r="AF786" s="34">
        <f>IF(E786=1,Orders!L783,"")</f>
        <v>0.84</v>
      </c>
      <c r="AG786" s="34">
        <f>IF(E786=1,Orders!P783,"")</f>
        <v>10.2</v>
      </c>
      <c r="AH786" s="34">
        <f>IF(E786=1,Orders!Q783,"")</f>
        <v>9.7</v>
      </c>
      <c r="AI786" s="34">
        <f>IF(E786=1,Orders!M783,"")</f>
        <v>4.1</v>
      </c>
      <c r="AJ786" s="34">
        <f>IF(E786=1,Orders!N783,"")</f>
        <v>1.5</v>
      </c>
      <c r="AK786" s="34">
        <f>IF(E786=1,Orders!O783,"")</f>
        <v>4.1</v>
      </c>
      <c r="AL786" s="33">
        <f>IF(E786=1,IF(ROUND(ABS(AI786+AJ786+AK786-AH786),6)&lt;=0.1,1,0),"")</f>
        <v>1</v>
      </c>
      <c r="AM786" s="36">
        <f>IF(E786=1,AI786/AH786,"")</f>
        <v>0.422680412371134</v>
      </c>
      <c r="AN786" s="36">
        <f>IF(E786=1,AJ786/AH786,"")</f>
        <v>0.154639175257732</v>
      </c>
      <c r="AO786" s="36">
        <f>IF(E786=1,AK786/AH786,"")</f>
        <v>0.422680412371134</v>
      </c>
      <c r="AP786" s="34">
        <f>IF(E786=1,Orders!Y783,"")</f>
        <v>0.39</v>
      </c>
      <c r="AQ786" s="33">
        <f>IF(Orders!X783,1,0)</f>
        <v>0</v>
      </c>
      <c r="AR786" s="34" t="str">
        <f>IF(AND(E786=1,L786=1),AJ786,"")</f>
        <v/>
      </c>
      <c r="AS786" s="34">
        <f>IF(AND(E786=1,L786=0),AJ786,"")</f>
        <v>1.5</v>
      </c>
      <c r="AT786" s="34" t="str">
        <f>IF(AND(E786=1,L786=1),AI786,"")</f>
        <v/>
      </c>
      <c r="AU786" s="34">
        <f>IF(AND(E786=1,L786=0),AI786,"")</f>
        <v>4.1</v>
      </c>
      <c r="AV786" s="34" t="str">
        <f>IF(AND(E786=1,L786=1),AG786,"")</f>
        <v/>
      </c>
      <c r="AW786" s="34">
        <f>IF(AND(E786=1,L786=0),AG786,"")</f>
        <v>10.2</v>
      </c>
      <c r="AX786" s="34" t="str">
        <f>IF(AND(E786=1,L786=1),AH786,"")</f>
        <v/>
      </c>
      <c r="AY786" s="34">
        <f>IF(AND(E786=1,L786=0),AH786,"")</f>
        <v>9.7</v>
      </c>
      <c r="AZ786" s="34" t="str">
        <f>IF(G786=1,F786,"")</f>
        <v/>
      </c>
      <c r="BA786" s="34" t="str">
        <f>IF(AND(G786=1,L786=1),F786,"")</f>
        <v/>
      </c>
      <c r="BB786" s="34" t="str">
        <f>IF(AND(G786=1,L786=0),F786,"")</f>
        <v/>
      </c>
      <c r="BC786" s="33">
        <f>IF(E786=1,IF(Orders!R783&gt;3,1,0),"")</f>
        <v>0</v>
      </c>
      <c r="BD786" s="33">
        <f>IF(E786=1,IF(Orders!R783&gt;7,1,0),"")</f>
        <v>0</v>
      </c>
      <c r="BE786" s="32" t="str">
        <f>IF(E786=1,IF(Orders!L783&lt;=1.5,"Up to 1.5 km",IF(Orders!L783&lt;=3,"1.5–3 km","Over 3 km")),"")</f>
        <v>Up to 1.5 km</v>
      </c>
      <c r="BF786" s="33">
        <f>IF(E786=1,IF(ABS((Orders!G783-Orders!F783)*1440-Orders!R783)&lt;0.06,1,0),"")</f>
        <v>1</v>
      </c>
      <c r="BG786" s="33">
        <f>IF(ABS((Orders!F783-Orders!E783)*1440-Orders!P783)&lt;0.06,1,0)</f>
        <v>1</v>
      </c>
      <c r="BH786" s="33">
        <f>IF(E786=1,IF(IF(Orders!S783,1,0)=1-G786,1,0),"")</f>
        <v>1</v>
      </c>
      <c r="BI786" s="32" t="str">
        <f>INDEX(Stores!$B$2:$B$21,MATCH(B786,Stores!$A$2:$A$21,0))</f>
        <v>Mumbai</v>
      </c>
    </row>
    <row r="787">
      <c r="A787" s="32" t="str">
        <f>Orders!A784</f>
        <v>O00783</v>
      </c>
      <c r="B787" s="32" t="str">
        <f>Orders!C784</f>
        <v>S004</v>
      </c>
      <c r="C787" s="32" t="str">
        <f>Orders!B784</f>
        <v>C0232</v>
      </c>
      <c r="D787" s="32" t="str">
        <f>Orders!H784</f>
        <v>Delivered</v>
      </c>
      <c r="E787" s="33">
        <f>IF(Orders!H784="Delivered",1,0)</f>
        <v>1</v>
      </c>
      <c r="F787" s="34">
        <f>IF(E787=1,Orders!R784,"")</f>
        <v>-0.5</v>
      </c>
      <c r="G787" s="33">
        <f>IF(E787=1,IF(Orders!R784&gt;0,1,0),"")</f>
        <v>0</v>
      </c>
      <c r="H787" s="33">
        <f>IF(E787=1,IF(Orders!R784&gt;5,1,0),"")</f>
        <v>0</v>
      </c>
      <c r="I787" s="32" t="str">
        <f>IF(E787=1,"",IF(OR(Orders!T784="Rider unavailable",Orders!T784="Item unavailable"),"Company-caused","Unresolved"))</f>
        <v/>
      </c>
      <c r="J787" s="33">
        <f>IF(OR(E787=1,I787="Company-caused"),1,0)</f>
        <v>1</v>
      </c>
      <c r="K787" s="32" t="str">
        <f>IF(E787=0,IF(I787="Company-caused",IF(Orders!T784="Rider unavailable","C1 Rider unavailable","C2 Item unavailable"),"Outside root: unresolved"),IF(G787=0,"A On time",IF(H787=1,IF(L787=1,"B2a Severe, peak","B2b Severe, off-peak"),IF(L787=1,"B1a Slight, peak","B1b Slight, off-peak"))))</f>
        <v>A On time</v>
      </c>
      <c r="L787" s="33">
        <f>IF(AND(Orders!U784&gt;=19,Orders!U784&lt;22),1,0)</f>
        <v>0</v>
      </c>
      <c r="M787" s="33">
        <f>IF(L787=IF(Orders!V784,1,0),1,0)</f>
        <v>1</v>
      </c>
      <c r="N787" s="32" t="str">
        <f>IF(Orders!W784="","None",Orders!W784)</f>
        <v>Light</v>
      </c>
      <c r="O787" s="35">
        <f>INT(Orders!E784)</f>
        <v>46273.0</v>
      </c>
      <c r="P787" s="33">
        <f>Orders!U784</f>
        <v>8</v>
      </c>
      <c r="Q787" s="33">
        <f>COUNTIFS(Demand!$A$2:$A$4481,B787,Demand!$B$2:$B$4481,O787,Demand!$C$2:$C$4481,P787)</f>
        <v>1</v>
      </c>
      <c r="R787" s="33">
        <f>IF(Q787=1,SUMIFS(Demand!$E$2:$E$4481,Demand!$A$2:$A$4481,B787,Demand!$B$2:$B$4481,O787,Demand!$C$2:$C$4481,P787),"")</f>
        <v>35</v>
      </c>
      <c r="S787" s="33">
        <f>INDEX(Stores!$G$2:$G$21,MATCH(B787,Stores!$A$2:$A$21,0))</f>
        <v>42</v>
      </c>
      <c r="T787" s="34">
        <f>IF(R787="","",R787/S787)</f>
        <v>0.833333333333333</v>
      </c>
      <c r="U787" s="34">
        <f>IF(E787=1,T787,"")</f>
        <v>0.833333333333333</v>
      </c>
      <c r="V787" s="34">
        <f>IF(AND(E787=1,L787=0),T787,"")</f>
        <v>0.833333333333333</v>
      </c>
      <c r="W787" s="33">
        <f>IF(U787="","",IF(U787&lt;=Breakdowns!$C$5,1,IF(U787&lt;=Breakdowns!$C$6,2,IF(U787&lt;=Breakdowns!$C$7,3,4))))</f>
        <v>2</v>
      </c>
      <c r="X787" s="33">
        <f>IF(V787="","",IF(V787&lt;=Breakdowns!$D$5,1,IF(V787&lt;=Breakdowns!$D$6,2,IF(V787&lt;=Breakdowns!$D$7,3,4))))</f>
        <v>2</v>
      </c>
      <c r="Y787" s="34">
        <f>INDEX(Stores!$F$2:$F$21,MATCH(B787,Stores!$A$2:$A$21,0))</f>
        <v>2.19</v>
      </c>
      <c r="Z787" s="33">
        <f>IF(Y787&gt;Store_Summary!$M$2,1,0)</f>
        <v>0</v>
      </c>
      <c r="AA787" s="33">
        <f>INDEX(Stores!$C$2:$C$21,MATCH(B787,Stores!$A$2:$A$21,0))</f>
        <v>850</v>
      </c>
      <c r="AB787" s="33">
        <f>IF(AA787&lt;180,1,0)</f>
        <v>0</v>
      </c>
      <c r="AC787" s="32" t="str">
        <f>IF(Orders!D784="","",INDEX(Riders!$C$2:$C$81,MATCH(Orders!D784,Riders!$A$2:$A$81,0)))</f>
        <v>Petrol scooter</v>
      </c>
      <c r="AD787" s="33">
        <f>IF(Orders!D784="","",INDEX(Riders!$D$2:$D$81,MATCH(Orders!D784,Riders!$A$2:$A$81,0)))</f>
        <v>6</v>
      </c>
      <c r="AE787" s="33">
        <f>IF(Orders!D784="","",IF(INDEX(Riders!$B$2:$B$81,MATCH(Orders!D784,Riders!$A$2:$A$81,0))=B787,1,0))</f>
        <v>0</v>
      </c>
      <c r="AF787" s="34">
        <f>IF(E787=1,Orders!L784,"")</f>
        <v>3.3</v>
      </c>
      <c r="AG787" s="34">
        <f>IF(E787=1,Orders!P784,"")</f>
        <v>12.7</v>
      </c>
      <c r="AH787" s="34">
        <f>IF(E787=1,Orders!Q784,"")</f>
        <v>12.2</v>
      </c>
      <c r="AI787" s="34">
        <f>IF(E787=1,Orders!M784,"")</f>
        <v>1.6</v>
      </c>
      <c r="AJ787" s="34">
        <f>IF(E787=1,Orders!N784,"")</f>
        <v>2.8</v>
      </c>
      <c r="AK787" s="34">
        <f>IF(E787=1,Orders!O784,"")</f>
        <v>7.8</v>
      </c>
      <c r="AL787" s="33">
        <f>IF(E787=1,IF(ROUND(ABS(AI787+AJ787+AK787-AH787),6)&lt;=0.1,1,0),"")</f>
        <v>1</v>
      </c>
      <c r="AM787" s="36">
        <f>IF(E787=1,AI787/AH787,"")</f>
        <v>0.131147540983607</v>
      </c>
      <c r="AN787" s="36">
        <f>IF(E787=1,AJ787/AH787,"")</f>
        <v>0.229508196721311</v>
      </c>
      <c r="AO787" s="36">
        <f>IF(E787=1,AK787/AH787,"")</f>
        <v>0.639344262295082</v>
      </c>
      <c r="AP787" s="34">
        <f>IF(E787=1,Orders!Y784,"")</f>
        <v>0.52</v>
      </c>
      <c r="AQ787" s="33">
        <f>IF(Orders!X784,1,0)</f>
        <v>0</v>
      </c>
      <c r="AR787" s="34" t="str">
        <f>IF(AND(E787=1,L787=1),AJ787,"")</f>
        <v/>
      </c>
      <c r="AS787" s="34">
        <f>IF(AND(E787=1,L787=0),AJ787,"")</f>
        <v>2.8</v>
      </c>
      <c r="AT787" s="34" t="str">
        <f>IF(AND(E787=1,L787=1),AI787,"")</f>
        <v/>
      </c>
      <c r="AU787" s="34">
        <f>IF(AND(E787=1,L787=0),AI787,"")</f>
        <v>1.6</v>
      </c>
      <c r="AV787" s="34" t="str">
        <f>IF(AND(E787=1,L787=1),AG787,"")</f>
        <v/>
      </c>
      <c r="AW787" s="34">
        <f>IF(AND(E787=1,L787=0),AG787,"")</f>
        <v>12.7</v>
      </c>
      <c r="AX787" s="34" t="str">
        <f>IF(AND(E787=1,L787=1),AH787,"")</f>
        <v/>
      </c>
      <c r="AY787" s="34">
        <f>IF(AND(E787=1,L787=0),AH787,"")</f>
        <v>12.2</v>
      </c>
      <c r="AZ787" s="34" t="str">
        <f>IF(G787=1,F787,"")</f>
        <v/>
      </c>
      <c r="BA787" s="34" t="str">
        <f>IF(AND(G787=1,L787=1),F787,"")</f>
        <v/>
      </c>
      <c r="BB787" s="34" t="str">
        <f>IF(AND(G787=1,L787=0),F787,"")</f>
        <v/>
      </c>
      <c r="BC787" s="33">
        <f>IF(E787=1,IF(Orders!R784&gt;3,1,0),"")</f>
        <v>0</v>
      </c>
      <c r="BD787" s="33">
        <f>IF(E787=1,IF(Orders!R784&gt;7,1,0),"")</f>
        <v>0</v>
      </c>
      <c r="BE787" s="32" t="str">
        <f>IF(E787=1,IF(Orders!L784&lt;=1.5,"Up to 1.5 km",IF(Orders!L784&lt;=3,"1.5–3 km","Over 3 km")),"")</f>
        <v>Over 3 km</v>
      </c>
      <c r="BF787" s="33">
        <f>IF(E787=1,IF(ABS((Orders!G784-Orders!F784)*1440-Orders!R784)&lt;0.06,1,0),"")</f>
        <v>1</v>
      </c>
      <c r="BG787" s="33">
        <f>IF(ABS((Orders!F784-Orders!E784)*1440-Orders!P784)&lt;0.06,1,0)</f>
        <v>1</v>
      </c>
      <c r="BH787" s="33">
        <f>IF(E787=1,IF(IF(Orders!S784,1,0)=1-G787,1,0),"")</f>
        <v>1</v>
      </c>
      <c r="BI787" s="32" t="str">
        <f>INDEX(Stores!$B$2:$B$21,MATCH(B787,Stores!$A$2:$A$21,0))</f>
        <v>Pune</v>
      </c>
    </row>
    <row r="788">
      <c r="A788" s="32" t="str">
        <f>Orders!A785</f>
        <v>O00784</v>
      </c>
      <c r="B788" s="32" t="str">
        <f>Orders!C785</f>
        <v>S020</v>
      </c>
      <c r="C788" s="32" t="str">
        <f>Orders!B785</f>
        <v>C0122</v>
      </c>
      <c r="D788" s="32" t="str">
        <f>Orders!H785</f>
        <v>Delivered</v>
      </c>
      <c r="E788" s="33">
        <f>IF(Orders!H785="Delivered",1,0)</f>
        <v>1</v>
      </c>
      <c r="F788" s="34">
        <f>IF(E788=1,Orders!R785,"")</f>
        <v>-0.3</v>
      </c>
      <c r="G788" s="33">
        <f>IF(E788=1,IF(Orders!R785&gt;0,1,0),"")</f>
        <v>0</v>
      </c>
      <c r="H788" s="33">
        <f>IF(E788=1,IF(Orders!R785&gt;5,1,0),"")</f>
        <v>0</v>
      </c>
      <c r="I788" s="32" t="str">
        <f>IF(E788=1,"",IF(OR(Orders!T785="Rider unavailable",Orders!T785="Item unavailable"),"Company-caused","Unresolved"))</f>
        <v/>
      </c>
      <c r="J788" s="33">
        <f>IF(OR(E788=1,I788="Company-caused"),1,0)</f>
        <v>1</v>
      </c>
      <c r="K788" s="32" t="str">
        <f>IF(E788=0,IF(I788="Company-caused",IF(Orders!T785="Rider unavailable","C1 Rider unavailable","C2 Item unavailable"),"Outside root: unresolved"),IF(G788=0,"A On time",IF(H788=1,IF(L788=1,"B2a Severe, peak","B2b Severe, off-peak"),IF(L788=1,"B1a Slight, peak","B1b Slight, off-peak"))))</f>
        <v>A On time</v>
      </c>
      <c r="L788" s="33">
        <f>IF(AND(Orders!U785&gt;=19,Orders!U785&lt;22),1,0)</f>
        <v>0</v>
      </c>
      <c r="M788" s="33">
        <f>IF(L788=IF(Orders!V785,1,0),1,0)</f>
        <v>1</v>
      </c>
      <c r="N788" s="32" t="str">
        <f>IF(Orders!W785="","None",Orders!W785)</f>
        <v>None</v>
      </c>
      <c r="O788" s="35">
        <f>INT(Orders!E785)</f>
        <v>46273.0</v>
      </c>
      <c r="P788" s="33">
        <f>Orders!U785</f>
        <v>11</v>
      </c>
      <c r="Q788" s="33">
        <f>COUNTIFS(Demand!$A$2:$A$4481,B788,Demand!$B$2:$B$4481,O788,Demand!$C$2:$C$4481,P788)</f>
        <v>1</v>
      </c>
      <c r="R788" s="33">
        <f>IF(Q788=1,SUMIFS(Demand!$E$2:$E$4481,Demand!$A$2:$A$4481,B788,Demand!$B$2:$B$4481,O788,Demand!$C$2:$C$4481,P788),"")</f>
        <v>15</v>
      </c>
      <c r="S788" s="33">
        <f>INDEX(Stores!$G$2:$G$21,MATCH(B788,Stores!$A$2:$A$21,0))</f>
        <v>15</v>
      </c>
      <c r="T788" s="34">
        <f>IF(R788="","",R788/S788)</f>
        <v>1</v>
      </c>
      <c r="U788" s="34">
        <f>IF(E788=1,T788,"")</f>
        <v>1</v>
      </c>
      <c r="V788" s="34">
        <f>IF(AND(E788=1,L788=0),T788,"")</f>
        <v>1</v>
      </c>
      <c r="W788" s="33">
        <f>IF(U788="","",IF(U788&lt;=Breakdowns!$C$5,1,IF(U788&lt;=Breakdowns!$C$6,2,IF(U788&lt;=Breakdowns!$C$7,3,4))))</f>
        <v>2</v>
      </c>
      <c r="X788" s="33">
        <f>IF(V788="","",IF(V788&lt;=Breakdowns!$D$5,1,IF(V788&lt;=Breakdowns!$D$6,2,IF(V788&lt;=Breakdowns!$D$7,3,4))))</f>
        <v>3</v>
      </c>
      <c r="Y788" s="34">
        <f>INDEX(Stores!$F$2:$F$21,MATCH(B788,Stores!$A$2:$A$21,0))</f>
        <v>5.74</v>
      </c>
      <c r="Z788" s="33">
        <f>IF(Y788&gt;Store_Summary!$M$2,1,0)</f>
        <v>1</v>
      </c>
      <c r="AA788" s="33">
        <f>INDEX(Stores!$C$2:$C$21,MATCH(B788,Stores!$A$2:$A$21,0))</f>
        <v>647</v>
      </c>
      <c r="AB788" s="33">
        <f>IF(AA788&lt;180,1,0)</f>
        <v>0</v>
      </c>
      <c r="AC788" s="32" t="str">
        <f>IF(Orders!D785="","",INDEX(Riders!$C$2:$C$81,MATCH(Orders!D785,Riders!$A$2:$A$81,0)))</f>
        <v>EV scooter</v>
      </c>
      <c r="AD788" s="33">
        <f>IF(Orders!D785="","",INDEX(Riders!$D$2:$D$81,MATCH(Orders!D785,Riders!$A$2:$A$81,0)))</f>
        <v>33</v>
      </c>
      <c r="AE788" s="33">
        <f>IF(Orders!D785="","",IF(INDEX(Riders!$B$2:$B$81,MATCH(Orders!D785,Riders!$A$2:$A$81,0))=B788,1,0))</f>
        <v>0</v>
      </c>
      <c r="AF788" s="34">
        <f>IF(E788=1,Orders!L785,"")</f>
        <v>0.92</v>
      </c>
      <c r="AG788" s="34">
        <f>IF(E788=1,Orders!P785,"")</f>
        <v>11.3</v>
      </c>
      <c r="AH788" s="34">
        <f>IF(E788=1,Orders!Q785,"")</f>
        <v>11</v>
      </c>
      <c r="AI788" s="34">
        <f>IF(E788=1,Orders!M785,"")</f>
        <v>3.9</v>
      </c>
      <c r="AJ788" s="34">
        <f>IF(E788=1,Orders!N785,"")</f>
        <v>5</v>
      </c>
      <c r="AK788" s="34">
        <f>IF(E788=1,Orders!O785,"")</f>
        <v>2.1</v>
      </c>
      <c r="AL788" s="33">
        <f>IF(E788=1,IF(ROUND(ABS(AI788+AJ788+AK788-AH788),6)&lt;=0.1,1,0),"")</f>
        <v>1</v>
      </c>
      <c r="AM788" s="36">
        <f>IF(E788=1,AI788/AH788,"")</f>
        <v>0.354545454545455</v>
      </c>
      <c r="AN788" s="36">
        <f>IF(E788=1,AJ788/AH788,"")</f>
        <v>0.454545454545455</v>
      </c>
      <c r="AO788" s="36">
        <f>IF(E788=1,AK788/AH788,"")</f>
        <v>0.190909090909091</v>
      </c>
      <c r="AP788" s="34">
        <f>IF(E788=1,Orders!Y785,"")</f>
        <v>0.47</v>
      </c>
      <c r="AQ788" s="33">
        <f>IF(Orders!X785,1,0)</f>
        <v>0</v>
      </c>
      <c r="AR788" s="34" t="str">
        <f>IF(AND(E788=1,L788=1),AJ788,"")</f>
        <v/>
      </c>
      <c r="AS788" s="34">
        <f>IF(AND(E788=1,L788=0),AJ788,"")</f>
        <v>5</v>
      </c>
      <c r="AT788" s="34" t="str">
        <f>IF(AND(E788=1,L788=1),AI788,"")</f>
        <v/>
      </c>
      <c r="AU788" s="34">
        <f>IF(AND(E788=1,L788=0),AI788,"")</f>
        <v>3.9</v>
      </c>
      <c r="AV788" s="34" t="str">
        <f>IF(AND(E788=1,L788=1),AG788,"")</f>
        <v/>
      </c>
      <c r="AW788" s="34">
        <f>IF(AND(E788=1,L788=0),AG788,"")</f>
        <v>11.3</v>
      </c>
      <c r="AX788" s="34" t="str">
        <f>IF(AND(E788=1,L788=1),AH788,"")</f>
        <v/>
      </c>
      <c r="AY788" s="34">
        <f>IF(AND(E788=1,L788=0),AH788,"")</f>
        <v>11</v>
      </c>
      <c r="AZ788" s="34" t="str">
        <f>IF(G788=1,F788,"")</f>
        <v/>
      </c>
      <c r="BA788" s="34" t="str">
        <f>IF(AND(G788=1,L788=1),F788,"")</f>
        <v/>
      </c>
      <c r="BB788" s="34" t="str">
        <f>IF(AND(G788=1,L788=0),F788,"")</f>
        <v/>
      </c>
      <c r="BC788" s="33">
        <f>IF(E788=1,IF(Orders!R785&gt;3,1,0),"")</f>
        <v>0</v>
      </c>
      <c r="BD788" s="33">
        <f>IF(E788=1,IF(Orders!R785&gt;7,1,0),"")</f>
        <v>0</v>
      </c>
      <c r="BE788" s="32" t="str">
        <f>IF(E788=1,IF(Orders!L785&lt;=1.5,"Up to 1.5 km",IF(Orders!L785&lt;=3,"1.5–3 km","Over 3 km")),"")</f>
        <v>Up to 1.5 km</v>
      </c>
      <c r="BF788" s="33">
        <f>IF(E788=1,IF(ABS((Orders!G785-Orders!F785)*1440-Orders!R785)&lt;0.06,1,0),"")</f>
        <v>1</v>
      </c>
      <c r="BG788" s="33">
        <f>IF(ABS((Orders!F785-Orders!E785)*1440-Orders!P785)&lt;0.06,1,0)</f>
        <v>1</v>
      </c>
      <c r="BH788" s="33">
        <f>IF(E788=1,IF(IF(Orders!S785,1,0)=1-G788,1,0),"")</f>
        <v>1</v>
      </c>
      <c r="BI788" s="32" t="str">
        <f>INDEX(Stores!$B$2:$B$21,MATCH(B788,Stores!$A$2:$A$21,0))</f>
        <v>Delhi</v>
      </c>
    </row>
    <row r="789">
      <c r="A789" s="32" t="str">
        <f>Orders!A786</f>
        <v>O00785</v>
      </c>
      <c r="B789" s="32" t="str">
        <f>Orders!C786</f>
        <v>S011</v>
      </c>
      <c r="C789" s="32" t="str">
        <f>Orders!B786</f>
        <v>C0041</v>
      </c>
      <c r="D789" s="32" t="str">
        <f>Orders!H786</f>
        <v>Delivered</v>
      </c>
      <c r="E789" s="33">
        <f>IF(Orders!H786="Delivered",1,0)</f>
        <v>1</v>
      </c>
      <c r="F789" s="34">
        <f>IF(E789=1,Orders!R786,"")</f>
        <v>4.8</v>
      </c>
      <c r="G789" s="33">
        <f>IF(E789=1,IF(Orders!R786&gt;0,1,0),"")</f>
        <v>1</v>
      </c>
      <c r="H789" s="33">
        <f>IF(E789=1,IF(Orders!R786&gt;5,1,0),"")</f>
        <v>0</v>
      </c>
      <c r="I789" s="32" t="str">
        <f>IF(E789=1,"",IF(OR(Orders!T786="Rider unavailable",Orders!T786="Item unavailable"),"Company-caused","Unresolved"))</f>
        <v/>
      </c>
      <c r="J789" s="33">
        <f>IF(OR(E789=1,I789="Company-caused"),1,0)</f>
        <v>1</v>
      </c>
      <c r="K789" s="32" t="str">
        <f>IF(E789=0,IF(I789="Company-caused",IF(Orders!T786="Rider unavailable","C1 Rider unavailable","C2 Item unavailable"),"Outside root: unresolved"),IF(G789=0,"A On time",IF(H789=1,IF(L789=1,"B2a Severe, peak","B2b Severe, off-peak"),IF(L789=1,"B1a Slight, peak","B1b Slight, off-peak"))))</f>
        <v>B1b Slight, off-peak</v>
      </c>
      <c r="L789" s="33">
        <f>IF(AND(Orders!U786&gt;=19,Orders!U786&lt;22),1,0)</f>
        <v>0</v>
      </c>
      <c r="M789" s="33">
        <f>IF(L789=IF(Orders!V786,1,0),1,0)</f>
        <v>1</v>
      </c>
      <c r="N789" s="32" t="str">
        <f>IF(Orders!W786="","None",Orders!W786)</f>
        <v>None</v>
      </c>
      <c r="O789" s="35">
        <f>INT(Orders!E786)</f>
        <v>46270.0</v>
      </c>
      <c r="P789" s="33">
        <f>Orders!U786</f>
        <v>11</v>
      </c>
      <c r="Q789" s="33">
        <f>COUNTIFS(Demand!$A$2:$A$4481,B789,Demand!$B$2:$B$4481,O789,Demand!$C$2:$C$4481,P789)</f>
        <v>1</v>
      </c>
      <c r="R789" s="33">
        <f>IF(Q789=1,SUMIFS(Demand!$E$2:$E$4481,Demand!$A$2:$A$4481,B789,Demand!$B$2:$B$4481,O789,Demand!$C$2:$C$4481,P789),"")</f>
        <v>33</v>
      </c>
      <c r="S789" s="33">
        <f>INDEX(Stores!$G$2:$G$21,MATCH(B789,Stores!$A$2:$A$21,0))</f>
        <v>31</v>
      </c>
      <c r="T789" s="34">
        <f>IF(R789="","",R789/S789)</f>
        <v>1.06451612903226</v>
      </c>
      <c r="U789" s="34">
        <f>IF(E789=1,T789,"")</f>
        <v>1.06451612903226</v>
      </c>
      <c r="V789" s="34">
        <f>IF(AND(E789=1,L789=0),T789,"")</f>
        <v>1.06451612903226</v>
      </c>
      <c r="W789" s="33">
        <f>IF(U789="","",IF(U789&lt;=Breakdowns!$C$5,1,IF(U789&lt;=Breakdowns!$C$6,2,IF(U789&lt;=Breakdowns!$C$7,3,4))))</f>
        <v>3</v>
      </c>
      <c r="X789" s="33">
        <f>IF(V789="","",IF(V789&lt;=Breakdowns!$D$5,1,IF(V789&lt;=Breakdowns!$D$6,2,IF(V789&lt;=Breakdowns!$D$7,3,4))))</f>
        <v>3</v>
      </c>
      <c r="Y789" s="34">
        <f>INDEX(Stores!$F$2:$F$21,MATCH(B789,Stores!$A$2:$A$21,0))</f>
        <v>5.67</v>
      </c>
      <c r="Z789" s="33">
        <f>IF(Y789&gt;Store_Summary!$M$2,1,0)</f>
        <v>1</v>
      </c>
      <c r="AA789" s="33">
        <f>INDEX(Stores!$C$2:$C$21,MATCH(B789,Stores!$A$2:$A$21,0))</f>
        <v>732</v>
      </c>
      <c r="AB789" s="33">
        <f>IF(AA789&lt;180,1,0)</f>
        <v>0</v>
      </c>
      <c r="AC789" s="32" t="str">
        <f>IF(Orders!D786="","",INDEX(Riders!$C$2:$C$81,MATCH(Orders!D786,Riders!$A$2:$A$81,0)))</f>
        <v>EV scooter</v>
      </c>
      <c r="AD789" s="33">
        <f>IF(Orders!D786="","",INDEX(Riders!$D$2:$D$81,MATCH(Orders!D786,Riders!$A$2:$A$81,0)))</f>
        <v>4</v>
      </c>
      <c r="AE789" s="33">
        <f>IF(Orders!D786="","",IF(INDEX(Riders!$B$2:$B$81,MATCH(Orders!D786,Riders!$A$2:$A$81,0))=B789,1,0))</f>
        <v>0</v>
      </c>
      <c r="AF789" s="34">
        <f>IF(E789=1,Orders!L786,"")</f>
        <v>2.66</v>
      </c>
      <c r="AG789" s="34">
        <f>IF(E789=1,Orders!P786,"")</f>
        <v>9.8</v>
      </c>
      <c r="AH789" s="34">
        <f>IF(E789=1,Orders!Q786,"")</f>
        <v>14.6</v>
      </c>
      <c r="AI789" s="34">
        <f>IF(E789=1,Orders!M786,"")</f>
        <v>5.7</v>
      </c>
      <c r="AJ789" s="34">
        <f>IF(E789=1,Orders!N786,"")</f>
        <v>2.6</v>
      </c>
      <c r="AK789" s="34">
        <f>IF(E789=1,Orders!O786,"")</f>
        <v>6.4</v>
      </c>
      <c r="AL789" s="33">
        <f>IF(E789=1,IF(ROUND(ABS(AI789+AJ789+AK789-AH789),6)&lt;=0.1,1,0),"")</f>
        <v>1</v>
      </c>
      <c r="AM789" s="36">
        <f>IF(E789=1,AI789/AH789,"")</f>
        <v>0.39041095890411</v>
      </c>
      <c r="AN789" s="36">
        <f>IF(E789=1,AJ789/AH789,"")</f>
        <v>0.178082191780822</v>
      </c>
      <c r="AO789" s="36">
        <f>IF(E789=1,AK789/AH789,"")</f>
        <v>0.438356164383562</v>
      </c>
      <c r="AP789" s="34">
        <f>IF(E789=1,Orders!Y786,"")</f>
        <v>0.5</v>
      </c>
      <c r="AQ789" s="33">
        <f>IF(Orders!X786,1,0)</f>
        <v>0</v>
      </c>
      <c r="AR789" s="34" t="str">
        <f>IF(AND(E789=1,L789=1),AJ789,"")</f>
        <v/>
      </c>
      <c r="AS789" s="34">
        <f>IF(AND(E789=1,L789=0),AJ789,"")</f>
        <v>2.6</v>
      </c>
      <c r="AT789" s="34" t="str">
        <f>IF(AND(E789=1,L789=1),AI789,"")</f>
        <v/>
      </c>
      <c r="AU789" s="34">
        <f>IF(AND(E789=1,L789=0),AI789,"")</f>
        <v>5.7</v>
      </c>
      <c r="AV789" s="34" t="str">
        <f>IF(AND(E789=1,L789=1),AG789,"")</f>
        <v/>
      </c>
      <c r="AW789" s="34">
        <f>IF(AND(E789=1,L789=0),AG789,"")</f>
        <v>9.8</v>
      </c>
      <c r="AX789" s="34" t="str">
        <f>IF(AND(E789=1,L789=1),AH789,"")</f>
        <v/>
      </c>
      <c r="AY789" s="34">
        <f>IF(AND(E789=1,L789=0),AH789,"")</f>
        <v>14.6</v>
      </c>
      <c r="AZ789" s="34">
        <f>IF(G789=1,F789,"")</f>
        <v>4.8</v>
      </c>
      <c r="BA789" s="34" t="str">
        <f>IF(AND(G789=1,L789=1),F789,"")</f>
        <v/>
      </c>
      <c r="BB789" s="34">
        <f>IF(AND(G789=1,L789=0),F789,"")</f>
        <v>4.8</v>
      </c>
      <c r="BC789" s="33">
        <f>IF(E789=1,IF(Orders!R786&gt;3,1,0),"")</f>
        <v>1</v>
      </c>
      <c r="BD789" s="33">
        <f>IF(E789=1,IF(Orders!R786&gt;7,1,0),"")</f>
        <v>0</v>
      </c>
      <c r="BE789" s="32" t="str">
        <f>IF(E789=1,IF(Orders!L786&lt;=1.5,"Up to 1.5 km",IF(Orders!L786&lt;=3,"1.5–3 km","Over 3 km")),"")</f>
        <v>1.5–3 km</v>
      </c>
      <c r="BF789" s="33">
        <f>IF(E789=1,IF(ABS((Orders!G786-Orders!F786)*1440-Orders!R786)&lt;0.06,1,0),"")</f>
        <v>1</v>
      </c>
      <c r="BG789" s="33">
        <f>IF(ABS((Orders!F786-Orders!E786)*1440-Orders!P786)&lt;0.06,1,0)</f>
        <v>1</v>
      </c>
      <c r="BH789" s="33">
        <f>IF(E789=1,IF(IF(Orders!S786,1,0)=1-G789,1,0),"")</f>
        <v>1</v>
      </c>
      <c r="BI789" s="32" t="str">
        <f>INDEX(Stores!$B$2:$B$21,MATCH(B789,Stores!$A$2:$A$21,0))</f>
        <v>Bengaluru</v>
      </c>
    </row>
    <row r="790">
      <c r="A790" s="32" t="str">
        <f>Orders!A787</f>
        <v>O00786</v>
      </c>
      <c r="B790" s="32" t="str">
        <f>Orders!C787</f>
        <v>S019</v>
      </c>
      <c r="C790" s="32" t="str">
        <f>Orders!B787</f>
        <v>C0191</v>
      </c>
      <c r="D790" s="32" t="str">
        <f>Orders!H787</f>
        <v>Delivered</v>
      </c>
      <c r="E790" s="33">
        <f>IF(Orders!H787="Delivered",1,0)</f>
        <v>1</v>
      </c>
      <c r="F790" s="34">
        <f>IF(E790=1,Orders!R787,"")</f>
        <v>-0.6</v>
      </c>
      <c r="G790" s="33">
        <f>IF(E790=1,IF(Orders!R787&gt;0,1,0),"")</f>
        <v>0</v>
      </c>
      <c r="H790" s="33">
        <f>IF(E790=1,IF(Orders!R787&gt;5,1,0),"")</f>
        <v>0</v>
      </c>
      <c r="I790" s="32" t="str">
        <f>IF(E790=1,"",IF(OR(Orders!T787="Rider unavailable",Orders!T787="Item unavailable"),"Company-caused","Unresolved"))</f>
        <v/>
      </c>
      <c r="J790" s="33">
        <f>IF(OR(E790=1,I790="Company-caused"),1,0)</f>
        <v>1</v>
      </c>
      <c r="K790" s="32" t="str">
        <f>IF(E790=0,IF(I790="Company-caused",IF(Orders!T787="Rider unavailable","C1 Rider unavailable","C2 Item unavailable"),"Outside root: unresolved"),IF(G790=0,"A On time",IF(H790=1,IF(L790=1,"B2a Severe, peak","B2b Severe, off-peak"),IF(L790=1,"B1a Slight, peak","B1b Slight, off-peak"))))</f>
        <v>A On time</v>
      </c>
      <c r="L790" s="33">
        <f>IF(AND(Orders!U787&gt;=19,Orders!U787&lt;22),1,0)</f>
        <v>0</v>
      </c>
      <c r="M790" s="33">
        <f>IF(L790=IF(Orders!V787,1,0),1,0)</f>
        <v>1</v>
      </c>
      <c r="N790" s="32" t="str">
        <f>IF(Orders!W787="","None",Orders!W787)</f>
        <v>None</v>
      </c>
      <c r="O790" s="35">
        <f>INT(Orders!E787)</f>
        <v>46267.0</v>
      </c>
      <c r="P790" s="33">
        <f>Orders!U787</f>
        <v>16</v>
      </c>
      <c r="Q790" s="33">
        <f>COUNTIFS(Demand!$A$2:$A$4481,B790,Demand!$B$2:$B$4481,O790,Demand!$C$2:$C$4481,P790)</f>
        <v>1</v>
      </c>
      <c r="R790" s="33">
        <f>IF(Q790=1,SUMIFS(Demand!$E$2:$E$4481,Demand!$A$2:$A$4481,B790,Demand!$B$2:$B$4481,O790,Demand!$C$2:$C$4481,P790),"")</f>
        <v>19</v>
      </c>
      <c r="S790" s="33">
        <f>INDEX(Stores!$G$2:$G$21,MATCH(B790,Stores!$A$2:$A$21,0))</f>
        <v>22</v>
      </c>
      <c r="T790" s="34">
        <f>IF(R790="","",R790/S790)</f>
        <v>0.863636363636364</v>
      </c>
      <c r="U790" s="34">
        <f>IF(E790=1,T790,"")</f>
        <v>0.863636363636364</v>
      </c>
      <c r="V790" s="34">
        <f>IF(AND(E790=1,L790=0),T790,"")</f>
        <v>0.863636363636364</v>
      </c>
      <c r="W790" s="33">
        <f>IF(U790="","",IF(U790&lt;=Breakdowns!$C$5,1,IF(U790&lt;=Breakdowns!$C$6,2,IF(U790&lt;=Breakdowns!$C$7,3,4))))</f>
        <v>2</v>
      </c>
      <c r="X790" s="33">
        <f>IF(V790="","",IF(V790&lt;=Breakdowns!$D$5,1,IF(V790&lt;=Breakdowns!$D$6,2,IF(V790&lt;=Breakdowns!$D$7,3,4))))</f>
        <v>2</v>
      </c>
      <c r="Y790" s="34">
        <f>INDEX(Stores!$F$2:$F$21,MATCH(B790,Stores!$A$2:$A$21,0))</f>
        <v>4.99</v>
      </c>
      <c r="Z790" s="33">
        <f>IF(Y790&gt;Store_Summary!$M$2,1,0)</f>
        <v>1</v>
      </c>
      <c r="AA790" s="33">
        <f>INDEX(Stores!$C$2:$C$21,MATCH(B790,Stores!$A$2:$A$21,0))</f>
        <v>851</v>
      </c>
      <c r="AB790" s="33">
        <f>IF(AA790&lt;180,1,0)</f>
        <v>0</v>
      </c>
      <c r="AC790" s="32" t="str">
        <f>IF(Orders!D787="","",INDEX(Riders!$C$2:$C$81,MATCH(Orders!D787,Riders!$A$2:$A$81,0)))</f>
        <v>Bicycle</v>
      </c>
      <c r="AD790" s="33">
        <f>IF(Orders!D787="","",INDEX(Riders!$D$2:$D$81,MATCH(Orders!D787,Riders!$A$2:$A$81,0)))</f>
        <v>8</v>
      </c>
      <c r="AE790" s="33">
        <f>IF(Orders!D787="","",IF(INDEX(Riders!$B$2:$B$81,MATCH(Orders!D787,Riders!$A$2:$A$81,0))=B790,1,0))</f>
        <v>0</v>
      </c>
      <c r="AF790" s="34">
        <f>IF(E790=1,Orders!L787,"")</f>
        <v>2.4</v>
      </c>
      <c r="AG790" s="34">
        <f>IF(E790=1,Orders!P787,"")</f>
        <v>11.8</v>
      </c>
      <c r="AH790" s="34">
        <f>IF(E790=1,Orders!Q787,"")</f>
        <v>11.2</v>
      </c>
      <c r="AI790" s="34">
        <f>IF(E790=1,Orders!M787,"")</f>
        <v>3.6</v>
      </c>
      <c r="AJ790" s="34">
        <f>IF(E790=1,Orders!N787,"")</f>
        <v>3.7</v>
      </c>
      <c r="AK790" s="34">
        <f>IF(E790=1,Orders!O787,"")</f>
        <v>3.9</v>
      </c>
      <c r="AL790" s="33">
        <f>IF(E790=1,IF(ROUND(ABS(AI790+AJ790+AK790-AH790),6)&lt;=0.1,1,0),"")</f>
        <v>1</v>
      </c>
      <c r="AM790" s="36">
        <f>IF(E790=1,AI790/AH790,"")</f>
        <v>0.321428571428571</v>
      </c>
      <c r="AN790" s="36">
        <f>IF(E790=1,AJ790/AH790,"")</f>
        <v>0.330357142857143</v>
      </c>
      <c r="AO790" s="36">
        <f>IF(E790=1,AK790/AH790,"")</f>
        <v>0.348214285714286</v>
      </c>
      <c r="AP790" s="34">
        <f>IF(E790=1,Orders!Y787,"")</f>
        <v>0.17</v>
      </c>
      <c r="AQ790" s="33">
        <f>IF(Orders!X787,1,0)</f>
        <v>0</v>
      </c>
      <c r="AR790" s="34" t="str">
        <f>IF(AND(E790=1,L790=1),AJ790,"")</f>
        <v/>
      </c>
      <c r="AS790" s="34">
        <f>IF(AND(E790=1,L790=0),AJ790,"")</f>
        <v>3.7</v>
      </c>
      <c r="AT790" s="34" t="str">
        <f>IF(AND(E790=1,L790=1),AI790,"")</f>
        <v/>
      </c>
      <c r="AU790" s="34">
        <f>IF(AND(E790=1,L790=0),AI790,"")</f>
        <v>3.6</v>
      </c>
      <c r="AV790" s="34" t="str">
        <f>IF(AND(E790=1,L790=1),AG790,"")</f>
        <v/>
      </c>
      <c r="AW790" s="34">
        <f>IF(AND(E790=1,L790=0),AG790,"")</f>
        <v>11.8</v>
      </c>
      <c r="AX790" s="34" t="str">
        <f>IF(AND(E790=1,L790=1),AH790,"")</f>
        <v/>
      </c>
      <c r="AY790" s="34">
        <f>IF(AND(E790=1,L790=0),AH790,"")</f>
        <v>11.2</v>
      </c>
      <c r="AZ790" s="34" t="str">
        <f>IF(G790=1,F790,"")</f>
        <v/>
      </c>
      <c r="BA790" s="34" t="str">
        <f>IF(AND(G790=1,L790=1),F790,"")</f>
        <v/>
      </c>
      <c r="BB790" s="34" t="str">
        <f>IF(AND(G790=1,L790=0),F790,"")</f>
        <v/>
      </c>
      <c r="BC790" s="33">
        <f>IF(E790=1,IF(Orders!R787&gt;3,1,0),"")</f>
        <v>0</v>
      </c>
      <c r="BD790" s="33">
        <f>IF(E790=1,IF(Orders!R787&gt;7,1,0),"")</f>
        <v>0</v>
      </c>
      <c r="BE790" s="32" t="str">
        <f>IF(E790=1,IF(Orders!L787&lt;=1.5,"Up to 1.5 km",IF(Orders!L787&lt;=3,"1.5–3 km","Over 3 km")),"")</f>
        <v>1.5–3 km</v>
      </c>
      <c r="BF790" s="33">
        <f>IF(E790=1,IF(ABS((Orders!G787-Orders!F787)*1440-Orders!R787)&lt;0.06,1,0),"")</f>
        <v>1</v>
      </c>
      <c r="BG790" s="33">
        <f>IF(ABS((Orders!F787-Orders!E787)*1440-Orders!P787)&lt;0.06,1,0)</f>
        <v>1</v>
      </c>
      <c r="BH790" s="33">
        <f>IF(E790=1,IF(IF(Orders!S787,1,0)=1-G790,1,0),"")</f>
        <v>1</v>
      </c>
      <c r="BI790" s="32" t="str">
        <f>INDEX(Stores!$B$2:$B$21,MATCH(B790,Stores!$A$2:$A$21,0))</f>
        <v>Pune</v>
      </c>
    </row>
    <row r="791">
      <c r="A791" s="32" t="str">
        <f>Orders!A788</f>
        <v>O00787</v>
      </c>
      <c r="B791" s="32" t="str">
        <f>Orders!C788</f>
        <v>S019</v>
      </c>
      <c r="C791" s="32" t="str">
        <f>Orders!B788</f>
        <v>C0025</v>
      </c>
      <c r="D791" s="32" t="str">
        <f>Orders!H788</f>
        <v>Delivered</v>
      </c>
      <c r="E791" s="33">
        <f>IF(Orders!H788="Delivered",1,0)</f>
        <v>1</v>
      </c>
      <c r="F791" s="34">
        <f>IF(E791=1,Orders!R788,"")</f>
        <v>-0.7</v>
      </c>
      <c r="G791" s="33">
        <f>IF(E791=1,IF(Orders!R788&gt;0,1,0),"")</f>
        <v>0</v>
      </c>
      <c r="H791" s="33">
        <f>IF(E791=1,IF(Orders!R788&gt;5,1,0),"")</f>
        <v>0</v>
      </c>
      <c r="I791" s="32" t="str">
        <f>IF(E791=1,"",IF(OR(Orders!T788="Rider unavailable",Orders!T788="Item unavailable"),"Company-caused","Unresolved"))</f>
        <v/>
      </c>
      <c r="J791" s="33">
        <f>IF(OR(E791=1,I791="Company-caused"),1,0)</f>
        <v>1</v>
      </c>
      <c r="K791" s="32" t="str">
        <f>IF(E791=0,IF(I791="Company-caused",IF(Orders!T788="Rider unavailable","C1 Rider unavailable","C2 Item unavailable"),"Outside root: unresolved"),IF(G791=0,"A On time",IF(H791=1,IF(L791=1,"B2a Severe, peak","B2b Severe, off-peak"),IF(L791=1,"B1a Slight, peak","B1b Slight, off-peak"))))</f>
        <v>A On time</v>
      </c>
      <c r="L791" s="33">
        <f>IF(AND(Orders!U788&gt;=19,Orders!U788&lt;22),1,0)</f>
        <v>0</v>
      </c>
      <c r="M791" s="33">
        <f>IF(L791=IF(Orders!V788,1,0),1,0)</f>
        <v>1</v>
      </c>
      <c r="N791" s="32" t="str">
        <f>IF(Orders!W788="","None",Orders!W788)</f>
        <v>None</v>
      </c>
      <c r="O791" s="35">
        <f>INT(Orders!E788)</f>
        <v>46271.0</v>
      </c>
      <c r="P791" s="33">
        <f>Orders!U788</f>
        <v>17</v>
      </c>
      <c r="Q791" s="33">
        <f>COUNTIFS(Demand!$A$2:$A$4481,B791,Demand!$B$2:$B$4481,O791,Demand!$C$2:$C$4481,P791)</f>
        <v>1</v>
      </c>
      <c r="R791" s="33">
        <f>IF(Q791=1,SUMIFS(Demand!$E$2:$E$4481,Demand!$A$2:$A$4481,B791,Demand!$B$2:$B$4481,O791,Demand!$C$2:$C$4481,P791),"")</f>
        <v>23</v>
      </c>
      <c r="S791" s="33">
        <f>INDEX(Stores!$G$2:$G$21,MATCH(B791,Stores!$A$2:$A$21,0))</f>
        <v>22</v>
      </c>
      <c r="T791" s="34">
        <f>IF(R791="","",R791/S791)</f>
        <v>1.04545454545455</v>
      </c>
      <c r="U791" s="34">
        <f>IF(E791=1,T791,"")</f>
        <v>1.04545454545455</v>
      </c>
      <c r="V791" s="34">
        <f>IF(AND(E791=1,L791=0),T791,"")</f>
        <v>1.04545454545455</v>
      </c>
      <c r="W791" s="33">
        <f>IF(U791="","",IF(U791&lt;=Breakdowns!$C$5,1,IF(U791&lt;=Breakdowns!$C$6,2,IF(U791&lt;=Breakdowns!$C$7,3,4))))</f>
        <v>3</v>
      </c>
      <c r="X791" s="33">
        <f>IF(V791="","",IF(V791&lt;=Breakdowns!$D$5,1,IF(V791&lt;=Breakdowns!$D$6,2,IF(V791&lt;=Breakdowns!$D$7,3,4))))</f>
        <v>3</v>
      </c>
      <c r="Y791" s="34">
        <f>INDEX(Stores!$F$2:$F$21,MATCH(B791,Stores!$A$2:$A$21,0))</f>
        <v>4.99</v>
      </c>
      <c r="Z791" s="33">
        <f>IF(Y791&gt;Store_Summary!$M$2,1,0)</f>
        <v>1</v>
      </c>
      <c r="AA791" s="33">
        <f>INDEX(Stores!$C$2:$C$21,MATCH(B791,Stores!$A$2:$A$21,0))</f>
        <v>851</v>
      </c>
      <c r="AB791" s="33">
        <f>IF(AA791&lt;180,1,0)</f>
        <v>0</v>
      </c>
      <c r="AC791" s="32" t="str">
        <f>IF(Orders!D788="","",INDEX(Riders!$C$2:$C$81,MATCH(Orders!D788,Riders!$A$2:$A$81,0)))</f>
        <v>EV scooter</v>
      </c>
      <c r="AD791" s="33">
        <f>IF(Orders!D788="","",INDEX(Riders!$D$2:$D$81,MATCH(Orders!D788,Riders!$A$2:$A$81,0)))</f>
        <v>1</v>
      </c>
      <c r="AE791" s="33">
        <f>IF(Orders!D788="","",IF(INDEX(Riders!$B$2:$B$81,MATCH(Orders!D788,Riders!$A$2:$A$81,0))=B791,1,0))</f>
        <v>0</v>
      </c>
      <c r="AF791" s="34">
        <f>IF(E791=1,Orders!L788,"")</f>
        <v>2.13</v>
      </c>
      <c r="AG791" s="34">
        <f>IF(E791=1,Orders!P788,"")</f>
        <v>11.5</v>
      </c>
      <c r="AH791" s="34">
        <f>IF(E791=1,Orders!Q788,"")</f>
        <v>10.8</v>
      </c>
      <c r="AI791" s="34">
        <f>IF(E791=1,Orders!M788,"")</f>
        <v>3.3</v>
      </c>
      <c r="AJ791" s="34">
        <f>IF(E791=1,Orders!N788,"")</f>
        <v>1.9</v>
      </c>
      <c r="AK791" s="34">
        <f>IF(E791=1,Orders!O788,"")</f>
        <v>5.6</v>
      </c>
      <c r="AL791" s="33">
        <f>IF(E791=1,IF(ROUND(ABS(AI791+AJ791+AK791-AH791),6)&lt;=0.1,1,0),"")</f>
        <v>1</v>
      </c>
      <c r="AM791" s="36">
        <f>IF(E791=1,AI791/AH791,"")</f>
        <v>0.305555555555556</v>
      </c>
      <c r="AN791" s="36">
        <f>IF(E791=1,AJ791/AH791,"")</f>
        <v>0.175925925925926</v>
      </c>
      <c r="AO791" s="36">
        <f>IF(E791=1,AK791/AH791,"")</f>
        <v>0.518518518518519</v>
      </c>
      <c r="AP791" s="34">
        <f>IF(E791=1,Orders!Y788,"")</f>
        <v>0.56</v>
      </c>
      <c r="AQ791" s="33">
        <f>IF(Orders!X788,1,0)</f>
        <v>0</v>
      </c>
      <c r="AR791" s="34" t="str">
        <f>IF(AND(E791=1,L791=1),AJ791,"")</f>
        <v/>
      </c>
      <c r="AS791" s="34">
        <f>IF(AND(E791=1,L791=0),AJ791,"")</f>
        <v>1.9</v>
      </c>
      <c r="AT791" s="34" t="str">
        <f>IF(AND(E791=1,L791=1),AI791,"")</f>
        <v/>
      </c>
      <c r="AU791" s="34">
        <f>IF(AND(E791=1,L791=0),AI791,"")</f>
        <v>3.3</v>
      </c>
      <c r="AV791" s="34" t="str">
        <f>IF(AND(E791=1,L791=1),AG791,"")</f>
        <v/>
      </c>
      <c r="AW791" s="34">
        <f>IF(AND(E791=1,L791=0),AG791,"")</f>
        <v>11.5</v>
      </c>
      <c r="AX791" s="34" t="str">
        <f>IF(AND(E791=1,L791=1),AH791,"")</f>
        <v/>
      </c>
      <c r="AY791" s="34">
        <f>IF(AND(E791=1,L791=0),AH791,"")</f>
        <v>10.8</v>
      </c>
      <c r="AZ791" s="34" t="str">
        <f>IF(G791=1,F791,"")</f>
        <v/>
      </c>
      <c r="BA791" s="34" t="str">
        <f>IF(AND(G791=1,L791=1),F791,"")</f>
        <v/>
      </c>
      <c r="BB791" s="34" t="str">
        <f>IF(AND(G791=1,L791=0),F791,"")</f>
        <v/>
      </c>
      <c r="BC791" s="33">
        <f>IF(E791=1,IF(Orders!R788&gt;3,1,0),"")</f>
        <v>0</v>
      </c>
      <c r="BD791" s="33">
        <f>IF(E791=1,IF(Orders!R788&gt;7,1,0),"")</f>
        <v>0</v>
      </c>
      <c r="BE791" s="32" t="str">
        <f>IF(E791=1,IF(Orders!L788&lt;=1.5,"Up to 1.5 km",IF(Orders!L788&lt;=3,"1.5–3 km","Over 3 km")),"")</f>
        <v>1.5–3 km</v>
      </c>
      <c r="BF791" s="33">
        <f>IF(E791=1,IF(ABS((Orders!G788-Orders!F788)*1440-Orders!R788)&lt;0.06,1,0),"")</f>
        <v>1</v>
      </c>
      <c r="BG791" s="33">
        <f>IF(ABS((Orders!F788-Orders!E788)*1440-Orders!P788)&lt;0.06,1,0)</f>
        <v>1</v>
      </c>
      <c r="BH791" s="33">
        <f>IF(E791=1,IF(IF(Orders!S788,1,0)=1-G791,1,0),"")</f>
        <v>1</v>
      </c>
      <c r="BI791" s="32" t="str">
        <f>INDEX(Stores!$B$2:$B$21,MATCH(B791,Stores!$A$2:$A$21,0))</f>
        <v>Pune</v>
      </c>
    </row>
    <row r="792">
      <c r="A792" s="32" t="str">
        <f>Orders!A789</f>
        <v>O00788</v>
      </c>
      <c r="B792" s="32" t="str">
        <f>Orders!C789</f>
        <v>S006</v>
      </c>
      <c r="C792" s="32" t="str">
        <f>Orders!B789</f>
        <v>C0186</v>
      </c>
      <c r="D792" s="32" t="str">
        <f>Orders!H789</f>
        <v>Delivered</v>
      </c>
      <c r="E792" s="33">
        <f>IF(Orders!H789="Delivered",1,0)</f>
        <v>1</v>
      </c>
      <c r="F792" s="34">
        <f>IF(E792=1,Orders!R789,"")</f>
        <v>-0.9</v>
      </c>
      <c r="G792" s="33">
        <f>IF(E792=1,IF(Orders!R789&gt;0,1,0),"")</f>
        <v>0</v>
      </c>
      <c r="H792" s="33">
        <f>IF(E792=1,IF(Orders!R789&gt;5,1,0),"")</f>
        <v>0</v>
      </c>
      <c r="I792" s="32" t="str">
        <f>IF(E792=1,"",IF(OR(Orders!T789="Rider unavailable",Orders!T789="Item unavailable"),"Company-caused","Unresolved"))</f>
        <v/>
      </c>
      <c r="J792" s="33">
        <f>IF(OR(E792=1,I792="Company-caused"),1,0)</f>
        <v>1</v>
      </c>
      <c r="K792" s="32" t="str">
        <f>IF(E792=0,IF(I792="Company-caused",IF(Orders!T789="Rider unavailable","C1 Rider unavailable","C2 Item unavailable"),"Outside root: unresolved"),IF(G792=0,"A On time",IF(H792=1,IF(L792=1,"B2a Severe, peak","B2b Severe, off-peak"),IF(L792=1,"B1a Slight, peak","B1b Slight, off-peak"))))</f>
        <v>A On time</v>
      </c>
      <c r="L792" s="33">
        <f>IF(AND(Orders!U789&gt;=19,Orders!U789&lt;22),1,0)</f>
        <v>0</v>
      </c>
      <c r="M792" s="33">
        <f>IF(L792=IF(Orders!V789,1,0),1,0)</f>
        <v>1</v>
      </c>
      <c r="N792" s="32" t="str">
        <f>IF(Orders!W789="","None",Orders!W789)</f>
        <v>Heavy</v>
      </c>
      <c r="O792" s="35">
        <f>INT(Orders!E789)</f>
        <v>46273.0</v>
      </c>
      <c r="P792" s="33">
        <f>Orders!U789</f>
        <v>13</v>
      </c>
      <c r="Q792" s="33">
        <f>COUNTIFS(Demand!$A$2:$A$4481,B792,Demand!$B$2:$B$4481,O792,Demand!$C$2:$C$4481,P792)</f>
        <v>1</v>
      </c>
      <c r="R792" s="33">
        <f>IF(Q792=1,SUMIFS(Demand!$E$2:$E$4481,Demand!$A$2:$A$4481,B792,Demand!$B$2:$B$4481,O792,Demand!$C$2:$C$4481,P792),"")</f>
        <v>29</v>
      </c>
      <c r="S792" s="33">
        <f>INDEX(Stores!$G$2:$G$21,MATCH(B792,Stores!$A$2:$A$21,0))</f>
        <v>26</v>
      </c>
      <c r="T792" s="34">
        <f>IF(R792="","",R792/S792)</f>
        <v>1.11538461538462</v>
      </c>
      <c r="U792" s="34">
        <f>IF(E792=1,T792,"")</f>
        <v>1.11538461538462</v>
      </c>
      <c r="V792" s="34">
        <f>IF(AND(E792=1,L792=0),T792,"")</f>
        <v>1.11538461538462</v>
      </c>
      <c r="W792" s="33">
        <f>IF(U792="","",IF(U792&lt;=Breakdowns!$C$5,1,IF(U792&lt;=Breakdowns!$C$6,2,IF(U792&lt;=Breakdowns!$C$7,3,4))))</f>
        <v>3</v>
      </c>
      <c r="X792" s="33">
        <f>IF(V792="","",IF(V792&lt;=Breakdowns!$D$5,1,IF(V792&lt;=Breakdowns!$D$6,2,IF(V792&lt;=Breakdowns!$D$7,3,4))))</f>
        <v>4</v>
      </c>
      <c r="Y792" s="34">
        <f>INDEX(Stores!$F$2:$F$21,MATCH(B792,Stores!$A$2:$A$21,0))</f>
        <v>5.22</v>
      </c>
      <c r="Z792" s="33">
        <f>IF(Y792&gt;Store_Summary!$M$2,1,0)</f>
        <v>1</v>
      </c>
      <c r="AA792" s="33">
        <f>INDEX(Stores!$C$2:$C$21,MATCH(B792,Stores!$A$2:$A$21,0))</f>
        <v>412</v>
      </c>
      <c r="AB792" s="33">
        <f>IF(AA792&lt;180,1,0)</f>
        <v>0</v>
      </c>
      <c r="AC792" s="32" t="str">
        <f>IF(Orders!D789="","",INDEX(Riders!$C$2:$C$81,MATCH(Orders!D789,Riders!$A$2:$A$81,0)))</f>
        <v>EV scooter</v>
      </c>
      <c r="AD792" s="33">
        <f>IF(Orders!D789="","",INDEX(Riders!$D$2:$D$81,MATCH(Orders!D789,Riders!$A$2:$A$81,0)))</f>
        <v>45</v>
      </c>
      <c r="AE792" s="33">
        <f>IF(Orders!D789="","",IF(INDEX(Riders!$B$2:$B$81,MATCH(Orders!D789,Riders!$A$2:$A$81,0))=B792,1,0))</f>
        <v>0</v>
      </c>
      <c r="AF792" s="34">
        <f>IF(E792=1,Orders!L789,"")</f>
        <v>3.37</v>
      </c>
      <c r="AG792" s="34">
        <f>IF(E792=1,Orders!P789,"")</f>
        <v>12.5</v>
      </c>
      <c r="AH792" s="34">
        <f>IF(E792=1,Orders!Q789,"")</f>
        <v>11.6</v>
      </c>
      <c r="AI792" s="34">
        <f>IF(E792=1,Orders!M789,"")</f>
        <v>2.9</v>
      </c>
      <c r="AJ792" s="34">
        <f>IF(E792=1,Orders!N789,"")</f>
        <v>3.6</v>
      </c>
      <c r="AK792" s="34">
        <f>IF(E792=1,Orders!O789,"")</f>
        <v>5.1</v>
      </c>
      <c r="AL792" s="33">
        <f>IF(E792=1,IF(ROUND(ABS(AI792+AJ792+AK792-AH792),6)&lt;=0.1,1,0),"")</f>
        <v>1</v>
      </c>
      <c r="AM792" s="36">
        <f>IF(E792=1,AI792/AH792,"")</f>
        <v>0.25</v>
      </c>
      <c r="AN792" s="36">
        <f>IF(E792=1,AJ792/AH792,"")</f>
        <v>0.310344827586207</v>
      </c>
      <c r="AO792" s="36">
        <f>IF(E792=1,AK792/AH792,"")</f>
        <v>0.439655172413793</v>
      </c>
      <c r="AP792" s="34">
        <f>IF(E792=1,Orders!Y789,"")</f>
        <v>0.18</v>
      </c>
      <c r="AQ792" s="33">
        <f>IF(Orders!X789,1,0)</f>
        <v>0</v>
      </c>
      <c r="AR792" s="34" t="str">
        <f>IF(AND(E792=1,L792=1),AJ792,"")</f>
        <v/>
      </c>
      <c r="AS792" s="34">
        <f>IF(AND(E792=1,L792=0),AJ792,"")</f>
        <v>3.6</v>
      </c>
      <c r="AT792" s="34" t="str">
        <f>IF(AND(E792=1,L792=1),AI792,"")</f>
        <v/>
      </c>
      <c r="AU792" s="34">
        <f>IF(AND(E792=1,L792=0),AI792,"")</f>
        <v>2.9</v>
      </c>
      <c r="AV792" s="34" t="str">
        <f>IF(AND(E792=1,L792=1),AG792,"")</f>
        <v/>
      </c>
      <c r="AW792" s="34">
        <f>IF(AND(E792=1,L792=0),AG792,"")</f>
        <v>12.5</v>
      </c>
      <c r="AX792" s="34" t="str">
        <f>IF(AND(E792=1,L792=1),AH792,"")</f>
        <v/>
      </c>
      <c r="AY792" s="34">
        <f>IF(AND(E792=1,L792=0),AH792,"")</f>
        <v>11.6</v>
      </c>
      <c r="AZ792" s="34" t="str">
        <f>IF(G792=1,F792,"")</f>
        <v/>
      </c>
      <c r="BA792" s="34" t="str">
        <f>IF(AND(G792=1,L792=1),F792,"")</f>
        <v/>
      </c>
      <c r="BB792" s="34" t="str">
        <f>IF(AND(G792=1,L792=0),F792,"")</f>
        <v/>
      </c>
      <c r="BC792" s="33">
        <f>IF(E792=1,IF(Orders!R789&gt;3,1,0),"")</f>
        <v>0</v>
      </c>
      <c r="BD792" s="33">
        <f>IF(E792=1,IF(Orders!R789&gt;7,1,0),"")</f>
        <v>0</v>
      </c>
      <c r="BE792" s="32" t="str">
        <f>IF(E792=1,IF(Orders!L789&lt;=1.5,"Up to 1.5 km",IF(Orders!L789&lt;=3,"1.5–3 km","Over 3 km")),"")</f>
        <v>Over 3 km</v>
      </c>
      <c r="BF792" s="33">
        <f>IF(E792=1,IF(ABS((Orders!G789-Orders!F789)*1440-Orders!R789)&lt;0.06,1,0),"")</f>
        <v>1</v>
      </c>
      <c r="BG792" s="33">
        <f>IF(ABS((Orders!F789-Orders!E789)*1440-Orders!P789)&lt;0.06,1,0)</f>
        <v>1</v>
      </c>
      <c r="BH792" s="33">
        <f>IF(E792=1,IF(IF(Orders!S789,1,0)=1-G792,1,0),"")</f>
        <v>1</v>
      </c>
      <c r="BI792" s="32" t="str">
        <f>INDEX(Stores!$B$2:$B$21,MATCH(B792,Stores!$A$2:$A$21,0))</f>
        <v>Bengaluru</v>
      </c>
    </row>
    <row r="793">
      <c r="A793" s="32" t="str">
        <f>Orders!A790</f>
        <v>O00789</v>
      </c>
      <c r="B793" s="32" t="str">
        <f>Orders!C790</f>
        <v>S003</v>
      </c>
      <c r="C793" s="32" t="str">
        <f>Orders!B790</f>
        <v>C0250</v>
      </c>
      <c r="D793" s="32" t="str">
        <f>Orders!H790</f>
        <v>Delivered</v>
      </c>
      <c r="E793" s="33">
        <f>IF(Orders!H790="Delivered",1,0)</f>
        <v>1</v>
      </c>
      <c r="F793" s="34">
        <f>IF(E793=1,Orders!R790,"")</f>
        <v>-0.4</v>
      </c>
      <c r="G793" s="33">
        <f>IF(E793=1,IF(Orders!R790&gt;0,1,0),"")</f>
        <v>0</v>
      </c>
      <c r="H793" s="33">
        <f>IF(E793=1,IF(Orders!R790&gt;5,1,0),"")</f>
        <v>0</v>
      </c>
      <c r="I793" s="32" t="str">
        <f>IF(E793=1,"",IF(OR(Orders!T790="Rider unavailable",Orders!T790="Item unavailable"),"Company-caused","Unresolved"))</f>
        <v/>
      </c>
      <c r="J793" s="33">
        <f>IF(OR(E793=1,I793="Company-caused"),1,0)</f>
        <v>1</v>
      </c>
      <c r="K793" s="32" t="str">
        <f>IF(E793=0,IF(I793="Company-caused",IF(Orders!T790="Rider unavailable","C1 Rider unavailable","C2 Item unavailable"),"Outside root: unresolved"),IF(G793=0,"A On time",IF(H793=1,IF(L793=1,"B2a Severe, peak","B2b Severe, off-peak"),IF(L793=1,"B1a Slight, peak","B1b Slight, off-peak"))))</f>
        <v>A On time</v>
      </c>
      <c r="L793" s="33">
        <f>IF(AND(Orders!U790&gt;=19,Orders!U790&lt;22),1,0)</f>
        <v>0</v>
      </c>
      <c r="M793" s="33">
        <f>IF(L793=IF(Orders!V790,1,0),1,0)</f>
        <v>1</v>
      </c>
      <c r="N793" s="32" t="str">
        <f>IF(Orders!W790="","None",Orders!W790)</f>
        <v>Light</v>
      </c>
      <c r="O793" s="35">
        <f>INT(Orders!E790)</f>
        <v>46269.0</v>
      </c>
      <c r="P793" s="33">
        <f>Orders!U790</f>
        <v>12</v>
      </c>
      <c r="Q793" s="33">
        <f>COUNTIFS(Demand!$A$2:$A$4481,B793,Demand!$B$2:$B$4481,O793,Demand!$C$2:$C$4481,P793)</f>
        <v>1</v>
      </c>
      <c r="R793" s="33">
        <f>IF(Q793=1,SUMIFS(Demand!$E$2:$E$4481,Demand!$A$2:$A$4481,B793,Demand!$B$2:$B$4481,O793,Demand!$C$2:$C$4481,P793),"")</f>
        <v>51</v>
      </c>
      <c r="S793" s="33">
        <f>INDEX(Stores!$G$2:$G$21,MATCH(B793,Stores!$A$2:$A$21,0))</f>
        <v>41</v>
      </c>
      <c r="T793" s="34">
        <f>IF(R793="","",R793/S793)</f>
        <v>1.24390243902439</v>
      </c>
      <c r="U793" s="34">
        <f>IF(E793=1,T793,"")</f>
        <v>1.24390243902439</v>
      </c>
      <c r="V793" s="34">
        <f>IF(AND(E793=1,L793=0),T793,"")</f>
        <v>1.24390243902439</v>
      </c>
      <c r="W793" s="33">
        <f>IF(U793="","",IF(U793&lt;=Breakdowns!$C$5,1,IF(U793&lt;=Breakdowns!$C$6,2,IF(U793&lt;=Breakdowns!$C$7,3,4))))</f>
        <v>4</v>
      </c>
      <c r="X793" s="33">
        <f>IF(V793="","",IF(V793&lt;=Breakdowns!$D$5,1,IF(V793&lt;=Breakdowns!$D$6,2,IF(V793&lt;=Breakdowns!$D$7,3,4))))</f>
        <v>4</v>
      </c>
      <c r="Y793" s="34">
        <f>INDEX(Stores!$F$2:$F$21,MATCH(B793,Stores!$A$2:$A$21,0))</f>
        <v>3.84</v>
      </c>
      <c r="Z793" s="33">
        <f>IF(Y793&gt;Store_Summary!$M$2,1,0)</f>
        <v>0</v>
      </c>
      <c r="AA793" s="33">
        <f>INDEX(Stores!$C$2:$C$21,MATCH(B793,Stores!$A$2:$A$21,0))</f>
        <v>426</v>
      </c>
      <c r="AB793" s="33">
        <f>IF(AA793&lt;180,1,0)</f>
        <v>0</v>
      </c>
      <c r="AC793" s="32" t="str">
        <f>IF(Orders!D790="","",INDEX(Riders!$C$2:$C$81,MATCH(Orders!D790,Riders!$A$2:$A$81,0)))</f>
        <v>EV scooter</v>
      </c>
      <c r="AD793" s="33">
        <f>IF(Orders!D790="","",INDEX(Riders!$D$2:$D$81,MATCH(Orders!D790,Riders!$A$2:$A$81,0)))</f>
        <v>45</v>
      </c>
      <c r="AE793" s="33">
        <f>IF(Orders!D790="","",IF(INDEX(Riders!$B$2:$B$81,MATCH(Orders!D790,Riders!$A$2:$A$81,0))=B793,1,0))</f>
        <v>0</v>
      </c>
      <c r="AF793" s="34">
        <f>IF(E793=1,Orders!L790,"")</f>
        <v>1.52</v>
      </c>
      <c r="AG793" s="34">
        <f>IF(E793=1,Orders!P790,"")</f>
        <v>12.3</v>
      </c>
      <c r="AH793" s="34">
        <f>IF(E793=1,Orders!Q790,"")</f>
        <v>11.9</v>
      </c>
      <c r="AI793" s="34">
        <f>IF(E793=1,Orders!M790,"")</f>
        <v>2.7</v>
      </c>
      <c r="AJ793" s="34">
        <f>IF(E793=1,Orders!N790,"")</f>
        <v>5.2</v>
      </c>
      <c r="AK793" s="34">
        <f>IF(E793=1,Orders!O790,"")</f>
        <v>4</v>
      </c>
      <c r="AL793" s="33">
        <f>IF(E793=1,IF(ROUND(ABS(AI793+AJ793+AK793-AH793),6)&lt;=0.1,1,0),"")</f>
        <v>1</v>
      </c>
      <c r="AM793" s="36">
        <f>IF(E793=1,AI793/AH793,"")</f>
        <v>0.226890756302521</v>
      </c>
      <c r="AN793" s="36">
        <f>IF(E793=1,AJ793/AH793,"")</f>
        <v>0.436974789915966</v>
      </c>
      <c r="AO793" s="36">
        <f>IF(E793=1,AK793/AH793,"")</f>
        <v>0.336134453781513</v>
      </c>
      <c r="AP793" s="34">
        <f>IF(E793=1,Orders!Y790,"")</f>
        <v>0.38</v>
      </c>
      <c r="AQ793" s="33">
        <f>IF(Orders!X790,1,0)</f>
        <v>0</v>
      </c>
      <c r="AR793" s="34" t="str">
        <f>IF(AND(E793=1,L793=1),AJ793,"")</f>
        <v/>
      </c>
      <c r="AS793" s="34">
        <f>IF(AND(E793=1,L793=0),AJ793,"")</f>
        <v>5.2</v>
      </c>
      <c r="AT793" s="34" t="str">
        <f>IF(AND(E793=1,L793=1),AI793,"")</f>
        <v/>
      </c>
      <c r="AU793" s="34">
        <f>IF(AND(E793=1,L793=0),AI793,"")</f>
        <v>2.7</v>
      </c>
      <c r="AV793" s="34" t="str">
        <f>IF(AND(E793=1,L793=1),AG793,"")</f>
        <v/>
      </c>
      <c r="AW793" s="34">
        <f>IF(AND(E793=1,L793=0),AG793,"")</f>
        <v>12.3</v>
      </c>
      <c r="AX793" s="34" t="str">
        <f>IF(AND(E793=1,L793=1),AH793,"")</f>
        <v/>
      </c>
      <c r="AY793" s="34">
        <f>IF(AND(E793=1,L793=0),AH793,"")</f>
        <v>11.9</v>
      </c>
      <c r="AZ793" s="34" t="str">
        <f>IF(G793=1,F793,"")</f>
        <v/>
      </c>
      <c r="BA793" s="34" t="str">
        <f>IF(AND(G793=1,L793=1),F793,"")</f>
        <v/>
      </c>
      <c r="BB793" s="34" t="str">
        <f>IF(AND(G793=1,L793=0),F793,"")</f>
        <v/>
      </c>
      <c r="BC793" s="33">
        <f>IF(E793=1,IF(Orders!R790&gt;3,1,0),"")</f>
        <v>0</v>
      </c>
      <c r="BD793" s="33">
        <f>IF(E793=1,IF(Orders!R790&gt;7,1,0),"")</f>
        <v>0</v>
      </c>
      <c r="BE793" s="32" t="str">
        <f>IF(E793=1,IF(Orders!L790&lt;=1.5,"Up to 1.5 km",IF(Orders!L790&lt;=3,"1.5–3 km","Over 3 km")),"")</f>
        <v>1.5–3 km</v>
      </c>
      <c r="BF793" s="33">
        <f>IF(E793=1,IF(ABS((Orders!G790-Orders!F790)*1440-Orders!R790)&lt;0.06,1,0),"")</f>
        <v>1</v>
      </c>
      <c r="BG793" s="33">
        <f>IF(ABS((Orders!F790-Orders!E790)*1440-Orders!P790)&lt;0.06,1,0)</f>
        <v>1</v>
      </c>
      <c r="BH793" s="33">
        <f>IF(E793=1,IF(IF(Orders!S790,1,0)=1-G793,1,0),"")</f>
        <v>1</v>
      </c>
      <c r="BI793" s="32" t="str">
        <f>INDEX(Stores!$B$2:$B$21,MATCH(B793,Stores!$A$2:$A$21,0))</f>
        <v>Mumbai</v>
      </c>
    </row>
    <row r="794">
      <c r="A794" s="32" t="str">
        <f>Orders!A791</f>
        <v>O00790</v>
      </c>
      <c r="B794" s="32" t="str">
        <f>Orders!C791</f>
        <v>S017</v>
      </c>
      <c r="C794" s="32" t="str">
        <f>Orders!B791</f>
        <v>C0248</v>
      </c>
      <c r="D794" s="32" t="str">
        <f>Orders!H791</f>
        <v>Delivered</v>
      </c>
      <c r="E794" s="33">
        <f>IF(Orders!H791="Delivered",1,0)</f>
        <v>1</v>
      </c>
      <c r="F794" s="34">
        <f>IF(E794=1,Orders!R791,"")</f>
        <v>-1.8</v>
      </c>
      <c r="G794" s="33">
        <f>IF(E794=1,IF(Orders!R791&gt;0,1,0),"")</f>
        <v>0</v>
      </c>
      <c r="H794" s="33">
        <f>IF(E794=1,IF(Orders!R791&gt;5,1,0),"")</f>
        <v>0</v>
      </c>
      <c r="I794" s="32" t="str">
        <f>IF(E794=1,"",IF(OR(Orders!T791="Rider unavailable",Orders!T791="Item unavailable"),"Company-caused","Unresolved"))</f>
        <v/>
      </c>
      <c r="J794" s="33">
        <f>IF(OR(E794=1,I794="Company-caused"),1,0)</f>
        <v>1</v>
      </c>
      <c r="K794" s="32" t="str">
        <f>IF(E794=0,IF(I794="Company-caused",IF(Orders!T791="Rider unavailable","C1 Rider unavailable","C2 Item unavailable"),"Outside root: unresolved"),IF(G794=0,"A On time",IF(H794=1,IF(L794=1,"B2a Severe, peak","B2b Severe, off-peak"),IF(L794=1,"B1a Slight, peak","B1b Slight, off-peak"))))</f>
        <v>A On time</v>
      </c>
      <c r="L794" s="33">
        <f>IF(AND(Orders!U791&gt;=19,Orders!U791&lt;22),1,0)</f>
        <v>1</v>
      </c>
      <c r="M794" s="33">
        <f>IF(L794=IF(Orders!V791,1,0),1,0)</f>
        <v>1</v>
      </c>
      <c r="N794" s="32" t="str">
        <f>IF(Orders!W791="","None",Orders!W791)</f>
        <v>None</v>
      </c>
      <c r="O794" s="35">
        <f>INT(Orders!E791)</f>
        <v>46279.0</v>
      </c>
      <c r="P794" s="33">
        <f>Orders!U791</f>
        <v>19</v>
      </c>
      <c r="Q794" s="33">
        <f>COUNTIFS(Demand!$A$2:$A$4481,B794,Demand!$B$2:$B$4481,O794,Demand!$C$2:$C$4481,P794)</f>
        <v>1</v>
      </c>
      <c r="R794" s="33">
        <f>IF(Q794=1,SUMIFS(Demand!$E$2:$E$4481,Demand!$A$2:$A$4481,B794,Demand!$B$2:$B$4481,O794,Demand!$C$2:$C$4481,P794),"")</f>
        <v>45</v>
      </c>
      <c r="S794" s="33">
        <f>INDEX(Stores!$G$2:$G$21,MATCH(B794,Stores!$A$2:$A$21,0))</f>
        <v>36</v>
      </c>
      <c r="T794" s="34">
        <f>IF(R794="","",R794/S794)</f>
        <v>1.25</v>
      </c>
      <c r="U794" s="34">
        <f>IF(E794=1,T794,"")</f>
        <v>1.25</v>
      </c>
      <c r="V794" s="34" t="str">
        <f>IF(AND(E794=1,L794=0),T794,"")</f>
        <v/>
      </c>
      <c r="W794" s="33">
        <f>IF(U794="","",IF(U794&lt;=Breakdowns!$C$5,1,IF(U794&lt;=Breakdowns!$C$6,2,IF(U794&lt;=Breakdowns!$C$7,3,4))))</f>
        <v>4</v>
      </c>
      <c r="X794" s="33" t="str">
        <f>IF(V794="","",IF(V794&lt;=Breakdowns!$D$5,1,IF(V794&lt;=Breakdowns!$D$6,2,IF(V794&lt;=Breakdowns!$D$7,3,4))))</f>
        <v/>
      </c>
      <c r="Y794" s="34">
        <f>INDEX(Stores!$F$2:$F$21,MATCH(B794,Stores!$A$2:$A$21,0))</f>
        <v>2.16</v>
      </c>
      <c r="Z794" s="33">
        <f>IF(Y794&gt;Store_Summary!$M$2,1,0)</f>
        <v>0</v>
      </c>
      <c r="AA794" s="33">
        <f>INDEX(Stores!$C$2:$C$21,MATCH(B794,Stores!$A$2:$A$21,0))</f>
        <v>47</v>
      </c>
      <c r="AB794" s="33">
        <f>IF(AA794&lt;180,1,0)</f>
        <v>1</v>
      </c>
      <c r="AC794" s="32" t="str">
        <f>IF(Orders!D791="","",INDEX(Riders!$C$2:$C$81,MATCH(Orders!D791,Riders!$A$2:$A$81,0)))</f>
        <v>Petrol scooter</v>
      </c>
      <c r="AD794" s="33">
        <f>IF(Orders!D791="","",INDEX(Riders!$D$2:$D$81,MATCH(Orders!D791,Riders!$A$2:$A$81,0)))</f>
        <v>30</v>
      </c>
      <c r="AE794" s="33">
        <f>IF(Orders!D791="","",IF(INDEX(Riders!$B$2:$B$81,MATCH(Orders!D791,Riders!$A$2:$A$81,0))=B794,1,0))</f>
        <v>1</v>
      </c>
      <c r="AF794" s="34">
        <f>IF(E794=1,Orders!L791,"")</f>
        <v>0.5</v>
      </c>
      <c r="AG794" s="34">
        <f>IF(E794=1,Orders!P791,"")</f>
        <v>9.8</v>
      </c>
      <c r="AH794" s="34">
        <f>IF(E794=1,Orders!Q791,"")</f>
        <v>8</v>
      </c>
      <c r="AI794" s="34">
        <f>IF(E794=1,Orders!M791,"")</f>
        <v>1.8</v>
      </c>
      <c r="AJ794" s="34">
        <f>IF(E794=1,Orders!N791,"")</f>
        <v>3.8</v>
      </c>
      <c r="AK794" s="34">
        <f>IF(E794=1,Orders!O791,"")</f>
        <v>2.4</v>
      </c>
      <c r="AL794" s="33">
        <f>IF(E794=1,IF(ROUND(ABS(AI794+AJ794+AK794-AH794),6)&lt;=0.1,1,0),"")</f>
        <v>1</v>
      </c>
      <c r="AM794" s="36">
        <f>IF(E794=1,AI794/AH794,"")</f>
        <v>0.225</v>
      </c>
      <c r="AN794" s="36">
        <f>IF(E794=1,AJ794/AH794,"")</f>
        <v>0.475</v>
      </c>
      <c r="AO794" s="36">
        <f>IF(E794=1,AK794/AH794,"")</f>
        <v>0.3</v>
      </c>
      <c r="AP794" s="34">
        <f>IF(E794=1,Orders!Y791,"")</f>
        <v>0.49</v>
      </c>
      <c r="AQ794" s="33">
        <f>IF(Orders!X791,1,0)</f>
        <v>1</v>
      </c>
      <c r="AR794" s="34">
        <f>IF(AND(E794=1,L794=1),AJ794,"")</f>
        <v>3.8</v>
      </c>
      <c r="AS794" s="34" t="str">
        <f>IF(AND(E794=1,L794=0),AJ794,"")</f>
        <v/>
      </c>
      <c r="AT794" s="34">
        <f>IF(AND(E794=1,L794=1),AI794,"")</f>
        <v>1.8</v>
      </c>
      <c r="AU794" s="34" t="str">
        <f>IF(AND(E794=1,L794=0),AI794,"")</f>
        <v/>
      </c>
      <c r="AV794" s="34">
        <f>IF(AND(E794=1,L794=1),AG794,"")</f>
        <v>9.8</v>
      </c>
      <c r="AW794" s="34" t="str">
        <f>IF(AND(E794=1,L794=0),AG794,"")</f>
        <v/>
      </c>
      <c r="AX794" s="34">
        <f>IF(AND(E794=1,L794=1),AH794,"")</f>
        <v>8</v>
      </c>
      <c r="AY794" s="34" t="str">
        <f>IF(AND(E794=1,L794=0),AH794,"")</f>
        <v/>
      </c>
      <c r="AZ794" s="34" t="str">
        <f>IF(G794=1,F794,"")</f>
        <v/>
      </c>
      <c r="BA794" s="34" t="str">
        <f>IF(AND(G794=1,L794=1),F794,"")</f>
        <v/>
      </c>
      <c r="BB794" s="34" t="str">
        <f>IF(AND(G794=1,L794=0),F794,"")</f>
        <v/>
      </c>
      <c r="BC794" s="33">
        <f>IF(E794=1,IF(Orders!R791&gt;3,1,0),"")</f>
        <v>0</v>
      </c>
      <c r="BD794" s="33">
        <f>IF(E794=1,IF(Orders!R791&gt;7,1,0),"")</f>
        <v>0</v>
      </c>
      <c r="BE794" s="32" t="str">
        <f>IF(E794=1,IF(Orders!L791&lt;=1.5,"Up to 1.5 km",IF(Orders!L791&lt;=3,"1.5–3 km","Over 3 km")),"")</f>
        <v>Up to 1.5 km</v>
      </c>
      <c r="BF794" s="33">
        <f>IF(E794=1,IF(ABS((Orders!G791-Orders!F791)*1440-Orders!R791)&lt;0.06,1,0),"")</f>
        <v>1</v>
      </c>
      <c r="BG794" s="33">
        <f>IF(ABS((Orders!F791-Orders!E791)*1440-Orders!P791)&lt;0.06,1,0)</f>
        <v>1</v>
      </c>
      <c r="BH794" s="33">
        <f>IF(E794=1,IF(IF(Orders!S791,1,0)=1-G794,1,0),"")</f>
        <v>1</v>
      </c>
      <c r="BI794" s="32" t="str">
        <f>INDEX(Stores!$B$2:$B$21,MATCH(B794,Stores!$A$2:$A$21,0))</f>
        <v>Hyderabad</v>
      </c>
    </row>
    <row r="795">
      <c r="A795" s="32" t="str">
        <f>Orders!A792</f>
        <v>O00791</v>
      </c>
      <c r="B795" s="32" t="str">
        <f>Orders!C792</f>
        <v>S008</v>
      </c>
      <c r="C795" s="32" t="str">
        <f>Orders!B792</f>
        <v>C0193</v>
      </c>
      <c r="D795" s="32" t="str">
        <f>Orders!H792</f>
        <v>Delivered</v>
      </c>
      <c r="E795" s="33">
        <f>IF(Orders!H792="Delivered",1,0)</f>
        <v>1</v>
      </c>
      <c r="F795" s="34">
        <f>IF(E795=1,Orders!R792,"")</f>
        <v>-0.6</v>
      </c>
      <c r="G795" s="33">
        <f>IF(E795=1,IF(Orders!R792&gt;0,1,0),"")</f>
        <v>0</v>
      </c>
      <c r="H795" s="33">
        <f>IF(E795=1,IF(Orders!R792&gt;5,1,0),"")</f>
        <v>0</v>
      </c>
      <c r="I795" s="32" t="str">
        <f>IF(E795=1,"",IF(OR(Orders!T792="Rider unavailable",Orders!T792="Item unavailable"),"Company-caused","Unresolved"))</f>
        <v/>
      </c>
      <c r="J795" s="33">
        <f>IF(OR(E795=1,I795="Company-caused"),1,0)</f>
        <v>1</v>
      </c>
      <c r="K795" s="32" t="str">
        <f>IF(E795=0,IF(I795="Company-caused",IF(Orders!T792="Rider unavailable","C1 Rider unavailable","C2 Item unavailable"),"Outside root: unresolved"),IF(G795=0,"A On time",IF(H795=1,IF(L795=1,"B2a Severe, peak","B2b Severe, off-peak"),IF(L795=1,"B1a Slight, peak","B1b Slight, off-peak"))))</f>
        <v>A On time</v>
      </c>
      <c r="L795" s="33">
        <f>IF(AND(Orders!U792&gt;=19,Orders!U792&lt;22),1,0)</f>
        <v>1</v>
      </c>
      <c r="M795" s="33">
        <f>IF(L795=IF(Orders!V792,1,0),1,0)</f>
        <v>1</v>
      </c>
      <c r="N795" s="32" t="str">
        <f>IF(Orders!W792="","None",Orders!W792)</f>
        <v>Light</v>
      </c>
      <c r="O795" s="35">
        <f>INT(Orders!E792)</f>
        <v>46279.0</v>
      </c>
      <c r="P795" s="33">
        <f>Orders!U792</f>
        <v>19</v>
      </c>
      <c r="Q795" s="33">
        <f>COUNTIFS(Demand!$A$2:$A$4481,B795,Demand!$B$2:$B$4481,O795,Demand!$C$2:$C$4481,P795)</f>
        <v>1</v>
      </c>
      <c r="R795" s="33">
        <f>IF(Q795=1,SUMIFS(Demand!$E$2:$E$4481,Demand!$A$2:$A$4481,B795,Demand!$B$2:$B$4481,O795,Demand!$C$2:$C$4481,P795),"")</f>
        <v>30</v>
      </c>
      <c r="S795" s="33">
        <f>INDEX(Stores!$G$2:$G$21,MATCH(B795,Stores!$A$2:$A$21,0))</f>
        <v>23</v>
      </c>
      <c r="T795" s="34">
        <f>IF(R795="","",R795/S795)</f>
        <v>1.30434782608696</v>
      </c>
      <c r="U795" s="34">
        <f>IF(E795=1,T795,"")</f>
        <v>1.30434782608696</v>
      </c>
      <c r="V795" s="34" t="str">
        <f>IF(AND(E795=1,L795=0),T795,"")</f>
        <v/>
      </c>
      <c r="W795" s="33">
        <f>IF(U795="","",IF(U795&lt;=Breakdowns!$C$5,1,IF(U795&lt;=Breakdowns!$C$6,2,IF(U795&lt;=Breakdowns!$C$7,3,4))))</f>
        <v>4</v>
      </c>
      <c r="X795" s="33" t="str">
        <f>IF(V795="","",IF(V795&lt;=Breakdowns!$D$5,1,IF(V795&lt;=Breakdowns!$D$6,2,IF(V795&lt;=Breakdowns!$D$7,3,4))))</f>
        <v/>
      </c>
      <c r="Y795" s="34">
        <f>INDEX(Stores!$F$2:$F$21,MATCH(B795,Stores!$A$2:$A$21,0))</f>
        <v>3.46</v>
      </c>
      <c r="Z795" s="33">
        <f>IF(Y795&gt;Store_Summary!$M$2,1,0)</f>
        <v>0</v>
      </c>
      <c r="AA795" s="33">
        <f>INDEX(Stores!$C$2:$C$21,MATCH(B795,Stores!$A$2:$A$21,0))</f>
        <v>825</v>
      </c>
      <c r="AB795" s="33">
        <f>IF(AA795&lt;180,1,0)</f>
        <v>0</v>
      </c>
      <c r="AC795" s="32" t="str">
        <f>IF(Orders!D792="","",INDEX(Riders!$C$2:$C$81,MATCH(Orders!D792,Riders!$A$2:$A$81,0)))</f>
        <v>EV scooter</v>
      </c>
      <c r="AD795" s="33">
        <f>IF(Orders!D792="","",INDEX(Riders!$D$2:$D$81,MATCH(Orders!D792,Riders!$A$2:$A$81,0)))</f>
        <v>41</v>
      </c>
      <c r="AE795" s="33">
        <f>IF(Orders!D792="","",IF(INDEX(Riders!$B$2:$B$81,MATCH(Orders!D792,Riders!$A$2:$A$81,0))=B795,1,0))</f>
        <v>0</v>
      </c>
      <c r="AF795" s="34">
        <f>IF(E795=1,Orders!L792,"")</f>
        <v>3.37</v>
      </c>
      <c r="AG795" s="34">
        <f>IF(E795=1,Orders!P792,"")</f>
        <v>10.1</v>
      </c>
      <c r="AH795" s="34">
        <f>IF(E795=1,Orders!Q792,"")</f>
        <v>9.5</v>
      </c>
      <c r="AI795" s="34">
        <f>IF(E795=1,Orders!M792,"")</f>
        <v>1.3</v>
      </c>
      <c r="AJ795" s="34">
        <f>IF(E795=1,Orders!N792,"")</f>
        <v>4.5</v>
      </c>
      <c r="AK795" s="34">
        <f>IF(E795=1,Orders!O792,"")</f>
        <v>3.7</v>
      </c>
      <c r="AL795" s="33">
        <f>IF(E795=1,IF(ROUND(ABS(AI795+AJ795+AK795-AH795),6)&lt;=0.1,1,0),"")</f>
        <v>1</v>
      </c>
      <c r="AM795" s="36">
        <f>IF(E795=1,AI795/AH795,"")</f>
        <v>0.136842105263158</v>
      </c>
      <c r="AN795" s="36">
        <f>IF(E795=1,AJ795/AH795,"")</f>
        <v>0.473684210526316</v>
      </c>
      <c r="AO795" s="36">
        <f>IF(E795=1,AK795/AH795,"")</f>
        <v>0.389473684210526</v>
      </c>
      <c r="AP795" s="34">
        <f>IF(E795=1,Orders!Y792,"")</f>
        <v>0.76</v>
      </c>
      <c r="AQ795" s="33">
        <f>IF(Orders!X792,1,0)</f>
        <v>0</v>
      </c>
      <c r="AR795" s="34">
        <f>IF(AND(E795=1,L795=1),AJ795,"")</f>
        <v>4.5</v>
      </c>
      <c r="AS795" s="34" t="str">
        <f>IF(AND(E795=1,L795=0),AJ795,"")</f>
        <v/>
      </c>
      <c r="AT795" s="34">
        <f>IF(AND(E795=1,L795=1),AI795,"")</f>
        <v>1.3</v>
      </c>
      <c r="AU795" s="34" t="str">
        <f>IF(AND(E795=1,L795=0),AI795,"")</f>
        <v/>
      </c>
      <c r="AV795" s="34">
        <f>IF(AND(E795=1,L795=1),AG795,"")</f>
        <v>10.1</v>
      </c>
      <c r="AW795" s="34" t="str">
        <f>IF(AND(E795=1,L795=0),AG795,"")</f>
        <v/>
      </c>
      <c r="AX795" s="34">
        <f>IF(AND(E795=1,L795=1),AH795,"")</f>
        <v>9.5</v>
      </c>
      <c r="AY795" s="34" t="str">
        <f>IF(AND(E795=1,L795=0),AH795,"")</f>
        <v/>
      </c>
      <c r="AZ795" s="34" t="str">
        <f>IF(G795=1,F795,"")</f>
        <v/>
      </c>
      <c r="BA795" s="34" t="str">
        <f>IF(AND(G795=1,L795=1),F795,"")</f>
        <v/>
      </c>
      <c r="BB795" s="34" t="str">
        <f>IF(AND(G795=1,L795=0),F795,"")</f>
        <v/>
      </c>
      <c r="BC795" s="33">
        <f>IF(E795=1,IF(Orders!R792&gt;3,1,0),"")</f>
        <v>0</v>
      </c>
      <c r="BD795" s="33">
        <f>IF(E795=1,IF(Orders!R792&gt;7,1,0),"")</f>
        <v>0</v>
      </c>
      <c r="BE795" s="32" t="str">
        <f>IF(E795=1,IF(Orders!L792&lt;=1.5,"Up to 1.5 km",IF(Orders!L792&lt;=3,"1.5–3 km","Over 3 km")),"")</f>
        <v>Over 3 km</v>
      </c>
      <c r="BF795" s="33">
        <f>IF(E795=1,IF(ABS((Orders!G792-Orders!F792)*1440-Orders!R792)&lt;0.06,1,0),"")</f>
        <v>1</v>
      </c>
      <c r="BG795" s="33">
        <f>IF(ABS((Orders!F792-Orders!E792)*1440-Orders!P792)&lt;0.06,1,0)</f>
        <v>1</v>
      </c>
      <c r="BH795" s="33">
        <f>IF(E795=1,IF(IF(Orders!S792,1,0)=1-G795,1,0),"")</f>
        <v>1</v>
      </c>
      <c r="BI795" s="32" t="str">
        <f>INDEX(Stores!$B$2:$B$21,MATCH(B795,Stores!$A$2:$A$21,0))</f>
        <v>Mumbai</v>
      </c>
    </row>
    <row r="796">
      <c r="A796" s="32" t="str">
        <f>Orders!A793</f>
        <v>O00792</v>
      </c>
      <c r="B796" s="32" t="str">
        <f>Orders!C793</f>
        <v>S009</v>
      </c>
      <c r="C796" s="32" t="str">
        <f>Orders!B793</f>
        <v>C0054</v>
      </c>
      <c r="D796" s="32" t="str">
        <f>Orders!H793</f>
        <v>Delivered</v>
      </c>
      <c r="E796" s="33">
        <f>IF(Orders!H793="Delivered",1,0)</f>
        <v>1</v>
      </c>
      <c r="F796" s="34">
        <f>IF(E796=1,Orders!R793,"")</f>
        <v>-1.7</v>
      </c>
      <c r="G796" s="33">
        <f>IF(E796=1,IF(Orders!R793&gt;0,1,0),"")</f>
        <v>0</v>
      </c>
      <c r="H796" s="33">
        <f>IF(E796=1,IF(Orders!R793&gt;5,1,0),"")</f>
        <v>0</v>
      </c>
      <c r="I796" s="32" t="str">
        <f>IF(E796=1,"",IF(OR(Orders!T793="Rider unavailable",Orders!T793="Item unavailable"),"Company-caused","Unresolved"))</f>
        <v/>
      </c>
      <c r="J796" s="33">
        <f>IF(OR(E796=1,I796="Company-caused"),1,0)</f>
        <v>1</v>
      </c>
      <c r="K796" s="32" t="str">
        <f>IF(E796=0,IF(I796="Company-caused",IF(Orders!T793="Rider unavailable","C1 Rider unavailable","C2 Item unavailable"),"Outside root: unresolved"),IF(G796=0,"A On time",IF(H796=1,IF(L796=1,"B2a Severe, peak","B2b Severe, off-peak"),IF(L796=1,"B1a Slight, peak","B1b Slight, off-peak"))))</f>
        <v>A On time</v>
      </c>
      <c r="L796" s="33">
        <f>IF(AND(Orders!U793&gt;=19,Orders!U793&lt;22),1,0)</f>
        <v>0</v>
      </c>
      <c r="M796" s="33">
        <f>IF(L796=IF(Orders!V793,1,0),1,0)</f>
        <v>1</v>
      </c>
      <c r="N796" s="32" t="str">
        <f>IF(Orders!W793="","None",Orders!W793)</f>
        <v>None</v>
      </c>
      <c r="O796" s="35">
        <f>INT(Orders!E793)</f>
        <v>46269.0</v>
      </c>
      <c r="P796" s="33">
        <f>Orders!U793</f>
        <v>14</v>
      </c>
      <c r="Q796" s="33">
        <f>COUNTIFS(Demand!$A$2:$A$4481,B796,Demand!$B$2:$B$4481,O796,Demand!$C$2:$C$4481,P796)</f>
        <v>1</v>
      </c>
      <c r="R796" s="33">
        <f>IF(Q796=1,SUMIFS(Demand!$E$2:$E$4481,Demand!$A$2:$A$4481,B796,Demand!$B$2:$B$4481,O796,Demand!$C$2:$C$4481,P796),"")</f>
        <v>17</v>
      </c>
      <c r="S796" s="33">
        <f>INDEX(Stores!$G$2:$G$21,MATCH(B796,Stores!$A$2:$A$21,0))</f>
        <v>29</v>
      </c>
      <c r="T796" s="34">
        <f>IF(R796="","",R796/S796)</f>
        <v>0.586206896551724</v>
      </c>
      <c r="U796" s="34">
        <f>IF(E796=1,T796,"")</f>
        <v>0.586206896551724</v>
      </c>
      <c r="V796" s="34">
        <f>IF(AND(E796=1,L796=0),T796,"")</f>
        <v>0.586206896551724</v>
      </c>
      <c r="W796" s="33">
        <f>IF(U796="","",IF(U796&lt;=Breakdowns!$C$5,1,IF(U796&lt;=Breakdowns!$C$6,2,IF(U796&lt;=Breakdowns!$C$7,3,4))))</f>
        <v>1</v>
      </c>
      <c r="X796" s="33">
        <f>IF(V796="","",IF(V796&lt;=Breakdowns!$D$5,1,IF(V796&lt;=Breakdowns!$D$6,2,IF(V796&lt;=Breakdowns!$D$7,3,4))))</f>
        <v>1</v>
      </c>
      <c r="Y796" s="34">
        <f>INDEX(Stores!$F$2:$F$21,MATCH(B796,Stores!$A$2:$A$21,0))</f>
        <v>2.66</v>
      </c>
      <c r="Z796" s="33">
        <f>IF(Y796&gt;Store_Summary!$M$2,1,0)</f>
        <v>0</v>
      </c>
      <c r="AA796" s="33">
        <f>INDEX(Stores!$C$2:$C$21,MATCH(B796,Stores!$A$2:$A$21,0))</f>
        <v>645</v>
      </c>
      <c r="AB796" s="33">
        <f>IF(AA796&lt;180,1,0)</f>
        <v>0</v>
      </c>
      <c r="AC796" s="32" t="str">
        <f>IF(Orders!D793="","",INDEX(Riders!$C$2:$C$81,MATCH(Orders!D793,Riders!$A$2:$A$81,0)))</f>
        <v>EV scooter</v>
      </c>
      <c r="AD796" s="33">
        <f>IF(Orders!D793="","",INDEX(Riders!$D$2:$D$81,MATCH(Orders!D793,Riders!$A$2:$A$81,0)))</f>
        <v>45</v>
      </c>
      <c r="AE796" s="33">
        <f>IF(Orders!D793="","",IF(INDEX(Riders!$B$2:$B$81,MATCH(Orders!D793,Riders!$A$2:$A$81,0))=B796,1,0))</f>
        <v>0</v>
      </c>
      <c r="AF796" s="34">
        <f>IF(E796=1,Orders!L793,"")</f>
        <v>1.13</v>
      </c>
      <c r="AG796" s="34">
        <f>IF(E796=1,Orders!P793,"")</f>
        <v>10.7</v>
      </c>
      <c r="AH796" s="34">
        <f>IF(E796=1,Orders!Q793,"")</f>
        <v>9</v>
      </c>
      <c r="AI796" s="34">
        <f>IF(E796=1,Orders!M793,"")</f>
        <v>2.4</v>
      </c>
      <c r="AJ796" s="34">
        <f>IF(E796=1,Orders!N793,"")</f>
        <v>3.5</v>
      </c>
      <c r="AK796" s="34">
        <f>IF(E796=1,Orders!O793,"")</f>
        <v>3.2</v>
      </c>
      <c r="AL796" s="33">
        <f>IF(E796=1,IF(ROUND(ABS(AI796+AJ796+AK796-AH796),6)&lt;=0.1,1,0),"")</f>
        <v>1</v>
      </c>
      <c r="AM796" s="36">
        <f>IF(E796=1,AI796/AH796,"")</f>
        <v>0.266666666666667</v>
      </c>
      <c r="AN796" s="36">
        <f>IF(E796=1,AJ796/AH796,"")</f>
        <v>0.388888888888889</v>
      </c>
      <c r="AO796" s="36">
        <f>IF(E796=1,AK796/AH796,"")</f>
        <v>0.355555555555556</v>
      </c>
      <c r="AP796" s="34">
        <f>IF(E796=1,Orders!Y793,"")</f>
        <v>0.31</v>
      </c>
      <c r="AQ796" s="33">
        <f>IF(Orders!X793,1,0)</f>
        <v>0</v>
      </c>
      <c r="AR796" s="34" t="str">
        <f>IF(AND(E796=1,L796=1),AJ796,"")</f>
        <v/>
      </c>
      <c r="AS796" s="34">
        <f>IF(AND(E796=1,L796=0),AJ796,"")</f>
        <v>3.5</v>
      </c>
      <c r="AT796" s="34" t="str">
        <f>IF(AND(E796=1,L796=1),AI796,"")</f>
        <v/>
      </c>
      <c r="AU796" s="34">
        <f>IF(AND(E796=1,L796=0),AI796,"")</f>
        <v>2.4</v>
      </c>
      <c r="AV796" s="34" t="str">
        <f>IF(AND(E796=1,L796=1),AG796,"")</f>
        <v/>
      </c>
      <c r="AW796" s="34">
        <f>IF(AND(E796=1,L796=0),AG796,"")</f>
        <v>10.7</v>
      </c>
      <c r="AX796" s="34" t="str">
        <f>IF(AND(E796=1,L796=1),AH796,"")</f>
        <v/>
      </c>
      <c r="AY796" s="34">
        <f>IF(AND(E796=1,L796=0),AH796,"")</f>
        <v>9</v>
      </c>
      <c r="AZ796" s="34" t="str">
        <f>IF(G796=1,F796,"")</f>
        <v/>
      </c>
      <c r="BA796" s="34" t="str">
        <f>IF(AND(G796=1,L796=1),F796,"")</f>
        <v/>
      </c>
      <c r="BB796" s="34" t="str">
        <f>IF(AND(G796=1,L796=0),F796,"")</f>
        <v/>
      </c>
      <c r="BC796" s="33">
        <f>IF(E796=1,IF(Orders!R793&gt;3,1,0),"")</f>
        <v>0</v>
      </c>
      <c r="BD796" s="33">
        <f>IF(E796=1,IF(Orders!R793&gt;7,1,0),"")</f>
        <v>0</v>
      </c>
      <c r="BE796" s="32" t="str">
        <f>IF(E796=1,IF(Orders!L793&lt;=1.5,"Up to 1.5 km",IF(Orders!L793&lt;=3,"1.5–3 km","Over 3 km")),"")</f>
        <v>Up to 1.5 km</v>
      </c>
      <c r="BF796" s="33">
        <f>IF(E796=1,IF(ABS((Orders!G793-Orders!F793)*1440-Orders!R793)&lt;0.06,1,0),"")</f>
        <v>1</v>
      </c>
      <c r="BG796" s="33">
        <f>IF(ABS((Orders!F793-Orders!E793)*1440-Orders!P793)&lt;0.06,1,0)</f>
        <v>1</v>
      </c>
      <c r="BH796" s="33">
        <f>IF(E796=1,IF(IF(Orders!S793,1,0)=1-G796,1,0),"")</f>
        <v>1</v>
      </c>
      <c r="BI796" s="32" t="str">
        <f>INDEX(Stores!$B$2:$B$21,MATCH(B796,Stores!$A$2:$A$21,0))</f>
        <v>Pune</v>
      </c>
    </row>
    <row r="797">
      <c r="A797" s="32" t="str">
        <f>Orders!A794</f>
        <v>O00793</v>
      </c>
      <c r="B797" s="32" t="str">
        <f>Orders!C794</f>
        <v>S018</v>
      </c>
      <c r="C797" s="32" t="str">
        <f>Orders!B794</f>
        <v>C0032</v>
      </c>
      <c r="D797" s="32" t="str">
        <f>Orders!H794</f>
        <v>Delivered</v>
      </c>
      <c r="E797" s="33">
        <f>IF(Orders!H794="Delivered",1,0)</f>
        <v>1</v>
      </c>
      <c r="F797" s="34">
        <f>IF(E797=1,Orders!R794,"")</f>
        <v>3.6</v>
      </c>
      <c r="G797" s="33">
        <f>IF(E797=1,IF(Orders!R794&gt;0,1,0),"")</f>
        <v>1</v>
      </c>
      <c r="H797" s="33">
        <f>IF(E797=1,IF(Orders!R794&gt;5,1,0),"")</f>
        <v>0</v>
      </c>
      <c r="I797" s="32" t="str">
        <f>IF(E797=1,"",IF(OR(Orders!T794="Rider unavailable",Orders!T794="Item unavailable"),"Company-caused","Unresolved"))</f>
        <v/>
      </c>
      <c r="J797" s="33">
        <f>IF(OR(E797=1,I797="Company-caused"),1,0)</f>
        <v>1</v>
      </c>
      <c r="K797" s="32" t="str">
        <f>IF(E797=0,IF(I797="Company-caused",IF(Orders!T794="Rider unavailable","C1 Rider unavailable","C2 Item unavailable"),"Outside root: unresolved"),IF(G797=0,"A On time",IF(H797=1,IF(L797=1,"B2a Severe, peak","B2b Severe, off-peak"),IF(L797=1,"B1a Slight, peak","B1b Slight, off-peak"))))</f>
        <v>B1b Slight, off-peak</v>
      </c>
      <c r="L797" s="33">
        <f>IF(AND(Orders!U794&gt;=19,Orders!U794&lt;22),1,0)</f>
        <v>0</v>
      </c>
      <c r="M797" s="33">
        <f>IF(L797=IF(Orders!V794,1,0),1,0)</f>
        <v>1</v>
      </c>
      <c r="N797" s="32" t="str">
        <f>IF(Orders!W794="","None",Orders!W794)</f>
        <v>Heavy</v>
      </c>
      <c r="O797" s="35">
        <f>INT(Orders!E794)</f>
        <v>46273.0</v>
      </c>
      <c r="P797" s="33">
        <f>Orders!U794</f>
        <v>8</v>
      </c>
      <c r="Q797" s="33">
        <f>COUNTIFS(Demand!$A$2:$A$4481,B797,Demand!$B$2:$B$4481,O797,Demand!$C$2:$C$4481,P797)</f>
        <v>1</v>
      </c>
      <c r="R797" s="33">
        <f>IF(Q797=1,SUMIFS(Demand!$E$2:$E$4481,Demand!$A$2:$A$4481,B797,Demand!$B$2:$B$4481,O797,Demand!$C$2:$C$4481,P797),"")</f>
        <v>19</v>
      </c>
      <c r="S797" s="33">
        <f>INDEX(Stores!$G$2:$G$21,MATCH(B797,Stores!$A$2:$A$21,0))</f>
        <v>20</v>
      </c>
      <c r="T797" s="34">
        <f>IF(R797="","",R797/S797)</f>
        <v>0.95</v>
      </c>
      <c r="U797" s="34">
        <f>IF(E797=1,T797,"")</f>
        <v>0.95</v>
      </c>
      <c r="V797" s="34">
        <f>IF(AND(E797=1,L797=0),T797,"")</f>
        <v>0.95</v>
      </c>
      <c r="W797" s="33">
        <f>IF(U797="","",IF(U797&lt;=Breakdowns!$C$5,1,IF(U797&lt;=Breakdowns!$C$6,2,IF(U797&lt;=Breakdowns!$C$7,3,4))))</f>
        <v>2</v>
      </c>
      <c r="X797" s="33">
        <f>IF(V797="","",IF(V797&lt;=Breakdowns!$D$5,1,IF(V797&lt;=Breakdowns!$D$6,2,IF(V797&lt;=Breakdowns!$D$7,3,4))))</f>
        <v>3</v>
      </c>
      <c r="Y797" s="34">
        <f>INDEX(Stores!$F$2:$F$21,MATCH(B797,Stores!$A$2:$A$21,0))</f>
        <v>5.31</v>
      </c>
      <c r="Z797" s="33">
        <f>IF(Y797&gt;Store_Summary!$M$2,1,0)</f>
        <v>1</v>
      </c>
      <c r="AA797" s="33">
        <f>INDEX(Stores!$C$2:$C$21,MATCH(B797,Stores!$A$2:$A$21,0))</f>
        <v>214</v>
      </c>
      <c r="AB797" s="33">
        <f>IF(AA797&lt;180,1,0)</f>
        <v>0</v>
      </c>
      <c r="AC797" s="32" t="str">
        <f>IF(Orders!D794="","",INDEX(Riders!$C$2:$C$81,MATCH(Orders!D794,Riders!$A$2:$A$81,0)))</f>
        <v>EV scooter</v>
      </c>
      <c r="AD797" s="33">
        <f>IF(Orders!D794="","",INDEX(Riders!$D$2:$D$81,MATCH(Orders!D794,Riders!$A$2:$A$81,0)))</f>
        <v>45</v>
      </c>
      <c r="AE797" s="33">
        <f>IF(Orders!D794="","",IF(INDEX(Riders!$B$2:$B$81,MATCH(Orders!D794,Riders!$A$2:$A$81,0))=B797,1,0))</f>
        <v>0</v>
      </c>
      <c r="AF797" s="34">
        <f>IF(E797=1,Orders!L794,"")</f>
        <v>1.27</v>
      </c>
      <c r="AG797" s="34">
        <f>IF(E797=1,Orders!P794,"")</f>
        <v>10.7</v>
      </c>
      <c r="AH797" s="34">
        <f>IF(E797=1,Orders!Q794,"")</f>
        <v>14.3</v>
      </c>
      <c r="AI797" s="34">
        <f>IF(E797=1,Orders!M794,"")</f>
        <v>4.6</v>
      </c>
      <c r="AJ797" s="34">
        <f>IF(E797=1,Orders!N794,"")</f>
        <v>3.3</v>
      </c>
      <c r="AK797" s="34">
        <f>IF(E797=1,Orders!O794,"")</f>
        <v>6.4</v>
      </c>
      <c r="AL797" s="33">
        <f>IF(E797=1,IF(ROUND(ABS(AI797+AJ797+AK797-AH797),6)&lt;=0.1,1,0),"")</f>
        <v>1</v>
      </c>
      <c r="AM797" s="36">
        <f>IF(E797=1,AI797/AH797,"")</f>
        <v>0.321678321678322</v>
      </c>
      <c r="AN797" s="36">
        <f>IF(E797=1,AJ797/AH797,"")</f>
        <v>0.230769230769231</v>
      </c>
      <c r="AO797" s="36">
        <f>IF(E797=1,AK797/AH797,"")</f>
        <v>0.447552447552448</v>
      </c>
      <c r="AP797" s="34">
        <f>IF(E797=1,Orders!Y794,"")</f>
        <v>0.45</v>
      </c>
      <c r="AQ797" s="33">
        <f>IF(Orders!X794,1,0)</f>
        <v>0</v>
      </c>
      <c r="AR797" s="34" t="str">
        <f>IF(AND(E797=1,L797=1),AJ797,"")</f>
        <v/>
      </c>
      <c r="AS797" s="34">
        <f>IF(AND(E797=1,L797=0),AJ797,"")</f>
        <v>3.3</v>
      </c>
      <c r="AT797" s="34" t="str">
        <f>IF(AND(E797=1,L797=1),AI797,"")</f>
        <v/>
      </c>
      <c r="AU797" s="34">
        <f>IF(AND(E797=1,L797=0),AI797,"")</f>
        <v>4.6</v>
      </c>
      <c r="AV797" s="34" t="str">
        <f>IF(AND(E797=1,L797=1),AG797,"")</f>
        <v/>
      </c>
      <c r="AW797" s="34">
        <f>IF(AND(E797=1,L797=0),AG797,"")</f>
        <v>10.7</v>
      </c>
      <c r="AX797" s="34" t="str">
        <f>IF(AND(E797=1,L797=1),AH797,"")</f>
        <v/>
      </c>
      <c r="AY797" s="34">
        <f>IF(AND(E797=1,L797=0),AH797,"")</f>
        <v>14.3</v>
      </c>
      <c r="AZ797" s="34">
        <f>IF(G797=1,F797,"")</f>
        <v>3.6</v>
      </c>
      <c r="BA797" s="34" t="str">
        <f>IF(AND(G797=1,L797=1),F797,"")</f>
        <v/>
      </c>
      <c r="BB797" s="34">
        <f>IF(AND(G797=1,L797=0),F797,"")</f>
        <v>3.6</v>
      </c>
      <c r="BC797" s="33">
        <f>IF(E797=1,IF(Orders!R794&gt;3,1,0),"")</f>
        <v>1</v>
      </c>
      <c r="BD797" s="33">
        <f>IF(E797=1,IF(Orders!R794&gt;7,1,0),"")</f>
        <v>0</v>
      </c>
      <c r="BE797" s="32" t="str">
        <f>IF(E797=1,IF(Orders!L794&lt;=1.5,"Up to 1.5 km",IF(Orders!L794&lt;=3,"1.5–3 km","Over 3 km")),"")</f>
        <v>Up to 1.5 km</v>
      </c>
      <c r="BF797" s="33">
        <f>IF(E797=1,IF(ABS((Orders!G794-Orders!F794)*1440-Orders!R794)&lt;0.06,1,0),"")</f>
        <v>1</v>
      </c>
      <c r="BG797" s="33">
        <f>IF(ABS((Orders!F794-Orders!E794)*1440-Orders!P794)&lt;0.06,1,0)</f>
        <v>1</v>
      </c>
      <c r="BH797" s="33">
        <f>IF(E797=1,IF(IF(Orders!S794,1,0)=1-G797,1,0),"")</f>
        <v>1</v>
      </c>
      <c r="BI797" s="32" t="str">
        <f>INDEX(Stores!$B$2:$B$21,MATCH(B797,Stores!$A$2:$A$21,0))</f>
        <v>Mumbai</v>
      </c>
    </row>
    <row r="798">
      <c r="A798" s="32" t="str">
        <f>Orders!A795</f>
        <v>O00794</v>
      </c>
      <c r="B798" s="32" t="str">
        <f>Orders!C795</f>
        <v>S017</v>
      </c>
      <c r="C798" s="32" t="str">
        <f>Orders!B795</f>
        <v>C0130</v>
      </c>
      <c r="D798" s="32" t="str">
        <f>Orders!H795</f>
        <v>Delivered</v>
      </c>
      <c r="E798" s="33">
        <f>IF(Orders!H795="Delivered",1,0)</f>
        <v>1</v>
      </c>
      <c r="F798" s="34">
        <f>IF(E798=1,Orders!R795,"")</f>
        <v>-0.5</v>
      </c>
      <c r="G798" s="33">
        <f>IF(E798=1,IF(Orders!R795&gt;0,1,0),"")</f>
        <v>0</v>
      </c>
      <c r="H798" s="33">
        <f>IF(E798=1,IF(Orders!R795&gt;5,1,0),"")</f>
        <v>0</v>
      </c>
      <c r="I798" s="32" t="str">
        <f>IF(E798=1,"",IF(OR(Orders!T795="Rider unavailable",Orders!T795="Item unavailable"),"Company-caused","Unresolved"))</f>
        <v/>
      </c>
      <c r="J798" s="33">
        <f>IF(OR(E798=1,I798="Company-caused"),1,0)</f>
        <v>1</v>
      </c>
      <c r="K798" s="32" t="str">
        <f>IF(E798=0,IF(I798="Company-caused",IF(Orders!T795="Rider unavailable","C1 Rider unavailable","C2 Item unavailable"),"Outside root: unresolved"),IF(G798=0,"A On time",IF(H798=1,IF(L798=1,"B2a Severe, peak","B2b Severe, off-peak"),IF(L798=1,"B1a Slight, peak","B1b Slight, off-peak"))))</f>
        <v>A On time</v>
      </c>
      <c r="L798" s="33">
        <f>IF(AND(Orders!U795&gt;=19,Orders!U795&lt;22),1,0)</f>
        <v>0</v>
      </c>
      <c r="M798" s="33">
        <f>IF(L798=IF(Orders!V795,1,0),1,0)</f>
        <v>1</v>
      </c>
      <c r="N798" s="32" t="str">
        <f>IF(Orders!W795="","None",Orders!W795)</f>
        <v>None</v>
      </c>
      <c r="O798" s="35">
        <f>INT(Orders!E795)</f>
        <v>46271.0</v>
      </c>
      <c r="P798" s="33">
        <f>Orders!U795</f>
        <v>13</v>
      </c>
      <c r="Q798" s="33">
        <f>COUNTIFS(Demand!$A$2:$A$4481,B798,Demand!$B$2:$B$4481,O798,Demand!$C$2:$C$4481,P798)</f>
        <v>1</v>
      </c>
      <c r="R798" s="33">
        <f>IF(Q798=1,SUMIFS(Demand!$E$2:$E$4481,Demand!$A$2:$A$4481,B798,Demand!$B$2:$B$4481,O798,Demand!$C$2:$C$4481,P798),"")</f>
        <v>34</v>
      </c>
      <c r="S798" s="33">
        <f>INDEX(Stores!$G$2:$G$21,MATCH(B798,Stores!$A$2:$A$21,0))</f>
        <v>36</v>
      </c>
      <c r="T798" s="34">
        <f>IF(R798="","",R798/S798)</f>
        <v>0.944444444444444</v>
      </c>
      <c r="U798" s="34">
        <f>IF(E798=1,T798,"")</f>
        <v>0.944444444444444</v>
      </c>
      <c r="V798" s="34">
        <f>IF(AND(E798=1,L798=0),T798,"")</f>
        <v>0.944444444444444</v>
      </c>
      <c r="W798" s="33">
        <f>IF(U798="","",IF(U798&lt;=Breakdowns!$C$5,1,IF(U798&lt;=Breakdowns!$C$6,2,IF(U798&lt;=Breakdowns!$C$7,3,4))))</f>
        <v>2</v>
      </c>
      <c r="X798" s="33">
        <f>IF(V798="","",IF(V798&lt;=Breakdowns!$D$5,1,IF(V798&lt;=Breakdowns!$D$6,2,IF(V798&lt;=Breakdowns!$D$7,3,4))))</f>
        <v>3</v>
      </c>
      <c r="Y798" s="34">
        <f>INDEX(Stores!$F$2:$F$21,MATCH(B798,Stores!$A$2:$A$21,0))</f>
        <v>2.16</v>
      </c>
      <c r="Z798" s="33">
        <f>IF(Y798&gt;Store_Summary!$M$2,1,0)</f>
        <v>0</v>
      </c>
      <c r="AA798" s="33">
        <f>INDEX(Stores!$C$2:$C$21,MATCH(B798,Stores!$A$2:$A$21,0))</f>
        <v>47</v>
      </c>
      <c r="AB798" s="33">
        <f>IF(AA798&lt;180,1,0)</f>
        <v>1</v>
      </c>
      <c r="AC798" s="32" t="str">
        <f>IF(Orders!D795="","",INDEX(Riders!$C$2:$C$81,MATCH(Orders!D795,Riders!$A$2:$A$81,0)))</f>
        <v>EV scooter</v>
      </c>
      <c r="AD798" s="33">
        <f>IF(Orders!D795="","",INDEX(Riders!$D$2:$D$81,MATCH(Orders!D795,Riders!$A$2:$A$81,0)))</f>
        <v>45</v>
      </c>
      <c r="AE798" s="33">
        <f>IF(Orders!D795="","",IF(INDEX(Riders!$B$2:$B$81,MATCH(Orders!D795,Riders!$A$2:$A$81,0))=B798,1,0))</f>
        <v>0</v>
      </c>
      <c r="AF798" s="34">
        <f>IF(E798=1,Orders!L795,"")</f>
        <v>1.37</v>
      </c>
      <c r="AG798" s="34">
        <f>IF(E798=1,Orders!P795,"")</f>
        <v>10.1</v>
      </c>
      <c r="AH798" s="34">
        <f>IF(E798=1,Orders!Q795,"")</f>
        <v>9.6</v>
      </c>
      <c r="AI798" s="34">
        <f>IF(E798=1,Orders!M795,"")</f>
        <v>2.3</v>
      </c>
      <c r="AJ798" s="34">
        <f>IF(E798=1,Orders!N795,"")</f>
        <v>4.9</v>
      </c>
      <c r="AK798" s="34">
        <f>IF(E798=1,Orders!O795,"")</f>
        <v>2.4</v>
      </c>
      <c r="AL798" s="33">
        <f>IF(E798=1,IF(ROUND(ABS(AI798+AJ798+AK798-AH798),6)&lt;=0.1,1,0),"")</f>
        <v>1</v>
      </c>
      <c r="AM798" s="36">
        <f>IF(E798=1,AI798/AH798,"")</f>
        <v>0.239583333333333</v>
      </c>
      <c r="AN798" s="36">
        <f>IF(E798=1,AJ798/AH798,"")</f>
        <v>0.510416666666667</v>
      </c>
      <c r="AO798" s="36">
        <f>IF(E798=1,AK798/AH798,"")</f>
        <v>0.25</v>
      </c>
      <c r="AP798" s="34">
        <f>IF(E798=1,Orders!Y795,"")</f>
        <v>0.36</v>
      </c>
      <c r="AQ798" s="33">
        <f>IF(Orders!X795,1,0)</f>
        <v>0</v>
      </c>
      <c r="AR798" s="34" t="str">
        <f>IF(AND(E798=1,L798=1),AJ798,"")</f>
        <v/>
      </c>
      <c r="AS798" s="34">
        <f>IF(AND(E798=1,L798=0),AJ798,"")</f>
        <v>4.9</v>
      </c>
      <c r="AT798" s="34" t="str">
        <f>IF(AND(E798=1,L798=1),AI798,"")</f>
        <v/>
      </c>
      <c r="AU798" s="34">
        <f>IF(AND(E798=1,L798=0),AI798,"")</f>
        <v>2.3</v>
      </c>
      <c r="AV798" s="34" t="str">
        <f>IF(AND(E798=1,L798=1),AG798,"")</f>
        <v/>
      </c>
      <c r="AW798" s="34">
        <f>IF(AND(E798=1,L798=0),AG798,"")</f>
        <v>10.1</v>
      </c>
      <c r="AX798" s="34" t="str">
        <f>IF(AND(E798=1,L798=1),AH798,"")</f>
        <v/>
      </c>
      <c r="AY798" s="34">
        <f>IF(AND(E798=1,L798=0),AH798,"")</f>
        <v>9.6</v>
      </c>
      <c r="AZ798" s="34" t="str">
        <f>IF(G798=1,F798,"")</f>
        <v/>
      </c>
      <c r="BA798" s="34" t="str">
        <f>IF(AND(G798=1,L798=1),F798,"")</f>
        <v/>
      </c>
      <c r="BB798" s="34" t="str">
        <f>IF(AND(G798=1,L798=0),F798,"")</f>
        <v/>
      </c>
      <c r="BC798" s="33">
        <f>IF(E798=1,IF(Orders!R795&gt;3,1,0),"")</f>
        <v>0</v>
      </c>
      <c r="BD798" s="33">
        <f>IF(E798=1,IF(Orders!R795&gt;7,1,0),"")</f>
        <v>0</v>
      </c>
      <c r="BE798" s="32" t="str">
        <f>IF(E798=1,IF(Orders!L795&lt;=1.5,"Up to 1.5 km",IF(Orders!L795&lt;=3,"1.5–3 km","Over 3 km")),"")</f>
        <v>Up to 1.5 km</v>
      </c>
      <c r="BF798" s="33">
        <f>IF(E798=1,IF(ABS((Orders!G795-Orders!F795)*1440-Orders!R795)&lt;0.06,1,0),"")</f>
        <v>1</v>
      </c>
      <c r="BG798" s="33">
        <f>IF(ABS((Orders!F795-Orders!E795)*1440-Orders!P795)&lt;0.06,1,0)</f>
        <v>1</v>
      </c>
      <c r="BH798" s="33">
        <f>IF(E798=1,IF(IF(Orders!S795,1,0)=1-G798,1,0),"")</f>
        <v>1</v>
      </c>
      <c r="BI798" s="32" t="str">
        <f>INDEX(Stores!$B$2:$B$21,MATCH(B798,Stores!$A$2:$A$21,0))</f>
        <v>Hyderabad</v>
      </c>
    </row>
    <row r="799">
      <c r="A799" s="32" t="str">
        <f>Orders!A796</f>
        <v>O00795</v>
      </c>
      <c r="B799" s="32" t="str">
        <f>Orders!C796</f>
        <v>S007</v>
      </c>
      <c r="C799" s="32" t="str">
        <f>Orders!B796</f>
        <v>C0146</v>
      </c>
      <c r="D799" s="32" t="str">
        <f>Orders!H796</f>
        <v>Delivered</v>
      </c>
      <c r="E799" s="33">
        <f>IF(Orders!H796="Delivered",1,0)</f>
        <v>1</v>
      </c>
      <c r="F799" s="34">
        <f>IF(E799=1,Orders!R796,"")</f>
        <v>2.6</v>
      </c>
      <c r="G799" s="33">
        <f>IF(E799=1,IF(Orders!R796&gt;0,1,0),"")</f>
        <v>1</v>
      </c>
      <c r="H799" s="33">
        <f>IF(E799=1,IF(Orders!R796&gt;5,1,0),"")</f>
        <v>0</v>
      </c>
      <c r="I799" s="32" t="str">
        <f>IF(E799=1,"",IF(OR(Orders!T796="Rider unavailable",Orders!T796="Item unavailable"),"Company-caused","Unresolved"))</f>
        <v/>
      </c>
      <c r="J799" s="33">
        <f>IF(OR(E799=1,I799="Company-caused"),1,0)</f>
        <v>1</v>
      </c>
      <c r="K799" s="32" t="str">
        <f>IF(E799=0,IF(I799="Company-caused",IF(Orders!T796="Rider unavailable","C1 Rider unavailable","C2 Item unavailable"),"Outside root: unresolved"),IF(G799=0,"A On time",IF(H799=1,IF(L799=1,"B2a Severe, peak","B2b Severe, off-peak"),IF(L799=1,"B1a Slight, peak","B1b Slight, off-peak"))))</f>
        <v>B1b Slight, off-peak</v>
      </c>
      <c r="L799" s="33">
        <f>IF(AND(Orders!U796&gt;=19,Orders!U796&lt;22),1,0)</f>
        <v>0</v>
      </c>
      <c r="M799" s="33">
        <f>IF(L799=IF(Orders!V796,1,0),1,0)</f>
        <v>1</v>
      </c>
      <c r="N799" s="32" t="str">
        <f>IF(Orders!W796="","None",Orders!W796)</f>
        <v>Heavy</v>
      </c>
      <c r="O799" s="35">
        <f>INT(Orders!E796)</f>
        <v>46276.0</v>
      </c>
      <c r="P799" s="33">
        <f>Orders!U796</f>
        <v>11</v>
      </c>
      <c r="Q799" s="33">
        <f>COUNTIFS(Demand!$A$2:$A$4481,B799,Demand!$B$2:$B$4481,O799,Demand!$C$2:$C$4481,P799)</f>
        <v>1</v>
      </c>
      <c r="R799" s="33">
        <f>IF(Q799=1,SUMIFS(Demand!$E$2:$E$4481,Demand!$A$2:$A$4481,B799,Demand!$B$2:$B$4481,O799,Demand!$C$2:$C$4481,P799),"")</f>
        <v>48</v>
      </c>
      <c r="S799" s="33">
        <f>INDEX(Stores!$G$2:$G$21,MATCH(B799,Stores!$A$2:$A$21,0))</f>
        <v>37</v>
      </c>
      <c r="T799" s="34">
        <f>IF(R799="","",R799/S799)</f>
        <v>1.2972972972973</v>
      </c>
      <c r="U799" s="34">
        <f>IF(E799=1,T799,"")</f>
        <v>1.2972972972973</v>
      </c>
      <c r="V799" s="34">
        <f>IF(AND(E799=1,L799=0),T799,"")</f>
        <v>1.2972972972973</v>
      </c>
      <c r="W799" s="33">
        <f>IF(U799="","",IF(U799&lt;=Breakdowns!$C$5,1,IF(U799&lt;=Breakdowns!$C$6,2,IF(U799&lt;=Breakdowns!$C$7,3,4))))</f>
        <v>4</v>
      </c>
      <c r="X799" s="33">
        <f>IF(V799="","",IF(V799&lt;=Breakdowns!$D$5,1,IF(V799&lt;=Breakdowns!$D$6,2,IF(V799&lt;=Breakdowns!$D$7,3,4))))</f>
        <v>4</v>
      </c>
      <c r="Y799" s="34">
        <f>INDEX(Stores!$F$2:$F$21,MATCH(B799,Stores!$A$2:$A$21,0))</f>
        <v>4.05</v>
      </c>
      <c r="Z799" s="33">
        <f>IF(Y799&gt;Store_Summary!$M$2,1,0)</f>
        <v>0</v>
      </c>
      <c r="AA799" s="33">
        <f>INDEX(Stores!$C$2:$C$21,MATCH(B799,Stores!$A$2:$A$21,0))</f>
        <v>661</v>
      </c>
      <c r="AB799" s="33">
        <f>IF(AA799&lt;180,1,0)</f>
        <v>0</v>
      </c>
      <c r="AC799" s="32" t="str">
        <f>IF(Orders!D796="","",INDEX(Riders!$C$2:$C$81,MATCH(Orders!D796,Riders!$A$2:$A$81,0)))</f>
        <v>EV scooter</v>
      </c>
      <c r="AD799" s="33">
        <f>IF(Orders!D796="","",INDEX(Riders!$D$2:$D$81,MATCH(Orders!D796,Riders!$A$2:$A$81,0)))</f>
        <v>36</v>
      </c>
      <c r="AE799" s="33">
        <f>IF(Orders!D796="","",IF(INDEX(Riders!$B$2:$B$81,MATCH(Orders!D796,Riders!$A$2:$A$81,0))=B799,1,0))</f>
        <v>0</v>
      </c>
      <c r="AF799" s="34">
        <f>IF(E799=1,Orders!L796,"")</f>
        <v>0.92</v>
      </c>
      <c r="AG799" s="34">
        <f>IF(E799=1,Orders!P796,"")</f>
        <v>10.4</v>
      </c>
      <c r="AH799" s="34">
        <f>IF(E799=1,Orders!Q796,"")</f>
        <v>13</v>
      </c>
      <c r="AI799" s="34">
        <f>IF(E799=1,Orders!M796,"")</f>
        <v>5.9</v>
      </c>
      <c r="AJ799" s="34">
        <f>IF(E799=1,Orders!N796,"")</f>
        <v>2.7</v>
      </c>
      <c r="AK799" s="34">
        <f>IF(E799=1,Orders!O796,"")</f>
        <v>4.5</v>
      </c>
      <c r="AL799" s="33">
        <f>IF(E799=1,IF(ROUND(ABS(AI799+AJ799+AK799-AH799),6)&lt;=0.1,1,0),"")</f>
        <v>1</v>
      </c>
      <c r="AM799" s="36">
        <f>IF(E799=1,AI799/AH799,"")</f>
        <v>0.453846153846154</v>
      </c>
      <c r="AN799" s="36">
        <f>IF(E799=1,AJ799/AH799,"")</f>
        <v>0.207692307692308</v>
      </c>
      <c r="AO799" s="36">
        <f>IF(E799=1,AK799/AH799,"")</f>
        <v>0.346153846153846</v>
      </c>
      <c r="AP799" s="34">
        <f>IF(E799=1,Orders!Y796,"")</f>
        <v>0.13</v>
      </c>
      <c r="AQ799" s="33">
        <f>IF(Orders!X796,1,0)</f>
        <v>0</v>
      </c>
      <c r="AR799" s="34" t="str">
        <f>IF(AND(E799=1,L799=1),AJ799,"")</f>
        <v/>
      </c>
      <c r="AS799" s="34">
        <f>IF(AND(E799=1,L799=0),AJ799,"")</f>
        <v>2.7</v>
      </c>
      <c r="AT799" s="34" t="str">
        <f>IF(AND(E799=1,L799=1),AI799,"")</f>
        <v/>
      </c>
      <c r="AU799" s="34">
        <f>IF(AND(E799=1,L799=0),AI799,"")</f>
        <v>5.9</v>
      </c>
      <c r="AV799" s="34" t="str">
        <f>IF(AND(E799=1,L799=1),AG799,"")</f>
        <v/>
      </c>
      <c r="AW799" s="34">
        <f>IF(AND(E799=1,L799=0),AG799,"")</f>
        <v>10.4</v>
      </c>
      <c r="AX799" s="34" t="str">
        <f>IF(AND(E799=1,L799=1),AH799,"")</f>
        <v/>
      </c>
      <c r="AY799" s="34">
        <f>IF(AND(E799=1,L799=0),AH799,"")</f>
        <v>13</v>
      </c>
      <c r="AZ799" s="34">
        <f>IF(G799=1,F799,"")</f>
        <v>2.6</v>
      </c>
      <c r="BA799" s="34" t="str">
        <f>IF(AND(G799=1,L799=1),F799,"")</f>
        <v/>
      </c>
      <c r="BB799" s="34">
        <f>IF(AND(G799=1,L799=0),F799,"")</f>
        <v>2.6</v>
      </c>
      <c r="BC799" s="33">
        <f>IF(E799=1,IF(Orders!R796&gt;3,1,0),"")</f>
        <v>0</v>
      </c>
      <c r="BD799" s="33">
        <f>IF(E799=1,IF(Orders!R796&gt;7,1,0),"")</f>
        <v>0</v>
      </c>
      <c r="BE799" s="32" t="str">
        <f>IF(E799=1,IF(Orders!L796&lt;=1.5,"Up to 1.5 km",IF(Orders!L796&lt;=3,"1.5–3 km","Over 3 km")),"")</f>
        <v>Up to 1.5 km</v>
      </c>
      <c r="BF799" s="33">
        <f>IF(E799=1,IF(ABS((Orders!G796-Orders!F796)*1440-Orders!R796)&lt;0.06,1,0),"")</f>
        <v>1</v>
      </c>
      <c r="BG799" s="33">
        <f>IF(ABS((Orders!F796-Orders!E796)*1440-Orders!P796)&lt;0.06,1,0)</f>
        <v>1</v>
      </c>
      <c r="BH799" s="33">
        <f>IF(E799=1,IF(IF(Orders!S796,1,0)=1-G799,1,0),"")</f>
        <v>1</v>
      </c>
      <c r="BI799" s="32" t="str">
        <f>INDEX(Stores!$B$2:$B$21,MATCH(B799,Stores!$A$2:$A$21,0))</f>
        <v>Hyderabad</v>
      </c>
    </row>
    <row r="800">
      <c r="A800" s="32" t="str">
        <f>Orders!A797</f>
        <v>O00796</v>
      </c>
      <c r="B800" s="32" t="str">
        <f>Orders!C797</f>
        <v>S012</v>
      </c>
      <c r="C800" s="32" t="str">
        <f>Orders!B797</f>
        <v>C0164</v>
      </c>
      <c r="D800" s="32" t="str">
        <f>Orders!H797</f>
        <v>Delivered</v>
      </c>
      <c r="E800" s="33">
        <f>IF(Orders!H797="Delivered",1,0)</f>
        <v>1</v>
      </c>
      <c r="F800" s="34">
        <f>IF(E800=1,Orders!R797,"")</f>
        <v>-0.9</v>
      </c>
      <c r="G800" s="33">
        <f>IF(E800=1,IF(Orders!R797&gt;0,1,0),"")</f>
        <v>0</v>
      </c>
      <c r="H800" s="33">
        <f>IF(E800=1,IF(Orders!R797&gt;5,1,0),"")</f>
        <v>0</v>
      </c>
      <c r="I800" s="32" t="str">
        <f>IF(E800=1,"",IF(OR(Orders!T797="Rider unavailable",Orders!T797="Item unavailable"),"Company-caused","Unresolved"))</f>
        <v/>
      </c>
      <c r="J800" s="33">
        <f>IF(OR(E800=1,I800="Company-caused"),1,0)</f>
        <v>1</v>
      </c>
      <c r="K800" s="32" t="str">
        <f>IF(E800=0,IF(I800="Company-caused",IF(Orders!T797="Rider unavailable","C1 Rider unavailable","C2 Item unavailable"),"Outside root: unresolved"),IF(G800=0,"A On time",IF(H800=1,IF(L800=1,"B2a Severe, peak","B2b Severe, off-peak"),IF(L800=1,"B1a Slight, peak","B1b Slight, off-peak"))))</f>
        <v>A On time</v>
      </c>
      <c r="L800" s="33">
        <f>IF(AND(Orders!U797&gt;=19,Orders!U797&lt;22),1,0)</f>
        <v>0</v>
      </c>
      <c r="M800" s="33">
        <f>IF(L800=IF(Orders!V797,1,0),1,0)</f>
        <v>1</v>
      </c>
      <c r="N800" s="32" t="str">
        <f>IF(Orders!W797="","None",Orders!W797)</f>
        <v>None</v>
      </c>
      <c r="O800" s="35">
        <f>INT(Orders!E797)</f>
        <v>46267.0</v>
      </c>
      <c r="P800" s="33">
        <f>Orders!U797</f>
        <v>23</v>
      </c>
      <c r="Q800" s="33">
        <f>COUNTIFS(Demand!$A$2:$A$4481,B800,Demand!$B$2:$B$4481,O800,Demand!$C$2:$C$4481,P800)</f>
        <v>1</v>
      </c>
      <c r="R800" s="33">
        <f>IF(Q800=1,SUMIFS(Demand!$E$2:$E$4481,Demand!$A$2:$A$4481,B800,Demand!$B$2:$B$4481,O800,Demand!$C$2:$C$4481,P800),"")</f>
        <v>18</v>
      </c>
      <c r="S800" s="33">
        <f>INDEX(Stores!$G$2:$G$21,MATCH(B800,Stores!$A$2:$A$21,0))</f>
        <v>15</v>
      </c>
      <c r="T800" s="34">
        <f>IF(R800="","",R800/S800)</f>
        <v>1.2</v>
      </c>
      <c r="U800" s="34">
        <f>IF(E800=1,T800,"")</f>
        <v>1.2</v>
      </c>
      <c r="V800" s="34">
        <f>IF(AND(E800=1,L800=0),T800,"")</f>
        <v>1.2</v>
      </c>
      <c r="W800" s="33">
        <f>IF(U800="","",IF(U800&lt;=Breakdowns!$C$5,1,IF(U800&lt;=Breakdowns!$C$6,2,IF(U800&lt;=Breakdowns!$C$7,3,4))))</f>
        <v>3</v>
      </c>
      <c r="X800" s="33">
        <f>IF(V800="","",IF(V800&lt;=Breakdowns!$D$5,1,IF(V800&lt;=Breakdowns!$D$6,2,IF(V800&lt;=Breakdowns!$D$7,3,4))))</f>
        <v>4</v>
      </c>
      <c r="Y800" s="34">
        <f>INDEX(Stores!$F$2:$F$21,MATCH(B800,Stores!$A$2:$A$21,0))</f>
        <v>5.23</v>
      </c>
      <c r="Z800" s="33">
        <f>IF(Y800&gt;Store_Summary!$M$2,1,0)</f>
        <v>1</v>
      </c>
      <c r="AA800" s="33">
        <f>INDEX(Stores!$C$2:$C$21,MATCH(B800,Stores!$A$2:$A$21,0))</f>
        <v>300</v>
      </c>
      <c r="AB800" s="33">
        <f>IF(AA800&lt;180,1,0)</f>
        <v>0</v>
      </c>
      <c r="AC800" s="32" t="str">
        <f>IF(Orders!D797="","",INDEX(Riders!$C$2:$C$81,MATCH(Orders!D797,Riders!$A$2:$A$81,0)))</f>
        <v>Petrol scooter</v>
      </c>
      <c r="AD800" s="33">
        <f>IF(Orders!D797="","",INDEX(Riders!$D$2:$D$81,MATCH(Orders!D797,Riders!$A$2:$A$81,0)))</f>
        <v>37</v>
      </c>
      <c r="AE800" s="33">
        <f>IF(Orders!D797="","",IF(INDEX(Riders!$B$2:$B$81,MATCH(Orders!D797,Riders!$A$2:$A$81,0))=B800,1,0))</f>
        <v>0</v>
      </c>
      <c r="AF800" s="34">
        <f>IF(E800=1,Orders!L797,"")</f>
        <v>2.99</v>
      </c>
      <c r="AG800" s="34">
        <f>IF(E800=1,Orders!P797,"")</f>
        <v>13.1</v>
      </c>
      <c r="AH800" s="34">
        <f>IF(E800=1,Orders!Q797,"")</f>
        <v>12.2</v>
      </c>
      <c r="AI800" s="34">
        <f>IF(E800=1,Orders!M797,"")</f>
        <v>4.7</v>
      </c>
      <c r="AJ800" s="34">
        <f>IF(E800=1,Orders!N797,"")</f>
        <v>3.8</v>
      </c>
      <c r="AK800" s="34">
        <f>IF(E800=1,Orders!O797,"")</f>
        <v>3.7</v>
      </c>
      <c r="AL800" s="33">
        <f>IF(E800=1,IF(ROUND(ABS(AI800+AJ800+AK800-AH800),6)&lt;=0.1,1,0),"")</f>
        <v>1</v>
      </c>
      <c r="AM800" s="36">
        <f>IF(E800=1,AI800/AH800,"")</f>
        <v>0.385245901639344</v>
      </c>
      <c r="AN800" s="36">
        <f>IF(E800=1,AJ800/AH800,"")</f>
        <v>0.311475409836066</v>
      </c>
      <c r="AO800" s="36">
        <f>IF(E800=1,AK800/AH800,"")</f>
        <v>0.30327868852459</v>
      </c>
      <c r="AP800" s="34">
        <f>IF(E800=1,Orders!Y797,"")</f>
        <v>0.44</v>
      </c>
      <c r="AQ800" s="33">
        <f>IF(Orders!X797,1,0)</f>
        <v>0</v>
      </c>
      <c r="AR800" s="34" t="str">
        <f>IF(AND(E800=1,L800=1),AJ800,"")</f>
        <v/>
      </c>
      <c r="AS800" s="34">
        <f>IF(AND(E800=1,L800=0),AJ800,"")</f>
        <v>3.8</v>
      </c>
      <c r="AT800" s="34" t="str">
        <f>IF(AND(E800=1,L800=1),AI800,"")</f>
        <v/>
      </c>
      <c r="AU800" s="34">
        <f>IF(AND(E800=1,L800=0),AI800,"")</f>
        <v>4.7</v>
      </c>
      <c r="AV800" s="34" t="str">
        <f>IF(AND(E800=1,L800=1),AG800,"")</f>
        <v/>
      </c>
      <c r="AW800" s="34">
        <f>IF(AND(E800=1,L800=0),AG800,"")</f>
        <v>13.1</v>
      </c>
      <c r="AX800" s="34" t="str">
        <f>IF(AND(E800=1,L800=1),AH800,"")</f>
        <v/>
      </c>
      <c r="AY800" s="34">
        <f>IF(AND(E800=1,L800=0),AH800,"")</f>
        <v>12.2</v>
      </c>
      <c r="AZ800" s="34" t="str">
        <f>IF(G800=1,F800,"")</f>
        <v/>
      </c>
      <c r="BA800" s="34" t="str">
        <f>IF(AND(G800=1,L800=1),F800,"")</f>
        <v/>
      </c>
      <c r="BB800" s="34" t="str">
        <f>IF(AND(G800=1,L800=0),F800,"")</f>
        <v/>
      </c>
      <c r="BC800" s="33">
        <f>IF(E800=1,IF(Orders!R797&gt;3,1,0),"")</f>
        <v>0</v>
      </c>
      <c r="BD800" s="33">
        <f>IF(E800=1,IF(Orders!R797&gt;7,1,0),"")</f>
        <v>0</v>
      </c>
      <c r="BE800" s="32" t="str">
        <f>IF(E800=1,IF(Orders!L797&lt;=1.5,"Up to 1.5 km",IF(Orders!L797&lt;=3,"1.5–3 km","Over 3 km")),"")</f>
        <v>1.5–3 km</v>
      </c>
      <c r="BF800" s="33">
        <f>IF(E800=1,IF(ABS((Orders!G797-Orders!F797)*1440-Orders!R797)&lt;0.06,1,0),"")</f>
        <v>1</v>
      </c>
      <c r="BG800" s="33">
        <f>IF(ABS((Orders!F797-Orders!E797)*1440-Orders!P797)&lt;0.06,1,0)</f>
        <v>1</v>
      </c>
      <c r="BH800" s="33">
        <f>IF(E800=1,IF(IF(Orders!S797,1,0)=1-G800,1,0),"")</f>
        <v>1</v>
      </c>
      <c r="BI800" s="32" t="str">
        <f>INDEX(Stores!$B$2:$B$21,MATCH(B800,Stores!$A$2:$A$21,0))</f>
        <v>Hyderabad</v>
      </c>
    </row>
    <row r="801">
      <c r="A801" s="32" t="str">
        <f>Orders!A798</f>
        <v>O00797</v>
      </c>
      <c r="B801" s="32" t="str">
        <f>Orders!C798</f>
        <v>S011</v>
      </c>
      <c r="C801" s="32" t="str">
        <f>Orders!B798</f>
        <v>C0160</v>
      </c>
      <c r="D801" s="32" t="str">
        <f>Orders!H798</f>
        <v>Delivered</v>
      </c>
      <c r="E801" s="33">
        <f>IF(Orders!H798="Delivered",1,0)</f>
        <v>1</v>
      </c>
      <c r="F801" s="34">
        <f>IF(E801=1,Orders!R798,"")</f>
        <v>-0.2</v>
      </c>
      <c r="G801" s="33">
        <f>IF(E801=1,IF(Orders!R798&gt;0,1,0),"")</f>
        <v>0</v>
      </c>
      <c r="H801" s="33">
        <f>IF(E801=1,IF(Orders!R798&gt;5,1,0),"")</f>
        <v>0</v>
      </c>
      <c r="I801" s="32" t="str">
        <f>IF(E801=1,"",IF(OR(Orders!T798="Rider unavailable",Orders!T798="Item unavailable"),"Company-caused","Unresolved"))</f>
        <v/>
      </c>
      <c r="J801" s="33">
        <f>IF(OR(E801=1,I801="Company-caused"),1,0)</f>
        <v>1</v>
      </c>
      <c r="K801" s="32" t="str">
        <f>IF(E801=0,IF(I801="Company-caused",IF(Orders!T798="Rider unavailable","C1 Rider unavailable","C2 Item unavailable"),"Outside root: unresolved"),IF(G801=0,"A On time",IF(H801=1,IF(L801=1,"B2a Severe, peak","B2b Severe, off-peak"),IF(L801=1,"B1a Slight, peak","B1b Slight, off-peak"))))</f>
        <v>A On time</v>
      </c>
      <c r="L801" s="33">
        <f>IF(AND(Orders!U798&gt;=19,Orders!U798&lt;22),1,0)</f>
        <v>1</v>
      </c>
      <c r="M801" s="33">
        <f>IF(L801=IF(Orders!V798,1,0),1,0)</f>
        <v>1</v>
      </c>
      <c r="N801" s="32" t="str">
        <f>IF(Orders!W798="","None",Orders!W798)</f>
        <v>None</v>
      </c>
      <c r="O801" s="35">
        <f>INT(Orders!E798)</f>
        <v>46276.0</v>
      </c>
      <c r="P801" s="33">
        <f>Orders!U798</f>
        <v>19</v>
      </c>
      <c r="Q801" s="33">
        <f>COUNTIFS(Demand!$A$2:$A$4481,B801,Demand!$B$2:$B$4481,O801,Demand!$C$2:$C$4481,P801)</f>
        <v>1</v>
      </c>
      <c r="R801" s="33">
        <f>IF(Q801=1,SUMIFS(Demand!$E$2:$E$4481,Demand!$A$2:$A$4481,B801,Demand!$B$2:$B$4481,O801,Demand!$C$2:$C$4481,P801),"")</f>
        <v>38</v>
      </c>
      <c r="S801" s="33">
        <f>INDEX(Stores!$G$2:$G$21,MATCH(B801,Stores!$A$2:$A$21,0))</f>
        <v>31</v>
      </c>
      <c r="T801" s="34">
        <f>IF(R801="","",R801/S801)</f>
        <v>1.2258064516129</v>
      </c>
      <c r="U801" s="34">
        <f>IF(E801=1,T801,"")</f>
        <v>1.2258064516129</v>
      </c>
      <c r="V801" s="34" t="str">
        <f>IF(AND(E801=1,L801=0),T801,"")</f>
        <v/>
      </c>
      <c r="W801" s="33">
        <f>IF(U801="","",IF(U801&lt;=Breakdowns!$C$5,1,IF(U801&lt;=Breakdowns!$C$6,2,IF(U801&lt;=Breakdowns!$C$7,3,4))))</f>
        <v>4</v>
      </c>
      <c r="X801" s="33" t="str">
        <f>IF(V801="","",IF(V801&lt;=Breakdowns!$D$5,1,IF(V801&lt;=Breakdowns!$D$6,2,IF(V801&lt;=Breakdowns!$D$7,3,4))))</f>
        <v/>
      </c>
      <c r="Y801" s="34">
        <f>INDEX(Stores!$F$2:$F$21,MATCH(B801,Stores!$A$2:$A$21,0))</f>
        <v>5.67</v>
      </c>
      <c r="Z801" s="33">
        <f>IF(Y801&gt;Store_Summary!$M$2,1,0)</f>
        <v>1</v>
      </c>
      <c r="AA801" s="33">
        <f>INDEX(Stores!$C$2:$C$21,MATCH(B801,Stores!$A$2:$A$21,0))</f>
        <v>732</v>
      </c>
      <c r="AB801" s="33">
        <f>IF(AA801&lt;180,1,0)</f>
        <v>0</v>
      </c>
      <c r="AC801" s="32" t="str">
        <f>IF(Orders!D798="","",INDEX(Riders!$C$2:$C$81,MATCH(Orders!D798,Riders!$A$2:$A$81,0)))</f>
        <v>Bicycle</v>
      </c>
      <c r="AD801" s="33">
        <f>IF(Orders!D798="","",INDEX(Riders!$D$2:$D$81,MATCH(Orders!D798,Riders!$A$2:$A$81,0)))</f>
        <v>44</v>
      </c>
      <c r="AE801" s="33">
        <f>IF(Orders!D798="","",IF(INDEX(Riders!$B$2:$B$81,MATCH(Orders!D798,Riders!$A$2:$A$81,0))=B801,1,0))</f>
        <v>0</v>
      </c>
      <c r="AF801" s="34">
        <f>IF(E801=1,Orders!L798,"")</f>
        <v>3.23</v>
      </c>
      <c r="AG801" s="34">
        <f>IF(E801=1,Orders!P798,"")</f>
        <v>9.8</v>
      </c>
      <c r="AH801" s="34">
        <f>IF(E801=1,Orders!Q798,"")</f>
        <v>9.6</v>
      </c>
      <c r="AI801" s="34">
        <f>IF(E801=1,Orders!M798,"")</f>
        <v>2.7</v>
      </c>
      <c r="AJ801" s="34">
        <f>IF(E801=1,Orders!N798,"")</f>
        <v>2.3</v>
      </c>
      <c r="AK801" s="34">
        <f>IF(E801=1,Orders!O798,"")</f>
        <v>4.6</v>
      </c>
      <c r="AL801" s="33">
        <f>IF(E801=1,IF(ROUND(ABS(AI801+AJ801+AK801-AH801),6)&lt;=0.1,1,0),"")</f>
        <v>1</v>
      </c>
      <c r="AM801" s="36">
        <f>IF(E801=1,AI801/AH801,"")</f>
        <v>0.28125</v>
      </c>
      <c r="AN801" s="36">
        <f>IF(E801=1,AJ801/AH801,"")</f>
        <v>0.239583333333333</v>
      </c>
      <c r="AO801" s="36">
        <f>IF(E801=1,AK801/AH801,"")</f>
        <v>0.479166666666667</v>
      </c>
      <c r="AP801" s="34">
        <f>IF(E801=1,Orders!Y798,"")</f>
        <v>0.89</v>
      </c>
      <c r="AQ801" s="33">
        <f>IF(Orders!X798,1,0)</f>
        <v>0</v>
      </c>
      <c r="AR801" s="34">
        <f>IF(AND(E801=1,L801=1),AJ801,"")</f>
        <v>2.3</v>
      </c>
      <c r="AS801" s="34" t="str">
        <f>IF(AND(E801=1,L801=0),AJ801,"")</f>
        <v/>
      </c>
      <c r="AT801" s="34">
        <f>IF(AND(E801=1,L801=1),AI801,"")</f>
        <v>2.7</v>
      </c>
      <c r="AU801" s="34" t="str">
        <f>IF(AND(E801=1,L801=0),AI801,"")</f>
        <v/>
      </c>
      <c r="AV801" s="34">
        <f>IF(AND(E801=1,L801=1),AG801,"")</f>
        <v>9.8</v>
      </c>
      <c r="AW801" s="34" t="str">
        <f>IF(AND(E801=1,L801=0),AG801,"")</f>
        <v/>
      </c>
      <c r="AX801" s="34">
        <f>IF(AND(E801=1,L801=1),AH801,"")</f>
        <v>9.6</v>
      </c>
      <c r="AY801" s="34" t="str">
        <f>IF(AND(E801=1,L801=0),AH801,"")</f>
        <v/>
      </c>
      <c r="AZ801" s="34" t="str">
        <f>IF(G801=1,F801,"")</f>
        <v/>
      </c>
      <c r="BA801" s="34" t="str">
        <f>IF(AND(G801=1,L801=1),F801,"")</f>
        <v/>
      </c>
      <c r="BB801" s="34" t="str">
        <f>IF(AND(G801=1,L801=0),F801,"")</f>
        <v/>
      </c>
      <c r="BC801" s="33">
        <f>IF(E801=1,IF(Orders!R798&gt;3,1,0),"")</f>
        <v>0</v>
      </c>
      <c r="BD801" s="33">
        <f>IF(E801=1,IF(Orders!R798&gt;7,1,0),"")</f>
        <v>0</v>
      </c>
      <c r="BE801" s="32" t="str">
        <f>IF(E801=1,IF(Orders!L798&lt;=1.5,"Up to 1.5 km",IF(Orders!L798&lt;=3,"1.5–3 km","Over 3 km")),"")</f>
        <v>Over 3 km</v>
      </c>
      <c r="BF801" s="33">
        <f>IF(E801=1,IF(ABS((Orders!G798-Orders!F798)*1440-Orders!R798)&lt;0.06,1,0),"")</f>
        <v>1</v>
      </c>
      <c r="BG801" s="33">
        <f>IF(ABS((Orders!F798-Orders!E798)*1440-Orders!P798)&lt;0.06,1,0)</f>
        <v>1</v>
      </c>
      <c r="BH801" s="33">
        <f>IF(E801=1,IF(IF(Orders!S798,1,0)=1-G801,1,0),"")</f>
        <v>1</v>
      </c>
      <c r="BI801" s="32" t="str">
        <f>INDEX(Stores!$B$2:$B$21,MATCH(B801,Stores!$A$2:$A$21,0))</f>
        <v>Bengaluru</v>
      </c>
    </row>
    <row r="802">
      <c r="A802" s="32" t="str">
        <f>Orders!A799</f>
        <v>O00798</v>
      </c>
      <c r="B802" s="32" t="str">
        <f>Orders!C799</f>
        <v>S003</v>
      </c>
      <c r="C802" s="32" t="str">
        <f>Orders!B799</f>
        <v>C0228</v>
      </c>
      <c r="D802" s="32" t="str">
        <f>Orders!H799</f>
        <v>Delivered</v>
      </c>
      <c r="E802" s="33">
        <f>IF(Orders!H799="Delivered",1,0)</f>
        <v>1</v>
      </c>
      <c r="F802" s="34">
        <f>IF(E802=1,Orders!R799,"")</f>
        <v>-0.5</v>
      </c>
      <c r="G802" s="33">
        <f>IF(E802=1,IF(Orders!R799&gt;0,1,0),"")</f>
        <v>0</v>
      </c>
      <c r="H802" s="33">
        <f>IF(E802=1,IF(Orders!R799&gt;5,1,0),"")</f>
        <v>0</v>
      </c>
      <c r="I802" s="32" t="str">
        <f>IF(E802=1,"",IF(OR(Orders!T799="Rider unavailable",Orders!T799="Item unavailable"),"Company-caused","Unresolved"))</f>
        <v/>
      </c>
      <c r="J802" s="33">
        <f>IF(OR(E802=1,I802="Company-caused"),1,0)</f>
        <v>1</v>
      </c>
      <c r="K802" s="32" t="str">
        <f>IF(E802=0,IF(I802="Company-caused",IF(Orders!T799="Rider unavailable","C1 Rider unavailable","C2 Item unavailable"),"Outside root: unresolved"),IF(G802=0,"A On time",IF(H802=1,IF(L802=1,"B2a Severe, peak","B2b Severe, off-peak"),IF(L802=1,"B1a Slight, peak","B1b Slight, off-peak"))))</f>
        <v>A On time</v>
      </c>
      <c r="L802" s="33">
        <f>IF(AND(Orders!U799&gt;=19,Orders!U799&lt;22),1,0)</f>
        <v>0</v>
      </c>
      <c r="M802" s="33">
        <f>IF(L802=IF(Orders!V799,1,0),1,0)</f>
        <v>1</v>
      </c>
      <c r="N802" s="32" t="str">
        <f>IF(Orders!W799="","None",Orders!W799)</f>
        <v>Light</v>
      </c>
      <c r="O802" s="35">
        <f>INT(Orders!E799)</f>
        <v>46278.0</v>
      </c>
      <c r="P802" s="33">
        <f>Orders!U799</f>
        <v>13</v>
      </c>
      <c r="Q802" s="33">
        <f>COUNTIFS(Demand!$A$2:$A$4481,B802,Demand!$B$2:$B$4481,O802,Demand!$C$2:$C$4481,P802)</f>
        <v>1</v>
      </c>
      <c r="R802" s="33">
        <f>IF(Q802=1,SUMIFS(Demand!$E$2:$E$4481,Demand!$A$2:$A$4481,B802,Demand!$B$2:$B$4481,O802,Demand!$C$2:$C$4481,P802),"")</f>
        <v>36</v>
      </c>
      <c r="S802" s="33">
        <f>INDEX(Stores!$G$2:$G$21,MATCH(B802,Stores!$A$2:$A$21,0))</f>
        <v>41</v>
      </c>
      <c r="T802" s="34">
        <f>IF(R802="","",R802/S802)</f>
        <v>0.878048780487805</v>
      </c>
      <c r="U802" s="34">
        <f>IF(E802=1,T802,"")</f>
        <v>0.878048780487805</v>
      </c>
      <c r="V802" s="34">
        <f>IF(AND(E802=1,L802=0),T802,"")</f>
        <v>0.878048780487805</v>
      </c>
      <c r="W802" s="33">
        <f>IF(U802="","",IF(U802&lt;=Breakdowns!$C$5,1,IF(U802&lt;=Breakdowns!$C$6,2,IF(U802&lt;=Breakdowns!$C$7,3,4))))</f>
        <v>2</v>
      </c>
      <c r="X802" s="33">
        <f>IF(V802="","",IF(V802&lt;=Breakdowns!$D$5,1,IF(V802&lt;=Breakdowns!$D$6,2,IF(V802&lt;=Breakdowns!$D$7,3,4))))</f>
        <v>2</v>
      </c>
      <c r="Y802" s="34">
        <f>INDEX(Stores!$F$2:$F$21,MATCH(B802,Stores!$A$2:$A$21,0))</f>
        <v>3.84</v>
      </c>
      <c r="Z802" s="33">
        <f>IF(Y802&gt;Store_Summary!$M$2,1,0)</f>
        <v>0</v>
      </c>
      <c r="AA802" s="33">
        <f>INDEX(Stores!$C$2:$C$21,MATCH(B802,Stores!$A$2:$A$21,0))</f>
        <v>426</v>
      </c>
      <c r="AB802" s="33">
        <f>IF(AA802&lt;180,1,0)</f>
        <v>0</v>
      </c>
      <c r="AC802" s="32" t="str">
        <f>IF(Orders!D799="","",INDEX(Riders!$C$2:$C$81,MATCH(Orders!D799,Riders!$A$2:$A$81,0)))</f>
        <v>EV scooter</v>
      </c>
      <c r="AD802" s="33">
        <f>IF(Orders!D799="","",INDEX(Riders!$D$2:$D$81,MATCH(Orders!D799,Riders!$A$2:$A$81,0)))</f>
        <v>3</v>
      </c>
      <c r="AE802" s="33">
        <f>IF(Orders!D799="","",IF(INDEX(Riders!$B$2:$B$81,MATCH(Orders!D799,Riders!$A$2:$A$81,0))=B802,1,0))</f>
        <v>0</v>
      </c>
      <c r="AF802" s="34">
        <f>IF(E802=1,Orders!L799,"")</f>
        <v>2.1</v>
      </c>
      <c r="AG802" s="34">
        <f>IF(E802=1,Orders!P799,"")</f>
        <v>10.5</v>
      </c>
      <c r="AH802" s="34">
        <f>IF(E802=1,Orders!Q799,"")</f>
        <v>10</v>
      </c>
      <c r="AI802" s="34">
        <f>IF(E802=1,Orders!M799,"")</f>
        <v>2.5</v>
      </c>
      <c r="AJ802" s="34">
        <f>IF(E802=1,Orders!N799,"")</f>
        <v>4.1</v>
      </c>
      <c r="AK802" s="34">
        <f>IF(E802=1,Orders!O799,"")</f>
        <v>3.4</v>
      </c>
      <c r="AL802" s="33">
        <f>IF(E802=1,IF(ROUND(ABS(AI802+AJ802+AK802-AH802),6)&lt;=0.1,1,0),"")</f>
        <v>1</v>
      </c>
      <c r="AM802" s="36">
        <f>IF(E802=1,AI802/AH802,"")</f>
        <v>0.25</v>
      </c>
      <c r="AN802" s="36">
        <f>IF(E802=1,AJ802/AH802,"")</f>
        <v>0.41</v>
      </c>
      <c r="AO802" s="36">
        <f>IF(E802=1,AK802/AH802,"")</f>
        <v>0.34</v>
      </c>
      <c r="AP802" s="34">
        <f>IF(E802=1,Orders!Y799,"")</f>
        <v>0.67</v>
      </c>
      <c r="AQ802" s="33">
        <f>IF(Orders!X799,1,0)</f>
        <v>0</v>
      </c>
      <c r="AR802" s="34" t="str">
        <f>IF(AND(E802=1,L802=1),AJ802,"")</f>
        <v/>
      </c>
      <c r="AS802" s="34">
        <f>IF(AND(E802=1,L802=0),AJ802,"")</f>
        <v>4.1</v>
      </c>
      <c r="AT802" s="34" t="str">
        <f>IF(AND(E802=1,L802=1),AI802,"")</f>
        <v/>
      </c>
      <c r="AU802" s="34">
        <f>IF(AND(E802=1,L802=0),AI802,"")</f>
        <v>2.5</v>
      </c>
      <c r="AV802" s="34" t="str">
        <f>IF(AND(E802=1,L802=1),AG802,"")</f>
        <v/>
      </c>
      <c r="AW802" s="34">
        <f>IF(AND(E802=1,L802=0),AG802,"")</f>
        <v>10.5</v>
      </c>
      <c r="AX802" s="34" t="str">
        <f>IF(AND(E802=1,L802=1),AH802,"")</f>
        <v/>
      </c>
      <c r="AY802" s="34">
        <f>IF(AND(E802=1,L802=0),AH802,"")</f>
        <v>10</v>
      </c>
      <c r="AZ802" s="34" t="str">
        <f>IF(G802=1,F802,"")</f>
        <v/>
      </c>
      <c r="BA802" s="34" t="str">
        <f>IF(AND(G802=1,L802=1),F802,"")</f>
        <v/>
      </c>
      <c r="BB802" s="34" t="str">
        <f>IF(AND(G802=1,L802=0),F802,"")</f>
        <v/>
      </c>
      <c r="BC802" s="33">
        <f>IF(E802=1,IF(Orders!R799&gt;3,1,0),"")</f>
        <v>0</v>
      </c>
      <c r="BD802" s="33">
        <f>IF(E802=1,IF(Orders!R799&gt;7,1,0),"")</f>
        <v>0</v>
      </c>
      <c r="BE802" s="32" t="str">
        <f>IF(E802=1,IF(Orders!L799&lt;=1.5,"Up to 1.5 km",IF(Orders!L799&lt;=3,"1.5–3 km","Over 3 km")),"")</f>
        <v>1.5–3 km</v>
      </c>
      <c r="BF802" s="33">
        <f>IF(E802=1,IF(ABS((Orders!G799-Orders!F799)*1440-Orders!R799)&lt;0.06,1,0),"")</f>
        <v>1</v>
      </c>
      <c r="BG802" s="33">
        <f>IF(ABS((Orders!F799-Orders!E799)*1440-Orders!P799)&lt;0.06,1,0)</f>
        <v>1</v>
      </c>
      <c r="BH802" s="33">
        <f>IF(E802=1,IF(IF(Orders!S799,1,0)=1-G802,1,0),"")</f>
        <v>1</v>
      </c>
      <c r="BI802" s="32" t="str">
        <f>INDEX(Stores!$B$2:$B$21,MATCH(B802,Stores!$A$2:$A$21,0))</f>
        <v>Mumbai</v>
      </c>
    </row>
    <row r="803">
      <c r="A803" s="32" t="str">
        <f>Orders!A800</f>
        <v>O00799</v>
      </c>
      <c r="B803" s="32" t="str">
        <f>Orders!C800</f>
        <v>S001</v>
      </c>
      <c r="C803" s="32" t="str">
        <f>Orders!B800</f>
        <v>C0196</v>
      </c>
      <c r="D803" s="32" t="str">
        <f>Orders!H800</f>
        <v>Delivered</v>
      </c>
      <c r="E803" s="33">
        <f>IF(Orders!H800="Delivered",1,0)</f>
        <v>1</v>
      </c>
      <c r="F803" s="34">
        <f>IF(E803=1,Orders!R800,"")</f>
        <v>-0.8</v>
      </c>
      <c r="G803" s="33">
        <f>IF(E803=1,IF(Orders!R800&gt;0,1,0),"")</f>
        <v>0</v>
      </c>
      <c r="H803" s="33">
        <f>IF(E803=1,IF(Orders!R800&gt;5,1,0),"")</f>
        <v>0</v>
      </c>
      <c r="I803" s="32" t="str">
        <f>IF(E803=1,"",IF(OR(Orders!T800="Rider unavailable",Orders!T800="Item unavailable"),"Company-caused","Unresolved"))</f>
        <v/>
      </c>
      <c r="J803" s="33">
        <f>IF(OR(E803=1,I803="Company-caused"),1,0)</f>
        <v>1</v>
      </c>
      <c r="K803" s="32" t="str">
        <f>IF(E803=0,IF(I803="Company-caused",IF(Orders!T800="Rider unavailable","C1 Rider unavailable","C2 Item unavailable"),"Outside root: unresolved"),IF(G803=0,"A On time",IF(H803=1,IF(L803=1,"B2a Severe, peak","B2b Severe, off-peak"),IF(L803=1,"B1a Slight, peak","B1b Slight, off-peak"))))</f>
        <v>A On time</v>
      </c>
      <c r="L803" s="33">
        <f>IF(AND(Orders!U800&gt;=19,Orders!U800&lt;22),1,0)</f>
        <v>0</v>
      </c>
      <c r="M803" s="33">
        <f>IF(L803=IF(Orders!V800,1,0),1,0)</f>
        <v>1</v>
      </c>
      <c r="N803" s="32" t="str">
        <f>IF(Orders!W800="","None",Orders!W800)</f>
        <v>Light</v>
      </c>
      <c r="O803" s="35">
        <f>INT(Orders!E800)</f>
        <v>46279.0</v>
      </c>
      <c r="P803" s="33">
        <f>Orders!U800</f>
        <v>14</v>
      </c>
      <c r="Q803" s="33">
        <f>COUNTIFS(Demand!$A$2:$A$4481,B803,Demand!$B$2:$B$4481,O803,Demand!$C$2:$C$4481,P803)</f>
        <v>1</v>
      </c>
      <c r="R803" s="33">
        <f>IF(Q803=1,SUMIFS(Demand!$E$2:$E$4481,Demand!$A$2:$A$4481,B803,Demand!$B$2:$B$4481,O803,Demand!$C$2:$C$4481,P803),"")</f>
        <v>8</v>
      </c>
      <c r="S803" s="33">
        <f>INDEX(Stores!$G$2:$G$21,MATCH(B803,Stores!$A$2:$A$21,0))</f>
        <v>16</v>
      </c>
      <c r="T803" s="34">
        <f>IF(R803="","",R803/S803)</f>
        <v>0.5</v>
      </c>
      <c r="U803" s="34">
        <f>IF(E803=1,T803,"")</f>
        <v>0.5</v>
      </c>
      <c r="V803" s="34">
        <f>IF(AND(E803=1,L803=0),T803,"")</f>
        <v>0.5</v>
      </c>
      <c r="W803" s="33">
        <f>IF(U803="","",IF(U803&lt;=Breakdowns!$C$5,1,IF(U803&lt;=Breakdowns!$C$6,2,IF(U803&lt;=Breakdowns!$C$7,3,4))))</f>
        <v>1</v>
      </c>
      <c r="X803" s="33">
        <f>IF(V803="","",IF(V803&lt;=Breakdowns!$D$5,1,IF(V803&lt;=Breakdowns!$D$6,2,IF(V803&lt;=Breakdowns!$D$7,3,4))))</f>
        <v>1</v>
      </c>
      <c r="Y803" s="34">
        <f>INDEX(Stores!$F$2:$F$21,MATCH(B803,Stores!$A$2:$A$21,0))</f>
        <v>4.59</v>
      </c>
      <c r="Z803" s="33">
        <f>IF(Y803&gt;Store_Summary!$M$2,1,0)</f>
        <v>0</v>
      </c>
      <c r="AA803" s="33">
        <f>INDEX(Stores!$C$2:$C$21,MATCH(B803,Stores!$A$2:$A$21,0))</f>
        <v>362</v>
      </c>
      <c r="AB803" s="33">
        <f>IF(AA803&lt;180,1,0)</f>
        <v>0</v>
      </c>
      <c r="AC803" s="32" t="str">
        <f>IF(Orders!D800="","",INDEX(Riders!$C$2:$C$81,MATCH(Orders!D800,Riders!$A$2:$A$81,0)))</f>
        <v>Petrol scooter</v>
      </c>
      <c r="AD803" s="33">
        <f>IF(Orders!D800="","",INDEX(Riders!$D$2:$D$81,MATCH(Orders!D800,Riders!$A$2:$A$81,0)))</f>
        <v>2</v>
      </c>
      <c r="AE803" s="33">
        <f>IF(Orders!D800="","",IF(INDEX(Riders!$B$2:$B$81,MATCH(Orders!D800,Riders!$A$2:$A$81,0))=B803,1,0))</f>
        <v>0</v>
      </c>
      <c r="AF803" s="34">
        <f>IF(E803=1,Orders!L800,"")</f>
        <v>4.25</v>
      </c>
      <c r="AG803" s="34">
        <f>IF(E803=1,Orders!P800,"")</f>
        <v>11.3</v>
      </c>
      <c r="AH803" s="34">
        <f>IF(E803=1,Orders!Q800,"")</f>
        <v>10.5</v>
      </c>
      <c r="AI803" s="34">
        <f>IF(E803=1,Orders!M800,"")</f>
        <v>3.5</v>
      </c>
      <c r="AJ803" s="34">
        <f>IF(E803=1,Orders!N800,"")</f>
        <v>1.7</v>
      </c>
      <c r="AK803" s="34">
        <f>IF(E803=1,Orders!O800,"")</f>
        <v>5.3</v>
      </c>
      <c r="AL803" s="33">
        <f>IF(E803=1,IF(ROUND(ABS(AI803+AJ803+AK803-AH803),6)&lt;=0.1,1,0),"")</f>
        <v>1</v>
      </c>
      <c r="AM803" s="36">
        <f>IF(E803=1,AI803/AH803,"")</f>
        <v>0.333333333333333</v>
      </c>
      <c r="AN803" s="36">
        <f>IF(E803=1,AJ803/AH803,"")</f>
        <v>0.161904761904762</v>
      </c>
      <c r="AO803" s="36">
        <f>IF(E803=1,AK803/AH803,"")</f>
        <v>0.504761904761905</v>
      </c>
      <c r="AP803" s="34">
        <f>IF(E803=1,Orders!Y800,"")</f>
        <v>0.36</v>
      </c>
      <c r="AQ803" s="33">
        <f>IF(Orders!X800,1,0)</f>
        <v>0</v>
      </c>
      <c r="AR803" s="34" t="str">
        <f>IF(AND(E803=1,L803=1),AJ803,"")</f>
        <v/>
      </c>
      <c r="AS803" s="34">
        <f>IF(AND(E803=1,L803=0),AJ803,"")</f>
        <v>1.7</v>
      </c>
      <c r="AT803" s="34" t="str">
        <f>IF(AND(E803=1,L803=1),AI803,"")</f>
        <v/>
      </c>
      <c r="AU803" s="34">
        <f>IF(AND(E803=1,L803=0),AI803,"")</f>
        <v>3.5</v>
      </c>
      <c r="AV803" s="34" t="str">
        <f>IF(AND(E803=1,L803=1),AG803,"")</f>
        <v/>
      </c>
      <c r="AW803" s="34">
        <f>IF(AND(E803=1,L803=0),AG803,"")</f>
        <v>11.3</v>
      </c>
      <c r="AX803" s="34" t="str">
        <f>IF(AND(E803=1,L803=1),AH803,"")</f>
        <v/>
      </c>
      <c r="AY803" s="34">
        <f>IF(AND(E803=1,L803=0),AH803,"")</f>
        <v>10.5</v>
      </c>
      <c r="AZ803" s="34" t="str">
        <f>IF(G803=1,F803,"")</f>
        <v/>
      </c>
      <c r="BA803" s="34" t="str">
        <f>IF(AND(G803=1,L803=1),F803,"")</f>
        <v/>
      </c>
      <c r="BB803" s="34" t="str">
        <f>IF(AND(G803=1,L803=0),F803,"")</f>
        <v/>
      </c>
      <c r="BC803" s="33">
        <f>IF(E803=1,IF(Orders!R800&gt;3,1,0),"")</f>
        <v>0</v>
      </c>
      <c r="BD803" s="33">
        <f>IF(E803=1,IF(Orders!R800&gt;7,1,0),"")</f>
        <v>0</v>
      </c>
      <c r="BE803" s="32" t="str">
        <f>IF(E803=1,IF(Orders!L800&lt;=1.5,"Up to 1.5 km",IF(Orders!L800&lt;=3,"1.5–3 km","Over 3 km")),"")</f>
        <v>Over 3 km</v>
      </c>
      <c r="BF803" s="33">
        <f>IF(E803=1,IF(ABS((Orders!G800-Orders!F800)*1440-Orders!R800)&lt;0.06,1,0),"")</f>
        <v>1</v>
      </c>
      <c r="BG803" s="33">
        <f>IF(ABS((Orders!F800-Orders!E800)*1440-Orders!P800)&lt;0.06,1,0)</f>
        <v>1</v>
      </c>
      <c r="BH803" s="33">
        <f>IF(E803=1,IF(IF(Orders!S800,1,0)=1-G803,1,0),"")</f>
        <v>1</v>
      </c>
      <c r="BI803" s="32" t="str">
        <f>INDEX(Stores!$B$2:$B$21,MATCH(B803,Stores!$A$2:$A$21,0))</f>
        <v>Bengaluru</v>
      </c>
    </row>
    <row r="804">
      <c r="A804" s="32" t="str">
        <f>Orders!A801</f>
        <v>O00800</v>
      </c>
      <c r="B804" s="32" t="str">
        <f>Orders!C801</f>
        <v>S014</v>
      </c>
      <c r="C804" s="32" t="str">
        <f>Orders!B801</f>
        <v>C0124</v>
      </c>
      <c r="D804" s="32" t="str">
        <f>Orders!H801</f>
        <v>Delivered</v>
      </c>
      <c r="E804" s="33">
        <f>IF(Orders!H801="Delivered",1,0)</f>
        <v>1</v>
      </c>
      <c r="F804" s="34">
        <f>IF(E804=1,Orders!R801,"")</f>
        <v>-0.8</v>
      </c>
      <c r="G804" s="33">
        <f>IF(E804=1,IF(Orders!R801&gt;0,1,0),"")</f>
        <v>0</v>
      </c>
      <c r="H804" s="33">
        <f>IF(E804=1,IF(Orders!R801&gt;5,1,0),"")</f>
        <v>0</v>
      </c>
      <c r="I804" s="32" t="str">
        <f>IF(E804=1,"",IF(OR(Orders!T801="Rider unavailable",Orders!T801="Item unavailable"),"Company-caused","Unresolved"))</f>
        <v/>
      </c>
      <c r="J804" s="33">
        <f>IF(OR(E804=1,I804="Company-caused"),1,0)</f>
        <v>1</v>
      </c>
      <c r="K804" s="32" t="str">
        <f>IF(E804=0,IF(I804="Company-caused",IF(Orders!T801="Rider unavailable","C1 Rider unavailable","C2 Item unavailable"),"Outside root: unresolved"),IF(G804=0,"A On time",IF(H804=1,IF(L804=1,"B2a Severe, peak","B2b Severe, off-peak"),IF(L804=1,"B1a Slight, peak","B1b Slight, off-peak"))))</f>
        <v>A On time</v>
      </c>
      <c r="L804" s="33">
        <f>IF(AND(Orders!U801&gt;=19,Orders!U801&lt;22),1,0)</f>
        <v>0</v>
      </c>
      <c r="M804" s="33">
        <f>IF(L804=IF(Orders!V801,1,0),1,0)</f>
        <v>1</v>
      </c>
      <c r="N804" s="32" t="str">
        <f>IF(Orders!W801="","None",Orders!W801)</f>
        <v>Heavy</v>
      </c>
      <c r="O804" s="35">
        <f>INT(Orders!E801)</f>
        <v>46275.0</v>
      </c>
      <c r="P804" s="33">
        <f>Orders!U801</f>
        <v>13</v>
      </c>
      <c r="Q804" s="33">
        <f>COUNTIFS(Demand!$A$2:$A$4481,B804,Demand!$B$2:$B$4481,O804,Demand!$C$2:$C$4481,P804)</f>
        <v>1</v>
      </c>
      <c r="R804" s="33">
        <f>IF(Q804=1,SUMIFS(Demand!$E$2:$E$4481,Demand!$A$2:$A$4481,B804,Demand!$B$2:$B$4481,O804,Demand!$C$2:$C$4481,P804),"")</f>
        <v>30</v>
      </c>
      <c r="S804" s="33">
        <f>INDEX(Stores!$G$2:$G$21,MATCH(B804,Stores!$A$2:$A$21,0))</f>
        <v>37</v>
      </c>
      <c r="T804" s="34">
        <f>IF(R804="","",R804/S804)</f>
        <v>0.810810810810811</v>
      </c>
      <c r="U804" s="34">
        <f>IF(E804=1,T804,"")</f>
        <v>0.810810810810811</v>
      </c>
      <c r="V804" s="34">
        <f>IF(AND(E804=1,L804=0),T804,"")</f>
        <v>0.810810810810811</v>
      </c>
      <c r="W804" s="33">
        <f>IF(U804="","",IF(U804&lt;=Breakdowns!$C$5,1,IF(U804&lt;=Breakdowns!$C$6,2,IF(U804&lt;=Breakdowns!$C$7,3,4))))</f>
        <v>2</v>
      </c>
      <c r="X804" s="33">
        <f>IF(V804="","",IF(V804&lt;=Breakdowns!$D$5,1,IF(V804&lt;=Breakdowns!$D$6,2,IF(V804&lt;=Breakdowns!$D$7,3,4))))</f>
        <v>2</v>
      </c>
      <c r="Y804" s="34">
        <f>INDEX(Stores!$F$2:$F$21,MATCH(B804,Stores!$A$2:$A$21,0))</f>
        <v>5.55</v>
      </c>
      <c r="Z804" s="33">
        <f>IF(Y804&gt;Store_Summary!$M$2,1,0)</f>
        <v>1</v>
      </c>
      <c r="AA804" s="33">
        <f>INDEX(Stores!$C$2:$C$21,MATCH(B804,Stores!$A$2:$A$21,0))</f>
        <v>241</v>
      </c>
      <c r="AB804" s="33">
        <f>IF(AA804&lt;180,1,0)</f>
        <v>0</v>
      </c>
      <c r="AC804" s="32" t="str">
        <f>IF(Orders!D801="","",INDEX(Riders!$C$2:$C$81,MATCH(Orders!D801,Riders!$A$2:$A$81,0)))</f>
        <v>EV scooter</v>
      </c>
      <c r="AD804" s="33">
        <f>IF(Orders!D801="","",INDEX(Riders!$D$2:$D$81,MATCH(Orders!D801,Riders!$A$2:$A$81,0)))</f>
        <v>9</v>
      </c>
      <c r="AE804" s="33">
        <f>IF(Orders!D801="","",IF(INDEX(Riders!$B$2:$B$81,MATCH(Orders!D801,Riders!$A$2:$A$81,0))=B804,1,0))</f>
        <v>0</v>
      </c>
      <c r="AF804" s="34">
        <f>IF(E804=1,Orders!L801,"")</f>
        <v>3.3</v>
      </c>
      <c r="AG804" s="34">
        <f>IF(E804=1,Orders!P801,"")</f>
        <v>10.5</v>
      </c>
      <c r="AH804" s="34">
        <f>IF(E804=1,Orders!Q801,"")</f>
        <v>9.7</v>
      </c>
      <c r="AI804" s="34">
        <f>IF(E804=1,Orders!M801,"")</f>
        <v>3.4</v>
      </c>
      <c r="AJ804" s="34">
        <f>IF(E804=1,Orders!N801,"")</f>
        <v>0.6</v>
      </c>
      <c r="AK804" s="34">
        <f>IF(E804=1,Orders!O801,"")</f>
        <v>5.7</v>
      </c>
      <c r="AL804" s="33">
        <f>IF(E804=1,IF(ROUND(ABS(AI804+AJ804+AK804-AH804),6)&lt;=0.1,1,0),"")</f>
        <v>1</v>
      </c>
      <c r="AM804" s="36">
        <f>IF(E804=1,AI804/AH804,"")</f>
        <v>0.350515463917526</v>
      </c>
      <c r="AN804" s="36">
        <f>IF(E804=1,AJ804/AH804,"")</f>
        <v>0.0618556701030928</v>
      </c>
      <c r="AO804" s="36">
        <f>IF(E804=1,AK804/AH804,"")</f>
        <v>0.587628865979382</v>
      </c>
      <c r="AP804" s="34">
        <f>IF(E804=1,Orders!Y801,"")</f>
        <v>0.39</v>
      </c>
      <c r="AQ804" s="33">
        <f>IF(Orders!X801,1,0)</f>
        <v>0</v>
      </c>
      <c r="AR804" s="34" t="str">
        <f>IF(AND(E804=1,L804=1),AJ804,"")</f>
        <v/>
      </c>
      <c r="AS804" s="34">
        <f>IF(AND(E804=1,L804=0),AJ804,"")</f>
        <v>0.6</v>
      </c>
      <c r="AT804" s="34" t="str">
        <f>IF(AND(E804=1,L804=1),AI804,"")</f>
        <v/>
      </c>
      <c r="AU804" s="34">
        <f>IF(AND(E804=1,L804=0),AI804,"")</f>
        <v>3.4</v>
      </c>
      <c r="AV804" s="34" t="str">
        <f>IF(AND(E804=1,L804=1),AG804,"")</f>
        <v/>
      </c>
      <c r="AW804" s="34">
        <f>IF(AND(E804=1,L804=0),AG804,"")</f>
        <v>10.5</v>
      </c>
      <c r="AX804" s="34" t="str">
        <f>IF(AND(E804=1,L804=1),AH804,"")</f>
        <v/>
      </c>
      <c r="AY804" s="34">
        <f>IF(AND(E804=1,L804=0),AH804,"")</f>
        <v>9.7</v>
      </c>
      <c r="AZ804" s="34" t="str">
        <f>IF(G804=1,F804,"")</f>
        <v/>
      </c>
      <c r="BA804" s="34" t="str">
        <f>IF(AND(G804=1,L804=1),F804,"")</f>
        <v/>
      </c>
      <c r="BB804" s="34" t="str">
        <f>IF(AND(G804=1,L804=0),F804,"")</f>
        <v/>
      </c>
      <c r="BC804" s="33">
        <f>IF(E804=1,IF(Orders!R801&gt;3,1,0),"")</f>
        <v>0</v>
      </c>
      <c r="BD804" s="33">
        <f>IF(E804=1,IF(Orders!R801&gt;7,1,0),"")</f>
        <v>0</v>
      </c>
      <c r="BE804" s="32" t="str">
        <f>IF(E804=1,IF(Orders!L801&lt;=1.5,"Up to 1.5 km",IF(Orders!L801&lt;=3,"1.5–3 km","Over 3 km")),"")</f>
        <v>Over 3 km</v>
      </c>
      <c r="BF804" s="33">
        <f>IF(E804=1,IF(ABS((Orders!G801-Orders!F801)*1440-Orders!R801)&lt;0.06,1,0),"")</f>
        <v>1</v>
      </c>
      <c r="BG804" s="33">
        <f>IF(ABS((Orders!F801-Orders!E801)*1440-Orders!P801)&lt;0.06,1,0)</f>
        <v>1</v>
      </c>
      <c r="BH804" s="33">
        <f>IF(E804=1,IF(IF(Orders!S801,1,0)=1-G804,1,0),"")</f>
        <v>1</v>
      </c>
      <c r="BI804" s="32" t="str">
        <f>INDEX(Stores!$B$2:$B$21,MATCH(B804,Stores!$A$2:$A$21,0))</f>
        <v>Pune</v>
      </c>
    </row>
    <row r="805">
      <c r="A805" s="32" t="str">
        <f>Orders!A802</f>
        <v>O00801</v>
      </c>
      <c r="B805" s="32" t="str">
        <f>Orders!C802</f>
        <v>S013</v>
      </c>
      <c r="C805" s="32" t="str">
        <f>Orders!B802</f>
        <v>C0133</v>
      </c>
      <c r="D805" s="32" t="str">
        <f>Orders!H802</f>
        <v>Delivered</v>
      </c>
      <c r="E805" s="33">
        <f>IF(Orders!H802="Delivered",1,0)</f>
        <v>1</v>
      </c>
      <c r="F805" s="34">
        <f>IF(E805=1,Orders!R802,"")</f>
        <v>-0.8</v>
      </c>
      <c r="G805" s="33">
        <f>IF(E805=1,IF(Orders!R802&gt;0,1,0),"")</f>
        <v>0</v>
      </c>
      <c r="H805" s="33">
        <f>IF(E805=1,IF(Orders!R802&gt;5,1,0),"")</f>
        <v>0</v>
      </c>
      <c r="I805" s="32" t="str">
        <f>IF(E805=1,"",IF(OR(Orders!T802="Rider unavailable",Orders!T802="Item unavailable"),"Company-caused","Unresolved"))</f>
        <v/>
      </c>
      <c r="J805" s="33">
        <f>IF(OR(E805=1,I805="Company-caused"),1,0)</f>
        <v>1</v>
      </c>
      <c r="K805" s="32" t="str">
        <f>IF(E805=0,IF(I805="Company-caused",IF(Orders!T802="Rider unavailable","C1 Rider unavailable","C2 Item unavailable"),"Outside root: unresolved"),IF(G805=0,"A On time",IF(H805=1,IF(L805=1,"B2a Severe, peak","B2b Severe, off-peak"),IF(L805=1,"B1a Slight, peak","B1b Slight, off-peak"))))</f>
        <v>A On time</v>
      </c>
      <c r="L805" s="33">
        <f>IF(AND(Orders!U802&gt;=19,Orders!U802&lt;22),1,0)</f>
        <v>1</v>
      </c>
      <c r="M805" s="33">
        <f>IF(L805=IF(Orders!V802,1,0),1,0)</f>
        <v>1</v>
      </c>
      <c r="N805" s="32" t="str">
        <f>IF(Orders!W802="","None",Orders!W802)</f>
        <v>Light</v>
      </c>
      <c r="O805" s="35">
        <f>INT(Orders!E802)</f>
        <v>46277.0</v>
      </c>
      <c r="P805" s="33">
        <f>Orders!U802</f>
        <v>20</v>
      </c>
      <c r="Q805" s="33">
        <f>COUNTIFS(Demand!$A$2:$A$4481,B805,Demand!$B$2:$B$4481,O805,Demand!$C$2:$C$4481,P805)</f>
        <v>1</v>
      </c>
      <c r="R805" s="33">
        <f>IF(Q805=1,SUMIFS(Demand!$E$2:$E$4481,Demand!$A$2:$A$4481,B805,Demand!$B$2:$B$4481,O805,Demand!$C$2:$C$4481,P805),"")</f>
        <v>75</v>
      </c>
      <c r="S805" s="33">
        <f>INDEX(Stores!$G$2:$G$21,MATCH(B805,Stores!$A$2:$A$21,0))</f>
        <v>49</v>
      </c>
      <c r="T805" s="34">
        <f>IF(R805="","",R805/S805)</f>
        <v>1.53061224489796</v>
      </c>
      <c r="U805" s="34">
        <f>IF(E805=1,T805,"")</f>
        <v>1.53061224489796</v>
      </c>
      <c r="V805" s="34" t="str">
        <f>IF(AND(E805=1,L805=0),T805,"")</f>
        <v/>
      </c>
      <c r="W805" s="33">
        <f>IF(U805="","",IF(U805&lt;=Breakdowns!$C$5,1,IF(U805&lt;=Breakdowns!$C$6,2,IF(U805&lt;=Breakdowns!$C$7,3,4))))</f>
        <v>4</v>
      </c>
      <c r="X805" s="33" t="str">
        <f>IF(V805="","",IF(V805&lt;=Breakdowns!$D$5,1,IF(V805&lt;=Breakdowns!$D$6,2,IF(V805&lt;=Breakdowns!$D$7,3,4))))</f>
        <v/>
      </c>
      <c r="Y805" s="34">
        <f>INDEX(Stores!$F$2:$F$21,MATCH(B805,Stores!$A$2:$A$21,0))</f>
        <v>5.82</v>
      </c>
      <c r="Z805" s="33">
        <f>IF(Y805&gt;Store_Summary!$M$2,1,0)</f>
        <v>1</v>
      </c>
      <c r="AA805" s="33">
        <f>INDEX(Stores!$C$2:$C$21,MATCH(B805,Stores!$A$2:$A$21,0))</f>
        <v>705</v>
      </c>
      <c r="AB805" s="33">
        <f>IF(AA805&lt;180,1,0)</f>
        <v>0</v>
      </c>
      <c r="AC805" s="32" t="str">
        <f>IF(Orders!D802="","",INDEX(Riders!$C$2:$C$81,MATCH(Orders!D802,Riders!$A$2:$A$81,0)))</f>
        <v>EV scooter</v>
      </c>
      <c r="AD805" s="33">
        <f>IF(Orders!D802="","",INDEX(Riders!$D$2:$D$81,MATCH(Orders!D802,Riders!$A$2:$A$81,0)))</f>
        <v>4</v>
      </c>
      <c r="AE805" s="33">
        <f>IF(Orders!D802="","",IF(INDEX(Riders!$B$2:$B$81,MATCH(Orders!D802,Riders!$A$2:$A$81,0))=B805,1,0))</f>
        <v>0</v>
      </c>
      <c r="AF805" s="34">
        <f>IF(E805=1,Orders!L802,"")</f>
        <v>0.64</v>
      </c>
      <c r="AG805" s="34">
        <f>IF(E805=1,Orders!P802,"")</f>
        <v>10.4</v>
      </c>
      <c r="AH805" s="34">
        <f>IF(E805=1,Orders!Q802,"")</f>
        <v>9.6</v>
      </c>
      <c r="AI805" s="34">
        <f>IF(E805=1,Orders!M802,"")</f>
        <v>3.5</v>
      </c>
      <c r="AJ805" s="34">
        <f>IF(E805=1,Orders!N802,"")</f>
        <v>3.9</v>
      </c>
      <c r="AK805" s="34">
        <f>IF(E805=1,Orders!O802,"")</f>
        <v>2.2</v>
      </c>
      <c r="AL805" s="33">
        <f>IF(E805=1,IF(ROUND(ABS(AI805+AJ805+AK805-AH805),6)&lt;=0.1,1,0),"")</f>
        <v>1</v>
      </c>
      <c r="AM805" s="36">
        <f>IF(E805=1,AI805/AH805,"")</f>
        <v>0.364583333333333</v>
      </c>
      <c r="AN805" s="36">
        <f>IF(E805=1,AJ805/AH805,"")</f>
        <v>0.40625</v>
      </c>
      <c r="AO805" s="36">
        <f>IF(E805=1,AK805/AH805,"")</f>
        <v>0.229166666666667</v>
      </c>
      <c r="AP805" s="34">
        <f>IF(E805=1,Orders!Y802,"")</f>
        <v>0.5</v>
      </c>
      <c r="AQ805" s="33">
        <f>IF(Orders!X802,1,0)</f>
        <v>0</v>
      </c>
      <c r="AR805" s="34">
        <f>IF(AND(E805=1,L805=1),AJ805,"")</f>
        <v>3.9</v>
      </c>
      <c r="AS805" s="34" t="str">
        <f>IF(AND(E805=1,L805=0),AJ805,"")</f>
        <v/>
      </c>
      <c r="AT805" s="34">
        <f>IF(AND(E805=1,L805=1),AI805,"")</f>
        <v>3.5</v>
      </c>
      <c r="AU805" s="34" t="str">
        <f>IF(AND(E805=1,L805=0),AI805,"")</f>
        <v/>
      </c>
      <c r="AV805" s="34">
        <f>IF(AND(E805=1,L805=1),AG805,"")</f>
        <v>10.4</v>
      </c>
      <c r="AW805" s="34" t="str">
        <f>IF(AND(E805=1,L805=0),AG805,"")</f>
        <v/>
      </c>
      <c r="AX805" s="34">
        <f>IF(AND(E805=1,L805=1),AH805,"")</f>
        <v>9.6</v>
      </c>
      <c r="AY805" s="34" t="str">
        <f>IF(AND(E805=1,L805=0),AH805,"")</f>
        <v/>
      </c>
      <c r="AZ805" s="34" t="str">
        <f>IF(G805=1,F805,"")</f>
        <v/>
      </c>
      <c r="BA805" s="34" t="str">
        <f>IF(AND(G805=1,L805=1),F805,"")</f>
        <v/>
      </c>
      <c r="BB805" s="34" t="str">
        <f>IF(AND(G805=1,L805=0),F805,"")</f>
        <v/>
      </c>
      <c r="BC805" s="33">
        <f>IF(E805=1,IF(Orders!R802&gt;3,1,0),"")</f>
        <v>0</v>
      </c>
      <c r="BD805" s="33">
        <f>IF(E805=1,IF(Orders!R802&gt;7,1,0),"")</f>
        <v>0</v>
      </c>
      <c r="BE805" s="32" t="str">
        <f>IF(E805=1,IF(Orders!L802&lt;=1.5,"Up to 1.5 km",IF(Orders!L802&lt;=3,"1.5–3 km","Over 3 km")),"")</f>
        <v>Up to 1.5 km</v>
      </c>
      <c r="BF805" s="33">
        <f>IF(E805=1,IF(ABS((Orders!G802-Orders!F802)*1440-Orders!R802)&lt;0.06,1,0),"")</f>
        <v>1</v>
      </c>
      <c r="BG805" s="33">
        <f>IF(ABS((Orders!F802-Orders!E802)*1440-Orders!P802)&lt;0.06,1,0)</f>
        <v>1</v>
      </c>
      <c r="BH805" s="33">
        <f>IF(E805=1,IF(IF(Orders!S802,1,0)=1-G805,1,0),"")</f>
        <v>1</v>
      </c>
      <c r="BI805" s="32" t="str">
        <f>INDEX(Stores!$B$2:$B$21,MATCH(B805,Stores!$A$2:$A$21,0))</f>
        <v>Mumbai</v>
      </c>
    </row>
    <row r="806">
      <c r="A806" s="32" t="str">
        <f>Orders!A803</f>
        <v>O00802</v>
      </c>
      <c r="B806" s="32" t="str">
        <f>Orders!C803</f>
        <v>S001</v>
      </c>
      <c r="C806" s="32" t="str">
        <f>Orders!B803</f>
        <v>C0213</v>
      </c>
      <c r="D806" s="32" t="str">
        <f>Orders!H803</f>
        <v>Delivered</v>
      </c>
      <c r="E806" s="33">
        <f>IF(Orders!H803="Delivered",1,0)</f>
        <v>1</v>
      </c>
      <c r="F806" s="34">
        <f>IF(E806=1,Orders!R803,"")</f>
        <v>3.8</v>
      </c>
      <c r="G806" s="33">
        <f>IF(E806=1,IF(Orders!R803&gt;0,1,0),"")</f>
        <v>1</v>
      </c>
      <c r="H806" s="33">
        <f>IF(E806=1,IF(Orders!R803&gt;5,1,0),"")</f>
        <v>0</v>
      </c>
      <c r="I806" s="32" t="str">
        <f>IF(E806=1,"",IF(OR(Orders!T803="Rider unavailable",Orders!T803="Item unavailable"),"Company-caused","Unresolved"))</f>
        <v/>
      </c>
      <c r="J806" s="33">
        <f>IF(OR(E806=1,I806="Company-caused"),1,0)</f>
        <v>1</v>
      </c>
      <c r="K806" s="32" t="str">
        <f>IF(E806=0,IF(I806="Company-caused",IF(Orders!T803="Rider unavailable","C1 Rider unavailable","C2 Item unavailable"),"Outside root: unresolved"),IF(G806=0,"A On time",IF(H806=1,IF(L806=1,"B2a Severe, peak","B2b Severe, off-peak"),IF(L806=1,"B1a Slight, peak","B1b Slight, off-peak"))))</f>
        <v>B1b Slight, off-peak</v>
      </c>
      <c r="L806" s="33">
        <f>IF(AND(Orders!U803&gt;=19,Orders!U803&lt;22),1,0)</f>
        <v>0</v>
      </c>
      <c r="M806" s="33">
        <f>IF(L806=IF(Orders!V803,1,0),1,0)</f>
        <v>1</v>
      </c>
      <c r="N806" s="32" t="str">
        <f>IF(Orders!W803="","None",Orders!W803)</f>
        <v>None</v>
      </c>
      <c r="O806" s="35">
        <f>INT(Orders!E803)</f>
        <v>46267.0</v>
      </c>
      <c r="P806" s="33">
        <f>Orders!U803</f>
        <v>23</v>
      </c>
      <c r="Q806" s="33">
        <f>COUNTIFS(Demand!$A$2:$A$4481,B806,Demand!$B$2:$B$4481,O806,Demand!$C$2:$C$4481,P806)</f>
        <v>1</v>
      </c>
      <c r="R806" s="33">
        <f>IF(Q806=1,SUMIFS(Demand!$E$2:$E$4481,Demand!$A$2:$A$4481,B806,Demand!$B$2:$B$4481,O806,Demand!$C$2:$C$4481,P806),"")</f>
        <v>16</v>
      </c>
      <c r="S806" s="33">
        <f>INDEX(Stores!$G$2:$G$21,MATCH(B806,Stores!$A$2:$A$21,0))</f>
        <v>16</v>
      </c>
      <c r="T806" s="34">
        <f>IF(R806="","",R806/S806)</f>
        <v>1</v>
      </c>
      <c r="U806" s="34">
        <f>IF(E806=1,T806,"")</f>
        <v>1</v>
      </c>
      <c r="V806" s="34">
        <f>IF(AND(E806=1,L806=0),T806,"")</f>
        <v>1</v>
      </c>
      <c r="W806" s="33">
        <f>IF(U806="","",IF(U806&lt;=Breakdowns!$C$5,1,IF(U806&lt;=Breakdowns!$C$6,2,IF(U806&lt;=Breakdowns!$C$7,3,4))))</f>
        <v>2</v>
      </c>
      <c r="X806" s="33">
        <f>IF(V806="","",IF(V806&lt;=Breakdowns!$D$5,1,IF(V806&lt;=Breakdowns!$D$6,2,IF(V806&lt;=Breakdowns!$D$7,3,4))))</f>
        <v>3</v>
      </c>
      <c r="Y806" s="34">
        <f>INDEX(Stores!$F$2:$F$21,MATCH(B806,Stores!$A$2:$A$21,0))</f>
        <v>4.59</v>
      </c>
      <c r="Z806" s="33">
        <f>IF(Y806&gt;Store_Summary!$M$2,1,0)</f>
        <v>0</v>
      </c>
      <c r="AA806" s="33">
        <f>INDEX(Stores!$C$2:$C$21,MATCH(B806,Stores!$A$2:$A$21,0))</f>
        <v>362</v>
      </c>
      <c r="AB806" s="33">
        <f>IF(AA806&lt;180,1,0)</f>
        <v>0</v>
      </c>
      <c r="AC806" s="32" t="str">
        <f>IF(Orders!D803="","",INDEX(Riders!$C$2:$C$81,MATCH(Orders!D803,Riders!$A$2:$A$81,0)))</f>
        <v>EV scooter</v>
      </c>
      <c r="AD806" s="33">
        <f>IF(Orders!D803="","",INDEX(Riders!$D$2:$D$81,MATCH(Orders!D803,Riders!$A$2:$A$81,0)))</f>
        <v>27</v>
      </c>
      <c r="AE806" s="33">
        <f>IF(Orders!D803="","",IF(INDEX(Riders!$B$2:$B$81,MATCH(Orders!D803,Riders!$A$2:$A$81,0))=B806,1,0))</f>
        <v>0</v>
      </c>
      <c r="AF806" s="34">
        <f>IF(E806=1,Orders!L803,"")</f>
        <v>0.71</v>
      </c>
      <c r="AG806" s="34">
        <f>IF(E806=1,Orders!P803,"")</f>
        <v>7</v>
      </c>
      <c r="AH806" s="34">
        <f>IF(E806=1,Orders!Q803,"")</f>
        <v>10.8</v>
      </c>
      <c r="AI806" s="34">
        <f>IF(E806=1,Orders!M803,"")</f>
        <v>3.9</v>
      </c>
      <c r="AJ806" s="34">
        <f>IF(E806=1,Orders!N803,"")</f>
        <v>4.8</v>
      </c>
      <c r="AK806" s="34">
        <f>IF(E806=1,Orders!O803,"")</f>
        <v>2.1</v>
      </c>
      <c r="AL806" s="33">
        <f>IF(E806=1,IF(ROUND(ABS(AI806+AJ806+AK806-AH806),6)&lt;=0.1,1,0),"")</f>
        <v>1</v>
      </c>
      <c r="AM806" s="36">
        <f>IF(E806=1,AI806/AH806,"")</f>
        <v>0.361111111111111</v>
      </c>
      <c r="AN806" s="36">
        <f>IF(E806=1,AJ806/AH806,"")</f>
        <v>0.444444444444444</v>
      </c>
      <c r="AO806" s="36">
        <f>IF(E806=1,AK806/AH806,"")</f>
        <v>0.194444444444444</v>
      </c>
      <c r="AP806" s="34">
        <f>IF(E806=1,Orders!Y803,"")</f>
        <v>0.13</v>
      </c>
      <c r="AQ806" s="33">
        <f>IF(Orders!X803,1,0)</f>
        <v>0</v>
      </c>
      <c r="AR806" s="34" t="str">
        <f>IF(AND(E806=1,L806=1),AJ806,"")</f>
        <v/>
      </c>
      <c r="AS806" s="34">
        <f>IF(AND(E806=1,L806=0),AJ806,"")</f>
        <v>4.8</v>
      </c>
      <c r="AT806" s="34" t="str">
        <f>IF(AND(E806=1,L806=1),AI806,"")</f>
        <v/>
      </c>
      <c r="AU806" s="34">
        <f>IF(AND(E806=1,L806=0),AI806,"")</f>
        <v>3.9</v>
      </c>
      <c r="AV806" s="34" t="str">
        <f>IF(AND(E806=1,L806=1),AG806,"")</f>
        <v/>
      </c>
      <c r="AW806" s="34">
        <f>IF(AND(E806=1,L806=0),AG806,"")</f>
        <v>7</v>
      </c>
      <c r="AX806" s="34" t="str">
        <f>IF(AND(E806=1,L806=1),AH806,"")</f>
        <v/>
      </c>
      <c r="AY806" s="34">
        <f>IF(AND(E806=1,L806=0),AH806,"")</f>
        <v>10.8</v>
      </c>
      <c r="AZ806" s="34">
        <f>IF(G806=1,F806,"")</f>
        <v>3.8</v>
      </c>
      <c r="BA806" s="34" t="str">
        <f>IF(AND(G806=1,L806=1),F806,"")</f>
        <v/>
      </c>
      <c r="BB806" s="34">
        <f>IF(AND(G806=1,L806=0),F806,"")</f>
        <v>3.8</v>
      </c>
      <c r="BC806" s="33">
        <f>IF(E806=1,IF(Orders!R803&gt;3,1,0),"")</f>
        <v>1</v>
      </c>
      <c r="BD806" s="33">
        <f>IF(E806=1,IF(Orders!R803&gt;7,1,0),"")</f>
        <v>0</v>
      </c>
      <c r="BE806" s="32" t="str">
        <f>IF(E806=1,IF(Orders!L803&lt;=1.5,"Up to 1.5 km",IF(Orders!L803&lt;=3,"1.5–3 km","Over 3 km")),"")</f>
        <v>Up to 1.5 km</v>
      </c>
      <c r="BF806" s="33">
        <f>IF(E806=1,IF(ABS((Orders!G803-Orders!F803)*1440-Orders!R803)&lt;0.06,1,0),"")</f>
        <v>1</v>
      </c>
      <c r="BG806" s="33">
        <f>IF(ABS((Orders!F803-Orders!E803)*1440-Orders!P803)&lt;0.06,1,0)</f>
        <v>1</v>
      </c>
      <c r="BH806" s="33">
        <f>IF(E806=1,IF(IF(Orders!S803,1,0)=1-G806,1,0),"")</f>
        <v>1</v>
      </c>
      <c r="BI806" s="32" t="str">
        <f>INDEX(Stores!$B$2:$B$21,MATCH(B806,Stores!$A$2:$A$21,0))</f>
        <v>Bengaluru</v>
      </c>
    </row>
    <row r="807">
      <c r="A807" s="32" t="str">
        <f>Orders!A804</f>
        <v>O00803</v>
      </c>
      <c r="B807" s="32" t="str">
        <f>Orders!C804</f>
        <v>S014</v>
      </c>
      <c r="C807" s="32" t="str">
        <f>Orders!B804</f>
        <v>C0094</v>
      </c>
      <c r="D807" s="32" t="str">
        <f>Orders!H804</f>
        <v>Delivered</v>
      </c>
      <c r="E807" s="33">
        <f>IF(Orders!H804="Delivered",1,0)</f>
        <v>1</v>
      </c>
      <c r="F807" s="34">
        <f>IF(E807=1,Orders!R804,"")</f>
        <v>-0.8</v>
      </c>
      <c r="G807" s="33">
        <f>IF(E807=1,IF(Orders!R804&gt;0,1,0),"")</f>
        <v>0</v>
      </c>
      <c r="H807" s="33">
        <f>IF(E807=1,IF(Orders!R804&gt;5,1,0),"")</f>
        <v>0</v>
      </c>
      <c r="I807" s="32" t="str">
        <f>IF(E807=1,"",IF(OR(Orders!T804="Rider unavailable",Orders!T804="Item unavailable"),"Company-caused","Unresolved"))</f>
        <v/>
      </c>
      <c r="J807" s="33">
        <f>IF(OR(E807=1,I807="Company-caused"),1,0)</f>
        <v>1</v>
      </c>
      <c r="K807" s="32" t="str">
        <f>IF(E807=0,IF(I807="Company-caused",IF(Orders!T804="Rider unavailable","C1 Rider unavailable","C2 Item unavailable"),"Outside root: unresolved"),IF(G807=0,"A On time",IF(H807=1,IF(L807=1,"B2a Severe, peak","B2b Severe, off-peak"),IF(L807=1,"B1a Slight, peak","B1b Slight, off-peak"))))</f>
        <v>A On time</v>
      </c>
      <c r="L807" s="33">
        <f>IF(AND(Orders!U804&gt;=19,Orders!U804&lt;22),1,0)</f>
        <v>0</v>
      </c>
      <c r="M807" s="33">
        <f>IF(L807=IF(Orders!V804,1,0),1,0)</f>
        <v>1</v>
      </c>
      <c r="N807" s="32" t="str">
        <f>IF(Orders!W804="","None",Orders!W804)</f>
        <v>Light</v>
      </c>
      <c r="O807" s="35">
        <f>INT(Orders!E804)</f>
        <v>46279.0</v>
      </c>
      <c r="P807" s="33">
        <f>Orders!U804</f>
        <v>16</v>
      </c>
      <c r="Q807" s="33">
        <f>COUNTIFS(Demand!$A$2:$A$4481,B807,Demand!$B$2:$B$4481,O807,Demand!$C$2:$C$4481,P807)</f>
        <v>1</v>
      </c>
      <c r="R807" s="33">
        <f>IF(Q807=1,SUMIFS(Demand!$E$2:$E$4481,Demand!$A$2:$A$4481,B807,Demand!$B$2:$B$4481,O807,Demand!$C$2:$C$4481,P807),"")</f>
        <v>28</v>
      </c>
      <c r="S807" s="33">
        <f>INDEX(Stores!$G$2:$G$21,MATCH(B807,Stores!$A$2:$A$21,0))</f>
        <v>37</v>
      </c>
      <c r="T807" s="34">
        <f>IF(R807="","",R807/S807)</f>
        <v>0.756756756756757</v>
      </c>
      <c r="U807" s="34">
        <f>IF(E807=1,T807,"")</f>
        <v>0.756756756756757</v>
      </c>
      <c r="V807" s="34">
        <f>IF(AND(E807=1,L807=0),T807,"")</f>
        <v>0.756756756756757</v>
      </c>
      <c r="W807" s="33">
        <f>IF(U807="","",IF(U807&lt;=Breakdowns!$C$5,1,IF(U807&lt;=Breakdowns!$C$6,2,IF(U807&lt;=Breakdowns!$C$7,3,4))))</f>
        <v>1</v>
      </c>
      <c r="X807" s="33">
        <f>IF(V807="","",IF(V807&lt;=Breakdowns!$D$5,1,IF(V807&lt;=Breakdowns!$D$6,2,IF(V807&lt;=Breakdowns!$D$7,3,4))))</f>
        <v>2</v>
      </c>
      <c r="Y807" s="34">
        <f>INDEX(Stores!$F$2:$F$21,MATCH(B807,Stores!$A$2:$A$21,0))</f>
        <v>5.55</v>
      </c>
      <c r="Z807" s="33">
        <f>IF(Y807&gt;Store_Summary!$M$2,1,0)</f>
        <v>1</v>
      </c>
      <c r="AA807" s="33">
        <f>INDEX(Stores!$C$2:$C$21,MATCH(B807,Stores!$A$2:$A$21,0))</f>
        <v>241</v>
      </c>
      <c r="AB807" s="33">
        <f>IF(AA807&lt;180,1,0)</f>
        <v>0</v>
      </c>
      <c r="AC807" s="32" t="str">
        <f>IF(Orders!D804="","",INDEX(Riders!$C$2:$C$81,MATCH(Orders!D804,Riders!$A$2:$A$81,0)))</f>
        <v>Bicycle</v>
      </c>
      <c r="AD807" s="33">
        <f>IF(Orders!D804="","",INDEX(Riders!$D$2:$D$81,MATCH(Orders!D804,Riders!$A$2:$A$81,0)))</f>
        <v>44</v>
      </c>
      <c r="AE807" s="33">
        <f>IF(Orders!D804="","",IF(INDEX(Riders!$B$2:$B$81,MATCH(Orders!D804,Riders!$A$2:$A$81,0))=B807,1,0))</f>
        <v>0</v>
      </c>
      <c r="AF807" s="34">
        <f>IF(E807=1,Orders!L804,"")</f>
        <v>1.04</v>
      </c>
      <c r="AG807" s="34">
        <f>IF(E807=1,Orders!P804,"")</f>
        <v>9</v>
      </c>
      <c r="AH807" s="34">
        <f>IF(E807=1,Orders!Q804,"")</f>
        <v>8.2</v>
      </c>
      <c r="AI807" s="34">
        <f>IF(E807=1,Orders!M804,"")</f>
        <v>3</v>
      </c>
      <c r="AJ807" s="34">
        <f>IF(E807=1,Orders!N804,"")</f>
        <v>3</v>
      </c>
      <c r="AK807" s="34">
        <f>IF(E807=1,Orders!O804,"")</f>
        <v>2.2</v>
      </c>
      <c r="AL807" s="33">
        <f>IF(E807=1,IF(ROUND(ABS(AI807+AJ807+AK807-AH807),6)&lt;=0.1,1,0),"")</f>
        <v>1</v>
      </c>
      <c r="AM807" s="36">
        <f>IF(E807=1,AI807/AH807,"")</f>
        <v>0.365853658536585</v>
      </c>
      <c r="AN807" s="36">
        <f>IF(E807=1,AJ807/AH807,"")</f>
        <v>0.365853658536585</v>
      </c>
      <c r="AO807" s="36">
        <f>IF(E807=1,AK807/AH807,"")</f>
        <v>0.268292682926829</v>
      </c>
      <c r="AP807" s="34">
        <f>IF(E807=1,Orders!Y804,"")</f>
        <v>0.45</v>
      </c>
      <c r="AQ807" s="33">
        <f>IF(Orders!X804,1,0)</f>
        <v>0</v>
      </c>
      <c r="AR807" s="34" t="str">
        <f>IF(AND(E807=1,L807=1),AJ807,"")</f>
        <v/>
      </c>
      <c r="AS807" s="34">
        <f>IF(AND(E807=1,L807=0),AJ807,"")</f>
        <v>3</v>
      </c>
      <c r="AT807" s="34" t="str">
        <f>IF(AND(E807=1,L807=1),AI807,"")</f>
        <v/>
      </c>
      <c r="AU807" s="34">
        <f>IF(AND(E807=1,L807=0),AI807,"")</f>
        <v>3</v>
      </c>
      <c r="AV807" s="34" t="str">
        <f>IF(AND(E807=1,L807=1),AG807,"")</f>
        <v/>
      </c>
      <c r="AW807" s="34">
        <f>IF(AND(E807=1,L807=0),AG807,"")</f>
        <v>9</v>
      </c>
      <c r="AX807" s="34" t="str">
        <f>IF(AND(E807=1,L807=1),AH807,"")</f>
        <v/>
      </c>
      <c r="AY807" s="34">
        <f>IF(AND(E807=1,L807=0),AH807,"")</f>
        <v>8.2</v>
      </c>
      <c r="AZ807" s="34" t="str">
        <f>IF(G807=1,F807,"")</f>
        <v/>
      </c>
      <c r="BA807" s="34" t="str">
        <f>IF(AND(G807=1,L807=1),F807,"")</f>
        <v/>
      </c>
      <c r="BB807" s="34" t="str">
        <f>IF(AND(G807=1,L807=0),F807,"")</f>
        <v/>
      </c>
      <c r="BC807" s="33">
        <f>IF(E807=1,IF(Orders!R804&gt;3,1,0),"")</f>
        <v>0</v>
      </c>
      <c r="BD807" s="33">
        <f>IF(E807=1,IF(Orders!R804&gt;7,1,0),"")</f>
        <v>0</v>
      </c>
      <c r="BE807" s="32" t="str">
        <f>IF(E807=1,IF(Orders!L804&lt;=1.5,"Up to 1.5 km",IF(Orders!L804&lt;=3,"1.5–3 km","Over 3 km")),"")</f>
        <v>Up to 1.5 km</v>
      </c>
      <c r="BF807" s="33">
        <f>IF(E807=1,IF(ABS((Orders!G804-Orders!F804)*1440-Orders!R804)&lt;0.06,1,0),"")</f>
        <v>1</v>
      </c>
      <c r="BG807" s="33">
        <f>IF(ABS((Orders!F804-Orders!E804)*1440-Orders!P804)&lt;0.06,1,0)</f>
        <v>1</v>
      </c>
      <c r="BH807" s="33">
        <f>IF(E807=1,IF(IF(Orders!S804,1,0)=1-G807,1,0),"")</f>
        <v>1</v>
      </c>
      <c r="BI807" s="32" t="str">
        <f>INDEX(Stores!$B$2:$B$21,MATCH(B807,Stores!$A$2:$A$21,0))</f>
        <v>Pune</v>
      </c>
    </row>
    <row r="808">
      <c r="A808" s="32" t="str">
        <f>Orders!A805</f>
        <v>O00804</v>
      </c>
      <c r="B808" s="32" t="str">
        <f>Orders!C805</f>
        <v>S006</v>
      </c>
      <c r="C808" s="32" t="str">
        <f>Orders!B805</f>
        <v>C0039</v>
      </c>
      <c r="D808" s="32" t="str">
        <f>Orders!H805</f>
        <v>Delivered</v>
      </c>
      <c r="E808" s="33">
        <f>IF(Orders!H805="Delivered",1,0)</f>
        <v>1</v>
      </c>
      <c r="F808" s="34">
        <f>IF(E808=1,Orders!R805,"")</f>
        <v>0.9</v>
      </c>
      <c r="G808" s="33">
        <f>IF(E808=1,IF(Orders!R805&gt;0,1,0),"")</f>
        <v>1</v>
      </c>
      <c r="H808" s="33">
        <f>IF(E808=1,IF(Orders!R805&gt;5,1,0),"")</f>
        <v>0</v>
      </c>
      <c r="I808" s="32" t="str">
        <f>IF(E808=1,"",IF(OR(Orders!T805="Rider unavailable",Orders!T805="Item unavailable"),"Company-caused","Unresolved"))</f>
        <v/>
      </c>
      <c r="J808" s="33">
        <f>IF(OR(E808=1,I808="Company-caused"),1,0)</f>
        <v>1</v>
      </c>
      <c r="K808" s="32" t="str">
        <f>IF(E808=0,IF(I808="Company-caused",IF(Orders!T805="Rider unavailable","C1 Rider unavailable","C2 Item unavailable"),"Outside root: unresolved"),IF(G808=0,"A On time",IF(H808=1,IF(L808=1,"B2a Severe, peak","B2b Severe, off-peak"),IF(L808=1,"B1a Slight, peak","B1b Slight, off-peak"))))</f>
        <v>B1b Slight, off-peak</v>
      </c>
      <c r="L808" s="33">
        <f>IF(AND(Orders!U805&gt;=19,Orders!U805&lt;22),1,0)</f>
        <v>0</v>
      </c>
      <c r="M808" s="33">
        <f>IF(L808=IF(Orders!V805,1,0),1,0)</f>
        <v>1</v>
      </c>
      <c r="N808" s="32" t="str">
        <f>IF(Orders!W805="","None",Orders!W805)</f>
        <v>None</v>
      </c>
      <c r="O808" s="35">
        <f>INT(Orders!E805)</f>
        <v>46279.0</v>
      </c>
      <c r="P808" s="33">
        <f>Orders!U805</f>
        <v>12</v>
      </c>
      <c r="Q808" s="33">
        <f>COUNTIFS(Demand!$A$2:$A$4481,B808,Demand!$B$2:$B$4481,O808,Demand!$C$2:$C$4481,P808)</f>
        <v>1</v>
      </c>
      <c r="R808" s="33">
        <f>IF(Q808=1,SUMIFS(Demand!$E$2:$E$4481,Demand!$A$2:$A$4481,B808,Demand!$B$2:$B$4481,O808,Demand!$C$2:$C$4481,P808),"")</f>
        <v>25</v>
      </c>
      <c r="S808" s="33">
        <f>INDEX(Stores!$G$2:$G$21,MATCH(B808,Stores!$A$2:$A$21,0))</f>
        <v>26</v>
      </c>
      <c r="T808" s="34">
        <f>IF(R808="","",R808/S808)</f>
        <v>0.961538461538462</v>
      </c>
      <c r="U808" s="34">
        <f>IF(E808=1,T808,"")</f>
        <v>0.961538461538462</v>
      </c>
      <c r="V808" s="34">
        <f>IF(AND(E808=1,L808=0),T808,"")</f>
        <v>0.961538461538462</v>
      </c>
      <c r="W808" s="33">
        <f>IF(U808="","",IF(U808&lt;=Breakdowns!$C$5,1,IF(U808&lt;=Breakdowns!$C$6,2,IF(U808&lt;=Breakdowns!$C$7,3,4))))</f>
        <v>2</v>
      </c>
      <c r="X808" s="33">
        <f>IF(V808="","",IF(V808&lt;=Breakdowns!$D$5,1,IF(V808&lt;=Breakdowns!$D$6,2,IF(V808&lt;=Breakdowns!$D$7,3,4))))</f>
        <v>3</v>
      </c>
      <c r="Y808" s="34">
        <f>INDEX(Stores!$F$2:$F$21,MATCH(B808,Stores!$A$2:$A$21,0))</f>
        <v>5.22</v>
      </c>
      <c r="Z808" s="33">
        <f>IF(Y808&gt;Store_Summary!$M$2,1,0)</f>
        <v>1</v>
      </c>
      <c r="AA808" s="33">
        <f>INDEX(Stores!$C$2:$C$21,MATCH(B808,Stores!$A$2:$A$21,0))</f>
        <v>412</v>
      </c>
      <c r="AB808" s="33">
        <f>IF(AA808&lt;180,1,0)</f>
        <v>0</v>
      </c>
      <c r="AC808" s="32" t="str">
        <f>IF(Orders!D805="","",INDEX(Riders!$C$2:$C$81,MATCH(Orders!D805,Riders!$A$2:$A$81,0)))</f>
        <v>EV scooter</v>
      </c>
      <c r="AD808" s="33">
        <f>IF(Orders!D805="","",INDEX(Riders!$D$2:$D$81,MATCH(Orders!D805,Riders!$A$2:$A$81,0)))</f>
        <v>14</v>
      </c>
      <c r="AE808" s="33">
        <f>IF(Orders!D805="","",IF(INDEX(Riders!$B$2:$B$81,MATCH(Orders!D805,Riders!$A$2:$A$81,0))=B808,1,0))</f>
        <v>0</v>
      </c>
      <c r="AF808" s="34">
        <f>IF(E808=1,Orders!L805,"")</f>
        <v>0.91</v>
      </c>
      <c r="AG808" s="34">
        <f>IF(E808=1,Orders!P805,"")</f>
        <v>12.2</v>
      </c>
      <c r="AH808" s="34">
        <f>IF(E808=1,Orders!Q805,"")</f>
        <v>13.1</v>
      </c>
      <c r="AI808" s="34">
        <f>IF(E808=1,Orders!M805,"")</f>
        <v>5.1</v>
      </c>
      <c r="AJ808" s="34">
        <f>IF(E808=1,Orders!N805,"")</f>
        <v>5.4</v>
      </c>
      <c r="AK808" s="34">
        <f>IF(E808=1,Orders!O805,"")</f>
        <v>2.6</v>
      </c>
      <c r="AL808" s="33">
        <f>IF(E808=1,IF(ROUND(ABS(AI808+AJ808+AK808-AH808),6)&lt;=0.1,1,0),"")</f>
        <v>1</v>
      </c>
      <c r="AM808" s="36">
        <f>IF(E808=1,AI808/AH808,"")</f>
        <v>0.389312977099237</v>
      </c>
      <c r="AN808" s="36">
        <f>IF(E808=1,AJ808/AH808,"")</f>
        <v>0.412213740458015</v>
      </c>
      <c r="AO808" s="36">
        <f>IF(E808=1,AK808/AH808,"")</f>
        <v>0.198473282442748</v>
      </c>
      <c r="AP808" s="34">
        <f>IF(E808=1,Orders!Y805,"")</f>
        <v>0.15</v>
      </c>
      <c r="AQ808" s="33">
        <f>IF(Orders!X805,1,0)</f>
        <v>0</v>
      </c>
      <c r="AR808" s="34" t="str">
        <f>IF(AND(E808=1,L808=1),AJ808,"")</f>
        <v/>
      </c>
      <c r="AS808" s="34">
        <f>IF(AND(E808=1,L808=0),AJ808,"")</f>
        <v>5.4</v>
      </c>
      <c r="AT808" s="34" t="str">
        <f>IF(AND(E808=1,L808=1),AI808,"")</f>
        <v/>
      </c>
      <c r="AU808" s="34">
        <f>IF(AND(E808=1,L808=0),AI808,"")</f>
        <v>5.1</v>
      </c>
      <c r="AV808" s="34" t="str">
        <f>IF(AND(E808=1,L808=1),AG808,"")</f>
        <v/>
      </c>
      <c r="AW808" s="34">
        <f>IF(AND(E808=1,L808=0),AG808,"")</f>
        <v>12.2</v>
      </c>
      <c r="AX808" s="34" t="str">
        <f>IF(AND(E808=1,L808=1),AH808,"")</f>
        <v/>
      </c>
      <c r="AY808" s="34">
        <f>IF(AND(E808=1,L808=0),AH808,"")</f>
        <v>13.1</v>
      </c>
      <c r="AZ808" s="34">
        <f>IF(G808=1,F808,"")</f>
        <v>0.9</v>
      </c>
      <c r="BA808" s="34" t="str">
        <f>IF(AND(G808=1,L808=1),F808,"")</f>
        <v/>
      </c>
      <c r="BB808" s="34">
        <f>IF(AND(G808=1,L808=0),F808,"")</f>
        <v>0.9</v>
      </c>
      <c r="BC808" s="33">
        <f>IF(E808=1,IF(Orders!R805&gt;3,1,0),"")</f>
        <v>0</v>
      </c>
      <c r="BD808" s="33">
        <f>IF(E808=1,IF(Orders!R805&gt;7,1,0),"")</f>
        <v>0</v>
      </c>
      <c r="BE808" s="32" t="str">
        <f>IF(E808=1,IF(Orders!L805&lt;=1.5,"Up to 1.5 km",IF(Orders!L805&lt;=3,"1.5–3 km","Over 3 km")),"")</f>
        <v>Up to 1.5 km</v>
      </c>
      <c r="BF808" s="33">
        <f>IF(E808=1,IF(ABS((Orders!G805-Orders!F805)*1440-Orders!R805)&lt;0.06,1,0),"")</f>
        <v>1</v>
      </c>
      <c r="BG808" s="33">
        <f>IF(ABS((Orders!F805-Orders!E805)*1440-Orders!P805)&lt;0.06,1,0)</f>
        <v>1</v>
      </c>
      <c r="BH808" s="33">
        <f>IF(E808=1,IF(IF(Orders!S805,1,0)=1-G808,1,0),"")</f>
        <v>1</v>
      </c>
      <c r="BI808" s="32" t="str">
        <f>INDEX(Stores!$B$2:$B$21,MATCH(B808,Stores!$A$2:$A$21,0))</f>
        <v>Bengaluru</v>
      </c>
    </row>
    <row r="809">
      <c r="A809" s="32" t="str">
        <f>Orders!A806</f>
        <v>O00805</v>
      </c>
      <c r="B809" s="32" t="str">
        <f>Orders!C806</f>
        <v>S019</v>
      </c>
      <c r="C809" s="32" t="str">
        <f>Orders!B806</f>
        <v>C0060</v>
      </c>
      <c r="D809" s="32" t="str">
        <f>Orders!H806</f>
        <v>Delivered</v>
      </c>
      <c r="E809" s="33">
        <f>IF(Orders!H806="Delivered",1,0)</f>
        <v>1</v>
      </c>
      <c r="F809" s="34">
        <f>IF(E809=1,Orders!R806,"")</f>
        <v>3.5</v>
      </c>
      <c r="G809" s="33">
        <f>IF(E809=1,IF(Orders!R806&gt;0,1,0),"")</f>
        <v>1</v>
      </c>
      <c r="H809" s="33">
        <f>IF(E809=1,IF(Orders!R806&gt;5,1,0),"")</f>
        <v>0</v>
      </c>
      <c r="I809" s="32" t="str">
        <f>IF(E809=1,"",IF(OR(Orders!T806="Rider unavailable",Orders!T806="Item unavailable"),"Company-caused","Unresolved"))</f>
        <v/>
      </c>
      <c r="J809" s="33">
        <f>IF(OR(E809=1,I809="Company-caused"),1,0)</f>
        <v>1</v>
      </c>
      <c r="K809" s="32" t="str">
        <f>IF(E809=0,IF(I809="Company-caused",IF(Orders!T806="Rider unavailable","C1 Rider unavailable","C2 Item unavailable"),"Outside root: unresolved"),IF(G809=0,"A On time",IF(H809=1,IF(L809=1,"B2a Severe, peak","B2b Severe, off-peak"),IF(L809=1,"B1a Slight, peak","B1b Slight, off-peak"))))</f>
        <v>B1b Slight, off-peak</v>
      </c>
      <c r="L809" s="33">
        <f>IF(AND(Orders!U806&gt;=19,Orders!U806&lt;22),1,0)</f>
        <v>0</v>
      </c>
      <c r="M809" s="33">
        <f>IF(L809=IF(Orders!V806,1,0),1,0)</f>
        <v>1</v>
      </c>
      <c r="N809" s="32" t="str">
        <f>IF(Orders!W806="","None",Orders!W806)</f>
        <v>Light</v>
      </c>
      <c r="O809" s="35">
        <f>INT(Orders!E806)</f>
        <v>46271.0</v>
      </c>
      <c r="P809" s="33">
        <f>Orders!U806</f>
        <v>8</v>
      </c>
      <c r="Q809" s="33">
        <f>COUNTIFS(Demand!$A$2:$A$4481,B809,Demand!$B$2:$B$4481,O809,Demand!$C$2:$C$4481,P809)</f>
        <v>1</v>
      </c>
      <c r="R809" s="33">
        <f>IF(Q809=1,SUMIFS(Demand!$E$2:$E$4481,Demand!$A$2:$A$4481,B809,Demand!$B$2:$B$4481,O809,Demand!$C$2:$C$4481,P809),"")</f>
        <v>24</v>
      </c>
      <c r="S809" s="33">
        <f>INDEX(Stores!$G$2:$G$21,MATCH(B809,Stores!$A$2:$A$21,0))</f>
        <v>22</v>
      </c>
      <c r="T809" s="34">
        <f>IF(R809="","",R809/S809)</f>
        <v>1.09090909090909</v>
      </c>
      <c r="U809" s="34">
        <f>IF(E809=1,T809,"")</f>
        <v>1.09090909090909</v>
      </c>
      <c r="V809" s="34">
        <f>IF(AND(E809=1,L809=0),T809,"")</f>
        <v>1.09090909090909</v>
      </c>
      <c r="W809" s="33">
        <f>IF(U809="","",IF(U809&lt;=Breakdowns!$C$5,1,IF(U809&lt;=Breakdowns!$C$6,2,IF(U809&lt;=Breakdowns!$C$7,3,4))))</f>
        <v>3</v>
      </c>
      <c r="X809" s="33">
        <f>IF(V809="","",IF(V809&lt;=Breakdowns!$D$5,1,IF(V809&lt;=Breakdowns!$D$6,2,IF(V809&lt;=Breakdowns!$D$7,3,4))))</f>
        <v>4</v>
      </c>
      <c r="Y809" s="34">
        <f>INDEX(Stores!$F$2:$F$21,MATCH(B809,Stores!$A$2:$A$21,0))</f>
        <v>4.99</v>
      </c>
      <c r="Z809" s="33">
        <f>IF(Y809&gt;Store_Summary!$M$2,1,0)</f>
        <v>1</v>
      </c>
      <c r="AA809" s="33">
        <f>INDEX(Stores!$C$2:$C$21,MATCH(B809,Stores!$A$2:$A$21,0))</f>
        <v>851</v>
      </c>
      <c r="AB809" s="33">
        <f>IF(AA809&lt;180,1,0)</f>
        <v>0</v>
      </c>
      <c r="AC809" s="32" t="str">
        <f>IF(Orders!D806="","",INDEX(Riders!$C$2:$C$81,MATCH(Orders!D806,Riders!$A$2:$A$81,0)))</f>
        <v>EV scooter</v>
      </c>
      <c r="AD809" s="33">
        <f>IF(Orders!D806="","",INDEX(Riders!$D$2:$D$81,MATCH(Orders!D806,Riders!$A$2:$A$81,0)))</f>
        <v>4</v>
      </c>
      <c r="AE809" s="33">
        <f>IF(Orders!D806="","",IF(INDEX(Riders!$B$2:$B$81,MATCH(Orders!D806,Riders!$A$2:$A$81,0))=B809,1,0))</f>
        <v>0</v>
      </c>
      <c r="AF809" s="34">
        <f>IF(E809=1,Orders!L806,"")</f>
        <v>1.55</v>
      </c>
      <c r="AG809" s="34">
        <f>IF(E809=1,Orders!P806,"")</f>
        <v>10.1</v>
      </c>
      <c r="AH809" s="34">
        <f>IF(E809=1,Orders!Q806,"")</f>
        <v>13.6</v>
      </c>
      <c r="AI809" s="34">
        <f>IF(E809=1,Orders!M806,"")</f>
        <v>5.1</v>
      </c>
      <c r="AJ809" s="34">
        <f>IF(E809=1,Orders!N806,"")</f>
        <v>3.5</v>
      </c>
      <c r="AK809" s="34">
        <f>IF(E809=1,Orders!O806,"")</f>
        <v>5</v>
      </c>
      <c r="AL809" s="33">
        <f>IF(E809=1,IF(ROUND(ABS(AI809+AJ809+AK809-AH809),6)&lt;=0.1,1,0),"")</f>
        <v>1</v>
      </c>
      <c r="AM809" s="36">
        <f>IF(E809=1,AI809/AH809,"")</f>
        <v>0.375</v>
      </c>
      <c r="AN809" s="36">
        <f>IF(E809=1,AJ809/AH809,"")</f>
        <v>0.257352941176471</v>
      </c>
      <c r="AO809" s="36">
        <f>IF(E809=1,AK809/AH809,"")</f>
        <v>0.367647058823529</v>
      </c>
      <c r="AP809" s="34">
        <f>IF(E809=1,Orders!Y806,"")</f>
        <v>0.43</v>
      </c>
      <c r="AQ809" s="33">
        <f>IF(Orders!X806,1,0)</f>
        <v>0</v>
      </c>
      <c r="AR809" s="34" t="str">
        <f>IF(AND(E809=1,L809=1),AJ809,"")</f>
        <v/>
      </c>
      <c r="AS809" s="34">
        <f>IF(AND(E809=1,L809=0),AJ809,"")</f>
        <v>3.5</v>
      </c>
      <c r="AT809" s="34" t="str">
        <f>IF(AND(E809=1,L809=1),AI809,"")</f>
        <v/>
      </c>
      <c r="AU809" s="34">
        <f>IF(AND(E809=1,L809=0),AI809,"")</f>
        <v>5.1</v>
      </c>
      <c r="AV809" s="34" t="str">
        <f>IF(AND(E809=1,L809=1),AG809,"")</f>
        <v/>
      </c>
      <c r="AW809" s="34">
        <f>IF(AND(E809=1,L809=0),AG809,"")</f>
        <v>10.1</v>
      </c>
      <c r="AX809" s="34" t="str">
        <f>IF(AND(E809=1,L809=1),AH809,"")</f>
        <v/>
      </c>
      <c r="AY809" s="34">
        <f>IF(AND(E809=1,L809=0),AH809,"")</f>
        <v>13.6</v>
      </c>
      <c r="AZ809" s="34">
        <f>IF(G809=1,F809,"")</f>
        <v>3.5</v>
      </c>
      <c r="BA809" s="34" t="str">
        <f>IF(AND(G809=1,L809=1),F809,"")</f>
        <v/>
      </c>
      <c r="BB809" s="34">
        <f>IF(AND(G809=1,L809=0),F809,"")</f>
        <v>3.5</v>
      </c>
      <c r="BC809" s="33">
        <f>IF(E809=1,IF(Orders!R806&gt;3,1,0),"")</f>
        <v>1</v>
      </c>
      <c r="BD809" s="33">
        <f>IF(E809=1,IF(Orders!R806&gt;7,1,0),"")</f>
        <v>0</v>
      </c>
      <c r="BE809" s="32" t="str">
        <f>IF(E809=1,IF(Orders!L806&lt;=1.5,"Up to 1.5 km",IF(Orders!L806&lt;=3,"1.5–3 km","Over 3 km")),"")</f>
        <v>1.5–3 km</v>
      </c>
      <c r="BF809" s="33">
        <f>IF(E809=1,IF(ABS((Orders!G806-Orders!F806)*1440-Orders!R806)&lt;0.06,1,0),"")</f>
        <v>1</v>
      </c>
      <c r="BG809" s="33">
        <f>IF(ABS((Orders!F806-Orders!E806)*1440-Orders!P806)&lt;0.06,1,0)</f>
        <v>1</v>
      </c>
      <c r="BH809" s="33">
        <f>IF(E809=1,IF(IF(Orders!S806,1,0)=1-G809,1,0),"")</f>
        <v>1</v>
      </c>
      <c r="BI809" s="32" t="str">
        <f>INDEX(Stores!$B$2:$B$21,MATCH(B809,Stores!$A$2:$A$21,0))</f>
        <v>Pune</v>
      </c>
    </row>
    <row r="810">
      <c r="A810" s="32" t="str">
        <f>Orders!A807</f>
        <v>O00806</v>
      </c>
      <c r="B810" s="32" t="str">
        <f>Orders!C807</f>
        <v>S015</v>
      </c>
      <c r="C810" s="32" t="str">
        <f>Orders!B807</f>
        <v>C0061</v>
      </c>
      <c r="D810" s="32" t="str">
        <f>Orders!H807</f>
        <v>Delivered</v>
      </c>
      <c r="E810" s="33">
        <f>IF(Orders!H807="Delivered",1,0)</f>
        <v>1</v>
      </c>
      <c r="F810" s="34">
        <f>IF(E810=1,Orders!R807,"")</f>
        <v>-0.4</v>
      </c>
      <c r="G810" s="33">
        <f>IF(E810=1,IF(Orders!R807&gt;0,1,0),"")</f>
        <v>0</v>
      </c>
      <c r="H810" s="33">
        <f>IF(E810=1,IF(Orders!R807&gt;5,1,0),"")</f>
        <v>0</v>
      </c>
      <c r="I810" s="32" t="str">
        <f>IF(E810=1,"",IF(OR(Orders!T807="Rider unavailable",Orders!T807="Item unavailable"),"Company-caused","Unresolved"))</f>
        <v/>
      </c>
      <c r="J810" s="33">
        <f>IF(OR(E810=1,I810="Company-caused"),1,0)</f>
        <v>1</v>
      </c>
      <c r="K810" s="32" t="str">
        <f>IF(E810=0,IF(I810="Company-caused",IF(Orders!T807="Rider unavailable","C1 Rider unavailable","C2 Item unavailable"),"Outside root: unresolved"),IF(G810=0,"A On time",IF(H810=1,IF(L810=1,"B2a Severe, peak","B2b Severe, off-peak"),IF(L810=1,"B1a Slight, peak","B1b Slight, off-peak"))))</f>
        <v>A On time</v>
      </c>
      <c r="L810" s="33">
        <f>IF(AND(Orders!U807&gt;=19,Orders!U807&lt;22),1,0)</f>
        <v>0</v>
      </c>
      <c r="M810" s="33">
        <f>IF(L810=IF(Orders!V807,1,0),1,0)</f>
        <v>1</v>
      </c>
      <c r="N810" s="32" t="str">
        <f>IF(Orders!W807="","None",Orders!W807)</f>
        <v>None</v>
      </c>
      <c r="O810" s="35">
        <f>INT(Orders!E807)</f>
        <v>46278.0</v>
      </c>
      <c r="P810" s="33">
        <f>Orders!U807</f>
        <v>18</v>
      </c>
      <c r="Q810" s="33">
        <f>COUNTIFS(Demand!$A$2:$A$4481,B810,Demand!$B$2:$B$4481,O810,Demand!$C$2:$C$4481,P810)</f>
        <v>1</v>
      </c>
      <c r="R810" s="33">
        <f>IF(Q810=1,SUMIFS(Demand!$E$2:$E$4481,Demand!$A$2:$A$4481,B810,Demand!$B$2:$B$4481,O810,Demand!$C$2:$C$4481,P810),"")</f>
        <v>37</v>
      </c>
      <c r="S810" s="33">
        <f>INDEX(Stores!$G$2:$G$21,MATCH(B810,Stores!$A$2:$A$21,0))</f>
        <v>23</v>
      </c>
      <c r="T810" s="34">
        <f>IF(R810="","",R810/S810)</f>
        <v>1.60869565217391</v>
      </c>
      <c r="U810" s="34">
        <f>IF(E810=1,T810,"")</f>
        <v>1.60869565217391</v>
      </c>
      <c r="V810" s="34">
        <f>IF(AND(E810=1,L810=0),T810,"")</f>
        <v>1.60869565217391</v>
      </c>
      <c r="W810" s="33">
        <f>IF(U810="","",IF(U810&lt;=Breakdowns!$C$5,1,IF(U810&lt;=Breakdowns!$C$6,2,IF(U810&lt;=Breakdowns!$C$7,3,4))))</f>
        <v>4</v>
      </c>
      <c r="X810" s="33">
        <f>IF(V810="","",IF(V810&lt;=Breakdowns!$D$5,1,IF(V810&lt;=Breakdowns!$D$6,2,IF(V810&lt;=Breakdowns!$D$7,3,4))))</f>
        <v>4</v>
      </c>
      <c r="Y810" s="34">
        <f>INDEX(Stores!$F$2:$F$21,MATCH(B810,Stores!$A$2:$A$21,0))</f>
        <v>4.66</v>
      </c>
      <c r="Z810" s="33">
        <f>IF(Y810&gt;Store_Summary!$M$2,1,0)</f>
        <v>0</v>
      </c>
      <c r="AA810" s="33">
        <f>INDEX(Stores!$C$2:$C$21,MATCH(B810,Stores!$A$2:$A$21,0))</f>
        <v>204</v>
      </c>
      <c r="AB810" s="33">
        <f>IF(AA810&lt;180,1,0)</f>
        <v>0</v>
      </c>
      <c r="AC810" s="32" t="str">
        <f>IF(Orders!D807="","",INDEX(Riders!$C$2:$C$81,MATCH(Orders!D807,Riders!$A$2:$A$81,0)))</f>
        <v>EV scooter</v>
      </c>
      <c r="AD810" s="33">
        <f>IF(Orders!D807="","",INDEX(Riders!$D$2:$D$81,MATCH(Orders!D807,Riders!$A$2:$A$81,0)))</f>
        <v>33</v>
      </c>
      <c r="AE810" s="33">
        <f>IF(Orders!D807="","",IF(INDEX(Riders!$B$2:$B$81,MATCH(Orders!D807,Riders!$A$2:$A$81,0))=B810,1,0))</f>
        <v>1</v>
      </c>
      <c r="AF810" s="34">
        <f>IF(E810=1,Orders!L807,"")</f>
        <v>1.37</v>
      </c>
      <c r="AG810" s="34">
        <f>IF(E810=1,Orders!P807,"")</f>
        <v>10.8</v>
      </c>
      <c r="AH810" s="34">
        <f>IF(E810=1,Orders!Q807,"")</f>
        <v>10.4</v>
      </c>
      <c r="AI810" s="34">
        <f>IF(E810=1,Orders!M807,"")</f>
        <v>2.4</v>
      </c>
      <c r="AJ810" s="34">
        <f>IF(E810=1,Orders!N807,"")</f>
        <v>5.1</v>
      </c>
      <c r="AK810" s="34">
        <f>IF(E810=1,Orders!O807,"")</f>
        <v>2.9</v>
      </c>
      <c r="AL810" s="33">
        <f>IF(E810=1,IF(ROUND(ABS(AI810+AJ810+AK810-AH810),6)&lt;=0.1,1,0),"")</f>
        <v>1</v>
      </c>
      <c r="AM810" s="36">
        <f>IF(E810=1,AI810/AH810,"")</f>
        <v>0.230769230769231</v>
      </c>
      <c r="AN810" s="36">
        <f>IF(E810=1,AJ810/AH810,"")</f>
        <v>0.490384615384615</v>
      </c>
      <c r="AO810" s="36">
        <f>IF(E810=1,AK810/AH810,"")</f>
        <v>0.278846153846154</v>
      </c>
      <c r="AP810" s="34">
        <f>IF(E810=1,Orders!Y807,"")</f>
        <v>0.29</v>
      </c>
      <c r="AQ810" s="33">
        <f>IF(Orders!X807,1,0)</f>
        <v>0</v>
      </c>
      <c r="AR810" s="34" t="str">
        <f>IF(AND(E810=1,L810=1),AJ810,"")</f>
        <v/>
      </c>
      <c r="AS810" s="34">
        <f>IF(AND(E810=1,L810=0),AJ810,"")</f>
        <v>5.1</v>
      </c>
      <c r="AT810" s="34" t="str">
        <f>IF(AND(E810=1,L810=1),AI810,"")</f>
        <v/>
      </c>
      <c r="AU810" s="34">
        <f>IF(AND(E810=1,L810=0),AI810,"")</f>
        <v>2.4</v>
      </c>
      <c r="AV810" s="34" t="str">
        <f>IF(AND(E810=1,L810=1),AG810,"")</f>
        <v/>
      </c>
      <c r="AW810" s="34">
        <f>IF(AND(E810=1,L810=0),AG810,"")</f>
        <v>10.8</v>
      </c>
      <c r="AX810" s="34" t="str">
        <f>IF(AND(E810=1,L810=1),AH810,"")</f>
        <v/>
      </c>
      <c r="AY810" s="34">
        <f>IF(AND(E810=1,L810=0),AH810,"")</f>
        <v>10.4</v>
      </c>
      <c r="AZ810" s="34" t="str">
        <f>IF(G810=1,F810,"")</f>
        <v/>
      </c>
      <c r="BA810" s="34" t="str">
        <f>IF(AND(G810=1,L810=1),F810,"")</f>
        <v/>
      </c>
      <c r="BB810" s="34" t="str">
        <f>IF(AND(G810=1,L810=0),F810,"")</f>
        <v/>
      </c>
      <c r="BC810" s="33">
        <f>IF(E810=1,IF(Orders!R807&gt;3,1,0),"")</f>
        <v>0</v>
      </c>
      <c r="BD810" s="33">
        <f>IF(E810=1,IF(Orders!R807&gt;7,1,0),"")</f>
        <v>0</v>
      </c>
      <c r="BE810" s="32" t="str">
        <f>IF(E810=1,IF(Orders!L807&lt;=1.5,"Up to 1.5 km",IF(Orders!L807&lt;=3,"1.5–3 km","Over 3 km")),"")</f>
        <v>Up to 1.5 km</v>
      </c>
      <c r="BF810" s="33">
        <f>IF(E810=1,IF(ABS((Orders!G807-Orders!F807)*1440-Orders!R807)&lt;0.06,1,0),"")</f>
        <v>1</v>
      </c>
      <c r="BG810" s="33">
        <f>IF(ABS((Orders!F807-Orders!E807)*1440-Orders!P807)&lt;0.06,1,0)</f>
        <v>1</v>
      </c>
      <c r="BH810" s="33">
        <f>IF(E810=1,IF(IF(Orders!S807,1,0)=1-G810,1,0),"")</f>
        <v>1</v>
      </c>
      <c r="BI810" s="32" t="str">
        <f>INDEX(Stores!$B$2:$B$21,MATCH(B810,Stores!$A$2:$A$21,0))</f>
        <v>Delhi</v>
      </c>
    </row>
    <row r="811">
      <c r="A811" s="32" t="str">
        <f>Orders!A808</f>
        <v>O00807</v>
      </c>
      <c r="B811" s="32" t="str">
        <f>Orders!C808</f>
        <v>S019</v>
      </c>
      <c r="C811" s="32" t="str">
        <f>Orders!B808</f>
        <v>C0025</v>
      </c>
      <c r="D811" s="32" t="str">
        <f>Orders!H808</f>
        <v>Delivered</v>
      </c>
      <c r="E811" s="33">
        <f>IF(Orders!H808="Delivered",1,0)</f>
        <v>1</v>
      </c>
      <c r="F811" s="34">
        <f>IF(E811=1,Orders!R808,"")</f>
        <v>13.1</v>
      </c>
      <c r="G811" s="33">
        <f>IF(E811=1,IF(Orders!R808&gt;0,1,0),"")</f>
        <v>1</v>
      </c>
      <c r="H811" s="33">
        <f>IF(E811=1,IF(Orders!R808&gt;5,1,0),"")</f>
        <v>1</v>
      </c>
      <c r="I811" s="32" t="str">
        <f>IF(E811=1,"",IF(OR(Orders!T808="Rider unavailable",Orders!T808="Item unavailable"),"Company-caused","Unresolved"))</f>
        <v/>
      </c>
      <c r="J811" s="33">
        <f>IF(OR(E811=1,I811="Company-caused"),1,0)</f>
        <v>1</v>
      </c>
      <c r="K811" s="32" t="str">
        <f>IF(E811=0,IF(I811="Company-caused",IF(Orders!T808="Rider unavailable","C1 Rider unavailable","C2 Item unavailable"),"Outside root: unresolved"),IF(G811=0,"A On time",IF(H811=1,IF(L811=1,"B2a Severe, peak","B2b Severe, off-peak"),IF(L811=1,"B1a Slight, peak","B1b Slight, off-peak"))))</f>
        <v>B2b Severe, off-peak</v>
      </c>
      <c r="L811" s="33">
        <f>IF(AND(Orders!U808&gt;=19,Orders!U808&lt;22),1,0)</f>
        <v>0</v>
      </c>
      <c r="M811" s="33">
        <f>IF(L811=IF(Orders!V808,1,0),1,0)</f>
        <v>1</v>
      </c>
      <c r="N811" s="32" t="str">
        <f>IF(Orders!W808="","None",Orders!W808)</f>
        <v>Light</v>
      </c>
      <c r="O811" s="35">
        <f>INT(Orders!E808)</f>
        <v>46266.0</v>
      </c>
      <c r="P811" s="33">
        <f>Orders!U808</f>
        <v>14</v>
      </c>
      <c r="Q811" s="33">
        <f>COUNTIFS(Demand!$A$2:$A$4481,B811,Demand!$B$2:$B$4481,O811,Demand!$C$2:$C$4481,P811)</f>
        <v>1</v>
      </c>
      <c r="R811" s="33">
        <f>IF(Q811=1,SUMIFS(Demand!$E$2:$E$4481,Demand!$A$2:$A$4481,B811,Demand!$B$2:$B$4481,O811,Demand!$C$2:$C$4481,P811),"")</f>
        <v>14</v>
      </c>
      <c r="S811" s="33">
        <f>INDEX(Stores!$G$2:$G$21,MATCH(B811,Stores!$A$2:$A$21,0))</f>
        <v>22</v>
      </c>
      <c r="T811" s="34">
        <f>IF(R811="","",R811/S811)</f>
        <v>0.636363636363636</v>
      </c>
      <c r="U811" s="34">
        <f>IF(E811=1,T811,"")</f>
        <v>0.636363636363636</v>
      </c>
      <c r="V811" s="34">
        <f>IF(AND(E811=1,L811=0),T811,"")</f>
        <v>0.636363636363636</v>
      </c>
      <c r="W811" s="33">
        <f>IF(U811="","",IF(U811&lt;=Breakdowns!$C$5,1,IF(U811&lt;=Breakdowns!$C$6,2,IF(U811&lt;=Breakdowns!$C$7,3,4))))</f>
        <v>1</v>
      </c>
      <c r="X811" s="33">
        <f>IF(V811="","",IF(V811&lt;=Breakdowns!$D$5,1,IF(V811&lt;=Breakdowns!$D$6,2,IF(V811&lt;=Breakdowns!$D$7,3,4))))</f>
        <v>1</v>
      </c>
      <c r="Y811" s="34">
        <f>INDEX(Stores!$F$2:$F$21,MATCH(B811,Stores!$A$2:$A$21,0))</f>
        <v>4.99</v>
      </c>
      <c r="Z811" s="33">
        <f>IF(Y811&gt;Store_Summary!$M$2,1,0)</f>
        <v>1</v>
      </c>
      <c r="AA811" s="33">
        <f>INDEX(Stores!$C$2:$C$21,MATCH(B811,Stores!$A$2:$A$21,0))</f>
        <v>851</v>
      </c>
      <c r="AB811" s="33">
        <f>IF(AA811&lt;180,1,0)</f>
        <v>0</v>
      </c>
      <c r="AC811" s="32" t="str">
        <f>IF(Orders!D808="","",INDEX(Riders!$C$2:$C$81,MATCH(Orders!D808,Riders!$A$2:$A$81,0)))</f>
        <v>EV scooter</v>
      </c>
      <c r="AD811" s="33">
        <f>IF(Orders!D808="","",INDEX(Riders!$D$2:$D$81,MATCH(Orders!D808,Riders!$A$2:$A$81,0)))</f>
        <v>30</v>
      </c>
      <c r="AE811" s="33">
        <f>IF(Orders!D808="","",IF(INDEX(Riders!$B$2:$B$81,MATCH(Orders!D808,Riders!$A$2:$A$81,0))=B811,1,0))</f>
        <v>0</v>
      </c>
      <c r="AF811" s="34">
        <f>IF(E811=1,Orders!L808,"")</f>
        <v>2.5</v>
      </c>
      <c r="AG811" s="34">
        <f>IF(E811=1,Orders!P808,"")</f>
        <v>10</v>
      </c>
      <c r="AH811" s="34">
        <f>IF(E811=1,Orders!Q808,"")</f>
        <v>23.1</v>
      </c>
      <c r="AI811" s="34">
        <f>IF(E811=1,Orders!M808,"")</f>
        <v>4.7</v>
      </c>
      <c r="AJ811" s="34">
        <f>IF(E811=1,Orders!N808,"")</f>
        <v>10.2</v>
      </c>
      <c r="AK811" s="34">
        <f>IF(E811=1,Orders!O808,"")</f>
        <v>8.2</v>
      </c>
      <c r="AL811" s="33">
        <f>IF(E811=1,IF(ROUND(ABS(AI811+AJ811+AK811-AH811),6)&lt;=0.1,1,0),"")</f>
        <v>1</v>
      </c>
      <c r="AM811" s="36">
        <f>IF(E811=1,AI811/AH811,"")</f>
        <v>0.203463203463203</v>
      </c>
      <c r="AN811" s="36">
        <f>IF(E811=1,AJ811/AH811,"")</f>
        <v>0.441558441558442</v>
      </c>
      <c r="AO811" s="36">
        <f>IF(E811=1,AK811/AH811,"")</f>
        <v>0.354978354978355</v>
      </c>
      <c r="AP811" s="34">
        <f>IF(E811=1,Orders!Y808,"")</f>
        <v>0.54</v>
      </c>
      <c r="AQ811" s="33">
        <f>IF(Orders!X808,1,0)</f>
        <v>0</v>
      </c>
      <c r="AR811" s="34" t="str">
        <f>IF(AND(E811=1,L811=1),AJ811,"")</f>
        <v/>
      </c>
      <c r="AS811" s="34">
        <f>IF(AND(E811=1,L811=0),AJ811,"")</f>
        <v>10.2</v>
      </c>
      <c r="AT811" s="34" t="str">
        <f>IF(AND(E811=1,L811=1),AI811,"")</f>
        <v/>
      </c>
      <c r="AU811" s="34">
        <f>IF(AND(E811=1,L811=0),AI811,"")</f>
        <v>4.7</v>
      </c>
      <c r="AV811" s="34" t="str">
        <f>IF(AND(E811=1,L811=1),AG811,"")</f>
        <v/>
      </c>
      <c r="AW811" s="34">
        <f>IF(AND(E811=1,L811=0),AG811,"")</f>
        <v>10</v>
      </c>
      <c r="AX811" s="34" t="str">
        <f>IF(AND(E811=1,L811=1),AH811,"")</f>
        <v/>
      </c>
      <c r="AY811" s="34">
        <f>IF(AND(E811=1,L811=0),AH811,"")</f>
        <v>23.1</v>
      </c>
      <c r="AZ811" s="34">
        <f>IF(G811=1,F811,"")</f>
        <v>13.1</v>
      </c>
      <c r="BA811" s="34" t="str">
        <f>IF(AND(G811=1,L811=1),F811,"")</f>
        <v/>
      </c>
      <c r="BB811" s="34">
        <f>IF(AND(G811=1,L811=0),F811,"")</f>
        <v>13.1</v>
      </c>
      <c r="BC811" s="33">
        <f>IF(E811=1,IF(Orders!R808&gt;3,1,0),"")</f>
        <v>1</v>
      </c>
      <c r="BD811" s="33">
        <f>IF(E811=1,IF(Orders!R808&gt;7,1,0),"")</f>
        <v>1</v>
      </c>
      <c r="BE811" s="32" t="str">
        <f>IF(E811=1,IF(Orders!L808&lt;=1.5,"Up to 1.5 km",IF(Orders!L808&lt;=3,"1.5–3 km","Over 3 km")),"")</f>
        <v>1.5–3 km</v>
      </c>
      <c r="BF811" s="33">
        <f>IF(E811=1,IF(ABS((Orders!G808-Orders!F808)*1440-Orders!R808)&lt;0.06,1,0),"")</f>
        <v>1</v>
      </c>
      <c r="BG811" s="33">
        <f>IF(ABS((Orders!F808-Orders!E808)*1440-Orders!P808)&lt;0.06,1,0)</f>
        <v>1</v>
      </c>
      <c r="BH811" s="33">
        <f>IF(E811=1,IF(IF(Orders!S808,1,0)=1-G811,1,0),"")</f>
        <v>1</v>
      </c>
      <c r="BI811" s="32" t="str">
        <f>INDEX(Stores!$B$2:$B$21,MATCH(B811,Stores!$A$2:$A$21,0))</f>
        <v>Pune</v>
      </c>
    </row>
    <row r="812">
      <c r="A812" s="32" t="str">
        <f>Orders!A809</f>
        <v>O00808</v>
      </c>
      <c r="B812" s="32" t="str">
        <f>Orders!C809</f>
        <v>S015</v>
      </c>
      <c r="C812" s="32" t="str">
        <f>Orders!B809</f>
        <v>C0198</v>
      </c>
      <c r="D812" s="32" t="str">
        <f>Orders!H809</f>
        <v>Delivered</v>
      </c>
      <c r="E812" s="33">
        <f>IF(Orders!H809="Delivered",1,0)</f>
        <v>1</v>
      </c>
      <c r="F812" s="34">
        <f>IF(E812=1,Orders!R809,"")</f>
        <v>7.7</v>
      </c>
      <c r="G812" s="33">
        <f>IF(E812=1,IF(Orders!R809&gt;0,1,0),"")</f>
        <v>1</v>
      </c>
      <c r="H812" s="33">
        <f>IF(E812=1,IF(Orders!R809&gt;5,1,0),"")</f>
        <v>1</v>
      </c>
      <c r="I812" s="32" t="str">
        <f>IF(E812=1,"",IF(OR(Orders!T809="Rider unavailable",Orders!T809="Item unavailable"),"Company-caused","Unresolved"))</f>
        <v/>
      </c>
      <c r="J812" s="33">
        <f>IF(OR(E812=1,I812="Company-caused"),1,0)</f>
        <v>1</v>
      </c>
      <c r="K812" s="32" t="str">
        <f>IF(E812=0,IF(I812="Company-caused",IF(Orders!T809="Rider unavailable","C1 Rider unavailable","C2 Item unavailable"),"Outside root: unresolved"),IF(G812=0,"A On time",IF(H812=1,IF(L812=1,"B2a Severe, peak","B2b Severe, off-peak"),IF(L812=1,"B1a Slight, peak","B1b Slight, off-peak"))))</f>
        <v>B2b Severe, off-peak</v>
      </c>
      <c r="L812" s="33">
        <f>IF(AND(Orders!U809&gt;=19,Orders!U809&lt;22),1,0)</f>
        <v>0</v>
      </c>
      <c r="M812" s="33">
        <f>IF(L812=IF(Orders!V809,1,0),1,0)</f>
        <v>1</v>
      </c>
      <c r="N812" s="32" t="str">
        <f>IF(Orders!W809="","None",Orders!W809)</f>
        <v>None</v>
      </c>
      <c r="O812" s="35">
        <f>INT(Orders!E809)</f>
        <v>46270.0</v>
      </c>
      <c r="P812" s="33">
        <f>Orders!U809</f>
        <v>8</v>
      </c>
      <c r="Q812" s="33">
        <f>COUNTIFS(Demand!$A$2:$A$4481,B812,Demand!$B$2:$B$4481,O812,Demand!$C$2:$C$4481,P812)</f>
        <v>1</v>
      </c>
      <c r="R812" s="33">
        <f>IF(Q812=1,SUMIFS(Demand!$E$2:$E$4481,Demand!$A$2:$A$4481,B812,Demand!$B$2:$B$4481,O812,Demand!$C$2:$C$4481,P812),"")</f>
        <v>16</v>
      </c>
      <c r="S812" s="33">
        <f>INDEX(Stores!$G$2:$G$21,MATCH(B812,Stores!$A$2:$A$21,0))</f>
        <v>23</v>
      </c>
      <c r="T812" s="34">
        <f>IF(R812="","",R812/S812)</f>
        <v>0.695652173913044</v>
      </c>
      <c r="U812" s="34">
        <f>IF(E812=1,T812,"")</f>
        <v>0.695652173913044</v>
      </c>
      <c r="V812" s="34">
        <f>IF(AND(E812=1,L812=0),T812,"")</f>
        <v>0.695652173913044</v>
      </c>
      <c r="W812" s="33">
        <f>IF(U812="","",IF(U812&lt;=Breakdowns!$C$5,1,IF(U812&lt;=Breakdowns!$C$6,2,IF(U812&lt;=Breakdowns!$C$7,3,4))))</f>
        <v>1</v>
      </c>
      <c r="X812" s="33">
        <f>IF(V812="","",IF(V812&lt;=Breakdowns!$D$5,1,IF(V812&lt;=Breakdowns!$D$6,2,IF(V812&lt;=Breakdowns!$D$7,3,4))))</f>
        <v>1</v>
      </c>
      <c r="Y812" s="34">
        <f>INDEX(Stores!$F$2:$F$21,MATCH(B812,Stores!$A$2:$A$21,0))</f>
        <v>4.66</v>
      </c>
      <c r="Z812" s="33">
        <f>IF(Y812&gt;Store_Summary!$M$2,1,0)</f>
        <v>0</v>
      </c>
      <c r="AA812" s="33">
        <f>INDEX(Stores!$C$2:$C$21,MATCH(B812,Stores!$A$2:$A$21,0))</f>
        <v>204</v>
      </c>
      <c r="AB812" s="33">
        <f>IF(AA812&lt;180,1,0)</f>
        <v>0</v>
      </c>
      <c r="AC812" s="32" t="str">
        <f>IF(Orders!D809="","",INDEX(Riders!$C$2:$C$81,MATCH(Orders!D809,Riders!$A$2:$A$81,0)))</f>
        <v>EV scooter</v>
      </c>
      <c r="AD812" s="33">
        <f>IF(Orders!D809="","",INDEX(Riders!$D$2:$D$81,MATCH(Orders!D809,Riders!$A$2:$A$81,0)))</f>
        <v>33</v>
      </c>
      <c r="AE812" s="33">
        <f>IF(Orders!D809="","",IF(INDEX(Riders!$B$2:$B$81,MATCH(Orders!D809,Riders!$A$2:$A$81,0))=B812,1,0))</f>
        <v>0</v>
      </c>
      <c r="AF812" s="34">
        <f>IF(E812=1,Orders!L809,"")</f>
        <v>1.76</v>
      </c>
      <c r="AG812" s="34">
        <f>IF(E812=1,Orders!P809,"")</f>
        <v>10.6</v>
      </c>
      <c r="AH812" s="34">
        <f>IF(E812=1,Orders!Q809,"")</f>
        <v>18.3</v>
      </c>
      <c r="AI812" s="34">
        <f>IF(E812=1,Orders!M809,"")</f>
        <v>5.6</v>
      </c>
      <c r="AJ812" s="34">
        <f>IF(E812=1,Orders!N809,"")</f>
        <v>8.1</v>
      </c>
      <c r="AK812" s="34">
        <f>IF(E812=1,Orders!O809,"")</f>
        <v>4.7</v>
      </c>
      <c r="AL812" s="33">
        <f>IF(E812=1,IF(ROUND(ABS(AI812+AJ812+AK812-AH812),6)&lt;=0.1,1,0),"")</f>
        <v>1</v>
      </c>
      <c r="AM812" s="36">
        <f>IF(E812=1,AI812/AH812,"")</f>
        <v>0.306010928961749</v>
      </c>
      <c r="AN812" s="36">
        <f>IF(E812=1,AJ812/AH812,"")</f>
        <v>0.442622950819672</v>
      </c>
      <c r="AO812" s="36">
        <f>IF(E812=1,AK812/AH812,"")</f>
        <v>0.256830601092896</v>
      </c>
      <c r="AP812" s="34">
        <f>IF(E812=1,Orders!Y809,"")</f>
        <v>0.25</v>
      </c>
      <c r="AQ812" s="33">
        <f>IF(Orders!X809,1,0)</f>
        <v>0</v>
      </c>
      <c r="AR812" s="34" t="str">
        <f>IF(AND(E812=1,L812=1),AJ812,"")</f>
        <v/>
      </c>
      <c r="AS812" s="34">
        <f>IF(AND(E812=1,L812=0),AJ812,"")</f>
        <v>8.1</v>
      </c>
      <c r="AT812" s="34" t="str">
        <f>IF(AND(E812=1,L812=1),AI812,"")</f>
        <v/>
      </c>
      <c r="AU812" s="34">
        <f>IF(AND(E812=1,L812=0),AI812,"")</f>
        <v>5.6</v>
      </c>
      <c r="AV812" s="34" t="str">
        <f>IF(AND(E812=1,L812=1),AG812,"")</f>
        <v/>
      </c>
      <c r="AW812" s="34">
        <f>IF(AND(E812=1,L812=0),AG812,"")</f>
        <v>10.6</v>
      </c>
      <c r="AX812" s="34" t="str">
        <f>IF(AND(E812=1,L812=1),AH812,"")</f>
        <v/>
      </c>
      <c r="AY812" s="34">
        <f>IF(AND(E812=1,L812=0),AH812,"")</f>
        <v>18.3</v>
      </c>
      <c r="AZ812" s="34">
        <f>IF(G812=1,F812,"")</f>
        <v>7.7</v>
      </c>
      <c r="BA812" s="34" t="str">
        <f>IF(AND(G812=1,L812=1),F812,"")</f>
        <v/>
      </c>
      <c r="BB812" s="34">
        <f>IF(AND(G812=1,L812=0),F812,"")</f>
        <v>7.7</v>
      </c>
      <c r="BC812" s="33">
        <f>IF(E812=1,IF(Orders!R809&gt;3,1,0),"")</f>
        <v>1</v>
      </c>
      <c r="BD812" s="33">
        <f>IF(E812=1,IF(Orders!R809&gt;7,1,0),"")</f>
        <v>1</v>
      </c>
      <c r="BE812" s="32" t="str">
        <f>IF(E812=1,IF(Orders!L809&lt;=1.5,"Up to 1.5 km",IF(Orders!L809&lt;=3,"1.5–3 km","Over 3 km")),"")</f>
        <v>1.5–3 km</v>
      </c>
      <c r="BF812" s="33">
        <f>IF(E812=1,IF(ABS((Orders!G809-Orders!F809)*1440-Orders!R809)&lt;0.06,1,0),"")</f>
        <v>1</v>
      </c>
      <c r="BG812" s="33">
        <f>IF(ABS((Orders!F809-Orders!E809)*1440-Orders!P809)&lt;0.06,1,0)</f>
        <v>1</v>
      </c>
      <c r="BH812" s="33">
        <f>IF(E812=1,IF(IF(Orders!S809,1,0)=1-G812,1,0),"")</f>
        <v>1</v>
      </c>
      <c r="BI812" s="32" t="str">
        <f>INDEX(Stores!$B$2:$B$21,MATCH(B812,Stores!$A$2:$A$21,0))</f>
        <v>Delhi</v>
      </c>
    </row>
    <row r="813">
      <c r="A813" s="32" t="str">
        <f>Orders!A810</f>
        <v>O00809</v>
      </c>
      <c r="B813" s="32" t="str">
        <f>Orders!C810</f>
        <v>S001</v>
      </c>
      <c r="C813" s="32" t="str">
        <f>Orders!B810</f>
        <v>C0110</v>
      </c>
      <c r="D813" s="32" t="str">
        <f>Orders!H810</f>
        <v>Delivered</v>
      </c>
      <c r="E813" s="33">
        <f>IF(Orders!H810="Delivered",1,0)</f>
        <v>1</v>
      </c>
      <c r="F813" s="34">
        <f>IF(E813=1,Orders!R810,"")</f>
        <v>-0.6</v>
      </c>
      <c r="G813" s="33">
        <f>IF(E813=1,IF(Orders!R810&gt;0,1,0),"")</f>
        <v>0</v>
      </c>
      <c r="H813" s="33">
        <f>IF(E813=1,IF(Orders!R810&gt;5,1,0),"")</f>
        <v>0</v>
      </c>
      <c r="I813" s="32" t="str">
        <f>IF(E813=1,"",IF(OR(Orders!T810="Rider unavailable",Orders!T810="Item unavailable"),"Company-caused","Unresolved"))</f>
        <v/>
      </c>
      <c r="J813" s="33">
        <f>IF(OR(E813=1,I813="Company-caused"),1,0)</f>
        <v>1</v>
      </c>
      <c r="K813" s="32" t="str">
        <f>IF(E813=0,IF(I813="Company-caused",IF(Orders!T810="Rider unavailable","C1 Rider unavailable","C2 Item unavailable"),"Outside root: unresolved"),IF(G813=0,"A On time",IF(H813=1,IF(L813=1,"B2a Severe, peak","B2b Severe, off-peak"),IF(L813=1,"B1a Slight, peak","B1b Slight, off-peak"))))</f>
        <v>A On time</v>
      </c>
      <c r="L813" s="33">
        <f>IF(AND(Orders!U810&gt;=19,Orders!U810&lt;22),1,0)</f>
        <v>1</v>
      </c>
      <c r="M813" s="33">
        <f>IF(L813=IF(Orders!V810,1,0),1,0)</f>
        <v>1</v>
      </c>
      <c r="N813" s="32" t="str">
        <f>IF(Orders!W810="","None",Orders!W810)</f>
        <v>None</v>
      </c>
      <c r="O813" s="35">
        <f>INT(Orders!E810)</f>
        <v>46274.0</v>
      </c>
      <c r="P813" s="33">
        <f>Orders!U810</f>
        <v>21</v>
      </c>
      <c r="Q813" s="33">
        <f>COUNTIFS(Demand!$A$2:$A$4481,B813,Demand!$B$2:$B$4481,O813,Demand!$C$2:$C$4481,P813)</f>
        <v>1</v>
      </c>
      <c r="R813" s="33">
        <f>IF(Q813=1,SUMIFS(Demand!$E$2:$E$4481,Demand!$A$2:$A$4481,B813,Demand!$B$2:$B$4481,O813,Demand!$C$2:$C$4481,P813),"")</f>
        <v>25</v>
      </c>
      <c r="S813" s="33">
        <f>INDEX(Stores!$G$2:$G$21,MATCH(B813,Stores!$A$2:$A$21,0))</f>
        <v>16</v>
      </c>
      <c r="T813" s="34">
        <f>IF(R813="","",R813/S813)</f>
        <v>1.5625</v>
      </c>
      <c r="U813" s="34">
        <f>IF(E813=1,T813,"")</f>
        <v>1.5625</v>
      </c>
      <c r="V813" s="34" t="str">
        <f>IF(AND(E813=1,L813=0),T813,"")</f>
        <v/>
      </c>
      <c r="W813" s="33">
        <f>IF(U813="","",IF(U813&lt;=Breakdowns!$C$5,1,IF(U813&lt;=Breakdowns!$C$6,2,IF(U813&lt;=Breakdowns!$C$7,3,4))))</f>
        <v>4</v>
      </c>
      <c r="X813" s="33" t="str">
        <f>IF(V813="","",IF(V813&lt;=Breakdowns!$D$5,1,IF(V813&lt;=Breakdowns!$D$6,2,IF(V813&lt;=Breakdowns!$D$7,3,4))))</f>
        <v/>
      </c>
      <c r="Y813" s="34">
        <f>INDEX(Stores!$F$2:$F$21,MATCH(B813,Stores!$A$2:$A$21,0))</f>
        <v>4.59</v>
      </c>
      <c r="Z813" s="33">
        <f>IF(Y813&gt;Store_Summary!$M$2,1,0)</f>
        <v>0</v>
      </c>
      <c r="AA813" s="33">
        <f>INDEX(Stores!$C$2:$C$21,MATCH(B813,Stores!$A$2:$A$21,0))</f>
        <v>362</v>
      </c>
      <c r="AB813" s="33">
        <f>IF(AA813&lt;180,1,0)</f>
        <v>0</v>
      </c>
      <c r="AC813" s="32" t="str">
        <f>IF(Orders!D810="","",INDEX(Riders!$C$2:$C$81,MATCH(Orders!D810,Riders!$A$2:$A$81,0)))</f>
        <v>EV scooter</v>
      </c>
      <c r="AD813" s="33">
        <f>IF(Orders!D810="","",INDEX(Riders!$D$2:$D$81,MATCH(Orders!D810,Riders!$A$2:$A$81,0)))</f>
        <v>11</v>
      </c>
      <c r="AE813" s="33">
        <f>IF(Orders!D810="","",IF(INDEX(Riders!$B$2:$B$81,MATCH(Orders!D810,Riders!$A$2:$A$81,0))=B813,1,0))</f>
        <v>0</v>
      </c>
      <c r="AF813" s="34">
        <f>IF(E813=1,Orders!L810,"")</f>
        <v>3.68</v>
      </c>
      <c r="AG813" s="34">
        <f>IF(E813=1,Orders!P810,"")</f>
        <v>11.2</v>
      </c>
      <c r="AH813" s="34">
        <f>IF(E813=1,Orders!Q810,"")</f>
        <v>10.6</v>
      </c>
      <c r="AI813" s="34">
        <f>IF(E813=1,Orders!M810,"")</f>
        <v>2.2</v>
      </c>
      <c r="AJ813" s="34">
        <f>IF(E813=1,Orders!N810,"")</f>
        <v>3.5</v>
      </c>
      <c r="AK813" s="34">
        <f>IF(E813=1,Orders!O810,"")</f>
        <v>4.9</v>
      </c>
      <c r="AL813" s="33">
        <f>IF(E813=1,IF(ROUND(ABS(AI813+AJ813+AK813-AH813),6)&lt;=0.1,1,0),"")</f>
        <v>1</v>
      </c>
      <c r="AM813" s="36">
        <f>IF(E813=1,AI813/AH813,"")</f>
        <v>0.207547169811321</v>
      </c>
      <c r="AN813" s="36">
        <f>IF(E813=1,AJ813/AH813,"")</f>
        <v>0.330188679245283</v>
      </c>
      <c r="AO813" s="36">
        <f>IF(E813=1,AK813/AH813,"")</f>
        <v>0.462264150943396</v>
      </c>
      <c r="AP813" s="34">
        <f>IF(E813=1,Orders!Y810,"")</f>
        <v>0.58</v>
      </c>
      <c r="AQ813" s="33">
        <f>IF(Orders!X810,1,0)</f>
        <v>0</v>
      </c>
      <c r="AR813" s="34">
        <f>IF(AND(E813=1,L813=1),AJ813,"")</f>
        <v>3.5</v>
      </c>
      <c r="AS813" s="34" t="str">
        <f>IF(AND(E813=1,L813=0),AJ813,"")</f>
        <v/>
      </c>
      <c r="AT813" s="34">
        <f>IF(AND(E813=1,L813=1),AI813,"")</f>
        <v>2.2</v>
      </c>
      <c r="AU813" s="34" t="str">
        <f>IF(AND(E813=1,L813=0),AI813,"")</f>
        <v/>
      </c>
      <c r="AV813" s="34">
        <f>IF(AND(E813=1,L813=1),AG813,"")</f>
        <v>11.2</v>
      </c>
      <c r="AW813" s="34" t="str">
        <f>IF(AND(E813=1,L813=0),AG813,"")</f>
        <v/>
      </c>
      <c r="AX813" s="34">
        <f>IF(AND(E813=1,L813=1),AH813,"")</f>
        <v>10.6</v>
      </c>
      <c r="AY813" s="34" t="str">
        <f>IF(AND(E813=1,L813=0),AH813,"")</f>
        <v/>
      </c>
      <c r="AZ813" s="34" t="str">
        <f>IF(G813=1,F813,"")</f>
        <v/>
      </c>
      <c r="BA813" s="34" t="str">
        <f>IF(AND(G813=1,L813=1),F813,"")</f>
        <v/>
      </c>
      <c r="BB813" s="34" t="str">
        <f>IF(AND(G813=1,L813=0),F813,"")</f>
        <v/>
      </c>
      <c r="BC813" s="33">
        <f>IF(E813=1,IF(Orders!R810&gt;3,1,0),"")</f>
        <v>0</v>
      </c>
      <c r="BD813" s="33">
        <f>IF(E813=1,IF(Orders!R810&gt;7,1,0),"")</f>
        <v>0</v>
      </c>
      <c r="BE813" s="32" t="str">
        <f>IF(E813=1,IF(Orders!L810&lt;=1.5,"Up to 1.5 km",IF(Orders!L810&lt;=3,"1.5–3 km","Over 3 km")),"")</f>
        <v>Over 3 km</v>
      </c>
      <c r="BF813" s="33">
        <f>IF(E813=1,IF(ABS((Orders!G810-Orders!F810)*1440-Orders!R810)&lt;0.06,1,0),"")</f>
        <v>1</v>
      </c>
      <c r="BG813" s="33">
        <f>IF(ABS((Orders!F810-Orders!E810)*1440-Orders!P810)&lt;0.06,1,0)</f>
        <v>1</v>
      </c>
      <c r="BH813" s="33">
        <f>IF(E813=1,IF(IF(Orders!S810,1,0)=1-G813,1,0),"")</f>
        <v>1</v>
      </c>
      <c r="BI813" s="32" t="str">
        <f>INDEX(Stores!$B$2:$B$21,MATCH(B813,Stores!$A$2:$A$21,0))</f>
        <v>Bengaluru</v>
      </c>
    </row>
    <row r="814">
      <c r="A814" s="32" t="str">
        <f>Orders!A811</f>
        <v>O00810</v>
      </c>
      <c r="B814" s="32" t="str">
        <f>Orders!C811</f>
        <v>S008</v>
      </c>
      <c r="C814" s="32" t="str">
        <f>Orders!B811</f>
        <v>C0165</v>
      </c>
      <c r="D814" s="32" t="str">
        <f>Orders!H811</f>
        <v>Delivered</v>
      </c>
      <c r="E814" s="33">
        <f>IF(Orders!H811="Delivered",1,0)</f>
        <v>1</v>
      </c>
      <c r="F814" s="34">
        <f>IF(E814=1,Orders!R811,"")</f>
        <v>-1.1</v>
      </c>
      <c r="G814" s="33">
        <f>IF(E814=1,IF(Orders!R811&gt;0,1,0),"")</f>
        <v>0</v>
      </c>
      <c r="H814" s="33">
        <f>IF(E814=1,IF(Orders!R811&gt;5,1,0),"")</f>
        <v>0</v>
      </c>
      <c r="I814" s="32" t="str">
        <f>IF(E814=1,"",IF(OR(Orders!T811="Rider unavailable",Orders!T811="Item unavailable"),"Company-caused","Unresolved"))</f>
        <v/>
      </c>
      <c r="J814" s="33">
        <f>IF(OR(E814=1,I814="Company-caused"),1,0)</f>
        <v>1</v>
      </c>
      <c r="K814" s="32" t="str">
        <f>IF(E814=0,IF(I814="Company-caused",IF(Orders!T811="Rider unavailable","C1 Rider unavailable","C2 Item unavailable"),"Outside root: unresolved"),IF(G814=0,"A On time",IF(H814=1,IF(L814=1,"B2a Severe, peak","B2b Severe, off-peak"),IF(L814=1,"B1a Slight, peak","B1b Slight, off-peak"))))</f>
        <v>A On time</v>
      </c>
      <c r="L814" s="33">
        <f>IF(AND(Orders!U811&gt;=19,Orders!U811&lt;22),1,0)</f>
        <v>0</v>
      </c>
      <c r="M814" s="33">
        <f>IF(L814=IF(Orders!V811,1,0),1,0)</f>
        <v>1</v>
      </c>
      <c r="N814" s="32" t="str">
        <f>IF(Orders!W811="","None",Orders!W811)</f>
        <v>None</v>
      </c>
      <c r="O814" s="35">
        <f>INT(Orders!E811)</f>
        <v>46278.0</v>
      </c>
      <c r="P814" s="33">
        <f>Orders!U811</f>
        <v>16</v>
      </c>
      <c r="Q814" s="33">
        <f>COUNTIFS(Demand!$A$2:$A$4481,B814,Demand!$B$2:$B$4481,O814,Demand!$C$2:$C$4481,P814)</f>
        <v>1</v>
      </c>
      <c r="R814" s="33">
        <f>IF(Q814=1,SUMIFS(Demand!$E$2:$E$4481,Demand!$A$2:$A$4481,B814,Demand!$B$2:$B$4481,O814,Demand!$C$2:$C$4481,P814),"")</f>
        <v>28</v>
      </c>
      <c r="S814" s="33">
        <f>INDEX(Stores!$G$2:$G$21,MATCH(B814,Stores!$A$2:$A$21,0))</f>
        <v>23</v>
      </c>
      <c r="T814" s="34">
        <f>IF(R814="","",R814/S814)</f>
        <v>1.21739130434783</v>
      </c>
      <c r="U814" s="34">
        <f>IF(E814=1,T814,"")</f>
        <v>1.21739130434783</v>
      </c>
      <c r="V814" s="34">
        <f>IF(AND(E814=1,L814=0),T814,"")</f>
        <v>1.21739130434783</v>
      </c>
      <c r="W814" s="33">
        <f>IF(U814="","",IF(U814&lt;=Breakdowns!$C$5,1,IF(U814&lt;=Breakdowns!$C$6,2,IF(U814&lt;=Breakdowns!$C$7,3,4))))</f>
        <v>3</v>
      </c>
      <c r="X814" s="33">
        <f>IF(V814="","",IF(V814&lt;=Breakdowns!$D$5,1,IF(V814&lt;=Breakdowns!$D$6,2,IF(V814&lt;=Breakdowns!$D$7,3,4))))</f>
        <v>4</v>
      </c>
      <c r="Y814" s="34">
        <f>INDEX(Stores!$F$2:$F$21,MATCH(B814,Stores!$A$2:$A$21,0))</f>
        <v>3.46</v>
      </c>
      <c r="Z814" s="33">
        <f>IF(Y814&gt;Store_Summary!$M$2,1,0)</f>
        <v>0</v>
      </c>
      <c r="AA814" s="33">
        <f>INDEX(Stores!$C$2:$C$21,MATCH(B814,Stores!$A$2:$A$21,0))</f>
        <v>825</v>
      </c>
      <c r="AB814" s="33">
        <f>IF(AA814&lt;180,1,0)</f>
        <v>0</v>
      </c>
      <c r="AC814" s="32" t="str">
        <f>IF(Orders!D811="","",INDEX(Riders!$C$2:$C$81,MATCH(Orders!D811,Riders!$A$2:$A$81,0)))</f>
        <v>EV scooter</v>
      </c>
      <c r="AD814" s="33">
        <f>IF(Orders!D811="","",INDEX(Riders!$D$2:$D$81,MATCH(Orders!D811,Riders!$A$2:$A$81,0)))</f>
        <v>45</v>
      </c>
      <c r="AE814" s="33">
        <f>IF(Orders!D811="","",IF(INDEX(Riders!$B$2:$B$81,MATCH(Orders!D811,Riders!$A$2:$A$81,0))=B814,1,0))</f>
        <v>0</v>
      </c>
      <c r="AF814" s="34">
        <f>IF(E814=1,Orders!L811,"")</f>
        <v>2.19</v>
      </c>
      <c r="AG814" s="34">
        <f>IF(E814=1,Orders!P811,"")</f>
        <v>11.2</v>
      </c>
      <c r="AH814" s="34">
        <f>IF(E814=1,Orders!Q811,"")</f>
        <v>10.1</v>
      </c>
      <c r="AI814" s="34">
        <f>IF(E814=1,Orders!M811,"")</f>
        <v>2.4</v>
      </c>
      <c r="AJ814" s="34">
        <f>IF(E814=1,Orders!N811,"")</f>
        <v>4.7</v>
      </c>
      <c r="AK814" s="34">
        <f>IF(E814=1,Orders!O811,"")</f>
        <v>3</v>
      </c>
      <c r="AL814" s="33">
        <f>IF(E814=1,IF(ROUND(ABS(AI814+AJ814+AK814-AH814),6)&lt;=0.1,1,0),"")</f>
        <v>1</v>
      </c>
      <c r="AM814" s="36">
        <f>IF(E814=1,AI814/AH814,"")</f>
        <v>0.237623762376238</v>
      </c>
      <c r="AN814" s="36">
        <f>IF(E814=1,AJ814/AH814,"")</f>
        <v>0.465346534653465</v>
      </c>
      <c r="AO814" s="36">
        <f>IF(E814=1,AK814/AH814,"")</f>
        <v>0.297029702970297</v>
      </c>
      <c r="AP814" s="34">
        <f>IF(E814=1,Orders!Y811,"")</f>
        <v>0.36</v>
      </c>
      <c r="AQ814" s="33">
        <f>IF(Orders!X811,1,0)</f>
        <v>0</v>
      </c>
      <c r="AR814" s="34" t="str">
        <f>IF(AND(E814=1,L814=1),AJ814,"")</f>
        <v/>
      </c>
      <c r="AS814" s="34">
        <f>IF(AND(E814=1,L814=0),AJ814,"")</f>
        <v>4.7</v>
      </c>
      <c r="AT814" s="34" t="str">
        <f>IF(AND(E814=1,L814=1),AI814,"")</f>
        <v/>
      </c>
      <c r="AU814" s="34">
        <f>IF(AND(E814=1,L814=0),AI814,"")</f>
        <v>2.4</v>
      </c>
      <c r="AV814" s="34" t="str">
        <f>IF(AND(E814=1,L814=1),AG814,"")</f>
        <v/>
      </c>
      <c r="AW814" s="34">
        <f>IF(AND(E814=1,L814=0),AG814,"")</f>
        <v>11.2</v>
      </c>
      <c r="AX814" s="34" t="str">
        <f>IF(AND(E814=1,L814=1),AH814,"")</f>
        <v/>
      </c>
      <c r="AY814" s="34">
        <f>IF(AND(E814=1,L814=0),AH814,"")</f>
        <v>10.1</v>
      </c>
      <c r="AZ814" s="34" t="str">
        <f>IF(G814=1,F814,"")</f>
        <v/>
      </c>
      <c r="BA814" s="34" t="str">
        <f>IF(AND(G814=1,L814=1),F814,"")</f>
        <v/>
      </c>
      <c r="BB814" s="34" t="str">
        <f>IF(AND(G814=1,L814=0),F814,"")</f>
        <v/>
      </c>
      <c r="BC814" s="33">
        <f>IF(E814=1,IF(Orders!R811&gt;3,1,0),"")</f>
        <v>0</v>
      </c>
      <c r="BD814" s="33">
        <f>IF(E814=1,IF(Orders!R811&gt;7,1,0),"")</f>
        <v>0</v>
      </c>
      <c r="BE814" s="32" t="str">
        <f>IF(E814=1,IF(Orders!L811&lt;=1.5,"Up to 1.5 km",IF(Orders!L811&lt;=3,"1.5–3 km","Over 3 km")),"")</f>
        <v>1.5–3 km</v>
      </c>
      <c r="BF814" s="33">
        <f>IF(E814=1,IF(ABS((Orders!G811-Orders!F811)*1440-Orders!R811)&lt;0.06,1,0),"")</f>
        <v>1</v>
      </c>
      <c r="BG814" s="33">
        <f>IF(ABS((Orders!F811-Orders!E811)*1440-Orders!P811)&lt;0.06,1,0)</f>
        <v>1</v>
      </c>
      <c r="BH814" s="33">
        <f>IF(E814=1,IF(IF(Orders!S811,1,0)=1-G814,1,0),"")</f>
        <v>1</v>
      </c>
      <c r="BI814" s="32" t="str">
        <f>INDEX(Stores!$B$2:$B$21,MATCH(B814,Stores!$A$2:$A$21,0))</f>
        <v>Mumbai</v>
      </c>
    </row>
    <row r="815">
      <c r="A815" s="32" t="str">
        <f>Orders!A812</f>
        <v>O00811</v>
      </c>
      <c r="B815" s="32" t="str">
        <f>Orders!C812</f>
        <v>S003</v>
      </c>
      <c r="C815" s="32" t="str">
        <f>Orders!B812</f>
        <v>C0163</v>
      </c>
      <c r="D815" s="32" t="str">
        <f>Orders!H812</f>
        <v>Cancelled</v>
      </c>
      <c r="E815" s="33">
        <f>IF(Orders!H812="Delivered",1,0)</f>
        <v>0</v>
      </c>
      <c r="F815" s="34" t="str">
        <f>IF(E815=1,Orders!R812,"")</f>
        <v/>
      </c>
      <c r="G815" s="33" t="str">
        <f>IF(E815=1,IF(Orders!R812&gt;0,1,0),"")</f>
        <v/>
      </c>
      <c r="H815" s="33" t="str">
        <f>IF(E815=1,IF(Orders!R812&gt;5,1,0),"")</f>
        <v/>
      </c>
      <c r="I815" s="32" t="str">
        <f>IF(E815=1,"",IF(OR(Orders!T812="Rider unavailable",Orders!T812="Item unavailable"),"Company-caused","Unresolved"))</f>
        <v>Unresolved</v>
      </c>
      <c r="J815" s="33">
        <f>IF(OR(E815=1,I815="Company-caused"),1,0)</f>
        <v>0</v>
      </c>
      <c r="K815" s="32" t="str">
        <f>IF(E815=0,IF(I815="Company-caused",IF(Orders!T812="Rider unavailable","C1 Rider unavailable","C2 Item unavailable"),"Outside root: unresolved"),IF(G815=0,"A On time",IF(H815=1,IF(L815=1,"B2a Severe, peak","B2b Severe, off-peak"),IF(L815=1,"B1a Slight, peak","B1b Slight, off-peak"))))</f>
        <v>Outside root: unresolved</v>
      </c>
      <c r="L815" s="33">
        <f>IF(AND(Orders!U812&gt;=19,Orders!U812&lt;22),1,0)</f>
        <v>0</v>
      </c>
      <c r="M815" s="33">
        <f>IF(L815=IF(Orders!V812,1,0),1,0)</f>
        <v>1</v>
      </c>
      <c r="N815" s="32" t="str">
        <f>IF(Orders!W812="","None",Orders!W812)</f>
        <v>None</v>
      </c>
      <c r="O815" s="35">
        <f>INT(Orders!E812)</f>
        <v>46266.0</v>
      </c>
      <c r="P815" s="33">
        <f>Orders!U812</f>
        <v>8</v>
      </c>
      <c r="Q815" s="33">
        <f>COUNTIFS(Demand!$A$2:$A$4481,B815,Demand!$B$2:$B$4481,O815,Demand!$C$2:$C$4481,P815)</f>
        <v>1</v>
      </c>
      <c r="R815" s="33">
        <f>IF(Q815=1,SUMIFS(Demand!$E$2:$E$4481,Demand!$A$2:$A$4481,B815,Demand!$B$2:$B$4481,O815,Demand!$C$2:$C$4481,P815),"")</f>
        <v>30</v>
      </c>
      <c r="S815" s="33">
        <f>INDEX(Stores!$G$2:$G$21,MATCH(B815,Stores!$A$2:$A$21,0))</f>
        <v>41</v>
      </c>
      <c r="T815" s="34">
        <f>IF(R815="","",R815/S815)</f>
        <v>0.731707317073171</v>
      </c>
      <c r="U815" s="34" t="str">
        <f>IF(E815=1,T815,"")</f>
        <v/>
      </c>
      <c r="V815" s="34" t="str">
        <f>IF(AND(E815=1,L815=0),T815,"")</f>
        <v/>
      </c>
      <c r="W815" s="33" t="str">
        <f>IF(U815="","",IF(U815&lt;=Breakdowns!$C$5,1,IF(U815&lt;=Breakdowns!$C$6,2,IF(U815&lt;=Breakdowns!$C$7,3,4))))</f>
        <v/>
      </c>
      <c r="X815" s="33" t="str">
        <f>IF(V815="","",IF(V815&lt;=Breakdowns!$D$5,1,IF(V815&lt;=Breakdowns!$D$6,2,IF(V815&lt;=Breakdowns!$D$7,3,4))))</f>
        <v/>
      </c>
      <c r="Y815" s="34">
        <f>INDEX(Stores!$F$2:$F$21,MATCH(B815,Stores!$A$2:$A$21,0))</f>
        <v>3.84</v>
      </c>
      <c r="Z815" s="33">
        <f>IF(Y815&gt;Store_Summary!$M$2,1,0)</f>
        <v>0</v>
      </c>
      <c r="AA815" s="33">
        <f>INDEX(Stores!$C$2:$C$21,MATCH(B815,Stores!$A$2:$A$21,0))</f>
        <v>426</v>
      </c>
      <c r="AB815" s="33">
        <f>IF(AA815&lt;180,1,0)</f>
        <v>0</v>
      </c>
      <c r="AC815" s="32" t="str">
        <f>IF(Orders!D812="","",INDEX(Riders!$C$2:$C$81,MATCH(Orders!D812,Riders!$A$2:$A$81,0)))</f>
        <v/>
      </c>
      <c r="AD815" s="33" t="str">
        <f>IF(Orders!D812="","",INDEX(Riders!$D$2:$D$81,MATCH(Orders!D812,Riders!$A$2:$A$81,0)))</f>
        <v/>
      </c>
      <c r="AE815" s="33" t="str">
        <f>IF(Orders!D812="","",IF(INDEX(Riders!$B$2:$B$81,MATCH(Orders!D812,Riders!$A$2:$A$81,0))=B815,1,0))</f>
        <v/>
      </c>
      <c r="AF815" s="34" t="str">
        <f>IF(E815=1,Orders!L812,"")</f>
        <v/>
      </c>
      <c r="AG815" s="34" t="str">
        <f>IF(E815=1,Orders!P812,"")</f>
        <v/>
      </c>
      <c r="AH815" s="34" t="str">
        <f>IF(E815=1,Orders!Q812,"")</f>
        <v/>
      </c>
      <c r="AI815" s="34" t="str">
        <f>IF(E815=1,Orders!M812,"")</f>
        <v/>
      </c>
      <c r="AJ815" s="34" t="str">
        <f>IF(E815=1,Orders!N812,"")</f>
        <v/>
      </c>
      <c r="AK815" s="34" t="str">
        <f>IF(E815=1,Orders!O812,"")</f>
        <v/>
      </c>
      <c r="AL815" s="33" t="str">
        <f>IF(E815=1,IF(ROUND(ABS(AI815+AJ815+AK815-AH815),6)&lt;=0.1,1,0),"")</f>
        <v/>
      </c>
      <c r="AM815" s="36" t="str">
        <f>IF(E815=1,AI815/AH815,"")</f>
        <v/>
      </c>
      <c r="AN815" s="36" t="str">
        <f>IF(E815=1,AJ815/AH815,"")</f>
        <v/>
      </c>
      <c r="AO815" s="36" t="str">
        <f>IF(E815=1,AK815/AH815,"")</f>
        <v/>
      </c>
      <c r="AP815" s="34" t="str">
        <f>IF(E815=1,Orders!Y812,"")</f>
        <v/>
      </c>
      <c r="AQ815" s="33">
        <f>IF(Orders!X812,1,0)</f>
        <v>0</v>
      </c>
      <c r="AR815" s="34" t="str">
        <f>IF(AND(E815=1,L815=1),AJ815,"")</f>
        <v/>
      </c>
      <c r="AS815" s="34" t="str">
        <f>IF(AND(E815=1,L815=0),AJ815,"")</f>
        <v/>
      </c>
      <c r="AT815" s="34" t="str">
        <f>IF(AND(E815=1,L815=1),AI815,"")</f>
        <v/>
      </c>
      <c r="AU815" s="34" t="str">
        <f>IF(AND(E815=1,L815=0),AI815,"")</f>
        <v/>
      </c>
      <c r="AV815" s="34" t="str">
        <f>IF(AND(E815=1,L815=1),AG815,"")</f>
        <v/>
      </c>
      <c r="AW815" s="34" t="str">
        <f>IF(AND(E815=1,L815=0),AG815,"")</f>
        <v/>
      </c>
      <c r="AX815" s="34" t="str">
        <f>IF(AND(E815=1,L815=1),AH815,"")</f>
        <v/>
      </c>
      <c r="AY815" s="34" t="str">
        <f>IF(AND(E815=1,L815=0),AH815,"")</f>
        <v/>
      </c>
      <c r="AZ815" s="34" t="str">
        <f>IF(G815=1,F815,"")</f>
        <v/>
      </c>
      <c r="BA815" s="34" t="str">
        <f>IF(AND(G815=1,L815=1),F815,"")</f>
        <v/>
      </c>
      <c r="BB815" s="34" t="str">
        <f>IF(AND(G815=1,L815=0),F815,"")</f>
        <v/>
      </c>
      <c r="BC815" s="33" t="str">
        <f>IF(E815=1,IF(Orders!R812&gt;3,1,0),"")</f>
        <v/>
      </c>
      <c r="BD815" s="33" t="str">
        <f>IF(E815=1,IF(Orders!R812&gt;7,1,0),"")</f>
        <v/>
      </c>
      <c r="BE815" s="32" t="str">
        <f>IF(E815=1,IF(Orders!L812&lt;=1.5,"Up to 1.5 km",IF(Orders!L812&lt;=3,"1.5–3 km","Over 3 km")),"")</f>
        <v/>
      </c>
      <c r="BF815" s="33" t="str">
        <f>IF(E815=1,IF(ABS((Orders!G812-Orders!F812)*1440-Orders!R812)&lt;0.06,1,0),"")</f>
        <v/>
      </c>
      <c r="BG815" s="33">
        <f>IF(ABS((Orders!F812-Orders!E812)*1440-Orders!P812)&lt;0.06,1,0)</f>
        <v>1</v>
      </c>
      <c r="BH815" s="33" t="str">
        <f>IF(E815=1,IF(IF(Orders!S812,1,0)=1-G815,1,0),"")</f>
        <v/>
      </c>
      <c r="BI815" s="32" t="str">
        <f>INDEX(Stores!$B$2:$B$21,MATCH(B815,Stores!$A$2:$A$21,0))</f>
        <v>Mumbai</v>
      </c>
    </row>
    <row r="816">
      <c r="A816" s="32" t="str">
        <f>Orders!A813</f>
        <v>O00812</v>
      </c>
      <c r="B816" s="32" t="str">
        <f>Orders!C813</f>
        <v>S005</v>
      </c>
      <c r="C816" s="32" t="str">
        <f>Orders!B813</f>
        <v>C0093</v>
      </c>
      <c r="D816" s="32" t="str">
        <f>Orders!H813</f>
        <v>Delivered</v>
      </c>
      <c r="E816" s="33">
        <f>IF(Orders!H813="Delivered",1,0)</f>
        <v>1</v>
      </c>
      <c r="F816" s="34">
        <f>IF(E816=1,Orders!R813,"")</f>
        <v>9.5</v>
      </c>
      <c r="G816" s="33">
        <f>IF(E816=1,IF(Orders!R813&gt;0,1,0),"")</f>
        <v>1</v>
      </c>
      <c r="H816" s="33">
        <f>IF(E816=1,IF(Orders!R813&gt;5,1,0),"")</f>
        <v>1</v>
      </c>
      <c r="I816" s="32" t="str">
        <f>IF(E816=1,"",IF(OR(Orders!T813="Rider unavailable",Orders!T813="Item unavailable"),"Company-caused","Unresolved"))</f>
        <v/>
      </c>
      <c r="J816" s="33">
        <f>IF(OR(E816=1,I816="Company-caused"),1,0)</f>
        <v>1</v>
      </c>
      <c r="K816" s="32" t="str">
        <f>IF(E816=0,IF(I816="Company-caused",IF(Orders!T813="Rider unavailable","C1 Rider unavailable","C2 Item unavailable"),"Outside root: unresolved"),IF(G816=0,"A On time",IF(H816=1,IF(L816=1,"B2a Severe, peak","B2b Severe, off-peak"),IF(L816=1,"B1a Slight, peak","B1b Slight, off-peak"))))</f>
        <v>B2a Severe, peak</v>
      </c>
      <c r="L816" s="33">
        <f>IF(AND(Orders!U813&gt;=19,Orders!U813&lt;22),1,0)</f>
        <v>1</v>
      </c>
      <c r="M816" s="33">
        <f>IF(L816=IF(Orders!V813,1,0),1,0)</f>
        <v>1</v>
      </c>
      <c r="N816" s="32" t="str">
        <f>IF(Orders!W813="","None",Orders!W813)</f>
        <v>Heavy</v>
      </c>
      <c r="O816" s="35">
        <f>INT(Orders!E813)</f>
        <v>46266.0</v>
      </c>
      <c r="P816" s="33">
        <f>Orders!U813</f>
        <v>20</v>
      </c>
      <c r="Q816" s="33">
        <f>COUNTIFS(Demand!$A$2:$A$4481,B816,Demand!$B$2:$B$4481,O816,Demand!$C$2:$C$4481,P816)</f>
        <v>1</v>
      </c>
      <c r="R816" s="33">
        <f>IF(Q816=1,SUMIFS(Demand!$E$2:$E$4481,Demand!$A$2:$A$4481,B816,Demand!$B$2:$B$4481,O816,Demand!$C$2:$C$4481,P816),"")</f>
        <v>20</v>
      </c>
      <c r="S816" s="33">
        <f>INDEX(Stores!$G$2:$G$21,MATCH(B816,Stores!$A$2:$A$21,0))</f>
        <v>14</v>
      </c>
      <c r="T816" s="34">
        <f>IF(R816="","",R816/S816)</f>
        <v>1.42857142857143</v>
      </c>
      <c r="U816" s="34">
        <f>IF(E816=1,T816,"")</f>
        <v>1.42857142857143</v>
      </c>
      <c r="V816" s="34" t="str">
        <f>IF(AND(E816=1,L816=0),T816,"")</f>
        <v/>
      </c>
      <c r="W816" s="33">
        <f>IF(U816="","",IF(U816&lt;=Breakdowns!$C$5,1,IF(U816&lt;=Breakdowns!$C$6,2,IF(U816&lt;=Breakdowns!$C$7,3,4))))</f>
        <v>4</v>
      </c>
      <c r="X816" s="33" t="str">
        <f>IF(V816="","",IF(V816&lt;=Breakdowns!$D$5,1,IF(V816&lt;=Breakdowns!$D$6,2,IF(V816&lt;=Breakdowns!$D$7,3,4))))</f>
        <v/>
      </c>
      <c r="Y816" s="34">
        <f>INDEX(Stores!$F$2:$F$21,MATCH(B816,Stores!$A$2:$A$21,0))</f>
        <v>4.89</v>
      </c>
      <c r="Z816" s="33">
        <f>IF(Y816&gt;Store_Summary!$M$2,1,0)</f>
        <v>0</v>
      </c>
      <c r="AA816" s="33">
        <f>INDEX(Stores!$C$2:$C$21,MATCH(B816,Stores!$A$2:$A$21,0))</f>
        <v>138</v>
      </c>
      <c r="AB816" s="33">
        <f>IF(AA816&lt;180,1,0)</f>
        <v>1</v>
      </c>
      <c r="AC816" s="32" t="str">
        <f>IF(Orders!D813="","",INDEX(Riders!$C$2:$C$81,MATCH(Orders!D813,Riders!$A$2:$A$81,0)))</f>
        <v>Petrol scooter</v>
      </c>
      <c r="AD816" s="33">
        <f>IF(Orders!D813="","",INDEX(Riders!$D$2:$D$81,MATCH(Orders!D813,Riders!$A$2:$A$81,0)))</f>
        <v>40</v>
      </c>
      <c r="AE816" s="33">
        <f>IF(Orders!D813="","",IF(INDEX(Riders!$B$2:$B$81,MATCH(Orders!D813,Riders!$A$2:$A$81,0))=B816,1,0))</f>
        <v>0</v>
      </c>
      <c r="AF816" s="34">
        <f>IF(E816=1,Orders!L813,"")</f>
        <v>1.17</v>
      </c>
      <c r="AG816" s="34">
        <f>IF(E816=1,Orders!P813,"")</f>
        <v>9.8</v>
      </c>
      <c r="AH816" s="34">
        <f>IF(E816=1,Orders!Q813,"")</f>
        <v>19.3</v>
      </c>
      <c r="AI816" s="34">
        <f>IF(E816=1,Orders!M813,"")</f>
        <v>6.7</v>
      </c>
      <c r="AJ816" s="34">
        <f>IF(E816=1,Orders!N813,"")</f>
        <v>7</v>
      </c>
      <c r="AK816" s="34">
        <f>IF(E816=1,Orders!O813,"")</f>
        <v>5.6</v>
      </c>
      <c r="AL816" s="33">
        <f>IF(E816=1,IF(ROUND(ABS(AI816+AJ816+AK816-AH816),6)&lt;=0.1,1,0),"")</f>
        <v>1</v>
      </c>
      <c r="AM816" s="36">
        <f>IF(E816=1,AI816/AH816,"")</f>
        <v>0.347150259067358</v>
      </c>
      <c r="AN816" s="36">
        <f>IF(E816=1,AJ816/AH816,"")</f>
        <v>0.362694300518135</v>
      </c>
      <c r="AO816" s="36">
        <f>IF(E816=1,AK816/AH816,"")</f>
        <v>0.290155440414508</v>
      </c>
      <c r="AP816" s="34">
        <f>IF(E816=1,Orders!Y813,"")</f>
        <v>0.33</v>
      </c>
      <c r="AQ816" s="33">
        <f>IF(Orders!X813,1,0)</f>
        <v>0</v>
      </c>
      <c r="AR816" s="34">
        <f>IF(AND(E816=1,L816=1),AJ816,"")</f>
        <v>7</v>
      </c>
      <c r="AS816" s="34" t="str">
        <f>IF(AND(E816=1,L816=0),AJ816,"")</f>
        <v/>
      </c>
      <c r="AT816" s="34">
        <f>IF(AND(E816=1,L816=1),AI816,"")</f>
        <v>6.7</v>
      </c>
      <c r="AU816" s="34" t="str">
        <f>IF(AND(E816=1,L816=0),AI816,"")</f>
        <v/>
      </c>
      <c r="AV816" s="34">
        <f>IF(AND(E816=1,L816=1),AG816,"")</f>
        <v>9.8</v>
      </c>
      <c r="AW816" s="34" t="str">
        <f>IF(AND(E816=1,L816=0),AG816,"")</f>
        <v/>
      </c>
      <c r="AX816" s="34">
        <f>IF(AND(E816=1,L816=1),AH816,"")</f>
        <v>19.3</v>
      </c>
      <c r="AY816" s="34" t="str">
        <f>IF(AND(E816=1,L816=0),AH816,"")</f>
        <v/>
      </c>
      <c r="AZ816" s="34">
        <f>IF(G816=1,F816,"")</f>
        <v>9.5</v>
      </c>
      <c r="BA816" s="34">
        <f>IF(AND(G816=1,L816=1),F816,"")</f>
        <v>9.5</v>
      </c>
      <c r="BB816" s="34" t="str">
        <f>IF(AND(G816=1,L816=0),F816,"")</f>
        <v/>
      </c>
      <c r="BC816" s="33">
        <f>IF(E816=1,IF(Orders!R813&gt;3,1,0),"")</f>
        <v>1</v>
      </c>
      <c r="BD816" s="33">
        <f>IF(E816=1,IF(Orders!R813&gt;7,1,0),"")</f>
        <v>1</v>
      </c>
      <c r="BE816" s="32" t="str">
        <f>IF(E816=1,IF(Orders!L813&lt;=1.5,"Up to 1.5 km",IF(Orders!L813&lt;=3,"1.5–3 km","Over 3 km")),"")</f>
        <v>Up to 1.5 km</v>
      </c>
      <c r="BF816" s="33">
        <f>IF(E816=1,IF(ABS((Orders!G813-Orders!F813)*1440-Orders!R813)&lt;0.06,1,0),"")</f>
        <v>1</v>
      </c>
      <c r="BG816" s="33">
        <f>IF(ABS((Orders!F813-Orders!E813)*1440-Orders!P813)&lt;0.06,1,0)</f>
        <v>1</v>
      </c>
      <c r="BH816" s="33">
        <f>IF(E816=1,IF(IF(Orders!S813,1,0)=1-G816,1,0),"")</f>
        <v>1</v>
      </c>
      <c r="BI816" s="32" t="str">
        <f>INDEX(Stores!$B$2:$B$21,MATCH(B816,Stores!$A$2:$A$21,0))</f>
        <v>Delhi</v>
      </c>
    </row>
    <row r="817">
      <c r="A817" s="32" t="str">
        <f>Orders!A814</f>
        <v>O00813</v>
      </c>
      <c r="B817" s="32" t="str">
        <f>Orders!C814</f>
        <v>S002</v>
      </c>
      <c r="C817" s="32" t="str">
        <f>Orders!B814</f>
        <v>C0206</v>
      </c>
      <c r="D817" s="32" t="str">
        <f>Orders!H814</f>
        <v>Delivered</v>
      </c>
      <c r="E817" s="33">
        <f>IF(Orders!H814="Delivered",1,0)</f>
        <v>1</v>
      </c>
      <c r="F817" s="34">
        <f>IF(E817=1,Orders!R814,"")</f>
        <v>-1</v>
      </c>
      <c r="G817" s="33">
        <f>IF(E817=1,IF(Orders!R814&gt;0,1,0),"")</f>
        <v>0</v>
      </c>
      <c r="H817" s="33">
        <f>IF(E817=1,IF(Orders!R814&gt;5,1,0),"")</f>
        <v>0</v>
      </c>
      <c r="I817" s="32" t="str">
        <f>IF(E817=1,"",IF(OR(Orders!T814="Rider unavailable",Orders!T814="Item unavailable"),"Company-caused","Unresolved"))</f>
        <v/>
      </c>
      <c r="J817" s="33">
        <f>IF(OR(E817=1,I817="Company-caused"),1,0)</f>
        <v>1</v>
      </c>
      <c r="K817" s="32" t="str">
        <f>IF(E817=0,IF(I817="Company-caused",IF(Orders!T814="Rider unavailable","C1 Rider unavailable","C2 Item unavailable"),"Outside root: unresolved"),IF(G817=0,"A On time",IF(H817=1,IF(L817=1,"B2a Severe, peak","B2b Severe, off-peak"),IF(L817=1,"B1a Slight, peak","B1b Slight, off-peak"))))</f>
        <v>A On time</v>
      </c>
      <c r="L817" s="33">
        <f>IF(AND(Orders!U814&gt;=19,Orders!U814&lt;22),1,0)</f>
        <v>0</v>
      </c>
      <c r="M817" s="33">
        <f>IF(L817=IF(Orders!V814,1,0),1,0)</f>
        <v>1</v>
      </c>
      <c r="N817" s="32" t="str">
        <f>IF(Orders!W814="","None",Orders!W814)</f>
        <v>None</v>
      </c>
      <c r="O817" s="35">
        <f>INT(Orders!E814)</f>
        <v>46277.0</v>
      </c>
      <c r="P817" s="33">
        <f>Orders!U814</f>
        <v>13</v>
      </c>
      <c r="Q817" s="33">
        <f>COUNTIFS(Demand!$A$2:$A$4481,B817,Demand!$B$2:$B$4481,O817,Demand!$C$2:$C$4481,P817)</f>
        <v>1</v>
      </c>
      <c r="R817" s="33">
        <f>IF(Q817=1,SUMIFS(Demand!$E$2:$E$4481,Demand!$A$2:$A$4481,B817,Demand!$B$2:$B$4481,O817,Demand!$C$2:$C$4481,P817),"")</f>
        <v>39</v>
      </c>
      <c r="S817" s="33">
        <f>INDEX(Stores!$G$2:$G$21,MATCH(B817,Stores!$A$2:$A$21,0))</f>
        <v>33</v>
      </c>
      <c r="T817" s="34">
        <f>IF(R817="","",R817/S817)</f>
        <v>1.18181818181818</v>
      </c>
      <c r="U817" s="34">
        <f>IF(E817=1,T817,"")</f>
        <v>1.18181818181818</v>
      </c>
      <c r="V817" s="34">
        <f>IF(AND(E817=1,L817=0),T817,"")</f>
        <v>1.18181818181818</v>
      </c>
      <c r="W817" s="33">
        <f>IF(U817="","",IF(U817&lt;=Breakdowns!$C$5,1,IF(U817&lt;=Breakdowns!$C$6,2,IF(U817&lt;=Breakdowns!$C$7,3,4))))</f>
        <v>3</v>
      </c>
      <c r="X817" s="33">
        <f>IF(V817="","",IF(V817&lt;=Breakdowns!$D$5,1,IF(V817&lt;=Breakdowns!$D$6,2,IF(V817&lt;=Breakdowns!$D$7,3,4))))</f>
        <v>4</v>
      </c>
      <c r="Y817" s="34">
        <f>INDEX(Stores!$F$2:$F$21,MATCH(B817,Stores!$A$2:$A$21,0))</f>
        <v>2.39</v>
      </c>
      <c r="Z817" s="33">
        <f>IF(Y817&gt;Store_Summary!$M$2,1,0)</f>
        <v>0</v>
      </c>
      <c r="AA817" s="33">
        <f>INDEX(Stores!$C$2:$C$21,MATCH(B817,Stores!$A$2:$A$21,0))</f>
        <v>470</v>
      </c>
      <c r="AB817" s="33">
        <f>IF(AA817&lt;180,1,0)</f>
        <v>0</v>
      </c>
      <c r="AC817" s="32" t="str">
        <f>IF(Orders!D814="","",INDEX(Riders!$C$2:$C$81,MATCH(Orders!D814,Riders!$A$2:$A$81,0)))</f>
        <v>EV scooter</v>
      </c>
      <c r="AD817" s="33">
        <f>IF(Orders!D814="","",INDEX(Riders!$D$2:$D$81,MATCH(Orders!D814,Riders!$A$2:$A$81,0)))</f>
        <v>2</v>
      </c>
      <c r="AE817" s="33">
        <f>IF(Orders!D814="","",IF(INDEX(Riders!$B$2:$B$81,MATCH(Orders!D814,Riders!$A$2:$A$81,0))=B817,1,0))</f>
        <v>0</v>
      </c>
      <c r="AF817" s="34">
        <f>IF(E817=1,Orders!L814,"")</f>
        <v>2.1</v>
      </c>
      <c r="AG817" s="34">
        <f>IF(E817=1,Orders!P814,"")</f>
        <v>11</v>
      </c>
      <c r="AH817" s="34">
        <f>IF(E817=1,Orders!Q814,"")</f>
        <v>10</v>
      </c>
      <c r="AI817" s="34">
        <f>IF(E817=1,Orders!M814,"")</f>
        <v>2.3</v>
      </c>
      <c r="AJ817" s="34">
        <f>IF(E817=1,Orders!N814,"")</f>
        <v>2.8</v>
      </c>
      <c r="AK817" s="34">
        <f>IF(E817=1,Orders!O814,"")</f>
        <v>4.9</v>
      </c>
      <c r="AL817" s="33">
        <f>IF(E817=1,IF(ROUND(ABS(AI817+AJ817+AK817-AH817),6)&lt;=0.1,1,0),"")</f>
        <v>1</v>
      </c>
      <c r="AM817" s="36">
        <f>IF(E817=1,AI817/AH817,"")</f>
        <v>0.23</v>
      </c>
      <c r="AN817" s="36">
        <f>IF(E817=1,AJ817/AH817,"")</f>
        <v>0.28</v>
      </c>
      <c r="AO817" s="36">
        <f>IF(E817=1,AK817/AH817,"")</f>
        <v>0.49</v>
      </c>
      <c r="AP817" s="34">
        <f>IF(E817=1,Orders!Y814,"")</f>
        <v>0.33</v>
      </c>
      <c r="AQ817" s="33">
        <f>IF(Orders!X814,1,0)</f>
        <v>0</v>
      </c>
      <c r="AR817" s="34" t="str">
        <f>IF(AND(E817=1,L817=1),AJ817,"")</f>
        <v/>
      </c>
      <c r="AS817" s="34">
        <f>IF(AND(E817=1,L817=0),AJ817,"")</f>
        <v>2.8</v>
      </c>
      <c r="AT817" s="34" t="str">
        <f>IF(AND(E817=1,L817=1),AI817,"")</f>
        <v/>
      </c>
      <c r="AU817" s="34">
        <f>IF(AND(E817=1,L817=0),AI817,"")</f>
        <v>2.3</v>
      </c>
      <c r="AV817" s="34" t="str">
        <f>IF(AND(E817=1,L817=1),AG817,"")</f>
        <v/>
      </c>
      <c r="AW817" s="34">
        <f>IF(AND(E817=1,L817=0),AG817,"")</f>
        <v>11</v>
      </c>
      <c r="AX817" s="34" t="str">
        <f>IF(AND(E817=1,L817=1),AH817,"")</f>
        <v/>
      </c>
      <c r="AY817" s="34">
        <f>IF(AND(E817=1,L817=0),AH817,"")</f>
        <v>10</v>
      </c>
      <c r="AZ817" s="34" t="str">
        <f>IF(G817=1,F817,"")</f>
        <v/>
      </c>
      <c r="BA817" s="34" t="str">
        <f>IF(AND(G817=1,L817=1),F817,"")</f>
        <v/>
      </c>
      <c r="BB817" s="34" t="str">
        <f>IF(AND(G817=1,L817=0),F817,"")</f>
        <v/>
      </c>
      <c r="BC817" s="33">
        <f>IF(E817=1,IF(Orders!R814&gt;3,1,0),"")</f>
        <v>0</v>
      </c>
      <c r="BD817" s="33">
        <f>IF(E817=1,IF(Orders!R814&gt;7,1,0),"")</f>
        <v>0</v>
      </c>
      <c r="BE817" s="32" t="str">
        <f>IF(E817=1,IF(Orders!L814&lt;=1.5,"Up to 1.5 km",IF(Orders!L814&lt;=3,"1.5–3 km","Over 3 km")),"")</f>
        <v>1.5–3 km</v>
      </c>
      <c r="BF817" s="33">
        <f>IF(E817=1,IF(ABS((Orders!G814-Orders!F814)*1440-Orders!R814)&lt;0.06,1,0),"")</f>
        <v>1</v>
      </c>
      <c r="BG817" s="33">
        <f>IF(ABS((Orders!F814-Orders!E814)*1440-Orders!P814)&lt;0.06,1,0)</f>
        <v>1</v>
      </c>
      <c r="BH817" s="33">
        <f>IF(E817=1,IF(IF(Orders!S814,1,0)=1-G817,1,0),"")</f>
        <v>1</v>
      </c>
      <c r="BI817" s="32" t="str">
        <f>INDEX(Stores!$B$2:$B$21,MATCH(B817,Stores!$A$2:$A$21,0))</f>
        <v>Hyderabad</v>
      </c>
    </row>
    <row r="818">
      <c r="A818" s="32" t="str">
        <f>Orders!A815</f>
        <v>O00814</v>
      </c>
      <c r="B818" s="32" t="str">
        <f>Orders!C815</f>
        <v>S014</v>
      </c>
      <c r="C818" s="32" t="str">
        <f>Orders!B815</f>
        <v>C0066</v>
      </c>
      <c r="D818" s="32" t="str">
        <f>Orders!H815</f>
        <v>Delivered</v>
      </c>
      <c r="E818" s="33">
        <f>IF(Orders!H815="Delivered",1,0)</f>
        <v>1</v>
      </c>
      <c r="F818" s="34">
        <f>IF(E818=1,Orders!R815,"")</f>
        <v>-0.3</v>
      </c>
      <c r="G818" s="33">
        <f>IF(E818=1,IF(Orders!R815&gt;0,1,0),"")</f>
        <v>0</v>
      </c>
      <c r="H818" s="33">
        <f>IF(E818=1,IF(Orders!R815&gt;5,1,0),"")</f>
        <v>0</v>
      </c>
      <c r="I818" s="32" t="str">
        <f>IF(E818=1,"",IF(OR(Orders!T815="Rider unavailable",Orders!T815="Item unavailable"),"Company-caused","Unresolved"))</f>
        <v/>
      </c>
      <c r="J818" s="33">
        <f>IF(OR(E818=1,I818="Company-caused"),1,0)</f>
        <v>1</v>
      </c>
      <c r="K818" s="32" t="str">
        <f>IF(E818=0,IF(I818="Company-caused",IF(Orders!T815="Rider unavailable","C1 Rider unavailable","C2 Item unavailable"),"Outside root: unresolved"),IF(G818=0,"A On time",IF(H818=1,IF(L818=1,"B2a Severe, peak","B2b Severe, off-peak"),IF(L818=1,"B1a Slight, peak","B1b Slight, off-peak"))))</f>
        <v>A On time</v>
      </c>
      <c r="L818" s="33">
        <f>IF(AND(Orders!U815&gt;=19,Orders!U815&lt;22),1,0)</f>
        <v>0</v>
      </c>
      <c r="M818" s="33">
        <f>IF(L818=IF(Orders!V815,1,0),1,0)</f>
        <v>1</v>
      </c>
      <c r="N818" s="32" t="str">
        <f>IF(Orders!W815="","None",Orders!W815)</f>
        <v>Heavy</v>
      </c>
      <c r="O818" s="35">
        <f>INT(Orders!E815)</f>
        <v>46275.0</v>
      </c>
      <c r="P818" s="33">
        <f>Orders!U815</f>
        <v>11</v>
      </c>
      <c r="Q818" s="33">
        <f>COUNTIFS(Demand!$A$2:$A$4481,B818,Demand!$B$2:$B$4481,O818,Demand!$C$2:$C$4481,P818)</f>
        <v>1</v>
      </c>
      <c r="R818" s="33">
        <f>IF(Q818=1,SUMIFS(Demand!$E$2:$E$4481,Demand!$A$2:$A$4481,B818,Demand!$B$2:$B$4481,O818,Demand!$C$2:$C$4481,P818),"")</f>
        <v>31</v>
      </c>
      <c r="S818" s="33">
        <f>INDEX(Stores!$G$2:$G$21,MATCH(B818,Stores!$A$2:$A$21,0))</f>
        <v>37</v>
      </c>
      <c r="T818" s="34">
        <f>IF(R818="","",R818/S818)</f>
        <v>0.837837837837838</v>
      </c>
      <c r="U818" s="34">
        <f>IF(E818=1,T818,"")</f>
        <v>0.837837837837838</v>
      </c>
      <c r="V818" s="34">
        <f>IF(AND(E818=1,L818=0),T818,"")</f>
        <v>0.837837837837838</v>
      </c>
      <c r="W818" s="33">
        <f>IF(U818="","",IF(U818&lt;=Breakdowns!$C$5,1,IF(U818&lt;=Breakdowns!$C$6,2,IF(U818&lt;=Breakdowns!$C$7,3,4))))</f>
        <v>2</v>
      </c>
      <c r="X818" s="33">
        <f>IF(V818="","",IF(V818&lt;=Breakdowns!$D$5,1,IF(V818&lt;=Breakdowns!$D$6,2,IF(V818&lt;=Breakdowns!$D$7,3,4))))</f>
        <v>2</v>
      </c>
      <c r="Y818" s="34">
        <f>INDEX(Stores!$F$2:$F$21,MATCH(B818,Stores!$A$2:$A$21,0))</f>
        <v>5.55</v>
      </c>
      <c r="Z818" s="33">
        <f>IF(Y818&gt;Store_Summary!$M$2,1,0)</f>
        <v>1</v>
      </c>
      <c r="AA818" s="33">
        <f>INDEX(Stores!$C$2:$C$21,MATCH(B818,Stores!$A$2:$A$21,0))</f>
        <v>241</v>
      </c>
      <c r="AB818" s="33">
        <f>IF(AA818&lt;180,1,0)</f>
        <v>0</v>
      </c>
      <c r="AC818" s="32" t="str">
        <f>IF(Orders!D815="","",INDEX(Riders!$C$2:$C$81,MATCH(Orders!D815,Riders!$A$2:$A$81,0)))</f>
        <v>Petrol scooter</v>
      </c>
      <c r="AD818" s="33">
        <f>IF(Orders!D815="","",INDEX(Riders!$D$2:$D$81,MATCH(Orders!D815,Riders!$A$2:$A$81,0)))</f>
        <v>11</v>
      </c>
      <c r="AE818" s="33">
        <f>IF(Orders!D815="","",IF(INDEX(Riders!$B$2:$B$81,MATCH(Orders!D815,Riders!$A$2:$A$81,0))=B818,1,0))</f>
        <v>0</v>
      </c>
      <c r="AF818" s="34">
        <f>IF(E818=1,Orders!L815,"")</f>
        <v>1.48</v>
      </c>
      <c r="AG818" s="34">
        <f>IF(E818=1,Orders!P815,"")</f>
        <v>10.4</v>
      </c>
      <c r="AH818" s="34">
        <f>IF(E818=1,Orders!Q815,"")</f>
        <v>10.1</v>
      </c>
      <c r="AI818" s="34">
        <f>IF(E818=1,Orders!M815,"")</f>
        <v>4.3</v>
      </c>
      <c r="AJ818" s="34">
        <f>IF(E818=1,Orders!N815,"")</f>
        <v>1.4</v>
      </c>
      <c r="AK818" s="34">
        <f>IF(E818=1,Orders!O815,"")</f>
        <v>4.4</v>
      </c>
      <c r="AL818" s="33">
        <f>IF(E818=1,IF(ROUND(ABS(AI818+AJ818+AK818-AH818),6)&lt;=0.1,1,0),"")</f>
        <v>1</v>
      </c>
      <c r="AM818" s="36">
        <f>IF(E818=1,AI818/AH818,"")</f>
        <v>0.425742574257426</v>
      </c>
      <c r="AN818" s="36">
        <f>IF(E818=1,AJ818/AH818,"")</f>
        <v>0.138613861386139</v>
      </c>
      <c r="AO818" s="36">
        <f>IF(E818=1,AK818/AH818,"")</f>
        <v>0.435643564356436</v>
      </c>
      <c r="AP818" s="34">
        <f>IF(E818=1,Orders!Y815,"")</f>
        <v>0.38</v>
      </c>
      <c r="AQ818" s="33">
        <f>IF(Orders!X815,1,0)</f>
        <v>0</v>
      </c>
      <c r="AR818" s="34" t="str">
        <f>IF(AND(E818=1,L818=1),AJ818,"")</f>
        <v/>
      </c>
      <c r="AS818" s="34">
        <f>IF(AND(E818=1,L818=0),AJ818,"")</f>
        <v>1.4</v>
      </c>
      <c r="AT818" s="34" t="str">
        <f>IF(AND(E818=1,L818=1),AI818,"")</f>
        <v/>
      </c>
      <c r="AU818" s="34">
        <f>IF(AND(E818=1,L818=0),AI818,"")</f>
        <v>4.3</v>
      </c>
      <c r="AV818" s="34" t="str">
        <f>IF(AND(E818=1,L818=1),AG818,"")</f>
        <v/>
      </c>
      <c r="AW818" s="34">
        <f>IF(AND(E818=1,L818=0),AG818,"")</f>
        <v>10.4</v>
      </c>
      <c r="AX818" s="34" t="str">
        <f>IF(AND(E818=1,L818=1),AH818,"")</f>
        <v/>
      </c>
      <c r="AY818" s="34">
        <f>IF(AND(E818=1,L818=0),AH818,"")</f>
        <v>10.1</v>
      </c>
      <c r="AZ818" s="34" t="str">
        <f>IF(G818=1,F818,"")</f>
        <v/>
      </c>
      <c r="BA818" s="34" t="str">
        <f>IF(AND(G818=1,L818=1),F818,"")</f>
        <v/>
      </c>
      <c r="BB818" s="34" t="str">
        <f>IF(AND(G818=1,L818=0),F818,"")</f>
        <v/>
      </c>
      <c r="BC818" s="33">
        <f>IF(E818=1,IF(Orders!R815&gt;3,1,0),"")</f>
        <v>0</v>
      </c>
      <c r="BD818" s="33">
        <f>IF(E818=1,IF(Orders!R815&gt;7,1,0),"")</f>
        <v>0</v>
      </c>
      <c r="BE818" s="32" t="str">
        <f>IF(E818=1,IF(Orders!L815&lt;=1.5,"Up to 1.5 km",IF(Orders!L815&lt;=3,"1.5–3 km","Over 3 km")),"")</f>
        <v>Up to 1.5 km</v>
      </c>
      <c r="BF818" s="33">
        <f>IF(E818=1,IF(ABS((Orders!G815-Orders!F815)*1440-Orders!R815)&lt;0.06,1,0),"")</f>
        <v>1</v>
      </c>
      <c r="BG818" s="33">
        <f>IF(ABS((Orders!F815-Orders!E815)*1440-Orders!P815)&lt;0.06,1,0)</f>
        <v>1</v>
      </c>
      <c r="BH818" s="33">
        <f>IF(E818=1,IF(IF(Orders!S815,1,0)=1-G818,1,0),"")</f>
        <v>1</v>
      </c>
      <c r="BI818" s="32" t="str">
        <f>INDEX(Stores!$B$2:$B$21,MATCH(B818,Stores!$A$2:$A$21,0))</f>
        <v>Pune</v>
      </c>
    </row>
    <row r="819">
      <c r="A819" s="32" t="str">
        <f>Orders!A816</f>
        <v>O00815</v>
      </c>
      <c r="B819" s="32" t="str">
        <f>Orders!C816</f>
        <v>S013</v>
      </c>
      <c r="C819" s="32" t="str">
        <f>Orders!B816</f>
        <v>C0215</v>
      </c>
      <c r="D819" s="32" t="str">
        <f>Orders!H816</f>
        <v>Delivered</v>
      </c>
      <c r="E819" s="33">
        <f>IF(Orders!H816="Delivered",1,0)</f>
        <v>1</v>
      </c>
      <c r="F819" s="34">
        <f>IF(E819=1,Orders!R816,"")</f>
        <v>-1.2</v>
      </c>
      <c r="G819" s="33">
        <f>IF(E819=1,IF(Orders!R816&gt;0,1,0),"")</f>
        <v>0</v>
      </c>
      <c r="H819" s="33">
        <f>IF(E819=1,IF(Orders!R816&gt;5,1,0),"")</f>
        <v>0</v>
      </c>
      <c r="I819" s="32" t="str">
        <f>IF(E819=1,"",IF(OR(Orders!T816="Rider unavailable",Orders!T816="Item unavailable"),"Company-caused","Unresolved"))</f>
        <v/>
      </c>
      <c r="J819" s="33">
        <f>IF(OR(E819=1,I819="Company-caused"),1,0)</f>
        <v>1</v>
      </c>
      <c r="K819" s="32" t="str">
        <f>IF(E819=0,IF(I819="Company-caused",IF(Orders!T816="Rider unavailable","C1 Rider unavailable","C2 Item unavailable"),"Outside root: unresolved"),IF(G819=0,"A On time",IF(H819=1,IF(L819=1,"B2a Severe, peak","B2b Severe, off-peak"),IF(L819=1,"B1a Slight, peak","B1b Slight, off-peak"))))</f>
        <v>A On time</v>
      </c>
      <c r="L819" s="33">
        <f>IF(AND(Orders!U816&gt;=19,Orders!U816&lt;22),1,0)</f>
        <v>0</v>
      </c>
      <c r="M819" s="33">
        <f>IF(L819=IF(Orders!V816,1,0),1,0)</f>
        <v>1</v>
      </c>
      <c r="N819" s="32" t="str">
        <f>IF(Orders!W816="","None",Orders!W816)</f>
        <v>Light</v>
      </c>
      <c r="O819" s="35">
        <f>INT(Orders!E816)</f>
        <v>46270.0</v>
      </c>
      <c r="P819" s="33">
        <f>Orders!U816</f>
        <v>15</v>
      </c>
      <c r="Q819" s="33">
        <f>COUNTIFS(Demand!$A$2:$A$4481,B819,Demand!$B$2:$B$4481,O819,Demand!$C$2:$C$4481,P819)</f>
        <v>1</v>
      </c>
      <c r="R819" s="33">
        <f>IF(Q819=1,SUMIFS(Demand!$E$2:$E$4481,Demand!$A$2:$A$4481,B819,Demand!$B$2:$B$4481,O819,Demand!$C$2:$C$4481,P819),"")</f>
        <v>35</v>
      </c>
      <c r="S819" s="33">
        <f>INDEX(Stores!$G$2:$G$21,MATCH(B819,Stores!$A$2:$A$21,0))</f>
        <v>49</v>
      </c>
      <c r="T819" s="34">
        <f>IF(R819="","",R819/S819)</f>
        <v>0.714285714285714</v>
      </c>
      <c r="U819" s="34">
        <f>IF(E819=1,T819,"")</f>
        <v>0.714285714285714</v>
      </c>
      <c r="V819" s="34">
        <f>IF(AND(E819=1,L819=0),T819,"")</f>
        <v>0.714285714285714</v>
      </c>
      <c r="W819" s="33">
        <f>IF(U819="","",IF(U819&lt;=Breakdowns!$C$5,1,IF(U819&lt;=Breakdowns!$C$6,2,IF(U819&lt;=Breakdowns!$C$7,3,4))))</f>
        <v>1</v>
      </c>
      <c r="X819" s="33">
        <f>IF(V819="","",IF(V819&lt;=Breakdowns!$D$5,1,IF(V819&lt;=Breakdowns!$D$6,2,IF(V819&lt;=Breakdowns!$D$7,3,4))))</f>
        <v>1</v>
      </c>
      <c r="Y819" s="34">
        <f>INDEX(Stores!$F$2:$F$21,MATCH(B819,Stores!$A$2:$A$21,0))</f>
        <v>5.82</v>
      </c>
      <c r="Z819" s="33">
        <f>IF(Y819&gt;Store_Summary!$M$2,1,0)</f>
        <v>1</v>
      </c>
      <c r="AA819" s="33">
        <f>INDEX(Stores!$C$2:$C$21,MATCH(B819,Stores!$A$2:$A$21,0))</f>
        <v>705</v>
      </c>
      <c r="AB819" s="33">
        <f>IF(AA819&lt;180,1,0)</f>
        <v>0</v>
      </c>
      <c r="AC819" s="32" t="str">
        <f>IF(Orders!D816="","",INDEX(Riders!$C$2:$C$81,MATCH(Orders!D816,Riders!$A$2:$A$81,0)))</f>
        <v>EV scooter</v>
      </c>
      <c r="AD819" s="33">
        <f>IF(Orders!D816="","",INDEX(Riders!$D$2:$D$81,MATCH(Orders!D816,Riders!$A$2:$A$81,0)))</f>
        <v>27</v>
      </c>
      <c r="AE819" s="33">
        <f>IF(Orders!D816="","",IF(INDEX(Riders!$B$2:$B$81,MATCH(Orders!D816,Riders!$A$2:$A$81,0))=B819,1,0))</f>
        <v>0</v>
      </c>
      <c r="AF819" s="34">
        <f>IF(E819=1,Orders!L816,"")</f>
        <v>2.43</v>
      </c>
      <c r="AG819" s="34">
        <f>IF(E819=1,Orders!P816,"")</f>
        <v>8.7</v>
      </c>
      <c r="AH819" s="34">
        <f>IF(E819=1,Orders!Q816,"")</f>
        <v>7.5</v>
      </c>
      <c r="AI819" s="34">
        <f>IF(E819=1,Orders!M816,"")</f>
        <v>2.9</v>
      </c>
      <c r="AJ819" s="34">
        <f>IF(E819=1,Orders!N816,"")</f>
        <v>2.1</v>
      </c>
      <c r="AK819" s="34">
        <f>IF(E819=1,Orders!O816,"")</f>
        <v>2.5</v>
      </c>
      <c r="AL819" s="33">
        <f>IF(E819=1,IF(ROUND(ABS(AI819+AJ819+AK819-AH819),6)&lt;=0.1,1,0),"")</f>
        <v>1</v>
      </c>
      <c r="AM819" s="36">
        <f>IF(E819=1,AI819/AH819,"")</f>
        <v>0.386666666666667</v>
      </c>
      <c r="AN819" s="36">
        <f>IF(E819=1,AJ819/AH819,"")</f>
        <v>0.28</v>
      </c>
      <c r="AO819" s="36">
        <f>IF(E819=1,AK819/AH819,"")</f>
        <v>0.333333333333333</v>
      </c>
      <c r="AP819" s="34">
        <f>IF(E819=1,Orders!Y816,"")</f>
        <v>0.43</v>
      </c>
      <c r="AQ819" s="33">
        <f>IF(Orders!X816,1,0)</f>
        <v>0</v>
      </c>
      <c r="AR819" s="34" t="str">
        <f>IF(AND(E819=1,L819=1),AJ819,"")</f>
        <v/>
      </c>
      <c r="AS819" s="34">
        <f>IF(AND(E819=1,L819=0),AJ819,"")</f>
        <v>2.1</v>
      </c>
      <c r="AT819" s="34" t="str">
        <f>IF(AND(E819=1,L819=1),AI819,"")</f>
        <v/>
      </c>
      <c r="AU819" s="34">
        <f>IF(AND(E819=1,L819=0),AI819,"")</f>
        <v>2.9</v>
      </c>
      <c r="AV819" s="34" t="str">
        <f>IF(AND(E819=1,L819=1),AG819,"")</f>
        <v/>
      </c>
      <c r="AW819" s="34">
        <f>IF(AND(E819=1,L819=0),AG819,"")</f>
        <v>8.7</v>
      </c>
      <c r="AX819" s="34" t="str">
        <f>IF(AND(E819=1,L819=1),AH819,"")</f>
        <v/>
      </c>
      <c r="AY819" s="34">
        <f>IF(AND(E819=1,L819=0),AH819,"")</f>
        <v>7.5</v>
      </c>
      <c r="AZ819" s="34" t="str">
        <f>IF(G819=1,F819,"")</f>
        <v/>
      </c>
      <c r="BA819" s="34" t="str">
        <f>IF(AND(G819=1,L819=1),F819,"")</f>
        <v/>
      </c>
      <c r="BB819" s="34" t="str">
        <f>IF(AND(G819=1,L819=0),F819,"")</f>
        <v/>
      </c>
      <c r="BC819" s="33">
        <f>IF(E819=1,IF(Orders!R816&gt;3,1,0),"")</f>
        <v>0</v>
      </c>
      <c r="BD819" s="33">
        <f>IF(E819=1,IF(Orders!R816&gt;7,1,0),"")</f>
        <v>0</v>
      </c>
      <c r="BE819" s="32" t="str">
        <f>IF(E819=1,IF(Orders!L816&lt;=1.5,"Up to 1.5 km",IF(Orders!L816&lt;=3,"1.5–3 km","Over 3 km")),"")</f>
        <v>1.5–3 km</v>
      </c>
      <c r="BF819" s="33">
        <f>IF(E819=1,IF(ABS((Orders!G816-Orders!F816)*1440-Orders!R816)&lt;0.06,1,0),"")</f>
        <v>1</v>
      </c>
      <c r="BG819" s="33">
        <f>IF(ABS((Orders!F816-Orders!E816)*1440-Orders!P816)&lt;0.06,1,0)</f>
        <v>1</v>
      </c>
      <c r="BH819" s="33">
        <f>IF(E819=1,IF(IF(Orders!S816,1,0)=1-G819,1,0),"")</f>
        <v>1</v>
      </c>
      <c r="BI819" s="32" t="str">
        <f>INDEX(Stores!$B$2:$B$21,MATCH(B819,Stores!$A$2:$A$21,0))</f>
        <v>Mumbai</v>
      </c>
    </row>
    <row r="820">
      <c r="A820" s="32" t="str">
        <f>Orders!A817</f>
        <v>O00816</v>
      </c>
      <c r="B820" s="32" t="str">
        <f>Orders!C817</f>
        <v>S006</v>
      </c>
      <c r="C820" s="32" t="str">
        <f>Orders!B817</f>
        <v>C0008</v>
      </c>
      <c r="D820" s="32" t="str">
        <f>Orders!H817</f>
        <v>Delivered</v>
      </c>
      <c r="E820" s="33">
        <f>IF(Orders!H817="Delivered",1,0)</f>
        <v>1</v>
      </c>
      <c r="F820" s="34">
        <f>IF(E820=1,Orders!R817,"")</f>
        <v>-0.9</v>
      </c>
      <c r="G820" s="33">
        <f>IF(E820=1,IF(Orders!R817&gt;0,1,0),"")</f>
        <v>0</v>
      </c>
      <c r="H820" s="33">
        <f>IF(E820=1,IF(Orders!R817&gt;5,1,0),"")</f>
        <v>0</v>
      </c>
      <c r="I820" s="32" t="str">
        <f>IF(E820=1,"",IF(OR(Orders!T817="Rider unavailable",Orders!T817="Item unavailable"),"Company-caused","Unresolved"))</f>
        <v/>
      </c>
      <c r="J820" s="33">
        <f>IF(OR(E820=1,I820="Company-caused"),1,0)</f>
        <v>1</v>
      </c>
      <c r="K820" s="32" t="str">
        <f>IF(E820=0,IF(I820="Company-caused",IF(Orders!T817="Rider unavailable","C1 Rider unavailable","C2 Item unavailable"),"Outside root: unresolved"),IF(G820=0,"A On time",IF(H820=1,IF(L820=1,"B2a Severe, peak","B2b Severe, off-peak"),IF(L820=1,"B1a Slight, peak","B1b Slight, off-peak"))))</f>
        <v>A On time</v>
      </c>
      <c r="L820" s="33">
        <f>IF(AND(Orders!U817&gt;=19,Orders!U817&lt;22),1,0)</f>
        <v>0</v>
      </c>
      <c r="M820" s="33">
        <f>IF(L820=IF(Orders!V817,1,0),1,0)</f>
        <v>1</v>
      </c>
      <c r="N820" s="32" t="str">
        <f>IF(Orders!W817="","None",Orders!W817)</f>
        <v>None</v>
      </c>
      <c r="O820" s="35">
        <f>INT(Orders!E817)</f>
        <v>46276.0</v>
      </c>
      <c r="P820" s="33">
        <f>Orders!U817</f>
        <v>12</v>
      </c>
      <c r="Q820" s="33">
        <f>COUNTIFS(Demand!$A$2:$A$4481,B820,Demand!$B$2:$B$4481,O820,Demand!$C$2:$C$4481,P820)</f>
        <v>1</v>
      </c>
      <c r="R820" s="33">
        <f>IF(Q820=1,SUMIFS(Demand!$E$2:$E$4481,Demand!$A$2:$A$4481,B820,Demand!$B$2:$B$4481,O820,Demand!$C$2:$C$4481,P820),"")</f>
        <v>31</v>
      </c>
      <c r="S820" s="33">
        <f>INDEX(Stores!$G$2:$G$21,MATCH(B820,Stores!$A$2:$A$21,0))</f>
        <v>26</v>
      </c>
      <c r="T820" s="34">
        <f>IF(R820="","",R820/S820)</f>
        <v>1.19230769230769</v>
      </c>
      <c r="U820" s="34">
        <f>IF(E820=1,T820,"")</f>
        <v>1.19230769230769</v>
      </c>
      <c r="V820" s="34">
        <f>IF(AND(E820=1,L820=0),T820,"")</f>
        <v>1.19230769230769</v>
      </c>
      <c r="W820" s="33">
        <f>IF(U820="","",IF(U820&lt;=Breakdowns!$C$5,1,IF(U820&lt;=Breakdowns!$C$6,2,IF(U820&lt;=Breakdowns!$C$7,3,4))))</f>
        <v>3</v>
      </c>
      <c r="X820" s="33">
        <f>IF(V820="","",IF(V820&lt;=Breakdowns!$D$5,1,IF(V820&lt;=Breakdowns!$D$6,2,IF(V820&lt;=Breakdowns!$D$7,3,4))))</f>
        <v>4</v>
      </c>
      <c r="Y820" s="34">
        <f>INDEX(Stores!$F$2:$F$21,MATCH(B820,Stores!$A$2:$A$21,0))</f>
        <v>5.22</v>
      </c>
      <c r="Z820" s="33">
        <f>IF(Y820&gt;Store_Summary!$M$2,1,0)</f>
        <v>1</v>
      </c>
      <c r="AA820" s="33">
        <f>INDEX(Stores!$C$2:$C$21,MATCH(B820,Stores!$A$2:$A$21,0))</f>
        <v>412</v>
      </c>
      <c r="AB820" s="33">
        <f>IF(AA820&lt;180,1,0)</f>
        <v>0</v>
      </c>
      <c r="AC820" s="32" t="str">
        <f>IF(Orders!D817="","",INDEX(Riders!$C$2:$C$81,MATCH(Orders!D817,Riders!$A$2:$A$81,0)))</f>
        <v>Bicycle</v>
      </c>
      <c r="AD820" s="33">
        <f>IF(Orders!D817="","",INDEX(Riders!$D$2:$D$81,MATCH(Orders!D817,Riders!$A$2:$A$81,0)))</f>
        <v>26</v>
      </c>
      <c r="AE820" s="33">
        <f>IF(Orders!D817="","",IF(INDEX(Riders!$B$2:$B$81,MATCH(Orders!D817,Riders!$A$2:$A$81,0))=B820,1,0))</f>
        <v>0</v>
      </c>
      <c r="AF820" s="34">
        <f>IF(E820=1,Orders!L817,"")</f>
        <v>1.06</v>
      </c>
      <c r="AG820" s="34">
        <f>IF(E820=1,Orders!P817,"")</f>
        <v>10.6</v>
      </c>
      <c r="AH820" s="34">
        <f>IF(E820=1,Orders!Q817,"")</f>
        <v>9.7</v>
      </c>
      <c r="AI820" s="34">
        <f>IF(E820=1,Orders!M817,"")</f>
        <v>3.9</v>
      </c>
      <c r="AJ820" s="34">
        <f>IF(E820=1,Orders!N817,"")</f>
        <v>3.3</v>
      </c>
      <c r="AK820" s="34">
        <f>IF(E820=1,Orders!O817,"")</f>
        <v>2.5</v>
      </c>
      <c r="AL820" s="33">
        <f>IF(E820=1,IF(ROUND(ABS(AI820+AJ820+AK820-AH820),6)&lt;=0.1,1,0),"")</f>
        <v>1</v>
      </c>
      <c r="AM820" s="36">
        <f>IF(E820=1,AI820/AH820,"")</f>
        <v>0.402061855670103</v>
      </c>
      <c r="AN820" s="36">
        <f>IF(E820=1,AJ820/AH820,"")</f>
        <v>0.34020618556701</v>
      </c>
      <c r="AO820" s="36">
        <f>IF(E820=1,AK820/AH820,"")</f>
        <v>0.257731958762887</v>
      </c>
      <c r="AP820" s="34">
        <f>IF(E820=1,Orders!Y817,"")</f>
        <v>0.5</v>
      </c>
      <c r="AQ820" s="33">
        <f>IF(Orders!X817,1,0)</f>
        <v>0</v>
      </c>
      <c r="AR820" s="34" t="str">
        <f>IF(AND(E820=1,L820=1),AJ820,"")</f>
        <v/>
      </c>
      <c r="AS820" s="34">
        <f>IF(AND(E820=1,L820=0),AJ820,"")</f>
        <v>3.3</v>
      </c>
      <c r="AT820" s="34" t="str">
        <f>IF(AND(E820=1,L820=1),AI820,"")</f>
        <v/>
      </c>
      <c r="AU820" s="34">
        <f>IF(AND(E820=1,L820=0),AI820,"")</f>
        <v>3.9</v>
      </c>
      <c r="AV820" s="34" t="str">
        <f>IF(AND(E820=1,L820=1),AG820,"")</f>
        <v/>
      </c>
      <c r="AW820" s="34">
        <f>IF(AND(E820=1,L820=0),AG820,"")</f>
        <v>10.6</v>
      </c>
      <c r="AX820" s="34" t="str">
        <f>IF(AND(E820=1,L820=1),AH820,"")</f>
        <v/>
      </c>
      <c r="AY820" s="34">
        <f>IF(AND(E820=1,L820=0),AH820,"")</f>
        <v>9.7</v>
      </c>
      <c r="AZ820" s="34" t="str">
        <f>IF(G820=1,F820,"")</f>
        <v/>
      </c>
      <c r="BA820" s="34" t="str">
        <f>IF(AND(G820=1,L820=1),F820,"")</f>
        <v/>
      </c>
      <c r="BB820" s="34" t="str">
        <f>IF(AND(G820=1,L820=0),F820,"")</f>
        <v/>
      </c>
      <c r="BC820" s="33">
        <f>IF(E820=1,IF(Orders!R817&gt;3,1,0),"")</f>
        <v>0</v>
      </c>
      <c r="BD820" s="33">
        <f>IF(E820=1,IF(Orders!R817&gt;7,1,0),"")</f>
        <v>0</v>
      </c>
      <c r="BE820" s="32" t="str">
        <f>IF(E820=1,IF(Orders!L817&lt;=1.5,"Up to 1.5 km",IF(Orders!L817&lt;=3,"1.5–3 km","Over 3 km")),"")</f>
        <v>Up to 1.5 km</v>
      </c>
      <c r="BF820" s="33">
        <f>IF(E820=1,IF(ABS((Orders!G817-Orders!F817)*1440-Orders!R817)&lt;0.06,1,0),"")</f>
        <v>1</v>
      </c>
      <c r="BG820" s="33">
        <f>IF(ABS((Orders!F817-Orders!E817)*1440-Orders!P817)&lt;0.06,1,0)</f>
        <v>1</v>
      </c>
      <c r="BH820" s="33">
        <f>IF(E820=1,IF(IF(Orders!S817,1,0)=1-G820,1,0),"")</f>
        <v>1</v>
      </c>
      <c r="BI820" s="32" t="str">
        <f>INDEX(Stores!$B$2:$B$21,MATCH(B820,Stores!$A$2:$A$21,0))</f>
        <v>Bengaluru</v>
      </c>
    </row>
    <row r="821">
      <c r="A821" s="32" t="str">
        <f>Orders!A818</f>
        <v>O00817</v>
      </c>
      <c r="B821" s="32" t="str">
        <f>Orders!C818</f>
        <v>S002</v>
      </c>
      <c r="C821" s="32" t="str">
        <f>Orders!B818</f>
        <v>C0043</v>
      </c>
      <c r="D821" s="32" t="str">
        <f>Orders!H818</f>
        <v>Delivered</v>
      </c>
      <c r="E821" s="33">
        <f>IF(Orders!H818="Delivered",1,0)</f>
        <v>1</v>
      </c>
      <c r="F821" s="34">
        <f>IF(E821=1,Orders!R818,"")</f>
        <v>16.9</v>
      </c>
      <c r="G821" s="33">
        <f>IF(E821=1,IF(Orders!R818&gt;0,1,0),"")</f>
        <v>1</v>
      </c>
      <c r="H821" s="33">
        <f>IF(E821=1,IF(Orders!R818&gt;5,1,0),"")</f>
        <v>1</v>
      </c>
      <c r="I821" s="32" t="str">
        <f>IF(E821=1,"",IF(OR(Orders!T818="Rider unavailable",Orders!T818="Item unavailable"),"Company-caused","Unresolved"))</f>
        <v/>
      </c>
      <c r="J821" s="33">
        <f>IF(OR(E821=1,I821="Company-caused"),1,0)</f>
        <v>1</v>
      </c>
      <c r="K821" s="32" t="str">
        <f>IF(E821=0,IF(I821="Company-caused",IF(Orders!T818="Rider unavailable","C1 Rider unavailable","C2 Item unavailable"),"Outside root: unresolved"),IF(G821=0,"A On time",IF(H821=1,IF(L821=1,"B2a Severe, peak","B2b Severe, off-peak"),IF(L821=1,"B1a Slight, peak","B1b Slight, off-peak"))))</f>
        <v>B2a Severe, peak</v>
      </c>
      <c r="L821" s="33">
        <f>IF(AND(Orders!U818&gt;=19,Orders!U818&lt;22),1,0)</f>
        <v>1</v>
      </c>
      <c r="M821" s="33">
        <f>IF(L821=IF(Orders!V818,1,0),1,0)</f>
        <v>1</v>
      </c>
      <c r="N821" s="32" t="str">
        <f>IF(Orders!W818="","None",Orders!W818)</f>
        <v>None</v>
      </c>
      <c r="O821" s="35">
        <f>INT(Orders!E818)</f>
        <v>46272.0</v>
      </c>
      <c r="P821" s="33">
        <f>Orders!U818</f>
        <v>19</v>
      </c>
      <c r="Q821" s="33">
        <f>COUNTIFS(Demand!$A$2:$A$4481,B821,Demand!$B$2:$B$4481,O821,Demand!$C$2:$C$4481,P821)</f>
        <v>1</v>
      </c>
      <c r="R821" s="33">
        <f>IF(Q821=1,SUMIFS(Demand!$E$2:$E$4481,Demand!$A$2:$A$4481,B821,Demand!$B$2:$B$4481,O821,Demand!$C$2:$C$4481,P821),"")</f>
        <v>43</v>
      </c>
      <c r="S821" s="33">
        <f>INDEX(Stores!$G$2:$G$21,MATCH(B821,Stores!$A$2:$A$21,0))</f>
        <v>33</v>
      </c>
      <c r="T821" s="34">
        <f>IF(R821="","",R821/S821)</f>
        <v>1.3030303030303</v>
      </c>
      <c r="U821" s="34">
        <f>IF(E821=1,T821,"")</f>
        <v>1.3030303030303</v>
      </c>
      <c r="V821" s="34" t="str">
        <f>IF(AND(E821=1,L821=0),T821,"")</f>
        <v/>
      </c>
      <c r="W821" s="33">
        <f>IF(U821="","",IF(U821&lt;=Breakdowns!$C$5,1,IF(U821&lt;=Breakdowns!$C$6,2,IF(U821&lt;=Breakdowns!$C$7,3,4))))</f>
        <v>4</v>
      </c>
      <c r="X821" s="33" t="str">
        <f>IF(V821="","",IF(V821&lt;=Breakdowns!$D$5,1,IF(V821&lt;=Breakdowns!$D$6,2,IF(V821&lt;=Breakdowns!$D$7,3,4))))</f>
        <v/>
      </c>
      <c r="Y821" s="34">
        <f>INDEX(Stores!$F$2:$F$21,MATCH(B821,Stores!$A$2:$A$21,0))</f>
        <v>2.39</v>
      </c>
      <c r="Z821" s="33">
        <f>IF(Y821&gt;Store_Summary!$M$2,1,0)</f>
        <v>0</v>
      </c>
      <c r="AA821" s="33">
        <f>INDEX(Stores!$C$2:$C$21,MATCH(B821,Stores!$A$2:$A$21,0))</f>
        <v>470</v>
      </c>
      <c r="AB821" s="33">
        <f>IF(AA821&lt;180,1,0)</f>
        <v>0</v>
      </c>
      <c r="AC821" s="32" t="str">
        <f>IF(Orders!D818="","",INDEX(Riders!$C$2:$C$81,MATCH(Orders!D818,Riders!$A$2:$A$81,0)))</f>
        <v>Petrol scooter</v>
      </c>
      <c r="AD821" s="33">
        <f>IF(Orders!D818="","",INDEX(Riders!$D$2:$D$81,MATCH(Orders!D818,Riders!$A$2:$A$81,0)))</f>
        <v>19</v>
      </c>
      <c r="AE821" s="33">
        <f>IF(Orders!D818="","",IF(INDEX(Riders!$B$2:$B$81,MATCH(Orders!D818,Riders!$A$2:$A$81,0))=B821,1,0))</f>
        <v>0</v>
      </c>
      <c r="AF821" s="34">
        <f>IF(E821=1,Orders!L818,"")</f>
        <v>4.2</v>
      </c>
      <c r="AG821" s="34">
        <f>IF(E821=1,Orders!P818,"")</f>
        <v>9.6</v>
      </c>
      <c r="AH821" s="34">
        <f>IF(E821=1,Orders!Q818,"")</f>
        <v>26.5</v>
      </c>
      <c r="AI821" s="34">
        <f>IF(E821=1,Orders!M818,"")</f>
        <v>3.7</v>
      </c>
      <c r="AJ821" s="34">
        <f>IF(E821=1,Orders!N818,"")</f>
        <v>10.6</v>
      </c>
      <c r="AK821" s="34">
        <f>IF(E821=1,Orders!O818,"")</f>
        <v>12.2</v>
      </c>
      <c r="AL821" s="33">
        <f>IF(E821=1,IF(ROUND(ABS(AI821+AJ821+AK821-AH821),6)&lt;=0.1,1,0),"")</f>
        <v>1</v>
      </c>
      <c r="AM821" s="36">
        <f>IF(E821=1,AI821/AH821,"")</f>
        <v>0.139622641509434</v>
      </c>
      <c r="AN821" s="36">
        <f>IF(E821=1,AJ821/AH821,"")</f>
        <v>0.4</v>
      </c>
      <c r="AO821" s="36">
        <f>IF(E821=1,AK821/AH821,"")</f>
        <v>0.460377358490566</v>
      </c>
      <c r="AP821" s="34">
        <f>IF(E821=1,Orders!Y818,"")</f>
        <v>0.86</v>
      </c>
      <c r="AQ821" s="33">
        <f>IF(Orders!X818,1,0)</f>
        <v>0</v>
      </c>
      <c r="AR821" s="34">
        <f>IF(AND(E821=1,L821=1),AJ821,"")</f>
        <v>10.6</v>
      </c>
      <c r="AS821" s="34" t="str">
        <f>IF(AND(E821=1,L821=0),AJ821,"")</f>
        <v/>
      </c>
      <c r="AT821" s="34">
        <f>IF(AND(E821=1,L821=1),AI821,"")</f>
        <v>3.7</v>
      </c>
      <c r="AU821" s="34" t="str">
        <f>IF(AND(E821=1,L821=0),AI821,"")</f>
        <v/>
      </c>
      <c r="AV821" s="34">
        <f>IF(AND(E821=1,L821=1),AG821,"")</f>
        <v>9.6</v>
      </c>
      <c r="AW821" s="34" t="str">
        <f>IF(AND(E821=1,L821=0),AG821,"")</f>
        <v/>
      </c>
      <c r="AX821" s="34">
        <f>IF(AND(E821=1,L821=1),AH821,"")</f>
        <v>26.5</v>
      </c>
      <c r="AY821" s="34" t="str">
        <f>IF(AND(E821=1,L821=0),AH821,"")</f>
        <v/>
      </c>
      <c r="AZ821" s="34">
        <f>IF(G821=1,F821,"")</f>
        <v>16.9</v>
      </c>
      <c r="BA821" s="34">
        <f>IF(AND(G821=1,L821=1),F821,"")</f>
        <v>16.9</v>
      </c>
      <c r="BB821" s="34" t="str">
        <f>IF(AND(G821=1,L821=0),F821,"")</f>
        <v/>
      </c>
      <c r="BC821" s="33">
        <f>IF(E821=1,IF(Orders!R818&gt;3,1,0),"")</f>
        <v>1</v>
      </c>
      <c r="BD821" s="33">
        <f>IF(E821=1,IF(Orders!R818&gt;7,1,0),"")</f>
        <v>1</v>
      </c>
      <c r="BE821" s="32" t="str">
        <f>IF(E821=1,IF(Orders!L818&lt;=1.5,"Up to 1.5 km",IF(Orders!L818&lt;=3,"1.5–3 km","Over 3 km")),"")</f>
        <v>Over 3 km</v>
      </c>
      <c r="BF821" s="33">
        <f>IF(E821=1,IF(ABS((Orders!G818-Orders!F818)*1440-Orders!R818)&lt;0.06,1,0),"")</f>
        <v>1</v>
      </c>
      <c r="BG821" s="33">
        <f>IF(ABS((Orders!F818-Orders!E818)*1440-Orders!P818)&lt;0.06,1,0)</f>
        <v>1</v>
      </c>
      <c r="BH821" s="33">
        <f>IF(E821=1,IF(IF(Orders!S818,1,0)=1-G821,1,0),"")</f>
        <v>1</v>
      </c>
      <c r="BI821" s="32" t="str">
        <f>INDEX(Stores!$B$2:$B$21,MATCH(B821,Stores!$A$2:$A$21,0))</f>
        <v>Hyderabad</v>
      </c>
    </row>
    <row r="822">
      <c r="A822" s="32" t="str">
        <f>Orders!A819</f>
        <v>O00818</v>
      </c>
      <c r="B822" s="32" t="str">
        <f>Orders!C819</f>
        <v>S009</v>
      </c>
      <c r="C822" s="32" t="str">
        <f>Orders!B819</f>
        <v>C0219</v>
      </c>
      <c r="D822" s="32" t="str">
        <f>Orders!H819</f>
        <v>Delivered</v>
      </c>
      <c r="E822" s="33">
        <f>IF(Orders!H819="Delivered",1,0)</f>
        <v>1</v>
      </c>
      <c r="F822" s="34">
        <f>IF(E822=1,Orders!R819,"")</f>
        <v>-0.3</v>
      </c>
      <c r="G822" s="33">
        <f>IF(E822=1,IF(Orders!R819&gt;0,1,0),"")</f>
        <v>0</v>
      </c>
      <c r="H822" s="33">
        <f>IF(E822=1,IF(Orders!R819&gt;5,1,0),"")</f>
        <v>0</v>
      </c>
      <c r="I822" s="32" t="str">
        <f>IF(E822=1,"",IF(OR(Orders!T819="Rider unavailable",Orders!T819="Item unavailable"),"Company-caused","Unresolved"))</f>
        <v/>
      </c>
      <c r="J822" s="33">
        <f>IF(OR(E822=1,I822="Company-caused"),1,0)</f>
        <v>1</v>
      </c>
      <c r="K822" s="32" t="str">
        <f>IF(E822=0,IF(I822="Company-caused",IF(Orders!T819="Rider unavailable","C1 Rider unavailable","C2 Item unavailable"),"Outside root: unresolved"),IF(G822=0,"A On time",IF(H822=1,IF(L822=1,"B2a Severe, peak","B2b Severe, off-peak"),IF(L822=1,"B1a Slight, peak","B1b Slight, off-peak"))))</f>
        <v>A On time</v>
      </c>
      <c r="L822" s="33">
        <f>IF(AND(Orders!U819&gt;=19,Orders!U819&lt;22),1,0)</f>
        <v>0</v>
      </c>
      <c r="M822" s="33">
        <f>IF(L822=IF(Orders!V819,1,0),1,0)</f>
        <v>1</v>
      </c>
      <c r="N822" s="32" t="str">
        <f>IF(Orders!W819="","None",Orders!W819)</f>
        <v>None</v>
      </c>
      <c r="O822" s="35">
        <f>INT(Orders!E819)</f>
        <v>46274.0</v>
      </c>
      <c r="P822" s="33">
        <f>Orders!U819</f>
        <v>10</v>
      </c>
      <c r="Q822" s="33">
        <f>COUNTIFS(Demand!$A$2:$A$4481,B822,Demand!$B$2:$B$4481,O822,Demand!$C$2:$C$4481,P822)</f>
        <v>1</v>
      </c>
      <c r="R822" s="33">
        <f>IF(Q822=1,SUMIFS(Demand!$E$2:$E$4481,Demand!$A$2:$A$4481,B822,Demand!$B$2:$B$4481,O822,Demand!$C$2:$C$4481,P822),"")</f>
        <v>18</v>
      </c>
      <c r="S822" s="33">
        <f>INDEX(Stores!$G$2:$G$21,MATCH(B822,Stores!$A$2:$A$21,0))</f>
        <v>29</v>
      </c>
      <c r="T822" s="34">
        <f>IF(R822="","",R822/S822)</f>
        <v>0.620689655172414</v>
      </c>
      <c r="U822" s="34">
        <f>IF(E822=1,T822,"")</f>
        <v>0.620689655172414</v>
      </c>
      <c r="V822" s="34">
        <f>IF(AND(E822=1,L822=0),T822,"")</f>
        <v>0.620689655172414</v>
      </c>
      <c r="W822" s="33">
        <f>IF(U822="","",IF(U822&lt;=Breakdowns!$C$5,1,IF(U822&lt;=Breakdowns!$C$6,2,IF(U822&lt;=Breakdowns!$C$7,3,4))))</f>
        <v>1</v>
      </c>
      <c r="X822" s="33">
        <f>IF(V822="","",IF(V822&lt;=Breakdowns!$D$5,1,IF(V822&lt;=Breakdowns!$D$6,2,IF(V822&lt;=Breakdowns!$D$7,3,4))))</f>
        <v>1</v>
      </c>
      <c r="Y822" s="34">
        <f>INDEX(Stores!$F$2:$F$21,MATCH(B822,Stores!$A$2:$A$21,0))</f>
        <v>2.66</v>
      </c>
      <c r="Z822" s="33">
        <f>IF(Y822&gt;Store_Summary!$M$2,1,0)</f>
        <v>0</v>
      </c>
      <c r="AA822" s="33">
        <f>INDEX(Stores!$C$2:$C$21,MATCH(B822,Stores!$A$2:$A$21,0))</f>
        <v>645</v>
      </c>
      <c r="AB822" s="33">
        <f>IF(AA822&lt;180,1,0)</f>
        <v>0</v>
      </c>
      <c r="AC822" s="32" t="str">
        <f>IF(Orders!D819="","",INDEX(Riders!$C$2:$C$81,MATCH(Orders!D819,Riders!$A$2:$A$81,0)))</f>
        <v>Bicycle</v>
      </c>
      <c r="AD822" s="33">
        <f>IF(Orders!D819="","",INDEX(Riders!$D$2:$D$81,MATCH(Orders!D819,Riders!$A$2:$A$81,0)))</f>
        <v>44</v>
      </c>
      <c r="AE822" s="33">
        <f>IF(Orders!D819="","",IF(INDEX(Riders!$B$2:$B$81,MATCH(Orders!D819,Riders!$A$2:$A$81,0))=B822,1,0))</f>
        <v>0</v>
      </c>
      <c r="AF822" s="34">
        <f>IF(E822=1,Orders!L819,"")</f>
        <v>2.22</v>
      </c>
      <c r="AG822" s="34">
        <f>IF(E822=1,Orders!P819,"")</f>
        <v>9.8</v>
      </c>
      <c r="AH822" s="34">
        <f>IF(E822=1,Orders!Q819,"")</f>
        <v>9.5</v>
      </c>
      <c r="AI822" s="34">
        <f>IF(E822=1,Orders!M819,"")</f>
        <v>1.8</v>
      </c>
      <c r="AJ822" s="34">
        <f>IF(E822=1,Orders!N819,"")</f>
        <v>4.3</v>
      </c>
      <c r="AK822" s="34">
        <f>IF(E822=1,Orders!O819,"")</f>
        <v>3.4</v>
      </c>
      <c r="AL822" s="33">
        <f>IF(E822=1,IF(ROUND(ABS(AI822+AJ822+AK822-AH822),6)&lt;=0.1,1,0),"")</f>
        <v>1</v>
      </c>
      <c r="AM822" s="36">
        <f>IF(E822=1,AI822/AH822,"")</f>
        <v>0.189473684210526</v>
      </c>
      <c r="AN822" s="36">
        <f>IF(E822=1,AJ822/AH822,"")</f>
        <v>0.452631578947368</v>
      </c>
      <c r="AO822" s="36">
        <f>IF(E822=1,AK822/AH822,"")</f>
        <v>0.357894736842105</v>
      </c>
      <c r="AP822" s="34">
        <f>IF(E822=1,Orders!Y819,"")</f>
        <v>0.54</v>
      </c>
      <c r="AQ822" s="33">
        <f>IF(Orders!X819,1,0)</f>
        <v>0</v>
      </c>
      <c r="AR822" s="34" t="str">
        <f>IF(AND(E822=1,L822=1),AJ822,"")</f>
        <v/>
      </c>
      <c r="AS822" s="34">
        <f>IF(AND(E822=1,L822=0),AJ822,"")</f>
        <v>4.3</v>
      </c>
      <c r="AT822" s="34" t="str">
        <f>IF(AND(E822=1,L822=1),AI822,"")</f>
        <v/>
      </c>
      <c r="AU822" s="34">
        <f>IF(AND(E822=1,L822=0),AI822,"")</f>
        <v>1.8</v>
      </c>
      <c r="AV822" s="34" t="str">
        <f>IF(AND(E822=1,L822=1),AG822,"")</f>
        <v/>
      </c>
      <c r="AW822" s="34">
        <f>IF(AND(E822=1,L822=0),AG822,"")</f>
        <v>9.8</v>
      </c>
      <c r="AX822" s="34" t="str">
        <f>IF(AND(E822=1,L822=1),AH822,"")</f>
        <v/>
      </c>
      <c r="AY822" s="34">
        <f>IF(AND(E822=1,L822=0),AH822,"")</f>
        <v>9.5</v>
      </c>
      <c r="AZ822" s="34" t="str">
        <f>IF(G822=1,F822,"")</f>
        <v/>
      </c>
      <c r="BA822" s="34" t="str">
        <f>IF(AND(G822=1,L822=1),F822,"")</f>
        <v/>
      </c>
      <c r="BB822" s="34" t="str">
        <f>IF(AND(G822=1,L822=0),F822,"")</f>
        <v/>
      </c>
      <c r="BC822" s="33">
        <f>IF(E822=1,IF(Orders!R819&gt;3,1,0),"")</f>
        <v>0</v>
      </c>
      <c r="BD822" s="33">
        <f>IF(E822=1,IF(Orders!R819&gt;7,1,0),"")</f>
        <v>0</v>
      </c>
      <c r="BE822" s="32" t="str">
        <f>IF(E822=1,IF(Orders!L819&lt;=1.5,"Up to 1.5 km",IF(Orders!L819&lt;=3,"1.5–3 km","Over 3 km")),"")</f>
        <v>1.5–3 km</v>
      </c>
      <c r="BF822" s="33">
        <f>IF(E822=1,IF(ABS((Orders!G819-Orders!F819)*1440-Orders!R819)&lt;0.06,1,0),"")</f>
        <v>1</v>
      </c>
      <c r="BG822" s="33">
        <f>IF(ABS((Orders!F819-Orders!E819)*1440-Orders!P819)&lt;0.06,1,0)</f>
        <v>1</v>
      </c>
      <c r="BH822" s="33">
        <f>IF(E822=1,IF(IF(Orders!S819,1,0)=1-G822,1,0),"")</f>
        <v>1</v>
      </c>
      <c r="BI822" s="32" t="str">
        <f>INDEX(Stores!$B$2:$B$21,MATCH(B822,Stores!$A$2:$A$21,0))</f>
        <v>Pune</v>
      </c>
    </row>
    <row r="823">
      <c r="A823" s="32" t="str">
        <f>Orders!A820</f>
        <v>O00819</v>
      </c>
      <c r="B823" s="32" t="str">
        <f>Orders!C820</f>
        <v>S002</v>
      </c>
      <c r="C823" s="32" t="str">
        <f>Orders!B820</f>
        <v>C0117</v>
      </c>
      <c r="D823" s="32" t="str">
        <f>Orders!H820</f>
        <v>Delivered</v>
      </c>
      <c r="E823" s="33">
        <f>IF(Orders!H820="Delivered",1,0)</f>
        <v>1</v>
      </c>
      <c r="F823" s="34">
        <f>IF(E823=1,Orders!R820,"")</f>
        <v>-1.1</v>
      </c>
      <c r="G823" s="33">
        <f>IF(E823=1,IF(Orders!R820&gt;0,1,0),"")</f>
        <v>0</v>
      </c>
      <c r="H823" s="33">
        <f>IF(E823=1,IF(Orders!R820&gt;5,1,0),"")</f>
        <v>0</v>
      </c>
      <c r="I823" s="32" t="str">
        <f>IF(E823=1,"",IF(OR(Orders!T820="Rider unavailable",Orders!T820="Item unavailable"),"Company-caused","Unresolved"))</f>
        <v/>
      </c>
      <c r="J823" s="33">
        <f>IF(OR(E823=1,I823="Company-caused"),1,0)</f>
        <v>1</v>
      </c>
      <c r="K823" s="32" t="str">
        <f>IF(E823=0,IF(I823="Company-caused",IF(Orders!T820="Rider unavailable","C1 Rider unavailable","C2 Item unavailable"),"Outside root: unresolved"),IF(G823=0,"A On time",IF(H823=1,IF(L823=1,"B2a Severe, peak","B2b Severe, off-peak"),IF(L823=1,"B1a Slight, peak","B1b Slight, off-peak"))))</f>
        <v>A On time</v>
      </c>
      <c r="L823" s="33">
        <f>IF(AND(Orders!U820&gt;=19,Orders!U820&lt;22),1,0)</f>
        <v>1</v>
      </c>
      <c r="M823" s="33">
        <f>IF(L823=IF(Orders!V820,1,0),1,0)</f>
        <v>1</v>
      </c>
      <c r="N823" s="32" t="str">
        <f>IF(Orders!W820="","None",Orders!W820)</f>
        <v>None</v>
      </c>
      <c r="O823" s="35">
        <f>INT(Orders!E820)</f>
        <v>46278.0</v>
      </c>
      <c r="P823" s="33">
        <f>Orders!U820</f>
        <v>19</v>
      </c>
      <c r="Q823" s="33">
        <f>COUNTIFS(Demand!$A$2:$A$4481,B823,Demand!$B$2:$B$4481,O823,Demand!$C$2:$C$4481,P823)</f>
        <v>1</v>
      </c>
      <c r="R823" s="33">
        <f>IF(Q823=1,SUMIFS(Demand!$E$2:$E$4481,Demand!$A$2:$A$4481,B823,Demand!$B$2:$B$4481,O823,Demand!$C$2:$C$4481,P823),"")</f>
        <v>47</v>
      </c>
      <c r="S823" s="33">
        <f>INDEX(Stores!$G$2:$G$21,MATCH(B823,Stores!$A$2:$A$21,0))</f>
        <v>33</v>
      </c>
      <c r="T823" s="34">
        <f>IF(R823="","",R823/S823)</f>
        <v>1.42424242424242</v>
      </c>
      <c r="U823" s="34">
        <f>IF(E823=1,T823,"")</f>
        <v>1.42424242424242</v>
      </c>
      <c r="V823" s="34" t="str">
        <f>IF(AND(E823=1,L823=0),T823,"")</f>
        <v/>
      </c>
      <c r="W823" s="33">
        <f>IF(U823="","",IF(U823&lt;=Breakdowns!$C$5,1,IF(U823&lt;=Breakdowns!$C$6,2,IF(U823&lt;=Breakdowns!$C$7,3,4))))</f>
        <v>4</v>
      </c>
      <c r="X823" s="33" t="str">
        <f>IF(V823="","",IF(V823&lt;=Breakdowns!$D$5,1,IF(V823&lt;=Breakdowns!$D$6,2,IF(V823&lt;=Breakdowns!$D$7,3,4))))</f>
        <v/>
      </c>
      <c r="Y823" s="34">
        <f>INDEX(Stores!$F$2:$F$21,MATCH(B823,Stores!$A$2:$A$21,0))</f>
        <v>2.39</v>
      </c>
      <c r="Z823" s="33">
        <f>IF(Y823&gt;Store_Summary!$M$2,1,0)</f>
        <v>0</v>
      </c>
      <c r="AA823" s="33">
        <f>INDEX(Stores!$C$2:$C$21,MATCH(B823,Stores!$A$2:$A$21,0))</f>
        <v>470</v>
      </c>
      <c r="AB823" s="33">
        <f>IF(AA823&lt;180,1,0)</f>
        <v>0</v>
      </c>
      <c r="AC823" s="32" t="str">
        <f>IF(Orders!D820="","",INDEX(Riders!$C$2:$C$81,MATCH(Orders!D820,Riders!$A$2:$A$81,0)))</f>
        <v>EV scooter</v>
      </c>
      <c r="AD823" s="33">
        <f>IF(Orders!D820="","",INDEX(Riders!$D$2:$D$81,MATCH(Orders!D820,Riders!$A$2:$A$81,0)))</f>
        <v>11</v>
      </c>
      <c r="AE823" s="33">
        <f>IF(Orders!D820="","",IF(INDEX(Riders!$B$2:$B$81,MATCH(Orders!D820,Riders!$A$2:$A$81,0))=B823,1,0))</f>
        <v>0</v>
      </c>
      <c r="AF823" s="34">
        <f>IF(E823=1,Orders!L820,"")</f>
        <v>5</v>
      </c>
      <c r="AG823" s="34">
        <f>IF(E823=1,Orders!P820,"")</f>
        <v>10.6</v>
      </c>
      <c r="AH823" s="34">
        <f>IF(E823=1,Orders!Q820,"")</f>
        <v>9.5</v>
      </c>
      <c r="AI823" s="34">
        <f>IF(E823=1,Orders!M820,"")</f>
        <v>0.9</v>
      </c>
      <c r="AJ823" s="34">
        <f>IF(E823=1,Orders!N820,"")</f>
        <v>2.3</v>
      </c>
      <c r="AK823" s="34">
        <f>IF(E823=1,Orders!O820,"")</f>
        <v>6.3</v>
      </c>
      <c r="AL823" s="33">
        <f>IF(E823=1,IF(ROUND(ABS(AI823+AJ823+AK823-AH823),6)&lt;=0.1,1,0),"")</f>
        <v>1</v>
      </c>
      <c r="AM823" s="36">
        <f>IF(E823=1,AI823/AH823,"")</f>
        <v>0.0947368421052632</v>
      </c>
      <c r="AN823" s="36">
        <f>IF(E823=1,AJ823/AH823,"")</f>
        <v>0.242105263157895</v>
      </c>
      <c r="AO823" s="36">
        <f>IF(E823=1,AK823/AH823,"")</f>
        <v>0.663157894736842</v>
      </c>
      <c r="AP823" s="34">
        <f>IF(E823=1,Orders!Y820,"")</f>
        <v>0.73</v>
      </c>
      <c r="AQ823" s="33">
        <f>IF(Orders!X820,1,0)</f>
        <v>0</v>
      </c>
      <c r="AR823" s="34">
        <f>IF(AND(E823=1,L823=1),AJ823,"")</f>
        <v>2.3</v>
      </c>
      <c r="AS823" s="34" t="str">
        <f>IF(AND(E823=1,L823=0),AJ823,"")</f>
        <v/>
      </c>
      <c r="AT823" s="34">
        <f>IF(AND(E823=1,L823=1),AI823,"")</f>
        <v>0.9</v>
      </c>
      <c r="AU823" s="34" t="str">
        <f>IF(AND(E823=1,L823=0),AI823,"")</f>
        <v/>
      </c>
      <c r="AV823" s="34">
        <f>IF(AND(E823=1,L823=1),AG823,"")</f>
        <v>10.6</v>
      </c>
      <c r="AW823" s="34" t="str">
        <f>IF(AND(E823=1,L823=0),AG823,"")</f>
        <v/>
      </c>
      <c r="AX823" s="34">
        <f>IF(AND(E823=1,L823=1),AH823,"")</f>
        <v>9.5</v>
      </c>
      <c r="AY823" s="34" t="str">
        <f>IF(AND(E823=1,L823=0),AH823,"")</f>
        <v/>
      </c>
      <c r="AZ823" s="34" t="str">
        <f>IF(G823=1,F823,"")</f>
        <v/>
      </c>
      <c r="BA823" s="34" t="str">
        <f>IF(AND(G823=1,L823=1),F823,"")</f>
        <v/>
      </c>
      <c r="BB823" s="34" t="str">
        <f>IF(AND(G823=1,L823=0),F823,"")</f>
        <v/>
      </c>
      <c r="BC823" s="33">
        <f>IF(E823=1,IF(Orders!R820&gt;3,1,0),"")</f>
        <v>0</v>
      </c>
      <c r="BD823" s="33">
        <f>IF(E823=1,IF(Orders!R820&gt;7,1,0),"")</f>
        <v>0</v>
      </c>
      <c r="BE823" s="32" t="str">
        <f>IF(E823=1,IF(Orders!L820&lt;=1.5,"Up to 1.5 km",IF(Orders!L820&lt;=3,"1.5–3 km","Over 3 km")),"")</f>
        <v>Over 3 km</v>
      </c>
      <c r="BF823" s="33">
        <f>IF(E823=1,IF(ABS((Orders!G820-Orders!F820)*1440-Orders!R820)&lt;0.06,1,0),"")</f>
        <v>1</v>
      </c>
      <c r="BG823" s="33">
        <f>IF(ABS((Orders!F820-Orders!E820)*1440-Orders!P820)&lt;0.06,1,0)</f>
        <v>1</v>
      </c>
      <c r="BH823" s="33">
        <f>IF(E823=1,IF(IF(Orders!S820,1,0)=1-G823,1,0),"")</f>
        <v>1</v>
      </c>
      <c r="BI823" s="32" t="str">
        <f>INDEX(Stores!$B$2:$B$21,MATCH(B823,Stores!$A$2:$A$21,0))</f>
        <v>Hyderabad</v>
      </c>
    </row>
    <row r="824">
      <c r="A824" s="32" t="str">
        <f>Orders!A821</f>
        <v>O00820</v>
      </c>
      <c r="B824" s="32" t="str">
        <f>Orders!C821</f>
        <v>S014</v>
      </c>
      <c r="C824" s="32" t="str">
        <f>Orders!B821</f>
        <v>C0031</v>
      </c>
      <c r="D824" s="32" t="str">
        <f>Orders!H821</f>
        <v>Delivered</v>
      </c>
      <c r="E824" s="33">
        <f>IF(Orders!H821="Delivered",1,0)</f>
        <v>1</v>
      </c>
      <c r="F824" s="34">
        <f>IF(E824=1,Orders!R821,"")</f>
        <v>-0.4</v>
      </c>
      <c r="G824" s="33">
        <f>IF(E824=1,IF(Orders!R821&gt;0,1,0),"")</f>
        <v>0</v>
      </c>
      <c r="H824" s="33">
        <f>IF(E824=1,IF(Orders!R821&gt;5,1,0),"")</f>
        <v>0</v>
      </c>
      <c r="I824" s="32" t="str">
        <f>IF(E824=1,"",IF(OR(Orders!T821="Rider unavailable",Orders!T821="Item unavailable"),"Company-caused","Unresolved"))</f>
        <v/>
      </c>
      <c r="J824" s="33">
        <f>IF(OR(E824=1,I824="Company-caused"),1,0)</f>
        <v>1</v>
      </c>
      <c r="K824" s="32" t="str">
        <f>IF(E824=0,IF(I824="Company-caused",IF(Orders!T821="Rider unavailable","C1 Rider unavailable","C2 Item unavailable"),"Outside root: unresolved"),IF(G824=0,"A On time",IF(H824=1,IF(L824=1,"B2a Severe, peak","B2b Severe, off-peak"),IF(L824=1,"B1a Slight, peak","B1b Slight, off-peak"))))</f>
        <v>A On time</v>
      </c>
      <c r="L824" s="33">
        <f>IF(AND(Orders!U821&gt;=19,Orders!U821&lt;22),1,0)</f>
        <v>0</v>
      </c>
      <c r="M824" s="33">
        <f>IF(L824=IF(Orders!V821,1,0),1,0)</f>
        <v>1</v>
      </c>
      <c r="N824" s="32" t="str">
        <f>IF(Orders!W821="","None",Orders!W821)</f>
        <v>Light</v>
      </c>
      <c r="O824" s="35">
        <f>INT(Orders!E821)</f>
        <v>46269.0</v>
      </c>
      <c r="P824" s="33">
        <f>Orders!U821</f>
        <v>23</v>
      </c>
      <c r="Q824" s="33">
        <f>COUNTIFS(Demand!$A$2:$A$4481,B824,Demand!$B$2:$B$4481,O824,Demand!$C$2:$C$4481,P824)</f>
        <v>1</v>
      </c>
      <c r="R824" s="33">
        <f>IF(Q824=1,SUMIFS(Demand!$E$2:$E$4481,Demand!$A$2:$A$4481,B824,Demand!$B$2:$B$4481,O824,Demand!$C$2:$C$4481,P824),"")</f>
        <v>32</v>
      </c>
      <c r="S824" s="33">
        <f>INDEX(Stores!$G$2:$G$21,MATCH(B824,Stores!$A$2:$A$21,0))</f>
        <v>37</v>
      </c>
      <c r="T824" s="34">
        <f>IF(R824="","",R824/S824)</f>
        <v>0.864864864864865</v>
      </c>
      <c r="U824" s="34">
        <f>IF(E824=1,T824,"")</f>
        <v>0.864864864864865</v>
      </c>
      <c r="V824" s="34">
        <f>IF(AND(E824=1,L824=0),T824,"")</f>
        <v>0.864864864864865</v>
      </c>
      <c r="W824" s="33">
        <f>IF(U824="","",IF(U824&lt;=Breakdowns!$C$5,1,IF(U824&lt;=Breakdowns!$C$6,2,IF(U824&lt;=Breakdowns!$C$7,3,4))))</f>
        <v>2</v>
      </c>
      <c r="X824" s="33">
        <f>IF(V824="","",IF(V824&lt;=Breakdowns!$D$5,1,IF(V824&lt;=Breakdowns!$D$6,2,IF(V824&lt;=Breakdowns!$D$7,3,4))))</f>
        <v>2</v>
      </c>
      <c r="Y824" s="34">
        <f>INDEX(Stores!$F$2:$F$21,MATCH(B824,Stores!$A$2:$A$21,0))</f>
        <v>5.55</v>
      </c>
      <c r="Z824" s="33">
        <f>IF(Y824&gt;Store_Summary!$M$2,1,0)</f>
        <v>1</v>
      </c>
      <c r="AA824" s="33">
        <f>INDEX(Stores!$C$2:$C$21,MATCH(B824,Stores!$A$2:$A$21,0))</f>
        <v>241</v>
      </c>
      <c r="AB824" s="33">
        <f>IF(AA824&lt;180,1,0)</f>
        <v>0</v>
      </c>
      <c r="AC824" s="32" t="str">
        <f>IF(Orders!D821="","",INDEX(Riders!$C$2:$C$81,MATCH(Orders!D821,Riders!$A$2:$A$81,0)))</f>
        <v>Petrol scooter</v>
      </c>
      <c r="AD824" s="33">
        <f>IF(Orders!D821="","",INDEX(Riders!$D$2:$D$81,MATCH(Orders!D821,Riders!$A$2:$A$81,0)))</f>
        <v>32</v>
      </c>
      <c r="AE824" s="33">
        <f>IF(Orders!D821="","",IF(INDEX(Riders!$B$2:$B$81,MATCH(Orders!D821,Riders!$A$2:$A$81,0))=B824,1,0))</f>
        <v>0</v>
      </c>
      <c r="AF824" s="34">
        <f>IF(E824=1,Orders!L821,"")</f>
        <v>3.3</v>
      </c>
      <c r="AG824" s="34">
        <f>IF(E824=1,Orders!P821,"")</f>
        <v>12.5</v>
      </c>
      <c r="AH824" s="34">
        <f>IF(E824=1,Orders!Q821,"")</f>
        <v>12.1</v>
      </c>
      <c r="AI824" s="34">
        <f>IF(E824=1,Orders!M821,"")</f>
        <v>3.4</v>
      </c>
      <c r="AJ824" s="34">
        <f>IF(E824=1,Orders!N821,"")</f>
        <v>3</v>
      </c>
      <c r="AK824" s="34">
        <f>IF(E824=1,Orders!O821,"")</f>
        <v>5.7</v>
      </c>
      <c r="AL824" s="33">
        <f>IF(E824=1,IF(ROUND(ABS(AI824+AJ824+AK824-AH824),6)&lt;=0.1,1,0),"")</f>
        <v>1</v>
      </c>
      <c r="AM824" s="36">
        <f>IF(E824=1,AI824/AH824,"")</f>
        <v>0.28099173553719</v>
      </c>
      <c r="AN824" s="36">
        <f>IF(E824=1,AJ824/AH824,"")</f>
        <v>0.247933884297521</v>
      </c>
      <c r="AO824" s="36">
        <f>IF(E824=1,AK824/AH824,"")</f>
        <v>0.471074380165289</v>
      </c>
      <c r="AP824" s="34">
        <f>IF(E824=1,Orders!Y821,"")</f>
        <v>0.43</v>
      </c>
      <c r="AQ824" s="33">
        <f>IF(Orders!X821,1,0)</f>
        <v>0</v>
      </c>
      <c r="AR824" s="34" t="str">
        <f>IF(AND(E824=1,L824=1),AJ824,"")</f>
        <v/>
      </c>
      <c r="AS824" s="34">
        <f>IF(AND(E824=1,L824=0),AJ824,"")</f>
        <v>3</v>
      </c>
      <c r="AT824" s="34" t="str">
        <f>IF(AND(E824=1,L824=1),AI824,"")</f>
        <v/>
      </c>
      <c r="AU824" s="34">
        <f>IF(AND(E824=1,L824=0),AI824,"")</f>
        <v>3.4</v>
      </c>
      <c r="AV824" s="34" t="str">
        <f>IF(AND(E824=1,L824=1),AG824,"")</f>
        <v/>
      </c>
      <c r="AW824" s="34">
        <f>IF(AND(E824=1,L824=0),AG824,"")</f>
        <v>12.5</v>
      </c>
      <c r="AX824" s="34" t="str">
        <f>IF(AND(E824=1,L824=1),AH824,"")</f>
        <v/>
      </c>
      <c r="AY824" s="34">
        <f>IF(AND(E824=1,L824=0),AH824,"")</f>
        <v>12.1</v>
      </c>
      <c r="AZ824" s="34" t="str">
        <f>IF(G824=1,F824,"")</f>
        <v/>
      </c>
      <c r="BA824" s="34" t="str">
        <f>IF(AND(G824=1,L824=1),F824,"")</f>
        <v/>
      </c>
      <c r="BB824" s="34" t="str">
        <f>IF(AND(G824=1,L824=0),F824,"")</f>
        <v/>
      </c>
      <c r="BC824" s="33">
        <f>IF(E824=1,IF(Orders!R821&gt;3,1,0),"")</f>
        <v>0</v>
      </c>
      <c r="BD824" s="33">
        <f>IF(E824=1,IF(Orders!R821&gt;7,1,0),"")</f>
        <v>0</v>
      </c>
      <c r="BE824" s="32" t="str">
        <f>IF(E824=1,IF(Orders!L821&lt;=1.5,"Up to 1.5 km",IF(Orders!L821&lt;=3,"1.5–3 km","Over 3 km")),"")</f>
        <v>Over 3 km</v>
      </c>
      <c r="BF824" s="33">
        <f>IF(E824=1,IF(ABS((Orders!G821-Orders!F821)*1440-Orders!R821)&lt;0.06,1,0),"")</f>
        <v>1</v>
      </c>
      <c r="BG824" s="33">
        <f>IF(ABS((Orders!F821-Orders!E821)*1440-Orders!P821)&lt;0.06,1,0)</f>
        <v>1</v>
      </c>
      <c r="BH824" s="33">
        <f>IF(E824=1,IF(IF(Orders!S821,1,0)=1-G824,1,0),"")</f>
        <v>1</v>
      </c>
      <c r="BI824" s="32" t="str">
        <f>INDEX(Stores!$B$2:$B$21,MATCH(B824,Stores!$A$2:$A$21,0))</f>
        <v>Pune</v>
      </c>
    </row>
    <row r="825">
      <c r="A825" s="32" t="str">
        <f>Orders!A822</f>
        <v>O00821</v>
      </c>
      <c r="B825" s="32" t="str">
        <f>Orders!C822</f>
        <v>S020</v>
      </c>
      <c r="C825" s="32" t="str">
        <f>Orders!B822</f>
        <v>C0198</v>
      </c>
      <c r="D825" s="32" t="str">
        <f>Orders!H822</f>
        <v>Delivered</v>
      </c>
      <c r="E825" s="33">
        <f>IF(Orders!H822="Delivered",1,0)</f>
        <v>1</v>
      </c>
      <c r="F825" s="34">
        <f>IF(E825=1,Orders!R822,"")</f>
        <v>-0.5</v>
      </c>
      <c r="G825" s="33">
        <f>IF(E825=1,IF(Orders!R822&gt;0,1,0),"")</f>
        <v>0</v>
      </c>
      <c r="H825" s="33">
        <f>IF(E825=1,IF(Orders!R822&gt;5,1,0),"")</f>
        <v>0</v>
      </c>
      <c r="I825" s="32" t="str">
        <f>IF(E825=1,"",IF(OR(Orders!T822="Rider unavailable",Orders!T822="Item unavailable"),"Company-caused","Unresolved"))</f>
        <v/>
      </c>
      <c r="J825" s="33">
        <f>IF(OR(E825=1,I825="Company-caused"),1,0)</f>
        <v>1</v>
      </c>
      <c r="K825" s="32" t="str">
        <f>IF(E825=0,IF(I825="Company-caused",IF(Orders!T822="Rider unavailable","C1 Rider unavailable","C2 Item unavailable"),"Outside root: unresolved"),IF(G825=0,"A On time",IF(H825=1,IF(L825=1,"B2a Severe, peak","B2b Severe, off-peak"),IF(L825=1,"B1a Slight, peak","B1b Slight, off-peak"))))</f>
        <v>A On time</v>
      </c>
      <c r="L825" s="33">
        <f>IF(AND(Orders!U822&gt;=19,Orders!U822&lt;22),1,0)</f>
        <v>1</v>
      </c>
      <c r="M825" s="33">
        <f>IF(L825=IF(Orders!V822,1,0),1,0)</f>
        <v>1</v>
      </c>
      <c r="N825" s="32" t="str">
        <f>IF(Orders!W822="","None",Orders!W822)</f>
        <v>Light</v>
      </c>
      <c r="O825" s="35">
        <f>INT(Orders!E822)</f>
        <v>46278.0</v>
      </c>
      <c r="P825" s="33">
        <f>Orders!U822</f>
        <v>19</v>
      </c>
      <c r="Q825" s="33">
        <f>COUNTIFS(Demand!$A$2:$A$4481,B825,Demand!$B$2:$B$4481,O825,Demand!$C$2:$C$4481,P825)</f>
        <v>1</v>
      </c>
      <c r="R825" s="33">
        <f>IF(Q825=1,SUMIFS(Demand!$E$2:$E$4481,Demand!$A$2:$A$4481,B825,Demand!$B$2:$B$4481,O825,Demand!$C$2:$C$4481,P825),"")</f>
        <v>23</v>
      </c>
      <c r="S825" s="33">
        <f>INDEX(Stores!$G$2:$G$21,MATCH(B825,Stores!$A$2:$A$21,0))</f>
        <v>15</v>
      </c>
      <c r="T825" s="34">
        <f>IF(R825="","",R825/S825)</f>
        <v>1.53333333333333</v>
      </c>
      <c r="U825" s="34">
        <f>IF(E825=1,T825,"")</f>
        <v>1.53333333333333</v>
      </c>
      <c r="V825" s="34" t="str">
        <f>IF(AND(E825=1,L825=0),T825,"")</f>
        <v/>
      </c>
      <c r="W825" s="33">
        <f>IF(U825="","",IF(U825&lt;=Breakdowns!$C$5,1,IF(U825&lt;=Breakdowns!$C$6,2,IF(U825&lt;=Breakdowns!$C$7,3,4))))</f>
        <v>4</v>
      </c>
      <c r="X825" s="33" t="str">
        <f>IF(V825="","",IF(V825&lt;=Breakdowns!$D$5,1,IF(V825&lt;=Breakdowns!$D$6,2,IF(V825&lt;=Breakdowns!$D$7,3,4))))</f>
        <v/>
      </c>
      <c r="Y825" s="34">
        <f>INDEX(Stores!$F$2:$F$21,MATCH(B825,Stores!$A$2:$A$21,0))</f>
        <v>5.74</v>
      </c>
      <c r="Z825" s="33">
        <f>IF(Y825&gt;Store_Summary!$M$2,1,0)</f>
        <v>1</v>
      </c>
      <c r="AA825" s="33">
        <f>INDEX(Stores!$C$2:$C$21,MATCH(B825,Stores!$A$2:$A$21,0))</f>
        <v>647</v>
      </c>
      <c r="AB825" s="33">
        <f>IF(AA825&lt;180,1,0)</f>
        <v>0</v>
      </c>
      <c r="AC825" s="32" t="str">
        <f>IF(Orders!D822="","",INDEX(Riders!$C$2:$C$81,MATCH(Orders!D822,Riders!$A$2:$A$81,0)))</f>
        <v>Petrol scooter</v>
      </c>
      <c r="AD825" s="33">
        <f>IF(Orders!D822="","",INDEX(Riders!$D$2:$D$81,MATCH(Orders!D822,Riders!$A$2:$A$81,0)))</f>
        <v>37</v>
      </c>
      <c r="AE825" s="33">
        <f>IF(Orders!D822="","",IF(INDEX(Riders!$B$2:$B$81,MATCH(Orders!D822,Riders!$A$2:$A$81,0))=B825,1,0))</f>
        <v>0</v>
      </c>
      <c r="AF825" s="34">
        <f>IF(E825=1,Orders!L822,"")</f>
        <v>1.5</v>
      </c>
      <c r="AG825" s="34">
        <f>IF(E825=1,Orders!P822,"")</f>
        <v>8.3</v>
      </c>
      <c r="AH825" s="34">
        <f>IF(E825=1,Orders!Q822,"")</f>
        <v>7.8</v>
      </c>
      <c r="AI825" s="34">
        <f>IF(E825=1,Orders!M822,"")</f>
        <v>2.5</v>
      </c>
      <c r="AJ825" s="34">
        <f>IF(E825=1,Orders!N822,"")</f>
        <v>2.8</v>
      </c>
      <c r="AK825" s="34">
        <f>IF(E825=1,Orders!O822,"")</f>
        <v>2.5</v>
      </c>
      <c r="AL825" s="33">
        <f>IF(E825=1,IF(ROUND(ABS(AI825+AJ825+AK825-AH825),6)&lt;=0.1,1,0),"")</f>
        <v>1</v>
      </c>
      <c r="AM825" s="36">
        <f>IF(E825=1,AI825/AH825,"")</f>
        <v>0.320512820512821</v>
      </c>
      <c r="AN825" s="36">
        <f>IF(E825=1,AJ825/AH825,"")</f>
        <v>0.358974358974359</v>
      </c>
      <c r="AO825" s="36">
        <f>IF(E825=1,AK825/AH825,"")</f>
        <v>0.320512820512821</v>
      </c>
      <c r="AP825" s="34">
        <f>IF(E825=1,Orders!Y822,"")</f>
        <v>0.74</v>
      </c>
      <c r="AQ825" s="33">
        <f>IF(Orders!X822,1,0)</f>
        <v>0</v>
      </c>
      <c r="AR825" s="34">
        <f>IF(AND(E825=1,L825=1),AJ825,"")</f>
        <v>2.8</v>
      </c>
      <c r="AS825" s="34" t="str">
        <f>IF(AND(E825=1,L825=0),AJ825,"")</f>
        <v/>
      </c>
      <c r="AT825" s="34">
        <f>IF(AND(E825=1,L825=1),AI825,"")</f>
        <v>2.5</v>
      </c>
      <c r="AU825" s="34" t="str">
        <f>IF(AND(E825=1,L825=0),AI825,"")</f>
        <v/>
      </c>
      <c r="AV825" s="34">
        <f>IF(AND(E825=1,L825=1),AG825,"")</f>
        <v>8.3</v>
      </c>
      <c r="AW825" s="34" t="str">
        <f>IF(AND(E825=1,L825=0),AG825,"")</f>
        <v/>
      </c>
      <c r="AX825" s="34">
        <f>IF(AND(E825=1,L825=1),AH825,"")</f>
        <v>7.8</v>
      </c>
      <c r="AY825" s="34" t="str">
        <f>IF(AND(E825=1,L825=0),AH825,"")</f>
        <v/>
      </c>
      <c r="AZ825" s="34" t="str">
        <f>IF(G825=1,F825,"")</f>
        <v/>
      </c>
      <c r="BA825" s="34" t="str">
        <f>IF(AND(G825=1,L825=1),F825,"")</f>
        <v/>
      </c>
      <c r="BB825" s="34" t="str">
        <f>IF(AND(G825=1,L825=0),F825,"")</f>
        <v/>
      </c>
      <c r="BC825" s="33">
        <f>IF(E825=1,IF(Orders!R822&gt;3,1,0),"")</f>
        <v>0</v>
      </c>
      <c r="BD825" s="33">
        <f>IF(E825=1,IF(Orders!R822&gt;7,1,0),"")</f>
        <v>0</v>
      </c>
      <c r="BE825" s="32" t="str">
        <f>IF(E825=1,IF(Orders!L822&lt;=1.5,"Up to 1.5 km",IF(Orders!L822&lt;=3,"1.5–3 km","Over 3 km")),"")</f>
        <v>Up to 1.5 km</v>
      </c>
      <c r="BF825" s="33">
        <f>IF(E825=1,IF(ABS((Orders!G822-Orders!F822)*1440-Orders!R822)&lt;0.06,1,0),"")</f>
        <v>1</v>
      </c>
      <c r="BG825" s="33">
        <f>IF(ABS((Orders!F822-Orders!E822)*1440-Orders!P822)&lt;0.06,1,0)</f>
        <v>1</v>
      </c>
      <c r="BH825" s="33">
        <f>IF(E825=1,IF(IF(Orders!S822,1,0)=1-G825,1,0),"")</f>
        <v>1</v>
      </c>
      <c r="BI825" s="32" t="str">
        <f>INDEX(Stores!$B$2:$B$21,MATCH(B825,Stores!$A$2:$A$21,0))</f>
        <v>Delhi</v>
      </c>
    </row>
    <row r="826">
      <c r="A826" s="32" t="str">
        <f>Orders!A823</f>
        <v>O00822</v>
      </c>
      <c r="B826" s="32" t="str">
        <f>Orders!C823</f>
        <v>S012</v>
      </c>
      <c r="C826" s="32" t="str">
        <f>Orders!B823</f>
        <v>C0011</v>
      </c>
      <c r="D826" s="32" t="str">
        <f>Orders!H823</f>
        <v>Cancelled</v>
      </c>
      <c r="E826" s="33">
        <f>IF(Orders!H823="Delivered",1,0)</f>
        <v>0</v>
      </c>
      <c r="F826" s="34" t="str">
        <f>IF(E826=1,Orders!R823,"")</f>
        <v/>
      </c>
      <c r="G826" s="33" t="str">
        <f>IF(E826=1,IF(Orders!R823&gt;0,1,0),"")</f>
        <v/>
      </c>
      <c r="H826" s="33" t="str">
        <f>IF(E826=1,IF(Orders!R823&gt;5,1,0),"")</f>
        <v/>
      </c>
      <c r="I826" s="32" t="str">
        <f>IF(E826=1,"",IF(OR(Orders!T823="Rider unavailable",Orders!T823="Item unavailable"),"Company-caused","Unresolved"))</f>
        <v>Company-caused</v>
      </c>
      <c r="J826" s="33">
        <f>IF(OR(E826=1,I826="Company-caused"),1,0)</f>
        <v>1</v>
      </c>
      <c r="K826" s="32" t="str">
        <f>IF(E826=0,IF(I826="Company-caused",IF(Orders!T823="Rider unavailable","C1 Rider unavailable","C2 Item unavailable"),"Outside root: unresolved"),IF(G826=0,"A On time",IF(H826=1,IF(L826=1,"B2a Severe, peak","B2b Severe, off-peak"),IF(L826=1,"B1a Slight, peak","B1b Slight, off-peak"))))</f>
        <v>C2 Item unavailable</v>
      </c>
      <c r="L826" s="33">
        <f>IF(AND(Orders!U823&gt;=19,Orders!U823&lt;22),1,0)</f>
        <v>0</v>
      </c>
      <c r="M826" s="33">
        <f>IF(L826=IF(Orders!V823,1,0),1,0)</f>
        <v>1</v>
      </c>
      <c r="N826" s="32" t="str">
        <f>IF(Orders!W823="","None",Orders!W823)</f>
        <v>Light</v>
      </c>
      <c r="O826" s="35">
        <f>INT(Orders!E823)</f>
        <v>46274.0</v>
      </c>
      <c r="P826" s="33">
        <f>Orders!U823</f>
        <v>12</v>
      </c>
      <c r="Q826" s="33">
        <f>COUNTIFS(Demand!$A$2:$A$4481,B826,Demand!$B$2:$B$4481,O826,Demand!$C$2:$C$4481,P826)</f>
        <v>1</v>
      </c>
      <c r="R826" s="33">
        <f>IF(Q826=1,SUMIFS(Demand!$E$2:$E$4481,Demand!$A$2:$A$4481,B826,Demand!$B$2:$B$4481,O826,Demand!$C$2:$C$4481,P826),"")</f>
        <v>17</v>
      </c>
      <c r="S826" s="33">
        <f>INDEX(Stores!$G$2:$G$21,MATCH(B826,Stores!$A$2:$A$21,0))</f>
        <v>15</v>
      </c>
      <c r="T826" s="34">
        <f>IF(R826="","",R826/S826)</f>
        <v>1.13333333333333</v>
      </c>
      <c r="U826" s="34" t="str">
        <f>IF(E826=1,T826,"")</f>
        <v/>
      </c>
      <c r="V826" s="34" t="str">
        <f>IF(AND(E826=1,L826=0),T826,"")</f>
        <v/>
      </c>
      <c r="W826" s="33" t="str">
        <f>IF(U826="","",IF(U826&lt;=Breakdowns!$C$5,1,IF(U826&lt;=Breakdowns!$C$6,2,IF(U826&lt;=Breakdowns!$C$7,3,4))))</f>
        <v/>
      </c>
      <c r="X826" s="33" t="str">
        <f>IF(V826="","",IF(V826&lt;=Breakdowns!$D$5,1,IF(V826&lt;=Breakdowns!$D$6,2,IF(V826&lt;=Breakdowns!$D$7,3,4))))</f>
        <v/>
      </c>
      <c r="Y826" s="34">
        <f>INDEX(Stores!$F$2:$F$21,MATCH(B826,Stores!$A$2:$A$21,0))</f>
        <v>5.23</v>
      </c>
      <c r="Z826" s="33">
        <f>IF(Y826&gt;Store_Summary!$M$2,1,0)</f>
        <v>1</v>
      </c>
      <c r="AA826" s="33">
        <f>INDEX(Stores!$C$2:$C$21,MATCH(B826,Stores!$A$2:$A$21,0))</f>
        <v>300</v>
      </c>
      <c r="AB826" s="33">
        <f>IF(AA826&lt;180,1,0)</f>
        <v>0</v>
      </c>
      <c r="AC826" s="32" t="str">
        <f>IF(Orders!D823="","",INDEX(Riders!$C$2:$C$81,MATCH(Orders!D823,Riders!$A$2:$A$81,0)))</f>
        <v/>
      </c>
      <c r="AD826" s="33" t="str">
        <f>IF(Orders!D823="","",INDEX(Riders!$D$2:$D$81,MATCH(Orders!D823,Riders!$A$2:$A$81,0)))</f>
        <v/>
      </c>
      <c r="AE826" s="33" t="str">
        <f>IF(Orders!D823="","",IF(INDEX(Riders!$B$2:$B$81,MATCH(Orders!D823,Riders!$A$2:$A$81,0))=B826,1,0))</f>
        <v/>
      </c>
      <c r="AF826" s="34" t="str">
        <f>IF(E826=1,Orders!L823,"")</f>
        <v/>
      </c>
      <c r="AG826" s="34" t="str">
        <f>IF(E826=1,Orders!P823,"")</f>
        <v/>
      </c>
      <c r="AH826" s="34" t="str">
        <f>IF(E826=1,Orders!Q823,"")</f>
        <v/>
      </c>
      <c r="AI826" s="34" t="str">
        <f>IF(E826=1,Orders!M823,"")</f>
        <v/>
      </c>
      <c r="AJ826" s="34" t="str">
        <f>IF(E826=1,Orders!N823,"")</f>
        <v/>
      </c>
      <c r="AK826" s="34" t="str">
        <f>IF(E826=1,Orders!O823,"")</f>
        <v/>
      </c>
      <c r="AL826" s="33" t="str">
        <f>IF(E826=1,IF(ROUND(ABS(AI826+AJ826+AK826-AH826),6)&lt;=0.1,1,0),"")</f>
        <v/>
      </c>
      <c r="AM826" s="36" t="str">
        <f>IF(E826=1,AI826/AH826,"")</f>
        <v/>
      </c>
      <c r="AN826" s="36" t="str">
        <f>IF(E826=1,AJ826/AH826,"")</f>
        <v/>
      </c>
      <c r="AO826" s="36" t="str">
        <f>IF(E826=1,AK826/AH826,"")</f>
        <v/>
      </c>
      <c r="AP826" s="34" t="str">
        <f>IF(E826=1,Orders!Y823,"")</f>
        <v/>
      </c>
      <c r="AQ826" s="33">
        <f>IF(Orders!X823,1,0)</f>
        <v>0</v>
      </c>
      <c r="AR826" s="34" t="str">
        <f>IF(AND(E826=1,L826=1),AJ826,"")</f>
        <v/>
      </c>
      <c r="AS826" s="34" t="str">
        <f>IF(AND(E826=1,L826=0),AJ826,"")</f>
        <v/>
      </c>
      <c r="AT826" s="34" t="str">
        <f>IF(AND(E826=1,L826=1),AI826,"")</f>
        <v/>
      </c>
      <c r="AU826" s="34" t="str">
        <f>IF(AND(E826=1,L826=0),AI826,"")</f>
        <v/>
      </c>
      <c r="AV826" s="34" t="str">
        <f>IF(AND(E826=1,L826=1),AG826,"")</f>
        <v/>
      </c>
      <c r="AW826" s="34" t="str">
        <f>IF(AND(E826=1,L826=0),AG826,"")</f>
        <v/>
      </c>
      <c r="AX826" s="34" t="str">
        <f>IF(AND(E826=1,L826=1),AH826,"")</f>
        <v/>
      </c>
      <c r="AY826" s="34" t="str">
        <f>IF(AND(E826=1,L826=0),AH826,"")</f>
        <v/>
      </c>
      <c r="AZ826" s="34" t="str">
        <f>IF(G826=1,F826,"")</f>
        <v/>
      </c>
      <c r="BA826" s="34" t="str">
        <f>IF(AND(G826=1,L826=1),F826,"")</f>
        <v/>
      </c>
      <c r="BB826" s="34" t="str">
        <f>IF(AND(G826=1,L826=0),F826,"")</f>
        <v/>
      </c>
      <c r="BC826" s="33" t="str">
        <f>IF(E826=1,IF(Orders!R823&gt;3,1,0),"")</f>
        <v/>
      </c>
      <c r="BD826" s="33" t="str">
        <f>IF(E826=1,IF(Orders!R823&gt;7,1,0),"")</f>
        <v/>
      </c>
      <c r="BE826" s="32" t="str">
        <f>IF(E826=1,IF(Orders!L823&lt;=1.5,"Up to 1.5 km",IF(Orders!L823&lt;=3,"1.5–3 km","Over 3 km")),"")</f>
        <v/>
      </c>
      <c r="BF826" s="33" t="str">
        <f>IF(E826=1,IF(ABS((Orders!G823-Orders!F823)*1440-Orders!R823)&lt;0.06,1,0),"")</f>
        <v/>
      </c>
      <c r="BG826" s="33">
        <f>IF(ABS((Orders!F823-Orders!E823)*1440-Orders!P823)&lt;0.06,1,0)</f>
        <v>1</v>
      </c>
      <c r="BH826" s="33" t="str">
        <f>IF(E826=1,IF(IF(Orders!S823,1,0)=1-G826,1,0),"")</f>
        <v/>
      </c>
      <c r="BI826" s="32" t="str">
        <f>INDEX(Stores!$B$2:$B$21,MATCH(B826,Stores!$A$2:$A$21,0))</f>
        <v>Hyderabad</v>
      </c>
    </row>
    <row r="827">
      <c r="A827" s="32" t="str">
        <f>Orders!A824</f>
        <v>O00823</v>
      </c>
      <c r="B827" s="32" t="str">
        <f>Orders!C824</f>
        <v>S006</v>
      </c>
      <c r="C827" s="32" t="str">
        <f>Orders!B824</f>
        <v>C0012</v>
      </c>
      <c r="D827" s="32" t="str">
        <f>Orders!H824</f>
        <v>Delivered</v>
      </c>
      <c r="E827" s="33">
        <f>IF(Orders!H824="Delivered",1,0)</f>
        <v>1</v>
      </c>
      <c r="F827" s="34">
        <f>IF(E827=1,Orders!R824,"")</f>
        <v>-1.2</v>
      </c>
      <c r="G827" s="33">
        <f>IF(E827=1,IF(Orders!R824&gt;0,1,0),"")</f>
        <v>0</v>
      </c>
      <c r="H827" s="33">
        <f>IF(E827=1,IF(Orders!R824&gt;5,1,0),"")</f>
        <v>0</v>
      </c>
      <c r="I827" s="32" t="str">
        <f>IF(E827=1,"",IF(OR(Orders!T824="Rider unavailable",Orders!T824="Item unavailable"),"Company-caused","Unresolved"))</f>
        <v/>
      </c>
      <c r="J827" s="33">
        <f>IF(OR(E827=1,I827="Company-caused"),1,0)</f>
        <v>1</v>
      </c>
      <c r="K827" s="32" t="str">
        <f>IF(E827=0,IF(I827="Company-caused",IF(Orders!T824="Rider unavailable","C1 Rider unavailable","C2 Item unavailable"),"Outside root: unresolved"),IF(G827=0,"A On time",IF(H827=1,IF(L827=1,"B2a Severe, peak","B2b Severe, off-peak"),IF(L827=1,"B1a Slight, peak","B1b Slight, off-peak"))))</f>
        <v>A On time</v>
      </c>
      <c r="L827" s="33">
        <f>IF(AND(Orders!U824&gt;=19,Orders!U824&lt;22),1,0)</f>
        <v>0</v>
      </c>
      <c r="M827" s="33">
        <f>IF(L827=IF(Orders!V824,1,0),1,0)</f>
        <v>1</v>
      </c>
      <c r="N827" s="32" t="str">
        <f>IF(Orders!W824="","None",Orders!W824)</f>
        <v>Light</v>
      </c>
      <c r="O827" s="35">
        <f>INT(Orders!E824)</f>
        <v>46275.0</v>
      </c>
      <c r="P827" s="33">
        <f>Orders!U824</f>
        <v>23</v>
      </c>
      <c r="Q827" s="33">
        <f>COUNTIFS(Demand!$A$2:$A$4481,B827,Demand!$B$2:$B$4481,O827,Demand!$C$2:$C$4481,P827)</f>
        <v>1</v>
      </c>
      <c r="R827" s="33">
        <f>IF(Q827=1,SUMIFS(Demand!$E$2:$E$4481,Demand!$A$2:$A$4481,B827,Demand!$B$2:$B$4481,O827,Demand!$C$2:$C$4481,P827),"")</f>
        <v>29</v>
      </c>
      <c r="S827" s="33">
        <f>INDEX(Stores!$G$2:$G$21,MATCH(B827,Stores!$A$2:$A$21,0))</f>
        <v>26</v>
      </c>
      <c r="T827" s="34">
        <f>IF(R827="","",R827/S827)</f>
        <v>1.11538461538462</v>
      </c>
      <c r="U827" s="34">
        <f>IF(E827=1,T827,"")</f>
        <v>1.11538461538462</v>
      </c>
      <c r="V827" s="34">
        <f>IF(AND(E827=1,L827=0),T827,"")</f>
        <v>1.11538461538462</v>
      </c>
      <c r="W827" s="33">
        <f>IF(U827="","",IF(U827&lt;=Breakdowns!$C$5,1,IF(U827&lt;=Breakdowns!$C$6,2,IF(U827&lt;=Breakdowns!$C$7,3,4))))</f>
        <v>3</v>
      </c>
      <c r="X827" s="33">
        <f>IF(V827="","",IF(V827&lt;=Breakdowns!$D$5,1,IF(V827&lt;=Breakdowns!$D$6,2,IF(V827&lt;=Breakdowns!$D$7,3,4))))</f>
        <v>4</v>
      </c>
      <c r="Y827" s="34">
        <f>INDEX(Stores!$F$2:$F$21,MATCH(B827,Stores!$A$2:$A$21,0))</f>
        <v>5.22</v>
      </c>
      <c r="Z827" s="33">
        <f>IF(Y827&gt;Store_Summary!$M$2,1,0)</f>
        <v>1</v>
      </c>
      <c r="AA827" s="33">
        <f>INDEX(Stores!$C$2:$C$21,MATCH(B827,Stores!$A$2:$A$21,0))</f>
        <v>412</v>
      </c>
      <c r="AB827" s="33">
        <f>IF(AA827&lt;180,1,0)</f>
        <v>0</v>
      </c>
      <c r="AC827" s="32" t="str">
        <f>IF(Orders!D824="","",INDEX(Riders!$C$2:$C$81,MATCH(Orders!D824,Riders!$A$2:$A$81,0)))</f>
        <v>Petrol scooter</v>
      </c>
      <c r="AD827" s="33">
        <f>IF(Orders!D824="","",INDEX(Riders!$D$2:$D$81,MATCH(Orders!D824,Riders!$A$2:$A$81,0)))</f>
        <v>13</v>
      </c>
      <c r="AE827" s="33">
        <f>IF(Orders!D824="","",IF(INDEX(Riders!$B$2:$B$81,MATCH(Orders!D824,Riders!$A$2:$A$81,0))=B827,1,0))</f>
        <v>0</v>
      </c>
      <c r="AF827" s="34">
        <f>IF(E827=1,Orders!L824,"")</f>
        <v>1.3</v>
      </c>
      <c r="AG827" s="34">
        <f>IF(E827=1,Orders!P824,"")</f>
        <v>10.3</v>
      </c>
      <c r="AH827" s="34">
        <f>IF(E827=1,Orders!Q824,"")</f>
        <v>9.1</v>
      </c>
      <c r="AI827" s="34">
        <f>IF(E827=1,Orders!M824,"")</f>
        <v>2.6</v>
      </c>
      <c r="AJ827" s="34">
        <f>IF(E827=1,Orders!N824,"")</f>
        <v>3.6</v>
      </c>
      <c r="AK827" s="34">
        <f>IF(E827=1,Orders!O824,"")</f>
        <v>2.9</v>
      </c>
      <c r="AL827" s="33">
        <f>IF(E827=1,IF(ROUND(ABS(AI827+AJ827+AK827-AH827),6)&lt;=0.1,1,0),"")</f>
        <v>1</v>
      </c>
      <c r="AM827" s="36">
        <f>IF(E827=1,AI827/AH827,"")</f>
        <v>0.285714285714286</v>
      </c>
      <c r="AN827" s="36">
        <f>IF(E827=1,AJ827/AH827,"")</f>
        <v>0.395604395604396</v>
      </c>
      <c r="AO827" s="36">
        <f>IF(E827=1,AK827/AH827,"")</f>
        <v>0.318681318681319</v>
      </c>
      <c r="AP827" s="34">
        <f>IF(E827=1,Orders!Y824,"")</f>
        <v>0.34</v>
      </c>
      <c r="AQ827" s="33">
        <f>IF(Orders!X824,1,0)</f>
        <v>0</v>
      </c>
      <c r="AR827" s="34" t="str">
        <f>IF(AND(E827=1,L827=1),AJ827,"")</f>
        <v/>
      </c>
      <c r="AS827" s="34">
        <f>IF(AND(E827=1,L827=0),AJ827,"")</f>
        <v>3.6</v>
      </c>
      <c r="AT827" s="34" t="str">
        <f>IF(AND(E827=1,L827=1),AI827,"")</f>
        <v/>
      </c>
      <c r="AU827" s="34">
        <f>IF(AND(E827=1,L827=0),AI827,"")</f>
        <v>2.6</v>
      </c>
      <c r="AV827" s="34" t="str">
        <f>IF(AND(E827=1,L827=1),AG827,"")</f>
        <v/>
      </c>
      <c r="AW827" s="34">
        <f>IF(AND(E827=1,L827=0),AG827,"")</f>
        <v>10.3</v>
      </c>
      <c r="AX827" s="34" t="str">
        <f>IF(AND(E827=1,L827=1),AH827,"")</f>
        <v/>
      </c>
      <c r="AY827" s="34">
        <f>IF(AND(E827=1,L827=0),AH827,"")</f>
        <v>9.1</v>
      </c>
      <c r="AZ827" s="34" t="str">
        <f>IF(G827=1,F827,"")</f>
        <v/>
      </c>
      <c r="BA827" s="34" t="str">
        <f>IF(AND(G827=1,L827=1),F827,"")</f>
        <v/>
      </c>
      <c r="BB827" s="34" t="str">
        <f>IF(AND(G827=1,L827=0),F827,"")</f>
        <v/>
      </c>
      <c r="BC827" s="33">
        <f>IF(E827=1,IF(Orders!R824&gt;3,1,0),"")</f>
        <v>0</v>
      </c>
      <c r="BD827" s="33">
        <f>IF(E827=1,IF(Orders!R824&gt;7,1,0),"")</f>
        <v>0</v>
      </c>
      <c r="BE827" s="32" t="str">
        <f>IF(E827=1,IF(Orders!L824&lt;=1.5,"Up to 1.5 km",IF(Orders!L824&lt;=3,"1.5–3 km","Over 3 km")),"")</f>
        <v>Up to 1.5 km</v>
      </c>
      <c r="BF827" s="33">
        <f>IF(E827=1,IF(ABS((Orders!G824-Orders!F824)*1440-Orders!R824)&lt;0.06,1,0),"")</f>
        <v>1</v>
      </c>
      <c r="BG827" s="33">
        <f>IF(ABS((Orders!F824-Orders!E824)*1440-Orders!P824)&lt;0.06,1,0)</f>
        <v>1</v>
      </c>
      <c r="BH827" s="33">
        <f>IF(E827=1,IF(IF(Orders!S824,1,0)=1-G827,1,0),"")</f>
        <v>1</v>
      </c>
      <c r="BI827" s="32" t="str">
        <f>INDEX(Stores!$B$2:$B$21,MATCH(B827,Stores!$A$2:$A$21,0))</f>
        <v>Bengaluru</v>
      </c>
    </row>
    <row r="828">
      <c r="A828" s="32" t="str">
        <f>Orders!A825</f>
        <v>O00824</v>
      </c>
      <c r="B828" s="32" t="str">
        <f>Orders!C825</f>
        <v>S001</v>
      </c>
      <c r="C828" s="32" t="str">
        <f>Orders!B825</f>
        <v>C0041</v>
      </c>
      <c r="D828" s="32" t="str">
        <f>Orders!H825</f>
        <v>Delivered</v>
      </c>
      <c r="E828" s="33">
        <f>IF(Orders!H825="Delivered",1,0)</f>
        <v>1</v>
      </c>
      <c r="F828" s="34">
        <f>IF(E828=1,Orders!R825,"")</f>
        <v>-0.6</v>
      </c>
      <c r="G828" s="33">
        <f>IF(E828=1,IF(Orders!R825&gt;0,1,0),"")</f>
        <v>0</v>
      </c>
      <c r="H828" s="33">
        <f>IF(E828=1,IF(Orders!R825&gt;5,1,0),"")</f>
        <v>0</v>
      </c>
      <c r="I828" s="32" t="str">
        <f>IF(E828=1,"",IF(OR(Orders!T825="Rider unavailable",Orders!T825="Item unavailable"),"Company-caused","Unresolved"))</f>
        <v/>
      </c>
      <c r="J828" s="33">
        <f>IF(OR(E828=1,I828="Company-caused"),1,0)</f>
        <v>1</v>
      </c>
      <c r="K828" s="32" t="str">
        <f>IF(E828=0,IF(I828="Company-caused",IF(Orders!T825="Rider unavailable","C1 Rider unavailable","C2 Item unavailable"),"Outside root: unresolved"),IF(G828=0,"A On time",IF(H828=1,IF(L828=1,"B2a Severe, peak","B2b Severe, off-peak"),IF(L828=1,"B1a Slight, peak","B1b Slight, off-peak"))))</f>
        <v>A On time</v>
      </c>
      <c r="L828" s="33">
        <f>IF(AND(Orders!U825&gt;=19,Orders!U825&lt;22),1,0)</f>
        <v>0</v>
      </c>
      <c r="M828" s="33">
        <f>IF(L828=IF(Orders!V825,1,0),1,0)</f>
        <v>1</v>
      </c>
      <c r="N828" s="32" t="str">
        <f>IF(Orders!W825="","None",Orders!W825)</f>
        <v>None</v>
      </c>
      <c r="O828" s="35">
        <f>INT(Orders!E825)</f>
        <v>46268.0</v>
      </c>
      <c r="P828" s="33">
        <f>Orders!U825</f>
        <v>18</v>
      </c>
      <c r="Q828" s="33">
        <f>COUNTIFS(Demand!$A$2:$A$4481,B828,Demand!$B$2:$B$4481,O828,Demand!$C$2:$C$4481,P828)</f>
        <v>1</v>
      </c>
      <c r="R828" s="33">
        <f>IF(Q828=1,SUMIFS(Demand!$E$2:$E$4481,Demand!$A$2:$A$4481,B828,Demand!$B$2:$B$4481,O828,Demand!$C$2:$C$4481,P828),"")</f>
        <v>15</v>
      </c>
      <c r="S828" s="33">
        <f>INDEX(Stores!$G$2:$G$21,MATCH(B828,Stores!$A$2:$A$21,0))</f>
        <v>16</v>
      </c>
      <c r="T828" s="34">
        <f>IF(R828="","",R828/S828)</f>
        <v>0.9375</v>
      </c>
      <c r="U828" s="34">
        <f>IF(E828=1,T828,"")</f>
        <v>0.9375</v>
      </c>
      <c r="V828" s="34">
        <f>IF(AND(E828=1,L828=0),T828,"")</f>
        <v>0.9375</v>
      </c>
      <c r="W828" s="33">
        <f>IF(U828="","",IF(U828&lt;=Breakdowns!$C$5,1,IF(U828&lt;=Breakdowns!$C$6,2,IF(U828&lt;=Breakdowns!$C$7,3,4))))</f>
        <v>2</v>
      </c>
      <c r="X828" s="33">
        <f>IF(V828="","",IF(V828&lt;=Breakdowns!$D$5,1,IF(V828&lt;=Breakdowns!$D$6,2,IF(V828&lt;=Breakdowns!$D$7,3,4))))</f>
        <v>3</v>
      </c>
      <c r="Y828" s="34">
        <f>INDEX(Stores!$F$2:$F$21,MATCH(B828,Stores!$A$2:$A$21,0))</f>
        <v>4.59</v>
      </c>
      <c r="Z828" s="33">
        <f>IF(Y828&gt;Store_Summary!$M$2,1,0)</f>
        <v>0</v>
      </c>
      <c r="AA828" s="33">
        <f>INDEX(Stores!$C$2:$C$21,MATCH(B828,Stores!$A$2:$A$21,0))</f>
        <v>362</v>
      </c>
      <c r="AB828" s="33">
        <f>IF(AA828&lt;180,1,0)</f>
        <v>0</v>
      </c>
      <c r="AC828" s="32" t="str">
        <f>IF(Orders!D825="","",INDEX(Riders!$C$2:$C$81,MATCH(Orders!D825,Riders!$A$2:$A$81,0)))</f>
        <v>EV scooter</v>
      </c>
      <c r="AD828" s="33">
        <f>IF(Orders!D825="","",INDEX(Riders!$D$2:$D$81,MATCH(Orders!D825,Riders!$A$2:$A$81,0)))</f>
        <v>38</v>
      </c>
      <c r="AE828" s="33">
        <f>IF(Orders!D825="","",IF(INDEX(Riders!$B$2:$B$81,MATCH(Orders!D825,Riders!$A$2:$A$81,0))=B828,1,0))</f>
        <v>0</v>
      </c>
      <c r="AF828" s="34">
        <f>IF(E828=1,Orders!L825,"")</f>
        <v>1.6</v>
      </c>
      <c r="AG828" s="34">
        <f>IF(E828=1,Orders!P825,"")</f>
        <v>10.9</v>
      </c>
      <c r="AH828" s="34">
        <f>IF(E828=1,Orders!Q825,"")</f>
        <v>10.3</v>
      </c>
      <c r="AI828" s="34">
        <f>IF(E828=1,Orders!M825,"")</f>
        <v>2.6</v>
      </c>
      <c r="AJ828" s="34">
        <f>IF(E828=1,Orders!N825,"")</f>
        <v>5.6</v>
      </c>
      <c r="AK828" s="34">
        <f>IF(E828=1,Orders!O825,"")</f>
        <v>2.1</v>
      </c>
      <c r="AL828" s="33">
        <f>IF(E828=1,IF(ROUND(ABS(AI828+AJ828+AK828-AH828),6)&lt;=0.1,1,0),"")</f>
        <v>1</v>
      </c>
      <c r="AM828" s="36">
        <f>IF(E828=1,AI828/AH828,"")</f>
        <v>0.252427184466019</v>
      </c>
      <c r="AN828" s="36">
        <f>IF(E828=1,AJ828/AH828,"")</f>
        <v>0.54368932038835</v>
      </c>
      <c r="AO828" s="36">
        <f>IF(E828=1,AK828/AH828,"")</f>
        <v>0.203883495145631</v>
      </c>
      <c r="AP828" s="34">
        <f>IF(E828=1,Orders!Y825,"")</f>
        <v>0.39</v>
      </c>
      <c r="AQ828" s="33">
        <f>IF(Orders!X825,1,0)</f>
        <v>0</v>
      </c>
      <c r="AR828" s="34" t="str">
        <f>IF(AND(E828=1,L828=1),AJ828,"")</f>
        <v/>
      </c>
      <c r="AS828" s="34">
        <f>IF(AND(E828=1,L828=0),AJ828,"")</f>
        <v>5.6</v>
      </c>
      <c r="AT828" s="34" t="str">
        <f>IF(AND(E828=1,L828=1),AI828,"")</f>
        <v/>
      </c>
      <c r="AU828" s="34">
        <f>IF(AND(E828=1,L828=0),AI828,"")</f>
        <v>2.6</v>
      </c>
      <c r="AV828" s="34" t="str">
        <f>IF(AND(E828=1,L828=1),AG828,"")</f>
        <v/>
      </c>
      <c r="AW828" s="34">
        <f>IF(AND(E828=1,L828=0),AG828,"")</f>
        <v>10.9</v>
      </c>
      <c r="AX828" s="34" t="str">
        <f>IF(AND(E828=1,L828=1),AH828,"")</f>
        <v/>
      </c>
      <c r="AY828" s="34">
        <f>IF(AND(E828=1,L828=0),AH828,"")</f>
        <v>10.3</v>
      </c>
      <c r="AZ828" s="34" t="str">
        <f>IF(G828=1,F828,"")</f>
        <v/>
      </c>
      <c r="BA828" s="34" t="str">
        <f>IF(AND(G828=1,L828=1),F828,"")</f>
        <v/>
      </c>
      <c r="BB828" s="34" t="str">
        <f>IF(AND(G828=1,L828=0),F828,"")</f>
        <v/>
      </c>
      <c r="BC828" s="33">
        <f>IF(E828=1,IF(Orders!R825&gt;3,1,0),"")</f>
        <v>0</v>
      </c>
      <c r="BD828" s="33">
        <f>IF(E828=1,IF(Orders!R825&gt;7,1,0),"")</f>
        <v>0</v>
      </c>
      <c r="BE828" s="32" t="str">
        <f>IF(E828=1,IF(Orders!L825&lt;=1.5,"Up to 1.5 km",IF(Orders!L825&lt;=3,"1.5–3 km","Over 3 km")),"")</f>
        <v>1.5–3 km</v>
      </c>
      <c r="BF828" s="33">
        <f>IF(E828=1,IF(ABS((Orders!G825-Orders!F825)*1440-Orders!R825)&lt;0.06,1,0),"")</f>
        <v>1</v>
      </c>
      <c r="BG828" s="33">
        <f>IF(ABS((Orders!F825-Orders!E825)*1440-Orders!P825)&lt;0.06,1,0)</f>
        <v>1</v>
      </c>
      <c r="BH828" s="33">
        <f>IF(E828=1,IF(IF(Orders!S825,1,0)=1-G828,1,0),"")</f>
        <v>1</v>
      </c>
      <c r="BI828" s="32" t="str">
        <f>INDEX(Stores!$B$2:$B$21,MATCH(B828,Stores!$A$2:$A$21,0))</f>
        <v>Bengaluru</v>
      </c>
    </row>
    <row r="829">
      <c r="A829" s="32" t="str">
        <f>Orders!A826</f>
        <v>O00825</v>
      </c>
      <c r="B829" s="32" t="str">
        <f>Orders!C826</f>
        <v>S011</v>
      </c>
      <c r="C829" s="32" t="str">
        <f>Orders!B826</f>
        <v>C0008</v>
      </c>
      <c r="D829" s="32" t="str">
        <f>Orders!H826</f>
        <v>Delivered</v>
      </c>
      <c r="E829" s="33">
        <f>IF(Orders!H826="Delivered",1,0)</f>
        <v>1</v>
      </c>
      <c r="F829" s="34">
        <f>IF(E829=1,Orders!R826,"")</f>
        <v>8.9</v>
      </c>
      <c r="G829" s="33">
        <f>IF(E829=1,IF(Orders!R826&gt;0,1,0),"")</f>
        <v>1</v>
      </c>
      <c r="H829" s="33">
        <f>IF(E829=1,IF(Orders!R826&gt;5,1,0),"")</f>
        <v>1</v>
      </c>
      <c r="I829" s="32" t="str">
        <f>IF(E829=1,"",IF(OR(Orders!T826="Rider unavailable",Orders!T826="Item unavailable"),"Company-caused","Unresolved"))</f>
        <v/>
      </c>
      <c r="J829" s="33">
        <f>IF(OR(E829=1,I829="Company-caused"),1,0)</f>
        <v>1</v>
      </c>
      <c r="K829" s="32" t="str">
        <f>IF(E829=0,IF(I829="Company-caused",IF(Orders!T826="Rider unavailable","C1 Rider unavailable","C2 Item unavailable"),"Outside root: unresolved"),IF(G829=0,"A On time",IF(H829=1,IF(L829=1,"B2a Severe, peak","B2b Severe, off-peak"),IF(L829=1,"B1a Slight, peak","B1b Slight, off-peak"))))</f>
        <v>B2b Severe, off-peak</v>
      </c>
      <c r="L829" s="33">
        <f>IF(AND(Orders!U826&gt;=19,Orders!U826&lt;22),1,0)</f>
        <v>0</v>
      </c>
      <c r="M829" s="33">
        <f>IF(L829=IF(Orders!V826,1,0),1,0)</f>
        <v>1</v>
      </c>
      <c r="N829" s="32" t="str">
        <f>IF(Orders!W826="","None",Orders!W826)</f>
        <v>None</v>
      </c>
      <c r="O829" s="35">
        <f>INT(Orders!E826)</f>
        <v>46277.0</v>
      </c>
      <c r="P829" s="33">
        <f>Orders!U826</f>
        <v>13</v>
      </c>
      <c r="Q829" s="33">
        <f>COUNTIFS(Demand!$A$2:$A$4481,B829,Demand!$B$2:$B$4481,O829,Demand!$C$2:$C$4481,P829)</f>
        <v>1</v>
      </c>
      <c r="R829" s="33">
        <f>IF(Q829=1,SUMIFS(Demand!$E$2:$E$4481,Demand!$A$2:$A$4481,B829,Demand!$B$2:$B$4481,O829,Demand!$C$2:$C$4481,P829),"")</f>
        <v>40</v>
      </c>
      <c r="S829" s="33">
        <f>INDEX(Stores!$G$2:$G$21,MATCH(B829,Stores!$A$2:$A$21,0))</f>
        <v>31</v>
      </c>
      <c r="T829" s="34">
        <f>IF(R829="","",R829/S829)</f>
        <v>1.29032258064516</v>
      </c>
      <c r="U829" s="34">
        <f>IF(E829=1,T829,"")</f>
        <v>1.29032258064516</v>
      </c>
      <c r="V829" s="34">
        <f>IF(AND(E829=1,L829=0),T829,"")</f>
        <v>1.29032258064516</v>
      </c>
      <c r="W829" s="33">
        <f>IF(U829="","",IF(U829&lt;=Breakdowns!$C$5,1,IF(U829&lt;=Breakdowns!$C$6,2,IF(U829&lt;=Breakdowns!$C$7,3,4))))</f>
        <v>4</v>
      </c>
      <c r="X829" s="33">
        <f>IF(V829="","",IF(V829&lt;=Breakdowns!$D$5,1,IF(V829&lt;=Breakdowns!$D$6,2,IF(V829&lt;=Breakdowns!$D$7,3,4))))</f>
        <v>4</v>
      </c>
      <c r="Y829" s="34">
        <f>INDEX(Stores!$F$2:$F$21,MATCH(B829,Stores!$A$2:$A$21,0))</f>
        <v>5.67</v>
      </c>
      <c r="Z829" s="33">
        <f>IF(Y829&gt;Store_Summary!$M$2,1,0)</f>
        <v>1</v>
      </c>
      <c r="AA829" s="33">
        <f>INDEX(Stores!$C$2:$C$21,MATCH(B829,Stores!$A$2:$A$21,0))</f>
        <v>732</v>
      </c>
      <c r="AB829" s="33">
        <f>IF(AA829&lt;180,1,0)</f>
        <v>0</v>
      </c>
      <c r="AC829" s="32" t="str">
        <f>IF(Orders!D826="","",INDEX(Riders!$C$2:$C$81,MATCH(Orders!D826,Riders!$A$2:$A$81,0)))</f>
        <v>Petrol scooter</v>
      </c>
      <c r="AD829" s="33">
        <f>IF(Orders!D826="","",INDEX(Riders!$D$2:$D$81,MATCH(Orders!D826,Riders!$A$2:$A$81,0)))</f>
        <v>37</v>
      </c>
      <c r="AE829" s="33">
        <f>IF(Orders!D826="","",IF(INDEX(Riders!$B$2:$B$81,MATCH(Orders!D826,Riders!$A$2:$A$81,0))=B829,1,0))</f>
        <v>0</v>
      </c>
      <c r="AF829" s="34">
        <f>IF(E829=1,Orders!L826,"")</f>
        <v>3.3</v>
      </c>
      <c r="AG829" s="34">
        <f>IF(E829=1,Orders!P826,"")</f>
        <v>12.1</v>
      </c>
      <c r="AH829" s="34">
        <f>IF(E829=1,Orders!Q826,"")</f>
        <v>21</v>
      </c>
      <c r="AI829" s="34">
        <f>IF(E829=1,Orders!M826,"")</f>
        <v>6.8</v>
      </c>
      <c r="AJ829" s="34">
        <f>IF(E829=1,Orders!N826,"")</f>
        <v>3.9</v>
      </c>
      <c r="AK829" s="34">
        <f>IF(E829=1,Orders!O826,"")</f>
        <v>10.3</v>
      </c>
      <c r="AL829" s="33">
        <f>IF(E829=1,IF(ROUND(ABS(AI829+AJ829+AK829-AH829),6)&lt;=0.1,1,0),"")</f>
        <v>1</v>
      </c>
      <c r="AM829" s="36">
        <f>IF(E829=1,AI829/AH829,"")</f>
        <v>0.323809523809524</v>
      </c>
      <c r="AN829" s="36">
        <f>IF(E829=1,AJ829/AH829,"")</f>
        <v>0.185714285714286</v>
      </c>
      <c r="AO829" s="36">
        <f>IF(E829=1,AK829/AH829,"")</f>
        <v>0.490476190476191</v>
      </c>
      <c r="AP829" s="34">
        <f>IF(E829=1,Orders!Y826,"")</f>
        <v>0.7</v>
      </c>
      <c r="AQ829" s="33">
        <f>IF(Orders!X826,1,0)</f>
        <v>0</v>
      </c>
      <c r="AR829" s="34" t="str">
        <f>IF(AND(E829=1,L829=1),AJ829,"")</f>
        <v/>
      </c>
      <c r="AS829" s="34">
        <f>IF(AND(E829=1,L829=0),AJ829,"")</f>
        <v>3.9</v>
      </c>
      <c r="AT829" s="34" t="str">
        <f>IF(AND(E829=1,L829=1),AI829,"")</f>
        <v/>
      </c>
      <c r="AU829" s="34">
        <f>IF(AND(E829=1,L829=0),AI829,"")</f>
        <v>6.8</v>
      </c>
      <c r="AV829" s="34" t="str">
        <f>IF(AND(E829=1,L829=1),AG829,"")</f>
        <v/>
      </c>
      <c r="AW829" s="34">
        <f>IF(AND(E829=1,L829=0),AG829,"")</f>
        <v>12.1</v>
      </c>
      <c r="AX829" s="34" t="str">
        <f>IF(AND(E829=1,L829=1),AH829,"")</f>
        <v/>
      </c>
      <c r="AY829" s="34">
        <f>IF(AND(E829=1,L829=0),AH829,"")</f>
        <v>21</v>
      </c>
      <c r="AZ829" s="34">
        <f>IF(G829=1,F829,"")</f>
        <v>8.9</v>
      </c>
      <c r="BA829" s="34" t="str">
        <f>IF(AND(G829=1,L829=1),F829,"")</f>
        <v/>
      </c>
      <c r="BB829" s="34">
        <f>IF(AND(G829=1,L829=0),F829,"")</f>
        <v>8.9</v>
      </c>
      <c r="BC829" s="33">
        <f>IF(E829=1,IF(Orders!R826&gt;3,1,0),"")</f>
        <v>1</v>
      </c>
      <c r="BD829" s="33">
        <f>IF(E829=1,IF(Orders!R826&gt;7,1,0),"")</f>
        <v>1</v>
      </c>
      <c r="BE829" s="32" t="str">
        <f>IF(E829=1,IF(Orders!L826&lt;=1.5,"Up to 1.5 km",IF(Orders!L826&lt;=3,"1.5–3 km","Over 3 km")),"")</f>
        <v>Over 3 km</v>
      </c>
      <c r="BF829" s="33">
        <f>IF(E829=1,IF(ABS((Orders!G826-Orders!F826)*1440-Orders!R826)&lt;0.06,1,0),"")</f>
        <v>1</v>
      </c>
      <c r="BG829" s="33">
        <f>IF(ABS((Orders!F826-Orders!E826)*1440-Orders!P826)&lt;0.06,1,0)</f>
        <v>1</v>
      </c>
      <c r="BH829" s="33">
        <f>IF(E829=1,IF(IF(Orders!S826,1,0)=1-G829,1,0),"")</f>
        <v>1</v>
      </c>
      <c r="BI829" s="32" t="str">
        <f>INDEX(Stores!$B$2:$B$21,MATCH(B829,Stores!$A$2:$A$21,0))</f>
        <v>Bengaluru</v>
      </c>
    </row>
    <row r="830">
      <c r="A830" s="32" t="str">
        <f>Orders!A827</f>
        <v>O00826</v>
      </c>
      <c r="B830" s="32" t="str">
        <f>Orders!C827</f>
        <v>S004</v>
      </c>
      <c r="C830" s="32" t="str">
        <f>Orders!B827</f>
        <v>C0025</v>
      </c>
      <c r="D830" s="32" t="str">
        <f>Orders!H827</f>
        <v>Delivered</v>
      </c>
      <c r="E830" s="33">
        <f>IF(Orders!H827="Delivered",1,0)</f>
        <v>1</v>
      </c>
      <c r="F830" s="34">
        <f>IF(E830=1,Orders!R827,"")</f>
        <v>-1</v>
      </c>
      <c r="G830" s="33">
        <f>IF(E830=1,IF(Orders!R827&gt;0,1,0),"")</f>
        <v>0</v>
      </c>
      <c r="H830" s="33">
        <f>IF(E830=1,IF(Orders!R827&gt;5,1,0),"")</f>
        <v>0</v>
      </c>
      <c r="I830" s="32" t="str">
        <f>IF(E830=1,"",IF(OR(Orders!T827="Rider unavailable",Orders!T827="Item unavailable"),"Company-caused","Unresolved"))</f>
        <v/>
      </c>
      <c r="J830" s="33">
        <f>IF(OR(E830=1,I830="Company-caused"),1,0)</f>
        <v>1</v>
      </c>
      <c r="K830" s="32" t="str">
        <f>IF(E830=0,IF(I830="Company-caused",IF(Orders!T827="Rider unavailable","C1 Rider unavailable","C2 Item unavailable"),"Outside root: unresolved"),IF(G830=0,"A On time",IF(H830=1,IF(L830=1,"B2a Severe, peak","B2b Severe, off-peak"),IF(L830=1,"B1a Slight, peak","B1b Slight, off-peak"))))</f>
        <v>A On time</v>
      </c>
      <c r="L830" s="33">
        <f>IF(AND(Orders!U827&gt;=19,Orders!U827&lt;22),1,0)</f>
        <v>1</v>
      </c>
      <c r="M830" s="33">
        <f>IF(L830=IF(Orders!V827,1,0),1,0)</f>
        <v>1</v>
      </c>
      <c r="N830" s="32" t="str">
        <f>IF(Orders!W827="","None",Orders!W827)</f>
        <v>Light</v>
      </c>
      <c r="O830" s="35">
        <f>INT(Orders!E827)</f>
        <v>46278.0</v>
      </c>
      <c r="P830" s="33">
        <f>Orders!U827</f>
        <v>21</v>
      </c>
      <c r="Q830" s="33">
        <f>COUNTIFS(Demand!$A$2:$A$4481,B830,Demand!$B$2:$B$4481,O830,Demand!$C$2:$C$4481,P830)</f>
        <v>1</v>
      </c>
      <c r="R830" s="33">
        <f>IF(Q830=1,SUMIFS(Demand!$E$2:$E$4481,Demand!$A$2:$A$4481,B830,Demand!$B$2:$B$4481,O830,Demand!$C$2:$C$4481,P830),"")</f>
        <v>78</v>
      </c>
      <c r="S830" s="33">
        <f>INDEX(Stores!$G$2:$G$21,MATCH(B830,Stores!$A$2:$A$21,0))</f>
        <v>42</v>
      </c>
      <c r="T830" s="34">
        <f>IF(R830="","",R830/S830)</f>
        <v>1.85714285714286</v>
      </c>
      <c r="U830" s="34">
        <f>IF(E830=1,T830,"")</f>
        <v>1.85714285714286</v>
      </c>
      <c r="V830" s="34" t="str">
        <f>IF(AND(E830=1,L830=0),T830,"")</f>
        <v/>
      </c>
      <c r="W830" s="33">
        <f>IF(U830="","",IF(U830&lt;=Breakdowns!$C$5,1,IF(U830&lt;=Breakdowns!$C$6,2,IF(U830&lt;=Breakdowns!$C$7,3,4))))</f>
        <v>4</v>
      </c>
      <c r="X830" s="33" t="str">
        <f>IF(V830="","",IF(V830&lt;=Breakdowns!$D$5,1,IF(V830&lt;=Breakdowns!$D$6,2,IF(V830&lt;=Breakdowns!$D$7,3,4))))</f>
        <v/>
      </c>
      <c r="Y830" s="34">
        <f>INDEX(Stores!$F$2:$F$21,MATCH(B830,Stores!$A$2:$A$21,0))</f>
        <v>2.19</v>
      </c>
      <c r="Z830" s="33">
        <f>IF(Y830&gt;Store_Summary!$M$2,1,0)</f>
        <v>0</v>
      </c>
      <c r="AA830" s="33">
        <f>INDEX(Stores!$C$2:$C$21,MATCH(B830,Stores!$A$2:$A$21,0))</f>
        <v>850</v>
      </c>
      <c r="AB830" s="33">
        <f>IF(AA830&lt;180,1,0)</f>
        <v>0</v>
      </c>
      <c r="AC830" s="32" t="str">
        <f>IF(Orders!D827="","",INDEX(Riders!$C$2:$C$81,MATCH(Orders!D827,Riders!$A$2:$A$81,0)))</f>
        <v>Petrol scooter</v>
      </c>
      <c r="AD830" s="33">
        <f>IF(Orders!D827="","",INDEX(Riders!$D$2:$D$81,MATCH(Orders!D827,Riders!$A$2:$A$81,0)))</f>
        <v>48</v>
      </c>
      <c r="AE830" s="33">
        <f>IF(Orders!D827="","",IF(INDEX(Riders!$B$2:$B$81,MATCH(Orders!D827,Riders!$A$2:$A$81,0))=B830,1,0))</f>
        <v>0</v>
      </c>
      <c r="AF830" s="34">
        <f>IF(E830=1,Orders!L827,"")</f>
        <v>3.3</v>
      </c>
      <c r="AG830" s="34">
        <f>IF(E830=1,Orders!P827,"")</f>
        <v>10.8</v>
      </c>
      <c r="AH830" s="34">
        <f>IF(E830=1,Orders!Q827,"")</f>
        <v>9.8</v>
      </c>
      <c r="AI830" s="34">
        <f>IF(E830=1,Orders!M827,"")</f>
        <v>2.1</v>
      </c>
      <c r="AJ830" s="34">
        <f>IF(E830=1,Orders!N827,"")</f>
        <v>3.4</v>
      </c>
      <c r="AK830" s="34">
        <f>IF(E830=1,Orders!O827,"")</f>
        <v>4.3</v>
      </c>
      <c r="AL830" s="33">
        <f>IF(E830=1,IF(ROUND(ABS(AI830+AJ830+AK830-AH830),6)&lt;=0.1,1,0),"")</f>
        <v>1</v>
      </c>
      <c r="AM830" s="36">
        <f>IF(E830=1,AI830/AH830,"")</f>
        <v>0.214285714285714</v>
      </c>
      <c r="AN830" s="36">
        <f>IF(E830=1,AJ830/AH830,"")</f>
        <v>0.346938775510204</v>
      </c>
      <c r="AO830" s="36">
        <f>IF(E830=1,AK830/AH830,"")</f>
        <v>0.438775510204082</v>
      </c>
      <c r="AP830" s="34">
        <f>IF(E830=1,Orders!Y827,"")</f>
        <v>0.54</v>
      </c>
      <c r="AQ830" s="33">
        <f>IF(Orders!X827,1,0)</f>
        <v>0</v>
      </c>
      <c r="AR830" s="34">
        <f>IF(AND(E830=1,L830=1),AJ830,"")</f>
        <v>3.4</v>
      </c>
      <c r="AS830" s="34" t="str">
        <f>IF(AND(E830=1,L830=0),AJ830,"")</f>
        <v/>
      </c>
      <c r="AT830" s="34">
        <f>IF(AND(E830=1,L830=1),AI830,"")</f>
        <v>2.1</v>
      </c>
      <c r="AU830" s="34" t="str">
        <f>IF(AND(E830=1,L830=0),AI830,"")</f>
        <v/>
      </c>
      <c r="AV830" s="34">
        <f>IF(AND(E830=1,L830=1),AG830,"")</f>
        <v>10.8</v>
      </c>
      <c r="AW830" s="34" t="str">
        <f>IF(AND(E830=1,L830=0),AG830,"")</f>
        <v/>
      </c>
      <c r="AX830" s="34">
        <f>IF(AND(E830=1,L830=1),AH830,"")</f>
        <v>9.8</v>
      </c>
      <c r="AY830" s="34" t="str">
        <f>IF(AND(E830=1,L830=0),AH830,"")</f>
        <v/>
      </c>
      <c r="AZ830" s="34" t="str">
        <f>IF(G830=1,F830,"")</f>
        <v/>
      </c>
      <c r="BA830" s="34" t="str">
        <f>IF(AND(G830=1,L830=1),F830,"")</f>
        <v/>
      </c>
      <c r="BB830" s="34" t="str">
        <f>IF(AND(G830=1,L830=0),F830,"")</f>
        <v/>
      </c>
      <c r="BC830" s="33">
        <f>IF(E830=1,IF(Orders!R827&gt;3,1,0),"")</f>
        <v>0</v>
      </c>
      <c r="BD830" s="33">
        <f>IF(E830=1,IF(Orders!R827&gt;7,1,0),"")</f>
        <v>0</v>
      </c>
      <c r="BE830" s="32" t="str">
        <f>IF(E830=1,IF(Orders!L827&lt;=1.5,"Up to 1.5 km",IF(Orders!L827&lt;=3,"1.5–3 km","Over 3 km")),"")</f>
        <v>Over 3 km</v>
      </c>
      <c r="BF830" s="33">
        <f>IF(E830=1,IF(ABS((Orders!G827-Orders!F827)*1440-Orders!R827)&lt;0.06,1,0),"")</f>
        <v>1</v>
      </c>
      <c r="BG830" s="33">
        <f>IF(ABS((Orders!F827-Orders!E827)*1440-Orders!P827)&lt;0.06,1,0)</f>
        <v>1</v>
      </c>
      <c r="BH830" s="33">
        <f>IF(E830=1,IF(IF(Orders!S827,1,0)=1-G830,1,0),"")</f>
        <v>1</v>
      </c>
      <c r="BI830" s="32" t="str">
        <f>INDEX(Stores!$B$2:$B$21,MATCH(B830,Stores!$A$2:$A$21,0))</f>
        <v>Pune</v>
      </c>
    </row>
    <row r="831">
      <c r="A831" s="32" t="str">
        <f>Orders!A828</f>
        <v>O00827</v>
      </c>
      <c r="B831" s="32" t="str">
        <f>Orders!C828</f>
        <v>S007</v>
      </c>
      <c r="C831" s="32" t="str">
        <f>Orders!B828</f>
        <v>C0192</v>
      </c>
      <c r="D831" s="32" t="str">
        <f>Orders!H828</f>
        <v>Delivered</v>
      </c>
      <c r="E831" s="33">
        <f>IF(Orders!H828="Delivered",1,0)</f>
        <v>1</v>
      </c>
      <c r="F831" s="34">
        <f>IF(E831=1,Orders!R828,"")</f>
        <v>-1</v>
      </c>
      <c r="G831" s="33">
        <f>IF(E831=1,IF(Orders!R828&gt;0,1,0),"")</f>
        <v>0</v>
      </c>
      <c r="H831" s="33">
        <f>IF(E831=1,IF(Orders!R828&gt;5,1,0),"")</f>
        <v>0</v>
      </c>
      <c r="I831" s="32" t="str">
        <f>IF(E831=1,"",IF(OR(Orders!T828="Rider unavailable",Orders!T828="Item unavailable"),"Company-caused","Unresolved"))</f>
        <v/>
      </c>
      <c r="J831" s="33">
        <f>IF(OR(E831=1,I831="Company-caused"),1,0)</f>
        <v>1</v>
      </c>
      <c r="K831" s="32" t="str">
        <f>IF(E831=0,IF(I831="Company-caused",IF(Orders!T828="Rider unavailable","C1 Rider unavailable","C2 Item unavailable"),"Outside root: unresolved"),IF(G831=0,"A On time",IF(H831=1,IF(L831=1,"B2a Severe, peak","B2b Severe, off-peak"),IF(L831=1,"B1a Slight, peak","B1b Slight, off-peak"))))</f>
        <v>A On time</v>
      </c>
      <c r="L831" s="33">
        <f>IF(AND(Orders!U828&gt;=19,Orders!U828&lt;22),1,0)</f>
        <v>0</v>
      </c>
      <c r="M831" s="33">
        <f>IF(L831=IF(Orders!V828,1,0),1,0)</f>
        <v>1</v>
      </c>
      <c r="N831" s="32" t="str">
        <f>IF(Orders!W828="","None",Orders!W828)</f>
        <v>None</v>
      </c>
      <c r="O831" s="35">
        <f>INT(Orders!E828)</f>
        <v>46271.0</v>
      </c>
      <c r="P831" s="33">
        <f>Orders!U828</f>
        <v>15</v>
      </c>
      <c r="Q831" s="33">
        <f>COUNTIFS(Demand!$A$2:$A$4481,B831,Demand!$B$2:$B$4481,O831,Demand!$C$2:$C$4481,P831)</f>
        <v>1</v>
      </c>
      <c r="R831" s="33">
        <f>IF(Q831=1,SUMIFS(Demand!$E$2:$E$4481,Demand!$A$2:$A$4481,B831,Demand!$B$2:$B$4481,O831,Demand!$C$2:$C$4481,P831),"")</f>
        <v>35</v>
      </c>
      <c r="S831" s="33">
        <f>INDEX(Stores!$G$2:$G$21,MATCH(B831,Stores!$A$2:$A$21,0))</f>
        <v>37</v>
      </c>
      <c r="T831" s="34">
        <f>IF(R831="","",R831/S831)</f>
        <v>0.945945945945946</v>
      </c>
      <c r="U831" s="34">
        <f>IF(E831=1,T831,"")</f>
        <v>0.945945945945946</v>
      </c>
      <c r="V831" s="34">
        <f>IF(AND(E831=1,L831=0),T831,"")</f>
        <v>0.945945945945946</v>
      </c>
      <c r="W831" s="33">
        <f>IF(U831="","",IF(U831&lt;=Breakdowns!$C$5,1,IF(U831&lt;=Breakdowns!$C$6,2,IF(U831&lt;=Breakdowns!$C$7,3,4))))</f>
        <v>2</v>
      </c>
      <c r="X831" s="33">
        <f>IF(V831="","",IF(V831&lt;=Breakdowns!$D$5,1,IF(V831&lt;=Breakdowns!$D$6,2,IF(V831&lt;=Breakdowns!$D$7,3,4))))</f>
        <v>3</v>
      </c>
      <c r="Y831" s="34">
        <f>INDEX(Stores!$F$2:$F$21,MATCH(B831,Stores!$A$2:$A$21,0))</f>
        <v>4.05</v>
      </c>
      <c r="Z831" s="33">
        <f>IF(Y831&gt;Store_Summary!$M$2,1,0)</f>
        <v>0</v>
      </c>
      <c r="AA831" s="33">
        <f>INDEX(Stores!$C$2:$C$21,MATCH(B831,Stores!$A$2:$A$21,0))</f>
        <v>661</v>
      </c>
      <c r="AB831" s="33">
        <f>IF(AA831&lt;180,1,0)</f>
        <v>0</v>
      </c>
      <c r="AC831" s="32" t="str">
        <f>IF(Orders!D828="","",INDEX(Riders!$C$2:$C$81,MATCH(Orders!D828,Riders!$A$2:$A$81,0)))</f>
        <v>EV scooter</v>
      </c>
      <c r="AD831" s="33">
        <f>IF(Orders!D828="","",INDEX(Riders!$D$2:$D$81,MATCH(Orders!D828,Riders!$A$2:$A$81,0)))</f>
        <v>10</v>
      </c>
      <c r="AE831" s="33">
        <f>IF(Orders!D828="","",IF(INDEX(Riders!$B$2:$B$81,MATCH(Orders!D828,Riders!$A$2:$A$81,0))=B831,1,0))</f>
        <v>0</v>
      </c>
      <c r="AF831" s="34">
        <f>IF(E831=1,Orders!L828,"")</f>
        <v>0.5</v>
      </c>
      <c r="AG831" s="34">
        <f>IF(E831=1,Orders!P828,"")</f>
        <v>10.5</v>
      </c>
      <c r="AH831" s="34">
        <f>IF(E831=1,Orders!Q828,"")</f>
        <v>9.5</v>
      </c>
      <c r="AI831" s="34">
        <f>IF(E831=1,Orders!M828,"")</f>
        <v>3.1</v>
      </c>
      <c r="AJ831" s="34">
        <f>IF(E831=1,Orders!N828,"")</f>
        <v>4.7</v>
      </c>
      <c r="AK831" s="34">
        <f>IF(E831=1,Orders!O828,"")</f>
        <v>1.7</v>
      </c>
      <c r="AL831" s="33">
        <f>IF(E831=1,IF(ROUND(ABS(AI831+AJ831+AK831-AH831),6)&lt;=0.1,1,0),"")</f>
        <v>1</v>
      </c>
      <c r="AM831" s="36">
        <f>IF(E831=1,AI831/AH831,"")</f>
        <v>0.326315789473684</v>
      </c>
      <c r="AN831" s="36">
        <f>IF(E831=1,AJ831/AH831,"")</f>
        <v>0.494736842105263</v>
      </c>
      <c r="AO831" s="36">
        <f>IF(E831=1,AK831/AH831,"")</f>
        <v>0.178947368421053</v>
      </c>
      <c r="AP831" s="34">
        <f>IF(E831=1,Orders!Y828,"")</f>
        <v>0.44</v>
      </c>
      <c r="AQ831" s="33">
        <f>IF(Orders!X828,1,0)</f>
        <v>0</v>
      </c>
      <c r="AR831" s="34" t="str">
        <f>IF(AND(E831=1,L831=1),AJ831,"")</f>
        <v/>
      </c>
      <c r="AS831" s="34">
        <f>IF(AND(E831=1,L831=0),AJ831,"")</f>
        <v>4.7</v>
      </c>
      <c r="AT831" s="34" t="str">
        <f>IF(AND(E831=1,L831=1),AI831,"")</f>
        <v/>
      </c>
      <c r="AU831" s="34">
        <f>IF(AND(E831=1,L831=0),AI831,"")</f>
        <v>3.1</v>
      </c>
      <c r="AV831" s="34" t="str">
        <f>IF(AND(E831=1,L831=1),AG831,"")</f>
        <v/>
      </c>
      <c r="AW831" s="34">
        <f>IF(AND(E831=1,L831=0),AG831,"")</f>
        <v>10.5</v>
      </c>
      <c r="AX831" s="34" t="str">
        <f>IF(AND(E831=1,L831=1),AH831,"")</f>
        <v/>
      </c>
      <c r="AY831" s="34">
        <f>IF(AND(E831=1,L831=0),AH831,"")</f>
        <v>9.5</v>
      </c>
      <c r="AZ831" s="34" t="str">
        <f>IF(G831=1,F831,"")</f>
        <v/>
      </c>
      <c r="BA831" s="34" t="str">
        <f>IF(AND(G831=1,L831=1),F831,"")</f>
        <v/>
      </c>
      <c r="BB831" s="34" t="str">
        <f>IF(AND(G831=1,L831=0),F831,"")</f>
        <v/>
      </c>
      <c r="BC831" s="33">
        <f>IF(E831=1,IF(Orders!R828&gt;3,1,0),"")</f>
        <v>0</v>
      </c>
      <c r="BD831" s="33">
        <f>IF(E831=1,IF(Orders!R828&gt;7,1,0),"")</f>
        <v>0</v>
      </c>
      <c r="BE831" s="32" t="str">
        <f>IF(E831=1,IF(Orders!L828&lt;=1.5,"Up to 1.5 km",IF(Orders!L828&lt;=3,"1.5–3 km","Over 3 km")),"")</f>
        <v>Up to 1.5 km</v>
      </c>
      <c r="BF831" s="33">
        <f>IF(E831=1,IF(ABS((Orders!G828-Orders!F828)*1440-Orders!R828)&lt;0.06,1,0),"")</f>
        <v>1</v>
      </c>
      <c r="BG831" s="33">
        <f>IF(ABS((Orders!F828-Orders!E828)*1440-Orders!P828)&lt;0.06,1,0)</f>
        <v>1</v>
      </c>
      <c r="BH831" s="33">
        <f>IF(E831=1,IF(IF(Orders!S828,1,0)=1-G831,1,0),"")</f>
        <v>1</v>
      </c>
      <c r="BI831" s="32" t="str">
        <f>INDEX(Stores!$B$2:$B$21,MATCH(B831,Stores!$A$2:$A$21,0))</f>
        <v>Hyderabad</v>
      </c>
    </row>
    <row r="832">
      <c r="A832" s="32" t="str">
        <f>Orders!A829</f>
        <v>O00828</v>
      </c>
      <c r="B832" s="32" t="str">
        <f>Orders!C829</f>
        <v>S006</v>
      </c>
      <c r="C832" s="32" t="str">
        <f>Orders!B829</f>
        <v>C0249</v>
      </c>
      <c r="D832" s="32" t="str">
        <f>Orders!H829</f>
        <v>Delivered</v>
      </c>
      <c r="E832" s="33">
        <f>IF(Orders!H829="Delivered",1,0)</f>
        <v>1</v>
      </c>
      <c r="F832" s="34">
        <f>IF(E832=1,Orders!R829,"")</f>
        <v>-0.8</v>
      </c>
      <c r="G832" s="33">
        <f>IF(E832=1,IF(Orders!R829&gt;0,1,0),"")</f>
        <v>0</v>
      </c>
      <c r="H832" s="33">
        <f>IF(E832=1,IF(Orders!R829&gt;5,1,0),"")</f>
        <v>0</v>
      </c>
      <c r="I832" s="32" t="str">
        <f>IF(E832=1,"",IF(OR(Orders!T829="Rider unavailable",Orders!T829="Item unavailable"),"Company-caused","Unresolved"))</f>
        <v/>
      </c>
      <c r="J832" s="33">
        <f>IF(OR(E832=1,I832="Company-caused"),1,0)</f>
        <v>1</v>
      </c>
      <c r="K832" s="32" t="str">
        <f>IF(E832=0,IF(I832="Company-caused",IF(Orders!T829="Rider unavailable","C1 Rider unavailable","C2 Item unavailable"),"Outside root: unresolved"),IF(G832=0,"A On time",IF(H832=1,IF(L832=1,"B2a Severe, peak","B2b Severe, off-peak"),IF(L832=1,"B1a Slight, peak","B1b Slight, off-peak"))))</f>
        <v>A On time</v>
      </c>
      <c r="L832" s="33">
        <f>IF(AND(Orders!U829&gt;=19,Orders!U829&lt;22),1,0)</f>
        <v>0</v>
      </c>
      <c r="M832" s="33">
        <f>IF(L832=IF(Orders!V829,1,0),1,0)</f>
        <v>1</v>
      </c>
      <c r="N832" s="32" t="str">
        <f>IF(Orders!W829="","None",Orders!W829)</f>
        <v>Heavy</v>
      </c>
      <c r="O832" s="35">
        <f>INT(Orders!E829)</f>
        <v>46277.0</v>
      </c>
      <c r="P832" s="33">
        <f>Orders!U829</f>
        <v>15</v>
      </c>
      <c r="Q832" s="33">
        <f>COUNTIFS(Demand!$A$2:$A$4481,B832,Demand!$B$2:$B$4481,O832,Demand!$C$2:$C$4481,P832)</f>
        <v>1</v>
      </c>
      <c r="R832" s="33">
        <f>IF(Q832=1,SUMIFS(Demand!$E$2:$E$4481,Demand!$A$2:$A$4481,B832,Demand!$B$2:$B$4481,O832,Demand!$C$2:$C$4481,P832),"")</f>
        <v>29</v>
      </c>
      <c r="S832" s="33">
        <f>INDEX(Stores!$G$2:$G$21,MATCH(B832,Stores!$A$2:$A$21,0))</f>
        <v>26</v>
      </c>
      <c r="T832" s="34">
        <f>IF(R832="","",R832/S832)</f>
        <v>1.11538461538462</v>
      </c>
      <c r="U832" s="34">
        <f>IF(E832=1,T832,"")</f>
        <v>1.11538461538462</v>
      </c>
      <c r="V832" s="34">
        <f>IF(AND(E832=1,L832=0),T832,"")</f>
        <v>1.11538461538462</v>
      </c>
      <c r="W832" s="33">
        <f>IF(U832="","",IF(U832&lt;=Breakdowns!$C$5,1,IF(U832&lt;=Breakdowns!$C$6,2,IF(U832&lt;=Breakdowns!$C$7,3,4))))</f>
        <v>3</v>
      </c>
      <c r="X832" s="33">
        <f>IF(V832="","",IF(V832&lt;=Breakdowns!$D$5,1,IF(V832&lt;=Breakdowns!$D$6,2,IF(V832&lt;=Breakdowns!$D$7,3,4))))</f>
        <v>4</v>
      </c>
      <c r="Y832" s="34">
        <f>INDEX(Stores!$F$2:$F$21,MATCH(B832,Stores!$A$2:$A$21,0))</f>
        <v>5.22</v>
      </c>
      <c r="Z832" s="33">
        <f>IF(Y832&gt;Store_Summary!$M$2,1,0)</f>
        <v>1</v>
      </c>
      <c r="AA832" s="33">
        <f>INDEX(Stores!$C$2:$C$21,MATCH(B832,Stores!$A$2:$A$21,0))</f>
        <v>412</v>
      </c>
      <c r="AB832" s="33">
        <f>IF(AA832&lt;180,1,0)</f>
        <v>0</v>
      </c>
      <c r="AC832" s="32" t="str">
        <f>IF(Orders!D829="","",INDEX(Riders!$C$2:$C$81,MATCH(Orders!D829,Riders!$A$2:$A$81,0)))</f>
        <v>Petrol scooter</v>
      </c>
      <c r="AD832" s="33">
        <f>IF(Orders!D829="","",INDEX(Riders!$D$2:$D$81,MATCH(Orders!D829,Riders!$A$2:$A$81,0)))</f>
        <v>32</v>
      </c>
      <c r="AE832" s="33">
        <f>IF(Orders!D829="","",IF(INDEX(Riders!$B$2:$B$81,MATCH(Orders!D829,Riders!$A$2:$A$81,0))=B832,1,0))</f>
        <v>1</v>
      </c>
      <c r="AF832" s="34">
        <f>IF(E832=1,Orders!L829,"")</f>
        <v>0.59</v>
      </c>
      <c r="AG832" s="34">
        <f>IF(E832=1,Orders!P829,"")</f>
        <v>8.7</v>
      </c>
      <c r="AH832" s="34">
        <f>IF(E832=1,Orders!Q829,"")</f>
        <v>7.9</v>
      </c>
      <c r="AI832" s="34">
        <f>IF(E832=1,Orders!M829,"")</f>
        <v>3.5</v>
      </c>
      <c r="AJ832" s="34">
        <f>IF(E832=1,Orders!N829,"")</f>
        <v>2.5</v>
      </c>
      <c r="AK832" s="34">
        <f>IF(E832=1,Orders!O829,"")</f>
        <v>1.9</v>
      </c>
      <c r="AL832" s="33">
        <f>IF(E832=1,IF(ROUND(ABS(AI832+AJ832+AK832-AH832),6)&lt;=0.1,1,0),"")</f>
        <v>1</v>
      </c>
      <c r="AM832" s="36">
        <f>IF(E832=1,AI832/AH832,"")</f>
        <v>0.443037974683544</v>
      </c>
      <c r="AN832" s="36">
        <f>IF(E832=1,AJ832/AH832,"")</f>
        <v>0.316455696202532</v>
      </c>
      <c r="AO832" s="36">
        <f>IF(E832=1,AK832/AH832,"")</f>
        <v>0.240506329113924</v>
      </c>
      <c r="AP832" s="34">
        <f>IF(E832=1,Orders!Y829,"")</f>
        <v>0.29</v>
      </c>
      <c r="AQ832" s="33">
        <f>IF(Orders!X829,1,0)</f>
        <v>0</v>
      </c>
      <c r="AR832" s="34" t="str">
        <f>IF(AND(E832=1,L832=1),AJ832,"")</f>
        <v/>
      </c>
      <c r="AS832" s="34">
        <f>IF(AND(E832=1,L832=0),AJ832,"")</f>
        <v>2.5</v>
      </c>
      <c r="AT832" s="34" t="str">
        <f>IF(AND(E832=1,L832=1),AI832,"")</f>
        <v/>
      </c>
      <c r="AU832" s="34">
        <f>IF(AND(E832=1,L832=0),AI832,"")</f>
        <v>3.5</v>
      </c>
      <c r="AV832" s="34" t="str">
        <f>IF(AND(E832=1,L832=1),AG832,"")</f>
        <v/>
      </c>
      <c r="AW832" s="34">
        <f>IF(AND(E832=1,L832=0),AG832,"")</f>
        <v>8.7</v>
      </c>
      <c r="AX832" s="34" t="str">
        <f>IF(AND(E832=1,L832=1),AH832,"")</f>
        <v/>
      </c>
      <c r="AY832" s="34">
        <f>IF(AND(E832=1,L832=0),AH832,"")</f>
        <v>7.9</v>
      </c>
      <c r="AZ832" s="34" t="str">
        <f>IF(G832=1,F832,"")</f>
        <v/>
      </c>
      <c r="BA832" s="34" t="str">
        <f>IF(AND(G832=1,L832=1),F832,"")</f>
        <v/>
      </c>
      <c r="BB832" s="34" t="str">
        <f>IF(AND(G832=1,L832=0),F832,"")</f>
        <v/>
      </c>
      <c r="BC832" s="33">
        <f>IF(E832=1,IF(Orders!R829&gt;3,1,0),"")</f>
        <v>0</v>
      </c>
      <c r="BD832" s="33">
        <f>IF(E832=1,IF(Orders!R829&gt;7,1,0),"")</f>
        <v>0</v>
      </c>
      <c r="BE832" s="32" t="str">
        <f>IF(E832=1,IF(Orders!L829&lt;=1.5,"Up to 1.5 km",IF(Orders!L829&lt;=3,"1.5–3 km","Over 3 km")),"")</f>
        <v>Up to 1.5 km</v>
      </c>
      <c r="BF832" s="33">
        <f>IF(E832=1,IF(ABS((Orders!G829-Orders!F829)*1440-Orders!R829)&lt;0.06,1,0),"")</f>
        <v>1</v>
      </c>
      <c r="BG832" s="33">
        <f>IF(ABS((Orders!F829-Orders!E829)*1440-Orders!P829)&lt;0.06,1,0)</f>
        <v>1</v>
      </c>
      <c r="BH832" s="33">
        <f>IF(E832=1,IF(IF(Orders!S829,1,0)=1-G832,1,0),"")</f>
        <v>1</v>
      </c>
      <c r="BI832" s="32" t="str">
        <f>INDEX(Stores!$B$2:$B$21,MATCH(B832,Stores!$A$2:$A$21,0))</f>
        <v>Bengaluru</v>
      </c>
    </row>
    <row r="833">
      <c r="A833" s="32" t="str">
        <f>Orders!A830</f>
        <v>O00829</v>
      </c>
      <c r="B833" s="32" t="str">
        <f>Orders!C830</f>
        <v>S004</v>
      </c>
      <c r="C833" s="32" t="str">
        <f>Orders!B830</f>
        <v>C0029</v>
      </c>
      <c r="D833" s="32" t="str">
        <f>Orders!H830</f>
        <v>Delivered</v>
      </c>
      <c r="E833" s="33">
        <f>IF(Orders!H830="Delivered",1,0)</f>
        <v>1</v>
      </c>
      <c r="F833" s="34">
        <f>IF(E833=1,Orders!R830,"")</f>
        <v>-0.4</v>
      </c>
      <c r="G833" s="33">
        <f>IF(E833=1,IF(Orders!R830&gt;0,1,0),"")</f>
        <v>0</v>
      </c>
      <c r="H833" s="33">
        <f>IF(E833=1,IF(Orders!R830&gt;5,1,0),"")</f>
        <v>0</v>
      </c>
      <c r="I833" s="32" t="str">
        <f>IF(E833=1,"",IF(OR(Orders!T830="Rider unavailable",Orders!T830="Item unavailable"),"Company-caused","Unresolved"))</f>
        <v/>
      </c>
      <c r="J833" s="33">
        <f>IF(OR(E833=1,I833="Company-caused"),1,0)</f>
        <v>1</v>
      </c>
      <c r="K833" s="32" t="str">
        <f>IF(E833=0,IF(I833="Company-caused",IF(Orders!T830="Rider unavailable","C1 Rider unavailable","C2 Item unavailable"),"Outside root: unresolved"),IF(G833=0,"A On time",IF(H833=1,IF(L833=1,"B2a Severe, peak","B2b Severe, off-peak"),IF(L833=1,"B1a Slight, peak","B1b Slight, off-peak"))))</f>
        <v>A On time</v>
      </c>
      <c r="L833" s="33">
        <f>IF(AND(Orders!U830&gt;=19,Orders!U830&lt;22),1,0)</f>
        <v>0</v>
      </c>
      <c r="M833" s="33">
        <f>IF(L833=IF(Orders!V830,1,0),1,0)</f>
        <v>1</v>
      </c>
      <c r="N833" s="32" t="str">
        <f>IF(Orders!W830="","None",Orders!W830)</f>
        <v>None</v>
      </c>
      <c r="O833" s="35">
        <f>INT(Orders!E830)</f>
        <v>46279.0</v>
      </c>
      <c r="P833" s="33">
        <f>Orders!U830</f>
        <v>11</v>
      </c>
      <c r="Q833" s="33">
        <f>COUNTIFS(Demand!$A$2:$A$4481,B833,Demand!$B$2:$B$4481,O833,Demand!$C$2:$C$4481,P833)</f>
        <v>1</v>
      </c>
      <c r="R833" s="33">
        <f>IF(Q833=1,SUMIFS(Demand!$E$2:$E$4481,Demand!$A$2:$A$4481,B833,Demand!$B$2:$B$4481,O833,Demand!$C$2:$C$4481,P833),"")</f>
        <v>35</v>
      </c>
      <c r="S833" s="33">
        <f>INDEX(Stores!$G$2:$G$21,MATCH(B833,Stores!$A$2:$A$21,0))</f>
        <v>42</v>
      </c>
      <c r="T833" s="34">
        <f>IF(R833="","",R833/S833)</f>
        <v>0.833333333333333</v>
      </c>
      <c r="U833" s="34">
        <f>IF(E833=1,T833,"")</f>
        <v>0.833333333333333</v>
      </c>
      <c r="V833" s="34">
        <f>IF(AND(E833=1,L833=0),T833,"")</f>
        <v>0.833333333333333</v>
      </c>
      <c r="W833" s="33">
        <f>IF(U833="","",IF(U833&lt;=Breakdowns!$C$5,1,IF(U833&lt;=Breakdowns!$C$6,2,IF(U833&lt;=Breakdowns!$C$7,3,4))))</f>
        <v>2</v>
      </c>
      <c r="X833" s="33">
        <f>IF(V833="","",IF(V833&lt;=Breakdowns!$D$5,1,IF(V833&lt;=Breakdowns!$D$6,2,IF(V833&lt;=Breakdowns!$D$7,3,4))))</f>
        <v>2</v>
      </c>
      <c r="Y833" s="34">
        <f>INDEX(Stores!$F$2:$F$21,MATCH(B833,Stores!$A$2:$A$21,0))</f>
        <v>2.19</v>
      </c>
      <c r="Z833" s="33">
        <f>IF(Y833&gt;Store_Summary!$M$2,1,0)</f>
        <v>0</v>
      </c>
      <c r="AA833" s="33">
        <f>INDEX(Stores!$C$2:$C$21,MATCH(B833,Stores!$A$2:$A$21,0))</f>
        <v>850</v>
      </c>
      <c r="AB833" s="33">
        <f>IF(AA833&lt;180,1,0)</f>
        <v>0</v>
      </c>
      <c r="AC833" s="32" t="str">
        <f>IF(Orders!D830="","",INDEX(Riders!$C$2:$C$81,MATCH(Orders!D830,Riders!$A$2:$A$81,0)))</f>
        <v>EV scooter</v>
      </c>
      <c r="AD833" s="33">
        <f>IF(Orders!D830="","",INDEX(Riders!$D$2:$D$81,MATCH(Orders!D830,Riders!$A$2:$A$81,0)))</f>
        <v>38</v>
      </c>
      <c r="AE833" s="33">
        <f>IF(Orders!D830="","",IF(INDEX(Riders!$B$2:$B$81,MATCH(Orders!D830,Riders!$A$2:$A$81,0))=B833,1,0))</f>
        <v>0</v>
      </c>
      <c r="AF833" s="34">
        <f>IF(E833=1,Orders!L830,"")</f>
        <v>3.3</v>
      </c>
      <c r="AG833" s="34">
        <f>IF(E833=1,Orders!P830,"")</f>
        <v>8.2</v>
      </c>
      <c r="AH833" s="34">
        <f>IF(E833=1,Orders!Q830,"")</f>
        <v>7.8</v>
      </c>
      <c r="AI833" s="34">
        <f>IF(E833=1,Orders!M830,"")</f>
        <v>0.8</v>
      </c>
      <c r="AJ833" s="34">
        <f>IF(E833=1,Orders!N830,"")</f>
        <v>3.3</v>
      </c>
      <c r="AK833" s="34">
        <f>IF(E833=1,Orders!O830,"")</f>
        <v>3.7</v>
      </c>
      <c r="AL833" s="33">
        <f>IF(E833=1,IF(ROUND(ABS(AI833+AJ833+AK833-AH833),6)&lt;=0.1,1,0),"")</f>
        <v>1</v>
      </c>
      <c r="AM833" s="36">
        <f>IF(E833=1,AI833/AH833,"")</f>
        <v>0.102564102564103</v>
      </c>
      <c r="AN833" s="36">
        <f>IF(E833=1,AJ833/AH833,"")</f>
        <v>0.423076923076923</v>
      </c>
      <c r="AO833" s="36">
        <f>IF(E833=1,AK833/AH833,"")</f>
        <v>0.474358974358974</v>
      </c>
      <c r="AP833" s="34">
        <f>IF(E833=1,Orders!Y830,"")</f>
        <v>0.64</v>
      </c>
      <c r="AQ833" s="33">
        <f>IF(Orders!X830,1,0)</f>
        <v>0</v>
      </c>
      <c r="AR833" s="34" t="str">
        <f>IF(AND(E833=1,L833=1),AJ833,"")</f>
        <v/>
      </c>
      <c r="AS833" s="34">
        <f>IF(AND(E833=1,L833=0),AJ833,"")</f>
        <v>3.3</v>
      </c>
      <c r="AT833" s="34" t="str">
        <f>IF(AND(E833=1,L833=1),AI833,"")</f>
        <v/>
      </c>
      <c r="AU833" s="34">
        <f>IF(AND(E833=1,L833=0),AI833,"")</f>
        <v>0.8</v>
      </c>
      <c r="AV833" s="34" t="str">
        <f>IF(AND(E833=1,L833=1),AG833,"")</f>
        <v/>
      </c>
      <c r="AW833" s="34">
        <f>IF(AND(E833=1,L833=0),AG833,"")</f>
        <v>8.2</v>
      </c>
      <c r="AX833" s="34" t="str">
        <f>IF(AND(E833=1,L833=1),AH833,"")</f>
        <v/>
      </c>
      <c r="AY833" s="34">
        <f>IF(AND(E833=1,L833=0),AH833,"")</f>
        <v>7.8</v>
      </c>
      <c r="AZ833" s="34" t="str">
        <f>IF(G833=1,F833,"")</f>
        <v/>
      </c>
      <c r="BA833" s="34" t="str">
        <f>IF(AND(G833=1,L833=1),F833,"")</f>
        <v/>
      </c>
      <c r="BB833" s="34" t="str">
        <f>IF(AND(G833=1,L833=0),F833,"")</f>
        <v/>
      </c>
      <c r="BC833" s="33">
        <f>IF(E833=1,IF(Orders!R830&gt;3,1,0),"")</f>
        <v>0</v>
      </c>
      <c r="BD833" s="33">
        <f>IF(E833=1,IF(Orders!R830&gt;7,1,0),"")</f>
        <v>0</v>
      </c>
      <c r="BE833" s="32" t="str">
        <f>IF(E833=1,IF(Orders!L830&lt;=1.5,"Up to 1.5 km",IF(Orders!L830&lt;=3,"1.5–3 km","Over 3 km")),"")</f>
        <v>Over 3 km</v>
      </c>
      <c r="BF833" s="33">
        <f>IF(E833=1,IF(ABS((Orders!G830-Orders!F830)*1440-Orders!R830)&lt;0.06,1,0),"")</f>
        <v>1</v>
      </c>
      <c r="BG833" s="33">
        <f>IF(ABS((Orders!F830-Orders!E830)*1440-Orders!P830)&lt;0.06,1,0)</f>
        <v>1</v>
      </c>
      <c r="BH833" s="33">
        <f>IF(E833=1,IF(IF(Orders!S830,1,0)=1-G833,1,0),"")</f>
        <v>1</v>
      </c>
      <c r="BI833" s="32" t="str">
        <f>INDEX(Stores!$B$2:$B$21,MATCH(B833,Stores!$A$2:$A$21,0))</f>
        <v>Pune</v>
      </c>
    </row>
    <row r="834">
      <c r="A834" s="32" t="str">
        <f>Orders!A831</f>
        <v>O00830</v>
      </c>
      <c r="B834" s="32" t="str">
        <f>Orders!C831</f>
        <v>S019</v>
      </c>
      <c r="C834" s="32" t="str">
        <f>Orders!B831</f>
        <v>C0202</v>
      </c>
      <c r="D834" s="32" t="str">
        <f>Orders!H831</f>
        <v>Delivered</v>
      </c>
      <c r="E834" s="33">
        <f>IF(Orders!H831="Delivered",1,0)</f>
        <v>1</v>
      </c>
      <c r="F834" s="34">
        <f>IF(E834=1,Orders!R831,"")</f>
        <v>0.5</v>
      </c>
      <c r="G834" s="33">
        <f>IF(E834=1,IF(Orders!R831&gt;0,1,0),"")</f>
        <v>1</v>
      </c>
      <c r="H834" s="33">
        <f>IF(E834=1,IF(Orders!R831&gt;5,1,0),"")</f>
        <v>0</v>
      </c>
      <c r="I834" s="32" t="str">
        <f>IF(E834=1,"",IF(OR(Orders!T831="Rider unavailable",Orders!T831="Item unavailable"),"Company-caused","Unresolved"))</f>
        <v/>
      </c>
      <c r="J834" s="33">
        <f>IF(OR(E834=1,I834="Company-caused"),1,0)</f>
        <v>1</v>
      </c>
      <c r="K834" s="32" t="str">
        <f>IF(E834=0,IF(I834="Company-caused",IF(Orders!T831="Rider unavailable","C1 Rider unavailable","C2 Item unavailable"),"Outside root: unresolved"),IF(G834=0,"A On time",IF(H834=1,IF(L834=1,"B2a Severe, peak","B2b Severe, off-peak"),IF(L834=1,"B1a Slight, peak","B1b Slight, off-peak"))))</f>
        <v>B1b Slight, off-peak</v>
      </c>
      <c r="L834" s="33">
        <f>IF(AND(Orders!U831&gt;=19,Orders!U831&lt;22),1,0)</f>
        <v>0</v>
      </c>
      <c r="M834" s="33">
        <f>IF(L834=IF(Orders!V831,1,0),1,0)</f>
        <v>1</v>
      </c>
      <c r="N834" s="32" t="str">
        <f>IF(Orders!W831="","None",Orders!W831)</f>
        <v>None</v>
      </c>
      <c r="O834" s="35">
        <f>INT(Orders!E831)</f>
        <v>46272.0</v>
      </c>
      <c r="P834" s="33">
        <f>Orders!U831</f>
        <v>18</v>
      </c>
      <c r="Q834" s="33">
        <f>COUNTIFS(Demand!$A$2:$A$4481,B834,Demand!$B$2:$B$4481,O834,Demand!$C$2:$C$4481,P834)</f>
        <v>1</v>
      </c>
      <c r="R834" s="33">
        <f>IF(Q834=1,SUMIFS(Demand!$E$2:$E$4481,Demand!$A$2:$A$4481,B834,Demand!$B$2:$B$4481,O834,Demand!$C$2:$C$4481,P834),"")</f>
        <v>19</v>
      </c>
      <c r="S834" s="33">
        <f>INDEX(Stores!$G$2:$G$21,MATCH(B834,Stores!$A$2:$A$21,0))</f>
        <v>22</v>
      </c>
      <c r="T834" s="34">
        <f>IF(R834="","",R834/S834)</f>
        <v>0.863636363636364</v>
      </c>
      <c r="U834" s="34">
        <f>IF(E834=1,T834,"")</f>
        <v>0.863636363636364</v>
      </c>
      <c r="V834" s="34">
        <f>IF(AND(E834=1,L834=0),T834,"")</f>
        <v>0.863636363636364</v>
      </c>
      <c r="W834" s="33">
        <f>IF(U834="","",IF(U834&lt;=Breakdowns!$C$5,1,IF(U834&lt;=Breakdowns!$C$6,2,IF(U834&lt;=Breakdowns!$C$7,3,4))))</f>
        <v>2</v>
      </c>
      <c r="X834" s="33">
        <f>IF(V834="","",IF(V834&lt;=Breakdowns!$D$5,1,IF(V834&lt;=Breakdowns!$D$6,2,IF(V834&lt;=Breakdowns!$D$7,3,4))))</f>
        <v>2</v>
      </c>
      <c r="Y834" s="34">
        <f>INDEX(Stores!$F$2:$F$21,MATCH(B834,Stores!$A$2:$A$21,0))</f>
        <v>4.99</v>
      </c>
      <c r="Z834" s="33">
        <f>IF(Y834&gt;Store_Summary!$M$2,1,0)</f>
        <v>1</v>
      </c>
      <c r="AA834" s="33">
        <f>INDEX(Stores!$C$2:$C$21,MATCH(B834,Stores!$A$2:$A$21,0))</f>
        <v>851</v>
      </c>
      <c r="AB834" s="33">
        <f>IF(AA834&lt;180,1,0)</f>
        <v>0</v>
      </c>
      <c r="AC834" s="32" t="str">
        <f>IF(Orders!D831="","",INDEX(Riders!$C$2:$C$81,MATCH(Orders!D831,Riders!$A$2:$A$81,0)))</f>
        <v>EV scooter</v>
      </c>
      <c r="AD834" s="33">
        <f>IF(Orders!D831="","",INDEX(Riders!$D$2:$D$81,MATCH(Orders!D831,Riders!$A$2:$A$81,0)))</f>
        <v>36</v>
      </c>
      <c r="AE834" s="33">
        <f>IF(Orders!D831="","",IF(INDEX(Riders!$B$2:$B$81,MATCH(Orders!D831,Riders!$A$2:$A$81,0))=B834,1,0))</f>
        <v>0</v>
      </c>
      <c r="AF834" s="34">
        <f>IF(E834=1,Orders!L831,"")</f>
        <v>1.2</v>
      </c>
      <c r="AG834" s="34">
        <f>IF(E834=1,Orders!P831,"")</f>
        <v>12.2</v>
      </c>
      <c r="AH834" s="34">
        <f>IF(E834=1,Orders!Q831,"")</f>
        <v>12.7</v>
      </c>
      <c r="AI834" s="34">
        <f>IF(E834=1,Orders!M831,"")</f>
        <v>4.9</v>
      </c>
      <c r="AJ834" s="34">
        <f>IF(E834=1,Orders!N831,"")</f>
        <v>3.1</v>
      </c>
      <c r="AK834" s="34">
        <f>IF(E834=1,Orders!O831,"")</f>
        <v>4.8</v>
      </c>
      <c r="AL834" s="33">
        <f>IF(E834=1,IF(ROUND(ABS(AI834+AJ834+AK834-AH834),6)&lt;=0.1,1,0),"")</f>
        <v>1</v>
      </c>
      <c r="AM834" s="36">
        <f>IF(E834=1,AI834/AH834,"")</f>
        <v>0.385826771653543</v>
      </c>
      <c r="AN834" s="36">
        <f>IF(E834=1,AJ834/AH834,"")</f>
        <v>0.244094488188976</v>
      </c>
      <c r="AO834" s="36">
        <f>IF(E834=1,AK834/AH834,"")</f>
        <v>0.377952755905512</v>
      </c>
      <c r="AP834" s="34">
        <f>IF(E834=1,Orders!Y831,"")</f>
        <v>0.73</v>
      </c>
      <c r="AQ834" s="33">
        <f>IF(Orders!X831,1,0)</f>
        <v>0</v>
      </c>
      <c r="AR834" s="34" t="str">
        <f>IF(AND(E834=1,L834=1),AJ834,"")</f>
        <v/>
      </c>
      <c r="AS834" s="34">
        <f>IF(AND(E834=1,L834=0),AJ834,"")</f>
        <v>3.1</v>
      </c>
      <c r="AT834" s="34" t="str">
        <f>IF(AND(E834=1,L834=1),AI834,"")</f>
        <v/>
      </c>
      <c r="AU834" s="34">
        <f>IF(AND(E834=1,L834=0),AI834,"")</f>
        <v>4.9</v>
      </c>
      <c r="AV834" s="34" t="str">
        <f>IF(AND(E834=1,L834=1),AG834,"")</f>
        <v/>
      </c>
      <c r="AW834" s="34">
        <f>IF(AND(E834=1,L834=0),AG834,"")</f>
        <v>12.2</v>
      </c>
      <c r="AX834" s="34" t="str">
        <f>IF(AND(E834=1,L834=1),AH834,"")</f>
        <v/>
      </c>
      <c r="AY834" s="34">
        <f>IF(AND(E834=1,L834=0),AH834,"")</f>
        <v>12.7</v>
      </c>
      <c r="AZ834" s="34">
        <f>IF(G834=1,F834,"")</f>
        <v>0.5</v>
      </c>
      <c r="BA834" s="34" t="str">
        <f>IF(AND(G834=1,L834=1),F834,"")</f>
        <v/>
      </c>
      <c r="BB834" s="34">
        <f>IF(AND(G834=1,L834=0),F834,"")</f>
        <v>0.5</v>
      </c>
      <c r="BC834" s="33">
        <f>IF(E834=1,IF(Orders!R831&gt;3,1,0),"")</f>
        <v>0</v>
      </c>
      <c r="BD834" s="33">
        <f>IF(E834=1,IF(Orders!R831&gt;7,1,0),"")</f>
        <v>0</v>
      </c>
      <c r="BE834" s="32" t="str">
        <f>IF(E834=1,IF(Orders!L831&lt;=1.5,"Up to 1.5 km",IF(Orders!L831&lt;=3,"1.5–3 km","Over 3 km")),"")</f>
        <v>Up to 1.5 km</v>
      </c>
      <c r="BF834" s="33">
        <f>IF(E834=1,IF(ABS((Orders!G831-Orders!F831)*1440-Orders!R831)&lt;0.06,1,0),"")</f>
        <v>1</v>
      </c>
      <c r="BG834" s="33">
        <f>IF(ABS((Orders!F831-Orders!E831)*1440-Orders!P831)&lt;0.06,1,0)</f>
        <v>1</v>
      </c>
      <c r="BH834" s="33">
        <f>IF(E834=1,IF(IF(Orders!S831,1,0)=1-G834,1,0),"")</f>
        <v>1</v>
      </c>
      <c r="BI834" s="32" t="str">
        <f>INDEX(Stores!$B$2:$B$21,MATCH(B834,Stores!$A$2:$A$21,0))</f>
        <v>Pune</v>
      </c>
    </row>
    <row r="835">
      <c r="A835" s="32" t="str">
        <f>Orders!A832</f>
        <v>O00831</v>
      </c>
      <c r="B835" s="32" t="str">
        <f>Orders!C832</f>
        <v>S007</v>
      </c>
      <c r="C835" s="32" t="str">
        <f>Orders!B832</f>
        <v>C0159</v>
      </c>
      <c r="D835" s="32" t="str">
        <f>Orders!H832</f>
        <v>Delivered</v>
      </c>
      <c r="E835" s="33">
        <f>IF(Orders!H832="Delivered",1,0)</f>
        <v>1</v>
      </c>
      <c r="F835" s="34">
        <f>IF(E835=1,Orders!R832,"")</f>
        <v>-0.6</v>
      </c>
      <c r="G835" s="33">
        <f>IF(E835=1,IF(Orders!R832&gt;0,1,0),"")</f>
        <v>0</v>
      </c>
      <c r="H835" s="33">
        <f>IF(E835=1,IF(Orders!R832&gt;5,1,0),"")</f>
        <v>0</v>
      </c>
      <c r="I835" s="32" t="str">
        <f>IF(E835=1,"",IF(OR(Orders!T832="Rider unavailable",Orders!T832="Item unavailable"),"Company-caused","Unresolved"))</f>
        <v/>
      </c>
      <c r="J835" s="33">
        <f>IF(OR(E835=1,I835="Company-caused"),1,0)</f>
        <v>1</v>
      </c>
      <c r="K835" s="32" t="str">
        <f>IF(E835=0,IF(I835="Company-caused",IF(Orders!T832="Rider unavailable","C1 Rider unavailable","C2 Item unavailable"),"Outside root: unresolved"),IF(G835=0,"A On time",IF(H835=1,IF(L835=1,"B2a Severe, peak","B2b Severe, off-peak"),IF(L835=1,"B1a Slight, peak","B1b Slight, off-peak"))))</f>
        <v>A On time</v>
      </c>
      <c r="L835" s="33">
        <f>IF(AND(Orders!U832&gt;=19,Orders!U832&lt;22),1,0)</f>
        <v>0</v>
      </c>
      <c r="M835" s="33">
        <f>IF(L835=IF(Orders!V832,1,0),1,0)</f>
        <v>1</v>
      </c>
      <c r="N835" s="32" t="str">
        <f>IF(Orders!W832="","None",Orders!W832)</f>
        <v>None</v>
      </c>
      <c r="O835" s="35">
        <f>INT(Orders!E832)</f>
        <v>46279.0</v>
      </c>
      <c r="P835" s="33">
        <f>Orders!U832</f>
        <v>18</v>
      </c>
      <c r="Q835" s="33">
        <f>COUNTIFS(Demand!$A$2:$A$4481,B835,Demand!$B$2:$B$4481,O835,Demand!$C$2:$C$4481,P835)</f>
        <v>1</v>
      </c>
      <c r="R835" s="33">
        <f>IF(Q835=1,SUMIFS(Demand!$E$2:$E$4481,Demand!$A$2:$A$4481,B835,Demand!$B$2:$B$4481,O835,Demand!$C$2:$C$4481,P835),"")</f>
        <v>31</v>
      </c>
      <c r="S835" s="33">
        <f>INDEX(Stores!$G$2:$G$21,MATCH(B835,Stores!$A$2:$A$21,0))</f>
        <v>37</v>
      </c>
      <c r="T835" s="34">
        <f>IF(R835="","",R835/S835)</f>
        <v>0.837837837837838</v>
      </c>
      <c r="U835" s="34">
        <f>IF(E835=1,T835,"")</f>
        <v>0.837837837837838</v>
      </c>
      <c r="V835" s="34">
        <f>IF(AND(E835=1,L835=0),T835,"")</f>
        <v>0.837837837837838</v>
      </c>
      <c r="W835" s="33">
        <f>IF(U835="","",IF(U835&lt;=Breakdowns!$C$5,1,IF(U835&lt;=Breakdowns!$C$6,2,IF(U835&lt;=Breakdowns!$C$7,3,4))))</f>
        <v>2</v>
      </c>
      <c r="X835" s="33">
        <f>IF(V835="","",IF(V835&lt;=Breakdowns!$D$5,1,IF(V835&lt;=Breakdowns!$D$6,2,IF(V835&lt;=Breakdowns!$D$7,3,4))))</f>
        <v>2</v>
      </c>
      <c r="Y835" s="34">
        <f>INDEX(Stores!$F$2:$F$21,MATCH(B835,Stores!$A$2:$A$21,0))</f>
        <v>4.05</v>
      </c>
      <c r="Z835" s="33">
        <f>IF(Y835&gt;Store_Summary!$M$2,1,0)</f>
        <v>0</v>
      </c>
      <c r="AA835" s="33">
        <f>INDEX(Stores!$C$2:$C$21,MATCH(B835,Stores!$A$2:$A$21,0))</f>
        <v>661</v>
      </c>
      <c r="AB835" s="33">
        <f>IF(AA835&lt;180,1,0)</f>
        <v>0</v>
      </c>
      <c r="AC835" s="32" t="str">
        <f>IF(Orders!D832="","",INDEX(Riders!$C$2:$C$81,MATCH(Orders!D832,Riders!$A$2:$A$81,0)))</f>
        <v>Petrol scooter</v>
      </c>
      <c r="AD835" s="33">
        <f>IF(Orders!D832="","",INDEX(Riders!$D$2:$D$81,MATCH(Orders!D832,Riders!$A$2:$A$81,0)))</f>
        <v>10</v>
      </c>
      <c r="AE835" s="33">
        <f>IF(Orders!D832="","",IF(INDEX(Riders!$B$2:$B$81,MATCH(Orders!D832,Riders!$A$2:$A$81,0))=B835,1,0))</f>
        <v>0</v>
      </c>
      <c r="AF835" s="34">
        <f>IF(E835=1,Orders!L832,"")</f>
        <v>1.71</v>
      </c>
      <c r="AG835" s="34">
        <f>IF(E835=1,Orders!P832,"")</f>
        <v>9.2</v>
      </c>
      <c r="AH835" s="34">
        <f>IF(E835=1,Orders!Q832,"")</f>
        <v>8.6</v>
      </c>
      <c r="AI835" s="34">
        <f>IF(E835=1,Orders!M832,"")</f>
        <v>2.8</v>
      </c>
      <c r="AJ835" s="34">
        <f>IF(E835=1,Orders!N832,"")</f>
        <v>2.2</v>
      </c>
      <c r="AK835" s="34">
        <f>IF(E835=1,Orders!O832,"")</f>
        <v>3.6</v>
      </c>
      <c r="AL835" s="33">
        <f>IF(E835=1,IF(ROUND(ABS(AI835+AJ835+AK835-AH835),6)&lt;=0.1,1,0),"")</f>
        <v>1</v>
      </c>
      <c r="AM835" s="36">
        <f>IF(E835=1,AI835/AH835,"")</f>
        <v>0.325581395348837</v>
      </c>
      <c r="AN835" s="36">
        <f>IF(E835=1,AJ835/AH835,"")</f>
        <v>0.255813953488372</v>
      </c>
      <c r="AO835" s="36">
        <f>IF(E835=1,AK835/AH835,"")</f>
        <v>0.418604651162791</v>
      </c>
      <c r="AP835" s="34">
        <f>IF(E835=1,Orders!Y832,"")</f>
        <v>0.4</v>
      </c>
      <c r="AQ835" s="33">
        <f>IF(Orders!X832,1,0)</f>
        <v>0</v>
      </c>
      <c r="AR835" s="34" t="str">
        <f>IF(AND(E835=1,L835=1),AJ835,"")</f>
        <v/>
      </c>
      <c r="AS835" s="34">
        <f>IF(AND(E835=1,L835=0),AJ835,"")</f>
        <v>2.2</v>
      </c>
      <c r="AT835" s="34" t="str">
        <f>IF(AND(E835=1,L835=1),AI835,"")</f>
        <v/>
      </c>
      <c r="AU835" s="34">
        <f>IF(AND(E835=1,L835=0),AI835,"")</f>
        <v>2.8</v>
      </c>
      <c r="AV835" s="34" t="str">
        <f>IF(AND(E835=1,L835=1),AG835,"")</f>
        <v/>
      </c>
      <c r="AW835" s="34">
        <f>IF(AND(E835=1,L835=0),AG835,"")</f>
        <v>9.2</v>
      </c>
      <c r="AX835" s="34" t="str">
        <f>IF(AND(E835=1,L835=1),AH835,"")</f>
        <v/>
      </c>
      <c r="AY835" s="34">
        <f>IF(AND(E835=1,L835=0),AH835,"")</f>
        <v>8.6</v>
      </c>
      <c r="AZ835" s="34" t="str">
        <f>IF(G835=1,F835,"")</f>
        <v/>
      </c>
      <c r="BA835" s="34" t="str">
        <f>IF(AND(G835=1,L835=1),F835,"")</f>
        <v/>
      </c>
      <c r="BB835" s="34" t="str">
        <f>IF(AND(G835=1,L835=0),F835,"")</f>
        <v/>
      </c>
      <c r="BC835" s="33">
        <f>IF(E835=1,IF(Orders!R832&gt;3,1,0),"")</f>
        <v>0</v>
      </c>
      <c r="BD835" s="33">
        <f>IF(E835=1,IF(Orders!R832&gt;7,1,0),"")</f>
        <v>0</v>
      </c>
      <c r="BE835" s="32" t="str">
        <f>IF(E835=1,IF(Orders!L832&lt;=1.5,"Up to 1.5 km",IF(Orders!L832&lt;=3,"1.5–3 km","Over 3 km")),"")</f>
        <v>1.5–3 km</v>
      </c>
      <c r="BF835" s="33">
        <f>IF(E835=1,IF(ABS((Orders!G832-Orders!F832)*1440-Orders!R832)&lt;0.06,1,0),"")</f>
        <v>1</v>
      </c>
      <c r="BG835" s="33">
        <f>IF(ABS((Orders!F832-Orders!E832)*1440-Orders!P832)&lt;0.06,1,0)</f>
        <v>1</v>
      </c>
      <c r="BH835" s="33">
        <f>IF(E835=1,IF(IF(Orders!S832,1,0)=1-G835,1,0),"")</f>
        <v>1</v>
      </c>
      <c r="BI835" s="32" t="str">
        <f>INDEX(Stores!$B$2:$B$21,MATCH(B835,Stores!$A$2:$A$21,0))</f>
        <v>Hyderabad</v>
      </c>
    </row>
    <row r="836">
      <c r="A836" s="32" t="str">
        <f>Orders!A833</f>
        <v>O00832</v>
      </c>
      <c r="B836" s="32" t="str">
        <f>Orders!C833</f>
        <v>S013</v>
      </c>
      <c r="C836" s="32" t="str">
        <f>Orders!B833</f>
        <v>C0139</v>
      </c>
      <c r="D836" s="32" t="str">
        <f>Orders!H833</f>
        <v>Delivered</v>
      </c>
      <c r="E836" s="33">
        <f>IF(Orders!H833="Delivered",1,0)</f>
        <v>1</v>
      </c>
      <c r="F836" s="34">
        <f>IF(E836=1,Orders!R833,"")</f>
        <v>-0.8</v>
      </c>
      <c r="G836" s="33">
        <f>IF(E836=1,IF(Orders!R833&gt;0,1,0),"")</f>
        <v>0</v>
      </c>
      <c r="H836" s="33">
        <f>IF(E836=1,IF(Orders!R833&gt;5,1,0),"")</f>
        <v>0</v>
      </c>
      <c r="I836" s="32" t="str">
        <f>IF(E836=1,"",IF(OR(Orders!T833="Rider unavailable",Orders!T833="Item unavailable"),"Company-caused","Unresolved"))</f>
        <v/>
      </c>
      <c r="J836" s="33">
        <f>IF(OR(E836=1,I836="Company-caused"),1,0)</f>
        <v>1</v>
      </c>
      <c r="K836" s="32" t="str">
        <f>IF(E836=0,IF(I836="Company-caused",IF(Orders!T833="Rider unavailable","C1 Rider unavailable","C2 Item unavailable"),"Outside root: unresolved"),IF(G836=0,"A On time",IF(H836=1,IF(L836=1,"B2a Severe, peak","B2b Severe, off-peak"),IF(L836=1,"B1a Slight, peak","B1b Slight, off-peak"))))</f>
        <v>A On time</v>
      </c>
      <c r="L836" s="33">
        <f>IF(AND(Orders!U833&gt;=19,Orders!U833&lt;22),1,0)</f>
        <v>0</v>
      </c>
      <c r="M836" s="33">
        <f>IF(L836=IF(Orders!V833,1,0),1,0)</f>
        <v>1</v>
      </c>
      <c r="N836" s="32" t="str">
        <f>IF(Orders!W833="","None",Orders!W833)</f>
        <v>None</v>
      </c>
      <c r="O836" s="35">
        <f>INT(Orders!E833)</f>
        <v>46270.0</v>
      </c>
      <c r="P836" s="33">
        <f>Orders!U833</f>
        <v>18</v>
      </c>
      <c r="Q836" s="33">
        <f>COUNTIFS(Demand!$A$2:$A$4481,B836,Demand!$B$2:$B$4481,O836,Demand!$C$2:$C$4481,P836)</f>
        <v>1</v>
      </c>
      <c r="R836" s="33">
        <f>IF(Q836=1,SUMIFS(Demand!$E$2:$E$4481,Demand!$A$2:$A$4481,B836,Demand!$B$2:$B$4481,O836,Demand!$C$2:$C$4481,P836),"")</f>
        <v>48</v>
      </c>
      <c r="S836" s="33">
        <f>INDEX(Stores!$G$2:$G$21,MATCH(B836,Stores!$A$2:$A$21,0))</f>
        <v>49</v>
      </c>
      <c r="T836" s="34">
        <f>IF(R836="","",R836/S836)</f>
        <v>0.979591836734694</v>
      </c>
      <c r="U836" s="34">
        <f>IF(E836=1,T836,"")</f>
        <v>0.979591836734694</v>
      </c>
      <c r="V836" s="34">
        <f>IF(AND(E836=1,L836=0),T836,"")</f>
        <v>0.979591836734694</v>
      </c>
      <c r="W836" s="33">
        <f>IF(U836="","",IF(U836&lt;=Breakdowns!$C$5,1,IF(U836&lt;=Breakdowns!$C$6,2,IF(U836&lt;=Breakdowns!$C$7,3,4))))</f>
        <v>2</v>
      </c>
      <c r="X836" s="33">
        <f>IF(V836="","",IF(V836&lt;=Breakdowns!$D$5,1,IF(V836&lt;=Breakdowns!$D$6,2,IF(V836&lt;=Breakdowns!$D$7,3,4))))</f>
        <v>3</v>
      </c>
      <c r="Y836" s="34">
        <f>INDEX(Stores!$F$2:$F$21,MATCH(B836,Stores!$A$2:$A$21,0))</f>
        <v>5.82</v>
      </c>
      <c r="Z836" s="33">
        <f>IF(Y836&gt;Store_Summary!$M$2,1,0)</f>
        <v>1</v>
      </c>
      <c r="AA836" s="33">
        <f>INDEX(Stores!$C$2:$C$21,MATCH(B836,Stores!$A$2:$A$21,0))</f>
        <v>705</v>
      </c>
      <c r="AB836" s="33">
        <f>IF(AA836&lt;180,1,0)</f>
        <v>0</v>
      </c>
      <c r="AC836" s="32" t="str">
        <f>IF(Orders!D833="","",INDEX(Riders!$C$2:$C$81,MATCH(Orders!D833,Riders!$A$2:$A$81,0)))</f>
        <v>Petrol scooter</v>
      </c>
      <c r="AD836" s="33">
        <f>IF(Orders!D833="","",INDEX(Riders!$D$2:$D$81,MATCH(Orders!D833,Riders!$A$2:$A$81,0)))</f>
        <v>35</v>
      </c>
      <c r="AE836" s="33">
        <f>IF(Orders!D833="","",IF(INDEX(Riders!$B$2:$B$81,MATCH(Orders!D833,Riders!$A$2:$A$81,0))=B836,1,0))</f>
        <v>0</v>
      </c>
      <c r="AF836" s="34">
        <f>IF(E836=1,Orders!L833,"")</f>
        <v>3</v>
      </c>
      <c r="AG836" s="34">
        <f>IF(E836=1,Orders!P833,"")</f>
        <v>8.2</v>
      </c>
      <c r="AH836" s="34">
        <f>IF(E836=1,Orders!Q833,"")</f>
        <v>7.4</v>
      </c>
      <c r="AI836" s="34">
        <f>IF(E836=1,Orders!M833,"")</f>
        <v>2.6</v>
      </c>
      <c r="AJ836" s="34">
        <f>IF(E836=1,Orders!N833,"")</f>
        <v>2</v>
      </c>
      <c r="AK836" s="34">
        <f>IF(E836=1,Orders!O833,"")</f>
        <v>2.8</v>
      </c>
      <c r="AL836" s="33">
        <f>IF(E836=1,IF(ROUND(ABS(AI836+AJ836+AK836-AH836),6)&lt;=0.1,1,0),"")</f>
        <v>1</v>
      </c>
      <c r="AM836" s="36">
        <f>IF(E836=1,AI836/AH836,"")</f>
        <v>0.351351351351351</v>
      </c>
      <c r="AN836" s="36">
        <f>IF(E836=1,AJ836/AH836,"")</f>
        <v>0.27027027027027</v>
      </c>
      <c r="AO836" s="36">
        <f>IF(E836=1,AK836/AH836,"")</f>
        <v>0.378378378378378</v>
      </c>
      <c r="AP836" s="34">
        <f>IF(E836=1,Orders!Y833,"")</f>
        <v>0.34</v>
      </c>
      <c r="AQ836" s="33">
        <f>IF(Orders!X833,1,0)</f>
        <v>0</v>
      </c>
      <c r="AR836" s="34" t="str">
        <f>IF(AND(E836=1,L836=1),AJ836,"")</f>
        <v/>
      </c>
      <c r="AS836" s="34">
        <f>IF(AND(E836=1,L836=0),AJ836,"")</f>
        <v>2</v>
      </c>
      <c r="AT836" s="34" t="str">
        <f>IF(AND(E836=1,L836=1),AI836,"")</f>
        <v/>
      </c>
      <c r="AU836" s="34">
        <f>IF(AND(E836=1,L836=0),AI836,"")</f>
        <v>2.6</v>
      </c>
      <c r="AV836" s="34" t="str">
        <f>IF(AND(E836=1,L836=1),AG836,"")</f>
        <v/>
      </c>
      <c r="AW836" s="34">
        <f>IF(AND(E836=1,L836=0),AG836,"")</f>
        <v>8.2</v>
      </c>
      <c r="AX836" s="34" t="str">
        <f>IF(AND(E836=1,L836=1),AH836,"")</f>
        <v/>
      </c>
      <c r="AY836" s="34">
        <f>IF(AND(E836=1,L836=0),AH836,"")</f>
        <v>7.4</v>
      </c>
      <c r="AZ836" s="34" t="str">
        <f>IF(G836=1,F836,"")</f>
        <v/>
      </c>
      <c r="BA836" s="34" t="str">
        <f>IF(AND(G836=1,L836=1),F836,"")</f>
        <v/>
      </c>
      <c r="BB836" s="34" t="str">
        <f>IF(AND(G836=1,L836=0),F836,"")</f>
        <v/>
      </c>
      <c r="BC836" s="33">
        <f>IF(E836=1,IF(Orders!R833&gt;3,1,0),"")</f>
        <v>0</v>
      </c>
      <c r="BD836" s="33">
        <f>IF(E836=1,IF(Orders!R833&gt;7,1,0),"")</f>
        <v>0</v>
      </c>
      <c r="BE836" s="32" t="str">
        <f>IF(E836=1,IF(Orders!L833&lt;=1.5,"Up to 1.5 km",IF(Orders!L833&lt;=3,"1.5–3 km","Over 3 km")),"")</f>
        <v>1.5–3 km</v>
      </c>
      <c r="BF836" s="33">
        <f>IF(E836=1,IF(ABS((Orders!G833-Orders!F833)*1440-Orders!R833)&lt;0.06,1,0),"")</f>
        <v>1</v>
      </c>
      <c r="BG836" s="33">
        <f>IF(ABS((Orders!F833-Orders!E833)*1440-Orders!P833)&lt;0.06,1,0)</f>
        <v>1</v>
      </c>
      <c r="BH836" s="33">
        <f>IF(E836=1,IF(IF(Orders!S833,1,0)=1-G836,1,0),"")</f>
        <v>1</v>
      </c>
      <c r="BI836" s="32" t="str">
        <f>INDEX(Stores!$B$2:$B$21,MATCH(B836,Stores!$A$2:$A$21,0))</f>
        <v>Mumbai</v>
      </c>
    </row>
    <row r="837">
      <c r="A837" s="32" t="str">
        <f>Orders!A834</f>
        <v>O00833</v>
      </c>
      <c r="B837" s="32" t="str">
        <f>Orders!C834</f>
        <v>S012</v>
      </c>
      <c r="C837" s="32" t="str">
        <f>Orders!B834</f>
        <v>C0192</v>
      </c>
      <c r="D837" s="32" t="str">
        <f>Orders!H834</f>
        <v>Delivered</v>
      </c>
      <c r="E837" s="33">
        <f>IF(Orders!H834="Delivered",1,0)</f>
        <v>1</v>
      </c>
      <c r="F837" s="34">
        <f>IF(E837=1,Orders!R834,"")</f>
        <v>-0.7</v>
      </c>
      <c r="G837" s="33">
        <f>IF(E837=1,IF(Orders!R834&gt;0,1,0),"")</f>
        <v>0</v>
      </c>
      <c r="H837" s="33">
        <f>IF(E837=1,IF(Orders!R834&gt;5,1,0),"")</f>
        <v>0</v>
      </c>
      <c r="I837" s="32" t="str">
        <f>IF(E837=1,"",IF(OR(Orders!T834="Rider unavailable",Orders!T834="Item unavailable"),"Company-caused","Unresolved"))</f>
        <v/>
      </c>
      <c r="J837" s="33">
        <f>IF(OR(E837=1,I837="Company-caused"),1,0)</f>
        <v>1</v>
      </c>
      <c r="K837" s="32" t="str">
        <f>IF(E837=0,IF(I837="Company-caused",IF(Orders!T834="Rider unavailable","C1 Rider unavailable","C2 Item unavailable"),"Outside root: unresolved"),IF(G837=0,"A On time",IF(H837=1,IF(L837=1,"B2a Severe, peak","B2b Severe, off-peak"),IF(L837=1,"B1a Slight, peak","B1b Slight, off-peak"))))</f>
        <v>A On time</v>
      </c>
      <c r="L837" s="33">
        <f>IF(AND(Orders!U834&gt;=19,Orders!U834&lt;22),1,0)</f>
        <v>0</v>
      </c>
      <c r="M837" s="33">
        <f>IF(L837=IF(Orders!V834,1,0),1,0)</f>
        <v>1</v>
      </c>
      <c r="N837" s="32" t="str">
        <f>IF(Orders!W834="","None",Orders!W834)</f>
        <v>None</v>
      </c>
      <c r="O837" s="35">
        <f>INT(Orders!E834)</f>
        <v>46269.0</v>
      </c>
      <c r="P837" s="33">
        <f>Orders!U834</f>
        <v>9</v>
      </c>
      <c r="Q837" s="33">
        <f>COUNTIFS(Demand!$A$2:$A$4481,B837,Demand!$B$2:$B$4481,O837,Demand!$C$2:$C$4481,P837)</f>
        <v>1</v>
      </c>
      <c r="R837" s="33">
        <f>IF(Q837=1,SUMIFS(Demand!$E$2:$E$4481,Demand!$A$2:$A$4481,B837,Demand!$B$2:$B$4481,O837,Demand!$C$2:$C$4481,P837),"")</f>
        <v>8</v>
      </c>
      <c r="S837" s="33">
        <f>INDEX(Stores!$G$2:$G$21,MATCH(B837,Stores!$A$2:$A$21,0))</f>
        <v>15</v>
      </c>
      <c r="T837" s="34">
        <f>IF(R837="","",R837/S837)</f>
        <v>0.533333333333333</v>
      </c>
      <c r="U837" s="34">
        <f>IF(E837=1,T837,"")</f>
        <v>0.533333333333333</v>
      </c>
      <c r="V837" s="34">
        <f>IF(AND(E837=1,L837=0),T837,"")</f>
        <v>0.533333333333333</v>
      </c>
      <c r="W837" s="33">
        <f>IF(U837="","",IF(U837&lt;=Breakdowns!$C$5,1,IF(U837&lt;=Breakdowns!$C$6,2,IF(U837&lt;=Breakdowns!$C$7,3,4))))</f>
        <v>1</v>
      </c>
      <c r="X837" s="33">
        <f>IF(V837="","",IF(V837&lt;=Breakdowns!$D$5,1,IF(V837&lt;=Breakdowns!$D$6,2,IF(V837&lt;=Breakdowns!$D$7,3,4))))</f>
        <v>1</v>
      </c>
      <c r="Y837" s="34">
        <f>INDEX(Stores!$F$2:$F$21,MATCH(B837,Stores!$A$2:$A$21,0))</f>
        <v>5.23</v>
      </c>
      <c r="Z837" s="33">
        <f>IF(Y837&gt;Store_Summary!$M$2,1,0)</f>
        <v>1</v>
      </c>
      <c r="AA837" s="33">
        <f>INDEX(Stores!$C$2:$C$21,MATCH(B837,Stores!$A$2:$A$21,0))</f>
        <v>300</v>
      </c>
      <c r="AB837" s="33">
        <f>IF(AA837&lt;180,1,0)</f>
        <v>0</v>
      </c>
      <c r="AC837" s="32" t="str">
        <f>IF(Orders!D834="","",INDEX(Riders!$C$2:$C$81,MATCH(Orders!D834,Riders!$A$2:$A$81,0)))</f>
        <v>Petrol scooter</v>
      </c>
      <c r="AD837" s="33">
        <f>IF(Orders!D834="","",INDEX(Riders!$D$2:$D$81,MATCH(Orders!D834,Riders!$A$2:$A$81,0)))</f>
        <v>29</v>
      </c>
      <c r="AE837" s="33">
        <f>IF(Orders!D834="","",IF(INDEX(Riders!$B$2:$B$81,MATCH(Orders!D834,Riders!$A$2:$A$81,0))=B837,1,0))</f>
        <v>0</v>
      </c>
      <c r="AF837" s="34">
        <f>IF(E837=1,Orders!L834,"")</f>
        <v>1.68</v>
      </c>
      <c r="AG837" s="34">
        <f>IF(E837=1,Orders!P834,"")</f>
        <v>10.5</v>
      </c>
      <c r="AH837" s="34">
        <f>IF(E837=1,Orders!Q834,"")</f>
        <v>9.8</v>
      </c>
      <c r="AI837" s="34">
        <f>IF(E837=1,Orders!M834,"")</f>
        <v>3.6</v>
      </c>
      <c r="AJ837" s="34">
        <f>IF(E837=1,Orders!N834,"")</f>
        <v>2.3</v>
      </c>
      <c r="AK837" s="34">
        <f>IF(E837=1,Orders!O834,"")</f>
        <v>3.9</v>
      </c>
      <c r="AL837" s="33">
        <f>IF(E837=1,IF(ROUND(ABS(AI837+AJ837+AK837-AH837),6)&lt;=0.1,1,0),"")</f>
        <v>1</v>
      </c>
      <c r="AM837" s="36">
        <f>IF(E837=1,AI837/AH837,"")</f>
        <v>0.36734693877551</v>
      </c>
      <c r="AN837" s="36">
        <f>IF(E837=1,AJ837/AH837,"")</f>
        <v>0.23469387755102</v>
      </c>
      <c r="AO837" s="36">
        <f>IF(E837=1,AK837/AH837,"")</f>
        <v>0.397959183673469</v>
      </c>
      <c r="AP837" s="34">
        <f>IF(E837=1,Orders!Y834,"")</f>
        <v>0.62</v>
      </c>
      <c r="AQ837" s="33">
        <f>IF(Orders!X834,1,0)</f>
        <v>0</v>
      </c>
      <c r="AR837" s="34" t="str">
        <f>IF(AND(E837=1,L837=1),AJ837,"")</f>
        <v/>
      </c>
      <c r="AS837" s="34">
        <f>IF(AND(E837=1,L837=0),AJ837,"")</f>
        <v>2.3</v>
      </c>
      <c r="AT837" s="34" t="str">
        <f>IF(AND(E837=1,L837=1),AI837,"")</f>
        <v/>
      </c>
      <c r="AU837" s="34">
        <f>IF(AND(E837=1,L837=0),AI837,"")</f>
        <v>3.6</v>
      </c>
      <c r="AV837" s="34" t="str">
        <f>IF(AND(E837=1,L837=1),AG837,"")</f>
        <v/>
      </c>
      <c r="AW837" s="34">
        <f>IF(AND(E837=1,L837=0),AG837,"")</f>
        <v>10.5</v>
      </c>
      <c r="AX837" s="34" t="str">
        <f>IF(AND(E837=1,L837=1),AH837,"")</f>
        <v/>
      </c>
      <c r="AY837" s="34">
        <f>IF(AND(E837=1,L837=0),AH837,"")</f>
        <v>9.8</v>
      </c>
      <c r="AZ837" s="34" t="str">
        <f>IF(G837=1,F837,"")</f>
        <v/>
      </c>
      <c r="BA837" s="34" t="str">
        <f>IF(AND(G837=1,L837=1),F837,"")</f>
        <v/>
      </c>
      <c r="BB837" s="34" t="str">
        <f>IF(AND(G837=1,L837=0),F837,"")</f>
        <v/>
      </c>
      <c r="BC837" s="33">
        <f>IF(E837=1,IF(Orders!R834&gt;3,1,0),"")</f>
        <v>0</v>
      </c>
      <c r="BD837" s="33">
        <f>IF(E837=1,IF(Orders!R834&gt;7,1,0),"")</f>
        <v>0</v>
      </c>
      <c r="BE837" s="32" t="str">
        <f>IF(E837=1,IF(Orders!L834&lt;=1.5,"Up to 1.5 km",IF(Orders!L834&lt;=3,"1.5–3 km","Over 3 km")),"")</f>
        <v>1.5–3 km</v>
      </c>
      <c r="BF837" s="33">
        <f>IF(E837=1,IF(ABS((Orders!G834-Orders!F834)*1440-Orders!R834)&lt;0.06,1,0),"")</f>
        <v>1</v>
      </c>
      <c r="BG837" s="33">
        <f>IF(ABS((Orders!F834-Orders!E834)*1440-Orders!P834)&lt;0.06,1,0)</f>
        <v>1</v>
      </c>
      <c r="BH837" s="33">
        <f>IF(E837=1,IF(IF(Orders!S834,1,0)=1-G837,1,0),"")</f>
        <v>1</v>
      </c>
      <c r="BI837" s="32" t="str">
        <f>INDEX(Stores!$B$2:$B$21,MATCH(B837,Stores!$A$2:$A$21,0))</f>
        <v>Hyderabad</v>
      </c>
    </row>
    <row r="838">
      <c r="A838" s="32" t="str">
        <f>Orders!A835</f>
        <v>O00834</v>
      </c>
      <c r="B838" s="32" t="str">
        <f>Orders!C835</f>
        <v>S003</v>
      </c>
      <c r="C838" s="32" t="str">
        <f>Orders!B835</f>
        <v>C0163</v>
      </c>
      <c r="D838" s="32" t="str">
        <f>Orders!H835</f>
        <v>Cancelled</v>
      </c>
      <c r="E838" s="33">
        <f>IF(Orders!H835="Delivered",1,0)</f>
        <v>0</v>
      </c>
      <c r="F838" s="34" t="str">
        <f>IF(E838=1,Orders!R835,"")</f>
        <v/>
      </c>
      <c r="G838" s="33" t="str">
        <f>IF(E838=1,IF(Orders!R835&gt;0,1,0),"")</f>
        <v/>
      </c>
      <c r="H838" s="33" t="str">
        <f>IF(E838=1,IF(Orders!R835&gt;5,1,0),"")</f>
        <v/>
      </c>
      <c r="I838" s="32" t="str">
        <f>IF(E838=1,"",IF(OR(Orders!T835="Rider unavailable",Orders!T835="Item unavailable"),"Company-caused","Unresolved"))</f>
        <v>Company-caused</v>
      </c>
      <c r="J838" s="33">
        <f>IF(OR(E838=1,I838="Company-caused"),1,0)</f>
        <v>1</v>
      </c>
      <c r="K838" s="32" t="str">
        <f>IF(E838=0,IF(I838="Company-caused",IF(Orders!T835="Rider unavailable","C1 Rider unavailable","C2 Item unavailable"),"Outside root: unresolved"),IF(G838=0,"A On time",IF(H838=1,IF(L838=1,"B2a Severe, peak","B2b Severe, off-peak"),IF(L838=1,"B1a Slight, peak","B1b Slight, off-peak"))))</f>
        <v>C1 Rider unavailable</v>
      </c>
      <c r="L838" s="33">
        <f>IF(AND(Orders!U835&gt;=19,Orders!U835&lt;22),1,0)</f>
        <v>0</v>
      </c>
      <c r="M838" s="33">
        <f>IF(L838=IF(Orders!V835,1,0),1,0)</f>
        <v>1</v>
      </c>
      <c r="N838" s="32" t="str">
        <f>IF(Orders!W835="","None",Orders!W835)</f>
        <v>Heavy</v>
      </c>
      <c r="O838" s="35">
        <f>INT(Orders!E835)</f>
        <v>46267.0</v>
      </c>
      <c r="P838" s="33">
        <f>Orders!U835</f>
        <v>12</v>
      </c>
      <c r="Q838" s="33">
        <f>COUNTIFS(Demand!$A$2:$A$4481,B838,Demand!$B$2:$B$4481,O838,Demand!$C$2:$C$4481,P838)</f>
        <v>1</v>
      </c>
      <c r="R838" s="33">
        <f>IF(Q838=1,SUMIFS(Demand!$E$2:$E$4481,Demand!$A$2:$A$4481,B838,Demand!$B$2:$B$4481,O838,Demand!$C$2:$C$4481,P838),"")</f>
        <v>34</v>
      </c>
      <c r="S838" s="33">
        <f>INDEX(Stores!$G$2:$G$21,MATCH(B838,Stores!$A$2:$A$21,0))</f>
        <v>41</v>
      </c>
      <c r="T838" s="34">
        <f>IF(R838="","",R838/S838)</f>
        <v>0.829268292682927</v>
      </c>
      <c r="U838" s="34" t="str">
        <f>IF(E838=1,T838,"")</f>
        <v/>
      </c>
      <c r="V838" s="34" t="str">
        <f>IF(AND(E838=1,L838=0),T838,"")</f>
        <v/>
      </c>
      <c r="W838" s="33" t="str">
        <f>IF(U838="","",IF(U838&lt;=Breakdowns!$C$5,1,IF(U838&lt;=Breakdowns!$C$6,2,IF(U838&lt;=Breakdowns!$C$7,3,4))))</f>
        <v/>
      </c>
      <c r="X838" s="33" t="str">
        <f>IF(V838="","",IF(V838&lt;=Breakdowns!$D$5,1,IF(V838&lt;=Breakdowns!$D$6,2,IF(V838&lt;=Breakdowns!$D$7,3,4))))</f>
        <v/>
      </c>
      <c r="Y838" s="34">
        <f>INDEX(Stores!$F$2:$F$21,MATCH(B838,Stores!$A$2:$A$21,0))</f>
        <v>3.84</v>
      </c>
      <c r="Z838" s="33">
        <f>IF(Y838&gt;Store_Summary!$M$2,1,0)</f>
        <v>0</v>
      </c>
      <c r="AA838" s="33">
        <f>INDEX(Stores!$C$2:$C$21,MATCH(B838,Stores!$A$2:$A$21,0))</f>
        <v>426</v>
      </c>
      <c r="AB838" s="33">
        <f>IF(AA838&lt;180,1,0)</f>
        <v>0</v>
      </c>
      <c r="AC838" s="32" t="str">
        <f>IF(Orders!D835="","",INDEX(Riders!$C$2:$C$81,MATCH(Orders!D835,Riders!$A$2:$A$81,0)))</f>
        <v/>
      </c>
      <c r="AD838" s="33" t="str">
        <f>IF(Orders!D835="","",INDEX(Riders!$D$2:$D$81,MATCH(Orders!D835,Riders!$A$2:$A$81,0)))</f>
        <v/>
      </c>
      <c r="AE838" s="33" t="str">
        <f>IF(Orders!D835="","",IF(INDEX(Riders!$B$2:$B$81,MATCH(Orders!D835,Riders!$A$2:$A$81,0))=B838,1,0))</f>
        <v/>
      </c>
      <c r="AF838" s="34" t="str">
        <f>IF(E838=1,Orders!L835,"")</f>
        <v/>
      </c>
      <c r="AG838" s="34" t="str">
        <f>IF(E838=1,Orders!P835,"")</f>
        <v/>
      </c>
      <c r="AH838" s="34" t="str">
        <f>IF(E838=1,Orders!Q835,"")</f>
        <v/>
      </c>
      <c r="AI838" s="34" t="str">
        <f>IF(E838=1,Orders!M835,"")</f>
        <v/>
      </c>
      <c r="AJ838" s="34" t="str">
        <f>IF(E838=1,Orders!N835,"")</f>
        <v/>
      </c>
      <c r="AK838" s="34" t="str">
        <f>IF(E838=1,Orders!O835,"")</f>
        <v/>
      </c>
      <c r="AL838" s="33" t="str">
        <f>IF(E838=1,IF(ROUND(ABS(AI838+AJ838+AK838-AH838),6)&lt;=0.1,1,0),"")</f>
        <v/>
      </c>
      <c r="AM838" s="36" t="str">
        <f>IF(E838=1,AI838/AH838,"")</f>
        <v/>
      </c>
      <c r="AN838" s="36" t="str">
        <f>IF(E838=1,AJ838/AH838,"")</f>
        <v/>
      </c>
      <c r="AO838" s="36" t="str">
        <f>IF(E838=1,AK838/AH838,"")</f>
        <v/>
      </c>
      <c r="AP838" s="34" t="str">
        <f>IF(E838=1,Orders!Y835,"")</f>
        <v/>
      </c>
      <c r="AQ838" s="33">
        <f>IF(Orders!X835,1,0)</f>
        <v>0</v>
      </c>
      <c r="AR838" s="34" t="str">
        <f>IF(AND(E838=1,L838=1),AJ838,"")</f>
        <v/>
      </c>
      <c r="AS838" s="34" t="str">
        <f>IF(AND(E838=1,L838=0),AJ838,"")</f>
        <v/>
      </c>
      <c r="AT838" s="34" t="str">
        <f>IF(AND(E838=1,L838=1),AI838,"")</f>
        <v/>
      </c>
      <c r="AU838" s="34" t="str">
        <f>IF(AND(E838=1,L838=0),AI838,"")</f>
        <v/>
      </c>
      <c r="AV838" s="34" t="str">
        <f>IF(AND(E838=1,L838=1),AG838,"")</f>
        <v/>
      </c>
      <c r="AW838" s="34" t="str">
        <f>IF(AND(E838=1,L838=0),AG838,"")</f>
        <v/>
      </c>
      <c r="AX838" s="34" t="str">
        <f>IF(AND(E838=1,L838=1),AH838,"")</f>
        <v/>
      </c>
      <c r="AY838" s="34" t="str">
        <f>IF(AND(E838=1,L838=0),AH838,"")</f>
        <v/>
      </c>
      <c r="AZ838" s="34" t="str">
        <f>IF(G838=1,F838,"")</f>
        <v/>
      </c>
      <c r="BA838" s="34" t="str">
        <f>IF(AND(G838=1,L838=1),F838,"")</f>
        <v/>
      </c>
      <c r="BB838" s="34" t="str">
        <f>IF(AND(G838=1,L838=0),F838,"")</f>
        <v/>
      </c>
      <c r="BC838" s="33" t="str">
        <f>IF(E838=1,IF(Orders!R835&gt;3,1,0),"")</f>
        <v/>
      </c>
      <c r="BD838" s="33" t="str">
        <f>IF(E838=1,IF(Orders!R835&gt;7,1,0),"")</f>
        <v/>
      </c>
      <c r="BE838" s="32" t="str">
        <f>IF(E838=1,IF(Orders!L835&lt;=1.5,"Up to 1.5 km",IF(Orders!L835&lt;=3,"1.5–3 km","Over 3 km")),"")</f>
        <v/>
      </c>
      <c r="BF838" s="33" t="str">
        <f>IF(E838=1,IF(ABS((Orders!G835-Orders!F835)*1440-Orders!R835)&lt;0.06,1,0),"")</f>
        <v/>
      </c>
      <c r="BG838" s="33">
        <f>IF(ABS((Orders!F835-Orders!E835)*1440-Orders!P835)&lt;0.06,1,0)</f>
        <v>1</v>
      </c>
      <c r="BH838" s="33" t="str">
        <f>IF(E838=1,IF(IF(Orders!S835,1,0)=1-G838,1,0),"")</f>
        <v/>
      </c>
      <c r="BI838" s="32" t="str">
        <f>INDEX(Stores!$B$2:$B$21,MATCH(B838,Stores!$A$2:$A$21,0))</f>
        <v>Mumbai</v>
      </c>
    </row>
    <row r="839">
      <c r="A839" s="32" t="str">
        <f>Orders!A836</f>
        <v>O00835</v>
      </c>
      <c r="B839" s="32" t="str">
        <f>Orders!C836</f>
        <v>S001</v>
      </c>
      <c r="C839" s="32" t="str">
        <f>Orders!B836</f>
        <v>C0162</v>
      </c>
      <c r="D839" s="32" t="str">
        <f>Orders!H836</f>
        <v>Delivered</v>
      </c>
      <c r="E839" s="33">
        <f>IF(Orders!H836="Delivered",1,0)</f>
        <v>1</v>
      </c>
      <c r="F839" s="34">
        <f>IF(E839=1,Orders!R836,"")</f>
        <v>-0.5</v>
      </c>
      <c r="G839" s="33">
        <f>IF(E839=1,IF(Orders!R836&gt;0,1,0),"")</f>
        <v>0</v>
      </c>
      <c r="H839" s="33">
        <f>IF(E839=1,IF(Orders!R836&gt;5,1,0),"")</f>
        <v>0</v>
      </c>
      <c r="I839" s="32" t="str">
        <f>IF(E839=1,"",IF(OR(Orders!T836="Rider unavailable",Orders!T836="Item unavailable"),"Company-caused","Unresolved"))</f>
        <v/>
      </c>
      <c r="J839" s="33">
        <f>IF(OR(E839=1,I839="Company-caused"),1,0)</f>
        <v>1</v>
      </c>
      <c r="K839" s="32" t="str">
        <f>IF(E839=0,IF(I839="Company-caused",IF(Orders!T836="Rider unavailable","C1 Rider unavailable","C2 Item unavailable"),"Outside root: unresolved"),IF(G839=0,"A On time",IF(H839=1,IF(L839=1,"B2a Severe, peak","B2b Severe, off-peak"),IF(L839=1,"B1a Slight, peak","B1b Slight, off-peak"))))</f>
        <v>A On time</v>
      </c>
      <c r="L839" s="33">
        <f>IF(AND(Orders!U836&gt;=19,Orders!U836&lt;22),1,0)</f>
        <v>0</v>
      </c>
      <c r="M839" s="33">
        <f>IF(L839=IF(Orders!V836,1,0),1,0)</f>
        <v>1</v>
      </c>
      <c r="N839" s="32" t="str">
        <f>IF(Orders!W836="","None",Orders!W836)</f>
        <v>None</v>
      </c>
      <c r="O839" s="35">
        <f>INT(Orders!E836)</f>
        <v>46277.0</v>
      </c>
      <c r="P839" s="33">
        <f>Orders!U836</f>
        <v>15</v>
      </c>
      <c r="Q839" s="33">
        <f>COUNTIFS(Demand!$A$2:$A$4481,B839,Demand!$B$2:$B$4481,O839,Demand!$C$2:$C$4481,P839)</f>
        <v>1</v>
      </c>
      <c r="R839" s="33">
        <f>IF(Q839=1,SUMIFS(Demand!$E$2:$E$4481,Demand!$A$2:$A$4481,B839,Demand!$B$2:$B$4481,O839,Demand!$C$2:$C$4481,P839),"")</f>
        <v>7</v>
      </c>
      <c r="S839" s="33">
        <f>INDEX(Stores!$G$2:$G$21,MATCH(B839,Stores!$A$2:$A$21,0))</f>
        <v>16</v>
      </c>
      <c r="T839" s="34">
        <f>IF(R839="","",R839/S839)</f>
        <v>0.4375</v>
      </c>
      <c r="U839" s="34">
        <f>IF(E839=1,T839,"")</f>
        <v>0.4375</v>
      </c>
      <c r="V839" s="34">
        <f>IF(AND(E839=1,L839=0),T839,"")</f>
        <v>0.4375</v>
      </c>
      <c r="W839" s="33">
        <f>IF(U839="","",IF(U839&lt;=Breakdowns!$C$5,1,IF(U839&lt;=Breakdowns!$C$6,2,IF(U839&lt;=Breakdowns!$C$7,3,4))))</f>
        <v>1</v>
      </c>
      <c r="X839" s="33">
        <f>IF(V839="","",IF(V839&lt;=Breakdowns!$D$5,1,IF(V839&lt;=Breakdowns!$D$6,2,IF(V839&lt;=Breakdowns!$D$7,3,4))))</f>
        <v>1</v>
      </c>
      <c r="Y839" s="34">
        <f>INDEX(Stores!$F$2:$F$21,MATCH(B839,Stores!$A$2:$A$21,0))</f>
        <v>4.59</v>
      </c>
      <c r="Z839" s="33">
        <f>IF(Y839&gt;Store_Summary!$M$2,1,0)</f>
        <v>0</v>
      </c>
      <c r="AA839" s="33">
        <f>INDEX(Stores!$C$2:$C$21,MATCH(B839,Stores!$A$2:$A$21,0))</f>
        <v>362</v>
      </c>
      <c r="AB839" s="33">
        <f>IF(AA839&lt;180,1,0)</f>
        <v>0</v>
      </c>
      <c r="AC839" s="32" t="str">
        <f>IF(Orders!D836="","",INDEX(Riders!$C$2:$C$81,MATCH(Orders!D836,Riders!$A$2:$A$81,0)))</f>
        <v>EV scooter</v>
      </c>
      <c r="AD839" s="33">
        <f>IF(Orders!D836="","",INDEX(Riders!$D$2:$D$81,MATCH(Orders!D836,Riders!$A$2:$A$81,0)))</f>
        <v>3</v>
      </c>
      <c r="AE839" s="33">
        <f>IF(Orders!D836="","",IF(INDEX(Riders!$B$2:$B$81,MATCH(Orders!D836,Riders!$A$2:$A$81,0))=B839,1,0))</f>
        <v>0</v>
      </c>
      <c r="AF839" s="34">
        <f>IF(E839=1,Orders!L836,"")</f>
        <v>0.84</v>
      </c>
      <c r="AG839" s="34">
        <f>IF(E839=1,Orders!P836,"")</f>
        <v>9.2</v>
      </c>
      <c r="AH839" s="34">
        <f>IF(E839=1,Orders!Q836,"")</f>
        <v>8.7</v>
      </c>
      <c r="AI839" s="34">
        <f>IF(E839=1,Orders!M836,"")</f>
        <v>2.4</v>
      </c>
      <c r="AJ839" s="34">
        <f>IF(E839=1,Orders!N836,"")</f>
        <v>4.5</v>
      </c>
      <c r="AK839" s="34">
        <f>IF(E839=1,Orders!O836,"")</f>
        <v>1.8</v>
      </c>
      <c r="AL839" s="33">
        <f>IF(E839=1,IF(ROUND(ABS(AI839+AJ839+AK839-AH839),6)&lt;=0.1,1,0),"")</f>
        <v>1</v>
      </c>
      <c r="AM839" s="36">
        <f>IF(E839=1,AI839/AH839,"")</f>
        <v>0.275862068965517</v>
      </c>
      <c r="AN839" s="36">
        <f>IF(E839=1,AJ839/AH839,"")</f>
        <v>0.517241379310345</v>
      </c>
      <c r="AO839" s="36">
        <f>IF(E839=1,AK839/AH839,"")</f>
        <v>0.206896551724138</v>
      </c>
      <c r="AP839" s="34">
        <f>IF(E839=1,Orders!Y836,"")</f>
        <v>0.66</v>
      </c>
      <c r="AQ839" s="33">
        <f>IF(Orders!X836,1,0)</f>
        <v>0</v>
      </c>
      <c r="AR839" s="34" t="str">
        <f>IF(AND(E839=1,L839=1),AJ839,"")</f>
        <v/>
      </c>
      <c r="AS839" s="34">
        <f>IF(AND(E839=1,L839=0),AJ839,"")</f>
        <v>4.5</v>
      </c>
      <c r="AT839" s="34" t="str">
        <f>IF(AND(E839=1,L839=1),AI839,"")</f>
        <v/>
      </c>
      <c r="AU839" s="34">
        <f>IF(AND(E839=1,L839=0),AI839,"")</f>
        <v>2.4</v>
      </c>
      <c r="AV839" s="34" t="str">
        <f>IF(AND(E839=1,L839=1),AG839,"")</f>
        <v/>
      </c>
      <c r="AW839" s="34">
        <f>IF(AND(E839=1,L839=0),AG839,"")</f>
        <v>9.2</v>
      </c>
      <c r="AX839" s="34" t="str">
        <f>IF(AND(E839=1,L839=1),AH839,"")</f>
        <v/>
      </c>
      <c r="AY839" s="34">
        <f>IF(AND(E839=1,L839=0),AH839,"")</f>
        <v>8.7</v>
      </c>
      <c r="AZ839" s="34" t="str">
        <f>IF(G839=1,F839,"")</f>
        <v/>
      </c>
      <c r="BA839" s="34" t="str">
        <f>IF(AND(G839=1,L839=1),F839,"")</f>
        <v/>
      </c>
      <c r="BB839" s="34" t="str">
        <f>IF(AND(G839=1,L839=0),F839,"")</f>
        <v/>
      </c>
      <c r="BC839" s="33">
        <f>IF(E839=1,IF(Orders!R836&gt;3,1,0),"")</f>
        <v>0</v>
      </c>
      <c r="BD839" s="33">
        <f>IF(E839=1,IF(Orders!R836&gt;7,1,0),"")</f>
        <v>0</v>
      </c>
      <c r="BE839" s="32" t="str">
        <f>IF(E839=1,IF(Orders!L836&lt;=1.5,"Up to 1.5 km",IF(Orders!L836&lt;=3,"1.5–3 km","Over 3 km")),"")</f>
        <v>Up to 1.5 km</v>
      </c>
      <c r="BF839" s="33">
        <f>IF(E839=1,IF(ABS((Orders!G836-Orders!F836)*1440-Orders!R836)&lt;0.06,1,0),"")</f>
        <v>1</v>
      </c>
      <c r="BG839" s="33">
        <f>IF(ABS((Orders!F836-Orders!E836)*1440-Orders!P836)&lt;0.06,1,0)</f>
        <v>1</v>
      </c>
      <c r="BH839" s="33">
        <f>IF(E839=1,IF(IF(Orders!S836,1,0)=1-G839,1,0),"")</f>
        <v>1</v>
      </c>
      <c r="BI839" s="32" t="str">
        <f>INDEX(Stores!$B$2:$B$21,MATCH(B839,Stores!$A$2:$A$21,0))</f>
        <v>Bengaluru</v>
      </c>
    </row>
    <row r="840">
      <c r="A840" s="32" t="str">
        <f>Orders!A837</f>
        <v>O00836</v>
      </c>
      <c r="B840" s="32" t="str">
        <f>Orders!C837</f>
        <v>S003</v>
      </c>
      <c r="C840" s="32" t="str">
        <f>Orders!B837</f>
        <v>C0037</v>
      </c>
      <c r="D840" s="32" t="str">
        <f>Orders!H837</f>
        <v>Delivered</v>
      </c>
      <c r="E840" s="33">
        <f>IF(Orders!H837="Delivered",1,0)</f>
        <v>1</v>
      </c>
      <c r="F840" s="34">
        <f>IF(E840=1,Orders!R837,"")</f>
        <v>-0.4</v>
      </c>
      <c r="G840" s="33">
        <f>IF(E840=1,IF(Orders!R837&gt;0,1,0),"")</f>
        <v>0</v>
      </c>
      <c r="H840" s="33">
        <f>IF(E840=1,IF(Orders!R837&gt;5,1,0),"")</f>
        <v>0</v>
      </c>
      <c r="I840" s="32" t="str">
        <f>IF(E840=1,"",IF(OR(Orders!T837="Rider unavailable",Orders!T837="Item unavailable"),"Company-caused","Unresolved"))</f>
        <v/>
      </c>
      <c r="J840" s="33">
        <f>IF(OR(E840=1,I840="Company-caused"),1,0)</f>
        <v>1</v>
      </c>
      <c r="K840" s="32" t="str">
        <f>IF(E840=0,IF(I840="Company-caused",IF(Orders!T837="Rider unavailable","C1 Rider unavailable","C2 Item unavailable"),"Outside root: unresolved"),IF(G840=0,"A On time",IF(H840=1,IF(L840=1,"B2a Severe, peak","B2b Severe, off-peak"),IF(L840=1,"B1a Slight, peak","B1b Slight, off-peak"))))</f>
        <v>A On time</v>
      </c>
      <c r="L840" s="33">
        <f>IF(AND(Orders!U837&gt;=19,Orders!U837&lt;22),1,0)</f>
        <v>0</v>
      </c>
      <c r="M840" s="33">
        <f>IF(L840=IF(Orders!V837,1,0),1,0)</f>
        <v>1</v>
      </c>
      <c r="N840" s="32" t="str">
        <f>IF(Orders!W837="","None",Orders!W837)</f>
        <v>None</v>
      </c>
      <c r="O840" s="35">
        <f>INT(Orders!E837)</f>
        <v>46269.0</v>
      </c>
      <c r="P840" s="33">
        <f>Orders!U837</f>
        <v>9</v>
      </c>
      <c r="Q840" s="33">
        <f>COUNTIFS(Demand!$A$2:$A$4481,B840,Demand!$B$2:$B$4481,O840,Demand!$C$2:$C$4481,P840)</f>
        <v>1</v>
      </c>
      <c r="R840" s="33">
        <f>IF(Q840=1,SUMIFS(Demand!$E$2:$E$4481,Demand!$A$2:$A$4481,B840,Demand!$B$2:$B$4481,O840,Demand!$C$2:$C$4481,P840),"")</f>
        <v>30</v>
      </c>
      <c r="S840" s="33">
        <f>INDEX(Stores!$G$2:$G$21,MATCH(B840,Stores!$A$2:$A$21,0))</f>
        <v>41</v>
      </c>
      <c r="T840" s="34">
        <f>IF(R840="","",R840/S840)</f>
        <v>0.731707317073171</v>
      </c>
      <c r="U840" s="34">
        <f>IF(E840=1,T840,"")</f>
        <v>0.731707317073171</v>
      </c>
      <c r="V840" s="34">
        <f>IF(AND(E840=1,L840=0),T840,"")</f>
        <v>0.731707317073171</v>
      </c>
      <c r="W840" s="33">
        <f>IF(U840="","",IF(U840&lt;=Breakdowns!$C$5,1,IF(U840&lt;=Breakdowns!$C$6,2,IF(U840&lt;=Breakdowns!$C$7,3,4))))</f>
        <v>1</v>
      </c>
      <c r="X840" s="33">
        <f>IF(V840="","",IF(V840&lt;=Breakdowns!$D$5,1,IF(V840&lt;=Breakdowns!$D$6,2,IF(V840&lt;=Breakdowns!$D$7,3,4))))</f>
        <v>1</v>
      </c>
      <c r="Y840" s="34">
        <f>INDEX(Stores!$F$2:$F$21,MATCH(B840,Stores!$A$2:$A$21,0))</f>
        <v>3.84</v>
      </c>
      <c r="Z840" s="33">
        <f>IF(Y840&gt;Store_Summary!$M$2,1,0)</f>
        <v>0</v>
      </c>
      <c r="AA840" s="33">
        <f>INDEX(Stores!$C$2:$C$21,MATCH(B840,Stores!$A$2:$A$21,0))</f>
        <v>426</v>
      </c>
      <c r="AB840" s="33">
        <f>IF(AA840&lt;180,1,0)</f>
        <v>0</v>
      </c>
      <c r="AC840" s="32" t="str">
        <f>IF(Orders!D837="","",INDEX(Riders!$C$2:$C$81,MATCH(Orders!D837,Riders!$A$2:$A$81,0)))</f>
        <v>Petrol scooter</v>
      </c>
      <c r="AD840" s="33">
        <f>IF(Orders!D837="","",INDEX(Riders!$D$2:$D$81,MATCH(Orders!D837,Riders!$A$2:$A$81,0)))</f>
        <v>15</v>
      </c>
      <c r="AE840" s="33">
        <f>IF(Orders!D837="","",IF(INDEX(Riders!$B$2:$B$81,MATCH(Orders!D837,Riders!$A$2:$A$81,0))=B840,1,0))</f>
        <v>0</v>
      </c>
      <c r="AF840" s="34">
        <f>IF(E840=1,Orders!L837,"")</f>
        <v>2.1</v>
      </c>
      <c r="AG840" s="34">
        <f>IF(E840=1,Orders!P837,"")</f>
        <v>9.4</v>
      </c>
      <c r="AH840" s="34">
        <f>IF(E840=1,Orders!Q837,"")</f>
        <v>9</v>
      </c>
      <c r="AI840" s="34">
        <f>IF(E840=1,Orders!M837,"")</f>
        <v>3</v>
      </c>
      <c r="AJ840" s="34">
        <f>IF(E840=1,Orders!N837,"")</f>
        <v>2.7</v>
      </c>
      <c r="AK840" s="34">
        <f>IF(E840=1,Orders!O837,"")</f>
        <v>3.3</v>
      </c>
      <c r="AL840" s="33">
        <f>IF(E840=1,IF(ROUND(ABS(AI840+AJ840+AK840-AH840),6)&lt;=0.1,1,0),"")</f>
        <v>1</v>
      </c>
      <c r="AM840" s="36">
        <f>IF(E840=1,AI840/AH840,"")</f>
        <v>0.333333333333333</v>
      </c>
      <c r="AN840" s="36">
        <f>IF(E840=1,AJ840/AH840,"")</f>
        <v>0.3</v>
      </c>
      <c r="AO840" s="36">
        <f>IF(E840=1,AK840/AH840,"")</f>
        <v>0.366666666666667</v>
      </c>
      <c r="AP840" s="34">
        <f>IF(E840=1,Orders!Y837,"")</f>
        <v>0.47</v>
      </c>
      <c r="AQ840" s="33">
        <f>IF(Orders!X837,1,0)</f>
        <v>0</v>
      </c>
      <c r="AR840" s="34" t="str">
        <f>IF(AND(E840=1,L840=1),AJ840,"")</f>
        <v/>
      </c>
      <c r="AS840" s="34">
        <f>IF(AND(E840=1,L840=0),AJ840,"")</f>
        <v>2.7</v>
      </c>
      <c r="AT840" s="34" t="str">
        <f>IF(AND(E840=1,L840=1),AI840,"")</f>
        <v/>
      </c>
      <c r="AU840" s="34">
        <f>IF(AND(E840=1,L840=0),AI840,"")</f>
        <v>3</v>
      </c>
      <c r="AV840" s="34" t="str">
        <f>IF(AND(E840=1,L840=1),AG840,"")</f>
        <v/>
      </c>
      <c r="AW840" s="34">
        <f>IF(AND(E840=1,L840=0),AG840,"")</f>
        <v>9.4</v>
      </c>
      <c r="AX840" s="34" t="str">
        <f>IF(AND(E840=1,L840=1),AH840,"")</f>
        <v/>
      </c>
      <c r="AY840" s="34">
        <f>IF(AND(E840=1,L840=0),AH840,"")</f>
        <v>9</v>
      </c>
      <c r="AZ840" s="34" t="str">
        <f>IF(G840=1,F840,"")</f>
        <v/>
      </c>
      <c r="BA840" s="34" t="str">
        <f>IF(AND(G840=1,L840=1),F840,"")</f>
        <v/>
      </c>
      <c r="BB840" s="34" t="str">
        <f>IF(AND(G840=1,L840=0),F840,"")</f>
        <v/>
      </c>
      <c r="BC840" s="33">
        <f>IF(E840=1,IF(Orders!R837&gt;3,1,0),"")</f>
        <v>0</v>
      </c>
      <c r="BD840" s="33">
        <f>IF(E840=1,IF(Orders!R837&gt;7,1,0),"")</f>
        <v>0</v>
      </c>
      <c r="BE840" s="32" t="str">
        <f>IF(E840=1,IF(Orders!L837&lt;=1.5,"Up to 1.5 km",IF(Orders!L837&lt;=3,"1.5–3 km","Over 3 km")),"")</f>
        <v>1.5–3 km</v>
      </c>
      <c r="BF840" s="33">
        <f>IF(E840=1,IF(ABS((Orders!G837-Orders!F837)*1440-Orders!R837)&lt;0.06,1,0),"")</f>
        <v>1</v>
      </c>
      <c r="BG840" s="33">
        <f>IF(ABS((Orders!F837-Orders!E837)*1440-Orders!P837)&lt;0.06,1,0)</f>
        <v>1</v>
      </c>
      <c r="BH840" s="33">
        <f>IF(E840=1,IF(IF(Orders!S837,1,0)=1-G840,1,0),"")</f>
        <v>1</v>
      </c>
      <c r="BI840" s="32" t="str">
        <f>INDEX(Stores!$B$2:$B$21,MATCH(B840,Stores!$A$2:$A$21,0))</f>
        <v>Mumbai</v>
      </c>
    </row>
    <row r="841">
      <c r="A841" s="32" t="str">
        <f>Orders!A838</f>
        <v>O00837</v>
      </c>
      <c r="B841" s="32" t="str">
        <f>Orders!C838</f>
        <v>S010</v>
      </c>
      <c r="C841" s="32" t="str">
        <f>Orders!B838</f>
        <v>C0052</v>
      </c>
      <c r="D841" s="32" t="str">
        <f>Orders!H838</f>
        <v>Delivered</v>
      </c>
      <c r="E841" s="33">
        <f>IF(Orders!H838="Delivered",1,0)</f>
        <v>1</v>
      </c>
      <c r="F841" s="34">
        <f>IF(E841=1,Orders!R838,"")</f>
        <v>10.2</v>
      </c>
      <c r="G841" s="33">
        <f>IF(E841=1,IF(Orders!R838&gt;0,1,0),"")</f>
        <v>1</v>
      </c>
      <c r="H841" s="33">
        <f>IF(E841=1,IF(Orders!R838&gt;5,1,0),"")</f>
        <v>1</v>
      </c>
      <c r="I841" s="32" t="str">
        <f>IF(E841=1,"",IF(OR(Orders!T838="Rider unavailable",Orders!T838="Item unavailable"),"Company-caused","Unresolved"))</f>
        <v/>
      </c>
      <c r="J841" s="33">
        <f>IF(OR(E841=1,I841="Company-caused"),1,0)</f>
        <v>1</v>
      </c>
      <c r="K841" s="32" t="str">
        <f>IF(E841=0,IF(I841="Company-caused",IF(Orders!T838="Rider unavailable","C1 Rider unavailable","C2 Item unavailable"),"Outside root: unresolved"),IF(G841=0,"A On time",IF(H841=1,IF(L841=1,"B2a Severe, peak","B2b Severe, off-peak"),IF(L841=1,"B1a Slight, peak","B1b Slight, off-peak"))))</f>
        <v>B2a Severe, peak</v>
      </c>
      <c r="L841" s="33">
        <f>IF(AND(Orders!U838&gt;=19,Orders!U838&lt;22),1,0)</f>
        <v>1</v>
      </c>
      <c r="M841" s="33">
        <f>IF(L841=IF(Orders!V838,1,0),1,0)</f>
        <v>1</v>
      </c>
      <c r="N841" s="32" t="str">
        <f>IF(Orders!W838="","None",Orders!W838)</f>
        <v>None</v>
      </c>
      <c r="O841" s="35">
        <f>INT(Orders!E838)</f>
        <v>46273.0</v>
      </c>
      <c r="P841" s="33">
        <f>Orders!U838</f>
        <v>21</v>
      </c>
      <c r="Q841" s="33">
        <f>COUNTIFS(Demand!$A$2:$A$4481,B841,Demand!$B$2:$B$4481,O841,Demand!$C$2:$C$4481,P841)</f>
        <v>1</v>
      </c>
      <c r="R841" s="33">
        <f>IF(Q841=1,SUMIFS(Demand!$E$2:$E$4481,Demand!$A$2:$A$4481,B841,Demand!$B$2:$B$4481,O841,Demand!$C$2:$C$4481,P841),"")</f>
        <v>30</v>
      </c>
      <c r="S841" s="33">
        <f>INDEX(Stores!$G$2:$G$21,MATCH(B841,Stores!$A$2:$A$21,0))</f>
        <v>22</v>
      </c>
      <c r="T841" s="34">
        <f>IF(R841="","",R841/S841)</f>
        <v>1.36363636363636</v>
      </c>
      <c r="U841" s="34">
        <f>IF(E841=1,T841,"")</f>
        <v>1.36363636363636</v>
      </c>
      <c r="V841" s="34" t="str">
        <f>IF(AND(E841=1,L841=0),T841,"")</f>
        <v/>
      </c>
      <c r="W841" s="33">
        <f>IF(U841="","",IF(U841&lt;=Breakdowns!$C$5,1,IF(U841&lt;=Breakdowns!$C$6,2,IF(U841&lt;=Breakdowns!$C$7,3,4))))</f>
        <v>4</v>
      </c>
      <c r="X841" s="33" t="str">
        <f>IF(V841="","",IF(V841&lt;=Breakdowns!$D$5,1,IF(V841&lt;=Breakdowns!$D$6,2,IF(V841&lt;=Breakdowns!$D$7,3,4))))</f>
        <v/>
      </c>
      <c r="Y841" s="34">
        <f>INDEX(Stores!$F$2:$F$21,MATCH(B841,Stores!$A$2:$A$21,0))</f>
        <v>5.61</v>
      </c>
      <c r="Z841" s="33">
        <f>IF(Y841&gt;Store_Summary!$M$2,1,0)</f>
        <v>1</v>
      </c>
      <c r="AA841" s="33">
        <f>INDEX(Stores!$C$2:$C$21,MATCH(B841,Stores!$A$2:$A$21,0))</f>
        <v>744</v>
      </c>
      <c r="AB841" s="33">
        <f>IF(AA841&lt;180,1,0)</f>
        <v>0</v>
      </c>
      <c r="AC841" s="32" t="str">
        <f>IF(Orders!D838="","",INDEX(Riders!$C$2:$C$81,MATCH(Orders!D838,Riders!$A$2:$A$81,0)))</f>
        <v>Petrol scooter</v>
      </c>
      <c r="AD841" s="33">
        <f>IF(Orders!D838="","",INDEX(Riders!$D$2:$D$81,MATCH(Orders!D838,Riders!$A$2:$A$81,0)))</f>
        <v>10</v>
      </c>
      <c r="AE841" s="33">
        <f>IF(Orders!D838="","",IF(INDEX(Riders!$B$2:$B$81,MATCH(Orders!D838,Riders!$A$2:$A$81,0))=B841,1,0))</f>
        <v>0</v>
      </c>
      <c r="AF841" s="34">
        <f>IF(E841=1,Orders!L838,"")</f>
        <v>2.32</v>
      </c>
      <c r="AG841" s="34">
        <f>IF(E841=1,Orders!P838,"")</f>
        <v>9.3</v>
      </c>
      <c r="AH841" s="34">
        <f>IF(E841=1,Orders!Q838,"")</f>
        <v>19.5</v>
      </c>
      <c r="AI841" s="34">
        <f>IF(E841=1,Orders!M838,"")</f>
        <v>6.2</v>
      </c>
      <c r="AJ841" s="34">
        <f>IF(E841=1,Orders!N838,"")</f>
        <v>5.1</v>
      </c>
      <c r="AK841" s="34">
        <f>IF(E841=1,Orders!O838,"")</f>
        <v>8.2</v>
      </c>
      <c r="AL841" s="33">
        <f>IF(E841=1,IF(ROUND(ABS(AI841+AJ841+AK841-AH841),6)&lt;=0.1,1,0),"")</f>
        <v>1</v>
      </c>
      <c r="AM841" s="36">
        <f>IF(E841=1,AI841/AH841,"")</f>
        <v>0.317948717948718</v>
      </c>
      <c r="AN841" s="36">
        <f>IF(E841=1,AJ841/AH841,"")</f>
        <v>0.261538461538462</v>
      </c>
      <c r="AO841" s="36">
        <f>IF(E841=1,AK841/AH841,"")</f>
        <v>0.42051282051282</v>
      </c>
      <c r="AP841" s="34">
        <f>IF(E841=1,Orders!Y838,"")</f>
        <v>0.86</v>
      </c>
      <c r="AQ841" s="33">
        <f>IF(Orders!X838,1,0)</f>
        <v>0</v>
      </c>
      <c r="AR841" s="34">
        <f>IF(AND(E841=1,L841=1),AJ841,"")</f>
        <v>5.1</v>
      </c>
      <c r="AS841" s="34" t="str">
        <f>IF(AND(E841=1,L841=0),AJ841,"")</f>
        <v/>
      </c>
      <c r="AT841" s="34">
        <f>IF(AND(E841=1,L841=1),AI841,"")</f>
        <v>6.2</v>
      </c>
      <c r="AU841" s="34" t="str">
        <f>IF(AND(E841=1,L841=0),AI841,"")</f>
        <v/>
      </c>
      <c r="AV841" s="34">
        <f>IF(AND(E841=1,L841=1),AG841,"")</f>
        <v>9.3</v>
      </c>
      <c r="AW841" s="34" t="str">
        <f>IF(AND(E841=1,L841=0),AG841,"")</f>
        <v/>
      </c>
      <c r="AX841" s="34">
        <f>IF(AND(E841=1,L841=1),AH841,"")</f>
        <v>19.5</v>
      </c>
      <c r="AY841" s="34" t="str">
        <f>IF(AND(E841=1,L841=0),AH841,"")</f>
        <v/>
      </c>
      <c r="AZ841" s="34">
        <f>IF(G841=1,F841,"")</f>
        <v>10.2</v>
      </c>
      <c r="BA841" s="34">
        <f>IF(AND(G841=1,L841=1),F841,"")</f>
        <v>10.2</v>
      </c>
      <c r="BB841" s="34" t="str">
        <f>IF(AND(G841=1,L841=0),F841,"")</f>
        <v/>
      </c>
      <c r="BC841" s="33">
        <f>IF(E841=1,IF(Orders!R838&gt;3,1,0),"")</f>
        <v>1</v>
      </c>
      <c r="BD841" s="33">
        <f>IF(E841=1,IF(Orders!R838&gt;7,1,0),"")</f>
        <v>1</v>
      </c>
      <c r="BE841" s="32" t="str">
        <f>IF(E841=1,IF(Orders!L838&lt;=1.5,"Up to 1.5 km",IF(Orders!L838&lt;=3,"1.5–3 km","Over 3 km")),"")</f>
        <v>1.5–3 km</v>
      </c>
      <c r="BF841" s="33">
        <f>IF(E841=1,IF(ABS((Orders!G838-Orders!F838)*1440-Orders!R838)&lt;0.06,1,0),"")</f>
        <v>1</v>
      </c>
      <c r="BG841" s="33">
        <f>IF(ABS((Orders!F838-Orders!E838)*1440-Orders!P838)&lt;0.06,1,0)</f>
        <v>1</v>
      </c>
      <c r="BH841" s="33">
        <f>IF(E841=1,IF(IF(Orders!S838,1,0)=1-G841,1,0),"")</f>
        <v>1</v>
      </c>
      <c r="BI841" s="32" t="str">
        <f>INDEX(Stores!$B$2:$B$21,MATCH(B841,Stores!$A$2:$A$21,0))</f>
        <v>Delhi</v>
      </c>
    </row>
    <row r="842">
      <c r="A842" s="32" t="str">
        <f>Orders!A839</f>
        <v>O00838</v>
      </c>
      <c r="B842" s="32" t="str">
        <f>Orders!C839</f>
        <v>S002</v>
      </c>
      <c r="C842" s="32" t="str">
        <f>Orders!B839</f>
        <v>C0021</v>
      </c>
      <c r="D842" s="32" t="str">
        <f>Orders!H839</f>
        <v>Delivered</v>
      </c>
      <c r="E842" s="33">
        <f>IF(Orders!H839="Delivered",1,0)</f>
        <v>1</v>
      </c>
      <c r="F842" s="34">
        <f>IF(E842=1,Orders!R839,"")</f>
        <v>-1.1</v>
      </c>
      <c r="G842" s="33">
        <f>IF(E842=1,IF(Orders!R839&gt;0,1,0),"")</f>
        <v>0</v>
      </c>
      <c r="H842" s="33">
        <f>IF(E842=1,IF(Orders!R839&gt;5,1,0),"")</f>
        <v>0</v>
      </c>
      <c r="I842" s="32" t="str">
        <f>IF(E842=1,"",IF(OR(Orders!T839="Rider unavailable",Orders!T839="Item unavailable"),"Company-caused","Unresolved"))</f>
        <v/>
      </c>
      <c r="J842" s="33">
        <f>IF(OR(E842=1,I842="Company-caused"),1,0)</f>
        <v>1</v>
      </c>
      <c r="K842" s="32" t="str">
        <f>IF(E842=0,IF(I842="Company-caused",IF(Orders!T839="Rider unavailable","C1 Rider unavailable","C2 Item unavailable"),"Outside root: unresolved"),IF(G842=0,"A On time",IF(H842=1,IF(L842=1,"B2a Severe, peak","B2b Severe, off-peak"),IF(L842=1,"B1a Slight, peak","B1b Slight, off-peak"))))</f>
        <v>A On time</v>
      </c>
      <c r="L842" s="33">
        <f>IF(AND(Orders!U839&gt;=19,Orders!U839&lt;22),1,0)</f>
        <v>0</v>
      </c>
      <c r="M842" s="33">
        <f>IF(L842=IF(Orders!V839,1,0),1,0)</f>
        <v>1</v>
      </c>
      <c r="N842" s="32" t="str">
        <f>IF(Orders!W839="","None",Orders!W839)</f>
        <v>None</v>
      </c>
      <c r="O842" s="35">
        <f>INT(Orders!E839)</f>
        <v>46266.0</v>
      </c>
      <c r="P842" s="33">
        <f>Orders!U839</f>
        <v>16</v>
      </c>
      <c r="Q842" s="33">
        <f>COUNTIFS(Demand!$A$2:$A$4481,B842,Demand!$B$2:$B$4481,O842,Demand!$C$2:$C$4481,P842)</f>
        <v>1</v>
      </c>
      <c r="R842" s="33">
        <f>IF(Q842=1,SUMIFS(Demand!$E$2:$E$4481,Demand!$A$2:$A$4481,B842,Demand!$B$2:$B$4481,O842,Demand!$C$2:$C$4481,P842),"")</f>
        <v>35</v>
      </c>
      <c r="S842" s="33">
        <f>INDEX(Stores!$G$2:$G$21,MATCH(B842,Stores!$A$2:$A$21,0))</f>
        <v>33</v>
      </c>
      <c r="T842" s="34">
        <f>IF(R842="","",R842/S842)</f>
        <v>1.06060606060606</v>
      </c>
      <c r="U842" s="34">
        <f>IF(E842=1,T842,"")</f>
        <v>1.06060606060606</v>
      </c>
      <c r="V842" s="34">
        <f>IF(AND(E842=1,L842=0),T842,"")</f>
        <v>1.06060606060606</v>
      </c>
      <c r="W842" s="33">
        <f>IF(U842="","",IF(U842&lt;=Breakdowns!$C$5,1,IF(U842&lt;=Breakdowns!$C$6,2,IF(U842&lt;=Breakdowns!$C$7,3,4))))</f>
        <v>3</v>
      </c>
      <c r="X842" s="33">
        <f>IF(V842="","",IF(V842&lt;=Breakdowns!$D$5,1,IF(V842&lt;=Breakdowns!$D$6,2,IF(V842&lt;=Breakdowns!$D$7,3,4))))</f>
        <v>3</v>
      </c>
      <c r="Y842" s="34">
        <f>INDEX(Stores!$F$2:$F$21,MATCH(B842,Stores!$A$2:$A$21,0))</f>
        <v>2.39</v>
      </c>
      <c r="Z842" s="33">
        <f>IF(Y842&gt;Store_Summary!$M$2,1,0)</f>
        <v>0</v>
      </c>
      <c r="AA842" s="33">
        <f>INDEX(Stores!$C$2:$C$21,MATCH(B842,Stores!$A$2:$A$21,0))</f>
        <v>470</v>
      </c>
      <c r="AB842" s="33">
        <f>IF(AA842&lt;180,1,0)</f>
        <v>0</v>
      </c>
      <c r="AC842" s="32" t="str">
        <f>IF(Orders!D839="","",INDEX(Riders!$C$2:$C$81,MATCH(Orders!D839,Riders!$A$2:$A$81,0)))</f>
        <v>EV scooter</v>
      </c>
      <c r="AD842" s="33">
        <f>IF(Orders!D839="","",INDEX(Riders!$D$2:$D$81,MATCH(Orders!D839,Riders!$A$2:$A$81,0)))</f>
        <v>38</v>
      </c>
      <c r="AE842" s="33">
        <f>IF(Orders!D839="","",IF(INDEX(Riders!$B$2:$B$81,MATCH(Orders!D839,Riders!$A$2:$A$81,0))=B842,1,0))</f>
        <v>0</v>
      </c>
      <c r="AF842" s="34">
        <f>IF(E842=1,Orders!L839,"")</f>
        <v>1.4</v>
      </c>
      <c r="AG842" s="34">
        <f>IF(E842=1,Orders!P839,"")</f>
        <v>11.2</v>
      </c>
      <c r="AH842" s="34">
        <f>IF(E842=1,Orders!Q839,"")</f>
        <v>10.1</v>
      </c>
      <c r="AI842" s="34">
        <f>IF(E842=1,Orders!M839,"")</f>
        <v>1.8</v>
      </c>
      <c r="AJ842" s="34">
        <f>IF(E842=1,Orders!N839,"")</f>
        <v>5.4</v>
      </c>
      <c r="AK842" s="34">
        <f>IF(E842=1,Orders!O839,"")</f>
        <v>2.9</v>
      </c>
      <c r="AL842" s="33">
        <f>IF(E842=1,IF(ROUND(ABS(AI842+AJ842+AK842-AH842),6)&lt;=0.1,1,0),"")</f>
        <v>1</v>
      </c>
      <c r="AM842" s="36">
        <f>IF(E842=1,AI842/AH842,"")</f>
        <v>0.178217821782178</v>
      </c>
      <c r="AN842" s="36">
        <f>IF(E842=1,AJ842/AH842,"")</f>
        <v>0.534653465346535</v>
      </c>
      <c r="AO842" s="36">
        <f>IF(E842=1,AK842/AH842,"")</f>
        <v>0.287128712871287</v>
      </c>
      <c r="AP842" s="34">
        <f>IF(E842=1,Orders!Y839,"")</f>
        <v>0.45</v>
      </c>
      <c r="AQ842" s="33">
        <f>IF(Orders!X839,1,0)</f>
        <v>0</v>
      </c>
      <c r="AR842" s="34" t="str">
        <f>IF(AND(E842=1,L842=1),AJ842,"")</f>
        <v/>
      </c>
      <c r="AS842" s="34">
        <f>IF(AND(E842=1,L842=0),AJ842,"")</f>
        <v>5.4</v>
      </c>
      <c r="AT842" s="34" t="str">
        <f>IF(AND(E842=1,L842=1),AI842,"")</f>
        <v/>
      </c>
      <c r="AU842" s="34">
        <f>IF(AND(E842=1,L842=0),AI842,"")</f>
        <v>1.8</v>
      </c>
      <c r="AV842" s="34" t="str">
        <f>IF(AND(E842=1,L842=1),AG842,"")</f>
        <v/>
      </c>
      <c r="AW842" s="34">
        <f>IF(AND(E842=1,L842=0),AG842,"")</f>
        <v>11.2</v>
      </c>
      <c r="AX842" s="34" t="str">
        <f>IF(AND(E842=1,L842=1),AH842,"")</f>
        <v/>
      </c>
      <c r="AY842" s="34">
        <f>IF(AND(E842=1,L842=0),AH842,"")</f>
        <v>10.1</v>
      </c>
      <c r="AZ842" s="34" t="str">
        <f>IF(G842=1,F842,"")</f>
        <v/>
      </c>
      <c r="BA842" s="34" t="str">
        <f>IF(AND(G842=1,L842=1),F842,"")</f>
        <v/>
      </c>
      <c r="BB842" s="34" t="str">
        <f>IF(AND(G842=1,L842=0),F842,"")</f>
        <v/>
      </c>
      <c r="BC842" s="33">
        <f>IF(E842=1,IF(Orders!R839&gt;3,1,0),"")</f>
        <v>0</v>
      </c>
      <c r="BD842" s="33">
        <f>IF(E842=1,IF(Orders!R839&gt;7,1,0),"")</f>
        <v>0</v>
      </c>
      <c r="BE842" s="32" t="str">
        <f>IF(E842=1,IF(Orders!L839&lt;=1.5,"Up to 1.5 km",IF(Orders!L839&lt;=3,"1.5–3 km","Over 3 km")),"")</f>
        <v>Up to 1.5 km</v>
      </c>
      <c r="BF842" s="33">
        <f>IF(E842=1,IF(ABS((Orders!G839-Orders!F839)*1440-Orders!R839)&lt;0.06,1,0),"")</f>
        <v>1</v>
      </c>
      <c r="BG842" s="33">
        <f>IF(ABS((Orders!F839-Orders!E839)*1440-Orders!P839)&lt;0.06,1,0)</f>
        <v>1</v>
      </c>
      <c r="BH842" s="33">
        <f>IF(E842=1,IF(IF(Orders!S839,1,0)=1-G842,1,0),"")</f>
        <v>1</v>
      </c>
      <c r="BI842" s="32" t="str">
        <f>INDEX(Stores!$B$2:$B$21,MATCH(B842,Stores!$A$2:$A$21,0))</f>
        <v>Hyderabad</v>
      </c>
    </row>
    <row r="843">
      <c r="A843" s="32" t="str">
        <f>Orders!A840</f>
        <v>O00839</v>
      </c>
      <c r="B843" s="32" t="str">
        <f>Orders!C840</f>
        <v>S017</v>
      </c>
      <c r="C843" s="32" t="str">
        <f>Orders!B840</f>
        <v>C0157</v>
      </c>
      <c r="D843" s="32" t="str">
        <f>Orders!H840</f>
        <v>Delivered</v>
      </c>
      <c r="E843" s="33">
        <f>IF(Orders!H840="Delivered",1,0)</f>
        <v>1</v>
      </c>
      <c r="F843" s="34">
        <f>IF(E843=1,Orders!R840,"")</f>
        <v>-0.9</v>
      </c>
      <c r="G843" s="33">
        <f>IF(E843=1,IF(Orders!R840&gt;0,1,0),"")</f>
        <v>0</v>
      </c>
      <c r="H843" s="33">
        <f>IF(E843=1,IF(Orders!R840&gt;5,1,0),"")</f>
        <v>0</v>
      </c>
      <c r="I843" s="32" t="str">
        <f>IF(E843=1,"",IF(OR(Orders!T840="Rider unavailable",Orders!T840="Item unavailable"),"Company-caused","Unresolved"))</f>
        <v/>
      </c>
      <c r="J843" s="33">
        <f>IF(OR(E843=1,I843="Company-caused"),1,0)</f>
        <v>1</v>
      </c>
      <c r="K843" s="32" t="str">
        <f>IF(E843=0,IF(I843="Company-caused",IF(Orders!T840="Rider unavailable","C1 Rider unavailable","C2 Item unavailable"),"Outside root: unresolved"),IF(G843=0,"A On time",IF(H843=1,IF(L843=1,"B2a Severe, peak","B2b Severe, off-peak"),IF(L843=1,"B1a Slight, peak","B1b Slight, off-peak"))))</f>
        <v>A On time</v>
      </c>
      <c r="L843" s="33">
        <f>IF(AND(Orders!U840&gt;=19,Orders!U840&lt;22),1,0)</f>
        <v>0</v>
      </c>
      <c r="M843" s="33">
        <f>IF(L843=IF(Orders!V840,1,0),1,0)</f>
        <v>1</v>
      </c>
      <c r="N843" s="32" t="str">
        <f>IF(Orders!W840="","None",Orders!W840)</f>
        <v>None</v>
      </c>
      <c r="O843" s="35">
        <f>INT(Orders!E840)</f>
        <v>46271.0</v>
      </c>
      <c r="P843" s="33">
        <f>Orders!U840</f>
        <v>18</v>
      </c>
      <c r="Q843" s="33">
        <f>COUNTIFS(Demand!$A$2:$A$4481,B843,Demand!$B$2:$B$4481,O843,Demand!$C$2:$C$4481,P843)</f>
        <v>1</v>
      </c>
      <c r="R843" s="33">
        <f>IF(Q843=1,SUMIFS(Demand!$E$2:$E$4481,Demand!$A$2:$A$4481,B843,Demand!$B$2:$B$4481,O843,Demand!$C$2:$C$4481,P843),"")</f>
        <v>50</v>
      </c>
      <c r="S843" s="33">
        <f>INDEX(Stores!$G$2:$G$21,MATCH(B843,Stores!$A$2:$A$21,0))</f>
        <v>36</v>
      </c>
      <c r="T843" s="34">
        <f>IF(R843="","",R843/S843)</f>
        <v>1.38888888888889</v>
      </c>
      <c r="U843" s="34">
        <f>IF(E843=1,T843,"")</f>
        <v>1.38888888888889</v>
      </c>
      <c r="V843" s="34">
        <f>IF(AND(E843=1,L843=0),T843,"")</f>
        <v>1.38888888888889</v>
      </c>
      <c r="W843" s="33">
        <f>IF(U843="","",IF(U843&lt;=Breakdowns!$C$5,1,IF(U843&lt;=Breakdowns!$C$6,2,IF(U843&lt;=Breakdowns!$C$7,3,4))))</f>
        <v>4</v>
      </c>
      <c r="X843" s="33">
        <f>IF(V843="","",IF(V843&lt;=Breakdowns!$D$5,1,IF(V843&lt;=Breakdowns!$D$6,2,IF(V843&lt;=Breakdowns!$D$7,3,4))))</f>
        <v>4</v>
      </c>
      <c r="Y843" s="34">
        <f>INDEX(Stores!$F$2:$F$21,MATCH(B843,Stores!$A$2:$A$21,0))</f>
        <v>2.16</v>
      </c>
      <c r="Z843" s="33">
        <f>IF(Y843&gt;Store_Summary!$M$2,1,0)</f>
        <v>0</v>
      </c>
      <c r="AA843" s="33">
        <f>INDEX(Stores!$C$2:$C$21,MATCH(B843,Stores!$A$2:$A$21,0))</f>
        <v>47</v>
      </c>
      <c r="AB843" s="33">
        <f>IF(AA843&lt;180,1,0)</f>
        <v>1</v>
      </c>
      <c r="AC843" s="32" t="str">
        <f>IF(Orders!D840="","",INDEX(Riders!$C$2:$C$81,MATCH(Orders!D840,Riders!$A$2:$A$81,0)))</f>
        <v>EV scooter</v>
      </c>
      <c r="AD843" s="33">
        <f>IF(Orders!D840="","",INDEX(Riders!$D$2:$D$81,MATCH(Orders!D840,Riders!$A$2:$A$81,0)))</f>
        <v>2</v>
      </c>
      <c r="AE843" s="33">
        <f>IF(Orders!D840="","",IF(INDEX(Riders!$B$2:$B$81,MATCH(Orders!D840,Riders!$A$2:$A$81,0))=B843,1,0))</f>
        <v>0</v>
      </c>
      <c r="AF843" s="34">
        <f>IF(E843=1,Orders!L840,"")</f>
        <v>2.47</v>
      </c>
      <c r="AG843" s="34">
        <f>IF(E843=1,Orders!P840,"")</f>
        <v>10.3</v>
      </c>
      <c r="AH843" s="34">
        <f>IF(E843=1,Orders!Q840,"")</f>
        <v>9.4</v>
      </c>
      <c r="AI843" s="34">
        <f>IF(E843=1,Orders!M840,"")</f>
        <v>1.5</v>
      </c>
      <c r="AJ843" s="34">
        <f>IF(E843=1,Orders!N840,"")</f>
        <v>2.9</v>
      </c>
      <c r="AK843" s="34">
        <f>IF(E843=1,Orders!O840,"")</f>
        <v>5</v>
      </c>
      <c r="AL843" s="33">
        <f>IF(E843=1,IF(ROUND(ABS(AI843+AJ843+AK843-AH843),6)&lt;=0.1,1,0),"")</f>
        <v>1</v>
      </c>
      <c r="AM843" s="36">
        <f>IF(E843=1,AI843/AH843,"")</f>
        <v>0.159574468085106</v>
      </c>
      <c r="AN843" s="36">
        <f>IF(E843=1,AJ843/AH843,"")</f>
        <v>0.308510638297872</v>
      </c>
      <c r="AO843" s="36">
        <f>IF(E843=1,AK843/AH843,"")</f>
        <v>0.531914893617021</v>
      </c>
      <c r="AP843" s="34">
        <f>IF(E843=1,Orders!Y840,"")</f>
        <v>0.38</v>
      </c>
      <c r="AQ843" s="33">
        <f>IF(Orders!X840,1,0)</f>
        <v>0</v>
      </c>
      <c r="AR843" s="34" t="str">
        <f>IF(AND(E843=1,L843=1),AJ843,"")</f>
        <v/>
      </c>
      <c r="AS843" s="34">
        <f>IF(AND(E843=1,L843=0),AJ843,"")</f>
        <v>2.9</v>
      </c>
      <c r="AT843" s="34" t="str">
        <f>IF(AND(E843=1,L843=1),AI843,"")</f>
        <v/>
      </c>
      <c r="AU843" s="34">
        <f>IF(AND(E843=1,L843=0),AI843,"")</f>
        <v>1.5</v>
      </c>
      <c r="AV843" s="34" t="str">
        <f>IF(AND(E843=1,L843=1),AG843,"")</f>
        <v/>
      </c>
      <c r="AW843" s="34">
        <f>IF(AND(E843=1,L843=0),AG843,"")</f>
        <v>10.3</v>
      </c>
      <c r="AX843" s="34" t="str">
        <f>IF(AND(E843=1,L843=1),AH843,"")</f>
        <v/>
      </c>
      <c r="AY843" s="34">
        <f>IF(AND(E843=1,L843=0),AH843,"")</f>
        <v>9.4</v>
      </c>
      <c r="AZ843" s="34" t="str">
        <f>IF(G843=1,F843,"")</f>
        <v/>
      </c>
      <c r="BA843" s="34" t="str">
        <f>IF(AND(G843=1,L843=1),F843,"")</f>
        <v/>
      </c>
      <c r="BB843" s="34" t="str">
        <f>IF(AND(G843=1,L843=0),F843,"")</f>
        <v/>
      </c>
      <c r="BC843" s="33">
        <f>IF(E843=1,IF(Orders!R840&gt;3,1,0),"")</f>
        <v>0</v>
      </c>
      <c r="BD843" s="33">
        <f>IF(E843=1,IF(Orders!R840&gt;7,1,0),"")</f>
        <v>0</v>
      </c>
      <c r="BE843" s="32" t="str">
        <f>IF(E843=1,IF(Orders!L840&lt;=1.5,"Up to 1.5 km",IF(Orders!L840&lt;=3,"1.5–3 km","Over 3 km")),"")</f>
        <v>1.5–3 km</v>
      </c>
      <c r="BF843" s="33">
        <f>IF(E843=1,IF(ABS((Orders!G840-Orders!F840)*1440-Orders!R840)&lt;0.06,1,0),"")</f>
        <v>1</v>
      </c>
      <c r="BG843" s="33">
        <f>IF(ABS((Orders!F840-Orders!E840)*1440-Orders!P840)&lt;0.06,1,0)</f>
        <v>1</v>
      </c>
      <c r="BH843" s="33">
        <f>IF(E843=1,IF(IF(Orders!S840,1,0)=1-G843,1,0),"")</f>
        <v>1</v>
      </c>
      <c r="BI843" s="32" t="str">
        <f>INDEX(Stores!$B$2:$B$21,MATCH(B843,Stores!$A$2:$A$21,0))</f>
        <v>Hyderabad</v>
      </c>
    </row>
    <row r="844">
      <c r="A844" s="32" t="str">
        <f>Orders!A841</f>
        <v>O00840</v>
      </c>
      <c r="B844" s="32" t="str">
        <f>Orders!C841</f>
        <v>S009</v>
      </c>
      <c r="C844" s="32" t="str">
        <f>Orders!B841</f>
        <v>C0063</v>
      </c>
      <c r="D844" s="32" t="str">
        <f>Orders!H841</f>
        <v>Delivered</v>
      </c>
      <c r="E844" s="33">
        <f>IF(Orders!H841="Delivered",1,0)</f>
        <v>1</v>
      </c>
      <c r="F844" s="34">
        <f>IF(E844=1,Orders!R841,"")</f>
        <v>-0.6</v>
      </c>
      <c r="G844" s="33">
        <f>IF(E844=1,IF(Orders!R841&gt;0,1,0),"")</f>
        <v>0</v>
      </c>
      <c r="H844" s="33">
        <f>IF(E844=1,IF(Orders!R841&gt;5,1,0),"")</f>
        <v>0</v>
      </c>
      <c r="I844" s="32" t="str">
        <f>IF(E844=1,"",IF(OR(Orders!T841="Rider unavailable",Orders!T841="Item unavailable"),"Company-caused","Unresolved"))</f>
        <v/>
      </c>
      <c r="J844" s="33">
        <f>IF(OR(E844=1,I844="Company-caused"),1,0)</f>
        <v>1</v>
      </c>
      <c r="K844" s="32" t="str">
        <f>IF(E844=0,IF(I844="Company-caused",IF(Orders!T841="Rider unavailable","C1 Rider unavailable","C2 Item unavailable"),"Outside root: unresolved"),IF(G844=0,"A On time",IF(H844=1,IF(L844=1,"B2a Severe, peak","B2b Severe, off-peak"),IF(L844=1,"B1a Slight, peak","B1b Slight, off-peak"))))</f>
        <v>A On time</v>
      </c>
      <c r="L844" s="33">
        <f>IF(AND(Orders!U841&gt;=19,Orders!U841&lt;22),1,0)</f>
        <v>0</v>
      </c>
      <c r="M844" s="33">
        <f>IF(L844=IF(Orders!V841,1,0),1,0)</f>
        <v>1</v>
      </c>
      <c r="N844" s="32" t="str">
        <f>IF(Orders!W841="","None",Orders!W841)</f>
        <v>None</v>
      </c>
      <c r="O844" s="35">
        <f>INT(Orders!E841)</f>
        <v>46269.0</v>
      </c>
      <c r="P844" s="33">
        <f>Orders!U841</f>
        <v>22</v>
      </c>
      <c r="Q844" s="33">
        <f>COUNTIFS(Demand!$A$2:$A$4481,B844,Demand!$B$2:$B$4481,O844,Demand!$C$2:$C$4481,P844)</f>
        <v>1</v>
      </c>
      <c r="R844" s="33">
        <f>IF(Q844=1,SUMIFS(Demand!$E$2:$E$4481,Demand!$A$2:$A$4481,B844,Demand!$B$2:$B$4481,O844,Demand!$C$2:$C$4481,P844),"")</f>
        <v>26</v>
      </c>
      <c r="S844" s="33">
        <f>INDEX(Stores!$G$2:$G$21,MATCH(B844,Stores!$A$2:$A$21,0))</f>
        <v>29</v>
      </c>
      <c r="T844" s="34">
        <f>IF(R844="","",R844/S844)</f>
        <v>0.896551724137931</v>
      </c>
      <c r="U844" s="34">
        <f>IF(E844=1,T844,"")</f>
        <v>0.896551724137931</v>
      </c>
      <c r="V844" s="34">
        <f>IF(AND(E844=1,L844=0),T844,"")</f>
        <v>0.896551724137931</v>
      </c>
      <c r="W844" s="33">
        <f>IF(U844="","",IF(U844&lt;=Breakdowns!$C$5,1,IF(U844&lt;=Breakdowns!$C$6,2,IF(U844&lt;=Breakdowns!$C$7,3,4))))</f>
        <v>2</v>
      </c>
      <c r="X844" s="33">
        <f>IF(V844="","",IF(V844&lt;=Breakdowns!$D$5,1,IF(V844&lt;=Breakdowns!$D$6,2,IF(V844&lt;=Breakdowns!$D$7,3,4))))</f>
        <v>2</v>
      </c>
      <c r="Y844" s="34">
        <f>INDEX(Stores!$F$2:$F$21,MATCH(B844,Stores!$A$2:$A$21,0))</f>
        <v>2.66</v>
      </c>
      <c r="Z844" s="33">
        <f>IF(Y844&gt;Store_Summary!$M$2,1,0)</f>
        <v>0</v>
      </c>
      <c r="AA844" s="33">
        <f>INDEX(Stores!$C$2:$C$21,MATCH(B844,Stores!$A$2:$A$21,0))</f>
        <v>645</v>
      </c>
      <c r="AB844" s="33">
        <f>IF(AA844&lt;180,1,0)</f>
        <v>0</v>
      </c>
      <c r="AC844" s="32" t="str">
        <f>IF(Orders!D841="","",INDEX(Riders!$C$2:$C$81,MATCH(Orders!D841,Riders!$A$2:$A$81,0)))</f>
        <v>EV scooter</v>
      </c>
      <c r="AD844" s="33">
        <f>IF(Orders!D841="","",INDEX(Riders!$D$2:$D$81,MATCH(Orders!D841,Riders!$A$2:$A$81,0)))</f>
        <v>11</v>
      </c>
      <c r="AE844" s="33">
        <f>IF(Orders!D841="","",IF(INDEX(Riders!$B$2:$B$81,MATCH(Orders!D841,Riders!$A$2:$A$81,0))=B844,1,0))</f>
        <v>0</v>
      </c>
      <c r="AF844" s="34">
        <f>IF(E844=1,Orders!L841,"")</f>
        <v>1.48</v>
      </c>
      <c r="AG844" s="34">
        <f>IF(E844=1,Orders!P841,"")</f>
        <v>11</v>
      </c>
      <c r="AH844" s="34">
        <f>IF(E844=1,Orders!Q841,"")</f>
        <v>10.4</v>
      </c>
      <c r="AI844" s="34">
        <f>IF(E844=1,Orders!M841,"")</f>
        <v>5.4</v>
      </c>
      <c r="AJ844" s="34">
        <f>IF(E844=1,Orders!N841,"")</f>
        <v>0</v>
      </c>
      <c r="AK844" s="34">
        <f>IF(E844=1,Orders!O841,"")</f>
        <v>5</v>
      </c>
      <c r="AL844" s="33">
        <f>IF(E844=1,IF(ROUND(ABS(AI844+AJ844+AK844-AH844),6)&lt;=0.1,1,0),"")</f>
        <v>1</v>
      </c>
      <c r="AM844" s="36">
        <f>IF(E844=1,AI844/AH844,"")</f>
        <v>0.519230769230769</v>
      </c>
      <c r="AN844" s="36">
        <f>IF(E844=1,AJ844/AH844,"")</f>
        <v>0</v>
      </c>
      <c r="AO844" s="36">
        <f>IF(E844=1,AK844/AH844,"")</f>
        <v>0.480769230769231</v>
      </c>
      <c r="AP844" s="34">
        <f>IF(E844=1,Orders!Y841,"")</f>
        <v>0.81</v>
      </c>
      <c r="AQ844" s="33">
        <f>IF(Orders!X841,1,0)</f>
        <v>0</v>
      </c>
      <c r="AR844" s="34" t="str">
        <f>IF(AND(E844=1,L844=1),AJ844,"")</f>
        <v/>
      </c>
      <c r="AS844" s="34">
        <f>IF(AND(E844=1,L844=0),AJ844,"")</f>
        <v>0</v>
      </c>
      <c r="AT844" s="34" t="str">
        <f>IF(AND(E844=1,L844=1),AI844,"")</f>
        <v/>
      </c>
      <c r="AU844" s="34">
        <f>IF(AND(E844=1,L844=0),AI844,"")</f>
        <v>5.4</v>
      </c>
      <c r="AV844" s="34" t="str">
        <f>IF(AND(E844=1,L844=1),AG844,"")</f>
        <v/>
      </c>
      <c r="AW844" s="34">
        <f>IF(AND(E844=1,L844=0),AG844,"")</f>
        <v>11</v>
      </c>
      <c r="AX844" s="34" t="str">
        <f>IF(AND(E844=1,L844=1),AH844,"")</f>
        <v/>
      </c>
      <c r="AY844" s="34">
        <f>IF(AND(E844=1,L844=0),AH844,"")</f>
        <v>10.4</v>
      </c>
      <c r="AZ844" s="34" t="str">
        <f>IF(G844=1,F844,"")</f>
        <v/>
      </c>
      <c r="BA844" s="34" t="str">
        <f>IF(AND(G844=1,L844=1),F844,"")</f>
        <v/>
      </c>
      <c r="BB844" s="34" t="str">
        <f>IF(AND(G844=1,L844=0),F844,"")</f>
        <v/>
      </c>
      <c r="BC844" s="33">
        <f>IF(E844=1,IF(Orders!R841&gt;3,1,0),"")</f>
        <v>0</v>
      </c>
      <c r="BD844" s="33">
        <f>IF(E844=1,IF(Orders!R841&gt;7,1,0),"")</f>
        <v>0</v>
      </c>
      <c r="BE844" s="32" t="str">
        <f>IF(E844=1,IF(Orders!L841&lt;=1.5,"Up to 1.5 km",IF(Orders!L841&lt;=3,"1.5–3 km","Over 3 km")),"")</f>
        <v>Up to 1.5 km</v>
      </c>
      <c r="BF844" s="33">
        <f>IF(E844=1,IF(ABS((Orders!G841-Orders!F841)*1440-Orders!R841)&lt;0.06,1,0),"")</f>
        <v>1</v>
      </c>
      <c r="BG844" s="33">
        <f>IF(ABS((Orders!F841-Orders!E841)*1440-Orders!P841)&lt;0.06,1,0)</f>
        <v>1</v>
      </c>
      <c r="BH844" s="33">
        <f>IF(E844=1,IF(IF(Orders!S841,1,0)=1-G844,1,0),"")</f>
        <v>1</v>
      </c>
      <c r="BI844" s="32" t="str">
        <f>INDEX(Stores!$B$2:$B$21,MATCH(B844,Stores!$A$2:$A$21,0))</f>
        <v>Pune</v>
      </c>
    </row>
    <row r="845">
      <c r="A845" s="32" t="str">
        <f>Orders!A842</f>
        <v>O00841</v>
      </c>
      <c r="B845" s="32" t="str">
        <f>Orders!C842</f>
        <v>S006</v>
      </c>
      <c r="C845" s="32" t="str">
        <f>Orders!B842</f>
        <v>C0246</v>
      </c>
      <c r="D845" s="32" t="str">
        <f>Orders!H842</f>
        <v>Delivered</v>
      </c>
      <c r="E845" s="33">
        <f>IF(Orders!H842="Delivered",1,0)</f>
        <v>1</v>
      </c>
      <c r="F845" s="34">
        <f>IF(E845=1,Orders!R842,"")</f>
        <v>-0.7</v>
      </c>
      <c r="G845" s="33">
        <f>IF(E845=1,IF(Orders!R842&gt;0,1,0),"")</f>
        <v>0</v>
      </c>
      <c r="H845" s="33">
        <f>IF(E845=1,IF(Orders!R842&gt;5,1,0),"")</f>
        <v>0</v>
      </c>
      <c r="I845" s="32" t="str">
        <f>IF(E845=1,"",IF(OR(Orders!T842="Rider unavailable",Orders!T842="Item unavailable"),"Company-caused","Unresolved"))</f>
        <v/>
      </c>
      <c r="J845" s="33">
        <f>IF(OR(E845=1,I845="Company-caused"),1,0)</f>
        <v>1</v>
      </c>
      <c r="K845" s="32" t="str">
        <f>IF(E845=0,IF(I845="Company-caused",IF(Orders!T842="Rider unavailable","C1 Rider unavailable","C2 Item unavailable"),"Outside root: unresolved"),IF(G845=0,"A On time",IF(H845=1,IF(L845=1,"B2a Severe, peak","B2b Severe, off-peak"),IF(L845=1,"B1a Slight, peak","B1b Slight, off-peak"))))</f>
        <v>A On time</v>
      </c>
      <c r="L845" s="33">
        <f>IF(AND(Orders!U842&gt;=19,Orders!U842&lt;22),1,0)</f>
        <v>0</v>
      </c>
      <c r="M845" s="33">
        <f>IF(L845=IF(Orders!V842,1,0),1,0)</f>
        <v>1</v>
      </c>
      <c r="N845" s="32" t="str">
        <f>IF(Orders!W842="","None",Orders!W842)</f>
        <v>Light</v>
      </c>
      <c r="O845" s="35">
        <f>INT(Orders!E842)</f>
        <v>46274.0</v>
      </c>
      <c r="P845" s="33">
        <f>Orders!U842</f>
        <v>18</v>
      </c>
      <c r="Q845" s="33">
        <f>COUNTIFS(Demand!$A$2:$A$4481,B845,Demand!$B$2:$B$4481,O845,Demand!$C$2:$C$4481,P845)</f>
        <v>1</v>
      </c>
      <c r="R845" s="33">
        <f>IF(Q845=1,SUMIFS(Demand!$E$2:$E$4481,Demand!$A$2:$A$4481,B845,Demand!$B$2:$B$4481,O845,Demand!$C$2:$C$4481,P845),"")</f>
        <v>26</v>
      </c>
      <c r="S845" s="33">
        <f>INDEX(Stores!$G$2:$G$21,MATCH(B845,Stores!$A$2:$A$21,0))</f>
        <v>26</v>
      </c>
      <c r="T845" s="34">
        <f>IF(R845="","",R845/S845)</f>
        <v>1</v>
      </c>
      <c r="U845" s="34">
        <f>IF(E845=1,T845,"")</f>
        <v>1</v>
      </c>
      <c r="V845" s="34">
        <f>IF(AND(E845=1,L845=0),T845,"")</f>
        <v>1</v>
      </c>
      <c r="W845" s="33">
        <f>IF(U845="","",IF(U845&lt;=Breakdowns!$C$5,1,IF(U845&lt;=Breakdowns!$C$6,2,IF(U845&lt;=Breakdowns!$C$7,3,4))))</f>
        <v>2</v>
      </c>
      <c r="X845" s="33">
        <f>IF(V845="","",IF(V845&lt;=Breakdowns!$D$5,1,IF(V845&lt;=Breakdowns!$D$6,2,IF(V845&lt;=Breakdowns!$D$7,3,4))))</f>
        <v>3</v>
      </c>
      <c r="Y845" s="34">
        <f>INDEX(Stores!$F$2:$F$21,MATCH(B845,Stores!$A$2:$A$21,0))</f>
        <v>5.22</v>
      </c>
      <c r="Z845" s="33">
        <f>IF(Y845&gt;Store_Summary!$M$2,1,0)</f>
        <v>1</v>
      </c>
      <c r="AA845" s="33">
        <f>INDEX(Stores!$C$2:$C$21,MATCH(B845,Stores!$A$2:$A$21,0))</f>
        <v>412</v>
      </c>
      <c r="AB845" s="33">
        <f>IF(AA845&lt;180,1,0)</f>
        <v>0</v>
      </c>
      <c r="AC845" s="32" t="str">
        <f>IF(Orders!D842="","",INDEX(Riders!$C$2:$C$81,MATCH(Orders!D842,Riders!$A$2:$A$81,0)))</f>
        <v>EV scooter</v>
      </c>
      <c r="AD845" s="33">
        <f>IF(Orders!D842="","",INDEX(Riders!$D$2:$D$81,MATCH(Orders!D842,Riders!$A$2:$A$81,0)))</f>
        <v>11</v>
      </c>
      <c r="AE845" s="33">
        <f>IF(Orders!D842="","",IF(INDEX(Riders!$B$2:$B$81,MATCH(Orders!D842,Riders!$A$2:$A$81,0))=B845,1,0))</f>
        <v>0</v>
      </c>
      <c r="AF845" s="34">
        <f>IF(E845=1,Orders!L842,"")</f>
        <v>2.06</v>
      </c>
      <c r="AG845" s="34">
        <f>IF(E845=1,Orders!P842,"")</f>
        <v>11.1</v>
      </c>
      <c r="AH845" s="34">
        <f>IF(E845=1,Orders!Q842,"")</f>
        <v>10.4</v>
      </c>
      <c r="AI845" s="34">
        <f>IF(E845=1,Orders!M842,"")</f>
        <v>5.1</v>
      </c>
      <c r="AJ845" s="34">
        <f>IF(E845=1,Orders!N842,"")</f>
        <v>0</v>
      </c>
      <c r="AK845" s="34">
        <f>IF(E845=1,Orders!O842,"")</f>
        <v>5.3</v>
      </c>
      <c r="AL845" s="33">
        <f>IF(E845=1,IF(ROUND(ABS(AI845+AJ845+AK845-AH845),6)&lt;=0.1,1,0),"")</f>
        <v>1</v>
      </c>
      <c r="AM845" s="36">
        <f>IF(E845=1,AI845/AH845,"")</f>
        <v>0.490384615384615</v>
      </c>
      <c r="AN845" s="36">
        <f>IF(E845=1,AJ845/AH845,"")</f>
        <v>0</v>
      </c>
      <c r="AO845" s="36">
        <f>IF(E845=1,AK845/AH845,"")</f>
        <v>0.509615384615385</v>
      </c>
      <c r="AP845" s="34">
        <f>IF(E845=1,Orders!Y842,"")</f>
        <v>0.43</v>
      </c>
      <c r="AQ845" s="33">
        <f>IF(Orders!X842,1,0)</f>
        <v>0</v>
      </c>
      <c r="AR845" s="34" t="str">
        <f>IF(AND(E845=1,L845=1),AJ845,"")</f>
        <v/>
      </c>
      <c r="AS845" s="34">
        <f>IF(AND(E845=1,L845=0),AJ845,"")</f>
        <v>0</v>
      </c>
      <c r="AT845" s="34" t="str">
        <f>IF(AND(E845=1,L845=1),AI845,"")</f>
        <v/>
      </c>
      <c r="AU845" s="34">
        <f>IF(AND(E845=1,L845=0),AI845,"")</f>
        <v>5.1</v>
      </c>
      <c r="AV845" s="34" t="str">
        <f>IF(AND(E845=1,L845=1),AG845,"")</f>
        <v/>
      </c>
      <c r="AW845" s="34">
        <f>IF(AND(E845=1,L845=0),AG845,"")</f>
        <v>11.1</v>
      </c>
      <c r="AX845" s="34" t="str">
        <f>IF(AND(E845=1,L845=1),AH845,"")</f>
        <v/>
      </c>
      <c r="AY845" s="34">
        <f>IF(AND(E845=1,L845=0),AH845,"")</f>
        <v>10.4</v>
      </c>
      <c r="AZ845" s="34" t="str">
        <f>IF(G845=1,F845,"")</f>
        <v/>
      </c>
      <c r="BA845" s="34" t="str">
        <f>IF(AND(G845=1,L845=1),F845,"")</f>
        <v/>
      </c>
      <c r="BB845" s="34" t="str">
        <f>IF(AND(G845=1,L845=0),F845,"")</f>
        <v/>
      </c>
      <c r="BC845" s="33">
        <f>IF(E845=1,IF(Orders!R842&gt;3,1,0),"")</f>
        <v>0</v>
      </c>
      <c r="BD845" s="33">
        <f>IF(E845=1,IF(Orders!R842&gt;7,1,0),"")</f>
        <v>0</v>
      </c>
      <c r="BE845" s="32" t="str">
        <f>IF(E845=1,IF(Orders!L842&lt;=1.5,"Up to 1.5 km",IF(Orders!L842&lt;=3,"1.5–3 km","Over 3 km")),"")</f>
        <v>1.5–3 km</v>
      </c>
      <c r="BF845" s="33">
        <f>IF(E845=1,IF(ABS((Orders!G842-Orders!F842)*1440-Orders!R842)&lt;0.06,1,0),"")</f>
        <v>1</v>
      </c>
      <c r="BG845" s="33">
        <f>IF(ABS((Orders!F842-Orders!E842)*1440-Orders!P842)&lt;0.06,1,0)</f>
        <v>1</v>
      </c>
      <c r="BH845" s="33">
        <f>IF(E845=1,IF(IF(Orders!S842,1,0)=1-G845,1,0),"")</f>
        <v>1</v>
      </c>
      <c r="BI845" s="32" t="str">
        <f>INDEX(Stores!$B$2:$B$21,MATCH(B845,Stores!$A$2:$A$21,0))</f>
        <v>Bengaluru</v>
      </c>
    </row>
    <row r="846">
      <c r="A846" s="32" t="str">
        <f>Orders!A843</f>
        <v>O00842</v>
      </c>
      <c r="B846" s="32" t="str">
        <f>Orders!C843</f>
        <v>S015</v>
      </c>
      <c r="C846" s="32" t="str">
        <f>Orders!B843</f>
        <v>C0006</v>
      </c>
      <c r="D846" s="32" t="str">
        <f>Orders!H843</f>
        <v>Delivered</v>
      </c>
      <c r="E846" s="33">
        <f>IF(Orders!H843="Delivered",1,0)</f>
        <v>1</v>
      </c>
      <c r="F846" s="34">
        <f>IF(E846=1,Orders!R843,"")</f>
        <v>-2.9</v>
      </c>
      <c r="G846" s="33">
        <f>IF(E846=1,IF(Orders!R843&gt;0,1,0),"")</f>
        <v>0</v>
      </c>
      <c r="H846" s="33">
        <f>IF(E846=1,IF(Orders!R843&gt;5,1,0),"")</f>
        <v>0</v>
      </c>
      <c r="I846" s="32" t="str">
        <f>IF(E846=1,"",IF(OR(Orders!T843="Rider unavailable",Orders!T843="Item unavailable"),"Company-caused","Unresolved"))</f>
        <v/>
      </c>
      <c r="J846" s="33">
        <f>IF(OR(E846=1,I846="Company-caused"),1,0)</f>
        <v>1</v>
      </c>
      <c r="K846" s="32" t="str">
        <f>IF(E846=0,IF(I846="Company-caused",IF(Orders!T843="Rider unavailable","C1 Rider unavailable","C2 Item unavailable"),"Outside root: unresolved"),IF(G846=0,"A On time",IF(H846=1,IF(L846=1,"B2a Severe, peak","B2b Severe, off-peak"),IF(L846=1,"B1a Slight, peak","B1b Slight, off-peak"))))</f>
        <v>A On time</v>
      </c>
      <c r="L846" s="33">
        <f>IF(AND(Orders!U843&gt;=19,Orders!U843&lt;22),1,0)</f>
        <v>0</v>
      </c>
      <c r="M846" s="33">
        <f>IF(L846=IF(Orders!V843,1,0),1,0)</f>
        <v>1</v>
      </c>
      <c r="N846" s="32" t="str">
        <f>IF(Orders!W843="","None",Orders!W843)</f>
        <v>None</v>
      </c>
      <c r="O846" s="35">
        <f>INT(Orders!E843)</f>
        <v>46267.0</v>
      </c>
      <c r="P846" s="33">
        <f>Orders!U843</f>
        <v>14</v>
      </c>
      <c r="Q846" s="33">
        <f>COUNTIFS(Demand!$A$2:$A$4481,B846,Demand!$B$2:$B$4481,O846,Demand!$C$2:$C$4481,P846)</f>
        <v>1</v>
      </c>
      <c r="R846" s="33">
        <f>IF(Q846=1,SUMIFS(Demand!$E$2:$E$4481,Demand!$A$2:$A$4481,B846,Demand!$B$2:$B$4481,O846,Demand!$C$2:$C$4481,P846),"")</f>
        <v>17</v>
      </c>
      <c r="S846" s="33">
        <f>INDEX(Stores!$G$2:$G$21,MATCH(B846,Stores!$A$2:$A$21,0))</f>
        <v>23</v>
      </c>
      <c r="T846" s="34">
        <f>IF(R846="","",R846/S846)</f>
        <v>0.739130434782609</v>
      </c>
      <c r="U846" s="34">
        <f>IF(E846=1,T846,"")</f>
        <v>0.739130434782609</v>
      </c>
      <c r="V846" s="34">
        <f>IF(AND(E846=1,L846=0),T846,"")</f>
        <v>0.739130434782609</v>
      </c>
      <c r="W846" s="33">
        <f>IF(U846="","",IF(U846&lt;=Breakdowns!$C$5,1,IF(U846&lt;=Breakdowns!$C$6,2,IF(U846&lt;=Breakdowns!$C$7,3,4))))</f>
        <v>1</v>
      </c>
      <c r="X846" s="33">
        <f>IF(V846="","",IF(V846&lt;=Breakdowns!$D$5,1,IF(V846&lt;=Breakdowns!$D$6,2,IF(V846&lt;=Breakdowns!$D$7,3,4))))</f>
        <v>1</v>
      </c>
      <c r="Y846" s="34">
        <f>INDEX(Stores!$F$2:$F$21,MATCH(B846,Stores!$A$2:$A$21,0))</f>
        <v>4.66</v>
      </c>
      <c r="Z846" s="33">
        <f>IF(Y846&gt;Store_Summary!$M$2,1,0)</f>
        <v>0</v>
      </c>
      <c r="AA846" s="33">
        <f>INDEX(Stores!$C$2:$C$21,MATCH(B846,Stores!$A$2:$A$21,0))</f>
        <v>204</v>
      </c>
      <c r="AB846" s="33">
        <f>IF(AA846&lt;180,1,0)</f>
        <v>0</v>
      </c>
      <c r="AC846" s="32" t="str">
        <f>IF(Orders!D843="","",INDEX(Riders!$C$2:$C$81,MATCH(Orders!D843,Riders!$A$2:$A$81,0)))</f>
        <v>EV scooter</v>
      </c>
      <c r="AD846" s="33">
        <f>IF(Orders!D843="","",INDEX(Riders!$D$2:$D$81,MATCH(Orders!D843,Riders!$A$2:$A$81,0)))</f>
        <v>11</v>
      </c>
      <c r="AE846" s="33">
        <f>IF(Orders!D843="","",IF(INDEX(Riders!$B$2:$B$81,MATCH(Orders!D843,Riders!$A$2:$A$81,0))=B846,1,0))</f>
        <v>1</v>
      </c>
      <c r="AF846" s="34">
        <f>IF(E846=1,Orders!L843,"")</f>
        <v>0.5</v>
      </c>
      <c r="AG846" s="34">
        <f>IF(E846=1,Orders!P843,"")</f>
        <v>10.6</v>
      </c>
      <c r="AH846" s="34">
        <f>IF(E846=1,Orders!Q843,"")</f>
        <v>7.7</v>
      </c>
      <c r="AI846" s="34">
        <f>IF(E846=1,Orders!M843,"")</f>
        <v>3.4</v>
      </c>
      <c r="AJ846" s="34">
        <f>IF(E846=1,Orders!N843,"")</f>
        <v>1.6</v>
      </c>
      <c r="AK846" s="34">
        <f>IF(E846=1,Orders!O843,"")</f>
        <v>2.7</v>
      </c>
      <c r="AL846" s="33">
        <f>IF(E846=1,IF(ROUND(ABS(AI846+AJ846+AK846-AH846),6)&lt;=0.1,1,0),"")</f>
        <v>1</v>
      </c>
      <c r="AM846" s="36">
        <f>IF(E846=1,AI846/AH846,"")</f>
        <v>0.441558441558442</v>
      </c>
      <c r="AN846" s="36">
        <f>IF(E846=1,AJ846/AH846,"")</f>
        <v>0.207792207792208</v>
      </c>
      <c r="AO846" s="36">
        <f>IF(E846=1,AK846/AH846,"")</f>
        <v>0.350649350649351</v>
      </c>
      <c r="AP846" s="34">
        <f>IF(E846=1,Orders!Y843,"")</f>
        <v>0.61</v>
      </c>
      <c r="AQ846" s="33">
        <f>IF(Orders!X843,1,0)</f>
        <v>0</v>
      </c>
      <c r="AR846" s="34" t="str">
        <f>IF(AND(E846=1,L846=1),AJ846,"")</f>
        <v/>
      </c>
      <c r="AS846" s="34">
        <f>IF(AND(E846=1,L846=0),AJ846,"")</f>
        <v>1.6</v>
      </c>
      <c r="AT846" s="34" t="str">
        <f>IF(AND(E846=1,L846=1),AI846,"")</f>
        <v/>
      </c>
      <c r="AU846" s="34">
        <f>IF(AND(E846=1,L846=0),AI846,"")</f>
        <v>3.4</v>
      </c>
      <c r="AV846" s="34" t="str">
        <f>IF(AND(E846=1,L846=1),AG846,"")</f>
        <v/>
      </c>
      <c r="AW846" s="34">
        <f>IF(AND(E846=1,L846=0),AG846,"")</f>
        <v>10.6</v>
      </c>
      <c r="AX846" s="34" t="str">
        <f>IF(AND(E846=1,L846=1),AH846,"")</f>
        <v/>
      </c>
      <c r="AY846" s="34">
        <f>IF(AND(E846=1,L846=0),AH846,"")</f>
        <v>7.7</v>
      </c>
      <c r="AZ846" s="34" t="str">
        <f>IF(G846=1,F846,"")</f>
        <v/>
      </c>
      <c r="BA846" s="34" t="str">
        <f>IF(AND(G846=1,L846=1),F846,"")</f>
        <v/>
      </c>
      <c r="BB846" s="34" t="str">
        <f>IF(AND(G846=1,L846=0),F846,"")</f>
        <v/>
      </c>
      <c r="BC846" s="33">
        <f>IF(E846=1,IF(Orders!R843&gt;3,1,0),"")</f>
        <v>0</v>
      </c>
      <c r="BD846" s="33">
        <f>IF(E846=1,IF(Orders!R843&gt;7,1,0),"")</f>
        <v>0</v>
      </c>
      <c r="BE846" s="32" t="str">
        <f>IF(E846=1,IF(Orders!L843&lt;=1.5,"Up to 1.5 km",IF(Orders!L843&lt;=3,"1.5–3 km","Over 3 km")),"")</f>
        <v>Up to 1.5 km</v>
      </c>
      <c r="BF846" s="33">
        <f>IF(E846=1,IF(ABS((Orders!G843-Orders!F843)*1440-Orders!R843)&lt;0.06,1,0),"")</f>
        <v>1</v>
      </c>
      <c r="BG846" s="33">
        <f>IF(ABS((Orders!F843-Orders!E843)*1440-Orders!P843)&lt;0.06,1,0)</f>
        <v>1</v>
      </c>
      <c r="BH846" s="33">
        <f>IF(E846=1,IF(IF(Orders!S843,1,0)=1-G846,1,0),"")</f>
        <v>1</v>
      </c>
      <c r="BI846" s="32" t="str">
        <f>INDEX(Stores!$B$2:$B$21,MATCH(B846,Stores!$A$2:$A$21,0))</f>
        <v>Delhi</v>
      </c>
    </row>
    <row r="847">
      <c r="A847" s="32" t="str">
        <f>Orders!A844</f>
        <v>O00843</v>
      </c>
      <c r="B847" s="32" t="str">
        <f>Orders!C844</f>
        <v>S008</v>
      </c>
      <c r="C847" s="32" t="str">
        <f>Orders!B844</f>
        <v>C0038</v>
      </c>
      <c r="D847" s="32" t="str">
        <f>Orders!H844</f>
        <v>Delivered</v>
      </c>
      <c r="E847" s="33">
        <f>IF(Orders!H844="Delivered",1,0)</f>
        <v>1</v>
      </c>
      <c r="F847" s="34">
        <f>IF(E847=1,Orders!R844,"")</f>
        <v>3.6</v>
      </c>
      <c r="G847" s="33">
        <f>IF(E847=1,IF(Orders!R844&gt;0,1,0),"")</f>
        <v>1</v>
      </c>
      <c r="H847" s="33">
        <f>IF(E847=1,IF(Orders!R844&gt;5,1,0),"")</f>
        <v>0</v>
      </c>
      <c r="I847" s="32" t="str">
        <f>IF(E847=1,"",IF(OR(Orders!T844="Rider unavailable",Orders!T844="Item unavailable"),"Company-caused","Unresolved"))</f>
        <v/>
      </c>
      <c r="J847" s="33">
        <f>IF(OR(E847=1,I847="Company-caused"),1,0)</f>
        <v>1</v>
      </c>
      <c r="K847" s="32" t="str">
        <f>IF(E847=0,IF(I847="Company-caused",IF(Orders!T844="Rider unavailable","C1 Rider unavailable","C2 Item unavailable"),"Outside root: unresolved"),IF(G847=0,"A On time",IF(H847=1,IF(L847=1,"B2a Severe, peak","B2b Severe, off-peak"),IF(L847=1,"B1a Slight, peak","B1b Slight, off-peak"))))</f>
        <v>B1b Slight, off-peak</v>
      </c>
      <c r="L847" s="33">
        <f>IF(AND(Orders!U844&gt;=19,Orders!U844&lt;22),1,0)</f>
        <v>0</v>
      </c>
      <c r="M847" s="33">
        <f>IF(L847=IF(Orders!V844,1,0),1,0)</f>
        <v>1</v>
      </c>
      <c r="N847" s="32" t="str">
        <f>IF(Orders!W844="","None",Orders!W844)</f>
        <v>None</v>
      </c>
      <c r="O847" s="35">
        <f>INT(Orders!E844)</f>
        <v>46274.0</v>
      </c>
      <c r="P847" s="33">
        <f>Orders!U844</f>
        <v>18</v>
      </c>
      <c r="Q847" s="33">
        <f>COUNTIFS(Demand!$A$2:$A$4481,B847,Demand!$B$2:$B$4481,O847,Demand!$C$2:$C$4481,P847)</f>
        <v>1</v>
      </c>
      <c r="R847" s="33">
        <f>IF(Q847=1,SUMIFS(Demand!$E$2:$E$4481,Demand!$A$2:$A$4481,B847,Demand!$B$2:$B$4481,O847,Demand!$C$2:$C$4481,P847),"")</f>
        <v>18</v>
      </c>
      <c r="S847" s="33">
        <f>INDEX(Stores!$G$2:$G$21,MATCH(B847,Stores!$A$2:$A$21,0))</f>
        <v>23</v>
      </c>
      <c r="T847" s="34">
        <f>IF(R847="","",R847/S847)</f>
        <v>0.782608695652174</v>
      </c>
      <c r="U847" s="34">
        <f>IF(E847=1,T847,"")</f>
        <v>0.782608695652174</v>
      </c>
      <c r="V847" s="34">
        <f>IF(AND(E847=1,L847=0),T847,"")</f>
        <v>0.782608695652174</v>
      </c>
      <c r="W847" s="33">
        <f>IF(U847="","",IF(U847&lt;=Breakdowns!$C$5,1,IF(U847&lt;=Breakdowns!$C$6,2,IF(U847&lt;=Breakdowns!$C$7,3,4))))</f>
        <v>1</v>
      </c>
      <c r="X847" s="33">
        <f>IF(V847="","",IF(V847&lt;=Breakdowns!$D$5,1,IF(V847&lt;=Breakdowns!$D$6,2,IF(V847&lt;=Breakdowns!$D$7,3,4))))</f>
        <v>2</v>
      </c>
      <c r="Y847" s="34">
        <f>INDEX(Stores!$F$2:$F$21,MATCH(B847,Stores!$A$2:$A$21,0))</f>
        <v>3.46</v>
      </c>
      <c r="Z847" s="33">
        <f>IF(Y847&gt;Store_Summary!$M$2,1,0)</f>
        <v>0</v>
      </c>
      <c r="AA847" s="33">
        <f>INDEX(Stores!$C$2:$C$21,MATCH(B847,Stores!$A$2:$A$21,0))</f>
        <v>825</v>
      </c>
      <c r="AB847" s="33">
        <f>IF(AA847&lt;180,1,0)</f>
        <v>0</v>
      </c>
      <c r="AC847" s="32" t="str">
        <f>IF(Orders!D844="","",INDEX(Riders!$C$2:$C$81,MATCH(Orders!D844,Riders!$A$2:$A$81,0)))</f>
        <v>EV scooter</v>
      </c>
      <c r="AD847" s="33">
        <f>IF(Orders!D844="","",INDEX(Riders!$D$2:$D$81,MATCH(Orders!D844,Riders!$A$2:$A$81,0)))</f>
        <v>36</v>
      </c>
      <c r="AE847" s="33">
        <f>IF(Orders!D844="","",IF(INDEX(Riders!$B$2:$B$81,MATCH(Orders!D844,Riders!$A$2:$A$81,0))=B847,1,0))</f>
        <v>0</v>
      </c>
      <c r="AF847" s="34">
        <f>IF(E847=1,Orders!L844,"")</f>
        <v>1.83</v>
      </c>
      <c r="AG847" s="34">
        <f>IF(E847=1,Orders!P844,"")</f>
        <v>7.8</v>
      </c>
      <c r="AH847" s="34">
        <f>IF(E847=1,Orders!Q844,"")</f>
        <v>11.4</v>
      </c>
      <c r="AI847" s="34">
        <f>IF(E847=1,Orders!M844,"")</f>
        <v>2.8</v>
      </c>
      <c r="AJ847" s="34">
        <f>IF(E847=1,Orders!N844,"")</f>
        <v>3.7</v>
      </c>
      <c r="AK847" s="34">
        <f>IF(E847=1,Orders!O844,"")</f>
        <v>4.9</v>
      </c>
      <c r="AL847" s="33">
        <f>IF(E847=1,IF(ROUND(ABS(AI847+AJ847+AK847-AH847),6)&lt;=0.1,1,0),"")</f>
        <v>1</v>
      </c>
      <c r="AM847" s="36">
        <f>IF(E847=1,AI847/AH847,"")</f>
        <v>0.245614035087719</v>
      </c>
      <c r="AN847" s="36">
        <f>IF(E847=1,AJ847/AH847,"")</f>
        <v>0.324561403508772</v>
      </c>
      <c r="AO847" s="36">
        <f>IF(E847=1,AK847/AH847,"")</f>
        <v>0.429824561403509</v>
      </c>
      <c r="AP847" s="34">
        <f>IF(E847=1,Orders!Y844,"")</f>
        <v>0.14</v>
      </c>
      <c r="AQ847" s="33">
        <f>IF(Orders!X844,1,0)</f>
        <v>0</v>
      </c>
      <c r="AR847" s="34" t="str">
        <f>IF(AND(E847=1,L847=1),AJ847,"")</f>
        <v/>
      </c>
      <c r="AS847" s="34">
        <f>IF(AND(E847=1,L847=0),AJ847,"")</f>
        <v>3.7</v>
      </c>
      <c r="AT847" s="34" t="str">
        <f>IF(AND(E847=1,L847=1),AI847,"")</f>
        <v/>
      </c>
      <c r="AU847" s="34">
        <f>IF(AND(E847=1,L847=0),AI847,"")</f>
        <v>2.8</v>
      </c>
      <c r="AV847" s="34" t="str">
        <f>IF(AND(E847=1,L847=1),AG847,"")</f>
        <v/>
      </c>
      <c r="AW847" s="34">
        <f>IF(AND(E847=1,L847=0),AG847,"")</f>
        <v>7.8</v>
      </c>
      <c r="AX847" s="34" t="str">
        <f>IF(AND(E847=1,L847=1),AH847,"")</f>
        <v/>
      </c>
      <c r="AY847" s="34">
        <f>IF(AND(E847=1,L847=0),AH847,"")</f>
        <v>11.4</v>
      </c>
      <c r="AZ847" s="34">
        <f>IF(G847=1,F847,"")</f>
        <v>3.6</v>
      </c>
      <c r="BA847" s="34" t="str">
        <f>IF(AND(G847=1,L847=1),F847,"")</f>
        <v/>
      </c>
      <c r="BB847" s="34">
        <f>IF(AND(G847=1,L847=0),F847,"")</f>
        <v>3.6</v>
      </c>
      <c r="BC847" s="33">
        <f>IF(E847=1,IF(Orders!R844&gt;3,1,0),"")</f>
        <v>1</v>
      </c>
      <c r="BD847" s="33">
        <f>IF(E847=1,IF(Orders!R844&gt;7,1,0),"")</f>
        <v>0</v>
      </c>
      <c r="BE847" s="32" t="str">
        <f>IF(E847=1,IF(Orders!L844&lt;=1.5,"Up to 1.5 km",IF(Orders!L844&lt;=3,"1.5–3 km","Over 3 km")),"")</f>
        <v>1.5–3 km</v>
      </c>
      <c r="BF847" s="33">
        <f>IF(E847=1,IF(ABS((Orders!G844-Orders!F844)*1440-Orders!R844)&lt;0.06,1,0),"")</f>
        <v>1</v>
      </c>
      <c r="BG847" s="33">
        <f>IF(ABS((Orders!F844-Orders!E844)*1440-Orders!P844)&lt;0.06,1,0)</f>
        <v>1</v>
      </c>
      <c r="BH847" s="33">
        <f>IF(E847=1,IF(IF(Orders!S844,1,0)=1-G847,1,0),"")</f>
        <v>1</v>
      </c>
      <c r="BI847" s="32" t="str">
        <f>INDEX(Stores!$B$2:$B$21,MATCH(B847,Stores!$A$2:$A$21,0))</f>
        <v>Mumbai</v>
      </c>
    </row>
    <row r="848">
      <c r="A848" s="32" t="str">
        <f>Orders!A845</f>
        <v>O00844</v>
      </c>
      <c r="B848" s="32" t="str">
        <f>Orders!C845</f>
        <v>S007</v>
      </c>
      <c r="C848" s="32" t="str">
        <f>Orders!B845</f>
        <v>C0010</v>
      </c>
      <c r="D848" s="32" t="str">
        <f>Orders!H845</f>
        <v>Delivered</v>
      </c>
      <c r="E848" s="33">
        <f>IF(Orders!H845="Delivered",1,0)</f>
        <v>1</v>
      </c>
      <c r="F848" s="34">
        <f>IF(E848=1,Orders!R845,"")</f>
        <v>1.9</v>
      </c>
      <c r="G848" s="33">
        <f>IF(E848=1,IF(Orders!R845&gt;0,1,0),"")</f>
        <v>1</v>
      </c>
      <c r="H848" s="33">
        <f>IF(E848=1,IF(Orders!R845&gt;5,1,0),"")</f>
        <v>0</v>
      </c>
      <c r="I848" s="32" t="str">
        <f>IF(E848=1,"",IF(OR(Orders!T845="Rider unavailable",Orders!T845="Item unavailable"),"Company-caused","Unresolved"))</f>
        <v/>
      </c>
      <c r="J848" s="33">
        <f>IF(OR(E848=1,I848="Company-caused"),1,0)</f>
        <v>1</v>
      </c>
      <c r="K848" s="32" t="str">
        <f>IF(E848=0,IF(I848="Company-caused",IF(Orders!T845="Rider unavailable","C1 Rider unavailable","C2 Item unavailable"),"Outside root: unresolved"),IF(G848=0,"A On time",IF(H848=1,IF(L848=1,"B2a Severe, peak","B2b Severe, off-peak"),IF(L848=1,"B1a Slight, peak","B1b Slight, off-peak"))))</f>
        <v>B1b Slight, off-peak</v>
      </c>
      <c r="L848" s="33">
        <f>IF(AND(Orders!U845&gt;=19,Orders!U845&lt;22),1,0)</f>
        <v>0</v>
      </c>
      <c r="M848" s="33">
        <f>IF(L848=IF(Orders!V845,1,0),1,0)</f>
        <v>1</v>
      </c>
      <c r="N848" s="32" t="str">
        <f>IF(Orders!W845="","None",Orders!W845)</f>
        <v>Heavy</v>
      </c>
      <c r="O848" s="35">
        <f>INT(Orders!E845)</f>
        <v>46278.0</v>
      </c>
      <c r="P848" s="33">
        <f>Orders!U845</f>
        <v>13</v>
      </c>
      <c r="Q848" s="33">
        <f>COUNTIFS(Demand!$A$2:$A$4481,B848,Demand!$B$2:$B$4481,O848,Demand!$C$2:$C$4481,P848)</f>
        <v>1</v>
      </c>
      <c r="R848" s="33">
        <f>IF(Q848=1,SUMIFS(Demand!$E$2:$E$4481,Demand!$A$2:$A$4481,B848,Demand!$B$2:$B$4481,O848,Demand!$C$2:$C$4481,P848),"")</f>
        <v>38</v>
      </c>
      <c r="S848" s="33">
        <f>INDEX(Stores!$G$2:$G$21,MATCH(B848,Stores!$A$2:$A$21,0))</f>
        <v>37</v>
      </c>
      <c r="T848" s="34">
        <f>IF(R848="","",R848/S848)</f>
        <v>1.02702702702703</v>
      </c>
      <c r="U848" s="34">
        <f>IF(E848=1,T848,"")</f>
        <v>1.02702702702703</v>
      </c>
      <c r="V848" s="34">
        <f>IF(AND(E848=1,L848=0),T848,"")</f>
        <v>1.02702702702703</v>
      </c>
      <c r="W848" s="33">
        <f>IF(U848="","",IF(U848&lt;=Breakdowns!$C$5,1,IF(U848&lt;=Breakdowns!$C$6,2,IF(U848&lt;=Breakdowns!$C$7,3,4))))</f>
        <v>3</v>
      </c>
      <c r="X848" s="33">
        <f>IF(V848="","",IF(V848&lt;=Breakdowns!$D$5,1,IF(V848&lt;=Breakdowns!$D$6,2,IF(V848&lt;=Breakdowns!$D$7,3,4))))</f>
        <v>3</v>
      </c>
      <c r="Y848" s="34">
        <f>INDEX(Stores!$F$2:$F$21,MATCH(B848,Stores!$A$2:$A$21,0))</f>
        <v>4.05</v>
      </c>
      <c r="Z848" s="33">
        <f>IF(Y848&gt;Store_Summary!$M$2,1,0)</f>
        <v>0</v>
      </c>
      <c r="AA848" s="33">
        <f>INDEX(Stores!$C$2:$C$21,MATCH(B848,Stores!$A$2:$A$21,0))</f>
        <v>661</v>
      </c>
      <c r="AB848" s="33">
        <f>IF(AA848&lt;180,1,0)</f>
        <v>0</v>
      </c>
      <c r="AC848" s="32" t="str">
        <f>IF(Orders!D845="","",INDEX(Riders!$C$2:$C$81,MATCH(Orders!D845,Riders!$A$2:$A$81,0)))</f>
        <v>Petrol scooter</v>
      </c>
      <c r="AD848" s="33">
        <f>IF(Orders!D845="","",INDEX(Riders!$D$2:$D$81,MATCH(Orders!D845,Riders!$A$2:$A$81,0)))</f>
        <v>35</v>
      </c>
      <c r="AE848" s="33">
        <f>IF(Orders!D845="","",IF(INDEX(Riders!$B$2:$B$81,MATCH(Orders!D845,Riders!$A$2:$A$81,0))=B848,1,0))</f>
        <v>0</v>
      </c>
      <c r="AF848" s="34">
        <f>IF(E848=1,Orders!L845,"")</f>
        <v>2.15</v>
      </c>
      <c r="AG848" s="34">
        <f>IF(E848=1,Orders!P845,"")</f>
        <v>12.2</v>
      </c>
      <c r="AH848" s="34">
        <f>IF(E848=1,Orders!Q845,"")</f>
        <v>14.1</v>
      </c>
      <c r="AI848" s="34">
        <f>IF(E848=1,Orders!M845,"")</f>
        <v>4.3</v>
      </c>
      <c r="AJ848" s="34">
        <f>IF(E848=1,Orders!N845,"")</f>
        <v>3.2</v>
      </c>
      <c r="AK848" s="34">
        <f>IF(E848=1,Orders!O845,"")</f>
        <v>6.7</v>
      </c>
      <c r="AL848" s="33">
        <f>IF(E848=1,IF(ROUND(ABS(AI848+AJ848+AK848-AH848),6)&lt;=0.1,1,0),"")</f>
        <v>1</v>
      </c>
      <c r="AM848" s="36">
        <f>IF(E848=1,AI848/AH848,"")</f>
        <v>0.304964539007092</v>
      </c>
      <c r="AN848" s="36">
        <f>IF(E848=1,AJ848/AH848,"")</f>
        <v>0.226950354609929</v>
      </c>
      <c r="AO848" s="36">
        <f>IF(E848=1,AK848/AH848,"")</f>
        <v>0.475177304964539</v>
      </c>
      <c r="AP848" s="34">
        <f>IF(E848=1,Orders!Y845,"")</f>
        <v>0.13</v>
      </c>
      <c r="AQ848" s="33">
        <f>IF(Orders!X845,1,0)</f>
        <v>0</v>
      </c>
      <c r="AR848" s="34" t="str">
        <f>IF(AND(E848=1,L848=1),AJ848,"")</f>
        <v/>
      </c>
      <c r="AS848" s="34">
        <f>IF(AND(E848=1,L848=0),AJ848,"")</f>
        <v>3.2</v>
      </c>
      <c r="AT848" s="34" t="str">
        <f>IF(AND(E848=1,L848=1),AI848,"")</f>
        <v/>
      </c>
      <c r="AU848" s="34">
        <f>IF(AND(E848=1,L848=0),AI848,"")</f>
        <v>4.3</v>
      </c>
      <c r="AV848" s="34" t="str">
        <f>IF(AND(E848=1,L848=1),AG848,"")</f>
        <v/>
      </c>
      <c r="AW848" s="34">
        <f>IF(AND(E848=1,L848=0),AG848,"")</f>
        <v>12.2</v>
      </c>
      <c r="AX848" s="34" t="str">
        <f>IF(AND(E848=1,L848=1),AH848,"")</f>
        <v/>
      </c>
      <c r="AY848" s="34">
        <f>IF(AND(E848=1,L848=0),AH848,"")</f>
        <v>14.1</v>
      </c>
      <c r="AZ848" s="34">
        <f>IF(G848=1,F848,"")</f>
        <v>1.9</v>
      </c>
      <c r="BA848" s="34" t="str">
        <f>IF(AND(G848=1,L848=1),F848,"")</f>
        <v/>
      </c>
      <c r="BB848" s="34">
        <f>IF(AND(G848=1,L848=0),F848,"")</f>
        <v>1.9</v>
      </c>
      <c r="BC848" s="33">
        <f>IF(E848=1,IF(Orders!R845&gt;3,1,0),"")</f>
        <v>0</v>
      </c>
      <c r="BD848" s="33">
        <f>IF(E848=1,IF(Orders!R845&gt;7,1,0),"")</f>
        <v>0</v>
      </c>
      <c r="BE848" s="32" t="str">
        <f>IF(E848=1,IF(Orders!L845&lt;=1.5,"Up to 1.5 km",IF(Orders!L845&lt;=3,"1.5–3 km","Over 3 km")),"")</f>
        <v>1.5–3 km</v>
      </c>
      <c r="BF848" s="33">
        <f>IF(E848=1,IF(ABS((Orders!G845-Orders!F845)*1440-Orders!R845)&lt;0.06,1,0),"")</f>
        <v>1</v>
      </c>
      <c r="BG848" s="33">
        <f>IF(ABS((Orders!F845-Orders!E845)*1440-Orders!P845)&lt;0.06,1,0)</f>
        <v>1</v>
      </c>
      <c r="BH848" s="33">
        <f>IF(E848=1,IF(IF(Orders!S845,1,0)=1-G848,1,0),"")</f>
        <v>1</v>
      </c>
      <c r="BI848" s="32" t="str">
        <f>INDEX(Stores!$B$2:$B$21,MATCH(B848,Stores!$A$2:$A$21,0))</f>
        <v>Hyderabad</v>
      </c>
    </row>
    <row r="849">
      <c r="A849" s="32" t="str">
        <f>Orders!A846</f>
        <v>O00845</v>
      </c>
      <c r="B849" s="32" t="str">
        <f>Orders!C846</f>
        <v>S006</v>
      </c>
      <c r="C849" s="32" t="str">
        <f>Orders!B846</f>
        <v>C0204</v>
      </c>
      <c r="D849" s="32" t="str">
        <f>Orders!H846</f>
        <v>Delivered</v>
      </c>
      <c r="E849" s="33">
        <f>IF(Orders!H846="Delivered",1,0)</f>
        <v>1</v>
      </c>
      <c r="F849" s="34">
        <f>IF(E849=1,Orders!R846,"")</f>
        <v>2.2</v>
      </c>
      <c r="G849" s="33">
        <f>IF(E849=1,IF(Orders!R846&gt;0,1,0),"")</f>
        <v>1</v>
      </c>
      <c r="H849" s="33">
        <f>IF(E849=1,IF(Orders!R846&gt;5,1,0),"")</f>
        <v>0</v>
      </c>
      <c r="I849" s="32" t="str">
        <f>IF(E849=1,"",IF(OR(Orders!T846="Rider unavailable",Orders!T846="Item unavailable"),"Company-caused","Unresolved"))</f>
        <v/>
      </c>
      <c r="J849" s="33">
        <f>IF(OR(E849=1,I849="Company-caused"),1,0)</f>
        <v>1</v>
      </c>
      <c r="K849" s="32" t="str">
        <f>IF(E849=0,IF(I849="Company-caused",IF(Orders!T846="Rider unavailable","C1 Rider unavailable","C2 Item unavailable"),"Outside root: unresolved"),IF(G849=0,"A On time",IF(H849=1,IF(L849=1,"B2a Severe, peak","B2b Severe, off-peak"),IF(L849=1,"B1a Slight, peak","B1b Slight, off-peak"))))</f>
        <v>B1b Slight, off-peak</v>
      </c>
      <c r="L849" s="33">
        <f>IF(AND(Orders!U846&gt;=19,Orders!U846&lt;22),1,0)</f>
        <v>0</v>
      </c>
      <c r="M849" s="33">
        <f>IF(L849=IF(Orders!V846,1,0),1,0)</f>
        <v>1</v>
      </c>
      <c r="N849" s="32" t="str">
        <f>IF(Orders!W846="","None",Orders!W846)</f>
        <v>None</v>
      </c>
      <c r="O849" s="35">
        <f>INT(Orders!E846)</f>
        <v>46275.0</v>
      </c>
      <c r="P849" s="33">
        <f>Orders!U846</f>
        <v>18</v>
      </c>
      <c r="Q849" s="33">
        <f>COUNTIFS(Demand!$A$2:$A$4481,B849,Demand!$B$2:$B$4481,O849,Demand!$C$2:$C$4481,P849)</f>
        <v>1</v>
      </c>
      <c r="R849" s="33">
        <f>IF(Q849=1,SUMIFS(Demand!$E$2:$E$4481,Demand!$A$2:$A$4481,B849,Demand!$B$2:$B$4481,O849,Demand!$C$2:$C$4481,P849),"")</f>
        <v>25</v>
      </c>
      <c r="S849" s="33">
        <f>INDEX(Stores!$G$2:$G$21,MATCH(B849,Stores!$A$2:$A$21,0))</f>
        <v>26</v>
      </c>
      <c r="T849" s="34">
        <f>IF(R849="","",R849/S849)</f>
        <v>0.961538461538462</v>
      </c>
      <c r="U849" s="34">
        <f>IF(E849=1,T849,"")</f>
        <v>0.961538461538462</v>
      </c>
      <c r="V849" s="34">
        <f>IF(AND(E849=1,L849=0),T849,"")</f>
        <v>0.961538461538462</v>
      </c>
      <c r="W849" s="33">
        <f>IF(U849="","",IF(U849&lt;=Breakdowns!$C$5,1,IF(U849&lt;=Breakdowns!$C$6,2,IF(U849&lt;=Breakdowns!$C$7,3,4))))</f>
        <v>2</v>
      </c>
      <c r="X849" s="33">
        <f>IF(V849="","",IF(V849&lt;=Breakdowns!$D$5,1,IF(V849&lt;=Breakdowns!$D$6,2,IF(V849&lt;=Breakdowns!$D$7,3,4))))</f>
        <v>3</v>
      </c>
      <c r="Y849" s="34">
        <f>INDEX(Stores!$F$2:$F$21,MATCH(B849,Stores!$A$2:$A$21,0))</f>
        <v>5.22</v>
      </c>
      <c r="Z849" s="33">
        <f>IF(Y849&gt;Store_Summary!$M$2,1,0)</f>
        <v>1</v>
      </c>
      <c r="AA849" s="33">
        <f>INDEX(Stores!$C$2:$C$21,MATCH(B849,Stores!$A$2:$A$21,0))</f>
        <v>412</v>
      </c>
      <c r="AB849" s="33">
        <f>IF(AA849&lt;180,1,0)</f>
        <v>0</v>
      </c>
      <c r="AC849" s="32" t="str">
        <f>IF(Orders!D846="","",INDEX(Riders!$C$2:$C$81,MATCH(Orders!D846,Riders!$A$2:$A$81,0)))</f>
        <v>Petrol scooter</v>
      </c>
      <c r="AD849" s="33">
        <f>IF(Orders!D846="","",INDEX(Riders!$D$2:$D$81,MATCH(Orders!D846,Riders!$A$2:$A$81,0)))</f>
        <v>15</v>
      </c>
      <c r="AE849" s="33">
        <f>IF(Orders!D846="","",IF(INDEX(Riders!$B$2:$B$81,MATCH(Orders!D846,Riders!$A$2:$A$81,0))=B849,1,0))</f>
        <v>0</v>
      </c>
      <c r="AF849" s="34">
        <f>IF(E849=1,Orders!L846,"")</f>
        <v>2.53</v>
      </c>
      <c r="AG849" s="34">
        <f>IF(E849=1,Orders!P846,"")</f>
        <v>10.5</v>
      </c>
      <c r="AH849" s="34">
        <f>IF(E849=1,Orders!Q846,"")</f>
        <v>12.7</v>
      </c>
      <c r="AI849" s="34">
        <f>IF(E849=1,Orders!M846,"")</f>
        <v>5.9</v>
      </c>
      <c r="AJ849" s="34">
        <f>IF(E849=1,Orders!N846,"")</f>
        <v>0.4</v>
      </c>
      <c r="AK849" s="34">
        <f>IF(E849=1,Orders!O846,"")</f>
        <v>6.4</v>
      </c>
      <c r="AL849" s="33">
        <f>IF(E849=1,IF(ROUND(ABS(AI849+AJ849+AK849-AH849),6)&lt;=0.1,1,0),"")</f>
        <v>1</v>
      </c>
      <c r="AM849" s="36">
        <f>IF(E849=1,AI849/AH849,"")</f>
        <v>0.464566929133858</v>
      </c>
      <c r="AN849" s="36">
        <f>IF(E849=1,AJ849/AH849,"")</f>
        <v>0.031496062992126</v>
      </c>
      <c r="AO849" s="36">
        <f>IF(E849=1,AK849/AH849,"")</f>
        <v>0.503937007874016</v>
      </c>
      <c r="AP849" s="34">
        <f>IF(E849=1,Orders!Y846,"")</f>
        <v>0.38</v>
      </c>
      <c r="AQ849" s="33">
        <f>IF(Orders!X846,1,0)</f>
        <v>0</v>
      </c>
      <c r="AR849" s="34" t="str">
        <f>IF(AND(E849=1,L849=1),AJ849,"")</f>
        <v/>
      </c>
      <c r="AS849" s="34">
        <f>IF(AND(E849=1,L849=0),AJ849,"")</f>
        <v>0.4</v>
      </c>
      <c r="AT849" s="34" t="str">
        <f>IF(AND(E849=1,L849=1),AI849,"")</f>
        <v/>
      </c>
      <c r="AU849" s="34">
        <f>IF(AND(E849=1,L849=0),AI849,"")</f>
        <v>5.9</v>
      </c>
      <c r="AV849" s="34" t="str">
        <f>IF(AND(E849=1,L849=1),AG849,"")</f>
        <v/>
      </c>
      <c r="AW849" s="34">
        <f>IF(AND(E849=1,L849=0),AG849,"")</f>
        <v>10.5</v>
      </c>
      <c r="AX849" s="34" t="str">
        <f>IF(AND(E849=1,L849=1),AH849,"")</f>
        <v/>
      </c>
      <c r="AY849" s="34">
        <f>IF(AND(E849=1,L849=0),AH849,"")</f>
        <v>12.7</v>
      </c>
      <c r="AZ849" s="34">
        <f>IF(G849=1,F849,"")</f>
        <v>2.2</v>
      </c>
      <c r="BA849" s="34" t="str">
        <f>IF(AND(G849=1,L849=1),F849,"")</f>
        <v/>
      </c>
      <c r="BB849" s="34">
        <f>IF(AND(G849=1,L849=0),F849,"")</f>
        <v>2.2</v>
      </c>
      <c r="BC849" s="33">
        <f>IF(E849=1,IF(Orders!R846&gt;3,1,0),"")</f>
        <v>0</v>
      </c>
      <c r="BD849" s="33">
        <f>IF(E849=1,IF(Orders!R846&gt;7,1,0),"")</f>
        <v>0</v>
      </c>
      <c r="BE849" s="32" t="str">
        <f>IF(E849=1,IF(Orders!L846&lt;=1.5,"Up to 1.5 km",IF(Orders!L846&lt;=3,"1.5–3 km","Over 3 km")),"")</f>
        <v>1.5–3 km</v>
      </c>
      <c r="BF849" s="33">
        <f>IF(E849=1,IF(ABS((Orders!G846-Orders!F846)*1440-Orders!R846)&lt;0.06,1,0),"")</f>
        <v>1</v>
      </c>
      <c r="BG849" s="33">
        <f>IF(ABS((Orders!F846-Orders!E846)*1440-Orders!P846)&lt;0.06,1,0)</f>
        <v>1</v>
      </c>
      <c r="BH849" s="33">
        <f>IF(E849=1,IF(IF(Orders!S846,1,0)=1-G849,1,0),"")</f>
        <v>1</v>
      </c>
      <c r="BI849" s="32" t="str">
        <f>INDEX(Stores!$B$2:$B$21,MATCH(B849,Stores!$A$2:$A$21,0))</f>
        <v>Bengaluru</v>
      </c>
    </row>
    <row r="850">
      <c r="A850" s="32" t="str">
        <f>Orders!A847</f>
        <v>O00846</v>
      </c>
      <c r="B850" s="32" t="str">
        <f>Orders!C847</f>
        <v>S005</v>
      </c>
      <c r="C850" s="32" t="str">
        <f>Orders!B847</f>
        <v>C0147</v>
      </c>
      <c r="D850" s="32" t="str">
        <f>Orders!H847</f>
        <v>Delivered</v>
      </c>
      <c r="E850" s="33">
        <f>IF(Orders!H847="Delivered",1,0)</f>
        <v>1</v>
      </c>
      <c r="F850" s="34">
        <f>IF(E850=1,Orders!R847,"")</f>
        <v>-0.9</v>
      </c>
      <c r="G850" s="33">
        <f>IF(E850=1,IF(Orders!R847&gt;0,1,0),"")</f>
        <v>0</v>
      </c>
      <c r="H850" s="33">
        <f>IF(E850=1,IF(Orders!R847&gt;5,1,0),"")</f>
        <v>0</v>
      </c>
      <c r="I850" s="32" t="str">
        <f>IF(E850=1,"",IF(OR(Orders!T847="Rider unavailable",Orders!T847="Item unavailable"),"Company-caused","Unresolved"))</f>
        <v/>
      </c>
      <c r="J850" s="33">
        <f>IF(OR(E850=1,I850="Company-caused"),1,0)</f>
        <v>1</v>
      </c>
      <c r="K850" s="32" t="str">
        <f>IF(E850=0,IF(I850="Company-caused",IF(Orders!T847="Rider unavailable","C1 Rider unavailable","C2 Item unavailable"),"Outside root: unresolved"),IF(G850=0,"A On time",IF(H850=1,IF(L850=1,"B2a Severe, peak","B2b Severe, off-peak"),IF(L850=1,"B1a Slight, peak","B1b Slight, off-peak"))))</f>
        <v>A On time</v>
      </c>
      <c r="L850" s="33">
        <f>IF(AND(Orders!U847&gt;=19,Orders!U847&lt;22),1,0)</f>
        <v>1</v>
      </c>
      <c r="M850" s="33">
        <f>IF(L850=IF(Orders!V847,1,0),1,0)</f>
        <v>1</v>
      </c>
      <c r="N850" s="32" t="str">
        <f>IF(Orders!W847="","None",Orders!W847)</f>
        <v>None</v>
      </c>
      <c r="O850" s="35">
        <f>INT(Orders!E847)</f>
        <v>46272.0</v>
      </c>
      <c r="P850" s="33">
        <f>Orders!U847</f>
        <v>21</v>
      </c>
      <c r="Q850" s="33">
        <f>COUNTIFS(Demand!$A$2:$A$4481,B850,Demand!$B$2:$B$4481,O850,Demand!$C$2:$C$4481,P850)</f>
        <v>1</v>
      </c>
      <c r="R850" s="33">
        <f>IF(Q850=1,SUMIFS(Demand!$E$2:$E$4481,Demand!$A$2:$A$4481,B850,Demand!$B$2:$B$4481,O850,Demand!$C$2:$C$4481,P850),"")</f>
        <v>18</v>
      </c>
      <c r="S850" s="33">
        <f>INDEX(Stores!$G$2:$G$21,MATCH(B850,Stores!$A$2:$A$21,0))</f>
        <v>14</v>
      </c>
      <c r="T850" s="34">
        <f>IF(R850="","",R850/S850)</f>
        <v>1.28571428571429</v>
      </c>
      <c r="U850" s="34">
        <f>IF(E850=1,T850,"")</f>
        <v>1.28571428571429</v>
      </c>
      <c r="V850" s="34" t="str">
        <f>IF(AND(E850=1,L850=0),T850,"")</f>
        <v/>
      </c>
      <c r="W850" s="33">
        <f>IF(U850="","",IF(U850&lt;=Breakdowns!$C$5,1,IF(U850&lt;=Breakdowns!$C$6,2,IF(U850&lt;=Breakdowns!$C$7,3,4))))</f>
        <v>4</v>
      </c>
      <c r="X850" s="33" t="str">
        <f>IF(V850="","",IF(V850&lt;=Breakdowns!$D$5,1,IF(V850&lt;=Breakdowns!$D$6,2,IF(V850&lt;=Breakdowns!$D$7,3,4))))</f>
        <v/>
      </c>
      <c r="Y850" s="34">
        <f>INDEX(Stores!$F$2:$F$21,MATCH(B850,Stores!$A$2:$A$21,0))</f>
        <v>4.89</v>
      </c>
      <c r="Z850" s="33">
        <f>IF(Y850&gt;Store_Summary!$M$2,1,0)</f>
        <v>0</v>
      </c>
      <c r="AA850" s="33">
        <f>INDEX(Stores!$C$2:$C$21,MATCH(B850,Stores!$A$2:$A$21,0))</f>
        <v>138</v>
      </c>
      <c r="AB850" s="33">
        <f>IF(AA850&lt;180,1,0)</f>
        <v>1</v>
      </c>
      <c r="AC850" s="32" t="str">
        <f>IF(Orders!D847="","",INDEX(Riders!$C$2:$C$81,MATCH(Orders!D847,Riders!$A$2:$A$81,0)))</f>
        <v>EV scooter</v>
      </c>
      <c r="AD850" s="33">
        <f>IF(Orders!D847="","",INDEX(Riders!$D$2:$D$81,MATCH(Orders!D847,Riders!$A$2:$A$81,0)))</f>
        <v>14</v>
      </c>
      <c r="AE850" s="33">
        <f>IF(Orders!D847="","",IF(INDEX(Riders!$B$2:$B$81,MATCH(Orders!D847,Riders!$A$2:$A$81,0))=B850,1,0))</f>
        <v>0</v>
      </c>
      <c r="AF850" s="34">
        <f>IF(E850=1,Orders!L847,"")</f>
        <v>0.87</v>
      </c>
      <c r="AG850" s="34">
        <f>IF(E850=1,Orders!P847,"")</f>
        <v>9.4</v>
      </c>
      <c r="AH850" s="34">
        <f>IF(E850=1,Orders!Q847,"")</f>
        <v>8.5</v>
      </c>
      <c r="AI850" s="34">
        <f>IF(E850=1,Orders!M847,"")</f>
        <v>3.1</v>
      </c>
      <c r="AJ850" s="34">
        <f>IF(E850=1,Orders!N847,"")</f>
        <v>3.3</v>
      </c>
      <c r="AK850" s="34">
        <f>IF(E850=1,Orders!O847,"")</f>
        <v>2.1</v>
      </c>
      <c r="AL850" s="33">
        <f>IF(E850=1,IF(ROUND(ABS(AI850+AJ850+AK850-AH850),6)&lt;=0.1,1,0),"")</f>
        <v>1</v>
      </c>
      <c r="AM850" s="36">
        <f>IF(E850=1,AI850/AH850,"")</f>
        <v>0.364705882352941</v>
      </c>
      <c r="AN850" s="36">
        <f>IF(E850=1,AJ850/AH850,"")</f>
        <v>0.388235294117647</v>
      </c>
      <c r="AO850" s="36">
        <f>IF(E850=1,AK850/AH850,"")</f>
        <v>0.247058823529412</v>
      </c>
      <c r="AP850" s="34">
        <f>IF(E850=1,Orders!Y847,"")</f>
        <v>0.75</v>
      </c>
      <c r="AQ850" s="33">
        <f>IF(Orders!X847,1,0)</f>
        <v>0</v>
      </c>
      <c r="AR850" s="34">
        <f>IF(AND(E850=1,L850=1),AJ850,"")</f>
        <v>3.3</v>
      </c>
      <c r="AS850" s="34" t="str">
        <f>IF(AND(E850=1,L850=0),AJ850,"")</f>
        <v/>
      </c>
      <c r="AT850" s="34">
        <f>IF(AND(E850=1,L850=1),AI850,"")</f>
        <v>3.1</v>
      </c>
      <c r="AU850" s="34" t="str">
        <f>IF(AND(E850=1,L850=0),AI850,"")</f>
        <v/>
      </c>
      <c r="AV850" s="34">
        <f>IF(AND(E850=1,L850=1),AG850,"")</f>
        <v>9.4</v>
      </c>
      <c r="AW850" s="34" t="str">
        <f>IF(AND(E850=1,L850=0),AG850,"")</f>
        <v/>
      </c>
      <c r="AX850" s="34">
        <f>IF(AND(E850=1,L850=1),AH850,"")</f>
        <v>8.5</v>
      </c>
      <c r="AY850" s="34" t="str">
        <f>IF(AND(E850=1,L850=0),AH850,"")</f>
        <v/>
      </c>
      <c r="AZ850" s="34" t="str">
        <f>IF(G850=1,F850,"")</f>
        <v/>
      </c>
      <c r="BA850" s="34" t="str">
        <f>IF(AND(G850=1,L850=1),F850,"")</f>
        <v/>
      </c>
      <c r="BB850" s="34" t="str">
        <f>IF(AND(G850=1,L850=0),F850,"")</f>
        <v/>
      </c>
      <c r="BC850" s="33">
        <f>IF(E850=1,IF(Orders!R847&gt;3,1,0),"")</f>
        <v>0</v>
      </c>
      <c r="BD850" s="33">
        <f>IF(E850=1,IF(Orders!R847&gt;7,1,0),"")</f>
        <v>0</v>
      </c>
      <c r="BE850" s="32" t="str">
        <f>IF(E850=1,IF(Orders!L847&lt;=1.5,"Up to 1.5 km",IF(Orders!L847&lt;=3,"1.5–3 km","Over 3 km")),"")</f>
        <v>Up to 1.5 km</v>
      </c>
      <c r="BF850" s="33">
        <f>IF(E850=1,IF(ABS((Orders!G847-Orders!F847)*1440-Orders!R847)&lt;0.06,1,0),"")</f>
        <v>1</v>
      </c>
      <c r="BG850" s="33">
        <f>IF(ABS((Orders!F847-Orders!E847)*1440-Orders!P847)&lt;0.06,1,0)</f>
        <v>1</v>
      </c>
      <c r="BH850" s="33">
        <f>IF(E850=1,IF(IF(Orders!S847,1,0)=1-G850,1,0),"")</f>
        <v>1</v>
      </c>
      <c r="BI850" s="32" t="str">
        <f>INDEX(Stores!$B$2:$B$21,MATCH(B850,Stores!$A$2:$A$21,0))</f>
        <v>Delhi</v>
      </c>
    </row>
    <row r="851">
      <c r="A851" s="32" t="str">
        <f>Orders!A848</f>
        <v>O00847</v>
      </c>
      <c r="B851" s="32" t="str">
        <f>Orders!C848</f>
        <v>S006</v>
      </c>
      <c r="C851" s="32" t="str">
        <f>Orders!B848</f>
        <v>C0180</v>
      </c>
      <c r="D851" s="32" t="str">
        <f>Orders!H848</f>
        <v>Cancelled</v>
      </c>
      <c r="E851" s="33">
        <f>IF(Orders!H848="Delivered",1,0)</f>
        <v>0</v>
      </c>
      <c r="F851" s="34" t="str">
        <f>IF(E851=1,Orders!R848,"")</f>
        <v/>
      </c>
      <c r="G851" s="33" t="str">
        <f>IF(E851=1,IF(Orders!R848&gt;0,1,0),"")</f>
        <v/>
      </c>
      <c r="H851" s="33" t="str">
        <f>IF(E851=1,IF(Orders!R848&gt;5,1,0),"")</f>
        <v/>
      </c>
      <c r="I851" s="32" t="str">
        <f>IF(E851=1,"",IF(OR(Orders!T848="Rider unavailable",Orders!T848="Item unavailable"),"Company-caused","Unresolved"))</f>
        <v>Company-caused</v>
      </c>
      <c r="J851" s="33">
        <f>IF(OR(E851=1,I851="Company-caused"),1,0)</f>
        <v>1</v>
      </c>
      <c r="K851" s="32" t="str">
        <f>IF(E851=0,IF(I851="Company-caused",IF(Orders!T848="Rider unavailable","C1 Rider unavailable","C2 Item unavailable"),"Outside root: unresolved"),IF(G851=0,"A On time",IF(H851=1,IF(L851=1,"B2a Severe, peak","B2b Severe, off-peak"),IF(L851=1,"B1a Slight, peak","B1b Slight, off-peak"))))</f>
        <v>C2 Item unavailable</v>
      </c>
      <c r="L851" s="33">
        <f>IF(AND(Orders!U848&gt;=19,Orders!U848&lt;22),1,0)</f>
        <v>0</v>
      </c>
      <c r="M851" s="33">
        <f>IF(L851=IF(Orders!V848,1,0),1,0)</f>
        <v>1</v>
      </c>
      <c r="N851" s="32" t="str">
        <f>IF(Orders!W848="","None",Orders!W848)</f>
        <v>None</v>
      </c>
      <c r="O851" s="35">
        <f>INT(Orders!E848)</f>
        <v>46275.0</v>
      </c>
      <c r="P851" s="33">
        <f>Orders!U848</f>
        <v>18</v>
      </c>
      <c r="Q851" s="33">
        <f>COUNTIFS(Demand!$A$2:$A$4481,B851,Demand!$B$2:$B$4481,O851,Demand!$C$2:$C$4481,P851)</f>
        <v>1</v>
      </c>
      <c r="R851" s="33">
        <f>IF(Q851=1,SUMIFS(Demand!$E$2:$E$4481,Demand!$A$2:$A$4481,B851,Demand!$B$2:$B$4481,O851,Demand!$C$2:$C$4481,P851),"")</f>
        <v>25</v>
      </c>
      <c r="S851" s="33">
        <f>INDEX(Stores!$G$2:$G$21,MATCH(B851,Stores!$A$2:$A$21,0))</f>
        <v>26</v>
      </c>
      <c r="T851" s="34">
        <f>IF(R851="","",R851/S851)</f>
        <v>0.961538461538462</v>
      </c>
      <c r="U851" s="34" t="str">
        <f>IF(E851=1,T851,"")</f>
        <v/>
      </c>
      <c r="V851" s="34" t="str">
        <f>IF(AND(E851=1,L851=0),T851,"")</f>
        <v/>
      </c>
      <c r="W851" s="33" t="str">
        <f>IF(U851="","",IF(U851&lt;=Breakdowns!$C$5,1,IF(U851&lt;=Breakdowns!$C$6,2,IF(U851&lt;=Breakdowns!$C$7,3,4))))</f>
        <v/>
      </c>
      <c r="X851" s="33" t="str">
        <f>IF(V851="","",IF(V851&lt;=Breakdowns!$D$5,1,IF(V851&lt;=Breakdowns!$D$6,2,IF(V851&lt;=Breakdowns!$D$7,3,4))))</f>
        <v/>
      </c>
      <c r="Y851" s="34">
        <f>INDEX(Stores!$F$2:$F$21,MATCH(B851,Stores!$A$2:$A$21,0))</f>
        <v>5.22</v>
      </c>
      <c r="Z851" s="33">
        <f>IF(Y851&gt;Store_Summary!$M$2,1,0)</f>
        <v>1</v>
      </c>
      <c r="AA851" s="33">
        <f>INDEX(Stores!$C$2:$C$21,MATCH(B851,Stores!$A$2:$A$21,0))</f>
        <v>412</v>
      </c>
      <c r="AB851" s="33">
        <f>IF(AA851&lt;180,1,0)</f>
        <v>0</v>
      </c>
      <c r="AC851" s="32" t="str">
        <f>IF(Orders!D848="","",INDEX(Riders!$C$2:$C$81,MATCH(Orders!D848,Riders!$A$2:$A$81,0)))</f>
        <v/>
      </c>
      <c r="AD851" s="33" t="str">
        <f>IF(Orders!D848="","",INDEX(Riders!$D$2:$D$81,MATCH(Orders!D848,Riders!$A$2:$A$81,0)))</f>
        <v/>
      </c>
      <c r="AE851" s="33" t="str">
        <f>IF(Orders!D848="","",IF(INDEX(Riders!$B$2:$B$81,MATCH(Orders!D848,Riders!$A$2:$A$81,0))=B851,1,0))</f>
        <v/>
      </c>
      <c r="AF851" s="34" t="str">
        <f>IF(E851=1,Orders!L848,"")</f>
        <v/>
      </c>
      <c r="AG851" s="34" t="str">
        <f>IF(E851=1,Orders!P848,"")</f>
        <v/>
      </c>
      <c r="AH851" s="34" t="str">
        <f>IF(E851=1,Orders!Q848,"")</f>
        <v/>
      </c>
      <c r="AI851" s="34" t="str">
        <f>IF(E851=1,Orders!M848,"")</f>
        <v/>
      </c>
      <c r="AJ851" s="34" t="str">
        <f>IF(E851=1,Orders!N848,"")</f>
        <v/>
      </c>
      <c r="AK851" s="34" t="str">
        <f>IF(E851=1,Orders!O848,"")</f>
        <v/>
      </c>
      <c r="AL851" s="33" t="str">
        <f>IF(E851=1,IF(ROUND(ABS(AI851+AJ851+AK851-AH851),6)&lt;=0.1,1,0),"")</f>
        <v/>
      </c>
      <c r="AM851" s="36" t="str">
        <f>IF(E851=1,AI851/AH851,"")</f>
        <v/>
      </c>
      <c r="AN851" s="36" t="str">
        <f>IF(E851=1,AJ851/AH851,"")</f>
        <v/>
      </c>
      <c r="AO851" s="36" t="str">
        <f>IF(E851=1,AK851/AH851,"")</f>
        <v/>
      </c>
      <c r="AP851" s="34" t="str">
        <f>IF(E851=1,Orders!Y848,"")</f>
        <v/>
      </c>
      <c r="AQ851" s="33">
        <f>IF(Orders!X848,1,0)</f>
        <v>0</v>
      </c>
      <c r="AR851" s="34" t="str">
        <f>IF(AND(E851=1,L851=1),AJ851,"")</f>
        <v/>
      </c>
      <c r="AS851" s="34" t="str">
        <f>IF(AND(E851=1,L851=0),AJ851,"")</f>
        <v/>
      </c>
      <c r="AT851" s="34" t="str">
        <f>IF(AND(E851=1,L851=1),AI851,"")</f>
        <v/>
      </c>
      <c r="AU851" s="34" t="str">
        <f>IF(AND(E851=1,L851=0),AI851,"")</f>
        <v/>
      </c>
      <c r="AV851" s="34" t="str">
        <f>IF(AND(E851=1,L851=1),AG851,"")</f>
        <v/>
      </c>
      <c r="AW851" s="34" t="str">
        <f>IF(AND(E851=1,L851=0),AG851,"")</f>
        <v/>
      </c>
      <c r="AX851" s="34" t="str">
        <f>IF(AND(E851=1,L851=1),AH851,"")</f>
        <v/>
      </c>
      <c r="AY851" s="34" t="str">
        <f>IF(AND(E851=1,L851=0),AH851,"")</f>
        <v/>
      </c>
      <c r="AZ851" s="34" t="str">
        <f>IF(G851=1,F851,"")</f>
        <v/>
      </c>
      <c r="BA851" s="34" t="str">
        <f>IF(AND(G851=1,L851=1),F851,"")</f>
        <v/>
      </c>
      <c r="BB851" s="34" t="str">
        <f>IF(AND(G851=1,L851=0),F851,"")</f>
        <v/>
      </c>
      <c r="BC851" s="33" t="str">
        <f>IF(E851=1,IF(Orders!R848&gt;3,1,0),"")</f>
        <v/>
      </c>
      <c r="BD851" s="33" t="str">
        <f>IF(E851=1,IF(Orders!R848&gt;7,1,0),"")</f>
        <v/>
      </c>
      <c r="BE851" s="32" t="str">
        <f>IF(E851=1,IF(Orders!L848&lt;=1.5,"Up to 1.5 km",IF(Orders!L848&lt;=3,"1.5–3 km","Over 3 km")),"")</f>
        <v/>
      </c>
      <c r="BF851" s="33" t="str">
        <f>IF(E851=1,IF(ABS((Orders!G848-Orders!F848)*1440-Orders!R848)&lt;0.06,1,0),"")</f>
        <v/>
      </c>
      <c r="BG851" s="33">
        <f>IF(ABS((Orders!F848-Orders!E848)*1440-Orders!P848)&lt;0.06,1,0)</f>
        <v>1</v>
      </c>
      <c r="BH851" s="33" t="str">
        <f>IF(E851=1,IF(IF(Orders!S848,1,0)=1-G851,1,0),"")</f>
        <v/>
      </c>
      <c r="BI851" s="32" t="str">
        <f>INDEX(Stores!$B$2:$B$21,MATCH(B851,Stores!$A$2:$A$21,0))</f>
        <v>Bengaluru</v>
      </c>
    </row>
    <row r="852">
      <c r="A852" s="32" t="str">
        <f>Orders!A849</f>
        <v>O00848</v>
      </c>
      <c r="B852" s="32" t="str">
        <f>Orders!C849</f>
        <v>S010</v>
      </c>
      <c r="C852" s="32" t="str">
        <f>Orders!B849</f>
        <v>C0127</v>
      </c>
      <c r="D852" s="32" t="str">
        <f>Orders!H849</f>
        <v>Delivered</v>
      </c>
      <c r="E852" s="33">
        <f>IF(Orders!H849="Delivered",1,0)</f>
        <v>1</v>
      </c>
      <c r="F852" s="34">
        <f>IF(E852=1,Orders!R849,"")</f>
        <v>5.4</v>
      </c>
      <c r="G852" s="33">
        <f>IF(E852=1,IF(Orders!R849&gt;0,1,0),"")</f>
        <v>1</v>
      </c>
      <c r="H852" s="33">
        <f>IF(E852=1,IF(Orders!R849&gt;5,1,0),"")</f>
        <v>1</v>
      </c>
      <c r="I852" s="32" t="str">
        <f>IF(E852=1,"",IF(OR(Orders!T849="Rider unavailable",Orders!T849="Item unavailable"),"Company-caused","Unresolved"))</f>
        <v/>
      </c>
      <c r="J852" s="33">
        <f>IF(OR(E852=1,I852="Company-caused"),1,0)</f>
        <v>1</v>
      </c>
      <c r="K852" s="32" t="str">
        <f>IF(E852=0,IF(I852="Company-caused",IF(Orders!T849="Rider unavailable","C1 Rider unavailable","C2 Item unavailable"),"Outside root: unresolved"),IF(G852=0,"A On time",IF(H852=1,IF(L852=1,"B2a Severe, peak","B2b Severe, off-peak"),IF(L852=1,"B1a Slight, peak","B1b Slight, off-peak"))))</f>
        <v>B2b Severe, off-peak</v>
      </c>
      <c r="L852" s="33">
        <f>IF(AND(Orders!U849&gt;=19,Orders!U849&lt;22),1,0)</f>
        <v>0</v>
      </c>
      <c r="M852" s="33">
        <f>IF(L852=IF(Orders!V849,1,0),1,0)</f>
        <v>1</v>
      </c>
      <c r="N852" s="32" t="str">
        <f>IF(Orders!W849="","None",Orders!W849)</f>
        <v>None</v>
      </c>
      <c r="O852" s="35">
        <f>INT(Orders!E849)</f>
        <v>46271.0</v>
      </c>
      <c r="P852" s="33">
        <f>Orders!U849</f>
        <v>13</v>
      </c>
      <c r="Q852" s="33">
        <f>COUNTIFS(Demand!$A$2:$A$4481,B852,Demand!$B$2:$B$4481,O852,Demand!$C$2:$C$4481,P852)</f>
        <v>1</v>
      </c>
      <c r="R852" s="33">
        <f>IF(Q852=1,SUMIFS(Demand!$E$2:$E$4481,Demand!$A$2:$A$4481,B852,Demand!$B$2:$B$4481,O852,Demand!$C$2:$C$4481,P852),"")</f>
        <v>19</v>
      </c>
      <c r="S852" s="33">
        <f>INDEX(Stores!$G$2:$G$21,MATCH(B852,Stores!$A$2:$A$21,0))</f>
        <v>22</v>
      </c>
      <c r="T852" s="34">
        <f>IF(R852="","",R852/S852)</f>
        <v>0.863636363636364</v>
      </c>
      <c r="U852" s="34">
        <f>IF(E852=1,T852,"")</f>
        <v>0.863636363636364</v>
      </c>
      <c r="V852" s="34">
        <f>IF(AND(E852=1,L852=0),T852,"")</f>
        <v>0.863636363636364</v>
      </c>
      <c r="W852" s="33">
        <f>IF(U852="","",IF(U852&lt;=Breakdowns!$C$5,1,IF(U852&lt;=Breakdowns!$C$6,2,IF(U852&lt;=Breakdowns!$C$7,3,4))))</f>
        <v>2</v>
      </c>
      <c r="X852" s="33">
        <f>IF(V852="","",IF(V852&lt;=Breakdowns!$D$5,1,IF(V852&lt;=Breakdowns!$D$6,2,IF(V852&lt;=Breakdowns!$D$7,3,4))))</f>
        <v>2</v>
      </c>
      <c r="Y852" s="34">
        <f>INDEX(Stores!$F$2:$F$21,MATCH(B852,Stores!$A$2:$A$21,0))</f>
        <v>5.61</v>
      </c>
      <c r="Z852" s="33">
        <f>IF(Y852&gt;Store_Summary!$M$2,1,0)</f>
        <v>1</v>
      </c>
      <c r="AA852" s="33">
        <f>INDEX(Stores!$C$2:$C$21,MATCH(B852,Stores!$A$2:$A$21,0))</f>
        <v>744</v>
      </c>
      <c r="AB852" s="33">
        <f>IF(AA852&lt;180,1,0)</f>
        <v>0</v>
      </c>
      <c r="AC852" s="32" t="str">
        <f>IF(Orders!D849="","",INDEX(Riders!$C$2:$C$81,MATCH(Orders!D849,Riders!$A$2:$A$81,0)))</f>
        <v>Bicycle</v>
      </c>
      <c r="AD852" s="33">
        <f>IF(Orders!D849="","",INDEX(Riders!$D$2:$D$81,MATCH(Orders!D849,Riders!$A$2:$A$81,0)))</f>
        <v>44</v>
      </c>
      <c r="AE852" s="33">
        <f>IF(Orders!D849="","",IF(INDEX(Riders!$B$2:$B$81,MATCH(Orders!D849,Riders!$A$2:$A$81,0))=B852,1,0))</f>
        <v>0</v>
      </c>
      <c r="AF852" s="34">
        <f>IF(E852=1,Orders!L849,"")</f>
        <v>1.01</v>
      </c>
      <c r="AG852" s="34">
        <f>IF(E852=1,Orders!P849,"")</f>
        <v>10</v>
      </c>
      <c r="AH852" s="34">
        <f>IF(E852=1,Orders!Q849,"")</f>
        <v>15.4</v>
      </c>
      <c r="AI852" s="34">
        <f>IF(E852=1,Orders!M849,"")</f>
        <v>6.8</v>
      </c>
      <c r="AJ852" s="34">
        <f>IF(E852=1,Orders!N849,"")</f>
        <v>6.2</v>
      </c>
      <c r="AK852" s="34">
        <f>IF(E852=1,Orders!O849,"")</f>
        <v>2.5</v>
      </c>
      <c r="AL852" s="33">
        <f>IF(E852=1,IF(ROUND(ABS(AI852+AJ852+AK852-AH852),6)&lt;=0.1,1,0),"")</f>
        <v>1</v>
      </c>
      <c r="AM852" s="36">
        <f>IF(E852=1,AI852/AH852,"")</f>
        <v>0.441558441558442</v>
      </c>
      <c r="AN852" s="36">
        <f>IF(E852=1,AJ852/AH852,"")</f>
        <v>0.402597402597403</v>
      </c>
      <c r="AO852" s="36">
        <f>IF(E852=1,AK852/AH852,"")</f>
        <v>0.162337662337662</v>
      </c>
      <c r="AP852" s="34">
        <f>IF(E852=1,Orders!Y849,"")</f>
        <v>0.04</v>
      </c>
      <c r="AQ852" s="33">
        <f>IF(Orders!X849,1,0)</f>
        <v>0</v>
      </c>
      <c r="AR852" s="34" t="str">
        <f>IF(AND(E852=1,L852=1),AJ852,"")</f>
        <v/>
      </c>
      <c r="AS852" s="34">
        <f>IF(AND(E852=1,L852=0),AJ852,"")</f>
        <v>6.2</v>
      </c>
      <c r="AT852" s="34" t="str">
        <f>IF(AND(E852=1,L852=1),AI852,"")</f>
        <v/>
      </c>
      <c r="AU852" s="34">
        <f>IF(AND(E852=1,L852=0),AI852,"")</f>
        <v>6.8</v>
      </c>
      <c r="AV852" s="34" t="str">
        <f>IF(AND(E852=1,L852=1),AG852,"")</f>
        <v/>
      </c>
      <c r="AW852" s="34">
        <f>IF(AND(E852=1,L852=0),AG852,"")</f>
        <v>10</v>
      </c>
      <c r="AX852" s="34" t="str">
        <f>IF(AND(E852=1,L852=1),AH852,"")</f>
        <v/>
      </c>
      <c r="AY852" s="34">
        <f>IF(AND(E852=1,L852=0),AH852,"")</f>
        <v>15.4</v>
      </c>
      <c r="AZ852" s="34">
        <f>IF(G852=1,F852,"")</f>
        <v>5.4</v>
      </c>
      <c r="BA852" s="34" t="str">
        <f>IF(AND(G852=1,L852=1),F852,"")</f>
        <v/>
      </c>
      <c r="BB852" s="34">
        <f>IF(AND(G852=1,L852=0),F852,"")</f>
        <v>5.4</v>
      </c>
      <c r="BC852" s="33">
        <f>IF(E852=1,IF(Orders!R849&gt;3,1,0),"")</f>
        <v>1</v>
      </c>
      <c r="BD852" s="33">
        <f>IF(E852=1,IF(Orders!R849&gt;7,1,0),"")</f>
        <v>0</v>
      </c>
      <c r="BE852" s="32" t="str">
        <f>IF(E852=1,IF(Orders!L849&lt;=1.5,"Up to 1.5 km",IF(Orders!L849&lt;=3,"1.5–3 km","Over 3 km")),"")</f>
        <v>Up to 1.5 km</v>
      </c>
      <c r="BF852" s="33">
        <f>IF(E852=1,IF(ABS((Orders!G849-Orders!F849)*1440-Orders!R849)&lt;0.06,1,0),"")</f>
        <v>1</v>
      </c>
      <c r="BG852" s="33">
        <f>IF(ABS((Orders!F849-Orders!E849)*1440-Orders!P849)&lt;0.06,1,0)</f>
        <v>1</v>
      </c>
      <c r="BH852" s="33">
        <f>IF(E852=1,IF(IF(Orders!S849,1,0)=1-G852,1,0),"")</f>
        <v>1</v>
      </c>
      <c r="BI852" s="32" t="str">
        <f>INDEX(Stores!$B$2:$B$21,MATCH(B852,Stores!$A$2:$A$21,0))</f>
        <v>Delhi</v>
      </c>
    </row>
    <row r="853">
      <c r="A853" s="32" t="str">
        <f>Orders!A850</f>
        <v>O00849</v>
      </c>
      <c r="B853" s="32" t="str">
        <f>Orders!C850</f>
        <v>S003</v>
      </c>
      <c r="C853" s="32" t="str">
        <f>Orders!B850</f>
        <v>C0001</v>
      </c>
      <c r="D853" s="32" t="str">
        <f>Orders!H850</f>
        <v>Delivered</v>
      </c>
      <c r="E853" s="33">
        <f>IF(Orders!H850="Delivered",1,0)</f>
        <v>1</v>
      </c>
      <c r="F853" s="34">
        <f>IF(E853=1,Orders!R850,"")</f>
        <v>-0.4</v>
      </c>
      <c r="G853" s="33">
        <f>IF(E853=1,IF(Orders!R850&gt;0,1,0),"")</f>
        <v>0</v>
      </c>
      <c r="H853" s="33">
        <f>IF(E853=1,IF(Orders!R850&gt;5,1,0),"")</f>
        <v>0</v>
      </c>
      <c r="I853" s="32" t="str">
        <f>IF(E853=1,"",IF(OR(Orders!T850="Rider unavailable",Orders!T850="Item unavailable"),"Company-caused","Unresolved"))</f>
        <v/>
      </c>
      <c r="J853" s="33">
        <f>IF(OR(E853=1,I853="Company-caused"),1,0)</f>
        <v>1</v>
      </c>
      <c r="K853" s="32" t="str">
        <f>IF(E853=0,IF(I853="Company-caused",IF(Orders!T850="Rider unavailable","C1 Rider unavailable","C2 Item unavailable"),"Outside root: unresolved"),IF(G853=0,"A On time",IF(H853=1,IF(L853=1,"B2a Severe, peak","B2b Severe, off-peak"),IF(L853=1,"B1a Slight, peak","B1b Slight, off-peak"))))</f>
        <v>A On time</v>
      </c>
      <c r="L853" s="33">
        <f>IF(AND(Orders!U850&gt;=19,Orders!U850&lt;22),1,0)</f>
        <v>0</v>
      </c>
      <c r="M853" s="33">
        <f>IF(L853=IF(Orders!V850,1,0),1,0)</f>
        <v>1</v>
      </c>
      <c r="N853" s="32" t="str">
        <f>IF(Orders!W850="","None",Orders!W850)</f>
        <v>None</v>
      </c>
      <c r="O853" s="35">
        <f>INT(Orders!E850)</f>
        <v>46272.0</v>
      </c>
      <c r="P853" s="33">
        <f>Orders!U850</f>
        <v>8</v>
      </c>
      <c r="Q853" s="33">
        <f>COUNTIFS(Demand!$A$2:$A$4481,B853,Demand!$B$2:$B$4481,O853,Demand!$C$2:$C$4481,P853)</f>
        <v>1</v>
      </c>
      <c r="R853" s="33">
        <f>IF(Q853=1,SUMIFS(Demand!$E$2:$E$4481,Demand!$A$2:$A$4481,B853,Demand!$B$2:$B$4481,O853,Demand!$C$2:$C$4481,P853),"")</f>
        <v>22</v>
      </c>
      <c r="S853" s="33">
        <f>INDEX(Stores!$G$2:$G$21,MATCH(B853,Stores!$A$2:$A$21,0))</f>
        <v>41</v>
      </c>
      <c r="T853" s="34">
        <f>IF(R853="","",R853/S853)</f>
        <v>0.536585365853659</v>
      </c>
      <c r="U853" s="34">
        <f>IF(E853=1,T853,"")</f>
        <v>0.536585365853659</v>
      </c>
      <c r="V853" s="34">
        <f>IF(AND(E853=1,L853=0),T853,"")</f>
        <v>0.536585365853659</v>
      </c>
      <c r="W853" s="33">
        <f>IF(U853="","",IF(U853&lt;=Breakdowns!$C$5,1,IF(U853&lt;=Breakdowns!$C$6,2,IF(U853&lt;=Breakdowns!$C$7,3,4))))</f>
        <v>1</v>
      </c>
      <c r="X853" s="33">
        <f>IF(V853="","",IF(V853&lt;=Breakdowns!$D$5,1,IF(V853&lt;=Breakdowns!$D$6,2,IF(V853&lt;=Breakdowns!$D$7,3,4))))</f>
        <v>1</v>
      </c>
      <c r="Y853" s="34">
        <f>INDEX(Stores!$F$2:$F$21,MATCH(B853,Stores!$A$2:$A$21,0))</f>
        <v>3.84</v>
      </c>
      <c r="Z853" s="33">
        <f>IF(Y853&gt;Store_Summary!$M$2,1,0)</f>
        <v>0</v>
      </c>
      <c r="AA853" s="33">
        <f>INDEX(Stores!$C$2:$C$21,MATCH(B853,Stores!$A$2:$A$21,0))</f>
        <v>426</v>
      </c>
      <c r="AB853" s="33">
        <f>IF(AA853&lt;180,1,0)</f>
        <v>0</v>
      </c>
      <c r="AC853" s="32" t="str">
        <f>IF(Orders!D850="","",INDEX(Riders!$C$2:$C$81,MATCH(Orders!D850,Riders!$A$2:$A$81,0)))</f>
        <v>Petrol scooter</v>
      </c>
      <c r="AD853" s="33">
        <f>IF(Orders!D850="","",INDEX(Riders!$D$2:$D$81,MATCH(Orders!D850,Riders!$A$2:$A$81,0)))</f>
        <v>44</v>
      </c>
      <c r="AE853" s="33">
        <f>IF(Orders!D850="","",IF(INDEX(Riders!$B$2:$B$81,MATCH(Orders!D850,Riders!$A$2:$A$81,0))=B853,1,0))</f>
        <v>0</v>
      </c>
      <c r="AF853" s="34">
        <f>IF(E853=1,Orders!L850,"")</f>
        <v>0.52</v>
      </c>
      <c r="AG853" s="34">
        <f>IF(E853=1,Orders!P850,"")</f>
        <v>9.8</v>
      </c>
      <c r="AH853" s="34">
        <f>IF(E853=1,Orders!Q850,"")</f>
        <v>9.4</v>
      </c>
      <c r="AI853" s="34">
        <f>IF(E853=1,Orders!M850,"")</f>
        <v>3.9</v>
      </c>
      <c r="AJ853" s="34">
        <f>IF(E853=1,Orders!N850,"")</f>
        <v>4.2</v>
      </c>
      <c r="AK853" s="34">
        <f>IF(E853=1,Orders!O850,"")</f>
        <v>1.3</v>
      </c>
      <c r="AL853" s="33">
        <f>IF(E853=1,IF(ROUND(ABS(AI853+AJ853+AK853-AH853),6)&lt;=0.1,1,0),"")</f>
        <v>1</v>
      </c>
      <c r="AM853" s="36">
        <f>IF(E853=1,AI853/AH853,"")</f>
        <v>0.414893617021277</v>
      </c>
      <c r="AN853" s="36">
        <f>IF(E853=1,AJ853/AH853,"")</f>
        <v>0.446808510638298</v>
      </c>
      <c r="AO853" s="36">
        <f>IF(E853=1,AK853/AH853,"")</f>
        <v>0.138297872340426</v>
      </c>
      <c r="AP853" s="34">
        <f>IF(E853=1,Orders!Y850,"")</f>
        <v>0.29</v>
      </c>
      <c r="AQ853" s="33">
        <f>IF(Orders!X850,1,0)</f>
        <v>0</v>
      </c>
      <c r="AR853" s="34" t="str">
        <f>IF(AND(E853=1,L853=1),AJ853,"")</f>
        <v/>
      </c>
      <c r="AS853" s="34">
        <f>IF(AND(E853=1,L853=0),AJ853,"")</f>
        <v>4.2</v>
      </c>
      <c r="AT853" s="34" t="str">
        <f>IF(AND(E853=1,L853=1),AI853,"")</f>
        <v/>
      </c>
      <c r="AU853" s="34">
        <f>IF(AND(E853=1,L853=0),AI853,"")</f>
        <v>3.9</v>
      </c>
      <c r="AV853" s="34" t="str">
        <f>IF(AND(E853=1,L853=1),AG853,"")</f>
        <v/>
      </c>
      <c r="AW853" s="34">
        <f>IF(AND(E853=1,L853=0),AG853,"")</f>
        <v>9.8</v>
      </c>
      <c r="AX853" s="34" t="str">
        <f>IF(AND(E853=1,L853=1),AH853,"")</f>
        <v/>
      </c>
      <c r="AY853" s="34">
        <f>IF(AND(E853=1,L853=0),AH853,"")</f>
        <v>9.4</v>
      </c>
      <c r="AZ853" s="34" t="str">
        <f>IF(G853=1,F853,"")</f>
        <v/>
      </c>
      <c r="BA853" s="34" t="str">
        <f>IF(AND(G853=1,L853=1),F853,"")</f>
        <v/>
      </c>
      <c r="BB853" s="34" t="str">
        <f>IF(AND(G853=1,L853=0),F853,"")</f>
        <v/>
      </c>
      <c r="BC853" s="33">
        <f>IF(E853=1,IF(Orders!R850&gt;3,1,0),"")</f>
        <v>0</v>
      </c>
      <c r="BD853" s="33">
        <f>IF(E853=1,IF(Orders!R850&gt;7,1,0),"")</f>
        <v>0</v>
      </c>
      <c r="BE853" s="32" t="str">
        <f>IF(E853=1,IF(Orders!L850&lt;=1.5,"Up to 1.5 km",IF(Orders!L850&lt;=3,"1.5–3 km","Over 3 km")),"")</f>
        <v>Up to 1.5 km</v>
      </c>
      <c r="BF853" s="33">
        <f>IF(E853=1,IF(ABS((Orders!G850-Orders!F850)*1440-Orders!R850)&lt;0.06,1,0),"")</f>
        <v>1</v>
      </c>
      <c r="BG853" s="33">
        <f>IF(ABS((Orders!F850-Orders!E850)*1440-Orders!P850)&lt;0.06,1,0)</f>
        <v>1</v>
      </c>
      <c r="BH853" s="33">
        <f>IF(E853=1,IF(IF(Orders!S850,1,0)=1-G853,1,0),"")</f>
        <v>1</v>
      </c>
      <c r="BI853" s="32" t="str">
        <f>INDEX(Stores!$B$2:$B$21,MATCH(B853,Stores!$A$2:$A$21,0))</f>
        <v>Mumbai</v>
      </c>
    </row>
    <row r="854">
      <c r="A854" s="32" t="str">
        <f>Orders!A851</f>
        <v>O00850</v>
      </c>
      <c r="B854" s="32" t="str">
        <f>Orders!C851</f>
        <v>S012</v>
      </c>
      <c r="C854" s="32" t="str">
        <f>Orders!B851</f>
        <v>C0021</v>
      </c>
      <c r="D854" s="32" t="str">
        <f>Orders!H851</f>
        <v>Delivered</v>
      </c>
      <c r="E854" s="33">
        <f>IF(Orders!H851="Delivered",1,0)</f>
        <v>1</v>
      </c>
      <c r="F854" s="34">
        <f>IF(E854=1,Orders!R851,"")</f>
        <v>-0.4</v>
      </c>
      <c r="G854" s="33">
        <f>IF(E854=1,IF(Orders!R851&gt;0,1,0),"")</f>
        <v>0</v>
      </c>
      <c r="H854" s="33">
        <f>IF(E854=1,IF(Orders!R851&gt;5,1,0),"")</f>
        <v>0</v>
      </c>
      <c r="I854" s="32" t="str">
        <f>IF(E854=1,"",IF(OR(Orders!T851="Rider unavailable",Orders!T851="Item unavailable"),"Company-caused","Unresolved"))</f>
        <v/>
      </c>
      <c r="J854" s="33">
        <f>IF(OR(E854=1,I854="Company-caused"),1,0)</f>
        <v>1</v>
      </c>
      <c r="K854" s="32" t="str">
        <f>IF(E854=0,IF(I854="Company-caused",IF(Orders!T851="Rider unavailable","C1 Rider unavailable","C2 Item unavailable"),"Outside root: unresolved"),IF(G854=0,"A On time",IF(H854=1,IF(L854=1,"B2a Severe, peak","B2b Severe, off-peak"),IF(L854=1,"B1a Slight, peak","B1b Slight, off-peak"))))</f>
        <v>A On time</v>
      </c>
      <c r="L854" s="33">
        <f>IF(AND(Orders!U851&gt;=19,Orders!U851&lt;22),1,0)</f>
        <v>1</v>
      </c>
      <c r="M854" s="33">
        <f>IF(L854=IF(Orders!V851,1,0),1,0)</f>
        <v>1</v>
      </c>
      <c r="N854" s="32" t="str">
        <f>IF(Orders!W851="","None",Orders!W851)</f>
        <v>Heavy</v>
      </c>
      <c r="O854" s="35">
        <f>INT(Orders!E851)</f>
        <v>46276.0</v>
      </c>
      <c r="P854" s="33">
        <f>Orders!U851</f>
        <v>21</v>
      </c>
      <c r="Q854" s="33">
        <f>COUNTIFS(Demand!$A$2:$A$4481,B854,Demand!$B$2:$B$4481,O854,Demand!$C$2:$C$4481,P854)</f>
        <v>1</v>
      </c>
      <c r="R854" s="33">
        <f>IF(Q854=1,SUMIFS(Demand!$E$2:$E$4481,Demand!$A$2:$A$4481,B854,Demand!$B$2:$B$4481,O854,Demand!$C$2:$C$4481,P854),"")</f>
        <v>19</v>
      </c>
      <c r="S854" s="33">
        <f>INDEX(Stores!$G$2:$G$21,MATCH(B854,Stores!$A$2:$A$21,0))</f>
        <v>15</v>
      </c>
      <c r="T854" s="34">
        <f>IF(R854="","",R854/S854)</f>
        <v>1.26666666666667</v>
      </c>
      <c r="U854" s="34">
        <f>IF(E854=1,T854,"")</f>
        <v>1.26666666666667</v>
      </c>
      <c r="V854" s="34" t="str">
        <f>IF(AND(E854=1,L854=0),T854,"")</f>
        <v/>
      </c>
      <c r="W854" s="33">
        <f>IF(U854="","",IF(U854&lt;=Breakdowns!$C$5,1,IF(U854&lt;=Breakdowns!$C$6,2,IF(U854&lt;=Breakdowns!$C$7,3,4))))</f>
        <v>4</v>
      </c>
      <c r="X854" s="33" t="str">
        <f>IF(V854="","",IF(V854&lt;=Breakdowns!$D$5,1,IF(V854&lt;=Breakdowns!$D$6,2,IF(V854&lt;=Breakdowns!$D$7,3,4))))</f>
        <v/>
      </c>
      <c r="Y854" s="34">
        <f>INDEX(Stores!$F$2:$F$21,MATCH(B854,Stores!$A$2:$A$21,0))</f>
        <v>5.23</v>
      </c>
      <c r="Z854" s="33">
        <f>IF(Y854&gt;Store_Summary!$M$2,1,0)</f>
        <v>1</v>
      </c>
      <c r="AA854" s="33">
        <f>INDEX(Stores!$C$2:$C$21,MATCH(B854,Stores!$A$2:$A$21,0))</f>
        <v>300</v>
      </c>
      <c r="AB854" s="33">
        <f>IF(AA854&lt;180,1,0)</f>
        <v>0</v>
      </c>
      <c r="AC854" s="32" t="str">
        <f>IF(Orders!D851="","",INDEX(Riders!$C$2:$C$81,MATCH(Orders!D851,Riders!$A$2:$A$81,0)))</f>
        <v>Petrol scooter</v>
      </c>
      <c r="AD854" s="33">
        <f>IF(Orders!D851="","",INDEX(Riders!$D$2:$D$81,MATCH(Orders!D851,Riders!$A$2:$A$81,0)))</f>
        <v>11</v>
      </c>
      <c r="AE854" s="33">
        <f>IF(Orders!D851="","",IF(INDEX(Riders!$B$2:$B$81,MATCH(Orders!D851,Riders!$A$2:$A$81,0))=B854,1,0))</f>
        <v>0</v>
      </c>
      <c r="AF854" s="34">
        <f>IF(E854=1,Orders!L851,"")</f>
        <v>4.23</v>
      </c>
      <c r="AG854" s="34">
        <f>IF(E854=1,Orders!P851,"")</f>
        <v>11.1</v>
      </c>
      <c r="AH854" s="34">
        <f>IF(E854=1,Orders!Q851,"")</f>
        <v>10.7</v>
      </c>
      <c r="AI854" s="34">
        <f>IF(E854=1,Orders!M851,"")</f>
        <v>2.6</v>
      </c>
      <c r="AJ854" s="34">
        <f>IF(E854=1,Orders!N851,"")</f>
        <v>1.9</v>
      </c>
      <c r="AK854" s="34">
        <f>IF(E854=1,Orders!O851,"")</f>
        <v>6.2</v>
      </c>
      <c r="AL854" s="33">
        <f>IF(E854=1,IF(ROUND(ABS(AI854+AJ854+AK854-AH854),6)&lt;=0.1,1,0),"")</f>
        <v>1</v>
      </c>
      <c r="AM854" s="36">
        <f>IF(E854=1,AI854/AH854,"")</f>
        <v>0.242990654205608</v>
      </c>
      <c r="AN854" s="36">
        <f>IF(E854=1,AJ854/AH854,"")</f>
        <v>0.177570093457944</v>
      </c>
      <c r="AO854" s="36">
        <f>IF(E854=1,AK854/AH854,"")</f>
        <v>0.579439252336449</v>
      </c>
      <c r="AP854" s="34">
        <f>IF(E854=1,Orders!Y851,"")</f>
        <v>0.88</v>
      </c>
      <c r="AQ854" s="33">
        <f>IF(Orders!X851,1,0)</f>
        <v>0</v>
      </c>
      <c r="AR854" s="34">
        <f>IF(AND(E854=1,L854=1),AJ854,"")</f>
        <v>1.9</v>
      </c>
      <c r="AS854" s="34" t="str">
        <f>IF(AND(E854=1,L854=0),AJ854,"")</f>
        <v/>
      </c>
      <c r="AT854" s="34">
        <f>IF(AND(E854=1,L854=1),AI854,"")</f>
        <v>2.6</v>
      </c>
      <c r="AU854" s="34" t="str">
        <f>IF(AND(E854=1,L854=0),AI854,"")</f>
        <v/>
      </c>
      <c r="AV854" s="34">
        <f>IF(AND(E854=1,L854=1),AG854,"")</f>
        <v>11.1</v>
      </c>
      <c r="AW854" s="34" t="str">
        <f>IF(AND(E854=1,L854=0),AG854,"")</f>
        <v/>
      </c>
      <c r="AX854" s="34">
        <f>IF(AND(E854=1,L854=1),AH854,"")</f>
        <v>10.7</v>
      </c>
      <c r="AY854" s="34" t="str">
        <f>IF(AND(E854=1,L854=0),AH854,"")</f>
        <v/>
      </c>
      <c r="AZ854" s="34" t="str">
        <f>IF(G854=1,F854,"")</f>
        <v/>
      </c>
      <c r="BA854" s="34" t="str">
        <f>IF(AND(G854=1,L854=1),F854,"")</f>
        <v/>
      </c>
      <c r="BB854" s="34" t="str">
        <f>IF(AND(G854=1,L854=0),F854,"")</f>
        <v/>
      </c>
      <c r="BC854" s="33">
        <f>IF(E854=1,IF(Orders!R851&gt;3,1,0),"")</f>
        <v>0</v>
      </c>
      <c r="BD854" s="33">
        <f>IF(E854=1,IF(Orders!R851&gt;7,1,0),"")</f>
        <v>0</v>
      </c>
      <c r="BE854" s="32" t="str">
        <f>IF(E854=1,IF(Orders!L851&lt;=1.5,"Up to 1.5 km",IF(Orders!L851&lt;=3,"1.5–3 km","Over 3 km")),"")</f>
        <v>Over 3 km</v>
      </c>
      <c r="BF854" s="33">
        <f>IF(E854=1,IF(ABS((Orders!G851-Orders!F851)*1440-Orders!R851)&lt;0.06,1,0),"")</f>
        <v>1</v>
      </c>
      <c r="BG854" s="33">
        <f>IF(ABS((Orders!F851-Orders!E851)*1440-Orders!P851)&lt;0.06,1,0)</f>
        <v>1</v>
      </c>
      <c r="BH854" s="33">
        <f>IF(E854=1,IF(IF(Orders!S851,1,0)=1-G854,1,0),"")</f>
        <v>1</v>
      </c>
      <c r="BI854" s="32" t="str">
        <f>INDEX(Stores!$B$2:$B$21,MATCH(B854,Stores!$A$2:$A$21,0))</f>
        <v>Hyderabad</v>
      </c>
    </row>
    <row r="855">
      <c r="A855" s="32" t="str">
        <f>Orders!A852</f>
        <v>O00851</v>
      </c>
      <c r="B855" s="32" t="str">
        <f>Orders!C852</f>
        <v>S014</v>
      </c>
      <c r="C855" s="32" t="str">
        <f>Orders!B852</f>
        <v>C0224</v>
      </c>
      <c r="D855" s="32" t="str">
        <f>Orders!H852</f>
        <v>Delivered</v>
      </c>
      <c r="E855" s="33">
        <f>IF(Orders!H852="Delivered",1,0)</f>
        <v>1</v>
      </c>
      <c r="F855" s="34">
        <f>IF(E855=1,Orders!R852,"")</f>
        <v>4.9</v>
      </c>
      <c r="G855" s="33">
        <f>IF(E855=1,IF(Orders!R852&gt;0,1,0),"")</f>
        <v>1</v>
      </c>
      <c r="H855" s="33">
        <f>IF(E855=1,IF(Orders!R852&gt;5,1,0),"")</f>
        <v>0</v>
      </c>
      <c r="I855" s="32" t="str">
        <f>IF(E855=1,"",IF(OR(Orders!T852="Rider unavailable",Orders!T852="Item unavailable"),"Company-caused","Unresolved"))</f>
        <v/>
      </c>
      <c r="J855" s="33">
        <f>IF(OR(E855=1,I855="Company-caused"),1,0)</f>
        <v>1</v>
      </c>
      <c r="K855" s="32" t="str">
        <f>IF(E855=0,IF(I855="Company-caused",IF(Orders!T852="Rider unavailable","C1 Rider unavailable","C2 Item unavailable"),"Outside root: unresolved"),IF(G855=0,"A On time",IF(H855=1,IF(L855=1,"B2a Severe, peak","B2b Severe, off-peak"),IF(L855=1,"B1a Slight, peak","B1b Slight, off-peak"))))</f>
        <v>B1b Slight, off-peak</v>
      </c>
      <c r="L855" s="33">
        <f>IF(AND(Orders!U852&gt;=19,Orders!U852&lt;22),1,0)</f>
        <v>0</v>
      </c>
      <c r="M855" s="33">
        <f>IF(L855=IF(Orders!V852,1,0),1,0)</f>
        <v>1</v>
      </c>
      <c r="N855" s="32" t="str">
        <f>IF(Orders!W852="","None",Orders!W852)</f>
        <v>Light</v>
      </c>
      <c r="O855" s="35">
        <f>INT(Orders!E852)</f>
        <v>46279.0</v>
      </c>
      <c r="P855" s="33">
        <f>Orders!U852</f>
        <v>17</v>
      </c>
      <c r="Q855" s="33">
        <f>COUNTIFS(Demand!$A$2:$A$4481,B855,Demand!$B$2:$B$4481,O855,Demand!$C$2:$C$4481,P855)</f>
        <v>1</v>
      </c>
      <c r="R855" s="33">
        <f>IF(Q855=1,SUMIFS(Demand!$E$2:$E$4481,Demand!$A$2:$A$4481,B855,Demand!$B$2:$B$4481,O855,Demand!$C$2:$C$4481,P855),"")</f>
        <v>42</v>
      </c>
      <c r="S855" s="33">
        <f>INDEX(Stores!$G$2:$G$21,MATCH(B855,Stores!$A$2:$A$21,0))</f>
        <v>37</v>
      </c>
      <c r="T855" s="34">
        <f>IF(R855="","",R855/S855)</f>
        <v>1.13513513513514</v>
      </c>
      <c r="U855" s="34">
        <f>IF(E855=1,T855,"")</f>
        <v>1.13513513513514</v>
      </c>
      <c r="V855" s="34">
        <f>IF(AND(E855=1,L855=0),T855,"")</f>
        <v>1.13513513513514</v>
      </c>
      <c r="W855" s="33">
        <f>IF(U855="","",IF(U855&lt;=Breakdowns!$C$5,1,IF(U855&lt;=Breakdowns!$C$6,2,IF(U855&lt;=Breakdowns!$C$7,3,4))))</f>
        <v>3</v>
      </c>
      <c r="X855" s="33">
        <f>IF(V855="","",IF(V855&lt;=Breakdowns!$D$5,1,IF(V855&lt;=Breakdowns!$D$6,2,IF(V855&lt;=Breakdowns!$D$7,3,4))))</f>
        <v>4</v>
      </c>
      <c r="Y855" s="34">
        <f>INDEX(Stores!$F$2:$F$21,MATCH(B855,Stores!$A$2:$A$21,0))</f>
        <v>5.55</v>
      </c>
      <c r="Z855" s="33">
        <f>IF(Y855&gt;Store_Summary!$M$2,1,0)</f>
        <v>1</v>
      </c>
      <c r="AA855" s="33">
        <f>INDEX(Stores!$C$2:$C$21,MATCH(B855,Stores!$A$2:$A$21,0))</f>
        <v>241</v>
      </c>
      <c r="AB855" s="33">
        <f>IF(AA855&lt;180,1,0)</f>
        <v>0</v>
      </c>
      <c r="AC855" s="32" t="str">
        <f>IF(Orders!D852="","",INDEX(Riders!$C$2:$C$81,MATCH(Orders!D852,Riders!$A$2:$A$81,0)))</f>
        <v>Petrol scooter</v>
      </c>
      <c r="AD855" s="33">
        <f>IF(Orders!D852="","",INDEX(Riders!$D$2:$D$81,MATCH(Orders!D852,Riders!$A$2:$A$81,0)))</f>
        <v>40</v>
      </c>
      <c r="AE855" s="33">
        <f>IF(Orders!D852="","",IF(INDEX(Riders!$B$2:$B$81,MATCH(Orders!D852,Riders!$A$2:$A$81,0))=B855,1,0))</f>
        <v>1</v>
      </c>
      <c r="AF855" s="34">
        <f>IF(E855=1,Orders!L852,"")</f>
        <v>3.03</v>
      </c>
      <c r="AG855" s="34">
        <f>IF(E855=1,Orders!P852,"")</f>
        <v>12.3</v>
      </c>
      <c r="AH855" s="34">
        <f>IF(E855=1,Orders!Q852,"")</f>
        <v>17.2</v>
      </c>
      <c r="AI855" s="34">
        <f>IF(E855=1,Orders!M852,"")</f>
        <v>6.8</v>
      </c>
      <c r="AJ855" s="34">
        <f>IF(E855=1,Orders!N852,"")</f>
        <v>2.9</v>
      </c>
      <c r="AK855" s="34">
        <f>IF(E855=1,Orders!O852,"")</f>
        <v>7.5</v>
      </c>
      <c r="AL855" s="33">
        <f>IF(E855=1,IF(ROUND(ABS(AI855+AJ855+AK855-AH855),6)&lt;=0.1,1,0),"")</f>
        <v>1</v>
      </c>
      <c r="AM855" s="36">
        <f>IF(E855=1,AI855/AH855,"")</f>
        <v>0.395348837209302</v>
      </c>
      <c r="AN855" s="36">
        <f>IF(E855=1,AJ855/AH855,"")</f>
        <v>0.168604651162791</v>
      </c>
      <c r="AO855" s="36">
        <f>IF(E855=1,AK855/AH855,"")</f>
        <v>0.436046511627907</v>
      </c>
      <c r="AP855" s="34">
        <f>IF(E855=1,Orders!Y852,"")</f>
        <v>0.5</v>
      </c>
      <c r="AQ855" s="33">
        <f>IF(Orders!X852,1,0)</f>
        <v>0</v>
      </c>
      <c r="AR855" s="34" t="str">
        <f>IF(AND(E855=1,L855=1),AJ855,"")</f>
        <v/>
      </c>
      <c r="AS855" s="34">
        <f>IF(AND(E855=1,L855=0),AJ855,"")</f>
        <v>2.9</v>
      </c>
      <c r="AT855" s="34" t="str">
        <f>IF(AND(E855=1,L855=1),AI855,"")</f>
        <v/>
      </c>
      <c r="AU855" s="34">
        <f>IF(AND(E855=1,L855=0),AI855,"")</f>
        <v>6.8</v>
      </c>
      <c r="AV855" s="34" t="str">
        <f>IF(AND(E855=1,L855=1),AG855,"")</f>
        <v/>
      </c>
      <c r="AW855" s="34">
        <f>IF(AND(E855=1,L855=0),AG855,"")</f>
        <v>12.3</v>
      </c>
      <c r="AX855" s="34" t="str">
        <f>IF(AND(E855=1,L855=1),AH855,"")</f>
        <v/>
      </c>
      <c r="AY855" s="34">
        <f>IF(AND(E855=1,L855=0),AH855,"")</f>
        <v>17.2</v>
      </c>
      <c r="AZ855" s="34">
        <f>IF(G855=1,F855,"")</f>
        <v>4.9</v>
      </c>
      <c r="BA855" s="34" t="str">
        <f>IF(AND(G855=1,L855=1),F855,"")</f>
        <v/>
      </c>
      <c r="BB855" s="34">
        <f>IF(AND(G855=1,L855=0),F855,"")</f>
        <v>4.9</v>
      </c>
      <c r="BC855" s="33">
        <f>IF(E855=1,IF(Orders!R852&gt;3,1,0),"")</f>
        <v>1</v>
      </c>
      <c r="BD855" s="33">
        <f>IF(E855=1,IF(Orders!R852&gt;7,1,0),"")</f>
        <v>0</v>
      </c>
      <c r="BE855" s="32" t="str">
        <f>IF(E855=1,IF(Orders!L852&lt;=1.5,"Up to 1.5 km",IF(Orders!L852&lt;=3,"1.5–3 km","Over 3 km")),"")</f>
        <v>Over 3 km</v>
      </c>
      <c r="BF855" s="33">
        <f>IF(E855=1,IF(ABS((Orders!G852-Orders!F852)*1440-Orders!R852)&lt;0.06,1,0),"")</f>
        <v>1</v>
      </c>
      <c r="BG855" s="33">
        <f>IF(ABS((Orders!F852-Orders!E852)*1440-Orders!P852)&lt;0.06,1,0)</f>
        <v>1</v>
      </c>
      <c r="BH855" s="33">
        <f>IF(E855=1,IF(IF(Orders!S852,1,0)=1-G855,1,0),"")</f>
        <v>1</v>
      </c>
      <c r="BI855" s="32" t="str">
        <f>INDEX(Stores!$B$2:$B$21,MATCH(B855,Stores!$A$2:$A$21,0))</f>
        <v>Pune</v>
      </c>
    </row>
    <row r="856">
      <c r="A856" s="32" t="str">
        <f>Orders!A853</f>
        <v>O00852</v>
      </c>
      <c r="B856" s="32" t="str">
        <f>Orders!C853</f>
        <v>S008</v>
      </c>
      <c r="C856" s="32" t="str">
        <f>Orders!B853</f>
        <v>C0020</v>
      </c>
      <c r="D856" s="32" t="str">
        <f>Orders!H853</f>
        <v>Delivered</v>
      </c>
      <c r="E856" s="33">
        <f>IF(Orders!H853="Delivered",1,0)</f>
        <v>1</v>
      </c>
      <c r="F856" s="34">
        <f>IF(E856=1,Orders!R853,"")</f>
        <v>-0.2</v>
      </c>
      <c r="G856" s="33">
        <f>IF(E856=1,IF(Orders!R853&gt;0,1,0),"")</f>
        <v>0</v>
      </c>
      <c r="H856" s="33">
        <f>IF(E856=1,IF(Orders!R853&gt;5,1,0),"")</f>
        <v>0</v>
      </c>
      <c r="I856" s="32" t="str">
        <f>IF(E856=1,"",IF(OR(Orders!T853="Rider unavailable",Orders!T853="Item unavailable"),"Company-caused","Unresolved"))</f>
        <v/>
      </c>
      <c r="J856" s="33">
        <f>IF(OR(E856=1,I856="Company-caused"),1,0)</f>
        <v>1</v>
      </c>
      <c r="K856" s="32" t="str">
        <f>IF(E856=0,IF(I856="Company-caused",IF(Orders!T853="Rider unavailable","C1 Rider unavailable","C2 Item unavailable"),"Outside root: unresolved"),IF(G856=0,"A On time",IF(H856=1,IF(L856=1,"B2a Severe, peak","B2b Severe, off-peak"),IF(L856=1,"B1a Slight, peak","B1b Slight, off-peak"))))</f>
        <v>A On time</v>
      </c>
      <c r="L856" s="33">
        <f>IF(AND(Orders!U853&gt;=19,Orders!U853&lt;22),1,0)</f>
        <v>0</v>
      </c>
      <c r="M856" s="33">
        <f>IF(L856=IF(Orders!V853,1,0),1,0)</f>
        <v>1</v>
      </c>
      <c r="N856" s="32" t="str">
        <f>IF(Orders!W853="","None",Orders!W853)</f>
        <v>None</v>
      </c>
      <c r="O856" s="35">
        <f>INT(Orders!E853)</f>
        <v>46266.0</v>
      </c>
      <c r="P856" s="33">
        <f>Orders!U853</f>
        <v>18</v>
      </c>
      <c r="Q856" s="33">
        <f>COUNTIFS(Demand!$A$2:$A$4481,B856,Demand!$B$2:$B$4481,O856,Demand!$C$2:$C$4481,P856)</f>
        <v>1</v>
      </c>
      <c r="R856" s="33">
        <f>IF(Q856=1,SUMIFS(Demand!$E$2:$E$4481,Demand!$A$2:$A$4481,B856,Demand!$B$2:$B$4481,O856,Demand!$C$2:$C$4481,P856),"")</f>
        <v>27</v>
      </c>
      <c r="S856" s="33">
        <f>INDEX(Stores!$G$2:$G$21,MATCH(B856,Stores!$A$2:$A$21,0))</f>
        <v>23</v>
      </c>
      <c r="T856" s="34">
        <f>IF(R856="","",R856/S856)</f>
        <v>1.17391304347826</v>
      </c>
      <c r="U856" s="34">
        <f>IF(E856=1,T856,"")</f>
        <v>1.17391304347826</v>
      </c>
      <c r="V856" s="34">
        <f>IF(AND(E856=1,L856=0),T856,"")</f>
        <v>1.17391304347826</v>
      </c>
      <c r="W856" s="33">
        <f>IF(U856="","",IF(U856&lt;=Breakdowns!$C$5,1,IF(U856&lt;=Breakdowns!$C$6,2,IF(U856&lt;=Breakdowns!$C$7,3,4))))</f>
        <v>3</v>
      </c>
      <c r="X856" s="33">
        <f>IF(V856="","",IF(V856&lt;=Breakdowns!$D$5,1,IF(V856&lt;=Breakdowns!$D$6,2,IF(V856&lt;=Breakdowns!$D$7,3,4))))</f>
        <v>4</v>
      </c>
      <c r="Y856" s="34">
        <f>INDEX(Stores!$F$2:$F$21,MATCH(B856,Stores!$A$2:$A$21,0))</f>
        <v>3.46</v>
      </c>
      <c r="Z856" s="33">
        <f>IF(Y856&gt;Store_Summary!$M$2,1,0)</f>
        <v>0</v>
      </c>
      <c r="AA856" s="33">
        <f>INDEX(Stores!$C$2:$C$21,MATCH(B856,Stores!$A$2:$A$21,0))</f>
        <v>825</v>
      </c>
      <c r="AB856" s="33">
        <f>IF(AA856&lt;180,1,0)</f>
        <v>0</v>
      </c>
      <c r="AC856" s="32" t="str">
        <f>IF(Orders!D853="","",INDEX(Riders!$C$2:$C$81,MATCH(Orders!D853,Riders!$A$2:$A$81,0)))</f>
        <v>EV scooter</v>
      </c>
      <c r="AD856" s="33">
        <f>IF(Orders!D853="","",INDEX(Riders!$D$2:$D$81,MATCH(Orders!D853,Riders!$A$2:$A$81,0)))</f>
        <v>32</v>
      </c>
      <c r="AE856" s="33">
        <f>IF(Orders!D853="","",IF(INDEX(Riders!$B$2:$B$81,MATCH(Orders!D853,Riders!$A$2:$A$81,0))=B856,1,0))</f>
        <v>0</v>
      </c>
      <c r="AF856" s="34">
        <f>IF(E856=1,Orders!L853,"")</f>
        <v>3.07</v>
      </c>
      <c r="AG856" s="34">
        <f>IF(E856=1,Orders!P853,"")</f>
        <v>9.8</v>
      </c>
      <c r="AH856" s="34">
        <f>IF(E856=1,Orders!Q853,"")</f>
        <v>9.6</v>
      </c>
      <c r="AI856" s="34">
        <f>IF(E856=1,Orders!M853,"")</f>
        <v>1.7</v>
      </c>
      <c r="AJ856" s="34">
        <f>IF(E856=1,Orders!N853,"")</f>
        <v>2.2</v>
      </c>
      <c r="AK856" s="34">
        <f>IF(E856=1,Orders!O853,"")</f>
        <v>5.7</v>
      </c>
      <c r="AL856" s="33">
        <f>IF(E856=1,IF(ROUND(ABS(AI856+AJ856+AK856-AH856),6)&lt;=0.1,1,0),"")</f>
        <v>1</v>
      </c>
      <c r="AM856" s="36">
        <f>IF(E856=1,AI856/AH856,"")</f>
        <v>0.177083333333333</v>
      </c>
      <c r="AN856" s="36">
        <f>IF(E856=1,AJ856/AH856,"")</f>
        <v>0.229166666666667</v>
      </c>
      <c r="AO856" s="36">
        <f>IF(E856=1,AK856/AH856,"")</f>
        <v>0.59375</v>
      </c>
      <c r="AP856" s="34">
        <f>IF(E856=1,Orders!Y853,"")</f>
        <v>0.42</v>
      </c>
      <c r="AQ856" s="33">
        <f>IF(Orders!X853,1,0)</f>
        <v>0</v>
      </c>
      <c r="AR856" s="34" t="str">
        <f>IF(AND(E856=1,L856=1),AJ856,"")</f>
        <v/>
      </c>
      <c r="AS856" s="34">
        <f>IF(AND(E856=1,L856=0),AJ856,"")</f>
        <v>2.2</v>
      </c>
      <c r="AT856" s="34" t="str">
        <f>IF(AND(E856=1,L856=1),AI856,"")</f>
        <v/>
      </c>
      <c r="AU856" s="34">
        <f>IF(AND(E856=1,L856=0),AI856,"")</f>
        <v>1.7</v>
      </c>
      <c r="AV856" s="34" t="str">
        <f>IF(AND(E856=1,L856=1),AG856,"")</f>
        <v/>
      </c>
      <c r="AW856" s="34">
        <f>IF(AND(E856=1,L856=0),AG856,"")</f>
        <v>9.8</v>
      </c>
      <c r="AX856" s="34" t="str">
        <f>IF(AND(E856=1,L856=1),AH856,"")</f>
        <v/>
      </c>
      <c r="AY856" s="34">
        <f>IF(AND(E856=1,L856=0),AH856,"")</f>
        <v>9.6</v>
      </c>
      <c r="AZ856" s="34" t="str">
        <f>IF(G856=1,F856,"")</f>
        <v/>
      </c>
      <c r="BA856" s="34" t="str">
        <f>IF(AND(G856=1,L856=1),F856,"")</f>
        <v/>
      </c>
      <c r="BB856" s="34" t="str">
        <f>IF(AND(G856=1,L856=0),F856,"")</f>
        <v/>
      </c>
      <c r="BC856" s="33">
        <f>IF(E856=1,IF(Orders!R853&gt;3,1,0),"")</f>
        <v>0</v>
      </c>
      <c r="BD856" s="33">
        <f>IF(E856=1,IF(Orders!R853&gt;7,1,0),"")</f>
        <v>0</v>
      </c>
      <c r="BE856" s="32" t="str">
        <f>IF(E856=1,IF(Orders!L853&lt;=1.5,"Up to 1.5 km",IF(Orders!L853&lt;=3,"1.5–3 km","Over 3 km")),"")</f>
        <v>Over 3 km</v>
      </c>
      <c r="BF856" s="33">
        <f>IF(E856=1,IF(ABS((Orders!G853-Orders!F853)*1440-Orders!R853)&lt;0.06,1,0),"")</f>
        <v>1</v>
      </c>
      <c r="BG856" s="33">
        <f>IF(ABS((Orders!F853-Orders!E853)*1440-Orders!P853)&lt;0.06,1,0)</f>
        <v>1</v>
      </c>
      <c r="BH856" s="33">
        <f>IF(E856=1,IF(IF(Orders!S853,1,0)=1-G856,1,0),"")</f>
        <v>1</v>
      </c>
      <c r="BI856" s="32" t="str">
        <f>INDEX(Stores!$B$2:$B$21,MATCH(B856,Stores!$A$2:$A$21,0))</f>
        <v>Mumbai</v>
      </c>
    </row>
    <row r="857">
      <c r="A857" s="32" t="str">
        <f>Orders!A854</f>
        <v>O00853</v>
      </c>
      <c r="B857" s="32" t="str">
        <f>Orders!C854</f>
        <v>S016</v>
      </c>
      <c r="C857" s="32" t="str">
        <f>Orders!B854</f>
        <v>C0072</v>
      </c>
      <c r="D857" s="32" t="str">
        <f>Orders!H854</f>
        <v>Delivered</v>
      </c>
      <c r="E857" s="33">
        <f>IF(Orders!H854="Delivered",1,0)</f>
        <v>1</v>
      </c>
      <c r="F857" s="34">
        <f>IF(E857=1,Orders!R854,"")</f>
        <v>-0.7</v>
      </c>
      <c r="G857" s="33">
        <f>IF(E857=1,IF(Orders!R854&gt;0,1,0),"")</f>
        <v>0</v>
      </c>
      <c r="H857" s="33">
        <f>IF(E857=1,IF(Orders!R854&gt;5,1,0),"")</f>
        <v>0</v>
      </c>
      <c r="I857" s="32" t="str">
        <f>IF(E857=1,"",IF(OR(Orders!T854="Rider unavailable",Orders!T854="Item unavailable"),"Company-caused","Unresolved"))</f>
        <v/>
      </c>
      <c r="J857" s="33">
        <f>IF(OR(E857=1,I857="Company-caused"),1,0)</f>
        <v>1</v>
      </c>
      <c r="K857" s="32" t="str">
        <f>IF(E857=0,IF(I857="Company-caused",IF(Orders!T854="Rider unavailable","C1 Rider unavailable","C2 Item unavailable"),"Outside root: unresolved"),IF(G857=0,"A On time",IF(H857=1,IF(L857=1,"B2a Severe, peak","B2b Severe, off-peak"),IF(L857=1,"B1a Slight, peak","B1b Slight, off-peak"))))</f>
        <v>A On time</v>
      </c>
      <c r="L857" s="33">
        <f>IF(AND(Orders!U854&gt;=19,Orders!U854&lt;22),1,0)</f>
        <v>0</v>
      </c>
      <c r="M857" s="33">
        <f>IF(L857=IF(Orders!V854,1,0),1,0)</f>
        <v>1</v>
      </c>
      <c r="N857" s="32" t="str">
        <f>IF(Orders!W854="","None",Orders!W854)</f>
        <v>None</v>
      </c>
      <c r="O857" s="35">
        <f>INT(Orders!E854)</f>
        <v>46278.0</v>
      </c>
      <c r="P857" s="33">
        <f>Orders!U854</f>
        <v>10</v>
      </c>
      <c r="Q857" s="33">
        <f>COUNTIFS(Demand!$A$2:$A$4481,B857,Demand!$B$2:$B$4481,O857,Demand!$C$2:$C$4481,P857)</f>
        <v>1</v>
      </c>
      <c r="R857" s="33">
        <f>IF(Q857=1,SUMIFS(Demand!$E$2:$E$4481,Demand!$A$2:$A$4481,B857,Demand!$B$2:$B$4481,O857,Demand!$C$2:$C$4481,P857),"")</f>
        <v>16</v>
      </c>
      <c r="S857" s="33">
        <f>INDEX(Stores!$G$2:$G$21,MATCH(B857,Stores!$A$2:$A$21,0))</f>
        <v>25</v>
      </c>
      <c r="T857" s="34">
        <f>IF(R857="","",R857/S857)</f>
        <v>0.64</v>
      </c>
      <c r="U857" s="34">
        <f>IF(E857=1,T857,"")</f>
        <v>0.64</v>
      </c>
      <c r="V857" s="34">
        <f>IF(AND(E857=1,L857=0),T857,"")</f>
        <v>0.64</v>
      </c>
      <c r="W857" s="33">
        <f>IF(U857="","",IF(U857&lt;=Breakdowns!$C$5,1,IF(U857&lt;=Breakdowns!$C$6,2,IF(U857&lt;=Breakdowns!$C$7,3,4))))</f>
        <v>1</v>
      </c>
      <c r="X857" s="33">
        <f>IF(V857="","",IF(V857&lt;=Breakdowns!$D$5,1,IF(V857&lt;=Breakdowns!$D$6,2,IF(V857&lt;=Breakdowns!$D$7,3,4))))</f>
        <v>1</v>
      </c>
      <c r="Y857" s="34">
        <f>INDEX(Stores!$F$2:$F$21,MATCH(B857,Stores!$A$2:$A$21,0))</f>
        <v>5.51</v>
      </c>
      <c r="Z857" s="33">
        <f>IF(Y857&gt;Store_Summary!$M$2,1,0)</f>
        <v>1</v>
      </c>
      <c r="AA857" s="33">
        <f>INDEX(Stores!$C$2:$C$21,MATCH(B857,Stores!$A$2:$A$21,0))</f>
        <v>792</v>
      </c>
      <c r="AB857" s="33">
        <f>IF(AA857&lt;180,1,0)</f>
        <v>0</v>
      </c>
      <c r="AC857" s="32" t="str">
        <f>IF(Orders!D854="","",INDEX(Riders!$C$2:$C$81,MATCH(Orders!D854,Riders!$A$2:$A$81,0)))</f>
        <v>Bicycle</v>
      </c>
      <c r="AD857" s="33">
        <f>IF(Orders!D854="","",INDEX(Riders!$D$2:$D$81,MATCH(Orders!D854,Riders!$A$2:$A$81,0)))</f>
        <v>26</v>
      </c>
      <c r="AE857" s="33">
        <f>IF(Orders!D854="","",IF(INDEX(Riders!$B$2:$B$81,MATCH(Orders!D854,Riders!$A$2:$A$81,0))=B857,1,0))</f>
        <v>0</v>
      </c>
      <c r="AF857" s="34">
        <f>IF(E857=1,Orders!L854,"")</f>
        <v>2.6</v>
      </c>
      <c r="AG857" s="34">
        <f>IF(E857=1,Orders!P854,"")</f>
        <v>11.3</v>
      </c>
      <c r="AH857" s="34">
        <f>IF(E857=1,Orders!Q854,"")</f>
        <v>10.6</v>
      </c>
      <c r="AI857" s="34">
        <f>IF(E857=1,Orders!M854,"")</f>
        <v>3.8</v>
      </c>
      <c r="AJ857" s="34">
        <f>IF(E857=1,Orders!N854,"")</f>
        <v>2.6</v>
      </c>
      <c r="AK857" s="34">
        <f>IF(E857=1,Orders!O854,"")</f>
        <v>4.2</v>
      </c>
      <c r="AL857" s="33">
        <f>IF(E857=1,IF(ROUND(ABS(AI857+AJ857+AK857-AH857),6)&lt;=0.1,1,0),"")</f>
        <v>1</v>
      </c>
      <c r="AM857" s="36">
        <f>IF(E857=1,AI857/AH857,"")</f>
        <v>0.358490566037736</v>
      </c>
      <c r="AN857" s="36">
        <f>IF(E857=1,AJ857/AH857,"")</f>
        <v>0.245283018867925</v>
      </c>
      <c r="AO857" s="36">
        <f>IF(E857=1,AK857/AH857,"")</f>
        <v>0.39622641509434</v>
      </c>
      <c r="AP857" s="34">
        <f>IF(E857=1,Orders!Y854,"")</f>
        <v>0.44</v>
      </c>
      <c r="AQ857" s="33">
        <f>IF(Orders!X854,1,0)</f>
        <v>0</v>
      </c>
      <c r="AR857" s="34" t="str">
        <f>IF(AND(E857=1,L857=1),AJ857,"")</f>
        <v/>
      </c>
      <c r="AS857" s="34">
        <f>IF(AND(E857=1,L857=0),AJ857,"")</f>
        <v>2.6</v>
      </c>
      <c r="AT857" s="34" t="str">
        <f>IF(AND(E857=1,L857=1),AI857,"")</f>
        <v/>
      </c>
      <c r="AU857" s="34">
        <f>IF(AND(E857=1,L857=0),AI857,"")</f>
        <v>3.8</v>
      </c>
      <c r="AV857" s="34" t="str">
        <f>IF(AND(E857=1,L857=1),AG857,"")</f>
        <v/>
      </c>
      <c r="AW857" s="34">
        <f>IF(AND(E857=1,L857=0),AG857,"")</f>
        <v>11.3</v>
      </c>
      <c r="AX857" s="34" t="str">
        <f>IF(AND(E857=1,L857=1),AH857,"")</f>
        <v/>
      </c>
      <c r="AY857" s="34">
        <f>IF(AND(E857=1,L857=0),AH857,"")</f>
        <v>10.6</v>
      </c>
      <c r="AZ857" s="34" t="str">
        <f>IF(G857=1,F857,"")</f>
        <v/>
      </c>
      <c r="BA857" s="34" t="str">
        <f>IF(AND(G857=1,L857=1),F857,"")</f>
        <v/>
      </c>
      <c r="BB857" s="34" t="str">
        <f>IF(AND(G857=1,L857=0),F857,"")</f>
        <v/>
      </c>
      <c r="BC857" s="33">
        <f>IF(E857=1,IF(Orders!R854&gt;3,1,0),"")</f>
        <v>0</v>
      </c>
      <c r="BD857" s="33">
        <f>IF(E857=1,IF(Orders!R854&gt;7,1,0),"")</f>
        <v>0</v>
      </c>
      <c r="BE857" s="32" t="str">
        <f>IF(E857=1,IF(Orders!L854&lt;=1.5,"Up to 1.5 km",IF(Orders!L854&lt;=3,"1.5–3 km","Over 3 km")),"")</f>
        <v>1.5–3 km</v>
      </c>
      <c r="BF857" s="33">
        <f>IF(E857=1,IF(ABS((Orders!G854-Orders!F854)*1440-Orders!R854)&lt;0.06,1,0),"")</f>
        <v>1</v>
      </c>
      <c r="BG857" s="33">
        <f>IF(ABS((Orders!F854-Orders!E854)*1440-Orders!P854)&lt;0.06,1,0)</f>
        <v>1</v>
      </c>
      <c r="BH857" s="33">
        <f>IF(E857=1,IF(IF(Orders!S854,1,0)=1-G857,1,0),"")</f>
        <v>1</v>
      </c>
      <c r="BI857" s="32" t="str">
        <f>INDEX(Stores!$B$2:$B$21,MATCH(B857,Stores!$A$2:$A$21,0))</f>
        <v>Bengaluru</v>
      </c>
    </row>
    <row r="858">
      <c r="A858" s="32" t="str">
        <f>Orders!A855</f>
        <v>O00854</v>
      </c>
      <c r="B858" s="32" t="str">
        <f>Orders!C855</f>
        <v>S019</v>
      </c>
      <c r="C858" s="32" t="str">
        <f>Orders!B855</f>
        <v>C0025</v>
      </c>
      <c r="D858" s="32" t="str">
        <f>Orders!H855</f>
        <v>Delivered</v>
      </c>
      <c r="E858" s="33">
        <f>IF(Orders!H855="Delivered",1,0)</f>
        <v>1</v>
      </c>
      <c r="F858" s="34">
        <f>IF(E858=1,Orders!R855,"")</f>
        <v>2.8</v>
      </c>
      <c r="G858" s="33">
        <f>IF(E858=1,IF(Orders!R855&gt;0,1,0),"")</f>
        <v>1</v>
      </c>
      <c r="H858" s="33">
        <f>IF(E858=1,IF(Orders!R855&gt;5,1,0),"")</f>
        <v>0</v>
      </c>
      <c r="I858" s="32" t="str">
        <f>IF(E858=1,"",IF(OR(Orders!T855="Rider unavailable",Orders!T855="Item unavailable"),"Company-caused","Unresolved"))</f>
        <v/>
      </c>
      <c r="J858" s="33">
        <f>IF(OR(E858=1,I858="Company-caused"),1,0)</f>
        <v>1</v>
      </c>
      <c r="K858" s="32" t="str">
        <f>IF(E858=0,IF(I858="Company-caused",IF(Orders!T855="Rider unavailable","C1 Rider unavailable","C2 Item unavailable"),"Outside root: unresolved"),IF(G858=0,"A On time",IF(H858=1,IF(L858=1,"B2a Severe, peak","B2b Severe, off-peak"),IF(L858=1,"B1a Slight, peak","B1b Slight, off-peak"))))</f>
        <v>B1b Slight, off-peak</v>
      </c>
      <c r="L858" s="33">
        <f>IF(AND(Orders!U855&gt;=19,Orders!U855&lt;22),1,0)</f>
        <v>0</v>
      </c>
      <c r="M858" s="33">
        <f>IF(L858=IF(Orders!V855,1,0),1,0)</f>
        <v>1</v>
      </c>
      <c r="N858" s="32" t="str">
        <f>IF(Orders!W855="","None",Orders!W855)</f>
        <v>None</v>
      </c>
      <c r="O858" s="35">
        <f>INT(Orders!E855)</f>
        <v>46278.0</v>
      </c>
      <c r="P858" s="33">
        <f>Orders!U855</f>
        <v>16</v>
      </c>
      <c r="Q858" s="33">
        <f>COUNTIFS(Demand!$A$2:$A$4481,B858,Demand!$B$2:$B$4481,O858,Demand!$C$2:$C$4481,P858)</f>
        <v>1</v>
      </c>
      <c r="R858" s="33">
        <f>IF(Q858=1,SUMIFS(Demand!$E$2:$E$4481,Demand!$A$2:$A$4481,B858,Demand!$B$2:$B$4481,O858,Demand!$C$2:$C$4481,P858),"")</f>
        <v>19</v>
      </c>
      <c r="S858" s="33">
        <f>INDEX(Stores!$G$2:$G$21,MATCH(B858,Stores!$A$2:$A$21,0))</f>
        <v>22</v>
      </c>
      <c r="T858" s="34">
        <f>IF(R858="","",R858/S858)</f>
        <v>0.863636363636364</v>
      </c>
      <c r="U858" s="34">
        <f>IF(E858=1,T858,"")</f>
        <v>0.863636363636364</v>
      </c>
      <c r="V858" s="34">
        <f>IF(AND(E858=1,L858=0),T858,"")</f>
        <v>0.863636363636364</v>
      </c>
      <c r="W858" s="33">
        <f>IF(U858="","",IF(U858&lt;=Breakdowns!$C$5,1,IF(U858&lt;=Breakdowns!$C$6,2,IF(U858&lt;=Breakdowns!$C$7,3,4))))</f>
        <v>2</v>
      </c>
      <c r="X858" s="33">
        <f>IF(V858="","",IF(V858&lt;=Breakdowns!$D$5,1,IF(V858&lt;=Breakdowns!$D$6,2,IF(V858&lt;=Breakdowns!$D$7,3,4))))</f>
        <v>2</v>
      </c>
      <c r="Y858" s="34">
        <f>INDEX(Stores!$F$2:$F$21,MATCH(B858,Stores!$A$2:$A$21,0))</f>
        <v>4.99</v>
      </c>
      <c r="Z858" s="33">
        <f>IF(Y858&gt;Store_Summary!$M$2,1,0)</f>
        <v>1</v>
      </c>
      <c r="AA858" s="33">
        <f>INDEX(Stores!$C$2:$C$21,MATCH(B858,Stores!$A$2:$A$21,0))</f>
        <v>851</v>
      </c>
      <c r="AB858" s="33">
        <f>IF(AA858&lt;180,1,0)</f>
        <v>0</v>
      </c>
      <c r="AC858" s="32" t="str">
        <f>IF(Orders!D855="","",INDEX(Riders!$C$2:$C$81,MATCH(Orders!D855,Riders!$A$2:$A$81,0)))</f>
        <v>EV scooter</v>
      </c>
      <c r="AD858" s="33">
        <f>IF(Orders!D855="","",INDEX(Riders!$D$2:$D$81,MATCH(Orders!D855,Riders!$A$2:$A$81,0)))</f>
        <v>9</v>
      </c>
      <c r="AE858" s="33">
        <f>IF(Orders!D855="","",IF(INDEX(Riders!$B$2:$B$81,MATCH(Orders!D855,Riders!$A$2:$A$81,0))=B858,1,0))</f>
        <v>0</v>
      </c>
      <c r="AF858" s="34">
        <f>IF(E858=1,Orders!L855,"")</f>
        <v>1.34</v>
      </c>
      <c r="AG858" s="34">
        <f>IF(E858=1,Orders!P855,"")</f>
        <v>10.5</v>
      </c>
      <c r="AH858" s="34">
        <f>IF(E858=1,Orders!Q855,"")</f>
        <v>13.3</v>
      </c>
      <c r="AI858" s="34">
        <f>IF(E858=1,Orders!M855,"")</f>
        <v>5.2</v>
      </c>
      <c r="AJ858" s="34">
        <f>IF(E858=1,Orders!N855,"")</f>
        <v>4.8</v>
      </c>
      <c r="AK858" s="34">
        <f>IF(E858=1,Orders!O855,"")</f>
        <v>3.3</v>
      </c>
      <c r="AL858" s="33">
        <f>IF(E858=1,IF(ROUND(ABS(AI858+AJ858+AK858-AH858),6)&lt;=0.1,1,0),"")</f>
        <v>1</v>
      </c>
      <c r="AM858" s="36">
        <f>IF(E858=1,AI858/AH858,"")</f>
        <v>0.390977443609023</v>
      </c>
      <c r="AN858" s="36">
        <f>IF(E858=1,AJ858/AH858,"")</f>
        <v>0.360902255639098</v>
      </c>
      <c r="AO858" s="36">
        <f>IF(E858=1,AK858/AH858,"")</f>
        <v>0.24812030075188</v>
      </c>
      <c r="AP858" s="34">
        <f>IF(E858=1,Orders!Y855,"")</f>
        <v>0.13</v>
      </c>
      <c r="AQ858" s="33">
        <f>IF(Orders!X855,1,0)</f>
        <v>0</v>
      </c>
      <c r="AR858" s="34" t="str">
        <f>IF(AND(E858=1,L858=1),AJ858,"")</f>
        <v/>
      </c>
      <c r="AS858" s="34">
        <f>IF(AND(E858=1,L858=0),AJ858,"")</f>
        <v>4.8</v>
      </c>
      <c r="AT858" s="34" t="str">
        <f>IF(AND(E858=1,L858=1),AI858,"")</f>
        <v/>
      </c>
      <c r="AU858" s="34">
        <f>IF(AND(E858=1,L858=0),AI858,"")</f>
        <v>5.2</v>
      </c>
      <c r="AV858" s="34" t="str">
        <f>IF(AND(E858=1,L858=1),AG858,"")</f>
        <v/>
      </c>
      <c r="AW858" s="34">
        <f>IF(AND(E858=1,L858=0),AG858,"")</f>
        <v>10.5</v>
      </c>
      <c r="AX858" s="34" t="str">
        <f>IF(AND(E858=1,L858=1),AH858,"")</f>
        <v/>
      </c>
      <c r="AY858" s="34">
        <f>IF(AND(E858=1,L858=0),AH858,"")</f>
        <v>13.3</v>
      </c>
      <c r="AZ858" s="34">
        <f>IF(G858=1,F858,"")</f>
        <v>2.8</v>
      </c>
      <c r="BA858" s="34" t="str">
        <f>IF(AND(G858=1,L858=1),F858,"")</f>
        <v/>
      </c>
      <c r="BB858" s="34">
        <f>IF(AND(G858=1,L858=0),F858,"")</f>
        <v>2.8</v>
      </c>
      <c r="BC858" s="33">
        <f>IF(E858=1,IF(Orders!R855&gt;3,1,0),"")</f>
        <v>0</v>
      </c>
      <c r="BD858" s="33">
        <f>IF(E858=1,IF(Orders!R855&gt;7,1,0),"")</f>
        <v>0</v>
      </c>
      <c r="BE858" s="32" t="str">
        <f>IF(E858=1,IF(Orders!L855&lt;=1.5,"Up to 1.5 km",IF(Orders!L855&lt;=3,"1.5–3 km","Over 3 km")),"")</f>
        <v>Up to 1.5 km</v>
      </c>
      <c r="BF858" s="33">
        <f>IF(E858=1,IF(ABS((Orders!G855-Orders!F855)*1440-Orders!R855)&lt;0.06,1,0),"")</f>
        <v>1</v>
      </c>
      <c r="BG858" s="33">
        <f>IF(ABS((Orders!F855-Orders!E855)*1440-Orders!P855)&lt;0.06,1,0)</f>
        <v>1</v>
      </c>
      <c r="BH858" s="33">
        <f>IF(E858=1,IF(IF(Orders!S855,1,0)=1-G858,1,0),"")</f>
        <v>1</v>
      </c>
      <c r="BI858" s="32" t="str">
        <f>INDEX(Stores!$B$2:$B$21,MATCH(B858,Stores!$A$2:$A$21,0))</f>
        <v>Pune</v>
      </c>
    </row>
    <row r="859">
      <c r="A859" s="32" t="str">
        <f>Orders!A856</f>
        <v>O00855</v>
      </c>
      <c r="B859" s="32" t="str">
        <f>Orders!C856</f>
        <v>S020</v>
      </c>
      <c r="C859" s="32" t="str">
        <f>Orders!B856</f>
        <v>C0181</v>
      </c>
      <c r="D859" s="32" t="str">
        <f>Orders!H856</f>
        <v>Delivered</v>
      </c>
      <c r="E859" s="33">
        <f>IF(Orders!H856="Delivered",1,0)</f>
        <v>1</v>
      </c>
      <c r="F859" s="34">
        <f>IF(E859=1,Orders!R856,"")</f>
        <v>-0.2</v>
      </c>
      <c r="G859" s="33">
        <f>IF(E859=1,IF(Orders!R856&gt;0,1,0),"")</f>
        <v>0</v>
      </c>
      <c r="H859" s="33">
        <f>IF(E859=1,IF(Orders!R856&gt;5,1,0),"")</f>
        <v>0</v>
      </c>
      <c r="I859" s="32" t="str">
        <f>IF(E859=1,"",IF(OR(Orders!T856="Rider unavailable",Orders!T856="Item unavailable"),"Company-caused","Unresolved"))</f>
        <v/>
      </c>
      <c r="J859" s="33">
        <f>IF(OR(E859=1,I859="Company-caused"),1,0)</f>
        <v>1</v>
      </c>
      <c r="K859" s="32" t="str">
        <f>IF(E859=0,IF(I859="Company-caused",IF(Orders!T856="Rider unavailable","C1 Rider unavailable","C2 Item unavailable"),"Outside root: unresolved"),IF(G859=0,"A On time",IF(H859=1,IF(L859=1,"B2a Severe, peak","B2b Severe, off-peak"),IF(L859=1,"B1a Slight, peak","B1b Slight, off-peak"))))</f>
        <v>A On time</v>
      </c>
      <c r="L859" s="33">
        <f>IF(AND(Orders!U856&gt;=19,Orders!U856&lt;22),1,0)</f>
        <v>0</v>
      </c>
      <c r="M859" s="33">
        <f>IF(L859=IF(Orders!V856,1,0),1,0)</f>
        <v>1</v>
      </c>
      <c r="N859" s="32" t="str">
        <f>IF(Orders!W856="","None",Orders!W856)</f>
        <v>None</v>
      </c>
      <c r="O859" s="35">
        <f>INT(Orders!E856)</f>
        <v>46271.0</v>
      </c>
      <c r="P859" s="33">
        <f>Orders!U856</f>
        <v>14</v>
      </c>
      <c r="Q859" s="33">
        <f>COUNTIFS(Demand!$A$2:$A$4481,B859,Demand!$B$2:$B$4481,O859,Demand!$C$2:$C$4481,P859)</f>
        <v>1</v>
      </c>
      <c r="R859" s="33">
        <f>IF(Q859=1,SUMIFS(Demand!$E$2:$E$4481,Demand!$A$2:$A$4481,B859,Demand!$B$2:$B$4481,O859,Demand!$C$2:$C$4481,P859),"")</f>
        <v>14</v>
      </c>
      <c r="S859" s="33">
        <f>INDEX(Stores!$G$2:$G$21,MATCH(B859,Stores!$A$2:$A$21,0))</f>
        <v>15</v>
      </c>
      <c r="T859" s="34">
        <f>IF(R859="","",R859/S859)</f>
        <v>0.933333333333333</v>
      </c>
      <c r="U859" s="34">
        <f>IF(E859=1,T859,"")</f>
        <v>0.933333333333333</v>
      </c>
      <c r="V859" s="34">
        <f>IF(AND(E859=1,L859=0),T859,"")</f>
        <v>0.933333333333333</v>
      </c>
      <c r="W859" s="33">
        <f>IF(U859="","",IF(U859&lt;=Breakdowns!$C$5,1,IF(U859&lt;=Breakdowns!$C$6,2,IF(U859&lt;=Breakdowns!$C$7,3,4))))</f>
        <v>2</v>
      </c>
      <c r="X859" s="33">
        <f>IF(V859="","",IF(V859&lt;=Breakdowns!$D$5,1,IF(V859&lt;=Breakdowns!$D$6,2,IF(V859&lt;=Breakdowns!$D$7,3,4))))</f>
        <v>3</v>
      </c>
      <c r="Y859" s="34">
        <f>INDEX(Stores!$F$2:$F$21,MATCH(B859,Stores!$A$2:$A$21,0))</f>
        <v>5.74</v>
      </c>
      <c r="Z859" s="33">
        <f>IF(Y859&gt;Store_Summary!$M$2,1,0)</f>
        <v>1</v>
      </c>
      <c r="AA859" s="33">
        <f>INDEX(Stores!$C$2:$C$21,MATCH(B859,Stores!$A$2:$A$21,0))</f>
        <v>647</v>
      </c>
      <c r="AB859" s="33">
        <f>IF(AA859&lt;180,1,0)</f>
        <v>0</v>
      </c>
      <c r="AC859" s="32" t="str">
        <f>IF(Orders!D856="","",INDEX(Riders!$C$2:$C$81,MATCH(Orders!D856,Riders!$A$2:$A$81,0)))</f>
        <v>EV scooter</v>
      </c>
      <c r="AD859" s="33">
        <f>IF(Orders!D856="","",INDEX(Riders!$D$2:$D$81,MATCH(Orders!D856,Riders!$A$2:$A$81,0)))</f>
        <v>22</v>
      </c>
      <c r="AE859" s="33">
        <f>IF(Orders!D856="","",IF(INDEX(Riders!$B$2:$B$81,MATCH(Orders!D856,Riders!$A$2:$A$81,0))=B859,1,0))</f>
        <v>0</v>
      </c>
      <c r="AF859" s="34">
        <f>IF(E859=1,Orders!L856,"")</f>
        <v>3.8</v>
      </c>
      <c r="AG859" s="34">
        <f>IF(E859=1,Orders!P856,"")</f>
        <v>11.5</v>
      </c>
      <c r="AH859" s="34">
        <f>IF(E859=1,Orders!Q856,"")</f>
        <v>11.3</v>
      </c>
      <c r="AI859" s="34">
        <f>IF(E859=1,Orders!M856,"")</f>
        <v>4</v>
      </c>
      <c r="AJ859" s="34">
        <f>IF(E859=1,Orders!N856,"")</f>
        <v>1.6</v>
      </c>
      <c r="AK859" s="34">
        <f>IF(E859=1,Orders!O856,"")</f>
        <v>5.7</v>
      </c>
      <c r="AL859" s="33">
        <f>IF(E859=1,IF(ROUND(ABS(AI859+AJ859+AK859-AH859),6)&lt;=0.1,1,0),"")</f>
        <v>1</v>
      </c>
      <c r="AM859" s="36">
        <f>IF(E859=1,AI859/AH859,"")</f>
        <v>0.353982300884956</v>
      </c>
      <c r="AN859" s="36">
        <f>IF(E859=1,AJ859/AH859,"")</f>
        <v>0.141592920353982</v>
      </c>
      <c r="AO859" s="36">
        <f>IF(E859=1,AK859/AH859,"")</f>
        <v>0.504424778761062</v>
      </c>
      <c r="AP859" s="34">
        <f>IF(E859=1,Orders!Y856,"")</f>
        <v>0.62</v>
      </c>
      <c r="AQ859" s="33">
        <f>IF(Orders!X856,1,0)</f>
        <v>0</v>
      </c>
      <c r="AR859" s="34" t="str">
        <f>IF(AND(E859=1,L859=1),AJ859,"")</f>
        <v/>
      </c>
      <c r="AS859" s="34">
        <f>IF(AND(E859=1,L859=0),AJ859,"")</f>
        <v>1.6</v>
      </c>
      <c r="AT859" s="34" t="str">
        <f>IF(AND(E859=1,L859=1),AI859,"")</f>
        <v/>
      </c>
      <c r="AU859" s="34">
        <f>IF(AND(E859=1,L859=0),AI859,"")</f>
        <v>4</v>
      </c>
      <c r="AV859" s="34" t="str">
        <f>IF(AND(E859=1,L859=1),AG859,"")</f>
        <v/>
      </c>
      <c r="AW859" s="34">
        <f>IF(AND(E859=1,L859=0),AG859,"")</f>
        <v>11.5</v>
      </c>
      <c r="AX859" s="34" t="str">
        <f>IF(AND(E859=1,L859=1),AH859,"")</f>
        <v/>
      </c>
      <c r="AY859" s="34">
        <f>IF(AND(E859=1,L859=0),AH859,"")</f>
        <v>11.3</v>
      </c>
      <c r="AZ859" s="34" t="str">
        <f>IF(G859=1,F859,"")</f>
        <v/>
      </c>
      <c r="BA859" s="34" t="str">
        <f>IF(AND(G859=1,L859=1),F859,"")</f>
        <v/>
      </c>
      <c r="BB859" s="34" t="str">
        <f>IF(AND(G859=1,L859=0),F859,"")</f>
        <v/>
      </c>
      <c r="BC859" s="33">
        <f>IF(E859=1,IF(Orders!R856&gt;3,1,0),"")</f>
        <v>0</v>
      </c>
      <c r="BD859" s="33">
        <f>IF(E859=1,IF(Orders!R856&gt;7,1,0),"")</f>
        <v>0</v>
      </c>
      <c r="BE859" s="32" t="str">
        <f>IF(E859=1,IF(Orders!L856&lt;=1.5,"Up to 1.5 km",IF(Orders!L856&lt;=3,"1.5–3 km","Over 3 km")),"")</f>
        <v>Over 3 km</v>
      </c>
      <c r="BF859" s="33">
        <f>IF(E859=1,IF(ABS((Orders!G856-Orders!F856)*1440-Orders!R856)&lt;0.06,1,0),"")</f>
        <v>1</v>
      </c>
      <c r="BG859" s="33">
        <f>IF(ABS((Orders!F856-Orders!E856)*1440-Orders!P856)&lt;0.06,1,0)</f>
        <v>1</v>
      </c>
      <c r="BH859" s="33">
        <f>IF(E859=1,IF(IF(Orders!S856,1,0)=1-G859,1,0),"")</f>
        <v>1</v>
      </c>
      <c r="BI859" s="32" t="str">
        <f>INDEX(Stores!$B$2:$B$21,MATCH(B859,Stores!$A$2:$A$21,0))</f>
        <v>Delhi</v>
      </c>
    </row>
    <row r="860">
      <c r="A860" s="32" t="str">
        <f>Orders!A857</f>
        <v>O00856</v>
      </c>
      <c r="B860" s="32" t="str">
        <f>Orders!C857</f>
        <v>S007</v>
      </c>
      <c r="C860" s="32" t="str">
        <f>Orders!B857</f>
        <v>C0159</v>
      </c>
      <c r="D860" s="32" t="str">
        <f>Orders!H857</f>
        <v>Cancelled</v>
      </c>
      <c r="E860" s="33">
        <f>IF(Orders!H857="Delivered",1,0)</f>
        <v>0</v>
      </c>
      <c r="F860" s="34" t="str">
        <f>IF(E860=1,Orders!R857,"")</f>
        <v/>
      </c>
      <c r="G860" s="33" t="str">
        <f>IF(E860=1,IF(Orders!R857&gt;0,1,0),"")</f>
        <v/>
      </c>
      <c r="H860" s="33" t="str">
        <f>IF(E860=1,IF(Orders!R857&gt;5,1,0),"")</f>
        <v/>
      </c>
      <c r="I860" s="32" t="str">
        <f>IF(E860=1,"",IF(OR(Orders!T857="Rider unavailable",Orders!T857="Item unavailable"),"Company-caused","Unresolved"))</f>
        <v>Company-caused</v>
      </c>
      <c r="J860" s="33">
        <f>IF(OR(E860=1,I860="Company-caused"),1,0)</f>
        <v>1</v>
      </c>
      <c r="K860" s="32" t="str">
        <f>IF(E860=0,IF(I860="Company-caused",IF(Orders!T857="Rider unavailable","C1 Rider unavailable","C2 Item unavailable"),"Outside root: unresolved"),IF(G860=0,"A On time",IF(H860=1,IF(L860=1,"B2a Severe, peak","B2b Severe, off-peak"),IF(L860=1,"B1a Slight, peak","B1b Slight, off-peak"))))</f>
        <v>C1 Rider unavailable</v>
      </c>
      <c r="L860" s="33">
        <f>IF(AND(Orders!U857&gt;=19,Orders!U857&lt;22),1,0)</f>
        <v>1</v>
      </c>
      <c r="M860" s="33">
        <f>IF(L860=IF(Orders!V857,1,0),1,0)</f>
        <v>1</v>
      </c>
      <c r="N860" s="32" t="str">
        <f>IF(Orders!W857="","None",Orders!W857)</f>
        <v>None</v>
      </c>
      <c r="O860" s="35">
        <f>INT(Orders!E857)</f>
        <v>46271.0</v>
      </c>
      <c r="P860" s="33">
        <f>Orders!U857</f>
        <v>21</v>
      </c>
      <c r="Q860" s="33">
        <f>COUNTIFS(Demand!$A$2:$A$4481,B860,Demand!$B$2:$B$4481,O860,Demand!$C$2:$C$4481,P860)</f>
        <v>1</v>
      </c>
      <c r="R860" s="33">
        <f>IF(Q860=1,SUMIFS(Demand!$E$2:$E$4481,Demand!$A$2:$A$4481,B860,Demand!$B$2:$B$4481,O860,Demand!$C$2:$C$4481,P860),"")</f>
        <v>72</v>
      </c>
      <c r="S860" s="33">
        <f>INDEX(Stores!$G$2:$G$21,MATCH(B860,Stores!$A$2:$A$21,0))</f>
        <v>37</v>
      </c>
      <c r="T860" s="34">
        <f>IF(R860="","",R860/S860)</f>
        <v>1.94594594594595</v>
      </c>
      <c r="U860" s="34" t="str">
        <f>IF(E860=1,T860,"")</f>
        <v/>
      </c>
      <c r="V860" s="34" t="str">
        <f>IF(AND(E860=1,L860=0),T860,"")</f>
        <v/>
      </c>
      <c r="W860" s="33" t="str">
        <f>IF(U860="","",IF(U860&lt;=Breakdowns!$C$5,1,IF(U860&lt;=Breakdowns!$C$6,2,IF(U860&lt;=Breakdowns!$C$7,3,4))))</f>
        <v/>
      </c>
      <c r="X860" s="33" t="str">
        <f>IF(V860="","",IF(V860&lt;=Breakdowns!$D$5,1,IF(V860&lt;=Breakdowns!$D$6,2,IF(V860&lt;=Breakdowns!$D$7,3,4))))</f>
        <v/>
      </c>
      <c r="Y860" s="34">
        <f>INDEX(Stores!$F$2:$F$21,MATCH(B860,Stores!$A$2:$A$21,0))</f>
        <v>4.05</v>
      </c>
      <c r="Z860" s="33">
        <f>IF(Y860&gt;Store_Summary!$M$2,1,0)</f>
        <v>0</v>
      </c>
      <c r="AA860" s="33">
        <f>INDEX(Stores!$C$2:$C$21,MATCH(B860,Stores!$A$2:$A$21,0))</f>
        <v>661</v>
      </c>
      <c r="AB860" s="33">
        <f>IF(AA860&lt;180,1,0)</f>
        <v>0</v>
      </c>
      <c r="AC860" s="32" t="str">
        <f>IF(Orders!D857="","",INDEX(Riders!$C$2:$C$81,MATCH(Orders!D857,Riders!$A$2:$A$81,0)))</f>
        <v/>
      </c>
      <c r="AD860" s="33" t="str">
        <f>IF(Orders!D857="","",INDEX(Riders!$D$2:$D$81,MATCH(Orders!D857,Riders!$A$2:$A$81,0)))</f>
        <v/>
      </c>
      <c r="AE860" s="33" t="str">
        <f>IF(Orders!D857="","",IF(INDEX(Riders!$B$2:$B$81,MATCH(Orders!D857,Riders!$A$2:$A$81,0))=B860,1,0))</f>
        <v/>
      </c>
      <c r="AF860" s="34" t="str">
        <f>IF(E860=1,Orders!L857,"")</f>
        <v/>
      </c>
      <c r="AG860" s="34" t="str">
        <f>IF(E860=1,Orders!P857,"")</f>
        <v/>
      </c>
      <c r="AH860" s="34" t="str">
        <f>IF(E860=1,Orders!Q857,"")</f>
        <v/>
      </c>
      <c r="AI860" s="34" t="str">
        <f>IF(E860=1,Orders!M857,"")</f>
        <v/>
      </c>
      <c r="AJ860" s="34" t="str">
        <f>IF(E860=1,Orders!N857,"")</f>
        <v/>
      </c>
      <c r="AK860" s="34" t="str">
        <f>IF(E860=1,Orders!O857,"")</f>
        <v/>
      </c>
      <c r="AL860" s="33" t="str">
        <f>IF(E860=1,IF(ROUND(ABS(AI860+AJ860+AK860-AH860),6)&lt;=0.1,1,0),"")</f>
        <v/>
      </c>
      <c r="AM860" s="36" t="str">
        <f>IF(E860=1,AI860/AH860,"")</f>
        <v/>
      </c>
      <c r="AN860" s="36" t="str">
        <f>IF(E860=1,AJ860/AH860,"")</f>
        <v/>
      </c>
      <c r="AO860" s="36" t="str">
        <f>IF(E860=1,AK860/AH860,"")</f>
        <v/>
      </c>
      <c r="AP860" s="34" t="str">
        <f>IF(E860=1,Orders!Y857,"")</f>
        <v/>
      </c>
      <c r="AQ860" s="33">
        <f>IF(Orders!X857,1,0)</f>
        <v>0</v>
      </c>
      <c r="AR860" s="34" t="str">
        <f>IF(AND(E860=1,L860=1),AJ860,"")</f>
        <v/>
      </c>
      <c r="AS860" s="34" t="str">
        <f>IF(AND(E860=1,L860=0),AJ860,"")</f>
        <v/>
      </c>
      <c r="AT860" s="34" t="str">
        <f>IF(AND(E860=1,L860=1),AI860,"")</f>
        <v/>
      </c>
      <c r="AU860" s="34" t="str">
        <f>IF(AND(E860=1,L860=0),AI860,"")</f>
        <v/>
      </c>
      <c r="AV860" s="34" t="str">
        <f>IF(AND(E860=1,L860=1),AG860,"")</f>
        <v/>
      </c>
      <c r="AW860" s="34" t="str">
        <f>IF(AND(E860=1,L860=0),AG860,"")</f>
        <v/>
      </c>
      <c r="AX860" s="34" t="str">
        <f>IF(AND(E860=1,L860=1),AH860,"")</f>
        <v/>
      </c>
      <c r="AY860" s="34" t="str">
        <f>IF(AND(E860=1,L860=0),AH860,"")</f>
        <v/>
      </c>
      <c r="AZ860" s="34" t="str">
        <f>IF(G860=1,F860,"")</f>
        <v/>
      </c>
      <c r="BA860" s="34" t="str">
        <f>IF(AND(G860=1,L860=1),F860,"")</f>
        <v/>
      </c>
      <c r="BB860" s="34" t="str">
        <f>IF(AND(G860=1,L860=0),F860,"")</f>
        <v/>
      </c>
      <c r="BC860" s="33" t="str">
        <f>IF(E860=1,IF(Orders!R857&gt;3,1,0),"")</f>
        <v/>
      </c>
      <c r="BD860" s="33" t="str">
        <f>IF(E860=1,IF(Orders!R857&gt;7,1,0),"")</f>
        <v/>
      </c>
      <c r="BE860" s="32" t="str">
        <f>IF(E860=1,IF(Orders!L857&lt;=1.5,"Up to 1.5 km",IF(Orders!L857&lt;=3,"1.5–3 km","Over 3 km")),"")</f>
        <v/>
      </c>
      <c r="BF860" s="33" t="str">
        <f>IF(E860=1,IF(ABS((Orders!G857-Orders!F857)*1440-Orders!R857)&lt;0.06,1,0),"")</f>
        <v/>
      </c>
      <c r="BG860" s="33">
        <f>IF(ABS((Orders!F857-Orders!E857)*1440-Orders!P857)&lt;0.06,1,0)</f>
        <v>1</v>
      </c>
      <c r="BH860" s="33" t="str">
        <f>IF(E860=1,IF(IF(Orders!S857,1,0)=1-G860,1,0),"")</f>
        <v/>
      </c>
      <c r="BI860" s="32" t="str">
        <f>INDEX(Stores!$B$2:$B$21,MATCH(B860,Stores!$A$2:$A$21,0))</f>
        <v>Hyderabad</v>
      </c>
    </row>
    <row r="861">
      <c r="A861" s="32" t="str">
        <f>Orders!A858</f>
        <v>O00857</v>
      </c>
      <c r="B861" s="32" t="str">
        <f>Orders!C858</f>
        <v>S020</v>
      </c>
      <c r="C861" s="32" t="str">
        <f>Orders!B858</f>
        <v>C0240</v>
      </c>
      <c r="D861" s="32" t="str">
        <f>Orders!H858</f>
        <v>Delivered</v>
      </c>
      <c r="E861" s="33">
        <f>IF(Orders!H858="Delivered",1,0)</f>
        <v>1</v>
      </c>
      <c r="F861" s="34">
        <f>IF(E861=1,Orders!R858,"")</f>
        <v>15.3</v>
      </c>
      <c r="G861" s="33">
        <f>IF(E861=1,IF(Orders!R858&gt;0,1,0),"")</f>
        <v>1</v>
      </c>
      <c r="H861" s="33">
        <f>IF(E861=1,IF(Orders!R858&gt;5,1,0),"")</f>
        <v>1</v>
      </c>
      <c r="I861" s="32" t="str">
        <f>IF(E861=1,"",IF(OR(Orders!T858="Rider unavailable",Orders!T858="Item unavailable"),"Company-caused","Unresolved"))</f>
        <v/>
      </c>
      <c r="J861" s="33">
        <f>IF(OR(E861=1,I861="Company-caused"),1,0)</f>
        <v>1</v>
      </c>
      <c r="K861" s="32" t="str">
        <f>IF(E861=0,IF(I861="Company-caused",IF(Orders!T858="Rider unavailable","C1 Rider unavailable","C2 Item unavailable"),"Outside root: unresolved"),IF(G861=0,"A On time",IF(H861=1,IF(L861=1,"B2a Severe, peak","B2b Severe, off-peak"),IF(L861=1,"B1a Slight, peak","B1b Slight, off-peak"))))</f>
        <v>B2b Severe, off-peak</v>
      </c>
      <c r="L861" s="33">
        <f>IF(AND(Orders!U858&gt;=19,Orders!U858&lt;22),1,0)</f>
        <v>0</v>
      </c>
      <c r="M861" s="33">
        <f>IF(L861=IF(Orders!V858,1,0),1,0)</f>
        <v>1</v>
      </c>
      <c r="N861" s="32" t="str">
        <f>IF(Orders!W858="","None",Orders!W858)</f>
        <v>None</v>
      </c>
      <c r="O861" s="35">
        <f>INT(Orders!E858)</f>
        <v>46268.0</v>
      </c>
      <c r="P861" s="33">
        <f>Orders!U858</f>
        <v>15</v>
      </c>
      <c r="Q861" s="33">
        <f>COUNTIFS(Demand!$A$2:$A$4481,B861,Demand!$B$2:$B$4481,O861,Demand!$C$2:$C$4481,P861)</f>
        <v>1</v>
      </c>
      <c r="R861" s="33">
        <f>IF(Q861=1,SUMIFS(Demand!$E$2:$E$4481,Demand!$A$2:$A$4481,B861,Demand!$B$2:$B$4481,O861,Demand!$C$2:$C$4481,P861),"")</f>
        <v>11</v>
      </c>
      <c r="S861" s="33">
        <f>INDEX(Stores!$G$2:$G$21,MATCH(B861,Stores!$A$2:$A$21,0))</f>
        <v>15</v>
      </c>
      <c r="T861" s="34">
        <f>IF(R861="","",R861/S861)</f>
        <v>0.733333333333333</v>
      </c>
      <c r="U861" s="34">
        <f>IF(E861=1,T861,"")</f>
        <v>0.733333333333333</v>
      </c>
      <c r="V861" s="34">
        <f>IF(AND(E861=1,L861=0),T861,"")</f>
        <v>0.733333333333333</v>
      </c>
      <c r="W861" s="33">
        <f>IF(U861="","",IF(U861&lt;=Breakdowns!$C$5,1,IF(U861&lt;=Breakdowns!$C$6,2,IF(U861&lt;=Breakdowns!$C$7,3,4))))</f>
        <v>1</v>
      </c>
      <c r="X861" s="33">
        <f>IF(V861="","",IF(V861&lt;=Breakdowns!$D$5,1,IF(V861&lt;=Breakdowns!$D$6,2,IF(V861&lt;=Breakdowns!$D$7,3,4))))</f>
        <v>1</v>
      </c>
      <c r="Y861" s="34">
        <f>INDEX(Stores!$F$2:$F$21,MATCH(B861,Stores!$A$2:$A$21,0))</f>
        <v>5.74</v>
      </c>
      <c r="Z861" s="33">
        <f>IF(Y861&gt;Store_Summary!$M$2,1,0)</f>
        <v>1</v>
      </c>
      <c r="AA861" s="33">
        <f>INDEX(Stores!$C$2:$C$21,MATCH(B861,Stores!$A$2:$A$21,0))</f>
        <v>647</v>
      </c>
      <c r="AB861" s="33">
        <f>IF(AA861&lt;180,1,0)</f>
        <v>0</v>
      </c>
      <c r="AC861" s="32" t="str">
        <f>IF(Orders!D858="","",INDEX(Riders!$C$2:$C$81,MATCH(Orders!D858,Riders!$A$2:$A$81,0)))</f>
        <v>Bicycle</v>
      </c>
      <c r="AD861" s="33">
        <f>IF(Orders!D858="","",INDEX(Riders!$D$2:$D$81,MATCH(Orders!D858,Riders!$A$2:$A$81,0)))</f>
        <v>2</v>
      </c>
      <c r="AE861" s="33">
        <f>IF(Orders!D858="","",IF(INDEX(Riders!$B$2:$B$81,MATCH(Orders!D858,Riders!$A$2:$A$81,0))=B861,1,0))</f>
        <v>1</v>
      </c>
      <c r="AF861" s="34">
        <f>IF(E861=1,Orders!L858,"")</f>
        <v>3.8</v>
      </c>
      <c r="AG861" s="34">
        <f>IF(E861=1,Orders!P858,"")</f>
        <v>10.2</v>
      </c>
      <c r="AH861" s="34">
        <f>IF(E861=1,Orders!Q858,"")</f>
        <v>25.5</v>
      </c>
      <c r="AI861" s="34">
        <f>IF(E861=1,Orders!M858,"")</f>
        <v>6</v>
      </c>
      <c r="AJ861" s="34">
        <f>IF(E861=1,Orders!N858,"")</f>
        <v>9.1</v>
      </c>
      <c r="AK861" s="34">
        <f>IF(E861=1,Orders!O858,"")</f>
        <v>10.4</v>
      </c>
      <c r="AL861" s="33">
        <f>IF(E861=1,IF(ROUND(ABS(AI861+AJ861+AK861-AH861),6)&lt;=0.1,1,0),"")</f>
        <v>1</v>
      </c>
      <c r="AM861" s="36">
        <f>IF(E861=1,AI861/AH861,"")</f>
        <v>0.235294117647059</v>
      </c>
      <c r="AN861" s="36">
        <f>IF(E861=1,AJ861/AH861,"")</f>
        <v>0.356862745098039</v>
      </c>
      <c r="AO861" s="36">
        <f>IF(E861=1,AK861/AH861,"")</f>
        <v>0.407843137254902</v>
      </c>
      <c r="AP861" s="34">
        <f>IF(E861=1,Orders!Y858,"")</f>
        <v>0.56</v>
      </c>
      <c r="AQ861" s="33">
        <f>IF(Orders!X858,1,0)</f>
        <v>0</v>
      </c>
      <c r="AR861" s="34" t="str">
        <f>IF(AND(E861=1,L861=1),AJ861,"")</f>
        <v/>
      </c>
      <c r="AS861" s="34">
        <f>IF(AND(E861=1,L861=0),AJ861,"")</f>
        <v>9.1</v>
      </c>
      <c r="AT861" s="34" t="str">
        <f>IF(AND(E861=1,L861=1),AI861,"")</f>
        <v/>
      </c>
      <c r="AU861" s="34">
        <f>IF(AND(E861=1,L861=0),AI861,"")</f>
        <v>6</v>
      </c>
      <c r="AV861" s="34" t="str">
        <f>IF(AND(E861=1,L861=1),AG861,"")</f>
        <v/>
      </c>
      <c r="AW861" s="34">
        <f>IF(AND(E861=1,L861=0),AG861,"")</f>
        <v>10.2</v>
      </c>
      <c r="AX861" s="34" t="str">
        <f>IF(AND(E861=1,L861=1),AH861,"")</f>
        <v/>
      </c>
      <c r="AY861" s="34">
        <f>IF(AND(E861=1,L861=0),AH861,"")</f>
        <v>25.5</v>
      </c>
      <c r="AZ861" s="34">
        <f>IF(G861=1,F861,"")</f>
        <v>15.3</v>
      </c>
      <c r="BA861" s="34" t="str">
        <f>IF(AND(G861=1,L861=1),F861,"")</f>
        <v/>
      </c>
      <c r="BB861" s="34">
        <f>IF(AND(G861=1,L861=0),F861,"")</f>
        <v>15.3</v>
      </c>
      <c r="BC861" s="33">
        <f>IF(E861=1,IF(Orders!R858&gt;3,1,0),"")</f>
        <v>1</v>
      </c>
      <c r="BD861" s="33">
        <f>IF(E861=1,IF(Orders!R858&gt;7,1,0),"")</f>
        <v>1</v>
      </c>
      <c r="BE861" s="32" t="str">
        <f>IF(E861=1,IF(Orders!L858&lt;=1.5,"Up to 1.5 km",IF(Orders!L858&lt;=3,"1.5–3 km","Over 3 km")),"")</f>
        <v>Over 3 km</v>
      </c>
      <c r="BF861" s="33">
        <f>IF(E861=1,IF(ABS((Orders!G858-Orders!F858)*1440-Orders!R858)&lt;0.06,1,0),"")</f>
        <v>1</v>
      </c>
      <c r="BG861" s="33">
        <f>IF(ABS((Orders!F858-Orders!E858)*1440-Orders!P858)&lt;0.06,1,0)</f>
        <v>1</v>
      </c>
      <c r="BH861" s="33">
        <f>IF(E861=1,IF(IF(Orders!S858,1,0)=1-G861,1,0),"")</f>
        <v>1</v>
      </c>
      <c r="BI861" s="32" t="str">
        <f>INDEX(Stores!$B$2:$B$21,MATCH(B861,Stores!$A$2:$A$21,0))</f>
        <v>Delhi</v>
      </c>
    </row>
    <row r="862">
      <c r="A862" s="32" t="str">
        <f>Orders!A859</f>
        <v>O00858</v>
      </c>
      <c r="B862" s="32" t="str">
        <f>Orders!C859</f>
        <v>S002</v>
      </c>
      <c r="C862" s="32" t="str">
        <f>Orders!B859</f>
        <v>C0043</v>
      </c>
      <c r="D862" s="32" t="str">
        <f>Orders!H859</f>
        <v>Delivered</v>
      </c>
      <c r="E862" s="33">
        <f>IF(Orders!H859="Delivered",1,0)</f>
        <v>1</v>
      </c>
      <c r="F862" s="34">
        <f>IF(E862=1,Orders!R859,"")</f>
        <v>-0.3</v>
      </c>
      <c r="G862" s="33">
        <f>IF(E862=1,IF(Orders!R859&gt;0,1,0),"")</f>
        <v>0</v>
      </c>
      <c r="H862" s="33">
        <f>IF(E862=1,IF(Orders!R859&gt;5,1,0),"")</f>
        <v>0</v>
      </c>
      <c r="I862" s="32" t="str">
        <f>IF(E862=1,"",IF(OR(Orders!T859="Rider unavailable",Orders!T859="Item unavailable"),"Company-caused","Unresolved"))</f>
        <v/>
      </c>
      <c r="J862" s="33">
        <f>IF(OR(E862=1,I862="Company-caused"),1,0)</f>
        <v>1</v>
      </c>
      <c r="K862" s="32" t="str">
        <f>IF(E862=0,IF(I862="Company-caused",IF(Orders!T859="Rider unavailable","C1 Rider unavailable","C2 Item unavailable"),"Outside root: unresolved"),IF(G862=0,"A On time",IF(H862=1,IF(L862=1,"B2a Severe, peak","B2b Severe, off-peak"),IF(L862=1,"B1a Slight, peak","B1b Slight, off-peak"))))</f>
        <v>A On time</v>
      </c>
      <c r="L862" s="33">
        <f>IF(AND(Orders!U859&gt;=19,Orders!U859&lt;22),1,0)</f>
        <v>0</v>
      </c>
      <c r="M862" s="33">
        <f>IF(L862=IF(Orders!V859,1,0),1,0)</f>
        <v>1</v>
      </c>
      <c r="N862" s="32" t="str">
        <f>IF(Orders!W859="","None",Orders!W859)</f>
        <v>Light</v>
      </c>
      <c r="O862" s="35">
        <f>INT(Orders!E859)</f>
        <v>46274.0</v>
      </c>
      <c r="P862" s="33">
        <f>Orders!U859</f>
        <v>9</v>
      </c>
      <c r="Q862" s="33">
        <f>COUNTIFS(Demand!$A$2:$A$4481,B862,Demand!$B$2:$B$4481,O862,Demand!$C$2:$C$4481,P862)</f>
        <v>1</v>
      </c>
      <c r="R862" s="33">
        <f>IF(Q862=1,SUMIFS(Demand!$E$2:$E$4481,Demand!$A$2:$A$4481,B862,Demand!$B$2:$B$4481,O862,Demand!$C$2:$C$4481,P862),"")</f>
        <v>24</v>
      </c>
      <c r="S862" s="33">
        <f>INDEX(Stores!$G$2:$G$21,MATCH(B862,Stores!$A$2:$A$21,0))</f>
        <v>33</v>
      </c>
      <c r="T862" s="34">
        <f>IF(R862="","",R862/S862)</f>
        <v>0.727272727272727</v>
      </c>
      <c r="U862" s="34">
        <f>IF(E862=1,T862,"")</f>
        <v>0.727272727272727</v>
      </c>
      <c r="V862" s="34">
        <f>IF(AND(E862=1,L862=0),T862,"")</f>
        <v>0.727272727272727</v>
      </c>
      <c r="W862" s="33">
        <f>IF(U862="","",IF(U862&lt;=Breakdowns!$C$5,1,IF(U862&lt;=Breakdowns!$C$6,2,IF(U862&lt;=Breakdowns!$C$7,3,4))))</f>
        <v>1</v>
      </c>
      <c r="X862" s="33">
        <f>IF(V862="","",IF(V862&lt;=Breakdowns!$D$5,1,IF(V862&lt;=Breakdowns!$D$6,2,IF(V862&lt;=Breakdowns!$D$7,3,4))))</f>
        <v>1</v>
      </c>
      <c r="Y862" s="34">
        <f>INDEX(Stores!$F$2:$F$21,MATCH(B862,Stores!$A$2:$A$21,0))</f>
        <v>2.39</v>
      </c>
      <c r="Z862" s="33">
        <f>IF(Y862&gt;Store_Summary!$M$2,1,0)</f>
        <v>0</v>
      </c>
      <c r="AA862" s="33">
        <f>INDEX(Stores!$C$2:$C$21,MATCH(B862,Stores!$A$2:$A$21,0))</f>
        <v>470</v>
      </c>
      <c r="AB862" s="33">
        <f>IF(AA862&lt;180,1,0)</f>
        <v>0</v>
      </c>
      <c r="AC862" s="32" t="str">
        <f>IF(Orders!D859="","",INDEX(Riders!$C$2:$C$81,MATCH(Orders!D859,Riders!$A$2:$A$81,0)))</f>
        <v>Bicycle</v>
      </c>
      <c r="AD862" s="33">
        <f>IF(Orders!D859="","",INDEX(Riders!$D$2:$D$81,MATCH(Orders!D859,Riders!$A$2:$A$81,0)))</f>
        <v>8</v>
      </c>
      <c r="AE862" s="33">
        <f>IF(Orders!D859="","",IF(INDEX(Riders!$B$2:$B$81,MATCH(Orders!D859,Riders!$A$2:$A$81,0))=B862,1,0))</f>
        <v>0</v>
      </c>
      <c r="AF862" s="34">
        <f>IF(E862=1,Orders!L859,"")</f>
        <v>2.04</v>
      </c>
      <c r="AG862" s="34">
        <f>IF(E862=1,Orders!P859,"")</f>
        <v>11.4</v>
      </c>
      <c r="AH862" s="34">
        <f>IF(E862=1,Orders!Q859,"")</f>
        <v>11.1</v>
      </c>
      <c r="AI862" s="34">
        <f>IF(E862=1,Orders!M859,"")</f>
        <v>3.5</v>
      </c>
      <c r="AJ862" s="34">
        <f>IF(E862=1,Orders!N859,"")</f>
        <v>3.1</v>
      </c>
      <c r="AK862" s="34">
        <f>IF(E862=1,Orders!O859,"")</f>
        <v>4.5</v>
      </c>
      <c r="AL862" s="33">
        <f>IF(E862=1,IF(ROUND(ABS(AI862+AJ862+AK862-AH862),6)&lt;=0.1,1,0),"")</f>
        <v>1</v>
      </c>
      <c r="AM862" s="36">
        <f>IF(E862=1,AI862/AH862,"")</f>
        <v>0.315315315315315</v>
      </c>
      <c r="AN862" s="36">
        <f>IF(E862=1,AJ862/AH862,"")</f>
        <v>0.279279279279279</v>
      </c>
      <c r="AO862" s="36">
        <f>IF(E862=1,AK862/AH862,"")</f>
        <v>0.405405405405405</v>
      </c>
      <c r="AP862" s="34">
        <f>IF(E862=1,Orders!Y859,"")</f>
        <v>0.31</v>
      </c>
      <c r="AQ862" s="33">
        <f>IF(Orders!X859,1,0)</f>
        <v>0</v>
      </c>
      <c r="AR862" s="34" t="str">
        <f>IF(AND(E862=1,L862=1),AJ862,"")</f>
        <v/>
      </c>
      <c r="AS862" s="34">
        <f>IF(AND(E862=1,L862=0),AJ862,"")</f>
        <v>3.1</v>
      </c>
      <c r="AT862" s="34" t="str">
        <f>IF(AND(E862=1,L862=1),AI862,"")</f>
        <v/>
      </c>
      <c r="AU862" s="34">
        <f>IF(AND(E862=1,L862=0),AI862,"")</f>
        <v>3.5</v>
      </c>
      <c r="AV862" s="34" t="str">
        <f>IF(AND(E862=1,L862=1),AG862,"")</f>
        <v/>
      </c>
      <c r="AW862" s="34">
        <f>IF(AND(E862=1,L862=0),AG862,"")</f>
        <v>11.4</v>
      </c>
      <c r="AX862" s="34" t="str">
        <f>IF(AND(E862=1,L862=1),AH862,"")</f>
        <v/>
      </c>
      <c r="AY862" s="34">
        <f>IF(AND(E862=1,L862=0),AH862,"")</f>
        <v>11.1</v>
      </c>
      <c r="AZ862" s="34" t="str">
        <f>IF(G862=1,F862,"")</f>
        <v/>
      </c>
      <c r="BA862" s="34" t="str">
        <f>IF(AND(G862=1,L862=1),F862,"")</f>
        <v/>
      </c>
      <c r="BB862" s="34" t="str">
        <f>IF(AND(G862=1,L862=0),F862,"")</f>
        <v/>
      </c>
      <c r="BC862" s="33">
        <f>IF(E862=1,IF(Orders!R859&gt;3,1,0),"")</f>
        <v>0</v>
      </c>
      <c r="BD862" s="33">
        <f>IF(E862=1,IF(Orders!R859&gt;7,1,0),"")</f>
        <v>0</v>
      </c>
      <c r="BE862" s="32" t="str">
        <f>IF(E862=1,IF(Orders!L859&lt;=1.5,"Up to 1.5 km",IF(Orders!L859&lt;=3,"1.5–3 km","Over 3 km")),"")</f>
        <v>1.5–3 km</v>
      </c>
      <c r="BF862" s="33">
        <f>IF(E862=1,IF(ABS((Orders!G859-Orders!F859)*1440-Orders!R859)&lt;0.06,1,0),"")</f>
        <v>1</v>
      </c>
      <c r="BG862" s="33">
        <f>IF(ABS((Orders!F859-Orders!E859)*1440-Orders!P859)&lt;0.06,1,0)</f>
        <v>1</v>
      </c>
      <c r="BH862" s="33">
        <f>IF(E862=1,IF(IF(Orders!S859,1,0)=1-G862,1,0),"")</f>
        <v>1</v>
      </c>
      <c r="BI862" s="32" t="str">
        <f>INDEX(Stores!$B$2:$B$21,MATCH(B862,Stores!$A$2:$A$21,0))</f>
        <v>Hyderabad</v>
      </c>
    </row>
    <row r="863">
      <c r="A863" s="32" t="str">
        <f>Orders!A860</f>
        <v>O00859</v>
      </c>
      <c r="B863" s="32" t="str">
        <f>Orders!C860</f>
        <v>S006</v>
      </c>
      <c r="C863" s="32" t="str">
        <f>Orders!B860</f>
        <v>C0110</v>
      </c>
      <c r="D863" s="32" t="str">
        <f>Orders!H860</f>
        <v>Delivered</v>
      </c>
      <c r="E863" s="33">
        <f>IF(Orders!H860="Delivered",1,0)</f>
        <v>1</v>
      </c>
      <c r="F863" s="34">
        <f>IF(E863=1,Orders!R860,"")</f>
        <v>-0.4</v>
      </c>
      <c r="G863" s="33">
        <f>IF(E863=1,IF(Orders!R860&gt;0,1,0),"")</f>
        <v>0</v>
      </c>
      <c r="H863" s="33">
        <f>IF(E863=1,IF(Orders!R860&gt;5,1,0),"")</f>
        <v>0</v>
      </c>
      <c r="I863" s="32" t="str">
        <f>IF(E863=1,"",IF(OR(Orders!T860="Rider unavailable",Orders!T860="Item unavailable"),"Company-caused","Unresolved"))</f>
        <v/>
      </c>
      <c r="J863" s="33">
        <f>IF(OR(E863=1,I863="Company-caused"),1,0)</f>
        <v>1</v>
      </c>
      <c r="K863" s="32" t="str">
        <f>IF(E863=0,IF(I863="Company-caused",IF(Orders!T860="Rider unavailable","C1 Rider unavailable","C2 Item unavailable"),"Outside root: unresolved"),IF(G863=0,"A On time",IF(H863=1,IF(L863=1,"B2a Severe, peak","B2b Severe, off-peak"),IF(L863=1,"B1a Slight, peak","B1b Slight, off-peak"))))</f>
        <v>A On time</v>
      </c>
      <c r="L863" s="33">
        <f>IF(AND(Orders!U860&gt;=19,Orders!U860&lt;22),1,0)</f>
        <v>0</v>
      </c>
      <c r="M863" s="33">
        <f>IF(L863=IF(Orders!V860,1,0),1,0)</f>
        <v>1</v>
      </c>
      <c r="N863" s="32" t="str">
        <f>IF(Orders!W860="","None",Orders!W860)</f>
        <v>Heavy</v>
      </c>
      <c r="O863" s="35">
        <f>INT(Orders!E860)</f>
        <v>46277.0</v>
      </c>
      <c r="P863" s="33">
        <f>Orders!U860</f>
        <v>12</v>
      </c>
      <c r="Q863" s="33">
        <f>COUNTIFS(Demand!$A$2:$A$4481,B863,Demand!$B$2:$B$4481,O863,Demand!$C$2:$C$4481,P863)</f>
        <v>1</v>
      </c>
      <c r="R863" s="33">
        <f>IF(Q863=1,SUMIFS(Demand!$E$2:$E$4481,Demand!$A$2:$A$4481,B863,Demand!$B$2:$B$4481,O863,Demand!$C$2:$C$4481,P863),"")</f>
        <v>22</v>
      </c>
      <c r="S863" s="33">
        <f>INDEX(Stores!$G$2:$G$21,MATCH(B863,Stores!$A$2:$A$21,0))</f>
        <v>26</v>
      </c>
      <c r="T863" s="34">
        <f>IF(R863="","",R863/S863)</f>
        <v>0.846153846153846</v>
      </c>
      <c r="U863" s="34">
        <f>IF(E863=1,T863,"")</f>
        <v>0.846153846153846</v>
      </c>
      <c r="V863" s="34">
        <f>IF(AND(E863=1,L863=0),T863,"")</f>
        <v>0.846153846153846</v>
      </c>
      <c r="W863" s="33">
        <f>IF(U863="","",IF(U863&lt;=Breakdowns!$C$5,1,IF(U863&lt;=Breakdowns!$C$6,2,IF(U863&lt;=Breakdowns!$C$7,3,4))))</f>
        <v>2</v>
      </c>
      <c r="X863" s="33">
        <f>IF(V863="","",IF(V863&lt;=Breakdowns!$D$5,1,IF(V863&lt;=Breakdowns!$D$6,2,IF(V863&lt;=Breakdowns!$D$7,3,4))))</f>
        <v>2</v>
      </c>
      <c r="Y863" s="34">
        <f>INDEX(Stores!$F$2:$F$21,MATCH(B863,Stores!$A$2:$A$21,0))</f>
        <v>5.22</v>
      </c>
      <c r="Z863" s="33">
        <f>IF(Y863&gt;Store_Summary!$M$2,1,0)</f>
        <v>1</v>
      </c>
      <c r="AA863" s="33">
        <f>INDEX(Stores!$C$2:$C$21,MATCH(B863,Stores!$A$2:$A$21,0))</f>
        <v>412</v>
      </c>
      <c r="AB863" s="33">
        <f>IF(AA863&lt;180,1,0)</f>
        <v>0</v>
      </c>
      <c r="AC863" s="32" t="str">
        <f>IF(Orders!D860="","",INDEX(Riders!$C$2:$C$81,MATCH(Orders!D860,Riders!$A$2:$A$81,0)))</f>
        <v>Petrol scooter</v>
      </c>
      <c r="AD863" s="33">
        <f>IF(Orders!D860="","",INDEX(Riders!$D$2:$D$81,MATCH(Orders!D860,Riders!$A$2:$A$81,0)))</f>
        <v>1</v>
      </c>
      <c r="AE863" s="33">
        <f>IF(Orders!D860="","",IF(INDEX(Riders!$B$2:$B$81,MATCH(Orders!D860,Riders!$A$2:$A$81,0))=B863,1,0))</f>
        <v>0</v>
      </c>
      <c r="AF863" s="34">
        <f>IF(E863=1,Orders!L860,"")</f>
        <v>0.99</v>
      </c>
      <c r="AG863" s="34">
        <f>IF(E863=1,Orders!P860,"")</f>
        <v>11.9</v>
      </c>
      <c r="AH863" s="34">
        <f>IF(E863=1,Orders!Q860,"")</f>
        <v>11.5</v>
      </c>
      <c r="AI863" s="34">
        <f>IF(E863=1,Orders!M860,"")</f>
        <v>4.1</v>
      </c>
      <c r="AJ863" s="34">
        <f>IF(E863=1,Orders!N860,"")</f>
        <v>2.6</v>
      </c>
      <c r="AK863" s="34">
        <f>IF(E863=1,Orders!O860,"")</f>
        <v>4.8</v>
      </c>
      <c r="AL863" s="33">
        <f>IF(E863=1,IF(ROUND(ABS(AI863+AJ863+AK863-AH863),6)&lt;=0.1,1,0),"")</f>
        <v>1</v>
      </c>
      <c r="AM863" s="36">
        <f>IF(E863=1,AI863/AH863,"")</f>
        <v>0.356521739130435</v>
      </c>
      <c r="AN863" s="36">
        <f>IF(E863=1,AJ863/AH863,"")</f>
        <v>0.226086956521739</v>
      </c>
      <c r="AO863" s="36">
        <f>IF(E863=1,AK863/AH863,"")</f>
        <v>0.417391304347826</v>
      </c>
      <c r="AP863" s="34">
        <f>IF(E863=1,Orders!Y860,"")</f>
        <v>0.32</v>
      </c>
      <c r="AQ863" s="33">
        <f>IF(Orders!X860,1,0)</f>
        <v>0</v>
      </c>
      <c r="AR863" s="34" t="str">
        <f>IF(AND(E863=1,L863=1),AJ863,"")</f>
        <v/>
      </c>
      <c r="AS863" s="34">
        <f>IF(AND(E863=1,L863=0),AJ863,"")</f>
        <v>2.6</v>
      </c>
      <c r="AT863" s="34" t="str">
        <f>IF(AND(E863=1,L863=1),AI863,"")</f>
        <v/>
      </c>
      <c r="AU863" s="34">
        <f>IF(AND(E863=1,L863=0),AI863,"")</f>
        <v>4.1</v>
      </c>
      <c r="AV863" s="34" t="str">
        <f>IF(AND(E863=1,L863=1),AG863,"")</f>
        <v/>
      </c>
      <c r="AW863" s="34">
        <f>IF(AND(E863=1,L863=0),AG863,"")</f>
        <v>11.9</v>
      </c>
      <c r="AX863" s="34" t="str">
        <f>IF(AND(E863=1,L863=1),AH863,"")</f>
        <v/>
      </c>
      <c r="AY863" s="34">
        <f>IF(AND(E863=1,L863=0),AH863,"")</f>
        <v>11.5</v>
      </c>
      <c r="AZ863" s="34" t="str">
        <f>IF(G863=1,F863,"")</f>
        <v/>
      </c>
      <c r="BA863" s="34" t="str">
        <f>IF(AND(G863=1,L863=1),F863,"")</f>
        <v/>
      </c>
      <c r="BB863" s="34" t="str">
        <f>IF(AND(G863=1,L863=0),F863,"")</f>
        <v/>
      </c>
      <c r="BC863" s="33">
        <f>IF(E863=1,IF(Orders!R860&gt;3,1,0),"")</f>
        <v>0</v>
      </c>
      <c r="BD863" s="33">
        <f>IF(E863=1,IF(Orders!R860&gt;7,1,0),"")</f>
        <v>0</v>
      </c>
      <c r="BE863" s="32" t="str">
        <f>IF(E863=1,IF(Orders!L860&lt;=1.5,"Up to 1.5 km",IF(Orders!L860&lt;=3,"1.5–3 km","Over 3 km")),"")</f>
        <v>Up to 1.5 km</v>
      </c>
      <c r="BF863" s="33">
        <f>IF(E863=1,IF(ABS((Orders!G860-Orders!F860)*1440-Orders!R860)&lt;0.06,1,0),"")</f>
        <v>1</v>
      </c>
      <c r="BG863" s="33">
        <f>IF(ABS((Orders!F860-Orders!E860)*1440-Orders!P860)&lt;0.06,1,0)</f>
        <v>1</v>
      </c>
      <c r="BH863" s="33">
        <f>IF(E863=1,IF(IF(Orders!S860,1,0)=1-G863,1,0),"")</f>
        <v>1</v>
      </c>
      <c r="BI863" s="32" t="str">
        <f>INDEX(Stores!$B$2:$B$21,MATCH(B863,Stores!$A$2:$A$21,0))</f>
        <v>Bengaluru</v>
      </c>
    </row>
    <row r="864">
      <c r="A864" s="32" t="str">
        <f>Orders!A861</f>
        <v>O00860</v>
      </c>
      <c r="B864" s="32" t="str">
        <f>Orders!C861</f>
        <v>S020</v>
      </c>
      <c r="C864" s="32" t="str">
        <f>Orders!B861</f>
        <v>C0049</v>
      </c>
      <c r="D864" s="32" t="str">
        <f>Orders!H861</f>
        <v>Delivered</v>
      </c>
      <c r="E864" s="33">
        <f>IF(Orders!H861="Delivered",1,0)</f>
        <v>1</v>
      </c>
      <c r="F864" s="34">
        <f>IF(E864=1,Orders!R861,"")</f>
        <v>-0.7</v>
      </c>
      <c r="G864" s="33">
        <f>IF(E864=1,IF(Orders!R861&gt;0,1,0),"")</f>
        <v>0</v>
      </c>
      <c r="H864" s="33">
        <f>IF(E864=1,IF(Orders!R861&gt;5,1,0),"")</f>
        <v>0</v>
      </c>
      <c r="I864" s="32" t="str">
        <f>IF(E864=1,"",IF(OR(Orders!T861="Rider unavailable",Orders!T861="Item unavailable"),"Company-caused","Unresolved"))</f>
        <v/>
      </c>
      <c r="J864" s="33">
        <f>IF(OR(E864=1,I864="Company-caused"),1,0)</f>
        <v>1</v>
      </c>
      <c r="K864" s="32" t="str">
        <f>IF(E864=0,IF(I864="Company-caused",IF(Orders!T861="Rider unavailable","C1 Rider unavailable","C2 Item unavailable"),"Outside root: unresolved"),IF(G864=0,"A On time",IF(H864=1,IF(L864=1,"B2a Severe, peak","B2b Severe, off-peak"),IF(L864=1,"B1a Slight, peak","B1b Slight, off-peak"))))</f>
        <v>A On time</v>
      </c>
      <c r="L864" s="33">
        <f>IF(AND(Orders!U861&gt;=19,Orders!U861&lt;22),1,0)</f>
        <v>0</v>
      </c>
      <c r="M864" s="33">
        <f>IF(L864=IF(Orders!V861,1,0),1,0)</f>
        <v>1</v>
      </c>
      <c r="N864" s="32" t="str">
        <f>IF(Orders!W861="","None",Orders!W861)</f>
        <v>Light</v>
      </c>
      <c r="O864" s="35">
        <f>INT(Orders!E861)</f>
        <v>46272.0</v>
      </c>
      <c r="P864" s="33">
        <f>Orders!U861</f>
        <v>9</v>
      </c>
      <c r="Q864" s="33">
        <f>COUNTIFS(Demand!$A$2:$A$4481,B864,Demand!$B$2:$B$4481,O864,Demand!$C$2:$C$4481,P864)</f>
        <v>1</v>
      </c>
      <c r="R864" s="33">
        <f>IF(Q864=1,SUMIFS(Demand!$E$2:$E$4481,Demand!$A$2:$A$4481,B864,Demand!$B$2:$B$4481,O864,Demand!$C$2:$C$4481,P864),"")</f>
        <v>7</v>
      </c>
      <c r="S864" s="33">
        <f>INDEX(Stores!$G$2:$G$21,MATCH(B864,Stores!$A$2:$A$21,0))</f>
        <v>15</v>
      </c>
      <c r="T864" s="34">
        <f>IF(R864="","",R864/S864)</f>
        <v>0.466666666666667</v>
      </c>
      <c r="U864" s="34">
        <f>IF(E864=1,T864,"")</f>
        <v>0.466666666666667</v>
      </c>
      <c r="V864" s="34">
        <f>IF(AND(E864=1,L864=0),T864,"")</f>
        <v>0.466666666666667</v>
      </c>
      <c r="W864" s="33">
        <f>IF(U864="","",IF(U864&lt;=Breakdowns!$C$5,1,IF(U864&lt;=Breakdowns!$C$6,2,IF(U864&lt;=Breakdowns!$C$7,3,4))))</f>
        <v>1</v>
      </c>
      <c r="X864" s="33">
        <f>IF(V864="","",IF(V864&lt;=Breakdowns!$D$5,1,IF(V864&lt;=Breakdowns!$D$6,2,IF(V864&lt;=Breakdowns!$D$7,3,4))))</f>
        <v>1</v>
      </c>
      <c r="Y864" s="34">
        <f>INDEX(Stores!$F$2:$F$21,MATCH(B864,Stores!$A$2:$A$21,0))</f>
        <v>5.74</v>
      </c>
      <c r="Z864" s="33">
        <f>IF(Y864&gt;Store_Summary!$M$2,1,0)</f>
        <v>1</v>
      </c>
      <c r="AA864" s="33">
        <f>INDEX(Stores!$C$2:$C$21,MATCH(B864,Stores!$A$2:$A$21,0))</f>
        <v>647</v>
      </c>
      <c r="AB864" s="33">
        <f>IF(AA864&lt;180,1,0)</f>
        <v>0</v>
      </c>
      <c r="AC864" s="32" t="str">
        <f>IF(Orders!D861="","",INDEX(Riders!$C$2:$C$81,MATCH(Orders!D861,Riders!$A$2:$A$81,0)))</f>
        <v>Petrol scooter</v>
      </c>
      <c r="AD864" s="33">
        <f>IF(Orders!D861="","",INDEX(Riders!$D$2:$D$81,MATCH(Orders!D861,Riders!$A$2:$A$81,0)))</f>
        <v>44</v>
      </c>
      <c r="AE864" s="33">
        <f>IF(Orders!D861="","",IF(INDEX(Riders!$B$2:$B$81,MATCH(Orders!D861,Riders!$A$2:$A$81,0))=B864,1,0))</f>
        <v>0</v>
      </c>
      <c r="AF864" s="34">
        <f>IF(E864=1,Orders!L861,"")</f>
        <v>3.8</v>
      </c>
      <c r="AG864" s="34">
        <f>IF(E864=1,Orders!P861,"")</f>
        <v>10</v>
      </c>
      <c r="AH864" s="34">
        <f>IF(E864=1,Orders!Q861,"")</f>
        <v>9.3</v>
      </c>
      <c r="AI864" s="34">
        <f>IF(E864=1,Orders!M861,"")</f>
        <v>2.5</v>
      </c>
      <c r="AJ864" s="34">
        <f>IF(E864=1,Orders!N861,"")</f>
        <v>2.5</v>
      </c>
      <c r="AK864" s="34">
        <f>IF(E864=1,Orders!O861,"")</f>
        <v>4.3</v>
      </c>
      <c r="AL864" s="33">
        <f>IF(E864=1,IF(ROUND(ABS(AI864+AJ864+AK864-AH864),6)&lt;=0.1,1,0),"")</f>
        <v>1</v>
      </c>
      <c r="AM864" s="36">
        <f>IF(E864=1,AI864/AH864,"")</f>
        <v>0.268817204301075</v>
      </c>
      <c r="AN864" s="36">
        <f>IF(E864=1,AJ864/AH864,"")</f>
        <v>0.268817204301075</v>
      </c>
      <c r="AO864" s="36">
        <f>IF(E864=1,AK864/AH864,"")</f>
        <v>0.462365591397849</v>
      </c>
      <c r="AP864" s="34">
        <f>IF(E864=1,Orders!Y861,"")</f>
        <v>0.36</v>
      </c>
      <c r="AQ864" s="33">
        <f>IF(Orders!X861,1,0)</f>
        <v>0</v>
      </c>
      <c r="AR864" s="34" t="str">
        <f>IF(AND(E864=1,L864=1),AJ864,"")</f>
        <v/>
      </c>
      <c r="AS864" s="34">
        <f>IF(AND(E864=1,L864=0),AJ864,"")</f>
        <v>2.5</v>
      </c>
      <c r="AT864" s="34" t="str">
        <f>IF(AND(E864=1,L864=1),AI864,"")</f>
        <v/>
      </c>
      <c r="AU864" s="34">
        <f>IF(AND(E864=1,L864=0),AI864,"")</f>
        <v>2.5</v>
      </c>
      <c r="AV864" s="34" t="str">
        <f>IF(AND(E864=1,L864=1),AG864,"")</f>
        <v/>
      </c>
      <c r="AW864" s="34">
        <f>IF(AND(E864=1,L864=0),AG864,"")</f>
        <v>10</v>
      </c>
      <c r="AX864" s="34" t="str">
        <f>IF(AND(E864=1,L864=1),AH864,"")</f>
        <v/>
      </c>
      <c r="AY864" s="34">
        <f>IF(AND(E864=1,L864=0),AH864,"")</f>
        <v>9.3</v>
      </c>
      <c r="AZ864" s="34" t="str">
        <f>IF(G864=1,F864,"")</f>
        <v/>
      </c>
      <c r="BA864" s="34" t="str">
        <f>IF(AND(G864=1,L864=1),F864,"")</f>
        <v/>
      </c>
      <c r="BB864" s="34" t="str">
        <f>IF(AND(G864=1,L864=0),F864,"")</f>
        <v/>
      </c>
      <c r="BC864" s="33">
        <f>IF(E864=1,IF(Orders!R861&gt;3,1,0),"")</f>
        <v>0</v>
      </c>
      <c r="BD864" s="33">
        <f>IF(E864=1,IF(Orders!R861&gt;7,1,0),"")</f>
        <v>0</v>
      </c>
      <c r="BE864" s="32" t="str">
        <f>IF(E864=1,IF(Orders!L861&lt;=1.5,"Up to 1.5 km",IF(Orders!L861&lt;=3,"1.5–3 km","Over 3 km")),"")</f>
        <v>Over 3 km</v>
      </c>
      <c r="BF864" s="33">
        <f>IF(E864=1,IF(ABS((Orders!G861-Orders!F861)*1440-Orders!R861)&lt;0.06,1,0),"")</f>
        <v>1</v>
      </c>
      <c r="BG864" s="33">
        <f>IF(ABS((Orders!F861-Orders!E861)*1440-Orders!P861)&lt;0.06,1,0)</f>
        <v>1</v>
      </c>
      <c r="BH864" s="33">
        <f>IF(E864=1,IF(IF(Orders!S861,1,0)=1-G864,1,0),"")</f>
        <v>1</v>
      </c>
      <c r="BI864" s="32" t="str">
        <f>INDEX(Stores!$B$2:$B$21,MATCH(B864,Stores!$A$2:$A$21,0))</f>
        <v>Delhi</v>
      </c>
    </row>
    <row r="865">
      <c r="A865" s="32" t="str">
        <f>Orders!A862</f>
        <v>O00861</v>
      </c>
      <c r="B865" s="32" t="str">
        <f>Orders!C862</f>
        <v>S020</v>
      </c>
      <c r="C865" s="32" t="str">
        <f>Orders!B862</f>
        <v>C0150</v>
      </c>
      <c r="D865" s="32" t="str">
        <f>Orders!H862</f>
        <v>Delivered</v>
      </c>
      <c r="E865" s="33">
        <f>IF(Orders!H862="Delivered",1,0)</f>
        <v>1</v>
      </c>
      <c r="F865" s="34">
        <f>IF(E865=1,Orders!R862,"")</f>
        <v>-0.4</v>
      </c>
      <c r="G865" s="33">
        <f>IF(E865=1,IF(Orders!R862&gt;0,1,0),"")</f>
        <v>0</v>
      </c>
      <c r="H865" s="33">
        <f>IF(E865=1,IF(Orders!R862&gt;5,1,0),"")</f>
        <v>0</v>
      </c>
      <c r="I865" s="32" t="str">
        <f>IF(E865=1,"",IF(OR(Orders!T862="Rider unavailable",Orders!T862="Item unavailable"),"Company-caused","Unresolved"))</f>
        <v/>
      </c>
      <c r="J865" s="33">
        <f>IF(OR(E865=1,I865="Company-caused"),1,0)</f>
        <v>1</v>
      </c>
      <c r="K865" s="32" t="str">
        <f>IF(E865=0,IF(I865="Company-caused",IF(Orders!T862="Rider unavailable","C1 Rider unavailable","C2 Item unavailable"),"Outside root: unresolved"),IF(G865=0,"A On time",IF(H865=1,IF(L865=1,"B2a Severe, peak","B2b Severe, off-peak"),IF(L865=1,"B1a Slight, peak","B1b Slight, off-peak"))))</f>
        <v>A On time</v>
      </c>
      <c r="L865" s="33">
        <f>IF(AND(Orders!U862&gt;=19,Orders!U862&lt;22),1,0)</f>
        <v>0</v>
      </c>
      <c r="M865" s="33">
        <f>IF(L865=IF(Orders!V862,1,0),1,0)</f>
        <v>1</v>
      </c>
      <c r="N865" s="32" t="str">
        <f>IF(Orders!W862="","None",Orders!W862)</f>
        <v>None</v>
      </c>
      <c r="O865" s="35">
        <f>INT(Orders!E862)</f>
        <v>46275.0</v>
      </c>
      <c r="P865" s="33">
        <f>Orders!U862</f>
        <v>9</v>
      </c>
      <c r="Q865" s="33">
        <f>COUNTIFS(Demand!$A$2:$A$4481,B865,Demand!$B$2:$B$4481,O865,Demand!$C$2:$C$4481,P865)</f>
        <v>1</v>
      </c>
      <c r="R865" s="33">
        <f>IF(Q865=1,SUMIFS(Demand!$E$2:$E$4481,Demand!$A$2:$A$4481,B865,Demand!$B$2:$B$4481,O865,Demand!$C$2:$C$4481,P865),"")</f>
        <v>12</v>
      </c>
      <c r="S865" s="33">
        <f>INDEX(Stores!$G$2:$G$21,MATCH(B865,Stores!$A$2:$A$21,0))</f>
        <v>15</v>
      </c>
      <c r="T865" s="34">
        <f>IF(R865="","",R865/S865)</f>
        <v>0.8</v>
      </c>
      <c r="U865" s="34">
        <f>IF(E865=1,T865,"")</f>
        <v>0.8</v>
      </c>
      <c r="V865" s="34">
        <f>IF(AND(E865=1,L865=0),T865,"")</f>
        <v>0.8</v>
      </c>
      <c r="W865" s="33">
        <f>IF(U865="","",IF(U865&lt;=Breakdowns!$C$5,1,IF(U865&lt;=Breakdowns!$C$6,2,IF(U865&lt;=Breakdowns!$C$7,3,4))))</f>
        <v>2</v>
      </c>
      <c r="X865" s="33">
        <f>IF(V865="","",IF(V865&lt;=Breakdowns!$D$5,1,IF(V865&lt;=Breakdowns!$D$6,2,IF(V865&lt;=Breakdowns!$D$7,3,4))))</f>
        <v>2</v>
      </c>
      <c r="Y865" s="34">
        <f>INDEX(Stores!$F$2:$F$21,MATCH(B865,Stores!$A$2:$A$21,0))</f>
        <v>5.74</v>
      </c>
      <c r="Z865" s="33">
        <f>IF(Y865&gt;Store_Summary!$M$2,1,0)</f>
        <v>1</v>
      </c>
      <c r="AA865" s="33">
        <f>INDEX(Stores!$C$2:$C$21,MATCH(B865,Stores!$A$2:$A$21,0))</f>
        <v>647</v>
      </c>
      <c r="AB865" s="33">
        <f>IF(AA865&lt;180,1,0)</f>
        <v>0</v>
      </c>
      <c r="AC865" s="32" t="str">
        <f>IF(Orders!D862="","",INDEX(Riders!$C$2:$C$81,MATCH(Orders!D862,Riders!$A$2:$A$81,0)))</f>
        <v>Petrol scooter</v>
      </c>
      <c r="AD865" s="33">
        <f>IF(Orders!D862="","",INDEX(Riders!$D$2:$D$81,MATCH(Orders!D862,Riders!$A$2:$A$81,0)))</f>
        <v>40</v>
      </c>
      <c r="AE865" s="33">
        <f>IF(Orders!D862="","",IF(INDEX(Riders!$B$2:$B$81,MATCH(Orders!D862,Riders!$A$2:$A$81,0))=B865,1,0))</f>
        <v>0</v>
      </c>
      <c r="AF865" s="34">
        <f>IF(E865=1,Orders!L862,"")</f>
        <v>1.85</v>
      </c>
      <c r="AG865" s="34">
        <f>IF(E865=1,Orders!P862,"")</f>
        <v>9.1</v>
      </c>
      <c r="AH865" s="34">
        <f>IF(E865=1,Orders!Q862,"")</f>
        <v>8.7</v>
      </c>
      <c r="AI865" s="34">
        <f>IF(E865=1,Orders!M862,"")</f>
        <v>2.5</v>
      </c>
      <c r="AJ865" s="34">
        <f>IF(E865=1,Orders!N862,"")</f>
        <v>3.6</v>
      </c>
      <c r="AK865" s="34">
        <f>IF(E865=1,Orders!O862,"")</f>
        <v>2.6</v>
      </c>
      <c r="AL865" s="33">
        <f>IF(E865=1,IF(ROUND(ABS(AI865+AJ865+AK865-AH865),6)&lt;=0.1,1,0),"")</f>
        <v>1</v>
      </c>
      <c r="AM865" s="36">
        <f>IF(E865=1,AI865/AH865,"")</f>
        <v>0.287356321839081</v>
      </c>
      <c r="AN865" s="36">
        <f>IF(E865=1,AJ865/AH865,"")</f>
        <v>0.413793103448276</v>
      </c>
      <c r="AO865" s="36">
        <f>IF(E865=1,AK865/AH865,"")</f>
        <v>0.298850574712644</v>
      </c>
      <c r="AP865" s="34">
        <f>IF(E865=1,Orders!Y862,"")</f>
        <v>0.44</v>
      </c>
      <c r="AQ865" s="33">
        <f>IF(Orders!X862,1,0)</f>
        <v>0</v>
      </c>
      <c r="AR865" s="34" t="str">
        <f>IF(AND(E865=1,L865=1),AJ865,"")</f>
        <v/>
      </c>
      <c r="AS865" s="34">
        <f>IF(AND(E865=1,L865=0),AJ865,"")</f>
        <v>3.6</v>
      </c>
      <c r="AT865" s="34" t="str">
        <f>IF(AND(E865=1,L865=1),AI865,"")</f>
        <v/>
      </c>
      <c r="AU865" s="34">
        <f>IF(AND(E865=1,L865=0),AI865,"")</f>
        <v>2.5</v>
      </c>
      <c r="AV865" s="34" t="str">
        <f>IF(AND(E865=1,L865=1),AG865,"")</f>
        <v/>
      </c>
      <c r="AW865" s="34">
        <f>IF(AND(E865=1,L865=0),AG865,"")</f>
        <v>9.1</v>
      </c>
      <c r="AX865" s="34" t="str">
        <f>IF(AND(E865=1,L865=1),AH865,"")</f>
        <v/>
      </c>
      <c r="AY865" s="34">
        <f>IF(AND(E865=1,L865=0),AH865,"")</f>
        <v>8.7</v>
      </c>
      <c r="AZ865" s="34" t="str">
        <f>IF(G865=1,F865,"")</f>
        <v/>
      </c>
      <c r="BA865" s="34" t="str">
        <f>IF(AND(G865=1,L865=1),F865,"")</f>
        <v/>
      </c>
      <c r="BB865" s="34" t="str">
        <f>IF(AND(G865=1,L865=0),F865,"")</f>
        <v/>
      </c>
      <c r="BC865" s="33">
        <f>IF(E865=1,IF(Orders!R862&gt;3,1,0),"")</f>
        <v>0</v>
      </c>
      <c r="BD865" s="33">
        <f>IF(E865=1,IF(Orders!R862&gt;7,1,0),"")</f>
        <v>0</v>
      </c>
      <c r="BE865" s="32" t="str">
        <f>IF(E865=1,IF(Orders!L862&lt;=1.5,"Up to 1.5 km",IF(Orders!L862&lt;=3,"1.5–3 km","Over 3 km")),"")</f>
        <v>1.5–3 km</v>
      </c>
      <c r="BF865" s="33">
        <f>IF(E865=1,IF(ABS((Orders!G862-Orders!F862)*1440-Orders!R862)&lt;0.06,1,0),"")</f>
        <v>1</v>
      </c>
      <c r="BG865" s="33">
        <f>IF(ABS((Orders!F862-Orders!E862)*1440-Orders!P862)&lt;0.06,1,0)</f>
        <v>1</v>
      </c>
      <c r="BH865" s="33">
        <f>IF(E865=1,IF(IF(Orders!S862,1,0)=1-G865,1,0),"")</f>
        <v>1</v>
      </c>
      <c r="BI865" s="32" t="str">
        <f>INDEX(Stores!$B$2:$B$21,MATCH(B865,Stores!$A$2:$A$21,0))</f>
        <v>Delhi</v>
      </c>
    </row>
    <row r="866">
      <c r="A866" s="32" t="str">
        <f>Orders!A863</f>
        <v>O00862</v>
      </c>
      <c r="B866" s="32" t="str">
        <f>Orders!C863</f>
        <v>S014</v>
      </c>
      <c r="C866" s="32" t="str">
        <f>Orders!B863</f>
        <v>C0194</v>
      </c>
      <c r="D866" s="32" t="str">
        <f>Orders!H863</f>
        <v>Delivered</v>
      </c>
      <c r="E866" s="33">
        <f>IF(Orders!H863="Delivered",1,0)</f>
        <v>1</v>
      </c>
      <c r="F866" s="34">
        <f>IF(E866=1,Orders!R863,"")</f>
        <v>-0.6</v>
      </c>
      <c r="G866" s="33">
        <f>IF(E866=1,IF(Orders!R863&gt;0,1,0),"")</f>
        <v>0</v>
      </c>
      <c r="H866" s="33">
        <f>IF(E866=1,IF(Orders!R863&gt;5,1,0),"")</f>
        <v>0</v>
      </c>
      <c r="I866" s="32" t="str">
        <f>IF(E866=1,"",IF(OR(Orders!T863="Rider unavailable",Orders!T863="Item unavailable"),"Company-caused","Unresolved"))</f>
        <v/>
      </c>
      <c r="J866" s="33">
        <f>IF(OR(E866=1,I866="Company-caused"),1,0)</f>
        <v>1</v>
      </c>
      <c r="K866" s="32" t="str">
        <f>IF(E866=0,IF(I866="Company-caused",IF(Orders!T863="Rider unavailable","C1 Rider unavailable","C2 Item unavailable"),"Outside root: unresolved"),IF(G866=0,"A On time",IF(H866=1,IF(L866=1,"B2a Severe, peak","B2b Severe, off-peak"),IF(L866=1,"B1a Slight, peak","B1b Slight, off-peak"))))</f>
        <v>A On time</v>
      </c>
      <c r="L866" s="33">
        <f>IF(AND(Orders!U863&gt;=19,Orders!U863&lt;22),1,0)</f>
        <v>0</v>
      </c>
      <c r="M866" s="33">
        <f>IF(L866=IF(Orders!V863,1,0),1,0)</f>
        <v>1</v>
      </c>
      <c r="N866" s="32" t="str">
        <f>IF(Orders!W863="","None",Orders!W863)</f>
        <v>None</v>
      </c>
      <c r="O866" s="35">
        <f>INT(Orders!E863)</f>
        <v>46271.0</v>
      </c>
      <c r="P866" s="33">
        <f>Orders!U863</f>
        <v>22</v>
      </c>
      <c r="Q866" s="33">
        <f>COUNTIFS(Demand!$A$2:$A$4481,B866,Demand!$B$2:$B$4481,O866,Demand!$C$2:$C$4481,P866)</f>
        <v>1</v>
      </c>
      <c r="R866" s="33">
        <f>IF(Q866=1,SUMIFS(Demand!$E$2:$E$4481,Demand!$A$2:$A$4481,B866,Demand!$B$2:$B$4481,O866,Demand!$C$2:$C$4481,P866),"")</f>
        <v>42</v>
      </c>
      <c r="S866" s="33">
        <f>INDEX(Stores!$G$2:$G$21,MATCH(B866,Stores!$A$2:$A$21,0))</f>
        <v>37</v>
      </c>
      <c r="T866" s="34">
        <f>IF(R866="","",R866/S866)</f>
        <v>1.13513513513514</v>
      </c>
      <c r="U866" s="34">
        <f>IF(E866=1,T866,"")</f>
        <v>1.13513513513514</v>
      </c>
      <c r="V866" s="34">
        <f>IF(AND(E866=1,L866=0),T866,"")</f>
        <v>1.13513513513514</v>
      </c>
      <c r="W866" s="33">
        <f>IF(U866="","",IF(U866&lt;=Breakdowns!$C$5,1,IF(U866&lt;=Breakdowns!$C$6,2,IF(U866&lt;=Breakdowns!$C$7,3,4))))</f>
        <v>3</v>
      </c>
      <c r="X866" s="33">
        <f>IF(V866="","",IF(V866&lt;=Breakdowns!$D$5,1,IF(V866&lt;=Breakdowns!$D$6,2,IF(V866&lt;=Breakdowns!$D$7,3,4))))</f>
        <v>4</v>
      </c>
      <c r="Y866" s="34">
        <f>INDEX(Stores!$F$2:$F$21,MATCH(B866,Stores!$A$2:$A$21,0))</f>
        <v>5.55</v>
      </c>
      <c r="Z866" s="33">
        <f>IF(Y866&gt;Store_Summary!$M$2,1,0)</f>
        <v>1</v>
      </c>
      <c r="AA866" s="33">
        <f>INDEX(Stores!$C$2:$C$21,MATCH(B866,Stores!$A$2:$A$21,0))</f>
        <v>241</v>
      </c>
      <c r="AB866" s="33">
        <f>IF(AA866&lt;180,1,0)</f>
        <v>0</v>
      </c>
      <c r="AC866" s="32" t="str">
        <f>IF(Orders!D863="","",INDEX(Riders!$C$2:$C$81,MATCH(Orders!D863,Riders!$A$2:$A$81,0)))</f>
        <v>EV scooter</v>
      </c>
      <c r="AD866" s="33">
        <f>IF(Orders!D863="","",INDEX(Riders!$D$2:$D$81,MATCH(Orders!D863,Riders!$A$2:$A$81,0)))</f>
        <v>22</v>
      </c>
      <c r="AE866" s="33">
        <f>IF(Orders!D863="","",IF(INDEX(Riders!$B$2:$B$81,MATCH(Orders!D863,Riders!$A$2:$A$81,0))=B866,1,0))</f>
        <v>0</v>
      </c>
      <c r="AF866" s="34">
        <f>IF(E866=1,Orders!L863,"")</f>
        <v>1.75</v>
      </c>
      <c r="AG866" s="34">
        <f>IF(E866=1,Orders!P863,"")</f>
        <v>8.9</v>
      </c>
      <c r="AH866" s="34">
        <f>IF(E866=1,Orders!Q863,"")</f>
        <v>8.3</v>
      </c>
      <c r="AI866" s="34">
        <f>IF(E866=1,Orders!M863,"")</f>
        <v>4.7</v>
      </c>
      <c r="AJ866" s="34">
        <f>IF(E866=1,Orders!N863,"")</f>
        <v>0.8</v>
      </c>
      <c r="AK866" s="34">
        <f>IF(E866=1,Orders!O863,"")</f>
        <v>2.8</v>
      </c>
      <c r="AL866" s="33">
        <f>IF(E866=1,IF(ROUND(ABS(AI866+AJ866+AK866-AH866),6)&lt;=0.1,1,0),"")</f>
        <v>1</v>
      </c>
      <c r="AM866" s="36">
        <f>IF(E866=1,AI866/AH866,"")</f>
        <v>0.566265060240964</v>
      </c>
      <c r="AN866" s="36">
        <f>IF(E866=1,AJ866/AH866,"")</f>
        <v>0.0963855421686747</v>
      </c>
      <c r="AO866" s="36">
        <f>IF(E866=1,AK866/AH866,"")</f>
        <v>0.337349397590361</v>
      </c>
      <c r="AP866" s="34">
        <f>IF(E866=1,Orders!Y863,"")</f>
        <v>0.53</v>
      </c>
      <c r="AQ866" s="33">
        <f>IF(Orders!X863,1,0)</f>
        <v>0</v>
      </c>
      <c r="AR866" s="34" t="str">
        <f>IF(AND(E866=1,L866=1),AJ866,"")</f>
        <v/>
      </c>
      <c r="AS866" s="34">
        <f>IF(AND(E866=1,L866=0),AJ866,"")</f>
        <v>0.8</v>
      </c>
      <c r="AT866" s="34" t="str">
        <f>IF(AND(E866=1,L866=1),AI866,"")</f>
        <v/>
      </c>
      <c r="AU866" s="34">
        <f>IF(AND(E866=1,L866=0),AI866,"")</f>
        <v>4.7</v>
      </c>
      <c r="AV866" s="34" t="str">
        <f>IF(AND(E866=1,L866=1),AG866,"")</f>
        <v/>
      </c>
      <c r="AW866" s="34">
        <f>IF(AND(E866=1,L866=0),AG866,"")</f>
        <v>8.9</v>
      </c>
      <c r="AX866" s="34" t="str">
        <f>IF(AND(E866=1,L866=1),AH866,"")</f>
        <v/>
      </c>
      <c r="AY866" s="34">
        <f>IF(AND(E866=1,L866=0),AH866,"")</f>
        <v>8.3</v>
      </c>
      <c r="AZ866" s="34" t="str">
        <f>IF(G866=1,F866,"")</f>
        <v/>
      </c>
      <c r="BA866" s="34" t="str">
        <f>IF(AND(G866=1,L866=1),F866,"")</f>
        <v/>
      </c>
      <c r="BB866" s="34" t="str">
        <f>IF(AND(G866=1,L866=0),F866,"")</f>
        <v/>
      </c>
      <c r="BC866" s="33">
        <f>IF(E866=1,IF(Orders!R863&gt;3,1,0),"")</f>
        <v>0</v>
      </c>
      <c r="BD866" s="33">
        <f>IF(E866=1,IF(Orders!R863&gt;7,1,0),"")</f>
        <v>0</v>
      </c>
      <c r="BE866" s="32" t="str">
        <f>IF(E866=1,IF(Orders!L863&lt;=1.5,"Up to 1.5 km",IF(Orders!L863&lt;=3,"1.5–3 km","Over 3 km")),"")</f>
        <v>1.5–3 km</v>
      </c>
      <c r="BF866" s="33">
        <f>IF(E866=1,IF(ABS((Orders!G863-Orders!F863)*1440-Orders!R863)&lt;0.06,1,0),"")</f>
        <v>1</v>
      </c>
      <c r="BG866" s="33">
        <f>IF(ABS((Orders!F863-Orders!E863)*1440-Orders!P863)&lt;0.06,1,0)</f>
        <v>1</v>
      </c>
      <c r="BH866" s="33">
        <f>IF(E866=1,IF(IF(Orders!S863,1,0)=1-G866,1,0),"")</f>
        <v>1</v>
      </c>
      <c r="BI866" s="32" t="str">
        <f>INDEX(Stores!$B$2:$B$21,MATCH(B866,Stores!$A$2:$A$21,0))</f>
        <v>Pune</v>
      </c>
    </row>
    <row r="867">
      <c r="A867" s="32" t="str">
        <f>Orders!A864</f>
        <v>O00863</v>
      </c>
      <c r="B867" s="32" t="str">
        <f>Orders!C864</f>
        <v>S002</v>
      </c>
      <c r="C867" s="32" t="str">
        <f>Orders!B864</f>
        <v>C0233</v>
      </c>
      <c r="D867" s="32" t="str">
        <f>Orders!H864</f>
        <v>Delivered</v>
      </c>
      <c r="E867" s="33">
        <f>IF(Orders!H864="Delivered",1,0)</f>
        <v>1</v>
      </c>
      <c r="F867" s="34">
        <f>IF(E867=1,Orders!R864,"")</f>
        <v>-2.6</v>
      </c>
      <c r="G867" s="33">
        <f>IF(E867=1,IF(Orders!R864&gt;0,1,0),"")</f>
        <v>0</v>
      </c>
      <c r="H867" s="33">
        <f>IF(E867=1,IF(Orders!R864&gt;5,1,0),"")</f>
        <v>0</v>
      </c>
      <c r="I867" s="32" t="str">
        <f>IF(E867=1,"",IF(OR(Orders!T864="Rider unavailable",Orders!T864="Item unavailable"),"Company-caused","Unresolved"))</f>
        <v/>
      </c>
      <c r="J867" s="33">
        <f>IF(OR(E867=1,I867="Company-caused"),1,0)</f>
        <v>1</v>
      </c>
      <c r="K867" s="32" t="str">
        <f>IF(E867=0,IF(I867="Company-caused",IF(Orders!T864="Rider unavailable","C1 Rider unavailable","C2 Item unavailable"),"Outside root: unresolved"),IF(G867=0,"A On time",IF(H867=1,IF(L867=1,"B2a Severe, peak","B2b Severe, off-peak"),IF(L867=1,"B1a Slight, peak","B1b Slight, off-peak"))))</f>
        <v>A On time</v>
      </c>
      <c r="L867" s="33">
        <f>IF(AND(Orders!U864&gt;=19,Orders!U864&lt;22),1,0)</f>
        <v>0</v>
      </c>
      <c r="M867" s="33">
        <f>IF(L867=IF(Orders!V864,1,0),1,0)</f>
        <v>1</v>
      </c>
      <c r="N867" s="32" t="str">
        <f>IF(Orders!W864="","None",Orders!W864)</f>
        <v>None</v>
      </c>
      <c r="O867" s="35">
        <f>INT(Orders!E864)</f>
        <v>46269.0</v>
      </c>
      <c r="P867" s="33">
        <f>Orders!U864</f>
        <v>16</v>
      </c>
      <c r="Q867" s="33">
        <f>COUNTIFS(Demand!$A$2:$A$4481,B867,Demand!$B$2:$B$4481,O867,Demand!$C$2:$C$4481,P867)</f>
        <v>1</v>
      </c>
      <c r="R867" s="33">
        <f>IF(Q867=1,SUMIFS(Demand!$E$2:$E$4481,Demand!$A$2:$A$4481,B867,Demand!$B$2:$B$4481,O867,Demand!$C$2:$C$4481,P867),"")</f>
        <v>38</v>
      </c>
      <c r="S867" s="33">
        <f>INDEX(Stores!$G$2:$G$21,MATCH(B867,Stores!$A$2:$A$21,0))</f>
        <v>33</v>
      </c>
      <c r="T867" s="34">
        <f>IF(R867="","",R867/S867)</f>
        <v>1.15151515151515</v>
      </c>
      <c r="U867" s="34">
        <f>IF(E867=1,T867,"")</f>
        <v>1.15151515151515</v>
      </c>
      <c r="V867" s="34">
        <f>IF(AND(E867=1,L867=0),T867,"")</f>
        <v>1.15151515151515</v>
      </c>
      <c r="W867" s="33">
        <f>IF(U867="","",IF(U867&lt;=Breakdowns!$C$5,1,IF(U867&lt;=Breakdowns!$C$6,2,IF(U867&lt;=Breakdowns!$C$7,3,4))))</f>
        <v>3</v>
      </c>
      <c r="X867" s="33">
        <f>IF(V867="","",IF(V867&lt;=Breakdowns!$D$5,1,IF(V867&lt;=Breakdowns!$D$6,2,IF(V867&lt;=Breakdowns!$D$7,3,4))))</f>
        <v>4</v>
      </c>
      <c r="Y867" s="34">
        <f>INDEX(Stores!$F$2:$F$21,MATCH(B867,Stores!$A$2:$A$21,0))</f>
        <v>2.39</v>
      </c>
      <c r="Z867" s="33">
        <f>IF(Y867&gt;Store_Summary!$M$2,1,0)</f>
        <v>0</v>
      </c>
      <c r="AA867" s="33">
        <f>INDEX(Stores!$C$2:$C$21,MATCH(B867,Stores!$A$2:$A$21,0))</f>
        <v>470</v>
      </c>
      <c r="AB867" s="33">
        <f>IF(AA867&lt;180,1,0)</f>
        <v>0</v>
      </c>
      <c r="AC867" s="32" t="str">
        <f>IF(Orders!D864="","",INDEX(Riders!$C$2:$C$81,MATCH(Orders!D864,Riders!$A$2:$A$81,0)))</f>
        <v>EV scooter</v>
      </c>
      <c r="AD867" s="33">
        <f>IF(Orders!D864="","",INDEX(Riders!$D$2:$D$81,MATCH(Orders!D864,Riders!$A$2:$A$81,0)))</f>
        <v>24</v>
      </c>
      <c r="AE867" s="33">
        <f>IF(Orders!D864="","",IF(INDEX(Riders!$B$2:$B$81,MATCH(Orders!D864,Riders!$A$2:$A$81,0))=B867,1,0))</f>
        <v>0</v>
      </c>
      <c r="AF867" s="34">
        <f>IF(E867=1,Orders!L864,"")</f>
        <v>0.69</v>
      </c>
      <c r="AG867" s="34">
        <f>IF(E867=1,Orders!P864,"")</f>
        <v>8.6</v>
      </c>
      <c r="AH867" s="34">
        <f>IF(E867=1,Orders!Q864,"")</f>
        <v>6</v>
      </c>
      <c r="AI867" s="34">
        <f>IF(E867=1,Orders!M864,"")</f>
        <v>2.3</v>
      </c>
      <c r="AJ867" s="34">
        <f>IF(E867=1,Orders!N864,"")</f>
        <v>1.5</v>
      </c>
      <c r="AK867" s="34">
        <f>IF(E867=1,Orders!O864,"")</f>
        <v>2.3</v>
      </c>
      <c r="AL867" s="33">
        <f>IF(E867=1,IF(ROUND(ABS(AI867+AJ867+AK867-AH867),6)&lt;=0.1,1,0),"")</f>
        <v>1</v>
      </c>
      <c r="AM867" s="36">
        <f>IF(E867=1,AI867/AH867,"")</f>
        <v>0.383333333333333</v>
      </c>
      <c r="AN867" s="36">
        <f>IF(E867=1,AJ867/AH867,"")</f>
        <v>0.25</v>
      </c>
      <c r="AO867" s="36">
        <f>IF(E867=1,AK867/AH867,"")</f>
        <v>0.383333333333333</v>
      </c>
      <c r="AP867" s="34">
        <f>IF(E867=1,Orders!Y864,"")</f>
        <v>0.35</v>
      </c>
      <c r="AQ867" s="33">
        <f>IF(Orders!X864,1,0)</f>
        <v>0</v>
      </c>
      <c r="AR867" s="34" t="str">
        <f>IF(AND(E867=1,L867=1),AJ867,"")</f>
        <v/>
      </c>
      <c r="AS867" s="34">
        <f>IF(AND(E867=1,L867=0),AJ867,"")</f>
        <v>1.5</v>
      </c>
      <c r="AT867" s="34" t="str">
        <f>IF(AND(E867=1,L867=1),AI867,"")</f>
        <v/>
      </c>
      <c r="AU867" s="34">
        <f>IF(AND(E867=1,L867=0),AI867,"")</f>
        <v>2.3</v>
      </c>
      <c r="AV867" s="34" t="str">
        <f>IF(AND(E867=1,L867=1),AG867,"")</f>
        <v/>
      </c>
      <c r="AW867" s="34">
        <f>IF(AND(E867=1,L867=0),AG867,"")</f>
        <v>8.6</v>
      </c>
      <c r="AX867" s="34" t="str">
        <f>IF(AND(E867=1,L867=1),AH867,"")</f>
        <v/>
      </c>
      <c r="AY867" s="34">
        <f>IF(AND(E867=1,L867=0),AH867,"")</f>
        <v>6</v>
      </c>
      <c r="AZ867" s="34" t="str">
        <f>IF(G867=1,F867,"")</f>
        <v/>
      </c>
      <c r="BA867" s="34" t="str">
        <f>IF(AND(G867=1,L867=1),F867,"")</f>
        <v/>
      </c>
      <c r="BB867" s="34" t="str">
        <f>IF(AND(G867=1,L867=0),F867,"")</f>
        <v/>
      </c>
      <c r="BC867" s="33">
        <f>IF(E867=1,IF(Orders!R864&gt;3,1,0),"")</f>
        <v>0</v>
      </c>
      <c r="BD867" s="33">
        <f>IF(E867=1,IF(Orders!R864&gt;7,1,0),"")</f>
        <v>0</v>
      </c>
      <c r="BE867" s="32" t="str">
        <f>IF(E867=1,IF(Orders!L864&lt;=1.5,"Up to 1.5 km",IF(Orders!L864&lt;=3,"1.5–3 km","Over 3 km")),"")</f>
        <v>Up to 1.5 km</v>
      </c>
      <c r="BF867" s="33">
        <f>IF(E867=1,IF(ABS((Orders!G864-Orders!F864)*1440-Orders!R864)&lt;0.06,1,0),"")</f>
        <v>1</v>
      </c>
      <c r="BG867" s="33">
        <f>IF(ABS((Orders!F864-Orders!E864)*1440-Orders!P864)&lt;0.06,1,0)</f>
        <v>1</v>
      </c>
      <c r="BH867" s="33">
        <f>IF(E867=1,IF(IF(Orders!S864,1,0)=1-G867,1,0),"")</f>
        <v>1</v>
      </c>
      <c r="BI867" s="32" t="str">
        <f>INDEX(Stores!$B$2:$B$21,MATCH(B867,Stores!$A$2:$A$21,0))</f>
        <v>Hyderabad</v>
      </c>
    </row>
    <row r="868">
      <c r="A868" s="32" t="str">
        <f>Orders!A865</f>
        <v>O00864</v>
      </c>
      <c r="B868" s="32" t="str">
        <f>Orders!C865</f>
        <v>S010</v>
      </c>
      <c r="C868" s="32" t="str">
        <f>Orders!B865</f>
        <v>C0090</v>
      </c>
      <c r="D868" s="32" t="str">
        <f>Orders!H865</f>
        <v>Cancelled</v>
      </c>
      <c r="E868" s="33">
        <f>IF(Orders!H865="Delivered",1,0)</f>
        <v>0</v>
      </c>
      <c r="F868" s="34" t="str">
        <f>IF(E868=1,Orders!R865,"")</f>
        <v/>
      </c>
      <c r="G868" s="33" t="str">
        <f>IF(E868=1,IF(Orders!R865&gt;0,1,0),"")</f>
        <v/>
      </c>
      <c r="H868" s="33" t="str">
        <f>IF(E868=1,IF(Orders!R865&gt;5,1,0),"")</f>
        <v/>
      </c>
      <c r="I868" s="32" t="str">
        <f>IF(E868=1,"",IF(OR(Orders!T865="Rider unavailable",Orders!T865="Item unavailable"),"Company-caused","Unresolved"))</f>
        <v>Company-caused</v>
      </c>
      <c r="J868" s="33">
        <f>IF(OR(E868=1,I868="Company-caused"),1,0)</f>
        <v>1</v>
      </c>
      <c r="K868" s="32" t="str">
        <f>IF(E868=0,IF(I868="Company-caused",IF(Orders!T865="Rider unavailable","C1 Rider unavailable","C2 Item unavailable"),"Outside root: unresolved"),IF(G868=0,"A On time",IF(H868=1,IF(L868=1,"B2a Severe, peak","B2b Severe, off-peak"),IF(L868=1,"B1a Slight, peak","B1b Slight, off-peak"))))</f>
        <v>C1 Rider unavailable</v>
      </c>
      <c r="L868" s="33">
        <f>IF(AND(Orders!U865&gt;=19,Orders!U865&lt;22),1,0)</f>
        <v>0</v>
      </c>
      <c r="M868" s="33">
        <f>IF(L868=IF(Orders!V865,1,0),1,0)</f>
        <v>1</v>
      </c>
      <c r="N868" s="32" t="str">
        <f>IF(Orders!W865="","None",Orders!W865)</f>
        <v>None</v>
      </c>
      <c r="O868" s="35">
        <f>INT(Orders!E865)</f>
        <v>46272.0</v>
      </c>
      <c r="P868" s="33">
        <f>Orders!U865</f>
        <v>15</v>
      </c>
      <c r="Q868" s="33">
        <f>COUNTIFS(Demand!$A$2:$A$4481,B868,Demand!$B$2:$B$4481,O868,Demand!$C$2:$C$4481,P868)</f>
        <v>1</v>
      </c>
      <c r="R868" s="33">
        <f>IF(Q868=1,SUMIFS(Demand!$E$2:$E$4481,Demand!$A$2:$A$4481,B868,Demand!$B$2:$B$4481,O868,Demand!$C$2:$C$4481,P868),"")</f>
        <v>8</v>
      </c>
      <c r="S868" s="33">
        <f>INDEX(Stores!$G$2:$G$21,MATCH(B868,Stores!$A$2:$A$21,0))</f>
        <v>22</v>
      </c>
      <c r="T868" s="34">
        <f>IF(R868="","",R868/S868)</f>
        <v>0.363636363636364</v>
      </c>
      <c r="U868" s="34" t="str">
        <f>IF(E868=1,T868,"")</f>
        <v/>
      </c>
      <c r="V868" s="34" t="str">
        <f>IF(AND(E868=1,L868=0),T868,"")</f>
        <v/>
      </c>
      <c r="W868" s="33" t="str">
        <f>IF(U868="","",IF(U868&lt;=Breakdowns!$C$5,1,IF(U868&lt;=Breakdowns!$C$6,2,IF(U868&lt;=Breakdowns!$C$7,3,4))))</f>
        <v/>
      </c>
      <c r="X868" s="33" t="str">
        <f>IF(V868="","",IF(V868&lt;=Breakdowns!$D$5,1,IF(V868&lt;=Breakdowns!$D$6,2,IF(V868&lt;=Breakdowns!$D$7,3,4))))</f>
        <v/>
      </c>
      <c r="Y868" s="34">
        <f>INDEX(Stores!$F$2:$F$21,MATCH(B868,Stores!$A$2:$A$21,0))</f>
        <v>5.61</v>
      </c>
      <c r="Z868" s="33">
        <f>IF(Y868&gt;Store_Summary!$M$2,1,0)</f>
        <v>1</v>
      </c>
      <c r="AA868" s="33">
        <f>INDEX(Stores!$C$2:$C$21,MATCH(B868,Stores!$A$2:$A$21,0))</f>
        <v>744</v>
      </c>
      <c r="AB868" s="33">
        <f>IF(AA868&lt;180,1,0)</f>
        <v>0</v>
      </c>
      <c r="AC868" s="32" t="str">
        <f>IF(Orders!D865="","",INDEX(Riders!$C$2:$C$81,MATCH(Orders!D865,Riders!$A$2:$A$81,0)))</f>
        <v/>
      </c>
      <c r="AD868" s="33" t="str">
        <f>IF(Orders!D865="","",INDEX(Riders!$D$2:$D$81,MATCH(Orders!D865,Riders!$A$2:$A$81,0)))</f>
        <v/>
      </c>
      <c r="AE868" s="33" t="str">
        <f>IF(Orders!D865="","",IF(INDEX(Riders!$B$2:$B$81,MATCH(Orders!D865,Riders!$A$2:$A$81,0))=B868,1,0))</f>
        <v/>
      </c>
      <c r="AF868" s="34" t="str">
        <f>IF(E868=1,Orders!L865,"")</f>
        <v/>
      </c>
      <c r="AG868" s="34" t="str">
        <f>IF(E868=1,Orders!P865,"")</f>
        <v/>
      </c>
      <c r="AH868" s="34" t="str">
        <f>IF(E868=1,Orders!Q865,"")</f>
        <v/>
      </c>
      <c r="AI868" s="34" t="str">
        <f>IF(E868=1,Orders!M865,"")</f>
        <v/>
      </c>
      <c r="AJ868" s="34" t="str">
        <f>IF(E868=1,Orders!N865,"")</f>
        <v/>
      </c>
      <c r="AK868" s="34" t="str">
        <f>IF(E868=1,Orders!O865,"")</f>
        <v/>
      </c>
      <c r="AL868" s="33" t="str">
        <f>IF(E868=1,IF(ROUND(ABS(AI868+AJ868+AK868-AH868),6)&lt;=0.1,1,0),"")</f>
        <v/>
      </c>
      <c r="AM868" s="36" t="str">
        <f>IF(E868=1,AI868/AH868,"")</f>
        <v/>
      </c>
      <c r="AN868" s="36" t="str">
        <f>IF(E868=1,AJ868/AH868,"")</f>
        <v/>
      </c>
      <c r="AO868" s="36" t="str">
        <f>IF(E868=1,AK868/AH868,"")</f>
        <v/>
      </c>
      <c r="AP868" s="34" t="str">
        <f>IF(E868=1,Orders!Y865,"")</f>
        <v/>
      </c>
      <c r="AQ868" s="33">
        <f>IF(Orders!X865,1,0)</f>
        <v>0</v>
      </c>
      <c r="AR868" s="34" t="str">
        <f>IF(AND(E868=1,L868=1),AJ868,"")</f>
        <v/>
      </c>
      <c r="AS868" s="34" t="str">
        <f>IF(AND(E868=1,L868=0),AJ868,"")</f>
        <v/>
      </c>
      <c r="AT868" s="34" t="str">
        <f>IF(AND(E868=1,L868=1),AI868,"")</f>
        <v/>
      </c>
      <c r="AU868" s="34" t="str">
        <f>IF(AND(E868=1,L868=0),AI868,"")</f>
        <v/>
      </c>
      <c r="AV868" s="34" t="str">
        <f>IF(AND(E868=1,L868=1),AG868,"")</f>
        <v/>
      </c>
      <c r="AW868" s="34" t="str">
        <f>IF(AND(E868=1,L868=0),AG868,"")</f>
        <v/>
      </c>
      <c r="AX868" s="34" t="str">
        <f>IF(AND(E868=1,L868=1),AH868,"")</f>
        <v/>
      </c>
      <c r="AY868" s="34" t="str">
        <f>IF(AND(E868=1,L868=0),AH868,"")</f>
        <v/>
      </c>
      <c r="AZ868" s="34" t="str">
        <f>IF(G868=1,F868,"")</f>
        <v/>
      </c>
      <c r="BA868" s="34" t="str">
        <f>IF(AND(G868=1,L868=1),F868,"")</f>
        <v/>
      </c>
      <c r="BB868" s="34" t="str">
        <f>IF(AND(G868=1,L868=0),F868,"")</f>
        <v/>
      </c>
      <c r="BC868" s="33" t="str">
        <f>IF(E868=1,IF(Orders!R865&gt;3,1,0),"")</f>
        <v/>
      </c>
      <c r="BD868" s="33" t="str">
        <f>IF(E868=1,IF(Orders!R865&gt;7,1,0),"")</f>
        <v/>
      </c>
      <c r="BE868" s="32" t="str">
        <f>IF(E868=1,IF(Orders!L865&lt;=1.5,"Up to 1.5 km",IF(Orders!L865&lt;=3,"1.5–3 km","Over 3 km")),"")</f>
        <v/>
      </c>
      <c r="BF868" s="33" t="str">
        <f>IF(E868=1,IF(ABS((Orders!G865-Orders!F865)*1440-Orders!R865)&lt;0.06,1,0),"")</f>
        <v/>
      </c>
      <c r="BG868" s="33">
        <f>IF(ABS((Orders!F865-Orders!E865)*1440-Orders!P865)&lt;0.06,1,0)</f>
        <v>1</v>
      </c>
      <c r="BH868" s="33" t="str">
        <f>IF(E868=1,IF(IF(Orders!S865,1,0)=1-G868,1,0),"")</f>
        <v/>
      </c>
      <c r="BI868" s="32" t="str">
        <f>INDEX(Stores!$B$2:$B$21,MATCH(B868,Stores!$A$2:$A$21,0))</f>
        <v>Delhi</v>
      </c>
    </row>
    <row r="869">
      <c r="A869" s="32" t="str">
        <f>Orders!A866</f>
        <v>O00865</v>
      </c>
      <c r="B869" s="32" t="str">
        <f>Orders!C866</f>
        <v>S007</v>
      </c>
      <c r="C869" s="32" t="str">
        <f>Orders!B866</f>
        <v>C0166</v>
      </c>
      <c r="D869" s="32" t="str">
        <f>Orders!H866</f>
        <v>Delivered</v>
      </c>
      <c r="E869" s="33">
        <f>IF(Orders!H866="Delivered",1,0)</f>
        <v>1</v>
      </c>
      <c r="F869" s="34">
        <f>IF(E869=1,Orders!R866,"")</f>
        <v>-0.5</v>
      </c>
      <c r="G869" s="33">
        <f>IF(E869=1,IF(Orders!R866&gt;0,1,0),"")</f>
        <v>0</v>
      </c>
      <c r="H869" s="33">
        <f>IF(E869=1,IF(Orders!R866&gt;5,1,0),"")</f>
        <v>0</v>
      </c>
      <c r="I869" s="32" t="str">
        <f>IF(E869=1,"",IF(OR(Orders!T866="Rider unavailable",Orders!T866="Item unavailable"),"Company-caused","Unresolved"))</f>
        <v/>
      </c>
      <c r="J869" s="33">
        <f>IF(OR(E869=1,I869="Company-caused"),1,0)</f>
        <v>1</v>
      </c>
      <c r="K869" s="32" t="str">
        <f>IF(E869=0,IF(I869="Company-caused",IF(Orders!T866="Rider unavailable","C1 Rider unavailable","C2 Item unavailable"),"Outside root: unresolved"),IF(G869=0,"A On time",IF(H869=1,IF(L869=1,"B2a Severe, peak","B2b Severe, off-peak"),IF(L869=1,"B1a Slight, peak","B1b Slight, off-peak"))))</f>
        <v>A On time</v>
      </c>
      <c r="L869" s="33">
        <f>IF(AND(Orders!U866&gt;=19,Orders!U866&lt;22),1,0)</f>
        <v>0</v>
      </c>
      <c r="M869" s="33">
        <f>IF(L869=IF(Orders!V866,1,0),1,0)</f>
        <v>1</v>
      </c>
      <c r="N869" s="32" t="str">
        <f>IF(Orders!W866="","None",Orders!W866)</f>
        <v>None</v>
      </c>
      <c r="O869" s="35">
        <f>INT(Orders!E866)</f>
        <v>46266.0</v>
      </c>
      <c r="P869" s="33">
        <f>Orders!U866</f>
        <v>18</v>
      </c>
      <c r="Q869" s="33">
        <f>COUNTIFS(Demand!$A$2:$A$4481,B869,Demand!$B$2:$B$4481,O869,Demand!$C$2:$C$4481,P869)</f>
        <v>1</v>
      </c>
      <c r="R869" s="33">
        <f>IF(Q869=1,SUMIFS(Demand!$E$2:$E$4481,Demand!$A$2:$A$4481,B869,Demand!$B$2:$B$4481,O869,Demand!$C$2:$C$4481,P869),"")</f>
        <v>39</v>
      </c>
      <c r="S869" s="33">
        <f>INDEX(Stores!$G$2:$G$21,MATCH(B869,Stores!$A$2:$A$21,0))</f>
        <v>37</v>
      </c>
      <c r="T869" s="34">
        <f>IF(R869="","",R869/S869)</f>
        <v>1.05405405405405</v>
      </c>
      <c r="U869" s="34">
        <f>IF(E869=1,T869,"")</f>
        <v>1.05405405405405</v>
      </c>
      <c r="V869" s="34">
        <f>IF(AND(E869=1,L869=0),T869,"")</f>
        <v>1.05405405405405</v>
      </c>
      <c r="W869" s="33">
        <f>IF(U869="","",IF(U869&lt;=Breakdowns!$C$5,1,IF(U869&lt;=Breakdowns!$C$6,2,IF(U869&lt;=Breakdowns!$C$7,3,4))))</f>
        <v>3</v>
      </c>
      <c r="X869" s="33">
        <f>IF(V869="","",IF(V869&lt;=Breakdowns!$D$5,1,IF(V869&lt;=Breakdowns!$D$6,2,IF(V869&lt;=Breakdowns!$D$7,3,4))))</f>
        <v>3</v>
      </c>
      <c r="Y869" s="34">
        <f>INDEX(Stores!$F$2:$F$21,MATCH(B869,Stores!$A$2:$A$21,0))</f>
        <v>4.05</v>
      </c>
      <c r="Z869" s="33">
        <f>IF(Y869&gt;Store_Summary!$M$2,1,0)</f>
        <v>0</v>
      </c>
      <c r="AA869" s="33">
        <f>INDEX(Stores!$C$2:$C$21,MATCH(B869,Stores!$A$2:$A$21,0))</f>
        <v>661</v>
      </c>
      <c r="AB869" s="33">
        <f>IF(AA869&lt;180,1,0)</f>
        <v>0</v>
      </c>
      <c r="AC869" s="32" t="str">
        <f>IF(Orders!D866="","",INDEX(Riders!$C$2:$C$81,MATCH(Orders!D866,Riders!$A$2:$A$81,0)))</f>
        <v>Petrol scooter</v>
      </c>
      <c r="AD869" s="33">
        <f>IF(Orders!D866="","",INDEX(Riders!$D$2:$D$81,MATCH(Orders!D866,Riders!$A$2:$A$81,0)))</f>
        <v>19</v>
      </c>
      <c r="AE869" s="33">
        <f>IF(Orders!D866="","",IF(INDEX(Riders!$B$2:$B$81,MATCH(Orders!D866,Riders!$A$2:$A$81,0))=B869,1,0))</f>
        <v>0</v>
      </c>
      <c r="AF869" s="34">
        <f>IF(E869=1,Orders!L866,"")</f>
        <v>0.5</v>
      </c>
      <c r="AG869" s="34">
        <f>IF(E869=1,Orders!P866,"")</f>
        <v>10.4</v>
      </c>
      <c r="AH869" s="34">
        <f>IF(E869=1,Orders!Q866,"")</f>
        <v>9.9</v>
      </c>
      <c r="AI869" s="34">
        <f>IF(E869=1,Orders!M866,"")</f>
        <v>3.1</v>
      </c>
      <c r="AJ869" s="34">
        <f>IF(E869=1,Orders!N866,"")</f>
        <v>5.4</v>
      </c>
      <c r="AK869" s="34">
        <f>IF(E869=1,Orders!O866,"")</f>
        <v>1.4</v>
      </c>
      <c r="AL869" s="33">
        <f>IF(E869=1,IF(ROUND(ABS(AI869+AJ869+AK869-AH869),6)&lt;=0.1,1,0),"")</f>
        <v>1</v>
      </c>
      <c r="AM869" s="36">
        <f>IF(E869=1,AI869/AH869,"")</f>
        <v>0.313131313131313</v>
      </c>
      <c r="AN869" s="36">
        <f>IF(E869=1,AJ869/AH869,"")</f>
        <v>0.545454545454546</v>
      </c>
      <c r="AO869" s="36">
        <f>IF(E869=1,AK869/AH869,"")</f>
        <v>0.141414141414141</v>
      </c>
      <c r="AP869" s="34">
        <f>IF(E869=1,Orders!Y866,"")</f>
        <v>0.41</v>
      </c>
      <c r="AQ869" s="33">
        <f>IF(Orders!X866,1,0)</f>
        <v>0</v>
      </c>
      <c r="AR869" s="34" t="str">
        <f>IF(AND(E869=1,L869=1),AJ869,"")</f>
        <v/>
      </c>
      <c r="AS869" s="34">
        <f>IF(AND(E869=1,L869=0),AJ869,"")</f>
        <v>5.4</v>
      </c>
      <c r="AT869" s="34" t="str">
        <f>IF(AND(E869=1,L869=1),AI869,"")</f>
        <v/>
      </c>
      <c r="AU869" s="34">
        <f>IF(AND(E869=1,L869=0),AI869,"")</f>
        <v>3.1</v>
      </c>
      <c r="AV869" s="34" t="str">
        <f>IF(AND(E869=1,L869=1),AG869,"")</f>
        <v/>
      </c>
      <c r="AW869" s="34">
        <f>IF(AND(E869=1,L869=0),AG869,"")</f>
        <v>10.4</v>
      </c>
      <c r="AX869" s="34" t="str">
        <f>IF(AND(E869=1,L869=1),AH869,"")</f>
        <v/>
      </c>
      <c r="AY869" s="34">
        <f>IF(AND(E869=1,L869=0),AH869,"")</f>
        <v>9.9</v>
      </c>
      <c r="AZ869" s="34" t="str">
        <f>IF(G869=1,F869,"")</f>
        <v/>
      </c>
      <c r="BA869" s="34" t="str">
        <f>IF(AND(G869=1,L869=1),F869,"")</f>
        <v/>
      </c>
      <c r="BB869" s="34" t="str">
        <f>IF(AND(G869=1,L869=0),F869,"")</f>
        <v/>
      </c>
      <c r="BC869" s="33">
        <f>IF(E869=1,IF(Orders!R866&gt;3,1,0),"")</f>
        <v>0</v>
      </c>
      <c r="BD869" s="33">
        <f>IF(E869=1,IF(Orders!R866&gt;7,1,0),"")</f>
        <v>0</v>
      </c>
      <c r="BE869" s="32" t="str">
        <f>IF(E869=1,IF(Orders!L866&lt;=1.5,"Up to 1.5 km",IF(Orders!L866&lt;=3,"1.5–3 km","Over 3 km")),"")</f>
        <v>Up to 1.5 km</v>
      </c>
      <c r="BF869" s="33">
        <f>IF(E869=1,IF(ABS((Orders!G866-Orders!F866)*1440-Orders!R866)&lt;0.06,1,0),"")</f>
        <v>1</v>
      </c>
      <c r="BG869" s="33">
        <f>IF(ABS((Orders!F866-Orders!E866)*1440-Orders!P866)&lt;0.06,1,0)</f>
        <v>1</v>
      </c>
      <c r="BH869" s="33">
        <f>IF(E869=1,IF(IF(Orders!S866,1,0)=1-G869,1,0),"")</f>
        <v>1</v>
      </c>
      <c r="BI869" s="32" t="str">
        <f>INDEX(Stores!$B$2:$B$21,MATCH(B869,Stores!$A$2:$A$21,0))</f>
        <v>Hyderabad</v>
      </c>
    </row>
    <row r="870">
      <c r="A870" s="32" t="str">
        <f>Orders!A867</f>
        <v>O00866</v>
      </c>
      <c r="B870" s="32" t="str">
        <f>Orders!C867</f>
        <v>S009</v>
      </c>
      <c r="C870" s="32" t="str">
        <f>Orders!B867</f>
        <v>C0004</v>
      </c>
      <c r="D870" s="32" t="str">
        <f>Orders!H867</f>
        <v>Delivered</v>
      </c>
      <c r="E870" s="33">
        <f>IF(Orders!H867="Delivered",1,0)</f>
        <v>1</v>
      </c>
      <c r="F870" s="34">
        <f>IF(E870=1,Orders!R867,"")</f>
        <v>-0.9</v>
      </c>
      <c r="G870" s="33">
        <f>IF(E870=1,IF(Orders!R867&gt;0,1,0),"")</f>
        <v>0</v>
      </c>
      <c r="H870" s="33">
        <f>IF(E870=1,IF(Orders!R867&gt;5,1,0),"")</f>
        <v>0</v>
      </c>
      <c r="I870" s="32" t="str">
        <f>IF(E870=1,"",IF(OR(Orders!T867="Rider unavailable",Orders!T867="Item unavailable"),"Company-caused","Unresolved"))</f>
        <v/>
      </c>
      <c r="J870" s="33">
        <f>IF(OR(E870=1,I870="Company-caused"),1,0)</f>
        <v>1</v>
      </c>
      <c r="K870" s="32" t="str">
        <f>IF(E870=0,IF(I870="Company-caused",IF(Orders!T867="Rider unavailable","C1 Rider unavailable","C2 Item unavailable"),"Outside root: unresolved"),IF(G870=0,"A On time",IF(H870=1,IF(L870=1,"B2a Severe, peak","B2b Severe, off-peak"),IF(L870=1,"B1a Slight, peak","B1b Slight, off-peak"))))</f>
        <v>A On time</v>
      </c>
      <c r="L870" s="33">
        <f>IF(AND(Orders!U867&gt;=19,Orders!U867&lt;22),1,0)</f>
        <v>0</v>
      </c>
      <c r="M870" s="33">
        <f>IF(L870=IF(Orders!V867,1,0),1,0)</f>
        <v>1</v>
      </c>
      <c r="N870" s="32" t="str">
        <f>IF(Orders!W867="","None",Orders!W867)</f>
        <v>Light</v>
      </c>
      <c r="O870" s="35">
        <f>INT(Orders!E867)</f>
        <v>46271.0</v>
      </c>
      <c r="P870" s="33">
        <f>Orders!U867</f>
        <v>13</v>
      </c>
      <c r="Q870" s="33">
        <f>COUNTIFS(Demand!$A$2:$A$4481,B870,Demand!$B$2:$B$4481,O870,Demand!$C$2:$C$4481,P870)</f>
        <v>1</v>
      </c>
      <c r="R870" s="33">
        <f>IF(Q870=1,SUMIFS(Demand!$E$2:$E$4481,Demand!$A$2:$A$4481,B870,Demand!$B$2:$B$4481,O870,Demand!$C$2:$C$4481,P870),"")</f>
        <v>36</v>
      </c>
      <c r="S870" s="33">
        <f>INDEX(Stores!$G$2:$G$21,MATCH(B870,Stores!$A$2:$A$21,0))</f>
        <v>29</v>
      </c>
      <c r="T870" s="34">
        <f>IF(R870="","",R870/S870)</f>
        <v>1.24137931034483</v>
      </c>
      <c r="U870" s="34">
        <f>IF(E870=1,T870,"")</f>
        <v>1.24137931034483</v>
      </c>
      <c r="V870" s="34">
        <f>IF(AND(E870=1,L870=0),T870,"")</f>
        <v>1.24137931034483</v>
      </c>
      <c r="W870" s="33">
        <f>IF(U870="","",IF(U870&lt;=Breakdowns!$C$5,1,IF(U870&lt;=Breakdowns!$C$6,2,IF(U870&lt;=Breakdowns!$C$7,3,4))))</f>
        <v>4</v>
      </c>
      <c r="X870" s="33">
        <f>IF(V870="","",IF(V870&lt;=Breakdowns!$D$5,1,IF(V870&lt;=Breakdowns!$D$6,2,IF(V870&lt;=Breakdowns!$D$7,3,4))))</f>
        <v>4</v>
      </c>
      <c r="Y870" s="34">
        <f>INDEX(Stores!$F$2:$F$21,MATCH(B870,Stores!$A$2:$A$21,0))</f>
        <v>2.66</v>
      </c>
      <c r="Z870" s="33">
        <f>IF(Y870&gt;Store_Summary!$M$2,1,0)</f>
        <v>0</v>
      </c>
      <c r="AA870" s="33">
        <f>INDEX(Stores!$C$2:$C$21,MATCH(B870,Stores!$A$2:$A$21,0))</f>
        <v>645</v>
      </c>
      <c r="AB870" s="33">
        <f>IF(AA870&lt;180,1,0)</f>
        <v>0</v>
      </c>
      <c r="AC870" s="32" t="str">
        <f>IF(Orders!D867="","",INDEX(Riders!$C$2:$C$81,MATCH(Orders!D867,Riders!$A$2:$A$81,0)))</f>
        <v>Petrol scooter</v>
      </c>
      <c r="AD870" s="33">
        <f>IF(Orders!D867="","",INDEX(Riders!$D$2:$D$81,MATCH(Orders!D867,Riders!$A$2:$A$81,0)))</f>
        <v>29</v>
      </c>
      <c r="AE870" s="33">
        <f>IF(Orders!D867="","",IF(INDEX(Riders!$B$2:$B$81,MATCH(Orders!D867,Riders!$A$2:$A$81,0))=B870,1,0))</f>
        <v>0</v>
      </c>
      <c r="AF870" s="34">
        <f>IF(E870=1,Orders!L867,"")</f>
        <v>2.31</v>
      </c>
      <c r="AG870" s="34">
        <f>IF(E870=1,Orders!P867,"")</f>
        <v>10.4</v>
      </c>
      <c r="AH870" s="34">
        <f>IF(E870=1,Orders!Q867,"")</f>
        <v>9.5</v>
      </c>
      <c r="AI870" s="34">
        <f>IF(E870=1,Orders!M867,"")</f>
        <v>1.9</v>
      </c>
      <c r="AJ870" s="34">
        <f>IF(E870=1,Orders!N867,"")</f>
        <v>2.6</v>
      </c>
      <c r="AK870" s="34">
        <f>IF(E870=1,Orders!O867,"")</f>
        <v>5</v>
      </c>
      <c r="AL870" s="33">
        <f>IF(E870=1,IF(ROUND(ABS(AI870+AJ870+AK870-AH870),6)&lt;=0.1,1,0),"")</f>
        <v>1</v>
      </c>
      <c r="AM870" s="36">
        <f>IF(E870=1,AI870/AH870,"")</f>
        <v>0.2</v>
      </c>
      <c r="AN870" s="36">
        <f>IF(E870=1,AJ870/AH870,"")</f>
        <v>0.273684210526316</v>
      </c>
      <c r="AO870" s="36">
        <f>IF(E870=1,AK870/AH870,"")</f>
        <v>0.526315789473684</v>
      </c>
      <c r="AP870" s="34">
        <f>IF(E870=1,Orders!Y867,"")</f>
        <v>0.4</v>
      </c>
      <c r="AQ870" s="33">
        <f>IF(Orders!X867,1,0)</f>
        <v>0</v>
      </c>
      <c r="AR870" s="34" t="str">
        <f>IF(AND(E870=1,L870=1),AJ870,"")</f>
        <v/>
      </c>
      <c r="AS870" s="34">
        <f>IF(AND(E870=1,L870=0),AJ870,"")</f>
        <v>2.6</v>
      </c>
      <c r="AT870" s="34" t="str">
        <f>IF(AND(E870=1,L870=1),AI870,"")</f>
        <v/>
      </c>
      <c r="AU870" s="34">
        <f>IF(AND(E870=1,L870=0),AI870,"")</f>
        <v>1.9</v>
      </c>
      <c r="AV870" s="34" t="str">
        <f>IF(AND(E870=1,L870=1),AG870,"")</f>
        <v/>
      </c>
      <c r="AW870" s="34">
        <f>IF(AND(E870=1,L870=0),AG870,"")</f>
        <v>10.4</v>
      </c>
      <c r="AX870" s="34" t="str">
        <f>IF(AND(E870=1,L870=1),AH870,"")</f>
        <v/>
      </c>
      <c r="AY870" s="34">
        <f>IF(AND(E870=1,L870=0),AH870,"")</f>
        <v>9.5</v>
      </c>
      <c r="AZ870" s="34" t="str">
        <f>IF(G870=1,F870,"")</f>
        <v/>
      </c>
      <c r="BA870" s="34" t="str">
        <f>IF(AND(G870=1,L870=1),F870,"")</f>
        <v/>
      </c>
      <c r="BB870" s="34" t="str">
        <f>IF(AND(G870=1,L870=0),F870,"")</f>
        <v/>
      </c>
      <c r="BC870" s="33">
        <f>IF(E870=1,IF(Orders!R867&gt;3,1,0),"")</f>
        <v>0</v>
      </c>
      <c r="BD870" s="33">
        <f>IF(E870=1,IF(Orders!R867&gt;7,1,0),"")</f>
        <v>0</v>
      </c>
      <c r="BE870" s="32" t="str">
        <f>IF(E870=1,IF(Orders!L867&lt;=1.5,"Up to 1.5 km",IF(Orders!L867&lt;=3,"1.5–3 km","Over 3 km")),"")</f>
        <v>1.5–3 km</v>
      </c>
      <c r="BF870" s="33">
        <f>IF(E870=1,IF(ABS((Orders!G867-Orders!F867)*1440-Orders!R867)&lt;0.06,1,0),"")</f>
        <v>1</v>
      </c>
      <c r="BG870" s="33">
        <f>IF(ABS((Orders!F867-Orders!E867)*1440-Orders!P867)&lt;0.06,1,0)</f>
        <v>1</v>
      </c>
      <c r="BH870" s="33">
        <f>IF(E870=1,IF(IF(Orders!S867,1,0)=1-G870,1,0),"")</f>
        <v>1</v>
      </c>
      <c r="BI870" s="32" t="str">
        <f>INDEX(Stores!$B$2:$B$21,MATCH(B870,Stores!$A$2:$A$21,0))</f>
        <v>Pune</v>
      </c>
    </row>
    <row r="871">
      <c r="A871" s="32" t="str">
        <f>Orders!A868</f>
        <v>O00867</v>
      </c>
      <c r="B871" s="32" t="str">
        <f>Orders!C868</f>
        <v>S017</v>
      </c>
      <c r="C871" s="32" t="str">
        <f>Orders!B868</f>
        <v>C0067</v>
      </c>
      <c r="D871" s="32" t="str">
        <f>Orders!H868</f>
        <v>Delivered</v>
      </c>
      <c r="E871" s="33">
        <f>IF(Orders!H868="Delivered",1,0)</f>
        <v>1</v>
      </c>
      <c r="F871" s="34">
        <f>IF(E871=1,Orders!R868,"")</f>
        <v>-0.7</v>
      </c>
      <c r="G871" s="33">
        <f>IF(E871=1,IF(Orders!R868&gt;0,1,0),"")</f>
        <v>0</v>
      </c>
      <c r="H871" s="33">
        <f>IF(E871=1,IF(Orders!R868&gt;5,1,0),"")</f>
        <v>0</v>
      </c>
      <c r="I871" s="32" t="str">
        <f>IF(E871=1,"",IF(OR(Orders!T868="Rider unavailable",Orders!T868="Item unavailable"),"Company-caused","Unresolved"))</f>
        <v/>
      </c>
      <c r="J871" s="33">
        <f>IF(OR(E871=1,I871="Company-caused"),1,0)</f>
        <v>1</v>
      </c>
      <c r="K871" s="32" t="str">
        <f>IF(E871=0,IF(I871="Company-caused",IF(Orders!T868="Rider unavailable","C1 Rider unavailable","C2 Item unavailable"),"Outside root: unresolved"),IF(G871=0,"A On time",IF(H871=1,IF(L871=1,"B2a Severe, peak","B2b Severe, off-peak"),IF(L871=1,"B1a Slight, peak","B1b Slight, off-peak"))))</f>
        <v>A On time</v>
      </c>
      <c r="L871" s="33">
        <f>IF(AND(Orders!U868&gt;=19,Orders!U868&lt;22),1,0)</f>
        <v>0</v>
      </c>
      <c r="M871" s="33">
        <f>IF(L871=IF(Orders!V868,1,0),1,0)</f>
        <v>1</v>
      </c>
      <c r="N871" s="32" t="str">
        <f>IF(Orders!W868="","None",Orders!W868)</f>
        <v>Light</v>
      </c>
      <c r="O871" s="35">
        <f>INT(Orders!E868)</f>
        <v>46275.0</v>
      </c>
      <c r="P871" s="33">
        <f>Orders!U868</f>
        <v>9</v>
      </c>
      <c r="Q871" s="33">
        <f>COUNTIFS(Demand!$A$2:$A$4481,B871,Demand!$B$2:$B$4481,O871,Demand!$C$2:$C$4481,P871)</f>
        <v>1</v>
      </c>
      <c r="R871" s="33">
        <f>IF(Q871=1,SUMIFS(Demand!$E$2:$E$4481,Demand!$A$2:$A$4481,B871,Demand!$B$2:$B$4481,O871,Demand!$C$2:$C$4481,P871),"")</f>
        <v>29</v>
      </c>
      <c r="S871" s="33">
        <f>INDEX(Stores!$G$2:$G$21,MATCH(B871,Stores!$A$2:$A$21,0))</f>
        <v>36</v>
      </c>
      <c r="T871" s="34">
        <f>IF(R871="","",R871/S871)</f>
        <v>0.805555555555556</v>
      </c>
      <c r="U871" s="34">
        <f>IF(E871=1,T871,"")</f>
        <v>0.805555555555556</v>
      </c>
      <c r="V871" s="34">
        <f>IF(AND(E871=1,L871=0),T871,"")</f>
        <v>0.805555555555556</v>
      </c>
      <c r="W871" s="33">
        <f>IF(U871="","",IF(U871&lt;=Breakdowns!$C$5,1,IF(U871&lt;=Breakdowns!$C$6,2,IF(U871&lt;=Breakdowns!$C$7,3,4))))</f>
        <v>2</v>
      </c>
      <c r="X871" s="33">
        <f>IF(V871="","",IF(V871&lt;=Breakdowns!$D$5,1,IF(V871&lt;=Breakdowns!$D$6,2,IF(V871&lt;=Breakdowns!$D$7,3,4))))</f>
        <v>2</v>
      </c>
      <c r="Y871" s="34">
        <f>INDEX(Stores!$F$2:$F$21,MATCH(B871,Stores!$A$2:$A$21,0))</f>
        <v>2.16</v>
      </c>
      <c r="Z871" s="33">
        <f>IF(Y871&gt;Store_Summary!$M$2,1,0)</f>
        <v>0</v>
      </c>
      <c r="AA871" s="33">
        <f>INDEX(Stores!$C$2:$C$21,MATCH(B871,Stores!$A$2:$A$21,0))</f>
        <v>47</v>
      </c>
      <c r="AB871" s="33">
        <f>IF(AA871&lt;180,1,0)</f>
        <v>1</v>
      </c>
      <c r="AC871" s="32" t="str">
        <f>IF(Orders!D868="","",INDEX(Riders!$C$2:$C$81,MATCH(Orders!D868,Riders!$A$2:$A$81,0)))</f>
        <v>Petrol scooter</v>
      </c>
      <c r="AD871" s="33">
        <f>IF(Orders!D868="","",INDEX(Riders!$D$2:$D$81,MATCH(Orders!D868,Riders!$A$2:$A$81,0)))</f>
        <v>42</v>
      </c>
      <c r="AE871" s="33">
        <f>IF(Orders!D868="","",IF(INDEX(Riders!$B$2:$B$81,MATCH(Orders!D868,Riders!$A$2:$A$81,0))=B871,1,0))</f>
        <v>0</v>
      </c>
      <c r="AF871" s="34">
        <f>IF(E871=1,Orders!L868,"")</f>
        <v>2.33</v>
      </c>
      <c r="AG871" s="34">
        <f>IF(E871=1,Orders!P868,"")</f>
        <v>10.1</v>
      </c>
      <c r="AH871" s="34">
        <f>IF(E871=1,Orders!Q868,"")</f>
        <v>9.4</v>
      </c>
      <c r="AI871" s="34">
        <f>IF(E871=1,Orders!M868,"")</f>
        <v>1.6</v>
      </c>
      <c r="AJ871" s="34">
        <f>IF(E871=1,Orders!N868,"")</f>
        <v>3.4</v>
      </c>
      <c r="AK871" s="34">
        <f>IF(E871=1,Orders!O868,"")</f>
        <v>4.4</v>
      </c>
      <c r="AL871" s="33">
        <f>IF(E871=1,IF(ROUND(ABS(AI871+AJ871+AK871-AH871),6)&lt;=0.1,1,0),"")</f>
        <v>1</v>
      </c>
      <c r="AM871" s="36">
        <f>IF(E871=1,AI871/AH871,"")</f>
        <v>0.170212765957447</v>
      </c>
      <c r="AN871" s="36">
        <f>IF(E871=1,AJ871/AH871,"")</f>
        <v>0.361702127659574</v>
      </c>
      <c r="AO871" s="36">
        <f>IF(E871=1,AK871/AH871,"")</f>
        <v>0.468085106382979</v>
      </c>
      <c r="AP871" s="34">
        <f>IF(E871=1,Orders!Y868,"")</f>
        <v>0.3</v>
      </c>
      <c r="AQ871" s="33">
        <f>IF(Orders!X868,1,0)</f>
        <v>0</v>
      </c>
      <c r="AR871" s="34" t="str">
        <f>IF(AND(E871=1,L871=1),AJ871,"")</f>
        <v/>
      </c>
      <c r="AS871" s="34">
        <f>IF(AND(E871=1,L871=0),AJ871,"")</f>
        <v>3.4</v>
      </c>
      <c r="AT871" s="34" t="str">
        <f>IF(AND(E871=1,L871=1),AI871,"")</f>
        <v/>
      </c>
      <c r="AU871" s="34">
        <f>IF(AND(E871=1,L871=0),AI871,"")</f>
        <v>1.6</v>
      </c>
      <c r="AV871" s="34" t="str">
        <f>IF(AND(E871=1,L871=1),AG871,"")</f>
        <v/>
      </c>
      <c r="AW871" s="34">
        <f>IF(AND(E871=1,L871=0),AG871,"")</f>
        <v>10.1</v>
      </c>
      <c r="AX871" s="34" t="str">
        <f>IF(AND(E871=1,L871=1),AH871,"")</f>
        <v/>
      </c>
      <c r="AY871" s="34">
        <f>IF(AND(E871=1,L871=0),AH871,"")</f>
        <v>9.4</v>
      </c>
      <c r="AZ871" s="34" t="str">
        <f>IF(G871=1,F871,"")</f>
        <v/>
      </c>
      <c r="BA871" s="34" t="str">
        <f>IF(AND(G871=1,L871=1),F871,"")</f>
        <v/>
      </c>
      <c r="BB871" s="34" t="str">
        <f>IF(AND(G871=1,L871=0),F871,"")</f>
        <v/>
      </c>
      <c r="BC871" s="33">
        <f>IF(E871=1,IF(Orders!R868&gt;3,1,0),"")</f>
        <v>0</v>
      </c>
      <c r="BD871" s="33">
        <f>IF(E871=1,IF(Orders!R868&gt;7,1,0),"")</f>
        <v>0</v>
      </c>
      <c r="BE871" s="32" t="str">
        <f>IF(E871=1,IF(Orders!L868&lt;=1.5,"Up to 1.5 km",IF(Orders!L868&lt;=3,"1.5–3 km","Over 3 km")),"")</f>
        <v>1.5–3 km</v>
      </c>
      <c r="BF871" s="33">
        <f>IF(E871=1,IF(ABS((Orders!G868-Orders!F868)*1440-Orders!R868)&lt;0.06,1,0),"")</f>
        <v>1</v>
      </c>
      <c r="BG871" s="33">
        <f>IF(ABS((Orders!F868-Orders!E868)*1440-Orders!P868)&lt;0.06,1,0)</f>
        <v>1</v>
      </c>
      <c r="BH871" s="33">
        <f>IF(E871=1,IF(IF(Orders!S868,1,0)=1-G871,1,0),"")</f>
        <v>1</v>
      </c>
      <c r="BI871" s="32" t="str">
        <f>INDEX(Stores!$B$2:$B$21,MATCH(B871,Stores!$A$2:$A$21,0))</f>
        <v>Hyderabad</v>
      </c>
    </row>
    <row r="872">
      <c r="A872" s="32" t="str">
        <f>Orders!A869</f>
        <v>O00868</v>
      </c>
      <c r="B872" s="32" t="str">
        <f>Orders!C869</f>
        <v>S018</v>
      </c>
      <c r="C872" s="32" t="str">
        <f>Orders!B869</f>
        <v>C0183</v>
      </c>
      <c r="D872" s="32" t="str">
        <f>Orders!H869</f>
        <v>Delivered</v>
      </c>
      <c r="E872" s="33">
        <f>IF(Orders!H869="Delivered",1,0)</f>
        <v>1</v>
      </c>
      <c r="F872" s="34">
        <f>IF(E872=1,Orders!R869,"")</f>
        <v>-0.5</v>
      </c>
      <c r="G872" s="33">
        <f>IF(E872=1,IF(Orders!R869&gt;0,1,0),"")</f>
        <v>0</v>
      </c>
      <c r="H872" s="33">
        <f>IF(E872=1,IF(Orders!R869&gt;5,1,0),"")</f>
        <v>0</v>
      </c>
      <c r="I872" s="32" t="str">
        <f>IF(E872=1,"",IF(OR(Orders!T869="Rider unavailable",Orders!T869="Item unavailable"),"Company-caused","Unresolved"))</f>
        <v/>
      </c>
      <c r="J872" s="33">
        <f>IF(OR(E872=1,I872="Company-caused"),1,0)</f>
        <v>1</v>
      </c>
      <c r="K872" s="32" t="str">
        <f>IF(E872=0,IF(I872="Company-caused",IF(Orders!T869="Rider unavailable","C1 Rider unavailable","C2 Item unavailable"),"Outside root: unresolved"),IF(G872=0,"A On time",IF(H872=1,IF(L872=1,"B2a Severe, peak","B2b Severe, off-peak"),IF(L872=1,"B1a Slight, peak","B1b Slight, off-peak"))))</f>
        <v>A On time</v>
      </c>
      <c r="L872" s="33">
        <f>IF(AND(Orders!U869&gt;=19,Orders!U869&lt;22),1,0)</f>
        <v>0</v>
      </c>
      <c r="M872" s="33">
        <f>IF(L872=IF(Orders!V869,1,0),1,0)</f>
        <v>1</v>
      </c>
      <c r="N872" s="32" t="str">
        <f>IF(Orders!W869="","None",Orders!W869)</f>
        <v>None</v>
      </c>
      <c r="O872" s="35">
        <f>INT(Orders!E869)</f>
        <v>46271.0</v>
      </c>
      <c r="P872" s="33">
        <f>Orders!U869</f>
        <v>12</v>
      </c>
      <c r="Q872" s="33">
        <f>COUNTIFS(Demand!$A$2:$A$4481,B872,Demand!$B$2:$B$4481,O872,Demand!$C$2:$C$4481,P872)</f>
        <v>1</v>
      </c>
      <c r="R872" s="33">
        <f>IF(Q872=1,SUMIFS(Demand!$E$2:$E$4481,Demand!$A$2:$A$4481,B872,Demand!$B$2:$B$4481,O872,Demand!$C$2:$C$4481,P872),"")</f>
        <v>22</v>
      </c>
      <c r="S872" s="33">
        <f>INDEX(Stores!$G$2:$G$21,MATCH(B872,Stores!$A$2:$A$21,0))</f>
        <v>20</v>
      </c>
      <c r="T872" s="34">
        <f>IF(R872="","",R872/S872)</f>
        <v>1.1</v>
      </c>
      <c r="U872" s="34">
        <f>IF(E872=1,T872,"")</f>
        <v>1.1</v>
      </c>
      <c r="V872" s="34">
        <f>IF(AND(E872=1,L872=0),T872,"")</f>
        <v>1.1</v>
      </c>
      <c r="W872" s="33">
        <f>IF(U872="","",IF(U872&lt;=Breakdowns!$C$5,1,IF(U872&lt;=Breakdowns!$C$6,2,IF(U872&lt;=Breakdowns!$C$7,3,4))))</f>
        <v>3</v>
      </c>
      <c r="X872" s="33">
        <f>IF(V872="","",IF(V872&lt;=Breakdowns!$D$5,1,IF(V872&lt;=Breakdowns!$D$6,2,IF(V872&lt;=Breakdowns!$D$7,3,4))))</f>
        <v>4</v>
      </c>
      <c r="Y872" s="34">
        <f>INDEX(Stores!$F$2:$F$21,MATCH(B872,Stores!$A$2:$A$21,0))</f>
        <v>5.31</v>
      </c>
      <c r="Z872" s="33">
        <f>IF(Y872&gt;Store_Summary!$M$2,1,0)</f>
        <v>1</v>
      </c>
      <c r="AA872" s="33">
        <f>INDEX(Stores!$C$2:$C$21,MATCH(B872,Stores!$A$2:$A$21,0))</f>
        <v>214</v>
      </c>
      <c r="AB872" s="33">
        <f>IF(AA872&lt;180,1,0)</f>
        <v>0</v>
      </c>
      <c r="AC872" s="32" t="str">
        <f>IF(Orders!D869="","",INDEX(Riders!$C$2:$C$81,MATCH(Orders!D869,Riders!$A$2:$A$81,0)))</f>
        <v>Bicycle</v>
      </c>
      <c r="AD872" s="33">
        <f>IF(Orders!D869="","",INDEX(Riders!$D$2:$D$81,MATCH(Orders!D869,Riders!$A$2:$A$81,0)))</f>
        <v>40</v>
      </c>
      <c r="AE872" s="33">
        <f>IF(Orders!D869="","",IF(INDEX(Riders!$B$2:$B$81,MATCH(Orders!D869,Riders!$A$2:$A$81,0))=B872,1,0))</f>
        <v>0</v>
      </c>
      <c r="AF872" s="34">
        <f>IF(E872=1,Orders!L869,"")</f>
        <v>1.51</v>
      </c>
      <c r="AG872" s="34">
        <f>IF(E872=1,Orders!P869,"")</f>
        <v>9.4</v>
      </c>
      <c r="AH872" s="34">
        <f>IF(E872=1,Orders!Q869,"")</f>
        <v>8.9</v>
      </c>
      <c r="AI872" s="34">
        <f>IF(E872=1,Orders!M869,"")</f>
        <v>4.4</v>
      </c>
      <c r="AJ872" s="34">
        <f>IF(E872=1,Orders!N869,"")</f>
        <v>1.6</v>
      </c>
      <c r="AK872" s="34">
        <f>IF(E872=1,Orders!O869,"")</f>
        <v>2.9</v>
      </c>
      <c r="AL872" s="33">
        <f>IF(E872=1,IF(ROUND(ABS(AI872+AJ872+AK872-AH872),6)&lt;=0.1,1,0),"")</f>
        <v>1</v>
      </c>
      <c r="AM872" s="36">
        <f>IF(E872=1,AI872/AH872,"")</f>
        <v>0.49438202247191</v>
      </c>
      <c r="AN872" s="36">
        <f>IF(E872=1,AJ872/AH872,"")</f>
        <v>0.179775280898876</v>
      </c>
      <c r="AO872" s="36">
        <f>IF(E872=1,AK872/AH872,"")</f>
        <v>0.325842696629213</v>
      </c>
      <c r="AP872" s="34">
        <f>IF(E872=1,Orders!Y869,"")</f>
        <v>0.47</v>
      </c>
      <c r="AQ872" s="33">
        <f>IF(Orders!X869,1,0)</f>
        <v>0</v>
      </c>
      <c r="AR872" s="34" t="str">
        <f>IF(AND(E872=1,L872=1),AJ872,"")</f>
        <v/>
      </c>
      <c r="AS872" s="34">
        <f>IF(AND(E872=1,L872=0),AJ872,"")</f>
        <v>1.6</v>
      </c>
      <c r="AT872" s="34" t="str">
        <f>IF(AND(E872=1,L872=1),AI872,"")</f>
        <v/>
      </c>
      <c r="AU872" s="34">
        <f>IF(AND(E872=1,L872=0),AI872,"")</f>
        <v>4.4</v>
      </c>
      <c r="AV872" s="34" t="str">
        <f>IF(AND(E872=1,L872=1),AG872,"")</f>
        <v/>
      </c>
      <c r="AW872" s="34">
        <f>IF(AND(E872=1,L872=0),AG872,"")</f>
        <v>9.4</v>
      </c>
      <c r="AX872" s="34" t="str">
        <f>IF(AND(E872=1,L872=1),AH872,"")</f>
        <v/>
      </c>
      <c r="AY872" s="34">
        <f>IF(AND(E872=1,L872=0),AH872,"")</f>
        <v>8.9</v>
      </c>
      <c r="AZ872" s="34" t="str">
        <f>IF(G872=1,F872,"")</f>
        <v/>
      </c>
      <c r="BA872" s="34" t="str">
        <f>IF(AND(G872=1,L872=1),F872,"")</f>
        <v/>
      </c>
      <c r="BB872" s="34" t="str">
        <f>IF(AND(G872=1,L872=0),F872,"")</f>
        <v/>
      </c>
      <c r="BC872" s="33">
        <f>IF(E872=1,IF(Orders!R869&gt;3,1,0),"")</f>
        <v>0</v>
      </c>
      <c r="BD872" s="33">
        <f>IF(E872=1,IF(Orders!R869&gt;7,1,0),"")</f>
        <v>0</v>
      </c>
      <c r="BE872" s="32" t="str">
        <f>IF(E872=1,IF(Orders!L869&lt;=1.5,"Up to 1.5 km",IF(Orders!L869&lt;=3,"1.5–3 km","Over 3 km")),"")</f>
        <v>1.5–3 km</v>
      </c>
      <c r="BF872" s="33">
        <f>IF(E872=1,IF(ABS((Orders!G869-Orders!F869)*1440-Orders!R869)&lt;0.06,1,0),"")</f>
        <v>1</v>
      </c>
      <c r="BG872" s="33">
        <f>IF(ABS((Orders!F869-Orders!E869)*1440-Orders!P869)&lt;0.06,1,0)</f>
        <v>1</v>
      </c>
      <c r="BH872" s="33">
        <f>IF(E872=1,IF(IF(Orders!S869,1,0)=1-G872,1,0),"")</f>
        <v>1</v>
      </c>
      <c r="BI872" s="32" t="str">
        <f>INDEX(Stores!$B$2:$B$21,MATCH(B872,Stores!$A$2:$A$21,0))</f>
        <v>Mumbai</v>
      </c>
    </row>
    <row r="873">
      <c r="A873" s="32" t="str">
        <f>Orders!A870</f>
        <v>O00869</v>
      </c>
      <c r="B873" s="32" t="str">
        <f>Orders!C870</f>
        <v>S013</v>
      </c>
      <c r="C873" s="32" t="str">
        <f>Orders!B870</f>
        <v>C0086</v>
      </c>
      <c r="D873" s="32" t="str">
        <f>Orders!H870</f>
        <v>Delivered</v>
      </c>
      <c r="E873" s="33">
        <f>IF(Orders!H870="Delivered",1,0)</f>
        <v>1</v>
      </c>
      <c r="F873" s="34">
        <f>IF(E873=1,Orders!R870,"")</f>
        <v>8.5</v>
      </c>
      <c r="G873" s="33">
        <f>IF(E873=1,IF(Orders!R870&gt;0,1,0),"")</f>
        <v>1</v>
      </c>
      <c r="H873" s="33">
        <f>IF(E873=1,IF(Orders!R870&gt;5,1,0),"")</f>
        <v>1</v>
      </c>
      <c r="I873" s="32" t="str">
        <f>IF(E873=1,"",IF(OR(Orders!T870="Rider unavailable",Orders!T870="Item unavailable"),"Company-caused","Unresolved"))</f>
        <v/>
      </c>
      <c r="J873" s="33">
        <f>IF(OR(E873=1,I873="Company-caused"),1,0)</f>
        <v>1</v>
      </c>
      <c r="K873" s="32" t="str">
        <f>IF(E873=0,IF(I873="Company-caused",IF(Orders!T870="Rider unavailable","C1 Rider unavailable","C2 Item unavailable"),"Outside root: unresolved"),IF(G873=0,"A On time",IF(H873=1,IF(L873=1,"B2a Severe, peak","B2b Severe, off-peak"),IF(L873=1,"B1a Slight, peak","B1b Slight, off-peak"))))</f>
        <v>B2b Severe, off-peak</v>
      </c>
      <c r="L873" s="33">
        <f>IF(AND(Orders!U870&gt;=19,Orders!U870&lt;22),1,0)</f>
        <v>0</v>
      </c>
      <c r="M873" s="33">
        <f>IF(L873=IF(Orders!V870,1,0),1,0)</f>
        <v>1</v>
      </c>
      <c r="N873" s="32" t="str">
        <f>IF(Orders!W870="","None",Orders!W870)</f>
        <v>Heavy</v>
      </c>
      <c r="O873" s="35">
        <f>INT(Orders!E870)</f>
        <v>46275.0</v>
      </c>
      <c r="P873" s="33">
        <f>Orders!U870</f>
        <v>22</v>
      </c>
      <c r="Q873" s="33">
        <f>COUNTIFS(Demand!$A$2:$A$4481,B873,Demand!$B$2:$B$4481,O873,Demand!$C$2:$C$4481,P873)</f>
        <v>1</v>
      </c>
      <c r="R873" s="33">
        <f>IF(Q873=1,SUMIFS(Demand!$E$2:$E$4481,Demand!$A$2:$A$4481,B873,Demand!$B$2:$B$4481,O873,Demand!$C$2:$C$4481,P873),"")</f>
        <v>40</v>
      </c>
      <c r="S873" s="33">
        <f>INDEX(Stores!$G$2:$G$21,MATCH(B873,Stores!$A$2:$A$21,0))</f>
        <v>49</v>
      </c>
      <c r="T873" s="34">
        <f>IF(R873="","",R873/S873)</f>
        <v>0.816326530612245</v>
      </c>
      <c r="U873" s="34">
        <f>IF(E873=1,T873,"")</f>
        <v>0.816326530612245</v>
      </c>
      <c r="V873" s="34">
        <f>IF(AND(E873=1,L873=0),T873,"")</f>
        <v>0.816326530612245</v>
      </c>
      <c r="W873" s="33">
        <f>IF(U873="","",IF(U873&lt;=Breakdowns!$C$5,1,IF(U873&lt;=Breakdowns!$C$6,2,IF(U873&lt;=Breakdowns!$C$7,3,4))))</f>
        <v>2</v>
      </c>
      <c r="X873" s="33">
        <f>IF(V873="","",IF(V873&lt;=Breakdowns!$D$5,1,IF(V873&lt;=Breakdowns!$D$6,2,IF(V873&lt;=Breakdowns!$D$7,3,4))))</f>
        <v>2</v>
      </c>
      <c r="Y873" s="34">
        <f>INDEX(Stores!$F$2:$F$21,MATCH(B873,Stores!$A$2:$A$21,0))</f>
        <v>5.82</v>
      </c>
      <c r="Z873" s="33">
        <f>IF(Y873&gt;Store_Summary!$M$2,1,0)</f>
        <v>1</v>
      </c>
      <c r="AA873" s="33">
        <f>INDEX(Stores!$C$2:$C$21,MATCH(B873,Stores!$A$2:$A$21,0))</f>
        <v>705</v>
      </c>
      <c r="AB873" s="33">
        <f>IF(AA873&lt;180,1,0)</f>
        <v>0</v>
      </c>
      <c r="AC873" s="32" t="str">
        <f>IF(Orders!D870="","",INDEX(Riders!$C$2:$C$81,MATCH(Orders!D870,Riders!$A$2:$A$81,0)))</f>
        <v>Petrol scooter</v>
      </c>
      <c r="AD873" s="33">
        <f>IF(Orders!D870="","",INDEX(Riders!$D$2:$D$81,MATCH(Orders!D870,Riders!$A$2:$A$81,0)))</f>
        <v>48</v>
      </c>
      <c r="AE873" s="33">
        <f>IF(Orders!D870="","",IF(INDEX(Riders!$B$2:$B$81,MATCH(Orders!D870,Riders!$A$2:$A$81,0))=B873,1,0))</f>
        <v>0</v>
      </c>
      <c r="AF873" s="34">
        <f>IF(E873=1,Orders!L870,"")</f>
        <v>0.52</v>
      </c>
      <c r="AG873" s="34">
        <f>IF(E873=1,Orders!P870,"")</f>
        <v>7.1</v>
      </c>
      <c r="AH873" s="34">
        <f>IF(E873=1,Orders!Q870,"")</f>
        <v>15.6</v>
      </c>
      <c r="AI873" s="34">
        <f>IF(E873=1,Orders!M870,"")</f>
        <v>6.2</v>
      </c>
      <c r="AJ873" s="34">
        <f>IF(E873=1,Orders!N870,"")</f>
        <v>5.4</v>
      </c>
      <c r="AK873" s="34">
        <f>IF(E873=1,Orders!O870,"")</f>
        <v>3.9</v>
      </c>
      <c r="AL873" s="33">
        <f>IF(E873=1,IF(ROUND(ABS(AI873+AJ873+AK873-AH873),6)&lt;=0.1,1,0),"")</f>
        <v>1</v>
      </c>
      <c r="AM873" s="36">
        <f>IF(E873=1,AI873/AH873,"")</f>
        <v>0.397435897435897</v>
      </c>
      <c r="AN873" s="36">
        <f>IF(E873=1,AJ873/AH873,"")</f>
        <v>0.346153846153846</v>
      </c>
      <c r="AO873" s="36">
        <f>IF(E873=1,AK873/AH873,"")</f>
        <v>0.25</v>
      </c>
      <c r="AP873" s="34">
        <f>IF(E873=1,Orders!Y870,"")</f>
        <v>0.28</v>
      </c>
      <c r="AQ873" s="33">
        <f>IF(Orders!X870,1,0)</f>
        <v>0</v>
      </c>
      <c r="AR873" s="34" t="str">
        <f>IF(AND(E873=1,L873=1),AJ873,"")</f>
        <v/>
      </c>
      <c r="AS873" s="34">
        <f>IF(AND(E873=1,L873=0),AJ873,"")</f>
        <v>5.4</v>
      </c>
      <c r="AT873" s="34" t="str">
        <f>IF(AND(E873=1,L873=1),AI873,"")</f>
        <v/>
      </c>
      <c r="AU873" s="34">
        <f>IF(AND(E873=1,L873=0),AI873,"")</f>
        <v>6.2</v>
      </c>
      <c r="AV873" s="34" t="str">
        <f>IF(AND(E873=1,L873=1),AG873,"")</f>
        <v/>
      </c>
      <c r="AW873" s="34">
        <f>IF(AND(E873=1,L873=0),AG873,"")</f>
        <v>7.1</v>
      </c>
      <c r="AX873" s="34" t="str">
        <f>IF(AND(E873=1,L873=1),AH873,"")</f>
        <v/>
      </c>
      <c r="AY873" s="34">
        <f>IF(AND(E873=1,L873=0),AH873,"")</f>
        <v>15.6</v>
      </c>
      <c r="AZ873" s="34">
        <f>IF(G873=1,F873,"")</f>
        <v>8.5</v>
      </c>
      <c r="BA873" s="34" t="str">
        <f>IF(AND(G873=1,L873=1),F873,"")</f>
        <v/>
      </c>
      <c r="BB873" s="34">
        <f>IF(AND(G873=1,L873=0),F873,"")</f>
        <v>8.5</v>
      </c>
      <c r="BC873" s="33">
        <f>IF(E873=1,IF(Orders!R870&gt;3,1,0),"")</f>
        <v>1</v>
      </c>
      <c r="BD873" s="33">
        <f>IF(E873=1,IF(Orders!R870&gt;7,1,0),"")</f>
        <v>1</v>
      </c>
      <c r="BE873" s="32" t="str">
        <f>IF(E873=1,IF(Orders!L870&lt;=1.5,"Up to 1.5 km",IF(Orders!L870&lt;=3,"1.5–3 km","Over 3 km")),"")</f>
        <v>Up to 1.5 km</v>
      </c>
      <c r="BF873" s="33">
        <f>IF(E873=1,IF(ABS((Orders!G870-Orders!F870)*1440-Orders!R870)&lt;0.06,1,0),"")</f>
        <v>1</v>
      </c>
      <c r="BG873" s="33">
        <f>IF(ABS((Orders!F870-Orders!E870)*1440-Orders!P870)&lt;0.06,1,0)</f>
        <v>1</v>
      </c>
      <c r="BH873" s="33">
        <f>IF(E873=1,IF(IF(Orders!S870,1,0)=1-G873,1,0),"")</f>
        <v>1</v>
      </c>
      <c r="BI873" s="32" t="str">
        <f>INDEX(Stores!$B$2:$B$21,MATCH(B873,Stores!$A$2:$A$21,0))</f>
        <v>Mumbai</v>
      </c>
    </row>
    <row r="874">
      <c r="A874" s="32" t="str">
        <f>Orders!A871</f>
        <v>O00870</v>
      </c>
      <c r="B874" s="32" t="str">
        <f>Orders!C871</f>
        <v>S019</v>
      </c>
      <c r="C874" s="32" t="str">
        <f>Orders!B871</f>
        <v>C0144</v>
      </c>
      <c r="D874" s="32" t="str">
        <f>Orders!H871</f>
        <v>Delivered</v>
      </c>
      <c r="E874" s="33">
        <f>IF(Orders!H871="Delivered",1,0)</f>
        <v>1</v>
      </c>
      <c r="F874" s="34">
        <f>IF(E874=1,Orders!R871,"")</f>
        <v>0.2</v>
      </c>
      <c r="G874" s="33">
        <f>IF(E874=1,IF(Orders!R871&gt;0,1,0),"")</f>
        <v>1</v>
      </c>
      <c r="H874" s="33">
        <f>IF(E874=1,IF(Orders!R871&gt;5,1,0),"")</f>
        <v>0</v>
      </c>
      <c r="I874" s="32" t="str">
        <f>IF(E874=1,"",IF(OR(Orders!T871="Rider unavailable",Orders!T871="Item unavailable"),"Company-caused","Unresolved"))</f>
        <v/>
      </c>
      <c r="J874" s="33">
        <f>IF(OR(E874=1,I874="Company-caused"),1,0)</f>
        <v>1</v>
      </c>
      <c r="K874" s="32" t="str">
        <f>IF(E874=0,IF(I874="Company-caused",IF(Orders!T871="Rider unavailable","C1 Rider unavailable","C2 Item unavailable"),"Outside root: unresolved"),IF(G874=0,"A On time",IF(H874=1,IF(L874=1,"B2a Severe, peak","B2b Severe, off-peak"),IF(L874=1,"B1a Slight, peak","B1b Slight, off-peak"))))</f>
        <v>B1b Slight, off-peak</v>
      </c>
      <c r="L874" s="33">
        <f>IF(AND(Orders!U871&gt;=19,Orders!U871&lt;22),1,0)</f>
        <v>0</v>
      </c>
      <c r="M874" s="33">
        <f>IF(L874=IF(Orders!V871,1,0),1,0)</f>
        <v>1</v>
      </c>
      <c r="N874" s="32" t="str">
        <f>IF(Orders!W871="","None",Orders!W871)</f>
        <v>None</v>
      </c>
      <c r="O874" s="35">
        <f>INT(Orders!E871)</f>
        <v>46269.0</v>
      </c>
      <c r="P874" s="33">
        <f>Orders!U871</f>
        <v>22</v>
      </c>
      <c r="Q874" s="33">
        <f>COUNTIFS(Demand!$A$2:$A$4481,B874,Demand!$B$2:$B$4481,O874,Demand!$C$2:$C$4481,P874)</f>
        <v>1</v>
      </c>
      <c r="R874" s="33">
        <f>IF(Q874=1,SUMIFS(Demand!$E$2:$E$4481,Demand!$A$2:$A$4481,B874,Demand!$B$2:$B$4481,O874,Demand!$C$2:$C$4481,P874),"")</f>
        <v>14</v>
      </c>
      <c r="S874" s="33">
        <f>INDEX(Stores!$G$2:$G$21,MATCH(B874,Stores!$A$2:$A$21,0))</f>
        <v>22</v>
      </c>
      <c r="T874" s="34">
        <f>IF(R874="","",R874/S874)</f>
        <v>0.636363636363636</v>
      </c>
      <c r="U874" s="34">
        <f>IF(E874=1,T874,"")</f>
        <v>0.636363636363636</v>
      </c>
      <c r="V874" s="34">
        <f>IF(AND(E874=1,L874=0),T874,"")</f>
        <v>0.636363636363636</v>
      </c>
      <c r="W874" s="33">
        <f>IF(U874="","",IF(U874&lt;=Breakdowns!$C$5,1,IF(U874&lt;=Breakdowns!$C$6,2,IF(U874&lt;=Breakdowns!$C$7,3,4))))</f>
        <v>1</v>
      </c>
      <c r="X874" s="33">
        <f>IF(V874="","",IF(V874&lt;=Breakdowns!$D$5,1,IF(V874&lt;=Breakdowns!$D$6,2,IF(V874&lt;=Breakdowns!$D$7,3,4))))</f>
        <v>1</v>
      </c>
      <c r="Y874" s="34">
        <f>INDEX(Stores!$F$2:$F$21,MATCH(B874,Stores!$A$2:$A$21,0))</f>
        <v>4.99</v>
      </c>
      <c r="Z874" s="33">
        <f>IF(Y874&gt;Store_Summary!$M$2,1,0)</f>
        <v>1</v>
      </c>
      <c r="AA874" s="33">
        <f>INDEX(Stores!$C$2:$C$21,MATCH(B874,Stores!$A$2:$A$21,0))</f>
        <v>851</v>
      </c>
      <c r="AB874" s="33">
        <f>IF(AA874&lt;180,1,0)</f>
        <v>0</v>
      </c>
      <c r="AC874" s="32" t="str">
        <f>IF(Orders!D871="","",INDEX(Riders!$C$2:$C$81,MATCH(Orders!D871,Riders!$A$2:$A$81,0)))</f>
        <v>Petrol scooter</v>
      </c>
      <c r="AD874" s="33">
        <f>IF(Orders!D871="","",INDEX(Riders!$D$2:$D$81,MATCH(Orders!D871,Riders!$A$2:$A$81,0)))</f>
        <v>29</v>
      </c>
      <c r="AE874" s="33">
        <f>IF(Orders!D871="","",IF(INDEX(Riders!$B$2:$B$81,MATCH(Orders!D871,Riders!$A$2:$A$81,0))=B874,1,0))</f>
        <v>0</v>
      </c>
      <c r="AF874" s="34">
        <f>IF(E874=1,Orders!L871,"")</f>
        <v>2.5</v>
      </c>
      <c r="AG874" s="34">
        <f>IF(E874=1,Orders!P871,"")</f>
        <v>12.9</v>
      </c>
      <c r="AH874" s="34">
        <f>IF(E874=1,Orders!Q871,"")</f>
        <v>13.1</v>
      </c>
      <c r="AI874" s="34">
        <f>IF(E874=1,Orders!M871,"")</f>
        <v>4.3</v>
      </c>
      <c r="AJ874" s="34">
        <f>IF(E874=1,Orders!N871,"")</f>
        <v>2.6</v>
      </c>
      <c r="AK874" s="34">
        <f>IF(E874=1,Orders!O871,"")</f>
        <v>6.3</v>
      </c>
      <c r="AL874" s="33">
        <f>IF(E874=1,IF(ROUND(ABS(AI874+AJ874+AK874-AH874),6)&lt;=0.1,1,0),"")</f>
        <v>1</v>
      </c>
      <c r="AM874" s="36">
        <f>IF(E874=1,AI874/AH874,"")</f>
        <v>0.32824427480916</v>
      </c>
      <c r="AN874" s="36">
        <f>IF(E874=1,AJ874/AH874,"")</f>
        <v>0.198473282442748</v>
      </c>
      <c r="AO874" s="36">
        <f>IF(E874=1,AK874/AH874,"")</f>
        <v>0.480916030534351</v>
      </c>
      <c r="AP874" s="34">
        <f>IF(E874=1,Orders!Y871,"")</f>
        <v>0.35</v>
      </c>
      <c r="AQ874" s="33">
        <f>IF(Orders!X871,1,0)</f>
        <v>0</v>
      </c>
      <c r="AR874" s="34" t="str">
        <f>IF(AND(E874=1,L874=1),AJ874,"")</f>
        <v/>
      </c>
      <c r="AS874" s="34">
        <f>IF(AND(E874=1,L874=0),AJ874,"")</f>
        <v>2.6</v>
      </c>
      <c r="AT874" s="34" t="str">
        <f>IF(AND(E874=1,L874=1),AI874,"")</f>
        <v/>
      </c>
      <c r="AU874" s="34">
        <f>IF(AND(E874=1,L874=0),AI874,"")</f>
        <v>4.3</v>
      </c>
      <c r="AV874" s="34" t="str">
        <f>IF(AND(E874=1,L874=1),AG874,"")</f>
        <v/>
      </c>
      <c r="AW874" s="34">
        <f>IF(AND(E874=1,L874=0),AG874,"")</f>
        <v>12.9</v>
      </c>
      <c r="AX874" s="34" t="str">
        <f>IF(AND(E874=1,L874=1),AH874,"")</f>
        <v/>
      </c>
      <c r="AY874" s="34">
        <f>IF(AND(E874=1,L874=0),AH874,"")</f>
        <v>13.1</v>
      </c>
      <c r="AZ874" s="34">
        <f>IF(G874=1,F874,"")</f>
        <v>0.2</v>
      </c>
      <c r="BA874" s="34" t="str">
        <f>IF(AND(G874=1,L874=1),F874,"")</f>
        <v/>
      </c>
      <c r="BB874" s="34">
        <f>IF(AND(G874=1,L874=0),F874,"")</f>
        <v>0.2</v>
      </c>
      <c r="BC874" s="33">
        <f>IF(E874=1,IF(Orders!R871&gt;3,1,0),"")</f>
        <v>0</v>
      </c>
      <c r="BD874" s="33">
        <f>IF(E874=1,IF(Orders!R871&gt;7,1,0),"")</f>
        <v>0</v>
      </c>
      <c r="BE874" s="32" t="str">
        <f>IF(E874=1,IF(Orders!L871&lt;=1.5,"Up to 1.5 km",IF(Orders!L871&lt;=3,"1.5–3 km","Over 3 km")),"")</f>
        <v>1.5–3 km</v>
      </c>
      <c r="BF874" s="33">
        <f>IF(E874=1,IF(ABS((Orders!G871-Orders!F871)*1440-Orders!R871)&lt;0.06,1,0),"")</f>
        <v>1</v>
      </c>
      <c r="BG874" s="33">
        <f>IF(ABS((Orders!F871-Orders!E871)*1440-Orders!P871)&lt;0.06,1,0)</f>
        <v>1</v>
      </c>
      <c r="BH874" s="33">
        <f>IF(E874=1,IF(IF(Orders!S871,1,0)=1-G874,1,0),"")</f>
        <v>1</v>
      </c>
      <c r="BI874" s="32" t="str">
        <f>INDEX(Stores!$B$2:$B$21,MATCH(B874,Stores!$A$2:$A$21,0))</f>
        <v>Pune</v>
      </c>
    </row>
    <row r="875">
      <c r="A875" s="32" t="str">
        <f>Orders!A872</f>
        <v>O00871</v>
      </c>
      <c r="B875" s="32" t="str">
        <f>Orders!C872</f>
        <v>S003</v>
      </c>
      <c r="C875" s="32" t="str">
        <f>Orders!B872</f>
        <v>C0241</v>
      </c>
      <c r="D875" s="32" t="str">
        <f>Orders!H872</f>
        <v>Delivered</v>
      </c>
      <c r="E875" s="33">
        <f>IF(Orders!H872="Delivered",1,0)</f>
        <v>1</v>
      </c>
      <c r="F875" s="34">
        <f>IF(E875=1,Orders!R872,"")</f>
        <v>-0.5</v>
      </c>
      <c r="G875" s="33">
        <f>IF(E875=1,IF(Orders!R872&gt;0,1,0),"")</f>
        <v>0</v>
      </c>
      <c r="H875" s="33">
        <f>IF(E875=1,IF(Orders!R872&gt;5,1,0),"")</f>
        <v>0</v>
      </c>
      <c r="I875" s="32" t="str">
        <f>IF(E875=1,"",IF(OR(Orders!T872="Rider unavailable",Orders!T872="Item unavailable"),"Company-caused","Unresolved"))</f>
        <v/>
      </c>
      <c r="J875" s="33">
        <f>IF(OR(E875=1,I875="Company-caused"),1,0)</f>
        <v>1</v>
      </c>
      <c r="K875" s="32" t="str">
        <f>IF(E875=0,IF(I875="Company-caused",IF(Orders!T872="Rider unavailable","C1 Rider unavailable","C2 Item unavailable"),"Outside root: unresolved"),IF(G875=0,"A On time",IF(H875=1,IF(L875=1,"B2a Severe, peak","B2b Severe, off-peak"),IF(L875=1,"B1a Slight, peak","B1b Slight, off-peak"))))</f>
        <v>A On time</v>
      </c>
      <c r="L875" s="33">
        <f>IF(AND(Orders!U872&gt;=19,Orders!U872&lt;22),1,0)</f>
        <v>0</v>
      </c>
      <c r="M875" s="33">
        <f>IF(L875=IF(Orders!V872,1,0),1,0)</f>
        <v>1</v>
      </c>
      <c r="N875" s="32" t="str">
        <f>IF(Orders!W872="","None",Orders!W872)</f>
        <v>Light</v>
      </c>
      <c r="O875" s="35">
        <f>INT(Orders!E872)</f>
        <v>46277.0</v>
      </c>
      <c r="P875" s="33">
        <f>Orders!U872</f>
        <v>8</v>
      </c>
      <c r="Q875" s="33">
        <f>COUNTIFS(Demand!$A$2:$A$4481,B875,Demand!$B$2:$B$4481,O875,Demand!$C$2:$C$4481,P875)</f>
        <v>1</v>
      </c>
      <c r="R875" s="33">
        <f>IF(Q875=1,SUMIFS(Demand!$E$2:$E$4481,Demand!$A$2:$A$4481,B875,Demand!$B$2:$B$4481,O875,Demand!$C$2:$C$4481,P875),"")</f>
        <v>35</v>
      </c>
      <c r="S875" s="33">
        <f>INDEX(Stores!$G$2:$G$21,MATCH(B875,Stores!$A$2:$A$21,0))</f>
        <v>41</v>
      </c>
      <c r="T875" s="34">
        <f>IF(R875="","",R875/S875)</f>
        <v>0.853658536585366</v>
      </c>
      <c r="U875" s="34">
        <f>IF(E875=1,T875,"")</f>
        <v>0.853658536585366</v>
      </c>
      <c r="V875" s="34">
        <f>IF(AND(E875=1,L875=0),T875,"")</f>
        <v>0.853658536585366</v>
      </c>
      <c r="W875" s="33">
        <f>IF(U875="","",IF(U875&lt;=Breakdowns!$C$5,1,IF(U875&lt;=Breakdowns!$C$6,2,IF(U875&lt;=Breakdowns!$C$7,3,4))))</f>
        <v>2</v>
      </c>
      <c r="X875" s="33">
        <f>IF(V875="","",IF(V875&lt;=Breakdowns!$D$5,1,IF(V875&lt;=Breakdowns!$D$6,2,IF(V875&lt;=Breakdowns!$D$7,3,4))))</f>
        <v>2</v>
      </c>
      <c r="Y875" s="34">
        <f>INDEX(Stores!$F$2:$F$21,MATCH(B875,Stores!$A$2:$A$21,0))</f>
        <v>3.84</v>
      </c>
      <c r="Z875" s="33">
        <f>IF(Y875&gt;Store_Summary!$M$2,1,0)</f>
        <v>0</v>
      </c>
      <c r="AA875" s="33">
        <f>INDEX(Stores!$C$2:$C$21,MATCH(B875,Stores!$A$2:$A$21,0))</f>
        <v>426</v>
      </c>
      <c r="AB875" s="33">
        <f>IF(AA875&lt;180,1,0)</f>
        <v>0</v>
      </c>
      <c r="AC875" s="32" t="str">
        <f>IF(Orders!D872="","",INDEX(Riders!$C$2:$C$81,MATCH(Orders!D872,Riders!$A$2:$A$81,0)))</f>
        <v>Bicycle</v>
      </c>
      <c r="AD875" s="33">
        <f>IF(Orders!D872="","",INDEX(Riders!$D$2:$D$81,MATCH(Orders!D872,Riders!$A$2:$A$81,0)))</f>
        <v>44</v>
      </c>
      <c r="AE875" s="33">
        <f>IF(Orders!D872="","",IF(INDEX(Riders!$B$2:$B$81,MATCH(Orders!D872,Riders!$A$2:$A$81,0))=B875,1,0))</f>
        <v>0</v>
      </c>
      <c r="AF875" s="34">
        <f>IF(E875=1,Orders!L872,"")</f>
        <v>0.95</v>
      </c>
      <c r="AG875" s="34">
        <f>IF(E875=1,Orders!P872,"")</f>
        <v>9.3</v>
      </c>
      <c r="AH875" s="34">
        <f>IF(E875=1,Orders!Q872,"")</f>
        <v>8.8</v>
      </c>
      <c r="AI875" s="34">
        <f>IF(E875=1,Orders!M872,"")</f>
        <v>2.8</v>
      </c>
      <c r="AJ875" s="34">
        <f>IF(E875=1,Orders!N872,"")</f>
        <v>3.8</v>
      </c>
      <c r="AK875" s="34">
        <f>IF(E875=1,Orders!O872,"")</f>
        <v>2.2</v>
      </c>
      <c r="AL875" s="33">
        <f>IF(E875=1,IF(ROUND(ABS(AI875+AJ875+AK875-AH875),6)&lt;=0.1,1,0),"")</f>
        <v>1</v>
      </c>
      <c r="AM875" s="36">
        <f>IF(E875=1,AI875/AH875,"")</f>
        <v>0.318181818181818</v>
      </c>
      <c r="AN875" s="36">
        <f>IF(E875=1,AJ875/AH875,"")</f>
        <v>0.431818181818182</v>
      </c>
      <c r="AO875" s="36">
        <f>IF(E875=1,AK875/AH875,"")</f>
        <v>0.25</v>
      </c>
      <c r="AP875" s="34">
        <f>IF(E875=1,Orders!Y872,"")</f>
        <v>0.25</v>
      </c>
      <c r="AQ875" s="33">
        <f>IF(Orders!X872,1,0)</f>
        <v>0</v>
      </c>
      <c r="AR875" s="34" t="str">
        <f>IF(AND(E875=1,L875=1),AJ875,"")</f>
        <v/>
      </c>
      <c r="AS875" s="34">
        <f>IF(AND(E875=1,L875=0),AJ875,"")</f>
        <v>3.8</v>
      </c>
      <c r="AT875" s="34" t="str">
        <f>IF(AND(E875=1,L875=1),AI875,"")</f>
        <v/>
      </c>
      <c r="AU875" s="34">
        <f>IF(AND(E875=1,L875=0),AI875,"")</f>
        <v>2.8</v>
      </c>
      <c r="AV875" s="34" t="str">
        <f>IF(AND(E875=1,L875=1),AG875,"")</f>
        <v/>
      </c>
      <c r="AW875" s="34">
        <f>IF(AND(E875=1,L875=0),AG875,"")</f>
        <v>9.3</v>
      </c>
      <c r="AX875" s="34" t="str">
        <f>IF(AND(E875=1,L875=1),AH875,"")</f>
        <v/>
      </c>
      <c r="AY875" s="34">
        <f>IF(AND(E875=1,L875=0),AH875,"")</f>
        <v>8.8</v>
      </c>
      <c r="AZ875" s="34" t="str">
        <f>IF(G875=1,F875,"")</f>
        <v/>
      </c>
      <c r="BA875" s="34" t="str">
        <f>IF(AND(G875=1,L875=1),F875,"")</f>
        <v/>
      </c>
      <c r="BB875" s="34" t="str">
        <f>IF(AND(G875=1,L875=0),F875,"")</f>
        <v/>
      </c>
      <c r="BC875" s="33">
        <f>IF(E875=1,IF(Orders!R872&gt;3,1,0),"")</f>
        <v>0</v>
      </c>
      <c r="BD875" s="33">
        <f>IF(E875=1,IF(Orders!R872&gt;7,1,0),"")</f>
        <v>0</v>
      </c>
      <c r="BE875" s="32" t="str">
        <f>IF(E875=1,IF(Orders!L872&lt;=1.5,"Up to 1.5 km",IF(Orders!L872&lt;=3,"1.5–3 km","Over 3 km")),"")</f>
        <v>Up to 1.5 km</v>
      </c>
      <c r="BF875" s="33">
        <f>IF(E875=1,IF(ABS((Orders!G872-Orders!F872)*1440-Orders!R872)&lt;0.06,1,0),"")</f>
        <v>1</v>
      </c>
      <c r="BG875" s="33">
        <f>IF(ABS((Orders!F872-Orders!E872)*1440-Orders!P872)&lt;0.06,1,0)</f>
        <v>1</v>
      </c>
      <c r="BH875" s="33">
        <f>IF(E875=1,IF(IF(Orders!S872,1,0)=1-G875,1,0),"")</f>
        <v>1</v>
      </c>
      <c r="BI875" s="32" t="str">
        <f>INDEX(Stores!$B$2:$B$21,MATCH(B875,Stores!$A$2:$A$21,0))</f>
        <v>Mumbai</v>
      </c>
    </row>
    <row r="876">
      <c r="A876" s="32" t="str">
        <f>Orders!A873</f>
        <v>O00872</v>
      </c>
      <c r="B876" s="32" t="str">
        <f>Orders!C873</f>
        <v>S003</v>
      </c>
      <c r="C876" s="32" t="str">
        <f>Orders!B873</f>
        <v>C0243</v>
      </c>
      <c r="D876" s="32" t="str">
        <f>Orders!H873</f>
        <v>Delivered</v>
      </c>
      <c r="E876" s="33">
        <f>IF(Orders!H873="Delivered",1,0)</f>
        <v>1</v>
      </c>
      <c r="F876" s="34">
        <f>IF(E876=1,Orders!R873,"")</f>
        <v>-1</v>
      </c>
      <c r="G876" s="33">
        <f>IF(E876=1,IF(Orders!R873&gt;0,1,0),"")</f>
        <v>0</v>
      </c>
      <c r="H876" s="33">
        <f>IF(E876=1,IF(Orders!R873&gt;5,1,0),"")</f>
        <v>0</v>
      </c>
      <c r="I876" s="32" t="str">
        <f>IF(E876=1,"",IF(OR(Orders!T873="Rider unavailable",Orders!T873="Item unavailable"),"Company-caused","Unresolved"))</f>
        <v/>
      </c>
      <c r="J876" s="33">
        <f>IF(OR(E876=1,I876="Company-caused"),1,0)</f>
        <v>1</v>
      </c>
      <c r="K876" s="32" t="str">
        <f>IF(E876=0,IF(I876="Company-caused",IF(Orders!T873="Rider unavailable","C1 Rider unavailable","C2 Item unavailable"),"Outside root: unresolved"),IF(G876=0,"A On time",IF(H876=1,IF(L876=1,"B2a Severe, peak","B2b Severe, off-peak"),IF(L876=1,"B1a Slight, peak","B1b Slight, off-peak"))))</f>
        <v>A On time</v>
      </c>
      <c r="L876" s="33">
        <f>IF(AND(Orders!U873&gt;=19,Orders!U873&lt;22),1,0)</f>
        <v>0</v>
      </c>
      <c r="M876" s="33">
        <f>IF(L876=IF(Orders!V873,1,0),1,0)</f>
        <v>1</v>
      </c>
      <c r="N876" s="32" t="str">
        <f>IF(Orders!W873="","None",Orders!W873)</f>
        <v>Light</v>
      </c>
      <c r="O876" s="35">
        <f>INT(Orders!E873)</f>
        <v>46273.0</v>
      </c>
      <c r="P876" s="33">
        <f>Orders!U873</f>
        <v>23</v>
      </c>
      <c r="Q876" s="33">
        <f>COUNTIFS(Demand!$A$2:$A$4481,B876,Demand!$B$2:$B$4481,O876,Demand!$C$2:$C$4481,P876)</f>
        <v>1</v>
      </c>
      <c r="R876" s="33">
        <f>IF(Q876=1,SUMIFS(Demand!$E$2:$E$4481,Demand!$A$2:$A$4481,B876,Demand!$B$2:$B$4481,O876,Demand!$C$2:$C$4481,P876),"")</f>
        <v>37</v>
      </c>
      <c r="S876" s="33">
        <f>INDEX(Stores!$G$2:$G$21,MATCH(B876,Stores!$A$2:$A$21,0))</f>
        <v>41</v>
      </c>
      <c r="T876" s="34">
        <f>IF(R876="","",R876/S876)</f>
        <v>0.902439024390244</v>
      </c>
      <c r="U876" s="34">
        <f>IF(E876=1,T876,"")</f>
        <v>0.902439024390244</v>
      </c>
      <c r="V876" s="34">
        <f>IF(AND(E876=1,L876=0),T876,"")</f>
        <v>0.902439024390244</v>
      </c>
      <c r="W876" s="33">
        <f>IF(U876="","",IF(U876&lt;=Breakdowns!$C$5,1,IF(U876&lt;=Breakdowns!$C$6,2,IF(U876&lt;=Breakdowns!$C$7,3,4))))</f>
        <v>2</v>
      </c>
      <c r="X876" s="33">
        <f>IF(V876="","",IF(V876&lt;=Breakdowns!$D$5,1,IF(V876&lt;=Breakdowns!$D$6,2,IF(V876&lt;=Breakdowns!$D$7,3,4))))</f>
        <v>2</v>
      </c>
      <c r="Y876" s="34">
        <f>INDEX(Stores!$F$2:$F$21,MATCH(B876,Stores!$A$2:$A$21,0))</f>
        <v>3.84</v>
      </c>
      <c r="Z876" s="33">
        <f>IF(Y876&gt;Store_Summary!$M$2,1,0)</f>
        <v>0</v>
      </c>
      <c r="AA876" s="33">
        <f>INDEX(Stores!$C$2:$C$21,MATCH(B876,Stores!$A$2:$A$21,0))</f>
        <v>426</v>
      </c>
      <c r="AB876" s="33">
        <f>IF(AA876&lt;180,1,0)</f>
        <v>0</v>
      </c>
      <c r="AC876" s="32" t="str">
        <f>IF(Orders!D873="","",INDEX(Riders!$C$2:$C$81,MATCH(Orders!D873,Riders!$A$2:$A$81,0)))</f>
        <v>EV scooter</v>
      </c>
      <c r="AD876" s="33">
        <f>IF(Orders!D873="","",INDEX(Riders!$D$2:$D$81,MATCH(Orders!D873,Riders!$A$2:$A$81,0)))</f>
        <v>4</v>
      </c>
      <c r="AE876" s="33">
        <f>IF(Orders!D873="","",IF(INDEX(Riders!$B$2:$B$81,MATCH(Orders!D873,Riders!$A$2:$A$81,0))=B876,1,0))</f>
        <v>0</v>
      </c>
      <c r="AF876" s="34">
        <f>IF(E876=1,Orders!L873,"")</f>
        <v>2.1</v>
      </c>
      <c r="AG876" s="34">
        <f>IF(E876=1,Orders!P873,"")</f>
        <v>10.1</v>
      </c>
      <c r="AH876" s="34">
        <f>IF(E876=1,Orders!Q873,"")</f>
        <v>9.1</v>
      </c>
      <c r="AI876" s="34">
        <f>IF(E876=1,Orders!M873,"")</f>
        <v>3.3</v>
      </c>
      <c r="AJ876" s="34">
        <f>IF(E876=1,Orders!N873,"")</f>
        <v>1.7</v>
      </c>
      <c r="AK876" s="34">
        <f>IF(E876=1,Orders!O873,"")</f>
        <v>4.1</v>
      </c>
      <c r="AL876" s="33">
        <f>IF(E876=1,IF(ROUND(ABS(AI876+AJ876+AK876-AH876),6)&lt;=0.1,1,0),"")</f>
        <v>1</v>
      </c>
      <c r="AM876" s="36">
        <f>IF(E876=1,AI876/AH876,"")</f>
        <v>0.362637362637363</v>
      </c>
      <c r="AN876" s="36">
        <f>IF(E876=1,AJ876/AH876,"")</f>
        <v>0.186813186813187</v>
      </c>
      <c r="AO876" s="36">
        <f>IF(E876=1,AK876/AH876,"")</f>
        <v>0.450549450549451</v>
      </c>
      <c r="AP876" s="34">
        <f>IF(E876=1,Orders!Y873,"")</f>
        <v>0.28</v>
      </c>
      <c r="AQ876" s="33">
        <f>IF(Orders!X873,1,0)</f>
        <v>0</v>
      </c>
      <c r="AR876" s="34" t="str">
        <f>IF(AND(E876=1,L876=1),AJ876,"")</f>
        <v/>
      </c>
      <c r="AS876" s="34">
        <f>IF(AND(E876=1,L876=0),AJ876,"")</f>
        <v>1.7</v>
      </c>
      <c r="AT876" s="34" t="str">
        <f>IF(AND(E876=1,L876=1),AI876,"")</f>
        <v/>
      </c>
      <c r="AU876" s="34">
        <f>IF(AND(E876=1,L876=0),AI876,"")</f>
        <v>3.3</v>
      </c>
      <c r="AV876" s="34" t="str">
        <f>IF(AND(E876=1,L876=1),AG876,"")</f>
        <v/>
      </c>
      <c r="AW876" s="34">
        <f>IF(AND(E876=1,L876=0),AG876,"")</f>
        <v>10.1</v>
      </c>
      <c r="AX876" s="34" t="str">
        <f>IF(AND(E876=1,L876=1),AH876,"")</f>
        <v/>
      </c>
      <c r="AY876" s="34">
        <f>IF(AND(E876=1,L876=0),AH876,"")</f>
        <v>9.1</v>
      </c>
      <c r="AZ876" s="34" t="str">
        <f>IF(G876=1,F876,"")</f>
        <v/>
      </c>
      <c r="BA876" s="34" t="str">
        <f>IF(AND(G876=1,L876=1),F876,"")</f>
        <v/>
      </c>
      <c r="BB876" s="34" t="str">
        <f>IF(AND(G876=1,L876=0),F876,"")</f>
        <v/>
      </c>
      <c r="BC876" s="33">
        <f>IF(E876=1,IF(Orders!R873&gt;3,1,0),"")</f>
        <v>0</v>
      </c>
      <c r="BD876" s="33">
        <f>IF(E876=1,IF(Orders!R873&gt;7,1,0),"")</f>
        <v>0</v>
      </c>
      <c r="BE876" s="32" t="str">
        <f>IF(E876=1,IF(Orders!L873&lt;=1.5,"Up to 1.5 km",IF(Orders!L873&lt;=3,"1.5–3 km","Over 3 km")),"")</f>
        <v>1.5–3 km</v>
      </c>
      <c r="BF876" s="33">
        <f>IF(E876=1,IF(ABS((Orders!G873-Orders!F873)*1440-Orders!R873)&lt;0.06,1,0),"")</f>
        <v>1</v>
      </c>
      <c r="BG876" s="33">
        <f>IF(ABS((Orders!F873-Orders!E873)*1440-Orders!P873)&lt;0.06,1,0)</f>
        <v>1</v>
      </c>
      <c r="BH876" s="33">
        <f>IF(E876=1,IF(IF(Orders!S873,1,0)=1-G876,1,0),"")</f>
        <v>1</v>
      </c>
      <c r="BI876" s="32" t="str">
        <f>INDEX(Stores!$B$2:$B$21,MATCH(B876,Stores!$A$2:$A$21,0))</f>
        <v>Mumbai</v>
      </c>
    </row>
    <row r="877">
      <c r="A877" s="32" t="str">
        <f>Orders!A874</f>
        <v>O00873</v>
      </c>
      <c r="B877" s="32" t="str">
        <f>Orders!C874</f>
        <v>S010</v>
      </c>
      <c r="C877" s="32" t="str">
        <f>Orders!B874</f>
        <v>C0119</v>
      </c>
      <c r="D877" s="32" t="str">
        <f>Orders!H874</f>
        <v>Delivered</v>
      </c>
      <c r="E877" s="33">
        <f>IF(Orders!H874="Delivered",1,0)</f>
        <v>1</v>
      </c>
      <c r="F877" s="34">
        <f>IF(E877=1,Orders!R874,"")</f>
        <v>-0.5</v>
      </c>
      <c r="G877" s="33">
        <f>IF(E877=1,IF(Orders!R874&gt;0,1,0),"")</f>
        <v>0</v>
      </c>
      <c r="H877" s="33">
        <f>IF(E877=1,IF(Orders!R874&gt;5,1,0),"")</f>
        <v>0</v>
      </c>
      <c r="I877" s="32" t="str">
        <f>IF(E877=1,"",IF(OR(Orders!T874="Rider unavailable",Orders!T874="Item unavailable"),"Company-caused","Unresolved"))</f>
        <v/>
      </c>
      <c r="J877" s="33">
        <f>IF(OR(E877=1,I877="Company-caused"),1,0)</f>
        <v>1</v>
      </c>
      <c r="K877" s="32" t="str">
        <f>IF(E877=0,IF(I877="Company-caused",IF(Orders!T874="Rider unavailable","C1 Rider unavailable","C2 Item unavailable"),"Outside root: unresolved"),IF(G877=0,"A On time",IF(H877=1,IF(L877=1,"B2a Severe, peak","B2b Severe, off-peak"),IF(L877=1,"B1a Slight, peak","B1b Slight, off-peak"))))</f>
        <v>A On time</v>
      </c>
      <c r="L877" s="33">
        <f>IF(AND(Orders!U874&gt;=19,Orders!U874&lt;22),1,0)</f>
        <v>0</v>
      </c>
      <c r="M877" s="33">
        <f>IF(L877=IF(Orders!V874,1,0),1,0)</f>
        <v>1</v>
      </c>
      <c r="N877" s="32" t="str">
        <f>IF(Orders!W874="","None",Orders!W874)</f>
        <v>None</v>
      </c>
      <c r="O877" s="35">
        <f>INT(Orders!E874)</f>
        <v>46273.0</v>
      </c>
      <c r="P877" s="33">
        <f>Orders!U874</f>
        <v>15</v>
      </c>
      <c r="Q877" s="33">
        <f>COUNTIFS(Demand!$A$2:$A$4481,B877,Demand!$B$2:$B$4481,O877,Demand!$C$2:$C$4481,P877)</f>
        <v>1</v>
      </c>
      <c r="R877" s="33">
        <f>IF(Q877=1,SUMIFS(Demand!$E$2:$E$4481,Demand!$A$2:$A$4481,B877,Demand!$B$2:$B$4481,O877,Demand!$C$2:$C$4481,P877),"")</f>
        <v>14</v>
      </c>
      <c r="S877" s="33">
        <f>INDEX(Stores!$G$2:$G$21,MATCH(B877,Stores!$A$2:$A$21,0))</f>
        <v>22</v>
      </c>
      <c r="T877" s="34">
        <f>IF(R877="","",R877/S877)</f>
        <v>0.636363636363636</v>
      </c>
      <c r="U877" s="34">
        <f>IF(E877=1,T877,"")</f>
        <v>0.636363636363636</v>
      </c>
      <c r="V877" s="34">
        <f>IF(AND(E877=1,L877=0),T877,"")</f>
        <v>0.636363636363636</v>
      </c>
      <c r="W877" s="33">
        <f>IF(U877="","",IF(U877&lt;=Breakdowns!$C$5,1,IF(U877&lt;=Breakdowns!$C$6,2,IF(U877&lt;=Breakdowns!$C$7,3,4))))</f>
        <v>1</v>
      </c>
      <c r="X877" s="33">
        <f>IF(V877="","",IF(V877&lt;=Breakdowns!$D$5,1,IF(V877&lt;=Breakdowns!$D$6,2,IF(V877&lt;=Breakdowns!$D$7,3,4))))</f>
        <v>1</v>
      </c>
      <c r="Y877" s="34">
        <f>INDEX(Stores!$F$2:$F$21,MATCH(B877,Stores!$A$2:$A$21,0))</f>
        <v>5.61</v>
      </c>
      <c r="Z877" s="33">
        <f>IF(Y877&gt;Store_Summary!$M$2,1,0)</f>
        <v>1</v>
      </c>
      <c r="AA877" s="33">
        <f>INDEX(Stores!$C$2:$C$21,MATCH(B877,Stores!$A$2:$A$21,0))</f>
        <v>744</v>
      </c>
      <c r="AB877" s="33">
        <f>IF(AA877&lt;180,1,0)</f>
        <v>0</v>
      </c>
      <c r="AC877" s="32" t="str">
        <f>IF(Orders!D874="","",INDEX(Riders!$C$2:$C$81,MATCH(Orders!D874,Riders!$A$2:$A$81,0)))</f>
        <v>Petrol scooter</v>
      </c>
      <c r="AD877" s="33">
        <f>IF(Orders!D874="","",INDEX(Riders!$D$2:$D$81,MATCH(Orders!D874,Riders!$A$2:$A$81,0)))</f>
        <v>29</v>
      </c>
      <c r="AE877" s="33">
        <f>IF(Orders!D874="","",IF(INDEX(Riders!$B$2:$B$81,MATCH(Orders!D874,Riders!$A$2:$A$81,0))=B877,1,0))</f>
        <v>0</v>
      </c>
      <c r="AF877" s="34">
        <f>IF(E877=1,Orders!L874,"")</f>
        <v>1.09</v>
      </c>
      <c r="AG877" s="34">
        <f>IF(E877=1,Orders!P874,"")</f>
        <v>11</v>
      </c>
      <c r="AH877" s="34">
        <f>IF(E877=1,Orders!Q874,"")</f>
        <v>10.5</v>
      </c>
      <c r="AI877" s="34">
        <f>IF(E877=1,Orders!M874,"")</f>
        <v>5.4</v>
      </c>
      <c r="AJ877" s="34">
        <f>IF(E877=1,Orders!N874,"")</f>
        <v>2</v>
      </c>
      <c r="AK877" s="34">
        <f>IF(E877=1,Orders!O874,"")</f>
        <v>3.1</v>
      </c>
      <c r="AL877" s="33">
        <f>IF(E877=1,IF(ROUND(ABS(AI877+AJ877+AK877-AH877),6)&lt;=0.1,1,0),"")</f>
        <v>1</v>
      </c>
      <c r="AM877" s="36">
        <f>IF(E877=1,AI877/AH877,"")</f>
        <v>0.514285714285714</v>
      </c>
      <c r="AN877" s="36">
        <f>IF(E877=1,AJ877/AH877,"")</f>
        <v>0.19047619047619</v>
      </c>
      <c r="AO877" s="36">
        <f>IF(E877=1,AK877/AH877,"")</f>
        <v>0.295238095238095</v>
      </c>
      <c r="AP877" s="34">
        <f>IF(E877=1,Orders!Y874,"")</f>
        <v>0.29</v>
      </c>
      <c r="AQ877" s="33">
        <f>IF(Orders!X874,1,0)</f>
        <v>0</v>
      </c>
      <c r="AR877" s="34" t="str">
        <f>IF(AND(E877=1,L877=1),AJ877,"")</f>
        <v/>
      </c>
      <c r="AS877" s="34">
        <f>IF(AND(E877=1,L877=0),AJ877,"")</f>
        <v>2</v>
      </c>
      <c r="AT877" s="34" t="str">
        <f>IF(AND(E877=1,L877=1),AI877,"")</f>
        <v/>
      </c>
      <c r="AU877" s="34">
        <f>IF(AND(E877=1,L877=0),AI877,"")</f>
        <v>5.4</v>
      </c>
      <c r="AV877" s="34" t="str">
        <f>IF(AND(E877=1,L877=1),AG877,"")</f>
        <v/>
      </c>
      <c r="AW877" s="34">
        <f>IF(AND(E877=1,L877=0),AG877,"")</f>
        <v>11</v>
      </c>
      <c r="AX877" s="34" t="str">
        <f>IF(AND(E877=1,L877=1),AH877,"")</f>
        <v/>
      </c>
      <c r="AY877" s="34">
        <f>IF(AND(E877=1,L877=0),AH877,"")</f>
        <v>10.5</v>
      </c>
      <c r="AZ877" s="34" t="str">
        <f>IF(G877=1,F877,"")</f>
        <v/>
      </c>
      <c r="BA877" s="34" t="str">
        <f>IF(AND(G877=1,L877=1),F877,"")</f>
        <v/>
      </c>
      <c r="BB877" s="34" t="str">
        <f>IF(AND(G877=1,L877=0),F877,"")</f>
        <v/>
      </c>
      <c r="BC877" s="33">
        <f>IF(E877=1,IF(Orders!R874&gt;3,1,0),"")</f>
        <v>0</v>
      </c>
      <c r="BD877" s="33">
        <f>IF(E877=1,IF(Orders!R874&gt;7,1,0),"")</f>
        <v>0</v>
      </c>
      <c r="BE877" s="32" t="str">
        <f>IF(E877=1,IF(Orders!L874&lt;=1.5,"Up to 1.5 km",IF(Orders!L874&lt;=3,"1.5–3 km","Over 3 km")),"")</f>
        <v>Up to 1.5 km</v>
      </c>
      <c r="BF877" s="33">
        <f>IF(E877=1,IF(ABS((Orders!G874-Orders!F874)*1440-Orders!R874)&lt;0.06,1,0),"")</f>
        <v>1</v>
      </c>
      <c r="BG877" s="33">
        <f>IF(ABS((Orders!F874-Orders!E874)*1440-Orders!P874)&lt;0.06,1,0)</f>
        <v>1</v>
      </c>
      <c r="BH877" s="33">
        <f>IF(E877=1,IF(IF(Orders!S874,1,0)=1-G877,1,0),"")</f>
        <v>1</v>
      </c>
      <c r="BI877" s="32" t="str">
        <f>INDEX(Stores!$B$2:$B$21,MATCH(B877,Stores!$A$2:$A$21,0))</f>
        <v>Delhi</v>
      </c>
    </row>
    <row r="878">
      <c r="A878" s="32" t="str">
        <f>Orders!A875</f>
        <v>O00874</v>
      </c>
      <c r="B878" s="32" t="str">
        <f>Orders!C875</f>
        <v>S008</v>
      </c>
      <c r="C878" s="32" t="str">
        <f>Orders!B875</f>
        <v>C0234</v>
      </c>
      <c r="D878" s="32" t="str">
        <f>Orders!H875</f>
        <v>Delivered</v>
      </c>
      <c r="E878" s="33">
        <f>IF(Orders!H875="Delivered",1,0)</f>
        <v>1</v>
      </c>
      <c r="F878" s="34">
        <f>IF(E878=1,Orders!R875,"")</f>
        <v>-0.9</v>
      </c>
      <c r="G878" s="33">
        <f>IF(E878=1,IF(Orders!R875&gt;0,1,0),"")</f>
        <v>0</v>
      </c>
      <c r="H878" s="33">
        <f>IF(E878=1,IF(Orders!R875&gt;5,1,0),"")</f>
        <v>0</v>
      </c>
      <c r="I878" s="32" t="str">
        <f>IF(E878=1,"",IF(OR(Orders!T875="Rider unavailable",Orders!T875="Item unavailable"),"Company-caused","Unresolved"))</f>
        <v/>
      </c>
      <c r="J878" s="33">
        <f>IF(OR(E878=1,I878="Company-caused"),1,0)</f>
        <v>1</v>
      </c>
      <c r="K878" s="32" t="str">
        <f>IF(E878=0,IF(I878="Company-caused",IF(Orders!T875="Rider unavailable","C1 Rider unavailable","C2 Item unavailable"),"Outside root: unresolved"),IF(G878=0,"A On time",IF(H878=1,IF(L878=1,"B2a Severe, peak","B2b Severe, off-peak"),IF(L878=1,"B1a Slight, peak","B1b Slight, off-peak"))))</f>
        <v>A On time</v>
      </c>
      <c r="L878" s="33">
        <f>IF(AND(Orders!U875&gt;=19,Orders!U875&lt;22),1,0)</f>
        <v>1</v>
      </c>
      <c r="M878" s="33">
        <f>IF(L878=IF(Orders!V875,1,0),1,0)</f>
        <v>1</v>
      </c>
      <c r="N878" s="32" t="str">
        <f>IF(Orders!W875="","None",Orders!W875)</f>
        <v>None</v>
      </c>
      <c r="O878" s="35">
        <f>INT(Orders!E875)</f>
        <v>46278.0</v>
      </c>
      <c r="P878" s="33">
        <f>Orders!U875</f>
        <v>21</v>
      </c>
      <c r="Q878" s="33">
        <f>COUNTIFS(Demand!$A$2:$A$4481,B878,Demand!$B$2:$B$4481,O878,Demand!$C$2:$C$4481,P878)</f>
        <v>1</v>
      </c>
      <c r="R878" s="33">
        <f>IF(Q878=1,SUMIFS(Demand!$E$2:$E$4481,Demand!$A$2:$A$4481,B878,Demand!$B$2:$B$4481,O878,Demand!$C$2:$C$4481,P878),"")</f>
        <v>44</v>
      </c>
      <c r="S878" s="33">
        <f>INDEX(Stores!$G$2:$G$21,MATCH(B878,Stores!$A$2:$A$21,0))</f>
        <v>23</v>
      </c>
      <c r="T878" s="34">
        <f>IF(R878="","",R878/S878)</f>
        <v>1.91304347826087</v>
      </c>
      <c r="U878" s="34">
        <f>IF(E878=1,T878,"")</f>
        <v>1.91304347826087</v>
      </c>
      <c r="V878" s="34" t="str">
        <f>IF(AND(E878=1,L878=0),T878,"")</f>
        <v/>
      </c>
      <c r="W878" s="33">
        <f>IF(U878="","",IF(U878&lt;=Breakdowns!$C$5,1,IF(U878&lt;=Breakdowns!$C$6,2,IF(U878&lt;=Breakdowns!$C$7,3,4))))</f>
        <v>4</v>
      </c>
      <c r="X878" s="33" t="str">
        <f>IF(V878="","",IF(V878&lt;=Breakdowns!$D$5,1,IF(V878&lt;=Breakdowns!$D$6,2,IF(V878&lt;=Breakdowns!$D$7,3,4))))</f>
        <v/>
      </c>
      <c r="Y878" s="34">
        <f>INDEX(Stores!$F$2:$F$21,MATCH(B878,Stores!$A$2:$A$21,0))</f>
        <v>3.46</v>
      </c>
      <c r="Z878" s="33">
        <f>IF(Y878&gt;Store_Summary!$M$2,1,0)</f>
        <v>0</v>
      </c>
      <c r="AA878" s="33">
        <f>INDEX(Stores!$C$2:$C$21,MATCH(B878,Stores!$A$2:$A$21,0))</f>
        <v>825</v>
      </c>
      <c r="AB878" s="33">
        <f>IF(AA878&lt;180,1,0)</f>
        <v>0</v>
      </c>
      <c r="AC878" s="32" t="str">
        <f>IF(Orders!D875="","",INDEX(Riders!$C$2:$C$81,MATCH(Orders!D875,Riders!$A$2:$A$81,0)))</f>
        <v>Petrol scooter</v>
      </c>
      <c r="AD878" s="33">
        <f>IF(Orders!D875="","",INDEX(Riders!$D$2:$D$81,MATCH(Orders!D875,Riders!$A$2:$A$81,0)))</f>
        <v>40</v>
      </c>
      <c r="AE878" s="33">
        <f>IF(Orders!D875="","",IF(INDEX(Riders!$B$2:$B$81,MATCH(Orders!D875,Riders!$A$2:$A$81,0))=B878,1,0))</f>
        <v>0</v>
      </c>
      <c r="AF878" s="34">
        <f>IF(E878=1,Orders!L875,"")</f>
        <v>2.35</v>
      </c>
      <c r="AG878" s="34">
        <f>IF(E878=1,Orders!P875,"")</f>
        <v>10.8</v>
      </c>
      <c r="AH878" s="34">
        <f>IF(E878=1,Orders!Q875,"")</f>
        <v>9.9</v>
      </c>
      <c r="AI878" s="34">
        <f>IF(E878=1,Orders!M875,"")</f>
        <v>2.7</v>
      </c>
      <c r="AJ878" s="34">
        <f>IF(E878=1,Orders!N875,"")</f>
        <v>3.8</v>
      </c>
      <c r="AK878" s="34">
        <f>IF(E878=1,Orders!O875,"")</f>
        <v>3.4</v>
      </c>
      <c r="AL878" s="33">
        <f>IF(E878=1,IF(ROUND(ABS(AI878+AJ878+AK878-AH878),6)&lt;=0.1,1,0),"")</f>
        <v>1</v>
      </c>
      <c r="AM878" s="36">
        <f>IF(E878=1,AI878/AH878,"")</f>
        <v>0.272727272727273</v>
      </c>
      <c r="AN878" s="36">
        <f>IF(E878=1,AJ878/AH878,"")</f>
        <v>0.383838383838384</v>
      </c>
      <c r="AO878" s="36">
        <f>IF(E878=1,AK878/AH878,"")</f>
        <v>0.343434343434343</v>
      </c>
      <c r="AP878" s="34">
        <f>IF(E878=1,Orders!Y875,"")</f>
        <v>0.66</v>
      </c>
      <c r="AQ878" s="33">
        <f>IF(Orders!X875,1,0)</f>
        <v>0</v>
      </c>
      <c r="AR878" s="34">
        <f>IF(AND(E878=1,L878=1),AJ878,"")</f>
        <v>3.8</v>
      </c>
      <c r="AS878" s="34" t="str">
        <f>IF(AND(E878=1,L878=0),AJ878,"")</f>
        <v/>
      </c>
      <c r="AT878" s="34">
        <f>IF(AND(E878=1,L878=1),AI878,"")</f>
        <v>2.7</v>
      </c>
      <c r="AU878" s="34" t="str">
        <f>IF(AND(E878=1,L878=0),AI878,"")</f>
        <v/>
      </c>
      <c r="AV878" s="34">
        <f>IF(AND(E878=1,L878=1),AG878,"")</f>
        <v>10.8</v>
      </c>
      <c r="AW878" s="34" t="str">
        <f>IF(AND(E878=1,L878=0),AG878,"")</f>
        <v/>
      </c>
      <c r="AX878" s="34">
        <f>IF(AND(E878=1,L878=1),AH878,"")</f>
        <v>9.9</v>
      </c>
      <c r="AY878" s="34" t="str">
        <f>IF(AND(E878=1,L878=0),AH878,"")</f>
        <v/>
      </c>
      <c r="AZ878" s="34" t="str">
        <f>IF(G878=1,F878,"")</f>
        <v/>
      </c>
      <c r="BA878" s="34" t="str">
        <f>IF(AND(G878=1,L878=1),F878,"")</f>
        <v/>
      </c>
      <c r="BB878" s="34" t="str">
        <f>IF(AND(G878=1,L878=0),F878,"")</f>
        <v/>
      </c>
      <c r="BC878" s="33">
        <f>IF(E878=1,IF(Orders!R875&gt;3,1,0),"")</f>
        <v>0</v>
      </c>
      <c r="BD878" s="33">
        <f>IF(E878=1,IF(Orders!R875&gt;7,1,0),"")</f>
        <v>0</v>
      </c>
      <c r="BE878" s="32" t="str">
        <f>IF(E878=1,IF(Orders!L875&lt;=1.5,"Up to 1.5 km",IF(Orders!L875&lt;=3,"1.5–3 km","Over 3 km")),"")</f>
        <v>1.5–3 km</v>
      </c>
      <c r="BF878" s="33">
        <f>IF(E878=1,IF(ABS((Orders!G875-Orders!F875)*1440-Orders!R875)&lt;0.06,1,0),"")</f>
        <v>1</v>
      </c>
      <c r="BG878" s="33">
        <f>IF(ABS((Orders!F875-Orders!E875)*1440-Orders!P875)&lt;0.06,1,0)</f>
        <v>1</v>
      </c>
      <c r="BH878" s="33">
        <f>IF(E878=1,IF(IF(Orders!S875,1,0)=1-G878,1,0),"")</f>
        <v>1</v>
      </c>
      <c r="BI878" s="32" t="str">
        <f>INDEX(Stores!$B$2:$B$21,MATCH(B878,Stores!$A$2:$A$21,0))</f>
        <v>Mumbai</v>
      </c>
    </row>
    <row r="879">
      <c r="A879" s="32" t="str">
        <f>Orders!A876</f>
        <v>O00875</v>
      </c>
      <c r="B879" s="32" t="str">
        <f>Orders!C876</f>
        <v>S015</v>
      </c>
      <c r="C879" s="32" t="str">
        <f>Orders!B876</f>
        <v>C0212</v>
      </c>
      <c r="D879" s="32" t="str">
        <f>Orders!H876</f>
        <v>Delivered</v>
      </c>
      <c r="E879" s="33">
        <f>IF(Orders!H876="Delivered",1,0)</f>
        <v>1</v>
      </c>
      <c r="F879" s="34">
        <f>IF(E879=1,Orders!R876,"")</f>
        <v>4.7</v>
      </c>
      <c r="G879" s="33">
        <f>IF(E879=1,IF(Orders!R876&gt;0,1,0),"")</f>
        <v>1</v>
      </c>
      <c r="H879" s="33">
        <f>IF(E879=1,IF(Orders!R876&gt;5,1,0),"")</f>
        <v>0</v>
      </c>
      <c r="I879" s="32" t="str">
        <f>IF(E879=1,"",IF(OR(Orders!T876="Rider unavailable",Orders!T876="Item unavailable"),"Company-caused","Unresolved"))</f>
        <v/>
      </c>
      <c r="J879" s="33">
        <f>IF(OR(E879=1,I879="Company-caused"),1,0)</f>
        <v>1</v>
      </c>
      <c r="K879" s="32" t="str">
        <f>IF(E879=0,IF(I879="Company-caused",IF(Orders!T876="Rider unavailable","C1 Rider unavailable","C2 Item unavailable"),"Outside root: unresolved"),IF(G879=0,"A On time",IF(H879=1,IF(L879=1,"B2a Severe, peak","B2b Severe, off-peak"),IF(L879=1,"B1a Slight, peak","B1b Slight, off-peak"))))</f>
        <v>B1b Slight, off-peak</v>
      </c>
      <c r="L879" s="33">
        <f>IF(AND(Orders!U876&gt;=19,Orders!U876&lt;22),1,0)</f>
        <v>0</v>
      </c>
      <c r="M879" s="33">
        <f>IF(L879=IF(Orders!V876,1,0),1,0)</f>
        <v>1</v>
      </c>
      <c r="N879" s="32" t="str">
        <f>IF(Orders!W876="","None",Orders!W876)</f>
        <v>Light</v>
      </c>
      <c r="O879" s="35">
        <f>INT(Orders!E876)</f>
        <v>46269.0</v>
      </c>
      <c r="P879" s="33">
        <f>Orders!U876</f>
        <v>11</v>
      </c>
      <c r="Q879" s="33">
        <f>COUNTIFS(Demand!$A$2:$A$4481,B879,Demand!$B$2:$B$4481,O879,Demand!$C$2:$C$4481,P879)</f>
        <v>1</v>
      </c>
      <c r="R879" s="33">
        <f>IF(Q879=1,SUMIFS(Demand!$E$2:$E$4481,Demand!$A$2:$A$4481,B879,Demand!$B$2:$B$4481,O879,Demand!$C$2:$C$4481,P879),"")</f>
        <v>15</v>
      </c>
      <c r="S879" s="33">
        <f>INDEX(Stores!$G$2:$G$21,MATCH(B879,Stores!$A$2:$A$21,0))</f>
        <v>23</v>
      </c>
      <c r="T879" s="34">
        <f>IF(R879="","",R879/S879)</f>
        <v>0.652173913043478</v>
      </c>
      <c r="U879" s="34">
        <f>IF(E879=1,T879,"")</f>
        <v>0.652173913043478</v>
      </c>
      <c r="V879" s="34">
        <f>IF(AND(E879=1,L879=0),T879,"")</f>
        <v>0.652173913043478</v>
      </c>
      <c r="W879" s="33">
        <f>IF(U879="","",IF(U879&lt;=Breakdowns!$C$5,1,IF(U879&lt;=Breakdowns!$C$6,2,IF(U879&lt;=Breakdowns!$C$7,3,4))))</f>
        <v>1</v>
      </c>
      <c r="X879" s="33">
        <f>IF(V879="","",IF(V879&lt;=Breakdowns!$D$5,1,IF(V879&lt;=Breakdowns!$D$6,2,IF(V879&lt;=Breakdowns!$D$7,3,4))))</f>
        <v>1</v>
      </c>
      <c r="Y879" s="34">
        <f>INDEX(Stores!$F$2:$F$21,MATCH(B879,Stores!$A$2:$A$21,0))</f>
        <v>4.66</v>
      </c>
      <c r="Z879" s="33">
        <f>IF(Y879&gt;Store_Summary!$M$2,1,0)</f>
        <v>0</v>
      </c>
      <c r="AA879" s="33">
        <f>INDEX(Stores!$C$2:$C$21,MATCH(B879,Stores!$A$2:$A$21,0))</f>
        <v>204</v>
      </c>
      <c r="AB879" s="33">
        <f>IF(AA879&lt;180,1,0)</f>
        <v>0</v>
      </c>
      <c r="AC879" s="32" t="str">
        <f>IF(Orders!D876="","",INDEX(Riders!$C$2:$C$81,MATCH(Orders!D876,Riders!$A$2:$A$81,0)))</f>
        <v>Bicycle</v>
      </c>
      <c r="AD879" s="33">
        <f>IF(Orders!D876="","",INDEX(Riders!$D$2:$D$81,MATCH(Orders!D876,Riders!$A$2:$A$81,0)))</f>
        <v>2</v>
      </c>
      <c r="AE879" s="33">
        <f>IF(Orders!D876="","",IF(INDEX(Riders!$B$2:$B$81,MATCH(Orders!D876,Riders!$A$2:$A$81,0))=B879,1,0))</f>
        <v>0</v>
      </c>
      <c r="AF879" s="34">
        <f>IF(E879=1,Orders!L876,"")</f>
        <v>3.47</v>
      </c>
      <c r="AG879" s="34">
        <f>IF(E879=1,Orders!P876,"")</f>
        <v>11.9</v>
      </c>
      <c r="AH879" s="34">
        <f>IF(E879=1,Orders!Q876,"")</f>
        <v>16.6</v>
      </c>
      <c r="AI879" s="34">
        <f>IF(E879=1,Orders!M876,"")</f>
        <v>6.2</v>
      </c>
      <c r="AJ879" s="34">
        <f>IF(E879=1,Orders!N876,"")</f>
        <v>2.8</v>
      </c>
      <c r="AK879" s="34">
        <f>IF(E879=1,Orders!O876,"")</f>
        <v>7.6</v>
      </c>
      <c r="AL879" s="33">
        <f>IF(E879=1,IF(ROUND(ABS(AI879+AJ879+AK879-AH879),6)&lt;=0.1,1,0),"")</f>
        <v>1</v>
      </c>
      <c r="AM879" s="36">
        <f>IF(E879=1,AI879/AH879,"")</f>
        <v>0.373493975903614</v>
      </c>
      <c r="AN879" s="36">
        <f>IF(E879=1,AJ879/AH879,"")</f>
        <v>0.168674698795181</v>
      </c>
      <c r="AO879" s="36">
        <f>IF(E879=1,AK879/AH879,"")</f>
        <v>0.457831325301205</v>
      </c>
      <c r="AP879" s="34">
        <f>IF(E879=1,Orders!Y876,"")</f>
        <v>0.18</v>
      </c>
      <c r="AQ879" s="33">
        <f>IF(Orders!X876,1,0)</f>
        <v>0</v>
      </c>
      <c r="AR879" s="34" t="str">
        <f>IF(AND(E879=1,L879=1),AJ879,"")</f>
        <v/>
      </c>
      <c r="AS879" s="34">
        <f>IF(AND(E879=1,L879=0),AJ879,"")</f>
        <v>2.8</v>
      </c>
      <c r="AT879" s="34" t="str">
        <f>IF(AND(E879=1,L879=1),AI879,"")</f>
        <v/>
      </c>
      <c r="AU879" s="34">
        <f>IF(AND(E879=1,L879=0),AI879,"")</f>
        <v>6.2</v>
      </c>
      <c r="AV879" s="34" t="str">
        <f>IF(AND(E879=1,L879=1),AG879,"")</f>
        <v/>
      </c>
      <c r="AW879" s="34">
        <f>IF(AND(E879=1,L879=0),AG879,"")</f>
        <v>11.9</v>
      </c>
      <c r="AX879" s="34" t="str">
        <f>IF(AND(E879=1,L879=1),AH879,"")</f>
        <v/>
      </c>
      <c r="AY879" s="34">
        <f>IF(AND(E879=1,L879=0),AH879,"")</f>
        <v>16.6</v>
      </c>
      <c r="AZ879" s="34">
        <f>IF(G879=1,F879,"")</f>
        <v>4.7</v>
      </c>
      <c r="BA879" s="34" t="str">
        <f>IF(AND(G879=1,L879=1),F879,"")</f>
        <v/>
      </c>
      <c r="BB879" s="34">
        <f>IF(AND(G879=1,L879=0),F879,"")</f>
        <v>4.7</v>
      </c>
      <c r="BC879" s="33">
        <f>IF(E879=1,IF(Orders!R876&gt;3,1,0),"")</f>
        <v>1</v>
      </c>
      <c r="BD879" s="33">
        <f>IF(E879=1,IF(Orders!R876&gt;7,1,0),"")</f>
        <v>0</v>
      </c>
      <c r="BE879" s="32" t="str">
        <f>IF(E879=1,IF(Orders!L876&lt;=1.5,"Up to 1.5 km",IF(Orders!L876&lt;=3,"1.5–3 km","Over 3 km")),"")</f>
        <v>Over 3 km</v>
      </c>
      <c r="BF879" s="33">
        <f>IF(E879=1,IF(ABS((Orders!G876-Orders!F876)*1440-Orders!R876)&lt;0.06,1,0),"")</f>
        <v>1</v>
      </c>
      <c r="BG879" s="33">
        <f>IF(ABS((Orders!F876-Orders!E876)*1440-Orders!P876)&lt;0.06,1,0)</f>
        <v>1</v>
      </c>
      <c r="BH879" s="33">
        <f>IF(E879=1,IF(IF(Orders!S876,1,0)=1-G879,1,0),"")</f>
        <v>1</v>
      </c>
      <c r="BI879" s="32" t="str">
        <f>INDEX(Stores!$B$2:$B$21,MATCH(B879,Stores!$A$2:$A$21,0))</f>
        <v>Delhi</v>
      </c>
    </row>
    <row r="880">
      <c r="A880" s="32" t="str">
        <f>Orders!A877</f>
        <v>O00876</v>
      </c>
      <c r="B880" s="32" t="str">
        <f>Orders!C877</f>
        <v>S011</v>
      </c>
      <c r="C880" s="32" t="str">
        <f>Orders!B877</f>
        <v>C0204</v>
      </c>
      <c r="D880" s="32" t="str">
        <f>Orders!H877</f>
        <v>Delivered</v>
      </c>
      <c r="E880" s="33">
        <f>IF(Orders!H877="Delivered",1,0)</f>
        <v>1</v>
      </c>
      <c r="F880" s="34">
        <f>IF(E880=1,Orders!R877,"")</f>
        <v>14.1</v>
      </c>
      <c r="G880" s="33">
        <f>IF(E880=1,IF(Orders!R877&gt;0,1,0),"")</f>
        <v>1</v>
      </c>
      <c r="H880" s="33">
        <f>IF(E880=1,IF(Orders!R877&gt;5,1,0),"")</f>
        <v>1</v>
      </c>
      <c r="I880" s="32" t="str">
        <f>IF(E880=1,"",IF(OR(Orders!T877="Rider unavailable",Orders!T877="Item unavailable"),"Company-caused","Unresolved"))</f>
        <v/>
      </c>
      <c r="J880" s="33">
        <f>IF(OR(E880=1,I880="Company-caused"),1,0)</f>
        <v>1</v>
      </c>
      <c r="K880" s="32" t="str">
        <f>IF(E880=0,IF(I880="Company-caused",IF(Orders!T877="Rider unavailable","C1 Rider unavailable","C2 Item unavailable"),"Outside root: unresolved"),IF(G880=0,"A On time",IF(H880=1,IF(L880=1,"B2a Severe, peak","B2b Severe, off-peak"),IF(L880=1,"B1a Slight, peak","B1b Slight, off-peak"))))</f>
        <v>B2a Severe, peak</v>
      </c>
      <c r="L880" s="33">
        <f>IF(AND(Orders!U877&gt;=19,Orders!U877&lt;22),1,0)</f>
        <v>1</v>
      </c>
      <c r="M880" s="33">
        <f>IF(L880=IF(Orders!V877,1,0),1,0)</f>
        <v>1</v>
      </c>
      <c r="N880" s="32" t="str">
        <f>IF(Orders!W877="","None",Orders!W877)</f>
        <v>None</v>
      </c>
      <c r="O880" s="35">
        <f>INT(Orders!E877)</f>
        <v>46270.0</v>
      </c>
      <c r="P880" s="33">
        <f>Orders!U877</f>
        <v>19</v>
      </c>
      <c r="Q880" s="33">
        <f>COUNTIFS(Demand!$A$2:$A$4481,B880,Demand!$B$2:$B$4481,O880,Demand!$C$2:$C$4481,P880)</f>
        <v>1</v>
      </c>
      <c r="R880" s="33">
        <f>IF(Q880=1,SUMIFS(Demand!$E$2:$E$4481,Demand!$A$2:$A$4481,B880,Demand!$B$2:$B$4481,O880,Demand!$C$2:$C$4481,P880),"")</f>
        <v>54</v>
      </c>
      <c r="S880" s="33">
        <f>INDEX(Stores!$G$2:$G$21,MATCH(B880,Stores!$A$2:$A$21,0))</f>
        <v>31</v>
      </c>
      <c r="T880" s="34">
        <f>IF(R880="","",R880/S880)</f>
        <v>1.74193548387097</v>
      </c>
      <c r="U880" s="34">
        <f>IF(E880=1,T880,"")</f>
        <v>1.74193548387097</v>
      </c>
      <c r="V880" s="34" t="str">
        <f>IF(AND(E880=1,L880=0),T880,"")</f>
        <v/>
      </c>
      <c r="W880" s="33">
        <f>IF(U880="","",IF(U880&lt;=Breakdowns!$C$5,1,IF(U880&lt;=Breakdowns!$C$6,2,IF(U880&lt;=Breakdowns!$C$7,3,4))))</f>
        <v>4</v>
      </c>
      <c r="X880" s="33" t="str">
        <f>IF(V880="","",IF(V880&lt;=Breakdowns!$D$5,1,IF(V880&lt;=Breakdowns!$D$6,2,IF(V880&lt;=Breakdowns!$D$7,3,4))))</f>
        <v/>
      </c>
      <c r="Y880" s="34">
        <f>INDEX(Stores!$F$2:$F$21,MATCH(B880,Stores!$A$2:$A$21,0))</f>
        <v>5.67</v>
      </c>
      <c r="Z880" s="33">
        <f>IF(Y880&gt;Store_Summary!$M$2,1,0)</f>
        <v>1</v>
      </c>
      <c r="AA880" s="33">
        <f>INDEX(Stores!$C$2:$C$21,MATCH(B880,Stores!$A$2:$A$21,0))</f>
        <v>732</v>
      </c>
      <c r="AB880" s="33">
        <f>IF(AA880&lt;180,1,0)</f>
        <v>0</v>
      </c>
      <c r="AC880" s="32" t="str">
        <f>IF(Orders!D877="","",INDEX(Riders!$C$2:$C$81,MATCH(Orders!D877,Riders!$A$2:$A$81,0)))</f>
        <v>Bicycle</v>
      </c>
      <c r="AD880" s="33">
        <f>IF(Orders!D877="","",INDEX(Riders!$D$2:$D$81,MATCH(Orders!D877,Riders!$A$2:$A$81,0)))</f>
        <v>2</v>
      </c>
      <c r="AE880" s="33">
        <f>IF(Orders!D877="","",IF(INDEX(Riders!$B$2:$B$81,MATCH(Orders!D877,Riders!$A$2:$A$81,0))=B880,1,0))</f>
        <v>0</v>
      </c>
      <c r="AF880" s="34">
        <f>IF(E880=1,Orders!L877,"")</f>
        <v>3.3</v>
      </c>
      <c r="AG880" s="34">
        <f>IF(E880=1,Orders!P877,"")</f>
        <v>11</v>
      </c>
      <c r="AH880" s="34">
        <f>IF(E880=1,Orders!Q877,"")</f>
        <v>25.1</v>
      </c>
      <c r="AI880" s="34">
        <f>IF(E880=1,Orders!M877,"")</f>
        <v>5.7</v>
      </c>
      <c r="AJ880" s="34">
        <f>IF(E880=1,Orders!N877,"")</f>
        <v>9.7</v>
      </c>
      <c r="AK880" s="34">
        <f>IF(E880=1,Orders!O877,"")</f>
        <v>9.8</v>
      </c>
      <c r="AL880" s="33">
        <f>IF(E880=1,IF(ROUND(ABS(AI880+AJ880+AK880-AH880),6)&lt;=0.1,1,0),"")</f>
        <v>1</v>
      </c>
      <c r="AM880" s="36">
        <f>IF(E880=1,AI880/AH880,"")</f>
        <v>0.227091633466135</v>
      </c>
      <c r="AN880" s="36">
        <f>IF(E880=1,AJ880/AH880,"")</f>
        <v>0.386454183266932</v>
      </c>
      <c r="AO880" s="36">
        <f>IF(E880=1,AK880/AH880,"")</f>
        <v>0.390438247011952</v>
      </c>
      <c r="AP880" s="34">
        <f>IF(E880=1,Orders!Y877,"")</f>
        <v>0.59</v>
      </c>
      <c r="AQ880" s="33">
        <f>IF(Orders!X877,1,0)</f>
        <v>0</v>
      </c>
      <c r="AR880" s="34">
        <f>IF(AND(E880=1,L880=1),AJ880,"")</f>
        <v>9.7</v>
      </c>
      <c r="AS880" s="34" t="str">
        <f>IF(AND(E880=1,L880=0),AJ880,"")</f>
        <v/>
      </c>
      <c r="AT880" s="34">
        <f>IF(AND(E880=1,L880=1),AI880,"")</f>
        <v>5.7</v>
      </c>
      <c r="AU880" s="34" t="str">
        <f>IF(AND(E880=1,L880=0),AI880,"")</f>
        <v/>
      </c>
      <c r="AV880" s="34">
        <f>IF(AND(E880=1,L880=1),AG880,"")</f>
        <v>11</v>
      </c>
      <c r="AW880" s="34" t="str">
        <f>IF(AND(E880=1,L880=0),AG880,"")</f>
        <v/>
      </c>
      <c r="AX880" s="34">
        <f>IF(AND(E880=1,L880=1),AH880,"")</f>
        <v>25.1</v>
      </c>
      <c r="AY880" s="34" t="str">
        <f>IF(AND(E880=1,L880=0),AH880,"")</f>
        <v/>
      </c>
      <c r="AZ880" s="34">
        <f>IF(G880=1,F880,"")</f>
        <v>14.1</v>
      </c>
      <c r="BA880" s="34">
        <f>IF(AND(G880=1,L880=1),F880,"")</f>
        <v>14.1</v>
      </c>
      <c r="BB880" s="34" t="str">
        <f>IF(AND(G880=1,L880=0),F880,"")</f>
        <v/>
      </c>
      <c r="BC880" s="33">
        <f>IF(E880=1,IF(Orders!R877&gt;3,1,0),"")</f>
        <v>1</v>
      </c>
      <c r="BD880" s="33">
        <f>IF(E880=1,IF(Orders!R877&gt;7,1,0),"")</f>
        <v>1</v>
      </c>
      <c r="BE880" s="32" t="str">
        <f>IF(E880=1,IF(Orders!L877&lt;=1.5,"Up to 1.5 km",IF(Orders!L877&lt;=3,"1.5–3 km","Over 3 km")),"")</f>
        <v>Over 3 km</v>
      </c>
      <c r="BF880" s="33">
        <f>IF(E880=1,IF(ABS((Orders!G877-Orders!F877)*1440-Orders!R877)&lt;0.06,1,0),"")</f>
        <v>1</v>
      </c>
      <c r="BG880" s="33">
        <f>IF(ABS((Orders!F877-Orders!E877)*1440-Orders!P877)&lt;0.06,1,0)</f>
        <v>1</v>
      </c>
      <c r="BH880" s="33">
        <f>IF(E880=1,IF(IF(Orders!S877,1,0)=1-G880,1,0),"")</f>
        <v>1</v>
      </c>
      <c r="BI880" s="32" t="str">
        <f>INDEX(Stores!$B$2:$B$21,MATCH(B880,Stores!$A$2:$A$21,0))</f>
        <v>Bengaluru</v>
      </c>
    </row>
    <row r="881">
      <c r="A881" s="32" t="str">
        <f>Orders!A878</f>
        <v>O00877</v>
      </c>
      <c r="B881" s="32" t="str">
        <f>Orders!C878</f>
        <v>S006</v>
      </c>
      <c r="C881" s="32" t="str">
        <f>Orders!B878</f>
        <v>C0110</v>
      </c>
      <c r="D881" s="32" t="str">
        <f>Orders!H878</f>
        <v>Delivered</v>
      </c>
      <c r="E881" s="33">
        <f>IF(Orders!H878="Delivered",1,0)</f>
        <v>1</v>
      </c>
      <c r="F881" s="34">
        <f>IF(E881=1,Orders!R878,"")</f>
        <v>-1.1</v>
      </c>
      <c r="G881" s="33">
        <f>IF(E881=1,IF(Orders!R878&gt;0,1,0),"")</f>
        <v>0</v>
      </c>
      <c r="H881" s="33">
        <f>IF(E881=1,IF(Orders!R878&gt;5,1,0),"")</f>
        <v>0</v>
      </c>
      <c r="I881" s="32" t="str">
        <f>IF(E881=1,"",IF(OR(Orders!T878="Rider unavailable",Orders!T878="Item unavailable"),"Company-caused","Unresolved"))</f>
        <v/>
      </c>
      <c r="J881" s="33">
        <f>IF(OR(E881=1,I881="Company-caused"),1,0)</f>
        <v>1</v>
      </c>
      <c r="K881" s="32" t="str">
        <f>IF(E881=0,IF(I881="Company-caused",IF(Orders!T878="Rider unavailable","C1 Rider unavailable","C2 Item unavailable"),"Outside root: unresolved"),IF(G881=0,"A On time",IF(H881=1,IF(L881=1,"B2a Severe, peak","B2b Severe, off-peak"),IF(L881=1,"B1a Slight, peak","B1b Slight, off-peak"))))</f>
        <v>A On time</v>
      </c>
      <c r="L881" s="33">
        <f>IF(AND(Orders!U878&gt;=19,Orders!U878&lt;22),1,0)</f>
        <v>0</v>
      </c>
      <c r="M881" s="33">
        <f>IF(L881=IF(Orders!V878,1,0),1,0)</f>
        <v>1</v>
      </c>
      <c r="N881" s="32" t="str">
        <f>IF(Orders!W878="","None",Orders!W878)</f>
        <v>None</v>
      </c>
      <c r="O881" s="35">
        <f>INT(Orders!E878)</f>
        <v>46278.0</v>
      </c>
      <c r="P881" s="33">
        <f>Orders!U878</f>
        <v>9</v>
      </c>
      <c r="Q881" s="33">
        <f>COUNTIFS(Demand!$A$2:$A$4481,B881,Demand!$B$2:$B$4481,O881,Demand!$C$2:$C$4481,P881)</f>
        <v>1</v>
      </c>
      <c r="R881" s="33">
        <f>IF(Q881=1,SUMIFS(Demand!$E$2:$E$4481,Demand!$A$2:$A$4481,B881,Demand!$B$2:$B$4481,O881,Demand!$C$2:$C$4481,P881),"")</f>
        <v>21</v>
      </c>
      <c r="S881" s="33">
        <f>INDEX(Stores!$G$2:$G$21,MATCH(B881,Stores!$A$2:$A$21,0))</f>
        <v>26</v>
      </c>
      <c r="T881" s="34">
        <f>IF(R881="","",R881/S881)</f>
        <v>0.807692307692308</v>
      </c>
      <c r="U881" s="34">
        <f>IF(E881=1,T881,"")</f>
        <v>0.807692307692308</v>
      </c>
      <c r="V881" s="34">
        <f>IF(AND(E881=1,L881=0),T881,"")</f>
        <v>0.807692307692308</v>
      </c>
      <c r="W881" s="33">
        <f>IF(U881="","",IF(U881&lt;=Breakdowns!$C$5,1,IF(U881&lt;=Breakdowns!$C$6,2,IF(U881&lt;=Breakdowns!$C$7,3,4))))</f>
        <v>2</v>
      </c>
      <c r="X881" s="33">
        <f>IF(V881="","",IF(V881&lt;=Breakdowns!$D$5,1,IF(V881&lt;=Breakdowns!$D$6,2,IF(V881&lt;=Breakdowns!$D$7,3,4))))</f>
        <v>2</v>
      </c>
      <c r="Y881" s="34">
        <f>INDEX(Stores!$F$2:$F$21,MATCH(B881,Stores!$A$2:$A$21,0))</f>
        <v>5.22</v>
      </c>
      <c r="Z881" s="33">
        <f>IF(Y881&gt;Store_Summary!$M$2,1,0)</f>
        <v>1</v>
      </c>
      <c r="AA881" s="33">
        <f>INDEX(Stores!$C$2:$C$21,MATCH(B881,Stores!$A$2:$A$21,0))</f>
        <v>412</v>
      </c>
      <c r="AB881" s="33">
        <f>IF(AA881&lt;180,1,0)</f>
        <v>0</v>
      </c>
      <c r="AC881" s="32" t="str">
        <f>IF(Orders!D878="","",INDEX(Riders!$C$2:$C$81,MATCH(Orders!D878,Riders!$A$2:$A$81,0)))</f>
        <v>Petrol scooter</v>
      </c>
      <c r="AD881" s="33">
        <f>IF(Orders!D878="","",INDEX(Riders!$D$2:$D$81,MATCH(Orders!D878,Riders!$A$2:$A$81,0)))</f>
        <v>37</v>
      </c>
      <c r="AE881" s="33">
        <f>IF(Orders!D878="","",IF(INDEX(Riders!$B$2:$B$81,MATCH(Orders!D878,Riders!$A$2:$A$81,0))=B881,1,0))</f>
        <v>0</v>
      </c>
      <c r="AF881" s="34">
        <f>IF(E881=1,Orders!L878,"")</f>
        <v>4.42</v>
      </c>
      <c r="AG881" s="34">
        <f>IF(E881=1,Orders!P878,"")</f>
        <v>10.4</v>
      </c>
      <c r="AH881" s="34">
        <f>IF(E881=1,Orders!Q878,"")</f>
        <v>9.3</v>
      </c>
      <c r="AI881" s="34">
        <f>IF(E881=1,Orders!M878,"")</f>
        <v>2.8</v>
      </c>
      <c r="AJ881" s="34">
        <f>IF(E881=1,Orders!N878,"")</f>
        <v>2.2</v>
      </c>
      <c r="AK881" s="34">
        <f>IF(E881=1,Orders!O878,"")</f>
        <v>4.3</v>
      </c>
      <c r="AL881" s="33">
        <f>IF(E881=1,IF(ROUND(ABS(AI881+AJ881+AK881-AH881),6)&lt;=0.1,1,0),"")</f>
        <v>1</v>
      </c>
      <c r="AM881" s="36">
        <f>IF(E881=1,AI881/AH881,"")</f>
        <v>0.301075268817204</v>
      </c>
      <c r="AN881" s="36">
        <f>IF(E881=1,AJ881/AH881,"")</f>
        <v>0.236559139784946</v>
      </c>
      <c r="AO881" s="36">
        <f>IF(E881=1,AK881/AH881,"")</f>
        <v>0.462365591397849</v>
      </c>
      <c r="AP881" s="34">
        <f>IF(E881=1,Orders!Y878,"")</f>
        <v>0.49</v>
      </c>
      <c r="AQ881" s="33">
        <f>IF(Orders!X878,1,0)</f>
        <v>0</v>
      </c>
      <c r="AR881" s="34" t="str">
        <f>IF(AND(E881=1,L881=1),AJ881,"")</f>
        <v/>
      </c>
      <c r="AS881" s="34">
        <f>IF(AND(E881=1,L881=0),AJ881,"")</f>
        <v>2.2</v>
      </c>
      <c r="AT881" s="34" t="str">
        <f>IF(AND(E881=1,L881=1),AI881,"")</f>
        <v/>
      </c>
      <c r="AU881" s="34">
        <f>IF(AND(E881=1,L881=0),AI881,"")</f>
        <v>2.8</v>
      </c>
      <c r="AV881" s="34" t="str">
        <f>IF(AND(E881=1,L881=1),AG881,"")</f>
        <v/>
      </c>
      <c r="AW881" s="34">
        <f>IF(AND(E881=1,L881=0),AG881,"")</f>
        <v>10.4</v>
      </c>
      <c r="AX881" s="34" t="str">
        <f>IF(AND(E881=1,L881=1),AH881,"")</f>
        <v/>
      </c>
      <c r="AY881" s="34">
        <f>IF(AND(E881=1,L881=0),AH881,"")</f>
        <v>9.3</v>
      </c>
      <c r="AZ881" s="34" t="str">
        <f>IF(G881=1,F881,"")</f>
        <v/>
      </c>
      <c r="BA881" s="34" t="str">
        <f>IF(AND(G881=1,L881=1),F881,"")</f>
        <v/>
      </c>
      <c r="BB881" s="34" t="str">
        <f>IF(AND(G881=1,L881=0),F881,"")</f>
        <v/>
      </c>
      <c r="BC881" s="33">
        <f>IF(E881=1,IF(Orders!R878&gt;3,1,0),"")</f>
        <v>0</v>
      </c>
      <c r="BD881" s="33">
        <f>IF(E881=1,IF(Orders!R878&gt;7,1,0),"")</f>
        <v>0</v>
      </c>
      <c r="BE881" s="32" t="str">
        <f>IF(E881=1,IF(Orders!L878&lt;=1.5,"Up to 1.5 km",IF(Orders!L878&lt;=3,"1.5–3 km","Over 3 km")),"")</f>
        <v>Over 3 km</v>
      </c>
      <c r="BF881" s="33">
        <f>IF(E881=1,IF(ABS((Orders!G878-Orders!F878)*1440-Orders!R878)&lt;0.06,1,0),"")</f>
        <v>1</v>
      </c>
      <c r="BG881" s="33">
        <f>IF(ABS((Orders!F878-Orders!E878)*1440-Orders!P878)&lt;0.06,1,0)</f>
        <v>1</v>
      </c>
      <c r="BH881" s="33">
        <f>IF(E881=1,IF(IF(Orders!S878,1,0)=1-G881,1,0),"")</f>
        <v>1</v>
      </c>
      <c r="BI881" s="32" t="str">
        <f>INDEX(Stores!$B$2:$B$21,MATCH(B881,Stores!$A$2:$A$21,0))</f>
        <v>Bengaluru</v>
      </c>
    </row>
    <row r="882">
      <c r="A882" s="32" t="str">
        <f>Orders!A879</f>
        <v>O00878</v>
      </c>
      <c r="B882" s="32" t="str">
        <f>Orders!C879</f>
        <v>S012</v>
      </c>
      <c r="C882" s="32" t="str">
        <f>Orders!B879</f>
        <v>C0051</v>
      </c>
      <c r="D882" s="32" t="str">
        <f>Orders!H879</f>
        <v>Delivered</v>
      </c>
      <c r="E882" s="33">
        <f>IF(Orders!H879="Delivered",1,0)</f>
        <v>1</v>
      </c>
      <c r="F882" s="34">
        <f>IF(E882=1,Orders!R879,"")</f>
        <v>-0.9</v>
      </c>
      <c r="G882" s="33">
        <f>IF(E882=1,IF(Orders!R879&gt;0,1,0),"")</f>
        <v>0</v>
      </c>
      <c r="H882" s="33">
        <f>IF(E882=1,IF(Orders!R879&gt;5,1,0),"")</f>
        <v>0</v>
      </c>
      <c r="I882" s="32" t="str">
        <f>IF(E882=1,"",IF(OR(Orders!T879="Rider unavailable",Orders!T879="Item unavailable"),"Company-caused","Unresolved"))</f>
        <v/>
      </c>
      <c r="J882" s="33">
        <f>IF(OR(E882=1,I882="Company-caused"),1,0)</f>
        <v>1</v>
      </c>
      <c r="K882" s="32" t="str">
        <f>IF(E882=0,IF(I882="Company-caused",IF(Orders!T879="Rider unavailable","C1 Rider unavailable","C2 Item unavailable"),"Outside root: unresolved"),IF(G882=0,"A On time",IF(H882=1,IF(L882=1,"B2a Severe, peak","B2b Severe, off-peak"),IF(L882=1,"B1a Slight, peak","B1b Slight, off-peak"))))</f>
        <v>A On time</v>
      </c>
      <c r="L882" s="33">
        <f>IF(AND(Orders!U879&gt;=19,Orders!U879&lt;22),1,0)</f>
        <v>1</v>
      </c>
      <c r="M882" s="33">
        <f>IF(L882=IF(Orders!V879,1,0),1,0)</f>
        <v>1</v>
      </c>
      <c r="N882" s="32" t="str">
        <f>IF(Orders!W879="","None",Orders!W879)</f>
        <v>Light</v>
      </c>
      <c r="O882" s="35">
        <f>INT(Orders!E879)</f>
        <v>46277.0</v>
      </c>
      <c r="P882" s="33">
        <f>Orders!U879</f>
        <v>21</v>
      </c>
      <c r="Q882" s="33">
        <f>COUNTIFS(Demand!$A$2:$A$4481,B882,Demand!$B$2:$B$4481,O882,Demand!$C$2:$C$4481,P882)</f>
        <v>1</v>
      </c>
      <c r="R882" s="33">
        <f>IF(Q882=1,SUMIFS(Demand!$E$2:$E$4481,Demand!$A$2:$A$4481,B882,Demand!$B$2:$B$4481,O882,Demand!$C$2:$C$4481,P882),"")</f>
        <v>29</v>
      </c>
      <c r="S882" s="33">
        <f>INDEX(Stores!$G$2:$G$21,MATCH(B882,Stores!$A$2:$A$21,0))</f>
        <v>15</v>
      </c>
      <c r="T882" s="34">
        <f>IF(R882="","",R882/S882)</f>
        <v>1.93333333333333</v>
      </c>
      <c r="U882" s="34">
        <f>IF(E882=1,T882,"")</f>
        <v>1.93333333333333</v>
      </c>
      <c r="V882" s="34" t="str">
        <f>IF(AND(E882=1,L882=0),T882,"")</f>
        <v/>
      </c>
      <c r="W882" s="33">
        <f>IF(U882="","",IF(U882&lt;=Breakdowns!$C$5,1,IF(U882&lt;=Breakdowns!$C$6,2,IF(U882&lt;=Breakdowns!$C$7,3,4))))</f>
        <v>4</v>
      </c>
      <c r="X882" s="33" t="str">
        <f>IF(V882="","",IF(V882&lt;=Breakdowns!$D$5,1,IF(V882&lt;=Breakdowns!$D$6,2,IF(V882&lt;=Breakdowns!$D$7,3,4))))</f>
        <v/>
      </c>
      <c r="Y882" s="34">
        <f>INDEX(Stores!$F$2:$F$21,MATCH(B882,Stores!$A$2:$A$21,0))</f>
        <v>5.23</v>
      </c>
      <c r="Z882" s="33">
        <f>IF(Y882&gt;Store_Summary!$M$2,1,0)</f>
        <v>1</v>
      </c>
      <c r="AA882" s="33">
        <f>INDEX(Stores!$C$2:$C$21,MATCH(B882,Stores!$A$2:$A$21,0))</f>
        <v>300</v>
      </c>
      <c r="AB882" s="33">
        <f>IF(AA882&lt;180,1,0)</f>
        <v>0</v>
      </c>
      <c r="AC882" s="32" t="str">
        <f>IF(Orders!D879="","",INDEX(Riders!$C$2:$C$81,MATCH(Orders!D879,Riders!$A$2:$A$81,0)))</f>
        <v>Bicycle</v>
      </c>
      <c r="AD882" s="33">
        <f>IF(Orders!D879="","",INDEX(Riders!$D$2:$D$81,MATCH(Orders!D879,Riders!$A$2:$A$81,0)))</f>
        <v>40</v>
      </c>
      <c r="AE882" s="33">
        <f>IF(Orders!D879="","",IF(INDEX(Riders!$B$2:$B$81,MATCH(Orders!D879,Riders!$A$2:$A$81,0))=B882,1,0))</f>
        <v>0</v>
      </c>
      <c r="AF882" s="34">
        <f>IF(E882=1,Orders!L879,"")</f>
        <v>4.66</v>
      </c>
      <c r="AG882" s="34">
        <f>IF(E882=1,Orders!P879,"")</f>
        <v>9.1</v>
      </c>
      <c r="AH882" s="34">
        <f>IF(E882=1,Orders!Q879,"")</f>
        <v>8.2</v>
      </c>
      <c r="AI882" s="34">
        <f>IF(E882=1,Orders!M879,"")</f>
        <v>2.2</v>
      </c>
      <c r="AJ882" s="34">
        <f>IF(E882=1,Orders!N879,"")</f>
        <v>1.8</v>
      </c>
      <c r="AK882" s="34">
        <f>IF(E882=1,Orders!O879,"")</f>
        <v>4.2</v>
      </c>
      <c r="AL882" s="33">
        <f>IF(E882=1,IF(ROUND(ABS(AI882+AJ882+AK882-AH882),6)&lt;=0.1,1,0),"")</f>
        <v>1</v>
      </c>
      <c r="AM882" s="36">
        <f>IF(E882=1,AI882/AH882,"")</f>
        <v>0.268292682926829</v>
      </c>
      <c r="AN882" s="36">
        <f>IF(E882=1,AJ882/AH882,"")</f>
        <v>0.219512195121951</v>
      </c>
      <c r="AO882" s="36">
        <f>IF(E882=1,AK882/AH882,"")</f>
        <v>0.51219512195122</v>
      </c>
      <c r="AP882" s="34">
        <f>IF(E882=1,Orders!Y879,"")</f>
        <v>0.51</v>
      </c>
      <c r="AQ882" s="33">
        <f>IF(Orders!X879,1,0)</f>
        <v>0</v>
      </c>
      <c r="AR882" s="34">
        <f>IF(AND(E882=1,L882=1),AJ882,"")</f>
        <v>1.8</v>
      </c>
      <c r="AS882" s="34" t="str">
        <f>IF(AND(E882=1,L882=0),AJ882,"")</f>
        <v/>
      </c>
      <c r="AT882" s="34">
        <f>IF(AND(E882=1,L882=1),AI882,"")</f>
        <v>2.2</v>
      </c>
      <c r="AU882" s="34" t="str">
        <f>IF(AND(E882=1,L882=0),AI882,"")</f>
        <v/>
      </c>
      <c r="AV882" s="34">
        <f>IF(AND(E882=1,L882=1),AG882,"")</f>
        <v>9.1</v>
      </c>
      <c r="AW882" s="34" t="str">
        <f>IF(AND(E882=1,L882=0),AG882,"")</f>
        <v/>
      </c>
      <c r="AX882" s="34">
        <f>IF(AND(E882=1,L882=1),AH882,"")</f>
        <v>8.2</v>
      </c>
      <c r="AY882" s="34" t="str">
        <f>IF(AND(E882=1,L882=0),AH882,"")</f>
        <v/>
      </c>
      <c r="AZ882" s="34" t="str">
        <f>IF(G882=1,F882,"")</f>
        <v/>
      </c>
      <c r="BA882" s="34" t="str">
        <f>IF(AND(G882=1,L882=1),F882,"")</f>
        <v/>
      </c>
      <c r="BB882" s="34" t="str">
        <f>IF(AND(G882=1,L882=0),F882,"")</f>
        <v/>
      </c>
      <c r="BC882" s="33">
        <f>IF(E882=1,IF(Orders!R879&gt;3,1,0),"")</f>
        <v>0</v>
      </c>
      <c r="BD882" s="33">
        <f>IF(E882=1,IF(Orders!R879&gt;7,1,0),"")</f>
        <v>0</v>
      </c>
      <c r="BE882" s="32" t="str">
        <f>IF(E882=1,IF(Orders!L879&lt;=1.5,"Up to 1.5 km",IF(Orders!L879&lt;=3,"1.5–3 km","Over 3 km")),"")</f>
        <v>Over 3 km</v>
      </c>
      <c r="BF882" s="33">
        <f>IF(E882=1,IF(ABS((Orders!G879-Orders!F879)*1440-Orders!R879)&lt;0.06,1,0),"")</f>
        <v>1</v>
      </c>
      <c r="BG882" s="33">
        <f>IF(ABS((Orders!F879-Orders!E879)*1440-Orders!P879)&lt;0.06,1,0)</f>
        <v>1</v>
      </c>
      <c r="BH882" s="33">
        <f>IF(E882=1,IF(IF(Orders!S879,1,0)=1-G882,1,0),"")</f>
        <v>1</v>
      </c>
      <c r="BI882" s="32" t="str">
        <f>INDEX(Stores!$B$2:$B$21,MATCH(B882,Stores!$A$2:$A$21,0))</f>
        <v>Hyderabad</v>
      </c>
    </row>
    <row r="883">
      <c r="A883" s="32" t="str">
        <f>Orders!A880</f>
        <v>O00879</v>
      </c>
      <c r="B883" s="32" t="str">
        <f>Orders!C880</f>
        <v>S015</v>
      </c>
      <c r="C883" s="32" t="str">
        <f>Orders!B880</f>
        <v>C0198</v>
      </c>
      <c r="D883" s="32" t="str">
        <f>Orders!H880</f>
        <v>Delivered</v>
      </c>
      <c r="E883" s="33">
        <f>IF(Orders!H880="Delivered",1,0)</f>
        <v>1</v>
      </c>
      <c r="F883" s="34">
        <f>IF(E883=1,Orders!R880,"")</f>
        <v>-0.6</v>
      </c>
      <c r="G883" s="33">
        <f>IF(E883=1,IF(Orders!R880&gt;0,1,0),"")</f>
        <v>0</v>
      </c>
      <c r="H883" s="33">
        <f>IF(E883=1,IF(Orders!R880&gt;5,1,0),"")</f>
        <v>0</v>
      </c>
      <c r="I883" s="32" t="str">
        <f>IF(E883=1,"",IF(OR(Orders!T880="Rider unavailable",Orders!T880="Item unavailable"),"Company-caused","Unresolved"))</f>
        <v/>
      </c>
      <c r="J883" s="33">
        <f>IF(OR(E883=1,I883="Company-caused"),1,0)</f>
        <v>1</v>
      </c>
      <c r="K883" s="32" t="str">
        <f>IF(E883=0,IF(I883="Company-caused",IF(Orders!T880="Rider unavailable","C1 Rider unavailable","C2 Item unavailable"),"Outside root: unresolved"),IF(G883=0,"A On time",IF(H883=1,IF(L883=1,"B2a Severe, peak","B2b Severe, off-peak"),IF(L883=1,"B1a Slight, peak","B1b Slight, off-peak"))))</f>
        <v>A On time</v>
      </c>
      <c r="L883" s="33">
        <f>IF(AND(Orders!U880&gt;=19,Orders!U880&lt;22),1,0)</f>
        <v>0</v>
      </c>
      <c r="M883" s="33">
        <f>IF(L883=IF(Orders!V880,1,0),1,0)</f>
        <v>1</v>
      </c>
      <c r="N883" s="32" t="str">
        <f>IF(Orders!W880="","None",Orders!W880)</f>
        <v>None</v>
      </c>
      <c r="O883" s="35">
        <f>INT(Orders!E880)</f>
        <v>46270.0</v>
      </c>
      <c r="P883" s="33">
        <f>Orders!U880</f>
        <v>23</v>
      </c>
      <c r="Q883" s="33">
        <f>COUNTIFS(Demand!$A$2:$A$4481,B883,Demand!$B$2:$B$4481,O883,Demand!$C$2:$C$4481,P883)</f>
        <v>1</v>
      </c>
      <c r="R883" s="33">
        <f>IF(Q883=1,SUMIFS(Demand!$E$2:$E$4481,Demand!$A$2:$A$4481,B883,Demand!$B$2:$B$4481,O883,Demand!$C$2:$C$4481,P883),"")</f>
        <v>26</v>
      </c>
      <c r="S883" s="33">
        <f>INDEX(Stores!$G$2:$G$21,MATCH(B883,Stores!$A$2:$A$21,0))</f>
        <v>23</v>
      </c>
      <c r="T883" s="34">
        <f>IF(R883="","",R883/S883)</f>
        <v>1.1304347826087</v>
      </c>
      <c r="U883" s="34">
        <f>IF(E883=1,T883,"")</f>
        <v>1.1304347826087</v>
      </c>
      <c r="V883" s="34">
        <f>IF(AND(E883=1,L883=0),T883,"")</f>
        <v>1.1304347826087</v>
      </c>
      <c r="W883" s="33">
        <f>IF(U883="","",IF(U883&lt;=Breakdowns!$C$5,1,IF(U883&lt;=Breakdowns!$C$6,2,IF(U883&lt;=Breakdowns!$C$7,3,4))))</f>
        <v>3</v>
      </c>
      <c r="X883" s="33">
        <f>IF(V883="","",IF(V883&lt;=Breakdowns!$D$5,1,IF(V883&lt;=Breakdowns!$D$6,2,IF(V883&lt;=Breakdowns!$D$7,3,4))))</f>
        <v>4</v>
      </c>
      <c r="Y883" s="34">
        <f>INDEX(Stores!$F$2:$F$21,MATCH(B883,Stores!$A$2:$A$21,0))</f>
        <v>4.66</v>
      </c>
      <c r="Z883" s="33">
        <f>IF(Y883&gt;Store_Summary!$M$2,1,0)</f>
        <v>0</v>
      </c>
      <c r="AA883" s="33">
        <f>INDEX(Stores!$C$2:$C$21,MATCH(B883,Stores!$A$2:$A$21,0))</f>
        <v>204</v>
      </c>
      <c r="AB883" s="33">
        <f>IF(AA883&lt;180,1,0)</f>
        <v>0</v>
      </c>
      <c r="AC883" s="32" t="str">
        <f>IF(Orders!D880="","",INDEX(Riders!$C$2:$C$81,MATCH(Orders!D880,Riders!$A$2:$A$81,0)))</f>
        <v>EV scooter</v>
      </c>
      <c r="AD883" s="33">
        <f>IF(Orders!D880="","",INDEX(Riders!$D$2:$D$81,MATCH(Orders!D880,Riders!$A$2:$A$81,0)))</f>
        <v>14</v>
      </c>
      <c r="AE883" s="33">
        <f>IF(Orders!D880="","",IF(INDEX(Riders!$B$2:$B$81,MATCH(Orders!D880,Riders!$A$2:$A$81,0))=B883,1,0))</f>
        <v>0</v>
      </c>
      <c r="AF883" s="34">
        <f>IF(E883=1,Orders!L880,"")</f>
        <v>1.98</v>
      </c>
      <c r="AG883" s="34">
        <f>IF(E883=1,Orders!P880,"")</f>
        <v>9.2</v>
      </c>
      <c r="AH883" s="34">
        <f>IF(E883=1,Orders!Q880,"")</f>
        <v>8.6</v>
      </c>
      <c r="AI883" s="34">
        <f>IF(E883=1,Orders!M880,"")</f>
        <v>2.1</v>
      </c>
      <c r="AJ883" s="34">
        <f>IF(E883=1,Orders!N880,"")</f>
        <v>3.3</v>
      </c>
      <c r="AK883" s="34">
        <f>IF(E883=1,Orders!O880,"")</f>
        <v>3.2</v>
      </c>
      <c r="AL883" s="33">
        <f>IF(E883=1,IF(ROUND(ABS(AI883+AJ883+AK883-AH883),6)&lt;=0.1,1,0),"")</f>
        <v>1</v>
      </c>
      <c r="AM883" s="36">
        <f>IF(E883=1,AI883/AH883,"")</f>
        <v>0.244186046511628</v>
      </c>
      <c r="AN883" s="36">
        <f>IF(E883=1,AJ883/AH883,"")</f>
        <v>0.383720930232558</v>
      </c>
      <c r="AO883" s="36">
        <f>IF(E883=1,AK883/AH883,"")</f>
        <v>0.372093023255814</v>
      </c>
      <c r="AP883" s="34">
        <f>IF(E883=1,Orders!Y880,"")</f>
        <v>0.71</v>
      </c>
      <c r="AQ883" s="33">
        <f>IF(Orders!X880,1,0)</f>
        <v>0</v>
      </c>
      <c r="AR883" s="34" t="str">
        <f>IF(AND(E883=1,L883=1),AJ883,"")</f>
        <v/>
      </c>
      <c r="AS883" s="34">
        <f>IF(AND(E883=1,L883=0),AJ883,"")</f>
        <v>3.3</v>
      </c>
      <c r="AT883" s="34" t="str">
        <f>IF(AND(E883=1,L883=1),AI883,"")</f>
        <v/>
      </c>
      <c r="AU883" s="34">
        <f>IF(AND(E883=1,L883=0),AI883,"")</f>
        <v>2.1</v>
      </c>
      <c r="AV883" s="34" t="str">
        <f>IF(AND(E883=1,L883=1),AG883,"")</f>
        <v/>
      </c>
      <c r="AW883" s="34">
        <f>IF(AND(E883=1,L883=0),AG883,"")</f>
        <v>9.2</v>
      </c>
      <c r="AX883" s="34" t="str">
        <f>IF(AND(E883=1,L883=1),AH883,"")</f>
        <v/>
      </c>
      <c r="AY883" s="34">
        <f>IF(AND(E883=1,L883=0),AH883,"")</f>
        <v>8.6</v>
      </c>
      <c r="AZ883" s="34" t="str">
        <f>IF(G883=1,F883,"")</f>
        <v/>
      </c>
      <c r="BA883" s="34" t="str">
        <f>IF(AND(G883=1,L883=1),F883,"")</f>
        <v/>
      </c>
      <c r="BB883" s="34" t="str">
        <f>IF(AND(G883=1,L883=0),F883,"")</f>
        <v/>
      </c>
      <c r="BC883" s="33">
        <f>IF(E883=1,IF(Orders!R880&gt;3,1,0),"")</f>
        <v>0</v>
      </c>
      <c r="BD883" s="33">
        <f>IF(E883=1,IF(Orders!R880&gt;7,1,0),"")</f>
        <v>0</v>
      </c>
      <c r="BE883" s="32" t="str">
        <f>IF(E883=1,IF(Orders!L880&lt;=1.5,"Up to 1.5 km",IF(Orders!L880&lt;=3,"1.5–3 km","Over 3 km")),"")</f>
        <v>1.5–3 km</v>
      </c>
      <c r="BF883" s="33">
        <f>IF(E883=1,IF(ABS((Orders!G880-Orders!F880)*1440-Orders!R880)&lt;0.06,1,0),"")</f>
        <v>1</v>
      </c>
      <c r="BG883" s="33">
        <f>IF(ABS((Orders!F880-Orders!E880)*1440-Orders!P880)&lt;0.06,1,0)</f>
        <v>1</v>
      </c>
      <c r="BH883" s="33">
        <f>IF(E883=1,IF(IF(Orders!S880,1,0)=1-G883,1,0),"")</f>
        <v>1</v>
      </c>
      <c r="BI883" s="32" t="str">
        <f>INDEX(Stores!$B$2:$B$21,MATCH(B883,Stores!$A$2:$A$21,0))</f>
        <v>Delhi</v>
      </c>
    </row>
    <row r="884">
      <c r="A884" s="32" t="str">
        <f>Orders!A881</f>
        <v>O00880</v>
      </c>
      <c r="B884" s="32" t="str">
        <f>Orders!C881</f>
        <v>S008</v>
      </c>
      <c r="C884" s="32" t="str">
        <f>Orders!B881</f>
        <v>C0133</v>
      </c>
      <c r="D884" s="32" t="str">
        <f>Orders!H881</f>
        <v>Delivered</v>
      </c>
      <c r="E884" s="33">
        <f>IF(Orders!H881="Delivered",1,0)</f>
        <v>1</v>
      </c>
      <c r="F884" s="34">
        <f>IF(E884=1,Orders!R881,"")</f>
        <v>-0.8</v>
      </c>
      <c r="G884" s="33">
        <f>IF(E884=1,IF(Orders!R881&gt;0,1,0),"")</f>
        <v>0</v>
      </c>
      <c r="H884" s="33">
        <f>IF(E884=1,IF(Orders!R881&gt;5,1,0),"")</f>
        <v>0</v>
      </c>
      <c r="I884" s="32" t="str">
        <f>IF(E884=1,"",IF(OR(Orders!T881="Rider unavailable",Orders!T881="Item unavailable"),"Company-caused","Unresolved"))</f>
        <v/>
      </c>
      <c r="J884" s="33">
        <f>IF(OR(E884=1,I884="Company-caused"),1,0)</f>
        <v>1</v>
      </c>
      <c r="K884" s="32" t="str">
        <f>IF(E884=0,IF(I884="Company-caused",IF(Orders!T881="Rider unavailable","C1 Rider unavailable","C2 Item unavailable"),"Outside root: unresolved"),IF(G884=0,"A On time",IF(H884=1,IF(L884=1,"B2a Severe, peak","B2b Severe, off-peak"),IF(L884=1,"B1a Slight, peak","B1b Slight, off-peak"))))</f>
        <v>A On time</v>
      </c>
      <c r="L884" s="33">
        <f>IF(AND(Orders!U881&gt;=19,Orders!U881&lt;22),1,0)</f>
        <v>0</v>
      </c>
      <c r="M884" s="33">
        <f>IF(L884=IF(Orders!V881,1,0),1,0)</f>
        <v>1</v>
      </c>
      <c r="N884" s="32" t="str">
        <f>IF(Orders!W881="","None",Orders!W881)</f>
        <v>None</v>
      </c>
      <c r="O884" s="35">
        <f>INT(Orders!E881)</f>
        <v>46266.0</v>
      </c>
      <c r="P884" s="33">
        <f>Orders!U881</f>
        <v>9</v>
      </c>
      <c r="Q884" s="33">
        <f>COUNTIFS(Demand!$A$2:$A$4481,B884,Demand!$B$2:$B$4481,O884,Demand!$C$2:$C$4481,P884)</f>
        <v>1</v>
      </c>
      <c r="R884" s="33">
        <f>IF(Q884=1,SUMIFS(Demand!$E$2:$E$4481,Demand!$A$2:$A$4481,B884,Demand!$B$2:$B$4481,O884,Demand!$C$2:$C$4481,P884),"")</f>
        <v>7</v>
      </c>
      <c r="S884" s="33">
        <f>INDEX(Stores!$G$2:$G$21,MATCH(B884,Stores!$A$2:$A$21,0))</f>
        <v>23</v>
      </c>
      <c r="T884" s="34">
        <f>IF(R884="","",R884/S884)</f>
        <v>0.304347826086957</v>
      </c>
      <c r="U884" s="34">
        <f>IF(E884=1,T884,"")</f>
        <v>0.304347826086957</v>
      </c>
      <c r="V884" s="34">
        <f>IF(AND(E884=1,L884=0),T884,"")</f>
        <v>0.304347826086957</v>
      </c>
      <c r="W884" s="33">
        <f>IF(U884="","",IF(U884&lt;=Breakdowns!$C$5,1,IF(U884&lt;=Breakdowns!$C$6,2,IF(U884&lt;=Breakdowns!$C$7,3,4))))</f>
        <v>1</v>
      </c>
      <c r="X884" s="33">
        <f>IF(V884="","",IF(V884&lt;=Breakdowns!$D$5,1,IF(V884&lt;=Breakdowns!$D$6,2,IF(V884&lt;=Breakdowns!$D$7,3,4))))</f>
        <v>1</v>
      </c>
      <c r="Y884" s="34">
        <f>INDEX(Stores!$F$2:$F$21,MATCH(B884,Stores!$A$2:$A$21,0))</f>
        <v>3.46</v>
      </c>
      <c r="Z884" s="33">
        <f>IF(Y884&gt;Store_Summary!$M$2,1,0)</f>
        <v>0</v>
      </c>
      <c r="AA884" s="33">
        <f>INDEX(Stores!$C$2:$C$21,MATCH(B884,Stores!$A$2:$A$21,0))</f>
        <v>825</v>
      </c>
      <c r="AB884" s="33">
        <f>IF(AA884&lt;180,1,0)</f>
        <v>0</v>
      </c>
      <c r="AC884" s="32" t="str">
        <f>IF(Orders!D881="","",INDEX(Riders!$C$2:$C$81,MATCH(Orders!D881,Riders!$A$2:$A$81,0)))</f>
        <v>EV scooter</v>
      </c>
      <c r="AD884" s="33">
        <f>IF(Orders!D881="","",INDEX(Riders!$D$2:$D$81,MATCH(Orders!D881,Riders!$A$2:$A$81,0)))</f>
        <v>12</v>
      </c>
      <c r="AE884" s="33">
        <f>IF(Orders!D881="","",IF(INDEX(Riders!$B$2:$B$81,MATCH(Orders!D881,Riders!$A$2:$A$81,0))=B884,1,0))</f>
        <v>0</v>
      </c>
      <c r="AF884" s="34">
        <f>IF(E884=1,Orders!L881,"")</f>
        <v>1.66</v>
      </c>
      <c r="AG884" s="34">
        <f>IF(E884=1,Orders!P881,"")</f>
        <v>10.8</v>
      </c>
      <c r="AH884" s="34">
        <f>IF(E884=1,Orders!Q881,"")</f>
        <v>10</v>
      </c>
      <c r="AI884" s="34">
        <f>IF(E884=1,Orders!M881,"")</f>
        <v>3.8</v>
      </c>
      <c r="AJ884" s="34">
        <f>IF(E884=1,Orders!N881,"")</f>
        <v>3.2</v>
      </c>
      <c r="AK884" s="34">
        <f>IF(E884=1,Orders!O881,"")</f>
        <v>3</v>
      </c>
      <c r="AL884" s="33">
        <f>IF(E884=1,IF(ROUND(ABS(AI884+AJ884+AK884-AH884),6)&lt;=0.1,1,0),"")</f>
        <v>1</v>
      </c>
      <c r="AM884" s="36">
        <f>IF(E884=1,AI884/AH884,"")</f>
        <v>0.38</v>
      </c>
      <c r="AN884" s="36">
        <f>IF(E884=1,AJ884/AH884,"")</f>
        <v>0.32</v>
      </c>
      <c r="AO884" s="36">
        <f>IF(E884=1,AK884/AH884,"")</f>
        <v>0.3</v>
      </c>
      <c r="AP884" s="34">
        <f>IF(E884=1,Orders!Y881,"")</f>
        <v>0.3</v>
      </c>
      <c r="AQ884" s="33">
        <f>IF(Orders!X881,1,0)</f>
        <v>0</v>
      </c>
      <c r="AR884" s="34" t="str">
        <f>IF(AND(E884=1,L884=1),AJ884,"")</f>
        <v/>
      </c>
      <c r="AS884" s="34">
        <f>IF(AND(E884=1,L884=0),AJ884,"")</f>
        <v>3.2</v>
      </c>
      <c r="AT884" s="34" t="str">
        <f>IF(AND(E884=1,L884=1),AI884,"")</f>
        <v/>
      </c>
      <c r="AU884" s="34">
        <f>IF(AND(E884=1,L884=0),AI884,"")</f>
        <v>3.8</v>
      </c>
      <c r="AV884" s="34" t="str">
        <f>IF(AND(E884=1,L884=1),AG884,"")</f>
        <v/>
      </c>
      <c r="AW884" s="34">
        <f>IF(AND(E884=1,L884=0),AG884,"")</f>
        <v>10.8</v>
      </c>
      <c r="AX884" s="34" t="str">
        <f>IF(AND(E884=1,L884=1),AH884,"")</f>
        <v/>
      </c>
      <c r="AY884" s="34">
        <f>IF(AND(E884=1,L884=0),AH884,"")</f>
        <v>10</v>
      </c>
      <c r="AZ884" s="34" t="str">
        <f>IF(G884=1,F884,"")</f>
        <v/>
      </c>
      <c r="BA884" s="34" t="str">
        <f>IF(AND(G884=1,L884=1),F884,"")</f>
        <v/>
      </c>
      <c r="BB884" s="34" t="str">
        <f>IF(AND(G884=1,L884=0),F884,"")</f>
        <v/>
      </c>
      <c r="BC884" s="33">
        <f>IF(E884=1,IF(Orders!R881&gt;3,1,0),"")</f>
        <v>0</v>
      </c>
      <c r="BD884" s="33">
        <f>IF(E884=1,IF(Orders!R881&gt;7,1,0),"")</f>
        <v>0</v>
      </c>
      <c r="BE884" s="32" t="str">
        <f>IF(E884=1,IF(Orders!L881&lt;=1.5,"Up to 1.5 km",IF(Orders!L881&lt;=3,"1.5–3 km","Over 3 km")),"")</f>
        <v>1.5–3 km</v>
      </c>
      <c r="BF884" s="33">
        <f>IF(E884=1,IF(ABS((Orders!G881-Orders!F881)*1440-Orders!R881)&lt;0.06,1,0),"")</f>
        <v>1</v>
      </c>
      <c r="BG884" s="33">
        <f>IF(ABS((Orders!F881-Orders!E881)*1440-Orders!P881)&lt;0.06,1,0)</f>
        <v>1</v>
      </c>
      <c r="BH884" s="33">
        <f>IF(E884=1,IF(IF(Orders!S881,1,0)=1-G884,1,0),"")</f>
        <v>1</v>
      </c>
      <c r="BI884" s="32" t="str">
        <f>INDEX(Stores!$B$2:$B$21,MATCH(B884,Stores!$A$2:$A$21,0))</f>
        <v>Mumbai</v>
      </c>
    </row>
    <row r="885">
      <c r="A885" s="32" t="str">
        <f>Orders!A882</f>
        <v>O00881</v>
      </c>
      <c r="B885" s="32" t="str">
        <f>Orders!C882</f>
        <v>S003</v>
      </c>
      <c r="C885" s="32" t="str">
        <f>Orders!B882</f>
        <v>C0077</v>
      </c>
      <c r="D885" s="32" t="str">
        <f>Orders!H882</f>
        <v>Delivered</v>
      </c>
      <c r="E885" s="33">
        <f>IF(Orders!H882="Delivered",1,0)</f>
        <v>1</v>
      </c>
      <c r="F885" s="34">
        <f>IF(E885=1,Orders!R882,"")</f>
        <v>2</v>
      </c>
      <c r="G885" s="33">
        <f>IF(E885=1,IF(Orders!R882&gt;0,1,0),"")</f>
        <v>1</v>
      </c>
      <c r="H885" s="33">
        <f>IF(E885=1,IF(Orders!R882&gt;5,1,0),"")</f>
        <v>0</v>
      </c>
      <c r="I885" s="32" t="str">
        <f>IF(E885=1,"",IF(OR(Orders!T882="Rider unavailable",Orders!T882="Item unavailable"),"Company-caused","Unresolved"))</f>
        <v/>
      </c>
      <c r="J885" s="33">
        <f>IF(OR(E885=1,I885="Company-caused"),1,0)</f>
        <v>1</v>
      </c>
      <c r="K885" s="32" t="str">
        <f>IF(E885=0,IF(I885="Company-caused",IF(Orders!T882="Rider unavailable","C1 Rider unavailable","C2 Item unavailable"),"Outside root: unresolved"),IF(G885=0,"A On time",IF(H885=1,IF(L885=1,"B2a Severe, peak","B2b Severe, off-peak"),IF(L885=1,"B1a Slight, peak","B1b Slight, off-peak"))))</f>
        <v>B1b Slight, off-peak</v>
      </c>
      <c r="L885" s="33">
        <f>IF(AND(Orders!U882&gt;=19,Orders!U882&lt;22),1,0)</f>
        <v>0</v>
      </c>
      <c r="M885" s="33">
        <f>IF(L885=IF(Orders!V882,1,0),1,0)</f>
        <v>1</v>
      </c>
      <c r="N885" s="32" t="str">
        <f>IF(Orders!W882="","None",Orders!W882)</f>
        <v>None</v>
      </c>
      <c r="O885" s="35">
        <f>INT(Orders!E882)</f>
        <v>46269.0</v>
      </c>
      <c r="P885" s="33">
        <f>Orders!U882</f>
        <v>9</v>
      </c>
      <c r="Q885" s="33">
        <f>COUNTIFS(Demand!$A$2:$A$4481,B885,Demand!$B$2:$B$4481,O885,Demand!$C$2:$C$4481,P885)</f>
        <v>1</v>
      </c>
      <c r="R885" s="33">
        <f>IF(Q885=1,SUMIFS(Demand!$E$2:$E$4481,Demand!$A$2:$A$4481,B885,Demand!$B$2:$B$4481,O885,Demand!$C$2:$C$4481,P885),"")</f>
        <v>30</v>
      </c>
      <c r="S885" s="33">
        <f>INDEX(Stores!$G$2:$G$21,MATCH(B885,Stores!$A$2:$A$21,0))</f>
        <v>41</v>
      </c>
      <c r="T885" s="34">
        <f>IF(R885="","",R885/S885)</f>
        <v>0.731707317073171</v>
      </c>
      <c r="U885" s="34">
        <f>IF(E885=1,T885,"")</f>
        <v>0.731707317073171</v>
      </c>
      <c r="V885" s="34">
        <f>IF(AND(E885=1,L885=0),T885,"")</f>
        <v>0.731707317073171</v>
      </c>
      <c r="W885" s="33">
        <f>IF(U885="","",IF(U885&lt;=Breakdowns!$C$5,1,IF(U885&lt;=Breakdowns!$C$6,2,IF(U885&lt;=Breakdowns!$C$7,3,4))))</f>
        <v>1</v>
      </c>
      <c r="X885" s="33">
        <f>IF(V885="","",IF(V885&lt;=Breakdowns!$D$5,1,IF(V885&lt;=Breakdowns!$D$6,2,IF(V885&lt;=Breakdowns!$D$7,3,4))))</f>
        <v>1</v>
      </c>
      <c r="Y885" s="34">
        <f>INDEX(Stores!$F$2:$F$21,MATCH(B885,Stores!$A$2:$A$21,0))</f>
        <v>3.84</v>
      </c>
      <c r="Z885" s="33">
        <f>IF(Y885&gt;Store_Summary!$M$2,1,0)</f>
        <v>0</v>
      </c>
      <c r="AA885" s="33">
        <f>INDEX(Stores!$C$2:$C$21,MATCH(B885,Stores!$A$2:$A$21,0))</f>
        <v>426</v>
      </c>
      <c r="AB885" s="33">
        <f>IF(AA885&lt;180,1,0)</f>
        <v>0</v>
      </c>
      <c r="AC885" s="32" t="str">
        <f>IF(Orders!D882="","",INDEX(Riders!$C$2:$C$81,MATCH(Orders!D882,Riders!$A$2:$A$81,0)))</f>
        <v>EV scooter</v>
      </c>
      <c r="AD885" s="33">
        <f>IF(Orders!D882="","",INDEX(Riders!$D$2:$D$81,MATCH(Orders!D882,Riders!$A$2:$A$81,0)))</f>
        <v>33</v>
      </c>
      <c r="AE885" s="33">
        <f>IF(Orders!D882="","",IF(INDEX(Riders!$B$2:$B$81,MATCH(Orders!D882,Riders!$A$2:$A$81,0))=B885,1,0))</f>
        <v>0</v>
      </c>
      <c r="AF885" s="34">
        <f>IF(E885=1,Orders!L882,"")</f>
        <v>2.1</v>
      </c>
      <c r="AG885" s="34">
        <f>IF(E885=1,Orders!P882,"")</f>
        <v>11.4</v>
      </c>
      <c r="AH885" s="34">
        <f>IF(E885=1,Orders!Q882,"")</f>
        <v>13.4</v>
      </c>
      <c r="AI885" s="34">
        <f>IF(E885=1,Orders!M882,"")</f>
        <v>3.6</v>
      </c>
      <c r="AJ885" s="34">
        <f>IF(E885=1,Orders!N882,"")</f>
        <v>3.6</v>
      </c>
      <c r="AK885" s="34">
        <f>IF(E885=1,Orders!O882,"")</f>
        <v>6.2</v>
      </c>
      <c r="AL885" s="33">
        <f>IF(E885=1,IF(ROUND(ABS(AI885+AJ885+AK885-AH885),6)&lt;=0.1,1,0),"")</f>
        <v>1</v>
      </c>
      <c r="AM885" s="36">
        <f>IF(E885=1,AI885/AH885,"")</f>
        <v>0.26865671641791</v>
      </c>
      <c r="AN885" s="36">
        <f>IF(E885=1,AJ885/AH885,"")</f>
        <v>0.26865671641791</v>
      </c>
      <c r="AO885" s="36">
        <f>IF(E885=1,AK885/AH885,"")</f>
        <v>0.462686567164179</v>
      </c>
      <c r="AP885" s="34">
        <f>IF(E885=1,Orders!Y882,"")</f>
        <v>0.78</v>
      </c>
      <c r="AQ885" s="33">
        <f>IF(Orders!X882,1,0)</f>
        <v>0</v>
      </c>
      <c r="AR885" s="34" t="str">
        <f>IF(AND(E885=1,L885=1),AJ885,"")</f>
        <v/>
      </c>
      <c r="AS885" s="34">
        <f>IF(AND(E885=1,L885=0),AJ885,"")</f>
        <v>3.6</v>
      </c>
      <c r="AT885" s="34" t="str">
        <f>IF(AND(E885=1,L885=1),AI885,"")</f>
        <v/>
      </c>
      <c r="AU885" s="34">
        <f>IF(AND(E885=1,L885=0),AI885,"")</f>
        <v>3.6</v>
      </c>
      <c r="AV885" s="34" t="str">
        <f>IF(AND(E885=1,L885=1),AG885,"")</f>
        <v/>
      </c>
      <c r="AW885" s="34">
        <f>IF(AND(E885=1,L885=0),AG885,"")</f>
        <v>11.4</v>
      </c>
      <c r="AX885" s="34" t="str">
        <f>IF(AND(E885=1,L885=1),AH885,"")</f>
        <v/>
      </c>
      <c r="AY885" s="34">
        <f>IF(AND(E885=1,L885=0),AH885,"")</f>
        <v>13.4</v>
      </c>
      <c r="AZ885" s="34">
        <f>IF(G885=1,F885,"")</f>
        <v>2</v>
      </c>
      <c r="BA885" s="34" t="str">
        <f>IF(AND(G885=1,L885=1),F885,"")</f>
        <v/>
      </c>
      <c r="BB885" s="34">
        <f>IF(AND(G885=1,L885=0),F885,"")</f>
        <v>2</v>
      </c>
      <c r="BC885" s="33">
        <f>IF(E885=1,IF(Orders!R882&gt;3,1,0),"")</f>
        <v>0</v>
      </c>
      <c r="BD885" s="33">
        <f>IF(E885=1,IF(Orders!R882&gt;7,1,0),"")</f>
        <v>0</v>
      </c>
      <c r="BE885" s="32" t="str">
        <f>IF(E885=1,IF(Orders!L882&lt;=1.5,"Up to 1.5 km",IF(Orders!L882&lt;=3,"1.5–3 km","Over 3 km")),"")</f>
        <v>1.5–3 km</v>
      </c>
      <c r="BF885" s="33">
        <f>IF(E885=1,IF(ABS((Orders!G882-Orders!F882)*1440-Orders!R882)&lt;0.06,1,0),"")</f>
        <v>1</v>
      </c>
      <c r="BG885" s="33">
        <f>IF(ABS((Orders!F882-Orders!E882)*1440-Orders!P882)&lt;0.06,1,0)</f>
        <v>1</v>
      </c>
      <c r="BH885" s="33">
        <f>IF(E885=1,IF(IF(Orders!S882,1,0)=1-G885,1,0),"")</f>
        <v>1</v>
      </c>
      <c r="BI885" s="32" t="str">
        <f>INDEX(Stores!$B$2:$B$21,MATCH(B885,Stores!$A$2:$A$21,0))</f>
        <v>Mumbai</v>
      </c>
    </row>
    <row r="886">
      <c r="A886" s="32" t="str">
        <f>Orders!A883</f>
        <v>O00882</v>
      </c>
      <c r="B886" s="32" t="str">
        <f>Orders!C883</f>
        <v>S016</v>
      </c>
      <c r="C886" s="32" t="str">
        <f>Orders!B883</f>
        <v>C0160</v>
      </c>
      <c r="D886" s="32" t="str">
        <f>Orders!H883</f>
        <v>Delivered</v>
      </c>
      <c r="E886" s="33">
        <f>IF(Orders!H883="Delivered",1,0)</f>
        <v>1</v>
      </c>
      <c r="F886" s="34">
        <f>IF(E886=1,Orders!R883,"")</f>
        <v>1.1</v>
      </c>
      <c r="G886" s="33">
        <f>IF(E886=1,IF(Orders!R883&gt;0,1,0),"")</f>
        <v>1</v>
      </c>
      <c r="H886" s="33">
        <f>IF(E886=1,IF(Orders!R883&gt;5,1,0),"")</f>
        <v>0</v>
      </c>
      <c r="I886" s="32" t="str">
        <f>IF(E886=1,"",IF(OR(Orders!T883="Rider unavailable",Orders!T883="Item unavailable"),"Company-caused","Unresolved"))</f>
        <v/>
      </c>
      <c r="J886" s="33">
        <f>IF(OR(E886=1,I886="Company-caused"),1,0)</f>
        <v>1</v>
      </c>
      <c r="K886" s="32" t="str">
        <f>IF(E886=0,IF(I886="Company-caused",IF(Orders!T883="Rider unavailable","C1 Rider unavailable","C2 Item unavailable"),"Outside root: unresolved"),IF(G886=0,"A On time",IF(H886=1,IF(L886=1,"B2a Severe, peak","B2b Severe, off-peak"),IF(L886=1,"B1a Slight, peak","B1b Slight, off-peak"))))</f>
        <v>B1b Slight, off-peak</v>
      </c>
      <c r="L886" s="33">
        <f>IF(AND(Orders!U883&gt;=19,Orders!U883&lt;22),1,0)</f>
        <v>0</v>
      </c>
      <c r="M886" s="33">
        <f>IF(L886=IF(Orders!V883,1,0),1,0)</f>
        <v>1</v>
      </c>
      <c r="N886" s="32" t="str">
        <f>IF(Orders!W883="","None",Orders!W883)</f>
        <v>None</v>
      </c>
      <c r="O886" s="35">
        <f>INT(Orders!E883)</f>
        <v>46271.0</v>
      </c>
      <c r="P886" s="33">
        <f>Orders!U883</f>
        <v>11</v>
      </c>
      <c r="Q886" s="33">
        <f>COUNTIFS(Demand!$A$2:$A$4481,B886,Demand!$B$2:$B$4481,O886,Demand!$C$2:$C$4481,P886)</f>
        <v>1</v>
      </c>
      <c r="R886" s="33">
        <f>IF(Q886=1,SUMIFS(Demand!$E$2:$E$4481,Demand!$A$2:$A$4481,B886,Demand!$B$2:$B$4481,O886,Demand!$C$2:$C$4481,P886),"")</f>
        <v>35</v>
      </c>
      <c r="S886" s="33">
        <f>INDEX(Stores!$G$2:$G$21,MATCH(B886,Stores!$A$2:$A$21,0))</f>
        <v>25</v>
      </c>
      <c r="T886" s="34">
        <f>IF(R886="","",R886/S886)</f>
        <v>1.4</v>
      </c>
      <c r="U886" s="34">
        <f>IF(E886=1,T886,"")</f>
        <v>1.4</v>
      </c>
      <c r="V886" s="34">
        <f>IF(AND(E886=1,L886=0),T886,"")</f>
        <v>1.4</v>
      </c>
      <c r="W886" s="33">
        <f>IF(U886="","",IF(U886&lt;=Breakdowns!$C$5,1,IF(U886&lt;=Breakdowns!$C$6,2,IF(U886&lt;=Breakdowns!$C$7,3,4))))</f>
        <v>4</v>
      </c>
      <c r="X886" s="33">
        <f>IF(V886="","",IF(V886&lt;=Breakdowns!$D$5,1,IF(V886&lt;=Breakdowns!$D$6,2,IF(V886&lt;=Breakdowns!$D$7,3,4))))</f>
        <v>4</v>
      </c>
      <c r="Y886" s="34">
        <f>INDEX(Stores!$F$2:$F$21,MATCH(B886,Stores!$A$2:$A$21,0))</f>
        <v>5.51</v>
      </c>
      <c r="Z886" s="33">
        <f>IF(Y886&gt;Store_Summary!$M$2,1,0)</f>
        <v>1</v>
      </c>
      <c r="AA886" s="33">
        <f>INDEX(Stores!$C$2:$C$21,MATCH(B886,Stores!$A$2:$A$21,0))</f>
        <v>792</v>
      </c>
      <c r="AB886" s="33">
        <f>IF(AA886&lt;180,1,0)</f>
        <v>0</v>
      </c>
      <c r="AC886" s="32" t="str">
        <f>IF(Orders!D883="","",INDEX(Riders!$C$2:$C$81,MATCH(Orders!D883,Riders!$A$2:$A$81,0)))</f>
        <v>EV scooter</v>
      </c>
      <c r="AD886" s="33">
        <f>IF(Orders!D883="","",INDEX(Riders!$D$2:$D$81,MATCH(Orders!D883,Riders!$A$2:$A$81,0)))</f>
        <v>41</v>
      </c>
      <c r="AE886" s="33">
        <f>IF(Orders!D883="","",IF(INDEX(Riders!$B$2:$B$81,MATCH(Orders!D883,Riders!$A$2:$A$81,0))=B886,1,0))</f>
        <v>0</v>
      </c>
      <c r="AF886" s="34">
        <f>IF(E886=1,Orders!L883,"")</f>
        <v>1.01</v>
      </c>
      <c r="AG886" s="34">
        <f>IF(E886=1,Orders!P883,"")</f>
        <v>10</v>
      </c>
      <c r="AH886" s="34">
        <f>IF(E886=1,Orders!Q883,"")</f>
        <v>11.1</v>
      </c>
      <c r="AI886" s="34">
        <f>IF(E886=1,Orders!M883,"")</f>
        <v>6.1</v>
      </c>
      <c r="AJ886" s="34">
        <f>IF(E886=1,Orders!N883,"")</f>
        <v>2.4</v>
      </c>
      <c r="AK886" s="34">
        <f>IF(E886=1,Orders!O883,"")</f>
        <v>2.6</v>
      </c>
      <c r="AL886" s="33">
        <f>IF(E886=1,IF(ROUND(ABS(AI886+AJ886+AK886-AH886),6)&lt;=0.1,1,0),"")</f>
        <v>1</v>
      </c>
      <c r="AM886" s="36">
        <f>IF(E886=1,AI886/AH886,"")</f>
        <v>0.54954954954955</v>
      </c>
      <c r="AN886" s="36">
        <f>IF(E886=1,AJ886/AH886,"")</f>
        <v>0.216216216216216</v>
      </c>
      <c r="AO886" s="36">
        <f>IF(E886=1,AK886/AH886,"")</f>
        <v>0.234234234234234</v>
      </c>
      <c r="AP886" s="34">
        <f>IF(E886=1,Orders!Y883,"")</f>
        <v>0.22</v>
      </c>
      <c r="AQ886" s="33">
        <f>IF(Orders!X883,1,0)</f>
        <v>0</v>
      </c>
      <c r="AR886" s="34" t="str">
        <f>IF(AND(E886=1,L886=1),AJ886,"")</f>
        <v/>
      </c>
      <c r="AS886" s="34">
        <f>IF(AND(E886=1,L886=0),AJ886,"")</f>
        <v>2.4</v>
      </c>
      <c r="AT886" s="34" t="str">
        <f>IF(AND(E886=1,L886=1),AI886,"")</f>
        <v/>
      </c>
      <c r="AU886" s="34">
        <f>IF(AND(E886=1,L886=0),AI886,"")</f>
        <v>6.1</v>
      </c>
      <c r="AV886" s="34" t="str">
        <f>IF(AND(E886=1,L886=1),AG886,"")</f>
        <v/>
      </c>
      <c r="AW886" s="34">
        <f>IF(AND(E886=1,L886=0),AG886,"")</f>
        <v>10</v>
      </c>
      <c r="AX886" s="34" t="str">
        <f>IF(AND(E886=1,L886=1),AH886,"")</f>
        <v/>
      </c>
      <c r="AY886" s="34">
        <f>IF(AND(E886=1,L886=0),AH886,"")</f>
        <v>11.1</v>
      </c>
      <c r="AZ886" s="34">
        <f>IF(G886=1,F886,"")</f>
        <v>1.1</v>
      </c>
      <c r="BA886" s="34" t="str">
        <f>IF(AND(G886=1,L886=1),F886,"")</f>
        <v/>
      </c>
      <c r="BB886" s="34">
        <f>IF(AND(G886=1,L886=0),F886,"")</f>
        <v>1.1</v>
      </c>
      <c r="BC886" s="33">
        <f>IF(E886=1,IF(Orders!R883&gt;3,1,0),"")</f>
        <v>0</v>
      </c>
      <c r="BD886" s="33">
        <f>IF(E886=1,IF(Orders!R883&gt;7,1,0),"")</f>
        <v>0</v>
      </c>
      <c r="BE886" s="32" t="str">
        <f>IF(E886=1,IF(Orders!L883&lt;=1.5,"Up to 1.5 km",IF(Orders!L883&lt;=3,"1.5–3 km","Over 3 km")),"")</f>
        <v>Up to 1.5 km</v>
      </c>
      <c r="BF886" s="33">
        <f>IF(E886=1,IF(ABS((Orders!G883-Orders!F883)*1440-Orders!R883)&lt;0.06,1,0),"")</f>
        <v>1</v>
      </c>
      <c r="BG886" s="33">
        <f>IF(ABS((Orders!F883-Orders!E883)*1440-Orders!P883)&lt;0.06,1,0)</f>
        <v>1</v>
      </c>
      <c r="BH886" s="33">
        <f>IF(E886=1,IF(IF(Orders!S883,1,0)=1-G886,1,0),"")</f>
        <v>1</v>
      </c>
      <c r="BI886" s="32" t="str">
        <f>INDEX(Stores!$B$2:$B$21,MATCH(B886,Stores!$A$2:$A$21,0))</f>
        <v>Bengaluru</v>
      </c>
    </row>
    <row r="887">
      <c r="A887" s="32" t="str">
        <f>Orders!A884</f>
        <v>O00883</v>
      </c>
      <c r="B887" s="32" t="str">
        <f>Orders!C884</f>
        <v>S007</v>
      </c>
      <c r="C887" s="32" t="str">
        <f>Orders!B884</f>
        <v>C0003</v>
      </c>
      <c r="D887" s="32" t="str">
        <f>Orders!H884</f>
        <v>Delivered</v>
      </c>
      <c r="E887" s="33">
        <f>IF(Orders!H884="Delivered",1,0)</f>
        <v>1</v>
      </c>
      <c r="F887" s="34">
        <f>IF(E887=1,Orders!R884,"")</f>
        <v>0.9</v>
      </c>
      <c r="G887" s="33">
        <f>IF(E887=1,IF(Orders!R884&gt;0,1,0),"")</f>
        <v>1</v>
      </c>
      <c r="H887" s="33">
        <f>IF(E887=1,IF(Orders!R884&gt;5,1,0),"")</f>
        <v>0</v>
      </c>
      <c r="I887" s="32" t="str">
        <f>IF(E887=1,"",IF(OR(Orders!T884="Rider unavailable",Orders!T884="Item unavailable"),"Company-caused","Unresolved"))</f>
        <v/>
      </c>
      <c r="J887" s="33">
        <f>IF(OR(E887=1,I887="Company-caused"),1,0)</f>
        <v>1</v>
      </c>
      <c r="K887" s="32" t="str">
        <f>IF(E887=0,IF(I887="Company-caused",IF(Orders!T884="Rider unavailable","C1 Rider unavailable","C2 Item unavailable"),"Outside root: unresolved"),IF(G887=0,"A On time",IF(H887=1,IF(L887=1,"B2a Severe, peak","B2b Severe, off-peak"),IF(L887=1,"B1a Slight, peak","B1b Slight, off-peak"))))</f>
        <v>B1b Slight, off-peak</v>
      </c>
      <c r="L887" s="33">
        <f>IF(AND(Orders!U884&gt;=19,Orders!U884&lt;22),1,0)</f>
        <v>0</v>
      </c>
      <c r="M887" s="33">
        <f>IF(L887=IF(Orders!V884,1,0),1,0)</f>
        <v>1</v>
      </c>
      <c r="N887" s="32" t="str">
        <f>IF(Orders!W884="","None",Orders!W884)</f>
        <v>Light</v>
      </c>
      <c r="O887" s="35">
        <f>INT(Orders!E884)</f>
        <v>46271.0</v>
      </c>
      <c r="P887" s="33">
        <f>Orders!U884</f>
        <v>13</v>
      </c>
      <c r="Q887" s="33">
        <f>COUNTIFS(Demand!$A$2:$A$4481,B887,Demand!$B$2:$B$4481,O887,Demand!$C$2:$C$4481,P887)</f>
        <v>1</v>
      </c>
      <c r="R887" s="33">
        <f>IF(Q887=1,SUMIFS(Demand!$E$2:$E$4481,Demand!$A$2:$A$4481,B887,Demand!$B$2:$B$4481,O887,Demand!$C$2:$C$4481,P887),"")</f>
        <v>40</v>
      </c>
      <c r="S887" s="33">
        <f>INDEX(Stores!$G$2:$G$21,MATCH(B887,Stores!$A$2:$A$21,0))</f>
        <v>37</v>
      </c>
      <c r="T887" s="34">
        <f>IF(R887="","",R887/S887)</f>
        <v>1.08108108108108</v>
      </c>
      <c r="U887" s="34">
        <f>IF(E887=1,T887,"")</f>
        <v>1.08108108108108</v>
      </c>
      <c r="V887" s="34">
        <f>IF(AND(E887=1,L887=0),T887,"")</f>
        <v>1.08108108108108</v>
      </c>
      <c r="W887" s="33">
        <f>IF(U887="","",IF(U887&lt;=Breakdowns!$C$5,1,IF(U887&lt;=Breakdowns!$C$6,2,IF(U887&lt;=Breakdowns!$C$7,3,4))))</f>
        <v>3</v>
      </c>
      <c r="X887" s="33">
        <f>IF(V887="","",IF(V887&lt;=Breakdowns!$D$5,1,IF(V887&lt;=Breakdowns!$D$6,2,IF(V887&lt;=Breakdowns!$D$7,3,4))))</f>
        <v>4</v>
      </c>
      <c r="Y887" s="34">
        <f>INDEX(Stores!$F$2:$F$21,MATCH(B887,Stores!$A$2:$A$21,0))</f>
        <v>4.05</v>
      </c>
      <c r="Z887" s="33">
        <f>IF(Y887&gt;Store_Summary!$M$2,1,0)</f>
        <v>0</v>
      </c>
      <c r="AA887" s="33">
        <f>INDEX(Stores!$C$2:$C$21,MATCH(B887,Stores!$A$2:$A$21,0))</f>
        <v>661</v>
      </c>
      <c r="AB887" s="33">
        <f>IF(AA887&lt;180,1,0)</f>
        <v>0</v>
      </c>
      <c r="AC887" s="32" t="str">
        <f>IF(Orders!D884="","",INDEX(Riders!$C$2:$C$81,MATCH(Orders!D884,Riders!$A$2:$A$81,0)))</f>
        <v>EV scooter</v>
      </c>
      <c r="AD887" s="33">
        <f>IF(Orders!D884="","",INDEX(Riders!$D$2:$D$81,MATCH(Orders!D884,Riders!$A$2:$A$81,0)))</f>
        <v>24</v>
      </c>
      <c r="AE887" s="33">
        <f>IF(Orders!D884="","",IF(INDEX(Riders!$B$2:$B$81,MATCH(Orders!D884,Riders!$A$2:$A$81,0))=B887,1,0))</f>
        <v>0</v>
      </c>
      <c r="AF887" s="34">
        <f>IF(E887=1,Orders!L884,"")</f>
        <v>1.18</v>
      </c>
      <c r="AG887" s="34">
        <f>IF(E887=1,Orders!P884,"")</f>
        <v>10</v>
      </c>
      <c r="AH887" s="34">
        <f>IF(E887=1,Orders!Q884,"")</f>
        <v>10.9</v>
      </c>
      <c r="AI887" s="34">
        <f>IF(E887=1,Orders!M884,"")</f>
        <v>5.6</v>
      </c>
      <c r="AJ887" s="34">
        <f>IF(E887=1,Orders!N884,"")</f>
        <v>1.3</v>
      </c>
      <c r="AK887" s="34">
        <f>IF(E887=1,Orders!O884,"")</f>
        <v>4</v>
      </c>
      <c r="AL887" s="33">
        <f>IF(E887=1,IF(ROUND(ABS(AI887+AJ887+AK887-AH887),6)&lt;=0.1,1,0),"")</f>
        <v>1</v>
      </c>
      <c r="AM887" s="36">
        <f>IF(E887=1,AI887/AH887,"")</f>
        <v>0.513761467889908</v>
      </c>
      <c r="AN887" s="36">
        <f>IF(E887=1,AJ887/AH887,"")</f>
        <v>0.119266055045872</v>
      </c>
      <c r="AO887" s="36">
        <f>IF(E887=1,AK887/AH887,"")</f>
        <v>0.36697247706422</v>
      </c>
      <c r="AP887" s="34">
        <f>IF(E887=1,Orders!Y884,"")</f>
        <v>0.25</v>
      </c>
      <c r="AQ887" s="33">
        <f>IF(Orders!X884,1,0)</f>
        <v>0</v>
      </c>
      <c r="AR887" s="34" t="str">
        <f>IF(AND(E887=1,L887=1),AJ887,"")</f>
        <v/>
      </c>
      <c r="AS887" s="34">
        <f>IF(AND(E887=1,L887=0),AJ887,"")</f>
        <v>1.3</v>
      </c>
      <c r="AT887" s="34" t="str">
        <f>IF(AND(E887=1,L887=1),AI887,"")</f>
        <v/>
      </c>
      <c r="AU887" s="34">
        <f>IF(AND(E887=1,L887=0),AI887,"")</f>
        <v>5.6</v>
      </c>
      <c r="AV887" s="34" t="str">
        <f>IF(AND(E887=1,L887=1),AG887,"")</f>
        <v/>
      </c>
      <c r="AW887" s="34">
        <f>IF(AND(E887=1,L887=0),AG887,"")</f>
        <v>10</v>
      </c>
      <c r="AX887" s="34" t="str">
        <f>IF(AND(E887=1,L887=1),AH887,"")</f>
        <v/>
      </c>
      <c r="AY887" s="34">
        <f>IF(AND(E887=1,L887=0),AH887,"")</f>
        <v>10.9</v>
      </c>
      <c r="AZ887" s="34">
        <f>IF(G887=1,F887,"")</f>
        <v>0.9</v>
      </c>
      <c r="BA887" s="34" t="str">
        <f>IF(AND(G887=1,L887=1),F887,"")</f>
        <v/>
      </c>
      <c r="BB887" s="34">
        <f>IF(AND(G887=1,L887=0),F887,"")</f>
        <v>0.9</v>
      </c>
      <c r="BC887" s="33">
        <f>IF(E887=1,IF(Orders!R884&gt;3,1,0),"")</f>
        <v>0</v>
      </c>
      <c r="BD887" s="33">
        <f>IF(E887=1,IF(Orders!R884&gt;7,1,0),"")</f>
        <v>0</v>
      </c>
      <c r="BE887" s="32" t="str">
        <f>IF(E887=1,IF(Orders!L884&lt;=1.5,"Up to 1.5 km",IF(Orders!L884&lt;=3,"1.5–3 km","Over 3 km")),"")</f>
        <v>Up to 1.5 km</v>
      </c>
      <c r="BF887" s="33">
        <f>IF(E887=1,IF(ABS((Orders!G884-Orders!F884)*1440-Orders!R884)&lt;0.06,1,0),"")</f>
        <v>1</v>
      </c>
      <c r="BG887" s="33">
        <f>IF(ABS((Orders!F884-Orders!E884)*1440-Orders!P884)&lt;0.06,1,0)</f>
        <v>1</v>
      </c>
      <c r="BH887" s="33">
        <f>IF(E887=1,IF(IF(Orders!S884,1,0)=1-G887,1,0),"")</f>
        <v>1</v>
      </c>
      <c r="BI887" s="32" t="str">
        <f>INDEX(Stores!$B$2:$B$21,MATCH(B887,Stores!$A$2:$A$21,0))</f>
        <v>Hyderabad</v>
      </c>
    </row>
    <row r="888">
      <c r="A888" s="32" t="str">
        <f>Orders!A885</f>
        <v>O00884</v>
      </c>
      <c r="B888" s="32" t="str">
        <f>Orders!C885</f>
        <v>S018</v>
      </c>
      <c r="C888" s="32" t="str">
        <f>Orders!B885</f>
        <v>C0169</v>
      </c>
      <c r="D888" s="32" t="str">
        <f>Orders!H885</f>
        <v>Delivered</v>
      </c>
      <c r="E888" s="33">
        <f>IF(Orders!H885="Delivered",1,0)</f>
        <v>1</v>
      </c>
      <c r="F888" s="34">
        <f>IF(E888=1,Orders!R885,"")</f>
        <v>-1.2</v>
      </c>
      <c r="G888" s="33">
        <f>IF(E888=1,IF(Orders!R885&gt;0,1,0),"")</f>
        <v>0</v>
      </c>
      <c r="H888" s="33">
        <f>IF(E888=1,IF(Orders!R885&gt;5,1,0),"")</f>
        <v>0</v>
      </c>
      <c r="I888" s="32" t="str">
        <f>IF(E888=1,"",IF(OR(Orders!T885="Rider unavailable",Orders!T885="Item unavailable"),"Company-caused","Unresolved"))</f>
        <v/>
      </c>
      <c r="J888" s="33">
        <f>IF(OR(E888=1,I888="Company-caused"),1,0)</f>
        <v>1</v>
      </c>
      <c r="K888" s="32" t="str">
        <f>IF(E888=0,IF(I888="Company-caused",IF(Orders!T885="Rider unavailable","C1 Rider unavailable","C2 Item unavailable"),"Outside root: unresolved"),IF(G888=0,"A On time",IF(H888=1,IF(L888=1,"B2a Severe, peak","B2b Severe, off-peak"),IF(L888=1,"B1a Slight, peak","B1b Slight, off-peak"))))</f>
        <v>A On time</v>
      </c>
      <c r="L888" s="33">
        <f>IF(AND(Orders!U885&gt;=19,Orders!U885&lt;22),1,0)</f>
        <v>1</v>
      </c>
      <c r="M888" s="33">
        <f>IF(L888=IF(Orders!V885,1,0),1,0)</f>
        <v>1</v>
      </c>
      <c r="N888" s="32" t="str">
        <f>IF(Orders!W885="","None",Orders!W885)</f>
        <v>Light</v>
      </c>
      <c r="O888" s="35">
        <f>INT(Orders!E885)</f>
        <v>46276.0</v>
      </c>
      <c r="P888" s="33">
        <f>Orders!U885</f>
        <v>20</v>
      </c>
      <c r="Q888" s="33">
        <f>COUNTIFS(Demand!$A$2:$A$4481,B888,Demand!$B$2:$B$4481,O888,Demand!$C$2:$C$4481,P888)</f>
        <v>1</v>
      </c>
      <c r="R888" s="33">
        <f>IF(Q888=1,SUMIFS(Demand!$E$2:$E$4481,Demand!$A$2:$A$4481,B888,Demand!$B$2:$B$4481,O888,Demand!$C$2:$C$4481,P888),"")</f>
        <v>39</v>
      </c>
      <c r="S888" s="33">
        <f>INDEX(Stores!$G$2:$G$21,MATCH(B888,Stores!$A$2:$A$21,0))</f>
        <v>20</v>
      </c>
      <c r="T888" s="34">
        <f>IF(R888="","",R888/S888)</f>
        <v>1.95</v>
      </c>
      <c r="U888" s="34">
        <f>IF(E888=1,T888,"")</f>
        <v>1.95</v>
      </c>
      <c r="V888" s="34" t="str">
        <f>IF(AND(E888=1,L888=0),T888,"")</f>
        <v/>
      </c>
      <c r="W888" s="33">
        <f>IF(U888="","",IF(U888&lt;=Breakdowns!$C$5,1,IF(U888&lt;=Breakdowns!$C$6,2,IF(U888&lt;=Breakdowns!$C$7,3,4))))</f>
        <v>4</v>
      </c>
      <c r="X888" s="33" t="str">
        <f>IF(V888="","",IF(V888&lt;=Breakdowns!$D$5,1,IF(V888&lt;=Breakdowns!$D$6,2,IF(V888&lt;=Breakdowns!$D$7,3,4))))</f>
        <v/>
      </c>
      <c r="Y888" s="34">
        <f>INDEX(Stores!$F$2:$F$21,MATCH(B888,Stores!$A$2:$A$21,0))</f>
        <v>5.31</v>
      </c>
      <c r="Z888" s="33">
        <f>IF(Y888&gt;Store_Summary!$M$2,1,0)</f>
        <v>1</v>
      </c>
      <c r="AA888" s="33">
        <f>INDEX(Stores!$C$2:$C$21,MATCH(B888,Stores!$A$2:$A$21,0))</f>
        <v>214</v>
      </c>
      <c r="AB888" s="33">
        <f>IF(AA888&lt;180,1,0)</f>
        <v>0</v>
      </c>
      <c r="AC888" s="32" t="str">
        <f>IF(Orders!D885="","",INDEX(Riders!$C$2:$C$81,MATCH(Orders!D885,Riders!$A$2:$A$81,0)))</f>
        <v>EV scooter</v>
      </c>
      <c r="AD888" s="33">
        <f>IF(Orders!D885="","",INDEX(Riders!$D$2:$D$81,MATCH(Orders!D885,Riders!$A$2:$A$81,0)))</f>
        <v>2</v>
      </c>
      <c r="AE888" s="33">
        <f>IF(Orders!D885="","",IF(INDEX(Riders!$B$2:$B$81,MATCH(Orders!D885,Riders!$A$2:$A$81,0))=B888,1,0))</f>
        <v>0</v>
      </c>
      <c r="AF888" s="34">
        <f>IF(E888=1,Orders!L885,"")</f>
        <v>2.38</v>
      </c>
      <c r="AG888" s="34">
        <f>IF(E888=1,Orders!P885,"")</f>
        <v>10.3</v>
      </c>
      <c r="AH888" s="34">
        <f>IF(E888=1,Orders!Q885,"")</f>
        <v>9.1</v>
      </c>
      <c r="AI888" s="34">
        <f>IF(E888=1,Orders!M885,"")</f>
        <v>2.9</v>
      </c>
      <c r="AJ888" s="34">
        <f>IF(E888=1,Orders!N885,"")</f>
        <v>1.7</v>
      </c>
      <c r="AK888" s="34">
        <f>IF(E888=1,Orders!O885,"")</f>
        <v>4.5</v>
      </c>
      <c r="AL888" s="33">
        <f>IF(E888=1,IF(ROUND(ABS(AI888+AJ888+AK888-AH888),6)&lt;=0.1,1,0),"")</f>
        <v>1</v>
      </c>
      <c r="AM888" s="36">
        <f>IF(E888=1,AI888/AH888,"")</f>
        <v>0.318681318681319</v>
      </c>
      <c r="AN888" s="36">
        <f>IF(E888=1,AJ888/AH888,"")</f>
        <v>0.186813186813187</v>
      </c>
      <c r="AO888" s="36">
        <f>IF(E888=1,AK888/AH888,"")</f>
        <v>0.494505494505495</v>
      </c>
      <c r="AP888" s="34">
        <f>IF(E888=1,Orders!Y885,"")</f>
        <v>0.48</v>
      </c>
      <c r="AQ888" s="33">
        <f>IF(Orders!X885,1,0)</f>
        <v>0</v>
      </c>
      <c r="AR888" s="34">
        <f>IF(AND(E888=1,L888=1),AJ888,"")</f>
        <v>1.7</v>
      </c>
      <c r="AS888" s="34" t="str">
        <f>IF(AND(E888=1,L888=0),AJ888,"")</f>
        <v/>
      </c>
      <c r="AT888" s="34">
        <f>IF(AND(E888=1,L888=1),AI888,"")</f>
        <v>2.9</v>
      </c>
      <c r="AU888" s="34" t="str">
        <f>IF(AND(E888=1,L888=0),AI888,"")</f>
        <v/>
      </c>
      <c r="AV888" s="34">
        <f>IF(AND(E888=1,L888=1),AG888,"")</f>
        <v>10.3</v>
      </c>
      <c r="AW888" s="34" t="str">
        <f>IF(AND(E888=1,L888=0),AG888,"")</f>
        <v/>
      </c>
      <c r="AX888" s="34">
        <f>IF(AND(E888=1,L888=1),AH888,"")</f>
        <v>9.1</v>
      </c>
      <c r="AY888" s="34" t="str">
        <f>IF(AND(E888=1,L888=0),AH888,"")</f>
        <v/>
      </c>
      <c r="AZ888" s="34" t="str">
        <f>IF(G888=1,F888,"")</f>
        <v/>
      </c>
      <c r="BA888" s="34" t="str">
        <f>IF(AND(G888=1,L888=1),F888,"")</f>
        <v/>
      </c>
      <c r="BB888" s="34" t="str">
        <f>IF(AND(G888=1,L888=0),F888,"")</f>
        <v/>
      </c>
      <c r="BC888" s="33">
        <f>IF(E888=1,IF(Orders!R885&gt;3,1,0),"")</f>
        <v>0</v>
      </c>
      <c r="BD888" s="33">
        <f>IF(E888=1,IF(Orders!R885&gt;7,1,0),"")</f>
        <v>0</v>
      </c>
      <c r="BE888" s="32" t="str">
        <f>IF(E888=1,IF(Orders!L885&lt;=1.5,"Up to 1.5 km",IF(Orders!L885&lt;=3,"1.5–3 km","Over 3 km")),"")</f>
        <v>1.5–3 km</v>
      </c>
      <c r="BF888" s="33">
        <f>IF(E888=1,IF(ABS((Orders!G885-Orders!F885)*1440-Orders!R885)&lt;0.06,1,0),"")</f>
        <v>1</v>
      </c>
      <c r="BG888" s="33">
        <f>IF(ABS((Orders!F885-Orders!E885)*1440-Orders!P885)&lt;0.06,1,0)</f>
        <v>1</v>
      </c>
      <c r="BH888" s="33">
        <f>IF(E888=1,IF(IF(Orders!S885,1,0)=1-G888,1,0),"")</f>
        <v>1</v>
      </c>
      <c r="BI888" s="32" t="str">
        <f>INDEX(Stores!$B$2:$B$21,MATCH(B888,Stores!$A$2:$A$21,0))</f>
        <v>Mumbai</v>
      </c>
    </row>
    <row r="889">
      <c r="A889" s="32" t="str">
        <f>Orders!A886</f>
        <v>O00885</v>
      </c>
      <c r="B889" s="32" t="str">
        <f>Orders!C886</f>
        <v>S020</v>
      </c>
      <c r="C889" s="32" t="str">
        <f>Orders!B886</f>
        <v>C0026</v>
      </c>
      <c r="D889" s="32" t="str">
        <f>Orders!H886</f>
        <v>Delivered</v>
      </c>
      <c r="E889" s="33">
        <f>IF(Orders!H886="Delivered",1,0)</f>
        <v>1</v>
      </c>
      <c r="F889" s="34">
        <f>IF(E889=1,Orders!R886,"")</f>
        <v>-0.4</v>
      </c>
      <c r="G889" s="33">
        <f>IF(E889=1,IF(Orders!R886&gt;0,1,0),"")</f>
        <v>0</v>
      </c>
      <c r="H889" s="33">
        <f>IF(E889=1,IF(Orders!R886&gt;5,1,0),"")</f>
        <v>0</v>
      </c>
      <c r="I889" s="32" t="str">
        <f>IF(E889=1,"",IF(OR(Orders!T886="Rider unavailable",Orders!T886="Item unavailable"),"Company-caused","Unresolved"))</f>
        <v/>
      </c>
      <c r="J889" s="33">
        <f>IF(OR(E889=1,I889="Company-caused"),1,0)</f>
        <v>1</v>
      </c>
      <c r="K889" s="32" t="str">
        <f>IF(E889=0,IF(I889="Company-caused",IF(Orders!T886="Rider unavailable","C1 Rider unavailable","C2 Item unavailable"),"Outside root: unresolved"),IF(G889=0,"A On time",IF(H889=1,IF(L889=1,"B2a Severe, peak","B2b Severe, off-peak"),IF(L889=1,"B1a Slight, peak","B1b Slight, off-peak"))))</f>
        <v>A On time</v>
      </c>
      <c r="L889" s="33">
        <f>IF(AND(Orders!U886&gt;=19,Orders!U886&lt;22),1,0)</f>
        <v>0</v>
      </c>
      <c r="M889" s="33">
        <f>IF(L889=IF(Orders!V886,1,0),1,0)</f>
        <v>1</v>
      </c>
      <c r="N889" s="32" t="str">
        <f>IF(Orders!W886="","None",Orders!W886)</f>
        <v>None</v>
      </c>
      <c r="O889" s="35">
        <f>INT(Orders!E886)</f>
        <v>46268.0</v>
      </c>
      <c r="P889" s="33">
        <f>Orders!U886</f>
        <v>15</v>
      </c>
      <c r="Q889" s="33">
        <f>COUNTIFS(Demand!$A$2:$A$4481,B889,Demand!$B$2:$B$4481,O889,Demand!$C$2:$C$4481,P889)</f>
        <v>1</v>
      </c>
      <c r="R889" s="33">
        <f>IF(Q889=1,SUMIFS(Demand!$E$2:$E$4481,Demand!$A$2:$A$4481,B889,Demand!$B$2:$B$4481,O889,Demand!$C$2:$C$4481,P889),"")</f>
        <v>11</v>
      </c>
      <c r="S889" s="33">
        <f>INDEX(Stores!$G$2:$G$21,MATCH(B889,Stores!$A$2:$A$21,0))</f>
        <v>15</v>
      </c>
      <c r="T889" s="34">
        <f>IF(R889="","",R889/S889)</f>
        <v>0.733333333333333</v>
      </c>
      <c r="U889" s="34">
        <f>IF(E889=1,T889,"")</f>
        <v>0.733333333333333</v>
      </c>
      <c r="V889" s="34">
        <f>IF(AND(E889=1,L889=0),T889,"")</f>
        <v>0.733333333333333</v>
      </c>
      <c r="W889" s="33">
        <f>IF(U889="","",IF(U889&lt;=Breakdowns!$C$5,1,IF(U889&lt;=Breakdowns!$C$6,2,IF(U889&lt;=Breakdowns!$C$7,3,4))))</f>
        <v>1</v>
      </c>
      <c r="X889" s="33">
        <f>IF(V889="","",IF(V889&lt;=Breakdowns!$D$5,1,IF(V889&lt;=Breakdowns!$D$6,2,IF(V889&lt;=Breakdowns!$D$7,3,4))))</f>
        <v>1</v>
      </c>
      <c r="Y889" s="34">
        <f>INDEX(Stores!$F$2:$F$21,MATCH(B889,Stores!$A$2:$A$21,0))</f>
        <v>5.74</v>
      </c>
      <c r="Z889" s="33">
        <f>IF(Y889&gt;Store_Summary!$M$2,1,0)</f>
        <v>1</v>
      </c>
      <c r="AA889" s="33">
        <f>INDEX(Stores!$C$2:$C$21,MATCH(B889,Stores!$A$2:$A$21,0))</f>
        <v>647</v>
      </c>
      <c r="AB889" s="33">
        <f>IF(AA889&lt;180,1,0)</f>
        <v>0</v>
      </c>
      <c r="AC889" s="32" t="str">
        <f>IF(Orders!D886="","",INDEX(Riders!$C$2:$C$81,MATCH(Orders!D886,Riders!$A$2:$A$81,0)))</f>
        <v>Petrol scooter</v>
      </c>
      <c r="AD889" s="33">
        <f>IF(Orders!D886="","",INDEX(Riders!$D$2:$D$81,MATCH(Orders!D886,Riders!$A$2:$A$81,0)))</f>
        <v>30</v>
      </c>
      <c r="AE889" s="33">
        <f>IF(Orders!D886="","",IF(INDEX(Riders!$B$2:$B$81,MATCH(Orders!D886,Riders!$A$2:$A$81,0))=B889,1,0))</f>
        <v>0</v>
      </c>
      <c r="AF889" s="34">
        <f>IF(E889=1,Orders!L886,"")</f>
        <v>3.8</v>
      </c>
      <c r="AG889" s="34">
        <f>IF(E889=1,Orders!P886,"")</f>
        <v>11</v>
      </c>
      <c r="AH889" s="34">
        <f>IF(E889=1,Orders!Q886,"")</f>
        <v>10.6</v>
      </c>
      <c r="AI889" s="34">
        <f>IF(E889=1,Orders!M886,"")</f>
        <v>3.5</v>
      </c>
      <c r="AJ889" s="34">
        <f>IF(E889=1,Orders!N886,"")</f>
        <v>1.5</v>
      </c>
      <c r="AK889" s="34">
        <f>IF(E889=1,Orders!O886,"")</f>
        <v>5.6</v>
      </c>
      <c r="AL889" s="33">
        <f>IF(E889=1,IF(ROUND(ABS(AI889+AJ889+AK889-AH889),6)&lt;=0.1,1,0),"")</f>
        <v>1</v>
      </c>
      <c r="AM889" s="36">
        <f>IF(E889=1,AI889/AH889,"")</f>
        <v>0.330188679245283</v>
      </c>
      <c r="AN889" s="36">
        <f>IF(E889=1,AJ889/AH889,"")</f>
        <v>0.141509433962264</v>
      </c>
      <c r="AO889" s="36">
        <f>IF(E889=1,AK889/AH889,"")</f>
        <v>0.528301886792453</v>
      </c>
      <c r="AP889" s="34">
        <f>IF(E889=1,Orders!Y886,"")</f>
        <v>0.48</v>
      </c>
      <c r="AQ889" s="33">
        <f>IF(Orders!X886,1,0)</f>
        <v>0</v>
      </c>
      <c r="AR889" s="34" t="str">
        <f>IF(AND(E889=1,L889=1),AJ889,"")</f>
        <v/>
      </c>
      <c r="AS889" s="34">
        <f>IF(AND(E889=1,L889=0),AJ889,"")</f>
        <v>1.5</v>
      </c>
      <c r="AT889" s="34" t="str">
        <f>IF(AND(E889=1,L889=1),AI889,"")</f>
        <v/>
      </c>
      <c r="AU889" s="34">
        <f>IF(AND(E889=1,L889=0),AI889,"")</f>
        <v>3.5</v>
      </c>
      <c r="AV889" s="34" t="str">
        <f>IF(AND(E889=1,L889=1),AG889,"")</f>
        <v/>
      </c>
      <c r="AW889" s="34">
        <f>IF(AND(E889=1,L889=0),AG889,"")</f>
        <v>11</v>
      </c>
      <c r="AX889" s="34" t="str">
        <f>IF(AND(E889=1,L889=1),AH889,"")</f>
        <v/>
      </c>
      <c r="AY889" s="34">
        <f>IF(AND(E889=1,L889=0),AH889,"")</f>
        <v>10.6</v>
      </c>
      <c r="AZ889" s="34" t="str">
        <f>IF(G889=1,F889,"")</f>
        <v/>
      </c>
      <c r="BA889" s="34" t="str">
        <f>IF(AND(G889=1,L889=1),F889,"")</f>
        <v/>
      </c>
      <c r="BB889" s="34" t="str">
        <f>IF(AND(G889=1,L889=0),F889,"")</f>
        <v/>
      </c>
      <c r="BC889" s="33">
        <f>IF(E889=1,IF(Orders!R886&gt;3,1,0),"")</f>
        <v>0</v>
      </c>
      <c r="BD889" s="33">
        <f>IF(E889=1,IF(Orders!R886&gt;7,1,0),"")</f>
        <v>0</v>
      </c>
      <c r="BE889" s="32" t="str">
        <f>IF(E889=1,IF(Orders!L886&lt;=1.5,"Up to 1.5 km",IF(Orders!L886&lt;=3,"1.5–3 km","Over 3 km")),"")</f>
        <v>Over 3 km</v>
      </c>
      <c r="BF889" s="33">
        <f>IF(E889=1,IF(ABS((Orders!G886-Orders!F886)*1440-Orders!R886)&lt;0.06,1,0),"")</f>
        <v>1</v>
      </c>
      <c r="BG889" s="33">
        <f>IF(ABS((Orders!F886-Orders!E886)*1440-Orders!P886)&lt;0.06,1,0)</f>
        <v>1</v>
      </c>
      <c r="BH889" s="33">
        <f>IF(E889=1,IF(IF(Orders!S886,1,0)=1-G889,1,0),"")</f>
        <v>1</v>
      </c>
      <c r="BI889" s="32" t="str">
        <f>INDEX(Stores!$B$2:$B$21,MATCH(B889,Stores!$A$2:$A$21,0))</f>
        <v>Delhi</v>
      </c>
    </row>
    <row r="890">
      <c r="A890" s="32" t="str">
        <f>Orders!A887</f>
        <v>O00886</v>
      </c>
      <c r="B890" s="32" t="str">
        <f>Orders!C887</f>
        <v>S007</v>
      </c>
      <c r="C890" s="32" t="str">
        <f>Orders!B887</f>
        <v>C0021</v>
      </c>
      <c r="D890" s="32" t="str">
        <f>Orders!H887</f>
        <v>Delivered</v>
      </c>
      <c r="E890" s="33">
        <f>IF(Orders!H887="Delivered",1,0)</f>
        <v>1</v>
      </c>
      <c r="F890" s="34">
        <f>IF(E890=1,Orders!R887,"")</f>
        <v>5</v>
      </c>
      <c r="G890" s="33">
        <f>IF(E890=1,IF(Orders!R887&gt;0,1,0),"")</f>
        <v>1</v>
      </c>
      <c r="H890" s="33">
        <f>IF(E890=1,IF(Orders!R887&gt;5,1,0),"")</f>
        <v>0</v>
      </c>
      <c r="I890" s="32" t="str">
        <f>IF(E890=1,"",IF(OR(Orders!T887="Rider unavailable",Orders!T887="Item unavailable"),"Company-caused","Unresolved"))</f>
        <v/>
      </c>
      <c r="J890" s="33">
        <f>IF(OR(E890=1,I890="Company-caused"),1,0)</f>
        <v>1</v>
      </c>
      <c r="K890" s="32" t="str">
        <f>IF(E890=0,IF(I890="Company-caused",IF(Orders!T887="Rider unavailable","C1 Rider unavailable","C2 Item unavailable"),"Outside root: unresolved"),IF(G890=0,"A On time",IF(H890=1,IF(L890=1,"B2a Severe, peak","B2b Severe, off-peak"),IF(L890=1,"B1a Slight, peak","B1b Slight, off-peak"))))</f>
        <v>B1a Slight, peak</v>
      </c>
      <c r="L890" s="33">
        <f>IF(AND(Orders!U887&gt;=19,Orders!U887&lt;22),1,0)</f>
        <v>1</v>
      </c>
      <c r="M890" s="33">
        <f>IF(L890=IF(Orders!V887,1,0),1,0)</f>
        <v>1</v>
      </c>
      <c r="N890" s="32" t="str">
        <f>IF(Orders!W887="","None",Orders!W887)</f>
        <v>None</v>
      </c>
      <c r="O890" s="35">
        <f>INT(Orders!E887)</f>
        <v>46267.0</v>
      </c>
      <c r="P890" s="33">
        <f>Orders!U887</f>
        <v>20</v>
      </c>
      <c r="Q890" s="33">
        <f>COUNTIFS(Demand!$A$2:$A$4481,B890,Demand!$B$2:$B$4481,O890,Demand!$C$2:$C$4481,P890)</f>
        <v>1</v>
      </c>
      <c r="R890" s="33">
        <f>IF(Q890=1,SUMIFS(Demand!$E$2:$E$4481,Demand!$A$2:$A$4481,B890,Demand!$B$2:$B$4481,O890,Demand!$C$2:$C$4481,P890),"")</f>
        <v>52</v>
      </c>
      <c r="S890" s="33">
        <f>INDEX(Stores!$G$2:$G$21,MATCH(B890,Stores!$A$2:$A$21,0))</f>
        <v>37</v>
      </c>
      <c r="T890" s="34">
        <f>IF(R890="","",R890/S890)</f>
        <v>1.40540540540541</v>
      </c>
      <c r="U890" s="34">
        <f>IF(E890=1,T890,"")</f>
        <v>1.40540540540541</v>
      </c>
      <c r="V890" s="34" t="str">
        <f>IF(AND(E890=1,L890=0),T890,"")</f>
        <v/>
      </c>
      <c r="W890" s="33">
        <f>IF(U890="","",IF(U890&lt;=Breakdowns!$C$5,1,IF(U890&lt;=Breakdowns!$C$6,2,IF(U890&lt;=Breakdowns!$C$7,3,4))))</f>
        <v>4</v>
      </c>
      <c r="X890" s="33" t="str">
        <f>IF(V890="","",IF(V890&lt;=Breakdowns!$D$5,1,IF(V890&lt;=Breakdowns!$D$6,2,IF(V890&lt;=Breakdowns!$D$7,3,4))))</f>
        <v/>
      </c>
      <c r="Y890" s="34">
        <f>INDEX(Stores!$F$2:$F$21,MATCH(B890,Stores!$A$2:$A$21,0))</f>
        <v>4.05</v>
      </c>
      <c r="Z890" s="33">
        <f>IF(Y890&gt;Store_Summary!$M$2,1,0)</f>
        <v>0</v>
      </c>
      <c r="AA890" s="33">
        <f>INDEX(Stores!$C$2:$C$21,MATCH(B890,Stores!$A$2:$A$21,0))</f>
        <v>661</v>
      </c>
      <c r="AB890" s="33">
        <f>IF(AA890&lt;180,1,0)</f>
        <v>0</v>
      </c>
      <c r="AC890" s="32" t="str">
        <f>IF(Orders!D887="","",INDEX(Riders!$C$2:$C$81,MATCH(Orders!D887,Riders!$A$2:$A$81,0)))</f>
        <v>EV scooter</v>
      </c>
      <c r="AD890" s="33">
        <f>IF(Orders!D887="","",INDEX(Riders!$D$2:$D$81,MATCH(Orders!D887,Riders!$A$2:$A$81,0)))</f>
        <v>38</v>
      </c>
      <c r="AE890" s="33">
        <f>IF(Orders!D887="","",IF(INDEX(Riders!$B$2:$B$81,MATCH(Orders!D887,Riders!$A$2:$A$81,0))=B890,1,0))</f>
        <v>0</v>
      </c>
      <c r="AF890" s="34">
        <f>IF(E890=1,Orders!L887,"")</f>
        <v>0.5</v>
      </c>
      <c r="AG890" s="34">
        <f>IF(E890=1,Orders!P887,"")</f>
        <v>9.2</v>
      </c>
      <c r="AH890" s="34">
        <f>IF(E890=1,Orders!Q887,"")</f>
        <v>14.2</v>
      </c>
      <c r="AI890" s="34">
        <f>IF(E890=1,Orders!M887,"")</f>
        <v>3.5</v>
      </c>
      <c r="AJ890" s="34">
        <f>IF(E890=1,Orders!N887,"")</f>
        <v>7.5</v>
      </c>
      <c r="AK890" s="34">
        <f>IF(E890=1,Orders!O887,"")</f>
        <v>3.2</v>
      </c>
      <c r="AL890" s="33">
        <f>IF(E890=1,IF(ROUND(ABS(AI890+AJ890+AK890-AH890),6)&lt;=0.1,1,0),"")</f>
        <v>1</v>
      </c>
      <c r="AM890" s="36">
        <f>IF(E890=1,AI890/AH890,"")</f>
        <v>0.246478873239437</v>
      </c>
      <c r="AN890" s="36">
        <f>IF(E890=1,AJ890/AH890,"")</f>
        <v>0.528169014084507</v>
      </c>
      <c r="AO890" s="36">
        <f>IF(E890=1,AK890/AH890,"")</f>
        <v>0.225352112676056</v>
      </c>
      <c r="AP890" s="34">
        <f>IF(E890=1,Orders!Y887,"")</f>
        <v>0.65</v>
      </c>
      <c r="AQ890" s="33">
        <f>IF(Orders!X887,1,0)</f>
        <v>0</v>
      </c>
      <c r="AR890" s="34">
        <f>IF(AND(E890=1,L890=1),AJ890,"")</f>
        <v>7.5</v>
      </c>
      <c r="AS890" s="34" t="str">
        <f>IF(AND(E890=1,L890=0),AJ890,"")</f>
        <v/>
      </c>
      <c r="AT890" s="34">
        <f>IF(AND(E890=1,L890=1),AI890,"")</f>
        <v>3.5</v>
      </c>
      <c r="AU890" s="34" t="str">
        <f>IF(AND(E890=1,L890=0),AI890,"")</f>
        <v/>
      </c>
      <c r="AV890" s="34">
        <f>IF(AND(E890=1,L890=1),AG890,"")</f>
        <v>9.2</v>
      </c>
      <c r="AW890" s="34" t="str">
        <f>IF(AND(E890=1,L890=0),AG890,"")</f>
        <v/>
      </c>
      <c r="AX890" s="34">
        <f>IF(AND(E890=1,L890=1),AH890,"")</f>
        <v>14.2</v>
      </c>
      <c r="AY890" s="34" t="str">
        <f>IF(AND(E890=1,L890=0),AH890,"")</f>
        <v/>
      </c>
      <c r="AZ890" s="34">
        <f>IF(G890=1,F890,"")</f>
        <v>5</v>
      </c>
      <c r="BA890" s="34">
        <f>IF(AND(G890=1,L890=1),F890,"")</f>
        <v>5</v>
      </c>
      <c r="BB890" s="34" t="str">
        <f>IF(AND(G890=1,L890=0),F890,"")</f>
        <v/>
      </c>
      <c r="BC890" s="33">
        <f>IF(E890=1,IF(Orders!R887&gt;3,1,0),"")</f>
        <v>1</v>
      </c>
      <c r="BD890" s="33">
        <f>IF(E890=1,IF(Orders!R887&gt;7,1,0),"")</f>
        <v>0</v>
      </c>
      <c r="BE890" s="32" t="str">
        <f>IF(E890=1,IF(Orders!L887&lt;=1.5,"Up to 1.5 km",IF(Orders!L887&lt;=3,"1.5–3 km","Over 3 km")),"")</f>
        <v>Up to 1.5 km</v>
      </c>
      <c r="BF890" s="33">
        <f>IF(E890=1,IF(ABS((Orders!G887-Orders!F887)*1440-Orders!R887)&lt;0.06,1,0),"")</f>
        <v>1</v>
      </c>
      <c r="BG890" s="33">
        <f>IF(ABS((Orders!F887-Orders!E887)*1440-Orders!P887)&lt;0.06,1,0)</f>
        <v>1</v>
      </c>
      <c r="BH890" s="33">
        <f>IF(E890=1,IF(IF(Orders!S887,1,0)=1-G890,1,0),"")</f>
        <v>1</v>
      </c>
      <c r="BI890" s="32" t="str">
        <f>INDEX(Stores!$B$2:$B$21,MATCH(B890,Stores!$A$2:$A$21,0))</f>
        <v>Hyderabad</v>
      </c>
    </row>
    <row r="891">
      <c r="A891" s="32" t="str">
        <f>Orders!A888</f>
        <v>O00887</v>
      </c>
      <c r="B891" s="32" t="str">
        <f>Orders!C888</f>
        <v>S003</v>
      </c>
      <c r="C891" s="32" t="str">
        <f>Orders!B888</f>
        <v>C0228</v>
      </c>
      <c r="D891" s="32" t="str">
        <f>Orders!H888</f>
        <v>Delivered</v>
      </c>
      <c r="E891" s="33">
        <f>IF(Orders!H888="Delivered",1,0)</f>
        <v>1</v>
      </c>
      <c r="F891" s="34">
        <f>IF(E891=1,Orders!R888,"")</f>
        <v>-3.5</v>
      </c>
      <c r="G891" s="33">
        <f>IF(E891=1,IF(Orders!R888&gt;0,1,0),"")</f>
        <v>0</v>
      </c>
      <c r="H891" s="33">
        <f>IF(E891=1,IF(Orders!R888&gt;5,1,0),"")</f>
        <v>0</v>
      </c>
      <c r="I891" s="32" t="str">
        <f>IF(E891=1,"",IF(OR(Orders!T888="Rider unavailable",Orders!T888="Item unavailable"),"Company-caused","Unresolved"))</f>
        <v/>
      </c>
      <c r="J891" s="33">
        <f>IF(OR(E891=1,I891="Company-caused"),1,0)</f>
        <v>1</v>
      </c>
      <c r="K891" s="32" t="str">
        <f>IF(E891=0,IF(I891="Company-caused",IF(Orders!T888="Rider unavailable","C1 Rider unavailable","C2 Item unavailable"),"Outside root: unresolved"),IF(G891=0,"A On time",IF(H891=1,IF(L891=1,"B2a Severe, peak","B2b Severe, off-peak"),IF(L891=1,"B1a Slight, peak","B1b Slight, off-peak"))))</f>
        <v>A On time</v>
      </c>
      <c r="L891" s="33">
        <f>IF(AND(Orders!U888&gt;=19,Orders!U888&lt;22),1,0)</f>
        <v>0</v>
      </c>
      <c r="M891" s="33">
        <f>IF(L891=IF(Orders!V888,1,0),1,0)</f>
        <v>1</v>
      </c>
      <c r="N891" s="32" t="str">
        <f>IF(Orders!W888="","None",Orders!W888)</f>
        <v>None</v>
      </c>
      <c r="O891" s="35">
        <f>INT(Orders!E888)</f>
        <v>46269.0</v>
      </c>
      <c r="P891" s="33">
        <f>Orders!U888</f>
        <v>17</v>
      </c>
      <c r="Q891" s="33">
        <f>COUNTIFS(Demand!$A$2:$A$4481,B891,Demand!$B$2:$B$4481,O891,Demand!$C$2:$C$4481,P891)</f>
        <v>1</v>
      </c>
      <c r="R891" s="33">
        <f>IF(Q891=1,SUMIFS(Demand!$E$2:$E$4481,Demand!$A$2:$A$4481,B891,Demand!$B$2:$B$4481,O891,Demand!$C$2:$C$4481,P891),"")</f>
        <v>40</v>
      </c>
      <c r="S891" s="33">
        <f>INDEX(Stores!$G$2:$G$21,MATCH(B891,Stores!$A$2:$A$21,0))</f>
        <v>41</v>
      </c>
      <c r="T891" s="34">
        <f>IF(R891="","",R891/S891)</f>
        <v>0.975609756097561</v>
      </c>
      <c r="U891" s="34">
        <f>IF(E891=1,T891,"")</f>
        <v>0.975609756097561</v>
      </c>
      <c r="V891" s="34">
        <f>IF(AND(E891=1,L891=0),T891,"")</f>
        <v>0.975609756097561</v>
      </c>
      <c r="W891" s="33">
        <f>IF(U891="","",IF(U891&lt;=Breakdowns!$C$5,1,IF(U891&lt;=Breakdowns!$C$6,2,IF(U891&lt;=Breakdowns!$C$7,3,4))))</f>
        <v>2</v>
      </c>
      <c r="X891" s="33">
        <f>IF(V891="","",IF(V891&lt;=Breakdowns!$D$5,1,IF(V891&lt;=Breakdowns!$D$6,2,IF(V891&lt;=Breakdowns!$D$7,3,4))))</f>
        <v>3</v>
      </c>
      <c r="Y891" s="34">
        <f>INDEX(Stores!$F$2:$F$21,MATCH(B891,Stores!$A$2:$A$21,0))</f>
        <v>3.84</v>
      </c>
      <c r="Z891" s="33">
        <f>IF(Y891&gt;Store_Summary!$M$2,1,0)</f>
        <v>0</v>
      </c>
      <c r="AA891" s="33">
        <f>INDEX(Stores!$C$2:$C$21,MATCH(B891,Stores!$A$2:$A$21,0))</f>
        <v>426</v>
      </c>
      <c r="AB891" s="33">
        <f>IF(AA891&lt;180,1,0)</f>
        <v>0</v>
      </c>
      <c r="AC891" s="32" t="str">
        <f>IF(Orders!D888="","",INDEX(Riders!$C$2:$C$81,MATCH(Orders!D888,Riders!$A$2:$A$81,0)))</f>
        <v>Bicycle</v>
      </c>
      <c r="AD891" s="33">
        <f>IF(Orders!D888="","",INDEX(Riders!$D$2:$D$81,MATCH(Orders!D888,Riders!$A$2:$A$81,0)))</f>
        <v>40</v>
      </c>
      <c r="AE891" s="33">
        <f>IF(Orders!D888="","",IF(INDEX(Riders!$B$2:$B$81,MATCH(Orders!D888,Riders!$A$2:$A$81,0))=B891,1,0))</f>
        <v>0</v>
      </c>
      <c r="AF891" s="34">
        <f>IF(E891=1,Orders!L888,"")</f>
        <v>1.69</v>
      </c>
      <c r="AG891" s="34">
        <f>IF(E891=1,Orders!P888,"")</f>
        <v>12.5</v>
      </c>
      <c r="AH891" s="34">
        <f>IF(E891=1,Orders!Q888,"")</f>
        <v>9</v>
      </c>
      <c r="AI891" s="34">
        <f>IF(E891=1,Orders!M888,"")</f>
        <v>3.8</v>
      </c>
      <c r="AJ891" s="34">
        <f>IF(E891=1,Orders!N888,"")</f>
        <v>0.1</v>
      </c>
      <c r="AK891" s="34">
        <f>IF(E891=1,Orders!O888,"")</f>
        <v>5.1</v>
      </c>
      <c r="AL891" s="33">
        <f>IF(E891=1,IF(ROUND(ABS(AI891+AJ891+AK891-AH891),6)&lt;=0.1,1,0),"")</f>
        <v>1</v>
      </c>
      <c r="AM891" s="36">
        <f>IF(E891=1,AI891/AH891,"")</f>
        <v>0.422222222222222</v>
      </c>
      <c r="AN891" s="36">
        <f>IF(E891=1,AJ891/AH891,"")</f>
        <v>0.0111111111111111</v>
      </c>
      <c r="AO891" s="36">
        <f>IF(E891=1,AK891/AH891,"")</f>
        <v>0.566666666666667</v>
      </c>
      <c r="AP891" s="34">
        <f>IF(E891=1,Orders!Y888,"")</f>
        <v>0.47</v>
      </c>
      <c r="AQ891" s="33">
        <f>IF(Orders!X888,1,0)</f>
        <v>0</v>
      </c>
      <c r="AR891" s="34" t="str">
        <f>IF(AND(E891=1,L891=1),AJ891,"")</f>
        <v/>
      </c>
      <c r="AS891" s="34">
        <f>IF(AND(E891=1,L891=0),AJ891,"")</f>
        <v>0.1</v>
      </c>
      <c r="AT891" s="34" t="str">
        <f>IF(AND(E891=1,L891=1),AI891,"")</f>
        <v/>
      </c>
      <c r="AU891" s="34">
        <f>IF(AND(E891=1,L891=0),AI891,"")</f>
        <v>3.8</v>
      </c>
      <c r="AV891" s="34" t="str">
        <f>IF(AND(E891=1,L891=1),AG891,"")</f>
        <v/>
      </c>
      <c r="AW891" s="34">
        <f>IF(AND(E891=1,L891=0),AG891,"")</f>
        <v>12.5</v>
      </c>
      <c r="AX891" s="34" t="str">
        <f>IF(AND(E891=1,L891=1),AH891,"")</f>
        <v/>
      </c>
      <c r="AY891" s="34">
        <f>IF(AND(E891=1,L891=0),AH891,"")</f>
        <v>9</v>
      </c>
      <c r="AZ891" s="34" t="str">
        <f>IF(G891=1,F891,"")</f>
        <v/>
      </c>
      <c r="BA891" s="34" t="str">
        <f>IF(AND(G891=1,L891=1),F891,"")</f>
        <v/>
      </c>
      <c r="BB891" s="34" t="str">
        <f>IF(AND(G891=1,L891=0),F891,"")</f>
        <v/>
      </c>
      <c r="BC891" s="33">
        <f>IF(E891=1,IF(Orders!R888&gt;3,1,0),"")</f>
        <v>0</v>
      </c>
      <c r="BD891" s="33">
        <f>IF(E891=1,IF(Orders!R888&gt;7,1,0),"")</f>
        <v>0</v>
      </c>
      <c r="BE891" s="32" t="str">
        <f>IF(E891=1,IF(Orders!L888&lt;=1.5,"Up to 1.5 km",IF(Orders!L888&lt;=3,"1.5–3 km","Over 3 km")),"")</f>
        <v>1.5–3 km</v>
      </c>
      <c r="BF891" s="33">
        <f>IF(E891=1,IF(ABS((Orders!G888-Orders!F888)*1440-Orders!R888)&lt;0.06,1,0),"")</f>
        <v>1</v>
      </c>
      <c r="BG891" s="33">
        <f>IF(ABS((Orders!F888-Orders!E888)*1440-Orders!P888)&lt;0.06,1,0)</f>
        <v>1</v>
      </c>
      <c r="BH891" s="33">
        <f>IF(E891=1,IF(IF(Orders!S888,1,0)=1-G891,1,0),"")</f>
        <v>1</v>
      </c>
      <c r="BI891" s="32" t="str">
        <f>INDEX(Stores!$B$2:$B$21,MATCH(B891,Stores!$A$2:$A$21,0))</f>
        <v>Mumbai</v>
      </c>
    </row>
    <row r="892">
      <c r="A892" s="32" t="str">
        <f>Orders!A889</f>
        <v>O00888</v>
      </c>
      <c r="B892" s="32" t="str">
        <f>Orders!C889</f>
        <v>S015</v>
      </c>
      <c r="C892" s="32" t="str">
        <f>Orders!B889</f>
        <v>C0070</v>
      </c>
      <c r="D892" s="32" t="str">
        <f>Orders!H889</f>
        <v>Delivered</v>
      </c>
      <c r="E892" s="33">
        <f>IF(Orders!H889="Delivered",1,0)</f>
        <v>1</v>
      </c>
      <c r="F892" s="34">
        <f>IF(E892=1,Orders!R889,"")</f>
        <v>1.3</v>
      </c>
      <c r="G892" s="33">
        <f>IF(E892=1,IF(Orders!R889&gt;0,1,0),"")</f>
        <v>1</v>
      </c>
      <c r="H892" s="33">
        <f>IF(E892=1,IF(Orders!R889&gt;5,1,0),"")</f>
        <v>0</v>
      </c>
      <c r="I892" s="32" t="str">
        <f>IF(E892=1,"",IF(OR(Orders!T889="Rider unavailable",Orders!T889="Item unavailable"),"Company-caused","Unresolved"))</f>
        <v/>
      </c>
      <c r="J892" s="33">
        <f>IF(OR(E892=1,I892="Company-caused"),1,0)</f>
        <v>1</v>
      </c>
      <c r="K892" s="32" t="str">
        <f>IF(E892=0,IF(I892="Company-caused",IF(Orders!T889="Rider unavailable","C1 Rider unavailable","C2 Item unavailable"),"Outside root: unresolved"),IF(G892=0,"A On time",IF(H892=1,IF(L892=1,"B2a Severe, peak","B2b Severe, off-peak"),IF(L892=1,"B1a Slight, peak","B1b Slight, off-peak"))))</f>
        <v>B1b Slight, off-peak</v>
      </c>
      <c r="L892" s="33">
        <f>IF(AND(Orders!U889&gt;=19,Orders!U889&lt;22),1,0)</f>
        <v>0</v>
      </c>
      <c r="M892" s="33">
        <f>IF(L892=IF(Orders!V889,1,0),1,0)</f>
        <v>1</v>
      </c>
      <c r="N892" s="32" t="str">
        <f>IF(Orders!W889="","None",Orders!W889)</f>
        <v>None</v>
      </c>
      <c r="O892" s="35">
        <f>INT(Orders!E889)</f>
        <v>46273.0</v>
      </c>
      <c r="P892" s="33">
        <f>Orders!U889</f>
        <v>12</v>
      </c>
      <c r="Q892" s="33">
        <f>COUNTIFS(Demand!$A$2:$A$4481,B892,Demand!$B$2:$B$4481,O892,Demand!$C$2:$C$4481,P892)</f>
        <v>1</v>
      </c>
      <c r="R892" s="33">
        <f>IF(Q892=1,SUMIFS(Demand!$E$2:$E$4481,Demand!$A$2:$A$4481,B892,Demand!$B$2:$B$4481,O892,Demand!$C$2:$C$4481,P892),"")</f>
        <v>31</v>
      </c>
      <c r="S892" s="33">
        <f>INDEX(Stores!$G$2:$G$21,MATCH(B892,Stores!$A$2:$A$21,0))</f>
        <v>23</v>
      </c>
      <c r="T892" s="34">
        <f>IF(R892="","",R892/S892)</f>
        <v>1.34782608695652</v>
      </c>
      <c r="U892" s="34">
        <f>IF(E892=1,T892,"")</f>
        <v>1.34782608695652</v>
      </c>
      <c r="V892" s="34">
        <f>IF(AND(E892=1,L892=0),T892,"")</f>
        <v>1.34782608695652</v>
      </c>
      <c r="W892" s="33">
        <f>IF(U892="","",IF(U892&lt;=Breakdowns!$C$5,1,IF(U892&lt;=Breakdowns!$C$6,2,IF(U892&lt;=Breakdowns!$C$7,3,4))))</f>
        <v>4</v>
      </c>
      <c r="X892" s="33">
        <f>IF(V892="","",IF(V892&lt;=Breakdowns!$D$5,1,IF(V892&lt;=Breakdowns!$D$6,2,IF(V892&lt;=Breakdowns!$D$7,3,4))))</f>
        <v>4</v>
      </c>
      <c r="Y892" s="34">
        <f>INDEX(Stores!$F$2:$F$21,MATCH(B892,Stores!$A$2:$A$21,0))</f>
        <v>4.66</v>
      </c>
      <c r="Z892" s="33">
        <f>IF(Y892&gt;Store_Summary!$M$2,1,0)</f>
        <v>0</v>
      </c>
      <c r="AA892" s="33">
        <f>INDEX(Stores!$C$2:$C$21,MATCH(B892,Stores!$A$2:$A$21,0))</f>
        <v>204</v>
      </c>
      <c r="AB892" s="33">
        <f>IF(AA892&lt;180,1,0)</f>
        <v>0</v>
      </c>
      <c r="AC892" s="32" t="str">
        <f>IF(Orders!D889="","",INDEX(Riders!$C$2:$C$81,MATCH(Orders!D889,Riders!$A$2:$A$81,0)))</f>
        <v>EV scooter</v>
      </c>
      <c r="AD892" s="33">
        <f>IF(Orders!D889="","",INDEX(Riders!$D$2:$D$81,MATCH(Orders!D889,Riders!$A$2:$A$81,0)))</f>
        <v>33</v>
      </c>
      <c r="AE892" s="33">
        <f>IF(Orders!D889="","",IF(INDEX(Riders!$B$2:$B$81,MATCH(Orders!D889,Riders!$A$2:$A$81,0))=B892,1,0))</f>
        <v>1</v>
      </c>
      <c r="AF892" s="34">
        <f>IF(E892=1,Orders!L889,"")</f>
        <v>0.91</v>
      </c>
      <c r="AG892" s="34">
        <f>IF(E892=1,Orders!P889,"")</f>
        <v>10.6</v>
      </c>
      <c r="AH892" s="34">
        <f>IF(E892=1,Orders!Q889,"")</f>
        <v>11.9</v>
      </c>
      <c r="AI892" s="34">
        <f>IF(E892=1,Orders!M889,"")</f>
        <v>5</v>
      </c>
      <c r="AJ892" s="34">
        <f>IF(E892=1,Orders!N889,"")</f>
        <v>4.9</v>
      </c>
      <c r="AK892" s="34">
        <f>IF(E892=1,Orders!O889,"")</f>
        <v>2</v>
      </c>
      <c r="AL892" s="33">
        <f>IF(E892=1,IF(ROUND(ABS(AI892+AJ892+AK892-AH892),6)&lt;=0.1,1,0),"")</f>
        <v>1</v>
      </c>
      <c r="AM892" s="36">
        <f>IF(E892=1,AI892/AH892,"")</f>
        <v>0.420168067226891</v>
      </c>
      <c r="AN892" s="36">
        <f>IF(E892=1,AJ892/AH892,"")</f>
        <v>0.411764705882353</v>
      </c>
      <c r="AO892" s="36">
        <f>IF(E892=1,AK892/AH892,"")</f>
        <v>0.168067226890756</v>
      </c>
      <c r="AP892" s="34">
        <f>IF(E892=1,Orders!Y889,"")</f>
        <v>0</v>
      </c>
      <c r="AQ892" s="33">
        <f>IF(Orders!X889,1,0)</f>
        <v>0</v>
      </c>
      <c r="AR892" s="34" t="str">
        <f>IF(AND(E892=1,L892=1),AJ892,"")</f>
        <v/>
      </c>
      <c r="AS892" s="34">
        <f>IF(AND(E892=1,L892=0),AJ892,"")</f>
        <v>4.9</v>
      </c>
      <c r="AT892" s="34" t="str">
        <f>IF(AND(E892=1,L892=1),AI892,"")</f>
        <v/>
      </c>
      <c r="AU892" s="34">
        <f>IF(AND(E892=1,L892=0),AI892,"")</f>
        <v>5</v>
      </c>
      <c r="AV892" s="34" t="str">
        <f>IF(AND(E892=1,L892=1),AG892,"")</f>
        <v/>
      </c>
      <c r="AW892" s="34">
        <f>IF(AND(E892=1,L892=0),AG892,"")</f>
        <v>10.6</v>
      </c>
      <c r="AX892" s="34" t="str">
        <f>IF(AND(E892=1,L892=1),AH892,"")</f>
        <v/>
      </c>
      <c r="AY892" s="34">
        <f>IF(AND(E892=1,L892=0),AH892,"")</f>
        <v>11.9</v>
      </c>
      <c r="AZ892" s="34">
        <f>IF(G892=1,F892,"")</f>
        <v>1.3</v>
      </c>
      <c r="BA892" s="34" t="str">
        <f>IF(AND(G892=1,L892=1),F892,"")</f>
        <v/>
      </c>
      <c r="BB892" s="34">
        <f>IF(AND(G892=1,L892=0),F892,"")</f>
        <v>1.3</v>
      </c>
      <c r="BC892" s="33">
        <f>IF(E892=1,IF(Orders!R889&gt;3,1,0),"")</f>
        <v>0</v>
      </c>
      <c r="BD892" s="33">
        <f>IF(E892=1,IF(Orders!R889&gt;7,1,0),"")</f>
        <v>0</v>
      </c>
      <c r="BE892" s="32" t="str">
        <f>IF(E892=1,IF(Orders!L889&lt;=1.5,"Up to 1.5 km",IF(Orders!L889&lt;=3,"1.5–3 km","Over 3 km")),"")</f>
        <v>Up to 1.5 km</v>
      </c>
      <c r="BF892" s="33">
        <f>IF(E892=1,IF(ABS((Orders!G889-Orders!F889)*1440-Orders!R889)&lt;0.06,1,0),"")</f>
        <v>1</v>
      </c>
      <c r="BG892" s="33">
        <f>IF(ABS((Orders!F889-Orders!E889)*1440-Orders!P889)&lt;0.06,1,0)</f>
        <v>1</v>
      </c>
      <c r="BH892" s="33">
        <f>IF(E892=1,IF(IF(Orders!S889,1,0)=1-G892,1,0),"")</f>
        <v>1</v>
      </c>
      <c r="BI892" s="32" t="str">
        <f>INDEX(Stores!$B$2:$B$21,MATCH(B892,Stores!$A$2:$A$21,0))</f>
        <v>Delhi</v>
      </c>
    </row>
    <row r="893">
      <c r="A893" s="32" t="str">
        <f>Orders!A890</f>
        <v>O00889</v>
      </c>
      <c r="B893" s="32" t="str">
        <f>Orders!C890</f>
        <v>S013</v>
      </c>
      <c r="C893" s="32" t="str">
        <f>Orders!B890</f>
        <v>C0163</v>
      </c>
      <c r="D893" s="32" t="str">
        <f>Orders!H890</f>
        <v>Delivered</v>
      </c>
      <c r="E893" s="33">
        <f>IF(Orders!H890="Delivered",1,0)</f>
        <v>1</v>
      </c>
      <c r="F893" s="34">
        <f>IF(E893=1,Orders!R890,"")</f>
        <v>-1.2</v>
      </c>
      <c r="G893" s="33">
        <f>IF(E893=1,IF(Orders!R890&gt;0,1,0),"")</f>
        <v>0</v>
      </c>
      <c r="H893" s="33">
        <f>IF(E893=1,IF(Orders!R890&gt;5,1,0),"")</f>
        <v>0</v>
      </c>
      <c r="I893" s="32" t="str">
        <f>IF(E893=1,"",IF(OR(Orders!T890="Rider unavailable",Orders!T890="Item unavailable"),"Company-caused","Unresolved"))</f>
        <v/>
      </c>
      <c r="J893" s="33">
        <f>IF(OR(E893=1,I893="Company-caused"),1,0)</f>
        <v>1</v>
      </c>
      <c r="K893" s="32" t="str">
        <f>IF(E893=0,IF(I893="Company-caused",IF(Orders!T890="Rider unavailable","C1 Rider unavailable","C2 Item unavailable"),"Outside root: unresolved"),IF(G893=0,"A On time",IF(H893=1,IF(L893=1,"B2a Severe, peak","B2b Severe, off-peak"),IF(L893=1,"B1a Slight, peak","B1b Slight, off-peak"))))</f>
        <v>A On time</v>
      </c>
      <c r="L893" s="33">
        <f>IF(AND(Orders!U890&gt;=19,Orders!U890&lt;22),1,0)</f>
        <v>1</v>
      </c>
      <c r="M893" s="33">
        <f>IF(L893=IF(Orders!V890,1,0),1,0)</f>
        <v>1</v>
      </c>
      <c r="N893" s="32" t="str">
        <f>IF(Orders!W890="","None",Orders!W890)</f>
        <v>None</v>
      </c>
      <c r="O893" s="35">
        <f>INT(Orders!E890)</f>
        <v>46275.0</v>
      </c>
      <c r="P893" s="33">
        <f>Orders!U890</f>
        <v>19</v>
      </c>
      <c r="Q893" s="33">
        <f>COUNTIFS(Demand!$A$2:$A$4481,B893,Demand!$B$2:$B$4481,O893,Demand!$C$2:$C$4481,P893)</f>
        <v>1</v>
      </c>
      <c r="R893" s="33">
        <f>IF(Q893=1,SUMIFS(Demand!$E$2:$E$4481,Demand!$A$2:$A$4481,B893,Demand!$B$2:$B$4481,O893,Demand!$C$2:$C$4481,P893),"")</f>
        <v>71</v>
      </c>
      <c r="S893" s="33">
        <f>INDEX(Stores!$G$2:$G$21,MATCH(B893,Stores!$A$2:$A$21,0))</f>
        <v>49</v>
      </c>
      <c r="T893" s="34">
        <f>IF(R893="","",R893/S893)</f>
        <v>1.44897959183673</v>
      </c>
      <c r="U893" s="34">
        <f>IF(E893=1,T893,"")</f>
        <v>1.44897959183673</v>
      </c>
      <c r="V893" s="34" t="str">
        <f>IF(AND(E893=1,L893=0),T893,"")</f>
        <v/>
      </c>
      <c r="W893" s="33">
        <f>IF(U893="","",IF(U893&lt;=Breakdowns!$C$5,1,IF(U893&lt;=Breakdowns!$C$6,2,IF(U893&lt;=Breakdowns!$C$7,3,4))))</f>
        <v>4</v>
      </c>
      <c r="X893" s="33" t="str">
        <f>IF(V893="","",IF(V893&lt;=Breakdowns!$D$5,1,IF(V893&lt;=Breakdowns!$D$6,2,IF(V893&lt;=Breakdowns!$D$7,3,4))))</f>
        <v/>
      </c>
      <c r="Y893" s="34">
        <f>INDEX(Stores!$F$2:$F$21,MATCH(B893,Stores!$A$2:$A$21,0))</f>
        <v>5.82</v>
      </c>
      <c r="Z893" s="33">
        <f>IF(Y893&gt;Store_Summary!$M$2,1,0)</f>
        <v>1</v>
      </c>
      <c r="AA893" s="33">
        <f>INDEX(Stores!$C$2:$C$21,MATCH(B893,Stores!$A$2:$A$21,0))</f>
        <v>705</v>
      </c>
      <c r="AB893" s="33">
        <f>IF(AA893&lt;180,1,0)</f>
        <v>0</v>
      </c>
      <c r="AC893" s="32" t="str">
        <f>IF(Orders!D890="","",INDEX(Riders!$C$2:$C$81,MATCH(Orders!D890,Riders!$A$2:$A$81,0)))</f>
        <v>Petrol scooter</v>
      </c>
      <c r="AD893" s="33">
        <f>IF(Orders!D890="","",INDEX(Riders!$D$2:$D$81,MATCH(Orders!D890,Riders!$A$2:$A$81,0)))</f>
        <v>40</v>
      </c>
      <c r="AE893" s="33">
        <f>IF(Orders!D890="","",IF(INDEX(Riders!$B$2:$B$81,MATCH(Orders!D890,Riders!$A$2:$A$81,0))=B893,1,0))</f>
        <v>0</v>
      </c>
      <c r="AF893" s="34">
        <f>IF(E893=1,Orders!L890,"")</f>
        <v>0.5</v>
      </c>
      <c r="AG893" s="34">
        <f>IF(E893=1,Orders!P890,"")</f>
        <v>7.8</v>
      </c>
      <c r="AH893" s="34">
        <f>IF(E893=1,Orders!Q890,"")</f>
        <v>6.6</v>
      </c>
      <c r="AI893" s="34">
        <f>IF(E893=1,Orders!M890,"")</f>
        <v>2.3</v>
      </c>
      <c r="AJ893" s="34">
        <f>IF(E893=1,Orders!N890,"")</f>
        <v>2.9</v>
      </c>
      <c r="AK893" s="34">
        <f>IF(E893=1,Orders!O890,"")</f>
        <v>1.4</v>
      </c>
      <c r="AL893" s="33">
        <f>IF(E893=1,IF(ROUND(ABS(AI893+AJ893+AK893-AH893),6)&lt;=0.1,1,0),"")</f>
        <v>1</v>
      </c>
      <c r="AM893" s="36">
        <f>IF(E893=1,AI893/AH893,"")</f>
        <v>0.348484848484848</v>
      </c>
      <c r="AN893" s="36">
        <f>IF(E893=1,AJ893/AH893,"")</f>
        <v>0.439393939393939</v>
      </c>
      <c r="AO893" s="36">
        <f>IF(E893=1,AK893/AH893,"")</f>
        <v>0.212121212121212</v>
      </c>
      <c r="AP893" s="34">
        <f>IF(E893=1,Orders!Y890,"")</f>
        <v>0.69</v>
      </c>
      <c r="AQ893" s="33">
        <f>IF(Orders!X890,1,0)</f>
        <v>0</v>
      </c>
      <c r="AR893" s="34">
        <f>IF(AND(E893=1,L893=1),AJ893,"")</f>
        <v>2.9</v>
      </c>
      <c r="AS893" s="34" t="str">
        <f>IF(AND(E893=1,L893=0),AJ893,"")</f>
        <v/>
      </c>
      <c r="AT893" s="34">
        <f>IF(AND(E893=1,L893=1),AI893,"")</f>
        <v>2.3</v>
      </c>
      <c r="AU893" s="34" t="str">
        <f>IF(AND(E893=1,L893=0),AI893,"")</f>
        <v/>
      </c>
      <c r="AV893" s="34">
        <f>IF(AND(E893=1,L893=1),AG893,"")</f>
        <v>7.8</v>
      </c>
      <c r="AW893" s="34" t="str">
        <f>IF(AND(E893=1,L893=0),AG893,"")</f>
        <v/>
      </c>
      <c r="AX893" s="34">
        <f>IF(AND(E893=1,L893=1),AH893,"")</f>
        <v>6.6</v>
      </c>
      <c r="AY893" s="34" t="str">
        <f>IF(AND(E893=1,L893=0),AH893,"")</f>
        <v/>
      </c>
      <c r="AZ893" s="34" t="str">
        <f>IF(G893=1,F893,"")</f>
        <v/>
      </c>
      <c r="BA893" s="34" t="str">
        <f>IF(AND(G893=1,L893=1),F893,"")</f>
        <v/>
      </c>
      <c r="BB893" s="34" t="str">
        <f>IF(AND(G893=1,L893=0),F893,"")</f>
        <v/>
      </c>
      <c r="BC893" s="33">
        <f>IF(E893=1,IF(Orders!R890&gt;3,1,0),"")</f>
        <v>0</v>
      </c>
      <c r="BD893" s="33">
        <f>IF(E893=1,IF(Orders!R890&gt;7,1,0),"")</f>
        <v>0</v>
      </c>
      <c r="BE893" s="32" t="str">
        <f>IF(E893=1,IF(Orders!L890&lt;=1.5,"Up to 1.5 km",IF(Orders!L890&lt;=3,"1.5–3 km","Over 3 km")),"")</f>
        <v>Up to 1.5 km</v>
      </c>
      <c r="BF893" s="33">
        <f>IF(E893=1,IF(ABS((Orders!G890-Orders!F890)*1440-Orders!R890)&lt;0.06,1,0),"")</f>
        <v>1</v>
      </c>
      <c r="BG893" s="33">
        <f>IF(ABS((Orders!F890-Orders!E890)*1440-Orders!P890)&lt;0.06,1,0)</f>
        <v>1</v>
      </c>
      <c r="BH893" s="33">
        <f>IF(E893=1,IF(IF(Orders!S890,1,0)=1-G893,1,0),"")</f>
        <v>1</v>
      </c>
      <c r="BI893" s="32" t="str">
        <f>INDEX(Stores!$B$2:$B$21,MATCH(B893,Stores!$A$2:$A$21,0))</f>
        <v>Mumbai</v>
      </c>
    </row>
    <row r="894">
      <c r="A894" s="32" t="str">
        <f>Orders!A891</f>
        <v>O00890</v>
      </c>
      <c r="B894" s="32" t="str">
        <f>Orders!C891</f>
        <v>S005</v>
      </c>
      <c r="C894" s="32" t="str">
        <f>Orders!B891</f>
        <v>C0185</v>
      </c>
      <c r="D894" s="32" t="str">
        <f>Orders!H891</f>
        <v>Delivered</v>
      </c>
      <c r="E894" s="33">
        <f>IF(Orders!H891="Delivered",1,0)</f>
        <v>1</v>
      </c>
      <c r="F894" s="34">
        <f>IF(E894=1,Orders!R891,"")</f>
        <v>-1.1</v>
      </c>
      <c r="G894" s="33">
        <f>IF(E894=1,IF(Orders!R891&gt;0,1,0),"")</f>
        <v>0</v>
      </c>
      <c r="H894" s="33">
        <f>IF(E894=1,IF(Orders!R891&gt;5,1,0),"")</f>
        <v>0</v>
      </c>
      <c r="I894" s="32" t="str">
        <f>IF(E894=1,"",IF(OR(Orders!T891="Rider unavailable",Orders!T891="Item unavailable"),"Company-caused","Unresolved"))</f>
        <v/>
      </c>
      <c r="J894" s="33">
        <f>IF(OR(E894=1,I894="Company-caused"),1,0)</f>
        <v>1</v>
      </c>
      <c r="K894" s="32" t="str">
        <f>IF(E894=0,IF(I894="Company-caused",IF(Orders!T891="Rider unavailable","C1 Rider unavailable","C2 Item unavailable"),"Outside root: unresolved"),IF(G894=0,"A On time",IF(H894=1,IF(L894=1,"B2a Severe, peak","B2b Severe, off-peak"),IF(L894=1,"B1a Slight, peak","B1b Slight, off-peak"))))</f>
        <v>A On time</v>
      </c>
      <c r="L894" s="33">
        <f>IF(AND(Orders!U891&gt;=19,Orders!U891&lt;22),1,0)</f>
        <v>0</v>
      </c>
      <c r="M894" s="33">
        <f>IF(L894=IF(Orders!V891,1,0),1,0)</f>
        <v>1</v>
      </c>
      <c r="N894" s="32" t="str">
        <f>IF(Orders!W891="","None",Orders!W891)</f>
        <v>None</v>
      </c>
      <c r="O894" s="35">
        <f>INT(Orders!E891)</f>
        <v>46278.0</v>
      </c>
      <c r="P894" s="33">
        <f>Orders!U891</f>
        <v>10</v>
      </c>
      <c r="Q894" s="33">
        <f>COUNTIFS(Demand!$A$2:$A$4481,B894,Demand!$B$2:$B$4481,O894,Demand!$C$2:$C$4481,P894)</f>
        <v>1</v>
      </c>
      <c r="R894" s="33">
        <f>IF(Q894=1,SUMIFS(Demand!$E$2:$E$4481,Demand!$A$2:$A$4481,B894,Demand!$B$2:$B$4481,O894,Demand!$C$2:$C$4481,P894),"")</f>
        <v>6</v>
      </c>
      <c r="S894" s="33">
        <f>INDEX(Stores!$G$2:$G$21,MATCH(B894,Stores!$A$2:$A$21,0))</f>
        <v>14</v>
      </c>
      <c r="T894" s="34">
        <f>IF(R894="","",R894/S894)</f>
        <v>0.428571428571429</v>
      </c>
      <c r="U894" s="34">
        <f>IF(E894=1,T894,"")</f>
        <v>0.428571428571429</v>
      </c>
      <c r="V894" s="34">
        <f>IF(AND(E894=1,L894=0),T894,"")</f>
        <v>0.428571428571429</v>
      </c>
      <c r="W894" s="33">
        <f>IF(U894="","",IF(U894&lt;=Breakdowns!$C$5,1,IF(U894&lt;=Breakdowns!$C$6,2,IF(U894&lt;=Breakdowns!$C$7,3,4))))</f>
        <v>1</v>
      </c>
      <c r="X894" s="33">
        <f>IF(V894="","",IF(V894&lt;=Breakdowns!$D$5,1,IF(V894&lt;=Breakdowns!$D$6,2,IF(V894&lt;=Breakdowns!$D$7,3,4))))</f>
        <v>1</v>
      </c>
      <c r="Y894" s="34">
        <f>INDEX(Stores!$F$2:$F$21,MATCH(B894,Stores!$A$2:$A$21,0))</f>
        <v>4.89</v>
      </c>
      <c r="Z894" s="33">
        <f>IF(Y894&gt;Store_Summary!$M$2,1,0)</f>
        <v>0</v>
      </c>
      <c r="AA894" s="33">
        <f>INDEX(Stores!$C$2:$C$21,MATCH(B894,Stores!$A$2:$A$21,0))</f>
        <v>138</v>
      </c>
      <c r="AB894" s="33">
        <f>IF(AA894&lt;180,1,0)</f>
        <v>1</v>
      </c>
      <c r="AC894" s="32" t="str">
        <f>IF(Orders!D891="","",INDEX(Riders!$C$2:$C$81,MATCH(Orders!D891,Riders!$A$2:$A$81,0)))</f>
        <v>Petrol scooter</v>
      </c>
      <c r="AD894" s="33">
        <f>IF(Orders!D891="","",INDEX(Riders!$D$2:$D$81,MATCH(Orders!D891,Riders!$A$2:$A$81,0)))</f>
        <v>15</v>
      </c>
      <c r="AE894" s="33">
        <f>IF(Orders!D891="","",IF(INDEX(Riders!$B$2:$B$81,MATCH(Orders!D891,Riders!$A$2:$A$81,0))=B894,1,0))</f>
        <v>0</v>
      </c>
      <c r="AF894" s="34">
        <f>IF(E894=1,Orders!L891,"")</f>
        <v>1.56</v>
      </c>
      <c r="AG894" s="34">
        <f>IF(E894=1,Orders!P891,"")</f>
        <v>11</v>
      </c>
      <c r="AH894" s="34">
        <f>IF(E894=1,Orders!Q891,"")</f>
        <v>9.9</v>
      </c>
      <c r="AI894" s="34">
        <f>IF(E894=1,Orders!M891,"")</f>
        <v>3.5</v>
      </c>
      <c r="AJ894" s="34">
        <f>IF(E894=1,Orders!N891,"")</f>
        <v>3.9</v>
      </c>
      <c r="AK894" s="34">
        <f>IF(E894=1,Orders!O891,"")</f>
        <v>2.5</v>
      </c>
      <c r="AL894" s="33">
        <f>IF(E894=1,IF(ROUND(ABS(AI894+AJ894+AK894-AH894),6)&lt;=0.1,1,0),"")</f>
        <v>1</v>
      </c>
      <c r="AM894" s="36">
        <f>IF(E894=1,AI894/AH894,"")</f>
        <v>0.353535353535354</v>
      </c>
      <c r="AN894" s="36">
        <f>IF(E894=1,AJ894/AH894,"")</f>
        <v>0.393939393939394</v>
      </c>
      <c r="AO894" s="36">
        <f>IF(E894=1,AK894/AH894,"")</f>
        <v>0.252525252525253</v>
      </c>
      <c r="AP894" s="34">
        <f>IF(E894=1,Orders!Y891,"")</f>
        <v>0.42</v>
      </c>
      <c r="AQ894" s="33">
        <f>IF(Orders!X891,1,0)</f>
        <v>0</v>
      </c>
      <c r="AR894" s="34" t="str">
        <f>IF(AND(E894=1,L894=1),AJ894,"")</f>
        <v/>
      </c>
      <c r="AS894" s="34">
        <f>IF(AND(E894=1,L894=0),AJ894,"")</f>
        <v>3.9</v>
      </c>
      <c r="AT894" s="34" t="str">
        <f>IF(AND(E894=1,L894=1),AI894,"")</f>
        <v/>
      </c>
      <c r="AU894" s="34">
        <f>IF(AND(E894=1,L894=0),AI894,"")</f>
        <v>3.5</v>
      </c>
      <c r="AV894" s="34" t="str">
        <f>IF(AND(E894=1,L894=1),AG894,"")</f>
        <v/>
      </c>
      <c r="AW894" s="34">
        <f>IF(AND(E894=1,L894=0),AG894,"")</f>
        <v>11</v>
      </c>
      <c r="AX894" s="34" t="str">
        <f>IF(AND(E894=1,L894=1),AH894,"")</f>
        <v/>
      </c>
      <c r="AY894" s="34">
        <f>IF(AND(E894=1,L894=0),AH894,"")</f>
        <v>9.9</v>
      </c>
      <c r="AZ894" s="34" t="str">
        <f>IF(G894=1,F894,"")</f>
        <v/>
      </c>
      <c r="BA894" s="34" t="str">
        <f>IF(AND(G894=1,L894=1),F894,"")</f>
        <v/>
      </c>
      <c r="BB894" s="34" t="str">
        <f>IF(AND(G894=1,L894=0),F894,"")</f>
        <v/>
      </c>
      <c r="BC894" s="33">
        <f>IF(E894=1,IF(Orders!R891&gt;3,1,0),"")</f>
        <v>0</v>
      </c>
      <c r="BD894" s="33">
        <f>IF(E894=1,IF(Orders!R891&gt;7,1,0),"")</f>
        <v>0</v>
      </c>
      <c r="BE894" s="32" t="str">
        <f>IF(E894=1,IF(Orders!L891&lt;=1.5,"Up to 1.5 km",IF(Orders!L891&lt;=3,"1.5–3 km","Over 3 km")),"")</f>
        <v>1.5–3 km</v>
      </c>
      <c r="BF894" s="33">
        <f>IF(E894=1,IF(ABS((Orders!G891-Orders!F891)*1440-Orders!R891)&lt;0.06,1,0),"")</f>
        <v>1</v>
      </c>
      <c r="BG894" s="33">
        <f>IF(ABS((Orders!F891-Orders!E891)*1440-Orders!P891)&lt;0.06,1,0)</f>
        <v>1</v>
      </c>
      <c r="BH894" s="33">
        <f>IF(E894=1,IF(IF(Orders!S891,1,0)=1-G894,1,0),"")</f>
        <v>1</v>
      </c>
      <c r="BI894" s="32" t="str">
        <f>INDEX(Stores!$B$2:$B$21,MATCH(B894,Stores!$A$2:$A$21,0))</f>
        <v>Delhi</v>
      </c>
    </row>
    <row r="895">
      <c r="A895" s="32" t="str">
        <f>Orders!A892</f>
        <v>O00891</v>
      </c>
      <c r="B895" s="32" t="str">
        <f>Orders!C892</f>
        <v>S016</v>
      </c>
      <c r="C895" s="32" t="str">
        <f>Orders!B892</f>
        <v>C0012</v>
      </c>
      <c r="D895" s="32" t="str">
        <f>Orders!H892</f>
        <v>Delivered</v>
      </c>
      <c r="E895" s="33">
        <f>IF(Orders!H892="Delivered",1,0)</f>
        <v>1</v>
      </c>
      <c r="F895" s="34">
        <f>IF(E895=1,Orders!R892,"")</f>
        <v>-1</v>
      </c>
      <c r="G895" s="33">
        <f>IF(E895=1,IF(Orders!R892&gt;0,1,0),"")</f>
        <v>0</v>
      </c>
      <c r="H895" s="33">
        <f>IF(E895=1,IF(Orders!R892&gt;5,1,0),"")</f>
        <v>0</v>
      </c>
      <c r="I895" s="32" t="str">
        <f>IF(E895=1,"",IF(OR(Orders!T892="Rider unavailable",Orders!T892="Item unavailable"),"Company-caused","Unresolved"))</f>
        <v/>
      </c>
      <c r="J895" s="33">
        <f>IF(OR(E895=1,I895="Company-caused"),1,0)</f>
        <v>1</v>
      </c>
      <c r="K895" s="32" t="str">
        <f>IF(E895=0,IF(I895="Company-caused",IF(Orders!T892="Rider unavailable","C1 Rider unavailable","C2 Item unavailable"),"Outside root: unresolved"),IF(G895=0,"A On time",IF(H895=1,IF(L895=1,"B2a Severe, peak","B2b Severe, off-peak"),IF(L895=1,"B1a Slight, peak","B1b Slight, off-peak"))))</f>
        <v>A On time</v>
      </c>
      <c r="L895" s="33">
        <f>IF(AND(Orders!U892&gt;=19,Orders!U892&lt;22),1,0)</f>
        <v>1</v>
      </c>
      <c r="M895" s="33">
        <f>IF(L895=IF(Orders!V892,1,0),1,0)</f>
        <v>1</v>
      </c>
      <c r="N895" s="32" t="str">
        <f>IF(Orders!W892="","None",Orders!W892)</f>
        <v>None</v>
      </c>
      <c r="O895" s="35">
        <f>INT(Orders!E892)</f>
        <v>46270.0</v>
      </c>
      <c r="P895" s="33">
        <f>Orders!U892</f>
        <v>21</v>
      </c>
      <c r="Q895" s="33">
        <f>COUNTIFS(Demand!$A$2:$A$4481,B895,Demand!$B$2:$B$4481,O895,Demand!$C$2:$C$4481,P895)</f>
        <v>1</v>
      </c>
      <c r="R895" s="33">
        <f>IF(Q895=1,SUMIFS(Demand!$E$2:$E$4481,Demand!$A$2:$A$4481,B895,Demand!$B$2:$B$4481,O895,Demand!$C$2:$C$4481,P895),"")</f>
        <v>40</v>
      </c>
      <c r="S895" s="33">
        <f>INDEX(Stores!$G$2:$G$21,MATCH(B895,Stores!$A$2:$A$21,0))</f>
        <v>25</v>
      </c>
      <c r="T895" s="34">
        <f>IF(R895="","",R895/S895)</f>
        <v>1.6</v>
      </c>
      <c r="U895" s="34">
        <f>IF(E895=1,T895,"")</f>
        <v>1.6</v>
      </c>
      <c r="V895" s="34" t="str">
        <f>IF(AND(E895=1,L895=0),T895,"")</f>
        <v/>
      </c>
      <c r="W895" s="33">
        <f>IF(U895="","",IF(U895&lt;=Breakdowns!$C$5,1,IF(U895&lt;=Breakdowns!$C$6,2,IF(U895&lt;=Breakdowns!$C$7,3,4))))</f>
        <v>4</v>
      </c>
      <c r="X895" s="33" t="str">
        <f>IF(V895="","",IF(V895&lt;=Breakdowns!$D$5,1,IF(V895&lt;=Breakdowns!$D$6,2,IF(V895&lt;=Breakdowns!$D$7,3,4))))</f>
        <v/>
      </c>
      <c r="Y895" s="34">
        <f>INDEX(Stores!$F$2:$F$21,MATCH(B895,Stores!$A$2:$A$21,0))</f>
        <v>5.51</v>
      </c>
      <c r="Z895" s="33">
        <f>IF(Y895&gt;Store_Summary!$M$2,1,0)</f>
        <v>1</v>
      </c>
      <c r="AA895" s="33">
        <f>INDEX(Stores!$C$2:$C$21,MATCH(B895,Stores!$A$2:$A$21,0))</f>
        <v>792</v>
      </c>
      <c r="AB895" s="33">
        <f>IF(AA895&lt;180,1,0)</f>
        <v>0</v>
      </c>
      <c r="AC895" s="32" t="str">
        <f>IF(Orders!D892="","",INDEX(Riders!$C$2:$C$81,MATCH(Orders!D892,Riders!$A$2:$A$81,0)))</f>
        <v>EV scooter</v>
      </c>
      <c r="AD895" s="33">
        <f>IF(Orders!D892="","",INDEX(Riders!$D$2:$D$81,MATCH(Orders!D892,Riders!$A$2:$A$81,0)))</f>
        <v>24</v>
      </c>
      <c r="AE895" s="33">
        <f>IF(Orders!D892="","",IF(INDEX(Riders!$B$2:$B$81,MATCH(Orders!D892,Riders!$A$2:$A$81,0))=B895,1,0))</f>
        <v>0</v>
      </c>
      <c r="AF895" s="34">
        <f>IF(E895=1,Orders!L892,"")</f>
        <v>2.5</v>
      </c>
      <c r="AG895" s="34">
        <f>IF(E895=1,Orders!P892,"")</f>
        <v>9.5</v>
      </c>
      <c r="AH895" s="34">
        <f>IF(E895=1,Orders!Q892,"")</f>
        <v>8.5</v>
      </c>
      <c r="AI895" s="34">
        <f>IF(E895=1,Orders!M892,"")</f>
        <v>3.1</v>
      </c>
      <c r="AJ895" s="34">
        <f>IF(E895=1,Orders!N892,"")</f>
        <v>1.9</v>
      </c>
      <c r="AK895" s="34">
        <f>IF(E895=1,Orders!O892,"")</f>
        <v>3.5</v>
      </c>
      <c r="AL895" s="33">
        <f>IF(E895=1,IF(ROUND(ABS(AI895+AJ895+AK895-AH895),6)&lt;=0.1,1,0),"")</f>
        <v>1</v>
      </c>
      <c r="AM895" s="36">
        <f>IF(E895=1,AI895/AH895,"")</f>
        <v>0.364705882352941</v>
      </c>
      <c r="AN895" s="36">
        <f>IF(E895=1,AJ895/AH895,"")</f>
        <v>0.223529411764706</v>
      </c>
      <c r="AO895" s="36">
        <f>IF(E895=1,AK895/AH895,"")</f>
        <v>0.411764705882353</v>
      </c>
      <c r="AP895" s="34">
        <f>IF(E895=1,Orders!Y892,"")</f>
        <v>0.8</v>
      </c>
      <c r="AQ895" s="33">
        <f>IF(Orders!X892,1,0)</f>
        <v>0</v>
      </c>
      <c r="AR895" s="34">
        <f>IF(AND(E895=1,L895=1),AJ895,"")</f>
        <v>1.9</v>
      </c>
      <c r="AS895" s="34" t="str">
        <f>IF(AND(E895=1,L895=0),AJ895,"")</f>
        <v/>
      </c>
      <c r="AT895" s="34">
        <f>IF(AND(E895=1,L895=1),AI895,"")</f>
        <v>3.1</v>
      </c>
      <c r="AU895" s="34" t="str">
        <f>IF(AND(E895=1,L895=0),AI895,"")</f>
        <v/>
      </c>
      <c r="AV895" s="34">
        <f>IF(AND(E895=1,L895=1),AG895,"")</f>
        <v>9.5</v>
      </c>
      <c r="AW895" s="34" t="str">
        <f>IF(AND(E895=1,L895=0),AG895,"")</f>
        <v/>
      </c>
      <c r="AX895" s="34">
        <f>IF(AND(E895=1,L895=1),AH895,"")</f>
        <v>8.5</v>
      </c>
      <c r="AY895" s="34" t="str">
        <f>IF(AND(E895=1,L895=0),AH895,"")</f>
        <v/>
      </c>
      <c r="AZ895" s="34" t="str">
        <f>IF(G895=1,F895,"")</f>
        <v/>
      </c>
      <c r="BA895" s="34" t="str">
        <f>IF(AND(G895=1,L895=1),F895,"")</f>
        <v/>
      </c>
      <c r="BB895" s="34" t="str">
        <f>IF(AND(G895=1,L895=0),F895,"")</f>
        <v/>
      </c>
      <c r="BC895" s="33">
        <f>IF(E895=1,IF(Orders!R892&gt;3,1,0),"")</f>
        <v>0</v>
      </c>
      <c r="BD895" s="33">
        <f>IF(E895=1,IF(Orders!R892&gt;7,1,0),"")</f>
        <v>0</v>
      </c>
      <c r="BE895" s="32" t="str">
        <f>IF(E895=1,IF(Orders!L892&lt;=1.5,"Up to 1.5 km",IF(Orders!L892&lt;=3,"1.5–3 km","Over 3 km")),"")</f>
        <v>1.5–3 km</v>
      </c>
      <c r="BF895" s="33">
        <f>IF(E895=1,IF(ABS((Orders!G892-Orders!F892)*1440-Orders!R892)&lt;0.06,1,0),"")</f>
        <v>1</v>
      </c>
      <c r="BG895" s="33">
        <f>IF(ABS((Orders!F892-Orders!E892)*1440-Orders!P892)&lt;0.06,1,0)</f>
        <v>1</v>
      </c>
      <c r="BH895" s="33">
        <f>IF(E895=1,IF(IF(Orders!S892,1,0)=1-G895,1,0),"")</f>
        <v>1</v>
      </c>
      <c r="BI895" s="32" t="str">
        <f>INDEX(Stores!$B$2:$B$21,MATCH(B895,Stores!$A$2:$A$21,0))</f>
        <v>Bengaluru</v>
      </c>
    </row>
    <row r="896">
      <c r="A896" s="32" t="str">
        <f>Orders!A893</f>
        <v>O00892</v>
      </c>
      <c r="B896" s="32" t="str">
        <f>Orders!C893</f>
        <v>S007</v>
      </c>
      <c r="C896" s="32" t="str">
        <f>Orders!B893</f>
        <v>C0016</v>
      </c>
      <c r="D896" s="32" t="str">
        <f>Orders!H893</f>
        <v>Delivered</v>
      </c>
      <c r="E896" s="33">
        <f>IF(Orders!H893="Delivered",1,0)</f>
        <v>1</v>
      </c>
      <c r="F896" s="34">
        <f>IF(E896=1,Orders!R893,"")</f>
        <v>-0.4</v>
      </c>
      <c r="G896" s="33">
        <f>IF(E896=1,IF(Orders!R893&gt;0,1,0),"")</f>
        <v>0</v>
      </c>
      <c r="H896" s="33">
        <f>IF(E896=1,IF(Orders!R893&gt;5,1,0),"")</f>
        <v>0</v>
      </c>
      <c r="I896" s="32" t="str">
        <f>IF(E896=1,"",IF(OR(Orders!T893="Rider unavailable",Orders!T893="Item unavailable"),"Company-caused","Unresolved"))</f>
        <v/>
      </c>
      <c r="J896" s="33">
        <f>IF(OR(E896=1,I896="Company-caused"),1,0)</f>
        <v>1</v>
      </c>
      <c r="K896" s="32" t="str">
        <f>IF(E896=0,IF(I896="Company-caused",IF(Orders!T893="Rider unavailable","C1 Rider unavailable","C2 Item unavailable"),"Outside root: unresolved"),IF(G896=0,"A On time",IF(H896=1,IF(L896=1,"B2a Severe, peak","B2b Severe, off-peak"),IF(L896=1,"B1a Slight, peak","B1b Slight, off-peak"))))</f>
        <v>A On time</v>
      </c>
      <c r="L896" s="33">
        <f>IF(AND(Orders!U893&gt;=19,Orders!U893&lt;22),1,0)</f>
        <v>0</v>
      </c>
      <c r="M896" s="33">
        <f>IF(L896=IF(Orders!V893,1,0),1,0)</f>
        <v>1</v>
      </c>
      <c r="N896" s="32" t="str">
        <f>IF(Orders!W893="","None",Orders!W893)</f>
        <v>None</v>
      </c>
      <c r="O896" s="35">
        <f>INT(Orders!E893)</f>
        <v>46278.0</v>
      </c>
      <c r="P896" s="33">
        <f>Orders!U893</f>
        <v>9</v>
      </c>
      <c r="Q896" s="33">
        <f>COUNTIFS(Demand!$A$2:$A$4481,B896,Demand!$B$2:$B$4481,O896,Demand!$C$2:$C$4481,P896)</f>
        <v>1</v>
      </c>
      <c r="R896" s="33">
        <f>IF(Q896=1,SUMIFS(Demand!$E$2:$E$4481,Demand!$A$2:$A$4481,B896,Demand!$B$2:$B$4481,O896,Demand!$C$2:$C$4481,P896),"")</f>
        <v>30</v>
      </c>
      <c r="S896" s="33">
        <f>INDEX(Stores!$G$2:$G$21,MATCH(B896,Stores!$A$2:$A$21,0))</f>
        <v>37</v>
      </c>
      <c r="T896" s="34">
        <f>IF(R896="","",R896/S896)</f>
        <v>0.810810810810811</v>
      </c>
      <c r="U896" s="34">
        <f>IF(E896=1,T896,"")</f>
        <v>0.810810810810811</v>
      </c>
      <c r="V896" s="34">
        <f>IF(AND(E896=1,L896=0),T896,"")</f>
        <v>0.810810810810811</v>
      </c>
      <c r="W896" s="33">
        <f>IF(U896="","",IF(U896&lt;=Breakdowns!$C$5,1,IF(U896&lt;=Breakdowns!$C$6,2,IF(U896&lt;=Breakdowns!$C$7,3,4))))</f>
        <v>2</v>
      </c>
      <c r="X896" s="33">
        <f>IF(V896="","",IF(V896&lt;=Breakdowns!$D$5,1,IF(V896&lt;=Breakdowns!$D$6,2,IF(V896&lt;=Breakdowns!$D$7,3,4))))</f>
        <v>2</v>
      </c>
      <c r="Y896" s="34">
        <f>INDEX(Stores!$F$2:$F$21,MATCH(B896,Stores!$A$2:$A$21,0))</f>
        <v>4.05</v>
      </c>
      <c r="Z896" s="33">
        <f>IF(Y896&gt;Store_Summary!$M$2,1,0)</f>
        <v>0</v>
      </c>
      <c r="AA896" s="33">
        <f>INDEX(Stores!$C$2:$C$21,MATCH(B896,Stores!$A$2:$A$21,0))</f>
        <v>661</v>
      </c>
      <c r="AB896" s="33">
        <f>IF(AA896&lt;180,1,0)</f>
        <v>0</v>
      </c>
      <c r="AC896" s="32" t="str">
        <f>IF(Orders!D893="","",INDEX(Riders!$C$2:$C$81,MATCH(Orders!D893,Riders!$A$2:$A$81,0)))</f>
        <v>EV scooter</v>
      </c>
      <c r="AD896" s="33">
        <f>IF(Orders!D893="","",INDEX(Riders!$D$2:$D$81,MATCH(Orders!D893,Riders!$A$2:$A$81,0)))</f>
        <v>11</v>
      </c>
      <c r="AE896" s="33">
        <f>IF(Orders!D893="","",IF(INDEX(Riders!$B$2:$B$81,MATCH(Orders!D893,Riders!$A$2:$A$81,0))=B896,1,0))</f>
        <v>0</v>
      </c>
      <c r="AF896" s="34">
        <f>IF(E896=1,Orders!L893,"")</f>
        <v>1.31</v>
      </c>
      <c r="AG896" s="34">
        <f>IF(E896=1,Orders!P893,"")</f>
        <v>10.3</v>
      </c>
      <c r="AH896" s="34">
        <f>IF(E896=1,Orders!Q893,"")</f>
        <v>9.9</v>
      </c>
      <c r="AI896" s="34">
        <f>IF(E896=1,Orders!M893,"")</f>
        <v>3.1</v>
      </c>
      <c r="AJ896" s="34">
        <f>IF(E896=1,Orders!N893,"")</f>
        <v>4.6</v>
      </c>
      <c r="AK896" s="34">
        <f>IF(E896=1,Orders!O893,"")</f>
        <v>2.2</v>
      </c>
      <c r="AL896" s="33">
        <f>IF(E896=1,IF(ROUND(ABS(AI896+AJ896+AK896-AH896),6)&lt;=0.1,1,0),"")</f>
        <v>1</v>
      </c>
      <c r="AM896" s="36">
        <f>IF(E896=1,AI896/AH896,"")</f>
        <v>0.313131313131313</v>
      </c>
      <c r="AN896" s="36">
        <f>IF(E896=1,AJ896/AH896,"")</f>
        <v>0.464646464646465</v>
      </c>
      <c r="AO896" s="36">
        <f>IF(E896=1,AK896/AH896,"")</f>
        <v>0.222222222222222</v>
      </c>
      <c r="AP896" s="34">
        <f>IF(E896=1,Orders!Y893,"")</f>
        <v>0.19</v>
      </c>
      <c r="AQ896" s="33">
        <f>IF(Orders!X893,1,0)</f>
        <v>0</v>
      </c>
      <c r="AR896" s="34" t="str">
        <f>IF(AND(E896=1,L896=1),AJ896,"")</f>
        <v/>
      </c>
      <c r="AS896" s="34">
        <f>IF(AND(E896=1,L896=0),AJ896,"")</f>
        <v>4.6</v>
      </c>
      <c r="AT896" s="34" t="str">
        <f>IF(AND(E896=1,L896=1),AI896,"")</f>
        <v/>
      </c>
      <c r="AU896" s="34">
        <f>IF(AND(E896=1,L896=0),AI896,"")</f>
        <v>3.1</v>
      </c>
      <c r="AV896" s="34" t="str">
        <f>IF(AND(E896=1,L896=1),AG896,"")</f>
        <v/>
      </c>
      <c r="AW896" s="34">
        <f>IF(AND(E896=1,L896=0),AG896,"")</f>
        <v>10.3</v>
      </c>
      <c r="AX896" s="34" t="str">
        <f>IF(AND(E896=1,L896=1),AH896,"")</f>
        <v/>
      </c>
      <c r="AY896" s="34">
        <f>IF(AND(E896=1,L896=0),AH896,"")</f>
        <v>9.9</v>
      </c>
      <c r="AZ896" s="34" t="str">
        <f>IF(G896=1,F896,"")</f>
        <v/>
      </c>
      <c r="BA896" s="34" t="str">
        <f>IF(AND(G896=1,L896=1),F896,"")</f>
        <v/>
      </c>
      <c r="BB896" s="34" t="str">
        <f>IF(AND(G896=1,L896=0),F896,"")</f>
        <v/>
      </c>
      <c r="BC896" s="33">
        <f>IF(E896=1,IF(Orders!R893&gt;3,1,0),"")</f>
        <v>0</v>
      </c>
      <c r="BD896" s="33">
        <f>IF(E896=1,IF(Orders!R893&gt;7,1,0),"")</f>
        <v>0</v>
      </c>
      <c r="BE896" s="32" t="str">
        <f>IF(E896=1,IF(Orders!L893&lt;=1.5,"Up to 1.5 km",IF(Orders!L893&lt;=3,"1.5–3 km","Over 3 km")),"")</f>
        <v>Up to 1.5 km</v>
      </c>
      <c r="BF896" s="33">
        <f>IF(E896=1,IF(ABS((Orders!G893-Orders!F893)*1440-Orders!R893)&lt;0.06,1,0),"")</f>
        <v>1</v>
      </c>
      <c r="BG896" s="33">
        <f>IF(ABS((Orders!F893-Orders!E893)*1440-Orders!P893)&lt;0.06,1,0)</f>
        <v>1</v>
      </c>
      <c r="BH896" s="33">
        <f>IF(E896=1,IF(IF(Orders!S893,1,0)=1-G896,1,0),"")</f>
        <v>1</v>
      </c>
      <c r="BI896" s="32" t="str">
        <f>INDEX(Stores!$B$2:$B$21,MATCH(B896,Stores!$A$2:$A$21,0))</f>
        <v>Hyderabad</v>
      </c>
    </row>
    <row r="897">
      <c r="A897" s="32" t="str">
        <f>Orders!A894</f>
        <v>O00893</v>
      </c>
      <c r="B897" s="32" t="str">
        <f>Orders!C894</f>
        <v>S015</v>
      </c>
      <c r="C897" s="32" t="str">
        <f>Orders!B894</f>
        <v>C0198</v>
      </c>
      <c r="D897" s="32" t="str">
        <f>Orders!H894</f>
        <v>Delivered</v>
      </c>
      <c r="E897" s="33">
        <f>IF(Orders!H894="Delivered",1,0)</f>
        <v>1</v>
      </c>
      <c r="F897" s="34">
        <f>IF(E897=1,Orders!R894,"")</f>
        <v>-0.8</v>
      </c>
      <c r="G897" s="33">
        <f>IF(E897=1,IF(Orders!R894&gt;0,1,0),"")</f>
        <v>0</v>
      </c>
      <c r="H897" s="33">
        <f>IF(E897=1,IF(Orders!R894&gt;5,1,0),"")</f>
        <v>0</v>
      </c>
      <c r="I897" s="32" t="str">
        <f>IF(E897=1,"",IF(OR(Orders!T894="Rider unavailable",Orders!T894="Item unavailable"),"Company-caused","Unresolved"))</f>
        <v/>
      </c>
      <c r="J897" s="33">
        <f>IF(OR(E897=1,I897="Company-caused"),1,0)</f>
        <v>1</v>
      </c>
      <c r="K897" s="32" t="str">
        <f>IF(E897=0,IF(I897="Company-caused",IF(Orders!T894="Rider unavailable","C1 Rider unavailable","C2 Item unavailable"),"Outside root: unresolved"),IF(G897=0,"A On time",IF(H897=1,IF(L897=1,"B2a Severe, peak","B2b Severe, off-peak"),IF(L897=1,"B1a Slight, peak","B1b Slight, off-peak"))))</f>
        <v>A On time</v>
      </c>
      <c r="L897" s="33">
        <f>IF(AND(Orders!U894&gt;=19,Orders!U894&lt;22),1,0)</f>
        <v>0</v>
      </c>
      <c r="M897" s="33">
        <f>IF(L897=IF(Orders!V894,1,0),1,0)</f>
        <v>1</v>
      </c>
      <c r="N897" s="32" t="str">
        <f>IF(Orders!W894="","None",Orders!W894)</f>
        <v>None</v>
      </c>
      <c r="O897" s="35">
        <f>INT(Orders!E894)</f>
        <v>46275.0</v>
      </c>
      <c r="P897" s="33">
        <f>Orders!U894</f>
        <v>17</v>
      </c>
      <c r="Q897" s="33">
        <f>COUNTIFS(Demand!$A$2:$A$4481,B897,Demand!$B$2:$B$4481,O897,Demand!$C$2:$C$4481,P897)</f>
        <v>1</v>
      </c>
      <c r="R897" s="33">
        <f>IF(Q897=1,SUMIFS(Demand!$E$2:$E$4481,Demand!$A$2:$A$4481,B897,Demand!$B$2:$B$4481,O897,Demand!$C$2:$C$4481,P897),"")</f>
        <v>21</v>
      </c>
      <c r="S897" s="33">
        <f>INDEX(Stores!$G$2:$G$21,MATCH(B897,Stores!$A$2:$A$21,0))</f>
        <v>23</v>
      </c>
      <c r="T897" s="34">
        <f>IF(R897="","",R897/S897)</f>
        <v>0.91304347826087</v>
      </c>
      <c r="U897" s="34">
        <f>IF(E897=1,T897,"")</f>
        <v>0.91304347826087</v>
      </c>
      <c r="V897" s="34">
        <f>IF(AND(E897=1,L897=0),T897,"")</f>
        <v>0.91304347826087</v>
      </c>
      <c r="W897" s="33">
        <f>IF(U897="","",IF(U897&lt;=Breakdowns!$C$5,1,IF(U897&lt;=Breakdowns!$C$6,2,IF(U897&lt;=Breakdowns!$C$7,3,4))))</f>
        <v>2</v>
      </c>
      <c r="X897" s="33">
        <f>IF(V897="","",IF(V897&lt;=Breakdowns!$D$5,1,IF(V897&lt;=Breakdowns!$D$6,2,IF(V897&lt;=Breakdowns!$D$7,3,4))))</f>
        <v>2</v>
      </c>
      <c r="Y897" s="34">
        <f>INDEX(Stores!$F$2:$F$21,MATCH(B897,Stores!$A$2:$A$21,0))</f>
        <v>4.66</v>
      </c>
      <c r="Z897" s="33">
        <f>IF(Y897&gt;Store_Summary!$M$2,1,0)</f>
        <v>0</v>
      </c>
      <c r="AA897" s="33">
        <f>INDEX(Stores!$C$2:$C$21,MATCH(B897,Stores!$A$2:$A$21,0))</f>
        <v>204</v>
      </c>
      <c r="AB897" s="33">
        <f>IF(AA897&lt;180,1,0)</f>
        <v>0</v>
      </c>
      <c r="AC897" s="32" t="str">
        <f>IF(Orders!D894="","",INDEX(Riders!$C$2:$C$81,MATCH(Orders!D894,Riders!$A$2:$A$81,0)))</f>
        <v>EV scooter</v>
      </c>
      <c r="AD897" s="33">
        <f>IF(Orders!D894="","",INDEX(Riders!$D$2:$D$81,MATCH(Orders!D894,Riders!$A$2:$A$81,0)))</f>
        <v>30</v>
      </c>
      <c r="AE897" s="33">
        <f>IF(Orders!D894="","",IF(INDEX(Riders!$B$2:$B$81,MATCH(Orders!D894,Riders!$A$2:$A$81,0))=B897,1,0))</f>
        <v>0</v>
      </c>
      <c r="AF897" s="34">
        <f>IF(E897=1,Orders!L894,"")</f>
        <v>0.74</v>
      </c>
      <c r="AG897" s="34">
        <f>IF(E897=1,Orders!P894,"")</f>
        <v>10.8</v>
      </c>
      <c r="AH897" s="34">
        <f>IF(E897=1,Orders!Q894,"")</f>
        <v>10</v>
      </c>
      <c r="AI897" s="34">
        <f>IF(E897=1,Orders!M894,"")</f>
        <v>3.1</v>
      </c>
      <c r="AJ897" s="34">
        <f>IF(E897=1,Orders!N894,"")</f>
        <v>5.7</v>
      </c>
      <c r="AK897" s="34">
        <f>IF(E897=1,Orders!O894,"")</f>
        <v>1.2</v>
      </c>
      <c r="AL897" s="33">
        <f>IF(E897=1,IF(ROUND(ABS(AI897+AJ897+AK897-AH897),6)&lt;=0.1,1,0),"")</f>
        <v>1</v>
      </c>
      <c r="AM897" s="36">
        <f>IF(E897=1,AI897/AH897,"")</f>
        <v>0.31</v>
      </c>
      <c r="AN897" s="36">
        <f>IF(E897=1,AJ897/AH897,"")</f>
        <v>0.57</v>
      </c>
      <c r="AO897" s="36">
        <f>IF(E897=1,AK897/AH897,"")</f>
        <v>0.12</v>
      </c>
      <c r="AP897" s="34">
        <f>IF(E897=1,Orders!Y894,"")</f>
        <v>0.22</v>
      </c>
      <c r="AQ897" s="33">
        <f>IF(Orders!X894,1,0)</f>
        <v>0</v>
      </c>
      <c r="AR897" s="34" t="str">
        <f>IF(AND(E897=1,L897=1),AJ897,"")</f>
        <v/>
      </c>
      <c r="AS897" s="34">
        <f>IF(AND(E897=1,L897=0),AJ897,"")</f>
        <v>5.7</v>
      </c>
      <c r="AT897" s="34" t="str">
        <f>IF(AND(E897=1,L897=1),AI897,"")</f>
        <v/>
      </c>
      <c r="AU897" s="34">
        <f>IF(AND(E897=1,L897=0),AI897,"")</f>
        <v>3.1</v>
      </c>
      <c r="AV897" s="34" t="str">
        <f>IF(AND(E897=1,L897=1),AG897,"")</f>
        <v/>
      </c>
      <c r="AW897" s="34">
        <f>IF(AND(E897=1,L897=0),AG897,"")</f>
        <v>10.8</v>
      </c>
      <c r="AX897" s="34" t="str">
        <f>IF(AND(E897=1,L897=1),AH897,"")</f>
        <v/>
      </c>
      <c r="AY897" s="34">
        <f>IF(AND(E897=1,L897=0),AH897,"")</f>
        <v>10</v>
      </c>
      <c r="AZ897" s="34" t="str">
        <f>IF(G897=1,F897,"")</f>
        <v/>
      </c>
      <c r="BA897" s="34" t="str">
        <f>IF(AND(G897=1,L897=1),F897,"")</f>
        <v/>
      </c>
      <c r="BB897" s="34" t="str">
        <f>IF(AND(G897=1,L897=0),F897,"")</f>
        <v/>
      </c>
      <c r="BC897" s="33">
        <f>IF(E897=1,IF(Orders!R894&gt;3,1,0),"")</f>
        <v>0</v>
      </c>
      <c r="BD897" s="33">
        <f>IF(E897=1,IF(Orders!R894&gt;7,1,0),"")</f>
        <v>0</v>
      </c>
      <c r="BE897" s="32" t="str">
        <f>IF(E897=1,IF(Orders!L894&lt;=1.5,"Up to 1.5 km",IF(Orders!L894&lt;=3,"1.5–3 km","Over 3 km")),"")</f>
        <v>Up to 1.5 km</v>
      </c>
      <c r="BF897" s="33">
        <f>IF(E897=1,IF(ABS((Orders!G894-Orders!F894)*1440-Orders!R894)&lt;0.06,1,0),"")</f>
        <v>1</v>
      </c>
      <c r="BG897" s="33">
        <f>IF(ABS((Orders!F894-Orders!E894)*1440-Orders!P894)&lt;0.06,1,0)</f>
        <v>1</v>
      </c>
      <c r="BH897" s="33">
        <f>IF(E897=1,IF(IF(Orders!S894,1,0)=1-G897,1,0),"")</f>
        <v>1</v>
      </c>
      <c r="BI897" s="32" t="str">
        <f>INDEX(Stores!$B$2:$B$21,MATCH(B897,Stores!$A$2:$A$21,0))</f>
        <v>Delhi</v>
      </c>
    </row>
    <row r="898">
      <c r="A898" s="32" t="str">
        <f>Orders!A895</f>
        <v>O00894</v>
      </c>
      <c r="B898" s="32" t="str">
        <f>Orders!C895</f>
        <v>S020</v>
      </c>
      <c r="C898" s="32" t="str">
        <f>Orders!B895</f>
        <v>C0240</v>
      </c>
      <c r="D898" s="32" t="str">
        <f>Orders!H895</f>
        <v>Delivered</v>
      </c>
      <c r="E898" s="33">
        <f>IF(Orders!H895="Delivered",1,0)</f>
        <v>1</v>
      </c>
      <c r="F898" s="34">
        <f>IF(E898=1,Orders!R895,"")</f>
        <v>-1</v>
      </c>
      <c r="G898" s="33">
        <f>IF(E898=1,IF(Orders!R895&gt;0,1,0),"")</f>
        <v>0</v>
      </c>
      <c r="H898" s="33">
        <f>IF(E898=1,IF(Orders!R895&gt;5,1,0),"")</f>
        <v>0</v>
      </c>
      <c r="I898" s="32" t="str">
        <f>IF(E898=1,"",IF(OR(Orders!T895="Rider unavailable",Orders!T895="Item unavailable"),"Company-caused","Unresolved"))</f>
        <v/>
      </c>
      <c r="J898" s="33">
        <f>IF(OR(E898=1,I898="Company-caused"),1,0)</f>
        <v>1</v>
      </c>
      <c r="K898" s="32" t="str">
        <f>IF(E898=0,IF(I898="Company-caused",IF(Orders!T895="Rider unavailable","C1 Rider unavailable","C2 Item unavailable"),"Outside root: unresolved"),IF(G898=0,"A On time",IF(H898=1,IF(L898=1,"B2a Severe, peak","B2b Severe, off-peak"),IF(L898=1,"B1a Slight, peak","B1b Slight, off-peak"))))</f>
        <v>A On time</v>
      </c>
      <c r="L898" s="33">
        <f>IF(AND(Orders!U895&gt;=19,Orders!U895&lt;22),1,0)</f>
        <v>0</v>
      </c>
      <c r="M898" s="33">
        <f>IF(L898=IF(Orders!V895,1,0),1,0)</f>
        <v>1</v>
      </c>
      <c r="N898" s="32" t="str">
        <f>IF(Orders!W895="","None",Orders!W895)</f>
        <v>None</v>
      </c>
      <c r="O898" s="35">
        <f>INT(Orders!E895)</f>
        <v>46275.0</v>
      </c>
      <c r="P898" s="33">
        <f>Orders!U895</f>
        <v>13</v>
      </c>
      <c r="Q898" s="33">
        <f>COUNTIFS(Demand!$A$2:$A$4481,B898,Demand!$B$2:$B$4481,O898,Demand!$C$2:$C$4481,P898)</f>
        <v>1</v>
      </c>
      <c r="R898" s="33">
        <f>IF(Q898=1,SUMIFS(Demand!$E$2:$E$4481,Demand!$A$2:$A$4481,B898,Demand!$B$2:$B$4481,O898,Demand!$C$2:$C$4481,P898),"")</f>
        <v>21</v>
      </c>
      <c r="S898" s="33">
        <f>INDEX(Stores!$G$2:$G$21,MATCH(B898,Stores!$A$2:$A$21,0))</f>
        <v>15</v>
      </c>
      <c r="T898" s="34">
        <f>IF(R898="","",R898/S898)</f>
        <v>1.4</v>
      </c>
      <c r="U898" s="34">
        <f>IF(E898=1,T898,"")</f>
        <v>1.4</v>
      </c>
      <c r="V898" s="34">
        <f>IF(AND(E898=1,L898=0),T898,"")</f>
        <v>1.4</v>
      </c>
      <c r="W898" s="33">
        <f>IF(U898="","",IF(U898&lt;=Breakdowns!$C$5,1,IF(U898&lt;=Breakdowns!$C$6,2,IF(U898&lt;=Breakdowns!$C$7,3,4))))</f>
        <v>4</v>
      </c>
      <c r="X898" s="33">
        <f>IF(V898="","",IF(V898&lt;=Breakdowns!$D$5,1,IF(V898&lt;=Breakdowns!$D$6,2,IF(V898&lt;=Breakdowns!$D$7,3,4))))</f>
        <v>4</v>
      </c>
      <c r="Y898" s="34">
        <f>INDEX(Stores!$F$2:$F$21,MATCH(B898,Stores!$A$2:$A$21,0))</f>
        <v>5.74</v>
      </c>
      <c r="Z898" s="33">
        <f>IF(Y898&gt;Store_Summary!$M$2,1,0)</f>
        <v>1</v>
      </c>
      <c r="AA898" s="33">
        <f>INDEX(Stores!$C$2:$C$21,MATCH(B898,Stores!$A$2:$A$21,0))</f>
        <v>647</v>
      </c>
      <c r="AB898" s="33">
        <f>IF(AA898&lt;180,1,0)</f>
        <v>0</v>
      </c>
      <c r="AC898" s="32" t="str">
        <f>IF(Orders!D895="","",INDEX(Riders!$C$2:$C$81,MATCH(Orders!D895,Riders!$A$2:$A$81,0)))</f>
        <v>EV scooter</v>
      </c>
      <c r="AD898" s="33">
        <f>IF(Orders!D895="","",INDEX(Riders!$D$2:$D$81,MATCH(Orders!D895,Riders!$A$2:$A$81,0)))</f>
        <v>36</v>
      </c>
      <c r="AE898" s="33">
        <f>IF(Orders!D895="","",IF(INDEX(Riders!$B$2:$B$81,MATCH(Orders!D895,Riders!$A$2:$A$81,0))=B898,1,0))</f>
        <v>0</v>
      </c>
      <c r="AF898" s="34">
        <f>IF(E898=1,Orders!L895,"")</f>
        <v>3.8</v>
      </c>
      <c r="AG898" s="34">
        <f>IF(E898=1,Orders!P895,"")</f>
        <v>12.8</v>
      </c>
      <c r="AH898" s="34">
        <f>IF(E898=1,Orders!Q895,"")</f>
        <v>11.8</v>
      </c>
      <c r="AI898" s="34">
        <f>IF(E898=1,Orders!M895,"")</f>
        <v>3.2</v>
      </c>
      <c r="AJ898" s="34">
        <f>IF(E898=1,Orders!N895,"")</f>
        <v>3.4</v>
      </c>
      <c r="AK898" s="34">
        <f>IF(E898=1,Orders!O895,"")</f>
        <v>5.2</v>
      </c>
      <c r="AL898" s="33">
        <f>IF(E898=1,IF(ROUND(ABS(AI898+AJ898+AK898-AH898),6)&lt;=0.1,1,0),"")</f>
        <v>1</v>
      </c>
      <c r="AM898" s="36">
        <f>IF(E898=1,AI898/AH898,"")</f>
        <v>0.271186440677966</v>
      </c>
      <c r="AN898" s="36">
        <f>IF(E898=1,AJ898/AH898,"")</f>
        <v>0.288135593220339</v>
      </c>
      <c r="AO898" s="36">
        <f>IF(E898=1,AK898/AH898,"")</f>
        <v>0.440677966101695</v>
      </c>
      <c r="AP898" s="34">
        <f>IF(E898=1,Orders!Y895,"")</f>
        <v>0.46</v>
      </c>
      <c r="AQ898" s="33">
        <f>IF(Orders!X895,1,0)</f>
        <v>0</v>
      </c>
      <c r="AR898" s="34" t="str">
        <f>IF(AND(E898=1,L898=1),AJ898,"")</f>
        <v/>
      </c>
      <c r="AS898" s="34">
        <f>IF(AND(E898=1,L898=0),AJ898,"")</f>
        <v>3.4</v>
      </c>
      <c r="AT898" s="34" t="str">
        <f>IF(AND(E898=1,L898=1),AI898,"")</f>
        <v/>
      </c>
      <c r="AU898" s="34">
        <f>IF(AND(E898=1,L898=0),AI898,"")</f>
        <v>3.2</v>
      </c>
      <c r="AV898" s="34" t="str">
        <f>IF(AND(E898=1,L898=1),AG898,"")</f>
        <v/>
      </c>
      <c r="AW898" s="34">
        <f>IF(AND(E898=1,L898=0),AG898,"")</f>
        <v>12.8</v>
      </c>
      <c r="AX898" s="34" t="str">
        <f>IF(AND(E898=1,L898=1),AH898,"")</f>
        <v/>
      </c>
      <c r="AY898" s="34">
        <f>IF(AND(E898=1,L898=0),AH898,"")</f>
        <v>11.8</v>
      </c>
      <c r="AZ898" s="34" t="str">
        <f>IF(G898=1,F898,"")</f>
        <v/>
      </c>
      <c r="BA898" s="34" t="str">
        <f>IF(AND(G898=1,L898=1),F898,"")</f>
        <v/>
      </c>
      <c r="BB898" s="34" t="str">
        <f>IF(AND(G898=1,L898=0),F898,"")</f>
        <v/>
      </c>
      <c r="BC898" s="33">
        <f>IF(E898=1,IF(Orders!R895&gt;3,1,0),"")</f>
        <v>0</v>
      </c>
      <c r="BD898" s="33">
        <f>IF(E898=1,IF(Orders!R895&gt;7,1,0),"")</f>
        <v>0</v>
      </c>
      <c r="BE898" s="32" t="str">
        <f>IF(E898=1,IF(Orders!L895&lt;=1.5,"Up to 1.5 km",IF(Orders!L895&lt;=3,"1.5–3 km","Over 3 km")),"")</f>
        <v>Over 3 km</v>
      </c>
      <c r="BF898" s="33">
        <f>IF(E898=1,IF(ABS((Orders!G895-Orders!F895)*1440-Orders!R895)&lt;0.06,1,0),"")</f>
        <v>1</v>
      </c>
      <c r="BG898" s="33">
        <f>IF(ABS((Orders!F895-Orders!E895)*1440-Orders!P895)&lt;0.06,1,0)</f>
        <v>1</v>
      </c>
      <c r="BH898" s="33">
        <f>IF(E898=1,IF(IF(Orders!S895,1,0)=1-G898,1,0),"")</f>
        <v>1</v>
      </c>
      <c r="BI898" s="32" t="str">
        <f>INDEX(Stores!$B$2:$B$21,MATCH(B898,Stores!$A$2:$A$21,0))</f>
        <v>Delhi</v>
      </c>
    </row>
    <row r="899">
      <c r="A899" s="32" t="str">
        <f>Orders!A896</f>
        <v>O00895</v>
      </c>
      <c r="B899" s="32" t="str">
        <f>Orders!C896</f>
        <v>S010</v>
      </c>
      <c r="C899" s="32" t="str">
        <f>Orders!B896</f>
        <v>C0222</v>
      </c>
      <c r="D899" s="32" t="str">
        <f>Orders!H896</f>
        <v>Delivered</v>
      </c>
      <c r="E899" s="33">
        <f>IF(Orders!H896="Delivered",1,0)</f>
        <v>1</v>
      </c>
      <c r="F899" s="34">
        <f>IF(E899=1,Orders!R896,"")</f>
        <v>8.4</v>
      </c>
      <c r="G899" s="33">
        <f>IF(E899=1,IF(Orders!R896&gt;0,1,0),"")</f>
        <v>1</v>
      </c>
      <c r="H899" s="33">
        <f>IF(E899=1,IF(Orders!R896&gt;5,1,0),"")</f>
        <v>1</v>
      </c>
      <c r="I899" s="32" t="str">
        <f>IF(E899=1,"",IF(OR(Orders!T896="Rider unavailable",Orders!T896="Item unavailable"),"Company-caused","Unresolved"))</f>
        <v/>
      </c>
      <c r="J899" s="33">
        <f>IF(OR(E899=1,I899="Company-caused"),1,0)</f>
        <v>1</v>
      </c>
      <c r="K899" s="32" t="str">
        <f>IF(E899=0,IF(I899="Company-caused",IF(Orders!T896="Rider unavailable","C1 Rider unavailable","C2 Item unavailable"),"Outside root: unresolved"),IF(G899=0,"A On time",IF(H899=1,IF(L899=1,"B2a Severe, peak","B2b Severe, off-peak"),IF(L899=1,"B1a Slight, peak","B1b Slight, off-peak"))))</f>
        <v>B2a Severe, peak</v>
      </c>
      <c r="L899" s="33">
        <f>IF(AND(Orders!U896&gt;=19,Orders!U896&lt;22),1,0)</f>
        <v>1</v>
      </c>
      <c r="M899" s="33">
        <f>IF(L899=IF(Orders!V896,1,0),1,0)</f>
        <v>1</v>
      </c>
      <c r="N899" s="32" t="str">
        <f>IF(Orders!W896="","None",Orders!W896)</f>
        <v>Light</v>
      </c>
      <c r="O899" s="35">
        <f>INT(Orders!E896)</f>
        <v>46279.0</v>
      </c>
      <c r="P899" s="33">
        <f>Orders!U896</f>
        <v>21</v>
      </c>
      <c r="Q899" s="33">
        <f>COUNTIFS(Demand!$A$2:$A$4481,B899,Demand!$B$2:$B$4481,O899,Demand!$C$2:$C$4481,P899)</f>
        <v>1</v>
      </c>
      <c r="R899" s="33">
        <f>IF(Q899=1,SUMIFS(Demand!$E$2:$E$4481,Demand!$A$2:$A$4481,B899,Demand!$B$2:$B$4481,O899,Demand!$C$2:$C$4481,P899),"")</f>
        <v>34</v>
      </c>
      <c r="S899" s="33">
        <f>INDEX(Stores!$G$2:$G$21,MATCH(B899,Stores!$A$2:$A$21,0))</f>
        <v>22</v>
      </c>
      <c r="T899" s="34">
        <f>IF(R899="","",R899/S899)</f>
        <v>1.54545454545455</v>
      </c>
      <c r="U899" s="34">
        <f>IF(E899=1,T899,"")</f>
        <v>1.54545454545455</v>
      </c>
      <c r="V899" s="34" t="str">
        <f>IF(AND(E899=1,L899=0),T899,"")</f>
        <v/>
      </c>
      <c r="W899" s="33">
        <f>IF(U899="","",IF(U899&lt;=Breakdowns!$C$5,1,IF(U899&lt;=Breakdowns!$C$6,2,IF(U899&lt;=Breakdowns!$C$7,3,4))))</f>
        <v>4</v>
      </c>
      <c r="X899" s="33" t="str">
        <f>IF(V899="","",IF(V899&lt;=Breakdowns!$D$5,1,IF(V899&lt;=Breakdowns!$D$6,2,IF(V899&lt;=Breakdowns!$D$7,3,4))))</f>
        <v/>
      </c>
      <c r="Y899" s="34">
        <f>INDEX(Stores!$F$2:$F$21,MATCH(B899,Stores!$A$2:$A$21,0))</f>
        <v>5.61</v>
      </c>
      <c r="Z899" s="33">
        <f>IF(Y899&gt;Store_Summary!$M$2,1,0)</f>
        <v>1</v>
      </c>
      <c r="AA899" s="33">
        <f>INDEX(Stores!$C$2:$C$21,MATCH(B899,Stores!$A$2:$A$21,0))</f>
        <v>744</v>
      </c>
      <c r="AB899" s="33">
        <f>IF(AA899&lt;180,1,0)</f>
        <v>0</v>
      </c>
      <c r="AC899" s="32" t="str">
        <f>IF(Orders!D896="","",INDEX(Riders!$C$2:$C$81,MATCH(Orders!D896,Riders!$A$2:$A$81,0)))</f>
        <v>Petrol scooter</v>
      </c>
      <c r="AD899" s="33">
        <f>IF(Orders!D896="","",INDEX(Riders!$D$2:$D$81,MATCH(Orders!D896,Riders!$A$2:$A$81,0)))</f>
        <v>29</v>
      </c>
      <c r="AE899" s="33">
        <f>IF(Orders!D896="","",IF(INDEX(Riders!$B$2:$B$81,MATCH(Orders!D896,Riders!$A$2:$A$81,0))=B899,1,0))</f>
        <v>0</v>
      </c>
      <c r="AF899" s="34">
        <f>IF(E899=1,Orders!L896,"")</f>
        <v>1.55</v>
      </c>
      <c r="AG899" s="34">
        <f>IF(E899=1,Orders!P896,"")</f>
        <v>9.4</v>
      </c>
      <c r="AH899" s="34">
        <f>IF(E899=1,Orders!Q896,"")</f>
        <v>17.8</v>
      </c>
      <c r="AI899" s="34">
        <f>IF(E899=1,Orders!M896,"")</f>
        <v>6.7</v>
      </c>
      <c r="AJ899" s="34">
        <f>IF(E899=1,Orders!N896,"")</f>
        <v>3.8</v>
      </c>
      <c r="AK899" s="34">
        <f>IF(E899=1,Orders!O896,"")</f>
        <v>7.3</v>
      </c>
      <c r="AL899" s="33">
        <f>IF(E899=1,IF(ROUND(ABS(AI899+AJ899+AK899-AH899),6)&lt;=0.1,1,0),"")</f>
        <v>1</v>
      </c>
      <c r="AM899" s="36">
        <f>IF(E899=1,AI899/AH899,"")</f>
        <v>0.376404494382022</v>
      </c>
      <c r="AN899" s="36">
        <f>IF(E899=1,AJ899/AH899,"")</f>
        <v>0.213483146067416</v>
      </c>
      <c r="AO899" s="36">
        <f>IF(E899=1,AK899/AH899,"")</f>
        <v>0.410112359550562</v>
      </c>
      <c r="AP899" s="34">
        <f>IF(E899=1,Orders!Y896,"")</f>
        <v>0.9</v>
      </c>
      <c r="AQ899" s="33">
        <f>IF(Orders!X896,1,0)</f>
        <v>0</v>
      </c>
      <c r="AR899" s="34">
        <f>IF(AND(E899=1,L899=1),AJ899,"")</f>
        <v>3.8</v>
      </c>
      <c r="AS899" s="34" t="str">
        <f>IF(AND(E899=1,L899=0),AJ899,"")</f>
        <v/>
      </c>
      <c r="AT899" s="34">
        <f>IF(AND(E899=1,L899=1),AI899,"")</f>
        <v>6.7</v>
      </c>
      <c r="AU899" s="34" t="str">
        <f>IF(AND(E899=1,L899=0),AI899,"")</f>
        <v/>
      </c>
      <c r="AV899" s="34">
        <f>IF(AND(E899=1,L899=1),AG899,"")</f>
        <v>9.4</v>
      </c>
      <c r="AW899" s="34" t="str">
        <f>IF(AND(E899=1,L899=0),AG899,"")</f>
        <v/>
      </c>
      <c r="AX899" s="34">
        <f>IF(AND(E899=1,L899=1),AH899,"")</f>
        <v>17.8</v>
      </c>
      <c r="AY899" s="34" t="str">
        <f>IF(AND(E899=1,L899=0),AH899,"")</f>
        <v/>
      </c>
      <c r="AZ899" s="34">
        <f>IF(G899=1,F899,"")</f>
        <v>8.4</v>
      </c>
      <c r="BA899" s="34">
        <f>IF(AND(G899=1,L899=1),F899,"")</f>
        <v>8.4</v>
      </c>
      <c r="BB899" s="34" t="str">
        <f>IF(AND(G899=1,L899=0),F899,"")</f>
        <v/>
      </c>
      <c r="BC899" s="33">
        <f>IF(E899=1,IF(Orders!R896&gt;3,1,0),"")</f>
        <v>1</v>
      </c>
      <c r="BD899" s="33">
        <f>IF(E899=1,IF(Orders!R896&gt;7,1,0),"")</f>
        <v>1</v>
      </c>
      <c r="BE899" s="32" t="str">
        <f>IF(E899=1,IF(Orders!L896&lt;=1.5,"Up to 1.5 km",IF(Orders!L896&lt;=3,"1.5–3 km","Over 3 km")),"")</f>
        <v>1.5–3 km</v>
      </c>
      <c r="BF899" s="33">
        <f>IF(E899=1,IF(ABS((Orders!G896-Orders!F896)*1440-Orders!R896)&lt;0.06,1,0),"")</f>
        <v>1</v>
      </c>
      <c r="BG899" s="33">
        <f>IF(ABS((Orders!F896-Orders!E896)*1440-Orders!P896)&lt;0.06,1,0)</f>
        <v>1</v>
      </c>
      <c r="BH899" s="33">
        <f>IF(E899=1,IF(IF(Orders!S896,1,0)=1-G899,1,0),"")</f>
        <v>1</v>
      </c>
      <c r="BI899" s="32" t="str">
        <f>INDEX(Stores!$B$2:$B$21,MATCH(B899,Stores!$A$2:$A$21,0))</f>
        <v>Delhi</v>
      </c>
    </row>
    <row r="900">
      <c r="A900" s="32" t="str">
        <f>Orders!A897</f>
        <v>O00896</v>
      </c>
      <c r="B900" s="32" t="str">
        <f>Orders!C897</f>
        <v>S007</v>
      </c>
      <c r="C900" s="32" t="str">
        <f>Orders!B897</f>
        <v>C0208</v>
      </c>
      <c r="D900" s="32" t="str">
        <f>Orders!H897</f>
        <v>Delivered</v>
      </c>
      <c r="E900" s="33">
        <f>IF(Orders!H897="Delivered",1,0)</f>
        <v>1</v>
      </c>
      <c r="F900" s="34">
        <f>IF(E900=1,Orders!R897,"")</f>
        <v>5.1</v>
      </c>
      <c r="G900" s="33">
        <f>IF(E900=1,IF(Orders!R897&gt;0,1,0),"")</f>
        <v>1</v>
      </c>
      <c r="H900" s="33">
        <f>IF(E900=1,IF(Orders!R897&gt;5,1,0),"")</f>
        <v>1</v>
      </c>
      <c r="I900" s="32" t="str">
        <f>IF(E900=1,"",IF(OR(Orders!T897="Rider unavailable",Orders!T897="Item unavailable"),"Company-caused","Unresolved"))</f>
        <v/>
      </c>
      <c r="J900" s="33">
        <f>IF(OR(E900=1,I900="Company-caused"),1,0)</f>
        <v>1</v>
      </c>
      <c r="K900" s="32" t="str">
        <f>IF(E900=0,IF(I900="Company-caused",IF(Orders!T897="Rider unavailable","C1 Rider unavailable","C2 Item unavailable"),"Outside root: unresolved"),IF(G900=0,"A On time",IF(H900=1,IF(L900=1,"B2a Severe, peak","B2b Severe, off-peak"),IF(L900=1,"B1a Slight, peak","B1b Slight, off-peak"))))</f>
        <v>B2b Severe, off-peak</v>
      </c>
      <c r="L900" s="33">
        <f>IF(AND(Orders!U897&gt;=19,Orders!U897&lt;22),1,0)</f>
        <v>0</v>
      </c>
      <c r="M900" s="33">
        <f>IF(L900=IF(Orders!V897,1,0),1,0)</f>
        <v>1</v>
      </c>
      <c r="N900" s="32" t="str">
        <f>IF(Orders!W897="","None",Orders!W897)</f>
        <v>Heavy</v>
      </c>
      <c r="O900" s="35">
        <f>INT(Orders!E897)</f>
        <v>46269.0</v>
      </c>
      <c r="P900" s="33">
        <f>Orders!U897</f>
        <v>18</v>
      </c>
      <c r="Q900" s="33">
        <f>COUNTIFS(Demand!$A$2:$A$4481,B900,Demand!$B$2:$B$4481,O900,Demand!$C$2:$C$4481,P900)</f>
        <v>1</v>
      </c>
      <c r="R900" s="33">
        <f>IF(Q900=1,SUMIFS(Demand!$E$2:$E$4481,Demand!$A$2:$A$4481,B900,Demand!$B$2:$B$4481,O900,Demand!$C$2:$C$4481,P900),"")</f>
        <v>35</v>
      </c>
      <c r="S900" s="33">
        <f>INDEX(Stores!$G$2:$G$21,MATCH(B900,Stores!$A$2:$A$21,0))</f>
        <v>37</v>
      </c>
      <c r="T900" s="34">
        <f>IF(R900="","",R900/S900)</f>
        <v>0.945945945945946</v>
      </c>
      <c r="U900" s="34">
        <f>IF(E900=1,T900,"")</f>
        <v>0.945945945945946</v>
      </c>
      <c r="V900" s="34">
        <f>IF(AND(E900=1,L900=0),T900,"")</f>
        <v>0.945945945945946</v>
      </c>
      <c r="W900" s="33">
        <f>IF(U900="","",IF(U900&lt;=Breakdowns!$C$5,1,IF(U900&lt;=Breakdowns!$C$6,2,IF(U900&lt;=Breakdowns!$C$7,3,4))))</f>
        <v>2</v>
      </c>
      <c r="X900" s="33">
        <f>IF(V900="","",IF(V900&lt;=Breakdowns!$D$5,1,IF(V900&lt;=Breakdowns!$D$6,2,IF(V900&lt;=Breakdowns!$D$7,3,4))))</f>
        <v>3</v>
      </c>
      <c r="Y900" s="34">
        <f>INDEX(Stores!$F$2:$F$21,MATCH(B900,Stores!$A$2:$A$21,0))</f>
        <v>4.05</v>
      </c>
      <c r="Z900" s="33">
        <f>IF(Y900&gt;Store_Summary!$M$2,1,0)</f>
        <v>0</v>
      </c>
      <c r="AA900" s="33">
        <f>INDEX(Stores!$C$2:$C$21,MATCH(B900,Stores!$A$2:$A$21,0))</f>
        <v>661</v>
      </c>
      <c r="AB900" s="33">
        <f>IF(AA900&lt;180,1,0)</f>
        <v>0</v>
      </c>
      <c r="AC900" s="32" t="str">
        <f>IF(Orders!D897="","",INDEX(Riders!$C$2:$C$81,MATCH(Orders!D897,Riders!$A$2:$A$81,0)))</f>
        <v>Petrol scooter</v>
      </c>
      <c r="AD900" s="33">
        <f>IF(Orders!D897="","",INDEX(Riders!$D$2:$D$81,MATCH(Orders!D897,Riders!$A$2:$A$81,0)))</f>
        <v>44</v>
      </c>
      <c r="AE900" s="33">
        <f>IF(Orders!D897="","",IF(INDEX(Riders!$B$2:$B$81,MATCH(Orders!D897,Riders!$A$2:$A$81,0))=B900,1,0))</f>
        <v>0</v>
      </c>
      <c r="AF900" s="34">
        <f>IF(E900=1,Orders!L897,"")</f>
        <v>2.17</v>
      </c>
      <c r="AG900" s="34">
        <f>IF(E900=1,Orders!P897,"")</f>
        <v>9.1</v>
      </c>
      <c r="AH900" s="34">
        <f>IF(E900=1,Orders!Q897,"")</f>
        <v>14.2</v>
      </c>
      <c r="AI900" s="34">
        <f>IF(E900=1,Orders!M897,"")</f>
        <v>5.5</v>
      </c>
      <c r="AJ900" s="34">
        <f>IF(E900=1,Orders!N897,"")</f>
        <v>1.4</v>
      </c>
      <c r="AK900" s="34">
        <f>IF(E900=1,Orders!O897,"")</f>
        <v>7.3</v>
      </c>
      <c r="AL900" s="33">
        <f>IF(E900=1,IF(ROUND(ABS(AI900+AJ900+AK900-AH900),6)&lt;=0.1,1,0),"")</f>
        <v>1</v>
      </c>
      <c r="AM900" s="36">
        <f>IF(E900=1,AI900/AH900,"")</f>
        <v>0.387323943661972</v>
      </c>
      <c r="AN900" s="36">
        <f>IF(E900=1,AJ900/AH900,"")</f>
        <v>0.0985915492957746</v>
      </c>
      <c r="AO900" s="36">
        <f>IF(E900=1,AK900/AH900,"")</f>
        <v>0.514084507042254</v>
      </c>
      <c r="AP900" s="34">
        <f>IF(E900=1,Orders!Y897,"")</f>
        <v>0.16</v>
      </c>
      <c r="AQ900" s="33">
        <f>IF(Orders!X897,1,0)</f>
        <v>0</v>
      </c>
      <c r="AR900" s="34" t="str">
        <f>IF(AND(E900=1,L900=1),AJ900,"")</f>
        <v/>
      </c>
      <c r="AS900" s="34">
        <f>IF(AND(E900=1,L900=0),AJ900,"")</f>
        <v>1.4</v>
      </c>
      <c r="AT900" s="34" t="str">
        <f>IF(AND(E900=1,L900=1),AI900,"")</f>
        <v/>
      </c>
      <c r="AU900" s="34">
        <f>IF(AND(E900=1,L900=0),AI900,"")</f>
        <v>5.5</v>
      </c>
      <c r="AV900" s="34" t="str">
        <f>IF(AND(E900=1,L900=1),AG900,"")</f>
        <v/>
      </c>
      <c r="AW900" s="34">
        <f>IF(AND(E900=1,L900=0),AG900,"")</f>
        <v>9.1</v>
      </c>
      <c r="AX900" s="34" t="str">
        <f>IF(AND(E900=1,L900=1),AH900,"")</f>
        <v/>
      </c>
      <c r="AY900" s="34">
        <f>IF(AND(E900=1,L900=0),AH900,"")</f>
        <v>14.2</v>
      </c>
      <c r="AZ900" s="34">
        <f>IF(G900=1,F900,"")</f>
        <v>5.1</v>
      </c>
      <c r="BA900" s="34" t="str">
        <f>IF(AND(G900=1,L900=1),F900,"")</f>
        <v/>
      </c>
      <c r="BB900" s="34">
        <f>IF(AND(G900=1,L900=0),F900,"")</f>
        <v>5.1</v>
      </c>
      <c r="BC900" s="33">
        <f>IF(E900=1,IF(Orders!R897&gt;3,1,0),"")</f>
        <v>1</v>
      </c>
      <c r="BD900" s="33">
        <f>IF(E900=1,IF(Orders!R897&gt;7,1,0),"")</f>
        <v>0</v>
      </c>
      <c r="BE900" s="32" t="str">
        <f>IF(E900=1,IF(Orders!L897&lt;=1.5,"Up to 1.5 km",IF(Orders!L897&lt;=3,"1.5–3 km","Over 3 km")),"")</f>
        <v>1.5–3 km</v>
      </c>
      <c r="BF900" s="33">
        <f>IF(E900=1,IF(ABS((Orders!G897-Orders!F897)*1440-Orders!R897)&lt;0.06,1,0),"")</f>
        <v>1</v>
      </c>
      <c r="BG900" s="33">
        <f>IF(ABS((Orders!F897-Orders!E897)*1440-Orders!P897)&lt;0.06,1,0)</f>
        <v>1</v>
      </c>
      <c r="BH900" s="33">
        <f>IF(E900=1,IF(IF(Orders!S897,1,0)=1-G900,1,0),"")</f>
        <v>1</v>
      </c>
      <c r="BI900" s="32" t="str">
        <f>INDEX(Stores!$B$2:$B$21,MATCH(B900,Stores!$A$2:$A$21,0))</f>
        <v>Hyderabad</v>
      </c>
    </row>
    <row r="901">
      <c r="A901" s="32" t="str">
        <f>Orders!A898</f>
        <v>O00897</v>
      </c>
      <c r="B901" s="32" t="str">
        <f>Orders!C898</f>
        <v>S005</v>
      </c>
      <c r="C901" s="32" t="str">
        <f>Orders!B898</f>
        <v>C0156</v>
      </c>
      <c r="D901" s="32" t="str">
        <f>Orders!H898</f>
        <v>Delivered</v>
      </c>
      <c r="E901" s="33">
        <f>IF(Orders!H898="Delivered",1,0)</f>
        <v>1</v>
      </c>
      <c r="F901" s="34">
        <f>IF(E901=1,Orders!R898,"")</f>
        <v>10.5</v>
      </c>
      <c r="G901" s="33">
        <f>IF(E901=1,IF(Orders!R898&gt;0,1,0),"")</f>
        <v>1</v>
      </c>
      <c r="H901" s="33">
        <f>IF(E901=1,IF(Orders!R898&gt;5,1,0),"")</f>
        <v>1</v>
      </c>
      <c r="I901" s="32" t="str">
        <f>IF(E901=1,"",IF(OR(Orders!T898="Rider unavailable",Orders!T898="Item unavailable"),"Company-caused","Unresolved"))</f>
        <v/>
      </c>
      <c r="J901" s="33">
        <f>IF(OR(E901=1,I901="Company-caused"),1,0)</f>
        <v>1</v>
      </c>
      <c r="K901" s="32" t="str">
        <f>IF(E901=0,IF(I901="Company-caused",IF(Orders!T898="Rider unavailable","C1 Rider unavailable","C2 Item unavailable"),"Outside root: unresolved"),IF(G901=0,"A On time",IF(H901=1,IF(L901=1,"B2a Severe, peak","B2b Severe, off-peak"),IF(L901=1,"B1a Slight, peak","B1b Slight, off-peak"))))</f>
        <v>B2b Severe, off-peak</v>
      </c>
      <c r="L901" s="33">
        <f>IF(AND(Orders!U898&gt;=19,Orders!U898&lt;22),1,0)</f>
        <v>0</v>
      </c>
      <c r="M901" s="33">
        <f>IF(L901=IF(Orders!V898,1,0),1,0)</f>
        <v>1</v>
      </c>
      <c r="N901" s="32" t="str">
        <f>IF(Orders!W898="","None",Orders!W898)</f>
        <v>None</v>
      </c>
      <c r="O901" s="35">
        <f>INT(Orders!E898)</f>
        <v>46268.0</v>
      </c>
      <c r="P901" s="33">
        <f>Orders!U898</f>
        <v>23</v>
      </c>
      <c r="Q901" s="33">
        <f>COUNTIFS(Demand!$A$2:$A$4481,B901,Demand!$B$2:$B$4481,O901,Demand!$C$2:$C$4481,P901)</f>
        <v>1</v>
      </c>
      <c r="R901" s="33">
        <f>IF(Q901=1,SUMIFS(Demand!$E$2:$E$4481,Demand!$A$2:$A$4481,B901,Demand!$B$2:$B$4481,O901,Demand!$C$2:$C$4481,P901),"")</f>
        <v>16</v>
      </c>
      <c r="S901" s="33">
        <f>INDEX(Stores!$G$2:$G$21,MATCH(B901,Stores!$A$2:$A$21,0))</f>
        <v>14</v>
      </c>
      <c r="T901" s="34">
        <f>IF(R901="","",R901/S901)</f>
        <v>1.14285714285714</v>
      </c>
      <c r="U901" s="34">
        <f>IF(E901=1,T901,"")</f>
        <v>1.14285714285714</v>
      </c>
      <c r="V901" s="34">
        <f>IF(AND(E901=1,L901=0),T901,"")</f>
        <v>1.14285714285714</v>
      </c>
      <c r="W901" s="33">
        <f>IF(U901="","",IF(U901&lt;=Breakdowns!$C$5,1,IF(U901&lt;=Breakdowns!$C$6,2,IF(U901&lt;=Breakdowns!$C$7,3,4))))</f>
        <v>3</v>
      </c>
      <c r="X901" s="33">
        <f>IF(V901="","",IF(V901&lt;=Breakdowns!$D$5,1,IF(V901&lt;=Breakdowns!$D$6,2,IF(V901&lt;=Breakdowns!$D$7,3,4))))</f>
        <v>4</v>
      </c>
      <c r="Y901" s="34">
        <f>INDEX(Stores!$F$2:$F$21,MATCH(B901,Stores!$A$2:$A$21,0))</f>
        <v>4.89</v>
      </c>
      <c r="Z901" s="33">
        <f>IF(Y901&gt;Store_Summary!$M$2,1,0)</f>
        <v>0</v>
      </c>
      <c r="AA901" s="33">
        <f>INDEX(Stores!$C$2:$C$21,MATCH(B901,Stores!$A$2:$A$21,0))</f>
        <v>138</v>
      </c>
      <c r="AB901" s="33">
        <f>IF(AA901&lt;180,1,0)</f>
        <v>1</v>
      </c>
      <c r="AC901" s="32" t="str">
        <f>IF(Orders!D898="","",INDEX(Riders!$C$2:$C$81,MATCH(Orders!D898,Riders!$A$2:$A$81,0)))</f>
        <v>EV scooter</v>
      </c>
      <c r="AD901" s="33">
        <f>IF(Orders!D898="","",INDEX(Riders!$D$2:$D$81,MATCH(Orders!D898,Riders!$A$2:$A$81,0)))</f>
        <v>3</v>
      </c>
      <c r="AE901" s="33">
        <f>IF(Orders!D898="","",IF(INDEX(Riders!$B$2:$B$81,MATCH(Orders!D898,Riders!$A$2:$A$81,0))=B901,1,0))</f>
        <v>0</v>
      </c>
      <c r="AF901" s="34">
        <f>IF(E901=1,Orders!L898,"")</f>
        <v>1.97</v>
      </c>
      <c r="AG901" s="34">
        <f>IF(E901=1,Orders!P898,"")</f>
        <v>11.2</v>
      </c>
      <c r="AH901" s="34">
        <f>IF(E901=1,Orders!Q898,"")</f>
        <v>21.7</v>
      </c>
      <c r="AI901" s="34">
        <f>IF(E901=1,Orders!M898,"")</f>
        <v>6</v>
      </c>
      <c r="AJ901" s="34">
        <f>IF(E901=1,Orders!N898,"")</f>
        <v>10.3</v>
      </c>
      <c r="AK901" s="34">
        <f>IF(E901=1,Orders!O898,"")</f>
        <v>5.4</v>
      </c>
      <c r="AL901" s="33">
        <f>IF(E901=1,IF(ROUND(ABS(AI901+AJ901+AK901-AH901),6)&lt;=0.1,1,0),"")</f>
        <v>1</v>
      </c>
      <c r="AM901" s="36">
        <f>IF(E901=1,AI901/AH901,"")</f>
        <v>0.276497695852535</v>
      </c>
      <c r="AN901" s="36">
        <f>IF(E901=1,AJ901/AH901,"")</f>
        <v>0.474654377880184</v>
      </c>
      <c r="AO901" s="36">
        <f>IF(E901=1,AK901/AH901,"")</f>
        <v>0.248847926267281</v>
      </c>
      <c r="AP901" s="34">
        <f>IF(E901=1,Orders!Y898,"")</f>
        <v>0.65</v>
      </c>
      <c r="AQ901" s="33">
        <f>IF(Orders!X898,1,0)</f>
        <v>0</v>
      </c>
      <c r="AR901" s="34" t="str">
        <f>IF(AND(E901=1,L901=1),AJ901,"")</f>
        <v/>
      </c>
      <c r="AS901" s="34">
        <f>IF(AND(E901=1,L901=0),AJ901,"")</f>
        <v>10.3</v>
      </c>
      <c r="AT901" s="34" t="str">
        <f>IF(AND(E901=1,L901=1),AI901,"")</f>
        <v/>
      </c>
      <c r="AU901" s="34">
        <f>IF(AND(E901=1,L901=0),AI901,"")</f>
        <v>6</v>
      </c>
      <c r="AV901" s="34" t="str">
        <f>IF(AND(E901=1,L901=1),AG901,"")</f>
        <v/>
      </c>
      <c r="AW901" s="34">
        <f>IF(AND(E901=1,L901=0),AG901,"")</f>
        <v>11.2</v>
      </c>
      <c r="AX901" s="34" t="str">
        <f>IF(AND(E901=1,L901=1),AH901,"")</f>
        <v/>
      </c>
      <c r="AY901" s="34">
        <f>IF(AND(E901=1,L901=0),AH901,"")</f>
        <v>21.7</v>
      </c>
      <c r="AZ901" s="34">
        <f>IF(G901=1,F901,"")</f>
        <v>10.5</v>
      </c>
      <c r="BA901" s="34" t="str">
        <f>IF(AND(G901=1,L901=1),F901,"")</f>
        <v/>
      </c>
      <c r="BB901" s="34">
        <f>IF(AND(G901=1,L901=0),F901,"")</f>
        <v>10.5</v>
      </c>
      <c r="BC901" s="33">
        <f>IF(E901=1,IF(Orders!R898&gt;3,1,0),"")</f>
        <v>1</v>
      </c>
      <c r="BD901" s="33">
        <f>IF(E901=1,IF(Orders!R898&gt;7,1,0),"")</f>
        <v>1</v>
      </c>
      <c r="BE901" s="32" t="str">
        <f>IF(E901=1,IF(Orders!L898&lt;=1.5,"Up to 1.5 km",IF(Orders!L898&lt;=3,"1.5–3 km","Over 3 km")),"")</f>
        <v>1.5–3 km</v>
      </c>
      <c r="BF901" s="33">
        <f>IF(E901=1,IF(ABS((Orders!G898-Orders!F898)*1440-Orders!R898)&lt;0.06,1,0),"")</f>
        <v>1</v>
      </c>
      <c r="BG901" s="33">
        <f>IF(ABS((Orders!F898-Orders!E898)*1440-Orders!P898)&lt;0.06,1,0)</f>
        <v>1</v>
      </c>
      <c r="BH901" s="33">
        <f>IF(E901=1,IF(IF(Orders!S898,1,0)=1-G901,1,0),"")</f>
        <v>1</v>
      </c>
      <c r="BI901" s="32" t="str">
        <f>INDEX(Stores!$B$2:$B$21,MATCH(B901,Stores!$A$2:$A$21,0))</f>
        <v>Delhi</v>
      </c>
    </row>
    <row r="902">
      <c r="A902" s="32" t="str">
        <f>Orders!A899</f>
        <v>O00898</v>
      </c>
      <c r="B902" s="32" t="str">
        <f>Orders!C899</f>
        <v>S015</v>
      </c>
      <c r="C902" s="32" t="str">
        <f>Orders!B899</f>
        <v>C0015</v>
      </c>
      <c r="D902" s="32" t="str">
        <f>Orders!H899</f>
        <v>Delivered</v>
      </c>
      <c r="E902" s="33">
        <f>IF(Orders!H899="Delivered",1,0)</f>
        <v>1</v>
      </c>
      <c r="F902" s="34">
        <f>IF(E902=1,Orders!R899,"")</f>
        <v>4.4</v>
      </c>
      <c r="G902" s="33">
        <f>IF(E902=1,IF(Orders!R899&gt;0,1,0),"")</f>
        <v>1</v>
      </c>
      <c r="H902" s="33">
        <f>IF(E902=1,IF(Orders!R899&gt;5,1,0),"")</f>
        <v>0</v>
      </c>
      <c r="I902" s="32" t="str">
        <f>IF(E902=1,"",IF(OR(Orders!T899="Rider unavailable",Orders!T899="Item unavailable"),"Company-caused","Unresolved"))</f>
        <v/>
      </c>
      <c r="J902" s="33">
        <f>IF(OR(E902=1,I902="Company-caused"),1,0)</f>
        <v>1</v>
      </c>
      <c r="K902" s="32" t="str">
        <f>IF(E902=0,IF(I902="Company-caused",IF(Orders!T899="Rider unavailable","C1 Rider unavailable","C2 Item unavailable"),"Outside root: unresolved"),IF(G902=0,"A On time",IF(H902=1,IF(L902=1,"B2a Severe, peak","B2b Severe, off-peak"),IF(L902=1,"B1a Slight, peak","B1b Slight, off-peak"))))</f>
        <v>B1b Slight, off-peak</v>
      </c>
      <c r="L902" s="33">
        <f>IF(AND(Orders!U899&gt;=19,Orders!U899&lt;22),1,0)</f>
        <v>0</v>
      </c>
      <c r="M902" s="33">
        <f>IF(L902=IF(Orders!V899,1,0),1,0)</f>
        <v>1</v>
      </c>
      <c r="N902" s="32" t="str">
        <f>IF(Orders!W899="","None",Orders!W899)</f>
        <v>None</v>
      </c>
      <c r="O902" s="35">
        <f>INT(Orders!E899)</f>
        <v>46268.0</v>
      </c>
      <c r="P902" s="33">
        <f>Orders!U899</f>
        <v>17</v>
      </c>
      <c r="Q902" s="33">
        <f>COUNTIFS(Demand!$A$2:$A$4481,B902,Demand!$B$2:$B$4481,O902,Demand!$C$2:$C$4481,P902)</f>
        <v>1</v>
      </c>
      <c r="R902" s="33">
        <f>IF(Q902=1,SUMIFS(Demand!$E$2:$E$4481,Demand!$A$2:$A$4481,B902,Demand!$B$2:$B$4481,O902,Demand!$C$2:$C$4481,P902),"")</f>
        <v>24</v>
      </c>
      <c r="S902" s="33">
        <f>INDEX(Stores!$G$2:$G$21,MATCH(B902,Stores!$A$2:$A$21,0))</f>
        <v>23</v>
      </c>
      <c r="T902" s="34">
        <f>IF(R902="","",R902/S902)</f>
        <v>1.04347826086957</v>
      </c>
      <c r="U902" s="34">
        <f>IF(E902=1,T902,"")</f>
        <v>1.04347826086957</v>
      </c>
      <c r="V902" s="34">
        <f>IF(AND(E902=1,L902=0),T902,"")</f>
        <v>1.04347826086957</v>
      </c>
      <c r="W902" s="33">
        <f>IF(U902="","",IF(U902&lt;=Breakdowns!$C$5,1,IF(U902&lt;=Breakdowns!$C$6,2,IF(U902&lt;=Breakdowns!$C$7,3,4))))</f>
        <v>3</v>
      </c>
      <c r="X902" s="33">
        <f>IF(V902="","",IF(V902&lt;=Breakdowns!$D$5,1,IF(V902&lt;=Breakdowns!$D$6,2,IF(V902&lt;=Breakdowns!$D$7,3,4))))</f>
        <v>3</v>
      </c>
      <c r="Y902" s="34">
        <f>INDEX(Stores!$F$2:$F$21,MATCH(B902,Stores!$A$2:$A$21,0))</f>
        <v>4.66</v>
      </c>
      <c r="Z902" s="33">
        <f>IF(Y902&gt;Store_Summary!$M$2,1,0)</f>
        <v>0</v>
      </c>
      <c r="AA902" s="33">
        <f>INDEX(Stores!$C$2:$C$21,MATCH(B902,Stores!$A$2:$A$21,0))</f>
        <v>204</v>
      </c>
      <c r="AB902" s="33">
        <f>IF(AA902&lt;180,1,0)</f>
        <v>0</v>
      </c>
      <c r="AC902" s="32" t="str">
        <f>IF(Orders!D899="","",INDEX(Riders!$C$2:$C$81,MATCH(Orders!D899,Riders!$A$2:$A$81,0)))</f>
        <v>Petrol scooter</v>
      </c>
      <c r="AD902" s="33">
        <f>IF(Orders!D899="","",INDEX(Riders!$D$2:$D$81,MATCH(Orders!D899,Riders!$A$2:$A$81,0)))</f>
        <v>35</v>
      </c>
      <c r="AE902" s="33">
        <f>IF(Orders!D899="","",IF(INDEX(Riders!$B$2:$B$81,MATCH(Orders!D899,Riders!$A$2:$A$81,0))=B902,1,0))</f>
        <v>0</v>
      </c>
      <c r="AF902" s="34">
        <f>IF(E902=1,Orders!L899,"")</f>
        <v>1.79</v>
      </c>
      <c r="AG902" s="34">
        <f>IF(E902=1,Orders!P899,"")</f>
        <v>11.5</v>
      </c>
      <c r="AH902" s="34">
        <f>IF(E902=1,Orders!Q899,"")</f>
        <v>15.9</v>
      </c>
      <c r="AI902" s="34">
        <f>IF(E902=1,Orders!M899,"")</f>
        <v>5.4</v>
      </c>
      <c r="AJ902" s="34">
        <f>IF(E902=1,Orders!N899,"")</f>
        <v>5.3</v>
      </c>
      <c r="AK902" s="34">
        <f>IF(E902=1,Orders!O899,"")</f>
        <v>5.2</v>
      </c>
      <c r="AL902" s="33">
        <f>IF(E902=1,IF(ROUND(ABS(AI902+AJ902+AK902-AH902),6)&lt;=0.1,1,0),"")</f>
        <v>1</v>
      </c>
      <c r="AM902" s="36">
        <f>IF(E902=1,AI902/AH902,"")</f>
        <v>0.339622641509434</v>
      </c>
      <c r="AN902" s="36">
        <f>IF(E902=1,AJ902/AH902,"")</f>
        <v>0.333333333333333</v>
      </c>
      <c r="AO902" s="36">
        <f>IF(E902=1,AK902/AH902,"")</f>
        <v>0.327044025157233</v>
      </c>
      <c r="AP902" s="34">
        <f>IF(E902=1,Orders!Y899,"")</f>
        <v>0.66</v>
      </c>
      <c r="AQ902" s="33">
        <f>IF(Orders!X899,1,0)</f>
        <v>0</v>
      </c>
      <c r="AR902" s="34" t="str">
        <f>IF(AND(E902=1,L902=1),AJ902,"")</f>
        <v/>
      </c>
      <c r="AS902" s="34">
        <f>IF(AND(E902=1,L902=0),AJ902,"")</f>
        <v>5.3</v>
      </c>
      <c r="AT902" s="34" t="str">
        <f>IF(AND(E902=1,L902=1),AI902,"")</f>
        <v/>
      </c>
      <c r="AU902" s="34">
        <f>IF(AND(E902=1,L902=0),AI902,"")</f>
        <v>5.4</v>
      </c>
      <c r="AV902" s="34" t="str">
        <f>IF(AND(E902=1,L902=1),AG902,"")</f>
        <v/>
      </c>
      <c r="AW902" s="34">
        <f>IF(AND(E902=1,L902=0),AG902,"")</f>
        <v>11.5</v>
      </c>
      <c r="AX902" s="34" t="str">
        <f>IF(AND(E902=1,L902=1),AH902,"")</f>
        <v/>
      </c>
      <c r="AY902" s="34">
        <f>IF(AND(E902=1,L902=0),AH902,"")</f>
        <v>15.9</v>
      </c>
      <c r="AZ902" s="34">
        <f>IF(G902=1,F902,"")</f>
        <v>4.4</v>
      </c>
      <c r="BA902" s="34" t="str">
        <f>IF(AND(G902=1,L902=1),F902,"")</f>
        <v/>
      </c>
      <c r="BB902" s="34">
        <f>IF(AND(G902=1,L902=0),F902,"")</f>
        <v>4.4</v>
      </c>
      <c r="BC902" s="33">
        <f>IF(E902=1,IF(Orders!R899&gt;3,1,0),"")</f>
        <v>1</v>
      </c>
      <c r="BD902" s="33">
        <f>IF(E902=1,IF(Orders!R899&gt;7,1,0),"")</f>
        <v>0</v>
      </c>
      <c r="BE902" s="32" t="str">
        <f>IF(E902=1,IF(Orders!L899&lt;=1.5,"Up to 1.5 km",IF(Orders!L899&lt;=3,"1.5–3 km","Over 3 km")),"")</f>
        <v>1.5–3 km</v>
      </c>
      <c r="BF902" s="33">
        <f>IF(E902=1,IF(ABS((Orders!G899-Orders!F899)*1440-Orders!R899)&lt;0.06,1,0),"")</f>
        <v>1</v>
      </c>
      <c r="BG902" s="33">
        <f>IF(ABS((Orders!F899-Orders!E899)*1440-Orders!P899)&lt;0.06,1,0)</f>
        <v>1</v>
      </c>
      <c r="BH902" s="33">
        <f>IF(E902=1,IF(IF(Orders!S899,1,0)=1-G902,1,0),"")</f>
        <v>1</v>
      </c>
      <c r="BI902" s="32" t="str">
        <f>INDEX(Stores!$B$2:$B$21,MATCH(B902,Stores!$A$2:$A$21,0))</f>
        <v>Delhi</v>
      </c>
    </row>
    <row r="903">
      <c r="A903" s="32" t="str">
        <f>Orders!A900</f>
        <v>O00899</v>
      </c>
      <c r="B903" s="32" t="str">
        <f>Orders!C900</f>
        <v>S002</v>
      </c>
      <c r="C903" s="32" t="str">
        <f>Orders!B900</f>
        <v>C0011</v>
      </c>
      <c r="D903" s="32" t="str">
        <f>Orders!H900</f>
        <v>Delivered</v>
      </c>
      <c r="E903" s="33">
        <f>IF(Orders!H900="Delivered",1,0)</f>
        <v>1</v>
      </c>
      <c r="F903" s="34">
        <f>IF(E903=1,Orders!R900,"")</f>
        <v>-0.9</v>
      </c>
      <c r="G903" s="33">
        <f>IF(E903=1,IF(Orders!R900&gt;0,1,0),"")</f>
        <v>0</v>
      </c>
      <c r="H903" s="33">
        <f>IF(E903=1,IF(Orders!R900&gt;5,1,0),"")</f>
        <v>0</v>
      </c>
      <c r="I903" s="32" t="str">
        <f>IF(E903=1,"",IF(OR(Orders!T900="Rider unavailable",Orders!T900="Item unavailable"),"Company-caused","Unresolved"))</f>
        <v/>
      </c>
      <c r="J903" s="33">
        <f>IF(OR(E903=1,I903="Company-caused"),1,0)</f>
        <v>1</v>
      </c>
      <c r="K903" s="32" t="str">
        <f>IF(E903=0,IF(I903="Company-caused",IF(Orders!T900="Rider unavailable","C1 Rider unavailable","C2 Item unavailable"),"Outside root: unresolved"),IF(G903=0,"A On time",IF(H903=1,IF(L903=1,"B2a Severe, peak","B2b Severe, off-peak"),IF(L903=1,"B1a Slight, peak","B1b Slight, off-peak"))))</f>
        <v>A On time</v>
      </c>
      <c r="L903" s="33">
        <f>IF(AND(Orders!U900&gt;=19,Orders!U900&lt;22),1,0)</f>
        <v>0</v>
      </c>
      <c r="M903" s="33">
        <f>IF(L903=IF(Orders!V900,1,0),1,0)</f>
        <v>1</v>
      </c>
      <c r="N903" s="32" t="str">
        <f>IF(Orders!W900="","None",Orders!W900)</f>
        <v>Light</v>
      </c>
      <c r="O903" s="35">
        <f>INT(Orders!E900)</f>
        <v>46272.0</v>
      </c>
      <c r="P903" s="33">
        <f>Orders!U900</f>
        <v>10</v>
      </c>
      <c r="Q903" s="33">
        <f>COUNTIFS(Demand!$A$2:$A$4481,B903,Demand!$B$2:$B$4481,O903,Demand!$C$2:$C$4481,P903)</f>
        <v>1</v>
      </c>
      <c r="R903" s="33">
        <f>IF(Q903=1,SUMIFS(Demand!$E$2:$E$4481,Demand!$A$2:$A$4481,B903,Demand!$B$2:$B$4481,O903,Demand!$C$2:$C$4481,P903),"")</f>
        <v>18</v>
      </c>
      <c r="S903" s="33">
        <f>INDEX(Stores!$G$2:$G$21,MATCH(B903,Stores!$A$2:$A$21,0))</f>
        <v>33</v>
      </c>
      <c r="T903" s="34">
        <f>IF(R903="","",R903/S903)</f>
        <v>0.545454545454545</v>
      </c>
      <c r="U903" s="34">
        <f>IF(E903=1,T903,"")</f>
        <v>0.545454545454545</v>
      </c>
      <c r="V903" s="34">
        <f>IF(AND(E903=1,L903=0),T903,"")</f>
        <v>0.545454545454545</v>
      </c>
      <c r="W903" s="33">
        <f>IF(U903="","",IF(U903&lt;=Breakdowns!$C$5,1,IF(U903&lt;=Breakdowns!$C$6,2,IF(U903&lt;=Breakdowns!$C$7,3,4))))</f>
        <v>1</v>
      </c>
      <c r="X903" s="33">
        <f>IF(V903="","",IF(V903&lt;=Breakdowns!$D$5,1,IF(V903&lt;=Breakdowns!$D$6,2,IF(V903&lt;=Breakdowns!$D$7,3,4))))</f>
        <v>1</v>
      </c>
      <c r="Y903" s="34">
        <f>INDEX(Stores!$F$2:$F$21,MATCH(B903,Stores!$A$2:$A$21,0))</f>
        <v>2.39</v>
      </c>
      <c r="Z903" s="33">
        <f>IF(Y903&gt;Store_Summary!$M$2,1,0)</f>
        <v>0</v>
      </c>
      <c r="AA903" s="33">
        <f>INDEX(Stores!$C$2:$C$21,MATCH(B903,Stores!$A$2:$A$21,0))</f>
        <v>470</v>
      </c>
      <c r="AB903" s="33">
        <f>IF(AA903&lt;180,1,0)</f>
        <v>0</v>
      </c>
      <c r="AC903" s="32" t="str">
        <f>IF(Orders!D900="","",INDEX(Riders!$C$2:$C$81,MATCH(Orders!D900,Riders!$A$2:$A$81,0)))</f>
        <v>EV scooter</v>
      </c>
      <c r="AD903" s="33">
        <f>IF(Orders!D900="","",INDEX(Riders!$D$2:$D$81,MATCH(Orders!D900,Riders!$A$2:$A$81,0)))</f>
        <v>11</v>
      </c>
      <c r="AE903" s="33">
        <f>IF(Orders!D900="","",IF(INDEX(Riders!$B$2:$B$81,MATCH(Orders!D900,Riders!$A$2:$A$81,0))=B903,1,0))</f>
        <v>0</v>
      </c>
      <c r="AF903" s="34">
        <f>IF(E903=1,Orders!L900,"")</f>
        <v>2.57</v>
      </c>
      <c r="AG903" s="34">
        <f>IF(E903=1,Orders!P900,"")</f>
        <v>10.3</v>
      </c>
      <c r="AH903" s="34">
        <f>IF(E903=1,Orders!Q900,"")</f>
        <v>9.4</v>
      </c>
      <c r="AI903" s="34">
        <f>IF(E903=1,Orders!M900,"")</f>
        <v>2.3</v>
      </c>
      <c r="AJ903" s="34">
        <f>IF(E903=1,Orders!N900,"")</f>
        <v>1.6</v>
      </c>
      <c r="AK903" s="34">
        <f>IF(E903=1,Orders!O900,"")</f>
        <v>5.5</v>
      </c>
      <c r="AL903" s="33">
        <f>IF(E903=1,IF(ROUND(ABS(AI903+AJ903+AK903-AH903),6)&lt;=0.1,1,0),"")</f>
        <v>1</v>
      </c>
      <c r="AM903" s="36">
        <f>IF(E903=1,AI903/AH903,"")</f>
        <v>0.24468085106383</v>
      </c>
      <c r="AN903" s="36">
        <f>IF(E903=1,AJ903/AH903,"")</f>
        <v>0.170212765957447</v>
      </c>
      <c r="AO903" s="36">
        <f>IF(E903=1,AK903/AH903,"")</f>
        <v>0.585106382978723</v>
      </c>
      <c r="AP903" s="34">
        <f>IF(E903=1,Orders!Y900,"")</f>
        <v>0.53</v>
      </c>
      <c r="AQ903" s="33">
        <f>IF(Orders!X900,1,0)</f>
        <v>0</v>
      </c>
      <c r="AR903" s="34" t="str">
        <f>IF(AND(E903=1,L903=1),AJ903,"")</f>
        <v/>
      </c>
      <c r="AS903" s="34">
        <f>IF(AND(E903=1,L903=0),AJ903,"")</f>
        <v>1.6</v>
      </c>
      <c r="AT903" s="34" t="str">
        <f>IF(AND(E903=1,L903=1),AI903,"")</f>
        <v/>
      </c>
      <c r="AU903" s="34">
        <f>IF(AND(E903=1,L903=0),AI903,"")</f>
        <v>2.3</v>
      </c>
      <c r="AV903" s="34" t="str">
        <f>IF(AND(E903=1,L903=1),AG903,"")</f>
        <v/>
      </c>
      <c r="AW903" s="34">
        <f>IF(AND(E903=1,L903=0),AG903,"")</f>
        <v>10.3</v>
      </c>
      <c r="AX903" s="34" t="str">
        <f>IF(AND(E903=1,L903=1),AH903,"")</f>
        <v/>
      </c>
      <c r="AY903" s="34">
        <f>IF(AND(E903=1,L903=0),AH903,"")</f>
        <v>9.4</v>
      </c>
      <c r="AZ903" s="34" t="str">
        <f>IF(G903=1,F903,"")</f>
        <v/>
      </c>
      <c r="BA903" s="34" t="str">
        <f>IF(AND(G903=1,L903=1),F903,"")</f>
        <v/>
      </c>
      <c r="BB903" s="34" t="str">
        <f>IF(AND(G903=1,L903=0),F903,"")</f>
        <v/>
      </c>
      <c r="BC903" s="33">
        <f>IF(E903=1,IF(Orders!R900&gt;3,1,0),"")</f>
        <v>0</v>
      </c>
      <c r="BD903" s="33">
        <f>IF(E903=1,IF(Orders!R900&gt;7,1,0),"")</f>
        <v>0</v>
      </c>
      <c r="BE903" s="32" t="str">
        <f>IF(E903=1,IF(Orders!L900&lt;=1.5,"Up to 1.5 km",IF(Orders!L900&lt;=3,"1.5–3 km","Over 3 km")),"")</f>
        <v>1.5–3 km</v>
      </c>
      <c r="BF903" s="33">
        <f>IF(E903=1,IF(ABS((Orders!G900-Orders!F900)*1440-Orders!R900)&lt;0.06,1,0),"")</f>
        <v>1</v>
      </c>
      <c r="BG903" s="33">
        <f>IF(ABS((Orders!F900-Orders!E900)*1440-Orders!P900)&lt;0.06,1,0)</f>
        <v>1</v>
      </c>
      <c r="BH903" s="33">
        <f>IF(E903=1,IF(IF(Orders!S900,1,0)=1-G903,1,0),"")</f>
        <v>1</v>
      </c>
      <c r="BI903" s="32" t="str">
        <f>INDEX(Stores!$B$2:$B$21,MATCH(B903,Stores!$A$2:$A$21,0))</f>
        <v>Hyderabad</v>
      </c>
    </row>
    <row r="904">
      <c r="A904" s="32" t="str">
        <f>Orders!A901</f>
        <v>O00900</v>
      </c>
      <c r="B904" s="32" t="str">
        <f>Orders!C901</f>
        <v>S018</v>
      </c>
      <c r="C904" s="32" t="str">
        <f>Orders!B901</f>
        <v>C0047</v>
      </c>
      <c r="D904" s="32" t="str">
        <f>Orders!H901</f>
        <v>Delivered</v>
      </c>
      <c r="E904" s="33">
        <f>IF(Orders!H901="Delivered",1,0)</f>
        <v>1</v>
      </c>
      <c r="F904" s="34">
        <f>IF(E904=1,Orders!R901,"")</f>
        <v>-0.6</v>
      </c>
      <c r="G904" s="33">
        <f>IF(E904=1,IF(Orders!R901&gt;0,1,0),"")</f>
        <v>0</v>
      </c>
      <c r="H904" s="33">
        <f>IF(E904=1,IF(Orders!R901&gt;5,1,0),"")</f>
        <v>0</v>
      </c>
      <c r="I904" s="32" t="str">
        <f>IF(E904=1,"",IF(OR(Orders!T901="Rider unavailable",Orders!T901="Item unavailable"),"Company-caused","Unresolved"))</f>
        <v/>
      </c>
      <c r="J904" s="33">
        <f>IF(OR(E904=1,I904="Company-caused"),1,0)</f>
        <v>1</v>
      </c>
      <c r="K904" s="32" t="str">
        <f>IF(E904=0,IF(I904="Company-caused",IF(Orders!T901="Rider unavailable","C1 Rider unavailable","C2 Item unavailable"),"Outside root: unresolved"),IF(G904=0,"A On time",IF(H904=1,IF(L904=1,"B2a Severe, peak","B2b Severe, off-peak"),IF(L904=1,"B1a Slight, peak","B1b Slight, off-peak"))))</f>
        <v>A On time</v>
      </c>
      <c r="L904" s="33">
        <f>IF(AND(Orders!U901&gt;=19,Orders!U901&lt;22),1,0)</f>
        <v>0</v>
      </c>
      <c r="M904" s="33">
        <f>IF(L904=IF(Orders!V901,1,0),1,0)</f>
        <v>1</v>
      </c>
      <c r="N904" s="32" t="str">
        <f>IF(Orders!W901="","None",Orders!W901)</f>
        <v>None</v>
      </c>
      <c r="O904" s="35">
        <f>INT(Orders!E901)</f>
        <v>46276.0</v>
      </c>
      <c r="P904" s="33">
        <f>Orders!U901</f>
        <v>10</v>
      </c>
      <c r="Q904" s="33">
        <f>COUNTIFS(Demand!$A$2:$A$4481,B904,Demand!$B$2:$B$4481,O904,Demand!$C$2:$C$4481,P904)</f>
        <v>1</v>
      </c>
      <c r="R904" s="33">
        <f>IF(Q904=1,SUMIFS(Demand!$E$2:$E$4481,Demand!$A$2:$A$4481,B904,Demand!$B$2:$B$4481,O904,Demand!$C$2:$C$4481,P904),"")</f>
        <v>15</v>
      </c>
      <c r="S904" s="33">
        <f>INDEX(Stores!$G$2:$G$21,MATCH(B904,Stores!$A$2:$A$21,0))</f>
        <v>20</v>
      </c>
      <c r="T904" s="34">
        <f>IF(R904="","",R904/S904)</f>
        <v>0.75</v>
      </c>
      <c r="U904" s="34">
        <f>IF(E904=1,T904,"")</f>
        <v>0.75</v>
      </c>
      <c r="V904" s="34">
        <f>IF(AND(E904=1,L904=0),T904,"")</f>
        <v>0.75</v>
      </c>
      <c r="W904" s="33">
        <f>IF(U904="","",IF(U904&lt;=Breakdowns!$C$5,1,IF(U904&lt;=Breakdowns!$C$6,2,IF(U904&lt;=Breakdowns!$C$7,3,4))))</f>
        <v>1</v>
      </c>
      <c r="X904" s="33">
        <f>IF(V904="","",IF(V904&lt;=Breakdowns!$D$5,1,IF(V904&lt;=Breakdowns!$D$6,2,IF(V904&lt;=Breakdowns!$D$7,3,4))))</f>
        <v>1</v>
      </c>
      <c r="Y904" s="34">
        <f>INDEX(Stores!$F$2:$F$21,MATCH(B904,Stores!$A$2:$A$21,0))</f>
        <v>5.31</v>
      </c>
      <c r="Z904" s="33">
        <f>IF(Y904&gt;Store_Summary!$M$2,1,0)</f>
        <v>1</v>
      </c>
      <c r="AA904" s="33">
        <f>INDEX(Stores!$C$2:$C$21,MATCH(B904,Stores!$A$2:$A$21,0))</f>
        <v>214</v>
      </c>
      <c r="AB904" s="33">
        <f>IF(AA904&lt;180,1,0)</f>
        <v>0</v>
      </c>
      <c r="AC904" s="32" t="str">
        <f>IF(Orders!D901="","",INDEX(Riders!$C$2:$C$81,MATCH(Orders!D901,Riders!$A$2:$A$81,0)))</f>
        <v>EV scooter</v>
      </c>
      <c r="AD904" s="33">
        <f>IF(Orders!D901="","",INDEX(Riders!$D$2:$D$81,MATCH(Orders!D901,Riders!$A$2:$A$81,0)))</f>
        <v>21</v>
      </c>
      <c r="AE904" s="33">
        <f>IF(Orders!D901="","",IF(INDEX(Riders!$B$2:$B$81,MATCH(Orders!D901,Riders!$A$2:$A$81,0))=B904,1,0))</f>
        <v>0</v>
      </c>
      <c r="AF904" s="34">
        <f>IF(E904=1,Orders!L901,"")</f>
        <v>1.72</v>
      </c>
      <c r="AG904" s="34">
        <f>IF(E904=1,Orders!P901,"")</f>
        <v>9.5</v>
      </c>
      <c r="AH904" s="34">
        <f>IF(E904=1,Orders!Q901,"")</f>
        <v>8.9</v>
      </c>
      <c r="AI904" s="34">
        <f>IF(E904=1,Orders!M901,"")</f>
        <v>3.2</v>
      </c>
      <c r="AJ904" s="34">
        <f>IF(E904=1,Orders!N901,"")</f>
        <v>3.6</v>
      </c>
      <c r="AK904" s="34">
        <f>IF(E904=1,Orders!O901,"")</f>
        <v>2.1</v>
      </c>
      <c r="AL904" s="33">
        <f>IF(E904=1,IF(ROUND(ABS(AI904+AJ904+AK904-AH904),6)&lt;=0.1,1,0),"")</f>
        <v>1</v>
      </c>
      <c r="AM904" s="36">
        <f>IF(E904=1,AI904/AH904,"")</f>
        <v>0.359550561797753</v>
      </c>
      <c r="AN904" s="36">
        <f>IF(E904=1,AJ904/AH904,"")</f>
        <v>0.404494382022472</v>
      </c>
      <c r="AO904" s="36">
        <f>IF(E904=1,AK904/AH904,"")</f>
        <v>0.235955056179775</v>
      </c>
      <c r="AP904" s="34">
        <f>IF(E904=1,Orders!Y901,"")</f>
        <v>0.32</v>
      </c>
      <c r="AQ904" s="33">
        <f>IF(Orders!X901,1,0)</f>
        <v>0</v>
      </c>
      <c r="AR904" s="34" t="str">
        <f>IF(AND(E904=1,L904=1),AJ904,"")</f>
        <v/>
      </c>
      <c r="AS904" s="34">
        <f>IF(AND(E904=1,L904=0),AJ904,"")</f>
        <v>3.6</v>
      </c>
      <c r="AT904" s="34" t="str">
        <f>IF(AND(E904=1,L904=1),AI904,"")</f>
        <v/>
      </c>
      <c r="AU904" s="34">
        <f>IF(AND(E904=1,L904=0),AI904,"")</f>
        <v>3.2</v>
      </c>
      <c r="AV904" s="34" t="str">
        <f>IF(AND(E904=1,L904=1),AG904,"")</f>
        <v/>
      </c>
      <c r="AW904" s="34">
        <f>IF(AND(E904=1,L904=0),AG904,"")</f>
        <v>9.5</v>
      </c>
      <c r="AX904" s="34" t="str">
        <f>IF(AND(E904=1,L904=1),AH904,"")</f>
        <v/>
      </c>
      <c r="AY904" s="34">
        <f>IF(AND(E904=1,L904=0),AH904,"")</f>
        <v>8.9</v>
      </c>
      <c r="AZ904" s="34" t="str">
        <f>IF(G904=1,F904,"")</f>
        <v/>
      </c>
      <c r="BA904" s="34" t="str">
        <f>IF(AND(G904=1,L904=1),F904,"")</f>
        <v/>
      </c>
      <c r="BB904" s="34" t="str">
        <f>IF(AND(G904=1,L904=0),F904,"")</f>
        <v/>
      </c>
      <c r="BC904" s="33">
        <f>IF(E904=1,IF(Orders!R901&gt;3,1,0),"")</f>
        <v>0</v>
      </c>
      <c r="BD904" s="33">
        <f>IF(E904=1,IF(Orders!R901&gt;7,1,0),"")</f>
        <v>0</v>
      </c>
      <c r="BE904" s="32" t="str">
        <f>IF(E904=1,IF(Orders!L901&lt;=1.5,"Up to 1.5 km",IF(Orders!L901&lt;=3,"1.5–3 km","Over 3 km")),"")</f>
        <v>1.5–3 km</v>
      </c>
      <c r="BF904" s="33">
        <f>IF(E904=1,IF(ABS((Orders!G901-Orders!F901)*1440-Orders!R901)&lt;0.06,1,0),"")</f>
        <v>1</v>
      </c>
      <c r="BG904" s="33">
        <f>IF(ABS((Orders!F901-Orders!E901)*1440-Orders!P901)&lt;0.06,1,0)</f>
        <v>1</v>
      </c>
      <c r="BH904" s="33">
        <f>IF(E904=1,IF(IF(Orders!S901,1,0)=1-G904,1,0),"")</f>
        <v>1</v>
      </c>
      <c r="BI904" s="32" t="str">
        <f>INDEX(Stores!$B$2:$B$21,MATCH(B904,Stores!$A$2:$A$21,0))</f>
        <v>Mumbai</v>
      </c>
    </row>
    <row r="905">
      <c r="A905" s="32" t="str">
        <f>Orders!A902</f>
        <v>O00901</v>
      </c>
      <c r="B905" s="32" t="str">
        <f>Orders!C902</f>
        <v>S011</v>
      </c>
      <c r="C905" s="32" t="str">
        <f>Orders!B902</f>
        <v>C0142</v>
      </c>
      <c r="D905" s="32" t="str">
        <f>Orders!H902</f>
        <v>Delivered</v>
      </c>
      <c r="E905" s="33">
        <f>IF(Orders!H902="Delivered",1,0)</f>
        <v>1</v>
      </c>
      <c r="F905" s="34">
        <f>IF(E905=1,Orders!R902,"")</f>
        <v>-0.8</v>
      </c>
      <c r="G905" s="33">
        <f>IF(E905=1,IF(Orders!R902&gt;0,1,0),"")</f>
        <v>0</v>
      </c>
      <c r="H905" s="33">
        <f>IF(E905=1,IF(Orders!R902&gt;5,1,0),"")</f>
        <v>0</v>
      </c>
      <c r="I905" s="32" t="str">
        <f>IF(E905=1,"",IF(OR(Orders!T902="Rider unavailable",Orders!T902="Item unavailable"),"Company-caused","Unresolved"))</f>
        <v/>
      </c>
      <c r="J905" s="33">
        <f>IF(OR(E905=1,I905="Company-caused"),1,0)</f>
        <v>1</v>
      </c>
      <c r="K905" s="32" t="str">
        <f>IF(E905=0,IF(I905="Company-caused",IF(Orders!T902="Rider unavailable","C1 Rider unavailable","C2 Item unavailable"),"Outside root: unresolved"),IF(G905=0,"A On time",IF(H905=1,IF(L905=1,"B2a Severe, peak","B2b Severe, off-peak"),IF(L905=1,"B1a Slight, peak","B1b Slight, off-peak"))))</f>
        <v>A On time</v>
      </c>
      <c r="L905" s="33">
        <f>IF(AND(Orders!U902&gt;=19,Orders!U902&lt;22),1,0)</f>
        <v>0</v>
      </c>
      <c r="M905" s="33">
        <f>IF(L905=IF(Orders!V902,1,0),1,0)</f>
        <v>1</v>
      </c>
      <c r="N905" s="32" t="str">
        <f>IF(Orders!W902="","None",Orders!W902)</f>
        <v>None</v>
      </c>
      <c r="O905" s="35">
        <f>INT(Orders!E902)</f>
        <v>46270.0</v>
      </c>
      <c r="P905" s="33">
        <f>Orders!U902</f>
        <v>10</v>
      </c>
      <c r="Q905" s="33">
        <f>COUNTIFS(Demand!$A$2:$A$4481,B905,Demand!$B$2:$B$4481,O905,Demand!$C$2:$C$4481,P905)</f>
        <v>1</v>
      </c>
      <c r="R905" s="33">
        <f>IF(Q905=1,SUMIFS(Demand!$E$2:$E$4481,Demand!$A$2:$A$4481,B905,Demand!$B$2:$B$4481,O905,Demand!$C$2:$C$4481,P905),"")</f>
        <v>19</v>
      </c>
      <c r="S905" s="33">
        <f>INDEX(Stores!$G$2:$G$21,MATCH(B905,Stores!$A$2:$A$21,0))</f>
        <v>31</v>
      </c>
      <c r="T905" s="34">
        <f>IF(R905="","",R905/S905)</f>
        <v>0.612903225806452</v>
      </c>
      <c r="U905" s="34">
        <f>IF(E905=1,T905,"")</f>
        <v>0.612903225806452</v>
      </c>
      <c r="V905" s="34">
        <f>IF(AND(E905=1,L905=0),T905,"")</f>
        <v>0.612903225806452</v>
      </c>
      <c r="W905" s="33">
        <f>IF(U905="","",IF(U905&lt;=Breakdowns!$C$5,1,IF(U905&lt;=Breakdowns!$C$6,2,IF(U905&lt;=Breakdowns!$C$7,3,4))))</f>
        <v>1</v>
      </c>
      <c r="X905" s="33">
        <f>IF(V905="","",IF(V905&lt;=Breakdowns!$D$5,1,IF(V905&lt;=Breakdowns!$D$6,2,IF(V905&lt;=Breakdowns!$D$7,3,4))))</f>
        <v>1</v>
      </c>
      <c r="Y905" s="34">
        <f>INDEX(Stores!$F$2:$F$21,MATCH(B905,Stores!$A$2:$A$21,0))</f>
        <v>5.67</v>
      </c>
      <c r="Z905" s="33">
        <f>IF(Y905&gt;Store_Summary!$M$2,1,0)</f>
        <v>1</v>
      </c>
      <c r="AA905" s="33">
        <f>INDEX(Stores!$C$2:$C$21,MATCH(B905,Stores!$A$2:$A$21,0))</f>
        <v>732</v>
      </c>
      <c r="AB905" s="33">
        <f>IF(AA905&lt;180,1,0)</f>
        <v>0</v>
      </c>
      <c r="AC905" s="32" t="str">
        <f>IF(Orders!D902="","",INDEX(Riders!$C$2:$C$81,MATCH(Orders!D902,Riders!$A$2:$A$81,0)))</f>
        <v>Petrol scooter</v>
      </c>
      <c r="AD905" s="33">
        <f>IF(Orders!D902="","",INDEX(Riders!$D$2:$D$81,MATCH(Orders!D902,Riders!$A$2:$A$81,0)))</f>
        <v>15</v>
      </c>
      <c r="AE905" s="33">
        <f>IF(Orders!D902="","",IF(INDEX(Riders!$B$2:$B$81,MATCH(Orders!D902,Riders!$A$2:$A$81,0))=B905,1,0))</f>
        <v>0</v>
      </c>
      <c r="AF905" s="34">
        <f>IF(E905=1,Orders!L902,"")</f>
        <v>0.97</v>
      </c>
      <c r="AG905" s="34">
        <f>IF(E905=1,Orders!P902,"")</f>
        <v>9.2</v>
      </c>
      <c r="AH905" s="34">
        <f>IF(E905=1,Orders!Q902,"")</f>
        <v>8.4</v>
      </c>
      <c r="AI905" s="34">
        <f>IF(E905=1,Orders!M902,"")</f>
        <v>4.2</v>
      </c>
      <c r="AJ905" s="34">
        <f>IF(E905=1,Orders!N902,"")</f>
        <v>1.9</v>
      </c>
      <c r="AK905" s="34">
        <f>IF(E905=1,Orders!O902,"")</f>
        <v>2.3</v>
      </c>
      <c r="AL905" s="33">
        <f>IF(E905=1,IF(ROUND(ABS(AI905+AJ905+AK905-AH905),6)&lt;=0.1,1,0),"")</f>
        <v>1</v>
      </c>
      <c r="AM905" s="36">
        <f>IF(E905=1,AI905/AH905,"")</f>
        <v>0.5</v>
      </c>
      <c r="AN905" s="36">
        <f>IF(E905=1,AJ905/AH905,"")</f>
        <v>0.226190476190476</v>
      </c>
      <c r="AO905" s="36">
        <f>IF(E905=1,AK905/AH905,"")</f>
        <v>0.273809523809524</v>
      </c>
      <c r="AP905" s="34">
        <f>IF(E905=1,Orders!Y902,"")</f>
        <v>0.56</v>
      </c>
      <c r="AQ905" s="33">
        <f>IF(Orders!X902,1,0)</f>
        <v>0</v>
      </c>
      <c r="AR905" s="34" t="str">
        <f>IF(AND(E905=1,L905=1),AJ905,"")</f>
        <v/>
      </c>
      <c r="AS905" s="34">
        <f>IF(AND(E905=1,L905=0),AJ905,"")</f>
        <v>1.9</v>
      </c>
      <c r="AT905" s="34" t="str">
        <f>IF(AND(E905=1,L905=1),AI905,"")</f>
        <v/>
      </c>
      <c r="AU905" s="34">
        <f>IF(AND(E905=1,L905=0),AI905,"")</f>
        <v>4.2</v>
      </c>
      <c r="AV905" s="34" t="str">
        <f>IF(AND(E905=1,L905=1),AG905,"")</f>
        <v/>
      </c>
      <c r="AW905" s="34">
        <f>IF(AND(E905=1,L905=0),AG905,"")</f>
        <v>9.2</v>
      </c>
      <c r="AX905" s="34" t="str">
        <f>IF(AND(E905=1,L905=1),AH905,"")</f>
        <v/>
      </c>
      <c r="AY905" s="34">
        <f>IF(AND(E905=1,L905=0),AH905,"")</f>
        <v>8.4</v>
      </c>
      <c r="AZ905" s="34" t="str">
        <f>IF(G905=1,F905,"")</f>
        <v/>
      </c>
      <c r="BA905" s="34" t="str">
        <f>IF(AND(G905=1,L905=1),F905,"")</f>
        <v/>
      </c>
      <c r="BB905" s="34" t="str">
        <f>IF(AND(G905=1,L905=0),F905,"")</f>
        <v/>
      </c>
      <c r="BC905" s="33">
        <f>IF(E905=1,IF(Orders!R902&gt;3,1,0),"")</f>
        <v>0</v>
      </c>
      <c r="BD905" s="33">
        <f>IF(E905=1,IF(Orders!R902&gt;7,1,0),"")</f>
        <v>0</v>
      </c>
      <c r="BE905" s="32" t="str">
        <f>IF(E905=1,IF(Orders!L902&lt;=1.5,"Up to 1.5 km",IF(Orders!L902&lt;=3,"1.5–3 km","Over 3 km")),"")</f>
        <v>Up to 1.5 km</v>
      </c>
      <c r="BF905" s="33">
        <f>IF(E905=1,IF(ABS((Orders!G902-Orders!F902)*1440-Orders!R902)&lt;0.06,1,0),"")</f>
        <v>1</v>
      </c>
      <c r="BG905" s="33">
        <f>IF(ABS((Orders!F902-Orders!E902)*1440-Orders!P902)&lt;0.06,1,0)</f>
        <v>1</v>
      </c>
      <c r="BH905" s="33">
        <f>IF(E905=1,IF(IF(Orders!S902,1,0)=1-G905,1,0),"")</f>
        <v>1</v>
      </c>
      <c r="BI905" s="32" t="str">
        <f>INDEX(Stores!$B$2:$B$21,MATCH(B905,Stores!$A$2:$A$21,0))</f>
        <v>Bengaluru</v>
      </c>
    </row>
    <row r="906">
      <c r="A906" s="32" t="str">
        <f>Orders!A903</f>
        <v>O00902</v>
      </c>
      <c r="B906" s="32" t="str">
        <f>Orders!C903</f>
        <v>S001</v>
      </c>
      <c r="C906" s="32" t="str">
        <f>Orders!B903</f>
        <v>C0096</v>
      </c>
      <c r="D906" s="32" t="str">
        <f>Orders!H903</f>
        <v>Delivered</v>
      </c>
      <c r="E906" s="33">
        <f>IF(Orders!H903="Delivered",1,0)</f>
        <v>1</v>
      </c>
      <c r="F906" s="34">
        <f>IF(E906=1,Orders!R903,"")</f>
        <v>5.5</v>
      </c>
      <c r="G906" s="33">
        <f>IF(E906=1,IF(Orders!R903&gt;0,1,0),"")</f>
        <v>1</v>
      </c>
      <c r="H906" s="33">
        <f>IF(E906=1,IF(Orders!R903&gt;5,1,0),"")</f>
        <v>1</v>
      </c>
      <c r="I906" s="32" t="str">
        <f>IF(E906=1,"",IF(OR(Orders!T903="Rider unavailable",Orders!T903="Item unavailable"),"Company-caused","Unresolved"))</f>
        <v/>
      </c>
      <c r="J906" s="33">
        <f>IF(OR(E906=1,I906="Company-caused"),1,0)</f>
        <v>1</v>
      </c>
      <c r="K906" s="32" t="str">
        <f>IF(E906=0,IF(I906="Company-caused",IF(Orders!T903="Rider unavailable","C1 Rider unavailable","C2 Item unavailable"),"Outside root: unresolved"),IF(G906=0,"A On time",IF(H906=1,IF(L906=1,"B2a Severe, peak","B2b Severe, off-peak"),IF(L906=1,"B1a Slight, peak","B1b Slight, off-peak"))))</f>
        <v>B2b Severe, off-peak</v>
      </c>
      <c r="L906" s="33">
        <f>IF(AND(Orders!U903&gt;=19,Orders!U903&lt;22),1,0)</f>
        <v>0</v>
      </c>
      <c r="M906" s="33">
        <f>IF(L906=IF(Orders!V903,1,0),1,0)</f>
        <v>1</v>
      </c>
      <c r="N906" s="32" t="str">
        <f>IF(Orders!W903="","None",Orders!W903)</f>
        <v>None</v>
      </c>
      <c r="O906" s="35">
        <f>INT(Orders!E903)</f>
        <v>46274.0</v>
      </c>
      <c r="P906" s="33">
        <f>Orders!U903</f>
        <v>12</v>
      </c>
      <c r="Q906" s="33">
        <f>COUNTIFS(Demand!$A$2:$A$4481,B906,Demand!$B$2:$B$4481,O906,Demand!$C$2:$C$4481,P906)</f>
        <v>1</v>
      </c>
      <c r="R906" s="33">
        <f>IF(Q906=1,SUMIFS(Demand!$E$2:$E$4481,Demand!$A$2:$A$4481,B906,Demand!$B$2:$B$4481,O906,Demand!$C$2:$C$4481,P906),"")</f>
        <v>17</v>
      </c>
      <c r="S906" s="33">
        <f>INDEX(Stores!$G$2:$G$21,MATCH(B906,Stores!$A$2:$A$21,0))</f>
        <v>16</v>
      </c>
      <c r="T906" s="34">
        <f>IF(R906="","",R906/S906)</f>
        <v>1.0625</v>
      </c>
      <c r="U906" s="34">
        <f>IF(E906=1,T906,"")</f>
        <v>1.0625</v>
      </c>
      <c r="V906" s="34">
        <f>IF(AND(E906=1,L906=0),T906,"")</f>
        <v>1.0625</v>
      </c>
      <c r="W906" s="33">
        <f>IF(U906="","",IF(U906&lt;=Breakdowns!$C$5,1,IF(U906&lt;=Breakdowns!$C$6,2,IF(U906&lt;=Breakdowns!$C$7,3,4))))</f>
        <v>3</v>
      </c>
      <c r="X906" s="33">
        <f>IF(V906="","",IF(V906&lt;=Breakdowns!$D$5,1,IF(V906&lt;=Breakdowns!$D$6,2,IF(V906&lt;=Breakdowns!$D$7,3,4))))</f>
        <v>3</v>
      </c>
      <c r="Y906" s="34">
        <f>INDEX(Stores!$F$2:$F$21,MATCH(B906,Stores!$A$2:$A$21,0))</f>
        <v>4.59</v>
      </c>
      <c r="Z906" s="33">
        <f>IF(Y906&gt;Store_Summary!$M$2,1,0)</f>
        <v>0</v>
      </c>
      <c r="AA906" s="33">
        <f>INDEX(Stores!$C$2:$C$21,MATCH(B906,Stores!$A$2:$A$21,0))</f>
        <v>362</v>
      </c>
      <c r="AB906" s="33">
        <f>IF(AA906&lt;180,1,0)</f>
        <v>0</v>
      </c>
      <c r="AC906" s="32" t="str">
        <f>IF(Orders!D903="","",INDEX(Riders!$C$2:$C$81,MATCH(Orders!D903,Riders!$A$2:$A$81,0)))</f>
        <v>EV scooter</v>
      </c>
      <c r="AD906" s="33">
        <f>IF(Orders!D903="","",INDEX(Riders!$D$2:$D$81,MATCH(Orders!D903,Riders!$A$2:$A$81,0)))</f>
        <v>14</v>
      </c>
      <c r="AE906" s="33">
        <f>IF(Orders!D903="","",IF(INDEX(Riders!$B$2:$B$81,MATCH(Orders!D903,Riders!$A$2:$A$81,0))=B906,1,0))</f>
        <v>0</v>
      </c>
      <c r="AF906" s="34">
        <f>IF(E906=1,Orders!L903,"")</f>
        <v>1.52</v>
      </c>
      <c r="AG906" s="34">
        <f>IF(E906=1,Orders!P903,"")</f>
        <v>10.4</v>
      </c>
      <c r="AH906" s="34">
        <f>IF(E906=1,Orders!Q903,"")</f>
        <v>15.9</v>
      </c>
      <c r="AI906" s="34">
        <f>IF(E906=1,Orders!M903,"")</f>
        <v>5.8</v>
      </c>
      <c r="AJ906" s="34">
        <f>IF(E906=1,Orders!N903,"")</f>
        <v>4.5</v>
      </c>
      <c r="AK906" s="34">
        <f>IF(E906=1,Orders!O903,"")</f>
        <v>5.6</v>
      </c>
      <c r="AL906" s="33">
        <f>IF(E906=1,IF(ROUND(ABS(AI906+AJ906+AK906-AH906),6)&lt;=0.1,1,0),"")</f>
        <v>1</v>
      </c>
      <c r="AM906" s="36">
        <f>IF(E906=1,AI906/AH906,"")</f>
        <v>0.364779874213836</v>
      </c>
      <c r="AN906" s="36">
        <f>IF(E906=1,AJ906/AH906,"")</f>
        <v>0.283018867924528</v>
      </c>
      <c r="AO906" s="36">
        <f>IF(E906=1,AK906/AH906,"")</f>
        <v>0.352201257861635</v>
      </c>
      <c r="AP906" s="34">
        <f>IF(E906=1,Orders!Y903,"")</f>
        <v>0.68</v>
      </c>
      <c r="AQ906" s="33">
        <f>IF(Orders!X903,1,0)</f>
        <v>0</v>
      </c>
      <c r="AR906" s="34" t="str">
        <f>IF(AND(E906=1,L906=1),AJ906,"")</f>
        <v/>
      </c>
      <c r="AS906" s="34">
        <f>IF(AND(E906=1,L906=0),AJ906,"")</f>
        <v>4.5</v>
      </c>
      <c r="AT906" s="34" t="str">
        <f>IF(AND(E906=1,L906=1),AI906,"")</f>
        <v/>
      </c>
      <c r="AU906" s="34">
        <f>IF(AND(E906=1,L906=0),AI906,"")</f>
        <v>5.8</v>
      </c>
      <c r="AV906" s="34" t="str">
        <f>IF(AND(E906=1,L906=1),AG906,"")</f>
        <v/>
      </c>
      <c r="AW906" s="34">
        <f>IF(AND(E906=1,L906=0),AG906,"")</f>
        <v>10.4</v>
      </c>
      <c r="AX906" s="34" t="str">
        <f>IF(AND(E906=1,L906=1),AH906,"")</f>
        <v/>
      </c>
      <c r="AY906" s="34">
        <f>IF(AND(E906=1,L906=0),AH906,"")</f>
        <v>15.9</v>
      </c>
      <c r="AZ906" s="34">
        <f>IF(G906=1,F906,"")</f>
        <v>5.5</v>
      </c>
      <c r="BA906" s="34" t="str">
        <f>IF(AND(G906=1,L906=1),F906,"")</f>
        <v/>
      </c>
      <c r="BB906" s="34">
        <f>IF(AND(G906=1,L906=0),F906,"")</f>
        <v>5.5</v>
      </c>
      <c r="BC906" s="33">
        <f>IF(E906=1,IF(Orders!R903&gt;3,1,0),"")</f>
        <v>1</v>
      </c>
      <c r="BD906" s="33">
        <f>IF(E906=1,IF(Orders!R903&gt;7,1,0),"")</f>
        <v>0</v>
      </c>
      <c r="BE906" s="32" t="str">
        <f>IF(E906=1,IF(Orders!L903&lt;=1.5,"Up to 1.5 km",IF(Orders!L903&lt;=3,"1.5–3 km","Over 3 km")),"")</f>
        <v>1.5–3 km</v>
      </c>
      <c r="BF906" s="33">
        <f>IF(E906=1,IF(ABS((Orders!G903-Orders!F903)*1440-Orders!R903)&lt;0.06,1,0),"")</f>
        <v>1</v>
      </c>
      <c r="BG906" s="33">
        <f>IF(ABS((Orders!F903-Orders!E903)*1440-Orders!P903)&lt;0.06,1,0)</f>
        <v>1</v>
      </c>
      <c r="BH906" s="33">
        <f>IF(E906=1,IF(IF(Orders!S903,1,0)=1-G906,1,0),"")</f>
        <v>1</v>
      </c>
      <c r="BI906" s="32" t="str">
        <f>INDEX(Stores!$B$2:$B$21,MATCH(B906,Stores!$A$2:$A$21,0))</f>
        <v>Bengaluru</v>
      </c>
    </row>
    <row r="907">
      <c r="A907" s="32" t="str">
        <f>Orders!A904</f>
        <v>O00903</v>
      </c>
      <c r="B907" s="32" t="str">
        <f>Orders!C904</f>
        <v>S016</v>
      </c>
      <c r="C907" s="32" t="str">
        <f>Orders!B904</f>
        <v>C0039</v>
      </c>
      <c r="D907" s="32" t="str">
        <f>Orders!H904</f>
        <v>Delivered</v>
      </c>
      <c r="E907" s="33">
        <f>IF(Orders!H904="Delivered",1,0)</f>
        <v>1</v>
      </c>
      <c r="F907" s="34">
        <f>IF(E907=1,Orders!R904,"")</f>
        <v>-1.7</v>
      </c>
      <c r="G907" s="33">
        <f>IF(E907=1,IF(Orders!R904&gt;0,1,0),"")</f>
        <v>0</v>
      </c>
      <c r="H907" s="33">
        <f>IF(E907=1,IF(Orders!R904&gt;5,1,0),"")</f>
        <v>0</v>
      </c>
      <c r="I907" s="32" t="str">
        <f>IF(E907=1,"",IF(OR(Orders!T904="Rider unavailable",Orders!T904="Item unavailable"),"Company-caused","Unresolved"))</f>
        <v/>
      </c>
      <c r="J907" s="33">
        <f>IF(OR(E907=1,I907="Company-caused"),1,0)</f>
        <v>1</v>
      </c>
      <c r="K907" s="32" t="str">
        <f>IF(E907=0,IF(I907="Company-caused",IF(Orders!T904="Rider unavailable","C1 Rider unavailable","C2 Item unavailable"),"Outside root: unresolved"),IF(G907=0,"A On time",IF(H907=1,IF(L907=1,"B2a Severe, peak","B2b Severe, off-peak"),IF(L907=1,"B1a Slight, peak","B1b Slight, off-peak"))))</f>
        <v>A On time</v>
      </c>
      <c r="L907" s="33">
        <f>IF(AND(Orders!U904&gt;=19,Orders!U904&lt;22),1,0)</f>
        <v>0</v>
      </c>
      <c r="M907" s="33">
        <f>IF(L907=IF(Orders!V904,1,0),1,0)</f>
        <v>1</v>
      </c>
      <c r="N907" s="32" t="str">
        <f>IF(Orders!W904="","None",Orders!W904)</f>
        <v>None</v>
      </c>
      <c r="O907" s="35">
        <f>INT(Orders!E904)</f>
        <v>46272.0</v>
      </c>
      <c r="P907" s="33">
        <f>Orders!U904</f>
        <v>12</v>
      </c>
      <c r="Q907" s="33">
        <f>COUNTIFS(Demand!$A$2:$A$4481,B907,Demand!$B$2:$B$4481,O907,Demand!$C$2:$C$4481,P907)</f>
        <v>1</v>
      </c>
      <c r="R907" s="33">
        <f>IF(Q907=1,SUMIFS(Demand!$E$2:$E$4481,Demand!$A$2:$A$4481,B907,Demand!$B$2:$B$4481,O907,Demand!$C$2:$C$4481,P907),"")</f>
        <v>28</v>
      </c>
      <c r="S907" s="33">
        <f>INDEX(Stores!$G$2:$G$21,MATCH(B907,Stores!$A$2:$A$21,0))</f>
        <v>25</v>
      </c>
      <c r="T907" s="34">
        <f>IF(R907="","",R907/S907)</f>
        <v>1.12</v>
      </c>
      <c r="U907" s="34">
        <f>IF(E907=1,T907,"")</f>
        <v>1.12</v>
      </c>
      <c r="V907" s="34">
        <f>IF(AND(E907=1,L907=0),T907,"")</f>
        <v>1.12</v>
      </c>
      <c r="W907" s="33">
        <f>IF(U907="","",IF(U907&lt;=Breakdowns!$C$5,1,IF(U907&lt;=Breakdowns!$C$6,2,IF(U907&lt;=Breakdowns!$C$7,3,4))))</f>
        <v>3</v>
      </c>
      <c r="X907" s="33">
        <f>IF(V907="","",IF(V907&lt;=Breakdowns!$D$5,1,IF(V907&lt;=Breakdowns!$D$6,2,IF(V907&lt;=Breakdowns!$D$7,3,4))))</f>
        <v>4</v>
      </c>
      <c r="Y907" s="34">
        <f>INDEX(Stores!$F$2:$F$21,MATCH(B907,Stores!$A$2:$A$21,0))</f>
        <v>5.51</v>
      </c>
      <c r="Z907" s="33">
        <f>IF(Y907&gt;Store_Summary!$M$2,1,0)</f>
        <v>1</v>
      </c>
      <c r="AA907" s="33">
        <f>INDEX(Stores!$C$2:$C$21,MATCH(B907,Stores!$A$2:$A$21,0))</f>
        <v>792</v>
      </c>
      <c r="AB907" s="33">
        <f>IF(AA907&lt;180,1,0)</f>
        <v>0</v>
      </c>
      <c r="AC907" s="32" t="str">
        <f>IF(Orders!D904="","",INDEX(Riders!$C$2:$C$81,MATCH(Orders!D904,Riders!$A$2:$A$81,0)))</f>
        <v>EV scooter</v>
      </c>
      <c r="AD907" s="33">
        <f>IF(Orders!D904="","",INDEX(Riders!$D$2:$D$81,MATCH(Orders!D904,Riders!$A$2:$A$81,0)))</f>
        <v>2</v>
      </c>
      <c r="AE907" s="33">
        <f>IF(Orders!D904="","",IF(INDEX(Riders!$B$2:$B$81,MATCH(Orders!D904,Riders!$A$2:$A$81,0))=B907,1,0))</f>
        <v>0</v>
      </c>
      <c r="AF907" s="34">
        <f>IF(E907=1,Orders!L904,"")</f>
        <v>1.4</v>
      </c>
      <c r="AG907" s="34">
        <f>IF(E907=1,Orders!P904,"")</f>
        <v>9.8</v>
      </c>
      <c r="AH907" s="34">
        <f>IF(E907=1,Orders!Q904,"")</f>
        <v>8.1</v>
      </c>
      <c r="AI907" s="34">
        <f>IF(E907=1,Orders!M904,"")</f>
        <v>4.2</v>
      </c>
      <c r="AJ907" s="34">
        <f>IF(E907=1,Orders!N904,"")</f>
        <v>0</v>
      </c>
      <c r="AK907" s="34">
        <f>IF(E907=1,Orders!O904,"")</f>
        <v>3.9</v>
      </c>
      <c r="AL907" s="33">
        <f>IF(E907=1,IF(ROUND(ABS(AI907+AJ907+AK907-AH907),6)&lt;=0.1,1,0),"")</f>
        <v>1</v>
      </c>
      <c r="AM907" s="36">
        <f>IF(E907=1,AI907/AH907,"")</f>
        <v>0.518518518518519</v>
      </c>
      <c r="AN907" s="36">
        <f>IF(E907=1,AJ907/AH907,"")</f>
        <v>0</v>
      </c>
      <c r="AO907" s="36">
        <f>IF(E907=1,AK907/AH907,"")</f>
        <v>0.481481481481482</v>
      </c>
      <c r="AP907" s="34">
        <f>IF(E907=1,Orders!Y904,"")</f>
        <v>0.17</v>
      </c>
      <c r="AQ907" s="33">
        <f>IF(Orders!X904,1,0)</f>
        <v>0</v>
      </c>
      <c r="AR907" s="34" t="str">
        <f>IF(AND(E907=1,L907=1),AJ907,"")</f>
        <v/>
      </c>
      <c r="AS907" s="34">
        <f>IF(AND(E907=1,L907=0),AJ907,"")</f>
        <v>0</v>
      </c>
      <c r="AT907" s="34" t="str">
        <f>IF(AND(E907=1,L907=1),AI907,"")</f>
        <v/>
      </c>
      <c r="AU907" s="34">
        <f>IF(AND(E907=1,L907=0),AI907,"")</f>
        <v>4.2</v>
      </c>
      <c r="AV907" s="34" t="str">
        <f>IF(AND(E907=1,L907=1),AG907,"")</f>
        <v/>
      </c>
      <c r="AW907" s="34">
        <f>IF(AND(E907=1,L907=0),AG907,"")</f>
        <v>9.8</v>
      </c>
      <c r="AX907" s="34" t="str">
        <f>IF(AND(E907=1,L907=1),AH907,"")</f>
        <v/>
      </c>
      <c r="AY907" s="34">
        <f>IF(AND(E907=1,L907=0),AH907,"")</f>
        <v>8.1</v>
      </c>
      <c r="AZ907" s="34" t="str">
        <f>IF(G907=1,F907,"")</f>
        <v/>
      </c>
      <c r="BA907" s="34" t="str">
        <f>IF(AND(G907=1,L907=1),F907,"")</f>
        <v/>
      </c>
      <c r="BB907" s="34" t="str">
        <f>IF(AND(G907=1,L907=0),F907,"")</f>
        <v/>
      </c>
      <c r="BC907" s="33">
        <f>IF(E907=1,IF(Orders!R904&gt;3,1,0),"")</f>
        <v>0</v>
      </c>
      <c r="BD907" s="33">
        <f>IF(E907=1,IF(Orders!R904&gt;7,1,0),"")</f>
        <v>0</v>
      </c>
      <c r="BE907" s="32" t="str">
        <f>IF(E907=1,IF(Orders!L904&lt;=1.5,"Up to 1.5 km",IF(Orders!L904&lt;=3,"1.5–3 km","Over 3 km")),"")</f>
        <v>Up to 1.5 km</v>
      </c>
      <c r="BF907" s="33">
        <f>IF(E907=1,IF(ABS((Orders!G904-Orders!F904)*1440-Orders!R904)&lt;0.06,1,0),"")</f>
        <v>1</v>
      </c>
      <c r="BG907" s="33">
        <f>IF(ABS((Orders!F904-Orders!E904)*1440-Orders!P904)&lt;0.06,1,0)</f>
        <v>1</v>
      </c>
      <c r="BH907" s="33">
        <f>IF(E907=1,IF(IF(Orders!S904,1,0)=1-G907,1,0),"")</f>
        <v>1</v>
      </c>
      <c r="BI907" s="32" t="str">
        <f>INDEX(Stores!$B$2:$B$21,MATCH(B907,Stores!$A$2:$A$21,0))</f>
        <v>Bengaluru</v>
      </c>
    </row>
    <row r="908">
      <c r="A908" s="32" t="str">
        <f>Orders!A905</f>
        <v>O00904</v>
      </c>
      <c r="B908" s="32" t="str">
        <f>Orders!C905</f>
        <v>S009</v>
      </c>
      <c r="C908" s="32" t="str">
        <f>Orders!B905</f>
        <v>C0060</v>
      </c>
      <c r="D908" s="32" t="str">
        <f>Orders!H905</f>
        <v>Delivered</v>
      </c>
      <c r="E908" s="33">
        <f>IF(Orders!H905="Delivered",1,0)</f>
        <v>1</v>
      </c>
      <c r="F908" s="34">
        <f>IF(E908=1,Orders!R905,"")</f>
        <v>-0.4</v>
      </c>
      <c r="G908" s="33">
        <f>IF(E908=1,IF(Orders!R905&gt;0,1,0),"")</f>
        <v>0</v>
      </c>
      <c r="H908" s="33">
        <f>IF(E908=1,IF(Orders!R905&gt;5,1,0),"")</f>
        <v>0</v>
      </c>
      <c r="I908" s="32" t="str">
        <f>IF(E908=1,"",IF(OR(Orders!T905="Rider unavailable",Orders!T905="Item unavailable"),"Company-caused","Unresolved"))</f>
        <v/>
      </c>
      <c r="J908" s="33">
        <f>IF(OR(E908=1,I908="Company-caused"),1,0)</f>
        <v>1</v>
      </c>
      <c r="K908" s="32" t="str">
        <f>IF(E908=0,IF(I908="Company-caused",IF(Orders!T905="Rider unavailable","C1 Rider unavailable","C2 Item unavailable"),"Outside root: unresolved"),IF(G908=0,"A On time",IF(H908=1,IF(L908=1,"B2a Severe, peak","B2b Severe, off-peak"),IF(L908=1,"B1a Slight, peak","B1b Slight, off-peak"))))</f>
        <v>A On time</v>
      </c>
      <c r="L908" s="33">
        <f>IF(AND(Orders!U905&gt;=19,Orders!U905&lt;22),1,0)</f>
        <v>1</v>
      </c>
      <c r="M908" s="33">
        <f>IF(L908=IF(Orders!V905,1,0),1,0)</f>
        <v>1</v>
      </c>
      <c r="N908" s="32" t="str">
        <f>IF(Orders!W905="","None",Orders!W905)</f>
        <v>None</v>
      </c>
      <c r="O908" s="35">
        <f>INT(Orders!E905)</f>
        <v>46272.0</v>
      </c>
      <c r="P908" s="33">
        <f>Orders!U905</f>
        <v>21</v>
      </c>
      <c r="Q908" s="33">
        <f>COUNTIFS(Demand!$A$2:$A$4481,B908,Demand!$B$2:$B$4481,O908,Demand!$C$2:$C$4481,P908)</f>
        <v>1</v>
      </c>
      <c r="R908" s="33">
        <f>IF(Q908=1,SUMIFS(Demand!$E$2:$E$4481,Demand!$A$2:$A$4481,B908,Demand!$B$2:$B$4481,O908,Demand!$C$2:$C$4481,P908),"")</f>
        <v>43</v>
      </c>
      <c r="S908" s="33">
        <f>INDEX(Stores!$G$2:$G$21,MATCH(B908,Stores!$A$2:$A$21,0))</f>
        <v>29</v>
      </c>
      <c r="T908" s="34">
        <f>IF(R908="","",R908/S908)</f>
        <v>1.48275862068966</v>
      </c>
      <c r="U908" s="34">
        <f>IF(E908=1,T908,"")</f>
        <v>1.48275862068966</v>
      </c>
      <c r="V908" s="34" t="str">
        <f>IF(AND(E908=1,L908=0),T908,"")</f>
        <v/>
      </c>
      <c r="W908" s="33">
        <f>IF(U908="","",IF(U908&lt;=Breakdowns!$C$5,1,IF(U908&lt;=Breakdowns!$C$6,2,IF(U908&lt;=Breakdowns!$C$7,3,4))))</f>
        <v>4</v>
      </c>
      <c r="X908" s="33" t="str">
        <f>IF(V908="","",IF(V908&lt;=Breakdowns!$D$5,1,IF(V908&lt;=Breakdowns!$D$6,2,IF(V908&lt;=Breakdowns!$D$7,3,4))))</f>
        <v/>
      </c>
      <c r="Y908" s="34">
        <f>INDEX(Stores!$F$2:$F$21,MATCH(B908,Stores!$A$2:$A$21,0))</f>
        <v>2.66</v>
      </c>
      <c r="Z908" s="33">
        <f>IF(Y908&gt;Store_Summary!$M$2,1,0)</f>
        <v>0</v>
      </c>
      <c r="AA908" s="33">
        <f>INDEX(Stores!$C$2:$C$21,MATCH(B908,Stores!$A$2:$A$21,0))</f>
        <v>645</v>
      </c>
      <c r="AB908" s="33">
        <f>IF(AA908&lt;180,1,0)</f>
        <v>0</v>
      </c>
      <c r="AC908" s="32" t="str">
        <f>IF(Orders!D905="","",INDEX(Riders!$C$2:$C$81,MATCH(Orders!D905,Riders!$A$2:$A$81,0)))</f>
        <v>EV scooter</v>
      </c>
      <c r="AD908" s="33">
        <f>IF(Orders!D905="","",INDEX(Riders!$D$2:$D$81,MATCH(Orders!D905,Riders!$A$2:$A$81,0)))</f>
        <v>21</v>
      </c>
      <c r="AE908" s="33">
        <f>IF(Orders!D905="","",IF(INDEX(Riders!$B$2:$B$81,MATCH(Orders!D905,Riders!$A$2:$A$81,0))=B908,1,0))</f>
        <v>1</v>
      </c>
      <c r="AF908" s="34">
        <f>IF(E908=1,Orders!L905,"")</f>
        <v>1.98</v>
      </c>
      <c r="AG908" s="34">
        <f>IF(E908=1,Orders!P905,"")</f>
        <v>11</v>
      </c>
      <c r="AH908" s="34">
        <f>IF(E908=1,Orders!Q905,"")</f>
        <v>10.6</v>
      </c>
      <c r="AI908" s="34">
        <f>IF(E908=1,Orders!M905,"")</f>
        <v>2.3</v>
      </c>
      <c r="AJ908" s="34">
        <f>IF(E908=1,Orders!N905,"")</f>
        <v>5.4</v>
      </c>
      <c r="AK908" s="34">
        <f>IF(E908=1,Orders!O905,"")</f>
        <v>2.9</v>
      </c>
      <c r="AL908" s="33">
        <f>IF(E908=1,IF(ROUND(ABS(AI908+AJ908+AK908-AH908),6)&lt;=0.1,1,0),"")</f>
        <v>1</v>
      </c>
      <c r="AM908" s="36">
        <f>IF(E908=1,AI908/AH908,"")</f>
        <v>0.216981132075472</v>
      </c>
      <c r="AN908" s="36">
        <f>IF(E908=1,AJ908/AH908,"")</f>
        <v>0.509433962264151</v>
      </c>
      <c r="AO908" s="36">
        <f>IF(E908=1,AK908/AH908,"")</f>
        <v>0.273584905660377</v>
      </c>
      <c r="AP908" s="34">
        <f>IF(E908=1,Orders!Y905,"")</f>
        <v>0.49</v>
      </c>
      <c r="AQ908" s="33">
        <f>IF(Orders!X905,1,0)</f>
        <v>0</v>
      </c>
      <c r="AR908" s="34">
        <f>IF(AND(E908=1,L908=1),AJ908,"")</f>
        <v>5.4</v>
      </c>
      <c r="AS908" s="34" t="str">
        <f>IF(AND(E908=1,L908=0),AJ908,"")</f>
        <v/>
      </c>
      <c r="AT908" s="34">
        <f>IF(AND(E908=1,L908=1),AI908,"")</f>
        <v>2.3</v>
      </c>
      <c r="AU908" s="34" t="str">
        <f>IF(AND(E908=1,L908=0),AI908,"")</f>
        <v/>
      </c>
      <c r="AV908" s="34">
        <f>IF(AND(E908=1,L908=1),AG908,"")</f>
        <v>11</v>
      </c>
      <c r="AW908" s="34" t="str">
        <f>IF(AND(E908=1,L908=0),AG908,"")</f>
        <v/>
      </c>
      <c r="AX908" s="34">
        <f>IF(AND(E908=1,L908=1),AH908,"")</f>
        <v>10.6</v>
      </c>
      <c r="AY908" s="34" t="str">
        <f>IF(AND(E908=1,L908=0),AH908,"")</f>
        <v/>
      </c>
      <c r="AZ908" s="34" t="str">
        <f>IF(G908=1,F908,"")</f>
        <v/>
      </c>
      <c r="BA908" s="34" t="str">
        <f>IF(AND(G908=1,L908=1),F908,"")</f>
        <v/>
      </c>
      <c r="BB908" s="34" t="str">
        <f>IF(AND(G908=1,L908=0),F908,"")</f>
        <v/>
      </c>
      <c r="BC908" s="33">
        <f>IF(E908=1,IF(Orders!R905&gt;3,1,0),"")</f>
        <v>0</v>
      </c>
      <c r="BD908" s="33">
        <f>IF(E908=1,IF(Orders!R905&gt;7,1,0),"")</f>
        <v>0</v>
      </c>
      <c r="BE908" s="32" t="str">
        <f>IF(E908=1,IF(Orders!L905&lt;=1.5,"Up to 1.5 km",IF(Orders!L905&lt;=3,"1.5–3 km","Over 3 km")),"")</f>
        <v>1.5–3 km</v>
      </c>
      <c r="BF908" s="33">
        <f>IF(E908=1,IF(ABS((Orders!G905-Orders!F905)*1440-Orders!R905)&lt;0.06,1,0),"")</f>
        <v>1</v>
      </c>
      <c r="BG908" s="33">
        <f>IF(ABS((Orders!F905-Orders!E905)*1440-Orders!P905)&lt;0.06,1,0)</f>
        <v>1</v>
      </c>
      <c r="BH908" s="33">
        <f>IF(E908=1,IF(IF(Orders!S905,1,0)=1-G908,1,0),"")</f>
        <v>1</v>
      </c>
      <c r="BI908" s="32" t="str">
        <f>INDEX(Stores!$B$2:$B$21,MATCH(B908,Stores!$A$2:$A$21,0))</f>
        <v>Pune</v>
      </c>
    </row>
    <row r="909">
      <c r="A909" s="32" t="str">
        <f>Orders!A906</f>
        <v>O00905</v>
      </c>
      <c r="B909" s="32" t="str">
        <f>Orders!C906</f>
        <v>S005</v>
      </c>
      <c r="C909" s="32" t="str">
        <f>Orders!B906</f>
        <v>C0026</v>
      </c>
      <c r="D909" s="32" t="str">
        <f>Orders!H906</f>
        <v>Delivered</v>
      </c>
      <c r="E909" s="33">
        <f>IF(Orders!H906="Delivered",1,0)</f>
        <v>1</v>
      </c>
      <c r="F909" s="34">
        <f>IF(E909=1,Orders!R906,"")</f>
        <v>-0.8</v>
      </c>
      <c r="G909" s="33">
        <f>IF(E909=1,IF(Orders!R906&gt;0,1,0),"")</f>
        <v>0</v>
      </c>
      <c r="H909" s="33">
        <f>IF(E909=1,IF(Orders!R906&gt;5,1,0),"")</f>
        <v>0</v>
      </c>
      <c r="I909" s="32" t="str">
        <f>IF(E909=1,"",IF(OR(Orders!T906="Rider unavailable",Orders!T906="Item unavailable"),"Company-caused","Unresolved"))</f>
        <v/>
      </c>
      <c r="J909" s="33">
        <f>IF(OR(E909=1,I909="Company-caused"),1,0)</f>
        <v>1</v>
      </c>
      <c r="K909" s="32" t="str">
        <f>IF(E909=0,IF(I909="Company-caused",IF(Orders!T906="Rider unavailable","C1 Rider unavailable","C2 Item unavailable"),"Outside root: unresolved"),IF(G909=0,"A On time",IF(H909=1,IF(L909=1,"B2a Severe, peak","B2b Severe, off-peak"),IF(L909=1,"B1a Slight, peak","B1b Slight, off-peak"))))</f>
        <v>A On time</v>
      </c>
      <c r="L909" s="33">
        <f>IF(AND(Orders!U906&gt;=19,Orders!U906&lt;22),1,0)</f>
        <v>0</v>
      </c>
      <c r="M909" s="33">
        <f>IF(L909=IF(Orders!V906,1,0),1,0)</f>
        <v>1</v>
      </c>
      <c r="N909" s="32" t="str">
        <f>IF(Orders!W906="","None",Orders!W906)</f>
        <v>None</v>
      </c>
      <c r="O909" s="35">
        <f>INT(Orders!E906)</f>
        <v>46275.0</v>
      </c>
      <c r="P909" s="33">
        <f>Orders!U906</f>
        <v>10</v>
      </c>
      <c r="Q909" s="33">
        <f>COUNTIFS(Demand!$A$2:$A$4481,B909,Demand!$B$2:$B$4481,O909,Demand!$C$2:$C$4481,P909)</f>
        <v>1</v>
      </c>
      <c r="R909" s="33">
        <f>IF(Q909=1,SUMIFS(Demand!$E$2:$E$4481,Demand!$A$2:$A$4481,B909,Demand!$B$2:$B$4481,O909,Demand!$C$2:$C$4481,P909),"")</f>
        <v>11</v>
      </c>
      <c r="S909" s="33">
        <f>INDEX(Stores!$G$2:$G$21,MATCH(B909,Stores!$A$2:$A$21,0))</f>
        <v>14</v>
      </c>
      <c r="T909" s="34">
        <f>IF(R909="","",R909/S909)</f>
        <v>0.785714285714286</v>
      </c>
      <c r="U909" s="34">
        <f>IF(E909=1,T909,"")</f>
        <v>0.785714285714286</v>
      </c>
      <c r="V909" s="34">
        <f>IF(AND(E909=1,L909=0),T909,"")</f>
        <v>0.785714285714286</v>
      </c>
      <c r="W909" s="33">
        <f>IF(U909="","",IF(U909&lt;=Breakdowns!$C$5,1,IF(U909&lt;=Breakdowns!$C$6,2,IF(U909&lt;=Breakdowns!$C$7,3,4))))</f>
        <v>1</v>
      </c>
      <c r="X909" s="33">
        <f>IF(V909="","",IF(V909&lt;=Breakdowns!$D$5,1,IF(V909&lt;=Breakdowns!$D$6,2,IF(V909&lt;=Breakdowns!$D$7,3,4))))</f>
        <v>2</v>
      </c>
      <c r="Y909" s="34">
        <f>INDEX(Stores!$F$2:$F$21,MATCH(B909,Stores!$A$2:$A$21,0))</f>
        <v>4.89</v>
      </c>
      <c r="Z909" s="33">
        <f>IF(Y909&gt;Store_Summary!$M$2,1,0)</f>
        <v>0</v>
      </c>
      <c r="AA909" s="33">
        <f>INDEX(Stores!$C$2:$C$21,MATCH(B909,Stores!$A$2:$A$21,0))</f>
        <v>138</v>
      </c>
      <c r="AB909" s="33">
        <f>IF(AA909&lt;180,1,0)</f>
        <v>1</v>
      </c>
      <c r="AC909" s="32" t="str">
        <f>IF(Orders!D906="","",INDEX(Riders!$C$2:$C$81,MATCH(Orders!D906,Riders!$A$2:$A$81,0)))</f>
        <v>Petrol scooter</v>
      </c>
      <c r="AD909" s="33">
        <f>IF(Orders!D906="","",INDEX(Riders!$D$2:$D$81,MATCH(Orders!D906,Riders!$A$2:$A$81,0)))</f>
        <v>30</v>
      </c>
      <c r="AE909" s="33">
        <f>IF(Orders!D906="","",IF(INDEX(Riders!$B$2:$B$81,MATCH(Orders!D906,Riders!$A$2:$A$81,0))=B909,1,0))</f>
        <v>0</v>
      </c>
      <c r="AF909" s="34">
        <f>IF(E909=1,Orders!L906,"")</f>
        <v>0.93</v>
      </c>
      <c r="AG909" s="34">
        <f>IF(E909=1,Orders!P906,"")</f>
        <v>8.3</v>
      </c>
      <c r="AH909" s="34">
        <f>IF(E909=1,Orders!Q906,"")</f>
        <v>7.5</v>
      </c>
      <c r="AI909" s="34">
        <f>IF(E909=1,Orders!M906,"")</f>
        <v>3.8</v>
      </c>
      <c r="AJ909" s="34">
        <f>IF(E909=1,Orders!N906,"")</f>
        <v>1.8</v>
      </c>
      <c r="AK909" s="34">
        <f>IF(E909=1,Orders!O906,"")</f>
        <v>1.9</v>
      </c>
      <c r="AL909" s="33">
        <f>IF(E909=1,IF(ROUND(ABS(AI909+AJ909+AK909-AH909),6)&lt;=0.1,1,0),"")</f>
        <v>1</v>
      </c>
      <c r="AM909" s="36">
        <f>IF(E909=1,AI909/AH909,"")</f>
        <v>0.506666666666667</v>
      </c>
      <c r="AN909" s="36">
        <f>IF(E909=1,AJ909/AH909,"")</f>
        <v>0.24</v>
      </c>
      <c r="AO909" s="36">
        <f>IF(E909=1,AK909/AH909,"")</f>
        <v>0.253333333333333</v>
      </c>
      <c r="AP909" s="34">
        <f>IF(E909=1,Orders!Y906,"")</f>
        <v>0.43</v>
      </c>
      <c r="AQ909" s="33">
        <f>IF(Orders!X906,1,0)</f>
        <v>0</v>
      </c>
      <c r="AR909" s="34" t="str">
        <f>IF(AND(E909=1,L909=1),AJ909,"")</f>
        <v/>
      </c>
      <c r="AS909" s="34">
        <f>IF(AND(E909=1,L909=0),AJ909,"")</f>
        <v>1.8</v>
      </c>
      <c r="AT909" s="34" t="str">
        <f>IF(AND(E909=1,L909=1),AI909,"")</f>
        <v/>
      </c>
      <c r="AU909" s="34">
        <f>IF(AND(E909=1,L909=0),AI909,"")</f>
        <v>3.8</v>
      </c>
      <c r="AV909" s="34" t="str">
        <f>IF(AND(E909=1,L909=1),AG909,"")</f>
        <v/>
      </c>
      <c r="AW909" s="34">
        <f>IF(AND(E909=1,L909=0),AG909,"")</f>
        <v>8.3</v>
      </c>
      <c r="AX909" s="34" t="str">
        <f>IF(AND(E909=1,L909=1),AH909,"")</f>
        <v/>
      </c>
      <c r="AY909" s="34">
        <f>IF(AND(E909=1,L909=0),AH909,"")</f>
        <v>7.5</v>
      </c>
      <c r="AZ909" s="34" t="str">
        <f>IF(G909=1,F909,"")</f>
        <v/>
      </c>
      <c r="BA909" s="34" t="str">
        <f>IF(AND(G909=1,L909=1),F909,"")</f>
        <v/>
      </c>
      <c r="BB909" s="34" t="str">
        <f>IF(AND(G909=1,L909=0),F909,"")</f>
        <v/>
      </c>
      <c r="BC909" s="33">
        <f>IF(E909=1,IF(Orders!R906&gt;3,1,0),"")</f>
        <v>0</v>
      </c>
      <c r="BD909" s="33">
        <f>IF(E909=1,IF(Orders!R906&gt;7,1,0),"")</f>
        <v>0</v>
      </c>
      <c r="BE909" s="32" t="str">
        <f>IF(E909=1,IF(Orders!L906&lt;=1.5,"Up to 1.5 km",IF(Orders!L906&lt;=3,"1.5–3 km","Over 3 km")),"")</f>
        <v>Up to 1.5 km</v>
      </c>
      <c r="BF909" s="33">
        <f>IF(E909=1,IF(ABS((Orders!G906-Orders!F906)*1440-Orders!R906)&lt;0.06,1,0),"")</f>
        <v>1</v>
      </c>
      <c r="BG909" s="33">
        <f>IF(ABS((Orders!F906-Orders!E906)*1440-Orders!P906)&lt;0.06,1,0)</f>
        <v>1</v>
      </c>
      <c r="BH909" s="33">
        <f>IF(E909=1,IF(IF(Orders!S906,1,0)=1-G909,1,0),"")</f>
        <v>1</v>
      </c>
      <c r="BI909" s="32" t="str">
        <f>INDEX(Stores!$B$2:$B$21,MATCH(B909,Stores!$A$2:$A$21,0))</f>
        <v>Delhi</v>
      </c>
    </row>
    <row r="910">
      <c r="A910" s="32" t="str">
        <f>Orders!A907</f>
        <v>O00906</v>
      </c>
      <c r="B910" s="32" t="str">
        <f>Orders!C907</f>
        <v>S011</v>
      </c>
      <c r="C910" s="32" t="str">
        <f>Orders!B907</f>
        <v>C0238</v>
      </c>
      <c r="D910" s="32" t="str">
        <f>Orders!H907</f>
        <v>Delivered</v>
      </c>
      <c r="E910" s="33">
        <f>IF(Orders!H907="Delivered",1,0)</f>
        <v>1</v>
      </c>
      <c r="F910" s="34">
        <f>IF(E910=1,Orders!R907,"")</f>
        <v>-0.3</v>
      </c>
      <c r="G910" s="33">
        <f>IF(E910=1,IF(Orders!R907&gt;0,1,0),"")</f>
        <v>0</v>
      </c>
      <c r="H910" s="33">
        <f>IF(E910=1,IF(Orders!R907&gt;5,1,0),"")</f>
        <v>0</v>
      </c>
      <c r="I910" s="32" t="str">
        <f>IF(E910=1,"",IF(OR(Orders!T907="Rider unavailable",Orders!T907="Item unavailable"),"Company-caused","Unresolved"))</f>
        <v/>
      </c>
      <c r="J910" s="33">
        <f>IF(OR(E910=1,I910="Company-caused"),1,0)</f>
        <v>1</v>
      </c>
      <c r="K910" s="32" t="str">
        <f>IF(E910=0,IF(I910="Company-caused",IF(Orders!T907="Rider unavailable","C1 Rider unavailable","C2 Item unavailable"),"Outside root: unresolved"),IF(G910=0,"A On time",IF(H910=1,IF(L910=1,"B2a Severe, peak","B2b Severe, off-peak"),IF(L910=1,"B1a Slight, peak","B1b Slight, off-peak"))))</f>
        <v>A On time</v>
      </c>
      <c r="L910" s="33">
        <f>IF(AND(Orders!U907&gt;=19,Orders!U907&lt;22),1,0)</f>
        <v>0</v>
      </c>
      <c r="M910" s="33">
        <f>IF(L910=IF(Orders!V907,1,0),1,0)</f>
        <v>1</v>
      </c>
      <c r="N910" s="32" t="str">
        <f>IF(Orders!W907="","None",Orders!W907)</f>
        <v>None</v>
      </c>
      <c r="O910" s="35">
        <f>INT(Orders!E907)</f>
        <v>46270.0</v>
      </c>
      <c r="P910" s="33">
        <f>Orders!U907</f>
        <v>16</v>
      </c>
      <c r="Q910" s="33">
        <f>COUNTIFS(Demand!$A$2:$A$4481,B910,Demand!$B$2:$B$4481,O910,Demand!$C$2:$C$4481,P910)</f>
        <v>1</v>
      </c>
      <c r="R910" s="33">
        <f>IF(Q910=1,SUMIFS(Demand!$E$2:$E$4481,Demand!$A$2:$A$4481,B910,Demand!$B$2:$B$4481,O910,Demand!$C$2:$C$4481,P910),"")</f>
        <v>31</v>
      </c>
      <c r="S910" s="33">
        <f>INDEX(Stores!$G$2:$G$21,MATCH(B910,Stores!$A$2:$A$21,0))</f>
        <v>31</v>
      </c>
      <c r="T910" s="34">
        <f>IF(R910="","",R910/S910)</f>
        <v>1</v>
      </c>
      <c r="U910" s="34">
        <f>IF(E910=1,T910,"")</f>
        <v>1</v>
      </c>
      <c r="V910" s="34">
        <f>IF(AND(E910=1,L910=0),T910,"")</f>
        <v>1</v>
      </c>
      <c r="W910" s="33">
        <f>IF(U910="","",IF(U910&lt;=Breakdowns!$C$5,1,IF(U910&lt;=Breakdowns!$C$6,2,IF(U910&lt;=Breakdowns!$C$7,3,4))))</f>
        <v>2</v>
      </c>
      <c r="X910" s="33">
        <f>IF(V910="","",IF(V910&lt;=Breakdowns!$D$5,1,IF(V910&lt;=Breakdowns!$D$6,2,IF(V910&lt;=Breakdowns!$D$7,3,4))))</f>
        <v>3</v>
      </c>
      <c r="Y910" s="34">
        <f>INDEX(Stores!$F$2:$F$21,MATCH(B910,Stores!$A$2:$A$21,0))</f>
        <v>5.67</v>
      </c>
      <c r="Z910" s="33">
        <f>IF(Y910&gt;Store_Summary!$M$2,1,0)</f>
        <v>1</v>
      </c>
      <c r="AA910" s="33">
        <f>INDEX(Stores!$C$2:$C$21,MATCH(B910,Stores!$A$2:$A$21,0))</f>
        <v>732</v>
      </c>
      <c r="AB910" s="33">
        <f>IF(AA910&lt;180,1,0)</f>
        <v>0</v>
      </c>
      <c r="AC910" s="32" t="str">
        <f>IF(Orders!D907="","",INDEX(Riders!$C$2:$C$81,MATCH(Orders!D907,Riders!$A$2:$A$81,0)))</f>
        <v>Petrol scooter</v>
      </c>
      <c r="AD910" s="33">
        <f>IF(Orders!D907="","",INDEX(Riders!$D$2:$D$81,MATCH(Orders!D907,Riders!$A$2:$A$81,0)))</f>
        <v>44</v>
      </c>
      <c r="AE910" s="33">
        <f>IF(Orders!D907="","",IF(INDEX(Riders!$B$2:$B$81,MATCH(Orders!D907,Riders!$A$2:$A$81,0))=B910,1,0))</f>
        <v>0</v>
      </c>
      <c r="AF910" s="34">
        <f>IF(E910=1,Orders!L907,"")</f>
        <v>1.53</v>
      </c>
      <c r="AG910" s="34">
        <f>IF(E910=1,Orders!P907,"")</f>
        <v>11.1</v>
      </c>
      <c r="AH910" s="34">
        <f>IF(E910=1,Orders!Q907,"")</f>
        <v>10.8</v>
      </c>
      <c r="AI910" s="34">
        <f>IF(E910=1,Orders!M907,"")</f>
        <v>5</v>
      </c>
      <c r="AJ910" s="34">
        <f>IF(E910=1,Orders!N907,"")</f>
        <v>3.1</v>
      </c>
      <c r="AK910" s="34">
        <f>IF(E910=1,Orders!O907,"")</f>
        <v>2.7</v>
      </c>
      <c r="AL910" s="33">
        <f>IF(E910=1,IF(ROUND(ABS(AI910+AJ910+AK910-AH910),6)&lt;=0.1,1,0),"")</f>
        <v>1</v>
      </c>
      <c r="AM910" s="36">
        <f>IF(E910=1,AI910/AH910,"")</f>
        <v>0.462962962962963</v>
      </c>
      <c r="AN910" s="36">
        <f>IF(E910=1,AJ910/AH910,"")</f>
        <v>0.287037037037037</v>
      </c>
      <c r="AO910" s="36">
        <f>IF(E910=1,AK910/AH910,"")</f>
        <v>0.25</v>
      </c>
      <c r="AP910" s="34">
        <f>IF(E910=1,Orders!Y907,"")</f>
        <v>0.5</v>
      </c>
      <c r="AQ910" s="33">
        <f>IF(Orders!X907,1,0)</f>
        <v>0</v>
      </c>
      <c r="AR910" s="34" t="str">
        <f>IF(AND(E910=1,L910=1),AJ910,"")</f>
        <v/>
      </c>
      <c r="AS910" s="34">
        <f>IF(AND(E910=1,L910=0),AJ910,"")</f>
        <v>3.1</v>
      </c>
      <c r="AT910" s="34" t="str">
        <f>IF(AND(E910=1,L910=1),AI910,"")</f>
        <v/>
      </c>
      <c r="AU910" s="34">
        <f>IF(AND(E910=1,L910=0),AI910,"")</f>
        <v>5</v>
      </c>
      <c r="AV910" s="34" t="str">
        <f>IF(AND(E910=1,L910=1),AG910,"")</f>
        <v/>
      </c>
      <c r="AW910" s="34">
        <f>IF(AND(E910=1,L910=0),AG910,"")</f>
        <v>11.1</v>
      </c>
      <c r="AX910" s="34" t="str">
        <f>IF(AND(E910=1,L910=1),AH910,"")</f>
        <v/>
      </c>
      <c r="AY910" s="34">
        <f>IF(AND(E910=1,L910=0),AH910,"")</f>
        <v>10.8</v>
      </c>
      <c r="AZ910" s="34" t="str">
        <f>IF(G910=1,F910,"")</f>
        <v/>
      </c>
      <c r="BA910" s="34" t="str">
        <f>IF(AND(G910=1,L910=1),F910,"")</f>
        <v/>
      </c>
      <c r="BB910" s="34" t="str">
        <f>IF(AND(G910=1,L910=0),F910,"")</f>
        <v/>
      </c>
      <c r="BC910" s="33">
        <f>IF(E910=1,IF(Orders!R907&gt;3,1,0),"")</f>
        <v>0</v>
      </c>
      <c r="BD910" s="33">
        <f>IF(E910=1,IF(Orders!R907&gt;7,1,0),"")</f>
        <v>0</v>
      </c>
      <c r="BE910" s="32" t="str">
        <f>IF(E910=1,IF(Orders!L907&lt;=1.5,"Up to 1.5 km",IF(Orders!L907&lt;=3,"1.5–3 km","Over 3 km")),"")</f>
        <v>1.5–3 km</v>
      </c>
      <c r="BF910" s="33">
        <f>IF(E910=1,IF(ABS((Orders!G907-Orders!F907)*1440-Orders!R907)&lt;0.06,1,0),"")</f>
        <v>1</v>
      </c>
      <c r="BG910" s="33">
        <f>IF(ABS((Orders!F907-Orders!E907)*1440-Orders!P907)&lt;0.06,1,0)</f>
        <v>1</v>
      </c>
      <c r="BH910" s="33">
        <f>IF(E910=1,IF(IF(Orders!S907,1,0)=1-G910,1,0),"")</f>
        <v>1</v>
      </c>
      <c r="BI910" s="32" t="str">
        <f>INDEX(Stores!$B$2:$B$21,MATCH(B910,Stores!$A$2:$A$21,0))</f>
        <v>Bengaluru</v>
      </c>
    </row>
    <row r="911">
      <c r="A911" s="32" t="str">
        <f>Orders!A908</f>
        <v>O00907</v>
      </c>
      <c r="B911" s="32" t="str">
        <f>Orders!C908</f>
        <v>S009</v>
      </c>
      <c r="C911" s="32" t="str">
        <f>Orders!B908</f>
        <v>C0141</v>
      </c>
      <c r="D911" s="32" t="str">
        <f>Orders!H908</f>
        <v>Delivered</v>
      </c>
      <c r="E911" s="33">
        <f>IF(Orders!H908="Delivered",1,0)</f>
        <v>1</v>
      </c>
      <c r="F911" s="34">
        <f>IF(E911=1,Orders!R908,"")</f>
        <v>-0.4</v>
      </c>
      <c r="G911" s="33">
        <f>IF(E911=1,IF(Orders!R908&gt;0,1,0),"")</f>
        <v>0</v>
      </c>
      <c r="H911" s="33">
        <f>IF(E911=1,IF(Orders!R908&gt;5,1,0),"")</f>
        <v>0</v>
      </c>
      <c r="I911" s="32" t="str">
        <f>IF(E911=1,"",IF(OR(Orders!T908="Rider unavailable",Orders!T908="Item unavailable"),"Company-caused","Unresolved"))</f>
        <v/>
      </c>
      <c r="J911" s="33">
        <f>IF(OR(E911=1,I911="Company-caused"),1,0)</f>
        <v>1</v>
      </c>
      <c r="K911" s="32" t="str">
        <f>IF(E911=0,IF(I911="Company-caused",IF(Orders!T908="Rider unavailable","C1 Rider unavailable","C2 Item unavailable"),"Outside root: unresolved"),IF(G911=0,"A On time",IF(H911=1,IF(L911=1,"B2a Severe, peak","B2b Severe, off-peak"),IF(L911=1,"B1a Slight, peak","B1b Slight, off-peak"))))</f>
        <v>A On time</v>
      </c>
      <c r="L911" s="33">
        <f>IF(AND(Orders!U908&gt;=19,Orders!U908&lt;22),1,0)</f>
        <v>0</v>
      </c>
      <c r="M911" s="33">
        <f>IF(L911=IF(Orders!V908,1,0),1,0)</f>
        <v>1</v>
      </c>
      <c r="N911" s="32" t="str">
        <f>IF(Orders!W908="","None",Orders!W908)</f>
        <v>None</v>
      </c>
      <c r="O911" s="35">
        <f>INT(Orders!E908)</f>
        <v>46273.0</v>
      </c>
      <c r="P911" s="33">
        <f>Orders!U908</f>
        <v>23</v>
      </c>
      <c r="Q911" s="33">
        <f>COUNTIFS(Demand!$A$2:$A$4481,B911,Demand!$B$2:$B$4481,O911,Demand!$C$2:$C$4481,P911)</f>
        <v>1</v>
      </c>
      <c r="R911" s="33">
        <f>IF(Q911=1,SUMIFS(Demand!$E$2:$E$4481,Demand!$A$2:$A$4481,B911,Demand!$B$2:$B$4481,O911,Demand!$C$2:$C$4481,P911),"")</f>
        <v>22</v>
      </c>
      <c r="S911" s="33">
        <f>INDEX(Stores!$G$2:$G$21,MATCH(B911,Stores!$A$2:$A$21,0))</f>
        <v>29</v>
      </c>
      <c r="T911" s="34">
        <f>IF(R911="","",R911/S911)</f>
        <v>0.758620689655172</v>
      </c>
      <c r="U911" s="34">
        <f>IF(E911=1,T911,"")</f>
        <v>0.758620689655172</v>
      </c>
      <c r="V911" s="34">
        <f>IF(AND(E911=1,L911=0),T911,"")</f>
        <v>0.758620689655172</v>
      </c>
      <c r="W911" s="33">
        <f>IF(U911="","",IF(U911&lt;=Breakdowns!$C$5,1,IF(U911&lt;=Breakdowns!$C$6,2,IF(U911&lt;=Breakdowns!$C$7,3,4))))</f>
        <v>1</v>
      </c>
      <c r="X911" s="33">
        <f>IF(V911="","",IF(V911&lt;=Breakdowns!$D$5,1,IF(V911&lt;=Breakdowns!$D$6,2,IF(V911&lt;=Breakdowns!$D$7,3,4))))</f>
        <v>2</v>
      </c>
      <c r="Y911" s="34">
        <f>INDEX(Stores!$F$2:$F$21,MATCH(B911,Stores!$A$2:$A$21,0))</f>
        <v>2.66</v>
      </c>
      <c r="Z911" s="33">
        <f>IF(Y911&gt;Store_Summary!$M$2,1,0)</f>
        <v>0</v>
      </c>
      <c r="AA911" s="33">
        <f>INDEX(Stores!$C$2:$C$21,MATCH(B911,Stores!$A$2:$A$21,0))</f>
        <v>645</v>
      </c>
      <c r="AB911" s="33">
        <f>IF(AA911&lt;180,1,0)</f>
        <v>0</v>
      </c>
      <c r="AC911" s="32" t="str">
        <f>IF(Orders!D908="","",INDEX(Riders!$C$2:$C$81,MATCH(Orders!D908,Riders!$A$2:$A$81,0)))</f>
        <v>EV scooter</v>
      </c>
      <c r="AD911" s="33">
        <f>IF(Orders!D908="","",INDEX(Riders!$D$2:$D$81,MATCH(Orders!D908,Riders!$A$2:$A$81,0)))</f>
        <v>14</v>
      </c>
      <c r="AE911" s="33">
        <f>IF(Orders!D908="","",IF(INDEX(Riders!$B$2:$B$81,MATCH(Orders!D908,Riders!$A$2:$A$81,0))=B911,1,0))</f>
        <v>0</v>
      </c>
      <c r="AF911" s="34">
        <f>IF(E911=1,Orders!L908,"")</f>
        <v>2.8</v>
      </c>
      <c r="AG911" s="34">
        <f>IF(E911=1,Orders!P908,"")</f>
        <v>12.5</v>
      </c>
      <c r="AH911" s="34">
        <f>IF(E911=1,Orders!Q908,"")</f>
        <v>12.1</v>
      </c>
      <c r="AI911" s="34">
        <f>IF(E911=1,Orders!M908,"")</f>
        <v>3.7</v>
      </c>
      <c r="AJ911" s="34">
        <f>IF(E911=1,Orders!N908,"")</f>
        <v>1.2</v>
      </c>
      <c r="AK911" s="34">
        <f>IF(E911=1,Orders!O908,"")</f>
        <v>7.2</v>
      </c>
      <c r="AL911" s="33">
        <f>IF(E911=1,IF(ROUND(ABS(AI911+AJ911+AK911-AH911),6)&lt;=0.1,1,0),"")</f>
        <v>1</v>
      </c>
      <c r="AM911" s="36">
        <f>IF(E911=1,AI911/AH911,"")</f>
        <v>0.305785123966942</v>
      </c>
      <c r="AN911" s="36">
        <f>IF(E911=1,AJ911/AH911,"")</f>
        <v>0.0991735537190083</v>
      </c>
      <c r="AO911" s="36">
        <f>IF(E911=1,AK911/AH911,"")</f>
        <v>0.59504132231405</v>
      </c>
      <c r="AP911" s="34">
        <f>IF(E911=1,Orders!Y908,"")</f>
        <v>0.32</v>
      </c>
      <c r="AQ911" s="33">
        <f>IF(Orders!X908,1,0)</f>
        <v>0</v>
      </c>
      <c r="AR911" s="34" t="str">
        <f>IF(AND(E911=1,L911=1),AJ911,"")</f>
        <v/>
      </c>
      <c r="AS911" s="34">
        <f>IF(AND(E911=1,L911=0),AJ911,"")</f>
        <v>1.2</v>
      </c>
      <c r="AT911" s="34" t="str">
        <f>IF(AND(E911=1,L911=1),AI911,"")</f>
        <v/>
      </c>
      <c r="AU911" s="34">
        <f>IF(AND(E911=1,L911=0),AI911,"")</f>
        <v>3.7</v>
      </c>
      <c r="AV911" s="34" t="str">
        <f>IF(AND(E911=1,L911=1),AG911,"")</f>
        <v/>
      </c>
      <c r="AW911" s="34">
        <f>IF(AND(E911=1,L911=0),AG911,"")</f>
        <v>12.5</v>
      </c>
      <c r="AX911" s="34" t="str">
        <f>IF(AND(E911=1,L911=1),AH911,"")</f>
        <v/>
      </c>
      <c r="AY911" s="34">
        <f>IF(AND(E911=1,L911=0),AH911,"")</f>
        <v>12.1</v>
      </c>
      <c r="AZ911" s="34" t="str">
        <f>IF(G911=1,F911,"")</f>
        <v/>
      </c>
      <c r="BA911" s="34" t="str">
        <f>IF(AND(G911=1,L911=1),F911,"")</f>
        <v/>
      </c>
      <c r="BB911" s="34" t="str">
        <f>IF(AND(G911=1,L911=0),F911,"")</f>
        <v/>
      </c>
      <c r="BC911" s="33">
        <f>IF(E911=1,IF(Orders!R908&gt;3,1,0),"")</f>
        <v>0</v>
      </c>
      <c r="BD911" s="33">
        <f>IF(E911=1,IF(Orders!R908&gt;7,1,0),"")</f>
        <v>0</v>
      </c>
      <c r="BE911" s="32" t="str">
        <f>IF(E911=1,IF(Orders!L908&lt;=1.5,"Up to 1.5 km",IF(Orders!L908&lt;=3,"1.5–3 km","Over 3 km")),"")</f>
        <v>1.5–3 km</v>
      </c>
      <c r="BF911" s="33">
        <f>IF(E911=1,IF(ABS((Orders!G908-Orders!F908)*1440-Orders!R908)&lt;0.06,1,0),"")</f>
        <v>1</v>
      </c>
      <c r="BG911" s="33">
        <f>IF(ABS((Orders!F908-Orders!E908)*1440-Orders!P908)&lt;0.06,1,0)</f>
        <v>1</v>
      </c>
      <c r="BH911" s="33">
        <f>IF(E911=1,IF(IF(Orders!S908,1,0)=1-G911,1,0),"")</f>
        <v>1</v>
      </c>
      <c r="BI911" s="32" t="str">
        <f>INDEX(Stores!$B$2:$B$21,MATCH(B911,Stores!$A$2:$A$21,0))</f>
        <v>Pune</v>
      </c>
    </row>
    <row r="912">
      <c r="A912" s="32" t="str">
        <f>Orders!A909</f>
        <v>O00908</v>
      </c>
      <c r="B912" s="32" t="str">
        <f>Orders!C909</f>
        <v>S009</v>
      </c>
      <c r="C912" s="32" t="str">
        <f>Orders!B909</f>
        <v>C0144</v>
      </c>
      <c r="D912" s="32" t="str">
        <f>Orders!H909</f>
        <v>Delivered</v>
      </c>
      <c r="E912" s="33">
        <f>IF(Orders!H909="Delivered",1,0)</f>
        <v>1</v>
      </c>
      <c r="F912" s="34">
        <f>IF(E912=1,Orders!R909,"")</f>
        <v>-2.1</v>
      </c>
      <c r="G912" s="33">
        <f>IF(E912=1,IF(Orders!R909&gt;0,1,0),"")</f>
        <v>0</v>
      </c>
      <c r="H912" s="33">
        <f>IF(E912=1,IF(Orders!R909&gt;5,1,0),"")</f>
        <v>0</v>
      </c>
      <c r="I912" s="32" t="str">
        <f>IF(E912=1,"",IF(OR(Orders!T909="Rider unavailable",Orders!T909="Item unavailable"),"Company-caused","Unresolved"))</f>
        <v/>
      </c>
      <c r="J912" s="33">
        <f>IF(OR(E912=1,I912="Company-caused"),1,0)</f>
        <v>1</v>
      </c>
      <c r="K912" s="32" t="str">
        <f>IF(E912=0,IF(I912="Company-caused",IF(Orders!T909="Rider unavailable","C1 Rider unavailable","C2 Item unavailable"),"Outside root: unresolved"),IF(G912=0,"A On time",IF(H912=1,IF(L912=1,"B2a Severe, peak","B2b Severe, off-peak"),IF(L912=1,"B1a Slight, peak","B1b Slight, off-peak"))))</f>
        <v>A On time</v>
      </c>
      <c r="L912" s="33">
        <f>IF(AND(Orders!U909&gt;=19,Orders!U909&lt;22),1,0)</f>
        <v>0</v>
      </c>
      <c r="M912" s="33">
        <f>IF(L912=IF(Orders!V909,1,0),1,0)</f>
        <v>1</v>
      </c>
      <c r="N912" s="32" t="str">
        <f>IF(Orders!W909="","None",Orders!W909)</f>
        <v>None</v>
      </c>
      <c r="O912" s="35">
        <f>INT(Orders!E909)</f>
        <v>46269.0</v>
      </c>
      <c r="P912" s="33">
        <f>Orders!U909</f>
        <v>15</v>
      </c>
      <c r="Q912" s="33">
        <f>COUNTIFS(Demand!$A$2:$A$4481,B912,Demand!$B$2:$B$4481,O912,Demand!$C$2:$C$4481,P912)</f>
        <v>1</v>
      </c>
      <c r="R912" s="33">
        <f>IF(Q912=1,SUMIFS(Demand!$E$2:$E$4481,Demand!$A$2:$A$4481,B912,Demand!$B$2:$B$4481,O912,Demand!$C$2:$C$4481,P912),"")</f>
        <v>17</v>
      </c>
      <c r="S912" s="33">
        <f>INDEX(Stores!$G$2:$G$21,MATCH(B912,Stores!$A$2:$A$21,0))</f>
        <v>29</v>
      </c>
      <c r="T912" s="34">
        <f>IF(R912="","",R912/S912)</f>
        <v>0.586206896551724</v>
      </c>
      <c r="U912" s="34">
        <f>IF(E912=1,T912,"")</f>
        <v>0.586206896551724</v>
      </c>
      <c r="V912" s="34">
        <f>IF(AND(E912=1,L912=0),T912,"")</f>
        <v>0.586206896551724</v>
      </c>
      <c r="W912" s="33">
        <f>IF(U912="","",IF(U912&lt;=Breakdowns!$C$5,1,IF(U912&lt;=Breakdowns!$C$6,2,IF(U912&lt;=Breakdowns!$C$7,3,4))))</f>
        <v>1</v>
      </c>
      <c r="X912" s="33">
        <f>IF(V912="","",IF(V912&lt;=Breakdowns!$D$5,1,IF(V912&lt;=Breakdowns!$D$6,2,IF(V912&lt;=Breakdowns!$D$7,3,4))))</f>
        <v>1</v>
      </c>
      <c r="Y912" s="34">
        <f>INDEX(Stores!$F$2:$F$21,MATCH(B912,Stores!$A$2:$A$21,0))</f>
        <v>2.66</v>
      </c>
      <c r="Z912" s="33">
        <f>IF(Y912&gt;Store_Summary!$M$2,1,0)</f>
        <v>0</v>
      </c>
      <c r="AA912" s="33">
        <f>INDEX(Stores!$C$2:$C$21,MATCH(B912,Stores!$A$2:$A$21,0))</f>
        <v>645</v>
      </c>
      <c r="AB912" s="33">
        <f>IF(AA912&lt;180,1,0)</f>
        <v>0</v>
      </c>
      <c r="AC912" s="32" t="str">
        <f>IF(Orders!D909="","",INDEX(Riders!$C$2:$C$81,MATCH(Orders!D909,Riders!$A$2:$A$81,0)))</f>
        <v>Bicycle</v>
      </c>
      <c r="AD912" s="33">
        <f>IF(Orders!D909="","",INDEX(Riders!$D$2:$D$81,MATCH(Orders!D909,Riders!$A$2:$A$81,0)))</f>
        <v>2</v>
      </c>
      <c r="AE912" s="33">
        <f>IF(Orders!D909="","",IF(INDEX(Riders!$B$2:$B$81,MATCH(Orders!D909,Riders!$A$2:$A$81,0))=B912,1,0))</f>
        <v>0</v>
      </c>
      <c r="AF912" s="34">
        <f>IF(E912=1,Orders!L909,"")</f>
        <v>1.3</v>
      </c>
      <c r="AG912" s="34">
        <f>IF(E912=1,Orders!P909,"")</f>
        <v>10.9</v>
      </c>
      <c r="AH912" s="34">
        <f>IF(E912=1,Orders!Q909,"")</f>
        <v>8.8</v>
      </c>
      <c r="AI912" s="34">
        <f>IF(E912=1,Orders!M909,"")</f>
        <v>2.6</v>
      </c>
      <c r="AJ912" s="34">
        <f>IF(E912=1,Orders!N909,"")</f>
        <v>3.1</v>
      </c>
      <c r="AK912" s="34">
        <f>IF(E912=1,Orders!O909,"")</f>
        <v>3</v>
      </c>
      <c r="AL912" s="33">
        <f>IF(E912=1,IF(ROUND(ABS(AI912+AJ912+AK912-AH912),6)&lt;=0.1,1,0),"")</f>
        <v>1</v>
      </c>
      <c r="AM912" s="36">
        <f>IF(E912=1,AI912/AH912,"")</f>
        <v>0.295454545454545</v>
      </c>
      <c r="AN912" s="36">
        <f>IF(E912=1,AJ912/AH912,"")</f>
        <v>0.352272727272727</v>
      </c>
      <c r="AO912" s="36">
        <f>IF(E912=1,AK912/AH912,"")</f>
        <v>0.340909090909091</v>
      </c>
      <c r="AP912" s="34">
        <f>IF(E912=1,Orders!Y909,"")</f>
        <v>0.18</v>
      </c>
      <c r="AQ912" s="33">
        <f>IF(Orders!X909,1,0)</f>
        <v>0</v>
      </c>
      <c r="AR912" s="34" t="str">
        <f>IF(AND(E912=1,L912=1),AJ912,"")</f>
        <v/>
      </c>
      <c r="AS912" s="34">
        <f>IF(AND(E912=1,L912=0),AJ912,"")</f>
        <v>3.1</v>
      </c>
      <c r="AT912" s="34" t="str">
        <f>IF(AND(E912=1,L912=1),AI912,"")</f>
        <v/>
      </c>
      <c r="AU912" s="34">
        <f>IF(AND(E912=1,L912=0),AI912,"")</f>
        <v>2.6</v>
      </c>
      <c r="AV912" s="34" t="str">
        <f>IF(AND(E912=1,L912=1),AG912,"")</f>
        <v/>
      </c>
      <c r="AW912" s="34">
        <f>IF(AND(E912=1,L912=0),AG912,"")</f>
        <v>10.9</v>
      </c>
      <c r="AX912" s="34" t="str">
        <f>IF(AND(E912=1,L912=1),AH912,"")</f>
        <v/>
      </c>
      <c r="AY912" s="34">
        <f>IF(AND(E912=1,L912=0),AH912,"")</f>
        <v>8.8</v>
      </c>
      <c r="AZ912" s="34" t="str">
        <f>IF(G912=1,F912,"")</f>
        <v/>
      </c>
      <c r="BA912" s="34" t="str">
        <f>IF(AND(G912=1,L912=1),F912,"")</f>
        <v/>
      </c>
      <c r="BB912" s="34" t="str">
        <f>IF(AND(G912=1,L912=0),F912,"")</f>
        <v/>
      </c>
      <c r="BC912" s="33">
        <f>IF(E912=1,IF(Orders!R909&gt;3,1,0),"")</f>
        <v>0</v>
      </c>
      <c r="BD912" s="33">
        <f>IF(E912=1,IF(Orders!R909&gt;7,1,0),"")</f>
        <v>0</v>
      </c>
      <c r="BE912" s="32" t="str">
        <f>IF(E912=1,IF(Orders!L909&lt;=1.5,"Up to 1.5 km",IF(Orders!L909&lt;=3,"1.5–3 km","Over 3 km")),"")</f>
        <v>Up to 1.5 km</v>
      </c>
      <c r="BF912" s="33">
        <f>IF(E912=1,IF(ABS((Orders!G909-Orders!F909)*1440-Orders!R909)&lt;0.06,1,0),"")</f>
        <v>1</v>
      </c>
      <c r="BG912" s="33">
        <f>IF(ABS((Orders!F909-Orders!E909)*1440-Orders!P909)&lt;0.06,1,0)</f>
        <v>1</v>
      </c>
      <c r="BH912" s="33">
        <f>IF(E912=1,IF(IF(Orders!S909,1,0)=1-G912,1,0),"")</f>
        <v>1</v>
      </c>
      <c r="BI912" s="32" t="str">
        <f>INDEX(Stores!$B$2:$B$21,MATCH(B912,Stores!$A$2:$A$21,0))</f>
        <v>Pune</v>
      </c>
    </row>
    <row r="913">
      <c r="A913" s="32" t="str">
        <f>Orders!A910</f>
        <v>O00909</v>
      </c>
      <c r="B913" s="32" t="str">
        <f>Orders!C910</f>
        <v>S002</v>
      </c>
      <c r="C913" s="32" t="str">
        <f>Orders!B910</f>
        <v>C0209</v>
      </c>
      <c r="D913" s="32" t="str">
        <f>Orders!H910</f>
        <v>Delivered</v>
      </c>
      <c r="E913" s="33">
        <f>IF(Orders!H910="Delivered",1,0)</f>
        <v>1</v>
      </c>
      <c r="F913" s="34">
        <f>IF(E913=1,Orders!R910,"")</f>
        <v>-1.1</v>
      </c>
      <c r="G913" s="33">
        <f>IF(E913=1,IF(Orders!R910&gt;0,1,0),"")</f>
        <v>0</v>
      </c>
      <c r="H913" s="33">
        <f>IF(E913=1,IF(Orders!R910&gt;5,1,0),"")</f>
        <v>0</v>
      </c>
      <c r="I913" s="32" t="str">
        <f>IF(E913=1,"",IF(OR(Orders!T910="Rider unavailable",Orders!T910="Item unavailable"),"Company-caused","Unresolved"))</f>
        <v/>
      </c>
      <c r="J913" s="33">
        <f>IF(OR(E913=1,I913="Company-caused"),1,0)</f>
        <v>1</v>
      </c>
      <c r="K913" s="32" t="str">
        <f>IF(E913=0,IF(I913="Company-caused",IF(Orders!T910="Rider unavailable","C1 Rider unavailable","C2 Item unavailable"),"Outside root: unresolved"),IF(G913=0,"A On time",IF(H913=1,IF(L913=1,"B2a Severe, peak","B2b Severe, off-peak"),IF(L913=1,"B1a Slight, peak","B1b Slight, off-peak"))))</f>
        <v>A On time</v>
      </c>
      <c r="L913" s="33">
        <f>IF(AND(Orders!U910&gt;=19,Orders!U910&lt;22),1,0)</f>
        <v>0</v>
      </c>
      <c r="M913" s="33">
        <f>IF(L913=IF(Orders!V910,1,0),1,0)</f>
        <v>1</v>
      </c>
      <c r="N913" s="32" t="str">
        <f>IF(Orders!W910="","None",Orders!W910)</f>
        <v>None</v>
      </c>
      <c r="O913" s="35">
        <f>INT(Orders!E910)</f>
        <v>46275.0</v>
      </c>
      <c r="P913" s="33">
        <f>Orders!U910</f>
        <v>11</v>
      </c>
      <c r="Q913" s="33">
        <f>COUNTIFS(Demand!$A$2:$A$4481,B913,Demand!$B$2:$B$4481,O913,Demand!$C$2:$C$4481,P913)</f>
        <v>1</v>
      </c>
      <c r="R913" s="33">
        <f>IF(Q913=1,SUMIFS(Demand!$E$2:$E$4481,Demand!$A$2:$A$4481,B913,Demand!$B$2:$B$4481,O913,Demand!$C$2:$C$4481,P913),"")</f>
        <v>35</v>
      </c>
      <c r="S913" s="33">
        <f>INDEX(Stores!$G$2:$G$21,MATCH(B913,Stores!$A$2:$A$21,0))</f>
        <v>33</v>
      </c>
      <c r="T913" s="34">
        <f>IF(R913="","",R913/S913)</f>
        <v>1.06060606060606</v>
      </c>
      <c r="U913" s="34">
        <f>IF(E913=1,T913,"")</f>
        <v>1.06060606060606</v>
      </c>
      <c r="V913" s="34">
        <f>IF(AND(E913=1,L913=0),T913,"")</f>
        <v>1.06060606060606</v>
      </c>
      <c r="W913" s="33">
        <f>IF(U913="","",IF(U913&lt;=Breakdowns!$C$5,1,IF(U913&lt;=Breakdowns!$C$6,2,IF(U913&lt;=Breakdowns!$C$7,3,4))))</f>
        <v>3</v>
      </c>
      <c r="X913" s="33">
        <f>IF(V913="","",IF(V913&lt;=Breakdowns!$D$5,1,IF(V913&lt;=Breakdowns!$D$6,2,IF(V913&lt;=Breakdowns!$D$7,3,4))))</f>
        <v>3</v>
      </c>
      <c r="Y913" s="34">
        <f>INDEX(Stores!$F$2:$F$21,MATCH(B913,Stores!$A$2:$A$21,0))</f>
        <v>2.39</v>
      </c>
      <c r="Z913" s="33">
        <f>IF(Y913&gt;Store_Summary!$M$2,1,0)</f>
        <v>0</v>
      </c>
      <c r="AA913" s="33">
        <f>INDEX(Stores!$C$2:$C$21,MATCH(B913,Stores!$A$2:$A$21,0))</f>
        <v>470</v>
      </c>
      <c r="AB913" s="33">
        <f>IF(AA913&lt;180,1,0)</f>
        <v>0</v>
      </c>
      <c r="AC913" s="32" t="str">
        <f>IF(Orders!D910="","",INDEX(Riders!$C$2:$C$81,MATCH(Orders!D910,Riders!$A$2:$A$81,0)))</f>
        <v>Petrol scooter</v>
      </c>
      <c r="AD913" s="33">
        <f>IF(Orders!D910="","",INDEX(Riders!$D$2:$D$81,MATCH(Orders!D910,Riders!$A$2:$A$81,0)))</f>
        <v>29</v>
      </c>
      <c r="AE913" s="33">
        <f>IF(Orders!D910="","",IF(INDEX(Riders!$B$2:$B$81,MATCH(Orders!D910,Riders!$A$2:$A$81,0))=B913,1,0))</f>
        <v>0</v>
      </c>
      <c r="AF913" s="34">
        <f>IF(E913=1,Orders!L910,"")</f>
        <v>3.24</v>
      </c>
      <c r="AG913" s="34">
        <f>IF(E913=1,Orders!P910,"")</f>
        <v>11.1</v>
      </c>
      <c r="AH913" s="34">
        <f>IF(E913=1,Orders!Q910,"")</f>
        <v>10</v>
      </c>
      <c r="AI913" s="34">
        <f>IF(E913=1,Orders!M910,"")</f>
        <v>2.8</v>
      </c>
      <c r="AJ913" s="34">
        <f>IF(E913=1,Orders!N910,"")</f>
        <v>0</v>
      </c>
      <c r="AK913" s="34">
        <f>IF(E913=1,Orders!O910,"")</f>
        <v>7.2</v>
      </c>
      <c r="AL913" s="33">
        <f>IF(E913=1,IF(ROUND(ABS(AI913+AJ913+AK913-AH913),6)&lt;=0.1,1,0),"")</f>
        <v>1</v>
      </c>
      <c r="AM913" s="36">
        <f>IF(E913=1,AI913/AH913,"")</f>
        <v>0.28</v>
      </c>
      <c r="AN913" s="36">
        <f>IF(E913=1,AJ913/AH913,"")</f>
        <v>0</v>
      </c>
      <c r="AO913" s="36">
        <f>IF(E913=1,AK913/AH913,"")</f>
        <v>0.72</v>
      </c>
      <c r="AP913" s="34">
        <f>IF(E913=1,Orders!Y910,"")</f>
        <v>0.63</v>
      </c>
      <c r="AQ913" s="33">
        <f>IF(Orders!X910,1,0)</f>
        <v>0</v>
      </c>
      <c r="AR913" s="34" t="str">
        <f>IF(AND(E913=1,L913=1),AJ913,"")</f>
        <v/>
      </c>
      <c r="AS913" s="34">
        <f>IF(AND(E913=1,L913=0),AJ913,"")</f>
        <v>0</v>
      </c>
      <c r="AT913" s="34" t="str">
        <f>IF(AND(E913=1,L913=1),AI913,"")</f>
        <v/>
      </c>
      <c r="AU913" s="34">
        <f>IF(AND(E913=1,L913=0),AI913,"")</f>
        <v>2.8</v>
      </c>
      <c r="AV913" s="34" t="str">
        <f>IF(AND(E913=1,L913=1),AG913,"")</f>
        <v/>
      </c>
      <c r="AW913" s="34">
        <f>IF(AND(E913=1,L913=0),AG913,"")</f>
        <v>11.1</v>
      </c>
      <c r="AX913" s="34" t="str">
        <f>IF(AND(E913=1,L913=1),AH913,"")</f>
        <v/>
      </c>
      <c r="AY913" s="34">
        <f>IF(AND(E913=1,L913=0),AH913,"")</f>
        <v>10</v>
      </c>
      <c r="AZ913" s="34" t="str">
        <f>IF(G913=1,F913,"")</f>
        <v/>
      </c>
      <c r="BA913" s="34" t="str">
        <f>IF(AND(G913=1,L913=1),F913,"")</f>
        <v/>
      </c>
      <c r="BB913" s="34" t="str">
        <f>IF(AND(G913=1,L913=0),F913,"")</f>
        <v/>
      </c>
      <c r="BC913" s="33">
        <f>IF(E913=1,IF(Orders!R910&gt;3,1,0),"")</f>
        <v>0</v>
      </c>
      <c r="BD913" s="33">
        <f>IF(E913=1,IF(Orders!R910&gt;7,1,0),"")</f>
        <v>0</v>
      </c>
      <c r="BE913" s="32" t="str">
        <f>IF(E913=1,IF(Orders!L910&lt;=1.5,"Up to 1.5 km",IF(Orders!L910&lt;=3,"1.5–3 km","Over 3 km")),"")</f>
        <v>Over 3 km</v>
      </c>
      <c r="BF913" s="33">
        <f>IF(E913=1,IF(ABS((Orders!G910-Orders!F910)*1440-Orders!R910)&lt;0.06,1,0),"")</f>
        <v>1</v>
      </c>
      <c r="BG913" s="33">
        <f>IF(ABS((Orders!F910-Orders!E910)*1440-Orders!P910)&lt;0.06,1,0)</f>
        <v>1</v>
      </c>
      <c r="BH913" s="33">
        <f>IF(E913=1,IF(IF(Orders!S910,1,0)=1-G913,1,0),"")</f>
        <v>1</v>
      </c>
      <c r="BI913" s="32" t="str">
        <f>INDEX(Stores!$B$2:$B$21,MATCH(B913,Stores!$A$2:$A$21,0))</f>
        <v>Hyderabad</v>
      </c>
    </row>
    <row r="914">
      <c r="A914" s="32" t="str">
        <f>Orders!A911</f>
        <v>O00910</v>
      </c>
      <c r="B914" s="32" t="str">
        <f>Orders!C911</f>
        <v>S019</v>
      </c>
      <c r="C914" s="32" t="str">
        <f>Orders!B911</f>
        <v>C0242</v>
      </c>
      <c r="D914" s="32" t="str">
        <f>Orders!H911</f>
        <v>Delivered</v>
      </c>
      <c r="E914" s="33">
        <f>IF(Orders!H911="Delivered",1,0)</f>
        <v>1</v>
      </c>
      <c r="F914" s="34">
        <f>IF(E914=1,Orders!R911,"")</f>
        <v>-0.2</v>
      </c>
      <c r="G914" s="33">
        <f>IF(E914=1,IF(Orders!R911&gt;0,1,0),"")</f>
        <v>0</v>
      </c>
      <c r="H914" s="33">
        <f>IF(E914=1,IF(Orders!R911&gt;5,1,0),"")</f>
        <v>0</v>
      </c>
      <c r="I914" s="32" t="str">
        <f>IF(E914=1,"",IF(OR(Orders!T911="Rider unavailable",Orders!T911="Item unavailable"),"Company-caused","Unresolved"))</f>
        <v/>
      </c>
      <c r="J914" s="33">
        <f>IF(OR(E914=1,I914="Company-caused"),1,0)</f>
        <v>1</v>
      </c>
      <c r="K914" s="32" t="str">
        <f>IF(E914=0,IF(I914="Company-caused",IF(Orders!T911="Rider unavailable","C1 Rider unavailable","C2 Item unavailable"),"Outside root: unresolved"),IF(G914=0,"A On time",IF(H914=1,IF(L914=1,"B2a Severe, peak","B2b Severe, off-peak"),IF(L914=1,"B1a Slight, peak","B1b Slight, off-peak"))))</f>
        <v>A On time</v>
      </c>
      <c r="L914" s="33">
        <f>IF(AND(Orders!U911&gt;=19,Orders!U911&lt;22),1,0)</f>
        <v>0</v>
      </c>
      <c r="M914" s="33">
        <f>IF(L914=IF(Orders!V911,1,0),1,0)</f>
        <v>1</v>
      </c>
      <c r="N914" s="32" t="str">
        <f>IF(Orders!W911="","None",Orders!W911)</f>
        <v>None</v>
      </c>
      <c r="O914" s="35">
        <f>INT(Orders!E911)</f>
        <v>46267.0</v>
      </c>
      <c r="P914" s="33">
        <f>Orders!U911</f>
        <v>13</v>
      </c>
      <c r="Q914" s="33">
        <f>COUNTIFS(Demand!$A$2:$A$4481,B914,Demand!$B$2:$B$4481,O914,Demand!$C$2:$C$4481,P914)</f>
        <v>1</v>
      </c>
      <c r="R914" s="33">
        <f>IF(Q914=1,SUMIFS(Demand!$E$2:$E$4481,Demand!$A$2:$A$4481,B914,Demand!$B$2:$B$4481,O914,Demand!$C$2:$C$4481,P914),"")</f>
        <v>25</v>
      </c>
      <c r="S914" s="33">
        <f>INDEX(Stores!$G$2:$G$21,MATCH(B914,Stores!$A$2:$A$21,0))</f>
        <v>22</v>
      </c>
      <c r="T914" s="34">
        <f>IF(R914="","",R914/S914)</f>
        <v>1.13636363636364</v>
      </c>
      <c r="U914" s="34">
        <f>IF(E914=1,T914,"")</f>
        <v>1.13636363636364</v>
      </c>
      <c r="V914" s="34">
        <f>IF(AND(E914=1,L914=0),T914,"")</f>
        <v>1.13636363636364</v>
      </c>
      <c r="W914" s="33">
        <f>IF(U914="","",IF(U914&lt;=Breakdowns!$C$5,1,IF(U914&lt;=Breakdowns!$C$6,2,IF(U914&lt;=Breakdowns!$C$7,3,4))))</f>
        <v>3</v>
      </c>
      <c r="X914" s="33">
        <f>IF(V914="","",IF(V914&lt;=Breakdowns!$D$5,1,IF(V914&lt;=Breakdowns!$D$6,2,IF(V914&lt;=Breakdowns!$D$7,3,4))))</f>
        <v>4</v>
      </c>
      <c r="Y914" s="34">
        <f>INDEX(Stores!$F$2:$F$21,MATCH(B914,Stores!$A$2:$A$21,0))</f>
        <v>4.99</v>
      </c>
      <c r="Z914" s="33">
        <f>IF(Y914&gt;Store_Summary!$M$2,1,0)</f>
        <v>1</v>
      </c>
      <c r="AA914" s="33">
        <f>INDEX(Stores!$C$2:$C$21,MATCH(B914,Stores!$A$2:$A$21,0))</f>
        <v>851</v>
      </c>
      <c r="AB914" s="33">
        <f>IF(AA914&lt;180,1,0)</f>
        <v>0</v>
      </c>
      <c r="AC914" s="32" t="str">
        <f>IF(Orders!D911="","",INDEX(Riders!$C$2:$C$81,MATCH(Orders!D911,Riders!$A$2:$A$81,0)))</f>
        <v>Petrol scooter</v>
      </c>
      <c r="AD914" s="33">
        <f>IF(Orders!D911="","",INDEX(Riders!$D$2:$D$81,MATCH(Orders!D911,Riders!$A$2:$A$81,0)))</f>
        <v>35</v>
      </c>
      <c r="AE914" s="33">
        <f>IF(Orders!D911="","",IF(INDEX(Riders!$B$2:$B$81,MATCH(Orders!D911,Riders!$A$2:$A$81,0))=B914,1,0))</f>
        <v>0</v>
      </c>
      <c r="AF914" s="34">
        <f>IF(E914=1,Orders!L911,"")</f>
        <v>0.74</v>
      </c>
      <c r="AG914" s="34">
        <f>IF(E914=1,Orders!P911,"")</f>
        <v>10.7</v>
      </c>
      <c r="AH914" s="34">
        <f>IF(E914=1,Orders!Q911,"")</f>
        <v>10.5</v>
      </c>
      <c r="AI914" s="34">
        <f>IF(E914=1,Orders!M911,"")</f>
        <v>3.5</v>
      </c>
      <c r="AJ914" s="34">
        <f>IF(E914=1,Orders!N911,"")</f>
        <v>4.6</v>
      </c>
      <c r="AK914" s="34">
        <f>IF(E914=1,Orders!O911,"")</f>
        <v>2.4</v>
      </c>
      <c r="AL914" s="33">
        <f>IF(E914=1,IF(ROUND(ABS(AI914+AJ914+AK914-AH914),6)&lt;=0.1,1,0),"")</f>
        <v>1</v>
      </c>
      <c r="AM914" s="36">
        <f>IF(E914=1,AI914/AH914,"")</f>
        <v>0.333333333333333</v>
      </c>
      <c r="AN914" s="36">
        <f>IF(E914=1,AJ914/AH914,"")</f>
        <v>0.438095238095238</v>
      </c>
      <c r="AO914" s="36">
        <f>IF(E914=1,AK914/AH914,"")</f>
        <v>0.228571428571429</v>
      </c>
      <c r="AP914" s="34">
        <f>IF(E914=1,Orders!Y911,"")</f>
        <v>0.72</v>
      </c>
      <c r="AQ914" s="33">
        <f>IF(Orders!X911,1,0)</f>
        <v>0</v>
      </c>
      <c r="AR914" s="34" t="str">
        <f>IF(AND(E914=1,L914=1),AJ914,"")</f>
        <v/>
      </c>
      <c r="AS914" s="34">
        <f>IF(AND(E914=1,L914=0),AJ914,"")</f>
        <v>4.6</v>
      </c>
      <c r="AT914" s="34" t="str">
        <f>IF(AND(E914=1,L914=1),AI914,"")</f>
        <v/>
      </c>
      <c r="AU914" s="34">
        <f>IF(AND(E914=1,L914=0),AI914,"")</f>
        <v>3.5</v>
      </c>
      <c r="AV914" s="34" t="str">
        <f>IF(AND(E914=1,L914=1),AG914,"")</f>
        <v/>
      </c>
      <c r="AW914" s="34">
        <f>IF(AND(E914=1,L914=0),AG914,"")</f>
        <v>10.7</v>
      </c>
      <c r="AX914" s="34" t="str">
        <f>IF(AND(E914=1,L914=1),AH914,"")</f>
        <v/>
      </c>
      <c r="AY914" s="34">
        <f>IF(AND(E914=1,L914=0),AH914,"")</f>
        <v>10.5</v>
      </c>
      <c r="AZ914" s="34" t="str">
        <f>IF(G914=1,F914,"")</f>
        <v/>
      </c>
      <c r="BA914" s="34" t="str">
        <f>IF(AND(G914=1,L914=1),F914,"")</f>
        <v/>
      </c>
      <c r="BB914" s="34" t="str">
        <f>IF(AND(G914=1,L914=0),F914,"")</f>
        <v/>
      </c>
      <c r="BC914" s="33">
        <f>IF(E914=1,IF(Orders!R911&gt;3,1,0),"")</f>
        <v>0</v>
      </c>
      <c r="BD914" s="33">
        <f>IF(E914=1,IF(Orders!R911&gt;7,1,0),"")</f>
        <v>0</v>
      </c>
      <c r="BE914" s="32" t="str">
        <f>IF(E914=1,IF(Orders!L911&lt;=1.5,"Up to 1.5 km",IF(Orders!L911&lt;=3,"1.5–3 km","Over 3 km")),"")</f>
        <v>Up to 1.5 km</v>
      </c>
      <c r="BF914" s="33">
        <f>IF(E914=1,IF(ABS((Orders!G911-Orders!F911)*1440-Orders!R911)&lt;0.06,1,0),"")</f>
        <v>1</v>
      </c>
      <c r="BG914" s="33">
        <f>IF(ABS((Orders!F911-Orders!E911)*1440-Orders!P911)&lt;0.06,1,0)</f>
        <v>1</v>
      </c>
      <c r="BH914" s="33">
        <f>IF(E914=1,IF(IF(Orders!S911,1,0)=1-G914,1,0),"")</f>
        <v>1</v>
      </c>
      <c r="BI914" s="32" t="str">
        <f>INDEX(Stores!$B$2:$B$21,MATCH(B914,Stores!$A$2:$A$21,0))</f>
        <v>Pune</v>
      </c>
    </row>
    <row r="915">
      <c r="A915" s="32" t="str">
        <f>Orders!A912</f>
        <v>O00911</v>
      </c>
      <c r="B915" s="32" t="str">
        <f>Orders!C912</f>
        <v>S018</v>
      </c>
      <c r="C915" s="32" t="str">
        <f>Orders!B912</f>
        <v>C0250</v>
      </c>
      <c r="D915" s="32" t="str">
        <f>Orders!H912</f>
        <v>Delivered</v>
      </c>
      <c r="E915" s="33">
        <f>IF(Orders!H912="Delivered",1,0)</f>
        <v>1</v>
      </c>
      <c r="F915" s="34">
        <f>IF(E915=1,Orders!R912,"")</f>
        <v>-0.9</v>
      </c>
      <c r="G915" s="33">
        <f>IF(E915=1,IF(Orders!R912&gt;0,1,0),"")</f>
        <v>0</v>
      </c>
      <c r="H915" s="33">
        <f>IF(E915=1,IF(Orders!R912&gt;5,1,0),"")</f>
        <v>0</v>
      </c>
      <c r="I915" s="32" t="str">
        <f>IF(E915=1,"",IF(OR(Orders!T912="Rider unavailable",Orders!T912="Item unavailable"),"Company-caused","Unresolved"))</f>
        <v/>
      </c>
      <c r="J915" s="33">
        <f>IF(OR(E915=1,I915="Company-caused"),1,0)</f>
        <v>1</v>
      </c>
      <c r="K915" s="32" t="str">
        <f>IF(E915=0,IF(I915="Company-caused",IF(Orders!T912="Rider unavailable","C1 Rider unavailable","C2 Item unavailable"),"Outside root: unresolved"),IF(G915=0,"A On time",IF(H915=1,IF(L915=1,"B2a Severe, peak","B2b Severe, off-peak"),IF(L915=1,"B1a Slight, peak","B1b Slight, off-peak"))))</f>
        <v>A On time</v>
      </c>
      <c r="L915" s="33">
        <f>IF(AND(Orders!U912&gt;=19,Orders!U912&lt;22),1,0)</f>
        <v>0</v>
      </c>
      <c r="M915" s="33">
        <f>IF(L915=IF(Orders!V912,1,0),1,0)</f>
        <v>1</v>
      </c>
      <c r="N915" s="32" t="str">
        <f>IF(Orders!W912="","None",Orders!W912)</f>
        <v>None</v>
      </c>
      <c r="O915" s="35">
        <f>INT(Orders!E912)</f>
        <v>46277.0</v>
      </c>
      <c r="P915" s="33">
        <f>Orders!U912</f>
        <v>11</v>
      </c>
      <c r="Q915" s="33">
        <f>COUNTIFS(Demand!$A$2:$A$4481,B915,Demand!$B$2:$B$4481,O915,Demand!$C$2:$C$4481,P915)</f>
        <v>1</v>
      </c>
      <c r="R915" s="33">
        <f>IF(Q915=1,SUMIFS(Demand!$E$2:$E$4481,Demand!$A$2:$A$4481,B915,Demand!$B$2:$B$4481,O915,Demand!$C$2:$C$4481,P915),"")</f>
        <v>21</v>
      </c>
      <c r="S915" s="33">
        <f>INDEX(Stores!$G$2:$G$21,MATCH(B915,Stores!$A$2:$A$21,0))</f>
        <v>20</v>
      </c>
      <c r="T915" s="34">
        <f>IF(R915="","",R915/S915)</f>
        <v>1.05</v>
      </c>
      <c r="U915" s="34">
        <f>IF(E915=1,T915,"")</f>
        <v>1.05</v>
      </c>
      <c r="V915" s="34">
        <f>IF(AND(E915=1,L915=0),T915,"")</f>
        <v>1.05</v>
      </c>
      <c r="W915" s="33">
        <f>IF(U915="","",IF(U915&lt;=Breakdowns!$C$5,1,IF(U915&lt;=Breakdowns!$C$6,2,IF(U915&lt;=Breakdowns!$C$7,3,4))))</f>
        <v>3</v>
      </c>
      <c r="X915" s="33">
        <f>IF(V915="","",IF(V915&lt;=Breakdowns!$D$5,1,IF(V915&lt;=Breakdowns!$D$6,2,IF(V915&lt;=Breakdowns!$D$7,3,4))))</f>
        <v>3</v>
      </c>
      <c r="Y915" s="34">
        <f>INDEX(Stores!$F$2:$F$21,MATCH(B915,Stores!$A$2:$A$21,0))</f>
        <v>5.31</v>
      </c>
      <c r="Z915" s="33">
        <f>IF(Y915&gt;Store_Summary!$M$2,1,0)</f>
        <v>1</v>
      </c>
      <c r="AA915" s="33">
        <f>INDEX(Stores!$C$2:$C$21,MATCH(B915,Stores!$A$2:$A$21,0))</f>
        <v>214</v>
      </c>
      <c r="AB915" s="33">
        <f>IF(AA915&lt;180,1,0)</f>
        <v>0</v>
      </c>
      <c r="AC915" s="32" t="str">
        <f>IF(Orders!D912="","",INDEX(Riders!$C$2:$C$81,MATCH(Orders!D912,Riders!$A$2:$A$81,0)))</f>
        <v>EV scooter</v>
      </c>
      <c r="AD915" s="33">
        <f>IF(Orders!D912="","",INDEX(Riders!$D$2:$D$81,MATCH(Orders!D912,Riders!$A$2:$A$81,0)))</f>
        <v>10</v>
      </c>
      <c r="AE915" s="33">
        <f>IF(Orders!D912="","",IF(INDEX(Riders!$B$2:$B$81,MATCH(Orders!D912,Riders!$A$2:$A$81,0))=B915,1,0))</f>
        <v>0</v>
      </c>
      <c r="AF915" s="34">
        <f>IF(E915=1,Orders!L912,"")</f>
        <v>0.71</v>
      </c>
      <c r="AG915" s="34">
        <f>IF(E915=1,Orders!P912,"")</f>
        <v>11.7</v>
      </c>
      <c r="AH915" s="34">
        <f>IF(E915=1,Orders!Q912,"")</f>
        <v>10.8</v>
      </c>
      <c r="AI915" s="34">
        <f>IF(E915=1,Orders!M912,"")</f>
        <v>3.4</v>
      </c>
      <c r="AJ915" s="34">
        <f>IF(E915=1,Orders!N912,"")</f>
        <v>5.3</v>
      </c>
      <c r="AK915" s="34">
        <f>IF(E915=1,Orders!O912,"")</f>
        <v>2.1</v>
      </c>
      <c r="AL915" s="33">
        <f>IF(E915=1,IF(ROUND(ABS(AI915+AJ915+AK915-AH915),6)&lt;=0.1,1,0),"")</f>
        <v>1</v>
      </c>
      <c r="AM915" s="36">
        <f>IF(E915=1,AI915/AH915,"")</f>
        <v>0.314814814814815</v>
      </c>
      <c r="AN915" s="36">
        <f>IF(E915=1,AJ915/AH915,"")</f>
        <v>0.490740740740741</v>
      </c>
      <c r="AO915" s="36">
        <f>IF(E915=1,AK915/AH915,"")</f>
        <v>0.194444444444444</v>
      </c>
      <c r="AP915" s="34">
        <f>IF(E915=1,Orders!Y912,"")</f>
        <v>0.63</v>
      </c>
      <c r="AQ915" s="33">
        <f>IF(Orders!X912,1,0)</f>
        <v>0</v>
      </c>
      <c r="AR915" s="34" t="str">
        <f>IF(AND(E915=1,L915=1),AJ915,"")</f>
        <v/>
      </c>
      <c r="AS915" s="34">
        <f>IF(AND(E915=1,L915=0),AJ915,"")</f>
        <v>5.3</v>
      </c>
      <c r="AT915" s="34" t="str">
        <f>IF(AND(E915=1,L915=1),AI915,"")</f>
        <v/>
      </c>
      <c r="AU915" s="34">
        <f>IF(AND(E915=1,L915=0),AI915,"")</f>
        <v>3.4</v>
      </c>
      <c r="AV915" s="34" t="str">
        <f>IF(AND(E915=1,L915=1),AG915,"")</f>
        <v/>
      </c>
      <c r="AW915" s="34">
        <f>IF(AND(E915=1,L915=0),AG915,"")</f>
        <v>11.7</v>
      </c>
      <c r="AX915" s="34" t="str">
        <f>IF(AND(E915=1,L915=1),AH915,"")</f>
        <v/>
      </c>
      <c r="AY915" s="34">
        <f>IF(AND(E915=1,L915=0),AH915,"")</f>
        <v>10.8</v>
      </c>
      <c r="AZ915" s="34" t="str">
        <f>IF(G915=1,F915,"")</f>
        <v/>
      </c>
      <c r="BA915" s="34" t="str">
        <f>IF(AND(G915=1,L915=1),F915,"")</f>
        <v/>
      </c>
      <c r="BB915" s="34" t="str">
        <f>IF(AND(G915=1,L915=0),F915,"")</f>
        <v/>
      </c>
      <c r="BC915" s="33">
        <f>IF(E915=1,IF(Orders!R912&gt;3,1,0),"")</f>
        <v>0</v>
      </c>
      <c r="BD915" s="33">
        <f>IF(E915=1,IF(Orders!R912&gt;7,1,0),"")</f>
        <v>0</v>
      </c>
      <c r="BE915" s="32" t="str">
        <f>IF(E915=1,IF(Orders!L912&lt;=1.5,"Up to 1.5 km",IF(Orders!L912&lt;=3,"1.5–3 km","Over 3 km")),"")</f>
        <v>Up to 1.5 km</v>
      </c>
      <c r="BF915" s="33">
        <f>IF(E915=1,IF(ABS((Orders!G912-Orders!F912)*1440-Orders!R912)&lt;0.06,1,0),"")</f>
        <v>1</v>
      </c>
      <c r="BG915" s="33">
        <f>IF(ABS((Orders!F912-Orders!E912)*1440-Orders!P912)&lt;0.06,1,0)</f>
        <v>1</v>
      </c>
      <c r="BH915" s="33">
        <f>IF(E915=1,IF(IF(Orders!S912,1,0)=1-G915,1,0),"")</f>
        <v>1</v>
      </c>
      <c r="BI915" s="32" t="str">
        <f>INDEX(Stores!$B$2:$B$21,MATCH(B915,Stores!$A$2:$A$21,0))</f>
        <v>Mumbai</v>
      </c>
    </row>
    <row r="916">
      <c r="A916" s="32" t="str">
        <f>Orders!A913</f>
        <v>O00912</v>
      </c>
      <c r="B916" s="32" t="str">
        <f>Orders!C913</f>
        <v>S012</v>
      </c>
      <c r="C916" s="32" t="str">
        <f>Orders!B913</f>
        <v>C0155</v>
      </c>
      <c r="D916" s="32" t="str">
        <f>Orders!H913</f>
        <v>Delivered</v>
      </c>
      <c r="E916" s="33">
        <f>IF(Orders!H913="Delivered",1,0)</f>
        <v>1</v>
      </c>
      <c r="F916" s="34">
        <f>IF(E916=1,Orders!R913,"")</f>
        <v>-0.8</v>
      </c>
      <c r="G916" s="33">
        <f>IF(E916=1,IF(Orders!R913&gt;0,1,0),"")</f>
        <v>0</v>
      </c>
      <c r="H916" s="33">
        <f>IF(E916=1,IF(Orders!R913&gt;5,1,0),"")</f>
        <v>0</v>
      </c>
      <c r="I916" s="32" t="str">
        <f>IF(E916=1,"",IF(OR(Orders!T913="Rider unavailable",Orders!T913="Item unavailable"),"Company-caused","Unresolved"))</f>
        <v/>
      </c>
      <c r="J916" s="33">
        <f>IF(OR(E916=1,I916="Company-caused"),1,0)</f>
        <v>1</v>
      </c>
      <c r="K916" s="32" t="str">
        <f>IF(E916=0,IF(I916="Company-caused",IF(Orders!T913="Rider unavailable","C1 Rider unavailable","C2 Item unavailable"),"Outside root: unresolved"),IF(G916=0,"A On time",IF(H916=1,IF(L916=1,"B2a Severe, peak","B2b Severe, off-peak"),IF(L916=1,"B1a Slight, peak","B1b Slight, off-peak"))))</f>
        <v>A On time</v>
      </c>
      <c r="L916" s="33">
        <f>IF(AND(Orders!U913&gt;=19,Orders!U913&lt;22),1,0)</f>
        <v>0</v>
      </c>
      <c r="M916" s="33">
        <f>IF(L916=IF(Orders!V913,1,0),1,0)</f>
        <v>1</v>
      </c>
      <c r="N916" s="32" t="str">
        <f>IF(Orders!W913="","None",Orders!W913)</f>
        <v>Heavy</v>
      </c>
      <c r="O916" s="35">
        <f>INT(Orders!E913)</f>
        <v>46270.0</v>
      </c>
      <c r="P916" s="33">
        <f>Orders!U913</f>
        <v>18</v>
      </c>
      <c r="Q916" s="33">
        <f>COUNTIFS(Demand!$A$2:$A$4481,B916,Demand!$B$2:$B$4481,O916,Demand!$C$2:$C$4481,P916)</f>
        <v>1</v>
      </c>
      <c r="R916" s="33">
        <f>IF(Q916=1,SUMIFS(Demand!$E$2:$E$4481,Demand!$A$2:$A$4481,B916,Demand!$B$2:$B$4481,O916,Demand!$C$2:$C$4481,P916),"")</f>
        <v>16</v>
      </c>
      <c r="S916" s="33">
        <f>INDEX(Stores!$G$2:$G$21,MATCH(B916,Stores!$A$2:$A$21,0))</f>
        <v>15</v>
      </c>
      <c r="T916" s="34">
        <f>IF(R916="","",R916/S916)</f>
        <v>1.06666666666667</v>
      </c>
      <c r="U916" s="34">
        <f>IF(E916=1,T916,"")</f>
        <v>1.06666666666667</v>
      </c>
      <c r="V916" s="34">
        <f>IF(AND(E916=1,L916=0),T916,"")</f>
        <v>1.06666666666667</v>
      </c>
      <c r="W916" s="33">
        <f>IF(U916="","",IF(U916&lt;=Breakdowns!$C$5,1,IF(U916&lt;=Breakdowns!$C$6,2,IF(U916&lt;=Breakdowns!$C$7,3,4))))</f>
        <v>3</v>
      </c>
      <c r="X916" s="33">
        <f>IF(V916="","",IF(V916&lt;=Breakdowns!$D$5,1,IF(V916&lt;=Breakdowns!$D$6,2,IF(V916&lt;=Breakdowns!$D$7,3,4))))</f>
        <v>3</v>
      </c>
      <c r="Y916" s="34">
        <f>INDEX(Stores!$F$2:$F$21,MATCH(B916,Stores!$A$2:$A$21,0))</f>
        <v>5.23</v>
      </c>
      <c r="Z916" s="33">
        <f>IF(Y916&gt;Store_Summary!$M$2,1,0)</f>
        <v>1</v>
      </c>
      <c r="AA916" s="33">
        <f>INDEX(Stores!$C$2:$C$21,MATCH(B916,Stores!$A$2:$A$21,0))</f>
        <v>300</v>
      </c>
      <c r="AB916" s="33">
        <f>IF(AA916&lt;180,1,0)</f>
        <v>0</v>
      </c>
      <c r="AC916" s="32" t="str">
        <f>IF(Orders!D913="","",INDEX(Riders!$C$2:$C$81,MATCH(Orders!D913,Riders!$A$2:$A$81,0)))</f>
        <v>EV scooter</v>
      </c>
      <c r="AD916" s="33">
        <f>IF(Orders!D913="","",INDEX(Riders!$D$2:$D$81,MATCH(Orders!D913,Riders!$A$2:$A$81,0)))</f>
        <v>40</v>
      </c>
      <c r="AE916" s="33">
        <f>IF(Orders!D913="","",IF(INDEX(Riders!$B$2:$B$81,MATCH(Orders!D913,Riders!$A$2:$A$81,0))=B916,1,0))</f>
        <v>0</v>
      </c>
      <c r="AF916" s="34">
        <f>IF(E916=1,Orders!L913,"")</f>
        <v>2.06</v>
      </c>
      <c r="AG916" s="34">
        <f>IF(E916=1,Orders!P913,"")</f>
        <v>9.9</v>
      </c>
      <c r="AH916" s="34">
        <f>IF(E916=1,Orders!Q913,"")</f>
        <v>9.1</v>
      </c>
      <c r="AI916" s="34">
        <f>IF(E916=1,Orders!M913,"")</f>
        <v>3</v>
      </c>
      <c r="AJ916" s="34">
        <f>IF(E916=1,Orders!N913,"")</f>
        <v>2.5</v>
      </c>
      <c r="AK916" s="34">
        <f>IF(E916=1,Orders!O913,"")</f>
        <v>3.6</v>
      </c>
      <c r="AL916" s="33">
        <f>IF(E916=1,IF(ROUND(ABS(AI916+AJ916+AK916-AH916),6)&lt;=0.1,1,0),"")</f>
        <v>1</v>
      </c>
      <c r="AM916" s="36">
        <f>IF(E916=1,AI916/AH916,"")</f>
        <v>0.32967032967033</v>
      </c>
      <c r="AN916" s="36">
        <f>IF(E916=1,AJ916/AH916,"")</f>
        <v>0.274725274725275</v>
      </c>
      <c r="AO916" s="36">
        <f>IF(E916=1,AK916/AH916,"")</f>
        <v>0.395604395604396</v>
      </c>
      <c r="AP916" s="34">
        <f>IF(E916=1,Orders!Y913,"")</f>
        <v>0.37</v>
      </c>
      <c r="AQ916" s="33">
        <f>IF(Orders!X913,1,0)</f>
        <v>0</v>
      </c>
      <c r="AR916" s="34" t="str">
        <f>IF(AND(E916=1,L916=1),AJ916,"")</f>
        <v/>
      </c>
      <c r="AS916" s="34">
        <f>IF(AND(E916=1,L916=0),AJ916,"")</f>
        <v>2.5</v>
      </c>
      <c r="AT916" s="34" t="str">
        <f>IF(AND(E916=1,L916=1),AI916,"")</f>
        <v/>
      </c>
      <c r="AU916" s="34">
        <f>IF(AND(E916=1,L916=0),AI916,"")</f>
        <v>3</v>
      </c>
      <c r="AV916" s="34" t="str">
        <f>IF(AND(E916=1,L916=1),AG916,"")</f>
        <v/>
      </c>
      <c r="AW916" s="34">
        <f>IF(AND(E916=1,L916=0),AG916,"")</f>
        <v>9.9</v>
      </c>
      <c r="AX916" s="34" t="str">
        <f>IF(AND(E916=1,L916=1),AH916,"")</f>
        <v/>
      </c>
      <c r="AY916" s="34">
        <f>IF(AND(E916=1,L916=0),AH916,"")</f>
        <v>9.1</v>
      </c>
      <c r="AZ916" s="34" t="str">
        <f>IF(G916=1,F916,"")</f>
        <v/>
      </c>
      <c r="BA916" s="34" t="str">
        <f>IF(AND(G916=1,L916=1),F916,"")</f>
        <v/>
      </c>
      <c r="BB916" s="34" t="str">
        <f>IF(AND(G916=1,L916=0),F916,"")</f>
        <v/>
      </c>
      <c r="BC916" s="33">
        <f>IF(E916=1,IF(Orders!R913&gt;3,1,0),"")</f>
        <v>0</v>
      </c>
      <c r="BD916" s="33">
        <f>IF(E916=1,IF(Orders!R913&gt;7,1,0),"")</f>
        <v>0</v>
      </c>
      <c r="BE916" s="32" t="str">
        <f>IF(E916=1,IF(Orders!L913&lt;=1.5,"Up to 1.5 km",IF(Orders!L913&lt;=3,"1.5–3 km","Over 3 km")),"")</f>
        <v>1.5–3 km</v>
      </c>
      <c r="BF916" s="33">
        <f>IF(E916=1,IF(ABS((Orders!G913-Orders!F913)*1440-Orders!R913)&lt;0.06,1,0),"")</f>
        <v>1</v>
      </c>
      <c r="BG916" s="33">
        <f>IF(ABS((Orders!F913-Orders!E913)*1440-Orders!P913)&lt;0.06,1,0)</f>
        <v>1</v>
      </c>
      <c r="BH916" s="33">
        <f>IF(E916=1,IF(IF(Orders!S913,1,0)=1-G916,1,0),"")</f>
        <v>1</v>
      </c>
      <c r="BI916" s="32" t="str">
        <f>INDEX(Stores!$B$2:$B$21,MATCH(B916,Stores!$A$2:$A$21,0))</f>
        <v>Hyderabad</v>
      </c>
    </row>
    <row r="917">
      <c r="A917" s="32" t="str">
        <f>Orders!A914</f>
        <v>O00913</v>
      </c>
      <c r="B917" s="32" t="str">
        <f>Orders!C914</f>
        <v>S020</v>
      </c>
      <c r="C917" s="32" t="str">
        <f>Orders!B914</f>
        <v>C0106</v>
      </c>
      <c r="D917" s="32" t="str">
        <f>Orders!H914</f>
        <v>Delivered</v>
      </c>
      <c r="E917" s="33">
        <f>IF(Orders!H914="Delivered",1,0)</f>
        <v>1</v>
      </c>
      <c r="F917" s="34">
        <f>IF(E917=1,Orders!R914,"")</f>
        <v>-0.3</v>
      </c>
      <c r="G917" s="33">
        <f>IF(E917=1,IF(Orders!R914&gt;0,1,0),"")</f>
        <v>0</v>
      </c>
      <c r="H917" s="33">
        <f>IF(E917=1,IF(Orders!R914&gt;5,1,0),"")</f>
        <v>0</v>
      </c>
      <c r="I917" s="32" t="str">
        <f>IF(E917=1,"",IF(OR(Orders!T914="Rider unavailable",Orders!T914="Item unavailable"),"Company-caused","Unresolved"))</f>
        <v/>
      </c>
      <c r="J917" s="33">
        <f>IF(OR(E917=1,I917="Company-caused"),1,0)</f>
        <v>1</v>
      </c>
      <c r="K917" s="32" t="str">
        <f>IF(E917=0,IF(I917="Company-caused",IF(Orders!T914="Rider unavailable","C1 Rider unavailable","C2 Item unavailable"),"Outside root: unresolved"),IF(G917=0,"A On time",IF(H917=1,IF(L917=1,"B2a Severe, peak","B2b Severe, off-peak"),IF(L917=1,"B1a Slight, peak","B1b Slight, off-peak"))))</f>
        <v>A On time</v>
      </c>
      <c r="L917" s="33">
        <f>IF(AND(Orders!U914&gt;=19,Orders!U914&lt;22),1,0)</f>
        <v>1</v>
      </c>
      <c r="M917" s="33">
        <f>IF(L917=IF(Orders!V914,1,0),1,0)</f>
        <v>1</v>
      </c>
      <c r="N917" s="32" t="str">
        <f>IF(Orders!W914="","None",Orders!W914)</f>
        <v>Light</v>
      </c>
      <c r="O917" s="35">
        <f>INT(Orders!E914)</f>
        <v>46279.0</v>
      </c>
      <c r="P917" s="33">
        <f>Orders!U914</f>
        <v>21</v>
      </c>
      <c r="Q917" s="33">
        <f>COUNTIFS(Demand!$A$2:$A$4481,B917,Demand!$B$2:$B$4481,O917,Demand!$C$2:$C$4481,P917)</f>
        <v>1</v>
      </c>
      <c r="R917" s="33">
        <f>IF(Q917=1,SUMIFS(Demand!$E$2:$E$4481,Demand!$A$2:$A$4481,B917,Demand!$B$2:$B$4481,O917,Demand!$C$2:$C$4481,P917),"")</f>
        <v>21</v>
      </c>
      <c r="S917" s="33">
        <f>INDEX(Stores!$G$2:$G$21,MATCH(B917,Stores!$A$2:$A$21,0))</f>
        <v>15</v>
      </c>
      <c r="T917" s="34">
        <f>IF(R917="","",R917/S917)</f>
        <v>1.4</v>
      </c>
      <c r="U917" s="34">
        <f>IF(E917=1,T917,"")</f>
        <v>1.4</v>
      </c>
      <c r="V917" s="34" t="str">
        <f>IF(AND(E917=1,L917=0),T917,"")</f>
        <v/>
      </c>
      <c r="W917" s="33">
        <f>IF(U917="","",IF(U917&lt;=Breakdowns!$C$5,1,IF(U917&lt;=Breakdowns!$C$6,2,IF(U917&lt;=Breakdowns!$C$7,3,4))))</f>
        <v>4</v>
      </c>
      <c r="X917" s="33" t="str">
        <f>IF(V917="","",IF(V917&lt;=Breakdowns!$D$5,1,IF(V917&lt;=Breakdowns!$D$6,2,IF(V917&lt;=Breakdowns!$D$7,3,4))))</f>
        <v/>
      </c>
      <c r="Y917" s="34">
        <f>INDEX(Stores!$F$2:$F$21,MATCH(B917,Stores!$A$2:$A$21,0))</f>
        <v>5.74</v>
      </c>
      <c r="Z917" s="33">
        <f>IF(Y917&gt;Store_Summary!$M$2,1,0)</f>
        <v>1</v>
      </c>
      <c r="AA917" s="33">
        <f>INDEX(Stores!$C$2:$C$21,MATCH(B917,Stores!$A$2:$A$21,0))</f>
        <v>647</v>
      </c>
      <c r="AB917" s="33">
        <f>IF(AA917&lt;180,1,0)</f>
        <v>0</v>
      </c>
      <c r="AC917" s="32" t="str">
        <f>IF(Orders!D914="","",INDEX(Riders!$C$2:$C$81,MATCH(Orders!D914,Riders!$A$2:$A$81,0)))</f>
        <v>EV scooter</v>
      </c>
      <c r="AD917" s="33">
        <f>IF(Orders!D914="","",INDEX(Riders!$D$2:$D$81,MATCH(Orders!D914,Riders!$A$2:$A$81,0)))</f>
        <v>33</v>
      </c>
      <c r="AE917" s="33">
        <f>IF(Orders!D914="","",IF(INDEX(Riders!$B$2:$B$81,MATCH(Orders!D914,Riders!$A$2:$A$81,0))=B917,1,0))</f>
        <v>0</v>
      </c>
      <c r="AF917" s="34">
        <f>IF(E917=1,Orders!L914,"")</f>
        <v>0.97</v>
      </c>
      <c r="AG917" s="34">
        <f>IF(E917=1,Orders!P914,"")</f>
        <v>8.9</v>
      </c>
      <c r="AH917" s="34">
        <f>IF(E917=1,Orders!Q914,"")</f>
        <v>8.6</v>
      </c>
      <c r="AI917" s="34">
        <f>IF(E917=1,Orders!M914,"")</f>
        <v>2.9</v>
      </c>
      <c r="AJ917" s="34">
        <f>IF(E917=1,Orders!N914,"")</f>
        <v>3.7</v>
      </c>
      <c r="AK917" s="34">
        <f>IF(E917=1,Orders!O914,"")</f>
        <v>2</v>
      </c>
      <c r="AL917" s="33">
        <f>IF(E917=1,IF(ROUND(ABS(AI917+AJ917+AK917-AH917),6)&lt;=0.1,1,0),"")</f>
        <v>1</v>
      </c>
      <c r="AM917" s="36">
        <f>IF(E917=1,AI917/AH917,"")</f>
        <v>0.337209302325581</v>
      </c>
      <c r="AN917" s="36">
        <f>IF(E917=1,AJ917/AH917,"")</f>
        <v>0.430232558139535</v>
      </c>
      <c r="AO917" s="36">
        <f>IF(E917=1,AK917/AH917,"")</f>
        <v>0.232558139534884</v>
      </c>
      <c r="AP917" s="34">
        <f>IF(E917=1,Orders!Y914,"")</f>
        <v>0.46</v>
      </c>
      <c r="AQ917" s="33">
        <f>IF(Orders!X914,1,0)</f>
        <v>0</v>
      </c>
      <c r="AR917" s="34">
        <f>IF(AND(E917=1,L917=1),AJ917,"")</f>
        <v>3.7</v>
      </c>
      <c r="AS917" s="34" t="str">
        <f>IF(AND(E917=1,L917=0),AJ917,"")</f>
        <v/>
      </c>
      <c r="AT917" s="34">
        <f>IF(AND(E917=1,L917=1),AI917,"")</f>
        <v>2.9</v>
      </c>
      <c r="AU917" s="34" t="str">
        <f>IF(AND(E917=1,L917=0),AI917,"")</f>
        <v/>
      </c>
      <c r="AV917" s="34">
        <f>IF(AND(E917=1,L917=1),AG917,"")</f>
        <v>8.9</v>
      </c>
      <c r="AW917" s="34" t="str">
        <f>IF(AND(E917=1,L917=0),AG917,"")</f>
        <v/>
      </c>
      <c r="AX917" s="34">
        <f>IF(AND(E917=1,L917=1),AH917,"")</f>
        <v>8.6</v>
      </c>
      <c r="AY917" s="34" t="str">
        <f>IF(AND(E917=1,L917=0),AH917,"")</f>
        <v/>
      </c>
      <c r="AZ917" s="34" t="str">
        <f>IF(G917=1,F917,"")</f>
        <v/>
      </c>
      <c r="BA917" s="34" t="str">
        <f>IF(AND(G917=1,L917=1),F917,"")</f>
        <v/>
      </c>
      <c r="BB917" s="34" t="str">
        <f>IF(AND(G917=1,L917=0),F917,"")</f>
        <v/>
      </c>
      <c r="BC917" s="33">
        <f>IF(E917=1,IF(Orders!R914&gt;3,1,0),"")</f>
        <v>0</v>
      </c>
      <c r="BD917" s="33">
        <f>IF(E917=1,IF(Orders!R914&gt;7,1,0),"")</f>
        <v>0</v>
      </c>
      <c r="BE917" s="32" t="str">
        <f>IF(E917=1,IF(Orders!L914&lt;=1.5,"Up to 1.5 km",IF(Orders!L914&lt;=3,"1.5–3 km","Over 3 km")),"")</f>
        <v>Up to 1.5 km</v>
      </c>
      <c r="BF917" s="33">
        <f>IF(E917=1,IF(ABS((Orders!G914-Orders!F914)*1440-Orders!R914)&lt;0.06,1,0),"")</f>
        <v>1</v>
      </c>
      <c r="BG917" s="33">
        <f>IF(ABS((Orders!F914-Orders!E914)*1440-Orders!P914)&lt;0.06,1,0)</f>
        <v>1</v>
      </c>
      <c r="BH917" s="33">
        <f>IF(E917=1,IF(IF(Orders!S914,1,0)=1-G917,1,0),"")</f>
        <v>1</v>
      </c>
      <c r="BI917" s="32" t="str">
        <f>INDEX(Stores!$B$2:$B$21,MATCH(B917,Stores!$A$2:$A$21,0))</f>
        <v>Delhi</v>
      </c>
    </row>
    <row r="918">
      <c r="A918" s="32" t="str">
        <f>Orders!A915</f>
        <v>O00914</v>
      </c>
      <c r="B918" s="32" t="str">
        <f>Orders!C915</f>
        <v>S020</v>
      </c>
      <c r="C918" s="32" t="str">
        <f>Orders!B915</f>
        <v>C0154</v>
      </c>
      <c r="D918" s="32" t="str">
        <f>Orders!H915</f>
        <v>Delivered</v>
      </c>
      <c r="E918" s="33">
        <f>IF(Orders!H915="Delivered",1,0)</f>
        <v>1</v>
      </c>
      <c r="F918" s="34">
        <f>IF(E918=1,Orders!R915,"")</f>
        <v>-0.8</v>
      </c>
      <c r="G918" s="33">
        <f>IF(E918=1,IF(Orders!R915&gt;0,1,0),"")</f>
        <v>0</v>
      </c>
      <c r="H918" s="33">
        <f>IF(E918=1,IF(Orders!R915&gt;5,1,0),"")</f>
        <v>0</v>
      </c>
      <c r="I918" s="32" t="str">
        <f>IF(E918=1,"",IF(OR(Orders!T915="Rider unavailable",Orders!T915="Item unavailable"),"Company-caused","Unresolved"))</f>
        <v/>
      </c>
      <c r="J918" s="33">
        <f>IF(OR(E918=1,I918="Company-caused"),1,0)</f>
        <v>1</v>
      </c>
      <c r="K918" s="32" t="str">
        <f>IF(E918=0,IF(I918="Company-caused",IF(Orders!T915="Rider unavailable","C1 Rider unavailable","C2 Item unavailable"),"Outside root: unresolved"),IF(G918=0,"A On time",IF(H918=1,IF(L918=1,"B2a Severe, peak","B2b Severe, off-peak"),IF(L918=1,"B1a Slight, peak","B1b Slight, off-peak"))))</f>
        <v>A On time</v>
      </c>
      <c r="L918" s="33">
        <f>IF(AND(Orders!U915&gt;=19,Orders!U915&lt;22),1,0)</f>
        <v>1</v>
      </c>
      <c r="M918" s="33">
        <f>IF(L918=IF(Orders!V915,1,0),1,0)</f>
        <v>1</v>
      </c>
      <c r="N918" s="32" t="str">
        <f>IF(Orders!W915="","None",Orders!W915)</f>
        <v>None</v>
      </c>
      <c r="O918" s="35">
        <f>INT(Orders!E915)</f>
        <v>46273.0</v>
      </c>
      <c r="P918" s="33">
        <f>Orders!U915</f>
        <v>20</v>
      </c>
      <c r="Q918" s="33">
        <f>COUNTIFS(Demand!$A$2:$A$4481,B918,Demand!$B$2:$B$4481,O918,Demand!$C$2:$C$4481,P918)</f>
        <v>1</v>
      </c>
      <c r="R918" s="33">
        <f>IF(Q918=1,SUMIFS(Demand!$E$2:$E$4481,Demand!$A$2:$A$4481,B918,Demand!$B$2:$B$4481,O918,Demand!$C$2:$C$4481,P918),"")</f>
        <v>22</v>
      </c>
      <c r="S918" s="33">
        <f>INDEX(Stores!$G$2:$G$21,MATCH(B918,Stores!$A$2:$A$21,0))</f>
        <v>15</v>
      </c>
      <c r="T918" s="34">
        <f>IF(R918="","",R918/S918)</f>
        <v>1.46666666666667</v>
      </c>
      <c r="U918" s="34">
        <f>IF(E918=1,T918,"")</f>
        <v>1.46666666666667</v>
      </c>
      <c r="V918" s="34" t="str">
        <f>IF(AND(E918=1,L918=0),T918,"")</f>
        <v/>
      </c>
      <c r="W918" s="33">
        <f>IF(U918="","",IF(U918&lt;=Breakdowns!$C$5,1,IF(U918&lt;=Breakdowns!$C$6,2,IF(U918&lt;=Breakdowns!$C$7,3,4))))</f>
        <v>4</v>
      </c>
      <c r="X918" s="33" t="str">
        <f>IF(V918="","",IF(V918&lt;=Breakdowns!$D$5,1,IF(V918&lt;=Breakdowns!$D$6,2,IF(V918&lt;=Breakdowns!$D$7,3,4))))</f>
        <v/>
      </c>
      <c r="Y918" s="34">
        <f>INDEX(Stores!$F$2:$F$21,MATCH(B918,Stores!$A$2:$A$21,0))</f>
        <v>5.74</v>
      </c>
      <c r="Z918" s="33">
        <f>IF(Y918&gt;Store_Summary!$M$2,1,0)</f>
        <v>1</v>
      </c>
      <c r="AA918" s="33">
        <f>INDEX(Stores!$C$2:$C$21,MATCH(B918,Stores!$A$2:$A$21,0))</f>
        <v>647</v>
      </c>
      <c r="AB918" s="33">
        <f>IF(AA918&lt;180,1,0)</f>
        <v>0</v>
      </c>
      <c r="AC918" s="32" t="str">
        <f>IF(Orders!D915="","",INDEX(Riders!$C$2:$C$81,MATCH(Orders!D915,Riders!$A$2:$A$81,0)))</f>
        <v>EV scooter</v>
      </c>
      <c r="AD918" s="33">
        <f>IF(Orders!D915="","",INDEX(Riders!$D$2:$D$81,MATCH(Orders!D915,Riders!$A$2:$A$81,0)))</f>
        <v>27</v>
      </c>
      <c r="AE918" s="33">
        <f>IF(Orders!D915="","",IF(INDEX(Riders!$B$2:$B$81,MATCH(Orders!D915,Riders!$A$2:$A$81,0))=B918,1,0))</f>
        <v>0</v>
      </c>
      <c r="AF918" s="34">
        <f>IF(E918=1,Orders!L915,"")</f>
        <v>1.02</v>
      </c>
      <c r="AG918" s="34">
        <f>IF(E918=1,Orders!P915,"")</f>
        <v>8.7</v>
      </c>
      <c r="AH918" s="34">
        <f>IF(E918=1,Orders!Q915,"")</f>
        <v>7.9</v>
      </c>
      <c r="AI918" s="34">
        <f>IF(E918=1,Orders!M915,"")</f>
        <v>2.8</v>
      </c>
      <c r="AJ918" s="34">
        <f>IF(E918=1,Orders!N915,"")</f>
        <v>3.2</v>
      </c>
      <c r="AK918" s="34">
        <f>IF(E918=1,Orders!O915,"")</f>
        <v>1.9</v>
      </c>
      <c r="AL918" s="33">
        <f>IF(E918=1,IF(ROUND(ABS(AI918+AJ918+AK918-AH918),6)&lt;=0.1,1,0),"")</f>
        <v>1</v>
      </c>
      <c r="AM918" s="36">
        <f>IF(E918=1,AI918/AH918,"")</f>
        <v>0.354430379746835</v>
      </c>
      <c r="AN918" s="36">
        <f>IF(E918=1,AJ918/AH918,"")</f>
        <v>0.405063291139241</v>
      </c>
      <c r="AO918" s="36">
        <f>IF(E918=1,AK918/AH918,"")</f>
        <v>0.240506329113924</v>
      </c>
      <c r="AP918" s="34">
        <f>IF(E918=1,Orders!Y915,"")</f>
        <v>0.76</v>
      </c>
      <c r="AQ918" s="33">
        <f>IF(Orders!X915,1,0)</f>
        <v>0</v>
      </c>
      <c r="AR918" s="34">
        <f>IF(AND(E918=1,L918=1),AJ918,"")</f>
        <v>3.2</v>
      </c>
      <c r="AS918" s="34" t="str">
        <f>IF(AND(E918=1,L918=0),AJ918,"")</f>
        <v/>
      </c>
      <c r="AT918" s="34">
        <f>IF(AND(E918=1,L918=1),AI918,"")</f>
        <v>2.8</v>
      </c>
      <c r="AU918" s="34" t="str">
        <f>IF(AND(E918=1,L918=0),AI918,"")</f>
        <v/>
      </c>
      <c r="AV918" s="34">
        <f>IF(AND(E918=1,L918=1),AG918,"")</f>
        <v>8.7</v>
      </c>
      <c r="AW918" s="34" t="str">
        <f>IF(AND(E918=1,L918=0),AG918,"")</f>
        <v/>
      </c>
      <c r="AX918" s="34">
        <f>IF(AND(E918=1,L918=1),AH918,"")</f>
        <v>7.9</v>
      </c>
      <c r="AY918" s="34" t="str">
        <f>IF(AND(E918=1,L918=0),AH918,"")</f>
        <v/>
      </c>
      <c r="AZ918" s="34" t="str">
        <f>IF(G918=1,F918,"")</f>
        <v/>
      </c>
      <c r="BA918" s="34" t="str">
        <f>IF(AND(G918=1,L918=1),F918,"")</f>
        <v/>
      </c>
      <c r="BB918" s="34" t="str">
        <f>IF(AND(G918=1,L918=0),F918,"")</f>
        <v/>
      </c>
      <c r="BC918" s="33">
        <f>IF(E918=1,IF(Orders!R915&gt;3,1,0),"")</f>
        <v>0</v>
      </c>
      <c r="BD918" s="33">
        <f>IF(E918=1,IF(Orders!R915&gt;7,1,0),"")</f>
        <v>0</v>
      </c>
      <c r="BE918" s="32" t="str">
        <f>IF(E918=1,IF(Orders!L915&lt;=1.5,"Up to 1.5 km",IF(Orders!L915&lt;=3,"1.5–3 km","Over 3 km")),"")</f>
        <v>Up to 1.5 km</v>
      </c>
      <c r="BF918" s="33">
        <f>IF(E918=1,IF(ABS((Orders!G915-Orders!F915)*1440-Orders!R915)&lt;0.06,1,0),"")</f>
        <v>1</v>
      </c>
      <c r="BG918" s="33">
        <f>IF(ABS((Orders!F915-Orders!E915)*1440-Orders!P915)&lt;0.06,1,0)</f>
        <v>1</v>
      </c>
      <c r="BH918" s="33">
        <f>IF(E918=1,IF(IF(Orders!S915,1,0)=1-G918,1,0),"")</f>
        <v>1</v>
      </c>
      <c r="BI918" s="32" t="str">
        <f>INDEX(Stores!$B$2:$B$21,MATCH(B918,Stores!$A$2:$A$21,0))</f>
        <v>Delhi</v>
      </c>
    </row>
    <row r="919">
      <c r="A919" s="32" t="str">
        <f>Orders!A916</f>
        <v>O00915</v>
      </c>
      <c r="B919" s="32" t="str">
        <f>Orders!C916</f>
        <v>S012</v>
      </c>
      <c r="C919" s="32" t="str">
        <f>Orders!B916</f>
        <v>C0011</v>
      </c>
      <c r="D919" s="32" t="str">
        <f>Orders!H916</f>
        <v>Delivered</v>
      </c>
      <c r="E919" s="33">
        <f>IF(Orders!H916="Delivered",1,0)</f>
        <v>1</v>
      </c>
      <c r="F919" s="34">
        <f>IF(E919=1,Orders!R916,"")</f>
        <v>-0.9</v>
      </c>
      <c r="G919" s="33">
        <f>IF(E919=1,IF(Orders!R916&gt;0,1,0),"")</f>
        <v>0</v>
      </c>
      <c r="H919" s="33">
        <f>IF(E919=1,IF(Orders!R916&gt;5,1,0),"")</f>
        <v>0</v>
      </c>
      <c r="I919" s="32" t="str">
        <f>IF(E919=1,"",IF(OR(Orders!T916="Rider unavailable",Orders!T916="Item unavailable"),"Company-caused","Unresolved"))</f>
        <v/>
      </c>
      <c r="J919" s="33">
        <f>IF(OR(E919=1,I919="Company-caused"),1,0)</f>
        <v>1</v>
      </c>
      <c r="K919" s="32" t="str">
        <f>IF(E919=0,IF(I919="Company-caused",IF(Orders!T916="Rider unavailable","C1 Rider unavailable","C2 Item unavailable"),"Outside root: unresolved"),IF(G919=0,"A On time",IF(H919=1,IF(L919=1,"B2a Severe, peak","B2b Severe, off-peak"),IF(L919=1,"B1a Slight, peak","B1b Slight, off-peak"))))</f>
        <v>A On time</v>
      </c>
      <c r="L919" s="33">
        <f>IF(AND(Orders!U916&gt;=19,Orders!U916&lt;22),1,0)</f>
        <v>0</v>
      </c>
      <c r="M919" s="33">
        <f>IF(L919=IF(Orders!V916,1,0),1,0)</f>
        <v>1</v>
      </c>
      <c r="N919" s="32" t="str">
        <f>IF(Orders!W916="","None",Orders!W916)</f>
        <v>None</v>
      </c>
      <c r="O919" s="35">
        <f>INT(Orders!E916)</f>
        <v>46276.0</v>
      </c>
      <c r="P919" s="33">
        <f>Orders!U916</f>
        <v>17</v>
      </c>
      <c r="Q919" s="33">
        <f>COUNTIFS(Demand!$A$2:$A$4481,B919,Demand!$B$2:$B$4481,O919,Demand!$C$2:$C$4481,P919)</f>
        <v>1</v>
      </c>
      <c r="R919" s="33">
        <f>IF(Q919=1,SUMIFS(Demand!$E$2:$E$4481,Demand!$A$2:$A$4481,B919,Demand!$B$2:$B$4481,O919,Demand!$C$2:$C$4481,P919),"")</f>
        <v>15</v>
      </c>
      <c r="S919" s="33">
        <f>INDEX(Stores!$G$2:$G$21,MATCH(B919,Stores!$A$2:$A$21,0))</f>
        <v>15</v>
      </c>
      <c r="T919" s="34">
        <f>IF(R919="","",R919/S919)</f>
        <v>1</v>
      </c>
      <c r="U919" s="34">
        <f>IF(E919=1,T919,"")</f>
        <v>1</v>
      </c>
      <c r="V919" s="34">
        <f>IF(AND(E919=1,L919=0),T919,"")</f>
        <v>1</v>
      </c>
      <c r="W919" s="33">
        <f>IF(U919="","",IF(U919&lt;=Breakdowns!$C$5,1,IF(U919&lt;=Breakdowns!$C$6,2,IF(U919&lt;=Breakdowns!$C$7,3,4))))</f>
        <v>2</v>
      </c>
      <c r="X919" s="33">
        <f>IF(V919="","",IF(V919&lt;=Breakdowns!$D$5,1,IF(V919&lt;=Breakdowns!$D$6,2,IF(V919&lt;=Breakdowns!$D$7,3,4))))</f>
        <v>3</v>
      </c>
      <c r="Y919" s="34">
        <f>INDEX(Stores!$F$2:$F$21,MATCH(B919,Stores!$A$2:$A$21,0))</f>
        <v>5.23</v>
      </c>
      <c r="Z919" s="33">
        <f>IF(Y919&gt;Store_Summary!$M$2,1,0)</f>
        <v>1</v>
      </c>
      <c r="AA919" s="33">
        <f>INDEX(Stores!$C$2:$C$21,MATCH(B919,Stores!$A$2:$A$21,0))</f>
        <v>300</v>
      </c>
      <c r="AB919" s="33">
        <f>IF(AA919&lt;180,1,0)</f>
        <v>0</v>
      </c>
      <c r="AC919" s="32" t="str">
        <f>IF(Orders!D916="","",INDEX(Riders!$C$2:$C$81,MATCH(Orders!D916,Riders!$A$2:$A$81,0)))</f>
        <v>EV scooter</v>
      </c>
      <c r="AD919" s="33">
        <f>IF(Orders!D916="","",INDEX(Riders!$D$2:$D$81,MATCH(Orders!D916,Riders!$A$2:$A$81,0)))</f>
        <v>27</v>
      </c>
      <c r="AE919" s="33">
        <f>IF(Orders!D916="","",IF(INDEX(Riders!$B$2:$B$81,MATCH(Orders!D916,Riders!$A$2:$A$81,0))=B919,1,0))</f>
        <v>1</v>
      </c>
      <c r="AF919" s="34">
        <f>IF(E919=1,Orders!L916,"")</f>
        <v>2.51</v>
      </c>
      <c r="AG919" s="34">
        <f>IF(E919=1,Orders!P916,"")</f>
        <v>12.2</v>
      </c>
      <c r="AH919" s="34">
        <f>IF(E919=1,Orders!Q916,"")</f>
        <v>11.3</v>
      </c>
      <c r="AI919" s="34">
        <f>IF(E919=1,Orders!M916,"")</f>
        <v>4.2</v>
      </c>
      <c r="AJ919" s="34">
        <f>IF(E919=1,Orders!N916,"")</f>
        <v>2.2</v>
      </c>
      <c r="AK919" s="34">
        <f>IF(E919=1,Orders!O916,"")</f>
        <v>4.9</v>
      </c>
      <c r="AL919" s="33">
        <f>IF(E919=1,IF(ROUND(ABS(AI919+AJ919+AK919-AH919),6)&lt;=0.1,1,0),"")</f>
        <v>1</v>
      </c>
      <c r="AM919" s="36">
        <f>IF(E919=1,AI919/AH919,"")</f>
        <v>0.371681415929204</v>
      </c>
      <c r="AN919" s="36">
        <f>IF(E919=1,AJ919/AH919,"")</f>
        <v>0.194690265486726</v>
      </c>
      <c r="AO919" s="36">
        <f>IF(E919=1,AK919/AH919,"")</f>
        <v>0.433628318584071</v>
      </c>
      <c r="AP919" s="34">
        <f>IF(E919=1,Orders!Y916,"")</f>
        <v>0.57</v>
      </c>
      <c r="AQ919" s="33">
        <f>IF(Orders!X916,1,0)</f>
        <v>0</v>
      </c>
      <c r="AR919" s="34" t="str">
        <f>IF(AND(E919=1,L919=1),AJ919,"")</f>
        <v/>
      </c>
      <c r="AS919" s="34">
        <f>IF(AND(E919=1,L919=0),AJ919,"")</f>
        <v>2.2</v>
      </c>
      <c r="AT919" s="34" t="str">
        <f>IF(AND(E919=1,L919=1),AI919,"")</f>
        <v/>
      </c>
      <c r="AU919" s="34">
        <f>IF(AND(E919=1,L919=0),AI919,"")</f>
        <v>4.2</v>
      </c>
      <c r="AV919" s="34" t="str">
        <f>IF(AND(E919=1,L919=1),AG919,"")</f>
        <v/>
      </c>
      <c r="AW919" s="34">
        <f>IF(AND(E919=1,L919=0),AG919,"")</f>
        <v>12.2</v>
      </c>
      <c r="AX919" s="34" t="str">
        <f>IF(AND(E919=1,L919=1),AH919,"")</f>
        <v/>
      </c>
      <c r="AY919" s="34">
        <f>IF(AND(E919=1,L919=0),AH919,"")</f>
        <v>11.3</v>
      </c>
      <c r="AZ919" s="34" t="str">
        <f>IF(G919=1,F919,"")</f>
        <v/>
      </c>
      <c r="BA919" s="34" t="str">
        <f>IF(AND(G919=1,L919=1),F919,"")</f>
        <v/>
      </c>
      <c r="BB919" s="34" t="str">
        <f>IF(AND(G919=1,L919=0),F919,"")</f>
        <v/>
      </c>
      <c r="BC919" s="33">
        <f>IF(E919=1,IF(Orders!R916&gt;3,1,0),"")</f>
        <v>0</v>
      </c>
      <c r="BD919" s="33">
        <f>IF(E919=1,IF(Orders!R916&gt;7,1,0),"")</f>
        <v>0</v>
      </c>
      <c r="BE919" s="32" t="str">
        <f>IF(E919=1,IF(Orders!L916&lt;=1.5,"Up to 1.5 km",IF(Orders!L916&lt;=3,"1.5–3 km","Over 3 km")),"")</f>
        <v>1.5–3 km</v>
      </c>
      <c r="BF919" s="33">
        <f>IF(E919=1,IF(ABS((Orders!G916-Orders!F916)*1440-Orders!R916)&lt;0.06,1,0),"")</f>
        <v>1</v>
      </c>
      <c r="BG919" s="33">
        <f>IF(ABS((Orders!F916-Orders!E916)*1440-Orders!P916)&lt;0.06,1,0)</f>
        <v>1</v>
      </c>
      <c r="BH919" s="33">
        <f>IF(E919=1,IF(IF(Orders!S916,1,0)=1-G919,1,0),"")</f>
        <v>1</v>
      </c>
      <c r="BI919" s="32" t="str">
        <f>INDEX(Stores!$B$2:$B$21,MATCH(B919,Stores!$A$2:$A$21,0))</f>
        <v>Hyderabad</v>
      </c>
    </row>
    <row r="920">
      <c r="A920" s="32" t="str">
        <f>Orders!A917</f>
        <v>O00916</v>
      </c>
      <c r="B920" s="32" t="str">
        <f>Orders!C917</f>
        <v>S018</v>
      </c>
      <c r="C920" s="32" t="str">
        <f>Orders!B917</f>
        <v>C0037</v>
      </c>
      <c r="D920" s="32" t="str">
        <f>Orders!H917</f>
        <v>Cancelled</v>
      </c>
      <c r="E920" s="33">
        <f>IF(Orders!H917="Delivered",1,0)</f>
        <v>0</v>
      </c>
      <c r="F920" s="34" t="str">
        <f>IF(E920=1,Orders!R917,"")</f>
        <v/>
      </c>
      <c r="G920" s="33" t="str">
        <f>IF(E920=1,IF(Orders!R917&gt;0,1,0),"")</f>
        <v/>
      </c>
      <c r="H920" s="33" t="str">
        <f>IF(E920=1,IF(Orders!R917&gt;5,1,0),"")</f>
        <v/>
      </c>
      <c r="I920" s="32" t="str">
        <f>IF(E920=1,"",IF(OR(Orders!T917="Rider unavailable",Orders!T917="Item unavailable"),"Company-caused","Unresolved"))</f>
        <v>Company-caused</v>
      </c>
      <c r="J920" s="33">
        <f>IF(OR(E920=1,I920="Company-caused"),1,0)</f>
        <v>1</v>
      </c>
      <c r="K920" s="32" t="str">
        <f>IF(E920=0,IF(I920="Company-caused",IF(Orders!T917="Rider unavailable","C1 Rider unavailable","C2 Item unavailable"),"Outside root: unresolved"),IF(G920=0,"A On time",IF(H920=1,IF(L920=1,"B2a Severe, peak","B2b Severe, off-peak"),IF(L920=1,"B1a Slight, peak","B1b Slight, off-peak"))))</f>
        <v>C2 Item unavailable</v>
      </c>
      <c r="L920" s="33">
        <f>IF(AND(Orders!U917&gt;=19,Orders!U917&lt;22),1,0)</f>
        <v>0</v>
      </c>
      <c r="M920" s="33">
        <f>IF(L920=IF(Orders!V917,1,0),1,0)</f>
        <v>1</v>
      </c>
      <c r="N920" s="32" t="str">
        <f>IF(Orders!W917="","None",Orders!W917)</f>
        <v>Light</v>
      </c>
      <c r="O920" s="35">
        <f>INT(Orders!E917)</f>
        <v>46272.0</v>
      </c>
      <c r="P920" s="33">
        <f>Orders!U917</f>
        <v>10</v>
      </c>
      <c r="Q920" s="33">
        <f>COUNTIFS(Demand!$A$2:$A$4481,B920,Demand!$B$2:$B$4481,O920,Demand!$C$2:$C$4481,P920)</f>
        <v>1</v>
      </c>
      <c r="R920" s="33">
        <f>IF(Q920=1,SUMIFS(Demand!$E$2:$E$4481,Demand!$A$2:$A$4481,B920,Demand!$B$2:$B$4481,O920,Demand!$C$2:$C$4481,P920),"")</f>
        <v>16</v>
      </c>
      <c r="S920" s="33">
        <f>INDEX(Stores!$G$2:$G$21,MATCH(B920,Stores!$A$2:$A$21,0))</f>
        <v>20</v>
      </c>
      <c r="T920" s="34">
        <f>IF(R920="","",R920/S920)</f>
        <v>0.8</v>
      </c>
      <c r="U920" s="34" t="str">
        <f>IF(E920=1,T920,"")</f>
        <v/>
      </c>
      <c r="V920" s="34" t="str">
        <f>IF(AND(E920=1,L920=0),T920,"")</f>
        <v/>
      </c>
      <c r="W920" s="33" t="str">
        <f>IF(U920="","",IF(U920&lt;=Breakdowns!$C$5,1,IF(U920&lt;=Breakdowns!$C$6,2,IF(U920&lt;=Breakdowns!$C$7,3,4))))</f>
        <v/>
      </c>
      <c r="X920" s="33" t="str">
        <f>IF(V920="","",IF(V920&lt;=Breakdowns!$D$5,1,IF(V920&lt;=Breakdowns!$D$6,2,IF(V920&lt;=Breakdowns!$D$7,3,4))))</f>
        <v/>
      </c>
      <c r="Y920" s="34">
        <f>INDEX(Stores!$F$2:$F$21,MATCH(B920,Stores!$A$2:$A$21,0))</f>
        <v>5.31</v>
      </c>
      <c r="Z920" s="33">
        <f>IF(Y920&gt;Store_Summary!$M$2,1,0)</f>
        <v>1</v>
      </c>
      <c r="AA920" s="33">
        <f>INDEX(Stores!$C$2:$C$21,MATCH(B920,Stores!$A$2:$A$21,0))</f>
        <v>214</v>
      </c>
      <c r="AB920" s="33">
        <f>IF(AA920&lt;180,1,0)</f>
        <v>0</v>
      </c>
      <c r="AC920" s="32" t="str">
        <f>IF(Orders!D917="","",INDEX(Riders!$C$2:$C$81,MATCH(Orders!D917,Riders!$A$2:$A$81,0)))</f>
        <v/>
      </c>
      <c r="AD920" s="33" t="str">
        <f>IF(Orders!D917="","",INDEX(Riders!$D$2:$D$81,MATCH(Orders!D917,Riders!$A$2:$A$81,0)))</f>
        <v/>
      </c>
      <c r="AE920" s="33" t="str">
        <f>IF(Orders!D917="","",IF(INDEX(Riders!$B$2:$B$81,MATCH(Orders!D917,Riders!$A$2:$A$81,0))=B920,1,0))</f>
        <v/>
      </c>
      <c r="AF920" s="34" t="str">
        <f>IF(E920=1,Orders!L917,"")</f>
        <v/>
      </c>
      <c r="AG920" s="34" t="str">
        <f>IF(E920=1,Orders!P917,"")</f>
        <v/>
      </c>
      <c r="AH920" s="34" t="str">
        <f>IF(E920=1,Orders!Q917,"")</f>
        <v/>
      </c>
      <c r="AI920" s="34" t="str">
        <f>IF(E920=1,Orders!M917,"")</f>
        <v/>
      </c>
      <c r="AJ920" s="34" t="str">
        <f>IF(E920=1,Orders!N917,"")</f>
        <v/>
      </c>
      <c r="AK920" s="34" t="str">
        <f>IF(E920=1,Orders!O917,"")</f>
        <v/>
      </c>
      <c r="AL920" s="33" t="str">
        <f>IF(E920=1,IF(ROUND(ABS(AI920+AJ920+AK920-AH920),6)&lt;=0.1,1,0),"")</f>
        <v/>
      </c>
      <c r="AM920" s="36" t="str">
        <f>IF(E920=1,AI920/AH920,"")</f>
        <v/>
      </c>
      <c r="AN920" s="36" t="str">
        <f>IF(E920=1,AJ920/AH920,"")</f>
        <v/>
      </c>
      <c r="AO920" s="36" t="str">
        <f>IF(E920=1,AK920/AH920,"")</f>
        <v/>
      </c>
      <c r="AP920" s="34" t="str">
        <f>IF(E920=1,Orders!Y917,"")</f>
        <v/>
      </c>
      <c r="AQ920" s="33">
        <f>IF(Orders!X917,1,0)</f>
        <v>0</v>
      </c>
      <c r="AR920" s="34" t="str">
        <f>IF(AND(E920=1,L920=1),AJ920,"")</f>
        <v/>
      </c>
      <c r="AS920" s="34" t="str">
        <f>IF(AND(E920=1,L920=0),AJ920,"")</f>
        <v/>
      </c>
      <c r="AT920" s="34" t="str">
        <f>IF(AND(E920=1,L920=1),AI920,"")</f>
        <v/>
      </c>
      <c r="AU920" s="34" t="str">
        <f>IF(AND(E920=1,L920=0),AI920,"")</f>
        <v/>
      </c>
      <c r="AV920" s="34" t="str">
        <f>IF(AND(E920=1,L920=1),AG920,"")</f>
        <v/>
      </c>
      <c r="AW920" s="34" t="str">
        <f>IF(AND(E920=1,L920=0),AG920,"")</f>
        <v/>
      </c>
      <c r="AX920" s="34" t="str">
        <f>IF(AND(E920=1,L920=1),AH920,"")</f>
        <v/>
      </c>
      <c r="AY920" s="34" t="str">
        <f>IF(AND(E920=1,L920=0),AH920,"")</f>
        <v/>
      </c>
      <c r="AZ920" s="34" t="str">
        <f>IF(G920=1,F920,"")</f>
        <v/>
      </c>
      <c r="BA920" s="34" t="str">
        <f>IF(AND(G920=1,L920=1),F920,"")</f>
        <v/>
      </c>
      <c r="BB920" s="34" t="str">
        <f>IF(AND(G920=1,L920=0),F920,"")</f>
        <v/>
      </c>
      <c r="BC920" s="33" t="str">
        <f>IF(E920=1,IF(Orders!R917&gt;3,1,0),"")</f>
        <v/>
      </c>
      <c r="BD920" s="33" t="str">
        <f>IF(E920=1,IF(Orders!R917&gt;7,1,0),"")</f>
        <v/>
      </c>
      <c r="BE920" s="32" t="str">
        <f>IF(E920=1,IF(Orders!L917&lt;=1.5,"Up to 1.5 km",IF(Orders!L917&lt;=3,"1.5–3 km","Over 3 km")),"")</f>
        <v/>
      </c>
      <c r="BF920" s="33" t="str">
        <f>IF(E920=1,IF(ABS((Orders!G917-Orders!F917)*1440-Orders!R917)&lt;0.06,1,0),"")</f>
        <v/>
      </c>
      <c r="BG920" s="33">
        <f>IF(ABS((Orders!F917-Orders!E917)*1440-Orders!P917)&lt;0.06,1,0)</f>
        <v>1</v>
      </c>
      <c r="BH920" s="33" t="str">
        <f>IF(E920=1,IF(IF(Orders!S917,1,0)=1-G920,1,0),"")</f>
        <v/>
      </c>
      <c r="BI920" s="32" t="str">
        <f>INDEX(Stores!$B$2:$B$21,MATCH(B920,Stores!$A$2:$A$21,0))</f>
        <v>Mumbai</v>
      </c>
    </row>
    <row r="921">
      <c r="A921" s="32" t="str">
        <f>Orders!A918</f>
        <v>O00917</v>
      </c>
      <c r="B921" s="32" t="str">
        <f>Orders!C918</f>
        <v>S004</v>
      </c>
      <c r="C921" s="32" t="str">
        <f>Orders!B918</f>
        <v>C0227</v>
      </c>
      <c r="D921" s="32" t="str">
        <f>Orders!H918</f>
        <v>Delivered</v>
      </c>
      <c r="E921" s="33">
        <f>IF(Orders!H918="Delivered",1,0)</f>
        <v>1</v>
      </c>
      <c r="F921" s="34">
        <f>IF(E921=1,Orders!R918,"")</f>
        <v>-0.4</v>
      </c>
      <c r="G921" s="33">
        <f>IF(E921=1,IF(Orders!R918&gt;0,1,0),"")</f>
        <v>0</v>
      </c>
      <c r="H921" s="33">
        <f>IF(E921=1,IF(Orders!R918&gt;5,1,0),"")</f>
        <v>0</v>
      </c>
      <c r="I921" s="32" t="str">
        <f>IF(E921=1,"",IF(OR(Orders!T918="Rider unavailable",Orders!T918="Item unavailable"),"Company-caused","Unresolved"))</f>
        <v/>
      </c>
      <c r="J921" s="33">
        <f>IF(OR(E921=1,I921="Company-caused"),1,0)</f>
        <v>1</v>
      </c>
      <c r="K921" s="32" t="str">
        <f>IF(E921=0,IF(I921="Company-caused",IF(Orders!T918="Rider unavailable","C1 Rider unavailable","C2 Item unavailable"),"Outside root: unresolved"),IF(G921=0,"A On time",IF(H921=1,IF(L921=1,"B2a Severe, peak","B2b Severe, off-peak"),IF(L921=1,"B1a Slight, peak","B1b Slight, off-peak"))))</f>
        <v>A On time</v>
      </c>
      <c r="L921" s="33">
        <f>IF(AND(Orders!U918&gt;=19,Orders!U918&lt;22),1,0)</f>
        <v>0</v>
      </c>
      <c r="M921" s="33">
        <f>IF(L921=IF(Orders!V918,1,0),1,0)</f>
        <v>1</v>
      </c>
      <c r="N921" s="32" t="str">
        <f>IF(Orders!W918="","None",Orders!W918)</f>
        <v>Heavy</v>
      </c>
      <c r="O921" s="35">
        <f>INT(Orders!E918)</f>
        <v>46270.0</v>
      </c>
      <c r="P921" s="33">
        <f>Orders!U918</f>
        <v>17</v>
      </c>
      <c r="Q921" s="33">
        <f>COUNTIFS(Demand!$A$2:$A$4481,B921,Demand!$B$2:$B$4481,O921,Demand!$C$2:$C$4481,P921)</f>
        <v>1</v>
      </c>
      <c r="R921" s="33">
        <f>IF(Q921=1,SUMIFS(Demand!$E$2:$E$4481,Demand!$A$2:$A$4481,B921,Demand!$B$2:$B$4481,O921,Demand!$C$2:$C$4481,P921),"")</f>
        <v>51</v>
      </c>
      <c r="S921" s="33">
        <f>INDEX(Stores!$G$2:$G$21,MATCH(B921,Stores!$A$2:$A$21,0))</f>
        <v>42</v>
      </c>
      <c r="T921" s="34">
        <f>IF(R921="","",R921/S921)</f>
        <v>1.21428571428571</v>
      </c>
      <c r="U921" s="34">
        <f>IF(E921=1,T921,"")</f>
        <v>1.21428571428571</v>
      </c>
      <c r="V921" s="34">
        <f>IF(AND(E921=1,L921=0),T921,"")</f>
        <v>1.21428571428571</v>
      </c>
      <c r="W921" s="33">
        <f>IF(U921="","",IF(U921&lt;=Breakdowns!$C$5,1,IF(U921&lt;=Breakdowns!$C$6,2,IF(U921&lt;=Breakdowns!$C$7,3,4))))</f>
        <v>3</v>
      </c>
      <c r="X921" s="33">
        <f>IF(V921="","",IF(V921&lt;=Breakdowns!$D$5,1,IF(V921&lt;=Breakdowns!$D$6,2,IF(V921&lt;=Breakdowns!$D$7,3,4))))</f>
        <v>4</v>
      </c>
      <c r="Y921" s="34">
        <f>INDEX(Stores!$F$2:$F$21,MATCH(B921,Stores!$A$2:$A$21,0))</f>
        <v>2.19</v>
      </c>
      <c r="Z921" s="33">
        <f>IF(Y921&gt;Store_Summary!$M$2,1,0)</f>
        <v>0</v>
      </c>
      <c r="AA921" s="33">
        <f>INDEX(Stores!$C$2:$C$21,MATCH(B921,Stores!$A$2:$A$21,0))</f>
        <v>850</v>
      </c>
      <c r="AB921" s="33">
        <f>IF(AA921&lt;180,1,0)</f>
        <v>0</v>
      </c>
      <c r="AC921" s="32" t="str">
        <f>IF(Orders!D918="","",INDEX(Riders!$C$2:$C$81,MATCH(Orders!D918,Riders!$A$2:$A$81,0)))</f>
        <v>EV scooter</v>
      </c>
      <c r="AD921" s="33">
        <f>IF(Orders!D918="","",INDEX(Riders!$D$2:$D$81,MATCH(Orders!D918,Riders!$A$2:$A$81,0)))</f>
        <v>24</v>
      </c>
      <c r="AE921" s="33">
        <f>IF(Orders!D918="","",IF(INDEX(Riders!$B$2:$B$81,MATCH(Orders!D918,Riders!$A$2:$A$81,0))=B921,1,0))</f>
        <v>0</v>
      </c>
      <c r="AF921" s="34">
        <f>IF(E921=1,Orders!L918,"")</f>
        <v>1.84</v>
      </c>
      <c r="AG921" s="34">
        <f>IF(E921=1,Orders!P918,"")</f>
        <v>9.8</v>
      </c>
      <c r="AH921" s="34">
        <f>IF(E921=1,Orders!Q918,"")</f>
        <v>9.4</v>
      </c>
      <c r="AI921" s="34">
        <f>IF(E921=1,Orders!M918,"")</f>
        <v>2.4</v>
      </c>
      <c r="AJ921" s="34">
        <f>IF(E921=1,Orders!N918,"")</f>
        <v>1.5</v>
      </c>
      <c r="AK921" s="34">
        <f>IF(E921=1,Orders!O918,"")</f>
        <v>5.5</v>
      </c>
      <c r="AL921" s="33">
        <f>IF(E921=1,IF(ROUND(ABS(AI921+AJ921+AK921-AH921),6)&lt;=0.1,1,0),"")</f>
        <v>1</v>
      </c>
      <c r="AM921" s="36">
        <f>IF(E921=1,AI921/AH921,"")</f>
        <v>0.25531914893617</v>
      </c>
      <c r="AN921" s="36">
        <f>IF(E921=1,AJ921/AH921,"")</f>
        <v>0.159574468085106</v>
      </c>
      <c r="AO921" s="36">
        <f>IF(E921=1,AK921/AH921,"")</f>
        <v>0.585106382978723</v>
      </c>
      <c r="AP921" s="34">
        <f>IF(E921=1,Orders!Y918,"")</f>
        <v>0.45</v>
      </c>
      <c r="AQ921" s="33">
        <f>IF(Orders!X918,1,0)</f>
        <v>0</v>
      </c>
      <c r="AR921" s="34" t="str">
        <f>IF(AND(E921=1,L921=1),AJ921,"")</f>
        <v/>
      </c>
      <c r="AS921" s="34">
        <f>IF(AND(E921=1,L921=0),AJ921,"")</f>
        <v>1.5</v>
      </c>
      <c r="AT921" s="34" t="str">
        <f>IF(AND(E921=1,L921=1),AI921,"")</f>
        <v/>
      </c>
      <c r="AU921" s="34">
        <f>IF(AND(E921=1,L921=0),AI921,"")</f>
        <v>2.4</v>
      </c>
      <c r="AV921" s="34" t="str">
        <f>IF(AND(E921=1,L921=1),AG921,"")</f>
        <v/>
      </c>
      <c r="AW921" s="34">
        <f>IF(AND(E921=1,L921=0),AG921,"")</f>
        <v>9.8</v>
      </c>
      <c r="AX921" s="34" t="str">
        <f>IF(AND(E921=1,L921=1),AH921,"")</f>
        <v/>
      </c>
      <c r="AY921" s="34">
        <f>IF(AND(E921=1,L921=0),AH921,"")</f>
        <v>9.4</v>
      </c>
      <c r="AZ921" s="34" t="str">
        <f>IF(G921=1,F921,"")</f>
        <v/>
      </c>
      <c r="BA921" s="34" t="str">
        <f>IF(AND(G921=1,L921=1),F921,"")</f>
        <v/>
      </c>
      <c r="BB921" s="34" t="str">
        <f>IF(AND(G921=1,L921=0),F921,"")</f>
        <v/>
      </c>
      <c r="BC921" s="33">
        <f>IF(E921=1,IF(Orders!R918&gt;3,1,0),"")</f>
        <v>0</v>
      </c>
      <c r="BD921" s="33">
        <f>IF(E921=1,IF(Orders!R918&gt;7,1,0),"")</f>
        <v>0</v>
      </c>
      <c r="BE921" s="32" t="str">
        <f>IF(E921=1,IF(Orders!L918&lt;=1.5,"Up to 1.5 km",IF(Orders!L918&lt;=3,"1.5–3 km","Over 3 km")),"")</f>
        <v>1.5–3 km</v>
      </c>
      <c r="BF921" s="33">
        <f>IF(E921=1,IF(ABS((Orders!G918-Orders!F918)*1440-Orders!R918)&lt;0.06,1,0),"")</f>
        <v>1</v>
      </c>
      <c r="BG921" s="33">
        <f>IF(ABS((Orders!F918-Orders!E918)*1440-Orders!P918)&lt;0.06,1,0)</f>
        <v>1</v>
      </c>
      <c r="BH921" s="33">
        <f>IF(E921=1,IF(IF(Orders!S918,1,0)=1-G921,1,0),"")</f>
        <v>1</v>
      </c>
      <c r="BI921" s="32" t="str">
        <f>INDEX(Stores!$B$2:$B$21,MATCH(B921,Stores!$A$2:$A$21,0))</f>
        <v>Pune</v>
      </c>
    </row>
    <row r="922">
      <c r="A922" s="32" t="str">
        <f>Orders!A919</f>
        <v>O00918</v>
      </c>
      <c r="B922" s="32" t="str">
        <f>Orders!C919</f>
        <v>S005</v>
      </c>
      <c r="C922" s="32" t="str">
        <f>Orders!B919</f>
        <v>C0161</v>
      </c>
      <c r="D922" s="32" t="str">
        <f>Orders!H919</f>
        <v>Delivered</v>
      </c>
      <c r="E922" s="33">
        <f>IF(Orders!H919="Delivered",1,0)</f>
        <v>1</v>
      </c>
      <c r="F922" s="34">
        <f>IF(E922=1,Orders!R919,"")</f>
        <v>6.5</v>
      </c>
      <c r="G922" s="33">
        <f>IF(E922=1,IF(Orders!R919&gt;0,1,0),"")</f>
        <v>1</v>
      </c>
      <c r="H922" s="33">
        <f>IF(E922=1,IF(Orders!R919&gt;5,1,0),"")</f>
        <v>1</v>
      </c>
      <c r="I922" s="32" t="str">
        <f>IF(E922=1,"",IF(OR(Orders!T919="Rider unavailable",Orders!T919="Item unavailable"),"Company-caused","Unresolved"))</f>
        <v/>
      </c>
      <c r="J922" s="33">
        <f>IF(OR(E922=1,I922="Company-caused"),1,0)</f>
        <v>1</v>
      </c>
      <c r="K922" s="32" t="str">
        <f>IF(E922=0,IF(I922="Company-caused",IF(Orders!T919="Rider unavailable","C1 Rider unavailable","C2 Item unavailable"),"Outside root: unresolved"),IF(G922=0,"A On time",IF(H922=1,IF(L922=1,"B2a Severe, peak","B2b Severe, off-peak"),IF(L922=1,"B1a Slight, peak","B1b Slight, off-peak"))))</f>
        <v>B2b Severe, off-peak</v>
      </c>
      <c r="L922" s="33">
        <f>IF(AND(Orders!U919&gt;=19,Orders!U919&lt;22),1,0)</f>
        <v>0</v>
      </c>
      <c r="M922" s="33">
        <f>IF(L922=IF(Orders!V919,1,0),1,0)</f>
        <v>1</v>
      </c>
      <c r="N922" s="32" t="str">
        <f>IF(Orders!W919="","None",Orders!W919)</f>
        <v>None</v>
      </c>
      <c r="O922" s="35">
        <f>INT(Orders!E919)</f>
        <v>46270.0</v>
      </c>
      <c r="P922" s="33">
        <f>Orders!U919</f>
        <v>17</v>
      </c>
      <c r="Q922" s="33">
        <f>COUNTIFS(Demand!$A$2:$A$4481,B922,Demand!$B$2:$B$4481,O922,Demand!$C$2:$C$4481,P922)</f>
        <v>1</v>
      </c>
      <c r="R922" s="33">
        <f>IF(Q922=1,SUMIFS(Demand!$E$2:$E$4481,Demand!$A$2:$A$4481,B922,Demand!$B$2:$B$4481,O922,Demand!$C$2:$C$4481,P922),"")</f>
        <v>21</v>
      </c>
      <c r="S922" s="33">
        <f>INDEX(Stores!$G$2:$G$21,MATCH(B922,Stores!$A$2:$A$21,0))</f>
        <v>14</v>
      </c>
      <c r="T922" s="34">
        <f>IF(R922="","",R922/S922)</f>
        <v>1.5</v>
      </c>
      <c r="U922" s="34">
        <f>IF(E922=1,T922,"")</f>
        <v>1.5</v>
      </c>
      <c r="V922" s="34">
        <f>IF(AND(E922=1,L922=0),T922,"")</f>
        <v>1.5</v>
      </c>
      <c r="W922" s="33">
        <f>IF(U922="","",IF(U922&lt;=Breakdowns!$C$5,1,IF(U922&lt;=Breakdowns!$C$6,2,IF(U922&lt;=Breakdowns!$C$7,3,4))))</f>
        <v>4</v>
      </c>
      <c r="X922" s="33">
        <f>IF(V922="","",IF(V922&lt;=Breakdowns!$D$5,1,IF(V922&lt;=Breakdowns!$D$6,2,IF(V922&lt;=Breakdowns!$D$7,3,4))))</f>
        <v>4</v>
      </c>
      <c r="Y922" s="34">
        <f>INDEX(Stores!$F$2:$F$21,MATCH(B922,Stores!$A$2:$A$21,0))</f>
        <v>4.89</v>
      </c>
      <c r="Z922" s="33">
        <f>IF(Y922&gt;Store_Summary!$M$2,1,0)</f>
        <v>0</v>
      </c>
      <c r="AA922" s="33">
        <f>INDEX(Stores!$C$2:$C$21,MATCH(B922,Stores!$A$2:$A$21,0))</f>
        <v>138</v>
      </c>
      <c r="AB922" s="33">
        <f>IF(AA922&lt;180,1,0)</f>
        <v>1</v>
      </c>
      <c r="AC922" s="32" t="str">
        <f>IF(Orders!D919="","",INDEX(Riders!$C$2:$C$81,MATCH(Orders!D919,Riders!$A$2:$A$81,0)))</f>
        <v>EV scooter</v>
      </c>
      <c r="AD922" s="33">
        <f>IF(Orders!D919="","",INDEX(Riders!$D$2:$D$81,MATCH(Orders!D919,Riders!$A$2:$A$81,0)))</f>
        <v>38</v>
      </c>
      <c r="AE922" s="33">
        <f>IF(Orders!D919="","",IF(INDEX(Riders!$B$2:$B$81,MATCH(Orders!D919,Riders!$A$2:$A$81,0))=B922,1,0))</f>
        <v>0</v>
      </c>
      <c r="AF922" s="34">
        <f>IF(E922=1,Orders!L919,"")</f>
        <v>1.44</v>
      </c>
      <c r="AG922" s="34">
        <f>IF(E922=1,Orders!P919,"")</f>
        <v>10.4</v>
      </c>
      <c r="AH922" s="34">
        <f>IF(E922=1,Orders!Q919,"")</f>
        <v>16.9</v>
      </c>
      <c r="AI922" s="34">
        <f>IF(E922=1,Orders!M919,"")</f>
        <v>4.8</v>
      </c>
      <c r="AJ922" s="34">
        <f>IF(E922=1,Orders!N919,"")</f>
        <v>7.8</v>
      </c>
      <c r="AK922" s="34">
        <f>IF(E922=1,Orders!O919,"")</f>
        <v>4.4</v>
      </c>
      <c r="AL922" s="33">
        <f>IF(E922=1,IF(ROUND(ABS(AI922+AJ922+AK922-AH922),6)&lt;=0.1,1,0),"")</f>
        <v>1</v>
      </c>
      <c r="AM922" s="36">
        <f>IF(E922=1,AI922/AH922,"")</f>
        <v>0.284023668639053</v>
      </c>
      <c r="AN922" s="36">
        <f>IF(E922=1,AJ922/AH922,"")</f>
        <v>0.461538461538462</v>
      </c>
      <c r="AO922" s="36">
        <f>IF(E922=1,AK922/AH922,"")</f>
        <v>0.260355029585799</v>
      </c>
      <c r="AP922" s="34">
        <f>IF(E922=1,Orders!Y919,"")</f>
        <v>0.3</v>
      </c>
      <c r="AQ922" s="33">
        <f>IF(Orders!X919,1,0)</f>
        <v>0</v>
      </c>
      <c r="AR922" s="34" t="str">
        <f>IF(AND(E922=1,L922=1),AJ922,"")</f>
        <v/>
      </c>
      <c r="AS922" s="34">
        <f>IF(AND(E922=1,L922=0),AJ922,"")</f>
        <v>7.8</v>
      </c>
      <c r="AT922" s="34" t="str">
        <f>IF(AND(E922=1,L922=1),AI922,"")</f>
        <v/>
      </c>
      <c r="AU922" s="34">
        <f>IF(AND(E922=1,L922=0),AI922,"")</f>
        <v>4.8</v>
      </c>
      <c r="AV922" s="34" t="str">
        <f>IF(AND(E922=1,L922=1),AG922,"")</f>
        <v/>
      </c>
      <c r="AW922" s="34">
        <f>IF(AND(E922=1,L922=0),AG922,"")</f>
        <v>10.4</v>
      </c>
      <c r="AX922" s="34" t="str">
        <f>IF(AND(E922=1,L922=1),AH922,"")</f>
        <v/>
      </c>
      <c r="AY922" s="34">
        <f>IF(AND(E922=1,L922=0),AH922,"")</f>
        <v>16.9</v>
      </c>
      <c r="AZ922" s="34">
        <f>IF(G922=1,F922,"")</f>
        <v>6.5</v>
      </c>
      <c r="BA922" s="34" t="str">
        <f>IF(AND(G922=1,L922=1),F922,"")</f>
        <v/>
      </c>
      <c r="BB922" s="34">
        <f>IF(AND(G922=1,L922=0),F922,"")</f>
        <v>6.5</v>
      </c>
      <c r="BC922" s="33">
        <f>IF(E922=1,IF(Orders!R919&gt;3,1,0),"")</f>
        <v>1</v>
      </c>
      <c r="BD922" s="33">
        <f>IF(E922=1,IF(Orders!R919&gt;7,1,0),"")</f>
        <v>0</v>
      </c>
      <c r="BE922" s="32" t="str">
        <f>IF(E922=1,IF(Orders!L919&lt;=1.5,"Up to 1.5 km",IF(Orders!L919&lt;=3,"1.5–3 km","Over 3 km")),"")</f>
        <v>Up to 1.5 km</v>
      </c>
      <c r="BF922" s="33">
        <f>IF(E922=1,IF(ABS((Orders!G919-Orders!F919)*1440-Orders!R919)&lt;0.06,1,0),"")</f>
        <v>1</v>
      </c>
      <c r="BG922" s="33">
        <f>IF(ABS((Orders!F919-Orders!E919)*1440-Orders!P919)&lt;0.06,1,0)</f>
        <v>1</v>
      </c>
      <c r="BH922" s="33">
        <f>IF(E922=1,IF(IF(Orders!S919,1,0)=1-G922,1,0),"")</f>
        <v>1</v>
      </c>
      <c r="BI922" s="32" t="str">
        <f>INDEX(Stores!$B$2:$B$21,MATCH(B922,Stores!$A$2:$A$21,0))</f>
        <v>Delhi</v>
      </c>
    </row>
    <row r="923">
      <c r="A923" s="32" t="str">
        <f>Orders!A920</f>
        <v>O00919</v>
      </c>
      <c r="B923" s="32" t="str">
        <f>Orders!C920</f>
        <v>S013</v>
      </c>
      <c r="C923" s="32" t="str">
        <f>Orders!B920</f>
        <v>C0071</v>
      </c>
      <c r="D923" s="32" t="str">
        <f>Orders!H920</f>
        <v>Cancelled</v>
      </c>
      <c r="E923" s="33">
        <f>IF(Orders!H920="Delivered",1,0)</f>
        <v>0</v>
      </c>
      <c r="F923" s="34" t="str">
        <f>IF(E923=1,Orders!R920,"")</f>
        <v/>
      </c>
      <c r="G923" s="33" t="str">
        <f>IF(E923=1,IF(Orders!R920&gt;0,1,0),"")</f>
        <v/>
      </c>
      <c r="H923" s="33" t="str">
        <f>IF(E923=1,IF(Orders!R920&gt;5,1,0),"")</f>
        <v/>
      </c>
      <c r="I923" s="32" t="str">
        <f>IF(E923=1,"",IF(OR(Orders!T920="Rider unavailable",Orders!T920="Item unavailable"),"Company-caused","Unresolved"))</f>
        <v>Unresolved</v>
      </c>
      <c r="J923" s="33">
        <f>IF(OR(E923=1,I923="Company-caused"),1,0)</f>
        <v>0</v>
      </c>
      <c r="K923" s="32" t="str">
        <f>IF(E923=0,IF(I923="Company-caused",IF(Orders!T920="Rider unavailable","C1 Rider unavailable","C2 Item unavailable"),"Outside root: unresolved"),IF(G923=0,"A On time",IF(H923=1,IF(L923=1,"B2a Severe, peak","B2b Severe, off-peak"),IF(L923=1,"B1a Slight, peak","B1b Slight, off-peak"))))</f>
        <v>Outside root: unresolved</v>
      </c>
      <c r="L923" s="33">
        <f>IF(AND(Orders!U920&gt;=19,Orders!U920&lt;22),1,0)</f>
        <v>0</v>
      </c>
      <c r="M923" s="33">
        <f>IF(L923=IF(Orders!V920,1,0),1,0)</f>
        <v>1</v>
      </c>
      <c r="N923" s="32" t="str">
        <f>IF(Orders!W920="","None",Orders!W920)</f>
        <v>Light</v>
      </c>
      <c r="O923" s="35">
        <f>INT(Orders!E920)</f>
        <v>46277.0</v>
      </c>
      <c r="P923" s="33">
        <f>Orders!U920</f>
        <v>13</v>
      </c>
      <c r="Q923" s="33">
        <f>COUNTIFS(Demand!$A$2:$A$4481,B923,Demand!$B$2:$B$4481,O923,Demand!$C$2:$C$4481,P923)</f>
        <v>1</v>
      </c>
      <c r="R923" s="33">
        <f>IF(Q923=1,SUMIFS(Demand!$E$2:$E$4481,Demand!$A$2:$A$4481,B923,Demand!$B$2:$B$4481,O923,Demand!$C$2:$C$4481,P923),"")</f>
        <v>51</v>
      </c>
      <c r="S923" s="33">
        <f>INDEX(Stores!$G$2:$G$21,MATCH(B923,Stores!$A$2:$A$21,0))</f>
        <v>49</v>
      </c>
      <c r="T923" s="34">
        <f>IF(R923="","",R923/S923)</f>
        <v>1.04081632653061</v>
      </c>
      <c r="U923" s="34" t="str">
        <f>IF(E923=1,T923,"")</f>
        <v/>
      </c>
      <c r="V923" s="34" t="str">
        <f>IF(AND(E923=1,L923=0),T923,"")</f>
        <v/>
      </c>
      <c r="W923" s="33" t="str">
        <f>IF(U923="","",IF(U923&lt;=Breakdowns!$C$5,1,IF(U923&lt;=Breakdowns!$C$6,2,IF(U923&lt;=Breakdowns!$C$7,3,4))))</f>
        <v/>
      </c>
      <c r="X923" s="33" t="str">
        <f>IF(V923="","",IF(V923&lt;=Breakdowns!$D$5,1,IF(V923&lt;=Breakdowns!$D$6,2,IF(V923&lt;=Breakdowns!$D$7,3,4))))</f>
        <v/>
      </c>
      <c r="Y923" s="34">
        <f>INDEX(Stores!$F$2:$F$21,MATCH(B923,Stores!$A$2:$A$21,0))</f>
        <v>5.82</v>
      </c>
      <c r="Z923" s="33">
        <f>IF(Y923&gt;Store_Summary!$M$2,1,0)</f>
        <v>1</v>
      </c>
      <c r="AA923" s="33">
        <f>INDEX(Stores!$C$2:$C$21,MATCH(B923,Stores!$A$2:$A$21,0))</f>
        <v>705</v>
      </c>
      <c r="AB923" s="33">
        <f>IF(AA923&lt;180,1,0)</f>
        <v>0</v>
      </c>
      <c r="AC923" s="32" t="str">
        <f>IF(Orders!D920="","",INDEX(Riders!$C$2:$C$81,MATCH(Orders!D920,Riders!$A$2:$A$81,0)))</f>
        <v/>
      </c>
      <c r="AD923" s="33" t="str">
        <f>IF(Orders!D920="","",INDEX(Riders!$D$2:$D$81,MATCH(Orders!D920,Riders!$A$2:$A$81,0)))</f>
        <v/>
      </c>
      <c r="AE923" s="33" t="str">
        <f>IF(Orders!D920="","",IF(INDEX(Riders!$B$2:$B$81,MATCH(Orders!D920,Riders!$A$2:$A$81,0))=B923,1,0))</f>
        <v/>
      </c>
      <c r="AF923" s="34" t="str">
        <f>IF(E923=1,Orders!L920,"")</f>
        <v/>
      </c>
      <c r="AG923" s="34" t="str">
        <f>IF(E923=1,Orders!P920,"")</f>
        <v/>
      </c>
      <c r="AH923" s="34" t="str">
        <f>IF(E923=1,Orders!Q920,"")</f>
        <v/>
      </c>
      <c r="AI923" s="34" t="str">
        <f>IF(E923=1,Orders!M920,"")</f>
        <v/>
      </c>
      <c r="AJ923" s="34" t="str">
        <f>IF(E923=1,Orders!N920,"")</f>
        <v/>
      </c>
      <c r="AK923" s="34" t="str">
        <f>IF(E923=1,Orders!O920,"")</f>
        <v/>
      </c>
      <c r="AL923" s="33" t="str">
        <f>IF(E923=1,IF(ROUND(ABS(AI923+AJ923+AK923-AH923),6)&lt;=0.1,1,0),"")</f>
        <v/>
      </c>
      <c r="AM923" s="36" t="str">
        <f>IF(E923=1,AI923/AH923,"")</f>
        <v/>
      </c>
      <c r="AN923" s="36" t="str">
        <f>IF(E923=1,AJ923/AH923,"")</f>
        <v/>
      </c>
      <c r="AO923" s="36" t="str">
        <f>IF(E923=1,AK923/AH923,"")</f>
        <v/>
      </c>
      <c r="AP923" s="34" t="str">
        <f>IF(E923=1,Orders!Y920,"")</f>
        <v/>
      </c>
      <c r="AQ923" s="33">
        <f>IF(Orders!X920,1,0)</f>
        <v>0</v>
      </c>
      <c r="AR923" s="34" t="str">
        <f>IF(AND(E923=1,L923=1),AJ923,"")</f>
        <v/>
      </c>
      <c r="AS923" s="34" t="str">
        <f>IF(AND(E923=1,L923=0),AJ923,"")</f>
        <v/>
      </c>
      <c r="AT923" s="34" t="str">
        <f>IF(AND(E923=1,L923=1),AI923,"")</f>
        <v/>
      </c>
      <c r="AU923" s="34" t="str">
        <f>IF(AND(E923=1,L923=0),AI923,"")</f>
        <v/>
      </c>
      <c r="AV923" s="34" t="str">
        <f>IF(AND(E923=1,L923=1),AG923,"")</f>
        <v/>
      </c>
      <c r="AW923" s="34" t="str">
        <f>IF(AND(E923=1,L923=0),AG923,"")</f>
        <v/>
      </c>
      <c r="AX923" s="34" t="str">
        <f>IF(AND(E923=1,L923=1),AH923,"")</f>
        <v/>
      </c>
      <c r="AY923" s="34" t="str">
        <f>IF(AND(E923=1,L923=0),AH923,"")</f>
        <v/>
      </c>
      <c r="AZ923" s="34" t="str">
        <f>IF(G923=1,F923,"")</f>
        <v/>
      </c>
      <c r="BA923" s="34" t="str">
        <f>IF(AND(G923=1,L923=1),F923,"")</f>
        <v/>
      </c>
      <c r="BB923" s="34" t="str">
        <f>IF(AND(G923=1,L923=0),F923,"")</f>
        <v/>
      </c>
      <c r="BC923" s="33" t="str">
        <f>IF(E923=1,IF(Orders!R920&gt;3,1,0),"")</f>
        <v/>
      </c>
      <c r="BD923" s="33" t="str">
        <f>IF(E923=1,IF(Orders!R920&gt;7,1,0),"")</f>
        <v/>
      </c>
      <c r="BE923" s="32" t="str">
        <f>IF(E923=1,IF(Orders!L920&lt;=1.5,"Up to 1.5 km",IF(Orders!L920&lt;=3,"1.5–3 km","Over 3 km")),"")</f>
        <v/>
      </c>
      <c r="BF923" s="33" t="str">
        <f>IF(E923=1,IF(ABS((Orders!G920-Orders!F920)*1440-Orders!R920)&lt;0.06,1,0),"")</f>
        <v/>
      </c>
      <c r="BG923" s="33">
        <f>IF(ABS((Orders!F920-Orders!E920)*1440-Orders!P920)&lt;0.06,1,0)</f>
        <v>1</v>
      </c>
      <c r="BH923" s="33" t="str">
        <f>IF(E923=1,IF(IF(Orders!S920,1,0)=1-G923,1,0),"")</f>
        <v/>
      </c>
      <c r="BI923" s="32" t="str">
        <f>INDEX(Stores!$B$2:$B$21,MATCH(B923,Stores!$A$2:$A$21,0))</f>
        <v>Mumbai</v>
      </c>
    </row>
    <row r="924">
      <c r="A924" s="32" t="str">
        <f>Orders!A921</f>
        <v>O00920</v>
      </c>
      <c r="B924" s="32" t="str">
        <f>Orders!C921</f>
        <v>S005</v>
      </c>
      <c r="C924" s="32" t="str">
        <f>Orders!B921</f>
        <v>C0150</v>
      </c>
      <c r="D924" s="32" t="str">
        <f>Orders!H921</f>
        <v>Delivered</v>
      </c>
      <c r="E924" s="33">
        <f>IF(Orders!H921="Delivered",1,0)</f>
        <v>1</v>
      </c>
      <c r="F924" s="34">
        <f>IF(E924=1,Orders!R921,"")</f>
        <v>-0.4</v>
      </c>
      <c r="G924" s="33">
        <f>IF(E924=1,IF(Orders!R921&gt;0,1,0),"")</f>
        <v>0</v>
      </c>
      <c r="H924" s="33">
        <f>IF(E924=1,IF(Orders!R921&gt;5,1,0),"")</f>
        <v>0</v>
      </c>
      <c r="I924" s="32" t="str">
        <f>IF(E924=1,"",IF(OR(Orders!T921="Rider unavailable",Orders!T921="Item unavailable"),"Company-caused","Unresolved"))</f>
        <v/>
      </c>
      <c r="J924" s="33">
        <f>IF(OR(E924=1,I924="Company-caused"),1,0)</f>
        <v>1</v>
      </c>
      <c r="K924" s="32" t="str">
        <f>IF(E924=0,IF(I924="Company-caused",IF(Orders!T921="Rider unavailable","C1 Rider unavailable","C2 Item unavailable"),"Outside root: unresolved"),IF(G924=0,"A On time",IF(H924=1,IF(L924=1,"B2a Severe, peak","B2b Severe, off-peak"),IF(L924=1,"B1a Slight, peak","B1b Slight, off-peak"))))</f>
        <v>A On time</v>
      </c>
      <c r="L924" s="33">
        <f>IF(AND(Orders!U921&gt;=19,Orders!U921&lt;22),1,0)</f>
        <v>0</v>
      </c>
      <c r="M924" s="33">
        <f>IF(L924=IF(Orders!V921,1,0),1,0)</f>
        <v>1</v>
      </c>
      <c r="N924" s="32" t="str">
        <f>IF(Orders!W921="","None",Orders!W921)</f>
        <v>None</v>
      </c>
      <c r="O924" s="35">
        <f>INT(Orders!E921)</f>
        <v>46270.0</v>
      </c>
      <c r="P924" s="33">
        <f>Orders!U921</f>
        <v>10</v>
      </c>
      <c r="Q924" s="33">
        <f>COUNTIFS(Demand!$A$2:$A$4481,B924,Demand!$B$2:$B$4481,O924,Demand!$C$2:$C$4481,P924)</f>
        <v>1</v>
      </c>
      <c r="R924" s="33">
        <f>IF(Q924=1,SUMIFS(Demand!$E$2:$E$4481,Demand!$A$2:$A$4481,B924,Demand!$B$2:$B$4481,O924,Demand!$C$2:$C$4481,P924),"")</f>
        <v>14</v>
      </c>
      <c r="S924" s="33">
        <f>INDEX(Stores!$G$2:$G$21,MATCH(B924,Stores!$A$2:$A$21,0))</f>
        <v>14</v>
      </c>
      <c r="T924" s="34">
        <f>IF(R924="","",R924/S924)</f>
        <v>1</v>
      </c>
      <c r="U924" s="34">
        <f>IF(E924=1,T924,"")</f>
        <v>1</v>
      </c>
      <c r="V924" s="34">
        <f>IF(AND(E924=1,L924=0),T924,"")</f>
        <v>1</v>
      </c>
      <c r="W924" s="33">
        <f>IF(U924="","",IF(U924&lt;=Breakdowns!$C$5,1,IF(U924&lt;=Breakdowns!$C$6,2,IF(U924&lt;=Breakdowns!$C$7,3,4))))</f>
        <v>2</v>
      </c>
      <c r="X924" s="33">
        <f>IF(V924="","",IF(V924&lt;=Breakdowns!$D$5,1,IF(V924&lt;=Breakdowns!$D$6,2,IF(V924&lt;=Breakdowns!$D$7,3,4))))</f>
        <v>3</v>
      </c>
      <c r="Y924" s="34">
        <f>INDEX(Stores!$F$2:$F$21,MATCH(B924,Stores!$A$2:$A$21,0))</f>
        <v>4.89</v>
      </c>
      <c r="Z924" s="33">
        <f>IF(Y924&gt;Store_Summary!$M$2,1,0)</f>
        <v>0</v>
      </c>
      <c r="AA924" s="33">
        <f>INDEX(Stores!$C$2:$C$21,MATCH(B924,Stores!$A$2:$A$21,0))</f>
        <v>138</v>
      </c>
      <c r="AB924" s="33">
        <f>IF(AA924&lt;180,1,0)</f>
        <v>1</v>
      </c>
      <c r="AC924" s="32" t="str">
        <f>IF(Orders!D921="","",INDEX(Riders!$C$2:$C$81,MATCH(Orders!D921,Riders!$A$2:$A$81,0)))</f>
        <v>EV scooter</v>
      </c>
      <c r="AD924" s="33">
        <f>IF(Orders!D921="","",INDEX(Riders!$D$2:$D$81,MATCH(Orders!D921,Riders!$A$2:$A$81,0)))</f>
        <v>12</v>
      </c>
      <c r="AE924" s="33">
        <f>IF(Orders!D921="","",IF(INDEX(Riders!$B$2:$B$81,MATCH(Orders!D921,Riders!$A$2:$A$81,0))=B924,1,0))</f>
        <v>0</v>
      </c>
      <c r="AF924" s="34">
        <f>IF(E924=1,Orders!L921,"")</f>
        <v>3.48</v>
      </c>
      <c r="AG924" s="34">
        <f>IF(E924=1,Orders!P921,"")</f>
        <v>13</v>
      </c>
      <c r="AH924" s="34">
        <f>IF(E924=1,Orders!Q921,"")</f>
        <v>12.6</v>
      </c>
      <c r="AI924" s="34">
        <f>IF(E924=1,Orders!M921,"")</f>
        <v>4.3</v>
      </c>
      <c r="AJ924" s="34">
        <f>IF(E924=1,Orders!N921,"")</f>
        <v>2.3</v>
      </c>
      <c r="AK924" s="34">
        <f>IF(E924=1,Orders!O921,"")</f>
        <v>6</v>
      </c>
      <c r="AL924" s="33">
        <f>IF(E924=1,IF(ROUND(ABS(AI924+AJ924+AK924-AH924),6)&lt;=0.1,1,0),"")</f>
        <v>1</v>
      </c>
      <c r="AM924" s="36">
        <f>IF(E924=1,AI924/AH924,"")</f>
        <v>0.341269841269841</v>
      </c>
      <c r="AN924" s="36">
        <f>IF(E924=1,AJ924/AH924,"")</f>
        <v>0.182539682539683</v>
      </c>
      <c r="AO924" s="36">
        <f>IF(E924=1,AK924/AH924,"")</f>
        <v>0.476190476190476</v>
      </c>
      <c r="AP924" s="34">
        <f>IF(E924=1,Orders!Y921,"")</f>
        <v>0.47</v>
      </c>
      <c r="AQ924" s="33">
        <f>IF(Orders!X921,1,0)</f>
        <v>0</v>
      </c>
      <c r="AR924" s="34" t="str">
        <f>IF(AND(E924=1,L924=1),AJ924,"")</f>
        <v/>
      </c>
      <c r="AS924" s="34">
        <f>IF(AND(E924=1,L924=0),AJ924,"")</f>
        <v>2.3</v>
      </c>
      <c r="AT924" s="34" t="str">
        <f>IF(AND(E924=1,L924=1),AI924,"")</f>
        <v/>
      </c>
      <c r="AU924" s="34">
        <f>IF(AND(E924=1,L924=0),AI924,"")</f>
        <v>4.3</v>
      </c>
      <c r="AV924" s="34" t="str">
        <f>IF(AND(E924=1,L924=1),AG924,"")</f>
        <v/>
      </c>
      <c r="AW924" s="34">
        <f>IF(AND(E924=1,L924=0),AG924,"")</f>
        <v>13</v>
      </c>
      <c r="AX924" s="34" t="str">
        <f>IF(AND(E924=1,L924=1),AH924,"")</f>
        <v/>
      </c>
      <c r="AY924" s="34">
        <f>IF(AND(E924=1,L924=0),AH924,"")</f>
        <v>12.6</v>
      </c>
      <c r="AZ924" s="34" t="str">
        <f>IF(G924=1,F924,"")</f>
        <v/>
      </c>
      <c r="BA924" s="34" t="str">
        <f>IF(AND(G924=1,L924=1),F924,"")</f>
        <v/>
      </c>
      <c r="BB924" s="34" t="str">
        <f>IF(AND(G924=1,L924=0),F924,"")</f>
        <v/>
      </c>
      <c r="BC924" s="33">
        <f>IF(E924=1,IF(Orders!R921&gt;3,1,0),"")</f>
        <v>0</v>
      </c>
      <c r="BD924" s="33">
        <f>IF(E924=1,IF(Orders!R921&gt;7,1,0),"")</f>
        <v>0</v>
      </c>
      <c r="BE924" s="32" t="str">
        <f>IF(E924=1,IF(Orders!L921&lt;=1.5,"Up to 1.5 km",IF(Orders!L921&lt;=3,"1.5–3 km","Over 3 km")),"")</f>
        <v>Over 3 km</v>
      </c>
      <c r="BF924" s="33">
        <f>IF(E924=1,IF(ABS((Orders!G921-Orders!F921)*1440-Orders!R921)&lt;0.06,1,0),"")</f>
        <v>1</v>
      </c>
      <c r="BG924" s="33">
        <f>IF(ABS((Orders!F921-Orders!E921)*1440-Orders!P921)&lt;0.06,1,0)</f>
        <v>1</v>
      </c>
      <c r="BH924" s="33">
        <f>IF(E924=1,IF(IF(Orders!S921,1,0)=1-G924,1,0),"")</f>
        <v>1</v>
      </c>
      <c r="BI924" s="32" t="str">
        <f>INDEX(Stores!$B$2:$B$21,MATCH(B924,Stores!$A$2:$A$21,0))</f>
        <v>Delhi</v>
      </c>
    </row>
    <row r="925">
      <c r="A925" s="32" t="str">
        <f>Orders!A922</f>
        <v>O00921</v>
      </c>
      <c r="B925" s="32" t="str">
        <f>Orders!C922</f>
        <v>S001</v>
      </c>
      <c r="C925" s="32" t="str">
        <f>Orders!B922</f>
        <v>C0204</v>
      </c>
      <c r="D925" s="32" t="str">
        <f>Orders!H922</f>
        <v>Delivered</v>
      </c>
      <c r="E925" s="33">
        <f>IF(Orders!H922="Delivered",1,0)</f>
        <v>1</v>
      </c>
      <c r="F925" s="34">
        <f>IF(E925=1,Orders!R922,"")</f>
        <v>-0.6</v>
      </c>
      <c r="G925" s="33">
        <f>IF(E925=1,IF(Orders!R922&gt;0,1,0),"")</f>
        <v>0</v>
      </c>
      <c r="H925" s="33">
        <f>IF(E925=1,IF(Orders!R922&gt;5,1,0),"")</f>
        <v>0</v>
      </c>
      <c r="I925" s="32" t="str">
        <f>IF(E925=1,"",IF(OR(Orders!T922="Rider unavailable",Orders!T922="Item unavailable"),"Company-caused","Unresolved"))</f>
        <v/>
      </c>
      <c r="J925" s="33">
        <f>IF(OR(E925=1,I925="Company-caused"),1,0)</f>
        <v>1</v>
      </c>
      <c r="K925" s="32" t="str">
        <f>IF(E925=0,IF(I925="Company-caused",IF(Orders!T922="Rider unavailable","C1 Rider unavailable","C2 Item unavailable"),"Outside root: unresolved"),IF(G925=0,"A On time",IF(H925=1,IF(L925=1,"B2a Severe, peak","B2b Severe, off-peak"),IF(L925=1,"B1a Slight, peak","B1b Slight, off-peak"))))</f>
        <v>A On time</v>
      </c>
      <c r="L925" s="33">
        <f>IF(AND(Orders!U922&gt;=19,Orders!U922&lt;22),1,0)</f>
        <v>1</v>
      </c>
      <c r="M925" s="33">
        <f>IF(L925=IF(Orders!V922,1,0),1,0)</f>
        <v>1</v>
      </c>
      <c r="N925" s="32" t="str">
        <f>IF(Orders!W922="","None",Orders!W922)</f>
        <v>Light</v>
      </c>
      <c r="O925" s="35">
        <f>INT(Orders!E922)</f>
        <v>46276.0</v>
      </c>
      <c r="P925" s="33">
        <f>Orders!U922</f>
        <v>20</v>
      </c>
      <c r="Q925" s="33">
        <f>COUNTIFS(Demand!$A$2:$A$4481,B925,Demand!$B$2:$B$4481,O925,Demand!$C$2:$C$4481,P925)</f>
        <v>1</v>
      </c>
      <c r="R925" s="33">
        <f>IF(Q925=1,SUMIFS(Demand!$E$2:$E$4481,Demand!$A$2:$A$4481,B925,Demand!$B$2:$B$4481,O925,Demand!$C$2:$C$4481,P925),"")</f>
        <v>26</v>
      </c>
      <c r="S925" s="33">
        <f>INDEX(Stores!$G$2:$G$21,MATCH(B925,Stores!$A$2:$A$21,0))</f>
        <v>16</v>
      </c>
      <c r="T925" s="34">
        <f>IF(R925="","",R925/S925)</f>
        <v>1.625</v>
      </c>
      <c r="U925" s="34">
        <f>IF(E925=1,T925,"")</f>
        <v>1.625</v>
      </c>
      <c r="V925" s="34" t="str">
        <f>IF(AND(E925=1,L925=0),T925,"")</f>
        <v/>
      </c>
      <c r="W925" s="33">
        <f>IF(U925="","",IF(U925&lt;=Breakdowns!$C$5,1,IF(U925&lt;=Breakdowns!$C$6,2,IF(U925&lt;=Breakdowns!$C$7,3,4))))</f>
        <v>4</v>
      </c>
      <c r="X925" s="33" t="str">
        <f>IF(V925="","",IF(V925&lt;=Breakdowns!$D$5,1,IF(V925&lt;=Breakdowns!$D$6,2,IF(V925&lt;=Breakdowns!$D$7,3,4))))</f>
        <v/>
      </c>
      <c r="Y925" s="34">
        <f>INDEX(Stores!$F$2:$F$21,MATCH(B925,Stores!$A$2:$A$21,0))</f>
        <v>4.59</v>
      </c>
      <c r="Z925" s="33">
        <f>IF(Y925&gt;Store_Summary!$M$2,1,0)</f>
        <v>0</v>
      </c>
      <c r="AA925" s="33">
        <f>INDEX(Stores!$C$2:$C$21,MATCH(B925,Stores!$A$2:$A$21,0))</f>
        <v>362</v>
      </c>
      <c r="AB925" s="33">
        <f>IF(AA925&lt;180,1,0)</f>
        <v>0</v>
      </c>
      <c r="AC925" s="32" t="str">
        <f>IF(Orders!D922="","",INDEX(Riders!$C$2:$C$81,MATCH(Orders!D922,Riders!$A$2:$A$81,0)))</f>
        <v>EV scooter</v>
      </c>
      <c r="AD925" s="33">
        <f>IF(Orders!D922="","",INDEX(Riders!$D$2:$D$81,MATCH(Orders!D922,Riders!$A$2:$A$81,0)))</f>
        <v>2</v>
      </c>
      <c r="AE925" s="33">
        <f>IF(Orders!D922="","",IF(INDEX(Riders!$B$2:$B$81,MATCH(Orders!D922,Riders!$A$2:$A$81,0))=B925,1,0))</f>
        <v>0</v>
      </c>
      <c r="AF925" s="34">
        <f>IF(E925=1,Orders!L922,"")</f>
        <v>1.02</v>
      </c>
      <c r="AG925" s="34">
        <f>IF(E925=1,Orders!P922,"")</f>
        <v>10.4</v>
      </c>
      <c r="AH925" s="34">
        <f>IF(E925=1,Orders!Q922,"")</f>
        <v>9.8</v>
      </c>
      <c r="AI925" s="34">
        <f>IF(E925=1,Orders!M922,"")</f>
        <v>3.6</v>
      </c>
      <c r="AJ925" s="34">
        <f>IF(E925=1,Orders!N922,"")</f>
        <v>3.4</v>
      </c>
      <c r="AK925" s="34">
        <f>IF(E925=1,Orders!O922,"")</f>
        <v>2.8</v>
      </c>
      <c r="AL925" s="33">
        <f>IF(E925=1,IF(ROUND(ABS(AI925+AJ925+AK925-AH925),6)&lt;=0.1,1,0),"")</f>
        <v>1</v>
      </c>
      <c r="AM925" s="36">
        <f>IF(E925=1,AI925/AH925,"")</f>
        <v>0.36734693877551</v>
      </c>
      <c r="AN925" s="36">
        <f>IF(E925=1,AJ925/AH925,"")</f>
        <v>0.346938775510204</v>
      </c>
      <c r="AO925" s="36">
        <f>IF(E925=1,AK925/AH925,"")</f>
        <v>0.285714285714286</v>
      </c>
      <c r="AP925" s="34">
        <f>IF(E925=1,Orders!Y922,"")</f>
        <v>0.42</v>
      </c>
      <c r="AQ925" s="33">
        <f>IF(Orders!X922,1,0)</f>
        <v>0</v>
      </c>
      <c r="AR925" s="34">
        <f>IF(AND(E925=1,L925=1),AJ925,"")</f>
        <v>3.4</v>
      </c>
      <c r="AS925" s="34" t="str">
        <f>IF(AND(E925=1,L925=0),AJ925,"")</f>
        <v/>
      </c>
      <c r="AT925" s="34">
        <f>IF(AND(E925=1,L925=1),AI925,"")</f>
        <v>3.6</v>
      </c>
      <c r="AU925" s="34" t="str">
        <f>IF(AND(E925=1,L925=0),AI925,"")</f>
        <v/>
      </c>
      <c r="AV925" s="34">
        <f>IF(AND(E925=1,L925=1),AG925,"")</f>
        <v>10.4</v>
      </c>
      <c r="AW925" s="34" t="str">
        <f>IF(AND(E925=1,L925=0),AG925,"")</f>
        <v/>
      </c>
      <c r="AX925" s="34">
        <f>IF(AND(E925=1,L925=1),AH925,"")</f>
        <v>9.8</v>
      </c>
      <c r="AY925" s="34" t="str">
        <f>IF(AND(E925=1,L925=0),AH925,"")</f>
        <v/>
      </c>
      <c r="AZ925" s="34" t="str">
        <f>IF(G925=1,F925,"")</f>
        <v/>
      </c>
      <c r="BA925" s="34" t="str">
        <f>IF(AND(G925=1,L925=1),F925,"")</f>
        <v/>
      </c>
      <c r="BB925" s="34" t="str">
        <f>IF(AND(G925=1,L925=0),F925,"")</f>
        <v/>
      </c>
      <c r="BC925" s="33">
        <f>IF(E925=1,IF(Orders!R922&gt;3,1,0),"")</f>
        <v>0</v>
      </c>
      <c r="BD925" s="33">
        <f>IF(E925=1,IF(Orders!R922&gt;7,1,0),"")</f>
        <v>0</v>
      </c>
      <c r="BE925" s="32" t="str">
        <f>IF(E925=1,IF(Orders!L922&lt;=1.5,"Up to 1.5 km",IF(Orders!L922&lt;=3,"1.5–3 km","Over 3 km")),"")</f>
        <v>Up to 1.5 km</v>
      </c>
      <c r="BF925" s="33">
        <f>IF(E925=1,IF(ABS((Orders!G922-Orders!F922)*1440-Orders!R922)&lt;0.06,1,0),"")</f>
        <v>1</v>
      </c>
      <c r="BG925" s="33">
        <f>IF(ABS((Orders!F922-Orders!E922)*1440-Orders!P922)&lt;0.06,1,0)</f>
        <v>1</v>
      </c>
      <c r="BH925" s="33">
        <f>IF(E925=1,IF(IF(Orders!S922,1,0)=1-G925,1,0),"")</f>
        <v>1</v>
      </c>
      <c r="BI925" s="32" t="str">
        <f>INDEX(Stores!$B$2:$B$21,MATCH(B925,Stores!$A$2:$A$21,0))</f>
        <v>Bengaluru</v>
      </c>
    </row>
    <row r="926">
      <c r="A926" s="32" t="str">
        <f>Orders!A923</f>
        <v>O00922</v>
      </c>
      <c r="B926" s="32" t="str">
        <f>Orders!C923</f>
        <v>S017</v>
      </c>
      <c r="C926" s="32" t="str">
        <f>Orders!B923</f>
        <v>C0130</v>
      </c>
      <c r="D926" s="32" t="str">
        <f>Orders!H923</f>
        <v>Delivered</v>
      </c>
      <c r="E926" s="33">
        <f>IF(Orders!H923="Delivered",1,0)</f>
        <v>1</v>
      </c>
      <c r="F926" s="34">
        <f>IF(E926=1,Orders!R923,"")</f>
        <v>-1</v>
      </c>
      <c r="G926" s="33">
        <f>IF(E926=1,IF(Orders!R923&gt;0,1,0),"")</f>
        <v>0</v>
      </c>
      <c r="H926" s="33">
        <f>IF(E926=1,IF(Orders!R923&gt;5,1,0),"")</f>
        <v>0</v>
      </c>
      <c r="I926" s="32" t="str">
        <f>IF(E926=1,"",IF(OR(Orders!T923="Rider unavailable",Orders!T923="Item unavailable"),"Company-caused","Unresolved"))</f>
        <v/>
      </c>
      <c r="J926" s="33">
        <f>IF(OR(E926=1,I926="Company-caused"),1,0)</f>
        <v>1</v>
      </c>
      <c r="K926" s="32" t="str">
        <f>IF(E926=0,IF(I926="Company-caused",IF(Orders!T923="Rider unavailable","C1 Rider unavailable","C2 Item unavailable"),"Outside root: unresolved"),IF(G926=0,"A On time",IF(H926=1,IF(L926=1,"B2a Severe, peak","B2b Severe, off-peak"),IF(L926=1,"B1a Slight, peak","B1b Slight, off-peak"))))</f>
        <v>A On time</v>
      </c>
      <c r="L926" s="33">
        <f>IF(AND(Orders!U923&gt;=19,Orders!U923&lt;22),1,0)</f>
        <v>0</v>
      </c>
      <c r="M926" s="33">
        <f>IF(L926=IF(Orders!V923,1,0),1,0)</f>
        <v>1</v>
      </c>
      <c r="N926" s="32" t="str">
        <f>IF(Orders!W923="","None",Orders!W923)</f>
        <v>Light</v>
      </c>
      <c r="O926" s="35">
        <f>INT(Orders!E923)</f>
        <v>46266.0</v>
      </c>
      <c r="P926" s="33">
        <f>Orders!U923</f>
        <v>22</v>
      </c>
      <c r="Q926" s="33">
        <f>COUNTIFS(Demand!$A$2:$A$4481,B926,Demand!$B$2:$B$4481,O926,Demand!$C$2:$C$4481,P926)</f>
        <v>1</v>
      </c>
      <c r="R926" s="33">
        <f>IF(Q926=1,SUMIFS(Demand!$E$2:$E$4481,Demand!$A$2:$A$4481,B926,Demand!$B$2:$B$4481,O926,Demand!$C$2:$C$4481,P926),"")</f>
        <v>41</v>
      </c>
      <c r="S926" s="33">
        <f>INDEX(Stores!$G$2:$G$21,MATCH(B926,Stores!$A$2:$A$21,0))</f>
        <v>36</v>
      </c>
      <c r="T926" s="34">
        <f>IF(R926="","",R926/S926)</f>
        <v>1.13888888888889</v>
      </c>
      <c r="U926" s="34">
        <f>IF(E926=1,T926,"")</f>
        <v>1.13888888888889</v>
      </c>
      <c r="V926" s="34">
        <f>IF(AND(E926=1,L926=0),T926,"")</f>
        <v>1.13888888888889</v>
      </c>
      <c r="W926" s="33">
        <f>IF(U926="","",IF(U926&lt;=Breakdowns!$C$5,1,IF(U926&lt;=Breakdowns!$C$6,2,IF(U926&lt;=Breakdowns!$C$7,3,4))))</f>
        <v>3</v>
      </c>
      <c r="X926" s="33">
        <f>IF(V926="","",IF(V926&lt;=Breakdowns!$D$5,1,IF(V926&lt;=Breakdowns!$D$6,2,IF(V926&lt;=Breakdowns!$D$7,3,4))))</f>
        <v>4</v>
      </c>
      <c r="Y926" s="34">
        <f>INDEX(Stores!$F$2:$F$21,MATCH(B926,Stores!$A$2:$A$21,0))</f>
        <v>2.16</v>
      </c>
      <c r="Z926" s="33">
        <f>IF(Y926&gt;Store_Summary!$M$2,1,0)</f>
        <v>0</v>
      </c>
      <c r="AA926" s="33">
        <f>INDEX(Stores!$C$2:$C$21,MATCH(B926,Stores!$A$2:$A$21,0))</f>
        <v>47</v>
      </c>
      <c r="AB926" s="33">
        <f>IF(AA926&lt;180,1,0)</f>
        <v>1</v>
      </c>
      <c r="AC926" s="32" t="str">
        <f>IF(Orders!D923="","",INDEX(Riders!$C$2:$C$81,MATCH(Orders!D923,Riders!$A$2:$A$81,0)))</f>
        <v>Petrol scooter</v>
      </c>
      <c r="AD926" s="33">
        <f>IF(Orders!D923="","",INDEX(Riders!$D$2:$D$81,MATCH(Orders!D923,Riders!$A$2:$A$81,0)))</f>
        <v>15</v>
      </c>
      <c r="AE926" s="33">
        <f>IF(Orders!D923="","",IF(INDEX(Riders!$B$2:$B$81,MATCH(Orders!D923,Riders!$A$2:$A$81,0))=B926,1,0))</f>
        <v>0</v>
      </c>
      <c r="AF926" s="34">
        <f>IF(E926=1,Orders!L923,"")</f>
        <v>1.06</v>
      </c>
      <c r="AG926" s="34">
        <f>IF(E926=1,Orders!P923,"")</f>
        <v>10.4</v>
      </c>
      <c r="AH926" s="34">
        <f>IF(E926=1,Orders!Q923,"")</f>
        <v>9.4</v>
      </c>
      <c r="AI926" s="34">
        <f>IF(E926=1,Orders!M923,"")</f>
        <v>2.1</v>
      </c>
      <c r="AJ926" s="34">
        <f>IF(E926=1,Orders!N923,"")</f>
        <v>3.7</v>
      </c>
      <c r="AK926" s="34">
        <f>IF(E926=1,Orders!O923,"")</f>
        <v>3.6</v>
      </c>
      <c r="AL926" s="33">
        <f>IF(E926=1,IF(ROUND(ABS(AI926+AJ926+AK926-AH926),6)&lt;=0.1,1,0),"")</f>
        <v>1</v>
      </c>
      <c r="AM926" s="36">
        <f>IF(E926=1,AI926/AH926,"")</f>
        <v>0.223404255319149</v>
      </c>
      <c r="AN926" s="36">
        <f>IF(E926=1,AJ926/AH926,"")</f>
        <v>0.393617021276596</v>
      </c>
      <c r="AO926" s="36">
        <f>IF(E926=1,AK926/AH926,"")</f>
        <v>0.382978723404255</v>
      </c>
      <c r="AP926" s="34">
        <f>IF(E926=1,Orders!Y923,"")</f>
        <v>0.58</v>
      </c>
      <c r="AQ926" s="33">
        <f>IF(Orders!X923,1,0)</f>
        <v>0</v>
      </c>
      <c r="AR926" s="34" t="str">
        <f>IF(AND(E926=1,L926=1),AJ926,"")</f>
        <v/>
      </c>
      <c r="AS926" s="34">
        <f>IF(AND(E926=1,L926=0),AJ926,"")</f>
        <v>3.7</v>
      </c>
      <c r="AT926" s="34" t="str">
        <f>IF(AND(E926=1,L926=1),AI926,"")</f>
        <v/>
      </c>
      <c r="AU926" s="34">
        <f>IF(AND(E926=1,L926=0),AI926,"")</f>
        <v>2.1</v>
      </c>
      <c r="AV926" s="34" t="str">
        <f>IF(AND(E926=1,L926=1),AG926,"")</f>
        <v/>
      </c>
      <c r="AW926" s="34">
        <f>IF(AND(E926=1,L926=0),AG926,"")</f>
        <v>10.4</v>
      </c>
      <c r="AX926" s="34" t="str">
        <f>IF(AND(E926=1,L926=1),AH926,"")</f>
        <v/>
      </c>
      <c r="AY926" s="34">
        <f>IF(AND(E926=1,L926=0),AH926,"")</f>
        <v>9.4</v>
      </c>
      <c r="AZ926" s="34" t="str">
        <f>IF(G926=1,F926,"")</f>
        <v/>
      </c>
      <c r="BA926" s="34" t="str">
        <f>IF(AND(G926=1,L926=1),F926,"")</f>
        <v/>
      </c>
      <c r="BB926" s="34" t="str">
        <f>IF(AND(G926=1,L926=0),F926,"")</f>
        <v/>
      </c>
      <c r="BC926" s="33">
        <f>IF(E926=1,IF(Orders!R923&gt;3,1,0),"")</f>
        <v>0</v>
      </c>
      <c r="BD926" s="33">
        <f>IF(E926=1,IF(Orders!R923&gt;7,1,0),"")</f>
        <v>0</v>
      </c>
      <c r="BE926" s="32" t="str">
        <f>IF(E926=1,IF(Orders!L923&lt;=1.5,"Up to 1.5 km",IF(Orders!L923&lt;=3,"1.5–3 km","Over 3 km")),"")</f>
        <v>Up to 1.5 km</v>
      </c>
      <c r="BF926" s="33">
        <f>IF(E926=1,IF(ABS((Orders!G923-Orders!F923)*1440-Orders!R923)&lt;0.06,1,0),"")</f>
        <v>1</v>
      </c>
      <c r="BG926" s="33">
        <f>IF(ABS((Orders!F923-Orders!E923)*1440-Orders!P923)&lt;0.06,1,0)</f>
        <v>1</v>
      </c>
      <c r="BH926" s="33">
        <f>IF(E926=1,IF(IF(Orders!S923,1,0)=1-G926,1,0),"")</f>
        <v>1</v>
      </c>
      <c r="BI926" s="32" t="str">
        <f>INDEX(Stores!$B$2:$B$21,MATCH(B926,Stores!$A$2:$A$21,0))</f>
        <v>Hyderabad</v>
      </c>
    </row>
    <row r="927">
      <c r="A927" s="32" t="str">
        <f>Orders!A924</f>
        <v>O00923</v>
      </c>
      <c r="B927" s="32" t="str">
        <f>Orders!C924</f>
        <v>S001</v>
      </c>
      <c r="C927" s="32" t="str">
        <f>Orders!B924</f>
        <v>C0096</v>
      </c>
      <c r="D927" s="32" t="str">
        <f>Orders!H924</f>
        <v>Delivered</v>
      </c>
      <c r="E927" s="33">
        <f>IF(Orders!H924="Delivered",1,0)</f>
        <v>1</v>
      </c>
      <c r="F927" s="34">
        <f>IF(E927=1,Orders!R924,"")</f>
        <v>-1.1</v>
      </c>
      <c r="G927" s="33">
        <f>IF(E927=1,IF(Orders!R924&gt;0,1,0),"")</f>
        <v>0</v>
      </c>
      <c r="H927" s="33">
        <f>IF(E927=1,IF(Orders!R924&gt;5,1,0),"")</f>
        <v>0</v>
      </c>
      <c r="I927" s="32" t="str">
        <f>IF(E927=1,"",IF(OR(Orders!T924="Rider unavailable",Orders!T924="Item unavailable"),"Company-caused","Unresolved"))</f>
        <v/>
      </c>
      <c r="J927" s="33">
        <f>IF(OR(E927=1,I927="Company-caused"),1,0)</f>
        <v>1</v>
      </c>
      <c r="K927" s="32" t="str">
        <f>IF(E927=0,IF(I927="Company-caused",IF(Orders!T924="Rider unavailable","C1 Rider unavailable","C2 Item unavailable"),"Outside root: unresolved"),IF(G927=0,"A On time",IF(H927=1,IF(L927=1,"B2a Severe, peak","B2b Severe, off-peak"),IF(L927=1,"B1a Slight, peak","B1b Slight, off-peak"))))</f>
        <v>A On time</v>
      </c>
      <c r="L927" s="33">
        <f>IF(AND(Orders!U924&gt;=19,Orders!U924&lt;22),1,0)</f>
        <v>0</v>
      </c>
      <c r="M927" s="33">
        <f>IF(L927=IF(Orders!V924,1,0),1,0)</f>
        <v>1</v>
      </c>
      <c r="N927" s="32" t="str">
        <f>IF(Orders!W924="","None",Orders!W924)</f>
        <v>None</v>
      </c>
      <c r="O927" s="35">
        <f>INT(Orders!E924)</f>
        <v>46278.0</v>
      </c>
      <c r="P927" s="33">
        <f>Orders!U924</f>
        <v>18</v>
      </c>
      <c r="Q927" s="33">
        <f>COUNTIFS(Demand!$A$2:$A$4481,B927,Demand!$B$2:$B$4481,O927,Demand!$C$2:$C$4481,P927)</f>
        <v>1</v>
      </c>
      <c r="R927" s="33">
        <f>IF(Q927=1,SUMIFS(Demand!$E$2:$E$4481,Demand!$A$2:$A$4481,B927,Demand!$B$2:$B$4481,O927,Demand!$C$2:$C$4481,P927),"")</f>
        <v>13</v>
      </c>
      <c r="S927" s="33">
        <f>INDEX(Stores!$G$2:$G$21,MATCH(B927,Stores!$A$2:$A$21,0))</f>
        <v>16</v>
      </c>
      <c r="T927" s="34">
        <f>IF(R927="","",R927/S927)</f>
        <v>0.8125</v>
      </c>
      <c r="U927" s="34">
        <f>IF(E927=1,T927,"")</f>
        <v>0.8125</v>
      </c>
      <c r="V927" s="34">
        <f>IF(AND(E927=1,L927=0),T927,"")</f>
        <v>0.8125</v>
      </c>
      <c r="W927" s="33">
        <f>IF(U927="","",IF(U927&lt;=Breakdowns!$C$5,1,IF(U927&lt;=Breakdowns!$C$6,2,IF(U927&lt;=Breakdowns!$C$7,3,4))))</f>
        <v>2</v>
      </c>
      <c r="X927" s="33">
        <f>IF(V927="","",IF(V927&lt;=Breakdowns!$D$5,1,IF(V927&lt;=Breakdowns!$D$6,2,IF(V927&lt;=Breakdowns!$D$7,3,4))))</f>
        <v>2</v>
      </c>
      <c r="Y927" s="34">
        <f>INDEX(Stores!$F$2:$F$21,MATCH(B927,Stores!$A$2:$A$21,0))</f>
        <v>4.59</v>
      </c>
      <c r="Z927" s="33">
        <f>IF(Y927&gt;Store_Summary!$M$2,1,0)</f>
        <v>0</v>
      </c>
      <c r="AA927" s="33">
        <f>INDEX(Stores!$C$2:$C$21,MATCH(B927,Stores!$A$2:$A$21,0))</f>
        <v>362</v>
      </c>
      <c r="AB927" s="33">
        <f>IF(AA927&lt;180,1,0)</f>
        <v>0</v>
      </c>
      <c r="AC927" s="32" t="str">
        <f>IF(Orders!D924="","",INDEX(Riders!$C$2:$C$81,MATCH(Orders!D924,Riders!$A$2:$A$81,0)))</f>
        <v>EV scooter</v>
      </c>
      <c r="AD927" s="33">
        <f>IF(Orders!D924="","",INDEX(Riders!$D$2:$D$81,MATCH(Orders!D924,Riders!$A$2:$A$81,0)))</f>
        <v>38</v>
      </c>
      <c r="AE927" s="33">
        <f>IF(Orders!D924="","",IF(INDEX(Riders!$B$2:$B$81,MATCH(Orders!D924,Riders!$A$2:$A$81,0))=B927,1,0))</f>
        <v>0</v>
      </c>
      <c r="AF927" s="34">
        <f>IF(E927=1,Orders!L924,"")</f>
        <v>3.89</v>
      </c>
      <c r="AG927" s="34">
        <f>IF(E927=1,Orders!P924,"")</f>
        <v>11.1</v>
      </c>
      <c r="AH927" s="34">
        <f>IF(E927=1,Orders!Q924,"")</f>
        <v>10</v>
      </c>
      <c r="AI927" s="34">
        <f>IF(E927=1,Orders!M924,"")</f>
        <v>1.9</v>
      </c>
      <c r="AJ927" s="34">
        <f>IF(E927=1,Orders!N924,"")</f>
        <v>3.8</v>
      </c>
      <c r="AK927" s="34">
        <f>IF(E927=1,Orders!O924,"")</f>
        <v>4.3</v>
      </c>
      <c r="AL927" s="33">
        <f>IF(E927=1,IF(ROUND(ABS(AI927+AJ927+AK927-AH927),6)&lt;=0.1,1,0),"")</f>
        <v>1</v>
      </c>
      <c r="AM927" s="36">
        <f>IF(E927=1,AI927/AH927,"")</f>
        <v>0.19</v>
      </c>
      <c r="AN927" s="36">
        <f>IF(E927=1,AJ927/AH927,"")</f>
        <v>0.38</v>
      </c>
      <c r="AO927" s="36">
        <f>IF(E927=1,AK927/AH927,"")</f>
        <v>0.43</v>
      </c>
      <c r="AP927" s="34">
        <f>IF(E927=1,Orders!Y924,"")</f>
        <v>0.58</v>
      </c>
      <c r="AQ927" s="33">
        <f>IF(Orders!X924,1,0)</f>
        <v>0</v>
      </c>
      <c r="AR927" s="34" t="str">
        <f>IF(AND(E927=1,L927=1),AJ927,"")</f>
        <v/>
      </c>
      <c r="AS927" s="34">
        <f>IF(AND(E927=1,L927=0),AJ927,"")</f>
        <v>3.8</v>
      </c>
      <c r="AT927" s="34" t="str">
        <f>IF(AND(E927=1,L927=1),AI927,"")</f>
        <v/>
      </c>
      <c r="AU927" s="34">
        <f>IF(AND(E927=1,L927=0),AI927,"")</f>
        <v>1.9</v>
      </c>
      <c r="AV927" s="34" t="str">
        <f>IF(AND(E927=1,L927=1),AG927,"")</f>
        <v/>
      </c>
      <c r="AW927" s="34">
        <f>IF(AND(E927=1,L927=0),AG927,"")</f>
        <v>11.1</v>
      </c>
      <c r="AX927" s="34" t="str">
        <f>IF(AND(E927=1,L927=1),AH927,"")</f>
        <v/>
      </c>
      <c r="AY927" s="34">
        <f>IF(AND(E927=1,L927=0),AH927,"")</f>
        <v>10</v>
      </c>
      <c r="AZ927" s="34" t="str">
        <f>IF(G927=1,F927,"")</f>
        <v/>
      </c>
      <c r="BA927" s="34" t="str">
        <f>IF(AND(G927=1,L927=1),F927,"")</f>
        <v/>
      </c>
      <c r="BB927" s="34" t="str">
        <f>IF(AND(G927=1,L927=0),F927,"")</f>
        <v/>
      </c>
      <c r="BC927" s="33">
        <f>IF(E927=1,IF(Orders!R924&gt;3,1,0),"")</f>
        <v>0</v>
      </c>
      <c r="BD927" s="33">
        <f>IF(E927=1,IF(Orders!R924&gt;7,1,0),"")</f>
        <v>0</v>
      </c>
      <c r="BE927" s="32" t="str">
        <f>IF(E927=1,IF(Orders!L924&lt;=1.5,"Up to 1.5 km",IF(Orders!L924&lt;=3,"1.5–3 km","Over 3 km")),"")</f>
        <v>Over 3 km</v>
      </c>
      <c r="BF927" s="33">
        <f>IF(E927=1,IF(ABS((Orders!G924-Orders!F924)*1440-Orders!R924)&lt;0.06,1,0),"")</f>
        <v>1</v>
      </c>
      <c r="BG927" s="33">
        <f>IF(ABS((Orders!F924-Orders!E924)*1440-Orders!P924)&lt;0.06,1,0)</f>
        <v>1</v>
      </c>
      <c r="BH927" s="33">
        <f>IF(E927=1,IF(IF(Orders!S924,1,0)=1-G927,1,0),"")</f>
        <v>1</v>
      </c>
      <c r="BI927" s="32" t="str">
        <f>INDEX(Stores!$B$2:$B$21,MATCH(B927,Stores!$A$2:$A$21,0))</f>
        <v>Bengaluru</v>
      </c>
    </row>
    <row r="928">
      <c r="A928" s="32" t="str">
        <f>Orders!A925</f>
        <v>O00924</v>
      </c>
      <c r="B928" s="32" t="str">
        <f>Orders!C925</f>
        <v>S004</v>
      </c>
      <c r="C928" s="32" t="str">
        <f>Orders!B925</f>
        <v>C0191</v>
      </c>
      <c r="D928" s="32" t="str">
        <f>Orders!H925</f>
        <v>Delivered</v>
      </c>
      <c r="E928" s="33">
        <f>IF(Orders!H925="Delivered",1,0)</f>
        <v>1</v>
      </c>
      <c r="F928" s="34">
        <f>IF(E928=1,Orders!R925,"")</f>
        <v>5.7</v>
      </c>
      <c r="G928" s="33">
        <f>IF(E928=1,IF(Orders!R925&gt;0,1,0),"")</f>
        <v>1</v>
      </c>
      <c r="H928" s="33">
        <f>IF(E928=1,IF(Orders!R925&gt;5,1,0),"")</f>
        <v>1</v>
      </c>
      <c r="I928" s="32" t="str">
        <f>IF(E928=1,"",IF(OR(Orders!T925="Rider unavailable",Orders!T925="Item unavailable"),"Company-caused","Unresolved"))</f>
        <v/>
      </c>
      <c r="J928" s="33">
        <f>IF(OR(E928=1,I928="Company-caused"),1,0)</f>
        <v>1</v>
      </c>
      <c r="K928" s="32" t="str">
        <f>IF(E928=0,IF(I928="Company-caused",IF(Orders!T925="Rider unavailable","C1 Rider unavailable","C2 Item unavailable"),"Outside root: unresolved"),IF(G928=0,"A On time",IF(H928=1,IF(L928=1,"B2a Severe, peak","B2b Severe, off-peak"),IF(L928=1,"B1a Slight, peak","B1b Slight, off-peak"))))</f>
        <v>B2b Severe, off-peak</v>
      </c>
      <c r="L928" s="33">
        <f>IF(AND(Orders!U925&gt;=19,Orders!U925&lt;22),1,0)</f>
        <v>0</v>
      </c>
      <c r="M928" s="33">
        <f>IF(L928=IF(Orders!V925,1,0),1,0)</f>
        <v>1</v>
      </c>
      <c r="N928" s="32" t="str">
        <f>IF(Orders!W925="","None",Orders!W925)</f>
        <v>None</v>
      </c>
      <c r="O928" s="35">
        <f>INT(Orders!E925)</f>
        <v>46268.0</v>
      </c>
      <c r="P928" s="33">
        <f>Orders!U925</f>
        <v>14</v>
      </c>
      <c r="Q928" s="33">
        <f>COUNTIFS(Demand!$A$2:$A$4481,B928,Demand!$B$2:$B$4481,O928,Demand!$C$2:$C$4481,P928)</f>
        <v>1</v>
      </c>
      <c r="R928" s="33">
        <f>IF(Q928=1,SUMIFS(Demand!$E$2:$E$4481,Demand!$A$2:$A$4481,B928,Demand!$B$2:$B$4481,O928,Demand!$C$2:$C$4481,P928),"")</f>
        <v>34</v>
      </c>
      <c r="S928" s="33">
        <f>INDEX(Stores!$G$2:$G$21,MATCH(B928,Stores!$A$2:$A$21,0))</f>
        <v>42</v>
      </c>
      <c r="T928" s="34">
        <f>IF(R928="","",R928/S928)</f>
        <v>0.80952380952381</v>
      </c>
      <c r="U928" s="34">
        <f>IF(E928=1,T928,"")</f>
        <v>0.80952380952381</v>
      </c>
      <c r="V928" s="34">
        <f>IF(AND(E928=1,L928=0),T928,"")</f>
        <v>0.80952380952381</v>
      </c>
      <c r="W928" s="33">
        <f>IF(U928="","",IF(U928&lt;=Breakdowns!$C$5,1,IF(U928&lt;=Breakdowns!$C$6,2,IF(U928&lt;=Breakdowns!$C$7,3,4))))</f>
        <v>2</v>
      </c>
      <c r="X928" s="33">
        <f>IF(V928="","",IF(V928&lt;=Breakdowns!$D$5,1,IF(V928&lt;=Breakdowns!$D$6,2,IF(V928&lt;=Breakdowns!$D$7,3,4))))</f>
        <v>2</v>
      </c>
      <c r="Y928" s="34">
        <f>INDEX(Stores!$F$2:$F$21,MATCH(B928,Stores!$A$2:$A$21,0))</f>
        <v>2.19</v>
      </c>
      <c r="Z928" s="33">
        <f>IF(Y928&gt;Store_Summary!$M$2,1,0)</f>
        <v>0</v>
      </c>
      <c r="AA928" s="33">
        <f>INDEX(Stores!$C$2:$C$21,MATCH(B928,Stores!$A$2:$A$21,0))</f>
        <v>850</v>
      </c>
      <c r="AB928" s="33">
        <f>IF(AA928&lt;180,1,0)</f>
        <v>0</v>
      </c>
      <c r="AC928" s="32" t="str">
        <f>IF(Orders!D925="","",INDEX(Riders!$C$2:$C$81,MATCH(Orders!D925,Riders!$A$2:$A$81,0)))</f>
        <v>EV scooter</v>
      </c>
      <c r="AD928" s="33">
        <f>IF(Orders!D925="","",INDEX(Riders!$D$2:$D$81,MATCH(Orders!D925,Riders!$A$2:$A$81,0)))</f>
        <v>38</v>
      </c>
      <c r="AE928" s="33">
        <f>IF(Orders!D925="","",IF(INDEX(Riders!$B$2:$B$81,MATCH(Orders!D925,Riders!$A$2:$A$81,0))=B928,1,0))</f>
        <v>0</v>
      </c>
      <c r="AF928" s="34">
        <f>IF(E928=1,Orders!L925,"")</f>
        <v>0.5</v>
      </c>
      <c r="AG928" s="34">
        <f>IF(E928=1,Orders!P925,"")</f>
        <v>7.7</v>
      </c>
      <c r="AH928" s="34">
        <f>IF(E928=1,Orders!Q925,"")</f>
        <v>13.4</v>
      </c>
      <c r="AI928" s="34">
        <f>IF(E928=1,Orders!M925,"")</f>
        <v>1.5</v>
      </c>
      <c r="AJ928" s="34">
        <f>IF(E928=1,Orders!N925,"")</f>
        <v>9.2</v>
      </c>
      <c r="AK928" s="34">
        <f>IF(E928=1,Orders!O925,"")</f>
        <v>2.7</v>
      </c>
      <c r="AL928" s="33">
        <f>IF(E928=1,IF(ROUND(ABS(AI928+AJ928+AK928-AH928),6)&lt;=0.1,1,0),"")</f>
        <v>1</v>
      </c>
      <c r="AM928" s="36">
        <f>IF(E928=1,AI928/AH928,"")</f>
        <v>0.111940298507463</v>
      </c>
      <c r="AN928" s="36">
        <f>IF(E928=1,AJ928/AH928,"")</f>
        <v>0.686567164179105</v>
      </c>
      <c r="AO928" s="36">
        <f>IF(E928=1,AK928/AH928,"")</f>
        <v>0.201492537313433</v>
      </c>
      <c r="AP928" s="34">
        <f>IF(E928=1,Orders!Y925,"")</f>
        <v>0.59</v>
      </c>
      <c r="AQ928" s="33">
        <f>IF(Orders!X925,1,0)</f>
        <v>0</v>
      </c>
      <c r="AR928" s="34" t="str">
        <f>IF(AND(E928=1,L928=1),AJ928,"")</f>
        <v/>
      </c>
      <c r="AS928" s="34">
        <f>IF(AND(E928=1,L928=0),AJ928,"")</f>
        <v>9.2</v>
      </c>
      <c r="AT928" s="34" t="str">
        <f>IF(AND(E928=1,L928=1),AI928,"")</f>
        <v/>
      </c>
      <c r="AU928" s="34">
        <f>IF(AND(E928=1,L928=0),AI928,"")</f>
        <v>1.5</v>
      </c>
      <c r="AV928" s="34" t="str">
        <f>IF(AND(E928=1,L928=1),AG928,"")</f>
        <v/>
      </c>
      <c r="AW928" s="34">
        <f>IF(AND(E928=1,L928=0),AG928,"")</f>
        <v>7.7</v>
      </c>
      <c r="AX928" s="34" t="str">
        <f>IF(AND(E928=1,L928=1),AH928,"")</f>
        <v/>
      </c>
      <c r="AY928" s="34">
        <f>IF(AND(E928=1,L928=0),AH928,"")</f>
        <v>13.4</v>
      </c>
      <c r="AZ928" s="34">
        <f>IF(G928=1,F928,"")</f>
        <v>5.7</v>
      </c>
      <c r="BA928" s="34" t="str">
        <f>IF(AND(G928=1,L928=1),F928,"")</f>
        <v/>
      </c>
      <c r="BB928" s="34">
        <f>IF(AND(G928=1,L928=0),F928,"")</f>
        <v>5.7</v>
      </c>
      <c r="BC928" s="33">
        <f>IF(E928=1,IF(Orders!R925&gt;3,1,0),"")</f>
        <v>1</v>
      </c>
      <c r="BD928" s="33">
        <f>IF(E928=1,IF(Orders!R925&gt;7,1,0),"")</f>
        <v>0</v>
      </c>
      <c r="BE928" s="32" t="str">
        <f>IF(E928=1,IF(Orders!L925&lt;=1.5,"Up to 1.5 km",IF(Orders!L925&lt;=3,"1.5–3 km","Over 3 km")),"")</f>
        <v>Up to 1.5 km</v>
      </c>
      <c r="BF928" s="33">
        <f>IF(E928=1,IF(ABS((Orders!G925-Orders!F925)*1440-Orders!R925)&lt;0.06,1,0),"")</f>
        <v>1</v>
      </c>
      <c r="BG928" s="33">
        <f>IF(ABS((Orders!F925-Orders!E925)*1440-Orders!P925)&lt;0.06,1,0)</f>
        <v>1</v>
      </c>
      <c r="BH928" s="33">
        <f>IF(E928=1,IF(IF(Orders!S925,1,0)=1-G928,1,0),"")</f>
        <v>1</v>
      </c>
      <c r="BI928" s="32" t="str">
        <f>INDEX(Stores!$B$2:$B$21,MATCH(B928,Stores!$A$2:$A$21,0))</f>
        <v>Pune</v>
      </c>
    </row>
    <row r="929">
      <c r="A929" s="32" t="str">
        <f>Orders!A926</f>
        <v>O00925</v>
      </c>
      <c r="B929" s="32" t="str">
        <f>Orders!C926</f>
        <v>S013</v>
      </c>
      <c r="C929" s="32" t="str">
        <f>Orders!B926</f>
        <v>C0149</v>
      </c>
      <c r="D929" s="32" t="str">
        <f>Orders!H926</f>
        <v>Delivered</v>
      </c>
      <c r="E929" s="33">
        <f>IF(Orders!H926="Delivered",1,0)</f>
        <v>1</v>
      </c>
      <c r="F929" s="34">
        <f>IF(E929=1,Orders!R926,"")</f>
        <v>13.3</v>
      </c>
      <c r="G929" s="33">
        <f>IF(E929=1,IF(Orders!R926&gt;0,1,0),"")</f>
        <v>1</v>
      </c>
      <c r="H929" s="33">
        <f>IF(E929=1,IF(Orders!R926&gt;5,1,0),"")</f>
        <v>1</v>
      </c>
      <c r="I929" s="32" t="str">
        <f>IF(E929=1,"",IF(OR(Orders!T926="Rider unavailable",Orders!T926="Item unavailable"),"Company-caused","Unresolved"))</f>
        <v/>
      </c>
      <c r="J929" s="33">
        <f>IF(OR(E929=1,I929="Company-caused"),1,0)</f>
        <v>1</v>
      </c>
      <c r="K929" s="32" t="str">
        <f>IF(E929=0,IF(I929="Company-caused",IF(Orders!T926="Rider unavailable","C1 Rider unavailable","C2 Item unavailable"),"Outside root: unresolved"),IF(G929=0,"A On time",IF(H929=1,IF(L929=1,"B2a Severe, peak","B2b Severe, off-peak"),IF(L929=1,"B1a Slight, peak","B1b Slight, off-peak"))))</f>
        <v>B2a Severe, peak</v>
      </c>
      <c r="L929" s="33">
        <f>IF(AND(Orders!U926&gt;=19,Orders!U926&lt;22),1,0)</f>
        <v>1</v>
      </c>
      <c r="M929" s="33">
        <f>IF(L929=IF(Orders!V926,1,0),1,0)</f>
        <v>1</v>
      </c>
      <c r="N929" s="32" t="str">
        <f>IF(Orders!W926="","None",Orders!W926)</f>
        <v>None</v>
      </c>
      <c r="O929" s="35">
        <f>INT(Orders!E926)</f>
        <v>46276.0</v>
      </c>
      <c r="P929" s="33">
        <f>Orders!U926</f>
        <v>21</v>
      </c>
      <c r="Q929" s="33">
        <f>COUNTIFS(Demand!$A$2:$A$4481,B929,Demand!$B$2:$B$4481,O929,Demand!$C$2:$C$4481,P929)</f>
        <v>1</v>
      </c>
      <c r="R929" s="33">
        <f>IF(Q929=1,SUMIFS(Demand!$E$2:$E$4481,Demand!$A$2:$A$4481,B929,Demand!$B$2:$B$4481,O929,Demand!$C$2:$C$4481,P929),"")</f>
        <v>76</v>
      </c>
      <c r="S929" s="33">
        <f>INDEX(Stores!$G$2:$G$21,MATCH(B929,Stores!$A$2:$A$21,0))</f>
        <v>49</v>
      </c>
      <c r="T929" s="34">
        <f>IF(R929="","",R929/S929)</f>
        <v>1.55102040816327</v>
      </c>
      <c r="U929" s="34">
        <f>IF(E929=1,T929,"")</f>
        <v>1.55102040816327</v>
      </c>
      <c r="V929" s="34" t="str">
        <f>IF(AND(E929=1,L929=0),T929,"")</f>
        <v/>
      </c>
      <c r="W929" s="33">
        <f>IF(U929="","",IF(U929&lt;=Breakdowns!$C$5,1,IF(U929&lt;=Breakdowns!$C$6,2,IF(U929&lt;=Breakdowns!$C$7,3,4))))</f>
        <v>4</v>
      </c>
      <c r="X929" s="33" t="str">
        <f>IF(V929="","",IF(V929&lt;=Breakdowns!$D$5,1,IF(V929&lt;=Breakdowns!$D$6,2,IF(V929&lt;=Breakdowns!$D$7,3,4))))</f>
        <v/>
      </c>
      <c r="Y929" s="34">
        <f>INDEX(Stores!$F$2:$F$21,MATCH(B929,Stores!$A$2:$A$21,0))</f>
        <v>5.82</v>
      </c>
      <c r="Z929" s="33">
        <f>IF(Y929&gt;Store_Summary!$M$2,1,0)</f>
        <v>1</v>
      </c>
      <c r="AA929" s="33">
        <f>INDEX(Stores!$C$2:$C$21,MATCH(B929,Stores!$A$2:$A$21,0))</f>
        <v>705</v>
      </c>
      <c r="AB929" s="33">
        <f>IF(AA929&lt;180,1,0)</f>
        <v>0</v>
      </c>
      <c r="AC929" s="32" t="str">
        <f>IF(Orders!D926="","",INDEX(Riders!$C$2:$C$81,MATCH(Orders!D926,Riders!$A$2:$A$81,0)))</f>
        <v>EV scooter</v>
      </c>
      <c r="AD929" s="33">
        <f>IF(Orders!D926="","",INDEX(Riders!$D$2:$D$81,MATCH(Orders!D926,Riders!$A$2:$A$81,0)))</f>
        <v>12</v>
      </c>
      <c r="AE929" s="33">
        <f>IF(Orders!D926="","",IF(INDEX(Riders!$B$2:$B$81,MATCH(Orders!D926,Riders!$A$2:$A$81,0))=B929,1,0))</f>
        <v>0</v>
      </c>
      <c r="AF929" s="34">
        <f>IF(E929=1,Orders!L926,"")</f>
        <v>3</v>
      </c>
      <c r="AG929" s="34">
        <f>IF(E929=1,Orders!P926,"")</f>
        <v>8.8</v>
      </c>
      <c r="AH929" s="34">
        <f>IF(E929=1,Orders!Q926,"")</f>
        <v>22.1</v>
      </c>
      <c r="AI929" s="34">
        <f>IF(E929=1,Orders!M926,"")</f>
        <v>5.4</v>
      </c>
      <c r="AJ929" s="34">
        <f>IF(E929=1,Orders!N926,"")</f>
        <v>8</v>
      </c>
      <c r="AK929" s="34">
        <f>IF(E929=1,Orders!O926,"")</f>
        <v>8.7</v>
      </c>
      <c r="AL929" s="33">
        <f>IF(E929=1,IF(ROUND(ABS(AI929+AJ929+AK929-AH929),6)&lt;=0.1,1,0),"")</f>
        <v>1</v>
      </c>
      <c r="AM929" s="36">
        <f>IF(E929=1,AI929/AH929,"")</f>
        <v>0.244343891402715</v>
      </c>
      <c r="AN929" s="36">
        <f>IF(E929=1,AJ929/AH929,"")</f>
        <v>0.361990950226244</v>
      </c>
      <c r="AO929" s="36">
        <f>IF(E929=1,AK929/AH929,"")</f>
        <v>0.393665158371041</v>
      </c>
      <c r="AP929" s="34">
        <f>IF(E929=1,Orders!Y926,"")</f>
        <v>0.53</v>
      </c>
      <c r="AQ929" s="33">
        <f>IF(Orders!X926,1,0)</f>
        <v>0</v>
      </c>
      <c r="AR929" s="34">
        <f>IF(AND(E929=1,L929=1),AJ929,"")</f>
        <v>8</v>
      </c>
      <c r="AS929" s="34" t="str">
        <f>IF(AND(E929=1,L929=0),AJ929,"")</f>
        <v/>
      </c>
      <c r="AT929" s="34">
        <f>IF(AND(E929=1,L929=1),AI929,"")</f>
        <v>5.4</v>
      </c>
      <c r="AU929" s="34" t="str">
        <f>IF(AND(E929=1,L929=0),AI929,"")</f>
        <v/>
      </c>
      <c r="AV929" s="34">
        <f>IF(AND(E929=1,L929=1),AG929,"")</f>
        <v>8.8</v>
      </c>
      <c r="AW929" s="34" t="str">
        <f>IF(AND(E929=1,L929=0),AG929,"")</f>
        <v/>
      </c>
      <c r="AX929" s="34">
        <f>IF(AND(E929=1,L929=1),AH929,"")</f>
        <v>22.1</v>
      </c>
      <c r="AY929" s="34" t="str">
        <f>IF(AND(E929=1,L929=0),AH929,"")</f>
        <v/>
      </c>
      <c r="AZ929" s="34">
        <f>IF(G929=1,F929,"")</f>
        <v>13.3</v>
      </c>
      <c r="BA929" s="34">
        <f>IF(AND(G929=1,L929=1),F929,"")</f>
        <v>13.3</v>
      </c>
      <c r="BB929" s="34" t="str">
        <f>IF(AND(G929=1,L929=0),F929,"")</f>
        <v/>
      </c>
      <c r="BC929" s="33">
        <f>IF(E929=1,IF(Orders!R926&gt;3,1,0),"")</f>
        <v>1</v>
      </c>
      <c r="BD929" s="33">
        <f>IF(E929=1,IF(Orders!R926&gt;7,1,0),"")</f>
        <v>1</v>
      </c>
      <c r="BE929" s="32" t="str">
        <f>IF(E929=1,IF(Orders!L926&lt;=1.5,"Up to 1.5 km",IF(Orders!L926&lt;=3,"1.5–3 km","Over 3 km")),"")</f>
        <v>1.5–3 km</v>
      </c>
      <c r="BF929" s="33">
        <f>IF(E929=1,IF(ABS((Orders!G926-Orders!F926)*1440-Orders!R926)&lt;0.06,1,0),"")</f>
        <v>1</v>
      </c>
      <c r="BG929" s="33">
        <f>IF(ABS((Orders!F926-Orders!E926)*1440-Orders!P926)&lt;0.06,1,0)</f>
        <v>1</v>
      </c>
      <c r="BH929" s="33">
        <f>IF(E929=1,IF(IF(Orders!S926,1,0)=1-G929,1,0),"")</f>
        <v>1</v>
      </c>
      <c r="BI929" s="32" t="str">
        <f>INDEX(Stores!$B$2:$B$21,MATCH(B929,Stores!$A$2:$A$21,0))</f>
        <v>Mumbai</v>
      </c>
    </row>
    <row r="930">
      <c r="A930" s="32" t="str">
        <f>Orders!A927</f>
        <v>O00926</v>
      </c>
      <c r="B930" s="32" t="str">
        <f>Orders!C927</f>
        <v>S011</v>
      </c>
      <c r="C930" s="32" t="str">
        <f>Orders!B927</f>
        <v>C0204</v>
      </c>
      <c r="D930" s="32" t="str">
        <f>Orders!H927</f>
        <v>Delivered</v>
      </c>
      <c r="E930" s="33">
        <f>IF(Orders!H927="Delivered",1,0)</f>
        <v>1</v>
      </c>
      <c r="F930" s="34">
        <f>IF(E930=1,Orders!R927,"")</f>
        <v>-1.1</v>
      </c>
      <c r="G930" s="33">
        <f>IF(E930=1,IF(Orders!R927&gt;0,1,0),"")</f>
        <v>0</v>
      </c>
      <c r="H930" s="33">
        <f>IF(E930=1,IF(Orders!R927&gt;5,1,0),"")</f>
        <v>0</v>
      </c>
      <c r="I930" s="32" t="str">
        <f>IF(E930=1,"",IF(OR(Orders!T927="Rider unavailable",Orders!T927="Item unavailable"),"Company-caused","Unresolved"))</f>
        <v/>
      </c>
      <c r="J930" s="33">
        <f>IF(OR(E930=1,I930="Company-caused"),1,0)</f>
        <v>1</v>
      </c>
      <c r="K930" s="32" t="str">
        <f>IF(E930=0,IF(I930="Company-caused",IF(Orders!T927="Rider unavailable","C1 Rider unavailable","C2 Item unavailable"),"Outside root: unresolved"),IF(G930=0,"A On time",IF(H930=1,IF(L930=1,"B2a Severe, peak","B2b Severe, off-peak"),IF(L930=1,"B1a Slight, peak","B1b Slight, off-peak"))))</f>
        <v>A On time</v>
      </c>
      <c r="L930" s="33">
        <f>IF(AND(Orders!U927&gt;=19,Orders!U927&lt;22),1,0)</f>
        <v>0</v>
      </c>
      <c r="M930" s="33">
        <f>IF(L930=IF(Orders!V927,1,0),1,0)</f>
        <v>1</v>
      </c>
      <c r="N930" s="32" t="str">
        <f>IF(Orders!W927="","None",Orders!W927)</f>
        <v>Heavy</v>
      </c>
      <c r="O930" s="35">
        <f>INT(Orders!E927)</f>
        <v>46268.0</v>
      </c>
      <c r="P930" s="33">
        <f>Orders!U927</f>
        <v>14</v>
      </c>
      <c r="Q930" s="33">
        <f>COUNTIFS(Demand!$A$2:$A$4481,B930,Demand!$B$2:$B$4481,O930,Demand!$C$2:$C$4481,P930)</f>
        <v>1</v>
      </c>
      <c r="R930" s="33">
        <f>IF(Q930=1,SUMIFS(Demand!$E$2:$E$4481,Demand!$A$2:$A$4481,B930,Demand!$B$2:$B$4481,O930,Demand!$C$2:$C$4481,P930),"")</f>
        <v>21</v>
      </c>
      <c r="S930" s="33">
        <f>INDEX(Stores!$G$2:$G$21,MATCH(B930,Stores!$A$2:$A$21,0))</f>
        <v>31</v>
      </c>
      <c r="T930" s="34">
        <f>IF(R930="","",R930/S930)</f>
        <v>0.67741935483871</v>
      </c>
      <c r="U930" s="34">
        <f>IF(E930=1,T930,"")</f>
        <v>0.67741935483871</v>
      </c>
      <c r="V930" s="34">
        <f>IF(AND(E930=1,L930=0),T930,"")</f>
        <v>0.67741935483871</v>
      </c>
      <c r="W930" s="33">
        <f>IF(U930="","",IF(U930&lt;=Breakdowns!$C$5,1,IF(U930&lt;=Breakdowns!$C$6,2,IF(U930&lt;=Breakdowns!$C$7,3,4))))</f>
        <v>1</v>
      </c>
      <c r="X930" s="33">
        <f>IF(V930="","",IF(V930&lt;=Breakdowns!$D$5,1,IF(V930&lt;=Breakdowns!$D$6,2,IF(V930&lt;=Breakdowns!$D$7,3,4))))</f>
        <v>1</v>
      </c>
      <c r="Y930" s="34">
        <f>INDEX(Stores!$F$2:$F$21,MATCH(B930,Stores!$A$2:$A$21,0))</f>
        <v>5.67</v>
      </c>
      <c r="Z930" s="33">
        <f>IF(Y930&gt;Store_Summary!$M$2,1,0)</f>
        <v>1</v>
      </c>
      <c r="AA930" s="33">
        <f>INDEX(Stores!$C$2:$C$21,MATCH(B930,Stores!$A$2:$A$21,0))</f>
        <v>732</v>
      </c>
      <c r="AB930" s="33">
        <f>IF(AA930&lt;180,1,0)</f>
        <v>0</v>
      </c>
      <c r="AC930" s="32" t="str">
        <f>IF(Orders!D927="","",INDEX(Riders!$C$2:$C$81,MATCH(Orders!D927,Riders!$A$2:$A$81,0)))</f>
        <v>EV scooter</v>
      </c>
      <c r="AD930" s="33">
        <f>IF(Orders!D927="","",INDEX(Riders!$D$2:$D$81,MATCH(Orders!D927,Riders!$A$2:$A$81,0)))</f>
        <v>44</v>
      </c>
      <c r="AE930" s="33">
        <f>IF(Orders!D927="","",IF(INDEX(Riders!$B$2:$B$81,MATCH(Orders!D927,Riders!$A$2:$A$81,0))=B930,1,0))</f>
        <v>0</v>
      </c>
      <c r="AF930" s="34">
        <f>IF(E930=1,Orders!L927,"")</f>
        <v>1.2</v>
      </c>
      <c r="AG930" s="34">
        <f>IF(E930=1,Orders!P927,"")</f>
        <v>11.9</v>
      </c>
      <c r="AH930" s="34">
        <f>IF(E930=1,Orders!Q927,"")</f>
        <v>10.8</v>
      </c>
      <c r="AI930" s="34">
        <f>IF(E930=1,Orders!M927,"")</f>
        <v>5.1</v>
      </c>
      <c r="AJ930" s="34">
        <f>IF(E930=1,Orders!N927,"")</f>
        <v>1.7</v>
      </c>
      <c r="AK930" s="34">
        <f>IF(E930=1,Orders!O927,"")</f>
        <v>4</v>
      </c>
      <c r="AL930" s="33">
        <f>IF(E930=1,IF(ROUND(ABS(AI930+AJ930+AK930-AH930),6)&lt;=0.1,1,0),"")</f>
        <v>1</v>
      </c>
      <c r="AM930" s="36">
        <f>IF(E930=1,AI930/AH930,"")</f>
        <v>0.472222222222222</v>
      </c>
      <c r="AN930" s="36">
        <f>IF(E930=1,AJ930/AH930,"")</f>
        <v>0.157407407407407</v>
      </c>
      <c r="AO930" s="36">
        <f>IF(E930=1,AK930/AH930,"")</f>
        <v>0.37037037037037</v>
      </c>
      <c r="AP930" s="34">
        <f>IF(E930=1,Orders!Y927,"")</f>
        <v>0.36</v>
      </c>
      <c r="AQ930" s="33">
        <f>IF(Orders!X927,1,0)</f>
        <v>0</v>
      </c>
      <c r="AR930" s="34" t="str">
        <f>IF(AND(E930=1,L930=1),AJ930,"")</f>
        <v/>
      </c>
      <c r="AS930" s="34">
        <f>IF(AND(E930=1,L930=0),AJ930,"")</f>
        <v>1.7</v>
      </c>
      <c r="AT930" s="34" t="str">
        <f>IF(AND(E930=1,L930=1),AI930,"")</f>
        <v/>
      </c>
      <c r="AU930" s="34">
        <f>IF(AND(E930=1,L930=0),AI930,"")</f>
        <v>5.1</v>
      </c>
      <c r="AV930" s="34" t="str">
        <f>IF(AND(E930=1,L930=1),AG930,"")</f>
        <v/>
      </c>
      <c r="AW930" s="34">
        <f>IF(AND(E930=1,L930=0),AG930,"")</f>
        <v>11.9</v>
      </c>
      <c r="AX930" s="34" t="str">
        <f>IF(AND(E930=1,L930=1),AH930,"")</f>
        <v/>
      </c>
      <c r="AY930" s="34">
        <f>IF(AND(E930=1,L930=0),AH930,"")</f>
        <v>10.8</v>
      </c>
      <c r="AZ930" s="34" t="str">
        <f>IF(G930=1,F930,"")</f>
        <v/>
      </c>
      <c r="BA930" s="34" t="str">
        <f>IF(AND(G930=1,L930=1),F930,"")</f>
        <v/>
      </c>
      <c r="BB930" s="34" t="str">
        <f>IF(AND(G930=1,L930=0),F930,"")</f>
        <v/>
      </c>
      <c r="BC930" s="33">
        <f>IF(E930=1,IF(Orders!R927&gt;3,1,0),"")</f>
        <v>0</v>
      </c>
      <c r="BD930" s="33">
        <f>IF(E930=1,IF(Orders!R927&gt;7,1,0),"")</f>
        <v>0</v>
      </c>
      <c r="BE930" s="32" t="str">
        <f>IF(E930=1,IF(Orders!L927&lt;=1.5,"Up to 1.5 km",IF(Orders!L927&lt;=3,"1.5–3 km","Over 3 km")),"")</f>
        <v>Up to 1.5 km</v>
      </c>
      <c r="BF930" s="33">
        <f>IF(E930=1,IF(ABS((Orders!G927-Orders!F927)*1440-Orders!R927)&lt;0.06,1,0),"")</f>
        <v>1</v>
      </c>
      <c r="BG930" s="33">
        <f>IF(ABS((Orders!F927-Orders!E927)*1440-Orders!P927)&lt;0.06,1,0)</f>
        <v>1</v>
      </c>
      <c r="BH930" s="33">
        <f>IF(E930=1,IF(IF(Orders!S927,1,0)=1-G930,1,0),"")</f>
        <v>1</v>
      </c>
      <c r="BI930" s="32" t="str">
        <f>INDEX(Stores!$B$2:$B$21,MATCH(B930,Stores!$A$2:$A$21,0))</f>
        <v>Bengaluru</v>
      </c>
    </row>
    <row r="931">
      <c r="A931" s="32" t="str">
        <f>Orders!A928</f>
        <v>O00927</v>
      </c>
      <c r="B931" s="32" t="str">
        <f>Orders!C928</f>
        <v>S003</v>
      </c>
      <c r="C931" s="32" t="str">
        <f>Orders!B928</f>
        <v>C0243</v>
      </c>
      <c r="D931" s="32" t="str">
        <f>Orders!H928</f>
        <v>Delivered</v>
      </c>
      <c r="E931" s="33">
        <f>IF(Orders!H928="Delivered",1,0)</f>
        <v>1</v>
      </c>
      <c r="F931" s="34">
        <f>IF(E931=1,Orders!R928,"")</f>
        <v>-0.9</v>
      </c>
      <c r="G931" s="33">
        <f>IF(E931=1,IF(Orders!R928&gt;0,1,0),"")</f>
        <v>0</v>
      </c>
      <c r="H931" s="33">
        <f>IF(E931=1,IF(Orders!R928&gt;5,1,0),"")</f>
        <v>0</v>
      </c>
      <c r="I931" s="32" t="str">
        <f>IF(E931=1,"",IF(OR(Orders!T928="Rider unavailable",Orders!T928="Item unavailable"),"Company-caused","Unresolved"))</f>
        <v/>
      </c>
      <c r="J931" s="33">
        <f>IF(OR(E931=1,I931="Company-caused"),1,0)</f>
        <v>1</v>
      </c>
      <c r="K931" s="32" t="str">
        <f>IF(E931=0,IF(I931="Company-caused",IF(Orders!T928="Rider unavailable","C1 Rider unavailable","C2 Item unavailable"),"Outside root: unresolved"),IF(G931=0,"A On time",IF(H931=1,IF(L931=1,"B2a Severe, peak","B2b Severe, off-peak"),IF(L931=1,"B1a Slight, peak","B1b Slight, off-peak"))))</f>
        <v>A On time</v>
      </c>
      <c r="L931" s="33">
        <f>IF(AND(Orders!U928&gt;=19,Orders!U928&lt;22),1,0)</f>
        <v>0</v>
      </c>
      <c r="M931" s="33">
        <f>IF(L931=IF(Orders!V928,1,0),1,0)</f>
        <v>1</v>
      </c>
      <c r="N931" s="32" t="str">
        <f>IF(Orders!W928="","None",Orders!W928)</f>
        <v>Heavy</v>
      </c>
      <c r="O931" s="35">
        <f>INT(Orders!E928)</f>
        <v>46271.0</v>
      </c>
      <c r="P931" s="33">
        <f>Orders!U928</f>
        <v>22</v>
      </c>
      <c r="Q931" s="33">
        <f>COUNTIFS(Demand!$A$2:$A$4481,B931,Demand!$B$2:$B$4481,O931,Demand!$C$2:$C$4481,P931)</f>
        <v>1</v>
      </c>
      <c r="R931" s="33">
        <f>IF(Q931=1,SUMIFS(Demand!$E$2:$E$4481,Demand!$A$2:$A$4481,B931,Demand!$B$2:$B$4481,O931,Demand!$C$2:$C$4481,P931),"")</f>
        <v>48</v>
      </c>
      <c r="S931" s="33">
        <f>INDEX(Stores!$G$2:$G$21,MATCH(B931,Stores!$A$2:$A$21,0))</f>
        <v>41</v>
      </c>
      <c r="T931" s="34">
        <f>IF(R931="","",R931/S931)</f>
        <v>1.17073170731707</v>
      </c>
      <c r="U931" s="34">
        <f>IF(E931=1,T931,"")</f>
        <v>1.17073170731707</v>
      </c>
      <c r="V931" s="34">
        <f>IF(AND(E931=1,L931=0),T931,"")</f>
        <v>1.17073170731707</v>
      </c>
      <c r="W931" s="33">
        <f>IF(U931="","",IF(U931&lt;=Breakdowns!$C$5,1,IF(U931&lt;=Breakdowns!$C$6,2,IF(U931&lt;=Breakdowns!$C$7,3,4))))</f>
        <v>3</v>
      </c>
      <c r="X931" s="33">
        <f>IF(V931="","",IF(V931&lt;=Breakdowns!$D$5,1,IF(V931&lt;=Breakdowns!$D$6,2,IF(V931&lt;=Breakdowns!$D$7,3,4))))</f>
        <v>4</v>
      </c>
      <c r="Y931" s="34">
        <f>INDEX(Stores!$F$2:$F$21,MATCH(B931,Stores!$A$2:$A$21,0))</f>
        <v>3.84</v>
      </c>
      <c r="Z931" s="33">
        <f>IF(Y931&gt;Store_Summary!$M$2,1,0)</f>
        <v>0</v>
      </c>
      <c r="AA931" s="33">
        <f>INDEX(Stores!$C$2:$C$21,MATCH(B931,Stores!$A$2:$A$21,0))</f>
        <v>426</v>
      </c>
      <c r="AB931" s="33">
        <f>IF(AA931&lt;180,1,0)</f>
        <v>0</v>
      </c>
      <c r="AC931" s="32" t="str">
        <f>IF(Orders!D928="","",INDEX(Riders!$C$2:$C$81,MATCH(Orders!D928,Riders!$A$2:$A$81,0)))</f>
        <v>Petrol scooter</v>
      </c>
      <c r="AD931" s="33">
        <f>IF(Orders!D928="","",INDEX(Riders!$D$2:$D$81,MATCH(Orders!D928,Riders!$A$2:$A$81,0)))</f>
        <v>15</v>
      </c>
      <c r="AE931" s="33">
        <f>IF(Orders!D928="","",IF(INDEX(Riders!$B$2:$B$81,MATCH(Orders!D928,Riders!$A$2:$A$81,0))=B931,1,0))</f>
        <v>0</v>
      </c>
      <c r="AF931" s="34">
        <f>IF(E931=1,Orders!L928,"")</f>
        <v>0.5</v>
      </c>
      <c r="AG931" s="34">
        <f>IF(E931=1,Orders!P928,"")</f>
        <v>9.4</v>
      </c>
      <c r="AH931" s="34">
        <f>IF(E931=1,Orders!Q928,"")</f>
        <v>8.5</v>
      </c>
      <c r="AI931" s="34">
        <f>IF(E931=1,Orders!M928,"")</f>
        <v>3.7</v>
      </c>
      <c r="AJ931" s="34">
        <f>IF(E931=1,Orders!N928,"")</f>
        <v>0.9</v>
      </c>
      <c r="AK931" s="34">
        <f>IF(E931=1,Orders!O928,"")</f>
        <v>3.9</v>
      </c>
      <c r="AL931" s="33">
        <f>IF(E931=1,IF(ROUND(ABS(AI931+AJ931+AK931-AH931),6)&lt;=0.1,1,0),"")</f>
        <v>1</v>
      </c>
      <c r="AM931" s="36">
        <f>IF(E931=1,AI931/AH931,"")</f>
        <v>0.435294117647059</v>
      </c>
      <c r="AN931" s="36">
        <f>IF(E931=1,AJ931/AH931,"")</f>
        <v>0.105882352941176</v>
      </c>
      <c r="AO931" s="36">
        <f>IF(E931=1,AK931/AH931,"")</f>
        <v>0.458823529411765</v>
      </c>
      <c r="AP931" s="34">
        <f>IF(E931=1,Orders!Y928,"")</f>
        <v>0.5</v>
      </c>
      <c r="AQ931" s="33">
        <f>IF(Orders!X928,1,0)</f>
        <v>0</v>
      </c>
      <c r="AR931" s="34" t="str">
        <f>IF(AND(E931=1,L931=1),AJ931,"")</f>
        <v/>
      </c>
      <c r="AS931" s="34">
        <f>IF(AND(E931=1,L931=0),AJ931,"")</f>
        <v>0.9</v>
      </c>
      <c r="AT931" s="34" t="str">
        <f>IF(AND(E931=1,L931=1),AI931,"")</f>
        <v/>
      </c>
      <c r="AU931" s="34">
        <f>IF(AND(E931=1,L931=0),AI931,"")</f>
        <v>3.7</v>
      </c>
      <c r="AV931" s="34" t="str">
        <f>IF(AND(E931=1,L931=1),AG931,"")</f>
        <v/>
      </c>
      <c r="AW931" s="34">
        <f>IF(AND(E931=1,L931=0),AG931,"")</f>
        <v>9.4</v>
      </c>
      <c r="AX931" s="34" t="str">
        <f>IF(AND(E931=1,L931=1),AH931,"")</f>
        <v/>
      </c>
      <c r="AY931" s="34">
        <f>IF(AND(E931=1,L931=0),AH931,"")</f>
        <v>8.5</v>
      </c>
      <c r="AZ931" s="34" t="str">
        <f>IF(G931=1,F931,"")</f>
        <v/>
      </c>
      <c r="BA931" s="34" t="str">
        <f>IF(AND(G931=1,L931=1),F931,"")</f>
        <v/>
      </c>
      <c r="BB931" s="34" t="str">
        <f>IF(AND(G931=1,L931=0),F931,"")</f>
        <v/>
      </c>
      <c r="BC931" s="33">
        <f>IF(E931=1,IF(Orders!R928&gt;3,1,0),"")</f>
        <v>0</v>
      </c>
      <c r="BD931" s="33">
        <f>IF(E931=1,IF(Orders!R928&gt;7,1,0),"")</f>
        <v>0</v>
      </c>
      <c r="BE931" s="32" t="str">
        <f>IF(E931=1,IF(Orders!L928&lt;=1.5,"Up to 1.5 km",IF(Orders!L928&lt;=3,"1.5–3 km","Over 3 km")),"")</f>
        <v>Up to 1.5 km</v>
      </c>
      <c r="BF931" s="33">
        <f>IF(E931=1,IF(ABS((Orders!G928-Orders!F928)*1440-Orders!R928)&lt;0.06,1,0),"")</f>
        <v>1</v>
      </c>
      <c r="BG931" s="33">
        <f>IF(ABS((Orders!F928-Orders!E928)*1440-Orders!P928)&lt;0.06,1,0)</f>
        <v>1</v>
      </c>
      <c r="BH931" s="33">
        <f>IF(E931=1,IF(IF(Orders!S928,1,0)=1-G931,1,0),"")</f>
        <v>1</v>
      </c>
      <c r="BI931" s="32" t="str">
        <f>INDEX(Stores!$B$2:$B$21,MATCH(B931,Stores!$A$2:$A$21,0))</f>
        <v>Mumbai</v>
      </c>
    </row>
    <row r="932">
      <c r="A932" s="32" t="str">
        <f>Orders!A929</f>
        <v>O00928</v>
      </c>
      <c r="B932" s="32" t="str">
        <f>Orders!C929</f>
        <v>S007</v>
      </c>
      <c r="C932" s="32" t="str">
        <f>Orders!B929</f>
        <v>C0103</v>
      </c>
      <c r="D932" s="32" t="str">
        <f>Orders!H929</f>
        <v>Delivered</v>
      </c>
      <c r="E932" s="33">
        <f>IF(Orders!H929="Delivered",1,0)</f>
        <v>1</v>
      </c>
      <c r="F932" s="34">
        <f>IF(E932=1,Orders!R929,"")</f>
        <v>-1.2</v>
      </c>
      <c r="G932" s="33">
        <f>IF(E932=1,IF(Orders!R929&gt;0,1,0),"")</f>
        <v>0</v>
      </c>
      <c r="H932" s="33">
        <f>IF(E932=1,IF(Orders!R929&gt;5,1,0),"")</f>
        <v>0</v>
      </c>
      <c r="I932" s="32" t="str">
        <f>IF(E932=1,"",IF(OR(Orders!T929="Rider unavailable",Orders!T929="Item unavailable"),"Company-caused","Unresolved"))</f>
        <v/>
      </c>
      <c r="J932" s="33">
        <f>IF(OR(E932=1,I932="Company-caused"),1,0)</f>
        <v>1</v>
      </c>
      <c r="K932" s="32" t="str">
        <f>IF(E932=0,IF(I932="Company-caused",IF(Orders!T929="Rider unavailable","C1 Rider unavailable","C2 Item unavailable"),"Outside root: unresolved"),IF(G932=0,"A On time",IF(H932=1,IF(L932=1,"B2a Severe, peak","B2b Severe, off-peak"),IF(L932=1,"B1a Slight, peak","B1b Slight, off-peak"))))</f>
        <v>A On time</v>
      </c>
      <c r="L932" s="33">
        <f>IF(AND(Orders!U929&gt;=19,Orders!U929&lt;22),1,0)</f>
        <v>0</v>
      </c>
      <c r="M932" s="33">
        <f>IF(L932=IF(Orders!V929,1,0),1,0)</f>
        <v>1</v>
      </c>
      <c r="N932" s="32" t="str">
        <f>IF(Orders!W929="","None",Orders!W929)</f>
        <v>None</v>
      </c>
      <c r="O932" s="35">
        <f>INT(Orders!E929)</f>
        <v>46273.0</v>
      </c>
      <c r="P932" s="33">
        <f>Orders!U929</f>
        <v>9</v>
      </c>
      <c r="Q932" s="33">
        <f>COUNTIFS(Demand!$A$2:$A$4481,B932,Demand!$B$2:$B$4481,O932,Demand!$C$2:$C$4481,P932)</f>
        <v>1</v>
      </c>
      <c r="R932" s="33">
        <f>IF(Q932=1,SUMIFS(Demand!$E$2:$E$4481,Demand!$A$2:$A$4481,B932,Demand!$B$2:$B$4481,O932,Demand!$C$2:$C$4481,P932),"")</f>
        <v>21</v>
      </c>
      <c r="S932" s="33">
        <f>INDEX(Stores!$G$2:$G$21,MATCH(B932,Stores!$A$2:$A$21,0))</f>
        <v>37</v>
      </c>
      <c r="T932" s="34">
        <f>IF(R932="","",R932/S932)</f>
        <v>0.567567567567568</v>
      </c>
      <c r="U932" s="34">
        <f>IF(E932=1,T932,"")</f>
        <v>0.567567567567568</v>
      </c>
      <c r="V932" s="34">
        <f>IF(AND(E932=1,L932=0),T932,"")</f>
        <v>0.567567567567568</v>
      </c>
      <c r="W932" s="33">
        <f>IF(U932="","",IF(U932&lt;=Breakdowns!$C$5,1,IF(U932&lt;=Breakdowns!$C$6,2,IF(U932&lt;=Breakdowns!$C$7,3,4))))</f>
        <v>1</v>
      </c>
      <c r="X932" s="33">
        <f>IF(V932="","",IF(V932&lt;=Breakdowns!$D$5,1,IF(V932&lt;=Breakdowns!$D$6,2,IF(V932&lt;=Breakdowns!$D$7,3,4))))</f>
        <v>1</v>
      </c>
      <c r="Y932" s="34">
        <f>INDEX(Stores!$F$2:$F$21,MATCH(B932,Stores!$A$2:$A$21,0))</f>
        <v>4.05</v>
      </c>
      <c r="Z932" s="33">
        <f>IF(Y932&gt;Store_Summary!$M$2,1,0)</f>
        <v>0</v>
      </c>
      <c r="AA932" s="33">
        <f>INDEX(Stores!$C$2:$C$21,MATCH(B932,Stores!$A$2:$A$21,0))</f>
        <v>661</v>
      </c>
      <c r="AB932" s="33">
        <f>IF(AA932&lt;180,1,0)</f>
        <v>0</v>
      </c>
      <c r="AC932" s="32" t="str">
        <f>IF(Orders!D929="","",INDEX(Riders!$C$2:$C$81,MATCH(Orders!D929,Riders!$A$2:$A$81,0)))</f>
        <v>EV scooter</v>
      </c>
      <c r="AD932" s="33">
        <f>IF(Orders!D929="","",INDEX(Riders!$D$2:$D$81,MATCH(Orders!D929,Riders!$A$2:$A$81,0)))</f>
        <v>36</v>
      </c>
      <c r="AE932" s="33">
        <f>IF(Orders!D929="","",IF(INDEX(Riders!$B$2:$B$81,MATCH(Orders!D929,Riders!$A$2:$A$81,0))=B932,1,0))</f>
        <v>0</v>
      </c>
      <c r="AF932" s="34">
        <f>IF(E932=1,Orders!L929,"")</f>
        <v>0.81</v>
      </c>
      <c r="AG932" s="34">
        <f>IF(E932=1,Orders!P929,"")</f>
        <v>9.7</v>
      </c>
      <c r="AH932" s="34">
        <f>IF(E932=1,Orders!Q929,"")</f>
        <v>8.5</v>
      </c>
      <c r="AI932" s="34">
        <f>IF(E932=1,Orders!M929,"")</f>
        <v>3.1</v>
      </c>
      <c r="AJ932" s="34">
        <f>IF(E932=1,Orders!N929,"")</f>
        <v>2.2</v>
      </c>
      <c r="AK932" s="34">
        <f>IF(E932=1,Orders!O929,"")</f>
        <v>3.2</v>
      </c>
      <c r="AL932" s="33">
        <f>IF(E932=1,IF(ROUND(ABS(AI932+AJ932+AK932-AH932),6)&lt;=0.1,1,0),"")</f>
        <v>1</v>
      </c>
      <c r="AM932" s="36">
        <f>IF(E932=1,AI932/AH932,"")</f>
        <v>0.364705882352941</v>
      </c>
      <c r="AN932" s="36">
        <f>IF(E932=1,AJ932/AH932,"")</f>
        <v>0.258823529411765</v>
      </c>
      <c r="AO932" s="36">
        <f>IF(E932=1,AK932/AH932,"")</f>
        <v>0.376470588235294</v>
      </c>
      <c r="AP932" s="34">
        <f>IF(E932=1,Orders!Y929,"")</f>
        <v>0.5</v>
      </c>
      <c r="AQ932" s="33">
        <f>IF(Orders!X929,1,0)</f>
        <v>0</v>
      </c>
      <c r="AR932" s="34" t="str">
        <f>IF(AND(E932=1,L932=1),AJ932,"")</f>
        <v/>
      </c>
      <c r="AS932" s="34">
        <f>IF(AND(E932=1,L932=0),AJ932,"")</f>
        <v>2.2</v>
      </c>
      <c r="AT932" s="34" t="str">
        <f>IF(AND(E932=1,L932=1),AI932,"")</f>
        <v/>
      </c>
      <c r="AU932" s="34">
        <f>IF(AND(E932=1,L932=0),AI932,"")</f>
        <v>3.1</v>
      </c>
      <c r="AV932" s="34" t="str">
        <f>IF(AND(E932=1,L932=1),AG932,"")</f>
        <v/>
      </c>
      <c r="AW932" s="34">
        <f>IF(AND(E932=1,L932=0),AG932,"")</f>
        <v>9.7</v>
      </c>
      <c r="AX932" s="34" t="str">
        <f>IF(AND(E932=1,L932=1),AH932,"")</f>
        <v/>
      </c>
      <c r="AY932" s="34">
        <f>IF(AND(E932=1,L932=0),AH932,"")</f>
        <v>8.5</v>
      </c>
      <c r="AZ932" s="34" t="str">
        <f>IF(G932=1,F932,"")</f>
        <v/>
      </c>
      <c r="BA932" s="34" t="str">
        <f>IF(AND(G932=1,L932=1),F932,"")</f>
        <v/>
      </c>
      <c r="BB932" s="34" t="str">
        <f>IF(AND(G932=1,L932=0),F932,"")</f>
        <v/>
      </c>
      <c r="BC932" s="33">
        <f>IF(E932=1,IF(Orders!R929&gt;3,1,0),"")</f>
        <v>0</v>
      </c>
      <c r="BD932" s="33">
        <f>IF(E932=1,IF(Orders!R929&gt;7,1,0),"")</f>
        <v>0</v>
      </c>
      <c r="BE932" s="32" t="str">
        <f>IF(E932=1,IF(Orders!L929&lt;=1.5,"Up to 1.5 km",IF(Orders!L929&lt;=3,"1.5–3 km","Over 3 km")),"")</f>
        <v>Up to 1.5 km</v>
      </c>
      <c r="BF932" s="33">
        <f>IF(E932=1,IF(ABS((Orders!G929-Orders!F929)*1440-Orders!R929)&lt;0.06,1,0),"")</f>
        <v>1</v>
      </c>
      <c r="BG932" s="33">
        <f>IF(ABS((Orders!F929-Orders!E929)*1440-Orders!P929)&lt;0.06,1,0)</f>
        <v>1</v>
      </c>
      <c r="BH932" s="33">
        <f>IF(E932=1,IF(IF(Orders!S929,1,0)=1-G932,1,0),"")</f>
        <v>1</v>
      </c>
      <c r="BI932" s="32" t="str">
        <f>INDEX(Stores!$B$2:$B$21,MATCH(B932,Stores!$A$2:$A$21,0))</f>
        <v>Hyderabad</v>
      </c>
    </row>
    <row r="933">
      <c r="A933" s="32" t="str">
        <f>Orders!A930</f>
        <v>O00929</v>
      </c>
      <c r="B933" s="32" t="str">
        <f>Orders!C930</f>
        <v>S012</v>
      </c>
      <c r="C933" s="32" t="str">
        <f>Orders!B930</f>
        <v>C0011</v>
      </c>
      <c r="D933" s="32" t="str">
        <f>Orders!H930</f>
        <v>Delivered</v>
      </c>
      <c r="E933" s="33">
        <f>IF(Orders!H930="Delivered",1,0)</f>
        <v>1</v>
      </c>
      <c r="F933" s="34">
        <f>IF(E933=1,Orders!R930,"")</f>
        <v>-0.4</v>
      </c>
      <c r="G933" s="33">
        <f>IF(E933=1,IF(Orders!R930&gt;0,1,0),"")</f>
        <v>0</v>
      </c>
      <c r="H933" s="33">
        <f>IF(E933=1,IF(Orders!R930&gt;5,1,0),"")</f>
        <v>0</v>
      </c>
      <c r="I933" s="32" t="str">
        <f>IF(E933=1,"",IF(OR(Orders!T930="Rider unavailable",Orders!T930="Item unavailable"),"Company-caused","Unresolved"))</f>
        <v/>
      </c>
      <c r="J933" s="33">
        <f>IF(OR(E933=1,I933="Company-caused"),1,0)</f>
        <v>1</v>
      </c>
      <c r="K933" s="32" t="str">
        <f>IF(E933=0,IF(I933="Company-caused",IF(Orders!T930="Rider unavailable","C1 Rider unavailable","C2 Item unavailable"),"Outside root: unresolved"),IF(G933=0,"A On time",IF(H933=1,IF(L933=1,"B2a Severe, peak","B2b Severe, off-peak"),IF(L933=1,"B1a Slight, peak","B1b Slight, off-peak"))))</f>
        <v>A On time</v>
      </c>
      <c r="L933" s="33">
        <f>IF(AND(Orders!U930&gt;=19,Orders!U930&lt;22),1,0)</f>
        <v>0</v>
      </c>
      <c r="M933" s="33">
        <f>IF(L933=IF(Orders!V930,1,0),1,0)</f>
        <v>1</v>
      </c>
      <c r="N933" s="32" t="str">
        <f>IF(Orders!W930="","None",Orders!W930)</f>
        <v>Light</v>
      </c>
      <c r="O933" s="35">
        <f>INT(Orders!E930)</f>
        <v>46279.0</v>
      </c>
      <c r="P933" s="33">
        <f>Orders!U930</f>
        <v>17</v>
      </c>
      <c r="Q933" s="33">
        <f>COUNTIFS(Demand!$A$2:$A$4481,B933,Demand!$B$2:$B$4481,O933,Demand!$C$2:$C$4481,P933)</f>
        <v>1</v>
      </c>
      <c r="R933" s="33">
        <f>IF(Q933=1,SUMIFS(Demand!$E$2:$E$4481,Demand!$A$2:$A$4481,B933,Demand!$B$2:$B$4481,O933,Demand!$C$2:$C$4481,P933),"")</f>
        <v>18</v>
      </c>
      <c r="S933" s="33">
        <f>INDEX(Stores!$G$2:$G$21,MATCH(B933,Stores!$A$2:$A$21,0))</f>
        <v>15</v>
      </c>
      <c r="T933" s="34">
        <f>IF(R933="","",R933/S933)</f>
        <v>1.2</v>
      </c>
      <c r="U933" s="34">
        <f>IF(E933=1,T933,"")</f>
        <v>1.2</v>
      </c>
      <c r="V933" s="34">
        <f>IF(AND(E933=1,L933=0),T933,"")</f>
        <v>1.2</v>
      </c>
      <c r="W933" s="33">
        <f>IF(U933="","",IF(U933&lt;=Breakdowns!$C$5,1,IF(U933&lt;=Breakdowns!$C$6,2,IF(U933&lt;=Breakdowns!$C$7,3,4))))</f>
        <v>3</v>
      </c>
      <c r="X933" s="33">
        <f>IF(V933="","",IF(V933&lt;=Breakdowns!$D$5,1,IF(V933&lt;=Breakdowns!$D$6,2,IF(V933&lt;=Breakdowns!$D$7,3,4))))</f>
        <v>4</v>
      </c>
      <c r="Y933" s="34">
        <f>INDEX(Stores!$F$2:$F$21,MATCH(B933,Stores!$A$2:$A$21,0))</f>
        <v>5.23</v>
      </c>
      <c r="Z933" s="33">
        <f>IF(Y933&gt;Store_Summary!$M$2,1,0)</f>
        <v>1</v>
      </c>
      <c r="AA933" s="33">
        <f>INDEX(Stores!$C$2:$C$21,MATCH(B933,Stores!$A$2:$A$21,0))</f>
        <v>300</v>
      </c>
      <c r="AB933" s="33">
        <f>IF(AA933&lt;180,1,0)</f>
        <v>0</v>
      </c>
      <c r="AC933" s="32" t="str">
        <f>IF(Orders!D930="","",INDEX(Riders!$C$2:$C$81,MATCH(Orders!D930,Riders!$A$2:$A$81,0)))</f>
        <v>EV scooter</v>
      </c>
      <c r="AD933" s="33">
        <f>IF(Orders!D930="","",INDEX(Riders!$D$2:$D$81,MATCH(Orders!D930,Riders!$A$2:$A$81,0)))</f>
        <v>30</v>
      </c>
      <c r="AE933" s="33">
        <f>IF(Orders!D930="","",IF(INDEX(Riders!$B$2:$B$81,MATCH(Orders!D930,Riders!$A$2:$A$81,0))=B933,1,0))</f>
        <v>0</v>
      </c>
      <c r="AF933" s="34">
        <f>IF(E933=1,Orders!L930,"")</f>
        <v>0.5</v>
      </c>
      <c r="AG933" s="34">
        <f>IF(E933=1,Orders!P930,"")</f>
        <v>11.8</v>
      </c>
      <c r="AH933" s="34">
        <f>IF(E933=1,Orders!Q930,"")</f>
        <v>11.4</v>
      </c>
      <c r="AI933" s="34">
        <f>IF(E933=1,Orders!M930,"")</f>
        <v>4.2</v>
      </c>
      <c r="AJ933" s="34">
        <f>IF(E933=1,Orders!N930,"")</f>
        <v>5.2</v>
      </c>
      <c r="AK933" s="34">
        <f>IF(E933=1,Orders!O930,"")</f>
        <v>2</v>
      </c>
      <c r="AL933" s="33">
        <f>IF(E933=1,IF(ROUND(ABS(AI933+AJ933+AK933-AH933),6)&lt;=0.1,1,0),"")</f>
        <v>1</v>
      </c>
      <c r="AM933" s="36">
        <f>IF(E933=1,AI933/AH933,"")</f>
        <v>0.368421052631579</v>
      </c>
      <c r="AN933" s="36">
        <f>IF(E933=1,AJ933/AH933,"")</f>
        <v>0.456140350877193</v>
      </c>
      <c r="AO933" s="36">
        <f>IF(E933=1,AK933/AH933,"")</f>
        <v>0.175438596491228</v>
      </c>
      <c r="AP933" s="34">
        <f>IF(E933=1,Orders!Y930,"")</f>
        <v>0.58</v>
      </c>
      <c r="AQ933" s="33">
        <f>IF(Orders!X930,1,0)</f>
        <v>0</v>
      </c>
      <c r="AR933" s="34" t="str">
        <f>IF(AND(E933=1,L933=1),AJ933,"")</f>
        <v/>
      </c>
      <c r="AS933" s="34">
        <f>IF(AND(E933=1,L933=0),AJ933,"")</f>
        <v>5.2</v>
      </c>
      <c r="AT933" s="34" t="str">
        <f>IF(AND(E933=1,L933=1),AI933,"")</f>
        <v/>
      </c>
      <c r="AU933" s="34">
        <f>IF(AND(E933=1,L933=0),AI933,"")</f>
        <v>4.2</v>
      </c>
      <c r="AV933" s="34" t="str">
        <f>IF(AND(E933=1,L933=1),AG933,"")</f>
        <v/>
      </c>
      <c r="AW933" s="34">
        <f>IF(AND(E933=1,L933=0),AG933,"")</f>
        <v>11.8</v>
      </c>
      <c r="AX933" s="34" t="str">
        <f>IF(AND(E933=1,L933=1),AH933,"")</f>
        <v/>
      </c>
      <c r="AY933" s="34">
        <f>IF(AND(E933=1,L933=0),AH933,"")</f>
        <v>11.4</v>
      </c>
      <c r="AZ933" s="34" t="str">
        <f>IF(G933=1,F933,"")</f>
        <v/>
      </c>
      <c r="BA933" s="34" t="str">
        <f>IF(AND(G933=1,L933=1),F933,"")</f>
        <v/>
      </c>
      <c r="BB933" s="34" t="str">
        <f>IF(AND(G933=1,L933=0),F933,"")</f>
        <v/>
      </c>
      <c r="BC933" s="33">
        <f>IF(E933=1,IF(Orders!R930&gt;3,1,0),"")</f>
        <v>0</v>
      </c>
      <c r="BD933" s="33">
        <f>IF(E933=1,IF(Orders!R930&gt;7,1,0),"")</f>
        <v>0</v>
      </c>
      <c r="BE933" s="32" t="str">
        <f>IF(E933=1,IF(Orders!L930&lt;=1.5,"Up to 1.5 km",IF(Orders!L930&lt;=3,"1.5–3 km","Over 3 km")),"")</f>
        <v>Up to 1.5 km</v>
      </c>
      <c r="BF933" s="33">
        <f>IF(E933=1,IF(ABS((Orders!G930-Orders!F930)*1440-Orders!R930)&lt;0.06,1,0),"")</f>
        <v>1</v>
      </c>
      <c r="BG933" s="33">
        <f>IF(ABS((Orders!F930-Orders!E930)*1440-Orders!P930)&lt;0.06,1,0)</f>
        <v>1</v>
      </c>
      <c r="BH933" s="33">
        <f>IF(E933=1,IF(IF(Orders!S930,1,0)=1-G933,1,0),"")</f>
        <v>1</v>
      </c>
      <c r="BI933" s="32" t="str">
        <f>INDEX(Stores!$B$2:$B$21,MATCH(B933,Stores!$A$2:$A$21,0))</f>
        <v>Hyderabad</v>
      </c>
    </row>
    <row r="934">
      <c r="A934" s="32" t="str">
        <f>Orders!A931</f>
        <v>O00930</v>
      </c>
      <c r="B934" s="32" t="str">
        <f>Orders!C931</f>
        <v>S019</v>
      </c>
      <c r="C934" s="32" t="str">
        <f>Orders!B931</f>
        <v>C0141</v>
      </c>
      <c r="D934" s="32" t="str">
        <f>Orders!H931</f>
        <v>Delivered</v>
      </c>
      <c r="E934" s="33">
        <f>IF(Orders!H931="Delivered",1,0)</f>
        <v>1</v>
      </c>
      <c r="F934" s="34">
        <f>IF(E934=1,Orders!R931,"")</f>
        <v>0</v>
      </c>
      <c r="G934" s="33">
        <f>IF(E934=1,IF(Orders!R931&gt;0,1,0),"")</f>
        <v>0</v>
      </c>
      <c r="H934" s="33">
        <f>IF(E934=1,IF(Orders!R931&gt;5,1,0),"")</f>
        <v>0</v>
      </c>
      <c r="I934" s="32" t="str">
        <f>IF(E934=1,"",IF(OR(Orders!T931="Rider unavailable",Orders!T931="Item unavailable"),"Company-caused","Unresolved"))</f>
        <v/>
      </c>
      <c r="J934" s="33">
        <f>IF(OR(E934=1,I934="Company-caused"),1,0)</f>
        <v>1</v>
      </c>
      <c r="K934" s="32" t="str">
        <f>IF(E934=0,IF(I934="Company-caused",IF(Orders!T931="Rider unavailable","C1 Rider unavailable","C2 Item unavailable"),"Outside root: unresolved"),IF(G934=0,"A On time",IF(H934=1,IF(L934=1,"B2a Severe, peak","B2b Severe, off-peak"),IF(L934=1,"B1a Slight, peak","B1b Slight, off-peak"))))</f>
        <v>A On time</v>
      </c>
      <c r="L934" s="33">
        <f>IF(AND(Orders!U931&gt;=19,Orders!U931&lt;22),1,0)</f>
        <v>0</v>
      </c>
      <c r="M934" s="33">
        <f>IF(L934=IF(Orders!V931,1,0),1,0)</f>
        <v>1</v>
      </c>
      <c r="N934" s="32" t="str">
        <f>IF(Orders!W931="","None",Orders!W931)</f>
        <v>None</v>
      </c>
      <c r="O934" s="35">
        <f>INT(Orders!E931)</f>
        <v>46266.0</v>
      </c>
      <c r="P934" s="33">
        <f>Orders!U931</f>
        <v>18</v>
      </c>
      <c r="Q934" s="33">
        <f>COUNTIFS(Demand!$A$2:$A$4481,B934,Demand!$B$2:$B$4481,O934,Demand!$C$2:$C$4481,P934)</f>
        <v>1</v>
      </c>
      <c r="R934" s="33">
        <f>IF(Q934=1,SUMIFS(Demand!$E$2:$E$4481,Demand!$A$2:$A$4481,B934,Demand!$B$2:$B$4481,O934,Demand!$C$2:$C$4481,P934),"")</f>
        <v>24</v>
      </c>
      <c r="S934" s="33">
        <f>INDEX(Stores!$G$2:$G$21,MATCH(B934,Stores!$A$2:$A$21,0))</f>
        <v>22</v>
      </c>
      <c r="T934" s="34">
        <f>IF(R934="","",R934/S934)</f>
        <v>1.09090909090909</v>
      </c>
      <c r="U934" s="34">
        <f>IF(E934=1,T934,"")</f>
        <v>1.09090909090909</v>
      </c>
      <c r="V934" s="34">
        <f>IF(AND(E934=1,L934=0),T934,"")</f>
        <v>1.09090909090909</v>
      </c>
      <c r="W934" s="33">
        <f>IF(U934="","",IF(U934&lt;=Breakdowns!$C$5,1,IF(U934&lt;=Breakdowns!$C$6,2,IF(U934&lt;=Breakdowns!$C$7,3,4))))</f>
        <v>3</v>
      </c>
      <c r="X934" s="33">
        <f>IF(V934="","",IF(V934&lt;=Breakdowns!$D$5,1,IF(V934&lt;=Breakdowns!$D$6,2,IF(V934&lt;=Breakdowns!$D$7,3,4))))</f>
        <v>4</v>
      </c>
      <c r="Y934" s="34">
        <f>INDEX(Stores!$F$2:$F$21,MATCH(B934,Stores!$A$2:$A$21,0))</f>
        <v>4.99</v>
      </c>
      <c r="Z934" s="33">
        <f>IF(Y934&gt;Store_Summary!$M$2,1,0)</f>
        <v>1</v>
      </c>
      <c r="AA934" s="33">
        <f>INDEX(Stores!$C$2:$C$21,MATCH(B934,Stores!$A$2:$A$21,0))</f>
        <v>851</v>
      </c>
      <c r="AB934" s="33">
        <f>IF(AA934&lt;180,1,0)</f>
        <v>0</v>
      </c>
      <c r="AC934" s="32" t="str">
        <f>IF(Orders!D931="","",INDEX(Riders!$C$2:$C$81,MATCH(Orders!D931,Riders!$A$2:$A$81,0)))</f>
        <v>Petrol scooter</v>
      </c>
      <c r="AD934" s="33">
        <f>IF(Orders!D931="","",INDEX(Riders!$D$2:$D$81,MATCH(Orders!D931,Riders!$A$2:$A$81,0)))</f>
        <v>10</v>
      </c>
      <c r="AE934" s="33">
        <f>IF(Orders!D931="","",IF(INDEX(Riders!$B$2:$B$81,MATCH(Orders!D931,Riders!$A$2:$A$81,0))=B934,1,0))</f>
        <v>0</v>
      </c>
      <c r="AF934" s="34">
        <f>IF(E934=1,Orders!L931,"")</f>
        <v>1.3</v>
      </c>
      <c r="AG934" s="34">
        <f>IF(E934=1,Orders!P931,"")</f>
        <v>10.1</v>
      </c>
      <c r="AH934" s="34">
        <f>IF(E934=1,Orders!Q931,"")</f>
        <v>10.1</v>
      </c>
      <c r="AI934" s="34">
        <f>IF(E934=1,Orders!M931,"")</f>
        <v>4.8</v>
      </c>
      <c r="AJ934" s="34">
        <f>IF(E934=1,Orders!N931,"")</f>
        <v>1</v>
      </c>
      <c r="AK934" s="34">
        <f>IF(E934=1,Orders!O931,"")</f>
        <v>4.4</v>
      </c>
      <c r="AL934" s="33">
        <f>IF(E934=1,IF(ROUND(ABS(AI934+AJ934+AK934-AH934),6)&lt;=0.1,1,0),"")</f>
        <v>1</v>
      </c>
      <c r="AM934" s="36">
        <f>IF(E934=1,AI934/AH934,"")</f>
        <v>0.475247524752475</v>
      </c>
      <c r="AN934" s="36">
        <f>IF(E934=1,AJ934/AH934,"")</f>
        <v>0.099009900990099</v>
      </c>
      <c r="AO934" s="36">
        <f>IF(E934=1,AK934/AH934,"")</f>
        <v>0.435643564356436</v>
      </c>
      <c r="AP934" s="34">
        <f>IF(E934=1,Orders!Y931,"")</f>
        <v>0.44</v>
      </c>
      <c r="AQ934" s="33">
        <f>IF(Orders!X931,1,0)</f>
        <v>0</v>
      </c>
      <c r="AR934" s="34" t="str">
        <f>IF(AND(E934=1,L934=1),AJ934,"")</f>
        <v/>
      </c>
      <c r="AS934" s="34">
        <f>IF(AND(E934=1,L934=0),AJ934,"")</f>
        <v>1</v>
      </c>
      <c r="AT934" s="34" t="str">
        <f>IF(AND(E934=1,L934=1),AI934,"")</f>
        <v/>
      </c>
      <c r="AU934" s="34">
        <f>IF(AND(E934=1,L934=0),AI934,"")</f>
        <v>4.8</v>
      </c>
      <c r="AV934" s="34" t="str">
        <f>IF(AND(E934=1,L934=1),AG934,"")</f>
        <v/>
      </c>
      <c r="AW934" s="34">
        <f>IF(AND(E934=1,L934=0),AG934,"")</f>
        <v>10.1</v>
      </c>
      <c r="AX934" s="34" t="str">
        <f>IF(AND(E934=1,L934=1),AH934,"")</f>
        <v/>
      </c>
      <c r="AY934" s="34">
        <f>IF(AND(E934=1,L934=0),AH934,"")</f>
        <v>10.1</v>
      </c>
      <c r="AZ934" s="34" t="str">
        <f>IF(G934=1,F934,"")</f>
        <v/>
      </c>
      <c r="BA934" s="34" t="str">
        <f>IF(AND(G934=1,L934=1),F934,"")</f>
        <v/>
      </c>
      <c r="BB934" s="34" t="str">
        <f>IF(AND(G934=1,L934=0),F934,"")</f>
        <v/>
      </c>
      <c r="BC934" s="33">
        <f>IF(E934=1,IF(Orders!R931&gt;3,1,0),"")</f>
        <v>0</v>
      </c>
      <c r="BD934" s="33">
        <f>IF(E934=1,IF(Orders!R931&gt;7,1,0),"")</f>
        <v>0</v>
      </c>
      <c r="BE934" s="32" t="str">
        <f>IF(E934=1,IF(Orders!L931&lt;=1.5,"Up to 1.5 km",IF(Orders!L931&lt;=3,"1.5–3 km","Over 3 km")),"")</f>
        <v>Up to 1.5 km</v>
      </c>
      <c r="BF934" s="33">
        <f>IF(E934=1,IF(ABS((Orders!G931-Orders!F931)*1440-Orders!R931)&lt;0.06,1,0),"")</f>
        <v>1</v>
      </c>
      <c r="BG934" s="33">
        <f>IF(ABS((Orders!F931-Orders!E931)*1440-Orders!P931)&lt;0.06,1,0)</f>
        <v>1</v>
      </c>
      <c r="BH934" s="33">
        <f>IF(E934=1,IF(IF(Orders!S931,1,0)=1-G934,1,0),"")</f>
        <v>1</v>
      </c>
      <c r="BI934" s="32" t="str">
        <f>INDEX(Stores!$B$2:$B$21,MATCH(B934,Stores!$A$2:$A$21,0))</f>
        <v>Pune</v>
      </c>
    </row>
    <row r="935">
      <c r="A935" s="32" t="str">
        <f>Orders!A932</f>
        <v>O00931</v>
      </c>
      <c r="B935" s="32" t="str">
        <f>Orders!C932</f>
        <v>S013</v>
      </c>
      <c r="C935" s="32" t="str">
        <f>Orders!B932</f>
        <v>C0221</v>
      </c>
      <c r="D935" s="32" t="str">
        <f>Orders!H932</f>
        <v>Delivered</v>
      </c>
      <c r="E935" s="33">
        <f>IF(Orders!H932="Delivered",1,0)</f>
        <v>1</v>
      </c>
      <c r="F935" s="34">
        <f>IF(E935=1,Orders!R932,"")</f>
        <v>-1.1</v>
      </c>
      <c r="G935" s="33">
        <f>IF(E935=1,IF(Orders!R932&gt;0,1,0),"")</f>
        <v>0</v>
      </c>
      <c r="H935" s="33">
        <f>IF(E935=1,IF(Orders!R932&gt;5,1,0),"")</f>
        <v>0</v>
      </c>
      <c r="I935" s="32" t="str">
        <f>IF(E935=1,"",IF(OR(Orders!T932="Rider unavailable",Orders!T932="Item unavailable"),"Company-caused","Unresolved"))</f>
        <v/>
      </c>
      <c r="J935" s="33">
        <f>IF(OR(E935=1,I935="Company-caused"),1,0)</f>
        <v>1</v>
      </c>
      <c r="K935" s="32" t="str">
        <f>IF(E935=0,IF(I935="Company-caused",IF(Orders!T932="Rider unavailable","C1 Rider unavailable","C2 Item unavailable"),"Outside root: unresolved"),IF(G935=0,"A On time",IF(H935=1,IF(L935=1,"B2a Severe, peak","B2b Severe, off-peak"),IF(L935=1,"B1a Slight, peak","B1b Slight, off-peak"))))</f>
        <v>A On time</v>
      </c>
      <c r="L935" s="33">
        <f>IF(AND(Orders!U932&gt;=19,Orders!U932&lt;22),1,0)</f>
        <v>0</v>
      </c>
      <c r="M935" s="33">
        <f>IF(L935=IF(Orders!V932,1,0),1,0)</f>
        <v>1</v>
      </c>
      <c r="N935" s="32" t="str">
        <f>IF(Orders!W932="","None",Orders!W932)</f>
        <v>None</v>
      </c>
      <c r="O935" s="35">
        <f>INT(Orders!E932)</f>
        <v>46277.0</v>
      </c>
      <c r="P935" s="33">
        <f>Orders!U932</f>
        <v>17</v>
      </c>
      <c r="Q935" s="33">
        <f>COUNTIFS(Demand!$A$2:$A$4481,B935,Demand!$B$2:$B$4481,O935,Demand!$C$2:$C$4481,P935)</f>
        <v>1</v>
      </c>
      <c r="R935" s="33">
        <f>IF(Q935=1,SUMIFS(Demand!$E$2:$E$4481,Demand!$A$2:$A$4481,B935,Demand!$B$2:$B$4481,O935,Demand!$C$2:$C$4481,P935),"")</f>
        <v>51</v>
      </c>
      <c r="S935" s="33">
        <f>INDEX(Stores!$G$2:$G$21,MATCH(B935,Stores!$A$2:$A$21,0))</f>
        <v>49</v>
      </c>
      <c r="T935" s="34">
        <f>IF(R935="","",R935/S935)</f>
        <v>1.04081632653061</v>
      </c>
      <c r="U935" s="34">
        <f>IF(E935=1,T935,"")</f>
        <v>1.04081632653061</v>
      </c>
      <c r="V935" s="34">
        <f>IF(AND(E935=1,L935=0),T935,"")</f>
        <v>1.04081632653061</v>
      </c>
      <c r="W935" s="33">
        <f>IF(U935="","",IF(U935&lt;=Breakdowns!$C$5,1,IF(U935&lt;=Breakdowns!$C$6,2,IF(U935&lt;=Breakdowns!$C$7,3,4))))</f>
        <v>3</v>
      </c>
      <c r="X935" s="33">
        <f>IF(V935="","",IF(V935&lt;=Breakdowns!$D$5,1,IF(V935&lt;=Breakdowns!$D$6,2,IF(V935&lt;=Breakdowns!$D$7,3,4))))</f>
        <v>3</v>
      </c>
      <c r="Y935" s="34">
        <f>INDEX(Stores!$F$2:$F$21,MATCH(B935,Stores!$A$2:$A$21,0))</f>
        <v>5.82</v>
      </c>
      <c r="Z935" s="33">
        <f>IF(Y935&gt;Store_Summary!$M$2,1,0)</f>
        <v>1</v>
      </c>
      <c r="AA935" s="33">
        <f>INDEX(Stores!$C$2:$C$21,MATCH(B935,Stores!$A$2:$A$21,0))</f>
        <v>705</v>
      </c>
      <c r="AB935" s="33">
        <f>IF(AA935&lt;180,1,0)</f>
        <v>0</v>
      </c>
      <c r="AC935" s="32" t="str">
        <f>IF(Orders!D932="","",INDEX(Riders!$C$2:$C$81,MATCH(Orders!D932,Riders!$A$2:$A$81,0)))</f>
        <v>EV scooter</v>
      </c>
      <c r="AD935" s="33">
        <f>IF(Orders!D932="","",INDEX(Riders!$D$2:$D$81,MATCH(Orders!D932,Riders!$A$2:$A$81,0)))</f>
        <v>38</v>
      </c>
      <c r="AE935" s="33">
        <f>IF(Orders!D932="","",IF(INDEX(Riders!$B$2:$B$81,MATCH(Orders!D932,Riders!$A$2:$A$81,0))=B935,1,0))</f>
        <v>0</v>
      </c>
      <c r="AF935" s="34">
        <f>IF(E935=1,Orders!L932,"")</f>
        <v>1.31</v>
      </c>
      <c r="AG935" s="34">
        <f>IF(E935=1,Orders!P932,"")</f>
        <v>10.7</v>
      </c>
      <c r="AH935" s="34">
        <f>IF(E935=1,Orders!Q932,"")</f>
        <v>9.6</v>
      </c>
      <c r="AI935" s="34">
        <f>IF(E935=1,Orders!M932,"")</f>
        <v>3.6</v>
      </c>
      <c r="AJ935" s="34">
        <f>IF(E935=1,Orders!N932,"")</f>
        <v>4.2</v>
      </c>
      <c r="AK935" s="34">
        <f>IF(E935=1,Orders!O932,"")</f>
        <v>1.8</v>
      </c>
      <c r="AL935" s="33">
        <f>IF(E935=1,IF(ROUND(ABS(AI935+AJ935+AK935-AH935),6)&lt;=0.1,1,0),"")</f>
        <v>1</v>
      </c>
      <c r="AM935" s="36">
        <f>IF(E935=1,AI935/AH935,"")</f>
        <v>0.375</v>
      </c>
      <c r="AN935" s="36">
        <f>IF(E935=1,AJ935/AH935,"")</f>
        <v>0.4375</v>
      </c>
      <c r="AO935" s="36">
        <f>IF(E935=1,AK935/AH935,"")</f>
        <v>0.1875</v>
      </c>
      <c r="AP935" s="34">
        <f>IF(E935=1,Orders!Y932,"")</f>
        <v>0.15</v>
      </c>
      <c r="AQ935" s="33">
        <f>IF(Orders!X932,1,0)</f>
        <v>0</v>
      </c>
      <c r="AR935" s="34" t="str">
        <f>IF(AND(E935=1,L935=1),AJ935,"")</f>
        <v/>
      </c>
      <c r="AS935" s="34">
        <f>IF(AND(E935=1,L935=0),AJ935,"")</f>
        <v>4.2</v>
      </c>
      <c r="AT935" s="34" t="str">
        <f>IF(AND(E935=1,L935=1),AI935,"")</f>
        <v/>
      </c>
      <c r="AU935" s="34">
        <f>IF(AND(E935=1,L935=0),AI935,"")</f>
        <v>3.6</v>
      </c>
      <c r="AV935" s="34" t="str">
        <f>IF(AND(E935=1,L935=1),AG935,"")</f>
        <v/>
      </c>
      <c r="AW935" s="34">
        <f>IF(AND(E935=1,L935=0),AG935,"")</f>
        <v>10.7</v>
      </c>
      <c r="AX935" s="34" t="str">
        <f>IF(AND(E935=1,L935=1),AH935,"")</f>
        <v/>
      </c>
      <c r="AY935" s="34">
        <f>IF(AND(E935=1,L935=0),AH935,"")</f>
        <v>9.6</v>
      </c>
      <c r="AZ935" s="34" t="str">
        <f>IF(G935=1,F935,"")</f>
        <v/>
      </c>
      <c r="BA935" s="34" t="str">
        <f>IF(AND(G935=1,L935=1),F935,"")</f>
        <v/>
      </c>
      <c r="BB935" s="34" t="str">
        <f>IF(AND(G935=1,L935=0),F935,"")</f>
        <v/>
      </c>
      <c r="BC935" s="33">
        <f>IF(E935=1,IF(Orders!R932&gt;3,1,0),"")</f>
        <v>0</v>
      </c>
      <c r="BD935" s="33">
        <f>IF(E935=1,IF(Orders!R932&gt;7,1,0),"")</f>
        <v>0</v>
      </c>
      <c r="BE935" s="32" t="str">
        <f>IF(E935=1,IF(Orders!L932&lt;=1.5,"Up to 1.5 km",IF(Orders!L932&lt;=3,"1.5–3 km","Over 3 km")),"")</f>
        <v>Up to 1.5 km</v>
      </c>
      <c r="BF935" s="33">
        <f>IF(E935=1,IF(ABS((Orders!G932-Orders!F932)*1440-Orders!R932)&lt;0.06,1,0),"")</f>
        <v>1</v>
      </c>
      <c r="BG935" s="33">
        <f>IF(ABS((Orders!F932-Orders!E932)*1440-Orders!P932)&lt;0.06,1,0)</f>
        <v>1</v>
      </c>
      <c r="BH935" s="33">
        <f>IF(E935=1,IF(IF(Orders!S932,1,0)=1-G935,1,0),"")</f>
        <v>1</v>
      </c>
      <c r="BI935" s="32" t="str">
        <f>INDEX(Stores!$B$2:$B$21,MATCH(B935,Stores!$A$2:$A$21,0))</f>
        <v>Mumbai</v>
      </c>
    </row>
    <row r="936">
      <c r="A936" s="32" t="str">
        <f>Orders!A933</f>
        <v>O00932</v>
      </c>
      <c r="B936" s="32" t="str">
        <f>Orders!C933</f>
        <v>S003</v>
      </c>
      <c r="C936" s="32" t="str">
        <f>Orders!B933</f>
        <v>C0129</v>
      </c>
      <c r="D936" s="32" t="str">
        <f>Orders!H933</f>
        <v>Delivered</v>
      </c>
      <c r="E936" s="33">
        <f>IF(Orders!H933="Delivered",1,0)</f>
        <v>1</v>
      </c>
      <c r="F936" s="34">
        <f>IF(E936=1,Orders!R933,"")</f>
        <v>7.7</v>
      </c>
      <c r="G936" s="33">
        <f>IF(E936=1,IF(Orders!R933&gt;0,1,0),"")</f>
        <v>1</v>
      </c>
      <c r="H936" s="33">
        <f>IF(E936=1,IF(Orders!R933&gt;5,1,0),"")</f>
        <v>1</v>
      </c>
      <c r="I936" s="32" t="str">
        <f>IF(E936=1,"",IF(OR(Orders!T933="Rider unavailable",Orders!T933="Item unavailable"),"Company-caused","Unresolved"))</f>
        <v/>
      </c>
      <c r="J936" s="33">
        <f>IF(OR(E936=1,I936="Company-caused"),1,0)</f>
        <v>1</v>
      </c>
      <c r="K936" s="32" t="str">
        <f>IF(E936=0,IF(I936="Company-caused",IF(Orders!T933="Rider unavailable","C1 Rider unavailable","C2 Item unavailable"),"Outside root: unresolved"),IF(G936=0,"A On time",IF(H936=1,IF(L936=1,"B2a Severe, peak","B2b Severe, off-peak"),IF(L936=1,"B1a Slight, peak","B1b Slight, off-peak"))))</f>
        <v>B2b Severe, off-peak</v>
      </c>
      <c r="L936" s="33">
        <f>IF(AND(Orders!U933&gt;=19,Orders!U933&lt;22),1,0)</f>
        <v>0</v>
      </c>
      <c r="M936" s="33">
        <f>IF(L936=IF(Orders!V933,1,0),1,0)</f>
        <v>1</v>
      </c>
      <c r="N936" s="32" t="str">
        <f>IF(Orders!W933="","None",Orders!W933)</f>
        <v>None</v>
      </c>
      <c r="O936" s="35">
        <f>INT(Orders!E933)</f>
        <v>46279.0</v>
      </c>
      <c r="P936" s="33">
        <f>Orders!U933</f>
        <v>11</v>
      </c>
      <c r="Q936" s="33">
        <f>COUNTIFS(Demand!$A$2:$A$4481,B936,Demand!$B$2:$B$4481,O936,Demand!$C$2:$C$4481,P936)</f>
        <v>1</v>
      </c>
      <c r="R936" s="33">
        <f>IF(Q936=1,SUMIFS(Demand!$E$2:$E$4481,Demand!$A$2:$A$4481,B936,Demand!$B$2:$B$4481,O936,Demand!$C$2:$C$4481,P936),"")</f>
        <v>38</v>
      </c>
      <c r="S936" s="33">
        <f>INDEX(Stores!$G$2:$G$21,MATCH(B936,Stores!$A$2:$A$21,0))</f>
        <v>41</v>
      </c>
      <c r="T936" s="34">
        <f>IF(R936="","",R936/S936)</f>
        <v>0.926829268292683</v>
      </c>
      <c r="U936" s="34">
        <f>IF(E936=1,T936,"")</f>
        <v>0.926829268292683</v>
      </c>
      <c r="V936" s="34">
        <f>IF(AND(E936=1,L936=0),T936,"")</f>
        <v>0.926829268292683</v>
      </c>
      <c r="W936" s="33">
        <f>IF(U936="","",IF(U936&lt;=Breakdowns!$C$5,1,IF(U936&lt;=Breakdowns!$C$6,2,IF(U936&lt;=Breakdowns!$C$7,3,4))))</f>
        <v>2</v>
      </c>
      <c r="X936" s="33">
        <f>IF(V936="","",IF(V936&lt;=Breakdowns!$D$5,1,IF(V936&lt;=Breakdowns!$D$6,2,IF(V936&lt;=Breakdowns!$D$7,3,4))))</f>
        <v>3</v>
      </c>
      <c r="Y936" s="34">
        <f>INDEX(Stores!$F$2:$F$21,MATCH(B936,Stores!$A$2:$A$21,0))</f>
        <v>3.84</v>
      </c>
      <c r="Z936" s="33">
        <f>IF(Y936&gt;Store_Summary!$M$2,1,0)</f>
        <v>0</v>
      </c>
      <c r="AA936" s="33">
        <f>INDEX(Stores!$C$2:$C$21,MATCH(B936,Stores!$A$2:$A$21,0))</f>
        <v>426</v>
      </c>
      <c r="AB936" s="33">
        <f>IF(AA936&lt;180,1,0)</f>
        <v>0</v>
      </c>
      <c r="AC936" s="32" t="str">
        <f>IF(Orders!D933="","",INDEX(Riders!$C$2:$C$81,MATCH(Orders!D933,Riders!$A$2:$A$81,0)))</f>
        <v>EV scooter</v>
      </c>
      <c r="AD936" s="33">
        <f>IF(Orders!D933="","",INDEX(Riders!$D$2:$D$81,MATCH(Orders!D933,Riders!$A$2:$A$81,0)))</f>
        <v>38</v>
      </c>
      <c r="AE936" s="33">
        <f>IF(Orders!D933="","",IF(INDEX(Riders!$B$2:$B$81,MATCH(Orders!D933,Riders!$A$2:$A$81,0))=B936,1,0))</f>
        <v>0</v>
      </c>
      <c r="AF936" s="34">
        <f>IF(E936=1,Orders!L933,"")</f>
        <v>1.31</v>
      </c>
      <c r="AG936" s="34">
        <f>IF(E936=1,Orders!P933,"")</f>
        <v>9.9</v>
      </c>
      <c r="AH936" s="34">
        <f>IF(E936=1,Orders!Q933,"")</f>
        <v>17.6</v>
      </c>
      <c r="AI936" s="34">
        <f>IF(E936=1,Orders!M933,"")</f>
        <v>5.8</v>
      </c>
      <c r="AJ936" s="34">
        <f>IF(E936=1,Orders!N933,"")</f>
        <v>7.5</v>
      </c>
      <c r="AK936" s="34">
        <f>IF(E936=1,Orders!O933,"")</f>
        <v>4.4</v>
      </c>
      <c r="AL936" s="33">
        <f>IF(E936=1,IF(ROUND(ABS(AI936+AJ936+AK936-AH936),6)&lt;=0.1,1,0),"")</f>
        <v>1</v>
      </c>
      <c r="AM936" s="36">
        <f>IF(E936=1,AI936/AH936,"")</f>
        <v>0.329545454545455</v>
      </c>
      <c r="AN936" s="36">
        <f>IF(E936=1,AJ936/AH936,"")</f>
        <v>0.426136363636364</v>
      </c>
      <c r="AO936" s="36">
        <f>IF(E936=1,AK936/AH936,"")</f>
        <v>0.25</v>
      </c>
      <c r="AP936" s="34">
        <f>IF(E936=1,Orders!Y933,"")</f>
        <v>0.57</v>
      </c>
      <c r="AQ936" s="33">
        <f>IF(Orders!X933,1,0)</f>
        <v>0</v>
      </c>
      <c r="AR936" s="34" t="str">
        <f>IF(AND(E936=1,L936=1),AJ936,"")</f>
        <v/>
      </c>
      <c r="AS936" s="34">
        <f>IF(AND(E936=1,L936=0),AJ936,"")</f>
        <v>7.5</v>
      </c>
      <c r="AT936" s="34" t="str">
        <f>IF(AND(E936=1,L936=1),AI936,"")</f>
        <v/>
      </c>
      <c r="AU936" s="34">
        <f>IF(AND(E936=1,L936=0),AI936,"")</f>
        <v>5.8</v>
      </c>
      <c r="AV936" s="34" t="str">
        <f>IF(AND(E936=1,L936=1),AG936,"")</f>
        <v/>
      </c>
      <c r="AW936" s="34">
        <f>IF(AND(E936=1,L936=0),AG936,"")</f>
        <v>9.9</v>
      </c>
      <c r="AX936" s="34" t="str">
        <f>IF(AND(E936=1,L936=1),AH936,"")</f>
        <v/>
      </c>
      <c r="AY936" s="34">
        <f>IF(AND(E936=1,L936=0),AH936,"")</f>
        <v>17.6</v>
      </c>
      <c r="AZ936" s="34">
        <f>IF(G936=1,F936,"")</f>
        <v>7.7</v>
      </c>
      <c r="BA936" s="34" t="str">
        <f>IF(AND(G936=1,L936=1),F936,"")</f>
        <v/>
      </c>
      <c r="BB936" s="34">
        <f>IF(AND(G936=1,L936=0),F936,"")</f>
        <v>7.7</v>
      </c>
      <c r="BC936" s="33">
        <f>IF(E936=1,IF(Orders!R933&gt;3,1,0),"")</f>
        <v>1</v>
      </c>
      <c r="BD936" s="33">
        <f>IF(E936=1,IF(Orders!R933&gt;7,1,0),"")</f>
        <v>1</v>
      </c>
      <c r="BE936" s="32" t="str">
        <f>IF(E936=1,IF(Orders!L933&lt;=1.5,"Up to 1.5 km",IF(Orders!L933&lt;=3,"1.5–3 km","Over 3 km")),"")</f>
        <v>Up to 1.5 km</v>
      </c>
      <c r="BF936" s="33">
        <f>IF(E936=1,IF(ABS((Orders!G933-Orders!F933)*1440-Orders!R933)&lt;0.06,1,0),"")</f>
        <v>1</v>
      </c>
      <c r="BG936" s="33">
        <f>IF(ABS((Orders!F933-Orders!E933)*1440-Orders!P933)&lt;0.06,1,0)</f>
        <v>1</v>
      </c>
      <c r="BH936" s="33">
        <f>IF(E936=1,IF(IF(Orders!S933,1,0)=1-G936,1,0),"")</f>
        <v>1</v>
      </c>
      <c r="BI936" s="32" t="str">
        <f>INDEX(Stores!$B$2:$B$21,MATCH(B936,Stores!$A$2:$A$21,0))</f>
        <v>Mumbai</v>
      </c>
    </row>
    <row r="937">
      <c r="A937" s="32" t="str">
        <f>Orders!A934</f>
        <v>O00933</v>
      </c>
      <c r="B937" s="32" t="str">
        <f>Orders!C934</f>
        <v>S007</v>
      </c>
      <c r="C937" s="32" t="str">
        <f>Orders!B934</f>
        <v>C0223</v>
      </c>
      <c r="D937" s="32" t="str">
        <f>Orders!H934</f>
        <v>Delivered</v>
      </c>
      <c r="E937" s="33">
        <f>IF(Orders!H934="Delivered",1,0)</f>
        <v>1</v>
      </c>
      <c r="F937" s="34">
        <f>IF(E937=1,Orders!R934,"")</f>
        <v>7.1</v>
      </c>
      <c r="G937" s="33">
        <f>IF(E937=1,IF(Orders!R934&gt;0,1,0),"")</f>
        <v>1</v>
      </c>
      <c r="H937" s="33">
        <f>IF(E937=1,IF(Orders!R934&gt;5,1,0),"")</f>
        <v>1</v>
      </c>
      <c r="I937" s="32" t="str">
        <f>IF(E937=1,"",IF(OR(Orders!T934="Rider unavailable",Orders!T934="Item unavailable"),"Company-caused","Unresolved"))</f>
        <v/>
      </c>
      <c r="J937" s="33">
        <f>IF(OR(E937=1,I937="Company-caused"),1,0)</f>
        <v>1</v>
      </c>
      <c r="K937" s="32" t="str">
        <f>IF(E937=0,IF(I937="Company-caused",IF(Orders!T934="Rider unavailable","C1 Rider unavailable","C2 Item unavailable"),"Outside root: unresolved"),IF(G937=0,"A On time",IF(H937=1,IF(L937=1,"B2a Severe, peak","B2b Severe, off-peak"),IF(L937=1,"B1a Slight, peak","B1b Slight, off-peak"))))</f>
        <v>B2b Severe, off-peak</v>
      </c>
      <c r="L937" s="33">
        <f>IF(AND(Orders!U934&gt;=19,Orders!U934&lt;22),1,0)</f>
        <v>0</v>
      </c>
      <c r="M937" s="33">
        <f>IF(L937=IF(Orders!V934,1,0),1,0)</f>
        <v>1</v>
      </c>
      <c r="N937" s="32" t="str">
        <f>IF(Orders!W934="","None",Orders!W934)</f>
        <v>None</v>
      </c>
      <c r="O937" s="35">
        <f>INT(Orders!E934)</f>
        <v>46279.0</v>
      </c>
      <c r="P937" s="33">
        <f>Orders!U934</f>
        <v>9</v>
      </c>
      <c r="Q937" s="33">
        <f>COUNTIFS(Demand!$A$2:$A$4481,B937,Demand!$B$2:$B$4481,O937,Demand!$C$2:$C$4481,P937)</f>
        <v>1</v>
      </c>
      <c r="R937" s="33">
        <f>IF(Q937=1,SUMIFS(Demand!$E$2:$E$4481,Demand!$A$2:$A$4481,B937,Demand!$B$2:$B$4481,O937,Demand!$C$2:$C$4481,P937),"")</f>
        <v>28</v>
      </c>
      <c r="S937" s="33">
        <f>INDEX(Stores!$G$2:$G$21,MATCH(B937,Stores!$A$2:$A$21,0))</f>
        <v>37</v>
      </c>
      <c r="T937" s="34">
        <f>IF(R937="","",R937/S937)</f>
        <v>0.756756756756757</v>
      </c>
      <c r="U937" s="34">
        <f>IF(E937=1,T937,"")</f>
        <v>0.756756756756757</v>
      </c>
      <c r="V937" s="34">
        <f>IF(AND(E937=1,L937=0),T937,"")</f>
        <v>0.756756756756757</v>
      </c>
      <c r="W937" s="33">
        <f>IF(U937="","",IF(U937&lt;=Breakdowns!$C$5,1,IF(U937&lt;=Breakdowns!$C$6,2,IF(U937&lt;=Breakdowns!$C$7,3,4))))</f>
        <v>1</v>
      </c>
      <c r="X937" s="33">
        <f>IF(V937="","",IF(V937&lt;=Breakdowns!$D$5,1,IF(V937&lt;=Breakdowns!$D$6,2,IF(V937&lt;=Breakdowns!$D$7,3,4))))</f>
        <v>2</v>
      </c>
      <c r="Y937" s="34">
        <f>INDEX(Stores!$F$2:$F$21,MATCH(B937,Stores!$A$2:$A$21,0))</f>
        <v>4.05</v>
      </c>
      <c r="Z937" s="33">
        <f>IF(Y937&gt;Store_Summary!$M$2,1,0)</f>
        <v>0</v>
      </c>
      <c r="AA937" s="33">
        <f>INDEX(Stores!$C$2:$C$21,MATCH(B937,Stores!$A$2:$A$21,0))</f>
        <v>661</v>
      </c>
      <c r="AB937" s="33">
        <f>IF(AA937&lt;180,1,0)</f>
        <v>0</v>
      </c>
      <c r="AC937" s="32" t="str">
        <f>IF(Orders!D934="","",INDEX(Riders!$C$2:$C$81,MATCH(Orders!D934,Riders!$A$2:$A$81,0)))</f>
        <v>Petrol scooter</v>
      </c>
      <c r="AD937" s="33">
        <f>IF(Orders!D934="","",INDEX(Riders!$D$2:$D$81,MATCH(Orders!D934,Riders!$A$2:$A$81,0)))</f>
        <v>29</v>
      </c>
      <c r="AE937" s="33">
        <f>IF(Orders!D934="","",IF(INDEX(Riders!$B$2:$B$81,MATCH(Orders!D934,Riders!$A$2:$A$81,0))=B937,1,0))</f>
        <v>0</v>
      </c>
      <c r="AF937" s="34">
        <f>IF(E937=1,Orders!L934,"")</f>
        <v>0.97</v>
      </c>
      <c r="AG937" s="34">
        <f>IF(E937=1,Orders!P934,"")</f>
        <v>9.6</v>
      </c>
      <c r="AH937" s="34">
        <f>IF(E937=1,Orders!Q934,"")</f>
        <v>16.7</v>
      </c>
      <c r="AI937" s="34">
        <f>IF(E937=1,Orders!M934,"")</f>
        <v>5.1</v>
      </c>
      <c r="AJ937" s="34">
        <f>IF(E937=1,Orders!N934,"")</f>
        <v>7.9</v>
      </c>
      <c r="AK937" s="34">
        <f>IF(E937=1,Orders!O934,"")</f>
        <v>3.8</v>
      </c>
      <c r="AL937" s="33">
        <f>IF(E937=1,IF(ROUND(ABS(AI937+AJ937+AK937-AH937),6)&lt;=0.1,1,0),"")</f>
        <v>1</v>
      </c>
      <c r="AM937" s="36">
        <f>IF(E937=1,AI937/AH937,"")</f>
        <v>0.305389221556886</v>
      </c>
      <c r="AN937" s="36">
        <f>IF(E937=1,AJ937/AH937,"")</f>
        <v>0.473053892215569</v>
      </c>
      <c r="AO937" s="36">
        <f>IF(E937=1,AK937/AH937,"")</f>
        <v>0.227544910179641</v>
      </c>
      <c r="AP937" s="34">
        <f>IF(E937=1,Orders!Y934,"")</f>
        <v>0.58</v>
      </c>
      <c r="AQ937" s="33">
        <f>IF(Orders!X934,1,0)</f>
        <v>0</v>
      </c>
      <c r="AR937" s="34" t="str">
        <f>IF(AND(E937=1,L937=1),AJ937,"")</f>
        <v/>
      </c>
      <c r="AS937" s="34">
        <f>IF(AND(E937=1,L937=0),AJ937,"")</f>
        <v>7.9</v>
      </c>
      <c r="AT937" s="34" t="str">
        <f>IF(AND(E937=1,L937=1),AI937,"")</f>
        <v/>
      </c>
      <c r="AU937" s="34">
        <f>IF(AND(E937=1,L937=0),AI937,"")</f>
        <v>5.1</v>
      </c>
      <c r="AV937" s="34" t="str">
        <f>IF(AND(E937=1,L937=1),AG937,"")</f>
        <v/>
      </c>
      <c r="AW937" s="34">
        <f>IF(AND(E937=1,L937=0),AG937,"")</f>
        <v>9.6</v>
      </c>
      <c r="AX937" s="34" t="str">
        <f>IF(AND(E937=1,L937=1),AH937,"")</f>
        <v/>
      </c>
      <c r="AY937" s="34">
        <f>IF(AND(E937=1,L937=0),AH937,"")</f>
        <v>16.7</v>
      </c>
      <c r="AZ937" s="34">
        <f>IF(G937=1,F937,"")</f>
        <v>7.1</v>
      </c>
      <c r="BA937" s="34" t="str">
        <f>IF(AND(G937=1,L937=1),F937,"")</f>
        <v/>
      </c>
      <c r="BB937" s="34">
        <f>IF(AND(G937=1,L937=0),F937,"")</f>
        <v>7.1</v>
      </c>
      <c r="BC937" s="33">
        <f>IF(E937=1,IF(Orders!R934&gt;3,1,0),"")</f>
        <v>1</v>
      </c>
      <c r="BD937" s="33">
        <f>IF(E937=1,IF(Orders!R934&gt;7,1,0),"")</f>
        <v>1</v>
      </c>
      <c r="BE937" s="32" t="str">
        <f>IF(E937=1,IF(Orders!L934&lt;=1.5,"Up to 1.5 km",IF(Orders!L934&lt;=3,"1.5–3 km","Over 3 km")),"")</f>
        <v>Up to 1.5 km</v>
      </c>
      <c r="BF937" s="33">
        <f>IF(E937=1,IF(ABS((Orders!G934-Orders!F934)*1440-Orders!R934)&lt;0.06,1,0),"")</f>
        <v>1</v>
      </c>
      <c r="BG937" s="33">
        <f>IF(ABS((Orders!F934-Orders!E934)*1440-Orders!P934)&lt;0.06,1,0)</f>
        <v>1</v>
      </c>
      <c r="BH937" s="33">
        <f>IF(E937=1,IF(IF(Orders!S934,1,0)=1-G937,1,0),"")</f>
        <v>1</v>
      </c>
      <c r="BI937" s="32" t="str">
        <f>INDEX(Stores!$B$2:$B$21,MATCH(B937,Stores!$A$2:$A$21,0))</f>
        <v>Hyderabad</v>
      </c>
    </row>
    <row r="938">
      <c r="A938" s="32" t="str">
        <f>Orders!A935</f>
        <v>O00934</v>
      </c>
      <c r="B938" s="32" t="str">
        <f>Orders!C935</f>
        <v>S013</v>
      </c>
      <c r="C938" s="32" t="str">
        <f>Orders!B935</f>
        <v>C0243</v>
      </c>
      <c r="D938" s="32" t="str">
        <f>Orders!H935</f>
        <v>Delivered</v>
      </c>
      <c r="E938" s="33">
        <f>IF(Orders!H935="Delivered",1,0)</f>
        <v>1</v>
      </c>
      <c r="F938" s="34">
        <f>IF(E938=1,Orders!R935,"")</f>
        <v>-0.4</v>
      </c>
      <c r="G938" s="33">
        <f>IF(E938=1,IF(Orders!R935&gt;0,1,0),"")</f>
        <v>0</v>
      </c>
      <c r="H938" s="33">
        <f>IF(E938=1,IF(Orders!R935&gt;5,1,0),"")</f>
        <v>0</v>
      </c>
      <c r="I938" s="32" t="str">
        <f>IF(E938=1,"",IF(OR(Orders!T935="Rider unavailable",Orders!T935="Item unavailable"),"Company-caused","Unresolved"))</f>
        <v/>
      </c>
      <c r="J938" s="33">
        <f>IF(OR(E938=1,I938="Company-caused"),1,0)</f>
        <v>1</v>
      </c>
      <c r="K938" s="32" t="str">
        <f>IF(E938=0,IF(I938="Company-caused",IF(Orders!T935="Rider unavailable","C1 Rider unavailable","C2 Item unavailable"),"Outside root: unresolved"),IF(G938=0,"A On time",IF(H938=1,IF(L938=1,"B2a Severe, peak","B2b Severe, off-peak"),IF(L938=1,"B1a Slight, peak","B1b Slight, off-peak"))))</f>
        <v>A On time</v>
      </c>
      <c r="L938" s="33">
        <f>IF(AND(Orders!U935&gt;=19,Orders!U935&lt;22),1,0)</f>
        <v>0</v>
      </c>
      <c r="M938" s="33">
        <f>IF(L938=IF(Orders!V935,1,0),1,0)</f>
        <v>1</v>
      </c>
      <c r="N938" s="32" t="str">
        <f>IF(Orders!W935="","None",Orders!W935)</f>
        <v>Heavy</v>
      </c>
      <c r="O938" s="35">
        <f>INT(Orders!E935)</f>
        <v>46277.0</v>
      </c>
      <c r="P938" s="33">
        <f>Orders!U935</f>
        <v>9</v>
      </c>
      <c r="Q938" s="33">
        <f>COUNTIFS(Demand!$A$2:$A$4481,B938,Demand!$B$2:$B$4481,O938,Demand!$C$2:$C$4481,P938)</f>
        <v>1</v>
      </c>
      <c r="R938" s="33">
        <f>IF(Q938=1,SUMIFS(Demand!$E$2:$E$4481,Demand!$A$2:$A$4481,B938,Demand!$B$2:$B$4481,O938,Demand!$C$2:$C$4481,P938),"")</f>
        <v>34</v>
      </c>
      <c r="S938" s="33">
        <f>INDEX(Stores!$G$2:$G$21,MATCH(B938,Stores!$A$2:$A$21,0))</f>
        <v>49</v>
      </c>
      <c r="T938" s="34">
        <f>IF(R938="","",R938/S938)</f>
        <v>0.693877551020408</v>
      </c>
      <c r="U938" s="34">
        <f>IF(E938=1,T938,"")</f>
        <v>0.693877551020408</v>
      </c>
      <c r="V938" s="34">
        <f>IF(AND(E938=1,L938=0),T938,"")</f>
        <v>0.693877551020408</v>
      </c>
      <c r="W938" s="33">
        <f>IF(U938="","",IF(U938&lt;=Breakdowns!$C$5,1,IF(U938&lt;=Breakdowns!$C$6,2,IF(U938&lt;=Breakdowns!$C$7,3,4))))</f>
        <v>1</v>
      </c>
      <c r="X938" s="33">
        <f>IF(V938="","",IF(V938&lt;=Breakdowns!$D$5,1,IF(V938&lt;=Breakdowns!$D$6,2,IF(V938&lt;=Breakdowns!$D$7,3,4))))</f>
        <v>1</v>
      </c>
      <c r="Y938" s="34">
        <f>INDEX(Stores!$F$2:$F$21,MATCH(B938,Stores!$A$2:$A$21,0))</f>
        <v>5.82</v>
      </c>
      <c r="Z938" s="33">
        <f>IF(Y938&gt;Store_Summary!$M$2,1,0)</f>
        <v>1</v>
      </c>
      <c r="AA938" s="33">
        <f>INDEX(Stores!$C$2:$C$21,MATCH(B938,Stores!$A$2:$A$21,0))</f>
        <v>705</v>
      </c>
      <c r="AB938" s="33">
        <f>IF(AA938&lt;180,1,0)</f>
        <v>0</v>
      </c>
      <c r="AC938" s="32" t="str">
        <f>IF(Orders!D935="","",INDEX(Riders!$C$2:$C$81,MATCH(Orders!D935,Riders!$A$2:$A$81,0)))</f>
        <v>Petrol scooter</v>
      </c>
      <c r="AD938" s="33">
        <f>IF(Orders!D935="","",INDEX(Riders!$D$2:$D$81,MATCH(Orders!D935,Riders!$A$2:$A$81,0)))</f>
        <v>29</v>
      </c>
      <c r="AE938" s="33">
        <f>IF(Orders!D935="","",IF(INDEX(Riders!$B$2:$B$81,MATCH(Orders!D935,Riders!$A$2:$A$81,0))=B938,1,0))</f>
        <v>0</v>
      </c>
      <c r="AF938" s="34">
        <f>IF(E938=1,Orders!L935,"")</f>
        <v>2.64</v>
      </c>
      <c r="AG938" s="34">
        <f>IF(E938=1,Orders!P935,"")</f>
        <v>11.4</v>
      </c>
      <c r="AH938" s="34">
        <f>IF(E938=1,Orders!Q935,"")</f>
        <v>11</v>
      </c>
      <c r="AI938" s="34">
        <f>IF(E938=1,Orders!M935,"")</f>
        <v>4.1</v>
      </c>
      <c r="AJ938" s="34">
        <f>IF(E938=1,Orders!N935,"")</f>
        <v>0.7</v>
      </c>
      <c r="AK938" s="34">
        <f>IF(E938=1,Orders!O935,"")</f>
        <v>6.2</v>
      </c>
      <c r="AL938" s="33">
        <f>IF(E938=1,IF(ROUND(ABS(AI938+AJ938+AK938-AH938),6)&lt;=0.1,1,0),"")</f>
        <v>1</v>
      </c>
      <c r="AM938" s="36">
        <f>IF(E938=1,AI938/AH938,"")</f>
        <v>0.372727272727273</v>
      </c>
      <c r="AN938" s="36">
        <f>IF(E938=1,AJ938/AH938,"")</f>
        <v>0.0636363636363636</v>
      </c>
      <c r="AO938" s="36">
        <f>IF(E938=1,AK938/AH938,"")</f>
        <v>0.563636363636364</v>
      </c>
      <c r="AP938" s="34">
        <f>IF(E938=1,Orders!Y935,"")</f>
        <v>0.7</v>
      </c>
      <c r="AQ938" s="33">
        <f>IF(Orders!X935,1,0)</f>
        <v>0</v>
      </c>
      <c r="AR938" s="34" t="str">
        <f>IF(AND(E938=1,L938=1),AJ938,"")</f>
        <v/>
      </c>
      <c r="AS938" s="34">
        <f>IF(AND(E938=1,L938=0),AJ938,"")</f>
        <v>0.7</v>
      </c>
      <c r="AT938" s="34" t="str">
        <f>IF(AND(E938=1,L938=1),AI938,"")</f>
        <v/>
      </c>
      <c r="AU938" s="34">
        <f>IF(AND(E938=1,L938=0),AI938,"")</f>
        <v>4.1</v>
      </c>
      <c r="AV938" s="34" t="str">
        <f>IF(AND(E938=1,L938=1),AG938,"")</f>
        <v/>
      </c>
      <c r="AW938" s="34">
        <f>IF(AND(E938=1,L938=0),AG938,"")</f>
        <v>11.4</v>
      </c>
      <c r="AX938" s="34" t="str">
        <f>IF(AND(E938=1,L938=1),AH938,"")</f>
        <v/>
      </c>
      <c r="AY938" s="34">
        <f>IF(AND(E938=1,L938=0),AH938,"")</f>
        <v>11</v>
      </c>
      <c r="AZ938" s="34" t="str">
        <f>IF(G938=1,F938,"")</f>
        <v/>
      </c>
      <c r="BA938" s="34" t="str">
        <f>IF(AND(G938=1,L938=1),F938,"")</f>
        <v/>
      </c>
      <c r="BB938" s="34" t="str">
        <f>IF(AND(G938=1,L938=0),F938,"")</f>
        <v/>
      </c>
      <c r="BC938" s="33">
        <f>IF(E938=1,IF(Orders!R935&gt;3,1,0),"")</f>
        <v>0</v>
      </c>
      <c r="BD938" s="33">
        <f>IF(E938=1,IF(Orders!R935&gt;7,1,0),"")</f>
        <v>0</v>
      </c>
      <c r="BE938" s="32" t="str">
        <f>IF(E938=1,IF(Orders!L935&lt;=1.5,"Up to 1.5 km",IF(Orders!L935&lt;=3,"1.5–3 km","Over 3 km")),"")</f>
        <v>1.5–3 km</v>
      </c>
      <c r="BF938" s="33">
        <f>IF(E938=1,IF(ABS((Orders!G935-Orders!F935)*1440-Orders!R935)&lt;0.06,1,0),"")</f>
        <v>1</v>
      </c>
      <c r="BG938" s="33">
        <f>IF(ABS((Orders!F935-Orders!E935)*1440-Orders!P935)&lt;0.06,1,0)</f>
        <v>1</v>
      </c>
      <c r="BH938" s="33">
        <f>IF(E938=1,IF(IF(Orders!S935,1,0)=1-G938,1,0),"")</f>
        <v>1</v>
      </c>
      <c r="BI938" s="32" t="str">
        <f>INDEX(Stores!$B$2:$B$21,MATCH(B938,Stores!$A$2:$A$21,0))</f>
        <v>Mumbai</v>
      </c>
    </row>
    <row r="939">
      <c r="A939" s="32" t="str">
        <f>Orders!A936</f>
        <v>O00935</v>
      </c>
      <c r="B939" s="32" t="str">
        <f>Orders!C936</f>
        <v>S018</v>
      </c>
      <c r="C939" s="32" t="str">
        <f>Orders!B936</f>
        <v>C0126</v>
      </c>
      <c r="D939" s="32" t="str">
        <f>Orders!H936</f>
        <v>Delivered</v>
      </c>
      <c r="E939" s="33">
        <f>IF(Orders!H936="Delivered",1,0)</f>
        <v>1</v>
      </c>
      <c r="F939" s="34">
        <f>IF(E939=1,Orders!R936,"")</f>
        <v>-0.3</v>
      </c>
      <c r="G939" s="33">
        <f>IF(E939=1,IF(Orders!R936&gt;0,1,0),"")</f>
        <v>0</v>
      </c>
      <c r="H939" s="33">
        <f>IF(E939=1,IF(Orders!R936&gt;5,1,0),"")</f>
        <v>0</v>
      </c>
      <c r="I939" s="32" t="str">
        <f>IF(E939=1,"",IF(OR(Orders!T936="Rider unavailable",Orders!T936="Item unavailable"),"Company-caused","Unresolved"))</f>
        <v/>
      </c>
      <c r="J939" s="33">
        <f>IF(OR(E939=1,I939="Company-caused"),1,0)</f>
        <v>1</v>
      </c>
      <c r="K939" s="32" t="str">
        <f>IF(E939=0,IF(I939="Company-caused",IF(Orders!T936="Rider unavailable","C1 Rider unavailable","C2 Item unavailable"),"Outside root: unresolved"),IF(G939=0,"A On time",IF(H939=1,IF(L939=1,"B2a Severe, peak","B2b Severe, off-peak"),IF(L939=1,"B1a Slight, peak","B1b Slight, off-peak"))))</f>
        <v>A On time</v>
      </c>
      <c r="L939" s="33">
        <f>IF(AND(Orders!U936&gt;=19,Orders!U936&lt;22),1,0)</f>
        <v>0</v>
      </c>
      <c r="M939" s="33">
        <f>IF(L939=IF(Orders!V936,1,0),1,0)</f>
        <v>1</v>
      </c>
      <c r="N939" s="32" t="str">
        <f>IF(Orders!W936="","None",Orders!W936)</f>
        <v>None</v>
      </c>
      <c r="O939" s="35">
        <f>INT(Orders!E936)</f>
        <v>46268.0</v>
      </c>
      <c r="P939" s="33">
        <f>Orders!U936</f>
        <v>18</v>
      </c>
      <c r="Q939" s="33">
        <f>COUNTIFS(Demand!$A$2:$A$4481,B939,Demand!$B$2:$B$4481,O939,Demand!$C$2:$C$4481,P939)</f>
        <v>1</v>
      </c>
      <c r="R939" s="33">
        <f>IF(Q939=1,SUMIFS(Demand!$E$2:$E$4481,Demand!$A$2:$A$4481,B939,Demand!$B$2:$B$4481,O939,Demand!$C$2:$C$4481,P939),"")</f>
        <v>17</v>
      </c>
      <c r="S939" s="33">
        <f>INDEX(Stores!$G$2:$G$21,MATCH(B939,Stores!$A$2:$A$21,0))</f>
        <v>20</v>
      </c>
      <c r="T939" s="34">
        <f>IF(R939="","",R939/S939)</f>
        <v>0.85</v>
      </c>
      <c r="U939" s="34">
        <f>IF(E939=1,T939,"")</f>
        <v>0.85</v>
      </c>
      <c r="V939" s="34">
        <f>IF(AND(E939=1,L939=0),T939,"")</f>
        <v>0.85</v>
      </c>
      <c r="W939" s="33">
        <f>IF(U939="","",IF(U939&lt;=Breakdowns!$C$5,1,IF(U939&lt;=Breakdowns!$C$6,2,IF(U939&lt;=Breakdowns!$C$7,3,4))))</f>
        <v>2</v>
      </c>
      <c r="X939" s="33">
        <f>IF(V939="","",IF(V939&lt;=Breakdowns!$D$5,1,IF(V939&lt;=Breakdowns!$D$6,2,IF(V939&lt;=Breakdowns!$D$7,3,4))))</f>
        <v>2</v>
      </c>
      <c r="Y939" s="34">
        <f>INDEX(Stores!$F$2:$F$21,MATCH(B939,Stores!$A$2:$A$21,0))</f>
        <v>5.31</v>
      </c>
      <c r="Z939" s="33">
        <f>IF(Y939&gt;Store_Summary!$M$2,1,0)</f>
        <v>1</v>
      </c>
      <c r="AA939" s="33">
        <f>INDEX(Stores!$C$2:$C$21,MATCH(B939,Stores!$A$2:$A$21,0))</f>
        <v>214</v>
      </c>
      <c r="AB939" s="33">
        <f>IF(AA939&lt;180,1,0)</f>
        <v>0</v>
      </c>
      <c r="AC939" s="32" t="str">
        <f>IF(Orders!D936="","",INDEX(Riders!$C$2:$C$81,MATCH(Orders!D936,Riders!$A$2:$A$81,0)))</f>
        <v>EV scooter</v>
      </c>
      <c r="AD939" s="33">
        <f>IF(Orders!D936="","",INDEX(Riders!$D$2:$D$81,MATCH(Orders!D936,Riders!$A$2:$A$81,0)))</f>
        <v>37</v>
      </c>
      <c r="AE939" s="33">
        <f>IF(Orders!D936="","",IF(INDEX(Riders!$B$2:$B$81,MATCH(Orders!D936,Riders!$A$2:$A$81,0))=B939,1,0))</f>
        <v>0</v>
      </c>
      <c r="AF939" s="34">
        <f>IF(E939=1,Orders!L936,"")</f>
        <v>0.5</v>
      </c>
      <c r="AG939" s="34">
        <f>IF(E939=1,Orders!P936,"")</f>
        <v>8.4</v>
      </c>
      <c r="AH939" s="34">
        <f>IF(E939=1,Orders!Q936,"")</f>
        <v>8.1</v>
      </c>
      <c r="AI939" s="34">
        <f>IF(E939=1,Orders!M936,"")</f>
        <v>4.7</v>
      </c>
      <c r="AJ939" s="34">
        <f>IF(E939=1,Orders!N936,"")</f>
        <v>1.2</v>
      </c>
      <c r="AK939" s="34">
        <f>IF(E939=1,Orders!O936,"")</f>
        <v>2.2</v>
      </c>
      <c r="AL939" s="33">
        <f>IF(E939=1,IF(ROUND(ABS(AI939+AJ939+AK939-AH939),6)&lt;=0.1,1,0),"")</f>
        <v>1</v>
      </c>
      <c r="AM939" s="36">
        <f>IF(E939=1,AI939/AH939,"")</f>
        <v>0.580246913580247</v>
      </c>
      <c r="AN939" s="36">
        <f>IF(E939=1,AJ939/AH939,"")</f>
        <v>0.148148148148148</v>
      </c>
      <c r="AO939" s="36">
        <f>IF(E939=1,AK939/AH939,"")</f>
        <v>0.271604938271605</v>
      </c>
      <c r="AP939" s="34">
        <f>IF(E939=1,Orders!Y936,"")</f>
        <v>0.48</v>
      </c>
      <c r="AQ939" s="33">
        <f>IF(Orders!X936,1,0)</f>
        <v>0</v>
      </c>
      <c r="AR939" s="34" t="str">
        <f>IF(AND(E939=1,L939=1),AJ939,"")</f>
        <v/>
      </c>
      <c r="AS939" s="34">
        <f>IF(AND(E939=1,L939=0),AJ939,"")</f>
        <v>1.2</v>
      </c>
      <c r="AT939" s="34" t="str">
        <f>IF(AND(E939=1,L939=1),AI939,"")</f>
        <v/>
      </c>
      <c r="AU939" s="34">
        <f>IF(AND(E939=1,L939=0),AI939,"")</f>
        <v>4.7</v>
      </c>
      <c r="AV939" s="34" t="str">
        <f>IF(AND(E939=1,L939=1),AG939,"")</f>
        <v/>
      </c>
      <c r="AW939" s="34">
        <f>IF(AND(E939=1,L939=0),AG939,"")</f>
        <v>8.4</v>
      </c>
      <c r="AX939" s="34" t="str">
        <f>IF(AND(E939=1,L939=1),AH939,"")</f>
        <v/>
      </c>
      <c r="AY939" s="34">
        <f>IF(AND(E939=1,L939=0),AH939,"")</f>
        <v>8.1</v>
      </c>
      <c r="AZ939" s="34" t="str">
        <f>IF(G939=1,F939,"")</f>
        <v/>
      </c>
      <c r="BA939" s="34" t="str">
        <f>IF(AND(G939=1,L939=1),F939,"")</f>
        <v/>
      </c>
      <c r="BB939" s="34" t="str">
        <f>IF(AND(G939=1,L939=0),F939,"")</f>
        <v/>
      </c>
      <c r="BC939" s="33">
        <f>IF(E939=1,IF(Orders!R936&gt;3,1,0),"")</f>
        <v>0</v>
      </c>
      <c r="BD939" s="33">
        <f>IF(E939=1,IF(Orders!R936&gt;7,1,0),"")</f>
        <v>0</v>
      </c>
      <c r="BE939" s="32" t="str">
        <f>IF(E939=1,IF(Orders!L936&lt;=1.5,"Up to 1.5 km",IF(Orders!L936&lt;=3,"1.5–3 km","Over 3 km")),"")</f>
        <v>Up to 1.5 km</v>
      </c>
      <c r="BF939" s="33">
        <f>IF(E939=1,IF(ABS((Orders!G936-Orders!F936)*1440-Orders!R936)&lt;0.06,1,0),"")</f>
        <v>1</v>
      </c>
      <c r="BG939" s="33">
        <f>IF(ABS((Orders!F936-Orders!E936)*1440-Orders!P936)&lt;0.06,1,0)</f>
        <v>1</v>
      </c>
      <c r="BH939" s="33">
        <f>IF(E939=1,IF(IF(Orders!S936,1,0)=1-G939,1,0),"")</f>
        <v>1</v>
      </c>
      <c r="BI939" s="32" t="str">
        <f>INDEX(Stores!$B$2:$B$21,MATCH(B939,Stores!$A$2:$A$21,0))</f>
        <v>Mumbai</v>
      </c>
    </row>
    <row r="940">
      <c r="A940" s="32" t="str">
        <f>Orders!A937</f>
        <v>O00936</v>
      </c>
      <c r="B940" s="32" t="str">
        <f>Orders!C937</f>
        <v>S005</v>
      </c>
      <c r="C940" s="32" t="str">
        <f>Orders!B937</f>
        <v>C0198</v>
      </c>
      <c r="D940" s="32" t="str">
        <f>Orders!H937</f>
        <v>Delivered</v>
      </c>
      <c r="E940" s="33">
        <f>IF(Orders!H937="Delivered",1,0)</f>
        <v>1</v>
      </c>
      <c r="F940" s="34">
        <f>IF(E940=1,Orders!R937,"")</f>
        <v>-0.9</v>
      </c>
      <c r="G940" s="33">
        <f>IF(E940=1,IF(Orders!R937&gt;0,1,0),"")</f>
        <v>0</v>
      </c>
      <c r="H940" s="33">
        <f>IF(E940=1,IF(Orders!R937&gt;5,1,0),"")</f>
        <v>0</v>
      </c>
      <c r="I940" s="32" t="str">
        <f>IF(E940=1,"",IF(OR(Orders!T937="Rider unavailable",Orders!T937="Item unavailable"),"Company-caused","Unresolved"))</f>
        <v/>
      </c>
      <c r="J940" s="33">
        <f>IF(OR(E940=1,I940="Company-caused"),1,0)</f>
        <v>1</v>
      </c>
      <c r="K940" s="32" t="str">
        <f>IF(E940=0,IF(I940="Company-caused",IF(Orders!T937="Rider unavailable","C1 Rider unavailable","C2 Item unavailable"),"Outside root: unresolved"),IF(G940=0,"A On time",IF(H940=1,IF(L940=1,"B2a Severe, peak","B2b Severe, off-peak"),IF(L940=1,"B1a Slight, peak","B1b Slight, off-peak"))))</f>
        <v>A On time</v>
      </c>
      <c r="L940" s="33">
        <f>IF(AND(Orders!U937&gt;=19,Orders!U937&lt;22),1,0)</f>
        <v>1</v>
      </c>
      <c r="M940" s="33">
        <f>IF(L940=IF(Orders!V937,1,0),1,0)</f>
        <v>1</v>
      </c>
      <c r="N940" s="32" t="str">
        <f>IF(Orders!W937="","None",Orders!W937)</f>
        <v>None</v>
      </c>
      <c r="O940" s="35">
        <f>INT(Orders!E937)</f>
        <v>46277.0</v>
      </c>
      <c r="P940" s="33">
        <f>Orders!U937</f>
        <v>20</v>
      </c>
      <c r="Q940" s="33">
        <f>COUNTIFS(Demand!$A$2:$A$4481,B940,Demand!$B$2:$B$4481,O940,Demand!$C$2:$C$4481,P940)</f>
        <v>1</v>
      </c>
      <c r="R940" s="33">
        <f>IF(Q940=1,SUMIFS(Demand!$E$2:$E$4481,Demand!$A$2:$A$4481,B940,Demand!$B$2:$B$4481,O940,Demand!$C$2:$C$4481,P940),"")</f>
        <v>16</v>
      </c>
      <c r="S940" s="33">
        <f>INDEX(Stores!$G$2:$G$21,MATCH(B940,Stores!$A$2:$A$21,0))</f>
        <v>14</v>
      </c>
      <c r="T940" s="34">
        <f>IF(R940="","",R940/S940)</f>
        <v>1.14285714285714</v>
      </c>
      <c r="U940" s="34">
        <f>IF(E940=1,T940,"")</f>
        <v>1.14285714285714</v>
      </c>
      <c r="V940" s="34" t="str">
        <f>IF(AND(E940=1,L940=0),T940,"")</f>
        <v/>
      </c>
      <c r="W940" s="33">
        <f>IF(U940="","",IF(U940&lt;=Breakdowns!$C$5,1,IF(U940&lt;=Breakdowns!$C$6,2,IF(U940&lt;=Breakdowns!$C$7,3,4))))</f>
        <v>3</v>
      </c>
      <c r="X940" s="33" t="str">
        <f>IF(V940="","",IF(V940&lt;=Breakdowns!$D$5,1,IF(V940&lt;=Breakdowns!$D$6,2,IF(V940&lt;=Breakdowns!$D$7,3,4))))</f>
        <v/>
      </c>
      <c r="Y940" s="34">
        <f>INDEX(Stores!$F$2:$F$21,MATCH(B940,Stores!$A$2:$A$21,0))</f>
        <v>4.89</v>
      </c>
      <c r="Z940" s="33">
        <f>IF(Y940&gt;Store_Summary!$M$2,1,0)</f>
        <v>0</v>
      </c>
      <c r="AA940" s="33">
        <f>INDEX(Stores!$C$2:$C$21,MATCH(B940,Stores!$A$2:$A$21,0))</f>
        <v>138</v>
      </c>
      <c r="AB940" s="33">
        <f>IF(AA940&lt;180,1,0)</f>
        <v>1</v>
      </c>
      <c r="AC940" s="32" t="str">
        <f>IF(Orders!D937="","",INDEX(Riders!$C$2:$C$81,MATCH(Orders!D937,Riders!$A$2:$A$81,0)))</f>
        <v>Petrol scooter</v>
      </c>
      <c r="AD940" s="33">
        <f>IF(Orders!D937="","",INDEX(Riders!$D$2:$D$81,MATCH(Orders!D937,Riders!$A$2:$A$81,0)))</f>
        <v>29</v>
      </c>
      <c r="AE940" s="33">
        <f>IF(Orders!D937="","",IF(INDEX(Riders!$B$2:$B$81,MATCH(Orders!D937,Riders!$A$2:$A$81,0))=B940,1,0))</f>
        <v>0</v>
      </c>
      <c r="AF940" s="34">
        <f>IF(E940=1,Orders!L937,"")</f>
        <v>3.3</v>
      </c>
      <c r="AG940" s="34">
        <f>IF(E940=1,Orders!P937,"")</f>
        <v>9</v>
      </c>
      <c r="AH940" s="34">
        <f>IF(E940=1,Orders!Q937,"")</f>
        <v>8.1</v>
      </c>
      <c r="AI940" s="34">
        <f>IF(E940=1,Orders!M937,"")</f>
        <v>2.4</v>
      </c>
      <c r="AJ940" s="34">
        <f>IF(E940=1,Orders!N937,"")</f>
        <v>2.9</v>
      </c>
      <c r="AK940" s="34">
        <f>IF(E940=1,Orders!O937,"")</f>
        <v>2.8</v>
      </c>
      <c r="AL940" s="33">
        <f>IF(E940=1,IF(ROUND(ABS(AI940+AJ940+AK940-AH940),6)&lt;=0.1,1,0),"")</f>
        <v>1</v>
      </c>
      <c r="AM940" s="36">
        <f>IF(E940=1,AI940/AH940,"")</f>
        <v>0.296296296296296</v>
      </c>
      <c r="AN940" s="36">
        <f>IF(E940=1,AJ940/AH940,"")</f>
        <v>0.358024691358025</v>
      </c>
      <c r="AO940" s="36">
        <f>IF(E940=1,AK940/AH940,"")</f>
        <v>0.345679012345679</v>
      </c>
      <c r="AP940" s="34">
        <f>IF(E940=1,Orders!Y937,"")</f>
        <v>0.62</v>
      </c>
      <c r="AQ940" s="33">
        <f>IF(Orders!X937,1,0)</f>
        <v>0</v>
      </c>
      <c r="AR940" s="34">
        <f>IF(AND(E940=1,L940=1),AJ940,"")</f>
        <v>2.9</v>
      </c>
      <c r="AS940" s="34" t="str">
        <f>IF(AND(E940=1,L940=0),AJ940,"")</f>
        <v/>
      </c>
      <c r="AT940" s="34">
        <f>IF(AND(E940=1,L940=1),AI940,"")</f>
        <v>2.4</v>
      </c>
      <c r="AU940" s="34" t="str">
        <f>IF(AND(E940=1,L940=0),AI940,"")</f>
        <v/>
      </c>
      <c r="AV940" s="34">
        <f>IF(AND(E940=1,L940=1),AG940,"")</f>
        <v>9</v>
      </c>
      <c r="AW940" s="34" t="str">
        <f>IF(AND(E940=1,L940=0),AG940,"")</f>
        <v/>
      </c>
      <c r="AX940" s="34">
        <f>IF(AND(E940=1,L940=1),AH940,"")</f>
        <v>8.1</v>
      </c>
      <c r="AY940" s="34" t="str">
        <f>IF(AND(E940=1,L940=0),AH940,"")</f>
        <v/>
      </c>
      <c r="AZ940" s="34" t="str">
        <f>IF(G940=1,F940,"")</f>
        <v/>
      </c>
      <c r="BA940" s="34" t="str">
        <f>IF(AND(G940=1,L940=1),F940,"")</f>
        <v/>
      </c>
      <c r="BB940" s="34" t="str">
        <f>IF(AND(G940=1,L940=0),F940,"")</f>
        <v/>
      </c>
      <c r="BC940" s="33">
        <f>IF(E940=1,IF(Orders!R937&gt;3,1,0),"")</f>
        <v>0</v>
      </c>
      <c r="BD940" s="33">
        <f>IF(E940=1,IF(Orders!R937&gt;7,1,0),"")</f>
        <v>0</v>
      </c>
      <c r="BE940" s="32" t="str">
        <f>IF(E940=1,IF(Orders!L937&lt;=1.5,"Up to 1.5 km",IF(Orders!L937&lt;=3,"1.5–3 km","Over 3 km")),"")</f>
        <v>Over 3 km</v>
      </c>
      <c r="BF940" s="33">
        <f>IF(E940=1,IF(ABS((Orders!G937-Orders!F937)*1440-Orders!R937)&lt;0.06,1,0),"")</f>
        <v>1</v>
      </c>
      <c r="BG940" s="33">
        <f>IF(ABS((Orders!F937-Orders!E937)*1440-Orders!P937)&lt;0.06,1,0)</f>
        <v>1</v>
      </c>
      <c r="BH940" s="33">
        <f>IF(E940=1,IF(IF(Orders!S937,1,0)=1-G940,1,0),"")</f>
        <v>1</v>
      </c>
      <c r="BI940" s="32" t="str">
        <f>INDEX(Stores!$B$2:$B$21,MATCH(B940,Stores!$A$2:$A$21,0))</f>
        <v>Delhi</v>
      </c>
    </row>
    <row r="941">
      <c r="A941" s="32" t="str">
        <f>Orders!A938</f>
        <v>O00937</v>
      </c>
      <c r="B941" s="32" t="str">
        <f>Orders!C938</f>
        <v>S017</v>
      </c>
      <c r="C941" s="32" t="str">
        <f>Orders!B938</f>
        <v>C0157</v>
      </c>
      <c r="D941" s="32" t="str">
        <f>Orders!H938</f>
        <v>Delivered</v>
      </c>
      <c r="E941" s="33">
        <f>IF(Orders!H938="Delivered",1,0)</f>
        <v>1</v>
      </c>
      <c r="F941" s="34">
        <f>IF(E941=1,Orders!R938,"")</f>
        <v>-0.5</v>
      </c>
      <c r="G941" s="33">
        <f>IF(E941=1,IF(Orders!R938&gt;0,1,0),"")</f>
        <v>0</v>
      </c>
      <c r="H941" s="33">
        <f>IF(E941=1,IF(Orders!R938&gt;5,1,0),"")</f>
        <v>0</v>
      </c>
      <c r="I941" s="32" t="str">
        <f>IF(E941=1,"",IF(OR(Orders!T938="Rider unavailable",Orders!T938="Item unavailable"),"Company-caused","Unresolved"))</f>
        <v/>
      </c>
      <c r="J941" s="33">
        <f>IF(OR(E941=1,I941="Company-caused"),1,0)</f>
        <v>1</v>
      </c>
      <c r="K941" s="32" t="str">
        <f>IF(E941=0,IF(I941="Company-caused",IF(Orders!T938="Rider unavailable","C1 Rider unavailable","C2 Item unavailable"),"Outside root: unresolved"),IF(G941=0,"A On time",IF(H941=1,IF(L941=1,"B2a Severe, peak","B2b Severe, off-peak"),IF(L941=1,"B1a Slight, peak","B1b Slight, off-peak"))))</f>
        <v>A On time</v>
      </c>
      <c r="L941" s="33">
        <f>IF(AND(Orders!U938&gt;=19,Orders!U938&lt;22),1,0)</f>
        <v>0</v>
      </c>
      <c r="M941" s="33">
        <f>IF(L941=IF(Orders!V938,1,0),1,0)</f>
        <v>1</v>
      </c>
      <c r="N941" s="32" t="str">
        <f>IF(Orders!W938="","None",Orders!W938)</f>
        <v>None</v>
      </c>
      <c r="O941" s="35">
        <f>INT(Orders!E938)</f>
        <v>46267.0</v>
      </c>
      <c r="P941" s="33">
        <f>Orders!U938</f>
        <v>13</v>
      </c>
      <c r="Q941" s="33">
        <f>COUNTIFS(Demand!$A$2:$A$4481,B941,Demand!$B$2:$B$4481,O941,Demand!$C$2:$C$4481,P941)</f>
        <v>1</v>
      </c>
      <c r="R941" s="33">
        <f>IF(Q941=1,SUMIFS(Demand!$E$2:$E$4481,Demand!$A$2:$A$4481,B941,Demand!$B$2:$B$4481,O941,Demand!$C$2:$C$4481,P941),"")</f>
        <v>37</v>
      </c>
      <c r="S941" s="33">
        <f>INDEX(Stores!$G$2:$G$21,MATCH(B941,Stores!$A$2:$A$21,0))</f>
        <v>36</v>
      </c>
      <c r="T941" s="34">
        <f>IF(R941="","",R941/S941)</f>
        <v>1.02777777777778</v>
      </c>
      <c r="U941" s="34">
        <f>IF(E941=1,T941,"")</f>
        <v>1.02777777777778</v>
      </c>
      <c r="V941" s="34">
        <f>IF(AND(E941=1,L941=0),T941,"")</f>
        <v>1.02777777777778</v>
      </c>
      <c r="W941" s="33">
        <f>IF(U941="","",IF(U941&lt;=Breakdowns!$C$5,1,IF(U941&lt;=Breakdowns!$C$6,2,IF(U941&lt;=Breakdowns!$C$7,3,4))))</f>
        <v>3</v>
      </c>
      <c r="X941" s="33">
        <f>IF(V941="","",IF(V941&lt;=Breakdowns!$D$5,1,IF(V941&lt;=Breakdowns!$D$6,2,IF(V941&lt;=Breakdowns!$D$7,3,4))))</f>
        <v>3</v>
      </c>
      <c r="Y941" s="34">
        <f>INDEX(Stores!$F$2:$F$21,MATCH(B941,Stores!$A$2:$A$21,0))</f>
        <v>2.16</v>
      </c>
      <c r="Z941" s="33">
        <f>IF(Y941&gt;Store_Summary!$M$2,1,0)</f>
        <v>0</v>
      </c>
      <c r="AA941" s="33">
        <f>INDEX(Stores!$C$2:$C$21,MATCH(B941,Stores!$A$2:$A$21,0))</f>
        <v>47</v>
      </c>
      <c r="AB941" s="33">
        <f>IF(AA941&lt;180,1,0)</f>
        <v>1</v>
      </c>
      <c r="AC941" s="32" t="str">
        <f>IF(Orders!D938="","",INDEX(Riders!$C$2:$C$81,MATCH(Orders!D938,Riders!$A$2:$A$81,0)))</f>
        <v>Petrol scooter</v>
      </c>
      <c r="AD941" s="33">
        <f>IF(Orders!D938="","",INDEX(Riders!$D$2:$D$81,MATCH(Orders!D938,Riders!$A$2:$A$81,0)))</f>
        <v>44</v>
      </c>
      <c r="AE941" s="33">
        <f>IF(Orders!D938="","",IF(INDEX(Riders!$B$2:$B$81,MATCH(Orders!D938,Riders!$A$2:$A$81,0))=B941,1,0))</f>
        <v>0</v>
      </c>
      <c r="AF941" s="34">
        <f>IF(E941=1,Orders!L938,"")</f>
        <v>1.71</v>
      </c>
      <c r="AG941" s="34">
        <f>IF(E941=1,Orders!P938,"")</f>
        <v>11.9</v>
      </c>
      <c r="AH941" s="34">
        <f>IF(E941=1,Orders!Q938,"")</f>
        <v>11.4</v>
      </c>
      <c r="AI941" s="34">
        <f>IF(E941=1,Orders!M938,"")</f>
        <v>2.6</v>
      </c>
      <c r="AJ941" s="34">
        <f>IF(E941=1,Orders!N938,"")</f>
        <v>3.2</v>
      </c>
      <c r="AK941" s="34">
        <f>IF(E941=1,Orders!O938,"")</f>
        <v>5.6</v>
      </c>
      <c r="AL941" s="33">
        <f>IF(E941=1,IF(ROUND(ABS(AI941+AJ941+AK941-AH941),6)&lt;=0.1,1,0),"")</f>
        <v>1</v>
      </c>
      <c r="AM941" s="36">
        <f>IF(E941=1,AI941/AH941,"")</f>
        <v>0.228070175438596</v>
      </c>
      <c r="AN941" s="36">
        <f>IF(E941=1,AJ941/AH941,"")</f>
        <v>0.280701754385965</v>
      </c>
      <c r="AO941" s="36">
        <f>IF(E941=1,AK941/AH941,"")</f>
        <v>0.491228070175439</v>
      </c>
      <c r="AP941" s="34">
        <f>IF(E941=1,Orders!Y938,"")</f>
        <v>0.52</v>
      </c>
      <c r="AQ941" s="33">
        <f>IF(Orders!X938,1,0)</f>
        <v>1</v>
      </c>
      <c r="AR941" s="34" t="str">
        <f>IF(AND(E941=1,L941=1),AJ941,"")</f>
        <v/>
      </c>
      <c r="AS941" s="34">
        <f>IF(AND(E941=1,L941=0),AJ941,"")</f>
        <v>3.2</v>
      </c>
      <c r="AT941" s="34" t="str">
        <f>IF(AND(E941=1,L941=1),AI941,"")</f>
        <v/>
      </c>
      <c r="AU941" s="34">
        <f>IF(AND(E941=1,L941=0),AI941,"")</f>
        <v>2.6</v>
      </c>
      <c r="AV941" s="34" t="str">
        <f>IF(AND(E941=1,L941=1),AG941,"")</f>
        <v/>
      </c>
      <c r="AW941" s="34">
        <f>IF(AND(E941=1,L941=0),AG941,"")</f>
        <v>11.9</v>
      </c>
      <c r="AX941" s="34" t="str">
        <f>IF(AND(E941=1,L941=1),AH941,"")</f>
        <v/>
      </c>
      <c r="AY941" s="34">
        <f>IF(AND(E941=1,L941=0),AH941,"")</f>
        <v>11.4</v>
      </c>
      <c r="AZ941" s="34" t="str">
        <f>IF(G941=1,F941,"")</f>
        <v/>
      </c>
      <c r="BA941" s="34" t="str">
        <f>IF(AND(G941=1,L941=1),F941,"")</f>
        <v/>
      </c>
      <c r="BB941" s="34" t="str">
        <f>IF(AND(G941=1,L941=0),F941,"")</f>
        <v/>
      </c>
      <c r="BC941" s="33">
        <f>IF(E941=1,IF(Orders!R938&gt;3,1,0),"")</f>
        <v>0</v>
      </c>
      <c r="BD941" s="33">
        <f>IF(E941=1,IF(Orders!R938&gt;7,1,0),"")</f>
        <v>0</v>
      </c>
      <c r="BE941" s="32" t="str">
        <f>IF(E941=1,IF(Orders!L938&lt;=1.5,"Up to 1.5 km",IF(Orders!L938&lt;=3,"1.5–3 km","Over 3 km")),"")</f>
        <v>1.5–3 km</v>
      </c>
      <c r="BF941" s="33">
        <f>IF(E941=1,IF(ABS((Orders!G938-Orders!F938)*1440-Orders!R938)&lt;0.06,1,0),"")</f>
        <v>1</v>
      </c>
      <c r="BG941" s="33">
        <f>IF(ABS((Orders!F938-Orders!E938)*1440-Orders!P938)&lt;0.06,1,0)</f>
        <v>1</v>
      </c>
      <c r="BH941" s="33">
        <f>IF(E941=1,IF(IF(Orders!S938,1,0)=1-G941,1,0),"")</f>
        <v>1</v>
      </c>
      <c r="BI941" s="32" t="str">
        <f>INDEX(Stores!$B$2:$B$21,MATCH(B941,Stores!$A$2:$A$21,0))</f>
        <v>Hyderabad</v>
      </c>
    </row>
    <row r="942">
      <c r="A942" s="32" t="str">
        <f>Orders!A939</f>
        <v>O00938</v>
      </c>
      <c r="B942" s="32" t="str">
        <f>Orders!C939</f>
        <v>S009</v>
      </c>
      <c r="C942" s="32" t="str">
        <f>Orders!B939</f>
        <v>C0232</v>
      </c>
      <c r="D942" s="32" t="str">
        <f>Orders!H939</f>
        <v>Delivered</v>
      </c>
      <c r="E942" s="33">
        <f>IF(Orders!H939="Delivered",1,0)</f>
        <v>1</v>
      </c>
      <c r="F942" s="34">
        <f>IF(E942=1,Orders!R939,"")</f>
        <v>-2.5</v>
      </c>
      <c r="G942" s="33">
        <f>IF(E942=1,IF(Orders!R939&gt;0,1,0),"")</f>
        <v>0</v>
      </c>
      <c r="H942" s="33">
        <f>IF(E942=1,IF(Orders!R939&gt;5,1,0),"")</f>
        <v>0</v>
      </c>
      <c r="I942" s="32" t="str">
        <f>IF(E942=1,"",IF(OR(Orders!T939="Rider unavailable",Orders!T939="Item unavailable"),"Company-caused","Unresolved"))</f>
        <v/>
      </c>
      <c r="J942" s="33">
        <f>IF(OR(E942=1,I942="Company-caused"),1,0)</f>
        <v>1</v>
      </c>
      <c r="K942" s="32" t="str">
        <f>IF(E942=0,IF(I942="Company-caused",IF(Orders!T939="Rider unavailable","C1 Rider unavailable","C2 Item unavailable"),"Outside root: unresolved"),IF(G942=0,"A On time",IF(H942=1,IF(L942=1,"B2a Severe, peak","B2b Severe, off-peak"),IF(L942=1,"B1a Slight, peak","B1b Slight, off-peak"))))</f>
        <v>A On time</v>
      </c>
      <c r="L942" s="33">
        <f>IF(AND(Orders!U939&gt;=19,Orders!U939&lt;22),1,0)</f>
        <v>0</v>
      </c>
      <c r="M942" s="33">
        <f>IF(L942=IF(Orders!V939,1,0),1,0)</f>
        <v>1</v>
      </c>
      <c r="N942" s="32" t="str">
        <f>IF(Orders!W939="","None",Orders!W939)</f>
        <v>None</v>
      </c>
      <c r="O942" s="35">
        <f>INT(Orders!E939)</f>
        <v>46276.0</v>
      </c>
      <c r="P942" s="33">
        <f>Orders!U939</f>
        <v>17</v>
      </c>
      <c r="Q942" s="33">
        <f>COUNTIFS(Demand!$A$2:$A$4481,B942,Demand!$B$2:$B$4481,O942,Demand!$C$2:$C$4481,P942)</f>
        <v>1</v>
      </c>
      <c r="R942" s="33">
        <f>IF(Q942=1,SUMIFS(Demand!$E$2:$E$4481,Demand!$A$2:$A$4481,B942,Demand!$B$2:$B$4481,O942,Demand!$C$2:$C$4481,P942),"")</f>
        <v>37</v>
      </c>
      <c r="S942" s="33">
        <f>INDEX(Stores!$G$2:$G$21,MATCH(B942,Stores!$A$2:$A$21,0))</f>
        <v>29</v>
      </c>
      <c r="T942" s="34">
        <f>IF(R942="","",R942/S942)</f>
        <v>1.27586206896552</v>
      </c>
      <c r="U942" s="34">
        <f>IF(E942=1,T942,"")</f>
        <v>1.27586206896552</v>
      </c>
      <c r="V942" s="34">
        <f>IF(AND(E942=1,L942=0),T942,"")</f>
        <v>1.27586206896552</v>
      </c>
      <c r="W942" s="33">
        <f>IF(U942="","",IF(U942&lt;=Breakdowns!$C$5,1,IF(U942&lt;=Breakdowns!$C$6,2,IF(U942&lt;=Breakdowns!$C$7,3,4))))</f>
        <v>4</v>
      </c>
      <c r="X942" s="33">
        <f>IF(V942="","",IF(V942&lt;=Breakdowns!$D$5,1,IF(V942&lt;=Breakdowns!$D$6,2,IF(V942&lt;=Breakdowns!$D$7,3,4))))</f>
        <v>4</v>
      </c>
      <c r="Y942" s="34">
        <f>INDEX(Stores!$F$2:$F$21,MATCH(B942,Stores!$A$2:$A$21,0))</f>
        <v>2.66</v>
      </c>
      <c r="Z942" s="33">
        <f>IF(Y942&gt;Store_Summary!$M$2,1,0)</f>
        <v>0</v>
      </c>
      <c r="AA942" s="33">
        <f>INDEX(Stores!$C$2:$C$21,MATCH(B942,Stores!$A$2:$A$21,0))</f>
        <v>645</v>
      </c>
      <c r="AB942" s="33">
        <f>IF(AA942&lt;180,1,0)</f>
        <v>0</v>
      </c>
      <c r="AC942" s="32" t="str">
        <f>IF(Orders!D939="","",INDEX(Riders!$C$2:$C$81,MATCH(Orders!D939,Riders!$A$2:$A$81,0)))</f>
        <v>EV scooter</v>
      </c>
      <c r="AD942" s="33">
        <f>IF(Orders!D939="","",INDEX(Riders!$D$2:$D$81,MATCH(Orders!D939,Riders!$A$2:$A$81,0)))</f>
        <v>22</v>
      </c>
      <c r="AE942" s="33">
        <f>IF(Orders!D939="","",IF(INDEX(Riders!$B$2:$B$81,MATCH(Orders!D939,Riders!$A$2:$A$81,0))=B942,1,0))</f>
        <v>0</v>
      </c>
      <c r="AF942" s="34">
        <f>IF(E942=1,Orders!L939,"")</f>
        <v>1.55</v>
      </c>
      <c r="AG942" s="34">
        <f>IF(E942=1,Orders!P939,"")</f>
        <v>12.1</v>
      </c>
      <c r="AH942" s="34">
        <f>IF(E942=1,Orders!Q939,"")</f>
        <v>9.6</v>
      </c>
      <c r="AI942" s="34">
        <f>IF(E942=1,Orders!M939,"")</f>
        <v>3.7</v>
      </c>
      <c r="AJ942" s="34">
        <f>IF(E942=1,Orders!N939,"")</f>
        <v>1.6</v>
      </c>
      <c r="AK942" s="34">
        <f>IF(E942=1,Orders!O939,"")</f>
        <v>4.3</v>
      </c>
      <c r="AL942" s="33">
        <f>IF(E942=1,IF(ROUND(ABS(AI942+AJ942+AK942-AH942),6)&lt;=0.1,1,0),"")</f>
        <v>1</v>
      </c>
      <c r="AM942" s="36">
        <f>IF(E942=1,AI942/AH942,"")</f>
        <v>0.385416666666667</v>
      </c>
      <c r="AN942" s="36">
        <f>IF(E942=1,AJ942/AH942,"")</f>
        <v>0.166666666666667</v>
      </c>
      <c r="AO942" s="36">
        <f>IF(E942=1,AK942/AH942,"")</f>
        <v>0.447916666666667</v>
      </c>
      <c r="AP942" s="34">
        <f>IF(E942=1,Orders!Y939,"")</f>
        <v>0.18</v>
      </c>
      <c r="AQ942" s="33">
        <f>IF(Orders!X939,1,0)</f>
        <v>0</v>
      </c>
      <c r="AR942" s="34" t="str">
        <f>IF(AND(E942=1,L942=1),AJ942,"")</f>
        <v/>
      </c>
      <c r="AS942" s="34">
        <f>IF(AND(E942=1,L942=0),AJ942,"")</f>
        <v>1.6</v>
      </c>
      <c r="AT942" s="34" t="str">
        <f>IF(AND(E942=1,L942=1),AI942,"")</f>
        <v/>
      </c>
      <c r="AU942" s="34">
        <f>IF(AND(E942=1,L942=0),AI942,"")</f>
        <v>3.7</v>
      </c>
      <c r="AV942" s="34" t="str">
        <f>IF(AND(E942=1,L942=1),AG942,"")</f>
        <v/>
      </c>
      <c r="AW942" s="34">
        <f>IF(AND(E942=1,L942=0),AG942,"")</f>
        <v>12.1</v>
      </c>
      <c r="AX942" s="34" t="str">
        <f>IF(AND(E942=1,L942=1),AH942,"")</f>
        <v/>
      </c>
      <c r="AY942" s="34">
        <f>IF(AND(E942=1,L942=0),AH942,"")</f>
        <v>9.6</v>
      </c>
      <c r="AZ942" s="34" t="str">
        <f>IF(G942=1,F942,"")</f>
        <v/>
      </c>
      <c r="BA942" s="34" t="str">
        <f>IF(AND(G942=1,L942=1),F942,"")</f>
        <v/>
      </c>
      <c r="BB942" s="34" t="str">
        <f>IF(AND(G942=1,L942=0),F942,"")</f>
        <v/>
      </c>
      <c r="BC942" s="33">
        <f>IF(E942=1,IF(Orders!R939&gt;3,1,0),"")</f>
        <v>0</v>
      </c>
      <c r="BD942" s="33">
        <f>IF(E942=1,IF(Orders!R939&gt;7,1,0),"")</f>
        <v>0</v>
      </c>
      <c r="BE942" s="32" t="str">
        <f>IF(E942=1,IF(Orders!L939&lt;=1.5,"Up to 1.5 km",IF(Orders!L939&lt;=3,"1.5–3 km","Over 3 km")),"")</f>
        <v>1.5–3 km</v>
      </c>
      <c r="BF942" s="33">
        <f>IF(E942=1,IF(ABS((Orders!G939-Orders!F939)*1440-Orders!R939)&lt;0.06,1,0),"")</f>
        <v>1</v>
      </c>
      <c r="BG942" s="33">
        <f>IF(ABS((Orders!F939-Orders!E939)*1440-Orders!P939)&lt;0.06,1,0)</f>
        <v>1</v>
      </c>
      <c r="BH942" s="33">
        <f>IF(E942=1,IF(IF(Orders!S939,1,0)=1-G942,1,0),"")</f>
        <v>1</v>
      </c>
      <c r="BI942" s="32" t="str">
        <f>INDEX(Stores!$B$2:$B$21,MATCH(B942,Stores!$A$2:$A$21,0))</f>
        <v>Pune</v>
      </c>
    </row>
    <row r="943">
      <c r="A943" s="32" t="str">
        <f>Orders!A940</f>
        <v>O00939</v>
      </c>
      <c r="B943" s="32" t="str">
        <f>Orders!C940</f>
        <v>S019</v>
      </c>
      <c r="C943" s="32" t="str">
        <f>Orders!B940</f>
        <v>C0136</v>
      </c>
      <c r="D943" s="32" t="str">
        <f>Orders!H940</f>
        <v>Delivered</v>
      </c>
      <c r="E943" s="33">
        <f>IF(Orders!H940="Delivered",1,0)</f>
        <v>1</v>
      </c>
      <c r="F943" s="34">
        <f>IF(E943=1,Orders!R940,"")</f>
        <v>-1.2</v>
      </c>
      <c r="G943" s="33">
        <f>IF(E943=1,IF(Orders!R940&gt;0,1,0),"")</f>
        <v>0</v>
      </c>
      <c r="H943" s="33">
        <f>IF(E943=1,IF(Orders!R940&gt;5,1,0),"")</f>
        <v>0</v>
      </c>
      <c r="I943" s="32" t="str">
        <f>IF(E943=1,"",IF(OR(Orders!T940="Rider unavailable",Orders!T940="Item unavailable"),"Company-caused","Unresolved"))</f>
        <v/>
      </c>
      <c r="J943" s="33">
        <f>IF(OR(E943=1,I943="Company-caused"),1,0)</f>
        <v>1</v>
      </c>
      <c r="K943" s="32" t="str">
        <f>IF(E943=0,IF(I943="Company-caused",IF(Orders!T940="Rider unavailable","C1 Rider unavailable","C2 Item unavailable"),"Outside root: unresolved"),IF(G943=0,"A On time",IF(H943=1,IF(L943=1,"B2a Severe, peak","B2b Severe, off-peak"),IF(L943=1,"B1a Slight, peak","B1b Slight, off-peak"))))</f>
        <v>A On time</v>
      </c>
      <c r="L943" s="33">
        <f>IF(AND(Orders!U940&gt;=19,Orders!U940&lt;22),1,0)</f>
        <v>0</v>
      </c>
      <c r="M943" s="33">
        <f>IF(L943=IF(Orders!V940,1,0),1,0)</f>
        <v>1</v>
      </c>
      <c r="N943" s="32" t="str">
        <f>IF(Orders!W940="","None",Orders!W940)</f>
        <v>Light</v>
      </c>
      <c r="O943" s="35">
        <f>INT(Orders!E940)</f>
        <v>46277.0</v>
      </c>
      <c r="P943" s="33">
        <f>Orders!U940</f>
        <v>11</v>
      </c>
      <c r="Q943" s="33">
        <f>COUNTIFS(Demand!$A$2:$A$4481,B943,Demand!$B$2:$B$4481,O943,Demand!$C$2:$C$4481,P943)</f>
        <v>1</v>
      </c>
      <c r="R943" s="33">
        <f>IF(Q943=1,SUMIFS(Demand!$E$2:$E$4481,Demand!$A$2:$A$4481,B943,Demand!$B$2:$B$4481,O943,Demand!$C$2:$C$4481,P943),"")</f>
        <v>22</v>
      </c>
      <c r="S943" s="33">
        <f>INDEX(Stores!$G$2:$G$21,MATCH(B943,Stores!$A$2:$A$21,0))</f>
        <v>22</v>
      </c>
      <c r="T943" s="34">
        <f>IF(R943="","",R943/S943)</f>
        <v>1</v>
      </c>
      <c r="U943" s="34">
        <f>IF(E943=1,T943,"")</f>
        <v>1</v>
      </c>
      <c r="V943" s="34">
        <f>IF(AND(E943=1,L943=0),T943,"")</f>
        <v>1</v>
      </c>
      <c r="W943" s="33">
        <f>IF(U943="","",IF(U943&lt;=Breakdowns!$C$5,1,IF(U943&lt;=Breakdowns!$C$6,2,IF(U943&lt;=Breakdowns!$C$7,3,4))))</f>
        <v>2</v>
      </c>
      <c r="X943" s="33">
        <f>IF(V943="","",IF(V943&lt;=Breakdowns!$D$5,1,IF(V943&lt;=Breakdowns!$D$6,2,IF(V943&lt;=Breakdowns!$D$7,3,4))))</f>
        <v>3</v>
      </c>
      <c r="Y943" s="34">
        <f>INDEX(Stores!$F$2:$F$21,MATCH(B943,Stores!$A$2:$A$21,0))</f>
        <v>4.99</v>
      </c>
      <c r="Z943" s="33">
        <f>IF(Y943&gt;Store_Summary!$M$2,1,0)</f>
        <v>1</v>
      </c>
      <c r="AA943" s="33">
        <f>INDEX(Stores!$C$2:$C$21,MATCH(B943,Stores!$A$2:$A$21,0))</f>
        <v>851</v>
      </c>
      <c r="AB943" s="33">
        <f>IF(AA943&lt;180,1,0)</f>
        <v>0</v>
      </c>
      <c r="AC943" s="32" t="str">
        <f>IF(Orders!D940="","",INDEX(Riders!$C$2:$C$81,MATCH(Orders!D940,Riders!$A$2:$A$81,0)))</f>
        <v>EV scooter</v>
      </c>
      <c r="AD943" s="33">
        <f>IF(Orders!D940="","",INDEX(Riders!$D$2:$D$81,MATCH(Orders!D940,Riders!$A$2:$A$81,0)))</f>
        <v>36</v>
      </c>
      <c r="AE943" s="33">
        <f>IF(Orders!D940="","",IF(INDEX(Riders!$B$2:$B$81,MATCH(Orders!D940,Riders!$A$2:$A$81,0))=B943,1,0))</f>
        <v>0</v>
      </c>
      <c r="AF943" s="34">
        <f>IF(E943=1,Orders!L940,"")</f>
        <v>2.5</v>
      </c>
      <c r="AG943" s="34">
        <f>IF(E943=1,Orders!P940,"")</f>
        <v>11.4</v>
      </c>
      <c r="AH943" s="34">
        <f>IF(E943=1,Orders!Q940,"")</f>
        <v>10.2</v>
      </c>
      <c r="AI943" s="34">
        <f>IF(E943=1,Orders!M940,"")</f>
        <v>3.4</v>
      </c>
      <c r="AJ943" s="34">
        <f>IF(E943=1,Orders!N940,"")</f>
        <v>2.3</v>
      </c>
      <c r="AK943" s="34">
        <f>IF(E943=1,Orders!O940,"")</f>
        <v>4.5</v>
      </c>
      <c r="AL943" s="33">
        <f>IF(E943=1,IF(ROUND(ABS(AI943+AJ943+AK943-AH943),6)&lt;=0.1,1,0),"")</f>
        <v>1</v>
      </c>
      <c r="AM943" s="36">
        <f>IF(E943=1,AI943/AH943,"")</f>
        <v>0.333333333333333</v>
      </c>
      <c r="AN943" s="36">
        <f>IF(E943=1,AJ943/AH943,"")</f>
        <v>0.225490196078431</v>
      </c>
      <c r="AO943" s="36">
        <f>IF(E943=1,AK943/AH943,"")</f>
        <v>0.441176470588235</v>
      </c>
      <c r="AP943" s="34">
        <f>IF(E943=1,Orders!Y940,"")</f>
        <v>0.78</v>
      </c>
      <c r="AQ943" s="33">
        <f>IF(Orders!X940,1,0)</f>
        <v>0</v>
      </c>
      <c r="AR943" s="34" t="str">
        <f>IF(AND(E943=1,L943=1),AJ943,"")</f>
        <v/>
      </c>
      <c r="AS943" s="34">
        <f>IF(AND(E943=1,L943=0),AJ943,"")</f>
        <v>2.3</v>
      </c>
      <c r="AT943" s="34" t="str">
        <f>IF(AND(E943=1,L943=1),AI943,"")</f>
        <v/>
      </c>
      <c r="AU943" s="34">
        <f>IF(AND(E943=1,L943=0),AI943,"")</f>
        <v>3.4</v>
      </c>
      <c r="AV943" s="34" t="str">
        <f>IF(AND(E943=1,L943=1),AG943,"")</f>
        <v/>
      </c>
      <c r="AW943" s="34">
        <f>IF(AND(E943=1,L943=0),AG943,"")</f>
        <v>11.4</v>
      </c>
      <c r="AX943" s="34" t="str">
        <f>IF(AND(E943=1,L943=1),AH943,"")</f>
        <v/>
      </c>
      <c r="AY943" s="34">
        <f>IF(AND(E943=1,L943=0),AH943,"")</f>
        <v>10.2</v>
      </c>
      <c r="AZ943" s="34" t="str">
        <f>IF(G943=1,F943,"")</f>
        <v/>
      </c>
      <c r="BA943" s="34" t="str">
        <f>IF(AND(G943=1,L943=1),F943,"")</f>
        <v/>
      </c>
      <c r="BB943" s="34" t="str">
        <f>IF(AND(G943=1,L943=0),F943,"")</f>
        <v/>
      </c>
      <c r="BC943" s="33">
        <f>IF(E943=1,IF(Orders!R940&gt;3,1,0),"")</f>
        <v>0</v>
      </c>
      <c r="BD943" s="33">
        <f>IF(E943=1,IF(Orders!R940&gt;7,1,0),"")</f>
        <v>0</v>
      </c>
      <c r="BE943" s="32" t="str">
        <f>IF(E943=1,IF(Orders!L940&lt;=1.5,"Up to 1.5 km",IF(Orders!L940&lt;=3,"1.5–3 km","Over 3 km")),"")</f>
        <v>1.5–3 km</v>
      </c>
      <c r="BF943" s="33">
        <f>IF(E943=1,IF(ABS((Orders!G940-Orders!F940)*1440-Orders!R940)&lt;0.06,1,0),"")</f>
        <v>1</v>
      </c>
      <c r="BG943" s="33">
        <f>IF(ABS((Orders!F940-Orders!E940)*1440-Orders!P940)&lt;0.06,1,0)</f>
        <v>1</v>
      </c>
      <c r="BH943" s="33">
        <f>IF(E943=1,IF(IF(Orders!S940,1,0)=1-G943,1,0),"")</f>
        <v>1</v>
      </c>
      <c r="BI943" s="32" t="str">
        <f>INDEX(Stores!$B$2:$B$21,MATCH(B943,Stores!$A$2:$A$21,0))</f>
        <v>Pune</v>
      </c>
    </row>
    <row r="944">
      <c r="A944" s="32" t="str">
        <f>Orders!A941</f>
        <v>O00940</v>
      </c>
      <c r="B944" s="32" t="str">
        <f>Orders!C941</f>
        <v>S019</v>
      </c>
      <c r="C944" s="32" t="str">
        <f>Orders!B941</f>
        <v>C0094</v>
      </c>
      <c r="D944" s="32" t="str">
        <f>Orders!H941</f>
        <v>Cancelled</v>
      </c>
      <c r="E944" s="33">
        <f>IF(Orders!H941="Delivered",1,0)</f>
        <v>0</v>
      </c>
      <c r="F944" s="34" t="str">
        <f>IF(E944=1,Orders!R941,"")</f>
        <v/>
      </c>
      <c r="G944" s="33" t="str">
        <f>IF(E944=1,IF(Orders!R941&gt;0,1,0),"")</f>
        <v/>
      </c>
      <c r="H944" s="33" t="str">
        <f>IF(E944=1,IF(Orders!R941&gt;5,1,0),"")</f>
        <v/>
      </c>
      <c r="I944" s="32" t="str">
        <f>IF(E944=1,"",IF(OR(Orders!T941="Rider unavailable",Orders!T941="Item unavailable"),"Company-caused","Unresolved"))</f>
        <v>Unresolved</v>
      </c>
      <c r="J944" s="33">
        <f>IF(OR(E944=1,I944="Company-caused"),1,0)</f>
        <v>0</v>
      </c>
      <c r="K944" s="32" t="str">
        <f>IF(E944=0,IF(I944="Company-caused",IF(Orders!T941="Rider unavailable","C1 Rider unavailable","C2 Item unavailable"),"Outside root: unresolved"),IF(G944=0,"A On time",IF(H944=1,IF(L944=1,"B2a Severe, peak","B2b Severe, off-peak"),IF(L944=1,"B1a Slight, peak","B1b Slight, off-peak"))))</f>
        <v>Outside root: unresolved</v>
      </c>
      <c r="L944" s="33">
        <f>IF(AND(Orders!U941&gt;=19,Orders!U941&lt;22),1,0)</f>
        <v>0</v>
      </c>
      <c r="M944" s="33">
        <f>IF(L944=IF(Orders!V941,1,0),1,0)</f>
        <v>1</v>
      </c>
      <c r="N944" s="32" t="str">
        <f>IF(Orders!W941="","None",Orders!W941)</f>
        <v>Light</v>
      </c>
      <c r="O944" s="35">
        <f>INT(Orders!E941)</f>
        <v>46276.0</v>
      </c>
      <c r="P944" s="33">
        <f>Orders!U941</f>
        <v>23</v>
      </c>
      <c r="Q944" s="33">
        <f>COUNTIFS(Demand!$A$2:$A$4481,B944,Demand!$B$2:$B$4481,O944,Demand!$C$2:$C$4481,P944)</f>
        <v>1</v>
      </c>
      <c r="R944" s="33">
        <f>IF(Q944=1,SUMIFS(Demand!$E$2:$E$4481,Demand!$A$2:$A$4481,B944,Demand!$B$2:$B$4481,O944,Demand!$C$2:$C$4481,P944),"")</f>
        <v>24</v>
      </c>
      <c r="S944" s="33">
        <f>INDEX(Stores!$G$2:$G$21,MATCH(B944,Stores!$A$2:$A$21,0))</f>
        <v>22</v>
      </c>
      <c r="T944" s="34">
        <f>IF(R944="","",R944/S944)</f>
        <v>1.09090909090909</v>
      </c>
      <c r="U944" s="34" t="str">
        <f>IF(E944=1,T944,"")</f>
        <v/>
      </c>
      <c r="V944" s="34" t="str">
        <f>IF(AND(E944=1,L944=0),T944,"")</f>
        <v/>
      </c>
      <c r="W944" s="33" t="str">
        <f>IF(U944="","",IF(U944&lt;=Breakdowns!$C$5,1,IF(U944&lt;=Breakdowns!$C$6,2,IF(U944&lt;=Breakdowns!$C$7,3,4))))</f>
        <v/>
      </c>
      <c r="X944" s="33" t="str">
        <f>IF(V944="","",IF(V944&lt;=Breakdowns!$D$5,1,IF(V944&lt;=Breakdowns!$D$6,2,IF(V944&lt;=Breakdowns!$D$7,3,4))))</f>
        <v/>
      </c>
      <c r="Y944" s="34">
        <f>INDEX(Stores!$F$2:$F$21,MATCH(B944,Stores!$A$2:$A$21,0))</f>
        <v>4.99</v>
      </c>
      <c r="Z944" s="33">
        <f>IF(Y944&gt;Store_Summary!$M$2,1,0)</f>
        <v>1</v>
      </c>
      <c r="AA944" s="33">
        <f>INDEX(Stores!$C$2:$C$21,MATCH(B944,Stores!$A$2:$A$21,0))</f>
        <v>851</v>
      </c>
      <c r="AB944" s="33">
        <f>IF(AA944&lt;180,1,0)</f>
        <v>0</v>
      </c>
      <c r="AC944" s="32" t="str">
        <f>IF(Orders!D941="","",INDEX(Riders!$C$2:$C$81,MATCH(Orders!D941,Riders!$A$2:$A$81,0)))</f>
        <v/>
      </c>
      <c r="AD944" s="33" t="str">
        <f>IF(Orders!D941="","",INDEX(Riders!$D$2:$D$81,MATCH(Orders!D941,Riders!$A$2:$A$81,0)))</f>
        <v/>
      </c>
      <c r="AE944" s="33" t="str">
        <f>IF(Orders!D941="","",IF(INDEX(Riders!$B$2:$B$81,MATCH(Orders!D941,Riders!$A$2:$A$81,0))=B944,1,0))</f>
        <v/>
      </c>
      <c r="AF944" s="34" t="str">
        <f>IF(E944=1,Orders!L941,"")</f>
        <v/>
      </c>
      <c r="AG944" s="34" t="str">
        <f>IF(E944=1,Orders!P941,"")</f>
        <v/>
      </c>
      <c r="AH944" s="34" t="str">
        <f>IF(E944=1,Orders!Q941,"")</f>
        <v/>
      </c>
      <c r="AI944" s="34" t="str">
        <f>IF(E944=1,Orders!M941,"")</f>
        <v/>
      </c>
      <c r="AJ944" s="34" t="str">
        <f>IF(E944=1,Orders!N941,"")</f>
        <v/>
      </c>
      <c r="AK944" s="34" t="str">
        <f>IF(E944=1,Orders!O941,"")</f>
        <v/>
      </c>
      <c r="AL944" s="33" t="str">
        <f>IF(E944=1,IF(ROUND(ABS(AI944+AJ944+AK944-AH944),6)&lt;=0.1,1,0),"")</f>
        <v/>
      </c>
      <c r="AM944" s="36" t="str">
        <f>IF(E944=1,AI944/AH944,"")</f>
        <v/>
      </c>
      <c r="AN944" s="36" t="str">
        <f>IF(E944=1,AJ944/AH944,"")</f>
        <v/>
      </c>
      <c r="AO944" s="36" t="str">
        <f>IF(E944=1,AK944/AH944,"")</f>
        <v/>
      </c>
      <c r="AP944" s="34" t="str">
        <f>IF(E944=1,Orders!Y941,"")</f>
        <v/>
      </c>
      <c r="AQ944" s="33">
        <f>IF(Orders!X941,1,0)</f>
        <v>0</v>
      </c>
      <c r="AR944" s="34" t="str">
        <f>IF(AND(E944=1,L944=1),AJ944,"")</f>
        <v/>
      </c>
      <c r="AS944" s="34" t="str">
        <f>IF(AND(E944=1,L944=0),AJ944,"")</f>
        <v/>
      </c>
      <c r="AT944" s="34" t="str">
        <f>IF(AND(E944=1,L944=1),AI944,"")</f>
        <v/>
      </c>
      <c r="AU944" s="34" t="str">
        <f>IF(AND(E944=1,L944=0),AI944,"")</f>
        <v/>
      </c>
      <c r="AV944" s="34" t="str">
        <f>IF(AND(E944=1,L944=1),AG944,"")</f>
        <v/>
      </c>
      <c r="AW944" s="34" t="str">
        <f>IF(AND(E944=1,L944=0),AG944,"")</f>
        <v/>
      </c>
      <c r="AX944" s="34" t="str">
        <f>IF(AND(E944=1,L944=1),AH944,"")</f>
        <v/>
      </c>
      <c r="AY944" s="34" t="str">
        <f>IF(AND(E944=1,L944=0),AH944,"")</f>
        <v/>
      </c>
      <c r="AZ944" s="34" t="str">
        <f>IF(G944=1,F944,"")</f>
        <v/>
      </c>
      <c r="BA944" s="34" t="str">
        <f>IF(AND(G944=1,L944=1),F944,"")</f>
        <v/>
      </c>
      <c r="BB944" s="34" t="str">
        <f>IF(AND(G944=1,L944=0),F944,"")</f>
        <v/>
      </c>
      <c r="BC944" s="33" t="str">
        <f>IF(E944=1,IF(Orders!R941&gt;3,1,0),"")</f>
        <v/>
      </c>
      <c r="BD944" s="33" t="str">
        <f>IF(E944=1,IF(Orders!R941&gt;7,1,0),"")</f>
        <v/>
      </c>
      <c r="BE944" s="32" t="str">
        <f>IF(E944=1,IF(Orders!L941&lt;=1.5,"Up to 1.5 km",IF(Orders!L941&lt;=3,"1.5–3 km","Over 3 km")),"")</f>
        <v/>
      </c>
      <c r="BF944" s="33" t="str">
        <f>IF(E944=1,IF(ABS((Orders!G941-Orders!F941)*1440-Orders!R941)&lt;0.06,1,0),"")</f>
        <v/>
      </c>
      <c r="BG944" s="33">
        <f>IF(ABS((Orders!F941-Orders!E941)*1440-Orders!P941)&lt;0.06,1,0)</f>
        <v>1</v>
      </c>
      <c r="BH944" s="33" t="str">
        <f>IF(E944=1,IF(IF(Orders!S941,1,0)=1-G944,1,0),"")</f>
        <v/>
      </c>
      <c r="BI944" s="32" t="str">
        <f>INDEX(Stores!$B$2:$B$21,MATCH(B944,Stores!$A$2:$A$21,0))</f>
        <v>Pune</v>
      </c>
    </row>
    <row r="945">
      <c r="A945" s="32" t="str">
        <f>Orders!A942</f>
        <v>O00941</v>
      </c>
      <c r="B945" s="32" t="str">
        <f>Orders!C942</f>
        <v>S013</v>
      </c>
      <c r="C945" s="32" t="str">
        <f>Orders!B942</f>
        <v>C0201</v>
      </c>
      <c r="D945" s="32" t="str">
        <f>Orders!H942</f>
        <v>Delivered</v>
      </c>
      <c r="E945" s="33">
        <f>IF(Orders!H942="Delivered",1,0)</f>
        <v>1</v>
      </c>
      <c r="F945" s="34">
        <f>IF(E945=1,Orders!R942,"")</f>
        <v>-0.3</v>
      </c>
      <c r="G945" s="33">
        <f>IF(E945=1,IF(Orders!R942&gt;0,1,0),"")</f>
        <v>0</v>
      </c>
      <c r="H945" s="33">
        <f>IF(E945=1,IF(Orders!R942&gt;5,1,0),"")</f>
        <v>0</v>
      </c>
      <c r="I945" s="32" t="str">
        <f>IF(E945=1,"",IF(OR(Orders!T942="Rider unavailable",Orders!T942="Item unavailable"),"Company-caused","Unresolved"))</f>
        <v/>
      </c>
      <c r="J945" s="33">
        <f>IF(OR(E945=1,I945="Company-caused"),1,0)</f>
        <v>1</v>
      </c>
      <c r="K945" s="32" t="str">
        <f>IF(E945=0,IF(I945="Company-caused",IF(Orders!T942="Rider unavailable","C1 Rider unavailable","C2 Item unavailable"),"Outside root: unresolved"),IF(G945=0,"A On time",IF(H945=1,IF(L945=1,"B2a Severe, peak","B2b Severe, off-peak"),IF(L945=1,"B1a Slight, peak","B1b Slight, off-peak"))))</f>
        <v>A On time</v>
      </c>
      <c r="L945" s="33">
        <f>IF(AND(Orders!U942&gt;=19,Orders!U942&lt;22),1,0)</f>
        <v>1</v>
      </c>
      <c r="M945" s="33">
        <f>IF(L945=IF(Orders!V942,1,0),1,0)</f>
        <v>1</v>
      </c>
      <c r="N945" s="32" t="str">
        <f>IF(Orders!W942="","None",Orders!W942)</f>
        <v>None</v>
      </c>
      <c r="O945" s="35">
        <f>INT(Orders!E942)</f>
        <v>46275.0</v>
      </c>
      <c r="P945" s="33">
        <f>Orders!U942</f>
        <v>20</v>
      </c>
      <c r="Q945" s="33">
        <f>COUNTIFS(Demand!$A$2:$A$4481,B945,Demand!$B$2:$B$4481,O945,Demand!$C$2:$C$4481,P945)</f>
        <v>1</v>
      </c>
      <c r="R945" s="33">
        <f>IF(Q945=1,SUMIFS(Demand!$E$2:$E$4481,Demand!$A$2:$A$4481,B945,Demand!$B$2:$B$4481,O945,Demand!$C$2:$C$4481,P945),"")</f>
        <v>71</v>
      </c>
      <c r="S945" s="33">
        <f>INDEX(Stores!$G$2:$G$21,MATCH(B945,Stores!$A$2:$A$21,0))</f>
        <v>49</v>
      </c>
      <c r="T945" s="34">
        <f>IF(R945="","",R945/S945)</f>
        <v>1.44897959183673</v>
      </c>
      <c r="U945" s="34">
        <f>IF(E945=1,T945,"")</f>
        <v>1.44897959183673</v>
      </c>
      <c r="V945" s="34" t="str">
        <f>IF(AND(E945=1,L945=0),T945,"")</f>
        <v/>
      </c>
      <c r="W945" s="33">
        <f>IF(U945="","",IF(U945&lt;=Breakdowns!$C$5,1,IF(U945&lt;=Breakdowns!$C$6,2,IF(U945&lt;=Breakdowns!$C$7,3,4))))</f>
        <v>4</v>
      </c>
      <c r="X945" s="33" t="str">
        <f>IF(V945="","",IF(V945&lt;=Breakdowns!$D$5,1,IF(V945&lt;=Breakdowns!$D$6,2,IF(V945&lt;=Breakdowns!$D$7,3,4))))</f>
        <v/>
      </c>
      <c r="Y945" s="34">
        <f>INDEX(Stores!$F$2:$F$21,MATCH(B945,Stores!$A$2:$A$21,0))</f>
        <v>5.82</v>
      </c>
      <c r="Z945" s="33">
        <f>IF(Y945&gt;Store_Summary!$M$2,1,0)</f>
        <v>1</v>
      </c>
      <c r="AA945" s="33">
        <f>INDEX(Stores!$C$2:$C$21,MATCH(B945,Stores!$A$2:$A$21,0))</f>
        <v>705</v>
      </c>
      <c r="AB945" s="33">
        <f>IF(AA945&lt;180,1,0)</f>
        <v>0</v>
      </c>
      <c r="AC945" s="32" t="str">
        <f>IF(Orders!D942="","",INDEX(Riders!$C$2:$C$81,MATCH(Orders!D942,Riders!$A$2:$A$81,0)))</f>
        <v>Petrol scooter</v>
      </c>
      <c r="AD945" s="33">
        <f>IF(Orders!D942="","",INDEX(Riders!$D$2:$D$81,MATCH(Orders!D942,Riders!$A$2:$A$81,0)))</f>
        <v>4</v>
      </c>
      <c r="AE945" s="33">
        <f>IF(Orders!D942="","",IF(INDEX(Riders!$B$2:$B$81,MATCH(Orders!D942,Riders!$A$2:$A$81,0))=B945,1,0))</f>
        <v>0</v>
      </c>
      <c r="AF945" s="34">
        <f>IF(E945=1,Orders!L942,"")</f>
        <v>0.89</v>
      </c>
      <c r="AG945" s="34">
        <f>IF(E945=1,Orders!P942,"")</f>
        <v>8.7</v>
      </c>
      <c r="AH945" s="34">
        <f>IF(E945=1,Orders!Q942,"")</f>
        <v>8.4</v>
      </c>
      <c r="AI945" s="34">
        <f>IF(E945=1,Orders!M942,"")</f>
        <v>2.7</v>
      </c>
      <c r="AJ945" s="34">
        <f>IF(E945=1,Orders!N942,"")</f>
        <v>4.1</v>
      </c>
      <c r="AK945" s="34">
        <f>IF(E945=1,Orders!O942,"")</f>
        <v>1.6</v>
      </c>
      <c r="AL945" s="33">
        <f>IF(E945=1,IF(ROUND(ABS(AI945+AJ945+AK945-AH945),6)&lt;=0.1,1,0),"")</f>
        <v>1</v>
      </c>
      <c r="AM945" s="36">
        <f>IF(E945=1,AI945/AH945,"")</f>
        <v>0.321428571428571</v>
      </c>
      <c r="AN945" s="36">
        <f>IF(E945=1,AJ945/AH945,"")</f>
        <v>0.488095238095238</v>
      </c>
      <c r="AO945" s="36">
        <f>IF(E945=1,AK945/AH945,"")</f>
        <v>0.19047619047619</v>
      </c>
      <c r="AP945" s="34">
        <f>IF(E945=1,Orders!Y942,"")</f>
        <v>0.79</v>
      </c>
      <c r="AQ945" s="33">
        <f>IF(Orders!X942,1,0)</f>
        <v>0</v>
      </c>
      <c r="AR945" s="34">
        <f>IF(AND(E945=1,L945=1),AJ945,"")</f>
        <v>4.1</v>
      </c>
      <c r="AS945" s="34" t="str">
        <f>IF(AND(E945=1,L945=0),AJ945,"")</f>
        <v/>
      </c>
      <c r="AT945" s="34">
        <f>IF(AND(E945=1,L945=1),AI945,"")</f>
        <v>2.7</v>
      </c>
      <c r="AU945" s="34" t="str">
        <f>IF(AND(E945=1,L945=0),AI945,"")</f>
        <v/>
      </c>
      <c r="AV945" s="34">
        <f>IF(AND(E945=1,L945=1),AG945,"")</f>
        <v>8.7</v>
      </c>
      <c r="AW945" s="34" t="str">
        <f>IF(AND(E945=1,L945=0),AG945,"")</f>
        <v/>
      </c>
      <c r="AX945" s="34">
        <f>IF(AND(E945=1,L945=1),AH945,"")</f>
        <v>8.4</v>
      </c>
      <c r="AY945" s="34" t="str">
        <f>IF(AND(E945=1,L945=0),AH945,"")</f>
        <v/>
      </c>
      <c r="AZ945" s="34" t="str">
        <f>IF(G945=1,F945,"")</f>
        <v/>
      </c>
      <c r="BA945" s="34" t="str">
        <f>IF(AND(G945=1,L945=1),F945,"")</f>
        <v/>
      </c>
      <c r="BB945" s="34" t="str">
        <f>IF(AND(G945=1,L945=0),F945,"")</f>
        <v/>
      </c>
      <c r="BC945" s="33">
        <f>IF(E945=1,IF(Orders!R942&gt;3,1,0),"")</f>
        <v>0</v>
      </c>
      <c r="BD945" s="33">
        <f>IF(E945=1,IF(Orders!R942&gt;7,1,0),"")</f>
        <v>0</v>
      </c>
      <c r="BE945" s="32" t="str">
        <f>IF(E945=1,IF(Orders!L942&lt;=1.5,"Up to 1.5 km",IF(Orders!L942&lt;=3,"1.5–3 km","Over 3 km")),"")</f>
        <v>Up to 1.5 km</v>
      </c>
      <c r="BF945" s="33">
        <f>IF(E945=1,IF(ABS((Orders!G942-Orders!F942)*1440-Orders!R942)&lt;0.06,1,0),"")</f>
        <v>1</v>
      </c>
      <c r="BG945" s="33">
        <f>IF(ABS((Orders!F942-Orders!E942)*1440-Orders!P942)&lt;0.06,1,0)</f>
        <v>1</v>
      </c>
      <c r="BH945" s="33">
        <f>IF(E945=1,IF(IF(Orders!S942,1,0)=1-G945,1,0),"")</f>
        <v>1</v>
      </c>
      <c r="BI945" s="32" t="str">
        <f>INDEX(Stores!$B$2:$B$21,MATCH(B945,Stores!$A$2:$A$21,0))</f>
        <v>Mumbai</v>
      </c>
    </row>
    <row r="946">
      <c r="A946" s="32" t="str">
        <f>Orders!A943</f>
        <v>O00942</v>
      </c>
      <c r="B946" s="32" t="str">
        <f>Orders!C943</f>
        <v>S011</v>
      </c>
      <c r="C946" s="32" t="str">
        <f>Orders!B943</f>
        <v>C0160</v>
      </c>
      <c r="D946" s="32" t="str">
        <f>Orders!H943</f>
        <v>Delivered</v>
      </c>
      <c r="E946" s="33">
        <f>IF(Orders!H943="Delivered",1,0)</f>
        <v>1</v>
      </c>
      <c r="F946" s="34">
        <f>IF(E946=1,Orders!R943,"")</f>
        <v>6.3</v>
      </c>
      <c r="G946" s="33">
        <f>IF(E946=1,IF(Orders!R943&gt;0,1,0),"")</f>
        <v>1</v>
      </c>
      <c r="H946" s="33">
        <f>IF(E946=1,IF(Orders!R943&gt;5,1,0),"")</f>
        <v>1</v>
      </c>
      <c r="I946" s="32" t="str">
        <f>IF(E946=1,"",IF(OR(Orders!T943="Rider unavailable",Orders!T943="Item unavailable"),"Company-caused","Unresolved"))</f>
        <v/>
      </c>
      <c r="J946" s="33">
        <f>IF(OR(E946=1,I946="Company-caused"),1,0)</f>
        <v>1</v>
      </c>
      <c r="K946" s="32" t="str">
        <f>IF(E946=0,IF(I946="Company-caused",IF(Orders!T943="Rider unavailable","C1 Rider unavailable","C2 Item unavailable"),"Outside root: unresolved"),IF(G946=0,"A On time",IF(H946=1,IF(L946=1,"B2a Severe, peak","B2b Severe, off-peak"),IF(L946=1,"B1a Slight, peak","B1b Slight, off-peak"))))</f>
        <v>B2b Severe, off-peak</v>
      </c>
      <c r="L946" s="33">
        <f>IF(AND(Orders!U943&gt;=19,Orders!U943&lt;22),1,0)</f>
        <v>0</v>
      </c>
      <c r="M946" s="33">
        <f>IF(L946=IF(Orders!V943,1,0),1,0)</f>
        <v>1</v>
      </c>
      <c r="N946" s="32" t="str">
        <f>IF(Orders!W943="","None",Orders!W943)</f>
        <v>Light</v>
      </c>
      <c r="O946" s="35">
        <f>INT(Orders!E943)</f>
        <v>46267.0</v>
      </c>
      <c r="P946" s="33">
        <f>Orders!U943</f>
        <v>16</v>
      </c>
      <c r="Q946" s="33">
        <f>COUNTIFS(Demand!$A$2:$A$4481,B946,Demand!$B$2:$B$4481,O946,Demand!$C$2:$C$4481,P946)</f>
        <v>1</v>
      </c>
      <c r="R946" s="33">
        <f>IF(Q946=1,SUMIFS(Demand!$E$2:$E$4481,Demand!$A$2:$A$4481,B946,Demand!$B$2:$B$4481,O946,Demand!$C$2:$C$4481,P946),"")</f>
        <v>25</v>
      </c>
      <c r="S946" s="33">
        <f>INDEX(Stores!$G$2:$G$21,MATCH(B946,Stores!$A$2:$A$21,0))</f>
        <v>31</v>
      </c>
      <c r="T946" s="34">
        <f>IF(R946="","",R946/S946)</f>
        <v>0.806451612903226</v>
      </c>
      <c r="U946" s="34">
        <f>IF(E946=1,T946,"")</f>
        <v>0.806451612903226</v>
      </c>
      <c r="V946" s="34">
        <f>IF(AND(E946=1,L946=0),T946,"")</f>
        <v>0.806451612903226</v>
      </c>
      <c r="W946" s="33">
        <f>IF(U946="","",IF(U946&lt;=Breakdowns!$C$5,1,IF(U946&lt;=Breakdowns!$C$6,2,IF(U946&lt;=Breakdowns!$C$7,3,4))))</f>
        <v>2</v>
      </c>
      <c r="X946" s="33">
        <f>IF(V946="","",IF(V946&lt;=Breakdowns!$D$5,1,IF(V946&lt;=Breakdowns!$D$6,2,IF(V946&lt;=Breakdowns!$D$7,3,4))))</f>
        <v>2</v>
      </c>
      <c r="Y946" s="34">
        <f>INDEX(Stores!$F$2:$F$21,MATCH(B946,Stores!$A$2:$A$21,0))</f>
        <v>5.67</v>
      </c>
      <c r="Z946" s="33">
        <f>IF(Y946&gt;Store_Summary!$M$2,1,0)</f>
        <v>1</v>
      </c>
      <c r="AA946" s="33">
        <f>INDEX(Stores!$C$2:$C$21,MATCH(B946,Stores!$A$2:$A$21,0))</f>
        <v>732</v>
      </c>
      <c r="AB946" s="33">
        <f>IF(AA946&lt;180,1,0)</f>
        <v>0</v>
      </c>
      <c r="AC946" s="32" t="str">
        <f>IF(Orders!D943="","",INDEX(Riders!$C$2:$C$81,MATCH(Orders!D943,Riders!$A$2:$A$81,0)))</f>
        <v>Petrol scooter</v>
      </c>
      <c r="AD946" s="33">
        <f>IF(Orders!D943="","",INDEX(Riders!$D$2:$D$81,MATCH(Orders!D943,Riders!$A$2:$A$81,0)))</f>
        <v>10</v>
      </c>
      <c r="AE946" s="33">
        <f>IF(Orders!D943="","",IF(INDEX(Riders!$B$2:$B$81,MATCH(Orders!D943,Riders!$A$2:$A$81,0))=B946,1,0))</f>
        <v>1</v>
      </c>
      <c r="AF946" s="34">
        <f>IF(E946=1,Orders!L943,"")</f>
        <v>2.05</v>
      </c>
      <c r="AG946" s="34">
        <f>IF(E946=1,Orders!P943,"")</f>
        <v>10.7</v>
      </c>
      <c r="AH946" s="34">
        <f>IF(E946=1,Orders!Q943,"")</f>
        <v>17</v>
      </c>
      <c r="AI946" s="34">
        <f>IF(E946=1,Orders!M943,"")</f>
        <v>5.6</v>
      </c>
      <c r="AJ946" s="34">
        <f>IF(E946=1,Orders!N943,"")</f>
        <v>3.6</v>
      </c>
      <c r="AK946" s="34">
        <f>IF(E946=1,Orders!O943,"")</f>
        <v>7.8</v>
      </c>
      <c r="AL946" s="33">
        <f>IF(E946=1,IF(ROUND(ABS(AI946+AJ946+AK946-AH946),6)&lt;=0.1,1,0),"")</f>
        <v>1</v>
      </c>
      <c r="AM946" s="36">
        <f>IF(E946=1,AI946/AH946,"")</f>
        <v>0.329411764705882</v>
      </c>
      <c r="AN946" s="36">
        <f>IF(E946=1,AJ946/AH946,"")</f>
        <v>0.211764705882353</v>
      </c>
      <c r="AO946" s="36">
        <f>IF(E946=1,AK946/AH946,"")</f>
        <v>0.458823529411765</v>
      </c>
      <c r="AP946" s="34">
        <f>IF(E946=1,Orders!Y943,"")</f>
        <v>0.7</v>
      </c>
      <c r="AQ946" s="33">
        <f>IF(Orders!X943,1,0)</f>
        <v>0</v>
      </c>
      <c r="AR946" s="34" t="str">
        <f>IF(AND(E946=1,L946=1),AJ946,"")</f>
        <v/>
      </c>
      <c r="AS946" s="34">
        <f>IF(AND(E946=1,L946=0),AJ946,"")</f>
        <v>3.6</v>
      </c>
      <c r="AT946" s="34" t="str">
        <f>IF(AND(E946=1,L946=1),AI946,"")</f>
        <v/>
      </c>
      <c r="AU946" s="34">
        <f>IF(AND(E946=1,L946=0),AI946,"")</f>
        <v>5.6</v>
      </c>
      <c r="AV946" s="34" t="str">
        <f>IF(AND(E946=1,L946=1),AG946,"")</f>
        <v/>
      </c>
      <c r="AW946" s="34">
        <f>IF(AND(E946=1,L946=0),AG946,"")</f>
        <v>10.7</v>
      </c>
      <c r="AX946" s="34" t="str">
        <f>IF(AND(E946=1,L946=1),AH946,"")</f>
        <v/>
      </c>
      <c r="AY946" s="34">
        <f>IF(AND(E946=1,L946=0),AH946,"")</f>
        <v>17</v>
      </c>
      <c r="AZ946" s="34">
        <f>IF(G946=1,F946,"")</f>
        <v>6.3</v>
      </c>
      <c r="BA946" s="34" t="str">
        <f>IF(AND(G946=1,L946=1),F946,"")</f>
        <v/>
      </c>
      <c r="BB946" s="34">
        <f>IF(AND(G946=1,L946=0),F946,"")</f>
        <v>6.3</v>
      </c>
      <c r="BC946" s="33">
        <f>IF(E946=1,IF(Orders!R943&gt;3,1,0),"")</f>
        <v>1</v>
      </c>
      <c r="BD946" s="33">
        <f>IF(E946=1,IF(Orders!R943&gt;7,1,0),"")</f>
        <v>0</v>
      </c>
      <c r="BE946" s="32" t="str">
        <f>IF(E946=1,IF(Orders!L943&lt;=1.5,"Up to 1.5 km",IF(Orders!L943&lt;=3,"1.5–3 km","Over 3 km")),"")</f>
        <v>1.5–3 km</v>
      </c>
      <c r="BF946" s="33">
        <f>IF(E946=1,IF(ABS((Orders!G943-Orders!F943)*1440-Orders!R943)&lt;0.06,1,0),"")</f>
        <v>1</v>
      </c>
      <c r="BG946" s="33">
        <f>IF(ABS((Orders!F943-Orders!E943)*1440-Orders!P943)&lt;0.06,1,0)</f>
        <v>1</v>
      </c>
      <c r="BH946" s="33">
        <f>IF(E946=1,IF(IF(Orders!S943,1,0)=1-G946,1,0),"")</f>
        <v>1</v>
      </c>
      <c r="BI946" s="32" t="str">
        <f>INDEX(Stores!$B$2:$B$21,MATCH(B946,Stores!$A$2:$A$21,0))</f>
        <v>Bengaluru</v>
      </c>
    </row>
    <row r="947">
      <c r="A947" s="32" t="str">
        <f>Orders!A944</f>
        <v>O00943</v>
      </c>
      <c r="B947" s="32" t="str">
        <f>Orders!C944</f>
        <v>S014</v>
      </c>
      <c r="C947" s="32" t="str">
        <f>Orders!B944</f>
        <v>C0079</v>
      </c>
      <c r="D947" s="32" t="str">
        <f>Orders!H944</f>
        <v>Delivered</v>
      </c>
      <c r="E947" s="33">
        <f>IF(Orders!H944="Delivered",1,0)</f>
        <v>1</v>
      </c>
      <c r="F947" s="34">
        <f>IF(E947=1,Orders!R944,"")</f>
        <v>-0.9</v>
      </c>
      <c r="G947" s="33">
        <f>IF(E947=1,IF(Orders!R944&gt;0,1,0),"")</f>
        <v>0</v>
      </c>
      <c r="H947" s="33">
        <f>IF(E947=1,IF(Orders!R944&gt;5,1,0),"")</f>
        <v>0</v>
      </c>
      <c r="I947" s="32" t="str">
        <f>IF(E947=1,"",IF(OR(Orders!T944="Rider unavailable",Orders!T944="Item unavailable"),"Company-caused","Unresolved"))</f>
        <v/>
      </c>
      <c r="J947" s="33">
        <f>IF(OR(E947=1,I947="Company-caused"),1,0)</f>
        <v>1</v>
      </c>
      <c r="K947" s="32" t="str">
        <f>IF(E947=0,IF(I947="Company-caused",IF(Orders!T944="Rider unavailable","C1 Rider unavailable","C2 Item unavailable"),"Outside root: unresolved"),IF(G947=0,"A On time",IF(H947=1,IF(L947=1,"B2a Severe, peak","B2b Severe, off-peak"),IF(L947=1,"B1a Slight, peak","B1b Slight, off-peak"))))</f>
        <v>A On time</v>
      </c>
      <c r="L947" s="33">
        <f>IF(AND(Orders!U944&gt;=19,Orders!U944&lt;22),1,0)</f>
        <v>0</v>
      </c>
      <c r="M947" s="33">
        <f>IF(L947=IF(Orders!V944,1,0),1,0)</f>
        <v>1</v>
      </c>
      <c r="N947" s="32" t="str">
        <f>IF(Orders!W944="","None",Orders!W944)</f>
        <v>None</v>
      </c>
      <c r="O947" s="35">
        <f>INT(Orders!E944)</f>
        <v>46278.0</v>
      </c>
      <c r="P947" s="33">
        <f>Orders!U944</f>
        <v>17</v>
      </c>
      <c r="Q947" s="33">
        <f>COUNTIFS(Demand!$A$2:$A$4481,B947,Demand!$B$2:$B$4481,O947,Demand!$C$2:$C$4481,P947)</f>
        <v>1</v>
      </c>
      <c r="R947" s="33">
        <f>IF(Q947=1,SUMIFS(Demand!$E$2:$E$4481,Demand!$A$2:$A$4481,B947,Demand!$B$2:$B$4481,O947,Demand!$C$2:$C$4481,P947),"")</f>
        <v>45</v>
      </c>
      <c r="S947" s="33">
        <f>INDEX(Stores!$G$2:$G$21,MATCH(B947,Stores!$A$2:$A$21,0))</f>
        <v>37</v>
      </c>
      <c r="T947" s="34">
        <f>IF(R947="","",R947/S947)</f>
        <v>1.21621621621622</v>
      </c>
      <c r="U947" s="34">
        <f>IF(E947=1,T947,"")</f>
        <v>1.21621621621622</v>
      </c>
      <c r="V947" s="34">
        <f>IF(AND(E947=1,L947=0),T947,"")</f>
        <v>1.21621621621622</v>
      </c>
      <c r="W947" s="33">
        <f>IF(U947="","",IF(U947&lt;=Breakdowns!$C$5,1,IF(U947&lt;=Breakdowns!$C$6,2,IF(U947&lt;=Breakdowns!$C$7,3,4))))</f>
        <v>3</v>
      </c>
      <c r="X947" s="33">
        <f>IF(V947="","",IF(V947&lt;=Breakdowns!$D$5,1,IF(V947&lt;=Breakdowns!$D$6,2,IF(V947&lt;=Breakdowns!$D$7,3,4))))</f>
        <v>4</v>
      </c>
      <c r="Y947" s="34">
        <f>INDEX(Stores!$F$2:$F$21,MATCH(B947,Stores!$A$2:$A$21,0))</f>
        <v>5.55</v>
      </c>
      <c r="Z947" s="33">
        <f>IF(Y947&gt;Store_Summary!$M$2,1,0)</f>
        <v>1</v>
      </c>
      <c r="AA947" s="33">
        <f>INDEX(Stores!$C$2:$C$21,MATCH(B947,Stores!$A$2:$A$21,0))</f>
        <v>241</v>
      </c>
      <c r="AB947" s="33">
        <f>IF(AA947&lt;180,1,0)</f>
        <v>0</v>
      </c>
      <c r="AC947" s="32" t="str">
        <f>IF(Orders!D944="","",INDEX(Riders!$C$2:$C$81,MATCH(Orders!D944,Riders!$A$2:$A$81,0)))</f>
        <v>Petrol scooter</v>
      </c>
      <c r="AD947" s="33">
        <f>IF(Orders!D944="","",INDEX(Riders!$D$2:$D$81,MATCH(Orders!D944,Riders!$A$2:$A$81,0)))</f>
        <v>15</v>
      </c>
      <c r="AE947" s="33">
        <f>IF(Orders!D944="","",IF(INDEX(Riders!$B$2:$B$81,MATCH(Orders!D944,Riders!$A$2:$A$81,0))=B947,1,0))</f>
        <v>0</v>
      </c>
      <c r="AF947" s="34">
        <f>IF(E947=1,Orders!L944,"")</f>
        <v>3.3</v>
      </c>
      <c r="AG947" s="34">
        <f>IF(E947=1,Orders!P944,"")</f>
        <v>9.5</v>
      </c>
      <c r="AH947" s="34">
        <f>IF(E947=1,Orders!Q944,"")</f>
        <v>8.6</v>
      </c>
      <c r="AI947" s="34">
        <f>IF(E947=1,Orders!M944,"")</f>
        <v>2.6</v>
      </c>
      <c r="AJ947" s="34">
        <f>IF(E947=1,Orders!N944,"")</f>
        <v>1.7</v>
      </c>
      <c r="AK947" s="34">
        <f>IF(E947=1,Orders!O944,"")</f>
        <v>4.3</v>
      </c>
      <c r="AL947" s="33">
        <f>IF(E947=1,IF(ROUND(ABS(AI947+AJ947+AK947-AH947),6)&lt;=0.1,1,0),"")</f>
        <v>1</v>
      </c>
      <c r="AM947" s="36">
        <f>IF(E947=1,AI947/AH947,"")</f>
        <v>0.302325581395349</v>
      </c>
      <c r="AN947" s="36">
        <f>IF(E947=1,AJ947/AH947,"")</f>
        <v>0.197674418604651</v>
      </c>
      <c r="AO947" s="36">
        <f>IF(E947=1,AK947/AH947,"")</f>
        <v>0.5</v>
      </c>
      <c r="AP947" s="34">
        <f>IF(E947=1,Orders!Y944,"")</f>
        <v>0.36</v>
      </c>
      <c r="AQ947" s="33">
        <f>IF(Orders!X944,1,0)</f>
        <v>0</v>
      </c>
      <c r="AR947" s="34" t="str">
        <f>IF(AND(E947=1,L947=1),AJ947,"")</f>
        <v/>
      </c>
      <c r="AS947" s="34">
        <f>IF(AND(E947=1,L947=0),AJ947,"")</f>
        <v>1.7</v>
      </c>
      <c r="AT947" s="34" t="str">
        <f>IF(AND(E947=1,L947=1),AI947,"")</f>
        <v/>
      </c>
      <c r="AU947" s="34">
        <f>IF(AND(E947=1,L947=0),AI947,"")</f>
        <v>2.6</v>
      </c>
      <c r="AV947" s="34" t="str">
        <f>IF(AND(E947=1,L947=1),AG947,"")</f>
        <v/>
      </c>
      <c r="AW947" s="34">
        <f>IF(AND(E947=1,L947=0),AG947,"")</f>
        <v>9.5</v>
      </c>
      <c r="AX947" s="34" t="str">
        <f>IF(AND(E947=1,L947=1),AH947,"")</f>
        <v/>
      </c>
      <c r="AY947" s="34">
        <f>IF(AND(E947=1,L947=0),AH947,"")</f>
        <v>8.6</v>
      </c>
      <c r="AZ947" s="34" t="str">
        <f>IF(G947=1,F947,"")</f>
        <v/>
      </c>
      <c r="BA947" s="34" t="str">
        <f>IF(AND(G947=1,L947=1),F947,"")</f>
        <v/>
      </c>
      <c r="BB947" s="34" t="str">
        <f>IF(AND(G947=1,L947=0),F947,"")</f>
        <v/>
      </c>
      <c r="BC947" s="33">
        <f>IF(E947=1,IF(Orders!R944&gt;3,1,0),"")</f>
        <v>0</v>
      </c>
      <c r="BD947" s="33">
        <f>IF(E947=1,IF(Orders!R944&gt;7,1,0),"")</f>
        <v>0</v>
      </c>
      <c r="BE947" s="32" t="str">
        <f>IF(E947=1,IF(Orders!L944&lt;=1.5,"Up to 1.5 km",IF(Orders!L944&lt;=3,"1.5–3 km","Over 3 km")),"")</f>
        <v>Over 3 km</v>
      </c>
      <c r="BF947" s="33">
        <f>IF(E947=1,IF(ABS((Orders!G944-Orders!F944)*1440-Orders!R944)&lt;0.06,1,0),"")</f>
        <v>1</v>
      </c>
      <c r="BG947" s="33">
        <f>IF(ABS((Orders!F944-Orders!E944)*1440-Orders!P944)&lt;0.06,1,0)</f>
        <v>1</v>
      </c>
      <c r="BH947" s="33">
        <f>IF(E947=1,IF(IF(Orders!S944,1,0)=1-G947,1,0),"")</f>
        <v>1</v>
      </c>
      <c r="BI947" s="32" t="str">
        <f>INDEX(Stores!$B$2:$B$21,MATCH(B947,Stores!$A$2:$A$21,0))</f>
        <v>Pune</v>
      </c>
    </row>
    <row r="948">
      <c r="A948" s="32" t="str">
        <f>Orders!A945</f>
        <v>O00944</v>
      </c>
      <c r="B948" s="32" t="str">
        <f>Orders!C945</f>
        <v>S014</v>
      </c>
      <c r="C948" s="32" t="str">
        <f>Orders!B945</f>
        <v>C0136</v>
      </c>
      <c r="D948" s="32" t="str">
        <f>Orders!H945</f>
        <v>Delivered</v>
      </c>
      <c r="E948" s="33">
        <f>IF(Orders!H945="Delivered",1,0)</f>
        <v>1</v>
      </c>
      <c r="F948" s="34">
        <f>IF(E948=1,Orders!R945,"")</f>
        <v>-0.8</v>
      </c>
      <c r="G948" s="33">
        <f>IF(E948=1,IF(Orders!R945&gt;0,1,0),"")</f>
        <v>0</v>
      </c>
      <c r="H948" s="33">
        <f>IF(E948=1,IF(Orders!R945&gt;5,1,0),"")</f>
        <v>0</v>
      </c>
      <c r="I948" s="32" t="str">
        <f>IF(E948=1,"",IF(OR(Orders!T945="Rider unavailable",Orders!T945="Item unavailable"),"Company-caused","Unresolved"))</f>
        <v/>
      </c>
      <c r="J948" s="33">
        <f>IF(OR(E948=1,I948="Company-caused"),1,0)</f>
        <v>1</v>
      </c>
      <c r="K948" s="32" t="str">
        <f>IF(E948=0,IF(I948="Company-caused",IF(Orders!T945="Rider unavailable","C1 Rider unavailable","C2 Item unavailable"),"Outside root: unresolved"),IF(G948=0,"A On time",IF(H948=1,IF(L948=1,"B2a Severe, peak","B2b Severe, off-peak"),IF(L948=1,"B1a Slight, peak","B1b Slight, off-peak"))))</f>
        <v>A On time</v>
      </c>
      <c r="L948" s="33">
        <f>IF(AND(Orders!U945&gt;=19,Orders!U945&lt;22),1,0)</f>
        <v>1</v>
      </c>
      <c r="M948" s="33">
        <f>IF(L948=IF(Orders!V945,1,0),1,0)</f>
        <v>1</v>
      </c>
      <c r="N948" s="32" t="str">
        <f>IF(Orders!W945="","None",Orders!W945)</f>
        <v>Light</v>
      </c>
      <c r="O948" s="35">
        <f>INT(Orders!E945)</f>
        <v>46273.0</v>
      </c>
      <c r="P948" s="33">
        <f>Orders!U945</f>
        <v>20</v>
      </c>
      <c r="Q948" s="33">
        <f>COUNTIFS(Demand!$A$2:$A$4481,B948,Demand!$B$2:$B$4481,O948,Demand!$C$2:$C$4481,P948)</f>
        <v>1</v>
      </c>
      <c r="R948" s="33">
        <f>IF(Q948=1,SUMIFS(Demand!$E$2:$E$4481,Demand!$A$2:$A$4481,B948,Demand!$B$2:$B$4481,O948,Demand!$C$2:$C$4481,P948),"")</f>
        <v>62</v>
      </c>
      <c r="S948" s="33">
        <f>INDEX(Stores!$G$2:$G$21,MATCH(B948,Stores!$A$2:$A$21,0))</f>
        <v>37</v>
      </c>
      <c r="T948" s="34">
        <f>IF(R948="","",R948/S948)</f>
        <v>1.67567567567568</v>
      </c>
      <c r="U948" s="34">
        <f>IF(E948=1,T948,"")</f>
        <v>1.67567567567568</v>
      </c>
      <c r="V948" s="34" t="str">
        <f>IF(AND(E948=1,L948=0),T948,"")</f>
        <v/>
      </c>
      <c r="W948" s="33">
        <f>IF(U948="","",IF(U948&lt;=Breakdowns!$C$5,1,IF(U948&lt;=Breakdowns!$C$6,2,IF(U948&lt;=Breakdowns!$C$7,3,4))))</f>
        <v>4</v>
      </c>
      <c r="X948" s="33" t="str">
        <f>IF(V948="","",IF(V948&lt;=Breakdowns!$D$5,1,IF(V948&lt;=Breakdowns!$D$6,2,IF(V948&lt;=Breakdowns!$D$7,3,4))))</f>
        <v/>
      </c>
      <c r="Y948" s="34">
        <f>INDEX(Stores!$F$2:$F$21,MATCH(B948,Stores!$A$2:$A$21,0))</f>
        <v>5.55</v>
      </c>
      <c r="Z948" s="33">
        <f>IF(Y948&gt;Store_Summary!$M$2,1,0)</f>
        <v>1</v>
      </c>
      <c r="AA948" s="33">
        <f>INDEX(Stores!$C$2:$C$21,MATCH(B948,Stores!$A$2:$A$21,0))</f>
        <v>241</v>
      </c>
      <c r="AB948" s="33">
        <f>IF(AA948&lt;180,1,0)</f>
        <v>0</v>
      </c>
      <c r="AC948" s="32" t="str">
        <f>IF(Orders!D945="","",INDEX(Riders!$C$2:$C$81,MATCH(Orders!D945,Riders!$A$2:$A$81,0)))</f>
        <v>EV scooter</v>
      </c>
      <c r="AD948" s="33">
        <f>IF(Orders!D945="","",INDEX(Riders!$D$2:$D$81,MATCH(Orders!D945,Riders!$A$2:$A$81,0)))</f>
        <v>3</v>
      </c>
      <c r="AE948" s="33">
        <f>IF(Orders!D945="","",IF(INDEX(Riders!$B$2:$B$81,MATCH(Orders!D945,Riders!$A$2:$A$81,0))=B948,1,0))</f>
        <v>0</v>
      </c>
      <c r="AF948" s="34">
        <f>IF(E948=1,Orders!L945,"")</f>
        <v>1.29</v>
      </c>
      <c r="AG948" s="34">
        <f>IF(E948=1,Orders!P945,"")</f>
        <v>8.5</v>
      </c>
      <c r="AH948" s="34">
        <f>IF(E948=1,Orders!Q945,"")</f>
        <v>7.7</v>
      </c>
      <c r="AI948" s="34">
        <f>IF(E948=1,Orders!M945,"")</f>
        <v>2</v>
      </c>
      <c r="AJ948" s="34">
        <f>IF(E948=1,Orders!N945,"")</f>
        <v>4.1</v>
      </c>
      <c r="AK948" s="34">
        <f>IF(E948=1,Orders!O945,"")</f>
        <v>1.6</v>
      </c>
      <c r="AL948" s="33">
        <f>IF(E948=1,IF(ROUND(ABS(AI948+AJ948+AK948-AH948),6)&lt;=0.1,1,0),"")</f>
        <v>1</v>
      </c>
      <c r="AM948" s="36">
        <f>IF(E948=1,AI948/AH948,"")</f>
        <v>0.25974025974026</v>
      </c>
      <c r="AN948" s="36">
        <f>IF(E948=1,AJ948/AH948,"")</f>
        <v>0.532467532467532</v>
      </c>
      <c r="AO948" s="36">
        <f>IF(E948=1,AK948/AH948,"")</f>
        <v>0.207792207792208</v>
      </c>
      <c r="AP948" s="34">
        <f>IF(E948=1,Orders!Y945,"")</f>
        <v>0.4</v>
      </c>
      <c r="AQ948" s="33">
        <f>IF(Orders!X945,1,0)</f>
        <v>0</v>
      </c>
      <c r="AR948" s="34">
        <f>IF(AND(E948=1,L948=1),AJ948,"")</f>
        <v>4.1</v>
      </c>
      <c r="AS948" s="34" t="str">
        <f>IF(AND(E948=1,L948=0),AJ948,"")</f>
        <v/>
      </c>
      <c r="AT948" s="34">
        <f>IF(AND(E948=1,L948=1),AI948,"")</f>
        <v>2</v>
      </c>
      <c r="AU948" s="34" t="str">
        <f>IF(AND(E948=1,L948=0),AI948,"")</f>
        <v/>
      </c>
      <c r="AV948" s="34">
        <f>IF(AND(E948=1,L948=1),AG948,"")</f>
        <v>8.5</v>
      </c>
      <c r="AW948" s="34" t="str">
        <f>IF(AND(E948=1,L948=0),AG948,"")</f>
        <v/>
      </c>
      <c r="AX948" s="34">
        <f>IF(AND(E948=1,L948=1),AH948,"")</f>
        <v>7.7</v>
      </c>
      <c r="AY948" s="34" t="str">
        <f>IF(AND(E948=1,L948=0),AH948,"")</f>
        <v/>
      </c>
      <c r="AZ948" s="34" t="str">
        <f>IF(G948=1,F948,"")</f>
        <v/>
      </c>
      <c r="BA948" s="34" t="str">
        <f>IF(AND(G948=1,L948=1),F948,"")</f>
        <v/>
      </c>
      <c r="BB948" s="34" t="str">
        <f>IF(AND(G948=1,L948=0),F948,"")</f>
        <v/>
      </c>
      <c r="BC948" s="33">
        <f>IF(E948=1,IF(Orders!R945&gt;3,1,0),"")</f>
        <v>0</v>
      </c>
      <c r="BD948" s="33">
        <f>IF(E948=1,IF(Orders!R945&gt;7,1,0),"")</f>
        <v>0</v>
      </c>
      <c r="BE948" s="32" t="str">
        <f>IF(E948=1,IF(Orders!L945&lt;=1.5,"Up to 1.5 km",IF(Orders!L945&lt;=3,"1.5–3 km","Over 3 km")),"")</f>
        <v>Up to 1.5 km</v>
      </c>
      <c r="BF948" s="33">
        <f>IF(E948=1,IF(ABS((Orders!G945-Orders!F945)*1440-Orders!R945)&lt;0.06,1,0),"")</f>
        <v>1</v>
      </c>
      <c r="BG948" s="33">
        <f>IF(ABS((Orders!F945-Orders!E945)*1440-Orders!P945)&lt;0.06,1,0)</f>
        <v>1</v>
      </c>
      <c r="BH948" s="33">
        <f>IF(E948=1,IF(IF(Orders!S945,1,0)=1-G948,1,0),"")</f>
        <v>1</v>
      </c>
      <c r="BI948" s="32" t="str">
        <f>INDEX(Stores!$B$2:$B$21,MATCH(B948,Stores!$A$2:$A$21,0))</f>
        <v>Pune</v>
      </c>
    </row>
    <row r="949">
      <c r="A949" s="32" t="str">
        <f>Orders!A946</f>
        <v>O00945</v>
      </c>
      <c r="B949" s="32" t="str">
        <f>Orders!C946</f>
        <v>S009</v>
      </c>
      <c r="C949" s="32" t="str">
        <f>Orders!B946</f>
        <v>C0024</v>
      </c>
      <c r="D949" s="32" t="str">
        <f>Orders!H946</f>
        <v>Delivered</v>
      </c>
      <c r="E949" s="33">
        <f>IF(Orders!H946="Delivered",1,0)</f>
        <v>1</v>
      </c>
      <c r="F949" s="34">
        <f>IF(E949=1,Orders!R946,"")</f>
        <v>-0.9</v>
      </c>
      <c r="G949" s="33">
        <f>IF(E949=1,IF(Orders!R946&gt;0,1,0),"")</f>
        <v>0</v>
      </c>
      <c r="H949" s="33">
        <f>IF(E949=1,IF(Orders!R946&gt;5,1,0),"")</f>
        <v>0</v>
      </c>
      <c r="I949" s="32" t="str">
        <f>IF(E949=1,"",IF(OR(Orders!T946="Rider unavailable",Orders!T946="Item unavailable"),"Company-caused","Unresolved"))</f>
        <v/>
      </c>
      <c r="J949" s="33">
        <f>IF(OR(E949=1,I949="Company-caused"),1,0)</f>
        <v>1</v>
      </c>
      <c r="K949" s="32" t="str">
        <f>IF(E949=0,IF(I949="Company-caused",IF(Orders!T946="Rider unavailable","C1 Rider unavailable","C2 Item unavailable"),"Outside root: unresolved"),IF(G949=0,"A On time",IF(H949=1,IF(L949=1,"B2a Severe, peak","B2b Severe, off-peak"),IF(L949=1,"B1a Slight, peak","B1b Slight, off-peak"))))</f>
        <v>A On time</v>
      </c>
      <c r="L949" s="33">
        <f>IF(AND(Orders!U946&gt;=19,Orders!U946&lt;22),1,0)</f>
        <v>0</v>
      </c>
      <c r="M949" s="33">
        <f>IF(L949=IF(Orders!V946,1,0),1,0)</f>
        <v>1</v>
      </c>
      <c r="N949" s="32" t="str">
        <f>IF(Orders!W946="","None",Orders!W946)</f>
        <v>None</v>
      </c>
      <c r="O949" s="35">
        <f>INT(Orders!E946)</f>
        <v>46279.0</v>
      </c>
      <c r="P949" s="33">
        <f>Orders!U946</f>
        <v>8</v>
      </c>
      <c r="Q949" s="33">
        <f>COUNTIFS(Demand!$A$2:$A$4481,B949,Demand!$B$2:$B$4481,O949,Demand!$C$2:$C$4481,P949)</f>
        <v>1</v>
      </c>
      <c r="R949" s="33">
        <f>IF(Q949=1,SUMIFS(Demand!$E$2:$E$4481,Demand!$A$2:$A$4481,B949,Demand!$B$2:$B$4481,O949,Demand!$C$2:$C$4481,P949),"")</f>
        <v>14</v>
      </c>
      <c r="S949" s="33">
        <f>INDEX(Stores!$G$2:$G$21,MATCH(B949,Stores!$A$2:$A$21,0))</f>
        <v>29</v>
      </c>
      <c r="T949" s="34">
        <f>IF(R949="","",R949/S949)</f>
        <v>0.482758620689655</v>
      </c>
      <c r="U949" s="34">
        <f>IF(E949=1,T949,"")</f>
        <v>0.482758620689655</v>
      </c>
      <c r="V949" s="34">
        <f>IF(AND(E949=1,L949=0),T949,"")</f>
        <v>0.482758620689655</v>
      </c>
      <c r="W949" s="33">
        <f>IF(U949="","",IF(U949&lt;=Breakdowns!$C$5,1,IF(U949&lt;=Breakdowns!$C$6,2,IF(U949&lt;=Breakdowns!$C$7,3,4))))</f>
        <v>1</v>
      </c>
      <c r="X949" s="33">
        <f>IF(V949="","",IF(V949&lt;=Breakdowns!$D$5,1,IF(V949&lt;=Breakdowns!$D$6,2,IF(V949&lt;=Breakdowns!$D$7,3,4))))</f>
        <v>1</v>
      </c>
      <c r="Y949" s="34">
        <f>INDEX(Stores!$F$2:$F$21,MATCH(B949,Stores!$A$2:$A$21,0))</f>
        <v>2.66</v>
      </c>
      <c r="Z949" s="33">
        <f>IF(Y949&gt;Store_Summary!$M$2,1,0)</f>
        <v>0</v>
      </c>
      <c r="AA949" s="33">
        <f>INDEX(Stores!$C$2:$C$21,MATCH(B949,Stores!$A$2:$A$21,0))</f>
        <v>645</v>
      </c>
      <c r="AB949" s="33">
        <f>IF(AA949&lt;180,1,0)</f>
        <v>0</v>
      </c>
      <c r="AC949" s="32" t="str">
        <f>IF(Orders!D946="","",INDEX(Riders!$C$2:$C$81,MATCH(Orders!D946,Riders!$A$2:$A$81,0)))</f>
        <v>EV scooter</v>
      </c>
      <c r="AD949" s="33">
        <f>IF(Orders!D946="","",INDEX(Riders!$D$2:$D$81,MATCH(Orders!D946,Riders!$A$2:$A$81,0)))</f>
        <v>36</v>
      </c>
      <c r="AE949" s="33">
        <f>IF(Orders!D946="","",IF(INDEX(Riders!$B$2:$B$81,MATCH(Orders!D946,Riders!$A$2:$A$81,0))=B949,1,0))</f>
        <v>0</v>
      </c>
      <c r="AF949" s="34">
        <f>IF(E949=1,Orders!L946,"")</f>
        <v>0.91</v>
      </c>
      <c r="AG949" s="34">
        <f>IF(E949=1,Orders!P946,"")</f>
        <v>10.1</v>
      </c>
      <c r="AH949" s="34">
        <f>IF(E949=1,Orders!Q946,"")</f>
        <v>9.2</v>
      </c>
      <c r="AI949" s="34">
        <f>IF(E949=1,Orders!M946,"")</f>
        <v>4</v>
      </c>
      <c r="AJ949" s="34">
        <f>IF(E949=1,Orders!N946,"")</f>
        <v>1.9</v>
      </c>
      <c r="AK949" s="34">
        <f>IF(E949=1,Orders!O946,"")</f>
        <v>3.3</v>
      </c>
      <c r="AL949" s="33">
        <f>IF(E949=1,IF(ROUND(ABS(AI949+AJ949+AK949-AH949),6)&lt;=0.1,1,0),"")</f>
        <v>1</v>
      </c>
      <c r="AM949" s="36">
        <f>IF(E949=1,AI949/AH949,"")</f>
        <v>0.434782608695652</v>
      </c>
      <c r="AN949" s="36">
        <f>IF(E949=1,AJ949/AH949,"")</f>
        <v>0.206521739130435</v>
      </c>
      <c r="AO949" s="36">
        <f>IF(E949=1,AK949/AH949,"")</f>
        <v>0.358695652173913</v>
      </c>
      <c r="AP949" s="34">
        <f>IF(E949=1,Orders!Y946,"")</f>
        <v>0.49</v>
      </c>
      <c r="AQ949" s="33">
        <f>IF(Orders!X946,1,0)</f>
        <v>0</v>
      </c>
      <c r="AR949" s="34" t="str">
        <f>IF(AND(E949=1,L949=1),AJ949,"")</f>
        <v/>
      </c>
      <c r="AS949" s="34">
        <f>IF(AND(E949=1,L949=0),AJ949,"")</f>
        <v>1.9</v>
      </c>
      <c r="AT949" s="34" t="str">
        <f>IF(AND(E949=1,L949=1),AI949,"")</f>
        <v/>
      </c>
      <c r="AU949" s="34">
        <f>IF(AND(E949=1,L949=0),AI949,"")</f>
        <v>4</v>
      </c>
      <c r="AV949" s="34" t="str">
        <f>IF(AND(E949=1,L949=1),AG949,"")</f>
        <v/>
      </c>
      <c r="AW949" s="34">
        <f>IF(AND(E949=1,L949=0),AG949,"")</f>
        <v>10.1</v>
      </c>
      <c r="AX949" s="34" t="str">
        <f>IF(AND(E949=1,L949=1),AH949,"")</f>
        <v/>
      </c>
      <c r="AY949" s="34">
        <f>IF(AND(E949=1,L949=0),AH949,"")</f>
        <v>9.2</v>
      </c>
      <c r="AZ949" s="34" t="str">
        <f>IF(G949=1,F949,"")</f>
        <v/>
      </c>
      <c r="BA949" s="34" t="str">
        <f>IF(AND(G949=1,L949=1),F949,"")</f>
        <v/>
      </c>
      <c r="BB949" s="34" t="str">
        <f>IF(AND(G949=1,L949=0),F949,"")</f>
        <v/>
      </c>
      <c r="BC949" s="33">
        <f>IF(E949=1,IF(Orders!R946&gt;3,1,0),"")</f>
        <v>0</v>
      </c>
      <c r="BD949" s="33">
        <f>IF(E949=1,IF(Orders!R946&gt;7,1,0),"")</f>
        <v>0</v>
      </c>
      <c r="BE949" s="32" t="str">
        <f>IF(E949=1,IF(Orders!L946&lt;=1.5,"Up to 1.5 km",IF(Orders!L946&lt;=3,"1.5–3 km","Over 3 km")),"")</f>
        <v>Up to 1.5 km</v>
      </c>
      <c r="BF949" s="33">
        <f>IF(E949=1,IF(ABS((Orders!G946-Orders!F946)*1440-Orders!R946)&lt;0.06,1,0),"")</f>
        <v>1</v>
      </c>
      <c r="BG949" s="33">
        <f>IF(ABS((Orders!F946-Orders!E946)*1440-Orders!P946)&lt;0.06,1,0)</f>
        <v>1</v>
      </c>
      <c r="BH949" s="33">
        <f>IF(E949=1,IF(IF(Orders!S946,1,0)=1-G949,1,0),"")</f>
        <v>1</v>
      </c>
      <c r="BI949" s="32" t="str">
        <f>INDEX(Stores!$B$2:$B$21,MATCH(B949,Stores!$A$2:$A$21,0))</f>
        <v>Pune</v>
      </c>
    </row>
    <row r="950">
      <c r="A950" s="32" t="str">
        <f>Orders!A947</f>
        <v>O00946</v>
      </c>
      <c r="B950" s="32" t="str">
        <f>Orders!C947</f>
        <v>S011</v>
      </c>
      <c r="C950" s="32" t="str">
        <f>Orders!B947</f>
        <v>C0151</v>
      </c>
      <c r="D950" s="32" t="str">
        <f>Orders!H947</f>
        <v>Delivered</v>
      </c>
      <c r="E950" s="33">
        <f>IF(Orders!H947="Delivered",1,0)</f>
        <v>1</v>
      </c>
      <c r="F950" s="34">
        <f>IF(E950=1,Orders!R947,"")</f>
        <v>4.4</v>
      </c>
      <c r="G950" s="33">
        <f>IF(E950=1,IF(Orders!R947&gt;0,1,0),"")</f>
        <v>1</v>
      </c>
      <c r="H950" s="33">
        <f>IF(E950=1,IF(Orders!R947&gt;5,1,0),"")</f>
        <v>0</v>
      </c>
      <c r="I950" s="32" t="str">
        <f>IF(E950=1,"",IF(OR(Orders!T947="Rider unavailable",Orders!T947="Item unavailable"),"Company-caused","Unresolved"))</f>
        <v/>
      </c>
      <c r="J950" s="33">
        <f>IF(OR(E950=1,I950="Company-caused"),1,0)</f>
        <v>1</v>
      </c>
      <c r="K950" s="32" t="str">
        <f>IF(E950=0,IF(I950="Company-caused",IF(Orders!T947="Rider unavailable","C1 Rider unavailable","C2 Item unavailable"),"Outside root: unresolved"),IF(G950=0,"A On time",IF(H950=1,IF(L950=1,"B2a Severe, peak","B2b Severe, off-peak"),IF(L950=1,"B1a Slight, peak","B1b Slight, off-peak"))))</f>
        <v>B1b Slight, off-peak</v>
      </c>
      <c r="L950" s="33">
        <f>IF(AND(Orders!U947&gt;=19,Orders!U947&lt;22),1,0)</f>
        <v>0</v>
      </c>
      <c r="M950" s="33">
        <f>IF(L950=IF(Orders!V947,1,0),1,0)</f>
        <v>1</v>
      </c>
      <c r="N950" s="32" t="str">
        <f>IF(Orders!W947="","None",Orders!W947)</f>
        <v>None</v>
      </c>
      <c r="O950" s="35">
        <f>INT(Orders!E947)</f>
        <v>46274.0</v>
      </c>
      <c r="P950" s="33">
        <f>Orders!U947</f>
        <v>12</v>
      </c>
      <c r="Q950" s="33">
        <f>COUNTIFS(Demand!$A$2:$A$4481,B950,Demand!$B$2:$B$4481,O950,Demand!$C$2:$C$4481,P950)</f>
        <v>1</v>
      </c>
      <c r="R950" s="33">
        <f>IF(Q950=1,SUMIFS(Demand!$E$2:$E$4481,Demand!$A$2:$A$4481,B950,Demand!$B$2:$B$4481,O950,Demand!$C$2:$C$4481,P950),"")</f>
        <v>31</v>
      </c>
      <c r="S950" s="33">
        <f>INDEX(Stores!$G$2:$G$21,MATCH(B950,Stores!$A$2:$A$21,0))</f>
        <v>31</v>
      </c>
      <c r="T950" s="34">
        <f>IF(R950="","",R950/S950)</f>
        <v>1</v>
      </c>
      <c r="U950" s="34">
        <f>IF(E950=1,T950,"")</f>
        <v>1</v>
      </c>
      <c r="V950" s="34">
        <f>IF(AND(E950=1,L950=0),T950,"")</f>
        <v>1</v>
      </c>
      <c r="W950" s="33">
        <f>IF(U950="","",IF(U950&lt;=Breakdowns!$C$5,1,IF(U950&lt;=Breakdowns!$C$6,2,IF(U950&lt;=Breakdowns!$C$7,3,4))))</f>
        <v>2</v>
      </c>
      <c r="X950" s="33">
        <f>IF(V950="","",IF(V950&lt;=Breakdowns!$D$5,1,IF(V950&lt;=Breakdowns!$D$6,2,IF(V950&lt;=Breakdowns!$D$7,3,4))))</f>
        <v>3</v>
      </c>
      <c r="Y950" s="34">
        <f>INDEX(Stores!$F$2:$F$21,MATCH(B950,Stores!$A$2:$A$21,0))</f>
        <v>5.67</v>
      </c>
      <c r="Z950" s="33">
        <f>IF(Y950&gt;Store_Summary!$M$2,1,0)</f>
        <v>1</v>
      </c>
      <c r="AA950" s="33">
        <f>INDEX(Stores!$C$2:$C$21,MATCH(B950,Stores!$A$2:$A$21,0))</f>
        <v>732</v>
      </c>
      <c r="AB950" s="33">
        <f>IF(AA950&lt;180,1,0)</f>
        <v>0</v>
      </c>
      <c r="AC950" s="32" t="str">
        <f>IF(Orders!D947="","",INDEX(Riders!$C$2:$C$81,MATCH(Orders!D947,Riders!$A$2:$A$81,0)))</f>
        <v>EV scooter</v>
      </c>
      <c r="AD950" s="33">
        <f>IF(Orders!D947="","",INDEX(Riders!$D$2:$D$81,MATCH(Orders!D947,Riders!$A$2:$A$81,0)))</f>
        <v>2</v>
      </c>
      <c r="AE950" s="33">
        <f>IF(Orders!D947="","",IF(INDEX(Riders!$B$2:$B$81,MATCH(Orders!D947,Riders!$A$2:$A$81,0))=B950,1,0))</f>
        <v>0</v>
      </c>
      <c r="AF950" s="34">
        <f>IF(E950=1,Orders!L947,"")</f>
        <v>1.21</v>
      </c>
      <c r="AG950" s="34">
        <f>IF(E950=1,Orders!P947,"")</f>
        <v>8.7</v>
      </c>
      <c r="AH950" s="34">
        <f>IF(E950=1,Orders!Q947,"")</f>
        <v>13.1</v>
      </c>
      <c r="AI950" s="34">
        <f>IF(E950=1,Orders!M947,"")</f>
        <v>6</v>
      </c>
      <c r="AJ950" s="34">
        <f>IF(E950=1,Orders!N947,"")</f>
        <v>3.9</v>
      </c>
      <c r="AK950" s="34">
        <f>IF(E950=1,Orders!O947,"")</f>
        <v>3.3</v>
      </c>
      <c r="AL950" s="33">
        <f>IF(E950=1,IF(ROUND(ABS(AI950+AJ950+AK950-AH950),6)&lt;=0.1,1,0),"")</f>
        <v>1</v>
      </c>
      <c r="AM950" s="36">
        <f>IF(E950=1,AI950/AH950,"")</f>
        <v>0.458015267175573</v>
      </c>
      <c r="AN950" s="36">
        <f>IF(E950=1,AJ950/AH950,"")</f>
        <v>0.297709923664122</v>
      </c>
      <c r="AO950" s="36">
        <f>IF(E950=1,AK950/AH950,"")</f>
        <v>0.251908396946565</v>
      </c>
      <c r="AP950" s="34">
        <f>IF(E950=1,Orders!Y947,"")</f>
        <v>0.18</v>
      </c>
      <c r="AQ950" s="33">
        <f>IF(Orders!X947,1,0)</f>
        <v>0</v>
      </c>
      <c r="AR950" s="34" t="str">
        <f>IF(AND(E950=1,L950=1),AJ950,"")</f>
        <v/>
      </c>
      <c r="AS950" s="34">
        <f>IF(AND(E950=1,L950=0),AJ950,"")</f>
        <v>3.9</v>
      </c>
      <c r="AT950" s="34" t="str">
        <f>IF(AND(E950=1,L950=1),AI950,"")</f>
        <v/>
      </c>
      <c r="AU950" s="34">
        <f>IF(AND(E950=1,L950=0),AI950,"")</f>
        <v>6</v>
      </c>
      <c r="AV950" s="34" t="str">
        <f>IF(AND(E950=1,L950=1),AG950,"")</f>
        <v/>
      </c>
      <c r="AW950" s="34">
        <f>IF(AND(E950=1,L950=0),AG950,"")</f>
        <v>8.7</v>
      </c>
      <c r="AX950" s="34" t="str">
        <f>IF(AND(E950=1,L950=1),AH950,"")</f>
        <v/>
      </c>
      <c r="AY950" s="34">
        <f>IF(AND(E950=1,L950=0),AH950,"")</f>
        <v>13.1</v>
      </c>
      <c r="AZ950" s="34">
        <f>IF(G950=1,F950,"")</f>
        <v>4.4</v>
      </c>
      <c r="BA950" s="34" t="str">
        <f>IF(AND(G950=1,L950=1),F950,"")</f>
        <v/>
      </c>
      <c r="BB950" s="34">
        <f>IF(AND(G950=1,L950=0),F950,"")</f>
        <v>4.4</v>
      </c>
      <c r="BC950" s="33">
        <f>IF(E950=1,IF(Orders!R947&gt;3,1,0),"")</f>
        <v>1</v>
      </c>
      <c r="BD950" s="33">
        <f>IF(E950=1,IF(Orders!R947&gt;7,1,0),"")</f>
        <v>0</v>
      </c>
      <c r="BE950" s="32" t="str">
        <f>IF(E950=1,IF(Orders!L947&lt;=1.5,"Up to 1.5 km",IF(Orders!L947&lt;=3,"1.5–3 km","Over 3 km")),"")</f>
        <v>Up to 1.5 km</v>
      </c>
      <c r="BF950" s="33">
        <f>IF(E950=1,IF(ABS((Orders!G947-Orders!F947)*1440-Orders!R947)&lt;0.06,1,0),"")</f>
        <v>1</v>
      </c>
      <c r="BG950" s="33">
        <f>IF(ABS((Orders!F947-Orders!E947)*1440-Orders!P947)&lt;0.06,1,0)</f>
        <v>1</v>
      </c>
      <c r="BH950" s="33">
        <f>IF(E950=1,IF(IF(Orders!S947,1,0)=1-G950,1,0),"")</f>
        <v>1</v>
      </c>
      <c r="BI950" s="32" t="str">
        <f>INDEX(Stores!$B$2:$B$21,MATCH(B950,Stores!$A$2:$A$21,0))</f>
        <v>Bengaluru</v>
      </c>
    </row>
    <row r="951">
      <c r="A951" s="32" t="str">
        <f>Orders!A948</f>
        <v>O00947</v>
      </c>
      <c r="B951" s="32" t="str">
        <f>Orders!C948</f>
        <v>S011</v>
      </c>
      <c r="C951" s="32" t="str">
        <f>Orders!B948</f>
        <v>C0197</v>
      </c>
      <c r="D951" s="32" t="str">
        <f>Orders!H948</f>
        <v>Delivered</v>
      </c>
      <c r="E951" s="33">
        <f>IF(Orders!H948="Delivered",1,0)</f>
        <v>1</v>
      </c>
      <c r="F951" s="34">
        <f>IF(E951=1,Orders!R948,"")</f>
        <v>-0.2</v>
      </c>
      <c r="G951" s="33">
        <f>IF(E951=1,IF(Orders!R948&gt;0,1,0),"")</f>
        <v>0</v>
      </c>
      <c r="H951" s="33">
        <f>IF(E951=1,IF(Orders!R948&gt;5,1,0),"")</f>
        <v>0</v>
      </c>
      <c r="I951" s="32" t="str">
        <f>IF(E951=1,"",IF(OR(Orders!T948="Rider unavailable",Orders!T948="Item unavailable"),"Company-caused","Unresolved"))</f>
        <v/>
      </c>
      <c r="J951" s="33">
        <f>IF(OR(E951=1,I951="Company-caused"),1,0)</f>
        <v>1</v>
      </c>
      <c r="K951" s="32" t="str">
        <f>IF(E951=0,IF(I951="Company-caused",IF(Orders!T948="Rider unavailable","C1 Rider unavailable","C2 Item unavailable"),"Outside root: unresolved"),IF(G951=0,"A On time",IF(H951=1,IF(L951=1,"B2a Severe, peak","B2b Severe, off-peak"),IF(L951=1,"B1a Slight, peak","B1b Slight, off-peak"))))</f>
        <v>A On time</v>
      </c>
      <c r="L951" s="33">
        <f>IF(AND(Orders!U948&gt;=19,Orders!U948&lt;22),1,0)</f>
        <v>0</v>
      </c>
      <c r="M951" s="33">
        <f>IF(L951=IF(Orders!V948,1,0),1,0)</f>
        <v>1</v>
      </c>
      <c r="N951" s="32" t="str">
        <f>IF(Orders!W948="","None",Orders!W948)</f>
        <v>None</v>
      </c>
      <c r="O951" s="35">
        <f>INT(Orders!E948)</f>
        <v>46275.0</v>
      </c>
      <c r="P951" s="33">
        <f>Orders!U948</f>
        <v>18</v>
      </c>
      <c r="Q951" s="33">
        <f>COUNTIFS(Demand!$A$2:$A$4481,B951,Demand!$B$2:$B$4481,O951,Demand!$C$2:$C$4481,P951)</f>
        <v>1</v>
      </c>
      <c r="R951" s="33">
        <f>IF(Q951=1,SUMIFS(Demand!$E$2:$E$4481,Demand!$A$2:$A$4481,B951,Demand!$B$2:$B$4481,O951,Demand!$C$2:$C$4481,P951),"")</f>
        <v>31</v>
      </c>
      <c r="S951" s="33">
        <f>INDEX(Stores!$G$2:$G$21,MATCH(B951,Stores!$A$2:$A$21,0))</f>
        <v>31</v>
      </c>
      <c r="T951" s="34">
        <f>IF(R951="","",R951/S951)</f>
        <v>1</v>
      </c>
      <c r="U951" s="34">
        <f>IF(E951=1,T951,"")</f>
        <v>1</v>
      </c>
      <c r="V951" s="34">
        <f>IF(AND(E951=1,L951=0),T951,"")</f>
        <v>1</v>
      </c>
      <c r="W951" s="33">
        <f>IF(U951="","",IF(U951&lt;=Breakdowns!$C$5,1,IF(U951&lt;=Breakdowns!$C$6,2,IF(U951&lt;=Breakdowns!$C$7,3,4))))</f>
        <v>2</v>
      </c>
      <c r="X951" s="33">
        <f>IF(V951="","",IF(V951&lt;=Breakdowns!$D$5,1,IF(V951&lt;=Breakdowns!$D$6,2,IF(V951&lt;=Breakdowns!$D$7,3,4))))</f>
        <v>3</v>
      </c>
      <c r="Y951" s="34">
        <f>INDEX(Stores!$F$2:$F$21,MATCH(B951,Stores!$A$2:$A$21,0))</f>
        <v>5.67</v>
      </c>
      <c r="Z951" s="33">
        <f>IF(Y951&gt;Store_Summary!$M$2,1,0)</f>
        <v>1</v>
      </c>
      <c r="AA951" s="33">
        <f>INDEX(Stores!$C$2:$C$21,MATCH(B951,Stores!$A$2:$A$21,0))</f>
        <v>732</v>
      </c>
      <c r="AB951" s="33">
        <f>IF(AA951&lt;180,1,0)</f>
        <v>0</v>
      </c>
      <c r="AC951" s="32" t="str">
        <f>IF(Orders!D948="","",INDEX(Riders!$C$2:$C$81,MATCH(Orders!D948,Riders!$A$2:$A$81,0)))</f>
        <v>Petrol scooter</v>
      </c>
      <c r="AD951" s="33">
        <f>IF(Orders!D948="","",INDEX(Riders!$D$2:$D$81,MATCH(Orders!D948,Riders!$A$2:$A$81,0)))</f>
        <v>43</v>
      </c>
      <c r="AE951" s="33">
        <f>IF(Orders!D948="","",IF(INDEX(Riders!$B$2:$B$81,MATCH(Orders!D948,Riders!$A$2:$A$81,0))=B951,1,0))</f>
        <v>0</v>
      </c>
      <c r="AF951" s="34">
        <f>IF(E951=1,Orders!L948,"")</f>
        <v>1.6</v>
      </c>
      <c r="AG951" s="34">
        <f>IF(E951=1,Orders!P948,"")</f>
        <v>11.2</v>
      </c>
      <c r="AH951" s="34">
        <f>IF(E951=1,Orders!Q948,"")</f>
        <v>11</v>
      </c>
      <c r="AI951" s="34">
        <f>IF(E951=1,Orders!M948,"")</f>
        <v>3.9</v>
      </c>
      <c r="AJ951" s="34">
        <f>IF(E951=1,Orders!N948,"")</f>
        <v>3.5</v>
      </c>
      <c r="AK951" s="34">
        <f>IF(E951=1,Orders!O948,"")</f>
        <v>3.6</v>
      </c>
      <c r="AL951" s="33">
        <f>IF(E951=1,IF(ROUND(ABS(AI951+AJ951+AK951-AH951),6)&lt;=0.1,1,0),"")</f>
        <v>1</v>
      </c>
      <c r="AM951" s="36">
        <f>IF(E951=1,AI951/AH951,"")</f>
        <v>0.354545454545455</v>
      </c>
      <c r="AN951" s="36">
        <f>IF(E951=1,AJ951/AH951,"")</f>
        <v>0.318181818181818</v>
      </c>
      <c r="AO951" s="36">
        <f>IF(E951=1,AK951/AH951,"")</f>
        <v>0.327272727272727</v>
      </c>
      <c r="AP951" s="34">
        <f>IF(E951=1,Orders!Y948,"")</f>
        <v>0.37</v>
      </c>
      <c r="AQ951" s="33">
        <f>IF(Orders!X948,1,0)</f>
        <v>0</v>
      </c>
      <c r="AR951" s="34" t="str">
        <f>IF(AND(E951=1,L951=1),AJ951,"")</f>
        <v/>
      </c>
      <c r="AS951" s="34">
        <f>IF(AND(E951=1,L951=0),AJ951,"")</f>
        <v>3.5</v>
      </c>
      <c r="AT951" s="34" t="str">
        <f>IF(AND(E951=1,L951=1),AI951,"")</f>
        <v/>
      </c>
      <c r="AU951" s="34">
        <f>IF(AND(E951=1,L951=0),AI951,"")</f>
        <v>3.9</v>
      </c>
      <c r="AV951" s="34" t="str">
        <f>IF(AND(E951=1,L951=1),AG951,"")</f>
        <v/>
      </c>
      <c r="AW951" s="34">
        <f>IF(AND(E951=1,L951=0),AG951,"")</f>
        <v>11.2</v>
      </c>
      <c r="AX951" s="34" t="str">
        <f>IF(AND(E951=1,L951=1),AH951,"")</f>
        <v/>
      </c>
      <c r="AY951" s="34">
        <f>IF(AND(E951=1,L951=0),AH951,"")</f>
        <v>11</v>
      </c>
      <c r="AZ951" s="34" t="str">
        <f>IF(G951=1,F951,"")</f>
        <v/>
      </c>
      <c r="BA951" s="34" t="str">
        <f>IF(AND(G951=1,L951=1),F951,"")</f>
        <v/>
      </c>
      <c r="BB951" s="34" t="str">
        <f>IF(AND(G951=1,L951=0),F951,"")</f>
        <v/>
      </c>
      <c r="BC951" s="33">
        <f>IF(E951=1,IF(Orders!R948&gt;3,1,0),"")</f>
        <v>0</v>
      </c>
      <c r="BD951" s="33">
        <f>IF(E951=1,IF(Orders!R948&gt;7,1,0),"")</f>
        <v>0</v>
      </c>
      <c r="BE951" s="32" t="str">
        <f>IF(E951=1,IF(Orders!L948&lt;=1.5,"Up to 1.5 km",IF(Orders!L948&lt;=3,"1.5–3 km","Over 3 km")),"")</f>
        <v>1.5–3 km</v>
      </c>
      <c r="BF951" s="33">
        <f>IF(E951=1,IF(ABS((Orders!G948-Orders!F948)*1440-Orders!R948)&lt;0.06,1,0),"")</f>
        <v>1</v>
      </c>
      <c r="BG951" s="33">
        <f>IF(ABS((Orders!F948-Orders!E948)*1440-Orders!P948)&lt;0.06,1,0)</f>
        <v>1</v>
      </c>
      <c r="BH951" s="33">
        <f>IF(E951=1,IF(IF(Orders!S948,1,0)=1-G951,1,0),"")</f>
        <v>1</v>
      </c>
      <c r="BI951" s="32" t="str">
        <f>INDEX(Stores!$B$2:$B$21,MATCH(B951,Stores!$A$2:$A$21,0))</f>
        <v>Bengaluru</v>
      </c>
    </row>
    <row r="952">
      <c r="A952" s="32" t="str">
        <f>Orders!A949</f>
        <v>O00948</v>
      </c>
      <c r="B952" s="32" t="str">
        <f>Orders!C949</f>
        <v>S017</v>
      </c>
      <c r="C952" s="32" t="str">
        <f>Orders!B949</f>
        <v>C0010</v>
      </c>
      <c r="D952" s="32" t="str">
        <f>Orders!H949</f>
        <v>Delivered</v>
      </c>
      <c r="E952" s="33">
        <f>IF(Orders!H949="Delivered",1,0)</f>
        <v>1</v>
      </c>
      <c r="F952" s="34">
        <f>IF(E952=1,Orders!R949,"")</f>
        <v>-1</v>
      </c>
      <c r="G952" s="33">
        <f>IF(E952=1,IF(Orders!R949&gt;0,1,0),"")</f>
        <v>0</v>
      </c>
      <c r="H952" s="33">
        <f>IF(E952=1,IF(Orders!R949&gt;5,1,0),"")</f>
        <v>0</v>
      </c>
      <c r="I952" s="32" t="str">
        <f>IF(E952=1,"",IF(OR(Orders!T949="Rider unavailable",Orders!T949="Item unavailable"),"Company-caused","Unresolved"))</f>
        <v/>
      </c>
      <c r="J952" s="33">
        <f>IF(OR(E952=1,I952="Company-caused"),1,0)</f>
        <v>1</v>
      </c>
      <c r="K952" s="32" t="str">
        <f>IF(E952=0,IF(I952="Company-caused",IF(Orders!T949="Rider unavailable","C1 Rider unavailable","C2 Item unavailable"),"Outside root: unresolved"),IF(G952=0,"A On time",IF(H952=1,IF(L952=1,"B2a Severe, peak","B2b Severe, off-peak"),IF(L952=1,"B1a Slight, peak","B1b Slight, off-peak"))))</f>
        <v>A On time</v>
      </c>
      <c r="L952" s="33">
        <f>IF(AND(Orders!U949&gt;=19,Orders!U949&lt;22),1,0)</f>
        <v>1</v>
      </c>
      <c r="M952" s="33">
        <f>IF(L952=IF(Orders!V949,1,0),1,0)</f>
        <v>1</v>
      </c>
      <c r="N952" s="32" t="str">
        <f>IF(Orders!W949="","None",Orders!W949)</f>
        <v>None</v>
      </c>
      <c r="O952" s="35">
        <f>INT(Orders!E949)</f>
        <v>46269.0</v>
      </c>
      <c r="P952" s="33">
        <f>Orders!U949</f>
        <v>21</v>
      </c>
      <c r="Q952" s="33">
        <f>COUNTIFS(Demand!$A$2:$A$4481,B952,Demand!$B$2:$B$4481,O952,Demand!$C$2:$C$4481,P952)</f>
        <v>1</v>
      </c>
      <c r="R952" s="33">
        <f>IF(Q952=1,SUMIFS(Demand!$E$2:$E$4481,Demand!$A$2:$A$4481,B952,Demand!$B$2:$B$4481,O952,Demand!$C$2:$C$4481,P952),"")</f>
        <v>58</v>
      </c>
      <c r="S952" s="33">
        <f>INDEX(Stores!$G$2:$G$21,MATCH(B952,Stores!$A$2:$A$21,0))</f>
        <v>36</v>
      </c>
      <c r="T952" s="34">
        <f>IF(R952="","",R952/S952)</f>
        <v>1.61111111111111</v>
      </c>
      <c r="U952" s="34">
        <f>IF(E952=1,T952,"")</f>
        <v>1.61111111111111</v>
      </c>
      <c r="V952" s="34" t="str">
        <f>IF(AND(E952=1,L952=0),T952,"")</f>
        <v/>
      </c>
      <c r="W952" s="33">
        <f>IF(U952="","",IF(U952&lt;=Breakdowns!$C$5,1,IF(U952&lt;=Breakdowns!$C$6,2,IF(U952&lt;=Breakdowns!$C$7,3,4))))</f>
        <v>4</v>
      </c>
      <c r="X952" s="33" t="str">
        <f>IF(V952="","",IF(V952&lt;=Breakdowns!$D$5,1,IF(V952&lt;=Breakdowns!$D$6,2,IF(V952&lt;=Breakdowns!$D$7,3,4))))</f>
        <v/>
      </c>
      <c r="Y952" s="34">
        <f>INDEX(Stores!$F$2:$F$21,MATCH(B952,Stores!$A$2:$A$21,0))</f>
        <v>2.16</v>
      </c>
      <c r="Z952" s="33">
        <f>IF(Y952&gt;Store_Summary!$M$2,1,0)</f>
        <v>0</v>
      </c>
      <c r="AA952" s="33">
        <f>INDEX(Stores!$C$2:$C$21,MATCH(B952,Stores!$A$2:$A$21,0))</f>
        <v>47</v>
      </c>
      <c r="AB952" s="33">
        <f>IF(AA952&lt;180,1,0)</f>
        <v>1</v>
      </c>
      <c r="AC952" s="32" t="str">
        <f>IF(Orders!D949="","",INDEX(Riders!$C$2:$C$81,MATCH(Orders!D949,Riders!$A$2:$A$81,0)))</f>
        <v>EV scooter</v>
      </c>
      <c r="AD952" s="33">
        <f>IF(Orders!D949="","",INDEX(Riders!$D$2:$D$81,MATCH(Orders!D949,Riders!$A$2:$A$81,0)))</f>
        <v>32</v>
      </c>
      <c r="AE952" s="33">
        <f>IF(Orders!D949="","",IF(INDEX(Riders!$B$2:$B$81,MATCH(Orders!D949,Riders!$A$2:$A$81,0))=B952,1,0))</f>
        <v>1</v>
      </c>
      <c r="AF952" s="34">
        <f>IF(E952=1,Orders!L949,"")</f>
        <v>0.5</v>
      </c>
      <c r="AG952" s="34">
        <f>IF(E952=1,Orders!P949,"")</f>
        <v>9.4</v>
      </c>
      <c r="AH952" s="34">
        <f>IF(E952=1,Orders!Q949,"")</f>
        <v>8.4</v>
      </c>
      <c r="AI952" s="34">
        <f>IF(E952=1,Orders!M949,"")</f>
        <v>2.6</v>
      </c>
      <c r="AJ952" s="34">
        <f>IF(E952=1,Orders!N949,"")</f>
        <v>2.9</v>
      </c>
      <c r="AK952" s="34">
        <f>IF(E952=1,Orders!O949,"")</f>
        <v>2.9</v>
      </c>
      <c r="AL952" s="33">
        <f>IF(E952=1,IF(ROUND(ABS(AI952+AJ952+AK952-AH952),6)&lt;=0.1,1,0),"")</f>
        <v>1</v>
      </c>
      <c r="AM952" s="36">
        <f>IF(E952=1,AI952/AH952,"")</f>
        <v>0.30952380952381</v>
      </c>
      <c r="AN952" s="36">
        <f>IF(E952=1,AJ952/AH952,"")</f>
        <v>0.345238095238095</v>
      </c>
      <c r="AO952" s="36">
        <f>IF(E952=1,AK952/AH952,"")</f>
        <v>0.345238095238095</v>
      </c>
      <c r="AP952" s="34">
        <f>IF(E952=1,Orders!Y949,"")</f>
        <v>1</v>
      </c>
      <c r="AQ952" s="33">
        <f>IF(Orders!X949,1,0)</f>
        <v>0</v>
      </c>
      <c r="AR952" s="34">
        <f>IF(AND(E952=1,L952=1),AJ952,"")</f>
        <v>2.9</v>
      </c>
      <c r="AS952" s="34" t="str">
        <f>IF(AND(E952=1,L952=0),AJ952,"")</f>
        <v/>
      </c>
      <c r="AT952" s="34">
        <f>IF(AND(E952=1,L952=1),AI952,"")</f>
        <v>2.6</v>
      </c>
      <c r="AU952" s="34" t="str">
        <f>IF(AND(E952=1,L952=0),AI952,"")</f>
        <v/>
      </c>
      <c r="AV952" s="34">
        <f>IF(AND(E952=1,L952=1),AG952,"")</f>
        <v>9.4</v>
      </c>
      <c r="AW952" s="34" t="str">
        <f>IF(AND(E952=1,L952=0),AG952,"")</f>
        <v/>
      </c>
      <c r="AX952" s="34">
        <f>IF(AND(E952=1,L952=1),AH952,"")</f>
        <v>8.4</v>
      </c>
      <c r="AY952" s="34" t="str">
        <f>IF(AND(E952=1,L952=0),AH952,"")</f>
        <v/>
      </c>
      <c r="AZ952" s="34" t="str">
        <f>IF(G952=1,F952,"")</f>
        <v/>
      </c>
      <c r="BA952" s="34" t="str">
        <f>IF(AND(G952=1,L952=1),F952,"")</f>
        <v/>
      </c>
      <c r="BB952" s="34" t="str">
        <f>IF(AND(G952=1,L952=0),F952,"")</f>
        <v/>
      </c>
      <c r="BC952" s="33">
        <f>IF(E952=1,IF(Orders!R949&gt;3,1,0),"")</f>
        <v>0</v>
      </c>
      <c r="BD952" s="33">
        <f>IF(E952=1,IF(Orders!R949&gt;7,1,0),"")</f>
        <v>0</v>
      </c>
      <c r="BE952" s="32" t="str">
        <f>IF(E952=1,IF(Orders!L949&lt;=1.5,"Up to 1.5 km",IF(Orders!L949&lt;=3,"1.5–3 km","Over 3 km")),"")</f>
        <v>Up to 1.5 km</v>
      </c>
      <c r="BF952" s="33">
        <f>IF(E952=1,IF(ABS((Orders!G949-Orders!F949)*1440-Orders!R949)&lt;0.06,1,0),"")</f>
        <v>1</v>
      </c>
      <c r="BG952" s="33">
        <f>IF(ABS((Orders!F949-Orders!E949)*1440-Orders!P949)&lt;0.06,1,0)</f>
        <v>1</v>
      </c>
      <c r="BH952" s="33">
        <f>IF(E952=1,IF(IF(Orders!S949,1,0)=1-G952,1,0),"")</f>
        <v>1</v>
      </c>
      <c r="BI952" s="32" t="str">
        <f>INDEX(Stores!$B$2:$B$21,MATCH(B952,Stores!$A$2:$A$21,0))</f>
        <v>Hyderabad</v>
      </c>
    </row>
    <row r="953">
      <c r="A953" s="32" t="str">
        <f>Orders!A950</f>
        <v>O00949</v>
      </c>
      <c r="B953" s="32" t="str">
        <f>Orders!C950</f>
        <v>S016</v>
      </c>
      <c r="C953" s="32" t="str">
        <f>Orders!B950</f>
        <v>C0108</v>
      </c>
      <c r="D953" s="32" t="str">
        <f>Orders!H950</f>
        <v>Delivered</v>
      </c>
      <c r="E953" s="33">
        <f>IF(Orders!H950="Delivered",1,0)</f>
        <v>1</v>
      </c>
      <c r="F953" s="34">
        <f>IF(E953=1,Orders!R950,"")</f>
        <v>10.2</v>
      </c>
      <c r="G953" s="33">
        <f>IF(E953=1,IF(Orders!R950&gt;0,1,0),"")</f>
        <v>1</v>
      </c>
      <c r="H953" s="33">
        <f>IF(E953=1,IF(Orders!R950&gt;5,1,0),"")</f>
        <v>1</v>
      </c>
      <c r="I953" s="32" t="str">
        <f>IF(E953=1,"",IF(OR(Orders!T950="Rider unavailable",Orders!T950="Item unavailable"),"Company-caused","Unresolved"))</f>
        <v/>
      </c>
      <c r="J953" s="33">
        <f>IF(OR(E953=1,I953="Company-caused"),1,0)</f>
        <v>1</v>
      </c>
      <c r="K953" s="32" t="str">
        <f>IF(E953=0,IF(I953="Company-caused",IF(Orders!T950="Rider unavailable","C1 Rider unavailable","C2 Item unavailable"),"Outside root: unresolved"),IF(G953=0,"A On time",IF(H953=1,IF(L953=1,"B2a Severe, peak","B2b Severe, off-peak"),IF(L953=1,"B1a Slight, peak","B1b Slight, off-peak"))))</f>
        <v>B2a Severe, peak</v>
      </c>
      <c r="L953" s="33">
        <f>IF(AND(Orders!U950&gt;=19,Orders!U950&lt;22),1,0)</f>
        <v>1</v>
      </c>
      <c r="M953" s="33">
        <f>IF(L953=IF(Orders!V950,1,0),1,0)</f>
        <v>1</v>
      </c>
      <c r="N953" s="32" t="str">
        <f>IF(Orders!W950="","None",Orders!W950)</f>
        <v>None</v>
      </c>
      <c r="O953" s="35">
        <f>INT(Orders!E950)</f>
        <v>46269.0</v>
      </c>
      <c r="P953" s="33">
        <f>Orders!U950</f>
        <v>19</v>
      </c>
      <c r="Q953" s="33">
        <f>COUNTIFS(Demand!$A$2:$A$4481,B953,Demand!$B$2:$B$4481,O953,Demand!$C$2:$C$4481,P953)</f>
        <v>1</v>
      </c>
      <c r="R953" s="33">
        <f>IF(Q953=1,SUMIFS(Demand!$E$2:$E$4481,Demand!$A$2:$A$4481,B953,Demand!$B$2:$B$4481,O953,Demand!$C$2:$C$4481,P953),"")</f>
        <v>29</v>
      </c>
      <c r="S953" s="33">
        <f>INDEX(Stores!$G$2:$G$21,MATCH(B953,Stores!$A$2:$A$21,0))</f>
        <v>25</v>
      </c>
      <c r="T953" s="34">
        <f>IF(R953="","",R953/S953)</f>
        <v>1.16</v>
      </c>
      <c r="U953" s="34">
        <f>IF(E953=1,T953,"")</f>
        <v>1.16</v>
      </c>
      <c r="V953" s="34" t="str">
        <f>IF(AND(E953=1,L953=0),T953,"")</f>
        <v/>
      </c>
      <c r="W953" s="33">
        <f>IF(U953="","",IF(U953&lt;=Breakdowns!$C$5,1,IF(U953&lt;=Breakdowns!$C$6,2,IF(U953&lt;=Breakdowns!$C$7,3,4))))</f>
        <v>3</v>
      </c>
      <c r="X953" s="33" t="str">
        <f>IF(V953="","",IF(V953&lt;=Breakdowns!$D$5,1,IF(V953&lt;=Breakdowns!$D$6,2,IF(V953&lt;=Breakdowns!$D$7,3,4))))</f>
        <v/>
      </c>
      <c r="Y953" s="34">
        <f>INDEX(Stores!$F$2:$F$21,MATCH(B953,Stores!$A$2:$A$21,0))</f>
        <v>5.51</v>
      </c>
      <c r="Z953" s="33">
        <f>IF(Y953&gt;Store_Summary!$M$2,1,0)</f>
        <v>1</v>
      </c>
      <c r="AA953" s="33">
        <f>INDEX(Stores!$C$2:$C$21,MATCH(B953,Stores!$A$2:$A$21,0))</f>
        <v>792</v>
      </c>
      <c r="AB953" s="33">
        <f>IF(AA953&lt;180,1,0)</f>
        <v>0</v>
      </c>
      <c r="AC953" s="32" t="str">
        <f>IF(Orders!D950="","",INDEX(Riders!$C$2:$C$81,MATCH(Orders!D950,Riders!$A$2:$A$81,0)))</f>
        <v>Petrol scooter</v>
      </c>
      <c r="AD953" s="33">
        <f>IF(Orders!D950="","",INDEX(Riders!$D$2:$D$81,MATCH(Orders!D950,Riders!$A$2:$A$81,0)))</f>
        <v>15</v>
      </c>
      <c r="AE953" s="33">
        <f>IF(Orders!D950="","",IF(INDEX(Riders!$B$2:$B$81,MATCH(Orders!D950,Riders!$A$2:$A$81,0))=B953,1,0))</f>
        <v>0</v>
      </c>
      <c r="AF953" s="34">
        <f>IF(E953=1,Orders!L950,"")</f>
        <v>1.75</v>
      </c>
      <c r="AG953" s="34">
        <f>IF(E953=1,Orders!P950,"")</f>
        <v>10.2</v>
      </c>
      <c r="AH953" s="34">
        <f>IF(E953=1,Orders!Q950,"")</f>
        <v>20.4</v>
      </c>
      <c r="AI953" s="34">
        <f>IF(E953=1,Orders!M950,"")</f>
        <v>6.5</v>
      </c>
      <c r="AJ953" s="34">
        <f>IF(E953=1,Orders!N950,"")</f>
        <v>8.9</v>
      </c>
      <c r="AK953" s="34">
        <f>IF(E953=1,Orders!O950,"")</f>
        <v>4.9</v>
      </c>
      <c r="AL953" s="33">
        <f>IF(E953=1,IF(ROUND(ABS(AI953+AJ953+AK953-AH953),6)&lt;=0.1,1,0),"")</f>
        <v>1</v>
      </c>
      <c r="AM953" s="36">
        <f>IF(E953=1,AI953/AH953,"")</f>
        <v>0.318627450980392</v>
      </c>
      <c r="AN953" s="36">
        <f>IF(E953=1,AJ953/AH953,"")</f>
        <v>0.436274509803922</v>
      </c>
      <c r="AO953" s="36">
        <f>IF(E953=1,AK953/AH953,"")</f>
        <v>0.240196078431373</v>
      </c>
      <c r="AP953" s="34">
        <f>IF(E953=1,Orders!Y950,"")</f>
        <v>0.57</v>
      </c>
      <c r="AQ953" s="33">
        <f>IF(Orders!X950,1,0)</f>
        <v>0</v>
      </c>
      <c r="AR953" s="34">
        <f>IF(AND(E953=1,L953=1),AJ953,"")</f>
        <v>8.9</v>
      </c>
      <c r="AS953" s="34" t="str">
        <f>IF(AND(E953=1,L953=0),AJ953,"")</f>
        <v/>
      </c>
      <c r="AT953" s="34">
        <f>IF(AND(E953=1,L953=1),AI953,"")</f>
        <v>6.5</v>
      </c>
      <c r="AU953" s="34" t="str">
        <f>IF(AND(E953=1,L953=0),AI953,"")</f>
        <v/>
      </c>
      <c r="AV953" s="34">
        <f>IF(AND(E953=1,L953=1),AG953,"")</f>
        <v>10.2</v>
      </c>
      <c r="AW953" s="34" t="str">
        <f>IF(AND(E953=1,L953=0),AG953,"")</f>
        <v/>
      </c>
      <c r="AX953" s="34">
        <f>IF(AND(E953=1,L953=1),AH953,"")</f>
        <v>20.4</v>
      </c>
      <c r="AY953" s="34" t="str">
        <f>IF(AND(E953=1,L953=0),AH953,"")</f>
        <v/>
      </c>
      <c r="AZ953" s="34">
        <f>IF(G953=1,F953,"")</f>
        <v>10.2</v>
      </c>
      <c r="BA953" s="34">
        <f>IF(AND(G953=1,L953=1),F953,"")</f>
        <v>10.2</v>
      </c>
      <c r="BB953" s="34" t="str">
        <f>IF(AND(G953=1,L953=0),F953,"")</f>
        <v/>
      </c>
      <c r="BC953" s="33">
        <f>IF(E953=1,IF(Orders!R950&gt;3,1,0),"")</f>
        <v>1</v>
      </c>
      <c r="BD953" s="33">
        <f>IF(E953=1,IF(Orders!R950&gt;7,1,0),"")</f>
        <v>1</v>
      </c>
      <c r="BE953" s="32" t="str">
        <f>IF(E953=1,IF(Orders!L950&lt;=1.5,"Up to 1.5 km",IF(Orders!L950&lt;=3,"1.5–3 km","Over 3 km")),"")</f>
        <v>1.5–3 km</v>
      </c>
      <c r="BF953" s="33">
        <f>IF(E953=1,IF(ABS((Orders!G950-Orders!F950)*1440-Orders!R950)&lt;0.06,1,0),"")</f>
        <v>1</v>
      </c>
      <c r="BG953" s="33">
        <f>IF(ABS((Orders!F950-Orders!E950)*1440-Orders!P950)&lt;0.06,1,0)</f>
        <v>1</v>
      </c>
      <c r="BH953" s="33">
        <f>IF(E953=1,IF(IF(Orders!S950,1,0)=1-G953,1,0),"")</f>
        <v>1</v>
      </c>
      <c r="BI953" s="32" t="str">
        <f>INDEX(Stores!$B$2:$B$21,MATCH(B953,Stores!$A$2:$A$21,0))</f>
        <v>Bengaluru</v>
      </c>
    </row>
    <row r="954">
      <c r="A954" s="32" t="str">
        <f>Orders!A951</f>
        <v>O00950</v>
      </c>
      <c r="B954" s="32" t="str">
        <f>Orders!C951</f>
        <v>S007</v>
      </c>
      <c r="C954" s="32" t="str">
        <f>Orders!B951</f>
        <v>C0099</v>
      </c>
      <c r="D954" s="32" t="str">
        <f>Orders!H951</f>
        <v>Delivered</v>
      </c>
      <c r="E954" s="33">
        <f>IF(Orders!H951="Delivered",1,0)</f>
        <v>1</v>
      </c>
      <c r="F954" s="34">
        <f>IF(E954=1,Orders!R951,"")</f>
        <v>-0.8</v>
      </c>
      <c r="G954" s="33">
        <f>IF(E954=1,IF(Orders!R951&gt;0,1,0),"")</f>
        <v>0</v>
      </c>
      <c r="H954" s="33">
        <f>IF(E954=1,IF(Orders!R951&gt;5,1,0),"")</f>
        <v>0</v>
      </c>
      <c r="I954" s="32" t="str">
        <f>IF(E954=1,"",IF(OR(Orders!T951="Rider unavailable",Orders!T951="Item unavailable"),"Company-caused","Unresolved"))</f>
        <v/>
      </c>
      <c r="J954" s="33">
        <f>IF(OR(E954=1,I954="Company-caused"),1,0)</f>
        <v>1</v>
      </c>
      <c r="K954" s="32" t="str">
        <f>IF(E954=0,IF(I954="Company-caused",IF(Orders!T951="Rider unavailable","C1 Rider unavailable","C2 Item unavailable"),"Outside root: unresolved"),IF(G954=0,"A On time",IF(H954=1,IF(L954=1,"B2a Severe, peak","B2b Severe, off-peak"),IF(L954=1,"B1a Slight, peak","B1b Slight, off-peak"))))</f>
        <v>A On time</v>
      </c>
      <c r="L954" s="33">
        <f>IF(AND(Orders!U951&gt;=19,Orders!U951&lt;22),1,0)</f>
        <v>0</v>
      </c>
      <c r="M954" s="33">
        <f>IF(L954=IF(Orders!V951,1,0),1,0)</f>
        <v>1</v>
      </c>
      <c r="N954" s="32" t="str">
        <f>IF(Orders!W951="","None",Orders!W951)</f>
        <v>None</v>
      </c>
      <c r="O954" s="35">
        <f>INT(Orders!E951)</f>
        <v>46269.0</v>
      </c>
      <c r="P954" s="33">
        <f>Orders!U951</f>
        <v>13</v>
      </c>
      <c r="Q954" s="33">
        <f>COUNTIFS(Demand!$A$2:$A$4481,B954,Demand!$B$2:$B$4481,O954,Demand!$C$2:$C$4481,P954)</f>
        <v>1</v>
      </c>
      <c r="R954" s="33">
        <f>IF(Q954=1,SUMIFS(Demand!$E$2:$E$4481,Demand!$A$2:$A$4481,B954,Demand!$B$2:$B$4481,O954,Demand!$C$2:$C$4481,P954),"")</f>
        <v>42</v>
      </c>
      <c r="S954" s="33">
        <f>INDEX(Stores!$G$2:$G$21,MATCH(B954,Stores!$A$2:$A$21,0))</f>
        <v>37</v>
      </c>
      <c r="T954" s="34">
        <f>IF(R954="","",R954/S954)</f>
        <v>1.13513513513514</v>
      </c>
      <c r="U954" s="34">
        <f>IF(E954=1,T954,"")</f>
        <v>1.13513513513514</v>
      </c>
      <c r="V954" s="34">
        <f>IF(AND(E954=1,L954=0),T954,"")</f>
        <v>1.13513513513514</v>
      </c>
      <c r="W954" s="33">
        <f>IF(U954="","",IF(U954&lt;=Breakdowns!$C$5,1,IF(U954&lt;=Breakdowns!$C$6,2,IF(U954&lt;=Breakdowns!$C$7,3,4))))</f>
        <v>3</v>
      </c>
      <c r="X954" s="33">
        <f>IF(V954="","",IF(V954&lt;=Breakdowns!$D$5,1,IF(V954&lt;=Breakdowns!$D$6,2,IF(V954&lt;=Breakdowns!$D$7,3,4))))</f>
        <v>4</v>
      </c>
      <c r="Y954" s="34">
        <f>INDEX(Stores!$F$2:$F$21,MATCH(B954,Stores!$A$2:$A$21,0))</f>
        <v>4.05</v>
      </c>
      <c r="Z954" s="33">
        <f>IF(Y954&gt;Store_Summary!$M$2,1,0)</f>
        <v>0</v>
      </c>
      <c r="AA954" s="33">
        <f>INDEX(Stores!$C$2:$C$21,MATCH(B954,Stores!$A$2:$A$21,0))</f>
        <v>661</v>
      </c>
      <c r="AB954" s="33">
        <f>IF(AA954&lt;180,1,0)</f>
        <v>0</v>
      </c>
      <c r="AC954" s="32" t="str">
        <f>IF(Orders!D951="","",INDEX(Riders!$C$2:$C$81,MATCH(Orders!D951,Riders!$A$2:$A$81,0)))</f>
        <v>Petrol scooter</v>
      </c>
      <c r="AD954" s="33">
        <f>IF(Orders!D951="","",INDEX(Riders!$D$2:$D$81,MATCH(Orders!D951,Riders!$A$2:$A$81,0)))</f>
        <v>19</v>
      </c>
      <c r="AE954" s="33">
        <f>IF(Orders!D951="","",IF(INDEX(Riders!$B$2:$B$81,MATCH(Orders!D951,Riders!$A$2:$A$81,0))=B954,1,0))</f>
        <v>0</v>
      </c>
      <c r="AF954" s="34">
        <f>IF(E954=1,Orders!L951,"")</f>
        <v>2.24</v>
      </c>
      <c r="AG954" s="34">
        <f>IF(E954=1,Orders!P951,"")</f>
        <v>10.4</v>
      </c>
      <c r="AH954" s="34">
        <f>IF(E954=1,Orders!Q951,"")</f>
        <v>9.6</v>
      </c>
      <c r="AI954" s="34">
        <f>IF(E954=1,Orders!M951,"")</f>
        <v>2</v>
      </c>
      <c r="AJ954" s="34">
        <f>IF(E954=1,Orders!N951,"")</f>
        <v>4.2</v>
      </c>
      <c r="AK954" s="34">
        <f>IF(E954=1,Orders!O951,"")</f>
        <v>3.4</v>
      </c>
      <c r="AL954" s="33">
        <f>IF(E954=1,IF(ROUND(ABS(AI954+AJ954+AK954-AH954),6)&lt;=0.1,1,0),"")</f>
        <v>1</v>
      </c>
      <c r="AM954" s="36">
        <f>IF(E954=1,AI954/AH954,"")</f>
        <v>0.208333333333333</v>
      </c>
      <c r="AN954" s="36">
        <f>IF(E954=1,AJ954/AH954,"")</f>
        <v>0.4375</v>
      </c>
      <c r="AO954" s="36">
        <f>IF(E954=1,AK954/AH954,"")</f>
        <v>0.354166666666667</v>
      </c>
      <c r="AP954" s="34">
        <f>IF(E954=1,Orders!Y951,"")</f>
        <v>0.52</v>
      </c>
      <c r="AQ954" s="33">
        <f>IF(Orders!X951,1,0)</f>
        <v>0</v>
      </c>
      <c r="AR954" s="34" t="str">
        <f>IF(AND(E954=1,L954=1),AJ954,"")</f>
        <v/>
      </c>
      <c r="AS954" s="34">
        <f>IF(AND(E954=1,L954=0),AJ954,"")</f>
        <v>4.2</v>
      </c>
      <c r="AT954" s="34" t="str">
        <f>IF(AND(E954=1,L954=1),AI954,"")</f>
        <v/>
      </c>
      <c r="AU954" s="34">
        <f>IF(AND(E954=1,L954=0),AI954,"")</f>
        <v>2</v>
      </c>
      <c r="AV954" s="34" t="str">
        <f>IF(AND(E954=1,L954=1),AG954,"")</f>
        <v/>
      </c>
      <c r="AW954" s="34">
        <f>IF(AND(E954=1,L954=0),AG954,"")</f>
        <v>10.4</v>
      </c>
      <c r="AX954" s="34" t="str">
        <f>IF(AND(E954=1,L954=1),AH954,"")</f>
        <v/>
      </c>
      <c r="AY954" s="34">
        <f>IF(AND(E954=1,L954=0),AH954,"")</f>
        <v>9.6</v>
      </c>
      <c r="AZ954" s="34" t="str">
        <f>IF(G954=1,F954,"")</f>
        <v/>
      </c>
      <c r="BA954" s="34" t="str">
        <f>IF(AND(G954=1,L954=1),F954,"")</f>
        <v/>
      </c>
      <c r="BB954" s="34" t="str">
        <f>IF(AND(G954=1,L954=0),F954,"")</f>
        <v/>
      </c>
      <c r="BC954" s="33">
        <f>IF(E954=1,IF(Orders!R951&gt;3,1,0),"")</f>
        <v>0</v>
      </c>
      <c r="BD954" s="33">
        <f>IF(E954=1,IF(Orders!R951&gt;7,1,0),"")</f>
        <v>0</v>
      </c>
      <c r="BE954" s="32" t="str">
        <f>IF(E954=1,IF(Orders!L951&lt;=1.5,"Up to 1.5 km",IF(Orders!L951&lt;=3,"1.5–3 km","Over 3 km")),"")</f>
        <v>1.5–3 km</v>
      </c>
      <c r="BF954" s="33">
        <f>IF(E954=1,IF(ABS((Orders!G951-Orders!F951)*1440-Orders!R951)&lt;0.06,1,0),"")</f>
        <v>1</v>
      </c>
      <c r="BG954" s="33">
        <f>IF(ABS((Orders!F951-Orders!E951)*1440-Orders!P951)&lt;0.06,1,0)</f>
        <v>1</v>
      </c>
      <c r="BH954" s="33">
        <f>IF(E954=1,IF(IF(Orders!S951,1,0)=1-G954,1,0),"")</f>
        <v>1</v>
      </c>
      <c r="BI954" s="32" t="str">
        <f>INDEX(Stores!$B$2:$B$21,MATCH(B954,Stores!$A$2:$A$21,0))</f>
        <v>Hyderabad</v>
      </c>
    </row>
    <row r="955">
      <c r="A955" s="32" t="str">
        <f>Orders!A952</f>
        <v>O00951</v>
      </c>
      <c r="B955" s="32" t="str">
        <f>Orders!C952</f>
        <v>S018</v>
      </c>
      <c r="C955" s="32" t="str">
        <f>Orders!B952</f>
        <v>C0230</v>
      </c>
      <c r="D955" s="32" t="str">
        <f>Orders!H952</f>
        <v>Delivered</v>
      </c>
      <c r="E955" s="33">
        <f>IF(Orders!H952="Delivered",1,0)</f>
        <v>1</v>
      </c>
      <c r="F955" s="34">
        <f>IF(E955=1,Orders!R952,"")</f>
        <v>3.2</v>
      </c>
      <c r="G955" s="33">
        <f>IF(E955=1,IF(Orders!R952&gt;0,1,0),"")</f>
        <v>1</v>
      </c>
      <c r="H955" s="33">
        <f>IF(E955=1,IF(Orders!R952&gt;5,1,0),"")</f>
        <v>0</v>
      </c>
      <c r="I955" s="32" t="str">
        <f>IF(E955=1,"",IF(OR(Orders!T952="Rider unavailable",Orders!T952="Item unavailable"),"Company-caused","Unresolved"))</f>
        <v/>
      </c>
      <c r="J955" s="33">
        <f>IF(OR(E955=1,I955="Company-caused"),1,0)</f>
        <v>1</v>
      </c>
      <c r="K955" s="32" t="str">
        <f>IF(E955=0,IF(I955="Company-caused",IF(Orders!T952="Rider unavailable","C1 Rider unavailable","C2 Item unavailable"),"Outside root: unresolved"),IF(G955=0,"A On time",IF(H955=1,IF(L955=1,"B2a Severe, peak","B2b Severe, off-peak"),IF(L955=1,"B1a Slight, peak","B1b Slight, off-peak"))))</f>
        <v>B1b Slight, off-peak</v>
      </c>
      <c r="L955" s="33">
        <f>IF(AND(Orders!U952&gt;=19,Orders!U952&lt;22),1,0)</f>
        <v>0</v>
      </c>
      <c r="M955" s="33">
        <f>IF(L955=IF(Orders!V952,1,0),1,0)</f>
        <v>1</v>
      </c>
      <c r="N955" s="32" t="str">
        <f>IF(Orders!W952="","None",Orders!W952)</f>
        <v>None</v>
      </c>
      <c r="O955" s="35">
        <f>INT(Orders!E952)</f>
        <v>46276.0</v>
      </c>
      <c r="P955" s="33">
        <f>Orders!U952</f>
        <v>10</v>
      </c>
      <c r="Q955" s="33">
        <f>COUNTIFS(Demand!$A$2:$A$4481,B955,Demand!$B$2:$B$4481,O955,Demand!$C$2:$C$4481,P955)</f>
        <v>1</v>
      </c>
      <c r="R955" s="33">
        <f>IF(Q955=1,SUMIFS(Demand!$E$2:$E$4481,Demand!$A$2:$A$4481,B955,Demand!$B$2:$B$4481,O955,Demand!$C$2:$C$4481,P955),"")</f>
        <v>15</v>
      </c>
      <c r="S955" s="33">
        <f>INDEX(Stores!$G$2:$G$21,MATCH(B955,Stores!$A$2:$A$21,0))</f>
        <v>20</v>
      </c>
      <c r="T955" s="34">
        <f>IF(R955="","",R955/S955)</f>
        <v>0.75</v>
      </c>
      <c r="U955" s="34">
        <f>IF(E955=1,T955,"")</f>
        <v>0.75</v>
      </c>
      <c r="V955" s="34">
        <f>IF(AND(E955=1,L955=0),T955,"")</f>
        <v>0.75</v>
      </c>
      <c r="W955" s="33">
        <f>IF(U955="","",IF(U955&lt;=Breakdowns!$C$5,1,IF(U955&lt;=Breakdowns!$C$6,2,IF(U955&lt;=Breakdowns!$C$7,3,4))))</f>
        <v>1</v>
      </c>
      <c r="X955" s="33">
        <f>IF(V955="","",IF(V955&lt;=Breakdowns!$D$5,1,IF(V955&lt;=Breakdowns!$D$6,2,IF(V955&lt;=Breakdowns!$D$7,3,4))))</f>
        <v>1</v>
      </c>
      <c r="Y955" s="34">
        <f>INDEX(Stores!$F$2:$F$21,MATCH(B955,Stores!$A$2:$A$21,0))</f>
        <v>5.31</v>
      </c>
      <c r="Z955" s="33">
        <f>IF(Y955&gt;Store_Summary!$M$2,1,0)</f>
        <v>1</v>
      </c>
      <c r="AA955" s="33">
        <f>INDEX(Stores!$C$2:$C$21,MATCH(B955,Stores!$A$2:$A$21,0))</f>
        <v>214</v>
      </c>
      <c r="AB955" s="33">
        <f>IF(AA955&lt;180,1,0)</f>
        <v>0</v>
      </c>
      <c r="AC955" s="32" t="str">
        <f>IF(Orders!D952="","",INDEX(Riders!$C$2:$C$81,MATCH(Orders!D952,Riders!$A$2:$A$81,0)))</f>
        <v>Petrol scooter</v>
      </c>
      <c r="AD955" s="33">
        <f>IF(Orders!D952="","",INDEX(Riders!$D$2:$D$81,MATCH(Orders!D952,Riders!$A$2:$A$81,0)))</f>
        <v>1</v>
      </c>
      <c r="AE955" s="33">
        <f>IF(Orders!D952="","",IF(INDEX(Riders!$B$2:$B$81,MATCH(Orders!D952,Riders!$A$2:$A$81,0))=B955,1,0))</f>
        <v>0</v>
      </c>
      <c r="AF955" s="34">
        <f>IF(E955=1,Orders!L952,"")</f>
        <v>1.8</v>
      </c>
      <c r="AG955" s="34">
        <f>IF(E955=1,Orders!P952,"")</f>
        <v>9.1</v>
      </c>
      <c r="AH955" s="34">
        <f>IF(E955=1,Orders!Q952,"")</f>
        <v>12.3</v>
      </c>
      <c r="AI955" s="34">
        <f>IF(E955=1,Orders!M952,"")</f>
        <v>5.3</v>
      </c>
      <c r="AJ955" s="34">
        <f>IF(E955=1,Orders!N952,"")</f>
        <v>2.3</v>
      </c>
      <c r="AK955" s="34">
        <f>IF(E955=1,Orders!O952,"")</f>
        <v>4.7</v>
      </c>
      <c r="AL955" s="33">
        <f>IF(E955=1,IF(ROUND(ABS(AI955+AJ955+AK955-AH955),6)&lt;=0.1,1,0),"")</f>
        <v>1</v>
      </c>
      <c r="AM955" s="36">
        <f>IF(E955=1,AI955/AH955,"")</f>
        <v>0.430894308943089</v>
      </c>
      <c r="AN955" s="36">
        <f>IF(E955=1,AJ955/AH955,"")</f>
        <v>0.186991869918699</v>
      </c>
      <c r="AO955" s="36">
        <f>IF(E955=1,AK955/AH955,"")</f>
        <v>0.382113821138211</v>
      </c>
      <c r="AP955" s="34">
        <f>IF(E955=1,Orders!Y952,"")</f>
        <v>0.27</v>
      </c>
      <c r="AQ955" s="33">
        <f>IF(Orders!X952,1,0)</f>
        <v>0</v>
      </c>
      <c r="AR955" s="34" t="str">
        <f>IF(AND(E955=1,L955=1),AJ955,"")</f>
        <v/>
      </c>
      <c r="AS955" s="34">
        <f>IF(AND(E955=1,L955=0),AJ955,"")</f>
        <v>2.3</v>
      </c>
      <c r="AT955" s="34" t="str">
        <f>IF(AND(E955=1,L955=1),AI955,"")</f>
        <v/>
      </c>
      <c r="AU955" s="34">
        <f>IF(AND(E955=1,L955=0),AI955,"")</f>
        <v>5.3</v>
      </c>
      <c r="AV955" s="34" t="str">
        <f>IF(AND(E955=1,L955=1),AG955,"")</f>
        <v/>
      </c>
      <c r="AW955" s="34">
        <f>IF(AND(E955=1,L955=0),AG955,"")</f>
        <v>9.1</v>
      </c>
      <c r="AX955" s="34" t="str">
        <f>IF(AND(E955=1,L955=1),AH955,"")</f>
        <v/>
      </c>
      <c r="AY955" s="34">
        <f>IF(AND(E955=1,L955=0),AH955,"")</f>
        <v>12.3</v>
      </c>
      <c r="AZ955" s="34">
        <f>IF(G955=1,F955,"")</f>
        <v>3.2</v>
      </c>
      <c r="BA955" s="34" t="str">
        <f>IF(AND(G955=1,L955=1),F955,"")</f>
        <v/>
      </c>
      <c r="BB955" s="34">
        <f>IF(AND(G955=1,L955=0),F955,"")</f>
        <v>3.2</v>
      </c>
      <c r="BC955" s="33">
        <f>IF(E955=1,IF(Orders!R952&gt;3,1,0),"")</f>
        <v>1</v>
      </c>
      <c r="BD955" s="33">
        <f>IF(E955=1,IF(Orders!R952&gt;7,1,0),"")</f>
        <v>0</v>
      </c>
      <c r="BE955" s="32" t="str">
        <f>IF(E955=1,IF(Orders!L952&lt;=1.5,"Up to 1.5 km",IF(Orders!L952&lt;=3,"1.5–3 km","Over 3 km")),"")</f>
        <v>1.5–3 km</v>
      </c>
      <c r="BF955" s="33">
        <f>IF(E955=1,IF(ABS((Orders!G952-Orders!F952)*1440-Orders!R952)&lt;0.06,1,0),"")</f>
        <v>1</v>
      </c>
      <c r="BG955" s="33">
        <f>IF(ABS((Orders!F952-Orders!E952)*1440-Orders!P952)&lt;0.06,1,0)</f>
        <v>1</v>
      </c>
      <c r="BH955" s="33">
        <f>IF(E955=1,IF(IF(Orders!S952,1,0)=1-G955,1,0),"")</f>
        <v>1</v>
      </c>
      <c r="BI955" s="32" t="str">
        <f>INDEX(Stores!$B$2:$B$21,MATCH(B955,Stores!$A$2:$A$21,0))</f>
        <v>Mumbai</v>
      </c>
    </row>
    <row r="956">
      <c r="A956" s="32" t="str">
        <f>Orders!A953</f>
        <v>O00952</v>
      </c>
      <c r="B956" s="32" t="str">
        <f>Orders!C953</f>
        <v>S002</v>
      </c>
      <c r="C956" s="32" t="str">
        <f>Orders!B953</f>
        <v>C0214</v>
      </c>
      <c r="D956" s="32" t="str">
        <f>Orders!H953</f>
        <v>Delivered</v>
      </c>
      <c r="E956" s="33">
        <f>IF(Orders!H953="Delivered",1,0)</f>
        <v>1</v>
      </c>
      <c r="F956" s="34">
        <f>IF(E956=1,Orders!R953,"")</f>
        <v>0.1</v>
      </c>
      <c r="G956" s="33">
        <f>IF(E956=1,IF(Orders!R953&gt;0,1,0),"")</f>
        <v>1</v>
      </c>
      <c r="H956" s="33">
        <f>IF(E956=1,IF(Orders!R953&gt;5,1,0),"")</f>
        <v>0</v>
      </c>
      <c r="I956" s="32" t="str">
        <f>IF(E956=1,"",IF(OR(Orders!T953="Rider unavailable",Orders!T953="Item unavailable"),"Company-caused","Unresolved"))</f>
        <v/>
      </c>
      <c r="J956" s="33">
        <f>IF(OR(E956=1,I956="Company-caused"),1,0)</f>
        <v>1</v>
      </c>
      <c r="K956" s="32" t="str">
        <f>IF(E956=0,IF(I956="Company-caused",IF(Orders!T953="Rider unavailable","C1 Rider unavailable","C2 Item unavailable"),"Outside root: unresolved"),IF(G956=0,"A On time",IF(H956=1,IF(L956=1,"B2a Severe, peak","B2b Severe, off-peak"),IF(L956=1,"B1a Slight, peak","B1b Slight, off-peak"))))</f>
        <v>B1b Slight, off-peak</v>
      </c>
      <c r="L956" s="33">
        <f>IF(AND(Orders!U953&gt;=19,Orders!U953&lt;22),1,0)</f>
        <v>0</v>
      </c>
      <c r="M956" s="33">
        <f>IF(L956=IF(Orders!V953,1,0),1,0)</f>
        <v>1</v>
      </c>
      <c r="N956" s="32" t="str">
        <f>IF(Orders!W953="","None",Orders!W953)</f>
        <v>None</v>
      </c>
      <c r="O956" s="35">
        <f>INT(Orders!E953)</f>
        <v>46270.0</v>
      </c>
      <c r="P956" s="33">
        <f>Orders!U953</f>
        <v>10</v>
      </c>
      <c r="Q956" s="33">
        <f>COUNTIFS(Demand!$A$2:$A$4481,B956,Demand!$B$2:$B$4481,O956,Demand!$C$2:$C$4481,P956)</f>
        <v>1</v>
      </c>
      <c r="R956" s="33">
        <f>IF(Q956=1,SUMIFS(Demand!$E$2:$E$4481,Demand!$A$2:$A$4481,B956,Demand!$B$2:$B$4481,O956,Demand!$C$2:$C$4481,P956),"")</f>
        <v>29</v>
      </c>
      <c r="S956" s="33">
        <f>INDEX(Stores!$G$2:$G$21,MATCH(B956,Stores!$A$2:$A$21,0))</f>
        <v>33</v>
      </c>
      <c r="T956" s="34">
        <f>IF(R956="","",R956/S956)</f>
        <v>0.878787878787879</v>
      </c>
      <c r="U956" s="34">
        <f>IF(E956=1,T956,"")</f>
        <v>0.878787878787879</v>
      </c>
      <c r="V956" s="34">
        <f>IF(AND(E956=1,L956=0),T956,"")</f>
        <v>0.878787878787879</v>
      </c>
      <c r="W956" s="33">
        <f>IF(U956="","",IF(U956&lt;=Breakdowns!$C$5,1,IF(U956&lt;=Breakdowns!$C$6,2,IF(U956&lt;=Breakdowns!$C$7,3,4))))</f>
        <v>2</v>
      </c>
      <c r="X956" s="33">
        <f>IF(V956="","",IF(V956&lt;=Breakdowns!$D$5,1,IF(V956&lt;=Breakdowns!$D$6,2,IF(V956&lt;=Breakdowns!$D$7,3,4))))</f>
        <v>2</v>
      </c>
      <c r="Y956" s="34">
        <f>INDEX(Stores!$F$2:$F$21,MATCH(B956,Stores!$A$2:$A$21,0))</f>
        <v>2.39</v>
      </c>
      <c r="Z956" s="33">
        <f>IF(Y956&gt;Store_Summary!$M$2,1,0)</f>
        <v>0</v>
      </c>
      <c r="AA956" s="33">
        <f>INDEX(Stores!$C$2:$C$21,MATCH(B956,Stores!$A$2:$A$21,0))</f>
        <v>470</v>
      </c>
      <c r="AB956" s="33">
        <f>IF(AA956&lt;180,1,0)</f>
        <v>0</v>
      </c>
      <c r="AC956" s="32" t="str">
        <f>IF(Orders!D953="","",INDEX(Riders!$C$2:$C$81,MATCH(Orders!D953,Riders!$A$2:$A$81,0)))</f>
        <v>Bicycle</v>
      </c>
      <c r="AD956" s="33">
        <f>IF(Orders!D953="","",INDEX(Riders!$D$2:$D$81,MATCH(Orders!D953,Riders!$A$2:$A$81,0)))</f>
        <v>26</v>
      </c>
      <c r="AE956" s="33">
        <f>IF(Orders!D953="","",IF(INDEX(Riders!$B$2:$B$81,MATCH(Orders!D953,Riders!$A$2:$A$81,0))=B956,1,0))</f>
        <v>0</v>
      </c>
      <c r="AF956" s="34">
        <f>IF(E956=1,Orders!L953,"")</f>
        <v>1.36</v>
      </c>
      <c r="AG956" s="34">
        <f>IF(E956=1,Orders!P953,"")</f>
        <v>11.9</v>
      </c>
      <c r="AH956" s="34">
        <f>IF(E956=1,Orders!Q953,"")</f>
        <v>12</v>
      </c>
      <c r="AI956" s="34">
        <f>IF(E956=1,Orders!M953,"")</f>
        <v>2.9</v>
      </c>
      <c r="AJ956" s="34">
        <f>IF(E956=1,Orders!N953,"")</f>
        <v>5.1</v>
      </c>
      <c r="AK956" s="34">
        <f>IF(E956=1,Orders!O953,"")</f>
        <v>4</v>
      </c>
      <c r="AL956" s="33">
        <f>IF(E956=1,IF(ROUND(ABS(AI956+AJ956+AK956-AH956),6)&lt;=0.1,1,0),"")</f>
        <v>1</v>
      </c>
      <c r="AM956" s="36">
        <f>IF(E956=1,AI956/AH956,"")</f>
        <v>0.241666666666667</v>
      </c>
      <c r="AN956" s="36">
        <f>IF(E956=1,AJ956/AH956,"")</f>
        <v>0.425</v>
      </c>
      <c r="AO956" s="36">
        <f>IF(E956=1,AK956/AH956,"")</f>
        <v>0.333333333333333</v>
      </c>
      <c r="AP956" s="34">
        <f>IF(E956=1,Orders!Y953,"")</f>
        <v>0.23</v>
      </c>
      <c r="AQ956" s="33">
        <f>IF(Orders!X953,1,0)</f>
        <v>0</v>
      </c>
      <c r="AR956" s="34" t="str">
        <f>IF(AND(E956=1,L956=1),AJ956,"")</f>
        <v/>
      </c>
      <c r="AS956" s="34">
        <f>IF(AND(E956=1,L956=0),AJ956,"")</f>
        <v>5.1</v>
      </c>
      <c r="AT956" s="34" t="str">
        <f>IF(AND(E956=1,L956=1),AI956,"")</f>
        <v/>
      </c>
      <c r="AU956" s="34">
        <f>IF(AND(E956=1,L956=0),AI956,"")</f>
        <v>2.9</v>
      </c>
      <c r="AV956" s="34" t="str">
        <f>IF(AND(E956=1,L956=1),AG956,"")</f>
        <v/>
      </c>
      <c r="AW956" s="34">
        <f>IF(AND(E956=1,L956=0),AG956,"")</f>
        <v>11.9</v>
      </c>
      <c r="AX956" s="34" t="str">
        <f>IF(AND(E956=1,L956=1),AH956,"")</f>
        <v/>
      </c>
      <c r="AY956" s="34">
        <f>IF(AND(E956=1,L956=0),AH956,"")</f>
        <v>12</v>
      </c>
      <c r="AZ956" s="34">
        <f>IF(G956=1,F956,"")</f>
        <v>0.1</v>
      </c>
      <c r="BA956" s="34" t="str">
        <f>IF(AND(G956=1,L956=1),F956,"")</f>
        <v/>
      </c>
      <c r="BB956" s="34">
        <f>IF(AND(G956=1,L956=0),F956,"")</f>
        <v>0.1</v>
      </c>
      <c r="BC956" s="33">
        <f>IF(E956=1,IF(Orders!R953&gt;3,1,0),"")</f>
        <v>0</v>
      </c>
      <c r="BD956" s="33">
        <f>IF(E956=1,IF(Orders!R953&gt;7,1,0),"")</f>
        <v>0</v>
      </c>
      <c r="BE956" s="32" t="str">
        <f>IF(E956=1,IF(Orders!L953&lt;=1.5,"Up to 1.5 km",IF(Orders!L953&lt;=3,"1.5–3 km","Over 3 km")),"")</f>
        <v>Up to 1.5 km</v>
      </c>
      <c r="BF956" s="33">
        <f>IF(E956=1,IF(ABS((Orders!G953-Orders!F953)*1440-Orders!R953)&lt;0.06,1,0),"")</f>
        <v>1</v>
      </c>
      <c r="BG956" s="33">
        <f>IF(ABS((Orders!F953-Orders!E953)*1440-Orders!P953)&lt;0.06,1,0)</f>
        <v>1</v>
      </c>
      <c r="BH956" s="33">
        <f>IF(E956=1,IF(IF(Orders!S953,1,0)=1-G956,1,0),"")</f>
        <v>1</v>
      </c>
      <c r="BI956" s="32" t="str">
        <f>INDEX(Stores!$B$2:$B$21,MATCH(B956,Stores!$A$2:$A$21,0))</f>
        <v>Hyderabad</v>
      </c>
    </row>
    <row r="957">
      <c r="A957" s="32" t="str">
        <f>Orders!A954</f>
        <v>O00953</v>
      </c>
      <c r="B957" s="32" t="str">
        <f>Orders!C954</f>
        <v>S019</v>
      </c>
      <c r="C957" s="32" t="str">
        <f>Orders!B954</f>
        <v>C0115</v>
      </c>
      <c r="D957" s="32" t="str">
        <f>Orders!H954</f>
        <v>Delivered</v>
      </c>
      <c r="E957" s="33">
        <f>IF(Orders!H954="Delivered",1,0)</f>
        <v>1</v>
      </c>
      <c r="F957" s="34">
        <f>IF(E957=1,Orders!R954,"")</f>
        <v>-0.4</v>
      </c>
      <c r="G957" s="33">
        <f>IF(E957=1,IF(Orders!R954&gt;0,1,0),"")</f>
        <v>0</v>
      </c>
      <c r="H957" s="33">
        <f>IF(E957=1,IF(Orders!R954&gt;5,1,0),"")</f>
        <v>0</v>
      </c>
      <c r="I957" s="32" t="str">
        <f>IF(E957=1,"",IF(OR(Orders!T954="Rider unavailable",Orders!T954="Item unavailable"),"Company-caused","Unresolved"))</f>
        <v/>
      </c>
      <c r="J957" s="33">
        <f>IF(OR(E957=1,I957="Company-caused"),1,0)</f>
        <v>1</v>
      </c>
      <c r="K957" s="32" t="str">
        <f>IF(E957=0,IF(I957="Company-caused",IF(Orders!T954="Rider unavailable","C1 Rider unavailable","C2 Item unavailable"),"Outside root: unresolved"),IF(G957=0,"A On time",IF(H957=1,IF(L957=1,"B2a Severe, peak","B2b Severe, off-peak"),IF(L957=1,"B1a Slight, peak","B1b Slight, off-peak"))))</f>
        <v>A On time</v>
      </c>
      <c r="L957" s="33">
        <f>IF(AND(Orders!U954&gt;=19,Orders!U954&lt;22),1,0)</f>
        <v>0</v>
      </c>
      <c r="M957" s="33">
        <f>IF(L957=IF(Orders!V954,1,0),1,0)</f>
        <v>1</v>
      </c>
      <c r="N957" s="32" t="str">
        <f>IF(Orders!W954="","None",Orders!W954)</f>
        <v>Light</v>
      </c>
      <c r="O957" s="35">
        <f>INT(Orders!E954)</f>
        <v>46271.0</v>
      </c>
      <c r="P957" s="33">
        <f>Orders!U954</f>
        <v>8</v>
      </c>
      <c r="Q957" s="33">
        <f>COUNTIFS(Demand!$A$2:$A$4481,B957,Demand!$B$2:$B$4481,O957,Demand!$C$2:$C$4481,P957)</f>
        <v>1</v>
      </c>
      <c r="R957" s="33">
        <f>IF(Q957=1,SUMIFS(Demand!$E$2:$E$4481,Demand!$A$2:$A$4481,B957,Demand!$B$2:$B$4481,O957,Demand!$C$2:$C$4481,P957),"")</f>
        <v>24</v>
      </c>
      <c r="S957" s="33">
        <f>INDEX(Stores!$G$2:$G$21,MATCH(B957,Stores!$A$2:$A$21,0))</f>
        <v>22</v>
      </c>
      <c r="T957" s="34">
        <f>IF(R957="","",R957/S957)</f>
        <v>1.09090909090909</v>
      </c>
      <c r="U957" s="34">
        <f>IF(E957=1,T957,"")</f>
        <v>1.09090909090909</v>
      </c>
      <c r="V957" s="34">
        <f>IF(AND(E957=1,L957=0),T957,"")</f>
        <v>1.09090909090909</v>
      </c>
      <c r="W957" s="33">
        <f>IF(U957="","",IF(U957&lt;=Breakdowns!$C$5,1,IF(U957&lt;=Breakdowns!$C$6,2,IF(U957&lt;=Breakdowns!$C$7,3,4))))</f>
        <v>3</v>
      </c>
      <c r="X957" s="33">
        <f>IF(V957="","",IF(V957&lt;=Breakdowns!$D$5,1,IF(V957&lt;=Breakdowns!$D$6,2,IF(V957&lt;=Breakdowns!$D$7,3,4))))</f>
        <v>4</v>
      </c>
      <c r="Y957" s="34">
        <f>INDEX(Stores!$F$2:$F$21,MATCH(B957,Stores!$A$2:$A$21,0))</f>
        <v>4.99</v>
      </c>
      <c r="Z957" s="33">
        <f>IF(Y957&gt;Store_Summary!$M$2,1,0)</f>
        <v>1</v>
      </c>
      <c r="AA957" s="33">
        <f>INDEX(Stores!$C$2:$C$21,MATCH(B957,Stores!$A$2:$A$21,0))</f>
        <v>851</v>
      </c>
      <c r="AB957" s="33">
        <f>IF(AA957&lt;180,1,0)</f>
        <v>0</v>
      </c>
      <c r="AC957" s="32" t="str">
        <f>IF(Orders!D954="","",INDEX(Riders!$C$2:$C$81,MATCH(Orders!D954,Riders!$A$2:$A$81,0)))</f>
        <v>Petrol scooter</v>
      </c>
      <c r="AD957" s="33">
        <f>IF(Orders!D954="","",INDEX(Riders!$D$2:$D$81,MATCH(Orders!D954,Riders!$A$2:$A$81,0)))</f>
        <v>44</v>
      </c>
      <c r="AE957" s="33">
        <f>IF(Orders!D954="","",IF(INDEX(Riders!$B$2:$B$81,MATCH(Orders!D954,Riders!$A$2:$A$81,0))=B957,1,0))</f>
        <v>0</v>
      </c>
      <c r="AF957" s="34">
        <f>IF(E957=1,Orders!L954,"")</f>
        <v>2</v>
      </c>
      <c r="AG957" s="34">
        <f>IF(E957=1,Orders!P954,"")</f>
        <v>9.7</v>
      </c>
      <c r="AH957" s="34">
        <f>IF(E957=1,Orders!Q954,"")</f>
        <v>9.3</v>
      </c>
      <c r="AI957" s="34">
        <f>IF(E957=1,Orders!M954,"")</f>
        <v>3.1</v>
      </c>
      <c r="AJ957" s="34">
        <f>IF(E957=1,Orders!N954,"")</f>
        <v>2.6</v>
      </c>
      <c r="AK957" s="34">
        <f>IF(E957=1,Orders!O954,"")</f>
        <v>3.6</v>
      </c>
      <c r="AL957" s="33">
        <f>IF(E957=1,IF(ROUND(ABS(AI957+AJ957+AK957-AH957),6)&lt;=0.1,1,0),"")</f>
        <v>1</v>
      </c>
      <c r="AM957" s="36">
        <f>IF(E957=1,AI957/AH957,"")</f>
        <v>0.333333333333333</v>
      </c>
      <c r="AN957" s="36">
        <f>IF(E957=1,AJ957/AH957,"")</f>
        <v>0.279569892473118</v>
      </c>
      <c r="AO957" s="36">
        <f>IF(E957=1,AK957/AH957,"")</f>
        <v>0.387096774193548</v>
      </c>
      <c r="AP957" s="34">
        <f>IF(E957=1,Orders!Y954,"")</f>
        <v>0.34</v>
      </c>
      <c r="AQ957" s="33">
        <f>IF(Orders!X954,1,0)</f>
        <v>0</v>
      </c>
      <c r="AR957" s="34" t="str">
        <f>IF(AND(E957=1,L957=1),AJ957,"")</f>
        <v/>
      </c>
      <c r="AS957" s="34">
        <f>IF(AND(E957=1,L957=0),AJ957,"")</f>
        <v>2.6</v>
      </c>
      <c r="AT957" s="34" t="str">
        <f>IF(AND(E957=1,L957=1),AI957,"")</f>
        <v/>
      </c>
      <c r="AU957" s="34">
        <f>IF(AND(E957=1,L957=0),AI957,"")</f>
        <v>3.1</v>
      </c>
      <c r="AV957" s="34" t="str">
        <f>IF(AND(E957=1,L957=1),AG957,"")</f>
        <v/>
      </c>
      <c r="AW957" s="34">
        <f>IF(AND(E957=1,L957=0),AG957,"")</f>
        <v>9.7</v>
      </c>
      <c r="AX957" s="34" t="str">
        <f>IF(AND(E957=1,L957=1),AH957,"")</f>
        <v/>
      </c>
      <c r="AY957" s="34">
        <f>IF(AND(E957=1,L957=0),AH957,"")</f>
        <v>9.3</v>
      </c>
      <c r="AZ957" s="34" t="str">
        <f>IF(G957=1,F957,"")</f>
        <v/>
      </c>
      <c r="BA957" s="34" t="str">
        <f>IF(AND(G957=1,L957=1),F957,"")</f>
        <v/>
      </c>
      <c r="BB957" s="34" t="str">
        <f>IF(AND(G957=1,L957=0),F957,"")</f>
        <v/>
      </c>
      <c r="BC957" s="33">
        <f>IF(E957=1,IF(Orders!R954&gt;3,1,0),"")</f>
        <v>0</v>
      </c>
      <c r="BD957" s="33">
        <f>IF(E957=1,IF(Orders!R954&gt;7,1,0),"")</f>
        <v>0</v>
      </c>
      <c r="BE957" s="32" t="str">
        <f>IF(E957=1,IF(Orders!L954&lt;=1.5,"Up to 1.5 km",IF(Orders!L954&lt;=3,"1.5–3 km","Over 3 km")),"")</f>
        <v>1.5–3 km</v>
      </c>
      <c r="BF957" s="33">
        <f>IF(E957=1,IF(ABS((Orders!G954-Orders!F954)*1440-Orders!R954)&lt;0.06,1,0),"")</f>
        <v>1</v>
      </c>
      <c r="BG957" s="33">
        <f>IF(ABS((Orders!F954-Orders!E954)*1440-Orders!P954)&lt;0.06,1,0)</f>
        <v>1</v>
      </c>
      <c r="BH957" s="33">
        <f>IF(E957=1,IF(IF(Orders!S954,1,0)=1-G957,1,0),"")</f>
        <v>1</v>
      </c>
      <c r="BI957" s="32" t="str">
        <f>INDEX(Stores!$B$2:$B$21,MATCH(B957,Stores!$A$2:$A$21,0))</f>
        <v>Pune</v>
      </c>
    </row>
    <row r="958">
      <c r="A958" s="32" t="str">
        <f>Orders!A955</f>
        <v>O00954</v>
      </c>
      <c r="B958" s="32" t="str">
        <f>Orders!C955</f>
        <v>S006</v>
      </c>
      <c r="C958" s="32" t="str">
        <f>Orders!B955</f>
        <v>C0110</v>
      </c>
      <c r="D958" s="32" t="str">
        <f>Orders!H955</f>
        <v>Delivered</v>
      </c>
      <c r="E958" s="33">
        <f>IF(Orders!H955="Delivered",1,0)</f>
        <v>1</v>
      </c>
      <c r="F958" s="34">
        <f>IF(E958=1,Orders!R955,"")</f>
        <v>-1.1</v>
      </c>
      <c r="G958" s="33">
        <f>IF(E958=1,IF(Orders!R955&gt;0,1,0),"")</f>
        <v>0</v>
      </c>
      <c r="H958" s="33">
        <f>IF(E958=1,IF(Orders!R955&gt;5,1,0),"")</f>
        <v>0</v>
      </c>
      <c r="I958" s="32" t="str">
        <f>IF(E958=1,"",IF(OR(Orders!T955="Rider unavailable",Orders!T955="Item unavailable"),"Company-caused","Unresolved"))</f>
        <v/>
      </c>
      <c r="J958" s="33">
        <f>IF(OR(E958=1,I958="Company-caused"),1,0)</f>
        <v>1</v>
      </c>
      <c r="K958" s="32" t="str">
        <f>IF(E958=0,IF(I958="Company-caused",IF(Orders!T955="Rider unavailable","C1 Rider unavailable","C2 Item unavailable"),"Outside root: unresolved"),IF(G958=0,"A On time",IF(H958=1,IF(L958=1,"B2a Severe, peak","B2b Severe, off-peak"),IF(L958=1,"B1a Slight, peak","B1b Slight, off-peak"))))</f>
        <v>A On time</v>
      </c>
      <c r="L958" s="33">
        <f>IF(AND(Orders!U955&gt;=19,Orders!U955&lt;22),1,0)</f>
        <v>0</v>
      </c>
      <c r="M958" s="33">
        <f>IF(L958=IF(Orders!V955,1,0),1,0)</f>
        <v>1</v>
      </c>
      <c r="N958" s="32" t="str">
        <f>IF(Orders!W955="","None",Orders!W955)</f>
        <v>Light</v>
      </c>
      <c r="O958" s="35">
        <f>INT(Orders!E955)</f>
        <v>46270.0</v>
      </c>
      <c r="P958" s="33">
        <f>Orders!U955</f>
        <v>8</v>
      </c>
      <c r="Q958" s="33">
        <f>COUNTIFS(Demand!$A$2:$A$4481,B958,Demand!$B$2:$B$4481,O958,Demand!$C$2:$C$4481,P958)</f>
        <v>1</v>
      </c>
      <c r="R958" s="33">
        <f>IF(Q958=1,SUMIFS(Demand!$E$2:$E$4481,Demand!$A$2:$A$4481,B958,Demand!$B$2:$B$4481,O958,Demand!$C$2:$C$4481,P958),"")</f>
        <v>15</v>
      </c>
      <c r="S958" s="33">
        <f>INDEX(Stores!$G$2:$G$21,MATCH(B958,Stores!$A$2:$A$21,0))</f>
        <v>26</v>
      </c>
      <c r="T958" s="34">
        <f>IF(R958="","",R958/S958)</f>
        <v>0.576923076923077</v>
      </c>
      <c r="U958" s="34">
        <f>IF(E958=1,T958,"")</f>
        <v>0.576923076923077</v>
      </c>
      <c r="V958" s="34">
        <f>IF(AND(E958=1,L958=0),T958,"")</f>
        <v>0.576923076923077</v>
      </c>
      <c r="W958" s="33">
        <f>IF(U958="","",IF(U958&lt;=Breakdowns!$C$5,1,IF(U958&lt;=Breakdowns!$C$6,2,IF(U958&lt;=Breakdowns!$C$7,3,4))))</f>
        <v>1</v>
      </c>
      <c r="X958" s="33">
        <f>IF(V958="","",IF(V958&lt;=Breakdowns!$D$5,1,IF(V958&lt;=Breakdowns!$D$6,2,IF(V958&lt;=Breakdowns!$D$7,3,4))))</f>
        <v>1</v>
      </c>
      <c r="Y958" s="34">
        <f>INDEX(Stores!$F$2:$F$21,MATCH(B958,Stores!$A$2:$A$21,0))</f>
        <v>5.22</v>
      </c>
      <c r="Z958" s="33">
        <f>IF(Y958&gt;Store_Summary!$M$2,1,0)</f>
        <v>1</v>
      </c>
      <c r="AA958" s="33">
        <f>INDEX(Stores!$C$2:$C$21,MATCH(B958,Stores!$A$2:$A$21,0))</f>
        <v>412</v>
      </c>
      <c r="AB958" s="33">
        <f>IF(AA958&lt;180,1,0)</f>
        <v>0</v>
      </c>
      <c r="AC958" s="32" t="str">
        <f>IF(Orders!D955="","",INDEX(Riders!$C$2:$C$81,MATCH(Orders!D955,Riders!$A$2:$A$81,0)))</f>
        <v>Petrol scooter</v>
      </c>
      <c r="AD958" s="33">
        <f>IF(Orders!D955="","",INDEX(Riders!$D$2:$D$81,MATCH(Orders!D955,Riders!$A$2:$A$81,0)))</f>
        <v>29</v>
      </c>
      <c r="AE958" s="33">
        <f>IF(Orders!D955="","",IF(INDEX(Riders!$B$2:$B$81,MATCH(Orders!D955,Riders!$A$2:$A$81,0))=B958,1,0))</f>
        <v>0</v>
      </c>
      <c r="AF958" s="34">
        <f>IF(E958=1,Orders!L955,"")</f>
        <v>2.46</v>
      </c>
      <c r="AG958" s="34">
        <f>IF(E958=1,Orders!P955,"")</f>
        <v>11.6</v>
      </c>
      <c r="AH958" s="34">
        <f>IF(E958=1,Orders!Q955,"")</f>
        <v>10.5</v>
      </c>
      <c r="AI958" s="34">
        <f>IF(E958=1,Orders!M955,"")</f>
        <v>4.1</v>
      </c>
      <c r="AJ958" s="34">
        <f>IF(E958=1,Orders!N955,"")</f>
        <v>1.1</v>
      </c>
      <c r="AK958" s="34">
        <f>IF(E958=1,Orders!O955,"")</f>
        <v>5.3</v>
      </c>
      <c r="AL958" s="33">
        <f>IF(E958=1,IF(ROUND(ABS(AI958+AJ958+AK958-AH958),6)&lt;=0.1,1,0),"")</f>
        <v>1</v>
      </c>
      <c r="AM958" s="36">
        <f>IF(E958=1,AI958/AH958,"")</f>
        <v>0.39047619047619</v>
      </c>
      <c r="AN958" s="36">
        <f>IF(E958=1,AJ958/AH958,"")</f>
        <v>0.104761904761905</v>
      </c>
      <c r="AO958" s="36">
        <f>IF(E958=1,AK958/AH958,"")</f>
        <v>0.504761904761905</v>
      </c>
      <c r="AP958" s="34">
        <f>IF(E958=1,Orders!Y955,"")</f>
        <v>0.53</v>
      </c>
      <c r="AQ958" s="33">
        <f>IF(Orders!X955,1,0)</f>
        <v>0</v>
      </c>
      <c r="AR958" s="34" t="str">
        <f>IF(AND(E958=1,L958=1),AJ958,"")</f>
        <v/>
      </c>
      <c r="AS958" s="34">
        <f>IF(AND(E958=1,L958=0),AJ958,"")</f>
        <v>1.1</v>
      </c>
      <c r="AT958" s="34" t="str">
        <f>IF(AND(E958=1,L958=1),AI958,"")</f>
        <v/>
      </c>
      <c r="AU958" s="34">
        <f>IF(AND(E958=1,L958=0),AI958,"")</f>
        <v>4.1</v>
      </c>
      <c r="AV958" s="34" t="str">
        <f>IF(AND(E958=1,L958=1),AG958,"")</f>
        <v/>
      </c>
      <c r="AW958" s="34">
        <f>IF(AND(E958=1,L958=0),AG958,"")</f>
        <v>11.6</v>
      </c>
      <c r="AX958" s="34" t="str">
        <f>IF(AND(E958=1,L958=1),AH958,"")</f>
        <v/>
      </c>
      <c r="AY958" s="34">
        <f>IF(AND(E958=1,L958=0),AH958,"")</f>
        <v>10.5</v>
      </c>
      <c r="AZ958" s="34" t="str">
        <f>IF(G958=1,F958,"")</f>
        <v/>
      </c>
      <c r="BA958" s="34" t="str">
        <f>IF(AND(G958=1,L958=1),F958,"")</f>
        <v/>
      </c>
      <c r="BB958" s="34" t="str">
        <f>IF(AND(G958=1,L958=0),F958,"")</f>
        <v/>
      </c>
      <c r="BC958" s="33">
        <f>IF(E958=1,IF(Orders!R955&gt;3,1,0),"")</f>
        <v>0</v>
      </c>
      <c r="BD958" s="33">
        <f>IF(E958=1,IF(Orders!R955&gt;7,1,0),"")</f>
        <v>0</v>
      </c>
      <c r="BE958" s="32" t="str">
        <f>IF(E958=1,IF(Orders!L955&lt;=1.5,"Up to 1.5 km",IF(Orders!L955&lt;=3,"1.5–3 km","Over 3 km")),"")</f>
        <v>1.5–3 km</v>
      </c>
      <c r="BF958" s="33">
        <f>IF(E958=1,IF(ABS((Orders!G955-Orders!F955)*1440-Orders!R955)&lt;0.06,1,0),"")</f>
        <v>1</v>
      </c>
      <c r="BG958" s="33">
        <f>IF(ABS((Orders!F955-Orders!E955)*1440-Orders!P955)&lt;0.06,1,0)</f>
        <v>1</v>
      </c>
      <c r="BH958" s="33">
        <f>IF(E958=1,IF(IF(Orders!S955,1,0)=1-G958,1,0),"")</f>
        <v>1</v>
      </c>
      <c r="BI958" s="32" t="str">
        <f>INDEX(Stores!$B$2:$B$21,MATCH(B958,Stores!$A$2:$A$21,0))</f>
        <v>Bengaluru</v>
      </c>
    </row>
    <row r="959">
      <c r="A959" s="32" t="str">
        <f>Orders!A956</f>
        <v>O00955</v>
      </c>
      <c r="B959" s="32" t="str">
        <f>Orders!C956</f>
        <v>S015</v>
      </c>
      <c r="C959" s="32" t="str">
        <f>Orders!B956</f>
        <v>C0122</v>
      </c>
      <c r="D959" s="32" t="str">
        <f>Orders!H956</f>
        <v>Delivered</v>
      </c>
      <c r="E959" s="33">
        <f>IF(Orders!H956="Delivered",1,0)</f>
        <v>1</v>
      </c>
      <c r="F959" s="34">
        <f>IF(E959=1,Orders!R956,"")</f>
        <v>-0.8</v>
      </c>
      <c r="G959" s="33">
        <f>IF(E959=1,IF(Orders!R956&gt;0,1,0),"")</f>
        <v>0</v>
      </c>
      <c r="H959" s="33">
        <f>IF(E959=1,IF(Orders!R956&gt;5,1,0),"")</f>
        <v>0</v>
      </c>
      <c r="I959" s="32" t="str">
        <f>IF(E959=1,"",IF(OR(Orders!T956="Rider unavailable",Orders!T956="Item unavailable"),"Company-caused","Unresolved"))</f>
        <v/>
      </c>
      <c r="J959" s="33">
        <f>IF(OR(E959=1,I959="Company-caused"),1,0)</f>
        <v>1</v>
      </c>
      <c r="K959" s="32" t="str">
        <f>IF(E959=0,IF(I959="Company-caused",IF(Orders!T956="Rider unavailable","C1 Rider unavailable","C2 Item unavailable"),"Outside root: unresolved"),IF(G959=0,"A On time",IF(H959=1,IF(L959=1,"B2a Severe, peak","B2b Severe, off-peak"),IF(L959=1,"B1a Slight, peak","B1b Slight, off-peak"))))</f>
        <v>A On time</v>
      </c>
      <c r="L959" s="33">
        <f>IF(AND(Orders!U956&gt;=19,Orders!U956&lt;22),1,0)</f>
        <v>0</v>
      </c>
      <c r="M959" s="33">
        <f>IF(L959=IF(Orders!V956,1,0),1,0)</f>
        <v>1</v>
      </c>
      <c r="N959" s="32" t="str">
        <f>IF(Orders!W956="","None",Orders!W956)</f>
        <v>None</v>
      </c>
      <c r="O959" s="35">
        <f>INT(Orders!E956)</f>
        <v>46269.0</v>
      </c>
      <c r="P959" s="33">
        <f>Orders!U956</f>
        <v>15</v>
      </c>
      <c r="Q959" s="33">
        <f>COUNTIFS(Demand!$A$2:$A$4481,B959,Demand!$B$2:$B$4481,O959,Demand!$C$2:$C$4481,P959)</f>
        <v>1</v>
      </c>
      <c r="R959" s="33">
        <f>IF(Q959=1,SUMIFS(Demand!$E$2:$E$4481,Demand!$A$2:$A$4481,B959,Demand!$B$2:$B$4481,O959,Demand!$C$2:$C$4481,P959),"")</f>
        <v>24</v>
      </c>
      <c r="S959" s="33">
        <f>INDEX(Stores!$G$2:$G$21,MATCH(B959,Stores!$A$2:$A$21,0))</f>
        <v>23</v>
      </c>
      <c r="T959" s="34">
        <f>IF(R959="","",R959/S959)</f>
        <v>1.04347826086957</v>
      </c>
      <c r="U959" s="34">
        <f>IF(E959=1,T959,"")</f>
        <v>1.04347826086957</v>
      </c>
      <c r="V959" s="34">
        <f>IF(AND(E959=1,L959=0),T959,"")</f>
        <v>1.04347826086957</v>
      </c>
      <c r="W959" s="33">
        <f>IF(U959="","",IF(U959&lt;=Breakdowns!$C$5,1,IF(U959&lt;=Breakdowns!$C$6,2,IF(U959&lt;=Breakdowns!$C$7,3,4))))</f>
        <v>3</v>
      </c>
      <c r="X959" s="33">
        <f>IF(V959="","",IF(V959&lt;=Breakdowns!$D$5,1,IF(V959&lt;=Breakdowns!$D$6,2,IF(V959&lt;=Breakdowns!$D$7,3,4))))</f>
        <v>3</v>
      </c>
      <c r="Y959" s="34">
        <f>INDEX(Stores!$F$2:$F$21,MATCH(B959,Stores!$A$2:$A$21,0))</f>
        <v>4.66</v>
      </c>
      <c r="Z959" s="33">
        <f>IF(Y959&gt;Store_Summary!$M$2,1,0)</f>
        <v>0</v>
      </c>
      <c r="AA959" s="33">
        <f>INDEX(Stores!$C$2:$C$21,MATCH(B959,Stores!$A$2:$A$21,0))</f>
        <v>204</v>
      </c>
      <c r="AB959" s="33">
        <f>IF(AA959&lt;180,1,0)</f>
        <v>0</v>
      </c>
      <c r="AC959" s="32" t="str">
        <f>IF(Orders!D956="","",INDEX(Riders!$C$2:$C$81,MATCH(Orders!D956,Riders!$A$2:$A$81,0)))</f>
        <v>Bicycle</v>
      </c>
      <c r="AD959" s="33">
        <f>IF(Orders!D956="","",INDEX(Riders!$D$2:$D$81,MATCH(Orders!D956,Riders!$A$2:$A$81,0)))</f>
        <v>40</v>
      </c>
      <c r="AE959" s="33">
        <f>IF(Orders!D956="","",IF(INDEX(Riders!$B$2:$B$81,MATCH(Orders!D956,Riders!$A$2:$A$81,0))=B959,1,0))</f>
        <v>0</v>
      </c>
      <c r="AF959" s="34">
        <f>IF(E959=1,Orders!L956,"")</f>
        <v>1.1</v>
      </c>
      <c r="AG959" s="34">
        <f>IF(E959=1,Orders!P956,"")</f>
        <v>9.7</v>
      </c>
      <c r="AH959" s="34">
        <f>IF(E959=1,Orders!Q956,"")</f>
        <v>8.9</v>
      </c>
      <c r="AI959" s="34">
        <f>IF(E959=1,Orders!M956,"")</f>
        <v>4</v>
      </c>
      <c r="AJ959" s="34">
        <f>IF(E959=1,Orders!N956,"")</f>
        <v>1.3</v>
      </c>
      <c r="AK959" s="34">
        <f>IF(E959=1,Orders!O956,"")</f>
        <v>3.6</v>
      </c>
      <c r="AL959" s="33">
        <f>IF(E959=1,IF(ROUND(ABS(AI959+AJ959+AK959-AH959),6)&lt;=0.1,1,0),"")</f>
        <v>1</v>
      </c>
      <c r="AM959" s="36">
        <f>IF(E959=1,AI959/AH959,"")</f>
        <v>0.449438202247191</v>
      </c>
      <c r="AN959" s="36">
        <f>IF(E959=1,AJ959/AH959,"")</f>
        <v>0.146067415730337</v>
      </c>
      <c r="AO959" s="36">
        <f>IF(E959=1,AK959/AH959,"")</f>
        <v>0.404494382022472</v>
      </c>
      <c r="AP959" s="34">
        <f>IF(E959=1,Orders!Y956,"")</f>
        <v>0.3</v>
      </c>
      <c r="AQ959" s="33">
        <f>IF(Orders!X956,1,0)</f>
        <v>1</v>
      </c>
      <c r="AR959" s="34" t="str">
        <f>IF(AND(E959=1,L959=1),AJ959,"")</f>
        <v/>
      </c>
      <c r="AS959" s="34">
        <f>IF(AND(E959=1,L959=0),AJ959,"")</f>
        <v>1.3</v>
      </c>
      <c r="AT959" s="34" t="str">
        <f>IF(AND(E959=1,L959=1),AI959,"")</f>
        <v/>
      </c>
      <c r="AU959" s="34">
        <f>IF(AND(E959=1,L959=0),AI959,"")</f>
        <v>4</v>
      </c>
      <c r="AV959" s="34" t="str">
        <f>IF(AND(E959=1,L959=1),AG959,"")</f>
        <v/>
      </c>
      <c r="AW959" s="34">
        <f>IF(AND(E959=1,L959=0),AG959,"")</f>
        <v>9.7</v>
      </c>
      <c r="AX959" s="34" t="str">
        <f>IF(AND(E959=1,L959=1),AH959,"")</f>
        <v/>
      </c>
      <c r="AY959" s="34">
        <f>IF(AND(E959=1,L959=0),AH959,"")</f>
        <v>8.9</v>
      </c>
      <c r="AZ959" s="34" t="str">
        <f>IF(G959=1,F959,"")</f>
        <v/>
      </c>
      <c r="BA959" s="34" t="str">
        <f>IF(AND(G959=1,L959=1),F959,"")</f>
        <v/>
      </c>
      <c r="BB959" s="34" t="str">
        <f>IF(AND(G959=1,L959=0),F959,"")</f>
        <v/>
      </c>
      <c r="BC959" s="33">
        <f>IF(E959=1,IF(Orders!R956&gt;3,1,0),"")</f>
        <v>0</v>
      </c>
      <c r="BD959" s="33">
        <f>IF(E959=1,IF(Orders!R956&gt;7,1,0),"")</f>
        <v>0</v>
      </c>
      <c r="BE959" s="32" t="str">
        <f>IF(E959=1,IF(Orders!L956&lt;=1.5,"Up to 1.5 km",IF(Orders!L956&lt;=3,"1.5–3 km","Over 3 km")),"")</f>
        <v>Up to 1.5 km</v>
      </c>
      <c r="BF959" s="33">
        <f>IF(E959=1,IF(ABS((Orders!G956-Orders!F956)*1440-Orders!R956)&lt;0.06,1,0),"")</f>
        <v>1</v>
      </c>
      <c r="BG959" s="33">
        <f>IF(ABS((Orders!F956-Orders!E956)*1440-Orders!P956)&lt;0.06,1,0)</f>
        <v>1</v>
      </c>
      <c r="BH959" s="33">
        <f>IF(E959=1,IF(IF(Orders!S956,1,0)=1-G959,1,0),"")</f>
        <v>1</v>
      </c>
      <c r="BI959" s="32" t="str">
        <f>INDEX(Stores!$B$2:$B$21,MATCH(B959,Stores!$A$2:$A$21,0))</f>
        <v>Delhi</v>
      </c>
    </row>
    <row r="960">
      <c r="A960" s="32" t="str">
        <f>Orders!A957</f>
        <v>O00956</v>
      </c>
      <c r="B960" s="32" t="str">
        <f>Orders!C957</f>
        <v>S017</v>
      </c>
      <c r="C960" s="32" t="str">
        <f>Orders!B957</f>
        <v>C0192</v>
      </c>
      <c r="D960" s="32" t="str">
        <f>Orders!H957</f>
        <v>Delivered</v>
      </c>
      <c r="E960" s="33">
        <f>IF(Orders!H957="Delivered",1,0)</f>
        <v>1</v>
      </c>
      <c r="F960" s="34">
        <f>IF(E960=1,Orders!R957,"")</f>
        <v>-2.7</v>
      </c>
      <c r="G960" s="33">
        <f>IF(E960=1,IF(Orders!R957&gt;0,1,0),"")</f>
        <v>0</v>
      </c>
      <c r="H960" s="33">
        <f>IF(E960=1,IF(Orders!R957&gt;5,1,0),"")</f>
        <v>0</v>
      </c>
      <c r="I960" s="32" t="str">
        <f>IF(E960=1,"",IF(OR(Orders!T957="Rider unavailable",Orders!T957="Item unavailable"),"Company-caused","Unresolved"))</f>
        <v/>
      </c>
      <c r="J960" s="33">
        <f>IF(OR(E960=1,I960="Company-caused"),1,0)</f>
        <v>1</v>
      </c>
      <c r="K960" s="32" t="str">
        <f>IF(E960=0,IF(I960="Company-caused",IF(Orders!T957="Rider unavailable","C1 Rider unavailable","C2 Item unavailable"),"Outside root: unresolved"),IF(G960=0,"A On time",IF(H960=1,IF(L960=1,"B2a Severe, peak","B2b Severe, off-peak"),IF(L960=1,"B1a Slight, peak","B1b Slight, off-peak"))))</f>
        <v>A On time</v>
      </c>
      <c r="L960" s="33">
        <f>IF(AND(Orders!U957&gt;=19,Orders!U957&lt;22),1,0)</f>
        <v>0</v>
      </c>
      <c r="M960" s="33">
        <f>IF(L960=IF(Orders!V957,1,0),1,0)</f>
        <v>1</v>
      </c>
      <c r="N960" s="32" t="str">
        <f>IF(Orders!W957="","None",Orders!W957)</f>
        <v>None</v>
      </c>
      <c r="O960" s="35">
        <f>INT(Orders!E957)</f>
        <v>46271.0</v>
      </c>
      <c r="P960" s="33">
        <f>Orders!U957</f>
        <v>8</v>
      </c>
      <c r="Q960" s="33">
        <f>COUNTIFS(Demand!$A$2:$A$4481,B960,Demand!$B$2:$B$4481,O960,Demand!$C$2:$C$4481,P960)</f>
        <v>1</v>
      </c>
      <c r="R960" s="33">
        <f>IF(Q960=1,SUMIFS(Demand!$E$2:$E$4481,Demand!$A$2:$A$4481,B960,Demand!$B$2:$B$4481,O960,Demand!$C$2:$C$4481,P960),"")</f>
        <v>24</v>
      </c>
      <c r="S960" s="33">
        <f>INDEX(Stores!$G$2:$G$21,MATCH(B960,Stores!$A$2:$A$21,0))</f>
        <v>36</v>
      </c>
      <c r="T960" s="34">
        <f>IF(R960="","",R960/S960)</f>
        <v>0.666666666666667</v>
      </c>
      <c r="U960" s="34">
        <f>IF(E960=1,T960,"")</f>
        <v>0.666666666666667</v>
      </c>
      <c r="V960" s="34">
        <f>IF(AND(E960=1,L960=0),T960,"")</f>
        <v>0.666666666666667</v>
      </c>
      <c r="W960" s="33">
        <f>IF(U960="","",IF(U960&lt;=Breakdowns!$C$5,1,IF(U960&lt;=Breakdowns!$C$6,2,IF(U960&lt;=Breakdowns!$C$7,3,4))))</f>
        <v>1</v>
      </c>
      <c r="X960" s="33">
        <f>IF(V960="","",IF(V960&lt;=Breakdowns!$D$5,1,IF(V960&lt;=Breakdowns!$D$6,2,IF(V960&lt;=Breakdowns!$D$7,3,4))))</f>
        <v>1</v>
      </c>
      <c r="Y960" s="34">
        <f>INDEX(Stores!$F$2:$F$21,MATCH(B960,Stores!$A$2:$A$21,0))</f>
        <v>2.16</v>
      </c>
      <c r="Z960" s="33">
        <f>IF(Y960&gt;Store_Summary!$M$2,1,0)</f>
        <v>0</v>
      </c>
      <c r="AA960" s="33">
        <f>INDEX(Stores!$C$2:$C$21,MATCH(B960,Stores!$A$2:$A$21,0))</f>
        <v>47</v>
      </c>
      <c r="AB960" s="33">
        <f>IF(AA960&lt;180,1,0)</f>
        <v>1</v>
      </c>
      <c r="AC960" s="32" t="str">
        <f>IF(Orders!D957="","",INDEX(Riders!$C$2:$C$81,MATCH(Orders!D957,Riders!$A$2:$A$81,0)))</f>
        <v>Petrol scooter</v>
      </c>
      <c r="AD960" s="33">
        <f>IF(Orders!D957="","",INDEX(Riders!$D$2:$D$81,MATCH(Orders!D957,Riders!$A$2:$A$81,0)))</f>
        <v>44</v>
      </c>
      <c r="AE960" s="33">
        <f>IF(Orders!D957="","",IF(INDEX(Riders!$B$2:$B$81,MATCH(Orders!D957,Riders!$A$2:$A$81,0))=B960,1,0))</f>
        <v>0</v>
      </c>
      <c r="AF960" s="34">
        <f>IF(E960=1,Orders!L957,"")</f>
        <v>0.62</v>
      </c>
      <c r="AG960" s="34">
        <f>IF(E960=1,Orders!P957,"")</f>
        <v>9.2</v>
      </c>
      <c r="AH960" s="34">
        <f>IF(E960=1,Orders!Q957,"")</f>
        <v>6.5</v>
      </c>
      <c r="AI960" s="34">
        <f>IF(E960=1,Orders!M957,"")</f>
        <v>2.1</v>
      </c>
      <c r="AJ960" s="34">
        <f>IF(E960=1,Orders!N957,"")</f>
        <v>1.9</v>
      </c>
      <c r="AK960" s="34">
        <f>IF(E960=1,Orders!O957,"")</f>
        <v>2.5</v>
      </c>
      <c r="AL960" s="33">
        <f>IF(E960=1,IF(ROUND(ABS(AI960+AJ960+AK960-AH960),6)&lt;=0.1,1,0),"")</f>
        <v>1</v>
      </c>
      <c r="AM960" s="36">
        <f>IF(E960=1,AI960/AH960,"")</f>
        <v>0.323076923076923</v>
      </c>
      <c r="AN960" s="36">
        <f>IF(E960=1,AJ960/AH960,"")</f>
        <v>0.292307692307692</v>
      </c>
      <c r="AO960" s="36">
        <f>IF(E960=1,AK960/AH960,"")</f>
        <v>0.384615384615385</v>
      </c>
      <c r="AP960" s="34">
        <f>IF(E960=1,Orders!Y957,"")</f>
        <v>0.47</v>
      </c>
      <c r="AQ960" s="33">
        <f>IF(Orders!X957,1,0)</f>
        <v>0</v>
      </c>
      <c r="AR960" s="34" t="str">
        <f>IF(AND(E960=1,L960=1),AJ960,"")</f>
        <v/>
      </c>
      <c r="AS960" s="34">
        <f>IF(AND(E960=1,L960=0),AJ960,"")</f>
        <v>1.9</v>
      </c>
      <c r="AT960" s="34" t="str">
        <f>IF(AND(E960=1,L960=1),AI960,"")</f>
        <v/>
      </c>
      <c r="AU960" s="34">
        <f>IF(AND(E960=1,L960=0),AI960,"")</f>
        <v>2.1</v>
      </c>
      <c r="AV960" s="34" t="str">
        <f>IF(AND(E960=1,L960=1),AG960,"")</f>
        <v/>
      </c>
      <c r="AW960" s="34">
        <f>IF(AND(E960=1,L960=0),AG960,"")</f>
        <v>9.2</v>
      </c>
      <c r="AX960" s="34" t="str">
        <f>IF(AND(E960=1,L960=1),AH960,"")</f>
        <v/>
      </c>
      <c r="AY960" s="34">
        <f>IF(AND(E960=1,L960=0),AH960,"")</f>
        <v>6.5</v>
      </c>
      <c r="AZ960" s="34" t="str">
        <f>IF(G960=1,F960,"")</f>
        <v/>
      </c>
      <c r="BA960" s="34" t="str">
        <f>IF(AND(G960=1,L960=1),F960,"")</f>
        <v/>
      </c>
      <c r="BB960" s="34" t="str">
        <f>IF(AND(G960=1,L960=0),F960,"")</f>
        <v/>
      </c>
      <c r="BC960" s="33">
        <f>IF(E960=1,IF(Orders!R957&gt;3,1,0),"")</f>
        <v>0</v>
      </c>
      <c r="BD960" s="33">
        <f>IF(E960=1,IF(Orders!R957&gt;7,1,0),"")</f>
        <v>0</v>
      </c>
      <c r="BE960" s="32" t="str">
        <f>IF(E960=1,IF(Orders!L957&lt;=1.5,"Up to 1.5 km",IF(Orders!L957&lt;=3,"1.5–3 km","Over 3 km")),"")</f>
        <v>Up to 1.5 km</v>
      </c>
      <c r="BF960" s="33">
        <f>IF(E960=1,IF(ABS((Orders!G957-Orders!F957)*1440-Orders!R957)&lt;0.06,1,0),"")</f>
        <v>1</v>
      </c>
      <c r="BG960" s="33">
        <f>IF(ABS((Orders!F957-Orders!E957)*1440-Orders!P957)&lt;0.06,1,0)</f>
        <v>1</v>
      </c>
      <c r="BH960" s="33">
        <f>IF(E960=1,IF(IF(Orders!S957,1,0)=1-G960,1,0),"")</f>
        <v>1</v>
      </c>
      <c r="BI960" s="32" t="str">
        <f>INDEX(Stores!$B$2:$B$21,MATCH(B960,Stores!$A$2:$A$21,0))</f>
        <v>Hyderabad</v>
      </c>
    </row>
    <row r="961">
      <c r="A961" s="32" t="str">
        <f>Orders!A958</f>
        <v>O00957</v>
      </c>
      <c r="B961" s="32" t="str">
        <f>Orders!C958</f>
        <v>S015</v>
      </c>
      <c r="C961" s="32" t="str">
        <f>Orders!B958</f>
        <v>C0035</v>
      </c>
      <c r="D961" s="32" t="str">
        <f>Orders!H958</f>
        <v>Cancelled</v>
      </c>
      <c r="E961" s="33">
        <f>IF(Orders!H958="Delivered",1,0)</f>
        <v>0</v>
      </c>
      <c r="F961" s="34" t="str">
        <f>IF(E961=1,Orders!R958,"")</f>
        <v/>
      </c>
      <c r="G961" s="33" t="str">
        <f>IF(E961=1,IF(Orders!R958&gt;0,1,0),"")</f>
        <v/>
      </c>
      <c r="H961" s="33" t="str">
        <f>IF(E961=1,IF(Orders!R958&gt;5,1,0),"")</f>
        <v/>
      </c>
      <c r="I961" s="32" t="str">
        <f>IF(E961=1,"",IF(OR(Orders!T958="Rider unavailable",Orders!T958="Item unavailable"),"Company-caused","Unresolved"))</f>
        <v>Unresolved</v>
      </c>
      <c r="J961" s="33">
        <f>IF(OR(E961=1,I961="Company-caused"),1,0)</f>
        <v>0</v>
      </c>
      <c r="K961" s="32" t="str">
        <f>IF(E961=0,IF(I961="Company-caused",IF(Orders!T958="Rider unavailable","C1 Rider unavailable","C2 Item unavailable"),"Outside root: unresolved"),IF(G961=0,"A On time",IF(H961=1,IF(L961=1,"B2a Severe, peak","B2b Severe, off-peak"),IF(L961=1,"B1a Slight, peak","B1b Slight, off-peak"))))</f>
        <v>Outside root: unresolved</v>
      </c>
      <c r="L961" s="33">
        <f>IF(AND(Orders!U958&gt;=19,Orders!U958&lt;22),1,0)</f>
        <v>0</v>
      </c>
      <c r="M961" s="33">
        <f>IF(L961=IF(Orders!V958,1,0),1,0)</f>
        <v>1</v>
      </c>
      <c r="N961" s="32" t="str">
        <f>IF(Orders!W958="","None",Orders!W958)</f>
        <v>Light</v>
      </c>
      <c r="O961" s="35">
        <f>INT(Orders!E958)</f>
        <v>46269.0</v>
      </c>
      <c r="P961" s="33">
        <f>Orders!U958</f>
        <v>11</v>
      </c>
      <c r="Q961" s="33">
        <f>COUNTIFS(Demand!$A$2:$A$4481,B961,Demand!$B$2:$B$4481,O961,Demand!$C$2:$C$4481,P961)</f>
        <v>1</v>
      </c>
      <c r="R961" s="33">
        <f>IF(Q961=1,SUMIFS(Demand!$E$2:$E$4481,Demand!$A$2:$A$4481,B961,Demand!$B$2:$B$4481,O961,Demand!$C$2:$C$4481,P961),"")</f>
        <v>15</v>
      </c>
      <c r="S961" s="33">
        <f>INDEX(Stores!$G$2:$G$21,MATCH(B961,Stores!$A$2:$A$21,0))</f>
        <v>23</v>
      </c>
      <c r="T961" s="34">
        <f>IF(R961="","",R961/S961)</f>
        <v>0.652173913043478</v>
      </c>
      <c r="U961" s="34" t="str">
        <f>IF(E961=1,T961,"")</f>
        <v/>
      </c>
      <c r="V961" s="34" t="str">
        <f>IF(AND(E961=1,L961=0),T961,"")</f>
        <v/>
      </c>
      <c r="W961" s="33" t="str">
        <f>IF(U961="","",IF(U961&lt;=Breakdowns!$C$5,1,IF(U961&lt;=Breakdowns!$C$6,2,IF(U961&lt;=Breakdowns!$C$7,3,4))))</f>
        <v/>
      </c>
      <c r="X961" s="33" t="str">
        <f>IF(V961="","",IF(V961&lt;=Breakdowns!$D$5,1,IF(V961&lt;=Breakdowns!$D$6,2,IF(V961&lt;=Breakdowns!$D$7,3,4))))</f>
        <v/>
      </c>
      <c r="Y961" s="34">
        <f>INDEX(Stores!$F$2:$F$21,MATCH(B961,Stores!$A$2:$A$21,0))</f>
        <v>4.66</v>
      </c>
      <c r="Z961" s="33">
        <f>IF(Y961&gt;Store_Summary!$M$2,1,0)</f>
        <v>0</v>
      </c>
      <c r="AA961" s="33">
        <f>INDEX(Stores!$C$2:$C$21,MATCH(B961,Stores!$A$2:$A$21,0))</f>
        <v>204</v>
      </c>
      <c r="AB961" s="33">
        <f>IF(AA961&lt;180,1,0)</f>
        <v>0</v>
      </c>
      <c r="AC961" s="32" t="str">
        <f>IF(Orders!D958="","",INDEX(Riders!$C$2:$C$81,MATCH(Orders!D958,Riders!$A$2:$A$81,0)))</f>
        <v/>
      </c>
      <c r="AD961" s="33" t="str">
        <f>IF(Orders!D958="","",INDEX(Riders!$D$2:$D$81,MATCH(Orders!D958,Riders!$A$2:$A$81,0)))</f>
        <v/>
      </c>
      <c r="AE961" s="33" t="str">
        <f>IF(Orders!D958="","",IF(INDEX(Riders!$B$2:$B$81,MATCH(Orders!D958,Riders!$A$2:$A$81,0))=B961,1,0))</f>
        <v/>
      </c>
      <c r="AF961" s="34" t="str">
        <f>IF(E961=1,Orders!L958,"")</f>
        <v/>
      </c>
      <c r="AG961" s="34" t="str">
        <f>IF(E961=1,Orders!P958,"")</f>
        <v/>
      </c>
      <c r="AH961" s="34" t="str">
        <f>IF(E961=1,Orders!Q958,"")</f>
        <v/>
      </c>
      <c r="AI961" s="34" t="str">
        <f>IF(E961=1,Orders!M958,"")</f>
        <v/>
      </c>
      <c r="AJ961" s="34" t="str">
        <f>IF(E961=1,Orders!N958,"")</f>
        <v/>
      </c>
      <c r="AK961" s="34" t="str">
        <f>IF(E961=1,Orders!O958,"")</f>
        <v/>
      </c>
      <c r="AL961" s="33" t="str">
        <f>IF(E961=1,IF(ROUND(ABS(AI961+AJ961+AK961-AH961),6)&lt;=0.1,1,0),"")</f>
        <v/>
      </c>
      <c r="AM961" s="36" t="str">
        <f>IF(E961=1,AI961/AH961,"")</f>
        <v/>
      </c>
      <c r="AN961" s="36" t="str">
        <f>IF(E961=1,AJ961/AH961,"")</f>
        <v/>
      </c>
      <c r="AO961" s="36" t="str">
        <f>IF(E961=1,AK961/AH961,"")</f>
        <v/>
      </c>
      <c r="AP961" s="34" t="str">
        <f>IF(E961=1,Orders!Y958,"")</f>
        <v/>
      </c>
      <c r="AQ961" s="33">
        <f>IF(Orders!X958,1,0)</f>
        <v>0</v>
      </c>
      <c r="AR961" s="34" t="str">
        <f>IF(AND(E961=1,L961=1),AJ961,"")</f>
        <v/>
      </c>
      <c r="AS961" s="34" t="str">
        <f>IF(AND(E961=1,L961=0),AJ961,"")</f>
        <v/>
      </c>
      <c r="AT961" s="34" t="str">
        <f>IF(AND(E961=1,L961=1),AI961,"")</f>
        <v/>
      </c>
      <c r="AU961" s="34" t="str">
        <f>IF(AND(E961=1,L961=0),AI961,"")</f>
        <v/>
      </c>
      <c r="AV961" s="34" t="str">
        <f>IF(AND(E961=1,L961=1),AG961,"")</f>
        <v/>
      </c>
      <c r="AW961" s="34" t="str">
        <f>IF(AND(E961=1,L961=0),AG961,"")</f>
        <v/>
      </c>
      <c r="AX961" s="34" t="str">
        <f>IF(AND(E961=1,L961=1),AH961,"")</f>
        <v/>
      </c>
      <c r="AY961" s="34" t="str">
        <f>IF(AND(E961=1,L961=0),AH961,"")</f>
        <v/>
      </c>
      <c r="AZ961" s="34" t="str">
        <f>IF(G961=1,F961,"")</f>
        <v/>
      </c>
      <c r="BA961" s="34" t="str">
        <f>IF(AND(G961=1,L961=1),F961,"")</f>
        <v/>
      </c>
      <c r="BB961" s="34" t="str">
        <f>IF(AND(G961=1,L961=0),F961,"")</f>
        <v/>
      </c>
      <c r="BC961" s="33" t="str">
        <f>IF(E961=1,IF(Orders!R958&gt;3,1,0),"")</f>
        <v/>
      </c>
      <c r="BD961" s="33" t="str">
        <f>IF(E961=1,IF(Orders!R958&gt;7,1,0),"")</f>
        <v/>
      </c>
      <c r="BE961" s="32" t="str">
        <f>IF(E961=1,IF(Orders!L958&lt;=1.5,"Up to 1.5 km",IF(Orders!L958&lt;=3,"1.5–3 km","Over 3 km")),"")</f>
        <v/>
      </c>
      <c r="BF961" s="33" t="str">
        <f>IF(E961=1,IF(ABS((Orders!G958-Orders!F958)*1440-Orders!R958)&lt;0.06,1,0),"")</f>
        <v/>
      </c>
      <c r="BG961" s="33">
        <f>IF(ABS((Orders!F958-Orders!E958)*1440-Orders!P958)&lt;0.06,1,0)</f>
        <v>1</v>
      </c>
      <c r="BH961" s="33" t="str">
        <f>IF(E961=1,IF(IF(Orders!S958,1,0)=1-G961,1,0),"")</f>
        <v/>
      </c>
      <c r="BI961" s="32" t="str">
        <f>INDEX(Stores!$B$2:$B$21,MATCH(B961,Stores!$A$2:$A$21,0))</f>
        <v>Delhi</v>
      </c>
    </row>
    <row r="962">
      <c r="A962" s="32" t="str">
        <f>Orders!A959</f>
        <v>O00958</v>
      </c>
      <c r="B962" s="32" t="str">
        <f>Orders!C959</f>
        <v>S008</v>
      </c>
      <c r="C962" s="32" t="str">
        <f>Orders!B959</f>
        <v>C0250</v>
      </c>
      <c r="D962" s="32" t="str">
        <f>Orders!H959</f>
        <v>Delivered</v>
      </c>
      <c r="E962" s="33">
        <f>IF(Orders!H959="Delivered",1,0)</f>
        <v>1</v>
      </c>
      <c r="F962" s="34">
        <f>IF(E962=1,Orders!R959,"")</f>
        <v>-0.3</v>
      </c>
      <c r="G962" s="33">
        <f>IF(E962=1,IF(Orders!R959&gt;0,1,0),"")</f>
        <v>0</v>
      </c>
      <c r="H962" s="33">
        <f>IF(E962=1,IF(Orders!R959&gt;5,1,0),"")</f>
        <v>0</v>
      </c>
      <c r="I962" s="32" t="str">
        <f>IF(E962=1,"",IF(OR(Orders!T959="Rider unavailable",Orders!T959="Item unavailable"),"Company-caused","Unresolved"))</f>
        <v/>
      </c>
      <c r="J962" s="33">
        <f>IF(OR(E962=1,I962="Company-caused"),1,0)</f>
        <v>1</v>
      </c>
      <c r="K962" s="32" t="str">
        <f>IF(E962=0,IF(I962="Company-caused",IF(Orders!T959="Rider unavailable","C1 Rider unavailable","C2 Item unavailable"),"Outside root: unresolved"),IF(G962=0,"A On time",IF(H962=1,IF(L962=1,"B2a Severe, peak","B2b Severe, off-peak"),IF(L962=1,"B1a Slight, peak","B1b Slight, off-peak"))))</f>
        <v>A On time</v>
      </c>
      <c r="L962" s="33">
        <f>IF(AND(Orders!U959&gt;=19,Orders!U959&lt;22),1,0)</f>
        <v>0</v>
      </c>
      <c r="M962" s="33">
        <f>IF(L962=IF(Orders!V959,1,0),1,0)</f>
        <v>1</v>
      </c>
      <c r="N962" s="32" t="str">
        <f>IF(Orders!W959="","None",Orders!W959)</f>
        <v>Light</v>
      </c>
      <c r="O962" s="35">
        <f>INT(Orders!E959)</f>
        <v>46272.0</v>
      </c>
      <c r="P962" s="33">
        <f>Orders!U959</f>
        <v>8</v>
      </c>
      <c r="Q962" s="33">
        <f>COUNTIFS(Demand!$A$2:$A$4481,B962,Demand!$B$2:$B$4481,O962,Demand!$C$2:$C$4481,P962)</f>
        <v>1</v>
      </c>
      <c r="R962" s="33">
        <f>IF(Q962=1,SUMIFS(Demand!$E$2:$E$4481,Demand!$A$2:$A$4481,B962,Demand!$B$2:$B$4481,O962,Demand!$C$2:$C$4481,P962),"")</f>
        <v>18</v>
      </c>
      <c r="S962" s="33">
        <f>INDEX(Stores!$G$2:$G$21,MATCH(B962,Stores!$A$2:$A$21,0))</f>
        <v>23</v>
      </c>
      <c r="T962" s="34">
        <f>IF(R962="","",R962/S962)</f>
        <v>0.782608695652174</v>
      </c>
      <c r="U962" s="34">
        <f>IF(E962=1,T962,"")</f>
        <v>0.782608695652174</v>
      </c>
      <c r="V962" s="34">
        <f>IF(AND(E962=1,L962=0),T962,"")</f>
        <v>0.782608695652174</v>
      </c>
      <c r="W962" s="33">
        <f>IF(U962="","",IF(U962&lt;=Breakdowns!$C$5,1,IF(U962&lt;=Breakdowns!$C$6,2,IF(U962&lt;=Breakdowns!$C$7,3,4))))</f>
        <v>1</v>
      </c>
      <c r="X962" s="33">
        <f>IF(V962="","",IF(V962&lt;=Breakdowns!$D$5,1,IF(V962&lt;=Breakdowns!$D$6,2,IF(V962&lt;=Breakdowns!$D$7,3,4))))</f>
        <v>2</v>
      </c>
      <c r="Y962" s="34">
        <f>INDEX(Stores!$F$2:$F$21,MATCH(B962,Stores!$A$2:$A$21,0))</f>
        <v>3.46</v>
      </c>
      <c r="Z962" s="33">
        <f>IF(Y962&gt;Store_Summary!$M$2,1,0)</f>
        <v>0</v>
      </c>
      <c r="AA962" s="33">
        <f>INDEX(Stores!$C$2:$C$21,MATCH(B962,Stores!$A$2:$A$21,0))</f>
        <v>825</v>
      </c>
      <c r="AB962" s="33">
        <f>IF(AA962&lt;180,1,0)</f>
        <v>0</v>
      </c>
      <c r="AC962" s="32" t="str">
        <f>IF(Orders!D959="","",INDEX(Riders!$C$2:$C$81,MATCH(Orders!D959,Riders!$A$2:$A$81,0)))</f>
        <v>EV scooter</v>
      </c>
      <c r="AD962" s="33">
        <f>IF(Orders!D959="","",INDEX(Riders!$D$2:$D$81,MATCH(Orders!D959,Riders!$A$2:$A$81,0)))</f>
        <v>4</v>
      </c>
      <c r="AE962" s="33">
        <f>IF(Orders!D959="","",IF(INDEX(Riders!$B$2:$B$81,MATCH(Orders!D959,Riders!$A$2:$A$81,0))=B962,1,0))</f>
        <v>0</v>
      </c>
      <c r="AF962" s="34">
        <f>IF(E962=1,Orders!L959,"")</f>
        <v>1.62</v>
      </c>
      <c r="AG962" s="34">
        <f>IF(E962=1,Orders!P959,"")</f>
        <v>11.3</v>
      </c>
      <c r="AH962" s="34">
        <f>IF(E962=1,Orders!Q959,"")</f>
        <v>11</v>
      </c>
      <c r="AI962" s="34">
        <f>IF(E962=1,Orders!M959,"")</f>
        <v>3.7</v>
      </c>
      <c r="AJ962" s="34">
        <f>IF(E962=1,Orders!N959,"")</f>
        <v>2.5</v>
      </c>
      <c r="AK962" s="34">
        <f>IF(E962=1,Orders!O959,"")</f>
        <v>4.8</v>
      </c>
      <c r="AL962" s="33">
        <f>IF(E962=1,IF(ROUND(ABS(AI962+AJ962+AK962-AH962),6)&lt;=0.1,1,0),"")</f>
        <v>1</v>
      </c>
      <c r="AM962" s="36">
        <f>IF(E962=1,AI962/AH962,"")</f>
        <v>0.336363636363636</v>
      </c>
      <c r="AN962" s="36">
        <f>IF(E962=1,AJ962/AH962,"")</f>
        <v>0.227272727272727</v>
      </c>
      <c r="AO962" s="36">
        <f>IF(E962=1,AK962/AH962,"")</f>
        <v>0.436363636363636</v>
      </c>
      <c r="AP962" s="34">
        <f>IF(E962=1,Orders!Y959,"")</f>
        <v>0.62</v>
      </c>
      <c r="AQ962" s="33">
        <f>IF(Orders!X959,1,0)</f>
        <v>0</v>
      </c>
      <c r="AR962" s="34" t="str">
        <f>IF(AND(E962=1,L962=1),AJ962,"")</f>
        <v/>
      </c>
      <c r="AS962" s="34">
        <f>IF(AND(E962=1,L962=0),AJ962,"")</f>
        <v>2.5</v>
      </c>
      <c r="AT962" s="34" t="str">
        <f>IF(AND(E962=1,L962=1),AI962,"")</f>
        <v/>
      </c>
      <c r="AU962" s="34">
        <f>IF(AND(E962=1,L962=0),AI962,"")</f>
        <v>3.7</v>
      </c>
      <c r="AV962" s="34" t="str">
        <f>IF(AND(E962=1,L962=1),AG962,"")</f>
        <v/>
      </c>
      <c r="AW962" s="34">
        <f>IF(AND(E962=1,L962=0),AG962,"")</f>
        <v>11.3</v>
      </c>
      <c r="AX962" s="34" t="str">
        <f>IF(AND(E962=1,L962=1),AH962,"")</f>
        <v/>
      </c>
      <c r="AY962" s="34">
        <f>IF(AND(E962=1,L962=0),AH962,"")</f>
        <v>11</v>
      </c>
      <c r="AZ962" s="34" t="str">
        <f>IF(G962=1,F962,"")</f>
        <v/>
      </c>
      <c r="BA962" s="34" t="str">
        <f>IF(AND(G962=1,L962=1),F962,"")</f>
        <v/>
      </c>
      <c r="BB962" s="34" t="str">
        <f>IF(AND(G962=1,L962=0),F962,"")</f>
        <v/>
      </c>
      <c r="BC962" s="33">
        <f>IF(E962=1,IF(Orders!R959&gt;3,1,0),"")</f>
        <v>0</v>
      </c>
      <c r="BD962" s="33">
        <f>IF(E962=1,IF(Orders!R959&gt;7,1,0),"")</f>
        <v>0</v>
      </c>
      <c r="BE962" s="32" t="str">
        <f>IF(E962=1,IF(Orders!L959&lt;=1.5,"Up to 1.5 km",IF(Orders!L959&lt;=3,"1.5–3 km","Over 3 km")),"")</f>
        <v>1.5–3 km</v>
      </c>
      <c r="BF962" s="33">
        <f>IF(E962=1,IF(ABS((Orders!G959-Orders!F959)*1440-Orders!R959)&lt;0.06,1,0),"")</f>
        <v>1</v>
      </c>
      <c r="BG962" s="33">
        <f>IF(ABS((Orders!F959-Orders!E959)*1440-Orders!P959)&lt;0.06,1,0)</f>
        <v>1</v>
      </c>
      <c r="BH962" s="33">
        <f>IF(E962=1,IF(IF(Orders!S959,1,0)=1-G962,1,0),"")</f>
        <v>1</v>
      </c>
      <c r="BI962" s="32" t="str">
        <f>INDEX(Stores!$B$2:$B$21,MATCH(B962,Stores!$A$2:$A$21,0))</f>
        <v>Mumbai</v>
      </c>
    </row>
    <row r="963">
      <c r="A963" s="32" t="str">
        <f>Orders!A960</f>
        <v>O00959</v>
      </c>
      <c r="B963" s="32" t="str">
        <f>Orders!C960</f>
        <v>S015</v>
      </c>
      <c r="C963" s="32" t="str">
        <f>Orders!B960</f>
        <v>C0137</v>
      </c>
      <c r="D963" s="32" t="str">
        <f>Orders!H960</f>
        <v>Delivered</v>
      </c>
      <c r="E963" s="33">
        <f>IF(Orders!H960="Delivered",1,0)</f>
        <v>1</v>
      </c>
      <c r="F963" s="34">
        <f>IF(E963=1,Orders!R960,"")</f>
        <v>-0.6</v>
      </c>
      <c r="G963" s="33">
        <f>IF(E963=1,IF(Orders!R960&gt;0,1,0),"")</f>
        <v>0</v>
      </c>
      <c r="H963" s="33">
        <f>IF(E963=1,IF(Orders!R960&gt;5,1,0),"")</f>
        <v>0</v>
      </c>
      <c r="I963" s="32" t="str">
        <f>IF(E963=1,"",IF(OR(Orders!T960="Rider unavailable",Orders!T960="Item unavailable"),"Company-caused","Unresolved"))</f>
        <v/>
      </c>
      <c r="J963" s="33">
        <f>IF(OR(E963=1,I963="Company-caused"),1,0)</f>
        <v>1</v>
      </c>
      <c r="K963" s="32" t="str">
        <f>IF(E963=0,IF(I963="Company-caused",IF(Orders!T960="Rider unavailable","C1 Rider unavailable","C2 Item unavailable"),"Outside root: unresolved"),IF(G963=0,"A On time",IF(H963=1,IF(L963=1,"B2a Severe, peak","B2b Severe, off-peak"),IF(L963=1,"B1a Slight, peak","B1b Slight, off-peak"))))</f>
        <v>A On time</v>
      </c>
      <c r="L963" s="33">
        <f>IF(AND(Orders!U960&gt;=19,Orders!U960&lt;22),1,0)</f>
        <v>0</v>
      </c>
      <c r="M963" s="33">
        <f>IF(L963=IF(Orders!V960,1,0),1,0)</f>
        <v>1</v>
      </c>
      <c r="N963" s="32" t="str">
        <f>IF(Orders!W960="","None",Orders!W960)</f>
        <v>Light</v>
      </c>
      <c r="O963" s="35">
        <f>INT(Orders!E960)</f>
        <v>46269.0</v>
      </c>
      <c r="P963" s="33">
        <f>Orders!U960</f>
        <v>22</v>
      </c>
      <c r="Q963" s="33">
        <f>COUNTIFS(Demand!$A$2:$A$4481,B963,Demand!$B$2:$B$4481,O963,Demand!$C$2:$C$4481,P963)</f>
        <v>1</v>
      </c>
      <c r="R963" s="33">
        <f>IF(Q963=1,SUMIFS(Demand!$E$2:$E$4481,Demand!$A$2:$A$4481,B963,Demand!$B$2:$B$4481,O963,Demand!$C$2:$C$4481,P963),"")</f>
        <v>19</v>
      </c>
      <c r="S963" s="33">
        <f>INDEX(Stores!$G$2:$G$21,MATCH(B963,Stores!$A$2:$A$21,0))</f>
        <v>23</v>
      </c>
      <c r="T963" s="34">
        <f>IF(R963="","",R963/S963)</f>
        <v>0.826086956521739</v>
      </c>
      <c r="U963" s="34">
        <f>IF(E963=1,T963,"")</f>
        <v>0.826086956521739</v>
      </c>
      <c r="V963" s="34">
        <f>IF(AND(E963=1,L963=0),T963,"")</f>
        <v>0.826086956521739</v>
      </c>
      <c r="W963" s="33">
        <f>IF(U963="","",IF(U963&lt;=Breakdowns!$C$5,1,IF(U963&lt;=Breakdowns!$C$6,2,IF(U963&lt;=Breakdowns!$C$7,3,4))))</f>
        <v>2</v>
      </c>
      <c r="X963" s="33">
        <f>IF(V963="","",IF(V963&lt;=Breakdowns!$D$5,1,IF(V963&lt;=Breakdowns!$D$6,2,IF(V963&lt;=Breakdowns!$D$7,3,4))))</f>
        <v>2</v>
      </c>
      <c r="Y963" s="34">
        <f>INDEX(Stores!$F$2:$F$21,MATCH(B963,Stores!$A$2:$A$21,0))</f>
        <v>4.66</v>
      </c>
      <c r="Z963" s="33">
        <f>IF(Y963&gt;Store_Summary!$M$2,1,0)</f>
        <v>0</v>
      </c>
      <c r="AA963" s="33">
        <f>INDEX(Stores!$C$2:$C$21,MATCH(B963,Stores!$A$2:$A$21,0))</f>
        <v>204</v>
      </c>
      <c r="AB963" s="33">
        <f>IF(AA963&lt;180,1,0)</f>
        <v>0</v>
      </c>
      <c r="AC963" s="32" t="str">
        <f>IF(Orders!D960="","",INDEX(Riders!$C$2:$C$81,MATCH(Orders!D960,Riders!$A$2:$A$81,0)))</f>
        <v>EV scooter</v>
      </c>
      <c r="AD963" s="33">
        <f>IF(Orders!D960="","",INDEX(Riders!$D$2:$D$81,MATCH(Orders!D960,Riders!$A$2:$A$81,0)))</f>
        <v>41</v>
      </c>
      <c r="AE963" s="33">
        <f>IF(Orders!D960="","",IF(INDEX(Riders!$B$2:$B$81,MATCH(Orders!D960,Riders!$A$2:$A$81,0))=B963,1,0))</f>
        <v>0</v>
      </c>
      <c r="AF963" s="34">
        <f>IF(E963=1,Orders!L960,"")</f>
        <v>0.74</v>
      </c>
      <c r="AG963" s="34">
        <f>IF(E963=1,Orders!P960,"")</f>
        <v>9.4</v>
      </c>
      <c r="AH963" s="34">
        <f>IF(E963=1,Orders!Q960,"")</f>
        <v>8.8</v>
      </c>
      <c r="AI963" s="34">
        <f>IF(E963=1,Orders!M960,"")</f>
        <v>2.6</v>
      </c>
      <c r="AJ963" s="34">
        <f>IF(E963=1,Orders!N960,"")</f>
        <v>4.3</v>
      </c>
      <c r="AK963" s="34">
        <f>IF(E963=1,Orders!O960,"")</f>
        <v>1.9</v>
      </c>
      <c r="AL963" s="33">
        <f>IF(E963=1,IF(ROUND(ABS(AI963+AJ963+AK963-AH963),6)&lt;=0.1,1,0),"")</f>
        <v>1</v>
      </c>
      <c r="AM963" s="36">
        <f>IF(E963=1,AI963/AH963,"")</f>
        <v>0.295454545454545</v>
      </c>
      <c r="AN963" s="36">
        <f>IF(E963=1,AJ963/AH963,"")</f>
        <v>0.488636363636364</v>
      </c>
      <c r="AO963" s="36">
        <f>IF(E963=1,AK963/AH963,"")</f>
        <v>0.215909090909091</v>
      </c>
      <c r="AP963" s="34">
        <f>IF(E963=1,Orders!Y960,"")</f>
        <v>0.44</v>
      </c>
      <c r="AQ963" s="33">
        <f>IF(Orders!X960,1,0)</f>
        <v>0</v>
      </c>
      <c r="AR963" s="34" t="str">
        <f>IF(AND(E963=1,L963=1),AJ963,"")</f>
        <v/>
      </c>
      <c r="AS963" s="34">
        <f>IF(AND(E963=1,L963=0),AJ963,"")</f>
        <v>4.3</v>
      </c>
      <c r="AT963" s="34" t="str">
        <f>IF(AND(E963=1,L963=1),AI963,"")</f>
        <v/>
      </c>
      <c r="AU963" s="34">
        <f>IF(AND(E963=1,L963=0),AI963,"")</f>
        <v>2.6</v>
      </c>
      <c r="AV963" s="34" t="str">
        <f>IF(AND(E963=1,L963=1),AG963,"")</f>
        <v/>
      </c>
      <c r="AW963" s="34">
        <f>IF(AND(E963=1,L963=0),AG963,"")</f>
        <v>9.4</v>
      </c>
      <c r="AX963" s="34" t="str">
        <f>IF(AND(E963=1,L963=1),AH963,"")</f>
        <v/>
      </c>
      <c r="AY963" s="34">
        <f>IF(AND(E963=1,L963=0),AH963,"")</f>
        <v>8.8</v>
      </c>
      <c r="AZ963" s="34" t="str">
        <f>IF(G963=1,F963,"")</f>
        <v/>
      </c>
      <c r="BA963" s="34" t="str">
        <f>IF(AND(G963=1,L963=1),F963,"")</f>
        <v/>
      </c>
      <c r="BB963" s="34" t="str">
        <f>IF(AND(G963=1,L963=0),F963,"")</f>
        <v/>
      </c>
      <c r="BC963" s="33">
        <f>IF(E963=1,IF(Orders!R960&gt;3,1,0),"")</f>
        <v>0</v>
      </c>
      <c r="BD963" s="33">
        <f>IF(E963=1,IF(Orders!R960&gt;7,1,0),"")</f>
        <v>0</v>
      </c>
      <c r="BE963" s="32" t="str">
        <f>IF(E963=1,IF(Orders!L960&lt;=1.5,"Up to 1.5 km",IF(Orders!L960&lt;=3,"1.5–3 km","Over 3 km")),"")</f>
        <v>Up to 1.5 km</v>
      </c>
      <c r="BF963" s="33">
        <f>IF(E963=1,IF(ABS((Orders!G960-Orders!F960)*1440-Orders!R960)&lt;0.06,1,0),"")</f>
        <v>1</v>
      </c>
      <c r="BG963" s="33">
        <f>IF(ABS((Orders!F960-Orders!E960)*1440-Orders!P960)&lt;0.06,1,0)</f>
        <v>1</v>
      </c>
      <c r="BH963" s="33">
        <f>IF(E963=1,IF(IF(Orders!S960,1,0)=1-G963,1,0),"")</f>
        <v>1</v>
      </c>
      <c r="BI963" s="32" t="str">
        <f>INDEX(Stores!$B$2:$B$21,MATCH(B963,Stores!$A$2:$A$21,0))</f>
        <v>Delhi</v>
      </c>
    </row>
    <row r="964">
      <c r="A964" s="32" t="str">
        <f>Orders!A961</f>
        <v>O00960</v>
      </c>
      <c r="B964" s="32" t="str">
        <f>Orders!C961</f>
        <v>S014</v>
      </c>
      <c r="C964" s="32" t="str">
        <f>Orders!B961</f>
        <v>C0005</v>
      </c>
      <c r="D964" s="32" t="str">
        <f>Orders!H961</f>
        <v>Delivered</v>
      </c>
      <c r="E964" s="33">
        <f>IF(Orders!H961="Delivered",1,0)</f>
        <v>1</v>
      </c>
      <c r="F964" s="34">
        <f>IF(E964=1,Orders!R961,"")</f>
        <v>-1</v>
      </c>
      <c r="G964" s="33">
        <f>IF(E964=1,IF(Orders!R961&gt;0,1,0),"")</f>
        <v>0</v>
      </c>
      <c r="H964" s="33">
        <f>IF(E964=1,IF(Orders!R961&gt;5,1,0),"")</f>
        <v>0</v>
      </c>
      <c r="I964" s="32" t="str">
        <f>IF(E964=1,"",IF(OR(Orders!T961="Rider unavailable",Orders!T961="Item unavailable"),"Company-caused","Unresolved"))</f>
        <v/>
      </c>
      <c r="J964" s="33">
        <f>IF(OR(E964=1,I964="Company-caused"),1,0)</f>
        <v>1</v>
      </c>
      <c r="K964" s="32" t="str">
        <f>IF(E964=0,IF(I964="Company-caused",IF(Orders!T961="Rider unavailable","C1 Rider unavailable","C2 Item unavailable"),"Outside root: unresolved"),IF(G964=0,"A On time",IF(H964=1,IF(L964=1,"B2a Severe, peak","B2b Severe, off-peak"),IF(L964=1,"B1a Slight, peak","B1b Slight, off-peak"))))</f>
        <v>A On time</v>
      </c>
      <c r="L964" s="33">
        <f>IF(AND(Orders!U961&gt;=19,Orders!U961&lt;22),1,0)</f>
        <v>0</v>
      </c>
      <c r="M964" s="33">
        <f>IF(L964=IF(Orders!V961,1,0),1,0)</f>
        <v>1</v>
      </c>
      <c r="N964" s="32" t="str">
        <f>IF(Orders!W961="","None",Orders!W961)</f>
        <v>None</v>
      </c>
      <c r="O964" s="35">
        <f>INT(Orders!E961)</f>
        <v>46273.0</v>
      </c>
      <c r="P964" s="33">
        <f>Orders!U961</f>
        <v>22</v>
      </c>
      <c r="Q964" s="33">
        <f>COUNTIFS(Demand!$A$2:$A$4481,B964,Demand!$B$2:$B$4481,O964,Demand!$C$2:$C$4481,P964)</f>
        <v>1</v>
      </c>
      <c r="R964" s="33">
        <f>IF(Q964=1,SUMIFS(Demand!$E$2:$E$4481,Demand!$A$2:$A$4481,B964,Demand!$B$2:$B$4481,O964,Demand!$C$2:$C$4481,P964),"")</f>
        <v>38</v>
      </c>
      <c r="S964" s="33">
        <f>INDEX(Stores!$G$2:$G$21,MATCH(B964,Stores!$A$2:$A$21,0))</f>
        <v>37</v>
      </c>
      <c r="T964" s="34">
        <f>IF(R964="","",R964/S964)</f>
        <v>1.02702702702703</v>
      </c>
      <c r="U964" s="34">
        <f>IF(E964=1,T964,"")</f>
        <v>1.02702702702703</v>
      </c>
      <c r="V964" s="34">
        <f>IF(AND(E964=1,L964=0),T964,"")</f>
        <v>1.02702702702703</v>
      </c>
      <c r="W964" s="33">
        <f>IF(U964="","",IF(U964&lt;=Breakdowns!$C$5,1,IF(U964&lt;=Breakdowns!$C$6,2,IF(U964&lt;=Breakdowns!$C$7,3,4))))</f>
        <v>3</v>
      </c>
      <c r="X964" s="33">
        <f>IF(V964="","",IF(V964&lt;=Breakdowns!$D$5,1,IF(V964&lt;=Breakdowns!$D$6,2,IF(V964&lt;=Breakdowns!$D$7,3,4))))</f>
        <v>3</v>
      </c>
      <c r="Y964" s="34">
        <f>INDEX(Stores!$F$2:$F$21,MATCH(B964,Stores!$A$2:$A$21,0))</f>
        <v>5.55</v>
      </c>
      <c r="Z964" s="33">
        <f>IF(Y964&gt;Store_Summary!$M$2,1,0)</f>
        <v>1</v>
      </c>
      <c r="AA964" s="33">
        <f>INDEX(Stores!$C$2:$C$21,MATCH(B964,Stores!$A$2:$A$21,0))</f>
        <v>241</v>
      </c>
      <c r="AB964" s="33">
        <f>IF(AA964&lt;180,1,0)</f>
        <v>0</v>
      </c>
      <c r="AC964" s="32" t="str">
        <f>IF(Orders!D961="","",INDEX(Riders!$C$2:$C$81,MATCH(Orders!D961,Riders!$A$2:$A$81,0)))</f>
        <v>EV scooter</v>
      </c>
      <c r="AD964" s="33">
        <f>IF(Orders!D961="","",INDEX(Riders!$D$2:$D$81,MATCH(Orders!D961,Riders!$A$2:$A$81,0)))</f>
        <v>36</v>
      </c>
      <c r="AE964" s="33">
        <f>IF(Orders!D961="","",IF(INDEX(Riders!$B$2:$B$81,MATCH(Orders!D961,Riders!$A$2:$A$81,0))=B964,1,0))</f>
        <v>0</v>
      </c>
      <c r="AF964" s="34">
        <f>IF(E964=1,Orders!L961,"")</f>
        <v>1.49</v>
      </c>
      <c r="AG964" s="34">
        <f>IF(E964=1,Orders!P961,"")</f>
        <v>10.7</v>
      </c>
      <c r="AH964" s="34">
        <f>IF(E964=1,Orders!Q961,"")</f>
        <v>9.7</v>
      </c>
      <c r="AI964" s="34">
        <f>IF(E964=1,Orders!M961,"")</f>
        <v>3.6</v>
      </c>
      <c r="AJ964" s="34">
        <f>IF(E964=1,Orders!N961,"")</f>
        <v>3.1</v>
      </c>
      <c r="AK964" s="34">
        <f>IF(E964=1,Orders!O961,"")</f>
        <v>3</v>
      </c>
      <c r="AL964" s="33">
        <f>IF(E964=1,IF(ROUND(ABS(AI964+AJ964+AK964-AH964),6)&lt;=0.1,1,0),"")</f>
        <v>1</v>
      </c>
      <c r="AM964" s="36">
        <f>IF(E964=1,AI964/AH964,"")</f>
        <v>0.371134020618557</v>
      </c>
      <c r="AN964" s="36">
        <f>IF(E964=1,AJ964/AH964,"")</f>
        <v>0.319587628865979</v>
      </c>
      <c r="AO964" s="36">
        <f>IF(E964=1,AK964/AH964,"")</f>
        <v>0.309278350515464</v>
      </c>
      <c r="AP964" s="34">
        <f>IF(E964=1,Orders!Y961,"")</f>
        <v>0.51</v>
      </c>
      <c r="AQ964" s="33">
        <f>IF(Orders!X961,1,0)</f>
        <v>0</v>
      </c>
      <c r="AR964" s="34" t="str">
        <f>IF(AND(E964=1,L964=1),AJ964,"")</f>
        <v/>
      </c>
      <c r="AS964" s="34">
        <f>IF(AND(E964=1,L964=0),AJ964,"")</f>
        <v>3.1</v>
      </c>
      <c r="AT964" s="34" t="str">
        <f>IF(AND(E964=1,L964=1),AI964,"")</f>
        <v/>
      </c>
      <c r="AU964" s="34">
        <f>IF(AND(E964=1,L964=0),AI964,"")</f>
        <v>3.6</v>
      </c>
      <c r="AV964" s="34" t="str">
        <f>IF(AND(E964=1,L964=1),AG964,"")</f>
        <v/>
      </c>
      <c r="AW964" s="34">
        <f>IF(AND(E964=1,L964=0),AG964,"")</f>
        <v>10.7</v>
      </c>
      <c r="AX964" s="34" t="str">
        <f>IF(AND(E964=1,L964=1),AH964,"")</f>
        <v/>
      </c>
      <c r="AY964" s="34">
        <f>IF(AND(E964=1,L964=0),AH964,"")</f>
        <v>9.7</v>
      </c>
      <c r="AZ964" s="34" t="str">
        <f>IF(G964=1,F964,"")</f>
        <v/>
      </c>
      <c r="BA964" s="34" t="str">
        <f>IF(AND(G964=1,L964=1),F964,"")</f>
        <v/>
      </c>
      <c r="BB964" s="34" t="str">
        <f>IF(AND(G964=1,L964=0),F964,"")</f>
        <v/>
      </c>
      <c r="BC964" s="33">
        <f>IF(E964=1,IF(Orders!R961&gt;3,1,0),"")</f>
        <v>0</v>
      </c>
      <c r="BD964" s="33">
        <f>IF(E964=1,IF(Orders!R961&gt;7,1,0),"")</f>
        <v>0</v>
      </c>
      <c r="BE964" s="32" t="str">
        <f>IF(E964=1,IF(Orders!L961&lt;=1.5,"Up to 1.5 km",IF(Orders!L961&lt;=3,"1.5–3 km","Over 3 km")),"")</f>
        <v>Up to 1.5 km</v>
      </c>
      <c r="BF964" s="33">
        <f>IF(E964=1,IF(ABS((Orders!G961-Orders!F961)*1440-Orders!R961)&lt;0.06,1,0),"")</f>
        <v>1</v>
      </c>
      <c r="BG964" s="33">
        <f>IF(ABS((Orders!F961-Orders!E961)*1440-Orders!P961)&lt;0.06,1,0)</f>
        <v>1</v>
      </c>
      <c r="BH964" s="33">
        <f>IF(E964=1,IF(IF(Orders!S961,1,0)=1-G964,1,0),"")</f>
        <v>1</v>
      </c>
      <c r="BI964" s="32" t="str">
        <f>INDEX(Stores!$B$2:$B$21,MATCH(B964,Stores!$A$2:$A$21,0))</f>
        <v>Pune</v>
      </c>
    </row>
    <row r="965">
      <c r="A965" s="32" t="str">
        <f>Orders!A962</f>
        <v>O00961</v>
      </c>
      <c r="B965" s="32" t="str">
        <f>Orders!C962</f>
        <v>S005</v>
      </c>
      <c r="C965" s="32" t="str">
        <f>Orders!B962</f>
        <v>C0181</v>
      </c>
      <c r="D965" s="32" t="str">
        <f>Orders!H962</f>
        <v>Delivered</v>
      </c>
      <c r="E965" s="33">
        <f>IF(Orders!H962="Delivered",1,0)</f>
        <v>1</v>
      </c>
      <c r="F965" s="34">
        <f>IF(E965=1,Orders!R962,"")</f>
        <v>1.6</v>
      </c>
      <c r="G965" s="33">
        <f>IF(E965=1,IF(Orders!R962&gt;0,1,0),"")</f>
        <v>1</v>
      </c>
      <c r="H965" s="33">
        <f>IF(E965=1,IF(Orders!R962&gt;5,1,0),"")</f>
        <v>0</v>
      </c>
      <c r="I965" s="32" t="str">
        <f>IF(E965=1,"",IF(OR(Orders!T962="Rider unavailable",Orders!T962="Item unavailable"),"Company-caused","Unresolved"))</f>
        <v/>
      </c>
      <c r="J965" s="33">
        <f>IF(OR(E965=1,I965="Company-caused"),1,0)</f>
        <v>1</v>
      </c>
      <c r="K965" s="32" t="str">
        <f>IF(E965=0,IF(I965="Company-caused",IF(Orders!T962="Rider unavailable","C1 Rider unavailable","C2 Item unavailable"),"Outside root: unresolved"),IF(G965=0,"A On time",IF(H965=1,IF(L965=1,"B2a Severe, peak","B2b Severe, off-peak"),IF(L965=1,"B1a Slight, peak","B1b Slight, off-peak"))))</f>
        <v>B1b Slight, off-peak</v>
      </c>
      <c r="L965" s="33">
        <f>IF(AND(Orders!U962&gt;=19,Orders!U962&lt;22),1,0)</f>
        <v>0</v>
      </c>
      <c r="M965" s="33">
        <f>IF(L965=IF(Orders!V962,1,0),1,0)</f>
        <v>1</v>
      </c>
      <c r="N965" s="32" t="str">
        <f>IF(Orders!W962="","None",Orders!W962)</f>
        <v>None</v>
      </c>
      <c r="O965" s="35">
        <f>INT(Orders!E962)</f>
        <v>46271.0</v>
      </c>
      <c r="P965" s="33">
        <f>Orders!U962</f>
        <v>22</v>
      </c>
      <c r="Q965" s="33">
        <f>COUNTIFS(Demand!$A$2:$A$4481,B965,Demand!$B$2:$B$4481,O965,Demand!$C$2:$C$4481,P965)</f>
        <v>1</v>
      </c>
      <c r="R965" s="33">
        <f>IF(Q965=1,SUMIFS(Demand!$E$2:$E$4481,Demand!$A$2:$A$4481,B965,Demand!$B$2:$B$4481,O965,Demand!$C$2:$C$4481,P965),"")</f>
        <v>16</v>
      </c>
      <c r="S965" s="33">
        <f>INDEX(Stores!$G$2:$G$21,MATCH(B965,Stores!$A$2:$A$21,0))</f>
        <v>14</v>
      </c>
      <c r="T965" s="34">
        <f>IF(R965="","",R965/S965)</f>
        <v>1.14285714285714</v>
      </c>
      <c r="U965" s="34">
        <f>IF(E965=1,T965,"")</f>
        <v>1.14285714285714</v>
      </c>
      <c r="V965" s="34">
        <f>IF(AND(E965=1,L965=0),T965,"")</f>
        <v>1.14285714285714</v>
      </c>
      <c r="W965" s="33">
        <f>IF(U965="","",IF(U965&lt;=Breakdowns!$C$5,1,IF(U965&lt;=Breakdowns!$C$6,2,IF(U965&lt;=Breakdowns!$C$7,3,4))))</f>
        <v>3</v>
      </c>
      <c r="X965" s="33">
        <f>IF(V965="","",IF(V965&lt;=Breakdowns!$D$5,1,IF(V965&lt;=Breakdowns!$D$6,2,IF(V965&lt;=Breakdowns!$D$7,3,4))))</f>
        <v>4</v>
      </c>
      <c r="Y965" s="34">
        <f>INDEX(Stores!$F$2:$F$21,MATCH(B965,Stores!$A$2:$A$21,0))</f>
        <v>4.89</v>
      </c>
      <c r="Z965" s="33">
        <f>IF(Y965&gt;Store_Summary!$M$2,1,0)</f>
        <v>0</v>
      </c>
      <c r="AA965" s="33">
        <f>INDEX(Stores!$C$2:$C$21,MATCH(B965,Stores!$A$2:$A$21,0))</f>
        <v>138</v>
      </c>
      <c r="AB965" s="33">
        <f>IF(AA965&lt;180,1,0)</f>
        <v>1</v>
      </c>
      <c r="AC965" s="32" t="str">
        <f>IF(Orders!D962="","",INDEX(Riders!$C$2:$C$81,MATCH(Orders!D962,Riders!$A$2:$A$81,0)))</f>
        <v>Petrol scooter</v>
      </c>
      <c r="AD965" s="33">
        <f>IF(Orders!D962="","",INDEX(Riders!$D$2:$D$81,MATCH(Orders!D962,Riders!$A$2:$A$81,0)))</f>
        <v>37</v>
      </c>
      <c r="AE965" s="33">
        <f>IF(Orders!D962="","",IF(INDEX(Riders!$B$2:$B$81,MATCH(Orders!D962,Riders!$A$2:$A$81,0))=B965,1,0))</f>
        <v>0</v>
      </c>
      <c r="AF965" s="34">
        <f>IF(E965=1,Orders!L962,"")</f>
        <v>2.42</v>
      </c>
      <c r="AG965" s="34">
        <f>IF(E965=1,Orders!P962,"")</f>
        <v>14.9</v>
      </c>
      <c r="AH965" s="34">
        <f>IF(E965=1,Orders!Q962,"")</f>
        <v>16.5</v>
      </c>
      <c r="AI965" s="34">
        <f>IF(E965=1,Orders!M962,"")</f>
        <v>4.4</v>
      </c>
      <c r="AJ965" s="34">
        <f>IF(E965=1,Orders!N962,"")</f>
        <v>4.5</v>
      </c>
      <c r="AK965" s="34">
        <f>IF(E965=1,Orders!O962,"")</f>
        <v>7.6</v>
      </c>
      <c r="AL965" s="33">
        <f>IF(E965=1,IF(ROUND(ABS(AI965+AJ965+AK965-AH965),6)&lt;=0.1,1,0),"")</f>
        <v>1</v>
      </c>
      <c r="AM965" s="36">
        <f>IF(E965=1,AI965/AH965,"")</f>
        <v>0.266666666666667</v>
      </c>
      <c r="AN965" s="36">
        <f>IF(E965=1,AJ965/AH965,"")</f>
        <v>0.272727272727273</v>
      </c>
      <c r="AO965" s="36">
        <f>IF(E965=1,AK965/AH965,"")</f>
        <v>0.460606060606061</v>
      </c>
      <c r="AP965" s="34">
        <f>IF(E965=1,Orders!Y962,"")</f>
        <v>0.53</v>
      </c>
      <c r="AQ965" s="33">
        <f>IF(Orders!X962,1,0)</f>
        <v>0</v>
      </c>
      <c r="AR965" s="34" t="str">
        <f>IF(AND(E965=1,L965=1),AJ965,"")</f>
        <v/>
      </c>
      <c r="AS965" s="34">
        <f>IF(AND(E965=1,L965=0),AJ965,"")</f>
        <v>4.5</v>
      </c>
      <c r="AT965" s="34" t="str">
        <f>IF(AND(E965=1,L965=1),AI965,"")</f>
        <v/>
      </c>
      <c r="AU965" s="34">
        <f>IF(AND(E965=1,L965=0),AI965,"")</f>
        <v>4.4</v>
      </c>
      <c r="AV965" s="34" t="str">
        <f>IF(AND(E965=1,L965=1),AG965,"")</f>
        <v/>
      </c>
      <c r="AW965" s="34">
        <f>IF(AND(E965=1,L965=0),AG965,"")</f>
        <v>14.9</v>
      </c>
      <c r="AX965" s="34" t="str">
        <f>IF(AND(E965=1,L965=1),AH965,"")</f>
        <v/>
      </c>
      <c r="AY965" s="34">
        <f>IF(AND(E965=1,L965=0),AH965,"")</f>
        <v>16.5</v>
      </c>
      <c r="AZ965" s="34">
        <f>IF(G965=1,F965,"")</f>
        <v>1.6</v>
      </c>
      <c r="BA965" s="34" t="str">
        <f>IF(AND(G965=1,L965=1),F965,"")</f>
        <v/>
      </c>
      <c r="BB965" s="34">
        <f>IF(AND(G965=1,L965=0),F965,"")</f>
        <v>1.6</v>
      </c>
      <c r="BC965" s="33">
        <f>IF(E965=1,IF(Orders!R962&gt;3,1,0),"")</f>
        <v>0</v>
      </c>
      <c r="BD965" s="33">
        <f>IF(E965=1,IF(Orders!R962&gt;7,1,0),"")</f>
        <v>0</v>
      </c>
      <c r="BE965" s="32" t="str">
        <f>IF(E965=1,IF(Orders!L962&lt;=1.5,"Up to 1.5 km",IF(Orders!L962&lt;=3,"1.5–3 km","Over 3 km")),"")</f>
        <v>1.5–3 km</v>
      </c>
      <c r="BF965" s="33">
        <f>IF(E965=1,IF(ABS((Orders!G962-Orders!F962)*1440-Orders!R962)&lt;0.06,1,0),"")</f>
        <v>1</v>
      </c>
      <c r="BG965" s="33">
        <f>IF(ABS((Orders!F962-Orders!E962)*1440-Orders!P962)&lt;0.06,1,0)</f>
        <v>1</v>
      </c>
      <c r="BH965" s="33">
        <f>IF(E965=1,IF(IF(Orders!S962,1,0)=1-G965,1,0),"")</f>
        <v>1</v>
      </c>
      <c r="BI965" s="32" t="str">
        <f>INDEX(Stores!$B$2:$B$21,MATCH(B965,Stores!$A$2:$A$21,0))</f>
        <v>Delhi</v>
      </c>
    </row>
    <row r="966">
      <c r="A966" s="32" t="str">
        <f>Orders!A963</f>
        <v>O00962</v>
      </c>
      <c r="B966" s="32" t="str">
        <f>Orders!C963</f>
        <v>S001</v>
      </c>
      <c r="C966" s="32" t="str">
        <f>Orders!B963</f>
        <v>C0040</v>
      </c>
      <c r="D966" s="32" t="str">
        <f>Orders!H963</f>
        <v>Delivered</v>
      </c>
      <c r="E966" s="33">
        <f>IF(Orders!H963="Delivered",1,0)</f>
        <v>1</v>
      </c>
      <c r="F966" s="34">
        <f>IF(E966=1,Orders!R963,"")</f>
        <v>7.8</v>
      </c>
      <c r="G966" s="33">
        <f>IF(E966=1,IF(Orders!R963&gt;0,1,0),"")</f>
        <v>1</v>
      </c>
      <c r="H966" s="33">
        <f>IF(E966=1,IF(Orders!R963&gt;5,1,0),"")</f>
        <v>1</v>
      </c>
      <c r="I966" s="32" t="str">
        <f>IF(E966=1,"",IF(OR(Orders!T963="Rider unavailable",Orders!T963="Item unavailable"),"Company-caused","Unresolved"))</f>
        <v/>
      </c>
      <c r="J966" s="33">
        <f>IF(OR(E966=1,I966="Company-caused"),1,0)</f>
        <v>1</v>
      </c>
      <c r="K966" s="32" t="str">
        <f>IF(E966=0,IF(I966="Company-caused",IF(Orders!T963="Rider unavailable","C1 Rider unavailable","C2 Item unavailable"),"Outside root: unresolved"),IF(G966=0,"A On time",IF(H966=1,IF(L966=1,"B2a Severe, peak","B2b Severe, off-peak"),IF(L966=1,"B1a Slight, peak","B1b Slight, off-peak"))))</f>
        <v>B2b Severe, off-peak</v>
      </c>
      <c r="L966" s="33">
        <f>IF(AND(Orders!U963&gt;=19,Orders!U963&lt;22),1,0)</f>
        <v>0</v>
      </c>
      <c r="M966" s="33">
        <f>IF(L966=IF(Orders!V963,1,0),1,0)</f>
        <v>1</v>
      </c>
      <c r="N966" s="32" t="str">
        <f>IF(Orders!W963="","None",Orders!W963)</f>
        <v>None</v>
      </c>
      <c r="O966" s="35">
        <f>INT(Orders!E963)</f>
        <v>46274.0</v>
      </c>
      <c r="P966" s="33">
        <f>Orders!U963</f>
        <v>17</v>
      </c>
      <c r="Q966" s="33">
        <f>COUNTIFS(Demand!$A$2:$A$4481,B966,Demand!$B$2:$B$4481,O966,Demand!$C$2:$C$4481,P966)</f>
        <v>1</v>
      </c>
      <c r="R966" s="33">
        <f>IF(Q966=1,SUMIFS(Demand!$E$2:$E$4481,Demand!$A$2:$A$4481,B966,Demand!$B$2:$B$4481,O966,Demand!$C$2:$C$4481,P966),"")</f>
        <v>16</v>
      </c>
      <c r="S966" s="33">
        <f>INDEX(Stores!$G$2:$G$21,MATCH(B966,Stores!$A$2:$A$21,0))</f>
        <v>16</v>
      </c>
      <c r="T966" s="34">
        <f>IF(R966="","",R966/S966)</f>
        <v>1</v>
      </c>
      <c r="U966" s="34">
        <f>IF(E966=1,T966,"")</f>
        <v>1</v>
      </c>
      <c r="V966" s="34">
        <f>IF(AND(E966=1,L966=0),T966,"")</f>
        <v>1</v>
      </c>
      <c r="W966" s="33">
        <f>IF(U966="","",IF(U966&lt;=Breakdowns!$C$5,1,IF(U966&lt;=Breakdowns!$C$6,2,IF(U966&lt;=Breakdowns!$C$7,3,4))))</f>
        <v>2</v>
      </c>
      <c r="X966" s="33">
        <f>IF(V966="","",IF(V966&lt;=Breakdowns!$D$5,1,IF(V966&lt;=Breakdowns!$D$6,2,IF(V966&lt;=Breakdowns!$D$7,3,4))))</f>
        <v>3</v>
      </c>
      <c r="Y966" s="34">
        <f>INDEX(Stores!$F$2:$F$21,MATCH(B966,Stores!$A$2:$A$21,0))</f>
        <v>4.59</v>
      </c>
      <c r="Z966" s="33">
        <f>IF(Y966&gt;Store_Summary!$M$2,1,0)</f>
        <v>0</v>
      </c>
      <c r="AA966" s="33">
        <f>INDEX(Stores!$C$2:$C$21,MATCH(B966,Stores!$A$2:$A$21,0))</f>
        <v>362</v>
      </c>
      <c r="AB966" s="33">
        <f>IF(AA966&lt;180,1,0)</f>
        <v>0</v>
      </c>
      <c r="AC966" s="32" t="str">
        <f>IF(Orders!D963="","",INDEX(Riders!$C$2:$C$81,MATCH(Orders!D963,Riders!$A$2:$A$81,0)))</f>
        <v>Bicycle</v>
      </c>
      <c r="AD966" s="33">
        <f>IF(Orders!D963="","",INDEX(Riders!$D$2:$D$81,MATCH(Orders!D963,Riders!$A$2:$A$81,0)))</f>
        <v>8</v>
      </c>
      <c r="AE966" s="33">
        <f>IF(Orders!D963="","",IF(INDEX(Riders!$B$2:$B$81,MATCH(Orders!D963,Riders!$A$2:$A$81,0))=B966,1,0))</f>
        <v>0</v>
      </c>
      <c r="AF966" s="34">
        <f>IF(E966=1,Orders!L963,"")</f>
        <v>2.39</v>
      </c>
      <c r="AG966" s="34">
        <f>IF(E966=1,Orders!P963,"")</f>
        <v>9.6</v>
      </c>
      <c r="AH966" s="34">
        <f>IF(E966=1,Orders!Q963,"")</f>
        <v>17.4</v>
      </c>
      <c r="AI966" s="34">
        <f>IF(E966=1,Orders!M963,"")</f>
        <v>5.1</v>
      </c>
      <c r="AJ966" s="34">
        <f>IF(E966=1,Orders!N963,"")</f>
        <v>5.8</v>
      </c>
      <c r="AK966" s="34">
        <f>IF(E966=1,Orders!O963,"")</f>
        <v>6.6</v>
      </c>
      <c r="AL966" s="33">
        <f>IF(E966=1,IF(ROUND(ABS(AI966+AJ966+AK966-AH966),6)&lt;=0.1,1,0),"")</f>
        <v>1</v>
      </c>
      <c r="AM966" s="36">
        <f>IF(E966=1,AI966/AH966,"")</f>
        <v>0.293103448275862</v>
      </c>
      <c r="AN966" s="36">
        <f>IF(E966=1,AJ966/AH966,"")</f>
        <v>0.333333333333333</v>
      </c>
      <c r="AO966" s="36">
        <f>IF(E966=1,AK966/AH966,"")</f>
        <v>0.379310344827586</v>
      </c>
      <c r="AP966" s="34">
        <f>IF(E966=1,Orders!Y963,"")</f>
        <v>0.36</v>
      </c>
      <c r="AQ966" s="33">
        <f>IF(Orders!X963,1,0)</f>
        <v>0</v>
      </c>
      <c r="AR966" s="34" t="str">
        <f>IF(AND(E966=1,L966=1),AJ966,"")</f>
        <v/>
      </c>
      <c r="AS966" s="34">
        <f>IF(AND(E966=1,L966=0),AJ966,"")</f>
        <v>5.8</v>
      </c>
      <c r="AT966" s="34" t="str">
        <f>IF(AND(E966=1,L966=1),AI966,"")</f>
        <v/>
      </c>
      <c r="AU966" s="34">
        <f>IF(AND(E966=1,L966=0),AI966,"")</f>
        <v>5.1</v>
      </c>
      <c r="AV966" s="34" t="str">
        <f>IF(AND(E966=1,L966=1),AG966,"")</f>
        <v/>
      </c>
      <c r="AW966" s="34">
        <f>IF(AND(E966=1,L966=0),AG966,"")</f>
        <v>9.6</v>
      </c>
      <c r="AX966" s="34" t="str">
        <f>IF(AND(E966=1,L966=1),AH966,"")</f>
        <v/>
      </c>
      <c r="AY966" s="34">
        <f>IF(AND(E966=1,L966=0),AH966,"")</f>
        <v>17.4</v>
      </c>
      <c r="AZ966" s="34">
        <f>IF(G966=1,F966,"")</f>
        <v>7.8</v>
      </c>
      <c r="BA966" s="34" t="str">
        <f>IF(AND(G966=1,L966=1),F966,"")</f>
        <v/>
      </c>
      <c r="BB966" s="34">
        <f>IF(AND(G966=1,L966=0),F966,"")</f>
        <v>7.8</v>
      </c>
      <c r="BC966" s="33">
        <f>IF(E966=1,IF(Orders!R963&gt;3,1,0),"")</f>
        <v>1</v>
      </c>
      <c r="BD966" s="33">
        <f>IF(E966=1,IF(Orders!R963&gt;7,1,0),"")</f>
        <v>1</v>
      </c>
      <c r="BE966" s="32" t="str">
        <f>IF(E966=1,IF(Orders!L963&lt;=1.5,"Up to 1.5 km",IF(Orders!L963&lt;=3,"1.5–3 km","Over 3 km")),"")</f>
        <v>1.5–3 km</v>
      </c>
      <c r="BF966" s="33">
        <f>IF(E966=1,IF(ABS((Orders!G963-Orders!F963)*1440-Orders!R963)&lt;0.06,1,0),"")</f>
        <v>1</v>
      </c>
      <c r="BG966" s="33">
        <f>IF(ABS((Orders!F963-Orders!E963)*1440-Orders!P963)&lt;0.06,1,0)</f>
        <v>1</v>
      </c>
      <c r="BH966" s="33">
        <f>IF(E966=1,IF(IF(Orders!S963,1,0)=1-G966,1,0),"")</f>
        <v>1</v>
      </c>
      <c r="BI966" s="32" t="str">
        <f>INDEX(Stores!$B$2:$B$21,MATCH(B966,Stores!$A$2:$A$21,0))</f>
        <v>Bengaluru</v>
      </c>
    </row>
    <row r="967">
      <c r="A967" s="32" t="str">
        <f>Orders!A964</f>
        <v>O00963</v>
      </c>
      <c r="B967" s="32" t="str">
        <f>Orders!C964</f>
        <v>S006</v>
      </c>
      <c r="C967" s="32" t="str">
        <f>Orders!B964</f>
        <v>C0082</v>
      </c>
      <c r="D967" s="32" t="str">
        <f>Orders!H964</f>
        <v>Cancelled</v>
      </c>
      <c r="E967" s="33">
        <f>IF(Orders!H964="Delivered",1,0)</f>
        <v>0</v>
      </c>
      <c r="F967" s="34" t="str">
        <f>IF(E967=1,Orders!R964,"")</f>
        <v/>
      </c>
      <c r="G967" s="33" t="str">
        <f>IF(E967=1,IF(Orders!R964&gt;0,1,0),"")</f>
        <v/>
      </c>
      <c r="H967" s="33" t="str">
        <f>IF(E967=1,IF(Orders!R964&gt;5,1,0),"")</f>
        <v/>
      </c>
      <c r="I967" s="32" t="str">
        <f>IF(E967=1,"",IF(OR(Orders!T964="Rider unavailable",Orders!T964="Item unavailable"),"Company-caused","Unresolved"))</f>
        <v>Unresolved</v>
      </c>
      <c r="J967" s="33">
        <f>IF(OR(E967=1,I967="Company-caused"),1,0)</f>
        <v>0</v>
      </c>
      <c r="K967" s="32" t="str">
        <f>IF(E967=0,IF(I967="Company-caused",IF(Orders!T964="Rider unavailable","C1 Rider unavailable","C2 Item unavailable"),"Outside root: unresolved"),IF(G967=0,"A On time",IF(H967=1,IF(L967=1,"B2a Severe, peak","B2b Severe, off-peak"),IF(L967=1,"B1a Slight, peak","B1b Slight, off-peak"))))</f>
        <v>Outside root: unresolved</v>
      </c>
      <c r="L967" s="33">
        <f>IF(AND(Orders!U964&gt;=19,Orders!U964&lt;22),1,0)</f>
        <v>0</v>
      </c>
      <c r="M967" s="33">
        <f>IF(L967=IF(Orders!V964,1,0),1,0)</f>
        <v>1</v>
      </c>
      <c r="N967" s="32" t="str">
        <f>IF(Orders!W964="","None",Orders!W964)</f>
        <v>None</v>
      </c>
      <c r="O967" s="35">
        <f>INT(Orders!E964)</f>
        <v>46274.0</v>
      </c>
      <c r="P967" s="33">
        <f>Orders!U964</f>
        <v>22</v>
      </c>
      <c r="Q967" s="33">
        <f>COUNTIFS(Demand!$A$2:$A$4481,B967,Demand!$B$2:$B$4481,O967,Demand!$C$2:$C$4481,P967)</f>
        <v>1</v>
      </c>
      <c r="R967" s="33">
        <f>IF(Q967=1,SUMIFS(Demand!$E$2:$E$4481,Demand!$A$2:$A$4481,B967,Demand!$B$2:$B$4481,O967,Demand!$C$2:$C$4481,P967),"")</f>
        <v>17</v>
      </c>
      <c r="S967" s="33">
        <f>INDEX(Stores!$G$2:$G$21,MATCH(B967,Stores!$A$2:$A$21,0))</f>
        <v>26</v>
      </c>
      <c r="T967" s="34">
        <f>IF(R967="","",R967/S967)</f>
        <v>0.653846153846154</v>
      </c>
      <c r="U967" s="34" t="str">
        <f>IF(E967=1,T967,"")</f>
        <v/>
      </c>
      <c r="V967" s="34" t="str">
        <f>IF(AND(E967=1,L967=0),T967,"")</f>
        <v/>
      </c>
      <c r="W967" s="33" t="str">
        <f>IF(U967="","",IF(U967&lt;=Breakdowns!$C$5,1,IF(U967&lt;=Breakdowns!$C$6,2,IF(U967&lt;=Breakdowns!$C$7,3,4))))</f>
        <v/>
      </c>
      <c r="X967" s="33" t="str">
        <f>IF(V967="","",IF(V967&lt;=Breakdowns!$D$5,1,IF(V967&lt;=Breakdowns!$D$6,2,IF(V967&lt;=Breakdowns!$D$7,3,4))))</f>
        <v/>
      </c>
      <c r="Y967" s="34">
        <f>INDEX(Stores!$F$2:$F$21,MATCH(B967,Stores!$A$2:$A$21,0))</f>
        <v>5.22</v>
      </c>
      <c r="Z967" s="33">
        <f>IF(Y967&gt;Store_Summary!$M$2,1,0)</f>
        <v>1</v>
      </c>
      <c r="AA967" s="33">
        <f>INDEX(Stores!$C$2:$C$21,MATCH(B967,Stores!$A$2:$A$21,0))</f>
        <v>412</v>
      </c>
      <c r="AB967" s="33">
        <f>IF(AA967&lt;180,1,0)</f>
        <v>0</v>
      </c>
      <c r="AC967" s="32" t="str">
        <f>IF(Orders!D964="","",INDEX(Riders!$C$2:$C$81,MATCH(Orders!D964,Riders!$A$2:$A$81,0)))</f>
        <v/>
      </c>
      <c r="AD967" s="33" t="str">
        <f>IF(Orders!D964="","",INDEX(Riders!$D$2:$D$81,MATCH(Orders!D964,Riders!$A$2:$A$81,0)))</f>
        <v/>
      </c>
      <c r="AE967" s="33" t="str">
        <f>IF(Orders!D964="","",IF(INDEX(Riders!$B$2:$B$81,MATCH(Orders!D964,Riders!$A$2:$A$81,0))=B967,1,0))</f>
        <v/>
      </c>
      <c r="AF967" s="34" t="str">
        <f>IF(E967=1,Orders!L964,"")</f>
        <v/>
      </c>
      <c r="AG967" s="34" t="str">
        <f>IF(E967=1,Orders!P964,"")</f>
        <v/>
      </c>
      <c r="AH967" s="34" t="str">
        <f>IF(E967=1,Orders!Q964,"")</f>
        <v/>
      </c>
      <c r="AI967" s="34" t="str">
        <f>IF(E967=1,Orders!M964,"")</f>
        <v/>
      </c>
      <c r="AJ967" s="34" t="str">
        <f>IF(E967=1,Orders!N964,"")</f>
        <v/>
      </c>
      <c r="AK967" s="34" t="str">
        <f>IF(E967=1,Orders!O964,"")</f>
        <v/>
      </c>
      <c r="AL967" s="33" t="str">
        <f>IF(E967=1,IF(ROUND(ABS(AI967+AJ967+AK967-AH967),6)&lt;=0.1,1,0),"")</f>
        <v/>
      </c>
      <c r="AM967" s="36" t="str">
        <f>IF(E967=1,AI967/AH967,"")</f>
        <v/>
      </c>
      <c r="AN967" s="36" t="str">
        <f>IF(E967=1,AJ967/AH967,"")</f>
        <v/>
      </c>
      <c r="AO967" s="36" t="str">
        <f>IF(E967=1,AK967/AH967,"")</f>
        <v/>
      </c>
      <c r="AP967" s="34" t="str">
        <f>IF(E967=1,Orders!Y964,"")</f>
        <v/>
      </c>
      <c r="AQ967" s="33">
        <f>IF(Orders!X964,1,0)</f>
        <v>0</v>
      </c>
      <c r="AR967" s="34" t="str">
        <f>IF(AND(E967=1,L967=1),AJ967,"")</f>
        <v/>
      </c>
      <c r="AS967" s="34" t="str">
        <f>IF(AND(E967=1,L967=0),AJ967,"")</f>
        <v/>
      </c>
      <c r="AT967" s="34" t="str">
        <f>IF(AND(E967=1,L967=1),AI967,"")</f>
        <v/>
      </c>
      <c r="AU967" s="34" t="str">
        <f>IF(AND(E967=1,L967=0),AI967,"")</f>
        <v/>
      </c>
      <c r="AV967" s="34" t="str">
        <f>IF(AND(E967=1,L967=1),AG967,"")</f>
        <v/>
      </c>
      <c r="AW967" s="34" t="str">
        <f>IF(AND(E967=1,L967=0),AG967,"")</f>
        <v/>
      </c>
      <c r="AX967" s="34" t="str">
        <f>IF(AND(E967=1,L967=1),AH967,"")</f>
        <v/>
      </c>
      <c r="AY967" s="34" t="str">
        <f>IF(AND(E967=1,L967=0),AH967,"")</f>
        <v/>
      </c>
      <c r="AZ967" s="34" t="str">
        <f>IF(G967=1,F967,"")</f>
        <v/>
      </c>
      <c r="BA967" s="34" t="str">
        <f>IF(AND(G967=1,L967=1),F967,"")</f>
        <v/>
      </c>
      <c r="BB967" s="34" t="str">
        <f>IF(AND(G967=1,L967=0),F967,"")</f>
        <v/>
      </c>
      <c r="BC967" s="33" t="str">
        <f>IF(E967=1,IF(Orders!R964&gt;3,1,0),"")</f>
        <v/>
      </c>
      <c r="BD967" s="33" t="str">
        <f>IF(E967=1,IF(Orders!R964&gt;7,1,0),"")</f>
        <v/>
      </c>
      <c r="BE967" s="32" t="str">
        <f>IF(E967=1,IF(Orders!L964&lt;=1.5,"Up to 1.5 km",IF(Orders!L964&lt;=3,"1.5–3 km","Over 3 km")),"")</f>
        <v/>
      </c>
      <c r="BF967" s="33" t="str">
        <f>IF(E967=1,IF(ABS((Orders!G964-Orders!F964)*1440-Orders!R964)&lt;0.06,1,0),"")</f>
        <v/>
      </c>
      <c r="BG967" s="33">
        <f>IF(ABS((Orders!F964-Orders!E964)*1440-Orders!P964)&lt;0.06,1,0)</f>
        <v>1</v>
      </c>
      <c r="BH967" s="33" t="str">
        <f>IF(E967=1,IF(IF(Orders!S964,1,0)=1-G967,1,0),"")</f>
        <v/>
      </c>
      <c r="BI967" s="32" t="str">
        <f>INDEX(Stores!$B$2:$B$21,MATCH(B967,Stores!$A$2:$A$21,0))</f>
        <v>Bengaluru</v>
      </c>
    </row>
    <row r="968">
      <c r="A968" s="32" t="str">
        <f>Orders!A965</f>
        <v>O00964</v>
      </c>
      <c r="B968" s="32" t="str">
        <f>Orders!C965</f>
        <v>S010</v>
      </c>
      <c r="C968" s="32" t="str">
        <f>Orders!B965</f>
        <v>C0049</v>
      </c>
      <c r="D968" s="32" t="str">
        <f>Orders!H965</f>
        <v>Delivered</v>
      </c>
      <c r="E968" s="33">
        <f>IF(Orders!H965="Delivered",1,0)</f>
        <v>1</v>
      </c>
      <c r="F968" s="34">
        <f>IF(E968=1,Orders!R965,"")</f>
        <v>11.6</v>
      </c>
      <c r="G968" s="33">
        <f>IF(E968=1,IF(Orders!R965&gt;0,1,0),"")</f>
        <v>1</v>
      </c>
      <c r="H968" s="33">
        <f>IF(E968=1,IF(Orders!R965&gt;5,1,0),"")</f>
        <v>1</v>
      </c>
      <c r="I968" s="32" t="str">
        <f>IF(E968=1,"",IF(OR(Orders!T965="Rider unavailable",Orders!T965="Item unavailable"),"Company-caused","Unresolved"))</f>
        <v/>
      </c>
      <c r="J968" s="33">
        <f>IF(OR(E968=1,I968="Company-caused"),1,0)</f>
        <v>1</v>
      </c>
      <c r="K968" s="32" t="str">
        <f>IF(E968=0,IF(I968="Company-caused",IF(Orders!T965="Rider unavailable","C1 Rider unavailable","C2 Item unavailable"),"Outside root: unresolved"),IF(G968=0,"A On time",IF(H968=1,IF(L968=1,"B2a Severe, peak","B2b Severe, off-peak"),IF(L968=1,"B1a Slight, peak","B1b Slight, off-peak"))))</f>
        <v>B2b Severe, off-peak</v>
      </c>
      <c r="L968" s="33">
        <f>IF(AND(Orders!U965&gt;=19,Orders!U965&lt;22),1,0)</f>
        <v>0</v>
      </c>
      <c r="M968" s="33">
        <f>IF(L968=IF(Orders!V965,1,0),1,0)</f>
        <v>1</v>
      </c>
      <c r="N968" s="32" t="str">
        <f>IF(Orders!W965="","None",Orders!W965)</f>
        <v>None</v>
      </c>
      <c r="O968" s="35">
        <f>INT(Orders!E965)</f>
        <v>46279.0</v>
      </c>
      <c r="P968" s="33">
        <f>Orders!U965</f>
        <v>12</v>
      </c>
      <c r="Q968" s="33">
        <f>COUNTIFS(Demand!$A$2:$A$4481,B968,Demand!$B$2:$B$4481,O968,Demand!$C$2:$C$4481,P968)</f>
        <v>1</v>
      </c>
      <c r="R968" s="33">
        <f>IF(Q968=1,SUMIFS(Demand!$E$2:$E$4481,Demand!$A$2:$A$4481,B968,Demand!$B$2:$B$4481,O968,Demand!$C$2:$C$4481,P968),"")</f>
        <v>27</v>
      </c>
      <c r="S968" s="33">
        <f>INDEX(Stores!$G$2:$G$21,MATCH(B968,Stores!$A$2:$A$21,0))</f>
        <v>22</v>
      </c>
      <c r="T968" s="34">
        <f>IF(R968="","",R968/S968)</f>
        <v>1.22727272727273</v>
      </c>
      <c r="U968" s="34">
        <f>IF(E968=1,T968,"")</f>
        <v>1.22727272727273</v>
      </c>
      <c r="V968" s="34">
        <f>IF(AND(E968=1,L968=0),T968,"")</f>
        <v>1.22727272727273</v>
      </c>
      <c r="W968" s="33">
        <f>IF(U968="","",IF(U968&lt;=Breakdowns!$C$5,1,IF(U968&lt;=Breakdowns!$C$6,2,IF(U968&lt;=Breakdowns!$C$7,3,4))))</f>
        <v>4</v>
      </c>
      <c r="X968" s="33">
        <f>IF(V968="","",IF(V968&lt;=Breakdowns!$D$5,1,IF(V968&lt;=Breakdowns!$D$6,2,IF(V968&lt;=Breakdowns!$D$7,3,4))))</f>
        <v>4</v>
      </c>
      <c r="Y968" s="34">
        <f>INDEX(Stores!$F$2:$F$21,MATCH(B968,Stores!$A$2:$A$21,0))</f>
        <v>5.61</v>
      </c>
      <c r="Z968" s="33">
        <f>IF(Y968&gt;Store_Summary!$M$2,1,0)</f>
        <v>1</v>
      </c>
      <c r="AA968" s="33">
        <f>INDEX(Stores!$C$2:$C$21,MATCH(B968,Stores!$A$2:$A$21,0))</f>
        <v>744</v>
      </c>
      <c r="AB968" s="33">
        <f>IF(AA968&lt;180,1,0)</f>
        <v>0</v>
      </c>
      <c r="AC968" s="32" t="str">
        <f>IF(Orders!D965="","",INDEX(Riders!$C$2:$C$81,MATCH(Orders!D965,Riders!$A$2:$A$81,0)))</f>
        <v>EV scooter</v>
      </c>
      <c r="AD968" s="33">
        <f>IF(Orders!D965="","",INDEX(Riders!$D$2:$D$81,MATCH(Orders!D965,Riders!$A$2:$A$81,0)))</f>
        <v>38</v>
      </c>
      <c r="AE968" s="33">
        <f>IF(Orders!D965="","",IF(INDEX(Riders!$B$2:$B$81,MATCH(Orders!D965,Riders!$A$2:$A$81,0))=B968,1,0))</f>
        <v>0</v>
      </c>
      <c r="AF968" s="34">
        <f>IF(E968=1,Orders!L965,"")</f>
        <v>4</v>
      </c>
      <c r="AG968" s="34">
        <f>IF(E968=1,Orders!P965,"")</f>
        <v>11.5</v>
      </c>
      <c r="AH968" s="34">
        <f>IF(E968=1,Orders!Q965,"")</f>
        <v>23.1</v>
      </c>
      <c r="AI968" s="34">
        <f>IF(E968=1,Orders!M965,"")</f>
        <v>7.2</v>
      </c>
      <c r="AJ968" s="34">
        <f>IF(E968=1,Orders!N965,"")</f>
        <v>7.6</v>
      </c>
      <c r="AK968" s="34">
        <f>IF(E968=1,Orders!O965,"")</f>
        <v>8.2</v>
      </c>
      <c r="AL968" s="33">
        <f>IF(E968=1,IF(ROUND(ABS(AI968+AJ968+AK968-AH968),6)&lt;=0.1,1,0),"")</f>
        <v>1</v>
      </c>
      <c r="AM968" s="36">
        <f>IF(E968=1,AI968/AH968,"")</f>
        <v>0.311688311688312</v>
      </c>
      <c r="AN968" s="36">
        <f>IF(E968=1,AJ968/AH968,"")</f>
        <v>0.329004329004329</v>
      </c>
      <c r="AO968" s="36">
        <f>IF(E968=1,AK968/AH968,"")</f>
        <v>0.354978354978355</v>
      </c>
      <c r="AP968" s="34">
        <f>IF(E968=1,Orders!Y965,"")</f>
        <v>0.44</v>
      </c>
      <c r="AQ968" s="33">
        <f>IF(Orders!X965,1,0)</f>
        <v>0</v>
      </c>
      <c r="AR968" s="34" t="str">
        <f>IF(AND(E968=1,L968=1),AJ968,"")</f>
        <v/>
      </c>
      <c r="AS968" s="34">
        <f>IF(AND(E968=1,L968=0),AJ968,"")</f>
        <v>7.6</v>
      </c>
      <c r="AT968" s="34" t="str">
        <f>IF(AND(E968=1,L968=1),AI968,"")</f>
        <v/>
      </c>
      <c r="AU968" s="34">
        <f>IF(AND(E968=1,L968=0),AI968,"")</f>
        <v>7.2</v>
      </c>
      <c r="AV968" s="34" t="str">
        <f>IF(AND(E968=1,L968=1),AG968,"")</f>
        <v/>
      </c>
      <c r="AW968" s="34">
        <f>IF(AND(E968=1,L968=0),AG968,"")</f>
        <v>11.5</v>
      </c>
      <c r="AX968" s="34" t="str">
        <f>IF(AND(E968=1,L968=1),AH968,"")</f>
        <v/>
      </c>
      <c r="AY968" s="34">
        <f>IF(AND(E968=1,L968=0),AH968,"")</f>
        <v>23.1</v>
      </c>
      <c r="AZ968" s="34">
        <f>IF(G968=1,F968,"")</f>
        <v>11.6</v>
      </c>
      <c r="BA968" s="34" t="str">
        <f>IF(AND(G968=1,L968=1),F968,"")</f>
        <v/>
      </c>
      <c r="BB968" s="34">
        <f>IF(AND(G968=1,L968=0),F968,"")</f>
        <v>11.6</v>
      </c>
      <c r="BC968" s="33">
        <f>IF(E968=1,IF(Orders!R965&gt;3,1,0),"")</f>
        <v>1</v>
      </c>
      <c r="BD968" s="33">
        <f>IF(E968=1,IF(Orders!R965&gt;7,1,0),"")</f>
        <v>1</v>
      </c>
      <c r="BE968" s="32" t="str">
        <f>IF(E968=1,IF(Orders!L965&lt;=1.5,"Up to 1.5 km",IF(Orders!L965&lt;=3,"1.5–3 km","Over 3 km")),"")</f>
        <v>Over 3 km</v>
      </c>
      <c r="BF968" s="33">
        <f>IF(E968=1,IF(ABS((Orders!G965-Orders!F965)*1440-Orders!R965)&lt;0.06,1,0),"")</f>
        <v>1</v>
      </c>
      <c r="BG968" s="33">
        <f>IF(ABS((Orders!F965-Orders!E965)*1440-Orders!P965)&lt;0.06,1,0)</f>
        <v>1</v>
      </c>
      <c r="BH968" s="33">
        <f>IF(E968=1,IF(IF(Orders!S965,1,0)=1-G968,1,0),"")</f>
        <v>1</v>
      </c>
      <c r="BI968" s="32" t="str">
        <f>INDEX(Stores!$B$2:$B$21,MATCH(B968,Stores!$A$2:$A$21,0))</f>
        <v>Delhi</v>
      </c>
    </row>
    <row r="969">
      <c r="A969" s="32" t="str">
        <f>Orders!A966</f>
        <v>O00965</v>
      </c>
      <c r="B969" s="32" t="str">
        <f>Orders!C966</f>
        <v>S011</v>
      </c>
      <c r="C969" s="32" t="str">
        <f>Orders!B966</f>
        <v>C0180</v>
      </c>
      <c r="D969" s="32" t="str">
        <f>Orders!H966</f>
        <v>Delivered</v>
      </c>
      <c r="E969" s="33">
        <f>IF(Orders!H966="Delivered",1,0)</f>
        <v>1</v>
      </c>
      <c r="F969" s="34">
        <f>IF(E969=1,Orders!R966,"")</f>
        <v>3.2</v>
      </c>
      <c r="G969" s="33">
        <f>IF(E969=1,IF(Orders!R966&gt;0,1,0),"")</f>
        <v>1</v>
      </c>
      <c r="H969" s="33">
        <f>IF(E969=1,IF(Orders!R966&gt;5,1,0),"")</f>
        <v>0</v>
      </c>
      <c r="I969" s="32" t="str">
        <f>IF(E969=1,"",IF(OR(Orders!T966="Rider unavailable",Orders!T966="Item unavailable"),"Company-caused","Unresolved"))</f>
        <v/>
      </c>
      <c r="J969" s="33">
        <f>IF(OR(E969=1,I969="Company-caused"),1,0)</f>
        <v>1</v>
      </c>
      <c r="K969" s="32" t="str">
        <f>IF(E969=0,IF(I969="Company-caused",IF(Orders!T966="Rider unavailable","C1 Rider unavailable","C2 Item unavailable"),"Outside root: unresolved"),IF(G969=0,"A On time",IF(H969=1,IF(L969=1,"B2a Severe, peak","B2b Severe, off-peak"),IF(L969=1,"B1a Slight, peak","B1b Slight, off-peak"))))</f>
        <v>B1b Slight, off-peak</v>
      </c>
      <c r="L969" s="33">
        <f>IF(AND(Orders!U966&gt;=19,Orders!U966&lt;22),1,0)</f>
        <v>0</v>
      </c>
      <c r="M969" s="33">
        <f>IF(L969=IF(Orders!V966,1,0),1,0)</f>
        <v>1</v>
      </c>
      <c r="N969" s="32" t="str">
        <f>IF(Orders!W966="","None",Orders!W966)</f>
        <v>Light</v>
      </c>
      <c r="O969" s="35">
        <f>INT(Orders!E966)</f>
        <v>46271.0</v>
      </c>
      <c r="P969" s="33">
        <f>Orders!U966</f>
        <v>16</v>
      </c>
      <c r="Q969" s="33">
        <f>COUNTIFS(Demand!$A$2:$A$4481,B969,Demand!$B$2:$B$4481,O969,Demand!$C$2:$C$4481,P969)</f>
        <v>1</v>
      </c>
      <c r="R969" s="33">
        <f>IF(Q969=1,SUMIFS(Demand!$E$2:$E$4481,Demand!$A$2:$A$4481,B969,Demand!$B$2:$B$4481,O969,Demand!$C$2:$C$4481,P969),"")</f>
        <v>27</v>
      </c>
      <c r="S969" s="33">
        <f>INDEX(Stores!$G$2:$G$21,MATCH(B969,Stores!$A$2:$A$21,0))</f>
        <v>31</v>
      </c>
      <c r="T969" s="34">
        <f>IF(R969="","",R969/S969)</f>
        <v>0.870967741935484</v>
      </c>
      <c r="U969" s="34">
        <f>IF(E969=1,T969,"")</f>
        <v>0.870967741935484</v>
      </c>
      <c r="V969" s="34">
        <f>IF(AND(E969=1,L969=0),T969,"")</f>
        <v>0.870967741935484</v>
      </c>
      <c r="W969" s="33">
        <f>IF(U969="","",IF(U969&lt;=Breakdowns!$C$5,1,IF(U969&lt;=Breakdowns!$C$6,2,IF(U969&lt;=Breakdowns!$C$7,3,4))))</f>
        <v>2</v>
      </c>
      <c r="X969" s="33">
        <f>IF(V969="","",IF(V969&lt;=Breakdowns!$D$5,1,IF(V969&lt;=Breakdowns!$D$6,2,IF(V969&lt;=Breakdowns!$D$7,3,4))))</f>
        <v>2</v>
      </c>
      <c r="Y969" s="34">
        <f>INDEX(Stores!$F$2:$F$21,MATCH(B969,Stores!$A$2:$A$21,0))</f>
        <v>5.67</v>
      </c>
      <c r="Z969" s="33">
        <f>IF(Y969&gt;Store_Summary!$M$2,1,0)</f>
        <v>1</v>
      </c>
      <c r="AA969" s="33">
        <f>INDEX(Stores!$C$2:$C$21,MATCH(B969,Stores!$A$2:$A$21,0))</f>
        <v>732</v>
      </c>
      <c r="AB969" s="33">
        <f>IF(AA969&lt;180,1,0)</f>
        <v>0</v>
      </c>
      <c r="AC969" s="32" t="str">
        <f>IF(Orders!D966="","",INDEX(Riders!$C$2:$C$81,MATCH(Orders!D966,Riders!$A$2:$A$81,0)))</f>
        <v>EV scooter</v>
      </c>
      <c r="AD969" s="33">
        <f>IF(Orders!D966="","",INDEX(Riders!$D$2:$D$81,MATCH(Orders!D966,Riders!$A$2:$A$81,0)))</f>
        <v>32</v>
      </c>
      <c r="AE969" s="33">
        <f>IF(Orders!D966="","",IF(INDEX(Riders!$B$2:$B$81,MATCH(Orders!D966,Riders!$A$2:$A$81,0))=B969,1,0))</f>
        <v>0</v>
      </c>
      <c r="AF969" s="34">
        <f>IF(E969=1,Orders!L966,"")</f>
        <v>2.51</v>
      </c>
      <c r="AG969" s="34">
        <f>IF(E969=1,Orders!P966,"")</f>
        <v>11.6</v>
      </c>
      <c r="AH969" s="34">
        <f>IF(E969=1,Orders!Q966,"")</f>
        <v>14.8</v>
      </c>
      <c r="AI969" s="34">
        <f>IF(E969=1,Orders!M966,"")</f>
        <v>6.9</v>
      </c>
      <c r="AJ969" s="34">
        <f>IF(E969=1,Orders!N966,"")</f>
        <v>0.7</v>
      </c>
      <c r="AK969" s="34">
        <f>IF(E969=1,Orders!O966,"")</f>
        <v>7.2</v>
      </c>
      <c r="AL969" s="33">
        <f>IF(E969=1,IF(ROUND(ABS(AI969+AJ969+AK969-AH969),6)&lt;=0.1,1,0),"")</f>
        <v>1</v>
      </c>
      <c r="AM969" s="36">
        <f>IF(E969=1,AI969/AH969,"")</f>
        <v>0.466216216216216</v>
      </c>
      <c r="AN969" s="36">
        <f>IF(E969=1,AJ969/AH969,"")</f>
        <v>0.0472972972972973</v>
      </c>
      <c r="AO969" s="36">
        <f>IF(E969=1,AK969/AH969,"")</f>
        <v>0.486486486486486</v>
      </c>
      <c r="AP969" s="34">
        <f>IF(E969=1,Orders!Y966,"")</f>
        <v>0.39</v>
      </c>
      <c r="AQ969" s="33">
        <f>IF(Orders!X966,1,0)</f>
        <v>0</v>
      </c>
      <c r="AR969" s="34" t="str">
        <f>IF(AND(E969=1,L969=1),AJ969,"")</f>
        <v/>
      </c>
      <c r="AS969" s="34">
        <f>IF(AND(E969=1,L969=0),AJ969,"")</f>
        <v>0.7</v>
      </c>
      <c r="AT969" s="34" t="str">
        <f>IF(AND(E969=1,L969=1),AI969,"")</f>
        <v/>
      </c>
      <c r="AU969" s="34">
        <f>IF(AND(E969=1,L969=0),AI969,"")</f>
        <v>6.9</v>
      </c>
      <c r="AV969" s="34" t="str">
        <f>IF(AND(E969=1,L969=1),AG969,"")</f>
        <v/>
      </c>
      <c r="AW969" s="34">
        <f>IF(AND(E969=1,L969=0),AG969,"")</f>
        <v>11.6</v>
      </c>
      <c r="AX969" s="34" t="str">
        <f>IF(AND(E969=1,L969=1),AH969,"")</f>
        <v/>
      </c>
      <c r="AY969" s="34">
        <f>IF(AND(E969=1,L969=0),AH969,"")</f>
        <v>14.8</v>
      </c>
      <c r="AZ969" s="34">
        <f>IF(G969=1,F969,"")</f>
        <v>3.2</v>
      </c>
      <c r="BA969" s="34" t="str">
        <f>IF(AND(G969=1,L969=1),F969,"")</f>
        <v/>
      </c>
      <c r="BB969" s="34">
        <f>IF(AND(G969=1,L969=0),F969,"")</f>
        <v>3.2</v>
      </c>
      <c r="BC969" s="33">
        <f>IF(E969=1,IF(Orders!R966&gt;3,1,0),"")</f>
        <v>1</v>
      </c>
      <c r="BD969" s="33">
        <f>IF(E969=1,IF(Orders!R966&gt;7,1,0),"")</f>
        <v>0</v>
      </c>
      <c r="BE969" s="32" t="str">
        <f>IF(E969=1,IF(Orders!L966&lt;=1.5,"Up to 1.5 km",IF(Orders!L966&lt;=3,"1.5–3 km","Over 3 km")),"")</f>
        <v>1.5–3 km</v>
      </c>
      <c r="BF969" s="33">
        <f>IF(E969=1,IF(ABS((Orders!G966-Orders!F966)*1440-Orders!R966)&lt;0.06,1,0),"")</f>
        <v>1</v>
      </c>
      <c r="BG969" s="33">
        <f>IF(ABS((Orders!F966-Orders!E966)*1440-Orders!P966)&lt;0.06,1,0)</f>
        <v>1</v>
      </c>
      <c r="BH969" s="33">
        <f>IF(E969=1,IF(IF(Orders!S966,1,0)=1-G969,1,0),"")</f>
        <v>1</v>
      </c>
      <c r="BI969" s="32" t="str">
        <f>INDEX(Stores!$B$2:$B$21,MATCH(B969,Stores!$A$2:$A$21,0))</f>
        <v>Bengaluru</v>
      </c>
    </row>
    <row r="970">
      <c r="A970" s="32" t="str">
        <f>Orders!A967</f>
        <v>O00966</v>
      </c>
      <c r="B970" s="32" t="str">
        <f>Orders!C967</f>
        <v>S016</v>
      </c>
      <c r="C970" s="32" t="str">
        <f>Orders!B967</f>
        <v>C0012</v>
      </c>
      <c r="D970" s="32" t="str">
        <f>Orders!H967</f>
        <v>Delivered</v>
      </c>
      <c r="E970" s="33">
        <f>IF(Orders!H967="Delivered",1,0)</f>
        <v>1</v>
      </c>
      <c r="F970" s="34">
        <f>IF(E970=1,Orders!R967,"")</f>
        <v>7.8</v>
      </c>
      <c r="G970" s="33">
        <f>IF(E970=1,IF(Orders!R967&gt;0,1,0),"")</f>
        <v>1</v>
      </c>
      <c r="H970" s="33">
        <f>IF(E970=1,IF(Orders!R967&gt;5,1,0),"")</f>
        <v>1</v>
      </c>
      <c r="I970" s="32" t="str">
        <f>IF(E970=1,"",IF(OR(Orders!T967="Rider unavailable",Orders!T967="Item unavailable"),"Company-caused","Unresolved"))</f>
        <v/>
      </c>
      <c r="J970" s="33">
        <f>IF(OR(E970=1,I970="Company-caused"),1,0)</f>
        <v>1</v>
      </c>
      <c r="K970" s="32" t="str">
        <f>IF(E970=0,IF(I970="Company-caused",IF(Orders!T967="Rider unavailable","C1 Rider unavailable","C2 Item unavailable"),"Outside root: unresolved"),IF(G970=0,"A On time",IF(H970=1,IF(L970=1,"B2a Severe, peak","B2b Severe, off-peak"),IF(L970=1,"B1a Slight, peak","B1b Slight, off-peak"))))</f>
        <v>B2a Severe, peak</v>
      </c>
      <c r="L970" s="33">
        <f>IF(AND(Orders!U967&gt;=19,Orders!U967&lt;22),1,0)</f>
        <v>1</v>
      </c>
      <c r="M970" s="33">
        <f>IF(L970=IF(Orders!V967,1,0),1,0)</f>
        <v>1</v>
      </c>
      <c r="N970" s="32" t="str">
        <f>IF(Orders!W967="","None",Orders!W967)</f>
        <v>None</v>
      </c>
      <c r="O970" s="35">
        <f>INT(Orders!E967)</f>
        <v>46274.0</v>
      </c>
      <c r="P970" s="33">
        <f>Orders!U967</f>
        <v>20</v>
      </c>
      <c r="Q970" s="33">
        <f>COUNTIFS(Demand!$A$2:$A$4481,B970,Demand!$B$2:$B$4481,O970,Demand!$C$2:$C$4481,P970)</f>
        <v>1</v>
      </c>
      <c r="R970" s="33">
        <f>IF(Q970=1,SUMIFS(Demand!$E$2:$E$4481,Demand!$A$2:$A$4481,B970,Demand!$B$2:$B$4481,O970,Demand!$C$2:$C$4481,P970),"")</f>
        <v>38</v>
      </c>
      <c r="S970" s="33">
        <f>INDEX(Stores!$G$2:$G$21,MATCH(B970,Stores!$A$2:$A$21,0))</f>
        <v>25</v>
      </c>
      <c r="T970" s="34">
        <f>IF(R970="","",R970/S970)</f>
        <v>1.52</v>
      </c>
      <c r="U970" s="34">
        <f>IF(E970=1,T970,"")</f>
        <v>1.52</v>
      </c>
      <c r="V970" s="34" t="str">
        <f>IF(AND(E970=1,L970=0),T970,"")</f>
        <v/>
      </c>
      <c r="W970" s="33">
        <f>IF(U970="","",IF(U970&lt;=Breakdowns!$C$5,1,IF(U970&lt;=Breakdowns!$C$6,2,IF(U970&lt;=Breakdowns!$C$7,3,4))))</f>
        <v>4</v>
      </c>
      <c r="X970" s="33" t="str">
        <f>IF(V970="","",IF(V970&lt;=Breakdowns!$D$5,1,IF(V970&lt;=Breakdowns!$D$6,2,IF(V970&lt;=Breakdowns!$D$7,3,4))))</f>
        <v/>
      </c>
      <c r="Y970" s="34">
        <f>INDEX(Stores!$F$2:$F$21,MATCH(B970,Stores!$A$2:$A$21,0))</f>
        <v>5.51</v>
      </c>
      <c r="Z970" s="33">
        <f>IF(Y970&gt;Store_Summary!$M$2,1,0)</f>
        <v>1</v>
      </c>
      <c r="AA970" s="33">
        <f>INDEX(Stores!$C$2:$C$21,MATCH(B970,Stores!$A$2:$A$21,0))</f>
        <v>792</v>
      </c>
      <c r="AB970" s="33">
        <f>IF(AA970&lt;180,1,0)</f>
        <v>0</v>
      </c>
      <c r="AC970" s="32" t="str">
        <f>IF(Orders!D967="","",INDEX(Riders!$C$2:$C$81,MATCH(Orders!D967,Riders!$A$2:$A$81,0)))</f>
        <v>EV scooter</v>
      </c>
      <c r="AD970" s="33">
        <f>IF(Orders!D967="","",INDEX(Riders!$D$2:$D$81,MATCH(Orders!D967,Riders!$A$2:$A$81,0)))</f>
        <v>32</v>
      </c>
      <c r="AE970" s="33">
        <f>IF(Orders!D967="","",IF(INDEX(Riders!$B$2:$B$81,MATCH(Orders!D967,Riders!$A$2:$A$81,0))=B970,1,0))</f>
        <v>0</v>
      </c>
      <c r="AF970" s="34">
        <f>IF(E970=1,Orders!L967,"")</f>
        <v>2.4</v>
      </c>
      <c r="AG970" s="34">
        <f>IF(E970=1,Orders!P967,"")</f>
        <v>10.9</v>
      </c>
      <c r="AH970" s="34">
        <f>IF(E970=1,Orders!Q967,"")</f>
        <v>18.7</v>
      </c>
      <c r="AI970" s="34">
        <f>IF(E970=1,Orders!M967,"")</f>
        <v>7.7</v>
      </c>
      <c r="AJ970" s="34">
        <f>IF(E970=1,Orders!N967,"")</f>
        <v>3.8</v>
      </c>
      <c r="AK970" s="34">
        <f>IF(E970=1,Orders!O967,"")</f>
        <v>7.2</v>
      </c>
      <c r="AL970" s="33">
        <f>IF(E970=1,IF(ROUND(ABS(AI970+AJ970+AK970-AH970),6)&lt;=0.1,1,0),"")</f>
        <v>1</v>
      </c>
      <c r="AM970" s="36">
        <f>IF(E970=1,AI970/AH970,"")</f>
        <v>0.411764705882353</v>
      </c>
      <c r="AN970" s="36">
        <f>IF(E970=1,AJ970/AH970,"")</f>
        <v>0.203208556149733</v>
      </c>
      <c r="AO970" s="36">
        <f>IF(E970=1,AK970/AH970,"")</f>
        <v>0.385026737967915</v>
      </c>
      <c r="AP970" s="34">
        <f>IF(E970=1,Orders!Y967,"")</f>
        <v>0.5</v>
      </c>
      <c r="AQ970" s="33">
        <f>IF(Orders!X967,1,0)</f>
        <v>1</v>
      </c>
      <c r="AR970" s="34">
        <f>IF(AND(E970=1,L970=1),AJ970,"")</f>
        <v>3.8</v>
      </c>
      <c r="AS970" s="34" t="str">
        <f>IF(AND(E970=1,L970=0),AJ970,"")</f>
        <v/>
      </c>
      <c r="AT970" s="34">
        <f>IF(AND(E970=1,L970=1),AI970,"")</f>
        <v>7.7</v>
      </c>
      <c r="AU970" s="34" t="str">
        <f>IF(AND(E970=1,L970=0),AI970,"")</f>
        <v/>
      </c>
      <c r="AV970" s="34">
        <f>IF(AND(E970=1,L970=1),AG970,"")</f>
        <v>10.9</v>
      </c>
      <c r="AW970" s="34" t="str">
        <f>IF(AND(E970=1,L970=0),AG970,"")</f>
        <v/>
      </c>
      <c r="AX970" s="34">
        <f>IF(AND(E970=1,L970=1),AH970,"")</f>
        <v>18.7</v>
      </c>
      <c r="AY970" s="34" t="str">
        <f>IF(AND(E970=1,L970=0),AH970,"")</f>
        <v/>
      </c>
      <c r="AZ970" s="34">
        <f>IF(G970=1,F970,"")</f>
        <v>7.8</v>
      </c>
      <c r="BA970" s="34">
        <f>IF(AND(G970=1,L970=1),F970,"")</f>
        <v>7.8</v>
      </c>
      <c r="BB970" s="34" t="str">
        <f>IF(AND(G970=1,L970=0),F970,"")</f>
        <v/>
      </c>
      <c r="BC970" s="33">
        <f>IF(E970=1,IF(Orders!R967&gt;3,1,0),"")</f>
        <v>1</v>
      </c>
      <c r="BD970" s="33">
        <f>IF(E970=1,IF(Orders!R967&gt;7,1,0),"")</f>
        <v>1</v>
      </c>
      <c r="BE970" s="32" t="str">
        <f>IF(E970=1,IF(Orders!L967&lt;=1.5,"Up to 1.5 km",IF(Orders!L967&lt;=3,"1.5–3 km","Over 3 km")),"")</f>
        <v>1.5–3 km</v>
      </c>
      <c r="BF970" s="33">
        <f>IF(E970=1,IF(ABS((Orders!G967-Orders!F967)*1440-Orders!R967)&lt;0.06,1,0),"")</f>
        <v>1</v>
      </c>
      <c r="BG970" s="33">
        <f>IF(ABS((Orders!F967-Orders!E967)*1440-Orders!P967)&lt;0.06,1,0)</f>
        <v>1</v>
      </c>
      <c r="BH970" s="33">
        <f>IF(E970=1,IF(IF(Orders!S967,1,0)=1-G970,1,0),"")</f>
        <v>1</v>
      </c>
      <c r="BI970" s="32" t="str">
        <f>INDEX(Stores!$B$2:$B$21,MATCH(B970,Stores!$A$2:$A$21,0))</f>
        <v>Bengaluru</v>
      </c>
    </row>
    <row r="971">
      <c r="A971" s="32" t="str">
        <f>Orders!A968</f>
        <v>O00967</v>
      </c>
      <c r="B971" s="32" t="str">
        <f>Orders!C968</f>
        <v>S015</v>
      </c>
      <c r="C971" s="32" t="str">
        <f>Orders!B968</f>
        <v>C0181</v>
      </c>
      <c r="D971" s="32" t="str">
        <f>Orders!H968</f>
        <v>Cancelled</v>
      </c>
      <c r="E971" s="33">
        <f>IF(Orders!H968="Delivered",1,0)</f>
        <v>0</v>
      </c>
      <c r="F971" s="34" t="str">
        <f>IF(E971=1,Orders!R968,"")</f>
        <v/>
      </c>
      <c r="G971" s="33" t="str">
        <f>IF(E971=1,IF(Orders!R968&gt;0,1,0),"")</f>
        <v/>
      </c>
      <c r="H971" s="33" t="str">
        <f>IF(E971=1,IF(Orders!R968&gt;5,1,0),"")</f>
        <v/>
      </c>
      <c r="I971" s="32" t="str">
        <f>IF(E971=1,"",IF(OR(Orders!T968="Rider unavailable",Orders!T968="Item unavailable"),"Company-caused","Unresolved"))</f>
        <v>Unresolved</v>
      </c>
      <c r="J971" s="33">
        <f>IF(OR(E971=1,I971="Company-caused"),1,0)</f>
        <v>0</v>
      </c>
      <c r="K971" s="32" t="str">
        <f>IF(E971=0,IF(I971="Company-caused",IF(Orders!T968="Rider unavailable","C1 Rider unavailable","C2 Item unavailable"),"Outside root: unresolved"),IF(G971=0,"A On time",IF(H971=1,IF(L971=1,"B2a Severe, peak","B2b Severe, off-peak"),IF(L971=1,"B1a Slight, peak","B1b Slight, off-peak"))))</f>
        <v>Outside root: unresolved</v>
      </c>
      <c r="L971" s="33">
        <f>IF(AND(Orders!U968&gt;=19,Orders!U968&lt;22),1,0)</f>
        <v>0</v>
      </c>
      <c r="M971" s="33">
        <f>IF(L971=IF(Orders!V968,1,0),1,0)</f>
        <v>1</v>
      </c>
      <c r="N971" s="32" t="str">
        <f>IF(Orders!W968="","None",Orders!W968)</f>
        <v>Light</v>
      </c>
      <c r="O971" s="35">
        <f>INT(Orders!E968)</f>
        <v>46278.0</v>
      </c>
      <c r="P971" s="33">
        <f>Orders!U968</f>
        <v>13</v>
      </c>
      <c r="Q971" s="33">
        <f>COUNTIFS(Demand!$A$2:$A$4481,B971,Demand!$B$2:$B$4481,O971,Demand!$C$2:$C$4481,P971)</f>
        <v>1</v>
      </c>
      <c r="R971" s="33">
        <f>IF(Q971=1,SUMIFS(Demand!$E$2:$E$4481,Demand!$A$2:$A$4481,B971,Demand!$B$2:$B$4481,O971,Demand!$C$2:$C$4481,P971),"")</f>
        <v>19</v>
      </c>
      <c r="S971" s="33">
        <f>INDEX(Stores!$G$2:$G$21,MATCH(B971,Stores!$A$2:$A$21,0))</f>
        <v>23</v>
      </c>
      <c r="T971" s="34">
        <f>IF(R971="","",R971/S971)</f>
        <v>0.826086956521739</v>
      </c>
      <c r="U971" s="34" t="str">
        <f>IF(E971=1,T971,"")</f>
        <v/>
      </c>
      <c r="V971" s="34" t="str">
        <f>IF(AND(E971=1,L971=0),T971,"")</f>
        <v/>
      </c>
      <c r="W971" s="33" t="str">
        <f>IF(U971="","",IF(U971&lt;=Breakdowns!$C$5,1,IF(U971&lt;=Breakdowns!$C$6,2,IF(U971&lt;=Breakdowns!$C$7,3,4))))</f>
        <v/>
      </c>
      <c r="X971" s="33" t="str">
        <f>IF(V971="","",IF(V971&lt;=Breakdowns!$D$5,1,IF(V971&lt;=Breakdowns!$D$6,2,IF(V971&lt;=Breakdowns!$D$7,3,4))))</f>
        <v/>
      </c>
      <c r="Y971" s="34">
        <f>INDEX(Stores!$F$2:$F$21,MATCH(B971,Stores!$A$2:$A$21,0))</f>
        <v>4.66</v>
      </c>
      <c r="Z971" s="33">
        <f>IF(Y971&gt;Store_Summary!$M$2,1,0)</f>
        <v>0</v>
      </c>
      <c r="AA971" s="33">
        <f>INDEX(Stores!$C$2:$C$21,MATCH(B971,Stores!$A$2:$A$21,0))</f>
        <v>204</v>
      </c>
      <c r="AB971" s="33">
        <f>IF(AA971&lt;180,1,0)</f>
        <v>0</v>
      </c>
      <c r="AC971" s="32" t="str">
        <f>IF(Orders!D968="","",INDEX(Riders!$C$2:$C$81,MATCH(Orders!D968,Riders!$A$2:$A$81,0)))</f>
        <v/>
      </c>
      <c r="AD971" s="33" t="str">
        <f>IF(Orders!D968="","",INDEX(Riders!$D$2:$D$81,MATCH(Orders!D968,Riders!$A$2:$A$81,0)))</f>
        <v/>
      </c>
      <c r="AE971" s="33" t="str">
        <f>IF(Orders!D968="","",IF(INDEX(Riders!$B$2:$B$81,MATCH(Orders!D968,Riders!$A$2:$A$81,0))=B971,1,0))</f>
        <v/>
      </c>
      <c r="AF971" s="34" t="str">
        <f>IF(E971=1,Orders!L968,"")</f>
        <v/>
      </c>
      <c r="AG971" s="34" t="str">
        <f>IF(E971=1,Orders!P968,"")</f>
        <v/>
      </c>
      <c r="AH971" s="34" t="str">
        <f>IF(E971=1,Orders!Q968,"")</f>
        <v/>
      </c>
      <c r="AI971" s="34" t="str">
        <f>IF(E971=1,Orders!M968,"")</f>
        <v/>
      </c>
      <c r="AJ971" s="34" t="str">
        <f>IF(E971=1,Orders!N968,"")</f>
        <v/>
      </c>
      <c r="AK971" s="34" t="str">
        <f>IF(E971=1,Orders!O968,"")</f>
        <v/>
      </c>
      <c r="AL971" s="33" t="str">
        <f>IF(E971=1,IF(ROUND(ABS(AI971+AJ971+AK971-AH971),6)&lt;=0.1,1,0),"")</f>
        <v/>
      </c>
      <c r="AM971" s="36" t="str">
        <f>IF(E971=1,AI971/AH971,"")</f>
        <v/>
      </c>
      <c r="AN971" s="36" t="str">
        <f>IF(E971=1,AJ971/AH971,"")</f>
        <v/>
      </c>
      <c r="AO971" s="36" t="str">
        <f>IF(E971=1,AK971/AH971,"")</f>
        <v/>
      </c>
      <c r="AP971" s="34" t="str">
        <f>IF(E971=1,Orders!Y968,"")</f>
        <v/>
      </c>
      <c r="AQ971" s="33">
        <f>IF(Orders!X968,1,0)</f>
        <v>0</v>
      </c>
      <c r="AR971" s="34" t="str">
        <f>IF(AND(E971=1,L971=1),AJ971,"")</f>
        <v/>
      </c>
      <c r="AS971" s="34" t="str">
        <f>IF(AND(E971=1,L971=0),AJ971,"")</f>
        <v/>
      </c>
      <c r="AT971" s="34" t="str">
        <f>IF(AND(E971=1,L971=1),AI971,"")</f>
        <v/>
      </c>
      <c r="AU971" s="34" t="str">
        <f>IF(AND(E971=1,L971=0),AI971,"")</f>
        <v/>
      </c>
      <c r="AV971" s="34" t="str">
        <f>IF(AND(E971=1,L971=1),AG971,"")</f>
        <v/>
      </c>
      <c r="AW971" s="34" t="str">
        <f>IF(AND(E971=1,L971=0),AG971,"")</f>
        <v/>
      </c>
      <c r="AX971" s="34" t="str">
        <f>IF(AND(E971=1,L971=1),AH971,"")</f>
        <v/>
      </c>
      <c r="AY971" s="34" t="str">
        <f>IF(AND(E971=1,L971=0),AH971,"")</f>
        <v/>
      </c>
      <c r="AZ971" s="34" t="str">
        <f>IF(G971=1,F971,"")</f>
        <v/>
      </c>
      <c r="BA971" s="34" t="str">
        <f>IF(AND(G971=1,L971=1),F971,"")</f>
        <v/>
      </c>
      <c r="BB971" s="34" t="str">
        <f>IF(AND(G971=1,L971=0),F971,"")</f>
        <v/>
      </c>
      <c r="BC971" s="33" t="str">
        <f>IF(E971=1,IF(Orders!R968&gt;3,1,0),"")</f>
        <v/>
      </c>
      <c r="BD971" s="33" t="str">
        <f>IF(E971=1,IF(Orders!R968&gt;7,1,0),"")</f>
        <v/>
      </c>
      <c r="BE971" s="32" t="str">
        <f>IF(E971=1,IF(Orders!L968&lt;=1.5,"Up to 1.5 km",IF(Orders!L968&lt;=3,"1.5–3 km","Over 3 km")),"")</f>
        <v/>
      </c>
      <c r="BF971" s="33" t="str">
        <f>IF(E971=1,IF(ABS((Orders!G968-Orders!F968)*1440-Orders!R968)&lt;0.06,1,0),"")</f>
        <v/>
      </c>
      <c r="BG971" s="33">
        <f>IF(ABS((Orders!F968-Orders!E968)*1440-Orders!P968)&lt;0.06,1,0)</f>
        <v>1</v>
      </c>
      <c r="BH971" s="33" t="str">
        <f>IF(E971=1,IF(IF(Orders!S968,1,0)=1-G971,1,0),"")</f>
        <v/>
      </c>
      <c r="BI971" s="32" t="str">
        <f>INDEX(Stores!$B$2:$B$21,MATCH(B971,Stores!$A$2:$A$21,0))</f>
        <v>Delhi</v>
      </c>
    </row>
    <row r="972">
      <c r="A972" s="32" t="str">
        <f>Orders!A969</f>
        <v>O00968</v>
      </c>
      <c r="B972" s="32" t="str">
        <f>Orders!C969</f>
        <v>S012</v>
      </c>
      <c r="C972" s="32" t="str">
        <f>Orders!B969</f>
        <v>C0155</v>
      </c>
      <c r="D972" s="32" t="str">
        <f>Orders!H969</f>
        <v>Delivered</v>
      </c>
      <c r="E972" s="33">
        <f>IF(Orders!H969="Delivered",1,0)</f>
        <v>1</v>
      </c>
      <c r="F972" s="34">
        <f>IF(E972=1,Orders!R969,"")</f>
        <v>-1.1</v>
      </c>
      <c r="G972" s="33">
        <f>IF(E972=1,IF(Orders!R969&gt;0,1,0),"")</f>
        <v>0</v>
      </c>
      <c r="H972" s="33">
        <f>IF(E972=1,IF(Orders!R969&gt;5,1,0),"")</f>
        <v>0</v>
      </c>
      <c r="I972" s="32" t="str">
        <f>IF(E972=1,"",IF(OR(Orders!T969="Rider unavailable",Orders!T969="Item unavailable"),"Company-caused","Unresolved"))</f>
        <v/>
      </c>
      <c r="J972" s="33">
        <f>IF(OR(E972=1,I972="Company-caused"),1,0)</f>
        <v>1</v>
      </c>
      <c r="K972" s="32" t="str">
        <f>IF(E972=0,IF(I972="Company-caused",IF(Orders!T969="Rider unavailable","C1 Rider unavailable","C2 Item unavailable"),"Outside root: unresolved"),IF(G972=0,"A On time",IF(H972=1,IF(L972=1,"B2a Severe, peak","B2b Severe, off-peak"),IF(L972=1,"B1a Slight, peak","B1b Slight, off-peak"))))</f>
        <v>A On time</v>
      </c>
      <c r="L972" s="33">
        <f>IF(AND(Orders!U969&gt;=19,Orders!U969&lt;22),1,0)</f>
        <v>0</v>
      </c>
      <c r="M972" s="33">
        <f>IF(L972=IF(Orders!V969,1,0),1,0)</f>
        <v>1</v>
      </c>
      <c r="N972" s="32" t="str">
        <f>IF(Orders!W969="","None",Orders!W969)</f>
        <v>None</v>
      </c>
      <c r="O972" s="35">
        <f>INT(Orders!E969)</f>
        <v>46276.0</v>
      </c>
      <c r="P972" s="33">
        <f>Orders!U969</f>
        <v>17</v>
      </c>
      <c r="Q972" s="33">
        <f>COUNTIFS(Demand!$A$2:$A$4481,B972,Demand!$B$2:$B$4481,O972,Demand!$C$2:$C$4481,P972)</f>
        <v>1</v>
      </c>
      <c r="R972" s="33">
        <f>IF(Q972=1,SUMIFS(Demand!$E$2:$E$4481,Demand!$A$2:$A$4481,B972,Demand!$B$2:$B$4481,O972,Demand!$C$2:$C$4481,P972),"")</f>
        <v>15</v>
      </c>
      <c r="S972" s="33">
        <f>INDEX(Stores!$G$2:$G$21,MATCH(B972,Stores!$A$2:$A$21,0))</f>
        <v>15</v>
      </c>
      <c r="T972" s="34">
        <f>IF(R972="","",R972/S972)</f>
        <v>1</v>
      </c>
      <c r="U972" s="34">
        <f>IF(E972=1,T972,"")</f>
        <v>1</v>
      </c>
      <c r="V972" s="34">
        <f>IF(AND(E972=1,L972=0),T972,"")</f>
        <v>1</v>
      </c>
      <c r="W972" s="33">
        <f>IF(U972="","",IF(U972&lt;=Breakdowns!$C$5,1,IF(U972&lt;=Breakdowns!$C$6,2,IF(U972&lt;=Breakdowns!$C$7,3,4))))</f>
        <v>2</v>
      </c>
      <c r="X972" s="33">
        <f>IF(V972="","",IF(V972&lt;=Breakdowns!$D$5,1,IF(V972&lt;=Breakdowns!$D$6,2,IF(V972&lt;=Breakdowns!$D$7,3,4))))</f>
        <v>3</v>
      </c>
      <c r="Y972" s="34">
        <f>INDEX(Stores!$F$2:$F$21,MATCH(B972,Stores!$A$2:$A$21,0))</f>
        <v>5.23</v>
      </c>
      <c r="Z972" s="33">
        <f>IF(Y972&gt;Store_Summary!$M$2,1,0)</f>
        <v>1</v>
      </c>
      <c r="AA972" s="33">
        <f>INDEX(Stores!$C$2:$C$21,MATCH(B972,Stores!$A$2:$A$21,0))</f>
        <v>300</v>
      </c>
      <c r="AB972" s="33">
        <f>IF(AA972&lt;180,1,0)</f>
        <v>0</v>
      </c>
      <c r="AC972" s="32" t="str">
        <f>IF(Orders!D969="","",INDEX(Riders!$C$2:$C$81,MATCH(Orders!D969,Riders!$A$2:$A$81,0)))</f>
        <v>Petrol scooter</v>
      </c>
      <c r="AD972" s="33">
        <f>IF(Orders!D969="","",INDEX(Riders!$D$2:$D$81,MATCH(Orders!D969,Riders!$A$2:$A$81,0)))</f>
        <v>29</v>
      </c>
      <c r="AE972" s="33">
        <f>IF(Orders!D969="","",IF(INDEX(Riders!$B$2:$B$81,MATCH(Orders!D969,Riders!$A$2:$A$81,0))=B972,1,0))</f>
        <v>0</v>
      </c>
      <c r="AF972" s="34">
        <f>IF(E972=1,Orders!L969,"")</f>
        <v>0.97</v>
      </c>
      <c r="AG972" s="34">
        <f>IF(E972=1,Orders!P969,"")</f>
        <v>10.2</v>
      </c>
      <c r="AH972" s="34">
        <f>IF(E972=1,Orders!Q969,"")</f>
        <v>9.1</v>
      </c>
      <c r="AI972" s="34">
        <f>IF(E972=1,Orders!M969,"")</f>
        <v>4.7</v>
      </c>
      <c r="AJ972" s="34">
        <f>IF(E972=1,Orders!N969,"")</f>
        <v>1.3</v>
      </c>
      <c r="AK972" s="34">
        <f>IF(E972=1,Orders!O969,"")</f>
        <v>3.1</v>
      </c>
      <c r="AL972" s="33">
        <f>IF(E972=1,IF(ROUND(ABS(AI972+AJ972+AK972-AH972),6)&lt;=0.1,1,0),"")</f>
        <v>1</v>
      </c>
      <c r="AM972" s="36">
        <f>IF(E972=1,AI972/AH972,"")</f>
        <v>0.516483516483517</v>
      </c>
      <c r="AN972" s="36">
        <f>IF(E972=1,AJ972/AH972,"")</f>
        <v>0.142857142857143</v>
      </c>
      <c r="AO972" s="36">
        <f>IF(E972=1,AK972/AH972,"")</f>
        <v>0.340659340659341</v>
      </c>
      <c r="AP972" s="34">
        <f>IF(E972=1,Orders!Y969,"")</f>
        <v>0.64</v>
      </c>
      <c r="AQ972" s="33">
        <f>IF(Orders!X969,1,0)</f>
        <v>0</v>
      </c>
      <c r="AR972" s="34" t="str">
        <f>IF(AND(E972=1,L972=1),AJ972,"")</f>
        <v/>
      </c>
      <c r="AS972" s="34">
        <f>IF(AND(E972=1,L972=0),AJ972,"")</f>
        <v>1.3</v>
      </c>
      <c r="AT972" s="34" t="str">
        <f>IF(AND(E972=1,L972=1),AI972,"")</f>
        <v/>
      </c>
      <c r="AU972" s="34">
        <f>IF(AND(E972=1,L972=0),AI972,"")</f>
        <v>4.7</v>
      </c>
      <c r="AV972" s="34" t="str">
        <f>IF(AND(E972=1,L972=1),AG972,"")</f>
        <v/>
      </c>
      <c r="AW972" s="34">
        <f>IF(AND(E972=1,L972=0),AG972,"")</f>
        <v>10.2</v>
      </c>
      <c r="AX972" s="34" t="str">
        <f>IF(AND(E972=1,L972=1),AH972,"")</f>
        <v/>
      </c>
      <c r="AY972" s="34">
        <f>IF(AND(E972=1,L972=0),AH972,"")</f>
        <v>9.1</v>
      </c>
      <c r="AZ972" s="34" t="str">
        <f>IF(G972=1,F972,"")</f>
        <v/>
      </c>
      <c r="BA972" s="34" t="str">
        <f>IF(AND(G972=1,L972=1),F972,"")</f>
        <v/>
      </c>
      <c r="BB972" s="34" t="str">
        <f>IF(AND(G972=1,L972=0),F972,"")</f>
        <v/>
      </c>
      <c r="BC972" s="33">
        <f>IF(E972=1,IF(Orders!R969&gt;3,1,0),"")</f>
        <v>0</v>
      </c>
      <c r="BD972" s="33">
        <f>IF(E972=1,IF(Orders!R969&gt;7,1,0),"")</f>
        <v>0</v>
      </c>
      <c r="BE972" s="32" t="str">
        <f>IF(E972=1,IF(Orders!L969&lt;=1.5,"Up to 1.5 km",IF(Orders!L969&lt;=3,"1.5–3 km","Over 3 km")),"")</f>
        <v>Up to 1.5 km</v>
      </c>
      <c r="BF972" s="33">
        <f>IF(E972=1,IF(ABS((Orders!G969-Orders!F969)*1440-Orders!R969)&lt;0.06,1,0),"")</f>
        <v>1</v>
      </c>
      <c r="BG972" s="33">
        <f>IF(ABS((Orders!F969-Orders!E969)*1440-Orders!P969)&lt;0.06,1,0)</f>
        <v>1</v>
      </c>
      <c r="BH972" s="33">
        <f>IF(E972=1,IF(IF(Orders!S969,1,0)=1-G972,1,0),"")</f>
        <v>1</v>
      </c>
      <c r="BI972" s="32" t="str">
        <f>INDEX(Stores!$B$2:$B$21,MATCH(B972,Stores!$A$2:$A$21,0))</f>
        <v>Hyderabad</v>
      </c>
    </row>
    <row r="973">
      <c r="A973" s="32" t="str">
        <f>Orders!A970</f>
        <v>O00969</v>
      </c>
      <c r="B973" s="32" t="str">
        <f>Orders!C970</f>
        <v>S003</v>
      </c>
      <c r="C973" s="32" t="str">
        <f>Orders!B970</f>
        <v>C0129</v>
      </c>
      <c r="D973" s="32" t="str">
        <f>Orders!H970</f>
        <v>Delivered</v>
      </c>
      <c r="E973" s="33">
        <f>IF(Orders!H970="Delivered",1,0)</f>
        <v>1</v>
      </c>
      <c r="F973" s="34">
        <f>IF(E973=1,Orders!R970,"")</f>
        <v>4.3</v>
      </c>
      <c r="G973" s="33">
        <f>IF(E973=1,IF(Orders!R970&gt;0,1,0),"")</f>
        <v>1</v>
      </c>
      <c r="H973" s="33">
        <f>IF(E973=1,IF(Orders!R970&gt;5,1,0),"")</f>
        <v>0</v>
      </c>
      <c r="I973" s="32" t="str">
        <f>IF(E973=1,"",IF(OR(Orders!T970="Rider unavailable",Orders!T970="Item unavailable"),"Company-caused","Unresolved"))</f>
        <v/>
      </c>
      <c r="J973" s="33">
        <f>IF(OR(E973=1,I973="Company-caused"),1,0)</f>
        <v>1</v>
      </c>
      <c r="K973" s="32" t="str">
        <f>IF(E973=0,IF(I973="Company-caused",IF(Orders!T970="Rider unavailable","C1 Rider unavailable","C2 Item unavailable"),"Outside root: unresolved"),IF(G973=0,"A On time",IF(H973=1,IF(L973=1,"B2a Severe, peak","B2b Severe, off-peak"),IF(L973=1,"B1a Slight, peak","B1b Slight, off-peak"))))</f>
        <v>B1b Slight, off-peak</v>
      </c>
      <c r="L973" s="33">
        <f>IF(AND(Orders!U970&gt;=19,Orders!U970&lt;22),1,0)</f>
        <v>0</v>
      </c>
      <c r="M973" s="33">
        <f>IF(L973=IF(Orders!V970,1,0),1,0)</f>
        <v>1</v>
      </c>
      <c r="N973" s="32" t="str">
        <f>IF(Orders!W970="","None",Orders!W970)</f>
        <v>None</v>
      </c>
      <c r="O973" s="35">
        <f>INT(Orders!E970)</f>
        <v>46277.0</v>
      </c>
      <c r="P973" s="33">
        <f>Orders!U970</f>
        <v>22</v>
      </c>
      <c r="Q973" s="33">
        <f>COUNTIFS(Demand!$A$2:$A$4481,B973,Demand!$B$2:$B$4481,O973,Demand!$C$2:$C$4481,P973)</f>
        <v>1</v>
      </c>
      <c r="R973" s="33">
        <f>IF(Q973=1,SUMIFS(Demand!$E$2:$E$4481,Demand!$A$2:$A$4481,B973,Demand!$B$2:$B$4481,O973,Demand!$C$2:$C$4481,P973),"")</f>
        <v>41</v>
      </c>
      <c r="S973" s="33">
        <f>INDEX(Stores!$G$2:$G$21,MATCH(B973,Stores!$A$2:$A$21,0))</f>
        <v>41</v>
      </c>
      <c r="T973" s="34">
        <f>IF(R973="","",R973/S973)</f>
        <v>1</v>
      </c>
      <c r="U973" s="34">
        <f>IF(E973=1,T973,"")</f>
        <v>1</v>
      </c>
      <c r="V973" s="34">
        <f>IF(AND(E973=1,L973=0),T973,"")</f>
        <v>1</v>
      </c>
      <c r="W973" s="33">
        <f>IF(U973="","",IF(U973&lt;=Breakdowns!$C$5,1,IF(U973&lt;=Breakdowns!$C$6,2,IF(U973&lt;=Breakdowns!$C$7,3,4))))</f>
        <v>2</v>
      </c>
      <c r="X973" s="33">
        <f>IF(V973="","",IF(V973&lt;=Breakdowns!$D$5,1,IF(V973&lt;=Breakdowns!$D$6,2,IF(V973&lt;=Breakdowns!$D$7,3,4))))</f>
        <v>3</v>
      </c>
      <c r="Y973" s="34">
        <f>INDEX(Stores!$F$2:$F$21,MATCH(B973,Stores!$A$2:$A$21,0))</f>
        <v>3.84</v>
      </c>
      <c r="Z973" s="33">
        <f>IF(Y973&gt;Store_Summary!$M$2,1,0)</f>
        <v>0</v>
      </c>
      <c r="AA973" s="33">
        <f>INDEX(Stores!$C$2:$C$21,MATCH(B973,Stores!$A$2:$A$21,0))</f>
        <v>426</v>
      </c>
      <c r="AB973" s="33">
        <f>IF(AA973&lt;180,1,0)</f>
        <v>0</v>
      </c>
      <c r="AC973" s="32" t="str">
        <f>IF(Orders!D970="","",INDEX(Riders!$C$2:$C$81,MATCH(Orders!D970,Riders!$A$2:$A$81,0)))</f>
        <v>EV scooter</v>
      </c>
      <c r="AD973" s="33">
        <f>IF(Orders!D970="","",INDEX(Riders!$D$2:$D$81,MATCH(Orders!D970,Riders!$A$2:$A$81,0)))</f>
        <v>45</v>
      </c>
      <c r="AE973" s="33">
        <f>IF(Orders!D970="","",IF(INDEX(Riders!$B$2:$B$81,MATCH(Orders!D970,Riders!$A$2:$A$81,0))=B973,1,0))</f>
        <v>0</v>
      </c>
      <c r="AF973" s="34">
        <f>IF(E973=1,Orders!L970,"")</f>
        <v>0.51</v>
      </c>
      <c r="AG973" s="34">
        <f>IF(E973=1,Orders!P970,"")</f>
        <v>8.9</v>
      </c>
      <c r="AH973" s="34">
        <f>IF(E973=1,Orders!Q970,"")</f>
        <v>13.2</v>
      </c>
      <c r="AI973" s="34">
        <f>IF(E973=1,Orders!M970,"")</f>
        <v>4.9</v>
      </c>
      <c r="AJ973" s="34">
        <f>IF(E973=1,Orders!N970,"")</f>
        <v>5.3</v>
      </c>
      <c r="AK973" s="34">
        <f>IF(E973=1,Orders!O970,"")</f>
        <v>3</v>
      </c>
      <c r="AL973" s="33">
        <f>IF(E973=1,IF(ROUND(ABS(AI973+AJ973+AK973-AH973),6)&lt;=0.1,1,0),"")</f>
        <v>1</v>
      </c>
      <c r="AM973" s="36">
        <f>IF(E973=1,AI973/AH973,"")</f>
        <v>0.371212121212121</v>
      </c>
      <c r="AN973" s="36">
        <f>IF(E973=1,AJ973/AH973,"")</f>
        <v>0.401515151515152</v>
      </c>
      <c r="AO973" s="36">
        <f>IF(E973=1,AK973/AH973,"")</f>
        <v>0.227272727272727</v>
      </c>
      <c r="AP973" s="34">
        <f>IF(E973=1,Orders!Y970,"")</f>
        <v>0.72</v>
      </c>
      <c r="AQ973" s="33">
        <f>IF(Orders!X970,1,0)</f>
        <v>0</v>
      </c>
      <c r="AR973" s="34" t="str">
        <f>IF(AND(E973=1,L973=1),AJ973,"")</f>
        <v/>
      </c>
      <c r="AS973" s="34">
        <f>IF(AND(E973=1,L973=0),AJ973,"")</f>
        <v>5.3</v>
      </c>
      <c r="AT973" s="34" t="str">
        <f>IF(AND(E973=1,L973=1),AI973,"")</f>
        <v/>
      </c>
      <c r="AU973" s="34">
        <f>IF(AND(E973=1,L973=0),AI973,"")</f>
        <v>4.9</v>
      </c>
      <c r="AV973" s="34" t="str">
        <f>IF(AND(E973=1,L973=1),AG973,"")</f>
        <v/>
      </c>
      <c r="AW973" s="34">
        <f>IF(AND(E973=1,L973=0),AG973,"")</f>
        <v>8.9</v>
      </c>
      <c r="AX973" s="34" t="str">
        <f>IF(AND(E973=1,L973=1),AH973,"")</f>
        <v/>
      </c>
      <c r="AY973" s="34">
        <f>IF(AND(E973=1,L973=0),AH973,"")</f>
        <v>13.2</v>
      </c>
      <c r="AZ973" s="34">
        <f>IF(G973=1,F973,"")</f>
        <v>4.3</v>
      </c>
      <c r="BA973" s="34" t="str">
        <f>IF(AND(G973=1,L973=1),F973,"")</f>
        <v/>
      </c>
      <c r="BB973" s="34">
        <f>IF(AND(G973=1,L973=0),F973,"")</f>
        <v>4.3</v>
      </c>
      <c r="BC973" s="33">
        <f>IF(E973=1,IF(Orders!R970&gt;3,1,0),"")</f>
        <v>1</v>
      </c>
      <c r="BD973" s="33">
        <f>IF(E973=1,IF(Orders!R970&gt;7,1,0),"")</f>
        <v>0</v>
      </c>
      <c r="BE973" s="32" t="str">
        <f>IF(E973=1,IF(Orders!L970&lt;=1.5,"Up to 1.5 km",IF(Orders!L970&lt;=3,"1.5–3 km","Over 3 km")),"")</f>
        <v>Up to 1.5 km</v>
      </c>
      <c r="BF973" s="33">
        <f>IF(E973=1,IF(ABS((Orders!G970-Orders!F970)*1440-Orders!R970)&lt;0.06,1,0),"")</f>
        <v>1</v>
      </c>
      <c r="BG973" s="33">
        <f>IF(ABS((Orders!F970-Orders!E970)*1440-Orders!P970)&lt;0.06,1,0)</f>
        <v>1</v>
      </c>
      <c r="BH973" s="33">
        <f>IF(E973=1,IF(IF(Orders!S970,1,0)=1-G973,1,0),"")</f>
        <v>1</v>
      </c>
      <c r="BI973" s="32" t="str">
        <f>INDEX(Stores!$B$2:$B$21,MATCH(B973,Stores!$A$2:$A$21,0))</f>
        <v>Mumbai</v>
      </c>
    </row>
    <row r="974">
      <c r="A974" s="32" t="str">
        <f>Orders!A971</f>
        <v>O00970</v>
      </c>
      <c r="B974" s="32" t="str">
        <f>Orders!C971</f>
        <v>S019</v>
      </c>
      <c r="C974" s="32" t="str">
        <f>Orders!B971</f>
        <v>C0031</v>
      </c>
      <c r="D974" s="32" t="str">
        <f>Orders!H971</f>
        <v>Delivered</v>
      </c>
      <c r="E974" s="33">
        <f>IF(Orders!H971="Delivered",1,0)</f>
        <v>1</v>
      </c>
      <c r="F974" s="34">
        <f>IF(E974=1,Orders!R971,"")</f>
        <v>9</v>
      </c>
      <c r="G974" s="33">
        <f>IF(E974=1,IF(Orders!R971&gt;0,1,0),"")</f>
        <v>1</v>
      </c>
      <c r="H974" s="33">
        <f>IF(E974=1,IF(Orders!R971&gt;5,1,0),"")</f>
        <v>1</v>
      </c>
      <c r="I974" s="32" t="str">
        <f>IF(E974=1,"",IF(OR(Orders!T971="Rider unavailable",Orders!T971="Item unavailable"),"Company-caused","Unresolved"))</f>
        <v/>
      </c>
      <c r="J974" s="33">
        <f>IF(OR(E974=1,I974="Company-caused"),1,0)</f>
        <v>1</v>
      </c>
      <c r="K974" s="32" t="str">
        <f>IF(E974=0,IF(I974="Company-caused",IF(Orders!T971="Rider unavailable","C1 Rider unavailable","C2 Item unavailable"),"Outside root: unresolved"),IF(G974=0,"A On time",IF(H974=1,IF(L974=1,"B2a Severe, peak","B2b Severe, off-peak"),IF(L974=1,"B1a Slight, peak","B1b Slight, off-peak"))))</f>
        <v>B2a Severe, peak</v>
      </c>
      <c r="L974" s="33">
        <f>IF(AND(Orders!U971&gt;=19,Orders!U971&lt;22),1,0)</f>
        <v>1</v>
      </c>
      <c r="M974" s="33">
        <f>IF(L974=IF(Orders!V971,1,0),1,0)</f>
        <v>1</v>
      </c>
      <c r="N974" s="32" t="str">
        <f>IF(Orders!W971="","None",Orders!W971)</f>
        <v>Light</v>
      </c>
      <c r="O974" s="35">
        <f>INT(Orders!E971)</f>
        <v>46266.0</v>
      </c>
      <c r="P974" s="33">
        <f>Orders!U971</f>
        <v>21</v>
      </c>
      <c r="Q974" s="33">
        <f>COUNTIFS(Demand!$A$2:$A$4481,B974,Demand!$B$2:$B$4481,O974,Demand!$C$2:$C$4481,P974)</f>
        <v>1</v>
      </c>
      <c r="R974" s="33">
        <f>IF(Q974=1,SUMIFS(Demand!$E$2:$E$4481,Demand!$A$2:$A$4481,B974,Demand!$B$2:$B$4481,O974,Demand!$C$2:$C$4481,P974),"")</f>
        <v>32</v>
      </c>
      <c r="S974" s="33">
        <f>INDEX(Stores!$G$2:$G$21,MATCH(B974,Stores!$A$2:$A$21,0))</f>
        <v>22</v>
      </c>
      <c r="T974" s="34">
        <f>IF(R974="","",R974/S974)</f>
        <v>1.45454545454545</v>
      </c>
      <c r="U974" s="34">
        <f>IF(E974=1,T974,"")</f>
        <v>1.45454545454545</v>
      </c>
      <c r="V974" s="34" t="str">
        <f>IF(AND(E974=1,L974=0),T974,"")</f>
        <v/>
      </c>
      <c r="W974" s="33">
        <f>IF(U974="","",IF(U974&lt;=Breakdowns!$C$5,1,IF(U974&lt;=Breakdowns!$C$6,2,IF(U974&lt;=Breakdowns!$C$7,3,4))))</f>
        <v>4</v>
      </c>
      <c r="X974" s="33" t="str">
        <f>IF(V974="","",IF(V974&lt;=Breakdowns!$D$5,1,IF(V974&lt;=Breakdowns!$D$6,2,IF(V974&lt;=Breakdowns!$D$7,3,4))))</f>
        <v/>
      </c>
      <c r="Y974" s="34">
        <f>INDEX(Stores!$F$2:$F$21,MATCH(B974,Stores!$A$2:$A$21,0))</f>
        <v>4.99</v>
      </c>
      <c r="Z974" s="33">
        <f>IF(Y974&gt;Store_Summary!$M$2,1,0)</f>
        <v>1</v>
      </c>
      <c r="AA974" s="33">
        <f>INDEX(Stores!$C$2:$C$21,MATCH(B974,Stores!$A$2:$A$21,0))</f>
        <v>851</v>
      </c>
      <c r="AB974" s="33">
        <f>IF(AA974&lt;180,1,0)</f>
        <v>0</v>
      </c>
      <c r="AC974" s="32" t="str">
        <f>IF(Orders!D971="","",INDEX(Riders!$C$2:$C$81,MATCH(Orders!D971,Riders!$A$2:$A$81,0)))</f>
        <v>EV scooter</v>
      </c>
      <c r="AD974" s="33">
        <f>IF(Orders!D971="","",INDEX(Riders!$D$2:$D$81,MATCH(Orders!D971,Riders!$A$2:$A$81,0)))</f>
        <v>14</v>
      </c>
      <c r="AE974" s="33">
        <f>IF(Orders!D971="","",IF(INDEX(Riders!$B$2:$B$81,MATCH(Orders!D971,Riders!$A$2:$A$81,0))=B974,1,0))</f>
        <v>0</v>
      </c>
      <c r="AF974" s="34">
        <f>IF(E974=1,Orders!L971,"")</f>
        <v>0.63</v>
      </c>
      <c r="AG974" s="34">
        <f>IF(E974=1,Orders!P971,"")</f>
        <v>7</v>
      </c>
      <c r="AH974" s="34">
        <f>IF(E974=1,Orders!Q971,"")</f>
        <v>16</v>
      </c>
      <c r="AI974" s="34">
        <f>IF(E974=1,Orders!M971,"")</f>
        <v>4.8</v>
      </c>
      <c r="AJ974" s="34">
        <f>IF(E974=1,Orders!N971,"")</f>
        <v>7.5</v>
      </c>
      <c r="AK974" s="34">
        <f>IF(E974=1,Orders!O971,"")</f>
        <v>3.8</v>
      </c>
      <c r="AL974" s="33">
        <f>IF(E974=1,IF(ROUND(ABS(AI974+AJ974+AK974-AH974),6)&lt;=0.1,1,0),"")</f>
        <v>1</v>
      </c>
      <c r="AM974" s="36">
        <f>IF(E974=1,AI974/AH974,"")</f>
        <v>0.3</v>
      </c>
      <c r="AN974" s="36">
        <f>IF(E974=1,AJ974/AH974,"")</f>
        <v>0.46875</v>
      </c>
      <c r="AO974" s="36">
        <f>IF(E974=1,AK974/AH974,"")</f>
        <v>0.2375</v>
      </c>
      <c r="AP974" s="34">
        <f>IF(E974=1,Orders!Y971,"")</f>
        <v>0.57</v>
      </c>
      <c r="AQ974" s="33">
        <f>IF(Orders!X971,1,0)</f>
        <v>0</v>
      </c>
      <c r="AR974" s="34">
        <f>IF(AND(E974=1,L974=1),AJ974,"")</f>
        <v>7.5</v>
      </c>
      <c r="AS974" s="34" t="str">
        <f>IF(AND(E974=1,L974=0),AJ974,"")</f>
        <v/>
      </c>
      <c r="AT974" s="34">
        <f>IF(AND(E974=1,L974=1),AI974,"")</f>
        <v>4.8</v>
      </c>
      <c r="AU974" s="34" t="str">
        <f>IF(AND(E974=1,L974=0),AI974,"")</f>
        <v/>
      </c>
      <c r="AV974" s="34">
        <f>IF(AND(E974=1,L974=1),AG974,"")</f>
        <v>7</v>
      </c>
      <c r="AW974" s="34" t="str">
        <f>IF(AND(E974=1,L974=0),AG974,"")</f>
        <v/>
      </c>
      <c r="AX974" s="34">
        <f>IF(AND(E974=1,L974=1),AH974,"")</f>
        <v>16</v>
      </c>
      <c r="AY974" s="34" t="str">
        <f>IF(AND(E974=1,L974=0),AH974,"")</f>
        <v/>
      </c>
      <c r="AZ974" s="34">
        <f>IF(G974=1,F974,"")</f>
        <v>9</v>
      </c>
      <c r="BA974" s="34">
        <f>IF(AND(G974=1,L974=1),F974,"")</f>
        <v>9</v>
      </c>
      <c r="BB974" s="34" t="str">
        <f>IF(AND(G974=1,L974=0),F974,"")</f>
        <v/>
      </c>
      <c r="BC974" s="33">
        <f>IF(E974=1,IF(Orders!R971&gt;3,1,0),"")</f>
        <v>1</v>
      </c>
      <c r="BD974" s="33">
        <f>IF(E974=1,IF(Orders!R971&gt;7,1,0),"")</f>
        <v>1</v>
      </c>
      <c r="BE974" s="32" t="str">
        <f>IF(E974=1,IF(Orders!L971&lt;=1.5,"Up to 1.5 km",IF(Orders!L971&lt;=3,"1.5–3 km","Over 3 km")),"")</f>
        <v>Up to 1.5 km</v>
      </c>
      <c r="BF974" s="33">
        <f>IF(E974=1,IF(ABS((Orders!G971-Orders!F971)*1440-Orders!R971)&lt;0.06,1,0),"")</f>
        <v>1</v>
      </c>
      <c r="BG974" s="33">
        <f>IF(ABS((Orders!F971-Orders!E971)*1440-Orders!P971)&lt;0.06,1,0)</f>
        <v>1</v>
      </c>
      <c r="BH974" s="33">
        <f>IF(E974=1,IF(IF(Orders!S971,1,0)=1-G974,1,0),"")</f>
        <v>1</v>
      </c>
      <c r="BI974" s="32" t="str">
        <f>INDEX(Stores!$B$2:$B$21,MATCH(B974,Stores!$A$2:$A$21,0))</f>
        <v>Pune</v>
      </c>
    </row>
    <row r="975">
      <c r="A975" s="32" t="str">
        <f>Orders!A972</f>
        <v>O00971</v>
      </c>
      <c r="B975" s="32" t="str">
        <f>Orders!C972</f>
        <v>S010</v>
      </c>
      <c r="C975" s="32" t="str">
        <f>Orders!B972</f>
        <v>C0026</v>
      </c>
      <c r="D975" s="32" t="str">
        <f>Orders!H972</f>
        <v>Delivered</v>
      </c>
      <c r="E975" s="33">
        <f>IF(Orders!H972="Delivered",1,0)</f>
        <v>1</v>
      </c>
      <c r="F975" s="34">
        <f>IF(E975=1,Orders!R972,"")</f>
        <v>-1</v>
      </c>
      <c r="G975" s="33">
        <f>IF(E975=1,IF(Orders!R972&gt;0,1,0),"")</f>
        <v>0</v>
      </c>
      <c r="H975" s="33">
        <f>IF(E975=1,IF(Orders!R972&gt;5,1,0),"")</f>
        <v>0</v>
      </c>
      <c r="I975" s="32" t="str">
        <f>IF(E975=1,"",IF(OR(Orders!T972="Rider unavailable",Orders!T972="Item unavailable"),"Company-caused","Unresolved"))</f>
        <v/>
      </c>
      <c r="J975" s="33">
        <f>IF(OR(E975=1,I975="Company-caused"),1,0)</f>
        <v>1</v>
      </c>
      <c r="K975" s="32" t="str">
        <f>IF(E975=0,IF(I975="Company-caused",IF(Orders!T972="Rider unavailable","C1 Rider unavailable","C2 Item unavailable"),"Outside root: unresolved"),IF(G975=0,"A On time",IF(H975=1,IF(L975=1,"B2a Severe, peak","B2b Severe, off-peak"),IF(L975=1,"B1a Slight, peak","B1b Slight, off-peak"))))</f>
        <v>A On time</v>
      </c>
      <c r="L975" s="33">
        <f>IF(AND(Orders!U972&gt;=19,Orders!U972&lt;22),1,0)</f>
        <v>0</v>
      </c>
      <c r="M975" s="33">
        <f>IF(L975=IF(Orders!V972,1,0),1,0)</f>
        <v>1</v>
      </c>
      <c r="N975" s="32" t="str">
        <f>IF(Orders!W972="","None",Orders!W972)</f>
        <v>None</v>
      </c>
      <c r="O975" s="35">
        <f>INT(Orders!E972)</f>
        <v>46268.0</v>
      </c>
      <c r="P975" s="33">
        <f>Orders!U972</f>
        <v>15</v>
      </c>
      <c r="Q975" s="33">
        <f>COUNTIFS(Demand!$A$2:$A$4481,B975,Demand!$B$2:$B$4481,O975,Demand!$C$2:$C$4481,P975)</f>
        <v>1</v>
      </c>
      <c r="R975" s="33">
        <f>IF(Q975=1,SUMIFS(Demand!$E$2:$E$4481,Demand!$A$2:$A$4481,B975,Demand!$B$2:$B$4481,O975,Demand!$C$2:$C$4481,P975),"")</f>
        <v>19</v>
      </c>
      <c r="S975" s="33">
        <f>INDEX(Stores!$G$2:$G$21,MATCH(B975,Stores!$A$2:$A$21,0))</f>
        <v>22</v>
      </c>
      <c r="T975" s="34">
        <f>IF(R975="","",R975/S975)</f>
        <v>0.863636363636364</v>
      </c>
      <c r="U975" s="34">
        <f>IF(E975=1,T975,"")</f>
        <v>0.863636363636364</v>
      </c>
      <c r="V975" s="34">
        <f>IF(AND(E975=1,L975=0),T975,"")</f>
        <v>0.863636363636364</v>
      </c>
      <c r="W975" s="33">
        <f>IF(U975="","",IF(U975&lt;=Breakdowns!$C$5,1,IF(U975&lt;=Breakdowns!$C$6,2,IF(U975&lt;=Breakdowns!$C$7,3,4))))</f>
        <v>2</v>
      </c>
      <c r="X975" s="33">
        <f>IF(V975="","",IF(V975&lt;=Breakdowns!$D$5,1,IF(V975&lt;=Breakdowns!$D$6,2,IF(V975&lt;=Breakdowns!$D$7,3,4))))</f>
        <v>2</v>
      </c>
      <c r="Y975" s="34">
        <f>INDEX(Stores!$F$2:$F$21,MATCH(B975,Stores!$A$2:$A$21,0))</f>
        <v>5.61</v>
      </c>
      <c r="Z975" s="33">
        <f>IF(Y975&gt;Store_Summary!$M$2,1,0)</f>
        <v>1</v>
      </c>
      <c r="AA975" s="33">
        <f>INDEX(Stores!$C$2:$C$21,MATCH(B975,Stores!$A$2:$A$21,0))</f>
        <v>744</v>
      </c>
      <c r="AB975" s="33">
        <f>IF(AA975&lt;180,1,0)</f>
        <v>0</v>
      </c>
      <c r="AC975" s="32" t="str">
        <f>IF(Orders!D972="","",INDEX(Riders!$C$2:$C$81,MATCH(Orders!D972,Riders!$A$2:$A$81,0)))</f>
        <v>Petrol scooter</v>
      </c>
      <c r="AD975" s="33">
        <f>IF(Orders!D972="","",INDEX(Riders!$D$2:$D$81,MATCH(Orders!D972,Riders!$A$2:$A$81,0)))</f>
        <v>37</v>
      </c>
      <c r="AE975" s="33">
        <f>IF(Orders!D972="","",IF(INDEX(Riders!$B$2:$B$81,MATCH(Orders!D972,Riders!$A$2:$A$81,0))=B975,1,0))</f>
        <v>0</v>
      </c>
      <c r="AF975" s="34">
        <f>IF(E975=1,Orders!L972,"")</f>
        <v>0.92</v>
      </c>
      <c r="AG975" s="34">
        <f>IF(E975=1,Orders!P972,"")</f>
        <v>9.1</v>
      </c>
      <c r="AH975" s="34">
        <f>IF(E975=1,Orders!Q972,"")</f>
        <v>8.1</v>
      </c>
      <c r="AI975" s="34">
        <f>IF(E975=1,Orders!M972,"")</f>
        <v>4.3</v>
      </c>
      <c r="AJ975" s="34">
        <f>IF(E975=1,Orders!N972,"")</f>
        <v>2.4</v>
      </c>
      <c r="AK975" s="34">
        <f>IF(E975=1,Orders!O972,"")</f>
        <v>1.4</v>
      </c>
      <c r="AL975" s="33">
        <f>IF(E975=1,IF(ROUND(ABS(AI975+AJ975+AK975-AH975),6)&lt;=0.1,1,0),"")</f>
        <v>1</v>
      </c>
      <c r="AM975" s="36">
        <f>IF(E975=1,AI975/AH975,"")</f>
        <v>0.530864197530864</v>
      </c>
      <c r="AN975" s="36">
        <f>IF(E975=1,AJ975/AH975,"")</f>
        <v>0.296296296296296</v>
      </c>
      <c r="AO975" s="36">
        <f>IF(E975=1,AK975/AH975,"")</f>
        <v>0.17283950617284</v>
      </c>
      <c r="AP975" s="34">
        <f>IF(E975=1,Orders!Y972,"")</f>
        <v>0.11</v>
      </c>
      <c r="AQ975" s="33">
        <f>IF(Orders!X972,1,0)</f>
        <v>0</v>
      </c>
      <c r="AR975" s="34" t="str">
        <f>IF(AND(E975=1,L975=1),AJ975,"")</f>
        <v/>
      </c>
      <c r="AS975" s="34">
        <f>IF(AND(E975=1,L975=0),AJ975,"")</f>
        <v>2.4</v>
      </c>
      <c r="AT975" s="34" t="str">
        <f>IF(AND(E975=1,L975=1),AI975,"")</f>
        <v/>
      </c>
      <c r="AU975" s="34">
        <f>IF(AND(E975=1,L975=0),AI975,"")</f>
        <v>4.3</v>
      </c>
      <c r="AV975" s="34" t="str">
        <f>IF(AND(E975=1,L975=1),AG975,"")</f>
        <v/>
      </c>
      <c r="AW975" s="34">
        <f>IF(AND(E975=1,L975=0),AG975,"")</f>
        <v>9.1</v>
      </c>
      <c r="AX975" s="34" t="str">
        <f>IF(AND(E975=1,L975=1),AH975,"")</f>
        <v/>
      </c>
      <c r="AY975" s="34">
        <f>IF(AND(E975=1,L975=0),AH975,"")</f>
        <v>8.1</v>
      </c>
      <c r="AZ975" s="34" t="str">
        <f>IF(G975=1,F975,"")</f>
        <v/>
      </c>
      <c r="BA975" s="34" t="str">
        <f>IF(AND(G975=1,L975=1),F975,"")</f>
        <v/>
      </c>
      <c r="BB975" s="34" t="str">
        <f>IF(AND(G975=1,L975=0),F975,"")</f>
        <v/>
      </c>
      <c r="BC975" s="33">
        <f>IF(E975=1,IF(Orders!R972&gt;3,1,0),"")</f>
        <v>0</v>
      </c>
      <c r="BD975" s="33">
        <f>IF(E975=1,IF(Orders!R972&gt;7,1,0),"")</f>
        <v>0</v>
      </c>
      <c r="BE975" s="32" t="str">
        <f>IF(E975=1,IF(Orders!L972&lt;=1.5,"Up to 1.5 km",IF(Orders!L972&lt;=3,"1.5–3 km","Over 3 km")),"")</f>
        <v>Up to 1.5 km</v>
      </c>
      <c r="BF975" s="33">
        <f>IF(E975=1,IF(ABS((Orders!G972-Orders!F972)*1440-Orders!R972)&lt;0.06,1,0),"")</f>
        <v>1</v>
      </c>
      <c r="BG975" s="33">
        <f>IF(ABS((Orders!F972-Orders!E972)*1440-Orders!P972)&lt;0.06,1,0)</f>
        <v>1</v>
      </c>
      <c r="BH975" s="33">
        <f>IF(E975=1,IF(IF(Orders!S972,1,0)=1-G975,1,0),"")</f>
        <v>1</v>
      </c>
      <c r="BI975" s="32" t="str">
        <f>INDEX(Stores!$B$2:$B$21,MATCH(B975,Stores!$A$2:$A$21,0))</f>
        <v>Delhi</v>
      </c>
    </row>
    <row r="976">
      <c r="A976" s="32" t="str">
        <f>Orders!A973</f>
        <v>O00972</v>
      </c>
      <c r="B976" s="32" t="str">
        <f>Orders!C973</f>
        <v>S002</v>
      </c>
      <c r="C976" s="32" t="str">
        <f>Orders!B973</f>
        <v>C0128</v>
      </c>
      <c r="D976" s="32" t="str">
        <f>Orders!H973</f>
        <v>Delivered</v>
      </c>
      <c r="E976" s="33">
        <f>IF(Orders!H973="Delivered",1,0)</f>
        <v>1</v>
      </c>
      <c r="F976" s="34">
        <f>IF(E976=1,Orders!R973,"")</f>
        <v>-1</v>
      </c>
      <c r="G976" s="33">
        <f>IF(E976=1,IF(Orders!R973&gt;0,1,0),"")</f>
        <v>0</v>
      </c>
      <c r="H976" s="33">
        <f>IF(E976=1,IF(Orders!R973&gt;5,1,0),"")</f>
        <v>0</v>
      </c>
      <c r="I976" s="32" t="str">
        <f>IF(E976=1,"",IF(OR(Orders!T973="Rider unavailable",Orders!T973="Item unavailable"),"Company-caused","Unresolved"))</f>
        <v/>
      </c>
      <c r="J976" s="33">
        <f>IF(OR(E976=1,I976="Company-caused"),1,0)</f>
        <v>1</v>
      </c>
      <c r="K976" s="32" t="str">
        <f>IF(E976=0,IF(I976="Company-caused",IF(Orders!T973="Rider unavailable","C1 Rider unavailable","C2 Item unavailable"),"Outside root: unresolved"),IF(G976=0,"A On time",IF(H976=1,IF(L976=1,"B2a Severe, peak","B2b Severe, off-peak"),IF(L976=1,"B1a Slight, peak","B1b Slight, off-peak"))))</f>
        <v>A On time</v>
      </c>
      <c r="L976" s="33">
        <f>IF(AND(Orders!U973&gt;=19,Orders!U973&lt;22),1,0)</f>
        <v>1</v>
      </c>
      <c r="M976" s="33">
        <f>IF(L976=IF(Orders!V973,1,0),1,0)</f>
        <v>1</v>
      </c>
      <c r="N976" s="32" t="str">
        <f>IF(Orders!W973="","None",Orders!W973)</f>
        <v>Light</v>
      </c>
      <c r="O976" s="35">
        <f>INT(Orders!E973)</f>
        <v>46268.0</v>
      </c>
      <c r="P976" s="33">
        <f>Orders!U973</f>
        <v>21</v>
      </c>
      <c r="Q976" s="33">
        <f>COUNTIFS(Demand!$A$2:$A$4481,B976,Demand!$B$2:$B$4481,O976,Demand!$C$2:$C$4481,P976)</f>
        <v>1</v>
      </c>
      <c r="R976" s="33">
        <f>IF(Q976=1,SUMIFS(Demand!$E$2:$E$4481,Demand!$A$2:$A$4481,B976,Demand!$B$2:$B$4481,O976,Demand!$C$2:$C$4481,P976),"")</f>
        <v>47</v>
      </c>
      <c r="S976" s="33">
        <f>INDEX(Stores!$G$2:$G$21,MATCH(B976,Stores!$A$2:$A$21,0))</f>
        <v>33</v>
      </c>
      <c r="T976" s="34">
        <f>IF(R976="","",R976/S976)</f>
        <v>1.42424242424242</v>
      </c>
      <c r="U976" s="34">
        <f>IF(E976=1,T976,"")</f>
        <v>1.42424242424242</v>
      </c>
      <c r="V976" s="34" t="str">
        <f>IF(AND(E976=1,L976=0),T976,"")</f>
        <v/>
      </c>
      <c r="W976" s="33">
        <f>IF(U976="","",IF(U976&lt;=Breakdowns!$C$5,1,IF(U976&lt;=Breakdowns!$C$6,2,IF(U976&lt;=Breakdowns!$C$7,3,4))))</f>
        <v>4</v>
      </c>
      <c r="X976" s="33" t="str">
        <f>IF(V976="","",IF(V976&lt;=Breakdowns!$D$5,1,IF(V976&lt;=Breakdowns!$D$6,2,IF(V976&lt;=Breakdowns!$D$7,3,4))))</f>
        <v/>
      </c>
      <c r="Y976" s="34">
        <f>INDEX(Stores!$F$2:$F$21,MATCH(B976,Stores!$A$2:$A$21,0))</f>
        <v>2.39</v>
      </c>
      <c r="Z976" s="33">
        <f>IF(Y976&gt;Store_Summary!$M$2,1,0)</f>
        <v>0</v>
      </c>
      <c r="AA976" s="33">
        <f>INDEX(Stores!$C$2:$C$21,MATCH(B976,Stores!$A$2:$A$21,0))</f>
        <v>470</v>
      </c>
      <c r="AB976" s="33">
        <f>IF(AA976&lt;180,1,0)</f>
        <v>0</v>
      </c>
      <c r="AC976" s="32" t="str">
        <f>IF(Orders!D973="","",INDEX(Riders!$C$2:$C$81,MATCH(Orders!D973,Riders!$A$2:$A$81,0)))</f>
        <v>Petrol scooter</v>
      </c>
      <c r="AD976" s="33">
        <f>IF(Orders!D973="","",INDEX(Riders!$D$2:$D$81,MATCH(Orders!D973,Riders!$A$2:$A$81,0)))</f>
        <v>13</v>
      </c>
      <c r="AE976" s="33">
        <f>IF(Orders!D973="","",IF(INDEX(Riders!$B$2:$B$81,MATCH(Orders!D973,Riders!$A$2:$A$81,0))=B976,1,0))</f>
        <v>0</v>
      </c>
      <c r="AF976" s="34">
        <f>IF(E976=1,Orders!L973,"")</f>
        <v>2.57</v>
      </c>
      <c r="AG976" s="34">
        <f>IF(E976=1,Orders!P973,"")</f>
        <v>10.7</v>
      </c>
      <c r="AH976" s="34">
        <f>IF(E976=1,Orders!Q973,"")</f>
        <v>9.7</v>
      </c>
      <c r="AI976" s="34">
        <f>IF(E976=1,Orders!M973,"")</f>
        <v>1.9</v>
      </c>
      <c r="AJ976" s="34">
        <f>IF(E976=1,Orders!N973,"")</f>
        <v>3.3</v>
      </c>
      <c r="AK976" s="34">
        <f>IF(E976=1,Orders!O973,"")</f>
        <v>4.5</v>
      </c>
      <c r="AL976" s="33">
        <f>IF(E976=1,IF(ROUND(ABS(AI976+AJ976+AK976-AH976),6)&lt;=0.1,1,0),"")</f>
        <v>1</v>
      </c>
      <c r="AM976" s="36">
        <f>IF(E976=1,AI976/AH976,"")</f>
        <v>0.195876288659794</v>
      </c>
      <c r="AN976" s="36">
        <f>IF(E976=1,AJ976/AH976,"")</f>
        <v>0.34020618556701</v>
      </c>
      <c r="AO976" s="36">
        <f>IF(E976=1,AK976/AH976,"")</f>
        <v>0.463917525773196</v>
      </c>
      <c r="AP976" s="34">
        <f>IF(E976=1,Orders!Y973,"")</f>
        <v>0.54</v>
      </c>
      <c r="AQ976" s="33">
        <f>IF(Orders!X973,1,0)</f>
        <v>0</v>
      </c>
      <c r="AR976" s="34">
        <f>IF(AND(E976=1,L976=1),AJ976,"")</f>
        <v>3.3</v>
      </c>
      <c r="AS976" s="34" t="str">
        <f>IF(AND(E976=1,L976=0),AJ976,"")</f>
        <v/>
      </c>
      <c r="AT976" s="34">
        <f>IF(AND(E976=1,L976=1),AI976,"")</f>
        <v>1.9</v>
      </c>
      <c r="AU976" s="34" t="str">
        <f>IF(AND(E976=1,L976=0),AI976,"")</f>
        <v/>
      </c>
      <c r="AV976" s="34">
        <f>IF(AND(E976=1,L976=1),AG976,"")</f>
        <v>10.7</v>
      </c>
      <c r="AW976" s="34" t="str">
        <f>IF(AND(E976=1,L976=0),AG976,"")</f>
        <v/>
      </c>
      <c r="AX976" s="34">
        <f>IF(AND(E976=1,L976=1),AH976,"")</f>
        <v>9.7</v>
      </c>
      <c r="AY976" s="34" t="str">
        <f>IF(AND(E976=1,L976=0),AH976,"")</f>
        <v/>
      </c>
      <c r="AZ976" s="34" t="str">
        <f>IF(G976=1,F976,"")</f>
        <v/>
      </c>
      <c r="BA976" s="34" t="str">
        <f>IF(AND(G976=1,L976=1),F976,"")</f>
        <v/>
      </c>
      <c r="BB976" s="34" t="str">
        <f>IF(AND(G976=1,L976=0),F976,"")</f>
        <v/>
      </c>
      <c r="BC976" s="33">
        <f>IF(E976=1,IF(Orders!R973&gt;3,1,0),"")</f>
        <v>0</v>
      </c>
      <c r="BD976" s="33">
        <f>IF(E976=1,IF(Orders!R973&gt;7,1,0),"")</f>
        <v>0</v>
      </c>
      <c r="BE976" s="32" t="str">
        <f>IF(E976=1,IF(Orders!L973&lt;=1.5,"Up to 1.5 km",IF(Orders!L973&lt;=3,"1.5–3 km","Over 3 km")),"")</f>
        <v>1.5–3 km</v>
      </c>
      <c r="BF976" s="33">
        <f>IF(E976=1,IF(ABS((Orders!G973-Orders!F973)*1440-Orders!R973)&lt;0.06,1,0),"")</f>
        <v>1</v>
      </c>
      <c r="BG976" s="33">
        <f>IF(ABS((Orders!F973-Orders!E973)*1440-Orders!P973)&lt;0.06,1,0)</f>
        <v>1</v>
      </c>
      <c r="BH976" s="33">
        <f>IF(E976=1,IF(IF(Orders!S973,1,0)=1-G976,1,0),"")</f>
        <v>1</v>
      </c>
      <c r="BI976" s="32" t="str">
        <f>INDEX(Stores!$B$2:$B$21,MATCH(B976,Stores!$A$2:$A$21,0))</f>
        <v>Hyderabad</v>
      </c>
    </row>
    <row r="977">
      <c r="A977" s="32" t="str">
        <f>Orders!A974</f>
        <v>O00973</v>
      </c>
      <c r="B977" s="32" t="str">
        <f>Orders!C974</f>
        <v>S009</v>
      </c>
      <c r="C977" s="32" t="str">
        <f>Orders!B974</f>
        <v>C0134</v>
      </c>
      <c r="D977" s="32" t="str">
        <f>Orders!H974</f>
        <v>Delivered</v>
      </c>
      <c r="E977" s="33">
        <f>IF(Orders!H974="Delivered",1,0)</f>
        <v>1</v>
      </c>
      <c r="F977" s="34">
        <f>IF(E977=1,Orders!R974,"")</f>
        <v>-0.9</v>
      </c>
      <c r="G977" s="33">
        <f>IF(E977=1,IF(Orders!R974&gt;0,1,0),"")</f>
        <v>0</v>
      </c>
      <c r="H977" s="33">
        <f>IF(E977=1,IF(Orders!R974&gt;5,1,0),"")</f>
        <v>0</v>
      </c>
      <c r="I977" s="32" t="str">
        <f>IF(E977=1,"",IF(OR(Orders!T974="Rider unavailable",Orders!T974="Item unavailable"),"Company-caused","Unresolved"))</f>
        <v/>
      </c>
      <c r="J977" s="33">
        <f>IF(OR(E977=1,I977="Company-caused"),1,0)</f>
        <v>1</v>
      </c>
      <c r="K977" s="32" t="str">
        <f>IF(E977=0,IF(I977="Company-caused",IF(Orders!T974="Rider unavailable","C1 Rider unavailable","C2 Item unavailable"),"Outside root: unresolved"),IF(G977=0,"A On time",IF(H977=1,IF(L977=1,"B2a Severe, peak","B2b Severe, off-peak"),IF(L977=1,"B1a Slight, peak","B1b Slight, off-peak"))))</f>
        <v>A On time</v>
      </c>
      <c r="L977" s="33">
        <f>IF(AND(Orders!U974&gt;=19,Orders!U974&lt;22),1,0)</f>
        <v>0</v>
      </c>
      <c r="M977" s="33">
        <f>IF(L977=IF(Orders!V974,1,0),1,0)</f>
        <v>1</v>
      </c>
      <c r="N977" s="32" t="str">
        <f>IF(Orders!W974="","None",Orders!W974)</f>
        <v>None</v>
      </c>
      <c r="O977" s="35">
        <f>INT(Orders!E974)</f>
        <v>46275.0</v>
      </c>
      <c r="P977" s="33">
        <f>Orders!U974</f>
        <v>14</v>
      </c>
      <c r="Q977" s="33">
        <f>COUNTIFS(Demand!$A$2:$A$4481,B977,Demand!$B$2:$B$4481,O977,Demand!$C$2:$C$4481,P977)</f>
        <v>1</v>
      </c>
      <c r="R977" s="33">
        <f>IF(Q977=1,SUMIFS(Demand!$E$2:$E$4481,Demand!$A$2:$A$4481,B977,Demand!$B$2:$B$4481,O977,Demand!$C$2:$C$4481,P977),"")</f>
        <v>23</v>
      </c>
      <c r="S977" s="33">
        <f>INDEX(Stores!$G$2:$G$21,MATCH(B977,Stores!$A$2:$A$21,0))</f>
        <v>29</v>
      </c>
      <c r="T977" s="34">
        <f>IF(R977="","",R977/S977)</f>
        <v>0.793103448275862</v>
      </c>
      <c r="U977" s="34">
        <f>IF(E977=1,T977,"")</f>
        <v>0.793103448275862</v>
      </c>
      <c r="V977" s="34">
        <f>IF(AND(E977=1,L977=0),T977,"")</f>
        <v>0.793103448275862</v>
      </c>
      <c r="W977" s="33">
        <f>IF(U977="","",IF(U977&lt;=Breakdowns!$C$5,1,IF(U977&lt;=Breakdowns!$C$6,2,IF(U977&lt;=Breakdowns!$C$7,3,4))))</f>
        <v>2</v>
      </c>
      <c r="X977" s="33">
        <f>IF(V977="","",IF(V977&lt;=Breakdowns!$D$5,1,IF(V977&lt;=Breakdowns!$D$6,2,IF(V977&lt;=Breakdowns!$D$7,3,4))))</f>
        <v>2</v>
      </c>
      <c r="Y977" s="34">
        <f>INDEX(Stores!$F$2:$F$21,MATCH(B977,Stores!$A$2:$A$21,0))</f>
        <v>2.66</v>
      </c>
      <c r="Z977" s="33">
        <f>IF(Y977&gt;Store_Summary!$M$2,1,0)</f>
        <v>0</v>
      </c>
      <c r="AA977" s="33">
        <f>INDEX(Stores!$C$2:$C$21,MATCH(B977,Stores!$A$2:$A$21,0))</f>
        <v>645</v>
      </c>
      <c r="AB977" s="33">
        <f>IF(AA977&lt;180,1,0)</f>
        <v>0</v>
      </c>
      <c r="AC977" s="32" t="str">
        <f>IF(Orders!D974="","",INDEX(Riders!$C$2:$C$81,MATCH(Orders!D974,Riders!$A$2:$A$81,0)))</f>
        <v>Petrol scooter</v>
      </c>
      <c r="AD977" s="33">
        <f>IF(Orders!D974="","",INDEX(Riders!$D$2:$D$81,MATCH(Orders!D974,Riders!$A$2:$A$81,0)))</f>
        <v>48</v>
      </c>
      <c r="AE977" s="33">
        <f>IF(Orders!D974="","",IF(INDEX(Riders!$B$2:$B$81,MATCH(Orders!D974,Riders!$A$2:$A$81,0))=B977,1,0))</f>
        <v>0</v>
      </c>
      <c r="AF977" s="34">
        <f>IF(E977=1,Orders!L974,"")</f>
        <v>2.38</v>
      </c>
      <c r="AG977" s="34">
        <f>IF(E977=1,Orders!P974,"")</f>
        <v>10.9</v>
      </c>
      <c r="AH977" s="34">
        <f>IF(E977=1,Orders!Q974,"")</f>
        <v>10</v>
      </c>
      <c r="AI977" s="34">
        <f>IF(E977=1,Orders!M974,"")</f>
        <v>2.9</v>
      </c>
      <c r="AJ977" s="34">
        <f>IF(E977=1,Orders!N974,"")</f>
        <v>2.9</v>
      </c>
      <c r="AK977" s="34">
        <f>IF(E977=1,Orders!O974,"")</f>
        <v>4.2</v>
      </c>
      <c r="AL977" s="33">
        <f>IF(E977=1,IF(ROUND(ABS(AI977+AJ977+AK977-AH977),6)&lt;=0.1,1,0),"")</f>
        <v>1</v>
      </c>
      <c r="AM977" s="36">
        <f>IF(E977=1,AI977/AH977,"")</f>
        <v>0.29</v>
      </c>
      <c r="AN977" s="36">
        <f>IF(E977=1,AJ977/AH977,"")</f>
        <v>0.29</v>
      </c>
      <c r="AO977" s="36">
        <f>IF(E977=1,AK977/AH977,"")</f>
        <v>0.42</v>
      </c>
      <c r="AP977" s="34">
        <f>IF(E977=1,Orders!Y974,"")</f>
        <v>0.21</v>
      </c>
      <c r="AQ977" s="33">
        <f>IF(Orders!X974,1,0)</f>
        <v>0</v>
      </c>
      <c r="AR977" s="34" t="str">
        <f>IF(AND(E977=1,L977=1),AJ977,"")</f>
        <v/>
      </c>
      <c r="AS977" s="34">
        <f>IF(AND(E977=1,L977=0),AJ977,"")</f>
        <v>2.9</v>
      </c>
      <c r="AT977" s="34" t="str">
        <f>IF(AND(E977=1,L977=1),AI977,"")</f>
        <v/>
      </c>
      <c r="AU977" s="34">
        <f>IF(AND(E977=1,L977=0),AI977,"")</f>
        <v>2.9</v>
      </c>
      <c r="AV977" s="34" t="str">
        <f>IF(AND(E977=1,L977=1),AG977,"")</f>
        <v/>
      </c>
      <c r="AW977" s="34">
        <f>IF(AND(E977=1,L977=0),AG977,"")</f>
        <v>10.9</v>
      </c>
      <c r="AX977" s="34" t="str">
        <f>IF(AND(E977=1,L977=1),AH977,"")</f>
        <v/>
      </c>
      <c r="AY977" s="34">
        <f>IF(AND(E977=1,L977=0),AH977,"")</f>
        <v>10</v>
      </c>
      <c r="AZ977" s="34" t="str">
        <f>IF(G977=1,F977,"")</f>
        <v/>
      </c>
      <c r="BA977" s="34" t="str">
        <f>IF(AND(G977=1,L977=1),F977,"")</f>
        <v/>
      </c>
      <c r="BB977" s="34" t="str">
        <f>IF(AND(G977=1,L977=0),F977,"")</f>
        <v/>
      </c>
      <c r="BC977" s="33">
        <f>IF(E977=1,IF(Orders!R974&gt;3,1,0),"")</f>
        <v>0</v>
      </c>
      <c r="BD977" s="33">
        <f>IF(E977=1,IF(Orders!R974&gt;7,1,0),"")</f>
        <v>0</v>
      </c>
      <c r="BE977" s="32" t="str">
        <f>IF(E977=1,IF(Orders!L974&lt;=1.5,"Up to 1.5 km",IF(Orders!L974&lt;=3,"1.5–3 km","Over 3 km")),"")</f>
        <v>1.5–3 km</v>
      </c>
      <c r="BF977" s="33">
        <f>IF(E977=1,IF(ABS((Orders!G974-Orders!F974)*1440-Orders!R974)&lt;0.06,1,0),"")</f>
        <v>1</v>
      </c>
      <c r="BG977" s="33">
        <f>IF(ABS((Orders!F974-Orders!E974)*1440-Orders!P974)&lt;0.06,1,0)</f>
        <v>1</v>
      </c>
      <c r="BH977" s="33">
        <f>IF(E977=1,IF(IF(Orders!S974,1,0)=1-G977,1,0),"")</f>
        <v>1</v>
      </c>
      <c r="BI977" s="32" t="str">
        <f>INDEX(Stores!$B$2:$B$21,MATCH(B977,Stores!$A$2:$A$21,0))</f>
        <v>Pune</v>
      </c>
    </row>
    <row r="978">
      <c r="A978" s="32" t="str">
        <f>Orders!A975</f>
        <v>O00974</v>
      </c>
      <c r="B978" s="32" t="str">
        <f>Orders!C975</f>
        <v>S002</v>
      </c>
      <c r="C978" s="32" t="str">
        <f>Orders!B975</f>
        <v>C0164</v>
      </c>
      <c r="D978" s="32" t="str">
        <f>Orders!H975</f>
        <v>Delivered</v>
      </c>
      <c r="E978" s="33">
        <f>IF(Orders!H975="Delivered",1,0)</f>
        <v>1</v>
      </c>
      <c r="F978" s="34">
        <f>IF(E978=1,Orders!R975,"")</f>
        <v>-1</v>
      </c>
      <c r="G978" s="33">
        <f>IF(E978=1,IF(Orders!R975&gt;0,1,0),"")</f>
        <v>0</v>
      </c>
      <c r="H978" s="33">
        <f>IF(E978=1,IF(Orders!R975&gt;5,1,0),"")</f>
        <v>0</v>
      </c>
      <c r="I978" s="32" t="str">
        <f>IF(E978=1,"",IF(OR(Orders!T975="Rider unavailable",Orders!T975="Item unavailable"),"Company-caused","Unresolved"))</f>
        <v/>
      </c>
      <c r="J978" s="33">
        <f>IF(OR(E978=1,I978="Company-caused"),1,0)</f>
        <v>1</v>
      </c>
      <c r="K978" s="32" t="str">
        <f>IF(E978=0,IF(I978="Company-caused",IF(Orders!T975="Rider unavailable","C1 Rider unavailable","C2 Item unavailable"),"Outside root: unresolved"),IF(G978=0,"A On time",IF(H978=1,IF(L978=1,"B2a Severe, peak","B2b Severe, off-peak"),IF(L978=1,"B1a Slight, peak","B1b Slight, off-peak"))))</f>
        <v>A On time</v>
      </c>
      <c r="L978" s="33">
        <f>IF(AND(Orders!U975&gt;=19,Orders!U975&lt;22),1,0)</f>
        <v>0</v>
      </c>
      <c r="M978" s="33">
        <f>IF(L978=IF(Orders!V975,1,0),1,0)</f>
        <v>1</v>
      </c>
      <c r="N978" s="32" t="str">
        <f>IF(Orders!W975="","None",Orders!W975)</f>
        <v>None</v>
      </c>
      <c r="O978" s="35">
        <f>INT(Orders!E975)</f>
        <v>46275.0</v>
      </c>
      <c r="P978" s="33">
        <f>Orders!U975</f>
        <v>11</v>
      </c>
      <c r="Q978" s="33">
        <f>COUNTIFS(Demand!$A$2:$A$4481,B978,Demand!$B$2:$B$4481,O978,Demand!$C$2:$C$4481,P978)</f>
        <v>1</v>
      </c>
      <c r="R978" s="33">
        <f>IF(Q978=1,SUMIFS(Demand!$E$2:$E$4481,Demand!$A$2:$A$4481,B978,Demand!$B$2:$B$4481,O978,Demand!$C$2:$C$4481,P978),"")</f>
        <v>35</v>
      </c>
      <c r="S978" s="33">
        <f>INDEX(Stores!$G$2:$G$21,MATCH(B978,Stores!$A$2:$A$21,0))</f>
        <v>33</v>
      </c>
      <c r="T978" s="34">
        <f>IF(R978="","",R978/S978)</f>
        <v>1.06060606060606</v>
      </c>
      <c r="U978" s="34">
        <f>IF(E978=1,T978,"")</f>
        <v>1.06060606060606</v>
      </c>
      <c r="V978" s="34">
        <f>IF(AND(E978=1,L978=0),T978,"")</f>
        <v>1.06060606060606</v>
      </c>
      <c r="W978" s="33">
        <f>IF(U978="","",IF(U978&lt;=Breakdowns!$C$5,1,IF(U978&lt;=Breakdowns!$C$6,2,IF(U978&lt;=Breakdowns!$C$7,3,4))))</f>
        <v>3</v>
      </c>
      <c r="X978" s="33">
        <f>IF(V978="","",IF(V978&lt;=Breakdowns!$D$5,1,IF(V978&lt;=Breakdowns!$D$6,2,IF(V978&lt;=Breakdowns!$D$7,3,4))))</f>
        <v>3</v>
      </c>
      <c r="Y978" s="34">
        <f>INDEX(Stores!$F$2:$F$21,MATCH(B978,Stores!$A$2:$A$21,0))</f>
        <v>2.39</v>
      </c>
      <c r="Z978" s="33">
        <f>IF(Y978&gt;Store_Summary!$M$2,1,0)</f>
        <v>0</v>
      </c>
      <c r="AA978" s="33">
        <f>INDEX(Stores!$C$2:$C$21,MATCH(B978,Stores!$A$2:$A$21,0))</f>
        <v>470</v>
      </c>
      <c r="AB978" s="33">
        <f>IF(AA978&lt;180,1,0)</f>
        <v>0</v>
      </c>
      <c r="AC978" s="32" t="str">
        <f>IF(Orders!D975="","",INDEX(Riders!$C$2:$C$81,MATCH(Orders!D975,Riders!$A$2:$A$81,0)))</f>
        <v>EV scooter</v>
      </c>
      <c r="AD978" s="33">
        <f>IF(Orders!D975="","",INDEX(Riders!$D$2:$D$81,MATCH(Orders!D975,Riders!$A$2:$A$81,0)))</f>
        <v>38</v>
      </c>
      <c r="AE978" s="33">
        <f>IF(Orders!D975="","",IF(INDEX(Riders!$B$2:$B$81,MATCH(Orders!D975,Riders!$A$2:$A$81,0))=B978,1,0))</f>
        <v>0</v>
      </c>
      <c r="AF978" s="34">
        <f>IF(E978=1,Orders!L975,"")</f>
        <v>3.07</v>
      </c>
      <c r="AG978" s="34">
        <f>IF(E978=1,Orders!P975,"")</f>
        <v>9.4</v>
      </c>
      <c r="AH978" s="34">
        <f>IF(E978=1,Orders!Q975,"")</f>
        <v>8.4</v>
      </c>
      <c r="AI978" s="34">
        <f>IF(E978=1,Orders!M975,"")</f>
        <v>1.1</v>
      </c>
      <c r="AJ978" s="34">
        <f>IF(E978=1,Orders!N975,"")</f>
        <v>3.9</v>
      </c>
      <c r="AK978" s="34">
        <f>IF(E978=1,Orders!O975,"")</f>
        <v>3.4</v>
      </c>
      <c r="AL978" s="33">
        <f>IF(E978=1,IF(ROUND(ABS(AI978+AJ978+AK978-AH978),6)&lt;=0.1,1,0),"")</f>
        <v>1</v>
      </c>
      <c r="AM978" s="36">
        <f>IF(E978=1,AI978/AH978,"")</f>
        <v>0.130952380952381</v>
      </c>
      <c r="AN978" s="36">
        <f>IF(E978=1,AJ978/AH978,"")</f>
        <v>0.464285714285714</v>
      </c>
      <c r="AO978" s="36">
        <f>IF(E978=1,AK978/AH978,"")</f>
        <v>0.404761904761905</v>
      </c>
      <c r="AP978" s="34">
        <f>IF(E978=1,Orders!Y975,"")</f>
        <v>0.66</v>
      </c>
      <c r="AQ978" s="33">
        <f>IF(Orders!X975,1,0)</f>
        <v>0</v>
      </c>
      <c r="AR978" s="34" t="str">
        <f>IF(AND(E978=1,L978=1),AJ978,"")</f>
        <v/>
      </c>
      <c r="AS978" s="34">
        <f>IF(AND(E978=1,L978=0),AJ978,"")</f>
        <v>3.9</v>
      </c>
      <c r="AT978" s="34" t="str">
        <f>IF(AND(E978=1,L978=1),AI978,"")</f>
        <v/>
      </c>
      <c r="AU978" s="34">
        <f>IF(AND(E978=1,L978=0),AI978,"")</f>
        <v>1.1</v>
      </c>
      <c r="AV978" s="34" t="str">
        <f>IF(AND(E978=1,L978=1),AG978,"")</f>
        <v/>
      </c>
      <c r="AW978" s="34">
        <f>IF(AND(E978=1,L978=0),AG978,"")</f>
        <v>9.4</v>
      </c>
      <c r="AX978" s="34" t="str">
        <f>IF(AND(E978=1,L978=1),AH978,"")</f>
        <v/>
      </c>
      <c r="AY978" s="34">
        <f>IF(AND(E978=1,L978=0),AH978,"")</f>
        <v>8.4</v>
      </c>
      <c r="AZ978" s="34" t="str">
        <f>IF(G978=1,F978,"")</f>
        <v/>
      </c>
      <c r="BA978" s="34" t="str">
        <f>IF(AND(G978=1,L978=1),F978,"")</f>
        <v/>
      </c>
      <c r="BB978" s="34" t="str">
        <f>IF(AND(G978=1,L978=0),F978,"")</f>
        <v/>
      </c>
      <c r="BC978" s="33">
        <f>IF(E978=1,IF(Orders!R975&gt;3,1,0),"")</f>
        <v>0</v>
      </c>
      <c r="BD978" s="33">
        <f>IF(E978=1,IF(Orders!R975&gt;7,1,0),"")</f>
        <v>0</v>
      </c>
      <c r="BE978" s="32" t="str">
        <f>IF(E978=1,IF(Orders!L975&lt;=1.5,"Up to 1.5 km",IF(Orders!L975&lt;=3,"1.5–3 km","Over 3 km")),"")</f>
        <v>Over 3 km</v>
      </c>
      <c r="BF978" s="33">
        <f>IF(E978=1,IF(ABS((Orders!G975-Orders!F975)*1440-Orders!R975)&lt;0.06,1,0),"")</f>
        <v>1</v>
      </c>
      <c r="BG978" s="33">
        <f>IF(ABS((Orders!F975-Orders!E975)*1440-Orders!P975)&lt;0.06,1,0)</f>
        <v>1</v>
      </c>
      <c r="BH978" s="33">
        <f>IF(E978=1,IF(IF(Orders!S975,1,0)=1-G978,1,0),"")</f>
        <v>1</v>
      </c>
      <c r="BI978" s="32" t="str">
        <f>INDEX(Stores!$B$2:$B$21,MATCH(B978,Stores!$A$2:$A$21,0))</f>
        <v>Hyderabad</v>
      </c>
    </row>
    <row r="979">
      <c r="A979" s="32" t="str">
        <f>Orders!A976</f>
        <v>O00975</v>
      </c>
      <c r="B979" s="32" t="str">
        <f>Orders!C976</f>
        <v>S013</v>
      </c>
      <c r="C979" s="32" t="str">
        <f>Orders!B976</f>
        <v>C0215</v>
      </c>
      <c r="D979" s="32" t="str">
        <f>Orders!H976</f>
        <v>Delivered</v>
      </c>
      <c r="E979" s="33">
        <f>IF(Orders!H976="Delivered",1,0)</f>
        <v>1</v>
      </c>
      <c r="F979" s="34">
        <f>IF(E979=1,Orders!R976,"")</f>
        <v>-1.1</v>
      </c>
      <c r="G979" s="33">
        <f>IF(E979=1,IF(Orders!R976&gt;0,1,0),"")</f>
        <v>0</v>
      </c>
      <c r="H979" s="33">
        <f>IF(E979=1,IF(Orders!R976&gt;5,1,0),"")</f>
        <v>0</v>
      </c>
      <c r="I979" s="32" t="str">
        <f>IF(E979=1,"",IF(OR(Orders!T976="Rider unavailable",Orders!T976="Item unavailable"),"Company-caused","Unresolved"))</f>
        <v/>
      </c>
      <c r="J979" s="33">
        <f>IF(OR(E979=1,I979="Company-caused"),1,0)</f>
        <v>1</v>
      </c>
      <c r="K979" s="32" t="str">
        <f>IF(E979=0,IF(I979="Company-caused",IF(Orders!T976="Rider unavailable","C1 Rider unavailable","C2 Item unavailable"),"Outside root: unresolved"),IF(G979=0,"A On time",IF(H979=1,IF(L979=1,"B2a Severe, peak","B2b Severe, off-peak"),IF(L979=1,"B1a Slight, peak","B1b Slight, off-peak"))))</f>
        <v>A On time</v>
      </c>
      <c r="L979" s="33">
        <f>IF(AND(Orders!U976&gt;=19,Orders!U976&lt;22),1,0)</f>
        <v>0</v>
      </c>
      <c r="M979" s="33">
        <f>IF(L979=IF(Orders!V976,1,0),1,0)</f>
        <v>1</v>
      </c>
      <c r="N979" s="32" t="str">
        <f>IF(Orders!W976="","None",Orders!W976)</f>
        <v>None</v>
      </c>
      <c r="O979" s="35">
        <f>INT(Orders!E976)</f>
        <v>46272.0</v>
      </c>
      <c r="P979" s="33">
        <f>Orders!U976</f>
        <v>9</v>
      </c>
      <c r="Q979" s="33">
        <f>COUNTIFS(Demand!$A$2:$A$4481,B979,Demand!$B$2:$B$4481,O979,Demand!$C$2:$C$4481,P979)</f>
        <v>1</v>
      </c>
      <c r="R979" s="33">
        <f>IF(Q979=1,SUMIFS(Demand!$E$2:$E$4481,Demand!$A$2:$A$4481,B979,Demand!$B$2:$B$4481,O979,Demand!$C$2:$C$4481,P979),"")</f>
        <v>36</v>
      </c>
      <c r="S979" s="33">
        <f>INDEX(Stores!$G$2:$G$21,MATCH(B979,Stores!$A$2:$A$21,0))</f>
        <v>49</v>
      </c>
      <c r="T979" s="34">
        <f>IF(R979="","",R979/S979)</f>
        <v>0.73469387755102</v>
      </c>
      <c r="U979" s="34">
        <f>IF(E979=1,T979,"")</f>
        <v>0.73469387755102</v>
      </c>
      <c r="V979" s="34">
        <f>IF(AND(E979=1,L979=0),T979,"")</f>
        <v>0.73469387755102</v>
      </c>
      <c r="W979" s="33">
        <f>IF(U979="","",IF(U979&lt;=Breakdowns!$C$5,1,IF(U979&lt;=Breakdowns!$C$6,2,IF(U979&lt;=Breakdowns!$C$7,3,4))))</f>
        <v>1</v>
      </c>
      <c r="X979" s="33">
        <f>IF(V979="","",IF(V979&lt;=Breakdowns!$D$5,1,IF(V979&lt;=Breakdowns!$D$6,2,IF(V979&lt;=Breakdowns!$D$7,3,4))))</f>
        <v>1</v>
      </c>
      <c r="Y979" s="34">
        <f>INDEX(Stores!$F$2:$F$21,MATCH(B979,Stores!$A$2:$A$21,0))</f>
        <v>5.82</v>
      </c>
      <c r="Z979" s="33">
        <f>IF(Y979&gt;Store_Summary!$M$2,1,0)</f>
        <v>1</v>
      </c>
      <c r="AA979" s="33">
        <f>INDEX(Stores!$C$2:$C$21,MATCH(B979,Stores!$A$2:$A$21,0))</f>
        <v>705</v>
      </c>
      <c r="AB979" s="33">
        <f>IF(AA979&lt;180,1,0)</f>
        <v>0</v>
      </c>
      <c r="AC979" s="32" t="str">
        <f>IF(Orders!D976="","",INDEX(Riders!$C$2:$C$81,MATCH(Orders!D976,Riders!$A$2:$A$81,0)))</f>
        <v>EV scooter</v>
      </c>
      <c r="AD979" s="33">
        <f>IF(Orders!D976="","",INDEX(Riders!$D$2:$D$81,MATCH(Orders!D976,Riders!$A$2:$A$81,0)))</f>
        <v>1</v>
      </c>
      <c r="AE979" s="33">
        <f>IF(Orders!D976="","",IF(INDEX(Riders!$B$2:$B$81,MATCH(Orders!D976,Riders!$A$2:$A$81,0))=B979,1,0))</f>
        <v>0</v>
      </c>
      <c r="AF979" s="34">
        <f>IF(E979=1,Orders!L976,"")</f>
        <v>2.13</v>
      </c>
      <c r="AG979" s="34">
        <f>IF(E979=1,Orders!P976,"")</f>
        <v>11.2</v>
      </c>
      <c r="AH979" s="34">
        <f>IF(E979=1,Orders!Q976,"")</f>
        <v>10.1</v>
      </c>
      <c r="AI979" s="34">
        <f>IF(E979=1,Orders!M976,"")</f>
        <v>3.4</v>
      </c>
      <c r="AJ979" s="34">
        <f>IF(E979=1,Orders!N976,"")</f>
        <v>3.1</v>
      </c>
      <c r="AK979" s="34">
        <f>IF(E979=1,Orders!O976,"")</f>
        <v>3.6</v>
      </c>
      <c r="AL979" s="33">
        <f>IF(E979=1,IF(ROUND(ABS(AI979+AJ979+AK979-AH979),6)&lt;=0.1,1,0),"")</f>
        <v>1</v>
      </c>
      <c r="AM979" s="36">
        <f>IF(E979=1,AI979/AH979,"")</f>
        <v>0.336633663366337</v>
      </c>
      <c r="AN979" s="36">
        <f>IF(E979=1,AJ979/AH979,"")</f>
        <v>0.306930693069307</v>
      </c>
      <c r="AO979" s="36">
        <f>IF(E979=1,AK979/AH979,"")</f>
        <v>0.356435643564357</v>
      </c>
      <c r="AP979" s="34">
        <f>IF(E979=1,Orders!Y976,"")</f>
        <v>0.46</v>
      </c>
      <c r="AQ979" s="33">
        <f>IF(Orders!X976,1,0)</f>
        <v>0</v>
      </c>
      <c r="AR979" s="34" t="str">
        <f>IF(AND(E979=1,L979=1),AJ979,"")</f>
        <v/>
      </c>
      <c r="AS979" s="34">
        <f>IF(AND(E979=1,L979=0),AJ979,"")</f>
        <v>3.1</v>
      </c>
      <c r="AT979" s="34" t="str">
        <f>IF(AND(E979=1,L979=1),AI979,"")</f>
        <v/>
      </c>
      <c r="AU979" s="34">
        <f>IF(AND(E979=1,L979=0),AI979,"")</f>
        <v>3.4</v>
      </c>
      <c r="AV979" s="34" t="str">
        <f>IF(AND(E979=1,L979=1),AG979,"")</f>
        <v/>
      </c>
      <c r="AW979" s="34">
        <f>IF(AND(E979=1,L979=0),AG979,"")</f>
        <v>11.2</v>
      </c>
      <c r="AX979" s="34" t="str">
        <f>IF(AND(E979=1,L979=1),AH979,"")</f>
        <v/>
      </c>
      <c r="AY979" s="34">
        <f>IF(AND(E979=1,L979=0),AH979,"")</f>
        <v>10.1</v>
      </c>
      <c r="AZ979" s="34" t="str">
        <f>IF(G979=1,F979,"")</f>
        <v/>
      </c>
      <c r="BA979" s="34" t="str">
        <f>IF(AND(G979=1,L979=1),F979,"")</f>
        <v/>
      </c>
      <c r="BB979" s="34" t="str">
        <f>IF(AND(G979=1,L979=0),F979,"")</f>
        <v/>
      </c>
      <c r="BC979" s="33">
        <f>IF(E979=1,IF(Orders!R976&gt;3,1,0),"")</f>
        <v>0</v>
      </c>
      <c r="BD979" s="33">
        <f>IF(E979=1,IF(Orders!R976&gt;7,1,0),"")</f>
        <v>0</v>
      </c>
      <c r="BE979" s="32" t="str">
        <f>IF(E979=1,IF(Orders!L976&lt;=1.5,"Up to 1.5 km",IF(Orders!L976&lt;=3,"1.5–3 km","Over 3 km")),"")</f>
        <v>1.5–3 km</v>
      </c>
      <c r="BF979" s="33">
        <f>IF(E979=1,IF(ABS((Orders!G976-Orders!F976)*1440-Orders!R976)&lt;0.06,1,0),"")</f>
        <v>1</v>
      </c>
      <c r="BG979" s="33">
        <f>IF(ABS((Orders!F976-Orders!E976)*1440-Orders!P976)&lt;0.06,1,0)</f>
        <v>1</v>
      </c>
      <c r="BH979" s="33">
        <f>IF(E979=1,IF(IF(Orders!S976,1,0)=1-G979,1,0),"")</f>
        <v>1</v>
      </c>
      <c r="BI979" s="32" t="str">
        <f>INDEX(Stores!$B$2:$B$21,MATCH(B979,Stores!$A$2:$A$21,0))</f>
        <v>Mumbai</v>
      </c>
    </row>
    <row r="980">
      <c r="A980" s="32" t="str">
        <f>Orders!A977</f>
        <v>O00976</v>
      </c>
      <c r="B980" s="32" t="str">
        <f>Orders!C977</f>
        <v>S017</v>
      </c>
      <c r="C980" s="32" t="str">
        <f>Orders!B977</f>
        <v>C0128</v>
      </c>
      <c r="D980" s="32" t="str">
        <f>Orders!H977</f>
        <v>Delivered</v>
      </c>
      <c r="E980" s="33">
        <f>IF(Orders!H977="Delivered",1,0)</f>
        <v>1</v>
      </c>
      <c r="F980" s="34">
        <f>IF(E980=1,Orders!R977,"")</f>
        <v>-1.2</v>
      </c>
      <c r="G980" s="33">
        <f>IF(E980=1,IF(Orders!R977&gt;0,1,0),"")</f>
        <v>0</v>
      </c>
      <c r="H980" s="33">
        <f>IF(E980=1,IF(Orders!R977&gt;5,1,0),"")</f>
        <v>0</v>
      </c>
      <c r="I980" s="32" t="str">
        <f>IF(E980=1,"",IF(OR(Orders!T977="Rider unavailable",Orders!T977="Item unavailable"),"Company-caused","Unresolved"))</f>
        <v/>
      </c>
      <c r="J980" s="33">
        <f>IF(OR(E980=1,I980="Company-caused"),1,0)</f>
        <v>1</v>
      </c>
      <c r="K980" s="32" t="str">
        <f>IF(E980=0,IF(I980="Company-caused",IF(Orders!T977="Rider unavailable","C1 Rider unavailable","C2 Item unavailable"),"Outside root: unresolved"),IF(G980=0,"A On time",IF(H980=1,IF(L980=1,"B2a Severe, peak","B2b Severe, off-peak"),IF(L980=1,"B1a Slight, peak","B1b Slight, off-peak"))))</f>
        <v>A On time</v>
      </c>
      <c r="L980" s="33">
        <f>IF(AND(Orders!U977&gt;=19,Orders!U977&lt;22),1,0)</f>
        <v>0</v>
      </c>
      <c r="M980" s="33">
        <f>IF(L980=IF(Orders!V977,1,0),1,0)</f>
        <v>1</v>
      </c>
      <c r="N980" s="32" t="str">
        <f>IF(Orders!W977="","None",Orders!W977)</f>
        <v>None</v>
      </c>
      <c r="O980" s="35">
        <f>INT(Orders!E977)</f>
        <v>46268.0</v>
      </c>
      <c r="P980" s="33">
        <f>Orders!U977</f>
        <v>17</v>
      </c>
      <c r="Q980" s="33">
        <f>COUNTIFS(Demand!$A$2:$A$4481,B980,Demand!$B$2:$B$4481,O980,Demand!$C$2:$C$4481,P980)</f>
        <v>1</v>
      </c>
      <c r="R980" s="33">
        <f>IF(Q980=1,SUMIFS(Demand!$E$2:$E$4481,Demand!$A$2:$A$4481,B980,Demand!$B$2:$B$4481,O980,Demand!$C$2:$C$4481,P980),"")</f>
        <v>41</v>
      </c>
      <c r="S980" s="33">
        <f>INDEX(Stores!$G$2:$G$21,MATCH(B980,Stores!$A$2:$A$21,0))</f>
        <v>36</v>
      </c>
      <c r="T980" s="34">
        <f>IF(R980="","",R980/S980)</f>
        <v>1.13888888888889</v>
      </c>
      <c r="U980" s="34">
        <f>IF(E980=1,T980,"")</f>
        <v>1.13888888888889</v>
      </c>
      <c r="V980" s="34">
        <f>IF(AND(E980=1,L980=0),T980,"")</f>
        <v>1.13888888888889</v>
      </c>
      <c r="W980" s="33">
        <f>IF(U980="","",IF(U980&lt;=Breakdowns!$C$5,1,IF(U980&lt;=Breakdowns!$C$6,2,IF(U980&lt;=Breakdowns!$C$7,3,4))))</f>
        <v>3</v>
      </c>
      <c r="X980" s="33">
        <f>IF(V980="","",IF(V980&lt;=Breakdowns!$D$5,1,IF(V980&lt;=Breakdowns!$D$6,2,IF(V980&lt;=Breakdowns!$D$7,3,4))))</f>
        <v>4</v>
      </c>
      <c r="Y980" s="34">
        <f>INDEX(Stores!$F$2:$F$21,MATCH(B980,Stores!$A$2:$A$21,0))</f>
        <v>2.16</v>
      </c>
      <c r="Z980" s="33">
        <f>IF(Y980&gt;Store_Summary!$M$2,1,0)</f>
        <v>0</v>
      </c>
      <c r="AA980" s="33">
        <f>INDEX(Stores!$C$2:$C$21,MATCH(B980,Stores!$A$2:$A$21,0))</f>
        <v>47</v>
      </c>
      <c r="AB980" s="33">
        <f>IF(AA980&lt;180,1,0)</f>
        <v>1</v>
      </c>
      <c r="AC980" s="32" t="str">
        <f>IF(Orders!D977="","",INDEX(Riders!$C$2:$C$81,MATCH(Orders!D977,Riders!$A$2:$A$81,0)))</f>
        <v>EV scooter</v>
      </c>
      <c r="AD980" s="33">
        <f>IF(Orders!D977="","",INDEX(Riders!$D$2:$D$81,MATCH(Orders!D977,Riders!$A$2:$A$81,0)))</f>
        <v>22</v>
      </c>
      <c r="AE980" s="33">
        <f>IF(Orders!D977="","",IF(INDEX(Riders!$B$2:$B$81,MATCH(Orders!D977,Riders!$A$2:$A$81,0))=B980,1,0))</f>
        <v>0</v>
      </c>
      <c r="AF980" s="34">
        <f>IF(E980=1,Orders!L977,"")</f>
        <v>2.66</v>
      </c>
      <c r="AG980" s="34">
        <f>IF(E980=1,Orders!P977,"")</f>
        <v>12.3</v>
      </c>
      <c r="AH980" s="34">
        <f>IF(E980=1,Orders!Q977,"")</f>
        <v>11.1</v>
      </c>
      <c r="AI980" s="34">
        <f>IF(E980=1,Orders!M977,"")</f>
        <v>2.4</v>
      </c>
      <c r="AJ980" s="34">
        <f>IF(E980=1,Orders!N977,"")</f>
        <v>0.9</v>
      </c>
      <c r="AK980" s="34">
        <f>IF(E980=1,Orders!O977,"")</f>
        <v>7.8</v>
      </c>
      <c r="AL980" s="33">
        <f>IF(E980=1,IF(ROUND(ABS(AI980+AJ980+AK980-AH980),6)&lt;=0.1,1,0),"")</f>
        <v>1</v>
      </c>
      <c r="AM980" s="36">
        <f>IF(E980=1,AI980/AH980,"")</f>
        <v>0.216216216216216</v>
      </c>
      <c r="AN980" s="36">
        <f>IF(E980=1,AJ980/AH980,"")</f>
        <v>0.0810810810810811</v>
      </c>
      <c r="AO980" s="36">
        <f>IF(E980=1,AK980/AH980,"")</f>
        <v>0.702702702702703</v>
      </c>
      <c r="AP980" s="34">
        <f>IF(E980=1,Orders!Y977,"")</f>
        <v>0.78</v>
      </c>
      <c r="AQ980" s="33">
        <f>IF(Orders!X977,1,0)</f>
        <v>0</v>
      </c>
      <c r="AR980" s="34" t="str">
        <f>IF(AND(E980=1,L980=1),AJ980,"")</f>
        <v/>
      </c>
      <c r="AS980" s="34">
        <f>IF(AND(E980=1,L980=0),AJ980,"")</f>
        <v>0.9</v>
      </c>
      <c r="AT980" s="34" t="str">
        <f>IF(AND(E980=1,L980=1),AI980,"")</f>
        <v/>
      </c>
      <c r="AU980" s="34">
        <f>IF(AND(E980=1,L980=0),AI980,"")</f>
        <v>2.4</v>
      </c>
      <c r="AV980" s="34" t="str">
        <f>IF(AND(E980=1,L980=1),AG980,"")</f>
        <v/>
      </c>
      <c r="AW980" s="34">
        <f>IF(AND(E980=1,L980=0),AG980,"")</f>
        <v>12.3</v>
      </c>
      <c r="AX980" s="34" t="str">
        <f>IF(AND(E980=1,L980=1),AH980,"")</f>
        <v/>
      </c>
      <c r="AY980" s="34">
        <f>IF(AND(E980=1,L980=0),AH980,"")</f>
        <v>11.1</v>
      </c>
      <c r="AZ980" s="34" t="str">
        <f>IF(G980=1,F980,"")</f>
        <v/>
      </c>
      <c r="BA980" s="34" t="str">
        <f>IF(AND(G980=1,L980=1),F980,"")</f>
        <v/>
      </c>
      <c r="BB980" s="34" t="str">
        <f>IF(AND(G980=1,L980=0),F980,"")</f>
        <v/>
      </c>
      <c r="BC980" s="33">
        <f>IF(E980=1,IF(Orders!R977&gt;3,1,0),"")</f>
        <v>0</v>
      </c>
      <c r="BD980" s="33">
        <f>IF(E980=1,IF(Orders!R977&gt;7,1,0),"")</f>
        <v>0</v>
      </c>
      <c r="BE980" s="32" t="str">
        <f>IF(E980=1,IF(Orders!L977&lt;=1.5,"Up to 1.5 km",IF(Orders!L977&lt;=3,"1.5–3 km","Over 3 km")),"")</f>
        <v>1.5–3 km</v>
      </c>
      <c r="BF980" s="33">
        <f>IF(E980=1,IF(ABS((Orders!G977-Orders!F977)*1440-Orders!R977)&lt;0.06,1,0),"")</f>
        <v>1</v>
      </c>
      <c r="BG980" s="33">
        <f>IF(ABS((Orders!F977-Orders!E977)*1440-Orders!P977)&lt;0.06,1,0)</f>
        <v>1</v>
      </c>
      <c r="BH980" s="33">
        <f>IF(E980=1,IF(IF(Orders!S977,1,0)=1-G980,1,0),"")</f>
        <v>1</v>
      </c>
      <c r="BI980" s="32" t="str">
        <f>INDEX(Stores!$B$2:$B$21,MATCH(B980,Stores!$A$2:$A$21,0))</f>
        <v>Hyderabad</v>
      </c>
    </row>
    <row r="981">
      <c r="A981" s="32" t="str">
        <f>Orders!A978</f>
        <v>O00977</v>
      </c>
      <c r="B981" s="32" t="str">
        <f>Orders!C978</f>
        <v>S010</v>
      </c>
      <c r="C981" s="32" t="str">
        <f>Orders!B978</f>
        <v>C0084</v>
      </c>
      <c r="D981" s="32" t="str">
        <f>Orders!H978</f>
        <v>Delivered</v>
      </c>
      <c r="E981" s="33">
        <f>IF(Orders!H978="Delivered",1,0)</f>
        <v>1</v>
      </c>
      <c r="F981" s="34">
        <f>IF(E981=1,Orders!R978,"")</f>
        <v>-1.2</v>
      </c>
      <c r="G981" s="33">
        <f>IF(E981=1,IF(Orders!R978&gt;0,1,0),"")</f>
        <v>0</v>
      </c>
      <c r="H981" s="33">
        <f>IF(E981=1,IF(Orders!R978&gt;5,1,0),"")</f>
        <v>0</v>
      </c>
      <c r="I981" s="32" t="str">
        <f>IF(E981=1,"",IF(OR(Orders!T978="Rider unavailable",Orders!T978="Item unavailable"),"Company-caused","Unresolved"))</f>
        <v/>
      </c>
      <c r="J981" s="33">
        <f>IF(OR(E981=1,I981="Company-caused"),1,0)</f>
        <v>1</v>
      </c>
      <c r="K981" s="32" t="str">
        <f>IF(E981=0,IF(I981="Company-caused",IF(Orders!T978="Rider unavailable","C1 Rider unavailable","C2 Item unavailable"),"Outside root: unresolved"),IF(G981=0,"A On time",IF(H981=1,IF(L981=1,"B2a Severe, peak","B2b Severe, off-peak"),IF(L981=1,"B1a Slight, peak","B1b Slight, off-peak"))))</f>
        <v>A On time</v>
      </c>
      <c r="L981" s="33">
        <f>IF(AND(Orders!U978&gt;=19,Orders!U978&lt;22),1,0)</f>
        <v>0</v>
      </c>
      <c r="M981" s="33">
        <f>IF(L981=IF(Orders!V978,1,0),1,0)</f>
        <v>1</v>
      </c>
      <c r="N981" s="32" t="str">
        <f>IF(Orders!W978="","None",Orders!W978)</f>
        <v>None</v>
      </c>
      <c r="O981" s="35">
        <f>INT(Orders!E978)</f>
        <v>46279.0</v>
      </c>
      <c r="P981" s="33">
        <f>Orders!U978</f>
        <v>8</v>
      </c>
      <c r="Q981" s="33">
        <f>COUNTIFS(Demand!$A$2:$A$4481,B981,Demand!$B$2:$B$4481,O981,Demand!$C$2:$C$4481,P981)</f>
        <v>1</v>
      </c>
      <c r="R981" s="33">
        <f>IF(Q981=1,SUMIFS(Demand!$E$2:$E$4481,Demand!$A$2:$A$4481,B981,Demand!$B$2:$B$4481,O981,Demand!$C$2:$C$4481,P981),"")</f>
        <v>15</v>
      </c>
      <c r="S981" s="33">
        <f>INDEX(Stores!$G$2:$G$21,MATCH(B981,Stores!$A$2:$A$21,0))</f>
        <v>22</v>
      </c>
      <c r="T981" s="34">
        <f>IF(R981="","",R981/S981)</f>
        <v>0.681818181818182</v>
      </c>
      <c r="U981" s="34">
        <f>IF(E981=1,T981,"")</f>
        <v>0.681818181818182</v>
      </c>
      <c r="V981" s="34">
        <f>IF(AND(E981=1,L981=0),T981,"")</f>
        <v>0.681818181818182</v>
      </c>
      <c r="W981" s="33">
        <f>IF(U981="","",IF(U981&lt;=Breakdowns!$C$5,1,IF(U981&lt;=Breakdowns!$C$6,2,IF(U981&lt;=Breakdowns!$C$7,3,4))))</f>
        <v>1</v>
      </c>
      <c r="X981" s="33">
        <f>IF(V981="","",IF(V981&lt;=Breakdowns!$D$5,1,IF(V981&lt;=Breakdowns!$D$6,2,IF(V981&lt;=Breakdowns!$D$7,3,4))))</f>
        <v>1</v>
      </c>
      <c r="Y981" s="34">
        <f>INDEX(Stores!$F$2:$F$21,MATCH(B981,Stores!$A$2:$A$21,0))</f>
        <v>5.61</v>
      </c>
      <c r="Z981" s="33">
        <f>IF(Y981&gt;Store_Summary!$M$2,1,0)</f>
        <v>1</v>
      </c>
      <c r="AA981" s="33">
        <f>INDEX(Stores!$C$2:$C$21,MATCH(B981,Stores!$A$2:$A$21,0))</f>
        <v>744</v>
      </c>
      <c r="AB981" s="33">
        <f>IF(AA981&lt;180,1,0)</f>
        <v>0</v>
      </c>
      <c r="AC981" s="32" t="str">
        <f>IF(Orders!D978="","",INDEX(Riders!$C$2:$C$81,MATCH(Orders!D978,Riders!$A$2:$A$81,0)))</f>
        <v>Bicycle</v>
      </c>
      <c r="AD981" s="33">
        <f>IF(Orders!D978="","",INDEX(Riders!$D$2:$D$81,MATCH(Orders!D978,Riders!$A$2:$A$81,0)))</f>
        <v>2</v>
      </c>
      <c r="AE981" s="33">
        <f>IF(Orders!D978="","",IF(INDEX(Riders!$B$2:$B$81,MATCH(Orders!D978,Riders!$A$2:$A$81,0))=B981,1,0))</f>
        <v>0</v>
      </c>
      <c r="AF981" s="34">
        <f>IF(E981=1,Orders!L978,"")</f>
        <v>0.86</v>
      </c>
      <c r="AG981" s="34">
        <f>IF(E981=1,Orders!P978,"")</f>
        <v>11.7</v>
      </c>
      <c r="AH981" s="34">
        <f>IF(E981=1,Orders!Q978,"")</f>
        <v>10.5</v>
      </c>
      <c r="AI981" s="34">
        <f>IF(E981=1,Orders!M978,"")</f>
        <v>3.6</v>
      </c>
      <c r="AJ981" s="34">
        <f>IF(E981=1,Orders!N978,"")</f>
        <v>4.7</v>
      </c>
      <c r="AK981" s="34">
        <f>IF(E981=1,Orders!O978,"")</f>
        <v>2.2</v>
      </c>
      <c r="AL981" s="33">
        <f>IF(E981=1,IF(ROUND(ABS(AI981+AJ981+AK981-AH981),6)&lt;=0.1,1,0),"")</f>
        <v>1</v>
      </c>
      <c r="AM981" s="36">
        <f>IF(E981=1,AI981/AH981,"")</f>
        <v>0.342857142857143</v>
      </c>
      <c r="AN981" s="36">
        <f>IF(E981=1,AJ981/AH981,"")</f>
        <v>0.447619047619048</v>
      </c>
      <c r="AO981" s="36">
        <f>IF(E981=1,AK981/AH981,"")</f>
        <v>0.20952380952381</v>
      </c>
      <c r="AP981" s="34">
        <f>IF(E981=1,Orders!Y978,"")</f>
        <v>0.43</v>
      </c>
      <c r="AQ981" s="33">
        <f>IF(Orders!X978,1,0)</f>
        <v>0</v>
      </c>
      <c r="AR981" s="34" t="str">
        <f>IF(AND(E981=1,L981=1),AJ981,"")</f>
        <v/>
      </c>
      <c r="AS981" s="34">
        <f>IF(AND(E981=1,L981=0),AJ981,"")</f>
        <v>4.7</v>
      </c>
      <c r="AT981" s="34" t="str">
        <f>IF(AND(E981=1,L981=1),AI981,"")</f>
        <v/>
      </c>
      <c r="AU981" s="34">
        <f>IF(AND(E981=1,L981=0),AI981,"")</f>
        <v>3.6</v>
      </c>
      <c r="AV981" s="34" t="str">
        <f>IF(AND(E981=1,L981=1),AG981,"")</f>
        <v/>
      </c>
      <c r="AW981" s="34">
        <f>IF(AND(E981=1,L981=0),AG981,"")</f>
        <v>11.7</v>
      </c>
      <c r="AX981" s="34" t="str">
        <f>IF(AND(E981=1,L981=1),AH981,"")</f>
        <v/>
      </c>
      <c r="AY981" s="34">
        <f>IF(AND(E981=1,L981=0),AH981,"")</f>
        <v>10.5</v>
      </c>
      <c r="AZ981" s="34" t="str">
        <f>IF(G981=1,F981,"")</f>
        <v/>
      </c>
      <c r="BA981" s="34" t="str">
        <f>IF(AND(G981=1,L981=1),F981,"")</f>
        <v/>
      </c>
      <c r="BB981" s="34" t="str">
        <f>IF(AND(G981=1,L981=0),F981,"")</f>
        <v/>
      </c>
      <c r="BC981" s="33">
        <f>IF(E981=1,IF(Orders!R978&gt;3,1,0),"")</f>
        <v>0</v>
      </c>
      <c r="BD981" s="33">
        <f>IF(E981=1,IF(Orders!R978&gt;7,1,0),"")</f>
        <v>0</v>
      </c>
      <c r="BE981" s="32" t="str">
        <f>IF(E981=1,IF(Orders!L978&lt;=1.5,"Up to 1.5 km",IF(Orders!L978&lt;=3,"1.5–3 km","Over 3 km")),"")</f>
        <v>Up to 1.5 km</v>
      </c>
      <c r="BF981" s="33">
        <f>IF(E981=1,IF(ABS((Orders!G978-Orders!F978)*1440-Orders!R978)&lt;0.06,1,0),"")</f>
        <v>1</v>
      </c>
      <c r="BG981" s="33">
        <f>IF(ABS((Orders!F978-Orders!E978)*1440-Orders!P978)&lt;0.06,1,0)</f>
        <v>1</v>
      </c>
      <c r="BH981" s="33">
        <f>IF(E981=1,IF(IF(Orders!S978,1,0)=1-G981,1,0),"")</f>
        <v>1</v>
      </c>
      <c r="BI981" s="32" t="str">
        <f>INDEX(Stores!$B$2:$B$21,MATCH(B981,Stores!$A$2:$A$21,0))</f>
        <v>Delhi</v>
      </c>
    </row>
    <row r="982">
      <c r="A982" s="32" t="str">
        <f>Orders!A979</f>
        <v>O00978</v>
      </c>
      <c r="B982" s="32" t="str">
        <f>Orders!C979</f>
        <v>S012</v>
      </c>
      <c r="C982" s="32" t="str">
        <f>Orders!B979</f>
        <v>C0021</v>
      </c>
      <c r="D982" s="32" t="str">
        <f>Orders!H979</f>
        <v>Delivered</v>
      </c>
      <c r="E982" s="33">
        <f>IF(Orders!H979="Delivered",1,0)</f>
        <v>1</v>
      </c>
      <c r="F982" s="34">
        <f>IF(E982=1,Orders!R979,"")</f>
        <v>7.7</v>
      </c>
      <c r="G982" s="33">
        <f>IF(E982=1,IF(Orders!R979&gt;0,1,0),"")</f>
        <v>1</v>
      </c>
      <c r="H982" s="33">
        <f>IF(E982=1,IF(Orders!R979&gt;5,1,0),"")</f>
        <v>1</v>
      </c>
      <c r="I982" s="32" t="str">
        <f>IF(E982=1,"",IF(OR(Orders!T979="Rider unavailable",Orders!T979="Item unavailable"),"Company-caused","Unresolved"))</f>
        <v/>
      </c>
      <c r="J982" s="33">
        <f>IF(OR(E982=1,I982="Company-caused"),1,0)</f>
        <v>1</v>
      </c>
      <c r="K982" s="32" t="str">
        <f>IF(E982=0,IF(I982="Company-caused",IF(Orders!T979="Rider unavailable","C1 Rider unavailable","C2 Item unavailable"),"Outside root: unresolved"),IF(G982=0,"A On time",IF(H982=1,IF(L982=1,"B2a Severe, peak","B2b Severe, off-peak"),IF(L982=1,"B1a Slight, peak","B1b Slight, off-peak"))))</f>
        <v>B2b Severe, off-peak</v>
      </c>
      <c r="L982" s="33">
        <f>IF(AND(Orders!U979&gt;=19,Orders!U979&lt;22),1,0)</f>
        <v>0</v>
      </c>
      <c r="M982" s="33">
        <f>IF(L982=IF(Orders!V979,1,0),1,0)</f>
        <v>1</v>
      </c>
      <c r="N982" s="32" t="str">
        <f>IF(Orders!W979="","None",Orders!W979)</f>
        <v>None</v>
      </c>
      <c r="O982" s="35">
        <f>INT(Orders!E979)</f>
        <v>46279.0</v>
      </c>
      <c r="P982" s="33">
        <f>Orders!U979</f>
        <v>15</v>
      </c>
      <c r="Q982" s="33">
        <f>COUNTIFS(Demand!$A$2:$A$4481,B982,Demand!$B$2:$B$4481,O982,Demand!$C$2:$C$4481,P982)</f>
        <v>1</v>
      </c>
      <c r="R982" s="33">
        <f>IF(Q982=1,SUMIFS(Demand!$E$2:$E$4481,Demand!$A$2:$A$4481,B982,Demand!$B$2:$B$4481,O982,Demand!$C$2:$C$4481,P982),"")</f>
        <v>16</v>
      </c>
      <c r="S982" s="33">
        <f>INDEX(Stores!$G$2:$G$21,MATCH(B982,Stores!$A$2:$A$21,0))</f>
        <v>15</v>
      </c>
      <c r="T982" s="34">
        <f>IF(R982="","",R982/S982)</f>
        <v>1.06666666666667</v>
      </c>
      <c r="U982" s="34">
        <f>IF(E982=1,T982,"")</f>
        <v>1.06666666666667</v>
      </c>
      <c r="V982" s="34">
        <f>IF(AND(E982=1,L982=0),T982,"")</f>
        <v>1.06666666666667</v>
      </c>
      <c r="W982" s="33">
        <f>IF(U982="","",IF(U982&lt;=Breakdowns!$C$5,1,IF(U982&lt;=Breakdowns!$C$6,2,IF(U982&lt;=Breakdowns!$C$7,3,4))))</f>
        <v>3</v>
      </c>
      <c r="X982" s="33">
        <f>IF(V982="","",IF(V982&lt;=Breakdowns!$D$5,1,IF(V982&lt;=Breakdowns!$D$6,2,IF(V982&lt;=Breakdowns!$D$7,3,4))))</f>
        <v>3</v>
      </c>
      <c r="Y982" s="34">
        <f>INDEX(Stores!$F$2:$F$21,MATCH(B982,Stores!$A$2:$A$21,0))</f>
        <v>5.23</v>
      </c>
      <c r="Z982" s="33">
        <f>IF(Y982&gt;Store_Summary!$M$2,1,0)</f>
        <v>1</v>
      </c>
      <c r="AA982" s="33">
        <f>INDEX(Stores!$C$2:$C$21,MATCH(B982,Stores!$A$2:$A$21,0))</f>
        <v>300</v>
      </c>
      <c r="AB982" s="33">
        <f>IF(AA982&lt;180,1,0)</f>
        <v>0</v>
      </c>
      <c r="AC982" s="32" t="str">
        <f>IF(Orders!D979="","",INDEX(Riders!$C$2:$C$81,MATCH(Orders!D979,Riders!$A$2:$A$81,0)))</f>
        <v>EV scooter</v>
      </c>
      <c r="AD982" s="33">
        <f>IF(Orders!D979="","",INDEX(Riders!$D$2:$D$81,MATCH(Orders!D979,Riders!$A$2:$A$81,0)))</f>
        <v>2</v>
      </c>
      <c r="AE982" s="33">
        <f>IF(Orders!D979="","",IF(INDEX(Riders!$B$2:$B$81,MATCH(Orders!D979,Riders!$A$2:$A$81,0))=B982,1,0))</f>
        <v>0</v>
      </c>
      <c r="AF982" s="34">
        <f>IF(E982=1,Orders!L979,"")</f>
        <v>4.46</v>
      </c>
      <c r="AG982" s="34">
        <f>IF(E982=1,Orders!P979,"")</f>
        <v>11.5</v>
      </c>
      <c r="AH982" s="34">
        <f>IF(E982=1,Orders!Q979,"")</f>
        <v>19.2</v>
      </c>
      <c r="AI982" s="34">
        <f>IF(E982=1,Orders!M979,"")</f>
        <v>5.8</v>
      </c>
      <c r="AJ982" s="34">
        <f>IF(E982=1,Orders!N979,"")</f>
        <v>1.7</v>
      </c>
      <c r="AK982" s="34">
        <f>IF(E982=1,Orders!O979,"")</f>
        <v>11.7</v>
      </c>
      <c r="AL982" s="33">
        <f>IF(E982=1,IF(ROUND(ABS(AI982+AJ982+AK982-AH982),6)&lt;=0.1,1,0),"")</f>
        <v>1</v>
      </c>
      <c r="AM982" s="36">
        <f>IF(E982=1,AI982/AH982,"")</f>
        <v>0.302083333333333</v>
      </c>
      <c r="AN982" s="36">
        <f>IF(E982=1,AJ982/AH982,"")</f>
        <v>0.0885416666666667</v>
      </c>
      <c r="AO982" s="36">
        <f>IF(E982=1,AK982/AH982,"")</f>
        <v>0.609375</v>
      </c>
      <c r="AP982" s="34">
        <f>IF(E982=1,Orders!Y979,"")</f>
        <v>0.27</v>
      </c>
      <c r="AQ982" s="33">
        <f>IF(Orders!X979,1,0)</f>
        <v>0</v>
      </c>
      <c r="AR982" s="34" t="str">
        <f>IF(AND(E982=1,L982=1),AJ982,"")</f>
        <v/>
      </c>
      <c r="AS982" s="34">
        <f>IF(AND(E982=1,L982=0),AJ982,"")</f>
        <v>1.7</v>
      </c>
      <c r="AT982" s="34" t="str">
        <f>IF(AND(E982=1,L982=1),AI982,"")</f>
        <v/>
      </c>
      <c r="AU982" s="34">
        <f>IF(AND(E982=1,L982=0),AI982,"")</f>
        <v>5.8</v>
      </c>
      <c r="AV982" s="34" t="str">
        <f>IF(AND(E982=1,L982=1),AG982,"")</f>
        <v/>
      </c>
      <c r="AW982" s="34">
        <f>IF(AND(E982=1,L982=0),AG982,"")</f>
        <v>11.5</v>
      </c>
      <c r="AX982" s="34" t="str">
        <f>IF(AND(E982=1,L982=1),AH982,"")</f>
        <v/>
      </c>
      <c r="AY982" s="34">
        <f>IF(AND(E982=1,L982=0),AH982,"")</f>
        <v>19.2</v>
      </c>
      <c r="AZ982" s="34">
        <f>IF(G982=1,F982,"")</f>
        <v>7.7</v>
      </c>
      <c r="BA982" s="34" t="str">
        <f>IF(AND(G982=1,L982=1),F982,"")</f>
        <v/>
      </c>
      <c r="BB982" s="34">
        <f>IF(AND(G982=1,L982=0),F982,"")</f>
        <v>7.7</v>
      </c>
      <c r="BC982" s="33">
        <f>IF(E982=1,IF(Orders!R979&gt;3,1,0),"")</f>
        <v>1</v>
      </c>
      <c r="BD982" s="33">
        <f>IF(E982=1,IF(Orders!R979&gt;7,1,0),"")</f>
        <v>1</v>
      </c>
      <c r="BE982" s="32" t="str">
        <f>IF(E982=1,IF(Orders!L979&lt;=1.5,"Up to 1.5 km",IF(Orders!L979&lt;=3,"1.5–3 km","Over 3 km")),"")</f>
        <v>Over 3 km</v>
      </c>
      <c r="BF982" s="33">
        <f>IF(E982=1,IF(ABS((Orders!G979-Orders!F979)*1440-Orders!R979)&lt;0.06,1,0),"")</f>
        <v>1</v>
      </c>
      <c r="BG982" s="33">
        <f>IF(ABS((Orders!F979-Orders!E979)*1440-Orders!P979)&lt;0.06,1,0)</f>
        <v>1</v>
      </c>
      <c r="BH982" s="33">
        <f>IF(E982=1,IF(IF(Orders!S979,1,0)=1-G982,1,0),"")</f>
        <v>1</v>
      </c>
      <c r="BI982" s="32" t="str">
        <f>INDEX(Stores!$B$2:$B$21,MATCH(B982,Stores!$A$2:$A$21,0))</f>
        <v>Hyderabad</v>
      </c>
    </row>
    <row r="983">
      <c r="A983" s="32" t="str">
        <f>Orders!A980</f>
        <v>O00979</v>
      </c>
      <c r="B983" s="32" t="str">
        <f>Orders!C980</f>
        <v>S006</v>
      </c>
      <c r="C983" s="32" t="str">
        <f>Orders!B980</f>
        <v>C0160</v>
      </c>
      <c r="D983" s="32" t="str">
        <f>Orders!H980</f>
        <v>Delivered</v>
      </c>
      <c r="E983" s="33">
        <f>IF(Orders!H980="Delivered",1,0)</f>
        <v>1</v>
      </c>
      <c r="F983" s="34">
        <f>IF(E983=1,Orders!R980,"")</f>
        <v>-1</v>
      </c>
      <c r="G983" s="33">
        <f>IF(E983=1,IF(Orders!R980&gt;0,1,0),"")</f>
        <v>0</v>
      </c>
      <c r="H983" s="33">
        <f>IF(E983=1,IF(Orders!R980&gt;5,1,0),"")</f>
        <v>0</v>
      </c>
      <c r="I983" s="32" t="str">
        <f>IF(E983=1,"",IF(OR(Orders!T980="Rider unavailable",Orders!T980="Item unavailable"),"Company-caused","Unresolved"))</f>
        <v/>
      </c>
      <c r="J983" s="33">
        <f>IF(OR(E983=1,I983="Company-caused"),1,0)</f>
        <v>1</v>
      </c>
      <c r="K983" s="32" t="str">
        <f>IF(E983=0,IF(I983="Company-caused",IF(Orders!T980="Rider unavailable","C1 Rider unavailable","C2 Item unavailable"),"Outside root: unresolved"),IF(G983=0,"A On time",IF(H983=1,IF(L983=1,"B2a Severe, peak","B2b Severe, off-peak"),IF(L983=1,"B1a Slight, peak","B1b Slight, off-peak"))))</f>
        <v>A On time</v>
      </c>
      <c r="L983" s="33">
        <f>IF(AND(Orders!U980&gt;=19,Orders!U980&lt;22),1,0)</f>
        <v>0</v>
      </c>
      <c r="M983" s="33">
        <f>IF(L983=IF(Orders!V980,1,0),1,0)</f>
        <v>1</v>
      </c>
      <c r="N983" s="32" t="str">
        <f>IF(Orders!W980="","None",Orders!W980)</f>
        <v>Light</v>
      </c>
      <c r="O983" s="35">
        <f>INT(Orders!E980)</f>
        <v>46278.0</v>
      </c>
      <c r="P983" s="33">
        <f>Orders!U980</f>
        <v>11</v>
      </c>
      <c r="Q983" s="33">
        <f>COUNTIFS(Demand!$A$2:$A$4481,B983,Demand!$B$2:$B$4481,O983,Demand!$C$2:$C$4481,P983)</f>
        <v>1</v>
      </c>
      <c r="R983" s="33">
        <f>IF(Q983=1,SUMIFS(Demand!$E$2:$E$4481,Demand!$A$2:$A$4481,B983,Demand!$B$2:$B$4481,O983,Demand!$C$2:$C$4481,P983),"")</f>
        <v>24</v>
      </c>
      <c r="S983" s="33">
        <f>INDEX(Stores!$G$2:$G$21,MATCH(B983,Stores!$A$2:$A$21,0))</f>
        <v>26</v>
      </c>
      <c r="T983" s="34">
        <f>IF(R983="","",R983/S983)</f>
        <v>0.923076923076923</v>
      </c>
      <c r="U983" s="34">
        <f>IF(E983=1,T983,"")</f>
        <v>0.923076923076923</v>
      </c>
      <c r="V983" s="34">
        <f>IF(AND(E983=1,L983=0),T983,"")</f>
        <v>0.923076923076923</v>
      </c>
      <c r="W983" s="33">
        <f>IF(U983="","",IF(U983&lt;=Breakdowns!$C$5,1,IF(U983&lt;=Breakdowns!$C$6,2,IF(U983&lt;=Breakdowns!$C$7,3,4))))</f>
        <v>2</v>
      </c>
      <c r="X983" s="33">
        <f>IF(V983="","",IF(V983&lt;=Breakdowns!$D$5,1,IF(V983&lt;=Breakdowns!$D$6,2,IF(V983&lt;=Breakdowns!$D$7,3,4))))</f>
        <v>3</v>
      </c>
      <c r="Y983" s="34">
        <f>INDEX(Stores!$F$2:$F$21,MATCH(B983,Stores!$A$2:$A$21,0))</f>
        <v>5.22</v>
      </c>
      <c r="Z983" s="33">
        <f>IF(Y983&gt;Store_Summary!$M$2,1,0)</f>
        <v>1</v>
      </c>
      <c r="AA983" s="33">
        <f>INDEX(Stores!$C$2:$C$21,MATCH(B983,Stores!$A$2:$A$21,0))</f>
        <v>412</v>
      </c>
      <c r="AB983" s="33">
        <f>IF(AA983&lt;180,1,0)</f>
        <v>0</v>
      </c>
      <c r="AC983" s="32" t="str">
        <f>IF(Orders!D980="","",INDEX(Riders!$C$2:$C$81,MATCH(Orders!D980,Riders!$A$2:$A$81,0)))</f>
        <v>EV scooter</v>
      </c>
      <c r="AD983" s="33">
        <f>IF(Orders!D980="","",INDEX(Riders!$D$2:$D$81,MATCH(Orders!D980,Riders!$A$2:$A$81,0)))</f>
        <v>36</v>
      </c>
      <c r="AE983" s="33">
        <f>IF(Orders!D980="","",IF(INDEX(Riders!$B$2:$B$81,MATCH(Orders!D980,Riders!$A$2:$A$81,0))=B983,1,0))</f>
        <v>0</v>
      </c>
      <c r="AF983" s="34">
        <f>IF(E983=1,Orders!L980,"")</f>
        <v>2.94</v>
      </c>
      <c r="AG983" s="34">
        <f>IF(E983=1,Orders!P980,"")</f>
        <v>11.9</v>
      </c>
      <c r="AH983" s="34">
        <f>IF(E983=1,Orders!Q980,"")</f>
        <v>10.9</v>
      </c>
      <c r="AI983" s="34">
        <f>IF(E983=1,Orders!M980,"")</f>
        <v>3.2</v>
      </c>
      <c r="AJ983" s="34">
        <f>IF(E983=1,Orders!N980,"")</f>
        <v>2.5</v>
      </c>
      <c r="AK983" s="34">
        <f>IF(E983=1,Orders!O980,"")</f>
        <v>5.2</v>
      </c>
      <c r="AL983" s="33">
        <f>IF(E983=1,IF(ROUND(ABS(AI983+AJ983+AK983-AH983),6)&lt;=0.1,1,0),"")</f>
        <v>1</v>
      </c>
      <c r="AM983" s="36">
        <f>IF(E983=1,AI983/AH983,"")</f>
        <v>0.293577981651376</v>
      </c>
      <c r="AN983" s="36">
        <f>IF(E983=1,AJ983/AH983,"")</f>
        <v>0.229357798165138</v>
      </c>
      <c r="AO983" s="36">
        <f>IF(E983=1,AK983/AH983,"")</f>
        <v>0.477064220183486</v>
      </c>
      <c r="AP983" s="34">
        <f>IF(E983=1,Orders!Y980,"")</f>
        <v>0.37</v>
      </c>
      <c r="AQ983" s="33">
        <f>IF(Orders!X980,1,0)</f>
        <v>1</v>
      </c>
      <c r="AR983" s="34" t="str">
        <f>IF(AND(E983=1,L983=1),AJ983,"")</f>
        <v/>
      </c>
      <c r="AS983" s="34">
        <f>IF(AND(E983=1,L983=0),AJ983,"")</f>
        <v>2.5</v>
      </c>
      <c r="AT983" s="34" t="str">
        <f>IF(AND(E983=1,L983=1),AI983,"")</f>
        <v/>
      </c>
      <c r="AU983" s="34">
        <f>IF(AND(E983=1,L983=0),AI983,"")</f>
        <v>3.2</v>
      </c>
      <c r="AV983" s="34" t="str">
        <f>IF(AND(E983=1,L983=1),AG983,"")</f>
        <v/>
      </c>
      <c r="AW983" s="34">
        <f>IF(AND(E983=1,L983=0),AG983,"")</f>
        <v>11.9</v>
      </c>
      <c r="AX983" s="34" t="str">
        <f>IF(AND(E983=1,L983=1),AH983,"")</f>
        <v/>
      </c>
      <c r="AY983" s="34">
        <f>IF(AND(E983=1,L983=0),AH983,"")</f>
        <v>10.9</v>
      </c>
      <c r="AZ983" s="34" t="str">
        <f>IF(G983=1,F983,"")</f>
        <v/>
      </c>
      <c r="BA983" s="34" t="str">
        <f>IF(AND(G983=1,L983=1),F983,"")</f>
        <v/>
      </c>
      <c r="BB983" s="34" t="str">
        <f>IF(AND(G983=1,L983=0),F983,"")</f>
        <v/>
      </c>
      <c r="BC983" s="33">
        <f>IF(E983=1,IF(Orders!R980&gt;3,1,0),"")</f>
        <v>0</v>
      </c>
      <c r="BD983" s="33">
        <f>IF(E983=1,IF(Orders!R980&gt;7,1,0),"")</f>
        <v>0</v>
      </c>
      <c r="BE983" s="32" t="str">
        <f>IF(E983=1,IF(Orders!L980&lt;=1.5,"Up to 1.5 km",IF(Orders!L980&lt;=3,"1.5–3 km","Over 3 km")),"")</f>
        <v>1.5–3 km</v>
      </c>
      <c r="BF983" s="33">
        <f>IF(E983=1,IF(ABS((Orders!G980-Orders!F980)*1440-Orders!R980)&lt;0.06,1,0),"")</f>
        <v>1</v>
      </c>
      <c r="BG983" s="33">
        <f>IF(ABS((Orders!F980-Orders!E980)*1440-Orders!P980)&lt;0.06,1,0)</f>
        <v>1</v>
      </c>
      <c r="BH983" s="33">
        <f>IF(E983=1,IF(IF(Orders!S980,1,0)=1-G983,1,0),"")</f>
        <v>1</v>
      </c>
      <c r="BI983" s="32" t="str">
        <f>INDEX(Stores!$B$2:$B$21,MATCH(B983,Stores!$A$2:$A$21,0))</f>
        <v>Bengaluru</v>
      </c>
    </row>
    <row r="984">
      <c r="A984" s="32" t="str">
        <f>Orders!A981</f>
        <v>O00980</v>
      </c>
      <c r="B984" s="32" t="str">
        <f>Orders!C981</f>
        <v>S009</v>
      </c>
      <c r="C984" s="32" t="str">
        <f>Orders!B981</f>
        <v>C0079</v>
      </c>
      <c r="D984" s="32" t="str">
        <f>Orders!H981</f>
        <v>Delivered</v>
      </c>
      <c r="E984" s="33">
        <f>IF(Orders!H981="Delivered",1,0)</f>
        <v>1</v>
      </c>
      <c r="F984" s="34">
        <f>IF(E984=1,Orders!R981,"")</f>
        <v>-0.2</v>
      </c>
      <c r="G984" s="33">
        <f>IF(E984=1,IF(Orders!R981&gt;0,1,0),"")</f>
        <v>0</v>
      </c>
      <c r="H984" s="33">
        <f>IF(E984=1,IF(Orders!R981&gt;5,1,0),"")</f>
        <v>0</v>
      </c>
      <c r="I984" s="32" t="str">
        <f>IF(E984=1,"",IF(OR(Orders!T981="Rider unavailable",Orders!T981="Item unavailable"),"Company-caused","Unresolved"))</f>
        <v/>
      </c>
      <c r="J984" s="33">
        <f>IF(OR(E984=1,I984="Company-caused"),1,0)</f>
        <v>1</v>
      </c>
      <c r="K984" s="32" t="str">
        <f>IF(E984=0,IF(I984="Company-caused",IF(Orders!T981="Rider unavailable","C1 Rider unavailable","C2 Item unavailable"),"Outside root: unresolved"),IF(G984=0,"A On time",IF(H984=1,IF(L984=1,"B2a Severe, peak","B2b Severe, off-peak"),IF(L984=1,"B1a Slight, peak","B1b Slight, off-peak"))))</f>
        <v>A On time</v>
      </c>
      <c r="L984" s="33">
        <f>IF(AND(Orders!U981&gt;=19,Orders!U981&lt;22),1,0)</f>
        <v>0</v>
      </c>
      <c r="M984" s="33">
        <f>IF(L984=IF(Orders!V981,1,0),1,0)</f>
        <v>1</v>
      </c>
      <c r="N984" s="32" t="str">
        <f>IF(Orders!W981="","None",Orders!W981)</f>
        <v>None</v>
      </c>
      <c r="O984" s="35">
        <f>INT(Orders!E981)</f>
        <v>46268.0</v>
      </c>
      <c r="P984" s="33">
        <f>Orders!U981</f>
        <v>17</v>
      </c>
      <c r="Q984" s="33">
        <f>COUNTIFS(Demand!$A$2:$A$4481,B984,Demand!$B$2:$B$4481,O984,Demand!$C$2:$C$4481,P984)</f>
        <v>1</v>
      </c>
      <c r="R984" s="33">
        <f>IF(Q984=1,SUMIFS(Demand!$E$2:$E$4481,Demand!$A$2:$A$4481,B984,Demand!$B$2:$B$4481,O984,Demand!$C$2:$C$4481,P984),"")</f>
        <v>25</v>
      </c>
      <c r="S984" s="33">
        <f>INDEX(Stores!$G$2:$G$21,MATCH(B984,Stores!$A$2:$A$21,0))</f>
        <v>29</v>
      </c>
      <c r="T984" s="34">
        <f>IF(R984="","",R984/S984)</f>
        <v>0.862068965517241</v>
      </c>
      <c r="U984" s="34">
        <f>IF(E984=1,T984,"")</f>
        <v>0.862068965517241</v>
      </c>
      <c r="V984" s="34">
        <f>IF(AND(E984=1,L984=0),T984,"")</f>
        <v>0.862068965517241</v>
      </c>
      <c r="W984" s="33">
        <f>IF(U984="","",IF(U984&lt;=Breakdowns!$C$5,1,IF(U984&lt;=Breakdowns!$C$6,2,IF(U984&lt;=Breakdowns!$C$7,3,4))))</f>
        <v>2</v>
      </c>
      <c r="X984" s="33">
        <f>IF(V984="","",IF(V984&lt;=Breakdowns!$D$5,1,IF(V984&lt;=Breakdowns!$D$6,2,IF(V984&lt;=Breakdowns!$D$7,3,4))))</f>
        <v>2</v>
      </c>
      <c r="Y984" s="34">
        <f>INDEX(Stores!$F$2:$F$21,MATCH(B984,Stores!$A$2:$A$21,0))</f>
        <v>2.66</v>
      </c>
      <c r="Z984" s="33">
        <f>IF(Y984&gt;Store_Summary!$M$2,1,0)</f>
        <v>0</v>
      </c>
      <c r="AA984" s="33">
        <f>INDEX(Stores!$C$2:$C$21,MATCH(B984,Stores!$A$2:$A$21,0))</f>
        <v>645</v>
      </c>
      <c r="AB984" s="33">
        <f>IF(AA984&lt;180,1,0)</f>
        <v>0</v>
      </c>
      <c r="AC984" s="32" t="str">
        <f>IF(Orders!D981="","",INDEX(Riders!$C$2:$C$81,MATCH(Orders!D981,Riders!$A$2:$A$81,0)))</f>
        <v>EV scooter</v>
      </c>
      <c r="AD984" s="33">
        <f>IF(Orders!D981="","",INDEX(Riders!$D$2:$D$81,MATCH(Orders!D981,Riders!$A$2:$A$81,0)))</f>
        <v>46</v>
      </c>
      <c r="AE984" s="33">
        <f>IF(Orders!D981="","",IF(INDEX(Riders!$B$2:$B$81,MATCH(Orders!D981,Riders!$A$2:$A$81,0))=B984,1,0))</f>
        <v>0</v>
      </c>
      <c r="AF984" s="34">
        <f>IF(E984=1,Orders!L981,"")</f>
        <v>0.88</v>
      </c>
      <c r="AG984" s="34">
        <f>IF(E984=1,Orders!P981,"")</f>
        <v>8.7</v>
      </c>
      <c r="AH984" s="34">
        <f>IF(E984=1,Orders!Q981,"")</f>
        <v>8.5</v>
      </c>
      <c r="AI984" s="34">
        <f>IF(E984=1,Orders!M981,"")</f>
        <v>3.2</v>
      </c>
      <c r="AJ984" s="34">
        <f>IF(E984=1,Orders!N981,"")</f>
        <v>2</v>
      </c>
      <c r="AK984" s="34">
        <f>IF(E984=1,Orders!O981,"")</f>
        <v>3.3</v>
      </c>
      <c r="AL984" s="33">
        <f>IF(E984=1,IF(ROUND(ABS(AI984+AJ984+AK984-AH984),6)&lt;=0.1,1,0),"")</f>
        <v>1</v>
      </c>
      <c r="AM984" s="36">
        <f>IF(E984=1,AI984/AH984,"")</f>
        <v>0.376470588235294</v>
      </c>
      <c r="AN984" s="36">
        <f>IF(E984=1,AJ984/AH984,"")</f>
        <v>0.235294117647059</v>
      </c>
      <c r="AO984" s="36">
        <f>IF(E984=1,AK984/AH984,"")</f>
        <v>0.388235294117647</v>
      </c>
      <c r="AP984" s="34">
        <f>IF(E984=1,Orders!Y981,"")</f>
        <v>0.47</v>
      </c>
      <c r="AQ984" s="33">
        <f>IF(Orders!X981,1,0)</f>
        <v>0</v>
      </c>
      <c r="AR984" s="34" t="str">
        <f>IF(AND(E984=1,L984=1),AJ984,"")</f>
        <v/>
      </c>
      <c r="AS984" s="34">
        <f>IF(AND(E984=1,L984=0),AJ984,"")</f>
        <v>2</v>
      </c>
      <c r="AT984" s="34" t="str">
        <f>IF(AND(E984=1,L984=1),AI984,"")</f>
        <v/>
      </c>
      <c r="AU984" s="34">
        <f>IF(AND(E984=1,L984=0),AI984,"")</f>
        <v>3.2</v>
      </c>
      <c r="AV984" s="34" t="str">
        <f>IF(AND(E984=1,L984=1),AG984,"")</f>
        <v/>
      </c>
      <c r="AW984" s="34">
        <f>IF(AND(E984=1,L984=0),AG984,"")</f>
        <v>8.7</v>
      </c>
      <c r="AX984" s="34" t="str">
        <f>IF(AND(E984=1,L984=1),AH984,"")</f>
        <v/>
      </c>
      <c r="AY984" s="34">
        <f>IF(AND(E984=1,L984=0),AH984,"")</f>
        <v>8.5</v>
      </c>
      <c r="AZ984" s="34" t="str">
        <f>IF(G984=1,F984,"")</f>
        <v/>
      </c>
      <c r="BA984" s="34" t="str">
        <f>IF(AND(G984=1,L984=1),F984,"")</f>
        <v/>
      </c>
      <c r="BB984" s="34" t="str">
        <f>IF(AND(G984=1,L984=0),F984,"")</f>
        <v/>
      </c>
      <c r="BC984" s="33">
        <f>IF(E984=1,IF(Orders!R981&gt;3,1,0),"")</f>
        <v>0</v>
      </c>
      <c r="BD984" s="33">
        <f>IF(E984=1,IF(Orders!R981&gt;7,1,0),"")</f>
        <v>0</v>
      </c>
      <c r="BE984" s="32" t="str">
        <f>IF(E984=1,IF(Orders!L981&lt;=1.5,"Up to 1.5 km",IF(Orders!L981&lt;=3,"1.5–3 km","Over 3 km")),"")</f>
        <v>Up to 1.5 km</v>
      </c>
      <c r="BF984" s="33">
        <f>IF(E984=1,IF(ABS((Orders!G981-Orders!F981)*1440-Orders!R981)&lt;0.06,1,0),"")</f>
        <v>1</v>
      </c>
      <c r="BG984" s="33">
        <f>IF(ABS((Orders!F981-Orders!E981)*1440-Orders!P981)&lt;0.06,1,0)</f>
        <v>1</v>
      </c>
      <c r="BH984" s="33">
        <f>IF(E984=1,IF(IF(Orders!S981,1,0)=1-G984,1,0),"")</f>
        <v>1</v>
      </c>
      <c r="BI984" s="32" t="str">
        <f>INDEX(Stores!$B$2:$B$21,MATCH(B984,Stores!$A$2:$A$21,0))</f>
        <v>Pune</v>
      </c>
    </row>
    <row r="985">
      <c r="A985" s="32" t="str">
        <f>Orders!A982</f>
        <v>O00981</v>
      </c>
      <c r="B985" s="32" t="str">
        <f>Orders!C982</f>
        <v>S006</v>
      </c>
      <c r="C985" s="32" t="str">
        <f>Orders!B982</f>
        <v>C0039</v>
      </c>
      <c r="D985" s="32" t="str">
        <f>Orders!H982</f>
        <v>Delivered</v>
      </c>
      <c r="E985" s="33">
        <f>IF(Orders!H982="Delivered",1,0)</f>
        <v>1</v>
      </c>
      <c r="F985" s="34">
        <f>IF(E985=1,Orders!R982,"")</f>
        <v>-0.8</v>
      </c>
      <c r="G985" s="33">
        <f>IF(E985=1,IF(Orders!R982&gt;0,1,0),"")</f>
        <v>0</v>
      </c>
      <c r="H985" s="33">
        <f>IF(E985=1,IF(Orders!R982&gt;5,1,0),"")</f>
        <v>0</v>
      </c>
      <c r="I985" s="32" t="str">
        <f>IF(E985=1,"",IF(OR(Orders!T982="Rider unavailable",Orders!T982="Item unavailable"),"Company-caused","Unresolved"))</f>
        <v/>
      </c>
      <c r="J985" s="33">
        <f>IF(OR(E985=1,I985="Company-caused"),1,0)</f>
        <v>1</v>
      </c>
      <c r="K985" s="32" t="str">
        <f>IF(E985=0,IF(I985="Company-caused",IF(Orders!T982="Rider unavailable","C1 Rider unavailable","C2 Item unavailable"),"Outside root: unresolved"),IF(G985=0,"A On time",IF(H985=1,IF(L985=1,"B2a Severe, peak","B2b Severe, off-peak"),IF(L985=1,"B1a Slight, peak","B1b Slight, off-peak"))))</f>
        <v>A On time</v>
      </c>
      <c r="L985" s="33">
        <f>IF(AND(Orders!U982&gt;=19,Orders!U982&lt;22),1,0)</f>
        <v>0</v>
      </c>
      <c r="M985" s="33">
        <f>IF(L985=IF(Orders!V982,1,0),1,0)</f>
        <v>1</v>
      </c>
      <c r="N985" s="32" t="str">
        <f>IF(Orders!W982="","None",Orders!W982)</f>
        <v>None</v>
      </c>
      <c r="O985" s="35">
        <f>INT(Orders!E982)</f>
        <v>46268.0</v>
      </c>
      <c r="P985" s="33">
        <f>Orders!U982</f>
        <v>10</v>
      </c>
      <c r="Q985" s="33">
        <f>COUNTIFS(Demand!$A$2:$A$4481,B985,Demand!$B$2:$B$4481,O985,Demand!$C$2:$C$4481,P985)</f>
        <v>1</v>
      </c>
      <c r="R985" s="33">
        <f>IF(Q985=1,SUMIFS(Demand!$E$2:$E$4481,Demand!$A$2:$A$4481,B985,Demand!$B$2:$B$4481,O985,Demand!$C$2:$C$4481,P985),"")</f>
        <v>25</v>
      </c>
      <c r="S985" s="33">
        <f>INDEX(Stores!$G$2:$G$21,MATCH(B985,Stores!$A$2:$A$21,0))</f>
        <v>26</v>
      </c>
      <c r="T985" s="34">
        <f>IF(R985="","",R985/S985)</f>
        <v>0.961538461538462</v>
      </c>
      <c r="U985" s="34">
        <f>IF(E985=1,T985,"")</f>
        <v>0.961538461538462</v>
      </c>
      <c r="V985" s="34">
        <f>IF(AND(E985=1,L985=0),T985,"")</f>
        <v>0.961538461538462</v>
      </c>
      <c r="W985" s="33">
        <f>IF(U985="","",IF(U985&lt;=Breakdowns!$C$5,1,IF(U985&lt;=Breakdowns!$C$6,2,IF(U985&lt;=Breakdowns!$C$7,3,4))))</f>
        <v>2</v>
      </c>
      <c r="X985" s="33">
        <f>IF(V985="","",IF(V985&lt;=Breakdowns!$D$5,1,IF(V985&lt;=Breakdowns!$D$6,2,IF(V985&lt;=Breakdowns!$D$7,3,4))))</f>
        <v>3</v>
      </c>
      <c r="Y985" s="34">
        <f>INDEX(Stores!$F$2:$F$21,MATCH(B985,Stores!$A$2:$A$21,0))</f>
        <v>5.22</v>
      </c>
      <c r="Z985" s="33">
        <f>IF(Y985&gt;Store_Summary!$M$2,1,0)</f>
        <v>1</v>
      </c>
      <c r="AA985" s="33">
        <f>INDEX(Stores!$C$2:$C$21,MATCH(B985,Stores!$A$2:$A$21,0))</f>
        <v>412</v>
      </c>
      <c r="AB985" s="33">
        <f>IF(AA985&lt;180,1,0)</f>
        <v>0</v>
      </c>
      <c r="AC985" s="32" t="str">
        <f>IF(Orders!D982="","",INDEX(Riders!$C$2:$C$81,MATCH(Orders!D982,Riders!$A$2:$A$81,0)))</f>
        <v>EV scooter</v>
      </c>
      <c r="AD985" s="33">
        <f>IF(Orders!D982="","",INDEX(Riders!$D$2:$D$81,MATCH(Orders!D982,Riders!$A$2:$A$81,0)))</f>
        <v>33</v>
      </c>
      <c r="AE985" s="33">
        <f>IF(Orders!D982="","",IF(INDEX(Riders!$B$2:$B$81,MATCH(Orders!D982,Riders!$A$2:$A$81,0))=B985,1,0))</f>
        <v>0</v>
      </c>
      <c r="AF985" s="34">
        <f>IF(E985=1,Orders!L982,"")</f>
        <v>1.43</v>
      </c>
      <c r="AG985" s="34">
        <f>IF(E985=1,Orders!P982,"")</f>
        <v>9.6</v>
      </c>
      <c r="AH985" s="34">
        <f>IF(E985=1,Orders!Q982,"")</f>
        <v>8.8</v>
      </c>
      <c r="AI985" s="34">
        <f>IF(E985=1,Orders!M982,"")</f>
        <v>3.1</v>
      </c>
      <c r="AJ985" s="34">
        <f>IF(E985=1,Orders!N982,"")</f>
        <v>3.3</v>
      </c>
      <c r="AK985" s="34">
        <f>IF(E985=1,Orders!O982,"")</f>
        <v>2.4</v>
      </c>
      <c r="AL985" s="33">
        <f>IF(E985=1,IF(ROUND(ABS(AI985+AJ985+AK985-AH985),6)&lt;=0.1,1,0),"")</f>
        <v>1</v>
      </c>
      <c r="AM985" s="36">
        <f>IF(E985=1,AI985/AH985,"")</f>
        <v>0.352272727272727</v>
      </c>
      <c r="AN985" s="36">
        <f>IF(E985=1,AJ985/AH985,"")</f>
        <v>0.375</v>
      </c>
      <c r="AO985" s="36">
        <f>IF(E985=1,AK985/AH985,"")</f>
        <v>0.272727272727273</v>
      </c>
      <c r="AP985" s="34">
        <f>IF(E985=1,Orders!Y982,"")</f>
        <v>0.56</v>
      </c>
      <c r="AQ985" s="33">
        <f>IF(Orders!X982,1,0)</f>
        <v>0</v>
      </c>
      <c r="AR985" s="34" t="str">
        <f>IF(AND(E985=1,L985=1),AJ985,"")</f>
        <v/>
      </c>
      <c r="AS985" s="34">
        <f>IF(AND(E985=1,L985=0),AJ985,"")</f>
        <v>3.3</v>
      </c>
      <c r="AT985" s="34" t="str">
        <f>IF(AND(E985=1,L985=1),AI985,"")</f>
        <v/>
      </c>
      <c r="AU985" s="34">
        <f>IF(AND(E985=1,L985=0),AI985,"")</f>
        <v>3.1</v>
      </c>
      <c r="AV985" s="34" t="str">
        <f>IF(AND(E985=1,L985=1),AG985,"")</f>
        <v/>
      </c>
      <c r="AW985" s="34">
        <f>IF(AND(E985=1,L985=0),AG985,"")</f>
        <v>9.6</v>
      </c>
      <c r="AX985" s="34" t="str">
        <f>IF(AND(E985=1,L985=1),AH985,"")</f>
        <v/>
      </c>
      <c r="AY985" s="34">
        <f>IF(AND(E985=1,L985=0),AH985,"")</f>
        <v>8.8</v>
      </c>
      <c r="AZ985" s="34" t="str">
        <f>IF(G985=1,F985,"")</f>
        <v/>
      </c>
      <c r="BA985" s="34" t="str">
        <f>IF(AND(G985=1,L985=1),F985,"")</f>
        <v/>
      </c>
      <c r="BB985" s="34" t="str">
        <f>IF(AND(G985=1,L985=0),F985,"")</f>
        <v/>
      </c>
      <c r="BC985" s="33">
        <f>IF(E985=1,IF(Orders!R982&gt;3,1,0),"")</f>
        <v>0</v>
      </c>
      <c r="BD985" s="33">
        <f>IF(E985=1,IF(Orders!R982&gt;7,1,0),"")</f>
        <v>0</v>
      </c>
      <c r="BE985" s="32" t="str">
        <f>IF(E985=1,IF(Orders!L982&lt;=1.5,"Up to 1.5 km",IF(Orders!L982&lt;=3,"1.5–3 km","Over 3 km")),"")</f>
        <v>Up to 1.5 km</v>
      </c>
      <c r="BF985" s="33">
        <f>IF(E985=1,IF(ABS((Orders!G982-Orders!F982)*1440-Orders!R982)&lt;0.06,1,0),"")</f>
        <v>1</v>
      </c>
      <c r="BG985" s="33">
        <f>IF(ABS((Orders!F982-Orders!E982)*1440-Orders!P982)&lt;0.06,1,0)</f>
        <v>1</v>
      </c>
      <c r="BH985" s="33">
        <f>IF(E985=1,IF(IF(Orders!S982,1,0)=1-G985,1,0),"")</f>
        <v>1</v>
      </c>
      <c r="BI985" s="32" t="str">
        <f>INDEX(Stores!$B$2:$B$21,MATCH(B985,Stores!$A$2:$A$21,0))</f>
        <v>Bengaluru</v>
      </c>
    </row>
    <row r="986">
      <c r="A986" s="32" t="str">
        <f>Orders!A983</f>
        <v>O00982</v>
      </c>
      <c r="B986" s="32" t="str">
        <f>Orders!C983</f>
        <v>S005</v>
      </c>
      <c r="C986" s="32" t="str">
        <f>Orders!B983</f>
        <v>C0154</v>
      </c>
      <c r="D986" s="32" t="str">
        <f>Orders!H983</f>
        <v>Delivered</v>
      </c>
      <c r="E986" s="33">
        <f>IF(Orders!H983="Delivered",1,0)</f>
        <v>1</v>
      </c>
      <c r="F986" s="34">
        <f>IF(E986=1,Orders!R983,"")</f>
        <v>-0.9</v>
      </c>
      <c r="G986" s="33">
        <f>IF(E986=1,IF(Orders!R983&gt;0,1,0),"")</f>
        <v>0</v>
      </c>
      <c r="H986" s="33">
        <f>IF(E986=1,IF(Orders!R983&gt;5,1,0),"")</f>
        <v>0</v>
      </c>
      <c r="I986" s="32" t="str">
        <f>IF(E986=1,"",IF(OR(Orders!T983="Rider unavailable",Orders!T983="Item unavailable"),"Company-caused","Unresolved"))</f>
        <v/>
      </c>
      <c r="J986" s="33">
        <f>IF(OR(E986=1,I986="Company-caused"),1,0)</f>
        <v>1</v>
      </c>
      <c r="K986" s="32" t="str">
        <f>IF(E986=0,IF(I986="Company-caused",IF(Orders!T983="Rider unavailable","C1 Rider unavailable","C2 Item unavailable"),"Outside root: unresolved"),IF(G986=0,"A On time",IF(H986=1,IF(L986=1,"B2a Severe, peak","B2b Severe, off-peak"),IF(L986=1,"B1a Slight, peak","B1b Slight, off-peak"))))</f>
        <v>A On time</v>
      </c>
      <c r="L986" s="33">
        <f>IF(AND(Orders!U983&gt;=19,Orders!U983&lt;22),1,0)</f>
        <v>0</v>
      </c>
      <c r="M986" s="33">
        <f>IF(L986=IF(Orders!V983,1,0),1,0)</f>
        <v>1</v>
      </c>
      <c r="N986" s="32" t="str">
        <f>IF(Orders!W983="","None",Orders!W983)</f>
        <v>None</v>
      </c>
      <c r="O986" s="35">
        <f>INT(Orders!E983)</f>
        <v>46272.0</v>
      </c>
      <c r="P986" s="33">
        <f>Orders!U983</f>
        <v>23</v>
      </c>
      <c r="Q986" s="33">
        <f>COUNTIFS(Demand!$A$2:$A$4481,B986,Demand!$B$2:$B$4481,O986,Demand!$C$2:$C$4481,P986)</f>
        <v>1</v>
      </c>
      <c r="R986" s="33">
        <f>IF(Q986=1,SUMIFS(Demand!$E$2:$E$4481,Demand!$A$2:$A$4481,B986,Demand!$B$2:$B$4481,O986,Demand!$C$2:$C$4481,P986),"")</f>
        <v>15</v>
      </c>
      <c r="S986" s="33">
        <f>INDEX(Stores!$G$2:$G$21,MATCH(B986,Stores!$A$2:$A$21,0))</f>
        <v>14</v>
      </c>
      <c r="T986" s="34">
        <f>IF(R986="","",R986/S986)</f>
        <v>1.07142857142857</v>
      </c>
      <c r="U986" s="34">
        <f>IF(E986=1,T986,"")</f>
        <v>1.07142857142857</v>
      </c>
      <c r="V986" s="34">
        <f>IF(AND(E986=1,L986=0),T986,"")</f>
        <v>1.07142857142857</v>
      </c>
      <c r="W986" s="33">
        <f>IF(U986="","",IF(U986&lt;=Breakdowns!$C$5,1,IF(U986&lt;=Breakdowns!$C$6,2,IF(U986&lt;=Breakdowns!$C$7,3,4))))</f>
        <v>3</v>
      </c>
      <c r="X986" s="33">
        <f>IF(V986="","",IF(V986&lt;=Breakdowns!$D$5,1,IF(V986&lt;=Breakdowns!$D$6,2,IF(V986&lt;=Breakdowns!$D$7,3,4))))</f>
        <v>4</v>
      </c>
      <c r="Y986" s="34">
        <f>INDEX(Stores!$F$2:$F$21,MATCH(B986,Stores!$A$2:$A$21,0))</f>
        <v>4.89</v>
      </c>
      <c r="Z986" s="33">
        <f>IF(Y986&gt;Store_Summary!$M$2,1,0)</f>
        <v>0</v>
      </c>
      <c r="AA986" s="33">
        <f>INDEX(Stores!$C$2:$C$21,MATCH(B986,Stores!$A$2:$A$21,0))</f>
        <v>138</v>
      </c>
      <c r="AB986" s="33">
        <f>IF(AA986&lt;180,1,0)</f>
        <v>1</v>
      </c>
      <c r="AC986" s="32" t="str">
        <f>IF(Orders!D983="","",INDEX(Riders!$C$2:$C$81,MATCH(Orders!D983,Riders!$A$2:$A$81,0)))</f>
        <v>EV scooter</v>
      </c>
      <c r="AD986" s="33">
        <f>IF(Orders!D983="","",INDEX(Riders!$D$2:$D$81,MATCH(Orders!D983,Riders!$A$2:$A$81,0)))</f>
        <v>36</v>
      </c>
      <c r="AE986" s="33">
        <f>IF(Orders!D983="","",IF(INDEX(Riders!$B$2:$B$81,MATCH(Orders!D983,Riders!$A$2:$A$81,0))=B986,1,0))</f>
        <v>0</v>
      </c>
      <c r="AF986" s="34">
        <f>IF(E986=1,Orders!L983,"")</f>
        <v>2.08</v>
      </c>
      <c r="AG986" s="34">
        <f>IF(E986=1,Orders!P983,"")</f>
        <v>11.1</v>
      </c>
      <c r="AH986" s="34">
        <f>IF(E986=1,Orders!Q983,"")</f>
        <v>10.2</v>
      </c>
      <c r="AI986" s="34">
        <f>IF(E986=1,Orders!M983,"")</f>
        <v>3.6</v>
      </c>
      <c r="AJ986" s="34">
        <f>IF(E986=1,Orders!N983,"")</f>
        <v>2.7</v>
      </c>
      <c r="AK986" s="34">
        <f>IF(E986=1,Orders!O983,"")</f>
        <v>3.9</v>
      </c>
      <c r="AL986" s="33">
        <f>IF(E986=1,IF(ROUND(ABS(AI986+AJ986+AK986-AH986),6)&lt;=0.1,1,0),"")</f>
        <v>1</v>
      </c>
      <c r="AM986" s="36">
        <f>IF(E986=1,AI986/AH986,"")</f>
        <v>0.352941176470588</v>
      </c>
      <c r="AN986" s="36">
        <f>IF(E986=1,AJ986/AH986,"")</f>
        <v>0.264705882352941</v>
      </c>
      <c r="AO986" s="36">
        <f>IF(E986=1,AK986/AH986,"")</f>
        <v>0.382352941176471</v>
      </c>
      <c r="AP986" s="34">
        <f>IF(E986=1,Orders!Y983,"")</f>
        <v>0.47</v>
      </c>
      <c r="AQ986" s="33">
        <f>IF(Orders!X983,1,0)</f>
        <v>0</v>
      </c>
      <c r="AR986" s="34" t="str">
        <f>IF(AND(E986=1,L986=1),AJ986,"")</f>
        <v/>
      </c>
      <c r="AS986" s="34">
        <f>IF(AND(E986=1,L986=0),AJ986,"")</f>
        <v>2.7</v>
      </c>
      <c r="AT986" s="34" t="str">
        <f>IF(AND(E986=1,L986=1),AI986,"")</f>
        <v/>
      </c>
      <c r="AU986" s="34">
        <f>IF(AND(E986=1,L986=0),AI986,"")</f>
        <v>3.6</v>
      </c>
      <c r="AV986" s="34" t="str">
        <f>IF(AND(E986=1,L986=1),AG986,"")</f>
        <v/>
      </c>
      <c r="AW986" s="34">
        <f>IF(AND(E986=1,L986=0),AG986,"")</f>
        <v>11.1</v>
      </c>
      <c r="AX986" s="34" t="str">
        <f>IF(AND(E986=1,L986=1),AH986,"")</f>
        <v/>
      </c>
      <c r="AY986" s="34">
        <f>IF(AND(E986=1,L986=0),AH986,"")</f>
        <v>10.2</v>
      </c>
      <c r="AZ986" s="34" t="str">
        <f>IF(G986=1,F986,"")</f>
        <v/>
      </c>
      <c r="BA986" s="34" t="str">
        <f>IF(AND(G986=1,L986=1),F986,"")</f>
        <v/>
      </c>
      <c r="BB986" s="34" t="str">
        <f>IF(AND(G986=1,L986=0),F986,"")</f>
        <v/>
      </c>
      <c r="BC986" s="33">
        <f>IF(E986=1,IF(Orders!R983&gt;3,1,0),"")</f>
        <v>0</v>
      </c>
      <c r="BD986" s="33">
        <f>IF(E986=1,IF(Orders!R983&gt;7,1,0),"")</f>
        <v>0</v>
      </c>
      <c r="BE986" s="32" t="str">
        <f>IF(E986=1,IF(Orders!L983&lt;=1.5,"Up to 1.5 km",IF(Orders!L983&lt;=3,"1.5–3 km","Over 3 km")),"")</f>
        <v>1.5–3 km</v>
      </c>
      <c r="BF986" s="33">
        <f>IF(E986=1,IF(ABS((Orders!G983-Orders!F983)*1440-Orders!R983)&lt;0.06,1,0),"")</f>
        <v>1</v>
      </c>
      <c r="BG986" s="33">
        <f>IF(ABS((Orders!F983-Orders!E983)*1440-Orders!P983)&lt;0.06,1,0)</f>
        <v>1</v>
      </c>
      <c r="BH986" s="33">
        <f>IF(E986=1,IF(IF(Orders!S983,1,0)=1-G986,1,0),"")</f>
        <v>1</v>
      </c>
      <c r="BI986" s="32" t="str">
        <f>INDEX(Stores!$B$2:$B$21,MATCH(B986,Stores!$A$2:$A$21,0))</f>
        <v>Delhi</v>
      </c>
    </row>
    <row r="987">
      <c r="A987" s="32" t="str">
        <f>Orders!A984</f>
        <v>O00983</v>
      </c>
      <c r="B987" s="32" t="str">
        <f>Orders!C984</f>
        <v>S020</v>
      </c>
      <c r="C987" s="32" t="str">
        <f>Orders!B984</f>
        <v>C0068</v>
      </c>
      <c r="D987" s="32" t="str">
        <f>Orders!H984</f>
        <v>Delivered</v>
      </c>
      <c r="E987" s="33">
        <f>IF(Orders!H984="Delivered",1,0)</f>
        <v>1</v>
      </c>
      <c r="F987" s="34">
        <f>IF(E987=1,Orders!R984,"")</f>
        <v>-0.8</v>
      </c>
      <c r="G987" s="33">
        <f>IF(E987=1,IF(Orders!R984&gt;0,1,0),"")</f>
        <v>0</v>
      </c>
      <c r="H987" s="33">
        <f>IF(E987=1,IF(Orders!R984&gt;5,1,0),"")</f>
        <v>0</v>
      </c>
      <c r="I987" s="32" t="str">
        <f>IF(E987=1,"",IF(OR(Orders!T984="Rider unavailable",Orders!T984="Item unavailable"),"Company-caused","Unresolved"))</f>
        <v/>
      </c>
      <c r="J987" s="33">
        <f>IF(OR(E987=1,I987="Company-caused"),1,0)</f>
        <v>1</v>
      </c>
      <c r="K987" s="32" t="str">
        <f>IF(E987=0,IF(I987="Company-caused",IF(Orders!T984="Rider unavailable","C1 Rider unavailable","C2 Item unavailable"),"Outside root: unresolved"),IF(G987=0,"A On time",IF(H987=1,IF(L987=1,"B2a Severe, peak","B2b Severe, off-peak"),IF(L987=1,"B1a Slight, peak","B1b Slight, off-peak"))))</f>
        <v>A On time</v>
      </c>
      <c r="L987" s="33">
        <f>IF(AND(Orders!U984&gt;=19,Orders!U984&lt;22),1,0)</f>
        <v>0</v>
      </c>
      <c r="M987" s="33">
        <f>IF(L987=IF(Orders!V984,1,0),1,0)</f>
        <v>1</v>
      </c>
      <c r="N987" s="32" t="str">
        <f>IF(Orders!W984="","None",Orders!W984)</f>
        <v>None</v>
      </c>
      <c r="O987" s="35">
        <f>INT(Orders!E984)</f>
        <v>46274.0</v>
      </c>
      <c r="P987" s="33">
        <f>Orders!U984</f>
        <v>10</v>
      </c>
      <c r="Q987" s="33">
        <f>COUNTIFS(Demand!$A$2:$A$4481,B987,Demand!$B$2:$B$4481,O987,Demand!$C$2:$C$4481,P987)</f>
        <v>1</v>
      </c>
      <c r="R987" s="33">
        <f>IF(Q987=1,SUMIFS(Demand!$E$2:$E$4481,Demand!$A$2:$A$4481,B987,Demand!$B$2:$B$4481,O987,Demand!$C$2:$C$4481,P987),"")</f>
        <v>5</v>
      </c>
      <c r="S987" s="33">
        <f>INDEX(Stores!$G$2:$G$21,MATCH(B987,Stores!$A$2:$A$21,0))</f>
        <v>15</v>
      </c>
      <c r="T987" s="34">
        <f>IF(R987="","",R987/S987)</f>
        <v>0.333333333333333</v>
      </c>
      <c r="U987" s="34">
        <f>IF(E987=1,T987,"")</f>
        <v>0.333333333333333</v>
      </c>
      <c r="V987" s="34">
        <f>IF(AND(E987=1,L987=0),T987,"")</f>
        <v>0.333333333333333</v>
      </c>
      <c r="W987" s="33">
        <f>IF(U987="","",IF(U987&lt;=Breakdowns!$C$5,1,IF(U987&lt;=Breakdowns!$C$6,2,IF(U987&lt;=Breakdowns!$C$7,3,4))))</f>
        <v>1</v>
      </c>
      <c r="X987" s="33">
        <f>IF(V987="","",IF(V987&lt;=Breakdowns!$D$5,1,IF(V987&lt;=Breakdowns!$D$6,2,IF(V987&lt;=Breakdowns!$D$7,3,4))))</f>
        <v>1</v>
      </c>
      <c r="Y987" s="34">
        <f>INDEX(Stores!$F$2:$F$21,MATCH(B987,Stores!$A$2:$A$21,0))</f>
        <v>5.74</v>
      </c>
      <c r="Z987" s="33">
        <f>IF(Y987&gt;Store_Summary!$M$2,1,0)</f>
        <v>1</v>
      </c>
      <c r="AA987" s="33">
        <f>INDEX(Stores!$C$2:$C$21,MATCH(B987,Stores!$A$2:$A$21,0))</f>
        <v>647</v>
      </c>
      <c r="AB987" s="33">
        <f>IF(AA987&lt;180,1,0)</f>
        <v>0</v>
      </c>
      <c r="AC987" s="32" t="str">
        <f>IF(Orders!D984="","",INDEX(Riders!$C$2:$C$81,MATCH(Orders!D984,Riders!$A$2:$A$81,0)))</f>
        <v>EV scooter</v>
      </c>
      <c r="AD987" s="33">
        <f>IF(Orders!D984="","",INDEX(Riders!$D$2:$D$81,MATCH(Orders!D984,Riders!$A$2:$A$81,0)))</f>
        <v>38</v>
      </c>
      <c r="AE987" s="33">
        <f>IF(Orders!D984="","",IF(INDEX(Riders!$B$2:$B$81,MATCH(Orders!D984,Riders!$A$2:$A$81,0))=B987,1,0))</f>
        <v>0</v>
      </c>
      <c r="AF987" s="34">
        <f>IF(E987=1,Orders!L984,"")</f>
        <v>1.42</v>
      </c>
      <c r="AG987" s="34">
        <f>IF(E987=1,Orders!P984,"")</f>
        <v>11</v>
      </c>
      <c r="AH987" s="34">
        <f>IF(E987=1,Orders!Q984,"")</f>
        <v>10.2</v>
      </c>
      <c r="AI987" s="34">
        <f>IF(E987=1,Orders!M984,"")</f>
        <v>3.1</v>
      </c>
      <c r="AJ987" s="34">
        <f>IF(E987=1,Orders!N984,"")</f>
        <v>4</v>
      </c>
      <c r="AK987" s="34">
        <f>IF(E987=1,Orders!O984,"")</f>
        <v>3.1</v>
      </c>
      <c r="AL987" s="33">
        <f>IF(E987=1,IF(ROUND(ABS(AI987+AJ987+AK987-AH987),6)&lt;=0.1,1,0),"")</f>
        <v>1</v>
      </c>
      <c r="AM987" s="36">
        <f>IF(E987=1,AI987/AH987,"")</f>
        <v>0.303921568627451</v>
      </c>
      <c r="AN987" s="36">
        <f>IF(E987=1,AJ987/AH987,"")</f>
        <v>0.392156862745098</v>
      </c>
      <c r="AO987" s="36">
        <f>IF(E987=1,AK987/AH987,"")</f>
        <v>0.303921568627451</v>
      </c>
      <c r="AP987" s="34">
        <f>IF(E987=1,Orders!Y984,"")</f>
        <v>0.69</v>
      </c>
      <c r="AQ987" s="33">
        <f>IF(Orders!X984,1,0)</f>
        <v>0</v>
      </c>
      <c r="AR987" s="34" t="str">
        <f>IF(AND(E987=1,L987=1),AJ987,"")</f>
        <v/>
      </c>
      <c r="AS987" s="34">
        <f>IF(AND(E987=1,L987=0),AJ987,"")</f>
        <v>4</v>
      </c>
      <c r="AT987" s="34" t="str">
        <f>IF(AND(E987=1,L987=1),AI987,"")</f>
        <v/>
      </c>
      <c r="AU987" s="34">
        <f>IF(AND(E987=1,L987=0),AI987,"")</f>
        <v>3.1</v>
      </c>
      <c r="AV987" s="34" t="str">
        <f>IF(AND(E987=1,L987=1),AG987,"")</f>
        <v/>
      </c>
      <c r="AW987" s="34">
        <f>IF(AND(E987=1,L987=0),AG987,"")</f>
        <v>11</v>
      </c>
      <c r="AX987" s="34" t="str">
        <f>IF(AND(E987=1,L987=1),AH987,"")</f>
        <v/>
      </c>
      <c r="AY987" s="34">
        <f>IF(AND(E987=1,L987=0),AH987,"")</f>
        <v>10.2</v>
      </c>
      <c r="AZ987" s="34" t="str">
        <f>IF(G987=1,F987,"")</f>
        <v/>
      </c>
      <c r="BA987" s="34" t="str">
        <f>IF(AND(G987=1,L987=1),F987,"")</f>
        <v/>
      </c>
      <c r="BB987" s="34" t="str">
        <f>IF(AND(G987=1,L987=0),F987,"")</f>
        <v/>
      </c>
      <c r="BC987" s="33">
        <f>IF(E987=1,IF(Orders!R984&gt;3,1,0),"")</f>
        <v>0</v>
      </c>
      <c r="BD987" s="33">
        <f>IF(E987=1,IF(Orders!R984&gt;7,1,0),"")</f>
        <v>0</v>
      </c>
      <c r="BE987" s="32" t="str">
        <f>IF(E987=1,IF(Orders!L984&lt;=1.5,"Up to 1.5 km",IF(Orders!L984&lt;=3,"1.5–3 km","Over 3 km")),"")</f>
        <v>Up to 1.5 km</v>
      </c>
      <c r="BF987" s="33">
        <f>IF(E987=1,IF(ABS((Orders!G984-Orders!F984)*1440-Orders!R984)&lt;0.06,1,0),"")</f>
        <v>1</v>
      </c>
      <c r="BG987" s="33">
        <f>IF(ABS((Orders!F984-Orders!E984)*1440-Orders!P984)&lt;0.06,1,0)</f>
        <v>1</v>
      </c>
      <c r="BH987" s="33">
        <f>IF(E987=1,IF(IF(Orders!S984,1,0)=1-G987,1,0),"")</f>
        <v>1</v>
      </c>
      <c r="BI987" s="32" t="str">
        <f>INDEX(Stores!$B$2:$B$21,MATCH(B987,Stores!$A$2:$A$21,0))</f>
        <v>Delhi</v>
      </c>
    </row>
    <row r="988">
      <c r="A988" s="32" t="str">
        <f>Orders!A985</f>
        <v>O00984</v>
      </c>
      <c r="B988" s="32" t="str">
        <f>Orders!C985</f>
        <v>S016</v>
      </c>
      <c r="C988" s="32" t="str">
        <f>Orders!B985</f>
        <v>C0197</v>
      </c>
      <c r="D988" s="32" t="str">
        <f>Orders!H985</f>
        <v>Delivered</v>
      </c>
      <c r="E988" s="33">
        <f>IF(Orders!H985="Delivered",1,0)</f>
        <v>1</v>
      </c>
      <c r="F988" s="34">
        <f>IF(E988=1,Orders!R985,"")</f>
        <v>-0.8</v>
      </c>
      <c r="G988" s="33">
        <f>IF(E988=1,IF(Orders!R985&gt;0,1,0),"")</f>
        <v>0</v>
      </c>
      <c r="H988" s="33">
        <f>IF(E988=1,IF(Orders!R985&gt;5,1,0),"")</f>
        <v>0</v>
      </c>
      <c r="I988" s="32" t="str">
        <f>IF(E988=1,"",IF(OR(Orders!T985="Rider unavailable",Orders!T985="Item unavailable"),"Company-caused","Unresolved"))</f>
        <v/>
      </c>
      <c r="J988" s="33">
        <f>IF(OR(E988=1,I988="Company-caused"),1,0)</f>
        <v>1</v>
      </c>
      <c r="K988" s="32" t="str">
        <f>IF(E988=0,IF(I988="Company-caused",IF(Orders!T985="Rider unavailable","C1 Rider unavailable","C2 Item unavailable"),"Outside root: unresolved"),IF(G988=0,"A On time",IF(H988=1,IF(L988=1,"B2a Severe, peak","B2b Severe, off-peak"),IF(L988=1,"B1a Slight, peak","B1b Slight, off-peak"))))</f>
        <v>A On time</v>
      </c>
      <c r="L988" s="33">
        <f>IF(AND(Orders!U985&gt;=19,Orders!U985&lt;22),1,0)</f>
        <v>0</v>
      </c>
      <c r="M988" s="33">
        <f>IF(L988=IF(Orders!V985,1,0),1,0)</f>
        <v>1</v>
      </c>
      <c r="N988" s="32" t="str">
        <f>IF(Orders!W985="","None",Orders!W985)</f>
        <v>None</v>
      </c>
      <c r="O988" s="35">
        <f>INT(Orders!E985)</f>
        <v>46266.0</v>
      </c>
      <c r="P988" s="33">
        <f>Orders!U985</f>
        <v>10</v>
      </c>
      <c r="Q988" s="33">
        <f>COUNTIFS(Demand!$A$2:$A$4481,B988,Demand!$B$2:$B$4481,O988,Demand!$C$2:$C$4481,P988)</f>
        <v>1</v>
      </c>
      <c r="R988" s="33">
        <f>IF(Q988=1,SUMIFS(Demand!$E$2:$E$4481,Demand!$A$2:$A$4481,B988,Demand!$B$2:$B$4481,O988,Demand!$C$2:$C$4481,P988),"")</f>
        <v>19</v>
      </c>
      <c r="S988" s="33">
        <f>INDEX(Stores!$G$2:$G$21,MATCH(B988,Stores!$A$2:$A$21,0))</f>
        <v>25</v>
      </c>
      <c r="T988" s="34">
        <f>IF(R988="","",R988/S988)</f>
        <v>0.76</v>
      </c>
      <c r="U988" s="34">
        <f>IF(E988=1,T988,"")</f>
        <v>0.76</v>
      </c>
      <c r="V988" s="34">
        <f>IF(AND(E988=1,L988=0),T988,"")</f>
        <v>0.76</v>
      </c>
      <c r="W988" s="33">
        <f>IF(U988="","",IF(U988&lt;=Breakdowns!$C$5,1,IF(U988&lt;=Breakdowns!$C$6,2,IF(U988&lt;=Breakdowns!$C$7,3,4))))</f>
        <v>1</v>
      </c>
      <c r="X988" s="33">
        <f>IF(V988="","",IF(V988&lt;=Breakdowns!$D$5,1,IF(V988&lt;=Breakdowns!$D$6,2,IF(V988&lt;=Breakdowns!$D$7,3,4))))</f>
        <v>2</v>
      </c>
      <c r="Y988" s="34">
        <f>INDEX(Stores!$F$2:$F$21,MATCH(B988,Stores!$A$2:$A$21,0))</f>
        <v>5.51</v>
      </c>
      <c r="Z988" s="33">
        <f>IF(Y988&gt;Store_Summary!$M$2,1,0)</f>
        <v>1</v>
      </c>
      <c r="AA988" s="33">
        <f>INDEX(Stores!$C$2:$C$21,MATCH(B988,Stores!$A$2:$A$21,0))</f>
        <v>792</v>
      </c>
      <c r="AB988" s="33">
        <f>IF(AA988&lt;180,1,0)</f>
        <v>0</v>
      </c>
      <c r="AC988" s="32" t="str">
        <f>IF(Orders!D985="","",INDEX(Riders!$C$2:$C$81,MATCH(Orders!D985,Riders!$A$2:$A$81,0)))</f>
        <v>Bicycle</v>
      </c>
      <c r="AD988" s="33">
        <f>IF(Orders!D985="","",INDEX(Riders!$D$2:$D$81,MATCH(Orders!D985,Riders!$A$2:$A$81,0)))</f>
        <v>2</v>
      </c>
      <c r="AE988" s="33">
        <f>IF(Orders!D985="","",IF(INDEX(Riders!$B$2:$B$81,MATCH(Orders!D985,Riders!$A$2:$A$81,0))=B988,1,0))</f>
        <v>0</v>
      </c>
      <c r="AF988" s="34">
        <f>IF(E988=1,Orders!L985,"")</f>
        <v>1.99</v>
      </c>
      <c r="AG988" s="34">
        <f>IF(E988=1,Orders!P985,"")</f>
        <v>8.8</v>
      </c>
      <c r="AH988" s="34">
        <f>IF(E988=1,Orders!Q985,"")</f>
        <v>8</v>
      </c>
      <c r="AI988" s="34">
        <f>IF(E988=1,Orders!M985,"")</f>
        <v>3</v>
      </c>
      <c r="AJ988" s="34">
        <f>IF(E988=1,Orders!N985,"")</f>
        <v>2.4</v>
      </c>
      <c r="AK988" s="34">
        <f>IF(E988=1,Orders!O985,"")</f>
        <v>2.6</v>
      </c>
      <c r="AL988" s="33">
        <f>IF(E988=1,IF(ROUND(ABS(AI988+AJ988+AK988-AH988),6)&lt;=0.1,1,0),"")</f>
        <v>1</v>
      </c>
      <c r="AM988" s="36">
        <f>IF(E988=1,AI988/AH988,"")</f>
        <v>0.375</v>
      </c>
      <c r="AN988" s="36">
        <f>IF(E988=1,AJ988/AH988,"")</f>
        <v>0.3</v>
      </c>
      <c r="AO988" s="36">
        <f>IF(E988=1,AK988/AH988,"")</f>
        <v>0.325</v>
      </c>
      <c r="AP988" s="34">
        <f>IF(E988=1,Orders!Y985,"")</f>
        <v>0.48</v>
      </c>
      <c r="AQ988" s="33">
        <f>IF(Orders!X985,1,0)</f>
        <v>0</v>
      </c>
      <c r="AR988" s="34" t="str">
        <f>IF(AND(E988=1,L988=1),AJ988,"")</f>
        <v/>
      </c>
      <c r="AS988" s="34">
        <f>IF(AND(E988=1,L988=0),AJ988,"")</f>
        <v>2.4</v>
      </c>
      <c r="AT988" s="34" t="str">
        <f>IF(AND(E988=1,L988=1),AI988,"")</f>
        <v/>
      </c>
      <c r="AU988" s="34">
        <f>IF(AND(E988=1,L988=0),AI988,"")</f>
        <v>3</v>
      </c>
      <c r="AV988" s="34" t="str">
        <f>IF(AND(E988=1,L988=1),AG988,"")</f>
        <v/>
      </c>
      <c r="AW988" s="34">
        <f>IF(AND(E988=1,L988=0),AG988,"")</f>
        <v>8.8</v>
      </c>
      <c r="AX988" s="34" t="str">
        <f>IF(AND(E988=1,L988=1),AH988,"")</f>
        <v/>
      </c>
      <c r="AY988" s="34">
        <f>IF(AND(E988=1,L988=0),AH988,"")</f>
        <v>8</v>
      </c>
      <c r="AZ988" s="34" t="str">
        <f>IF(G988=1,F988,"")</f>
        <v/>
      </c>
      <c r="BA988" s="34" t="str">
        <f>IF(AND(G988=1,L988=1),F988,"")</f>
        <v/>
      </c>
      <c r="BB988" s="34" t="str">
        <f>IF(AND(G988=1,L988=0),F988,"")</f>
        <v/>
      </c>
      <c r="BC988" s="33">
        <f>IF(E988=1,IF(Orders!R985&gt;3,1,0),"")</f>
        <v>0</v>
      </c>
      <c r="BD988" s="33">
        <f>IF(E988=1,IF(Orders!R985&gt;7,1,0),"")</f>
        <v>0</v>
      </c>
      <c r="BE988" s="32" t="str">
        <f>IF(E988=1,IF(Orders!L985&lt;=1.5,"Up to 1.5 km",IF(Orders!L985&lt;=3,"1.5–3 km","Over 3 km")),"")</f>
        <v>1.5–3 km</v>
      </c>
      <c r="BF988" s="33">
        <f>IF(E988=1,IF(ABS((Orders!G985-Orders!F985)*1440-Orders!R985)&lt;0.06,1,0),"")</f>
        <v>1</v>
      </c>
      <c r="BG988" s="33">
        <f>IF(ABS((Orders!F985-Orders!E985)*1440-Orders!P985)&lt;0.06,1,0)</f>
        <v>1</v>
      </c>
      <c r="BH988" s="33">
        <f>IF(E988=1,IF(IF(Orders!S985,1,0)=1-G988,1,0),"")</f>
        <v>1</v>
      </c>
      <c r="BI988" s="32" t="str">
        <f>INDEX(Stores!$B$2:$B$21,MATCH(B988,Stores!$A$2:$A$21,0))</f>
        <v>Bengaluru</v>
      </c>
    </row>
    <row r="989">
      <c r="A989" s="32" t="str">
        <f>Orders!A986</f>
        <v>O00985</v>
      </c>
      <c r="B989" s="32" t="str">
        <f>Orders!C986</f>
        <v>S011</v>
      </c>
      <c r="C989" s="32" t="str">
        <f>Orders!B986</f>
        <v>C0039</v>
      </c>
      <c r="D989" s="32" t="str">
        <f>Orders!H986</f>
        <v>Delivered</v>
      </c>
      <c r="E989" s="33">
        <f>IF(Orders!H986="Delivered",1,0)</f>
        <v>1</v>
      </c>
      <c r="F989" s="34">
        <f>IF(E989=1,Orders!R986,"")</f>
        <v>5.6</v>
      </c>
      <c r="G989" s="33">
        <f>IF(E989=1,IF(Orders!R986&gt;0,1,0),"")</f>
        <v>1</v>
      </c>
      <c r="H989" s="33">
        <f>IF(E989=1,IF(Orders!R986&gt;5,1,0),"")</f>
        <v>1</v>
      </c>
      <c r="I989" s="32" t="str">
        <f>IF(E989=1,"",IF(OR(Orders!T986="Rider unavailable",Orders!T986="Item unavailable"),"Company-caused","Unresolved"))</f>
        <v/>
      </c>
      <c r="J989" s="33">
        <f>IF(OR(E989=1,I989="Company-caused"),1,0)</f>
        <v>1</v>
      </c>
      <c r="K989" s="32" t="str">
        <f>IF(E989=0,IF(I989="Company-caused",IF(Orders!T986="Rider unavailable","C1 Rider unavailable","C2 Item unavailable"),"Outside root: unresolved"),IF(G989=0,"A On time",IF(H989=1,IF(L989=1,"B2a Severe, peak","B2b Severe, off-peak"),IF(L989=1,"B1a Slight, peak","B1b Slight, off-peak"))))</f>
        <v>B2b Severe, off-peak</v>
      </c>
      <c r="L989" s="33">
        <f>IF(AND(Orders!U986&gt;=19,Orders!U986&lt;22),1,0)</f>
        <v>0</v>
      </c>
      <c r="M989" s="33">
        <f>IF(L989=IF(Orders!V986,1,0),1,0)</f>
        <v>1</v>
      </c>
      <c r="N989" s="32" t="str">
        <f>IF(Orders!W986="","None",Orders!W986)</f>
        <v>None</v>
      </c>
      <c r="O989" s="35">
        <f>INT(Orders!E986)</f>
        <v>46271.0</v>
      </c>
      <c r="P989" s="33">
        <f>Orders!U986</f>
        <v>13</v>
      </c>
      <c r="Q989" s="33">
        <f>COUNTIFS(Demand!$A$2:$A$4481,B989,Demand!$B$2:$B$4481,O989,Demand!$C$2:$C$4481,P989)</f>
        <v>1</v>
      </c>
      <c r="R989" s="33">
        <f>IF(Q989=1,SUMIFS(Demand!$E$2:$E$4481,Demand!$A$2:$A$4481,B989,Demand!$B$2:$B$4481,O989,Demand!$C$2:$C$4481,P989),"")</f>
        <v>30</v>
      </c>
      <c r="S989" s="33">
        <f>INDEX(Stores!$G$2:$G$21,MATCH(B989,Stores!$A$2:$A$21,0))</f>
        <v>31</v>
      </c>
      <c r="T989" s="34">
        <f>IF(R989="","",R989/S989)</f>
        <v>0.967741935483871</v>
      </c>
      <c r="U989" s="34">
        <f>IF(E989=1,T989,"")</f>
        <v>0.967741935483871</v>
      </c>
      <c r="V989" s="34">
        <f>IF(AND(E989=1,L989=0),T989,"")</f>
        <v>0.967741935483871</v>
      </c>
      <c r="W989" s="33">
        <f>IF(U989="","",IF(U989&lt;=Breakdowns!$C$5,1,IF(U989&lt;=Breakdowns!$C$6,2,IF(U989&lt;=Breakdowns!$C$7,3,4))))</f>
        <v>2</v>
      </c>
      <c r="X989" s="33">
        <f>IF(V989="","",IF(V989&lt;=Breakdowns!$D$5,1,IF(V989&lt;=Breakdowns!$D$6,2,IF(V989&lt;=Breakdowns!$D$7,3,4))))</f>
        <v>3</v>
      </c>
      <c r="Y989" s="34">
        <f>INDEX(Stores!$F$2:$F$21,MATCH(B989,Stores!$A$2:$A$21,0))</f>
        <v>5.67</v>
      </c>
      <c r="Z989" s="33">
        <f>IF(Y989&gt;Store_Summary!$M$2,1,0)</f>
        <v>1</v>
      </c>
      <c r="AA989" s="33">
        <f>INDEX(Stores!$C$2:$C$21,MATCH(B989,Stores!$A$2:$A$21,0))</f>
        <v>732</v>
      </c>
      <c r="AB989" s="33">
        <f>IF(AA989&lt;180,1,0)</f>
        <v>0</v>
      </c>
      <c r="AC989" s="32" t="str">
        <f>IF(Orders!D986="","",INDEX(Riders!$C$2:$C$81,MATCH(Orders!D986,Riders!$A$2:$A$81,0)))</f>
        <v>EV scooter</v>
      </c>
      <c r="AD989" s="33">
        <f>IF(Orders!D986="","",INDEX(Riders!$D$2:$D$81,MATCH(Orders!D986,Riders!$A$2:$A$81,0)))</f>
        <v>46</v>
      </c>
      <c r="AE989" s="33">
        <f>IF(Orders!D986="","",IF(INDEX(Riders!$B$2:$B$81,MATCH(Orders!D986,Riders!$A$2:$A$81,0))=B989,1,0))</f>
        <v>0</v>
      </c>
      <c r="AF989" s="34">
        <f>IF(E989=1,Orders!L986,"")</f>
        <v>3.25</v>
      </c>
      <c r="AG989" s="34">
        <f>IF(E989=1,Orders!P986,"")</f>
        <v>13.6</v>
      </c>
      <c r="AH989" s="34">
        <f>IF(E989=1,Orders!Q986,"")</f>
        <v>19.2</v>
      </c>
      <c r="AI989" s="34">
        <f>IF(E989=1,Orders!M986,"")</f>
        <v>7.2</v>
      </c>
      <c r="AJ989" s="34">
        <f>IF(E989=1,Orders!N986,"")</f>
        <v>3.6</v>
      </c>
      <c r="AK989" s="34">
        <f>IF(E989=1,Orders!O986,"")</f>
        <v>8.4</v>
      </c>
      <c r="AL989" s="33">
        <f>IF(E989=1,IF(ROUND(ABS(AI989+AJ989+AK989-AH989),6)&lt;=0.1,1,0),"")</f>
        <v>1</v>
      </c>
      <c r="AM989" s="36">
        <f>IF(E989=1,AI989/AH989,"")</f>
        <v>0.375</v>
      </c>
      <c r="AN989" s="36">
        <f>IF(E989=1,AJ989/AH989,"")</f>
        <v>0.1875</v>
      </c>
      <c r="AO989" s="36">
        <f>IF(E989=1,AK989/AH989,"")</f>
        <v>0.4375</v>
      </c>
      <c r="AP989" s="34">
        <f>IF(E989=1,Orders!Y986,"")</f>
        <v>0.57</v>
      </c>
      <c r="AQ989" s="33">
        <f>IF(Orders!X986,1,0)</f>
        <v>0</v>
      </c>
      <c r="AR989" s="34" t="str">
        <f>IF(AND(E989=1,L989=1),AJ989,"")</f>
        <v/>
      </c>
      <c r="AS989" s="34">
        <f>IF(AND(E989=1,L989=0),AJ989,"")</f>
        <v>3.6</v>
      </c>
      <c r="AT989" s="34" t="str">
        <f>IF(AND(E989=1,L989=1),AI989,"")</f>
        <v/>
      </c>
      <c r="AU989" s="34">
        <f>IF(AND(E989=1,L989=0),AI989,"")</f>
        <v>7.2</v>
      </c>
      <c r="AV989" s="34" t="str">
        <f>IF(AND(E989=1,L989=1),AG989,"")</f>
        <v/>
      </c>
      <c r="AW989" s="34">
        <f>IF(AND(E989=1,L989=0),AG989,"")</f>
        <v>13.6</v>
      </c>
      <c r="AX989" s="34" t="str">
        <f>IF(AND(E989=1,L989=1),AH989,"")</f>
        <v/>
      </c>
      <c r="AY989" s="34">
        <f>IF(AND(E989=1,L989=0),AH989,"")</f>
        <v>19.2</v>
      </c>
      <c r="AZ989" s="34">
        <f>IF(G989=1,F989,"")</f>
        <v>5.6</v>
      </c>
      <c r="BA989" s="34" t="str">
        <f>IF(AND(G989=1,L989=1),F989,"")</f>
        <v/>
      </c>
      <c r="BB989" s="34">
        <f>IF(AND(G989=1,L989=0),F989,"")</f>
        <v>5.6</v>
      </c>
      <c r="BC989" s="33">
        <f>IF(E989=1,IF(Orders!R986&gt;3,1,0),"")</f>
        <v>1</v>
      </c>
      <c r="BD989" s="33">
        <f>IF(E989=1,IF(Orders!R986&gt;7,1,0),"")</f>
        <v>0</v>
      </c>
      <c r="BE989" s="32" t="str">
        <f>IF(E989=1,IF(Orders!L986&lt;=1.5,"Up to 1.5 km",IF(Orders!L986&lt;=3,"1.5–3 km","Over 3 km")),"")</f>
        <v>Over 3 km</v>
      </c>
      <c r="BF989" s="33">
        <f>IF(E989=1,IF(ABS((Orders!G986-Orders!F986)*1440-Orders!R986)&lt;0.06,1,0),"")</f>
        <v>1</v>
      </c>
      <c r="BG989" s="33">
        <f>IF(ABS((Orders!F986-Orders!E986)*1440-Orders!P986)&lt;0.06,1,0)</f>
        <v>1</v>
      </c>
      <c r="BH989" s="33">
        <f>IF(E989=1,IF(IF(Orders!S986,1,0)=1-G989,1,0),"")</f>
        <v>1</v>
      </c>
      <c r="BI989" s="32" t="str">
        <f>INDEX(Stores!$B$2:$B$21,MATCH(B989,Stores!$A$2:$A$21,0))</f>
        <v>Bengaluru</v>
      </c>
    </row>
    <row r="990">
      <c r="A990" s="32" t="str">
        <f>Orders!A987</f>
        <v>O00986</v>
      </c>
      <c r="B990" s="32" t="str">
        <f>Orders!C987</f>
        <v>S002</v>
      </c>
      <c r="C990" s="32" t="str">
        <f>Orders!B987</f>
        <v>C0053</v>
      </c>
      <c r="D990" s="32" t="str">
        <f>Orders!H987</f>
        <v>Delivered</v>
      </c>
      <c r="E990" s="33">
        <f>IF(Orders!H987="Delivered",1,0)</f>
        <v>1</v>
      </c>
      <c r="F990" s="34">
        <f>IF(E990=1,Orders!R987,"")</f>
        <v>-0.9</v>
      </c>
      <c r="G990" s="33">
        <f>IF(E990=1,IF(Orders!R987&gt;0,1,0),"")</f>
        <v>0</v>
      </c>
      <c r="H990" s="33">
        <f>IF(E990=1,IF(Orders!R987&gt;5,1,0),"")</f>
        <v>0</v>
      </c>
      <c r="I990" s="32" t="str">
        <f>IF(E990=1,"",IF(OR(Orders!T987="Rider unavailable",Orders!T987="Item unavailable"),"Company-caused","Unresolved"))</f>
        <v/>
      </c>
      <c r="J990" s="33">
        <f>IF(OR(E990=1,I990="Company-caused"),1,0)</f>
        <v>1</v>
      </c>
      <c r="K990" s="32" t="str">
        <f>IF(E990=0,IF(I990="Company-caused",IF(Orders!T987="Rider unavailable","C1 Rider unavailable","C2 Item unavailable"),"Outside root: unresolved"),IF(G990=0,"A On time",IF(H990=1,IF(L990=1,"B2a Severe, peak","B2b Severe, off-peak"),IF(L990=1,"B1a Slight, peak","B1b Slight, off-peak"))))</f>
        <v>A On time</v>
      </c>
      <c r="L990" s="33">
        <f>IF(AND(Orders!U987&gt;=19,Orders!U987&lt;22),1,0)</f>
        <v>0</v>
      </c>
      <c r="M990" s="33">
        <f>IF(L990=IF(Orders!V987,1,0),1,0)</f>
        <v>1</v>
      </c>
      <c r="N990" s="32" t="str">
        <f>IF(Orders!W987="","None",Orders!W987)</f>
        <v>None</v>
      </c>
      <c r="O990" s="35">
        <f>INT(Orders!E987)</f>
        <v>46273.0</v>
      </c>
      <c r="P990" s="33">
        <f>Orders!U987</f>
        <v>13</v>
      </c>
      <c r="Q990" s="33">
        <f>COUNTIFS(Demand!$A$2:$A$4481,B990,Demand!$B$2:$B$4481,O990,Demand!$C$2:$C$4481,P990)</f>
        <v>1</v>
      </c>
      <c r="R990" s="33">
        <f>IF(Q990=1,SUMIFS(Demand!$E$2:$E$4481,Demand!$A$2:$A$4481,B990,Demand!$B$2:$B$4481,O990,Demand!$C$2:$C$4481,P990),"")</f>
        <v>40</v>
      </c>
      <c r="S990" s="33">
        <f>INDEX(Stores!$G$2:$G$21,MATCH(B990,Stores!$A$2:$A$21,0))</f>
        <v>33</v>
      </c>
      <c r="T990" s="34">
        <f>IF(R990="","",R990/S990)</f>
        <v>1.21212121212121</v>
      </c>
      <c r="U990" s="34">
        <f>IF(E990=1,T990,"")</f>
        <v>1.21212121212121</v>
      </c>
      <c r="V990" s="34">
        <f>IF(AND(E990=1,L990=0),T990,"")</f>
        <v>1.21212121212121</v>
      </c>
      <c r="W990" s="33">
        <f>IF(U990="","",IF(U990&lt;=Breakdowns!$C$5,1,IF(U990&lt;=Breakdowns!$C$6,2,IF(U990&lt;=Breakdowns!$C$7,3,4))))</f>
        <v>3</v>
      </c>
      <c r="X990" s="33">
        <f>IF(V990="","",IF(V990&lt;=Breakdowns!$D$5,1,IF(V990&lt;=Breakdowns!$D$6,2,IF(V990&lt;=Breakdowns!$D$7,3,4))))</f>
        <v>4</v>
      </c>
      <c r="Y990" s="34">
        <f>INDEX(Stores!$F$2:$F$21,MATCH(B990,Stores!$A$2:$A$21,0))</f>
        <v>2.39</v>
      </c>
      <c r="Z990" s="33">
        <f>IF(Y990&gt;Store_Summary!$M$2,1,0)</f>
        <v>0</v>
      </c>
      <c r="AA990" s="33">
        <f>INDEX(Stores!$C$2:$C$21,MATCH(B990,Stores!$A$2:$A$21,0))</f>
        <v>470</v>
      </c>
      <c r="AB990" s="33">
        <f>IF(AA990&lt;180,1,0)</f>
        <v>0</v>
      </c>
      <c r="AC990" s="32" t="str">
        <f>IF(Orders!D987="","",INDEX(Riders!$C$2:$C$81,MATCH(Orders!D987,Riders!$A$2:$A$81,0)))</f>
        <v>Petrol scooter</v>
      </c>
      <c r="AD990" s="33">
        <f>IF(Orders!D987="","",INDEX(Riders!$D$2:$D$81,MATCH(Orders!D987,Riders!$A$2:$A$81,0)))</f>
        <v>44</v>
      </c>
      <c r="AE990" s="33">
        <f>IF(Orders!D987="","",IF(INDEX(Riders!$B$2:$B$81,MATCH(Orders!D987,Riders!$A$2:$A$81,0))=B990,1,0))</f>
        <v>0</v>
      </c>
      <c r="AF990" s="34">
        <f>IF(E990=1,Orders!L987,"")</f>
        <v>1.67</v>
      </c>
      <c r="AG990" s="34">
        <f>IF(E990=1,Orders!P987,"")</f>
        <v>10</v>
      </c>
      <c r="AH990" s="34">
        <f>IF(E990=1,Orders!Q987,"")</f>
        <v>9.1</v>
      </c>
      <c r="AI990" s="34">
        <f>IF(E990=1,Orders!M987,"")</f>
        <v>1.1</v>
      </c>
      <c r="AJ990" s="34">
        <f>IF(E990=1,Orders!N987,"")</f>
        <v>5</v>
      </c>
      <c r="AK990" s="34">
        <f>IF(E990=1,Orders!O987,"")</f>
        <v>3</v>
      </c>
      <c r="AL990" s="33">
        <f>IF(E990=1,IF(ROUND(ABS(AI990+AJ990+AK990-AH990),6)&lt;=0.1,1,0),"")</f>
        <v>1</v>
      </c>
      <c r="AM990" s="36">
        <f>IF(E990=1,AI990/AH990,"")</f>
        <v>0.120879120879121</v>
      </c>
      <c r="AN990" s="36">
        <f>IF(E990=1,AJ990/AH990,"")</f>
        <v>0.54945054945055</v>
      </c>
      <c r="AO990" s="36">
        <f>IF(E990=1,AK990/AH990,"")</f>
        <v>0.32967032967033</v>
      </c>
      <c r="AP990" s="34">
        <f>IF(E990=1,Orders!Y987,"")</f>
        <v>0.44</v>
      </c>
      <c r="AQ990" s="33">
        <f>IF(Orders!X987,1,0)</f>
        <v>0</v>
      </c>
      <c r="AR990" s="34" t="str">
        <f>IF(AND(E990=1,L990=1),AJ990,"")</f>
        <v/>
      </c>
      <c r="AS990" s="34">
        <f>IF(AND(E990=1,L990=0),AJ990,"")</f>
        <v>5</v>
      </c>
      <c r="AT990" s="34" t="str">
        <f>IF(AND(E990=1,L990=1),AI990,"")</f>
        <v/>
      </c>
      <c r="AU990" s="34">
        <f>IF(AND(E990=1,L990=0),AI990,"")</f>
        <v>1.1</v>
      </c>
      <c r="AV990" s="34" t="str">
        <f>IF(AND(E990=1,L990=1),AG990,"")</f>
        <v/>
      </c>
      <c r="AW990" s="34">
        <f>IF(AND(E990=1,L990=0),AG990,"")</f>
        <v>10</v>
      </c>
      <c r="AX990" s="34" t="str">
        <f>IF(AND(E990=1,L990=1),AH990,"")</f>
        <v/>
      </c>
      <c r="AY990" s="34">
        <f>IF(AND(E990=1,L990=0),AH990,"")</f>
        <v>9.1</v>
      </c>
      <c r="AZ990" s="34" t="str">
        <f>IF(G990=1,F990,"")</f>
        <v/>
      </c>
      <c r="BA990" s="34" t="str">
        <f>IF(AND(G990=1,L990=1),F990,"")</f>
        <v/>
      </c>
      <c r="BB990" s="34" t="str">
        <f>IF(AND(G990=1,L990=0),F990,"")</f>
        <v/>
      </c>
      <c r="BC990" s="33">
        <f>IF(E990=1,IF(Orders!R987&gt;3,1,0),"")</f>
        <v>0</v>
      </c>
      <c r="BD990" s="33">
        <f>IF(E990=1,IF(Orders!R987&gt;7,1,0),"")</f>
        <v>0</v>
      </c>
      <c r="BE990" s="32" t="str">
        <f>IF(E990=1,IF(Orders!L987&lt;=1.5,"Up to 1.5 km",IF(Orders!L987&lt;=3,"1.5–3 km","Over 3 km")),"")</f>
        <v>1.5–3 km</v>
      </c>
      <c r="BF990" s="33">
        <f>IF(E990=1,IF(ABS((Orders!G987-Orders!F987)*1440-Orders!R987)&lt;0.06,1,0),"")</f>
        <v>1</v>
      </c>
      <c r="BG990" s="33">
        <f>IF(ABS((Orders!F987-Orders!E987)*1440-Orders!P987)&lt;0.06,1,0)</f>
        <v>1</v>
      </c>
      <c r="BH990" s="33">
        <f>IF(E990=1,IF(IF(Orders!S987,1,0)=1-G990,1,0),"")</f>
        <v>1</v>
      </c>
      <c r="BI990" s="32" t="str">
        <f>INDEX(Stores!$B$2:$B$21,MATCH(B990,Stores!$A$2:$A$21,0))</f>
        <v>Hyderabad</v>
      </c>
    </row>
    <row r="991">
      <c r="A991" s="32" t="str">
        <f>Orders!A988</f>
        <v>O00987</v>
      </c>
      <c r="B991" s="32" t="str">
        <f>Orders!C988</f>
        <v>S020</v>
      </c>
      <c r="C991" s="32" t="str">
        <f>Orders!B988</f>
        <v>C0161</v>
      </c>
      <c r="D991" s="32" t="str">
        <f>Orders!H988</f>
        <v>Delivered</v>
      </c>
      <c r="E991" s="33">
        <f>IF(Orders!H988="Delivered",1,0)</f>
        <v>1</v>
      </c>
      <c r="F991" s="34">
        <f>IF(E991=1,Orders!R988,"")</f>
        <v>-0.4</v>
      </c>
      <c r="G991" s="33">
        <f>IF(E991=1,IF(Orders!R988&gt;0,1,0),"")</f>
        <v>0</v>
      </c>
      <c r="H991" s="33">
        <f>IF(E991=1,IF(Orders!R988&gt;5,1,0),"")</f>
        <v>0</v>
      </c>
      <c r="I991" s="32" t="str">
        <f>IF(E991=1,"",IF(OR(Orders!T988="Rider unavailable",Orders!T988="Item unavailable"),"Company-caused","Unresolved"))</f>
        <v/>
      </c>
      <c r="J991" s="33">
        <f>IF(OR(E991=1,I991="Company-caused"),1,0)</f>
        <v>1</v>
      </c>
      <c r="K991" s="32" t="str">
        <f>IF(E991=0,IF(I991="Company-caused",IF(Orders!T988="Rider unavailable","C1 Rider unavailable","C2 Item unavailable"),"Outside root: unresolved"),IF(G991=0,"A On time",IF(H991=1,IF(L991=1,"B2a Severe, peak","B2b Severe, off-peak"),IF(L991=1,"B1a Slight, peak","B1b Slight, off-peak"))))</f>
        <v>A On time</v>
      </c>
      <c r="L991" s="33">
        <f>IF(AND(Orders!U988&gt;=19,Orders!U988&lt;22),1,0)</f>
        <v>0</v>
      </c>
      <c r="M991" s="33">
        <f>IF(L991=IF(Orders!V988,1,0),1,0)</f>
        <v>1</v>
      </c>
      <c r="N991" s="32" t="str">
        <f>IF(Orders!W988="","None",Orders!W988)</f>
        <v>None</v>
      </c>
      <c r="O991" s="35">
        <f>INT(Orders!E988)</f>
        <v>46268.0</v>
      </c>
      <c r="P991" s="33">
        <f>Orders!U988</f>
        <v>13</v>
      </c>
      <c r="Q991" s="33">
        <f>COUNTIFS(Demand!$A$2:$A$4481,B991,Demand!$B$2:$B$4481,O991,Demand!$C$2:$C$4481,P991)</f>
        <v>1</v>
      </c>
      <c r="R991" s="33">
        <f>IF(Q991=1,SUMIFS(Demand!$E$2:$E$4481,Demand!$A$2:$A$4481,B991,Demand!$B$2:$B$4481,O991,Demand!$C$2:$C$4481,P991),"")</f>
        <v>17</v>
      </c>
      <c r="S991" s="33">
        <f>INDEX(Stores!$G$2:$G$21,MATCH(B991,Stores!$A$2:$A$21,0))</f>
        <v>15</v>
      </c>
      <c r="T991" s="34">
        <f>IF(R991="","",R991/S991)</f>
        <v>1.13333333333333</v>
      </c>
      <c r="U991" s="34">
        <f>IF(E991=1,T991,"")</f>
        <v>1.13333333333333</v>
      </c>
      <c r="V991" s="34">
        <f>IF(AND(E991=1,L991=0),T991,"")</f>
        <v>1.13333333333333</v>
      </c>
      <c r="W991" s="33">
        <f>IF(U991="","",IF(U991&lt;=Breakdowns!$C$5,1,IF(U991&lt;=Breakdowns!$C$6,2,IF(U991&lt;=Breakdowns!$C$7,3,4))))</f>
        <v>3</v>
      </c>
      <c r="X991" s="33">
        <f>IF(V991="","",IF(V991&lt;=Breakdowns!$D$5,1,IF(V991&lt;=Breakdowns!$D$6,2,IF(V991&lt;=Breakdowns!$D$7,3,4))))</f>
        <v>4</v>
      </c>
      <c r="Y991" s="34">
        <f>INDEX(Stores!$F$2:$F$21,MATCH(B991,Stores!$A$2:$A$21,0))</f>
        <v>5.74</v>
      </c>
      <c r="Z991" s="33">
        <f>IF(Y991&gt;Store_Summary!$M$2,1,0)</f>
        <v>1</v>
      </c>
      <c r="AA991" s="33">
        <f>INDEX(Stores!$C$2:$C$21,MATCH(B991,Stores!$A$2:$A$21,0))</f>
        <v>647</v>
      </c>
      <c r="AB991" s="33">
        <f>IF(AA991&lt;180,1,0)</f>
        <v>0</v>
      </c>
      <c r="AC991" s="32" t="str">
        <f>IF(Orders!D988="","",INDEX(Riders!$C$2:$C$81,MATCH(Orders!D988,Riders!$A$2:$A$81,0)))</f>
        <v>EV scooter</v>
      </c>
      <c r="AD991" s="33">
        <f>IF(Orders!D988="","",INDEX(Riders!$D$2:$D$81,MATCH(Orders!D988,Riders!$A$2:$A$81,0)))</f>
        <v>26</v>
      </c>
      <c r="AE991" s="33">
        <f>IF(Orders!D988="","",IF(INDEX(Riders!$B$2:$B$81,MATCH(Orders!D988,Riders!$A$2:$A$81,0))=B991,1,0))</f>
        <v>0</v>
      </c>
      <c r="AF991" s="34">
        <f>IF(E991=1,Orders!L988,"")</f>
        <v>2.53</v>
      </c>
      <c r="AG991" s="34">
        <f>IF(E991=1,Orders!P988,"")</f>
        <v>11.7</v>
      </c>
      <c r="AH991" s="34">
        <f>IF(E991=1,Orders!Q988,"")</f>
        <v>11.3</v>
      </c>
      <c r="AI991" s="34">
        <f>IF(E991=1,Orders!M988,"")</f>
        <v>2.9</v>
      </c>
      <c r="AJ991" s="34">
        <f>IF(E991=1,Orders!N988,"")</f>
        <v>5.3</v>
      </c>
      <c r="AK991" s="34">
        <f>IF(E991=1,Orders!O988,"")</f>
        <v>3.1</v>
      </c>
      <c r="AL991" s="33">
        <f>IF(E991=1,IF(ROUND(ABS(AI991+AJ991+AK991-AH991),6)&lt;=0.1,1,0),"")</f>
        <v>1</v>
      </c>
      <c r="AM991" s="36">
        <f>IF(E991=1,AI991/AH991,"")</f>
        <v>0.256637168141593</v>
      </c>
      <c r="AN991" s="36">
        <f>IF(E991=1,AJ991/AH991,"")</f>
        <v>0.469026548672566</v>
      </c>
      <c r="AO991" s="36">
        <f>IF(E991=1,AK991/AH991,"")</f>
        <v>0.274336283185841</v>
      </c>
      <c r="AP991" s="34">
        <f>IF(E991=1,Orders!Y988,"")</f>
        <v>0.38</v>
      </c>
      <c r="AQ991" s="33">
        <f>IF(Orders!X988,1,0)</f>
        <v>0</v>
      </c>
      <c r="AR991" s="34" t="str">
        <f>IF(AND(E991=1,L991=1),AJ991,"")</f>
        <v/>
      </c>
      <c r="AS991" s="34">
        <f>IF(AND(E991=1,L991=0),AJ991,"")</f>
        <v>5.3</v>
      </c>
      <c r="AT991" s="34" t="str">
        <f>IF(AND(E991=1,L991=1),AI991,"")</f>
        <v/>
      </c>
      <c r="AU991" s="34">
        <f>IF(AND(E991=1,L991=0),AI991,"")</f>
        <v>2.9</v>
      </c>
      <c r="AV991" s="34" t="str">
        <f>IF(AND(E991=1,L991=1),AG991,"")</f>
        <v/>
      </c>
      <c r="AW991" s="34">
        <f>IF(AND(E991=1,L991=0),AG991,"")</f>
        <v>11.7</v>
      </c>
      <c r="AX991" s="34" t="str">
        <f>IF(AND(E991=1,L991=1),AH991,"")</f>
        <v/>
      </c>
      <c r="AY991" s="34">
        <f>IF(AND(E991=1,L991=0),AH991,"")</f>
        <v>11.3</v>
      </c>
      <c r="AZ991" s="34" t="str">
        <f>IF(G991=1,F991,"")</f>
        <v/>
      </c>
      <c r="BA991" s="34" t="str">
        <f>IF(AND(G991=1,L991=1),F991,"")</f>
        <v/>
      </c>
      <c r="BB991" s="34" t="str">
        <f>IF(AND(G991=1,L991=0),F991,"")</f>
        <v/>
      </c>
      <c r="BC991" s="33">
        <f>IF(E991=1,IF(Orders!R988&gt;3,1,0),"")</f>
        <v>0</v>
      </c>
      <c r="BD991" s="33">
        <f>IF(E991=1,IF(Orders!R988&gt;7,1,0),"")</f>
        <v>0</v>
      </c>
      <c r="BE991" s="32" t="str">
        <f>IF(E991=1,IF(Orders!L988&lt;=1.5,"Up to 1.5 km",IF(Orders!L988&lt;=3,"1.5–3 km","Over 3 km")),"")</f>
        <v>1.5–3 km</v>
      </c>
      <c r="BF991" s="33">
        <f>IF(E991=1,IF(ABS((Orders!G988-Orders!F988)*1440-Orders!R988)&lt;0.06,1,0),"")</f>
        <v>1</v>
      </c>
      <c r="BG991" s="33">
        <f>IF(ABS((Orders!F988-Orders!E988)*1440-Orders!P988)&lt;0.06,1,0)</f>
        <v>1</v>
      </c>
      <c r="BH991" s="33">
        <f>IF(E991=1,IF(IF(Orders!S988,1,0)=1-G991,1,0),"")</f>
        <v>1</v>
      </c>
      <c r="BI991" s="32" t="str">
        <f>INDEX(Stores!$B$2:$B$21,MATCH(B991,Stores!$A$2:$A$21,0))</f>
        <v>Delhi</v>
      </c>
    </row>
    <row r="992">
      <c r="A992" s="32" t="str">
        <f>Orders!A989</f>
        <v>O00988</v>
      </c>
      <c r="B992" s="32" t="str">
        <f>Orders!C989</f>
        <v>S009</v>
      </c>
      <c r="C992" s="32" t="str">
        <f>Orders!B989</f>
        <v>C0242</v>
      </c>
      <c r="D992" s="32" t="str">
        <f>Orders!H989</f>
        <v>Delivered</v>
      </c>
      <c r="E992" s="33">
        <f>IF(Orders!H989="Delivered",1,0)</f>
        <v>1</v>
      </c>
      <c r="F992" s="34">
        <f>IF(E992=1,Orders!R989,"")</f>
        <v>-0.4</v>
      </c>
      <c r="G992" s="33">
        <f>IF(E992=1,IF(Orders!R989&gt;0,1,0),"")</f>
        <v>0</v>
      </c>
      <c r="H992" s="33">
        <f>IF(E992=1,IF(Orders!R989&gt;5,1,0),"")</f>
        <v>0</v>
      </c>
      <c r="I992" s="32" t="str">
        <f>IF(E992=1,"",IF(OR(Orders!T989="Rider unavailable",Orders!T989="Item unavailable"),"Company-caused","Unresolved"))</f>
        <v/>
      </c>
      <c r="J992" s="33">
        <f>IF(OR(E992=1,I992="Company-caused"),1,0)</f>
        <v>1</v>
      </c>
      <c r="K992" s="32" t="str">
        <f>IF(E992=0,IF(I992="Company-caused",IF(Orders!T989="Rider unavailable","C1 Rider unavailable","C2 Item unavailable"),"Outside root: unresolved"),IF(G992=0,"A On time",IF(H992=1,IF(L992=1,"B2a Severe, peak","B2b Severe, off-peak"),IF(L992=1,"B1a Slight, peak","B1b Slight, off-peak"))))</f>
        <v>A On time</v>
      </c>
      <c r="L992" s="33">
        <f>IF(AND(Orders!U989&gt;=19,Orders!U989&lt;22),1,0)</f>
        <v>1</v>
      </c>
      <c r="M992" s="33">
        <f>IF(L992=IF(Orders!V989,1,0),1,0)</f>
        <v>1</v>
      </c>
      <c r="N992" s="32" t="str">
        <f>IF(Orders!W989="","None",Orders!W989)</f>
        <v>None</v>
      </c>
      <c r="O992" s="35">
        <f>INT(Orders!E989)</f>
        <v>46266.0</v>
      </c>
      <c r="P992" s="33">
        <f>Orders!U989</f>
        <v>20</v>
      </c>
      <c r="Q992" s="33">
        <f>COUNTIFS(Demand!$A$2:$A$4481,B992,Demand!$B$2:$B$4481,O992,Demand!$C$2:$C$4481,P992)</f>
        <v>1</v>
      </c>
      <c r="R992" s="33">
        <f>IF(Q992=1,SUMIFS(Demand!$E$2:$E$4481,Demand!$A$2:$A$4481,B992,Demand!$B$2:$B$4481,O992,Demand!$C$2:$C$4481,P992),"")</f>
        <v>50</v>
      </c>
      <c r="S992" s="33">
        <f>INDEX(Stores!$G$2:$G$21,MATCH(B992,Stores!$A$2:$A$21,0))</f>
        <v>29</v>
      </c>
      <c r="T992" s="34">
        <f>IF(R992="","",R992/S992)</f>
        <v>1.72413793103448</v>
      </c>
      <c r="U992" s="34">
        <f>IF(E992=1,T992,"")</f>
        <v>1.72413793103448</v>
      </c>
      <c r="V992" s="34" t="str">
        <f>IF(AND(E992=1,L992=0),T992,"")</f>
        <v/>
      </c>
      <c r="W992" s="33">
        <f>IF(U992="","",IF(U992&lt;=Breakdowns!$C$5,1,IF(U992&lt;=Breakdowns!$C$6,2,IF(U992&lt;=Breakdowns!$C$7,3,4))))</f>
        <v>4</v>
      </c>
      <c r="X992" s="33" t="str">
        <f>IF(V992="","",IF(V992&lt;=Breakdowns!$D$5,1,IF(V992&lt;=Breakdowns!$D$6,2,IF(V992&lt;=Breakdowns!$D$7,3,4))))</f>
        <v/>
      </c>
      <c r="Y992" s="34">
        <f>INDEX(Stores!$F$2:$F$21,MATCH(B992,Stores!$A$2:$A$21,0))</f>
        <v>2.66</v>
      </c>
      <c r="Z992" s="33">
        <f>IF(Y992&gt;Store_Summary!$M$2,1,0)</f>
        <v>0</v>
      </c>
      <c r="AA992" s="33">
        <f>INDEX(Stores!$C$2:$C$21,MATCH(B992,Stores!$A$2:$A$21,0))</f>
        <v>645</v>
      </c>
      <c r="AB992" s="33">
        <f>IF(AA992&lt;180,1,0)</f>
        <v>0</v>
      </c>
      <c r="AC992" s="32" t="str">
        <f>IF(Orders!D989="","",INDEX(Riders!$C$2:$C$81,MATCH(Orders!D989,Riders!$A$2:$A$81,0)))</f>
        <v>Petrol scooter</v>
      </c>
      <c r="AD992" s="33">
        <f>IF(Orders!D989="","",INDEX(Riders!$D$2:$D$81,MATCH(Orders!D989,Riders!$A$2:$A$81,0)))</f>
        <v>1</v>
      </c>
      <c r="AE992" s="33">
        <f>IF(Orders!D989="","",IF(INDEX(Riders!$B$2:$B$81,MATCH(Orders!D989,Riders!$A$2:$A$81,0))=B992,1,0))</f>
        <v>0</v>
      </c>
      <c r="AF992" s="34">
        <f>IF(E992=1,Orders!L989,"")</f>
        <v>1.57</v>
      </c>
      <c r="AG992" s="34">
        <f>IF(E992=1,Orders!P989,"")</f>
        <v>10.9</v>
      </c>
      <c r="AH992" s="34">
        <f>IF(E992=1,Orders!Q989,"")</f>
        <v>10.5</v>
      </c>
      <c r="AI992" s="34">
        <f>IF(E992=1,Orders!M989,"")</f>
        <v>1.9</v>
      </c>
      <c r="AJ992" s="34">
        <f>IF(E992=1,Orders!N989,"")</f>
        <v>4.5</v>
      </c>
      <c r="AK992" s="34">
        <f>IF(E992=1,Orders!O989,"")</f>
        <v>4.1</v>
      </c>
      <c r="AL992" s="33">
        <f>IF(E992=1,IF(ROUND(ABS(AI992+AJ992+AK992-AH992),6)&lt;=0.1,1,0),"")</f>
        <v>1</v>
      </c>
      <c r="AM992" s="36">
        <f>IF(E992=1,AI992/AH992,"")</f>
        <v>0.180952380952381</v>
      </c>
      <c r="AN992" s="36">
        <f>IF(E992=1,AJ992/AH992,"")</f>
        <v>0.428571428571429</v>
      </c>
      <c r="AO992" s="36">
        <f>IF(E992=1,AK992/AH992,"")</f>
        <v>0.39047619047619</v>
      </c>
      <c r="AP992" s="34">
        <f>IF(E992=1,Orders!Y989,"")</f>
        <v>0.77</v>
      </c>
      <c r="AQ992" s="33">
        <f>IF(Orders!X989,1,0)</f>
        <v>1</v>
      </c>
      <c r="AR992" s="34">
        <f>IF(AND(E992=1,L992=1),AJ992,"")</f>
        <v>4.5</v>
      </c>
      <c r="AS992" s="34" t="str">
        <f>IF(AND(E992=1,L992=0),AJ992,"")</f>
        <v/>
      </c>
      <c r="AT992" s="34">
        <f>IF(AND(E992=1,L992=1),AI992,"")</f>
        <v>1.9</v>
      </c>
      <c r="AU992" s="34" t="str">
        <f>IF(AND(E992=1,L992=0),AI992,"")</f>
        <v/>
      </c>
      <c r="AV992" s="34">
        <f>IF(AND(E992=1,L992=1),AG992,"")</f>
        <v>10.9</v>
      </c>
      <c r="AW992" s="34" t="str">
        <f>IF(AND(E992=1,L992=0),AG992,"")</f>
        <v/>
      </c>
      <c r="AX992" s="34">
        <f>IF(AND(E992=1,L992=1),AH992,"")</f>
        <v>10.5</v>
      </c>
      <c r="AY992" s="34" t="str">
        <f>IF(AND(E992=1,L992=0),AH992,"")</f>
        <v/>
      </c>
      <c r="AZ992" s="34" t="str">
        <f>IF(G992=1,F992,"")</f>
        <v/>
      </c>
      <c r="BA992" s="34" t="str">
        <f>IF(AND(G992=1,L992=1),F992,"")</f>
        <v/>
      </c>
      <c r="BB992" s="34" t="str">
        <f>IF(AND(G992=1,L992=0),F992,"")</f>
        <v/>
      </c>
      <c r="BC992" s="33">
        <f>IF(E992=1,IF(Orders!R989&gt;3,1,0),"")</f>
        <v>0</v>
      </c>
      <c r="BD992" s="33">
        <f>IF(E992=1,IF(Orders!R989&gt;7,1,0),"")</f>
        <v>0</v>
      </c>
      <c r="BE992" s="32" t="str">
        <f>IF(E992=1,IF(Orders!L989&lt;=1.5,"Up to 1.5 km",IF(Orders!L989&lt;=3,"1.5–3 km","Over 3 km")),"")</f>
        <v>1.5–3 km</v>
      </c>
      <c r="BF992" s="33">
        <f>IF(E992=1,IF(ABS((Orders!G989-Orders!F989)*1440-Orders!R989)&lt;0.06,1,0),"")</f>
        <v>1</v>
      </c>
      <c r="BG992" s="33">
        <f>IF(ABS((Orders!F989-Orders!E989)*1440-Orders!P989)&lt;0.06,1,0)</f>
        <v>1</v>
      </c>
      <c r="BH992" s="33">
        <f>IF(E992=1,IF(IF(Orders!S989,1,0)=1-G992,1,0),"")</f>
        <v>1</v>
      </c>
      <c r="BI992" s="32" t="str">
        <f>INDEX(Stores!$B$2:$B$21,MATCH(B992,Stores!$A$2:$A$21,0))</f>
        <v>Pune</v>
      </c>
    </row>
    <row r="993">
      <c r="A993" s="32" t="str">
        <f>Orders!A990</f>
        <v>O00989</v>
      </c>
      <c r="B993" s="32" t="str">
        <f>Orders!C990</f>
        <v>S005</v>
      </c>
      <c r="C993" s="32" t="str">
        <f>Orders!B990</f>
        <v>C0244</v>
      </c>
      <c r="D993" s="32" t="str">
        <f>Orders!H990</f>
        <v>Delivered</v>
      </c>
      <c r="E993" s="33">
        <f>IF(Orders!H990="Delivered",1,0)</f>
        <v>1</v>
      </c>
      <c r="F993" s="34">
        <f>IF(E993=1,Orders!R990,"")</f>
        <v>-0.3</v>
      </c>
      <c r="G993" s="33">
        <f>IF(E993=1,IF(Orders!R990&gt;0,1,0),"")</f>
        <v>0</v>
      </c>
      <c r="H993" s="33">
        <f>IF(E993=1,IF(Orders!R990&gt;5,1,0),"")</f>
        <v>0</v>
      </c>
      <c r="I993" s="32" t="str">
        <f>IF(E993=1,"",IF(OR(Orders!T990="Rider unavailable",Orders!T990="Item unavailable"),"Company-caused","Unresolved"))</f>
        <v/>
      </c>
      <c r="J993" s="33">
        <f>IF(OR(E993=1,I993="Company-caused"),1,0)</f>
        <v>1</v>
      </c>
      <c r="K993" s="32" t="str">
        <f>IF(E993=0,IF(I993="Company-caused",IF(Orders!T990="Rider unavailable","C1 Rider unavailable","C2 Item unavailable"),"Outside root: unresolved"),IF(G993=0,"A On time",IF(H993=1,IF(L993=1,"B2a Severe, peak","B2b Severe, off-peak"),IF(L993=1,"B1a Slight, peak","B1b Slight, off-peak"))))</f>
        <v>A On time</v>
      </c>
      <c r="L993" s="33">
        <f>IF(AND(Orders!U990&gt;=19,Orders!U990&lt;22),1,0)</f>
        <v>0</v>
      </c>
      <c r="M993" s="33">
        <f>IF(L993=IF(Orders!V990,1,0),1,0)</f>
        <v>1</v>
      </c>
      <c r="N993" s="32" t="str">
        <f>IF(Orders!W990="","None",Orders!W990)</f>
        <v>None</v>
      </c>
      <c r="O993" s="35">
        <f>INT(Orders!E990)</f>
        <v>46266.0</v>
      </c>
      <c r="P993" s="33">
        <f>Orders!U990</f>
        <v>14</v>
      </c>
      <c r="Q993" s="33">
        <f>COUNTIFS(Demand!$A$2:$A$4481,B993,Demand!$B$2:$B$4481,O993,Demand!$C$2:$C$4481,P993)</f>
        <v>1</v>
      </c>
      <c r="R993" s="33">
        <f>IF(Q993=1,SUMIFS(Demand!$E$2:$E$4481,Demand!$A$2:$A$4481,B993,Demand!$B$2:$B$4481,O993,Demand!$C$2:$C$4481,P993),"")</f>
        <v>11</v>
      </c>
      <c r="S993" s="33">
        <f>INDEX(Stores!$G$2:$G$21,MATCH(B993,Stores!$A$2:$A$21,0))</f>
        <v>14</v>
      </c>
      <c r="T993" s="34">
        <f>IF(R993="","",R993/S993)</f>
        <v>0.785714285714286</v>
      </c>
      <c r="U993" s="34">
        <f>IF(E993=1,T993,"")</f>
        <v>0.785714285714286</v>
      </c>
      <c r="V993" s="34">
        <f>IF(AND(E993=1,L993=0),T993,"")</f>
        <v>0.785714285714286</v>
      </c>
      <c r="W993" s="33">
        <f>IF(U993="","",IF(U993&lt;=Breakdowns!$C$5,1,IF(U993&lt;=Breakdowns!$C$6,2,IF(U993&lt;=Breakdowns!$C$7,3,4))))</f>
        <v>1</v>
      </c>
      <c r="X993" s="33">
        <f>IF(V993="","",IF(V993&lt;=Breakdowns!$D$5,1,IF(V993&lt;=Breakdowns!$D$6,2,IF(V993&lt;=Breakdowns!$D$7,3,4))))</f>
        <v>2</v>
      </c>
      <c r="Y993" s="34">
        <f>INDEX(Stores!$F$2:$F$21,MATCH(B993,Stores!$A$2:$A$21,0))</f>
        <v>4.89</v>
      </c>
      <c r="Z993" s="33">
        <f>IF(Y993&gt;Store_Summary!$M$2,1,0)</f>
        <v>0</v>
      </c>
      <c r="AA993" s="33">
        <f>INDEX(Stores!$C$2:$C$21,MATCH(B993,Stores!$A$2:$A$21,0))</f>
        <v>138</v>
      </c>
      <c r="AB993" s="33">
        <f>IF(AA993&lt;180,1,0)</f>
        <v>1</v>
      </c>
      <c r="AC993" s="32" t="str">
        <f>IF(Orders!D990="","",INDEX(Riders!$C$2:$C$81,MATCH(Orders!D990,Riders!$A$2:$A$81,0)))</f>
        <v>Bicycle</v>
      </c>
      <c r="AD993" s="33">
        <f>IF(Orders!D990="","",INDEX(Riders!$D$2:$D$81,MATCH(Orders!D990,Riders!$A$2:$A$81,0)))</f>
        <v>8</v>
      </c>
      <c r="AE993" s="33">
        <f>IF(Orders!D990="","",IF(INDEX(Riders!$B$2:$B$81,MATCH(Orders!D990,Riders!$A$2:$A$81,0))=B993,1,0))</f>
        <v>0</v>
      </c>
      <c r="AF993" s="34">
        <f>IF(E993=1,Orders!L990,"")</f>
        <v>2.39</v>
      </c>
      <c r="AG993" s="34">
        <f>IF(E993=1,Orders!P990,"")</f>
        <v>12.1</v>
      </c>
      <c r="AH993" s="34">
        <f>IF(E993=1,Orders!Q990,"")</f>
        <v>11.8</v>
      </c>
      <c r="AI993" s="34">
        <f>IF(E993=1,Orders!M990,"")</f>
        <v>3.5</v>
      </c>
      <c r="AJ993" s="34">
        <f>IF(E993=1,Orders!N990,"")</f>
        <v>4.4</v>
      </c>
      <c r="AK993" s="34">
        <f>IF(E993=1,Orders!O990,"")</f>
        <v>3.9</v>
      </c>
      <c r="AL993" s="33">
        <f>IF(E993=1,IF(ROUND(ABS(AI993+AJ993+AK993-AH993),6)&lt;=0.1,1,0),"")</f>
        <v>1</v>
      </c>
      <c r="AM993" s="36">
        <f>IF(E993=1,AI993/AH993,"")</f>
        <v>0.296610169491525</v>
      </c>
      <c r="AN993" s="36">
        <f>IF(E993=1,AJ993/AH993,"")</f>
        <v>0.372881355932203</v>
      </c>
      <c r="AO993" s="36">
        <f>IF(E993=1,AK993/AH993,"")</f>
        <v>0.330508474576271</v>
      </c>
      <c r="AP993" s="34">
        <f>IF(E993=1,Orders!Y990,"")</f>
        <v>0.32</v>
      </c>
      <c r="AQ993" s="33">
        <f>IF(Orders!X990,1,0)</f>
        <v>0</v>
      </c>
      <c r="AR993" s="34" t="str">
        <f>IF(AND(E993=1,L993=1),AJ993,"")</f>
        <v/>
      </c>
      <c r="AS993" s="34">
        <f>IF(AND(E993=1,L993=0),AJ993,"")</f>
        <v>4.4</v>
      </c>
      <c r="AT993" s="34" t="str">
        <f>IF(AND(E993=1,L993=1),AI993,"")</f>
        <v/>
      </c>
      <c r="AU993" s="34">
        <f>IF(AND(E993=1,L993=0),AI993,"")</f>
        <v>3.5</v>
      </c>
      <c r="AV993" s="34" t="str">
        <f>IF(AND(E993=1,L993=1),AG993,"")</f>
        <v/>
      </c>
      <c r="AW993" s="34">
        <f>IF(AND(E993=1,L993=0),AG993,"")</f>
        <v>12.1</v>
      </c>
      <c r="AX993" s="34" t="str">
        <f>IF(AND(E993=1,L993=1),AH993,"")</f>
        <v/>
      </c>
      <c r="AY993" s="34">
        <f>IF(AND(E993=1,L993=0),AH993,"")</f>
        <v>11.8</v>
      </c>
      <c r="AZ993" s="34" t="str">
        <f>IF(G993=1,F993,"")</f>
        <v/>
      </c>
      <c r="BA993" s="34" t="str">
        <f>IF(AND(G993=1,L993=1),F993,"")</f>
        <v/>
      </c>
      <c r="BB993" s="34" t="str">
        <f>IF(AND(G993=1,L993=0),F993,"")</f>
        <v/>
      </c>
      <c r="BC993" s="33">
        <f>IF(E993=1,IF(Orders!R990&gt;3,1,0),"")</f>
        <v>0</v>
      </c>
      <c r="BD993" s="33">
        <f>IF(E993=1,IF(Orders!R990&gt;7,1,0),"")</f>
        <v>0</v>
      </c>
      <c r="BE993" s="32" t="str">
        <f>IF(E993=1,IF(Orders!L990&lt;=1.5,"Up to 1.5 km",IF(Orders!L990&lt;=3,"1.5–3 km","Over 3 km")),"")</f>
        <v>1.5–3 km</v>
      </c>
      <c r="BF993" s="33">
        <f>IF(E993=1,IF(ABS((Orders!G990-Orders!F990)*1440-Orders!R990)&lt;0.06,1,0),"")</f>
        <v>1</v>
      </c>
      <c r="BG993" s="33">
        <f>IF(ABS((Orders!F990-Orders!E990)*1440-Orders!P990)&lt;0.06,1,0)</f>
        <v>1</v>
      </c>
      <c r="BH993" s="33">
        <f>IF(E993=1,IF(IF(Orders!S990,1,0)=1-G993,1,0),"")</f>
        <v>1</v>
      </c>
      <c r="BI993" s="32" t="str">
        <f>INDEX(Stores!$B$2:$B$21,MATCH(B993,Stores!$A$2:$A$21,0))</f>
        <v>Delhi</v>
      </c>
    </row>
    <row r="994">
      <c r="A994" s="32" t="str">
        <f>Orders!A991</f>
        <v>O00990</v>
      </c>
      <c r="B994" s="32" t="str">
        <f>Orders!C991</f>
        <v>S014</v>
      </c>
      <c r="C994" s="32" t="str">
        <f>Orders!B991</f>
        <v>C0028</v>
      </c>
      <c r="D994" s="32" t="str">
        <f>Orders!H991</f>
        <v>Delivered</v>
      </c>
      <c r="E994" s="33">
        <f>IF(Orders!H991="Delivered",1,0)</f>
        <v>1</v>
      </c>
      <c r="F994" s="34">
        <f>IF(E994=1,Orders!R991,"")</f>
        <v>-0.7</v>
      </c>
      <c r="G994" s="33">
        <f>IF(E994=1,IF(Orders!R991&gt;0,1,0),"")</f>
        <v>0</v>
      </c>
      <c r="H994" s="33">
        <f>IF(E994=1,IF(Orders!R991&gt;5,1,0),"")</f>
        <v>0</v>
      </c>
      <c r="I994" s="32" t="str">
        <f>IF(E994=1,"",IF(OR(Orders!T991="Rider unavailable",Orders!T991="Item unavailable"),"Company-caused","Unresolved"))</f>
        <v/>
      </c>
      <c r="J994" s="33">
        <f>IF(OR(E994=1,I994="Company-caused"),1,0)</f>
        <v>1</v>
      </c>
      <c r="K994" s="32" t="str">
        <f>IF(E994=0,IF(I994="Company-caused",IF(Orders!T991="Rider unavailable","C1 Rider unavailable","C2 Item unavailable"),"Outside root: unresolved"),IF(G994=0,"A On time",IF(H994=1,IF(L994=1,"B2a Severe, peak","B2b Severe, off-peak"),IF(L994=1,"B1a Slight, peak","B1b Slight, off-peak"))))</f>
        <v>A On time</v>
      </c>
      <c r="L994" s="33">
        <f>IF(AND(Orders!U991&gt;=19,Orders!U991&lt;22),1,0)</f>
        <v>0</v>
      </c>
      <c r="M994" s="33">
        <f>IF(L994=IF(Orders!V991,1,0),1,0)</f>
        <v>1</v>
      </c>
      <c r="N994" s="32" t="str">
        <f>IF(Orders!W991="","None",Orders!W991)</f>
        <v>Heavy</v>
      </c>
      <c r="O994" s="35">
        <f>INT(Orders!E991)</f>
        <v>46278.0</v>
      </c>
      <c r="P994" s="33">
        <f>Orders!U991</f>
        <v>23</v>
      </c>
      <c r="Q994" s="33">
        <f>COUNTIFS(Demand!$A$2:$A$4481,B994,Demand!$B$2:$B$4481,O994,Demand!$C$2:$C$4481,P994)</f>
        <v>1</v>
      </c>
      <c r="R994" s="33">
        <f>IF(Q994=1,SUMIFS(Demand!$E$2:$E$4481,Demand!$A$2:$A$4481,B994,Demand!$B$2:$B$4481,O994,Demand!$C$2:$C$4481,P994),"")</f>
        <v>40</v>
      </c>
      <c r="S994" s="33">
        <f>INDEX(Stores!$G$2:$G$21,MATCH(B994,Stores!$A$2:$A$21,0))</f>
        <v>37</v>
      </c>
      <c r="T994" s="34">
        <f>IF(R994="","",R994/S994)</f>
        <v>1.08108108108108</v>
      </c>
      <c r="U994" s="34">
        <f>IF(E994=1,T994,"")</f>
        <v>1.08108108108108</v>
      </c>
      <c r="V994" s="34">
        <f>IF(AND(E994=1,L994=0),T994,"")</f>
        <v>1.08108108108108</v>
      </c>
      <c r="W994" s="33">
        <f>IF(U994="","",IF(U994&lt;=Breakdowns!$C$5,1,IF(U994&lt;=Breakdowns!$C$6,2,IF(U994&lt;=Breakdowns!$C$7,3,4))))</f>
        <v>3</v>
      </c>
      <c r="X994" s="33">
        <f>IF(V994="","",IF(V994&lt;=Breakdowns!$D$5,1,IF(V994&lt;=Breakdowns!$D$6,2,IF(V994&lt;=Breakdowns!$D$7,3,4))))</f>
        <v>4</v>
      </c>
      <c r="Y994" s="34">
        <f>INDEX(Stores!$F$2:$F$21,MATCH(B994,Stores!$A$2:$A$21,0))</f>
        <v>5.55</v>
      </c>
      <c r="Z994" s="33">
        <f>IF(Y994&gt;Store_Summary!$M$2,1,0)</f>
        <v>1</v>
      </c>
      <c r="AA994" s="33">
        <f>INDEX(Stores!$C$2:$C$21,MATCH(B994,Stores!$A$2:$A$21,0))</f>
        <v>241</v>
      </c>
      <c r="AB994" s="33">
        <f>IF(AA994&lt;180,1,0)</f>
        <v>0</v>
      </c>
      <c r="AC994" s="32" t="str">
        <f>IF(Orders!D991="","",INDEX(Riders!$C$2:$C$81,MATCH(Orders!D991,Riders!$A$2:$A$81,0)))</f>
        <v>EV scooter</v>
      </c>
      <c r="AD994" s="33">
        <f>IF(Orders!D991="","",INDEX(Riders!$D$2:$D$81,MATCH(Orders!D991,Riders!$A$2:$A$81,0)))</f>
        <v>27</v>
      </c>
      <c r="AE994" s="33">
        <f>IF(Orders!D991="","",IF(INDEX(Riders!$B$2:$B$81,MATCH(Orders!D991,Riders!$A$2:$A$81,0))=B994,1,0))</f>
        <v>0</v>
      </c>
      <c r="AF994" s="34">
        <f>IF(E994=1,Orders!L991,"")</f>
        <v>2.23</v>
      </c>
      <c r="AG994" s="34">
        <f>IF(E994=1,Orders!P991,"")</f>
        <v>9.2</v>
      </c>
      <c r="AH994" s="34">
        <f>IF(E994=1,Orders!Q991,"")</f>
        <v>8.5</v>
      </c>
      <c r="AI994" s="34">
        <f>IF(E994=1,Orders!M991,"")</f>
        <v>2.6</v>
      </c>
      <c r="AJ994" s="34">
        <f>IF(E994=1,Orders!N991,"")</f>
        <v>2</v>
      </c>
      <c r="AK994" s="34">
        <f>IF(E994=1,Orders!O991,"")</f>
        <v>3.9</v>
      </c>
      <c r="AL994" s="33">
        <f>IF(E994=1,IF(ROUND(ABS(AI994+AJ994+AK994-AH994),6)&lt;=0.1,1,0),"")</f>
        <v>1</v>
      </c>
      <c r="AM994" s="36">
        <f>IF(E994=1,AI994/AH994,"")</f>
        <v>0.305882352941177</v>
      </c>
      <c r="AN994" s="36">
        <f>IF(E994=1,AJ994/AH994,"")</f>
        <v>0.235294117647059</v>
      </c>
      <c r="AO994" s="36">
        <f>IF(E994=1,AK994/AH994,"")</f>
        <v>0.458823529411765</v>
      </c>
      <c r="AP994" s="34">
        <f>IF(E994=1,Orders!Y991,"")</f>
        <v>0.53</v>
      </c>
      <c r="AQ994" s="33">
        <f>IF(Orders!X991,1,0)</f>
        <v>0</v>
      </c>
      <c r="AR994" s="34" t="str">
        <f>IF(AND(E994=1,L994=1),AJ994,"")</f>
        <v/>
      </c>
      <c r="AS994" s="34">
        <f>IF(AND(E994=1,L994=0),AJ994,"")</f>
        <v>2</v>
      </c>
      <c r="AT994" s="34" t="str">
        <f>IF(AND(E994=1,L994=1),AI994,"")</f>
        <v/>
      </c>
      <c r="AU994" s="34">
        <f>IF(AND(E994=1,L994=0),AI994,"")</f>
        <v>2.6</v>
      </c>
      <c r="AV994" s="34" t="str">
        <f>IF(AND(E994=1,L994=1),AG994,"")</f>
        <v/>
      </c>
      <c r="AW994" s="34">
        <f>IF(AND(E994=1,L994=0),AG994,"")</f>
        <v>9.2</v>
      </c>
      <c r="AX994" s="34" t="str">
        <f>IF(AND(E994=1,L994=1),AH994,"")</f>
        <v/>
      </c>
      <c r="AY994" s="34">
        <f>IF(AND(E994=1,L994=0),AH994,"")</f>
        <v>8.5</v>
      </c>
      <c r="AZ994" s="34" t="str">
        <f>IF(G994=1,F994,"")</f>
        <v/>
      </c>
      <c r="BA994" s="34" t="str">
        <f>IF(AND(G994=1,L994=1),F994,"")</f>
        <v/>
      </c>
      <c r="BB994" s="34" t="str">
        <f>IF(AND(G994=1,L994=0),F994,"")</f>
        <v/>
      </c>
      <c r="BC994" s="33">
        <f>IF(E994=1,IF(Orders!R991&gt;3,1,0),"")</f>
        <v>0</v>
      </c>
      <c r="BD994" s="33">
        <f>IF(E994=1,IF(Orders!R991&gt;7,1,0),"")</f>
        <v>0</v>
      </c>
      <c r="BE994" s="32" t="str">
        <f>IF(E994=1,IF(Orders!L991&lt;=1.5,"Up to 1.5 km",IF(Orders!L991&lt;=3,"1.5–3 km","Over 3 km")),"")</f>
        <v>1.5–3 km</v>
      </c>
      <c r="BF994" s="33">
        <f>IF(E994=1,IF(ABS((Orders!G991-Orders!F991)*1440-Orders!R991)&lt;0.06,1,0),"")</f>
        <v>1</v>
      </c>
      <c r="BG994" s="33">
        <f>IF(ABS((Orders!F991-Orders!E991)*1440-Orders!P991)&lt;0.06,1,0)</f>
        <v>1</v>
      </c>
      <c r="BH994" s="33">
        <f>IF(E994=1,IF(IF(Orders!S991,1,0)=1-G994,1,0),"")</f>
        <v>1</v>
      </c>
      <c r="BI994" s="32" t="str">
        <f>INDEX(Stores!$B$2:$B$21,MATCH(B994,Stores!$A$2:$A$21,0))</f>
        <v>Pune</v>
      </c>
    </row>
    <row r="995">
      <c r="A995" s="32" t="str">
        <f>Orders!A992</f>
        <v>O00991</v>
      </c>
      <c r="B995" s="32" t="str">
        <f>Orders!C992</f>
        <v>S002</v>
      </c>
      <c r="C995" s="32" t="str">
        <f>Orders!B992</f>
        <v>C0095</v>
      </c>
      <c r="D995" s="32" t="str">
        <f>Orders!H992</f>
        <v>Delivered</v>
      </c>
      <c r="E995" s="33">
        <f>IF(Orders!H992="Delivered",1,0)</f>
        <v>1</v>
      </c>
      <c r="F995" s="34">
        <f>IF(E995=1,Orders!R992,"")</f>
        <v>13.2</v>
      </c>
      <c r="G995" s="33">
        <f>IF(E995=1,IF(Orders!R992&gt;0,1,0),"")</f>
        <v>1</v>
      </c>
      <c r="H995" s="33">
        <f>IF(E995=1,IF(Orders!R992&gt;5,1,0),"")</f>
        <v>1</v>
      </c>
      <c r="I995" s="32" t="str">
        <f>IF(E995=1,"",IF(OR(Orders!T992="Rider unavailable",Orders!T992="Item unavailable"),"Company-caused","Unresolved"))</f>
        <v/>
      </c>
      <c r="J995" s="33">
        <f>IF(OR(E995=1,I995="Company-caused"),1,0)</f>
        <v>1</v>
      </c>
      <c r="K995" s="32" t="str">
        <f>IF(E995=0,IF(I995="Company-caused",IF(Orders!T992="Rider unavailable","C1 Rider unavailable","C2 Item unavailable"),"Outside root: unresolved"),IF(G995=0,"A On time",IF(H995=1,IF(L995=1,"B2a Severe, peak","B2b Severe, off-peak"),IF(L995=1,"B1a Slight, peak","B1b Slight, off-peak"))))</f>
        <v>B2a Severe, peak</v>
      </c>
      <c r="L995" s="33">
        <f>IF(AND(Orders!U992&gt;=19,Orders!U992&lt;22),1,0)</f>
        <v>1</v>
      </c>
      <c r="M995" s="33">
        <f>IF(L995=IF(Orders!V992,1,0),1,0)</f>
        <v>1</v>
      </c>
      <c r="N995" s="32" t="str">
        <f>IF(Orders!W992="","None",Orders!W992)</f>
        <v>None</v>
      </c>
      <c r="O995" s="35">
        <f>INT(Orders!E992)</f>
        <v>46275.0</v>
      </c>
      <c r="P995" s="33">
        <f>Orders!U992</f>
        <v>20</v>
      </c>
      <c r="Q995" s="33">
        <f>COUNTIFS(Demand!$A$2:$A$4481,B995,Demand!$B$2:$B$4481,O995,Demand!$C$2:$C$4481,P995)</f>
        <v>1</v>
      </c>
      <c r="R995" s="33">
        <f>IF(Q995=1,SUMIFS(Demand!$E$2:$E$4481,Demand!$A$2:$A$4481,B995,Demand!$B$2:$B$4481,O995,Demand!$C$2:$C$4481,P995),"")</f>
        <v>57</v>
      </c>
      <c r="S995" s="33">
        <f>INDEX(Stores!$G$2:$G$21,MATCH(B995,Stores!$A$2:$A$21,0))</f>
        <v>33</v>
      </c>
      <c r="T995" s="34">
        <f>IF(R995="","",R995/S995)</f>
        <v>1.72727272727273</v>
      </c>
      <c r="U995" s="34">
        <f>IF(E995=1,T995,"")</f>
        <v>1.72727272727273</v>
      </c>
      <c r="V995" s="34" t="str">
        <f>IF(AND(E995=1,L995=0),T995,"")</f>
        <v/>
      </c>
      <c r="W995" s="33">
        <f>IF(U995="","",IF(U995&lt;=Breakdowns!$C$5,1,IF(U995&lt;=Breakdowns!$C$6,2,IF(U995&lt;=Breakdowns!$C$7,3,4))))</f>
        <v>4</v>
      </c>
      <c r="X995" s="33" t="str">
        <f>IF(V995="","",IF(V995&lt;=Breakdowns!$D$5,1,IF(V995&lt;=Breakdowns!$D$6,2,IF(V995&lt;=Breakdowns!$D$7,3,4))))</f>
        <v/>
      </c>
      <c r="Y995" s="34">
        <f>INDEX(Stores!$F$2:$F$21,MATCH(B995,Stores!$A$2:$A$21,0))</f>
        <v>2.39</v>
      </c>
      <c r="Z995" s="33">
        <f>IF(Y995&gt;Store_Summary!$M$2,1,0)</f>
        <v>0</v>
      </c>
      <c r="AA995" s="33">
        <f>INDEX(Stores!$C$2:$C$21,MATCH(B995,Stores!$A$2:$A$21,0))</f>
        <v>470</v>
      </c>
      <c r="AB995" s="33">
        <f>IF(AA995&lt;180,1,0)</f>
        <v>0</v>
      </c>
      <c r="AC995" s="32" t="str">
        <f>IF(Orders!D992="","",INDEX(Riders!$C$2:$C$81,MATCH(Orders!D992,Riders!$A$2:$A$81,0)))</f>
        <v>EV scooter</v>
      </c>
      <c r="AD995" s="33">
        <f>IF(Orders!D992="","",INDEX(Riders!$D$2:$D$81,MATCH(Orders!D992,Riders!$A$2:$A$81,0)))</f>
        <v>12</v>
      </c>
      <c r="AE995" s="33">
        <f>IF(Orders!D992="","",IF(INDEX(Riders!$B$2:$B$81,MATCH(Orders!D992,Riders!$A$2:$A$81,0))=B995,1,0))</f>
        <v>0</v>
      </c>
      <c r="AF995" s="34">
        <f>IF(E995=1,Orders!L992,"")</f>
        <v>5</v>
      </c>
      <c r="AG995" s="34">
        <f>IF(E995=1,Orders!P992,"")</f>
        <v>12</v>
      </c>
      <c r="AH995" s="34">
        <f>IF(E995=1,Orders!Q992,"")</f>
        <v>25.2</v>
      </c>
      <c r="AI995" s="34">
        <f>IF(E995=1,Orders!M992,"")</f>
        <v>3.4</v>
      </c>
      <c r="AJ995" s="34">
        <f>IF(E995=1,Orders!N992,"")</f>
        <v>7.9</v>
      </c>
      <c r="AK995" s="34">
        <f>IF(E995=1,Orders!O992,"")</f>
        <v>14</v>
      </c>
      <c r="AL995" s="33">
        <f>IF(E995=1,IF(ROUND(ABS(AI995+AJ995+AK995-AH995),6)&lt;=0.1,1,0),"")</f>
        <v>1</v>
      </c>
      <c r="AM995" s="36">
        <f>IF(E995=1,AI995/AH995,"")</f>
        <v>0.134920634920635</v>
      </c>
      <c r="AN995" s="36">
        <f>IF(E995=1,AJ995/AH995,"")</f>
        <v>0.313492063492064</v>
      </c>
      <c r="AO995" s="36">
        <f>IF(E995=1,AK995/AH995,"")</f>
        <v>0.555555555555556</v>
      </c>
      <c r="AP995" s="34">
        <f>IF(E995=1,Orders!Y992,"")</f>
        <v>0.49</v>
      </c>
      <c r="AQ995" s="33">
        <f>IF(Orders!X992,1,0)</f>
        <v>0</v>
      </c>
      <c r="AR995" s="34">
        <f>IF(AND(E995=1,L995=1),AJ995,"")</f>
        <v>7.9</v>
      </c>
      <c r="AS995" s="34" t="str">
        <f>IF(AND(E995=1,L995=0),AJ995,"")</f>
        <v/>
      </c>
      <c r="AT995" s="34">
        <f>IF(AND(E995=1,L995=1),AI995,"")</f>
        <v>3.4</v>
      </c>
      <c r="AU995" s="34" t="str">
        <f>IF(AND(E995=1,L995=0),AI995,"")</f>
        <v/>
      </c>
      <c r="AV995" s="34">
        <f>IF(AND(E995=1,L995=1),AG995,"")</f>
        <v>12</v>
      </c>
      <c r="AW995" s="34" t="str">
        <f>IF(AND(E995=1,L995=0),AG995,"")</f>
        <v/>
      </c>
      <c r="AX995" s="34">
        <f>IF(AND(E995=1,L995=1),AH995,"")</f>
        <v>25.2</v>
      </c>
      <c r="AY995" s="34" t="str">
        <f>IF(AND(E995=1,L995=0),AH995,"")</f>
        <v/>
      </c>
      <c r="AZ995" s="34">
        <f>IF(G995=1,F995,"")</f>
        <v>13.2</v>
      </c>
      <c r="BA995" s="34">
        <f>IF(AND(G995=1,L995=1),F995,"")</f>
        <v>13.2</v>
      </c>
      <c r="BB995" s="34" t="str">
        <f>IF(AND(G995=1,L995=0),F995,"")</f>
        <v/>
      </c>
      <c r="BC995" s="33">
        <f>IF(E995=1,IF(Orders!R992&gt;3,1,0),"")</f>
        <v>1</v>
      </c>
      <c r="BD995" s="33">
        <f>IF(E995=1,IF(Orders!R992&gt;7,1,0),"")</f>
        <v>1</v>
      </c>
      <c r="BE995" s="32" t="str">
        <f>IF(E995=1,IF(Orders!L992&lt;=1.5,"Up to 1.5 km",IF(Orders!L992&lt;=3,"1.5–3 km","Over 3 km")),"")</f>
        <v>Over 3 km</v>
      </c>
      <c r="BF995" s="33">
        <f>IF(E995=1,IF(ABS((Orders!G992-Orders!F992)*1440-Orders!R992)&lt;0.06,1,0),"")</f>
        <v>1</v>
      </c>
      <c r="BG995" s="33">
        <f>IF(ABS((Orders!F992-Orders!E992)*1440-Orders!P992)&lt;0.06,1,0)</f>
        <v>1</v>
      </c>
      <c r="BH995" s="33">
        <f>IF(E995=1,IF(IF(Orders!S992,1,0)=1-G995,1,0),"")</f>
        <v>1</v>
      </c>
      <c r="BI995" s="32" t="str">
        <f>INDEX(Stores!$B$2:$B$21,MATCH(B995,Stores!$A$2:$A$21,0))</f>
        <v>Hyderabad</v>
      </c>
    </row>
    <row r="996">
      <c r="A996" s="32" t="str">
        <f>Orders!A993</f>
        <v>O00992</v>
      </c>
      <c r="B996" s="32" t="str">
        <f>Orders!C993</f>
        <v>S019</v>
      </c>
      <c r="C996" s="32" t="str">
        <f>Orders!B993</f>
        <v>C0063</v>
      </c>
      <c r="D996" s="32" t="str">
        <f>Orders!H993</f>
        <v>Delivered</v>
      </c>
      <c r="E996" s="33">
        <f>IF(Orders!H993="Delivered",1,0)</f>
        <v>1</v>
      </c>
      <c r="F996" s="34">
        <f>IF(E996=1,Orders!R993,"")</f>
        <v>-0.8</v>
      </c>
      <c r="G996" s="33">
        <f>IF(E996=1,IF(Orders!R993&gt;0,1,0),"")</f>
        <v>0</v>
      </c>
      <c r="H996" s="33">
        <f>IF(E996=1,IF(Orders!R993&gt;5,1,0),"")</f>
        <v>0</v>
      </c>
      <c r="I996" s="32" t="str">
        <f>IF(E996=1,"",IF(OR(Orders!T993="Rider unavailable",Orders!T993="Item unavailable"),"Company-caused","Unresolved"))</f>
        <v/>
      </c>
      <c r="J996" s="33">
        <f>IF(OR(E996=1,I996="Company-caused"),1,0)</f>
        <v>1</v>
      </c>
      <c r="K996" s="32" t="str">
        <f>IF(E996=0,IF(I996="Company-caused",IF(Orders!T993="Rider unavailable","C1 Rider unavailable","C2 Item unavailable"),"Outside root: unresolved"),IF(G996=0,"A On time",IF(H996=1,IF(L996=1,"B2a Severe, peak","B2b Severe, off-peak"),IF(L996=1,"B1a Slight, peak","B1b Slight, off-peak"))))</f>
        <v>A On time</v>
      </c>
      <c r="L996" s="33">
        <f>IF(AND(Orders!U993&gt;=19,Orders!U993&lt;22),1,0)</f>
        <v>0</v>
      </c>
      <c r="M996" s="33">
        <f>IF(L996=IF(Orders!V993,1,0),1,0)</f>
        <v>1</v>
      </c>
      <c r="N996" s="32" t="str">
        <f>IF(Orders!W993="","None",Orders!W993)</f>
        <v>None</v>
      </c>
      <c r="O996" s="35">
        <f>INT(Orders!E993)</f>
        <v>46274.0</v>
      </c>
      <c r="P996" s="33">
        <f>Orders!U993</f>
        <v>10</v>
      </c>
      <c r="Q996" s="33">
        <f>COUNTIFS(Demand!$A$2:$A$4481,B996,Demand!$B$2:$B$4481,O996,Demand!$C$2:$C$4481,P996)</f>
        <v>1</v>
      </c>
      <c r="R996" s="33">
        <f>IF(Q996=1,SUMIFS(Demand!$E$2:$E$4481,Demand!$A$2:$A$4481,B996,Demand!$B$2:$B$4481,O996,Demand!$C$2:$C$4481,P996),"")</f>
        <v>14</v>
      </c>
      <c r="S996" s="33">
        <f>INDEX(Stores!$G$2:$G$21,MATCH(B996,Stores!$A$2:$A$21,0))</f>
        <v>22</v>
      </c>
      <c r="T996" s="34">
        <f>IF(R996="","",R996/S996)</f>
        <v>0.636363636363636</v>
      </c>
      <c r="U996" s="34">
        <f>IF(E996=1,T996,"")</f>
        <v>0.636363636363636</v>
      </c>
      <c r="V996" s="34">
        <f>IF(AND(E996=1,L996=0),T996,"")</f>
        <v>0.636363636363636</v>
      </c>
      <c r="W996" s="33">
        <f>IF(U996="","",IF(U996&lt;=Breakdowns!$C$5,1,IF(U996&lt;=Breakdowns!$C$6,2,IF(U996&lt;=Breakdowns!$C$7,3,4))))</f>
        <v>1</v>
      </c>
      <c r="X996" s="33">
        <f>IF(V996="","",IF(V996&lt;=Breakdowns!$D$5,1,IF(V996&lt;=Breakdowns!$D$6,2,IF(V996&lt;=Breakdowns!$D$7,3,4))))</f>
        <v>1</v>
      </c>
      <c r="Y996" s="34">
        <f>INDEX(Stores!$F$2:$F$21,MATCH(B996,Stores!$A$2:$A$21,0))</f>
        <v>4.99</v>
      </c>
      <c r="Z996" s="33">
        <f>IF(Y996&gt;Store_Summary!$M$2,1,0)</f>
        <v>1</v>
      </c>
      <c r="AA996" s="33">
        <f>INDEX(Stores!$C$2:$C$21,MATCH(B996,Stores!$A$2:$A$21,0))</f>
        <v>851</v>
      </c>
      <c r="AB996" s="33">
        <f>IF(AA996&lt;180,1,0)</f>
        <v>0</v>
      </c>
      <c r="AC996" s="32" t="str">
        <f>IF(Orders!D993="","",INDEX(Riders!$C$2:$C$81,MATCH(Orders!D993,Riders!$A$2:$A$81,0)))</f>
        <v>Petrol scooter</v>
      </c>
      <c r="AD996" s="33">
        <f>IF(Orders!D993="","",INDEX(Riders!$D$2:$D$81,MATCH(Orders!D993,Riders!$A$2:$A$81,0)))</f>
        <v>35</v>
      </c>
      <c r="AE996" s="33">
        <f>IF(Orders!D993="","",IF(INDEX(Riders!$B$2:$B$81,MATCH(Orders!D993,Riders!$A$2:$A$81,0))=B996,1,0))</f>
        <v>0</v>
      </c>
      <c r="AF996" s="34">
        <f>IF(E996=1,Orders!L993,"")</f>
        <v>1.74</v>
      </c>
      <c r="AG996" s="34">
        <f>IF(E996=1,Orders!P993,"")</f>
        <v>9.8</v>
      </c>
      <c r="AH996" s="34">
        <f>IF(E996=1,Orders!Q993,"")</f>
        <v>9</v>
      </c>
      <c r="AI996" s="34">
        <f>IF(E996=1,Orders!M993,"")</f>
        <v>3</v>
      </c>
      <c r="AJ996" s="34">
        <f>IF(E996=1,Orders!N993,"")</f>
        <v>3.5</v>
      </c>
      <c r="AK996" s="34">
        <f>IF(E996=1,Orders!O993,"")</f>
        <v>2.5</v>
      </c>
      <c r="AL996" s="33">
        <f>IF(E996=1,IF(ROUND(ABS(AI996+AJ996+AK996-AH996),6)&lt;=0.1,1,0),"")</f>
        <v>1</v>
      </c>
      <c r="AM996" s="36">
        <f>IF(E996=1,AI996/AH996,"")</f>
        <v>0.333333333333333</v>
      </c>
      <c r="AN996" s="36">
        <f>IF(E996=1,AJ996/AH996,"")</f>
        <v>0.388888888888889</v>
      </c>
      <c r="AO996" s="36">
        <f>IF(E996=1,AK996/AH996,"")</f>
        <v>0.277777777777778</v>
      </c>
      <c r="AP996" s="34">
        <f>IF(E996=1,Orders!Y993,"")</f>
        <v>0.29</v>
      </c>
      <c r="AQ996" s="33">
        <f>IF(Orders!X993,1,0)</f>
        <v>0</v>
      </c>
      <c r="AR996" s="34" t="str">
        <f>IF(AND(E996=1,L996=1),AJ996,"")</f>
        <v/>
      </c>
      <c r="AS996" s="34">
        <f>IF(AND(E996=1,L996=0),AJ996,"")</f>
        <v>3.5</v>
      </c>
      <c r="AT996" s="34" t="str">
        <f>IF(AND(E996=1,L996=1),AI996,"")</f>
        <v/>
      </c>
      <c r="AU996" s="34">
        <f>IF(AND(E996=1,L996=0),AI996,"")</f>
        <v>3</v>
      </c>
      <c r="AV996" s="34" t="str">
        <f>IF(AND(E996=1,L996=1),AG996,"")</f>
        <v/>
      </c>
      <c r="AW996" s="34">
        <f>IF(AND(E996=1,L996=0),AG996,"")</f>
        <v>9.8</v>
      </c>
      <c r="AX996" s="34" t="str">
        <f>IF(AND(E996=1,L996=1),AH996,"")</f>
        <v/>
      </c>
      <c r="AY996" s="34">
        <f>IF(AND(E996=1,L996=0),AH996,"")</f>
        <v>9</v>
      </c>
      <c r="AZ996" s="34" t="str">
        <f>IF(G996=1,F996,"")</f>
        <v/>
      </c>
      <c r="BA996" s="34" t="str">
        <f>IF(AND(G996=1,L996=1),F996,"")</f>
        <v/>
      </c>
      <c r="BB996" s="34" t="str">
        <f>IF(AND(G996=1,L996=0),F996,"")</f>
        <v/>
      </c>
      <c r="BC996" s="33">
        <f>IF(E996=1,IF(Orders!R993&gt;3,1,0),"")</f>
        <v>0</v>
      </c>
      <c r="BD996" s="33">
        <f>IF(E996=1,IF(Orders!R993&gt;7,1,0),"")</f>
        <v>0</v>
      </c>
      <c r="BE996" s="32" t="str">
        <f>IF(E996=1,IF(Orders!L993&lt;=1.5,"Up to 1.5 km",IF(Orders!L993&lt;=3,"1.5–3 km","Over 3 km")),"")</f>
        <v>1.5–3 km</v>
      </c>
      <c r="BF996" s="33">
        <f>IF(E996=1,IF(ABS((Orders!G993-Orders!F993)*1440-Orders!R993)&lt;0.06,1,0),"")</f>
        <v>1</v>
      </c>
      <c r="BG996" s="33">
        <f>IF(ABS((Orders!F993-Orders!E993)*1440-Orders!P993)&lt;0.06,1,0)</f>
        <v>1</v>
      </c>
      <c r="BH996" s="33">
        <f>IF(E996=1,IF(IF(Orders!S993,1,0)=1-G996,1,0),"")</f>
        <v>1</v>
      </c>
      <c r="BI996" s="32" t="str">
        <f>INDEX(Stores!$B$2:$B$21,MATCH(B996,Stores!$A$2:$A$21,0))</f>
        <v>Pune</v>
      </c>
    </row>
    <row r="997">
      <c r="A997" s="32" t="str">
        <f>Orders!A994</f>
        <v>O00993</v>
      </c>
      <c r="B997" s="32" t="str">
        <f>Orders!C994</f>
        <v>S005</v>
      </c>
      <c r="C997" s="32" t="str">
        <f>Orders!B994</f>
        <v>C0087</v>
      </c>
      <c r="D997" s="32" t="str">
        <f>Orders!H994</f>
        <v>Delivered</v>
      </c>
      <c r="E997" s="33">
        <f>IF(Orders!H994="Delivered",1,0)</f>
        <v>1</v>
      </c>
      <c r="F997" s="34">
        <f>IF(E997=1,Orders!R994,"")</f>
        <v>2.9</v>
      </c>
      <c r="G997" s="33">
        <f>IF(E997=1,IF(Orders!R994&gt;0,1,0),"")</f>
        <v>1</v>
      </c>
      <c r="H997" s="33">
        <f>IF(E997=1,IF(Orders!R994&gt;5,1,0),"")</f>
        <v>0</v>
      </c>
      <c r="I997" s="32" t="str">
        <f>IF(E997=1,"",IF(OR(Orders!T994="Rider unavailable",Orders!T994="Item unavailable"),"Company-caused","Unresolved"))</f>
        <v/>
      </c>
      <c r="J997" s="33">
        <f>IF(OR(E997=1,I997="Company-caused"),1,0)</f>
        <v>1</v>
      </c>
      <c r="K997" s="32" t="str">
        <f>IF(E997=0,IF(I997="Company-caused",IF(Orders!T994="Rider unavailable","C1 Rider unavailable","C2 Item unavailable"),"Outside root: unresolved"),IF(G997=0,"A On time",IF(H997=1,IF(L997=1,"B2a Severe, peak","B2b Severe, off-peak"),IF(L997=1,"B1a Slight, peak","B1b Slight, off-peak"))))</f>
        <v>B1a Slight, peak</v>
      </c>
      <c r="L997" s="33">
        <f>IF(AND(Orders!U994&gt;=19,Orders!U994&lt;22),1,0)</f>
        <v>1</v>
      </c>
      <c r="M997" s="33">
        <f>IF(L997=IF(Orders!V994,1,0),1,0)</f>
        <v>1</v>
      </c>
      <c r="N997" s="32" t="str">
        <f>IF(Orders!W994="","None",Orders!W994)</f>
        <v>None</v>
      </c>
      <c r="O997" s="35">
        <f>INT(Orders!E994)</f>
        <v>46270.0</v>
      </c>
      <c r="P997" s="33">
        <f>Orders!U994</f>
        <v>20</v>
      </c>
      <c r="Q997" s="33">
        <f>COUNTIFS(Demand!$A$2:$A$4481,B997,Demand!$B$2:$B$4481,O997,Demand!$C$2:$C$4481,P997)</f>
        <v>1</v>
      </c>
      <c r="R997" s="33">
        <f>IF(Q997=1,SUMIFS(Demand!$E$2:$E$4481,Demand!$A$2:$A$4481,B997,Demand!$B$2:$B$4481,O997,Demand!$C$2:$C$4481,P997),"")</f>
        <v>22</v>
      </c>
      <c r="S997" s="33">
        <f>INDEX(Stores!$G$2:$G$21,MATCH(B997,Stores!$A$2:$A$21,0))</f>
        <v>14</v>
      </c>
      <c r="T997" s="34">
        <f>IF(R997="","",R997/S997)</f>
        <v>1.57142857142857</v>
      </c>
      <c r="U997" s="34">
        <f>IF(E997=1,T997,"")</f>
        <v>1.57142857142857</v>
      </c>
      <c r="V997" s="34" t="str">
        <f>IF(AND(E997=1,L997=0),T997,"")</f>
        <v/>
      </c>
      <c r="W997" s="33">
        <f>IF(U997="","",IF(U997&lt;=Breakdowns!$C$5,1,IF(U997&lt;=Breakdowns!$C$6,2,IF(U997&lt;=Breakdowns!$C$7,3,4))))</f>
        <v>4</v>
      </c>
      <c r="X997" s="33" t="str">
        <f>IF(V997="","",IF(V997&lt;=Breakdowns!$D$5,1,IF(V997&lt;=Breakdowns!$D$6,2,IF(V997&lt;=Breakdowns!$D$7,3,4))))</f>
        <v/>
      </c>
      <c r="Y997" s="34">
        <f>INDEX(Stores!$F$2:$F$21,MATCH(B997,Stores!$A$2:$A$21,0))</f>
        <v>4.89</v>
      </c>
      <c r="Z997" s="33">
        <f>IF(Y997&gt;Store_Summary!$M$2,1,0)</f>
        <v>0</v>
      </c>
      <c r="AA997" s="33">
        <f>INDEX(Stores!$C$2:$C$21,MATCH(B997,Stores!$A$2:$A$21,0))</f>
        <v>138</v>
      </c>
      <c r="AB997" s="33">
        <f>IF(AA997&lt;180,1,0)</f>
        <v>1</v>
      </c>
      <c r="AC997" s="32" t="str">
        <f>IF(Orders!D994="","",INDEX(Riders!$C$2:$C$81,MATCH(Orders!D994,Riders!$A$2:$A$81,0)))</f>
        <v>EV scooter</v>
      </c>
      <c r="AD997" s="33">
        <f>IF(Orders!D994="","",INDEX(Riders!$D$2:$D$81,MATCH(Orders!D994,Riders!$A$2:$A$81,0)))</f>
        <v>39</v>
      </c>
      <c r="AE997" s="33">
        <f>IF(Orders!D994="","",IF(INDEX(Riders!$B$2:$B$81,MATCH(Orders!D994,Riders!$A$2:$A$81,0))=B997,1,0))</f>
        <v>0</v>
      </c>
      <c r="AF997" s="34">
        <f>IF(E997=1,Orders!L994,"")</f>
        <v>3.1</v>
      </c>
      <c r="AG997" s="34">
        <f>IF(E997=1,Orders!P994,"")</f>
        <v>11.5</v>
      </c>
      <c r="AH997" s="34">
        <f>IF(E997=1,Orders!Q994,"")</f>
        <v>14.4</v>
      </c>
      <c r="AI997" s="34">
        <f>IF(E997=1,Orders!M994,"")</f>
        <v>6</v>
      </c>
      <c r="AJ997" s="34">
        <f>IF(E997=1,Orders!N994,"")</f>
        <v>0.4</v>
      </c>
      <c r="AK997" s="34">
        <f>IF(E997=1,Orders!O994,"")</f>
        <v>8.1</v>
      </c>
      <c r="AL997" s="33">
        <f>IF(E997=1,IF(ROUND(ABS(AI997+AJ997+AK997-AH997),6)&lt;=0.1,1,0),"")</f>
        <v>1</v>
      </c>
      <c r="AM997" s="36">
        <f>IF(E997=1,AI997/AH997,"")</f>
        <v>0.416666666666667</v>
      </c>
      <c r="AN997" s="36">
        <f>IF(E997=1,AJ997/AH997,"")</f>
        <v>0.0277777777777778</v>
      </c>
      <c r="AO997" s="36">
        <f>IF(E997=1,AK997/AH997,"")</f>
        <v>0.5625</v>
      </c>
      <c r="AP997" s="34">
        <f>IF(E997=1,Orders!Y994,"")</f>
        <v>0.66</v>
      </c>
      <c r="AQ997" s="33">
        <f>IF(Orders!X994,1,0)</f>
        <v>0</v>
      </c>
      <c r="AR997" s="34">
        <f>IF(AND(E997=1,L997=1),AJ997,"")</f>
        <v>0.4</v>
      </c>
      <c r="AS997" s="34" t="str">
        <f>IF(AND(E997=1,L997=0),AJ997,"")</f>
        <v/>
      </c>
      <c r="AT997" s="34">
        <f>IF(AND(E997=1,L997=1),AI997,"")</f>
        <v>6</v>
      </c>
      <c r="AU997" s="34" t="str">
        <f>IF(AND(E997=1,L997=0),AI997,"")</f>
        <v/>
      </c>
      <c r="AV997" s="34">
        <f>IF(AND(E997=1,L997=1),AG997,"")</f>
        <v>11.5</v>
      </c>
      <c r="AW997" s="34" t="str">
        <f>IF(AND(E997=1,L997=0),AG997,"")</f>
        <v/>
      </c>
      <c r="AX997" s="34">
        <f>IF(AND(E997=1,L997=1),AH997,"")</f>
        <v>14.4</v>
      </c>
      <c r="AY997" s="34" t="str">
        <f>IF(AND(E997=1,L997=0),AH997,"")</f>
        <v/>
      </c>
      <c r="AZ997" s="34">
        <f>IF(G997=1,F997,"")</f>
        <v>2.9</v>
      </c>
      <c r="BA997" s="34">
        <f>IF(AND(G997=1,L997=1),F997,"")</f>
        <v>2.9</v>
      </c>
      <c r="BB997" s="34" t="str">
        <f>IF(AND(G997=1,L997=0),F997,"")</f>
        <v/>
      </c>
      <c r="BC997" s="33">
        <f>IF(E997=1,IF(Orders!R994&gt;3,1,0),"")</f>
        <v>0</v>
      </c>
      <c r="BD997" s="33">
        <f>IF(E997=1,IF(Orders!R994&gt;7,1,0),"")</f>
        <v>0</v>
      </c>
      <c r="BE997" s="32" t="str">
        <f>IF(E997=1,IF(Orders!L994&lt;=1.5,"Up to 1.5 km",IF(Orders!L994&lt;=3,"1.5–3 km","Over 3 km")),"")</f>
        <v>Over 3 km</v>
      </c>
      <c r="BF997" s="33">
        <f>IF(E997=1,IF(ABS((Orders!G994-Orders!F994)*1440-Orders!R994)&lt;0.06,1,0),"")</f>
        <v>1</v>
      </c>
      <c r="BG997" s="33">
        <f>IF(ABS((Orders!F994-Orders!E994)*1440-Orders!P994)&lt;0.06,1,0)</f>
        <v>1</v>
      </c>
      <c r="BH997" s="33">
        <f>IF(E997=1,IF(IF(Orders!S994,1,0)=1-G997,1,0),"")</f>
        <v>1</v>
      </c>
      <c r="BI997" s="32" t="str">
        <f>INDEX(Stores!$B$2:$B$21,MATCH(B997,Stores!$A$2:$A$21,0))</f>
        <v>Delhi</v>
      </c>
    </row>
    <row r="998">
      <c r="A998" s="32" t="str">
        <f>Orders!A995</f>
        <v>O00994</v>
      </c>
      <c r="B998" s="32" t="str">
        <f>Orders!C995</f>
        <v>S002</v>
      </c>
      <c r="C998" s="32" t="str">
        <f>Orders!B995</f>
        <v>C0117</v>
      </c>
      <c r="D998" s="32" t="str">
        <f>Orders!H995</f>
        <v>Delivered</v>
      </c>
      <c r="E998" s="33">
        <f>IF(Orders!H995="Delivered",1,0)</f>
        <v>1</v>
      </c>
      <c r="F998" s="34">
        <f>IF(E998=1,Orders!R995,"")</f>
        <v>-0.4</v>
      </c>
      <c r="G998" s="33">
        <f>IF(E998=1,IF(Orders!R995&gt;0,1,0),"")</f>
        <v>0</v>
      </c>
      <c r="H998" s="33">
        <f>IF(E998=1,IF(Orders!R995&gt;5,1,0),"")</f>
        <v>0</v>
      </c>
      <c r="I998" s="32" t="str">
        <f>IF(E998=1,"",IF(OR(Orders!T995="Rider unavailable",Orders!T995="Item unavailable"),"Company-caused","Unresolved"))</f>
        <v/>
      </c>
      <c r="J998" s="33">
        <f>IF(OR(E998=1,I998="Company-caused"),1,0)</f>
        <v>1</v>
      </c>
      <c r="K998" s="32" t="str">
        <f>IF(E998=0,IF(I998="Company-caused",IF(Orders!T995="Rider unavailable","C1 Rider unavailable","C2 Item unavailable"),"Outside root: unresolved"),IF(G998=0,"A On time",IF(H998=1,IF(L998=1,"B2a Severe, peak","B2b Severe, off-peak"),IF(L998=1,"B1a Slight, peak","B1b Slight, off-peak"))))</f>
        <v>A On time</v>
      </c>
      <c r="L998" s="33">
        <f>IF(AND(Orders!U995&gt;=19,Orders!U995&lt;22),1,0)</f>
        <v>0</v>
      </c>
      <c r="M998" s="33">
        <f>IF(L998=IF(Orders!V995,1,0),1,0)</f>
        <v>1</v>
      </c>
      <c r="N998" s="32" t="str">
        <f>IF(Orders!W995="","None",Orders!W995)</f>
        <v>None</v>
      </c>
      <c r="O998" s="35">
        <f>INT(Orders!E995)</f>
        <v>46267.0</v>
      </c>
      <c r="P998" s="33">
        <f>Orders!U995</f>
        <v>18</v>
      </c>
      <c r="Q998" s="33">
        <f>COUNTIFS(Demand!$A$2:$A$4481,B998,Demand!$B$2:$B$4481,O998,Demand!$C$2:$C$4481,P998)</f>
        <v>1</v>
      </c>
      <c r="R998" s="33">
        <f>IF(Q998=1,SUMIFS(Demand!$E$2:$E$4481,Demand!$A$2:$A$4481,B998,Demand!$B$2:$B$4481,O998,Demand!$C$2:$C$4481,P998),"")</f>
        <v>20</v>
      </c>
      <c r="S998" s="33">
        <f>INDEX(Stores!$G$2:$G$21,MATCH(B998,Stores!$A$2:$A$21,0))</f>
        <v>33</v>
      </c>
      <c r="T998" s="34">
        <f>IF(R998="","",R998/S998)</f>
        <v>0.606060606060606</v>
      </c>
      <c r="U998" s="34">
        <f>IF(E998=1,T998,"")</f>
        <v>0.606060606060606</v>
      </c>
      <c r="V998" s="34">
        <f>IF(AND(E998=1,L998=0),T998,"")</f>
        <v>0.606060606060606</v>
      </c>
      <c r="W998" s="33">
        <f>IF(U998="","",IF(U998&lt;=Breakdowns!$C$5,1,IF(U998&lt;=Breakdowns!$C$6,2,IF(U998&lt;=Breakdowns!$C$7,3,4))))</f>
        <v>1</v>
      </c>
      <c r="X998" s="33">
        <f>IF(V998="","",IF(V998&lt;=Breakdowns!$D$5,1,IF(V998&lt;=Breakdowns!$D$6,2,IF(V998&lt;=Breakdowns!$D$7,3,4))))</f>
        <v>1</v>
      </c>
      <c r="Y998" s="34">
        <f>INDEX(Stores!$F$2:$F$21,MATCH(B998,Stores!$A$2:$A$21,0))</f>
        <v>2.39</v>
      </c>
      <c r="Z998" s="33">
        <f>IF(Y998&gt;Store_Summary!$M$2,1,0)</f>
        <v>0</v>
      </c>
      <c r="AA998" s="33">
        <f>INDEX(Stores!$C$2:$C$21,MATCH(B998,Stores!$A$2:$A$21,0))</f>
        <v>470</v>
      </c>
      <c r="AB998" s="33">
        <f>IF(AA998&lt;180,1,0)</f>
        <v>0</v>
      </c>
      <c r="AC998" s="32" t="str">
        <f>IF(Orders!D995="","",INDEX(Riders!$C$2:$C$81,MATCH(Orders!D995,Riders!$A$2:$A$81,0)))</f>
        <v>Bicycle</v>
      </c>
      <c r="AD998" s="33">
        <f>IF(Orders!D995="","",INDEX(Riders!$D$2:$D$81,MATCH(Orders!D995,Riders!$A$2:$A$81,0)))</f>
        <v>2</v>
      </c>
      <c r="AE998" s="33">
        <f>IF(Orders!D995="","",IF(INDEX(Riders!$B$2:$B$81,MATCH(Orders!D995,Riders!$A$2:$A$81,0))=B998,1,0))</f>
        <v>0</v>
      </c>
      <c r="AF998" s="34">
        <f>IF(E998=1,Orders!L995,"")</f>
        <v>0.5</v>
      </c>
      <c r="AG998" s="34">
        <f>IF(E998=1,Orders!P995,"")</f>
        <v>9.9</v>
      </c>
      <c r="AH998" s="34">
        <f>IF(E998=1,Orders!Q995,"")</f>
        <v>9.5</v>
      </c>
      <c r="AI998" s="34">
        <f>IF(E998=1,Orders!M995,"")</f>
        <v>2.8</v>
      </c>
      <c r="AJ998" s="34">
        <f>IF(E998=1,Orders!N995,"")</f>
        <v>4.9</v>
      </c>
      <c r="AK998" s="34">
        <f>IF(E998=1,Orders!O995,"")</f>
        <v>1.8</v>
      </c>
      <c r="AL998" s="33">
        <f>IF(E998=1,IF(ROUND(ABS(AI998+AJ998+AK998-AH998),6)&lt;=0.1,1,0),"")</f>
        <v>1</v>
      </c>
      <c r="AM998" s="36">
        <f>IF(E998=1,AI998/AH998,"")</f>
        <v>0.294736842105263</v>
      </c>
      <c r="AN998" s="36">
        <f>IF(E998=1,AJ998/AH998,"")</f>
        <v>0.515789473684211</v>
      </c>
      <c r="AO998" s="36">
        <f>IF(E998=1,AK998/AH998,"")</f>
        <v>0.189473684210526</v>
      </c>
      <c r="AP998" s="34">
        <f>IF(E998=1,Orders!Y995,"")</f>
        <v>0.36</v>
      </c>
      <c r="AQ998" s="33">
        <f>IF(Orders!X995,1,0)</f>
        <v>0</v>
      </c>
      <c r="AR998" s="34" t="str">
        <f>IF(AND(E998=1,L998=1),AJ998,"")</f>
        <v/>
      </c>
      <c r="AS998" s="34">
        <f>IF(AND(E998=1,L998=0),AJ998,"")</f>
        <v>4.9</v>
      </c>
      <c r="AT998" s="34" t="str">
        <f>IF(AND(E998=1,L998=1),AI998,"")</f>
        <v/>
      </c>
      <c r="AU998" s="34">
        <f>IF(AND(E998=1,L998=0),AI998,"")</f>
        <v>2.8</v>
      </c>
      <c r="AV998" s="34" t="str">
        <f>IF(AND(E998=1,L998=1),AG998,"")</f>
        <v/>
      </c>
      <c r="AW998" s="34">
        <f>IF(AND(E998=1,L998=0),AG998,"")</f>
        <v>9.9</v>
      </c>
      <c r="AX998" s="34" t="str">
        <f>IF(AND(E998=1,L998=1),AH998,"")</f>
        <v/>
      </c>
      <c r="AY998" s="34">
        <f>IF(AND(E998=1,L998=0),AH998,"")</f>
        <v>9.5</v>
      </c>
      <c r="AZ998" s="34" t="str">
        <f>IF(G998=1,F998,"")</f>
        <v/>
      </c>
      <c r="BA998" s="34" t="str">
        <f>IF(AND(G998=1,L998=1),F998,"")</f>
        <v/>
      </c>
      <c r="BB998" s="34" t="str">
        <f>IF(AND(G998=1,L998=0),F998,"")</f>
        <v/>
      </c>
      <c r="BC998" s="33">
        <f>IF(E998=1,IF(Orders!R995&gt;3,1,0),"")</f>
        <v>0</v>
      </c>
      <c r="BD998" s="33">
        <f>IF(E998=1,IF(Orders!R995&gt;7,1,0),"")</f>
        <v>0</v>
      </c>
      <c r="BE998" s="32" t="str">
        <f>IF(E998=1,IF(Orders!L995&lt;=1.5,"Up to 1.5 km",IF(Orders!L995&lt;=3,"1.5–3 km","Over 3 km")),"")</f>
        <v>Up to 1.5 km</v>
      </c>
      <c r="BF998" s="33">
        <f>IF(E998=1,IF(ABS((Orders!G995-Orders!F995)*1440-Orders!R995)&lt;0.06,1,0),"")</f>
        <v>1</v>
      </c>
      <c r="BG998" s="33">
        <f>IF(ABS((Orders!F995-Orders!E995)*1440-Orders!P995)&lt;0.06,1,0)</f>
        <v>1</v>
      </c>
      <c r="BH998" s="33">
        <f>IF(E998=1,IF(IF(Orders!S995,1,0)=1-G998,1,0),"")</f>
        <v>1</v>
      </c>
      <c r="BI998" s="32" t="str">
        <f>INDEX(Stores!$B$2:$B$21,MATCH(B998,Stores!$A$2:$A$21,0))</f>
        <v>Hyderabad</v>
      </c>
    </row>
    <row r="999">
      <c r="A999" s="32" t="str">
        <f>Orders!A996</f>
        <v>O00995</v>
      </c>
      <c r="B999" s="32" t="str">
        <f>Orders!C996</f>
        <v>S006</v>
      </c>
      <c r="C999" s="32" t="str">
        <f>Orders!B996</f>
        <v>C0040</v>
      </c>
      <c r="D999" s="32" t="str">
        <f>Orders!H996</f>
        <v>Delivered</v>
      </c>
      <c r="E999" s="33">
        <f>IF(Orders!H996="Delivered",1,0)</f>
        <v>1</v>
      </c>
      <c r="F999" s="34">
        <f>IF(E999=1,Orders!R996,"")</f>
        <v>-0.7</v>
      </c>
      <c r="G999" s="33">
        <f>IF(E999=1,IF(Orders!R996&gt;0,1,0),"")</f>
        <v>0</v>
      </c>
      <c r="H999" s="33">
        <f>IF(E999=1,IF(Orders!R996&gt;5,1,0),"")</f>
        <v>0</v>
      </c>
      <c r="I999" s="32" t="str">
        <f>IF(E999=1,"",IF(OR(Orders!T996="Rider unavailable",Orders!T996="Item unavailable"),"Company-caused","Unresolved"))</f>
        <v/>
      </c>
      <c r="J999" s="33">
        <f>IF(OR(E999=1,I999="Company-caused"),1,0)</f>
        <v>1</v>
      </c>
      <c r="K999" s="32" t="str">
        <f>IF(E999=0,IF(I999="Company-caused",IF(Orders!T996="Rider unavailable","C1 Rider unavailable","C2 Item unavailable"),"Outside root: unresolved"),IF(G999=0,"A On time",IF(H999=1,IF(L999=1,"B2a Severe, peak","B2b Severe, off-peak"),IF(L999=1,"B1a Slight, peak","B1b Slight, off-peak"))))</f>
        <v>A On time</v>
      </c>
      <c r="L999" s="33">
        <f>IF(AND(Orders!U996&gt;=19,Orders!U996&lt;22),1,0)</f>
        <v>0</v>
      </c>
      <c r="M999" s="33">
        <f>IF(L999=IF(Orders!V996,1,0),1,0)</f>
        <v>1</v>
      </c>
      <c r="N999" s="32" t="str">
        <f>IF(Orders!W996="","None",Orders!W996)</f>
        <v>None</v>
      </c>
      <c r="O999" s="35">
        <f>INT(Orders!E996)</f>
        <v>46269.0</v>
      </c>
      <c r="P999" s="33">
        <f>Orders!U996</f>
        <v>13</v>
      </c>
      <c r="Q999" s="33">
        <f>COUNTIFS(Demand!$A$2:$A$4481,B999,Demand!$B$2:$B$4481,O999,Demand!$C$2:$C$4481,P999)</f>
        <v>1</v>
      </c>
      <c r="R999" s="33">
        <f>IF(Q999=1,SUMIFS(Demand!$E$2:$E$4481,Demand!$A$2:$A$4481,B999,Demand!$B$2:$B$4481,O999,Demand!$C$2:$C$4481,P999),"")</f>
        <v>24</v>
      </c>
      <c r="S999" s="33">
        <f>INDEX(Stores!$G$2:$G$21,MATCH(B999,Stores!$A$2:$A$21,0))</f>
        <v>26</v>
      </c>
      <c r="T999" s="34">
        <f>IF(R999="","",R999/S999)</f>
        <v>0.923076923076923</v>
      </c>
      <c r="U999" s="34">
        <f>IF(E999=1,T999,"")</f>
        <v>0.923076923076923</v>
      </c>
      <c r="V999" s="34">
        <f>IF(AND(E999=1,L999=0),T999,"")</f>
        <v>0.923076923076923</v>
      </c>
      <c r="W999" s="33">
        <f>IF(U999="","",IF(U999&lt;=Breakdowns!$C$5,1,IF(U999&lt;=Breakdowns!$C$6,2,IF(U999&lt;=Breakdowns!$C$7,3,4))))</f>
        <v>2</v>
      </c>
      <c r="X999" s="33">
        <f>IF(V999="","",IF(V999&lt;=Breakdowns!$D$5,1,IF(V999&lt;=Breakdowns!$D$6,2,IF(V999&lt;=Breakdowns!$D$7,3,4))))</f>
        <v>3</v>
      </c>
      <c r="Y999" s="34">
        <f>INDEX(Stores!$F$2:$F$21,MATCH(B999,Stores!$A$2:$A$21,0))</f>
        <v>5.22</v>
      </c>
      <c r="Z999" s="33">
        <f>IF(Y999&gt;Store_Summary!$M$2,1,0)</f>
        <v>1</v>
      </c>
      <c r="AA999" s="33">
        <f>INDEX(Stores!$C$2:$C$21,MATCH(B999,Stores!$A$2:$A$21,0))</f>
        <v>412</v>
      </c>
      <c r="AB999" s="33">
        <f>IF(AA999&lt;180,1,0)</f>
        <v>0</v>
      </c>
      <c r="AC999" s="32" t="str">
        <f>IF(Orders!D996="","",INDEX(Riders!$C$2:$C$81,MATCH(Orders!D996,Riders!$A$2:$A$81,0)))</f>
        <v>Petrol scooter</v>
      </c>
      <c r="AD999" s="33">
        <f>IF(Orders!D996="","",INDEX(Riders!$D$2:$D$81,MATCH(Orders!D996,Riders!$A$2:$A$81,0)))</f>
        <v>15</v>
      </c>
      <c r="AE999" s="33">
        <f>IF(Orders!D996="","",IF(INDEX(Riders!$B$2:$B$81,MATCH(Orders!D996,Riders!$A$2:$A$81,0))=B999,1,0))</f>
        <v>0</v>
      </c>
      <c r="AF999" s="34">
        <f>IF(E999=1,Orders!L996,"")</f>
        <v>0.5</v>
      </c>
      <c r="AG999" s="34">
        <f>IF(E999=1,Orders!P996,"")</f>
        <v>10.3</v>
      </c>
      <c r="AH999" s="34">
        <f>IF(E999=1,Orders!Q996,"")</f>
        <v>9.6</v>
      </c>
      <c r="AI999" s="34">
        <f>IF(E999=1,Orders!M996,"")</f>
        <v>4.7</v>
      </c>
      <c r="AJ999" s="34">
        <f>IF(E999=1,Orders!N996,"")</f>
        <v>2.9</v>
      </c>
      <c r="AK999" s="34">
        <f>IF(E999=1,Orders!O996,"")</f>
        <v>2</v>
      </c>
      <c r="AL999" s="33">
        <f>IF(E999=1,IF(ROUND(ABS(AI999+AJ999+AK999-AH999),6)&lt;=0.1,1,0),"")</f>
        <v>1</v>
      </c>
      <c r="AM999" s="36">
        <f>IF(E999=1,AI999/AH999,"")</f>
        <v>0.489583333333333</v>
      </c>
      <c r="AN999" s="36">
        <f>IF(E999=1,AJ999/AH999,"")</f>
        <v>0.302083333333333</v>
      </c>
      <c r="AO999" s="36">
        <f>IF(E999=1,AK999/AH999,"")</f>
        <v>0.208333333333333</v>
      </c>
      <c r="AP999" s="34">
        <f>IF(E999=1,Orders!Y996,"")</f>
        <v>0.47</v>
      </c>
      <c r="AQ999" s="33">
        <f>IF(Orders!X996,1,0)</f>
        <v>0</v>
      </c>
      <c r="AR999" s="34" t="str">
        <f>IF(AND(E999=1,L999=1),AJ999,"")</f>
        <v/>
      </c>
      <c r="AS999" s="34">
        <f>IF(AND(E999=1,L999=0),AJ999,"")</f>
        <v>2.9</v>
      </c>
      <c r="AT999" s="34" t="str">
        <f>IF(AND(E999=1,L999=1),AI999,"")</f>
        <v/>
      </c>
      <c r="AU999" s="34">
        <f>IF(AND(E999=1,L999=0),AI999,"")</f>
        <v>4.7</v>
      </c>
      <c r="AV999" s="34" t="str">
        <f>IF(AND(E999=1,L999=1),AG999,"")</f>
        <v/>
      </c>
      <c r="AW999" s="34">
        <f>IF(AND(E999=1,L999=0),AG999,"")</f>
        <v>10.3</v>
      </c>
      <c r="AX999" s="34" t="str">
        <f>IF(AND(E999=1,L999=1),AH999,"")</f>
        <v/>
      </c>
      <c r="AY999" s="34">
        <f>IF(AND(E999=1,L999=0),AH999,"")</f>
        <v>9.6</v>
      </c>
      <c r="AZ999" s="34" t="str">
        <f>IF(G999=1,F999,"")</f>
        <v/>
      </c>
      <c r="BA999" s="34" t="str">
        <f>IF(AND(G999=1,L999=1),F999,"")</f>
        <v/>
      </c>
      <c r="BB999" s="34" t="str">
        <f>IF(AND(G999=1,L999=0),F999,"")</f>
        <v/>
      </c>
      <c r="BC999" s="33">
        <f>IF(E999=1,IF(Orders!R996&gt;3,1,0),"")</f>
        <v>0</v>
      </c>
      <c r="BD999" s="33">
        <f>IF(E999=1,IF(Orders!R996&gt;7,1,0),"")</f>
        <v>0</v>
      </c>
      <c r="BE999" s="32" t="str">
        <f>IF(E999=1,IF(Orders!L996&lt;=1.5,"Up to 1.5 km",IF(Orders!L996&lt;=3,"1.5–3 km","Over 3 km")),"")</f>
        <v>Up to 1.5 km</v>
      </c>
      <c r="BF999" s="33">
        <f>IF(E999=1,IF(ABS((Orders!G996-Orders!F996)*1440-Orders!R996)&lt;0.06,1,0),"")</f>
        <v>1</v>
      </c>
      <c r="BG999" s="33">
        <f>IF(ABS((Orders!F996-Orders!E996)*1440-Orders!P996)&lt;0.06,1,0)</f>
        <v>1</v>
      </c>
      <c r="BH999" s="33">
        <f>IF(E999=1,IF(IF(Orders!S996,1,0)=1-G999,1,0),"")</f>
        <v>1</v>
      </c>
      <c r="BI999" s="32" t="str">
        <f>INDEX(Stores!$B$2:$B$21,MATCH(B999,Stores!$A$2:$A$21,0))</f>
        <v>Bengaluru</v>
      </c>
    </row>
    <row r="1000">
      <c r="A1000" s="32" t="str">
        <f>Orders!A997</f>
        <v>O00996</v>
      </c>
      <c r="B1000" s="32" t="str">
        <f>Orders!C997</f>
        <v>S016</v>
      </c>
      <c r="C1000" s="32" t="str">
        <f>Orders!B997</f>
        <v>C0205</v>
      </c>
      <c r="D1000" s="32" t="str">
        <f>Orders!H997</f>
        <v>Delivered</v>
      </c>
      <c r="E1000" s="33">
        <f>IF(Orders!H997="Delivered",1,0)</f>
        <v>1</v>
      </c>
      <c r="F1000" s="34">
        <f>IF(E1000=1,Orders!R997,"")</f>
        <v>-0.2</v>
      </c>
      <c r="G1000" s="33">
        <f>IF(E1000=1,IF(Orders!R997&gt;0,1,0),"")</f>
        <v>0</v>
      </c>
      <c r="H1000" s="33">
        <f>IF(E1000=1,IF(Orders!R997&gt;5,1,0),"")</f>
        <v>0</v>
      </c>
      <c r="I1000" s="32" t="str">
        <f>IF(E1000=1,"",IF(OR(Orders!T997="Rider unavailable",Orders!T997="Item unavailable"),"Company-caused","Unresolved"))</f>
        <v/>
      </c>
      <c r="J1000" s="33">
        <f>IF(OR(E1000=1,I1000="Company-caused"),1,0)</f>
        <v>1</v>
      </c>
      <c r="K1000" s="32" t="str">
        <f>IF(E1000=0,IF(I1000="Company-caused",IF(Orders!T997="Rider unavailable","C1 Rider unavailable","C2 Item unavailable"),"Outside root: unresolved"),IF(G1000=0,"A On time",IF(H1000=1,IF(L1000=1,"B2a Severe, peak","B2b Severe, off-peak"),IF(L1000=1,"B1a Slight, peak","B1b Slight, off-peak"))))</f>
        <v>A On time</v>
      </c>
      <c r="L1000" s="33">
        <f>IF(AND(Orders!U997&gt;=19,Orders!U997&lt;22),1,0)</f>
        <v>0</v>
      </c>
      <c r="M1000" s="33">
        <f>IF(L1000=IF(Orders!V997,1,0),1,0)</f>
        <v>1</v>
      </c>
      <c r="N1000" s="32" t="str">
        <f>IF(Orders!W997="","None",Orders!W997)</f>
        <v>None</v>
      </c>
      <c r="O1000" s="35">
        <f>INT(Orders!E997)</f>
        <v>46277.0</v>
      </c>
      <c r="P1000" s="33">
        <f>Orders!U997</f>
        <v>23</v>
      </c>
      <c r="Q1000" s="33">
        <f>COUNTIFS(Demand!$A$2:$A$4481,B1000,Demand!$B$2:$B$4481,O1000,Demand!$C$2:$C$4481,P1000)</f>
        <v>1</v>
      </c>
      <c r="R1000" s="33">
        <f>IF(Q1000=1,SUMIFS(Demand!$E$2:$E$4481,Demand!$A$2:$A$4481,B1000,Demand!$B$2:$B$4481,O1000,Demand!$C$2:$C$4481,P1000),"")</f>
        <v>27</v>
      </c>
      <c r="S1000" s="33">
        <f>INDEX(Stores!$G$2:$G$21,MATCH(B1000,Stores!$A$2:$A$21,0))</f>
        <v>25</v>
      </c>
      <c r="T1000" s="34">
        <f>IF(R1000="","",R1000/S1000)</f>
        <v>1.08</v>
      </c>
      <c r="U1000" s="34">
        <f>IF(E1000=1,T1000,"")</f>
        <v>1.08</v>
      </c>
      <c r="V1000" s="34">
        <f>IF(AND(E1000=1,L1000=0),T1000,"")</f>
        <v>1.08</v>
      </c>
      <c r="W1000" s="33">
        <f>IF(U1000="","",IF(U1000&lt;=Breakdowns!$C$5,1,IF(U1000&lt;=Breakdowns!$C$6,2,IF(U1000&lt;=Breakdowns!$C$7,3,4))))</f>
        <v>3</v>
      </c>
      <c r="X1000" s="33">
        <f>IF(V1000="","",IF(V1000&lt;=Breakdowns!$D$5,1,IF(V1000&lt;=Breakdowns!$D$6,2,IF(V1000&lt;=Breakdowns!$D$7,3,4))))</f>
        <v>4</v>
      </c>
      <c r="Y1000" s="34">
        <f>INDEX(Stores!$F$2:$F$21,MATCH(B1000,Stores!$A$2:$A$21,0))</f>
        <v>5.51</v>
      </c>
      <c r="Z1000" s="33">
        <f>IF(Y1000&gt;Store_Summary!$M$2,1,0)</f>
        <v>1</v>
      </c>
      <c r="AA1000" s="33">
        <f>INDEX(Stores!$C$2:$C$21,MATCH(B1000,Stores!$A$2:$A$21,0))</f>
        <v>792</v>
      </c>
      <c r="AB1000" s="33">
        <f>IF(AA1000&lt;180,1,0)</f>
        <v>0</v>
      </c>
      <c r="AC1000" s="32" t="str">
        <f>IF(Orders!D997="","",INDEX(Riders!$C$2:$C$81,MATCH(Orders!D997,Riders!$A$2:$A$81,0)))</f>
        <v>EV scooter</v>
      </c>
      <c r="AD1000" s="33">
        <f>IF(Orders!D997="","",INDEX(Riders!$D$2:$D$81,MATCH(Orders!D997,Riders!$A$2:$A$81,0)))</f>
        <v>24</v>
      </c>
      <c r="AE1000" s="33">
        <f>IF(Orders!D997="","",IF(INDEX(Riders!$B$2:$B$81,MATCH(Orders!D997,Riders!$A$2:$A$81,0))=B1000,1,0))</f>
        <v>0</v>
      </c>
      <c r="AF1000" s="34">
        <f>IF(E1000=1,Orders!L997,"")</f>
        <v>1.72</v>
      </c>
      <c r="AG1000" s="34">
        <f>IF(E1000=1,Orders!P997,"")</f>
        <v>8.1</v>
      </c>
      <c r="AH1000" s="34">
        <f>IF(E1000=1,Orders!Q997,"")</f>
        <v>7.9</v>
      </c>
      <c r="AI1000" s="34">
        <f>IF(E1000=1,Orders!M997,"")</f>
        <v>3.3</v>
      </c>
      <c r="AJ1000" s="34">
        <f>IF(E1000=1,Orders!N997,"")</f>
        <v>1.6</v>
      </c>
      <c r="AK1000" s="34">
        <f>IF(E1000=1,Orders!O997,"")</f>
        <v>3</v>
      </c>
      <c r="AL1000" s="33">
        <f>IF(E1000=1,IF(ROUND(ABS(AI1000+AJ1000+AK1000-AH1000),6)&lt;=0.1,1,0),"")</f>
        <v>1</v>
      </c>
      <c r="AM1000" s="36">
        <f>IF(E1000=1,AI1000/AH1000,"")</f>
        <v>0.417721518987342</v>
      </c>
      <c r="AN1000" s="36">
        <f>IF(E1000=1,AJ1000/AH1000,"")</f>
        <v>0.20253164556962</v>
      </c>
      <c r="AO1000" s="36">
        <f>IF(E1000=1,AK1000/AH1000,"")</f>
        <v>0.379746835443038</v>
      </c>
      <c r="AP1000" s="34">
        <f>IF(E1000=1,Orders!Y997,"")</f>
        <v>0.51</v>
      </c>
      <c r="AQ1000" s="33">
        <f>IF(Orders!X997,1,0)</f>
        <v>0</v>
      </c>
      <c r="AR1000" s="34" t="str">
        <f>IF(AND(E1000=1,L1000=1),AJ1000,"")</f>
        <v/>
      </c>
      <c r="AS1000" s="34">
        <f>IF(AND(E1000=1,L1000=0),AJ1000,"")</f>
        <v>1.6</v>
      </c>
      <c r="AT1000" s="34" t="str">
        <f>IF(AND(E1000=1,L1000=1),AI1000,"")</f>
        <v/>
      </c>
      <c r="AU1000" s="34">
        <f>IF(AND(E1000=1,L1000=0),AI1000,"")</f>
        <v>3.3</v>
      </c>
      <c r="AV1000" s="34" t="str">
        <f>IF(AND(E1000=1,L1000=1),AG1000,"")</f>
        <v/>
      </c>
      <c r="AW1000" s="34">
        <f>IF(AND(E1000=1,L1000=0),AG1000,"")</f>
        <v>8.1</v>
      </c>
      <c r="AX1000" s="34" t="str">
        <f>IF(AND(E1000=1,L1000=1),AH1000,"")</f>
        <v/>
      </c>
      <c r="AY1000" s="34">
        <f>IF(AND(E1000=1,L1000=0),AH1000,"")</f>
        <v>7.9</v>
      </c>
      <c r="AZ1000" s="34" t="str">
        <f>IF(G1000=1,F1000,"")</f>
        <v/>
      </c>
      <c r="BA1000" s="34" t="str">
        <f>IF(AND(G1000=1,L1000=1),F1000,"")</f>
        <v/>
      </c>
      <c r="BB1000" s="34" t="str">
        <f>IF(AND(G1000=1,L1000=0),F1000,"")</f>
        <v/>
      </c>
      <c r="BC1000" s="33">
        <f>IF(E1000=1,IF(Orders!R997&gt;3,1,0),"")</f>
        <v>0</v>
      </c>
      <c r="BD1000" s="33">
        <f>IF(E1000=1,IF(Orders!R997&gt;7,1,0),"")</f>
        <v>0</v>
      </c>
      <c r="BE1000" s="32" t="str">
        <f>IF(E1000=1,IF(Orders!L997&lt;=1.5,"Up to 1.5 km",IF(Orders!L997&lt;=3,"1.5–3 km","Over 3 km")),"")</f>
        <v>1.5–3 km</v>
      </c>
      <c r="BF1000" s="33">
        <f>IF(E1000=1,IF(ABS((Orders!G997-Orders!F997)*1440-Orders!R997)&lt;0.06,1,0),"")</f>
        <v>1</v>
      </c>
      <c r="BG1000" s="33">
        <f>IF(ABS((Orders!F997-Orders!E997)*1440-Orders!P997)&lt;0.06,1,0)</f>
        <v>1</v>
      </c>
      <c r="BH1000" s="33">
        <f>IF(E1000=1,IF(IF(Orders!S997,1,0)=1-G1000,1,0),"")</f>
        <v>1</v>
      </c>
      <c r="BI1000" s="32" t="str">
        <f>INDEX(Stores!$B$2:$B$21,MATCH(B1000,Stores!$A$2:$A$21,0))</f>
        <v>Bengaluru</v>
      </c>
    </row>
    <row r="1001">
      <c r="A1001" s="32" t="str">
        <f>Orders!A998</f>
        <v>O00997</v>
      </c>
      <c r="B1001" s="32" t="str">
        <f>Orders!C998</f>
        <v>S014</v>
      </c>
      <c r="C1001" s="32" t="str">
        <f>Orders!B998</f>
        <v>C0024</v>
      </c>
      <c r="D1001" s="32" t="str">
        <f>Orders!H998</f>
        <v>Delivered</v>
      </c>
      <c r="E1001" s="33">
        <f>IF(Orders!H998="Delivered",1,0)</f>
        <v>1</v>
      </c>
      <c r="F1001" s="34">
        <f>IF(E1001=1,Orders!R998,"")</f>
        <v>-0.8</v>
      </c>
      <c r="G1001" s="33">
        <f>IF(E1001=1,IF(Orders!R998&gt;0,1,0),"")</f>
        <v>0</v>
      </c>
      <c r="H1001" s="33">
        <f>IF(E1001=1,IF(Orders!R998&gt;5,1,0),"")</f>
        <v>0</v>
      </c>
      <c r="I1001" s="32" t="str">
        <f>IF(E1001=1,"",IF(OR(Orders!T998="Rider unavailable",Orders!T998="Item unavailable"),"Company-caused","Unresolved"))</f>
        <v/>
      </c>
      <c r="J1001" s="33">
        <f>IF(OR(E1001=1,I1001="Company-caused"),1,0)</f>
        <v>1</v>
      </c>
      <c r="K1001" s="32" t="str">
        <f>IF(E1001=0,IF(I1001="Company-caused",IF(Orders!T998="Rider unavailable","C1 Rider unavailable","C2 Item unavailable"),"Outside root: unresolved"),IF(G1001=0,"A On time",IF(H1001=1,IF(L1001=1,"B2a Severe, peak","B2b Severe, off-peak"),IF(L1001=1,"B1a Slight, peak","B1b Slight, off-peak"))))</f>
        <v>A On time</v>
      </c>
      <c r="L1001" s="33">
        <f>IF(AND(Orders!U998&gt;=19,Orders!U998&lt;22),1,0)</f>
        <v>0</v>
      </c>
      <c r="M1001" s="33">
        <f>IF(L1001=IF(Orders!V998,1,0),1,0)</f>
        <v>1</v>
      </c>
      <c r="N1001" s="32" t="str">
        <f>IF(Orders!W998="","None",Orders!W998)</f>
        <v>None</v>
      </c>
      <c r="O1001" s="35">
        <f>INT(Orders!E998)</f>
        <v>46270.0</v>
      </c>
      <c r="P1001" s="33">
        <f>Orders!U998</f>
        <v>13</v>
      </c>
      <c r="Q1001" s="33">
        <f>COUNTIFS(Demand!$A$2:$A$4481,B1001,Demand!$B$2:$B$4481,O1001,Demand!$C$2:$C$4481,P1001)</f>
        <v>1</v>
      </c>
      <c r="R1001" s="33">
        <f>IF(Q1001=1,SUMIFS(Demand!$E$2:$E$4481,Demand!$A$2:$A$4481,B1001,Demand!$B$2:$B$4481,O1001,Demand!$C$2:$C$4481,P1001),"")</f>
        <v>48</v>
      </c>
      <c r="S1001" s="33">
        <f>INDEX(Stores!$G$2:$G$21,MATCH(B1001,Stores!$A$2:$A$21,0))</f>
        <v>37</v>
      </c>
      <c r="T1001" s="34">
        <f>IF(R1001="","",R1001/S1001)</f>
        <v>1.2972972972973</v>
      </c>
      <c r="U1001" s="34">
        <f>IF(E1001=1,T1001,"")</f>
        <v>1.2972972972973</v>
      </c>
      <c r="V1001" s="34">
        <f>IF(AND(E1001=1,L1001=0),T1001,"")</f>
        <v>1.2972972972973</v>
      </c>
      <c r="W1001" s="33">
        <f>IF(U1001="","",IF(U1001&lt;=Breakdowns!$C$5,1,IF(U1001&lt;=Breakdowns!$C$6,2,IF(U1001&lt;=Breakdowns!$C$7,3,4))))</f>
        <v>4</v>
      </c>
      <c r="X1001" s="33">
        <f>IF(V1001="","",IF(V1001&lt;=Breakdowns!$D$5,1,IF(V1001&lt;=Breakdowns!$D$6,2,IF(V1001&lt;=Breakdowns!$D$7,3,4))))</f>
        <v>4</v>
      </c>
      <c r="Y1001" s="34">
        <f>INDEX(Stores!$F$2:$F$21,MATCH(B1001,Stores!$A$2:$A$21,0))</f>
        <v>5.55</v>
      </c>
      <c r="Z1001" s="33">
        <f>IF(Y1001&gt;Store_Summary!$M$2,1,0)</f>
        <v>1</v>
      </c>
      <c r="AA1001" s="33">
        <f>INDEX(Stores!$C$2:$C$21,MATCH(B1001,Stores!$A$2:$A$21,0))</f>
        <v>241</v>
      </c>
      <c r="AB1001" s="33">
        <f>IF(AA1001&lt;180,1,0)</f>
        <v>0</v>
      </c>
      <c r="AC1001" s="32" t="str">
        <f>IF(Orders!D998="","",INDEX(Riders!$C$2:$C$81,MATCH(Orders!D998,Riders!$A$2:$A$81,0)))</f>
        <v>EV scooter</v>
      </c>
      <c r="AD1001" s="33">
        <f>IF(Orders!D998="","",INDEX(Riders!$D$2:$D$81,MATCH(Orders!D998,Riders!$A$2:$A$81,0)))</f>
        <v>1</v>
      </c>
      <c r="AE1001" s="33">
        <f>IF(Orders!D998="","",IF(INDEX(Riders!$B$2:$B$81,MATCH(Orders!D998,Riders!$A$2:$A$81,0))=B1001,1,0))</f>
        <v>0</v>
      </c>
      <c r="AF1001" s="34">
        <f>IF(E1001=1,Orders!L998,"")</f>
        <v>1.46</v>
      </c>
      <c r="AG1001" s="34">
        <f>IF(E1001=1,Orders!P998,"")</f>
        <v>10.4</v>
      </c>
      <c r="AH1001" s="34">
        <f>IF(E1001=1,Orders!Q998,"")</f>
        <v>9.6</v>
      </c>
      <c r="AI1001" s="34">
        <f>IF(E1001=1,Orders!M998,"")</f>
        <v>2.9</v>
      </c>
      <c r="AJ1001" s="34">
        <f>IF(E1001=1,Orders!N998,"")</f>
        <v>4.5</v>
      </c>
      <c r="AK1001" s="34">
        <f>IF(E1001=1,Orders!O998,"")</f>
        <v>2.2</v>
      </c>
      <c r="AL1001" s="33">
        <f>IF(E1001=1,IF(ROUND(ABS(AI1001+AJ1001+AK1001-AH1001),6)&lt;=0.1,1,0),"")</f>
        <v>1</v>
      </c>
      <c r="AM1001" s="36">
        <f>IF(E1001=1,AI1001/AH1001,"")</f>
        <v>0.302083333333333</v>
      </c>
      <c r="AN1001" s="36">
        <f>IF(E1001=1,AJ1001/AH1001,"")</f>
        <v>0.46875</v>
      </c>
      <c r="AO1001" s="36">
        <f>IF(E1001=1,AK1001/AH1001,"")</f>
        <v>0.229166666666667</v>
      </c>
      <c r="AP1001" s="34">
        <f>IF(E1001=1,Orders!Y998,"")</f>
        <v>0.27</v>
      </c>
      <c r="AQ1001" s="33">
        <f>IF(Orders!X998,1,0)</f>
        <v>0</v>
      </c>
      <c r="AR1001" s="34" t="str">
        <f>IF(AND(E1001=1,L1001=1),AJ1001,"")</f>
        <v/>
      </c>
      <c r="AS1001" s="34">
        <f>IF(AND(E1001=1,L1001=0),AJ1001,"")</f>
        <v>4.5</v>
      </c>
      <c r="AT1001" s="34" t="str">
        <f>IF(AND(E1001=1,L1001=1),AI1001,"")</f>
        <v/>
      </c>
      <c r="AU1001" s="34">
        <f>IF(AND(E1001=1,L1001=0),AI1001,"")</f>
        <v>2.9</v>
      </c>
      <c r="AV1001" s="34" t="str">
        <f>IF(AND(E1001=1,L1001=1),AG1001,"")</f>
        <v/>
      </c>
      <c r="AW1001" s="34">
        <f>IF(AND(E1001=1,L1001=0),AG1001,"")</f>
        <v>10.4</v>
      </c>
      <c r="AX1001" s="34" t="str">
        <f>IF(AND(E1001=1,L1001=1),AH1001,"")</f>
        <v/>
      </c>
      <c r="AY1001" s="34">
        <f>IF(AND(E1001=1,L1001=0),AH1001,"")</f>
        <v>9.6</v>
      </c>
      <c r="AZ1001" s="34" t="str">
        <f>IF(G1001=1,F1001,"")</f>
        <v/>
      </c>
      <c r="BA1001" s="34" t="str">
        <f>IF(AND(G1001=1,L1001=1),F1001,"")</f>
        <v/>
      </c>
      <c r="BB1001" s="34" t="str">
        <f>IF(AND(G1001=1,L1001=0),F1001,"")</f>
        <v/>
      </c>
      <c r="BC1001" s="33">
        <f>IF(E1001=1,IF(Orders!R998&gt;3,1,0),"")</f>
        <v>0</v>
      </c>
      <c r="BD1001" s="33">
        <f>IF(E1001=1,IF(Orders!R998&gt;7,1,0),"")</f>
        <v>0</v>
      </c>
      <c r="BE1001" s="32" t="str">
        <f>IF(E1001=1,IF(Orders!L998&lt;=1.5,"Up to 1.5 km",IF(Orders!L998&lt;=3,"1.5–3 km","Over 3 km")),"")</f>
        <v>Up to 1.5 km</v>
      </c>
      <c r="BF1001" s="33">
        <f>IF(E1001=1,IF(ABS((Orders!G998-Orders!F998)*1440-Orders!R998)&lt;0.06,1,0),"")</f>
        <v>1</v>
      </c>
      <c r="BG1001" s="33">
        <f>IF(ABS((Orders!F998-Orders!E998)*1440-Orders!P998)&lt;0.06,1,0)</f>
        <v>1</v>
      </c>
      <c r="BH1001" s="33">
        <f>IF(E1001=1,IF(IF(Orders!S998,1,0)=1-G1001,1,0),"")</f>
        <v>1</v>
      </c>
      <c r="BI1001" s="32" t="str">
        <f>INDEX(Stores!$B$2:$B$21,MATCH(B1001,Stores!$A$2:$A$21,0))</f>
        <v>Pune</v>
      </c>
    </row>
    <row r="1002">
      <c r="A1002" s="32" t="str">
        <f>Orders!A999</f>
        <v>O00998</v>
      </c>
      <c r="B1002" s="32" t="str">
        <f>Orders!C999</f>
        <v>S001</v>
      </c>
      <c r="C1002" s="32" t="str">
        <f>Orders!B999</f>
        <v>C0236</v>
      </c>
      <c r="D1002" s="32" t="str">
        <f>Orders!H999</f>
        <v>Delivered</v>
      </c>
      <c r="E1002" s="33">
        <f>IF(Orders!H999="Delivered",1,0)</f>
        <v>1</v>
      </c>
      <c r="F1002" s="34">
        <f>IF(E1002=1,Orders!R999,"")</f>
        <v>-0.6</v>
      </c>
      <c r="G1002" s="33">
        <f>IF(E1002=1,IF(Orders!R999&gt;0,1,0),"")</f>
        <v>0</v>
      </c>
      <c r="H1002" s="33">
        <f>IF(E1002=1,IF(Orders!R999&gt;5,1,0),"")</f>
        <v>0</v>
      </c>
      <c r="I1002" s="32" t="str">
        <f>IF(E1002=1,"",IF(OR(Orders!T999="Rider unavailable",Orders!T999="Item unavailable"),"Company-caused","Unresolved"))</f>
        <v/>
      </c>
      <c r="J1002" s="33">
        <f>IF(OR(E1002=1,I1002="Company-caused"),1,0)</f>
        <v>1</v>
      </c>
      <c r="K1002" s="32" t="str">
        <f>IF(E1002=0,IF(I1002="Company-caused",IF(Orders!T999="Rider unavailable","C1 Rider unavailable","C2 Item unavailable"),"Outside root: unresolved"),IF(G1002=0,"A On time",IF(H1002=1,IF(L1002=1,"B2a Severe, peak","B2b Severe, off-peak"),IF(L1002=1,"B1a Slight, peak","B1b Slight, off-peak"))))</f>
        <v>A On time</v>
      </c>
      <c r="L1002" s="33">
        <f>IF(AND(Orders!U999&gt;=19,Orders!U999&lt;22),1,0)</f>
        <v>0</v>
      </c>
      <c r="M1002" s="33">
        <f>IF(L1002=IF(Orders!V999,1,0),1,0)</f>
        <v>1</v>
      </c>
      <c r="N1002" s="32" t="str">
        <f>IF(Orders!W999="","None",Orders!W999)</f>
        <v>Heavy</v>
      </c>
      <c r="O1002" s="35">
        <f>INT(Orders!E999)</f>
        <v>46268.0</v>
      </c>
      <c r="P1002" s="33">
        <f>Orders!U999</f>
        <v>10</v>
      </c>
      <c r="Q1002" s="33">
        <f>COUNTIFS(Demand!$A$2:$A$4481,B1002,Demand!$B$2:$B$4481,O1002,Demand!$C$2:$C$4481,P1002)</f>
        <v>1</v>
      </c>
      <c r="R1002" s="33">
        <f>IF(Q1002=1,SUMIFS(Demand!$E$2:$E$4481,Demand!$A$2:$A$4481,B1002,Demand!$B$2:$B$4481,O1002,Demand!$C$2:$C$4481,P1002),"")</f>
        <v>12</v>
      </c>
      <c r="S1002" s="33">
        <f>INDEX(Stores!$G$2:$G$21,MATCH(B1002,Stores!$A$2:$A$21,0))</f>
        <v>16</v>
      </c>
      <c r="T1002" s="34">
        <f>IF(R1002="","",R1002/S1002)</f>
        <v>0.75</v>
      </c>
      <c r="U1002" s="34">
        <f>IF(E1002=1,T1002,"")</f>
        <v>0.75</v>
      </c>
      <c r="V1002" s="34">
        <f>IF(AND(E1002=1,L1002=0),T1002,"")</f>
        <v>0.75</v>
      </c>
      <c r="W1002" s="33">
        <f>IF(U1002="","",IF(U1002&lt;=Breakdowns!$C$5,1,IF(U1002&lt;=Breakdowns!$C$6,2,IF(U1002&lt;=Breakdowns!$C$7,3,4))))</f>
        <v>1</v>
      </c>
      <c r="X1002" s="33">
        <f>IF(V1002="","",IF(V1002&lt;=Breakdowns!$D$5,1,IF(V1002&lt;=Breakdowns!$D$6,2,IF(V1002&lt;=Breakdowns!$D$7,3,4))))</f>
        <v>1</v>
      </c>
      <c r="Y1002" s="34">
        <f>INDEX(Stores!$F$2:$F$21,MATCH(B1002,Stores!$A$2:$A$21,0))</f>
        <v>4.59</v>
      </c>
      <c r="Z1002" s="33">
        <f>IF(Y1002&gt;Store_Summary!$M$2,1,0)</f>
        <v>0</v>
      </c>
      <c r="AA1002" s="33">
        <f>INDEX(Stores!$C$2:$C$21,MATCH(B1002,Stores!$A$2:$A$21,0))</f>
        <v>362</v>
      </c>
      <c r="AB1002" s="33">
        <f>IF(AA1002&lt;180,1,0)</f>
        <v>0</v>
      </c>
      <c r="AC1002" s="32" t="str">
        <f>IF(Orders!D999="","",INDEX(Riders!$C$2:$C$81,MATCH(Orders!D999,Riders!$A$2:$A$81,0)))</f>
        <v>EV scooter</v>
      </c>
      <c r="AD1002" s="33">
        <f>IF(Orders!D999="","",INDEX(Riders!$D$2:$D$81,MATCH(Orders!D999,Riders!$A$2:$A$81,0)))</f>
        <v>38</v>
      </c>
      <c r="AE1002" s="33">
        <f>IF(Orders!D999="","",IF(INDEX(Riders!$B$2:$B$81,MATCH(Orders!D999,Riders!$A$2:$A$81,0))=B1002,1,0))</f>
        <v>0</v>
      </c>
      <c r="AF1002" s="34">
        <f>IF(E1002=1,Orders!L999,"")</f>
        <v>3.58</v>
      </c>
      <c r="AG1002" s="34">
        <f>IF(E1002=1,Orders!P999,"")</f>
        <v>11.5</v>
      </c>
      <c r="AH1002" s="34">
        <f>IF(E1002=1,Orders!Q999,"")</f>
        <v>10.9</v>
      </c>
      <c r="AI1002" s="34">
        <f>IF(E1002=1,Orders!M999,"")</f>
        <v>2.3</v>
      </c>
      <c r="AJ1002" s="34">
        <f>IF(E1002=1,Orders!N999,"")</f>
        <v>3.4</v>
      </c>
      <c r="AK1002" s="34">
        <f>IF(E1002=1,Orders!O999,"")</f>
        <v>5.2</v>
      </c>
      <c r="AL1002" s="33">
        <f>IF(E1002=1,IF(ROUND(ABS(AI1002+AJ1002+AK1002-AH1002),6)&lt;=0.1,1,0),"")</f>
        <v>1</v>
      </c>
      <c r="AM1002" s="36">
        <f>IF(E1002=1,AI1002/AH1002,"")</f>
        <v>0.211009174311927</v>
      </c>
      <c r="AN1002" s="36">
        <f>IF(E1002=1,AJ1002/AH1002,"")</f>
        <v>0.311926605504587</v>
      </c>
      <c r="AO1002" s="36">
        <f>IF(E1002=1,AK1002/AH1002,"")</f>
        <v>0.477064220183486</v>
      </c>
      <c r="AP1002" s="34">
        <f>IF(E1002=1,Orders!Y999,"")</f>
        <v>0.62</v>
      </c>
      <c r="AQ1002" s="33">
        <f>IF(Orders!X999,1,0)</f>
        <v>0</v>
      </c>
      <c r="AR1002" s="34" t="str">
        <f>IF(AND(E1002=1,L1002=1),AJ1002,"")</f>
        <v/>
      </c>
      <c r="AS1002" s="34">
        <f>IF(AND(E1002=1,L1002=0),AJ1002,"")</f>
        <v>3.4</v>
      </c>
      <c r="AT1002" s="34" t="str">
        <f>IF(AND(E1002=1,L1002=1),AI1002,"")</f>
        <v/>
      </c>
      <c r="AU1002" s="34">
        <f>IF(AND(E1002=1,L1002=0),AI1002,"")</f>
        <v>2.3</v>
      </c>
      <c r="AV1002" s="34" t="str">
        <f>IF(AND(E1002=1,L1002=1),AG1002,"")</f>
        <v/>
      </c>
      <c r="AW1002" s="34">
        <f>IF(AND(E1002=1,L1002=0),AG1002,"")</f>
        <v>11.5</v>
      </c>
      <c r="AX1002" s="34" t="str">
        <f>IF(AND(E1002=1,L1002=1),AH1002,"")</f>
        <v/>
      </c>
      <c r="AY1002" s="34">
        <f>IF(AND(E1002=1,L1002=0),AH1002,"")</f>
        <v>10.9</v>
      </c>
      <c r="AZ1002" s="34" t="str">
        <f>IF(G1002=1,F1002,"")</f>
        <v/>
      </c>
      <c r="BA1002" s="34" t="str">
        <f>IF(AND(G1002=1,L1002=1),F1002,"")</f>
        <v/>
      </c>
      <c r="BB1002" s="34" t="str">
        <f>IF(AND(G1002=1,L1002=0),F1002,"")</f>
        <v/>
      </c>
      <c r="BC1002" s="33">
        <f>IF(E1002=1,IF(Orders!R999&gt;3,1,0),"")</f>
        <v>0</v>
      </c>
      <c r="BD1002" s="33">
        <f>IF(E1002=1,IF(Orders!R999&gt;7,1,0),"")</f>
        <v>0</v>
      </c>
      <c r="BE1002" s="32" t="str">
        <f>IF(E1002=1,IF(Orders!L999&lt;=1.5,"Up to 1.5 km",IF(Orders!L999&lt;=3,"1.5–3 km","Over 3 km")),"")</f>
        <v>Over 3 km</v>
      </c>
      <c r="BF1002" s="33">
        <f>IF(E1002=1,IF(ABS((Orders!G999-Orders!F999)*1440-Orders!R999)&lt;0.06,1,0),"")</f>
        <v>1</v>
      </c>
      <c r="BG1002" s="33">
        <f>IF(ABS((Orders!F999-Orders!E999)*1440-Orders!P999)&lt;0.06,1,0)</f>
        <v>1</v>
      </c>
      <c r="BH1002" s="33">
        <f>IF(E1002=1,IF(IF(Orders!S999,1,0)=1-G1002,1,0),"")</f>
        <v>1</v>
      </c>
      <c r="BI1002" s="32" t="str">
        <f>INDEX(Stores!$B$2:$B$21,MATCH(B1002,Stores!$A$2:$A$21,0))</f>
        <v>Bengaluru</v>
      </c>
    </row>
    <row r="1003">
      <c r="A1003" s="32" t="str">
        <f>Orders!A1000</f>
        <v>O00999</v>
      </c>
      <c r="B1003" s="32" t="str">
        <f>Orders!C1000</f>
        <v>S010</v>
      </c>
      <c r="C1003" s="32" t="str">
        <f>Orders!B1000</f>
        <v>C0161</v>
      </c>
      <c r="D1003" s="32" t="str">
        <f>Orders!H1000</f>
        <v>Delivered</v>
      </c>
      <c r="E1003" s="33">
        <f>IF(Orders!H1000="Delivered",1,0)</f>
        <v>1</v>
      </c>
      <c r="F1003" s="34">
        <f>IF(E1003=1,Orders!R1000,"")</f>
        <v>5.1</v>
      </c>
      <c r="G1003" s="33">
        <f>IF(E1003=1,IF(Orders!R1000&gt;0,1,0),"")</f>
        <v>1</v>
      </c>
      <c r="H1003" s="33">
        <f>IF(E1003=1,IF(Orders!R1000&gt;5,1,0),"")</f>
        <v>1</v>
      </c>
      <c r="I1003" s="32" t="str">
        <f>IF(E1003=1,"",IF(OR(Orders!T1000="Rider unavailable",Orders!T1000="Item unavailable"),"Company-caused","Unresolved"))</f>
        <v/>
      </c>
      <c r="J1003" s="33">
        <f>IF(OR(E1003=1,I1003="Company-caused"),1,0)</f>
        <v>1</v>
      </c>
      <c r="K1003" s="32" t="str">
        <f>IF(E1003=0,IF(I1003="Company-caused",IF(Orders!T1000="Rider unavailable","C1 Rider unavailable","C2 Item unavailable"),"Outside root: unresolved"),IF(G1003=0,"A On time",IF(H1003=1,IF(L1003=1,"B2a Severe, peak","B2b Severe, off-peak"),IF(L1003=1,"B1a Slight, peak","B1b Slight, off-peak"))))</f>
        <v>B2b Severe, off-peak</v>
      </c>
      <c r="L1003" s="33">
        <f>IF(AND(Orders!U1000&gt;=19,Orders!U1000&lt;22),1,0)</f>
        <v>0</v>
      </c>
      <c r="M1003" s="33">
        <f>IF(L1003=IF(Orders!V1000,1,0),1,0)</f>
        <v>1</v>
      </c>
      <c r="N1003" s="32" t="str">
        <f>IF(Orders!W1000="","None",Orders!W1000)</f>
        <v>None</v>
      </c>
      <c r="O1003" s="35">
        <f>INT(Orders!E1000)</f>
        <v>46270.0</v>
      </c>
      <c r="P1003" s="33">
        <f>Orders!U1000</f>
        <v>12</v>
      </c>
      <c r="Q1003" s="33">
        <f>COUNTIFS(Demand!$A$2:$A$4481,B1003,Demand!$B$2:$B$4481,O1003,Demand!$C$2:$C$4481,P1003)</f>
        <v>1</v>
      </c>
      <c r="R1003" s="33">
        <f>IF(Q1003=1,SUMIFS(Demand!$E$2:$E$4481,Demand!$A$2:$A$4481,B1003,Demand!$B$2:$B$4481,O1003,Demand!$C$2:$C$4481,P1003),"")</f>
        <v>24</v>
      </c>
      <c r="S1003" s="33">
        <f>INDEX(Stores!$G$2:$G$21,MATCH(B1003,Stores!$A$2:$A$21,0))</f>
        <v>22</v>
      </c>
      <c r="T1003" s="34">
        <f>IF(R1003="","",R1003/S1003)</f>
        <v>1.09090909090909</v>
      </c>
      <c r="U1003" s="34">
        <f>IF(E1003=1,T1003,"")</f>
        <v>1.09090909090909</v>
      </c>
      <c r="V1003" s="34">
        <f>IF(AND(E1003=1,L1003=0),T1003,"")</f>
        <v>1.09090909090909</v>
      </c>
      <c r="W1003" s="33">
        <f>IF(U1003="","",IF(U1003&lt;=Breakdowns!$C$5,1,IF(U1003&lt;=Breakdowns!$C$6,2,IF(U1003&lt;=Breakdowns!$C$7,3,4))))</f>
        <v>3</v>
      </c>
      <c r="X1003" s="33">
        <f>IF(V1003="","",IF(V1003&lt;=Breakdowns!$D$5,1,IF(V1003&lt;=Breakdowns!$D$6,2,IF(V1003&lt;=Breakdowns!$D$7,3,4))))</f>
        <v>4</v>
      </c>
      <c r="Y1003" s="34">
        <f>INDEX(Stores!$F$2:$F$21,MATCH(B1003,Stores!$A$2:$A$21,0))</f>
        <v>5.61</v>
      </c>
      <c r="Z1003" s="33">
        <f>IF(Y1003&gt;Store_Summary!$M$2,1,0)</f>
        <v>1</v>
      </c>
      <c r="AA1003" s="33">
        <f>INDEX(Stores!$C$2:$C$21,MATCH(B1003,Stores!$A$2:$A$21,0))</f>
        <v>744</v>
      </c>
      <c r="AB1003" s="33">
        <f>IF(AA1003&lt;180,1,0)</f>
        <v>0</v>
      </c>
      <c r="AC1003" s="32" t="str">
        <f>IF(Orders!D1000="","",INDEX(Riders!$C$2:$C$81,MATCH(Orders!D1000,Riders!$A$2:$A$81,0)))</f>
        <v>EV scooter</v>
      </c>
      <c r="AD1003" s="33">
        <f>IF(Orders!D1000="","",INDEX(Riders!$D$2:$D$81,MATCH(Orders!D1000,Riders!$A$2:$A$81,0)))</f>
        <v>9</v>
      </c>
      <c r="AE1003" s="33">
        <f>IF(Orders!D1000="","",IF(INDEX(Riders!$B$2:$B$81,MATCH(Orders!D1000,Riders!$A$2:$A$81,0))=B1003,1,0))</f>
        <v>0</v>
      </c>
      <c r="AF1003" s="34">
        <f>IF(E1003=1,Orders!L1000,"")</f>
        <v>0.88</v>
      </c>
      <c r="AG1003" s="34">
        <f>IF(E1003=1,Orders!P1000,"")</f>
        <v>10.8</v>
      </c>
      <c r="AH1003" s="34">
        <f>IF(E1003=1,Orders!Q1000,"")</f>
        <v>15.9</v>
      </c>
      <c r="AI1003" s="34">
        <f>IF(E1003=1,Orders!M1000,"")</f>
        <v>6.2</v>
      </c>
      <c r="AJ1003" s="34">
        <f>IF(E1003=1,Orders!N1000,"")</f>
        <v>6.2</v>
      </c>
      <c r="AK1003" s="34">
        <f>IF(E1003=1,Orders!O1000,"")</f>
        <v>3.5</v>
      </c>
      <c r="AL1003" s="33">
        <f>IF(E1003=1,IF(ROUND(ABS(AI1003+AJ1003+AK1003-AH1003),6)&lt;=0.1,1,0),"")</f>
        <v>1</v>
      </c>
      <c r="AM1003" s="36">
        <f>IF(E1003=1,AI1003/AH1003,"")</f>
        <v>0.389937106918239</v>
      </c>
      <c r="AN1003" s="36">
        <f>IF(E1003=1,AJ1003/AH1003,"")</f>
        <v>0.389937106918239</v>
      </c>
      <c r="AO1003" s="36">
        <f>IF(E1003=1,AK1003/AH1003,"")</f>
        <v>0.220125786163522</v>
      </c>
      <c r="AP1003" s="34">
        <f>IF(E1003=1,Orders!Y1000,"")</f>
        <v>0.48</v>
      </c>
      <c r="AQ1003" s="33">
        <f>IF(Orders!X1000,1,0)</f>
        <v>0</v>
      </c>
      <c r="AR1003" s="34" t="str">
        <f>IF(AND(E1003=1,L1003=1),AJ1003,"")</f>
        <v/>
      </c>
      <c r="AS1003" s="34">
        <f>IF(AND(E1003=1,L1003=0),AJ1003,"")</f>
        <v>6.2</v>
      </c>
      <c r="AT1003" s="34" t="str">
        <f>IF(AND(E1003=1,L1003=1),AI1003,"")</f>
        <v/>
      </c>
      <c r="AU1003" s="34">
        <f>IF(AND(E1003=1,L1003=0),AI1003,"")</f>
        <v>6.2</v>
      </c>
      <c r="AV1003" s="34" t="str">
        <f>IF(AND(E1003=1,L1003=1),AG1003,"")</f>
        <v/>
      </c>
      <c r="AW1003" s="34">
        <f>IF(AND(E1003=1,L1003=0),AG1003,"")</f>
        <v>10.8</v>
      </c>
      <c r="AX1003" s="34" t="str">
        <f>IF(AND(E1003=1,L1003=1),AH1003,"")</f>
        <v/>
      </c>
      <c r="AY1003" s="34">
        <f>IF(AND(E1003=1,L1003=0),AH1003,"")</f>
        <v>15.9</v>
      </c>
      <c r="AZ1003" s="34">
        <f>IF(G1003=1,F1003,"")</f>
        <v>5.1</v>
      </c>
      <c r="BA1003" s="34" t="str">
        <f>IF(AND(G1003=1,L1003=1),F1003,"")</f>
        <v/>
      </c>
      <c r="BB1003" s="34">
        <f>IF(AND(G1003=1,L1003=0),F1003,"")</f>
        <v>5.1</v>
      </c>
      <c r="BC1003" s="33">
        <f>IF(E1003=1,IF(Orders!R1000&gt;3,1,0),"")</f>
        <v>1</v>
      </c>
      <c r="BD1003" s="33">
        <f>IF(E1003=1,IF(Orders!R1000&gt;7,1,0),"")</f>
        <v>0</v>
      </c>
      <c r="BE1003" s="32" t="str">
        <f>IF(E1003=1,IF(Orders!L1000&lt;=1.5,"Up to 1.5 km",IF(Orders!L1000&lt;=3,"1.5–3 km","Over 3 km")),"")</f>
        <v>Up to 1.5 km</v>
      </c>
      <c r="BF1003" s="33">
        <f>IF(E1003=1,IF(ABS((Orders!G1000-Orders!F1000)*1440-Orders!R1000)&lt;0.06,1,0),"")</f>
        <v>1</v>
      </c>
      <c r="BG1003" s="33">
        <f>IF(ABS((Orders!F1000-Orders!E1000)*1440-Orders!P1000)&lt;0.06,1,0)</f>
        <v>1</v>
      </c>
      <c r="BH1003" s="33">
        <f>IF(E1003=1,IF(IF(Orders!S1000,1,0)=1-G1003,1,0),"")</f>
        <v>1</v>
      </c>
      <c r="BI1003" s="32" t="str">
        <f>INDEX(Stores!$B$2:$B$21,MATCH(B1003,Stores!$A$2:$A$21,0))</f>
        <v>Delhi</v>
      </c>
    </row>
    <row r="1004">
      <c r="A1004" s="32" t="str">
        <f>Orders!A1001</f>
        <v>O01000</v>
      </c>
      <c r="B1004" s="32" t="str">
        <f>Orders!C1001</f>
        <v>S009</v>
      </c>
      <c r="C1004" s="32" t="str">
        <f>Orders!B1001</f>
        <v>C0022</v>
      </c>
      <c r="D1004" s="32" t="str">
        <f>Orders!H1001</f>
        <v>Delivered</v>
      </c>
      <c r="E1004" s="33">
        <f>IF(Orders!H1001="Delivered",1,0)</f>
        <v>1</v>
      </c>
      <c r="F1004" s="34">
        <f>IF(E1004=1,Orders!R1001,"")</f>
        <v>-0.6</v>
      </c>
      <c r="G1004" s="33">
        <f>IF(E1004=1,IF(Orders!R1001&gt;0,1,0),"")</f>
        <v>0</v>
      </c>
      <c r="H1004" s="33">
        <f>IF(E1004=1,IF(Orders!R1001&gt;5,1,0),"")</f>
        <v>0</v>
      </c>
      <c r="I1004" s="32" t="str">
        <f>IF(E1004=1,"",IF(OR(Orders!T1001="Rider unavailable",Orders!T1001="Item unavailable"),"Company-caused","Unresolved"))</f>
        <v/>
      </c>
      <c r="J1004" s="33">
        <f>IF(OR(E1004=1,I1004="Company-caused"),1,0)</f>
        <v>1</v>
      </c>
      <c r="K1004" s="32" t="str">
        <f>IF(E1004=0,IF(I1004="Company-caused",IF(Orders!T1001="Rider unavailable","C1 Rider unavailable","C2 Item unavailable"),"Outside root: unresolved"),IF(G1004=0,"A On time",IF(H1004=1,IF(L1004=1,"B2a Severe, peak","B2b Severe, off-peak"),IF(L1004=1,"B1a Slight, peak","B1b Slight, off-peak"))))</f>
        <v>A On time</v>
      </c>
      <c r="L1004" s="33">
        <f>IF(AND(Orders!U1001&gt;=19,Orders!U1001&lt;22),1,0)</f>
        <v>0</v>
      </c>
      <c r="M1004" s="33">
        <f>IF(L1004=IF(Orders!V1001,1,0),1,0)</f>
        <v>1</v>
      </c>
      <c r="N1004" s="32" t="str">
        <f>IF(Orders!W1001="","None",Orders!W1001)</f>
        <v>None</v>
      </c>
      <c r="O1004" s="35">
        <f>INT(Orders!E1001)</f>
        <v>46274.0</v>
      </c>
      <c r="P1004" s="33">
        <f>Orders!U1001</f>
        <v>15</v>
      </c>
      <c r="Q1004" s="33">
        <f>COUNTIFS(Demand!$A$2:$A$4481,B1004,Demand!$B$2:$B$4481,O1004,Demand!$C$2:$C$4481,P1004)</f>
        <v>1</v>
      </c>
      <c r="R1004" s="33">
        <f>IF(Q1004=1,SUMIFS(Demand!$E$2:$E$4481,Demand!$A$2:$A$4481,B1004,Demand!$B$2:$B$4481,O1004,Demand!$C$2:$C$4481,P1004),"")</f>
        <v>16</v>
      </c>
      <c r="S1004" s="33">
        <f>INDEX(Stores!$G$2:$G$21,MATCH(B1004,Stores!$A$2:$A$21,0))</f>
        <v>29</v>
      </c>
      <c r="T1004" s="34">
        <f>IF(R1004="","",R1004/S1004)</f>
        <v>0.551724137931035</v>
      </c>
      <c r="U1004" s="34">
        <f>IF(E1004=1,T1004,"")</f>
        <v>0.551724137931035</v>
      </c>
      <c r="V1004" s="34">
        <f>IF(AND(E1004=1,L1004=0),T1004,"")</f>
        <v>0.551724137931035</v>
      </c>
      <c r="W1004" s="33">
        <f>IF(U1004="","",IF(U1004&lt;=Breakdowns!$C$5,1,IF(U1004&lt;=Breakdowns!$C$6,2,IF(U1004&lt;=Breakdowns!$C$7,3,4))))</f>
        <v>1</v>
      </c>
      <c r="X1004" s="33">
        <f>IF(V1004="","",IF(V1004&lt;=Breakdowns!$D$5,1,IF(V1004&lt;=Breakdowns!$D$6,2,IF(V1004&lt;=Breakdowns!$D$7,3,4))))</f>
        <v>1</v>
      </c>
      <c r="Y1004" s="34">
        <f>INDEX(Stores!$F$2:$F$21,MATCH(B1004,Stores!$A$2:$A$21,0))</f>
        <v>2.66</v>
      </c>
      <c r="Z1004" s="33">
        <f>IF(Y1004&gt;Store_Summary!$M$2,1,0)</f>
        <v>0</v>
      </c>
      <c r="AA1004" s="33">
        <f>INDEX(Stores!$C$2:$C$21,MATCH(B1004,Stores!$A$2:$A$21,0))</f>
        <v>645</v>
      </c>
      <c r="AB1004" s="33">
        <f>IF(AA1004&lt;180,1,0)</f>
        <v>0</v>
      </c>
      <c r="AC1004" s="32" t="str">
        <f>IF(Orders!D1001="","",INDEX(Riders!$C$2:$C$81,MATCH(Orders!D1001,Riders!$A$2:$A$81,0)))</f>
        <v>Petrol scooter</v>
      </c>
      <c r="AD1004" s="33">
        <f>IF(Orders!D1001="","",INDEX(Riders!$D$2:$D$81,MATCH(Orders!D1001,Riders!$A$2:$A$81,0)))</f>
        <v>24</v>
      </c>
      <c r="AE1004" s="33">
        <f>IF(Orders!D1001="","",IF(INDEX(Riders!$B$2:$B$81,MATCH(Orders!D1001,Riders!$A$2:$A$81,0))=B1004,1,0))</f>
        <v>0</v>
      </c>
      <c r="AF1004" s="34">
        <f>IF(E1004=1,Orders!L1001,"")</f>
        <v>0.78</v>
      </c>
      <c r="AG1004" s="34">
        <f>IF(E1004=1,Orders!P1001,"")</f>
        <v>8.4</v>
      </c>
      <c r="AH1004" s="34">
        <f>IF(E1004=1,Orders!Q1001,"")</f>
        <v>7.8</v>
      </c>
      <c r="AI1004" s="34">
        <f>IF(E1004=1,Orders!M1001,"")</f>
        <v>3.2</v>
      </c>
      <c r="AJ1004" s="34">
        <f>IF(E1004=1,Orders!N1001,"")</f>
        <v>2.3</v>
      </c>
      <c r="AK1004" s="34">
        <f>IF(E1004=1,Orders!O1001,"")</f>
        <v>2.3</v>
      </c>
      <c r="AL1004" s="33">
        <f>IF(E1004=1,IF(ROUND(ABS(AI1004+AJ1004+AK1004-AH1004),6)&lt;=0.1,1,0),"")</f>
        <v>1</v>
      </c>
      <c r="AM1004" s="36">
        <f>IF(E1004=1,AI1004/AH1004,"")</f>
        <v>0.41025641025641</v>
      </c>
      <c r="AN1004" s="36">
        <f>IF(E1004=1,AJ1004/AH1004,"")</f>
        <v>0.294871794871795</v>
      </c>
      <c r="AO1004" s="36">
        <f>IF(E1004=1,AK1004/AH1004,"")</f>
        <v>0.294871794871795</v>
      </c>
      <c r="AP1004" s="34">
        <f>IF(E1004=1,Orders!Y1001,"")</f>
        <v>0.45</v>
      </c>
      <c r="AQ1004" s="33">
        <f>IF(Orders!X1001,1,0)</f>
        <v>0</v>
      </c>
      <c r="AR1004" s="34" t="str">
        <f>IF(AND(E1004=1,L1004=1),AJ1004,"")</f>
        <v/>
      </c>
      <c r="AS1004" s="34">
        <f>IF(AND(E1004=1,L1004=0),AJ1004,"")</f>
        <v>2.3</v>
      </c>
      <c r="AT1004" s="34" t="str">
        <f>IF(AND(E1004=1,L1004=1),AI1004,"")</f>
        <v/>
      </c>
      <c r="AU1004" s="34">
        <f>IF(AND(E1004=1,L1004=0),AI1004,"")</f>
        <v>3.2</v>
      </c>
      <c r="AV1004" s="34" t="str">
        <f>IF(AND(E1004=1,L1004=1),AG1004,"")</f>
        <v/>
      </c>
      <c r="AW1004" s="34">
        <f>IF(AND(E1004=1,L1004=0),AG1004,"")</f>
        <v>8.4</v>
      </c>
      <c r="AX1004" s="34" t="str">
        <f>IF(AND(E1004=1,L1004=1),AH1004,"")</f>
        <v/>
      </c>
      <c r="AY1004" s="34">
        <f>IF(AND(E1004=1,L1004=0),AH1004,"")</f>
        <v>7.8</v>
      </c>
      <c r="AZ1004" s="34" t="str">
        <f>IF(G1004=1,F1004,"")</f>
        <v/>
      </c>
      <c r="BA1004" s="34" t="str">
        <f>IF(AND(G1004=1,L1004=1),F1004,"")</f>
        <v/>
      </c>
      <c r="BB1004" s="34" t="str">
        <f>IF(AND(G1004=1,L1004=0),F1004,"")</f>
        <v/>
      </c>
      <c r="BC1004" s="33">
        <f>IF(E1004=1,IF(Orders!R1001&gt;3,1,0),"")</f>
        <v>0</v>
      </c>
      <c r="BD1004" s="33">
        <f>IF(E1004=1,IF(Orders!R1001&gt;7,1,0),"")</f>
        <v>0</v>
      </c>
      <c r="BE1004" s="32" t="str">
        <f>IF(E1004=1,IF(Orders!L1001&lt;=1.5,"Up to 1.5 km",IF(Orders!L1001&lt;=3,"1.5–3 km","Over 3 km")),"")</f>
        <v>Up to 1.5 km</v>
      </c>
      <c r="BF1004" s="33">
        <f>IF(E1004=1,IF(ABS((Orders!G1001-Orders!F1001)*1440-Orders!R1001)&lt;0.06,1,0),"")</f>
        <v>1</v>
      </c>
      <c r="BG1004" s="33">
        <f>IF(ABS((Orders!F1001-Orders!E1001)*1440-Orders!P1001)&lt;0.06,1,0)</f>
        <v>1</v>
      </c>
      <c r="BH1004" s="33">
        <f>IF(E1004=1,IF(IF(Orders!S1001,1,0)=1-G1004,1,0),"")</f>
        <v>1</v>
      </c>
      <c r="BI1004" s="32" t="str">
        <f>INDEX(Stores!$B$2:$B$21,MATCH(B1004,Stores!$A$2:$A$21,0))</f>
        <v>Pune</v>
      </c>
    </row>
    <row r="1005">
      <c r="A1005" s="32" t="str">
        <f>Orders!A1002</f>
        <v>O01001</v>
      </c>
      <c r="B1005" s="32" t="str">
        <f>Orders!C1002</f>
        <v>S008</v>
      </c>
      <c r="C1005" s="32" t="str">
        <f>Orders!B1002</f>
        <v>C0086</v>
      </c>
      <c r="D1005" s="32" t="str">
        <f>Orders!H1002</f>
        <v>Delivered</v>
      </c>
      <c r="E1005" s="33">
        <f>IF(Orders!H1002="Delivered",1,0)</f>
        <v>1</v>
      </c>
      <c r="F1005" s="34">
        <f>IF(E1005=1,Orders!R1002,"")</f>
        <v>8.6</v>
      </c>
      <c r="G1005" s="33">
        <f>IF(E1005=1,IF(Orders!R1002&gt;0,1,0),"")</f>
        <v>1</v>
      </c>
      <c r="H1005" s="33">
        <f>IF(E1005=1,IF(Orders!R1002&gt;5,1,0),"")</f>
        <v>1</v>
      </c>
      <c r="I1005" s="32" t="str">
        <f>IF(E1005=1,"",IF(OR(Orders!T1002="Rider unavailable",Orders!T1002="Item unavailable"),"Company-caused","Unresolved"))</f>
        <v/>
      </c>
      <c r="J1005" s="33">
        <f>IF(OR(E1005=1,I1005="Company-caused"),1,0)</f>
        <v>1</v>
      </c>
      <c r="K1005" s="32" t="str">
        <f>IF(E1005=0,IF(I1005="Company-caused",IF(Orders!T1002="Rider unavailable","C1 Rider unavailable","C2 Item unavailable"),"Outside root: unresolved"),IF(G1005=0,"A On time",IF(H1005=1,IF(L1005=1,"B2a Severe, peak","B2b Severe, off-peak"),IF(L1005=1,"B1a Slight, peak","B1b Slight, off-peak"))))</f>
        <v>B2b Severe, off-peak</v>
      </c>
      <c r="L1005" s="33">
        <f>IF(AND(Orders!U1002&gt;=19,Orders!U1002&lt;22),1,0)</f>
        <v>0</v>
      </c>
      <c r="M1005" s="33">
        <f>IF(L1005=IF(Orders!V1002,1,0),1,0)</f>
        <v>1</v>
      </c>
      <c r="N1005" s="32" t="str">
        <f>IF(Orders!W1002="","None",Orders!W1002)</f>
        <v>None</v>
      </c>
      <c r="O1005" s="35">
        <f>INT(Orders!E1002)</f>
        <v>46278.0</v>
      </c>
      <c r="P1005" s="33">
        <f>Orders!U1002</f>
        <v>15</v>
      </c>
      <c r="Q1005" s="33">
        <f>COUNTIFS(Demand!$A$2:$A$4481,B1005,Demand!$B$2:$B$4481,O1005,Demand!$C$2:$C$4481,P1005)</f>
        <v>1</v>
      </c>
      <c r="R1005" s="33">
        <f>IF(Q1005=1,SUMIFS(Demand!$E$2:$E$4481,Demand!$A$2:$A$4481,B1005,Demand!$B$2:$B$4481,O1005,Demand!$C$2:$C$4481,P1005),"")</f>
        <v>25</v>
      </c>
      <c r="S1005" s="33">
        <f>INDEX(Stores!$G$2:$G$21,MATCH(B1005,Stores!$A$2:$A$21,0))</f>
        <v>23</v>
      </c>
      <c r="T1005" s="34">
        <f>IF(R1005="","",R1005/S1005)</f>
        <v>1.08695652173913</v>
      </c>
      <c r="U1005" s="34">
        <f>IF(E1005=1,T1005,"")</f>
        <v>1.08695652173913</v>
      </c>
      <c r="V1005" s="34">
        <f>IF(AND(E1005=1,L1005=0),T1005,"")</f>
        <v>1.08695652173913</v>
      </c>
      <c r="W1005" s="33">
        <f>IF(U1005="","",IF(U1005&lt;=Breakdowns!$C$5,1,IF(U1005&lt;=Breakdowns!$C$6,2,IF(U1005&lt;=Breakdowns!$C$7,3,4))))</f>
        <v>3</v>
      </c>
      <c r="X1005" s="33">
        <f>IF(V1005="","",IF(V1005&lt;=Breakdowns!$D$5,1,IF(V1005&lt;=Breakdowns!$D$6,2,IF(V1005&lt;=Breakdowns!$D$7,3,4))))</f>
        <v>4</v>
      </c>
      <c r="Y1005" s="34">
        <f>INDEX(Stores!$F$2:$F$21,MATCH(B1005,Stores!$A$2:$A$21,0))</f>
        <v>3.46</v>
      </c>
      <c r="Z1005" s="33">
        <f>IF(Y1005&gt;Store_Summary!$M$2,1,0)</f>
        <v>0</v>
      </c>
      <c r="AA1005" s="33">
        <f>INDEX(Stores!$C$2:$C$21,MATCH(B1005,Stores!$A$2:$A$21,0))</f>
        <v>825</v>
      </c>
      <c r="AB1005" s="33">
        <f>IF(AA1005&lt;180,1,0)</f>
        <v>0</v>
      </c>
      <c r="AC1005" s="32" t="str">
        <f>IF(Orders!D1002="","",INDEX(Riders!$C$2:$C$81,MATCH(Orders!D1002,Riders!$A$2:$A$81,0)))</f>
        <v>Petrol scooter</v>
      </c>
      <c r="AD1005" s="33">
        <f>IF(Orders!D1002="","",INDEX(Riders!$D$2:$D$81,MATCH(Orders!D1002,Riders!$A$2:$A$81,0)))</f>
        <v>19</v>
      </c>
      <c r="AE1005" s="33">
        <f>IF(Orders!D1002="","",IF(INDEX(Riders!$B$2:$B$81,MATCH(Orders!D1002,Riders!$A$2:$A$81,0))=B1005,1,0))</f>
        <v>0</v>
      </c>
      <c r="AF1005" s="34">
        <f>IF(E1005=1,Orders!L1002,"")</f>
        <v>4.9</v>
      </c>
      <c r="AG1005" s="34">
        <f>IF(E1005=1,Orders!P1002,"")</f>
        <v>13.2</v>
      </c>
      <c r="AH1005" s="34">
        <f>IF(E1005=1,Orders!Q1002,"")</f>
        <v>21.8</v>
      </c>
      <c r="AI1005" s="34">
        <f>IF(E1005=1,Orders!M1002,"")</f>
        <v>4.4</v>
      </c>
      <c r="AJ1005" s="34">
        <f>IF(E1005=1,Orders!N1002,"")</f>
        <v>7.4</v>
      </c>
      <c r="AK1005" s="34">
        <f>IF(E1005=1,Orders!O1002,"")</f>
        <v>10</v>
      </c>
      <c r="AL1005" s="33">
        <f>IF(E1005=1,IF(ROUND(ABS(AI1005+AJ1005+AK1005-AH1005),6)&lt;=0.1,1,0),"")</f>
        <v>1</v>
      </c>
      <c r="AM1005" s="36">
        <f>IF(E1005=1,AI1005/AH1005,"")</f>
        <v>0.201834862385321</v>
      </c>
      <c r="AN1005" s="36">
        <f>IF(E1005=1,AJ1005/AH1005,"")</f>
        <v>0.339449541284404</v>
      </c>
      <c r="AO1005" s="36">
        <f>IF(E1005=1,AK1005/AH1005,"")</f>
        <v>0.458715596330275</v>
      </c>
      <c r="AP1005" s="34">
        <f>IF(E1005=1,Orders!Y1002,"")</f>
        <v>0.43</v>
      </c>
      <c r="AQ1005" s="33">
        <f>IF(Orders!X1002,1,0)</f>
        <v>0</v>
      </c>
      <c r="AR1005" s="34" t="str">
        <f>IF(AND(E1005=1,L1005=1),AJ1005,"")</f>
        <v/>
      </c>
      <c r="AS1005" s="34">
        <f>IF(AND(E1005=1,L1005=0),AJ1005,"")</f>
        <v>7.4</v>
      </c>
      <c r="AT1005" s="34" t="str">
        <f>IF(AND(E1005=1,L1005=1),AI1005,"")</f>
        <v/>
      </c>
      <c r="AU1005" s="34">
        <f>IF(AND(E1005=1,L1005=0),AI1005,"")</f>
        <v>4.4</v>
      </c>
      <c r="AV1005" s="34" t="str">
        <f>IF(AND(E1005=1,L1005=1),AG1005,"")</f>
        <v/>
      </c>
      <c r="AW1005" s="34">
        <f>IF(AND(E1005=1,L1005=0),AG1005,"")</f>
        <v>13.2</v>
      </c>
      <c r="AX1005" s="34" t="str">
        <f>IF(AND(E1005=1,L1005=1),AH1005,"")</f>
        <v/>
      </c>
      <c r="AY1005" s="34">
        <f>IF(AND(E1005=1,L1005=0),AH1005,"")</f>
        <v>21.8</v>
      </c>
      <c r="AZ1005" s="34">
        <f>IF(G1005=1,F1005,"")</f>
        <v>8.6</v>
      </c>
      <c r="BA1005" s="34" t="str">
        <f>IF(AND(G1005=1,L1005=1),F1005,"")</f>
        <v/>
      </c>
      <c r="BB1005" s="34">
        <f>IF(AND(G1005=1,L1005=0),F1005,"")</f>
        <v>8.6</v>
      </c>
      <c r="BC1005" s="33">
        <f>IF(E1005=1,IF(Orders!R1002&gt;3,1,0),"")</f>
        <v>1</v>
      </c>
      <c r="BD1005" s="33">
        <f>IF(E1005=1,IF(Orders!R1002&gt;7,1,0),"")</f>
        <v>1</v>
      </c>
      <c r="BE1005" s="32" t="str">
        <f>IF(E1005=1,IF(Orders!L1002&lt;=1.5,"Up to 1.5 km",IF(Orders!L1002&lt;=3,"1.5–3 km","Over 3 km")),"")</f>
        <v>Over 3 km</v>
      </c>
      <c r="BF1005" s="33">
        <f>IF(E1005=1,IF(ABS((Orders!G1002-Orders!F1002)*1440-Orders!R1002)&lt;0.06,1,0),"")</f>
        <v>1</v>
      </c>
      <c r="BG1005" s="33">
        <f>IF(ABS((Orders!F1002-Orders!E1002)*1440-Orders!P1002)&lt;0.06,1,0)</f>
        <v>1</v>
      </c>
      <c r="BH1005" s="33">
        <f>IF(E1005=1,IF(IF(Orders!S1002,1,0)=1-G1005,1,0),"")</f>
        <v>1</v>
      </c>
      <c r="BI1005" s="32" t="str">
        <f>INDEX(Stores!$B$2:$B$21,MATCH(B1005,Stores!$A$2:$A$21,0))</f>
        <v>Mumbai</v>
      </c>
    </row>
    <row r="1006">
      <c r="A1006" s="32" t="str">
        <f>Orders!A1003</f>
        <v>O01002</v>
      </c>
      <c r="B1006" s="32" t="str">
        <f>Orders!C1003</f>
        <v>S013</v>
      </c>
      <c r="C1006" s="32" t="str">
        <f>Orders!B1003</f>
        <v>C0085</v>
      </c>
      <c r="D1006" s="32" t="str">
        <f>Orders!H1003</f>
        <v>Delivered</v>
      </c>
      <c r="E1006" s="33">
        <f>IF(Orders!H1003="Delivered",1,0)</f>
        <v>1</v>
      </c>
      <c r="F1006" s="34">
        <f>IF(E1006=1,Orders!R1003,"")</f>
        <v>7.3</v>
      </c>
      <c r="G1006" s="33">
        <f>IF(E1006=1,IF(Orders!R1003&gt;0,1,0),"")</f>
        <v>1</v>
      </c>
      <c r="H1006" s="33">
        <f>IF(E1006=1,IF(Orders!R1003&gt;5,1,0),"")</f>
        <v>1</v>
      </c>
      <c r="I1006" s="32" t="str">
        <f>IF(E1006=1,"",IF(OR(Orders!T1003="Rider unavailable",Orders!T1003="Item unavailable"),"Company-caused","Unresolved"))</f>
        <v/>
      </c>
      <c r="J1006" s="33">
        <f>IF(OR(E1006=1,I1006="Company-caused"),1,0)</f>
        <v>1</v>
      </c>
      <c r="K1006" s="32" t="str">
        <f>IF(E1006=0,IF(I1006="Company-caused",IF(Orders!T1003="Rider unavailable","C1 Rider unavailable","C2 Item unavailable"),"Outside root: unresolved"),IF(G1006=0,"A On time",IF(H1006=1,IF(L1006=1,"B2a Severe, peak","B2b Severe, off-peak"),IF(L1006=1,"B1a Slight, peak","B1b Slight, off-peak"))))</f>
        <v>B2b Severe, off-peak</v>
      </c>
      <c r="L1006" s="33">
        <f>IF(AND(Orders!U1003&gt;=19,Orders!U1003&lt;22),1,0)</f>
        <v>0</v>
      </c>
      <c r="M1006" s="33">
        <f>IF(L1006=IF(Orders!V1003,1,0),1,0)</f>
        <v>1</v>
      </c>
      <c r="N1006" s="32" t="str">
        <f>IF(Orders!W1003="","None",Orders!W1003)</f>
        <v>Light</v>
      </c>
      <c r="O1006" s="35">
        <f>INT(Orders!E1003)</f>
        <v>46278.0</v>
      </c>
      <c r="P1006" s="33">
        <f>Orders!U1003</f>
        <v>14</v>
      </c>
      <c r="Q1006" s="33">
        <f>COUNTIFS(Demand!$A$2:$A$4481,B1006,Demand!$B$2:$B$4481,O1006,Demand!$C$2:$C$4481,P1006)</f>
        <v>1</v>
      </c>
      <c r="R1006" s="33">
        <f>IF(Q1006=1,SUMIFS(Demand!$E$2:$E$4481,Demand!$A$2:$A$4481,B1006,Demand!$B$2:$B$4481,O1006,Demand!$C$2:$C$4481,P1006),"")</f>
        <v>32</v>
      </c>
      <c r="S1006" s="33">
        <f>INDEX(Stores!$G$2:$G$21,MATCH(B1006,Stores!$A$2:$A$21,0))</f>
        <v>49</v>
      </c>
      <c r="T1006" s="34">
        <f>IF(R1006="","",R1006/S1006)</f>
        <v>0.653061224489796</v>
      </c>
      <c r="U1006" s="34">
        <f>IF(E1006=1,T1006,"")</f>
        <v>0.653061224489796</v>
      </c>
      <c r="V1006" s="34">
        <f>IF(AND(E1006=1,L1006=0),T1006,"")</f>
        <v>0.653061224489796</v>
      </c>
      <c r="W1006" s="33">
        <f>IF(U1006="","",IF(U1006&lt;=Breakdowns!$C$5,1,IF(U1006&lt;=Breakdowns!$C$6,2,IF(U1006&lt;=Breakdowns!$C$7,3,4))))</f>
        <v>1</v>
      </c>
      <c r="X1006" s="33">
        <f>IF(V1006="","",IF(V1006&lt;=Breakdowns!$D$5,1,IF(V1006&lt;=Breakdowns!$D$6,2,IF(V1006&lt;=Breakdowns!$D$7,3,4))))</f>
        <v>1</v>
      </c>
      <c r="Y1006" s="34">
        <f>INDEX(Stores!$F$2:$F$21,MATCH(B1006,Stores!$A$2:$A$21,0))</f>
        <v>5.82</v>
      </c>
      <c r="Z1006" s="33">
        <f>IF(Y1006&gt;Store_Summary!$M$2,1,0)</f>
        <v>1</v>
      </c>
      <c r="AA1006" s="33">
        <f>INDEX(Stores!$C$2:$C$21,MATCH(B1006,Stores!$A$2:$A$21,0))</f>
        <v>705</v>
      </c>
      <c r="AB1006" s="33">
        <f>IF(AA1006&lt;180,1,0)</f>
        <v>0</v>
      </c>
      <c r="AC1006" s="32" t="str">
        <f>IF(Orders!D1003="","",INDEX(Riders!$C$2:$C$81,MATCH(Orders!D1003,Riders!$A$2:$A$81,0)))</f>
        <v>EV scooter</v>
      </c>
      <c r="AD1006" s="33">
        <f>IF(Orders!D1003="","",INDEX(Riders!$D$2:$D$81,MATCH(Orders!D1003,Riders!$A$2:$A$81,0)))</f>
        <v>45</v>
      </c>
      <c r="AE1006" s="33">
        <f>IF(Orders!D1003="","",IF(INDEX(Riders!$B$2:$B$81,MATCH(Orders!D1003,Riders!$A$2:$A$81,0))=B1006,1,0))</f>
        <v>0</v>
      </c>
      <c r="AF1006" s="34">
        <f>IF(E1006=1,Orders!L1003,"")</f>
        <v>2.22</v>
      </c>
      <c r="AG1006" s="34">
        <f>IF(E1006=1,Orders!P1003,"")</f>
        <v>11.4</v>
      </c>
      <c r="AH1006" s="34">
        <f>IF(E1006=1,Orders!Q1003,"")</f>
        <v>18.7</v>
      </c>
      <c r="AI1006" s="34">
        <f>IF(E1006=1,Orders!M1003,"")</f>
        <v>7</v>
      </c>
      <c r="AJ1006" s="34">
        <f>IF(E1006=1,Orders!N1003,"")</f>
        <v>3.3</v>
      </c>
      <c r="AK1006" s="34">
        <f>IF(E1006=1,Orders!O1003,"")</f>
        <v>8.4</v>
      </c>
      <c r="AL1006" s="33">
        <f>IF(E1006=1,IF(ROUND(ABS(AI1006+AJ1006+AK1006-AH1006),6)&lt;=0.1,1,0),"")</f>
        <v>1</v>
      </c>
      <c r="AM1006" s="36">
        <f>IF(E1006=1,AI1006/AH1006,"")</f>
        <v>0.374331550802139</v>
      </c>
      <c r="AN1006" s="36">
        <f>IF(E1006=1,AJ1006/AH1006,"")</f>
        <v>0.176470588235294</v>
      </c>
      <c r="AO1006" s="36">
        <f>IF(E1006=1,AK1006/AH1006,"")</f>
        <v>0.449197860962567</v>
      </c>
      <c r="AP1006" s="34">
        <f>IF(E1006=1,Orders!Y1003,"")</f>
        <v>0.83</v>
      </c>
      <c r="AQ1006" s="33">
        <f>IF(Orders!X1003,1,0)</f>
        <v>0</v>
      </c>
      <c r="AR1006" s="34" t="str">
        <f>IF(AND(E1006=1,L1006=1),AJ1006,"")</f>
        <v/>
      </c>
      <c r="AS1006" s="34">
        <f>IF(AND(E1006=1,L1006=0),AJ1006,"")</f>
        <v>3.3</v>
      </c>
      <c r="AT1006" s="34" t="str">
        <f>IF(AND(E1006=1,L1006=1),AI1006,"")</f>
        <v/>
      </c>
      <c r="AU1006" s="34">
        <f>IF(AND(E1006=1,L1006=0),AI1006,"")</f>
        <v>7</v>
      </c>
      <c r="AV1006" s="34" t="str">
        <f>IF(AND(E1006=1,L1006=1),AG1006,"")</f>
        <v/>
      </c>
      <c r="AW1006" s="34">
        <f>IF(AND(E1006=1,L1006=0),AG1006,"")</f>
        <v>11.4</v>
      </c>
      <c r="AX1006" s="34" t="str">
        <f>IF(AND(E1006=1,L1006=1),AH1006,"")</f>
        <v/>
      </c>
      <c r="AY1006" s="34">
        <f>IF(AND(E1006=1,L1006=0),AH1006,"")</f>
        <v>18.7</v>
      </c>
      <c r="AZ1006" s="34">
        <f>IF(G1006=1,F1006,"")</f>
        <v>7.3</v>
      </c>
      <c r="BA1006" s="34" t="str">
        <f>IF(AND(G1006=1,L1006=1),F1006,"")</f>
        <v/>
      </c>
      <c r="BB1006" s="34">
        <f>IF(AND(G1006=1,L1006=0),F1006,"")</f>
        <v>7.3</v>
      </c>
      <c r="BC1006" s="33">
        <f>IF(E1006=1,IF(Orders!R1003&gt;3,1,0),"")</f>
        <v>1</v>
      </c>
      <c r="BD1006" s="33">
        <f>IF(E1006=1,IF(Orders!R1003&gt;7,1,0),"")</f>
        <v>1</v>
      </c>
      <c r="BE1006" s="32" t="str">
        <f>IF(E1006=1,IF(Orders!L1003&lt;=1.5,"Up to 1.5 km",IF(Orders!L1003&lt;=3,"1.5–3 km","Over 3 km")),"")</f>
        <v>1.5–3 km</v>
      </c>
      <c r="BF1006" s="33">
        <f>IF(E1006=1,IF(ABS((Orders!G1003-Orders!F1003)*1440-Orders!R1003)&lt;0.06,1,0),"")</f>
        <v>1</v>
      </c>
      <c r="BG1006" s="33">
        <f>IF(ABS((Orders!F1003-Orders!E1003)*1440-Orders!P1003)&lt;0.06,1,0)</f>
        <v>1</v>
      </c>
      <c r="BH1006" s="33">
        <f>IF(E1006=1,IF(IF(Orders!S1003,1,0)=1-G1006,1,0),"")</f>
        <v>1</v>
      </c>
      <c r="BI1006" s="32" t="str">
        <f>INDEX(Stores!$B$2:$B$21,MATCH(B1006,Stores!$A$2:$A$21,0))</f>
        <v>Mumbai</v>
      </c>
    </row>
    <row r="1007">
      <c r="A1007" s="32" t="str">
        <f>Orders!A1004</f>
        <v>O01003</v>
      </c>
      <c r="B1007" s="32" t="str">
        <f>Orders!C1004</f>
        <v>S010</v>
      </c>
      <c r="C1007" s="32" t="str">
        <f>Orders!B1004</f>
        <v>C0198</v>
      </c>
      <c r="D1007" s="32" t="str">
        <f>Orders!H1004</f>
        <v>Delivered</v>
      </c>
      <c r="E1007" s="33">
        <f>IF(Orders!H1004="Delivered",1,0)</f>
        <v>1</v>
      </c>
      <c r="F1007" s="34">
        <f>IF(E1007=1,Orders!R1004,"")</f>
        <v>-0.6</v>
      </c>
      <c r="G1007" s="33">
        <f>IF(E1007=1,IF(Orders!R1004&gt;0,1,0),"")</f>
        <v>0</v>
      </c>
      <c r="H1007" s="33">
        <f>IF(E1007=1,IF(Orders!R1004&gt;5,1,0),"")</f>
        <v>0</v>
      </c>
      <c r="I1007" s="32" t="str">
        <f>IF(E1007=1,"",IF(OR(Orders!T1004="Rider unavailable",Orders!T1004="Item unavailable"),"Company-caused","Unresolved"))</f>
        <v/>
      </c>
      <c r="J1007" s="33">
        <f>IF(OR(E1007=1,I1007="Company-caused"),1,0)</f>
        <v>1</v>
      </c>
      <c r="K1007" s="32" t="str">
        <f>IF(E1007=0,IF(I1007="Company-caused",IF(Orders!T1004="Rider unavailable","C1 Rider unavailable","C2 Item unavailable"),"Outside root: unresolved"),IF(G1007=0,"A On time",IF(H1007=1,IF(L1007=1,"B2a Severe, peak","B2b Severe, off-peak"),IF(L1007=1,"B1a Slight, peak","B1b Slight, off-peak"))))</f>
        <v>A On time</v>
      </c>
      <c r="L1007" s="33">
        <f>IF(AND(Orders!U1004&gt;=19,Orders!U1004&lt;22),1,0)</f>
        <v>0</v>
      </c>
      <c r="M1007" s="33">
        <f>IF(L1007=IF(Orders!V1004,1,0),1,0)</f>
        <v>1</v>
      </c>
      <c r="N1007" s="32" t="str">
        <f>IF(Orders!W1004="","None",Orders!W1004)</f>
        <v>None</v>
      </c>
      <c r="O1007" s="35">
        <f>INT(Orders!E1004)</f>
        <v>46279.0</v>
      </c>
      <c r="P1007" s="33">
        <f>Orders!U1004</f>
        <v>8</v>
      </c>
      <c r="Q1007" s="33">
        <f>COUNTIFS(Demand!$A$2:$A$4481,B1007,Demand!$B$2:$B$4481,O1007,Demand!$C$2:$C$4481,P1007)</f>
        <v>1</v>
      </c>
      <c r="R1007" s="33">
        <f>IF(Q1007=1,SUMIFS(Demand!$E$2:$E$4481,Demand!$A$2:$A$4481,B1007,Demand!$B$2:$B$4481,O1007,Demand!$C$2:$C$4481,P1007),"")</f>
        <v>15</v>
      </c>
      <c r="S1007" s="33">
        <f>INDEX(Stores!$G$2:$G$21,MATCH(B1007,Stores!$A$2:$A$21,0))</f>
        <v>22</v>
      </c>
      <c r="T1007" s="34">
        <f>IF(R1007="","",R1007/S1007)</f>
        <v>0.681818181818182</v>
      </c>
      <c r="U1007" s="34">
        <f>IF(E1007=1,T1007,"")</f>
        <v>0.681818181818182</v>
      </c>
      <c r="V1007" s="34">
        <f>IF(AND(E1007=1,L1007=0),T1007,"")</f>
        <v>0.681818181818182</v>
      </c>
      <c r="W1007" s="33">
        <f>IF(U1007="","",IF(U1007&lt;=Breakdowns!$C$5,1,IF(U1007&lt;=Breakdowns!$C$6,2,IF(U1007&lt;=Breakdowns!$C$7,3,4))))</f>
        <v>1</v>
      </c>
      <c r="X1007" s="33">
        <f>IF(V1007="","",IF(V1007&lt;=Breakdowns!$D$5,1,IF(V1007&lt;=Breakdowns!$D$6,2,IF(V1007&lt;=Breakdowns!$D$7,3,4))))</f>
        <v>1</v>
      </c>
      <c r="Y1007" s="34">
        <f>INDEX(Stores!$F$2:$F$21,MATCH(B1007,Stores!$A$2:$A$21,0))</f>
        <v>5.61</v>
      </c>
      <c r="Z1007" s="33">
        <f>IF(Y1007&gt;Store_Summary!$M$2,1,0)</f>
        <v>1</v>
      </c>
      <c r="AA1007" s="33">
        <f>INDEX(Stores!$C$2:$C$21,MATCH(B1007,Stores!$A$2:$A$21,0))</f>
        <v>744</v>
      </c>
      <c r="AB1007" s="33">
        <f>IF(AA1007&lt;180,1,0)</f>
        <v>0</v>
      </c>
      <c r="AC1007" s="32" t="str">
        <f>IF(Orders!D1004="","",INDEX(Riders!$C$2:$C$81,MATCH(Orders!D1004,Riders!$A$2:$A$81,0)))</f>
        <v>EV scooter</v>
      </c>
      <c r="AD1007" s="33">
        <f>IF(Orders!D1004="","",INDEX(Riders!$D$2:$D$81,MATCH(Orders!D1004,Riders!$A$2:$A$81,0)))</f>
        <v>40</v>
      </c>
      <c r="AE1007" s="33">
        <f>IF(Orders!D1004="","",IF(INDEX(Riders!$B$2:$B$81,MATCH(Orders!D1004,Riders!$A$2:$A$81,0))=B1007,1,0))</f>
        <v>0</v>
      </c>
      <c r="AF1007" s="34">
        <f>IF(E1007=1,Orders!L1004,"")</f>
        <v>1.92</v>
      </c>
      <c r="AG1007" s="34">
        <f>IF(E1007=1,Orders!P1004,"")</f>
        <v>10.4</v>
      </c>
      <c r="AH1007" s="34">
        <f>IF(E1007=1,Orders!Q1004,"")</f>
        <v>9.8</v>
      </c>
      <c r="AI1007" s="34">
        <f>IF(E1007=1,Orders!M1004,"")</f>
        <v>3.8</v>
      </c>
      <c r="AJ1007" s="34">
        <f>IF(E1007=1,Orders!N1004,"")</f>
        <v>2.1</v>
      </c>
      <c r="AK1007" s="34">
        <f>IF(E1007=1,Orders!O1004,"")</f>
        <v>3.9</v>
      </c>
      <c r="AL1007" s="33">
        <f>IF(E1007=1,IF(ROUND(ABS(AI1007+AJ1007+AK1007-AH1007),6)&lt;=0.1,1,0),"")</f>
        <v>1</v>
      </c>
      <c r="AM1007" s="36">
        <f>IF(E1007=1,AI1007/AH1007,"")</f>
        <v>0.387755102040816</v>
      </c>
      <c r="AN1007" s="36">
        <f>IF(E1007=1,AJ1007/AH1007,"")</f>
        <v>0.214285714285714</v>
      </c>
      <c r="AO1007" s="36">
        <f>IF(E1007=1,AK1007/AH1007,"")</f>
        <v>0.397959183673469</v>
      </c>
      <c r="AP1007" s="34">
        <f>IF(E1007=1,Orders!Y1004,"")</f>
        <v>0.58</v>
      </c>
      <c r="AQ1007" s="33">
        <f>IF(Orders!X1004,1,0)</f>
        <v>0</v>
      </c>
      <c r="AR1007" s="34" t="str">
        <f>IF(AND(E1007=1,L1007=1),AJ1007,"")</f>
        <v/>
      </c>
      <c r="AS1007" s="34">
        <f>IF(AND(E1007=1,L1007=0),AJ1007,"")</f>
        <v>2.1</v>
      </c>
      <c r="AT1007" s="34" t="str">
        <f>IF(AND(E1007=1,L1007=1),AI1007,"")</f>
        <v/>
      </c>
      <c r="AU1007" s="34">
        <f>IF(AND(E1007=1,L1007=0),AI1007,"")</f>
        <v>3.8</v>
      </c>
      <c r="AV1007" s="34" t="str">
        <f>IF(AND(E1007=1,L1007=1),AG1007,"")</f>
        <v/>
      </c>
      <c r="AW1007" s="34">
        <f>IF(AND(E1007=1,L1007=0),AG1007,"")</f>
        <v>10.4</v>
      </c>
      <c r="AX1007" s="34" t="str">
        <f>IF(AND(E1007=1,L1007=1),AH1007,"")</f>
        <v/>
      </c>
      <c r="AY1007" s="34">
        <f>IF(AND(E1007=1,L1007=0),AH1007,"")</f>
        <v>9.8</v>
      </c>
      <c r="AZ1007" s="34" t="str">
        <f>IF(G1007=1,F1007,"")</f>
        <v/>
      </c>
      <c r="BA1007" s="34" t="str">
        <f>IF(AND(G1007=1,L1007=1),F1007,"")</f>
        <v/>
      </c>
      <c r="BB1007" s="34" t="str">
        <f>IF(AND(G1007=1,L1007=0),F1007,"")</f>
        <v/>
      </c>
      <c r="BC1007" s="33">
        <f>IF(E1007=1,IF(Orders!R1004&gt;3,1,0),"")</f>
        <v>0</v>
      </c>
      <c r="BD1007" s="33">
        <f>IF(E1007=1,IF(Orders!R1004&gt;7,1,0),"")</f>
        <v>0</v>
      </c>
      <c r="BE1007" s="32" t="str">
        <f>IF(E1007=1,IF(Orders!L1004&lt;=1.5,"Up to 1.5 km",IF(Orders!L1004&lt;=3,"1.5–3 km","Over 3 km")),"")</f>
        <v>1.5–3 km</v>
      </c>
      <c r="BF1007" s="33">
        <f>IF(E1007=1,IF(ABS((Orders!G1004-Orders!F1004)*1440-Orders!R1004)&lt;0.06,1,0),"")</f>
        <v>1</v>
      </c>
      <c r="BG1007" s="33">
        <f>IF(ABS((Orders!F1004-Orders!E1004)*1440-Orders!P1004)&lt;0.06,1,0)</f>
        <v>1</v>
      </c>
      <c r="BH1007" s="33">
        <f>IF(E1007=1,IF(IF(Orders!S1004,1,0)=1-G1007,1,0),"")</f>
        <v>1</v>
      </c>
      <c r="BI1007" s="32" t="str">
        <f>INDEX(Stores!$B$2:$B$21,MATCH(B1007,Stores!$A$2:$A$21,0))</f>
        <v>Delhi</v>
      </c>
    </row>
    <row r="1008">
      <c r="A1008" s="32" t="str">
        <f>Orders!A1005</f>
        <v>O01004</v>
      </c>
      <c r="B1008" s="32" t="str">
        <f>Orders!C1005</f>
        <v>S013</v>
      </c>
      <c r="C1008" s="32" t="str">
        <f>Orders!B1005</f>
        <v>C0183</v>
      </c>
      <c r="D1008" s="32" t="str">
        <f>Orders!H1005</f>
        <v>Delivered</v>
      </c>
      <c r="E1008" s="33">
        <f>IF(Orders!H1005="Delivered",1,0)</f>
        <v>1</v>
      </c>
      <c r="F1008" s="34">
        <f>IF(E1008=1,Orders!R1005,"")</f>
        <v>0</v>
      </c>
      <c r="G1008" s="33">
        <f>IF(E1008=1,IF(Orders!R1005&gt;0,1,0),"")</f>
        <v>0</v>
      </c>
      <c r="H1008" s="33">
        <f>IF(E1008=1,IF(Orders!R1005&gt;5,1,0),"")</f>
        <v>0</v>
      </c>
      <c r="I1008" s="32" t="str">
        <f>IF(E1008=1,"",IF(OR(Orders!T1005="Rider unavailable",Orders!T1005="Item unavailable"),"Company-caused","Unresolved"))</f>
        <v/>
      </c>
      <c r="J1008" s="33">
        <f>IF(OR(E1008=1,I1008="Company-caused"),1,0)</f>
        <v>1</v>
      </c>
      <c r="K1008" s="32" t="str">
        <f>IF(E1008=0,IF(I1008="Company-caused",IF(Orders!T1005="Rider unavailable","C1 Rider unavailable","C2 Item unavailable"),"Outside root: unresolved"),IF(G1008=0,"A On time",IF(H1008=1,IF(L1008=1,"B2a Severe, peak","B2b Severe, off-peak"),IF(L1008=1,"B1a Slight, peak","B1b Slight, off-peak"))))</f>
        <v>A On time</v>
      </c>
      <c r="L1008" s="33">
        <f>IF(AND(Orders!U1005&gt;=19,Orders!U1005&lt;22),1,0)</f>
        <v>0</v>
      </c>
      <c r="M1008" s="33">
        <f>IF(L1008=IF(Orders!V1005,1,0),1,0)</f>
        <v>1</v>
      </c>
      <c r="N1008" s="32" t="str">
        <f>IF(Orders!W1005="","None",Orders!W1005)</f>
        <v>None</v>
      </c>
      <c r="O1008" s="35">
        <f>INT(Orders!E1005)</f>
        <v>46278.0</v>
      </c>
      <c r="P1008" s="33">
        <f>Orders!U1005</f>
        <v>23</v>
      </c>
      <c r="Q1008" s="33">
        <f>COUNTIFS(Demand!$A$2:$A$4481,B1008,Demand!$B$2:$B$4481,O1008,Demand!$C$2:$C$4481,P1008)</f>
        <v>1</v>
      </c>
      <c r="R1008" s="33">
        <f>IF(Q1008=1,SUMIFS(Demand!$E$2:$E$4481,Demand!$A$2:$A$4481,B1008,Demand!$B$2:$B$4481,O1008,Demand!$C$2:$C$4481,P1008),"")</f>
        <v>42</v>
      </c>
      <c r="S1008" s="33">
        <f>INDEX(Stores!$G$2:$G$21,MATCH(B1008,Stores!$A$2:$A$21,0))</f>
        <v>49</v>
      </c>
      <c r="T1008" s="34">
        <f>IF(R1008="","",R1008/S1008)</f>
        <v>0.857142857142857</v>
      </c>
      <c r="U1008" s="34">
        <f>IF(E1008=1,T1008,"")</f>
        <v>0.857142857142857</v>
      </c>
      <c r="V1008" s="34">
        <f>IF(AND(E1008=1,L1008=0),T1008,"")</f>
        <v>0.857142857142857</v>
      </c>
      <c r="W1008" s="33">
        <f>IF(U1008="","",IF(U1008&lt;=Breakdowns!$C$5,1,IF(U1008&lt;=Breakdowns!$C$6,2,IF(U1008&lt;=Breakdowns!$C$7,3,4))))</f>
        <v>2</v>
      </c>
      <c r="X1008" s="33">
        <f>IF(V1008="","",IF(V1008&lt;=Breakdowns!$D$5,1,IF(V1008&lt;=Breakdowns!$D$6,2,IF(V1008&lt;=Breakdowns!$D$7,3,4))))</f>
        <v>2</v>
      </c>
      <c r="Y1008" s="34">
        <f>INDEX(Stores!$F$2:$F$21,MATCH(B1008,Stores!$A$2:$A$21,0))</f>
        <v>5.82</v>
      </c>
      <c r="Z1008" s="33">
        <f>IF(Y1008&gt;Store_Summary!$M$2,1,0)</f>
        <v>1</v>
      </c>
      <c r="AA1008" s="33">
        <f>INDEX(Stores!$C$2:$C$21,MATCH(B1008,Stores!$A$2:$A$21,0))</f>
        <v>705</v>
      </c>
      <c r="AB1008" s="33">
        <f>IF(AA1008&lt;180,1,0)</f>
        <v>0</v>
      </c>
      <c r="AC1008" s="32" t="str">
        <f>IF(Orders!D1005="","",INDEX(Riders!$C$2:$C$81,MATCH(Orders!D1005,Riders!$A$2:$A$81,0)))</f>
        <v>Petrol scooter</v>
      </c>
      <c r="AD1008" s="33">
        <f>IF(Orders!D1005="","",INDEX(Riders!$D$2:$D$81,MATCH(Orders!D1005,Riders!$A$2:$A$81,0)))</f>
        <v>1</v>
      </c>
      <c r="AE1008" s="33">
        <f>IF(Orders!D1005="","",IF(INDEX(Riders!$B$2:$B$81,MATCH(Orders!D1005,Riders!$A$2:$A$81,0))=B1008,1,0))</f>
        <v>0</v>
      </c>
      <c r="AF1008" s="34">
        <f>IF(E1008=1,Orders!L1005,"")</f>
        <v>1.24</v>
      </c>
      <c r="AG1008" s="34">
        <f>IF(E1008=1,Orders!P1005,"")</f>
        <v>10.5</v>
      </c>
      <c r="AH1008" s="34">
        <f>IF(E1008=1,Orders!Q1005,"")</f>
        <v>10.5</v>
      </c>
      <c r="AI1008" s="34">
        <f>IF(E1008=1,Orders!M1005,"")</f>
        <v>5</v>
      </c>
      <c r="AJ1008" s="34">
        <f>IF(E1008=1,Orders!N1005,"")</f>
        <v>3</v>
      </c>
      <c r="AK1008" s="34">
        <f>IF(E1008=1,Orders!O1005,"")</f>
        <v>2.6</v>
      </c>
      <c r="AL1008" s="33">
        <f>IF(E1008=1,IF(ROUND(ABS(AI1008+AJ1008+AK1008-AH1008),6)&lt;=0.1,1,0),"")</f>
        <v>1</v>
      </c>
      <c r="AM1008" s="36">
        <f>IF(E1008=1,AI1008/AH1008,"")</f>
        <v>0.476190476190476</v>
      </c>
      <c r="AN1008" s="36">
        <f>IF(E1008=1,AJ1008/AH1008,"")</f>
        <v>0.285714285714286</v>
      </c>
      <c r="AO1008" s="36">
        <f>IF(E1008=1,AK1008/AH1008,"")</f>
        <v>0.247619047619048</v>
      </c>
      <c r="AP1008" s="34">
        <f>IF(E1008=1,Orders!Y1005,"")</f>
        <v>0.1</v>
      </c>
      <c r="AQ1008" s="33">
        <f>IF(Orders!X1005,1,0)</f>
        <v>0</v>
      </c>
      <c r="AR1008" s="34" t="str">
        <f>IF(AND(E1008=1,L1008=1),AJ1008,"")</f>
        <v/>
      </c>
      <c r="AS1008" s="34">
        <f>IF(AND(E1008=1,L1008=0),AJ1008,"")</f>
        <v>3</v>
      </c>
      <c r="AT1008" s="34" t="str">
        <f>IF(AND(E1008=1,L1008=1),AI1008,"")</f>
        <v/>
      </c>
      <c r="AU1008" s="34">
        <f>IF(AND(E1008=1,L1008=0),AI1008,"")</f>
        <v>5</v>
      </c>
      <c r="AV1008" s="34" t="str">
        <f>IF(AND(E1008=1,L1008=1),AG1008,"")</f>
        <v/>
      </c>
      <c r="AW1008" s="34">
        <f>IF(AND(E1008=1,L1008=0),AG1008,"")</f>
        <v>10.5</v>
      </c>
      <c r="AX1008" s="34" t="str">
        <f>IF(AND(E1008=1,L1008=1),AH1008,"")</f>
        <v/>
      </c>
      <c r="AY1008" s="34">
        <f>IF(AND(E1008=1,L1008=0),AH1008,"")</f>
        <v>10.5</v>
      </c>
      <c r="AZ1008" s="34" t="str">
        <f>IF(G1008=1,F1008,"")</f>
        <v/>
      </c>
      <c r="BA1008" s="34" t="str">
        <f>IF(AND(G1008=1,L1008=1),F1008,"")</f>
        <v/>
      </c>
      <c r="BB1008" s="34" t="str">
        <f>IF(AND(G1008=1,L1008=0),F1008,"")</f>
        <v/>
      </c>
      <c r="BC1008" s="33">
        <f>IF(E1008=1,IF(Orders!R1005&gt;3,1,0),"")</f>
        <v>0</v>
      </c>
      <c r="BD1008" s="33">
        <f>IF(E1008=1,IF(Orders!R1005&gt;7,1,0),"")</f>
        <v>0</v>
      </c>
      <c r="BE1008" s="32" t="str">
        <f>IF(E1008=1,IF(Orders!L1005&lt;=1.5,"Up to 1.5 km",IF(Orders!L1005&lt;=3,"1.5–3 km","Over 3 km")),"")</f>
        <v>Up to 1.5 km</v>
      </c>
      <c r="BF1008" s="33">
        <f>IF(E1008=1,IF(ABS((Orders!G1005-Orders!F1005)*1440-Orders!R1005)&lt;0.06,1,0),"")</f>
        <v>1</v>
      </c>
      <c r="BG1008" s="33">
        <f>IF(ABS((Orders!F1005-Orders!E1005)*1440-Orders!P1005)&lt;0.06,1,0)</f>
        <v>1</v>
      </c>
      <c r="BH1008" s="33">
        <f>IF(E1008=1,IF(IF(Orders!S1005,1,0)=1-G1008,1,0),"")</f>
        <v>1</v>
      </c>
      <c r="BI1008" s="32" t="str">
        <f>INDEX(Stores!$B$2:$B$21,MATCH(B1008,Stores!$A$2:$A$21,0))</f>
        <v>Mumbai</v>
      </c>
    </row>
    <row r="1009">
      <c r="A1009" s="32" t="str">
        <f>Orders!A1006</f>
        <v>O01005</v>
      </c>
      <c r="B1009" s="32" t="str">
        <f>Orders!C1006</f>
        <v>S014</v>
      </c>
      <c r="C1009" s="32" t="str">
        <f>Orders!B1006</f>
        <v>C0023</v>
      </c>
      <c r="D1009" s="32" t="str">
        <f>Orders!H1006</f>
        <v>Delivered</v>
      </c>
      <c r="E1009" s="33">
        <f>IF(Orders!H1006="Delivered",1,0)</f>
        <v>1</v>
      </c>
      <c r="F1009" s="34">
        <f>IF(E1009=1,Orders!R1006,"")</f>
        <v>-1</v>
      </c>
      <c r="G1009" s="33">
        <f>IF(E1009=1,IF(Orders!R1006&gt;0,1,0),"")</f>
        <v>0</v>
      </c>
      <c r="H1009" s="33">
        <f>IF(E1009=1,IF(Orders!R1006&gt;5,1,0),"")</f>
        <v>0</v>
      </c>
      <c r="I1009" s="32" t="str">
        <f>IF(E1009=1,"",IF(OR(Orders!T1006="Rider unavailable",Orders!T1006="Item unavailable"),"Company-caused","Unresolved"))</f>
        <v/>
      </c>
      <c r="J1009" s="33">
        <f>IF(OR(E1009=1,I1009="Company-caused"),1,0)</f>
        <v>1</v>
      </c>
      <c r="K1009" s="32" t="str">
        <f>IF(E1009=0,IF(I1009="Company-caused",IF(Orders!T1006="Rider unavailable","C1 Rider unavailable","C2 Item unavailable"),"Outside root: unresolved"),IF(G1009=0,"A On time",IF(H1009=1,IF(L1009=1,"B2a Severe, peak","B2b Severe, off-peak"),IF(L1009=1,"B1a Slight, peak","B1b Slight, off-peak"))))</f>
        <v>A On time</v>
      </c>
      <c r="L1009" s="33">
        <f>IF(AND(Orders!U1006&gt;=19,Orders!U1006&lt;22),1,0)</f>
        <v>1</v>
      </c>
      <c r="M1009" s="33">
        <f>IF(L1009=IF(Orders!V1006,1,0),1,0)</f>
        <v>1</v>
      </c>
      <c r="N1009" s="32" t="str">
        <f>IF(Orders!W1006="","None",Orders!W1006)</f>
        <v>None</v>
      </c>
      <c r="O1009" s="35">
        <f>INT(Orders!E1006)</f>
        <v>46270.0</v>
      </c>
      <c r="P1009" s="33">
        <f>Orders!U1006</f>
        <v>20</v>
      </c>
      <c r="Q1009" s="33">
        <f>COUNTIFS(Demand!$A$2:$A$4481,B1009,Demand!$B$2:$B$4481,O1009,Demand!$C$2:$C$4481,P1009)</f>
        <v>1</v>
      </c>
      <c r="R1009" s="33">
        <f>IF(Q1009=1,SUMIFS(Demand!$E$2:$E$4481,Demand!$A$2:$A$4481,B1009,Demand!$B$2:$B$4481,O1009,Demand!$C$2:$C$4481,P1009),"")</f>
        <v>68</v>
      </c>
      <c r="S1009" s="33">
        <f>INDEX(Stores!$G$2:$G$21,MATCH(B1009,Stores!$A$2:$A$21,0))</f>
        <v>37</v>
      </c>
      <c r="T1009" s="34">
        <f>IF(R1009="","",R1009/S1009)</f>
        <v>1.83783783783784</v>
      </c>
      <c r="U1009" s="34">
        <f>IF(E1009=1,T1009,"")</f>
        <v>1.83783783783784</v>
      </c>
      <c r="V1009" s="34" t="str">
        <f>IF(AND(E1009=1,L1009=0),T1009,"")</f>
        <v/>
      </c>
      <c r="W1009" s="33">
        <f>IF(U1009="","",IF(U1009&lt;=Breakdowns!$C$5,1,IF(U1009&lt;=Breakdowns!$C$6,2,IF(U1009&lt;=Breakdowns!$C$7,3,4))))</f>
        <v>4</v>
      </c>
      <c r="X1009" s="33" t="str">
        <f>IF(V1009="","",IF(V1009&lt;=Breakdowns!$D$5,1,IF(V1009&lt;=Breakdowns!$D$6,2,IF(V1009&lt;=Breakdowns!$D$7,3,4))))</f>
        <v/>
      </c>
      <c r="Y1009" s="34">
        <f>INDEX(Stores!$F$2:$F$21,MATCH(B1009,Stores!$A$2:$A$21,0))</f>
        <v>5.55</v>
      </c>
      <c r="Z1009" s="33">
        <f>IF(Y1009&gt;Store_Summary!$M$2,1,0)</f>
        <v>1</v>
      </c>
      <c r="AA1009" s="33">
        <f>INDEX(Stores!$C$2:$C$21,MATCH(B1009,Stores!$A$2:$A$21,0))</f>
        <v>241</v>
      </c>
      <c r="AB1009" s="33">
        <f>IF(AA1009&lt;180,1,0)</f>
        <v>0</v>
      </c>
      <c r="AC1009" s="32" t="str">
        <f>IF(Orders!D1006="","",INDEX(Riders!$C$2:$C$81,MATCH(Orders!D1006,Riders!$A$2:$A$81,0)))</f>
        <v>Petrol scooter</v>
      </c>
      <c r="AD1009" s="33">
        <f>IF(Orders!D1006="","",INDEX(Riders!$D$2:$D$81,MATCH(Orders!D1006,Riders!$A$2:$A$81,0)))</f>
        <v>37</v>
      </c>
      <c r="AE1009" s="33">
        <f>IF(Orders!D1006="","",IF(INDEX(Riders!$B$2:$B$81,MATCH(Orders!D1006,Riders!$A$2:$A$81,0))=B1009,1,0))</f>
        <v>0</v>
      </c>
      <c r="AF1009" s="34">
        <f>IF(E1009=1,Orders!L1006,"")</f>
        <v>0.61</v>
      </c>
      <c r="AG1009" s="34">
        <f>IF(E1009=1,Orders!P1006,"")</f>
        <v>8.5</v>
      </c>
      <c r="AH1009" s="34">
        <f>IF(E1009=1,Orders!Q1006,"")</f>
        <v>7.5</v>
      </c>
      <c r="AI1009" s="34">
        <f>IF(E1009=1,Orders!M1006,"")</f>
        <v>2.6</v>
      </c>
      <c r="AJ1009" s="34">
        <f>IF(E1009=1,Orders!N1006,"")</f>
        <v>3.7</v>
      </c>
      <c r="AK1009" s="34">
        <f>IF(E1009=1,Orders!O1006,"")</f>
        <v>1.2</v>
      </c>
      <c r="AL1009" s="33">
        <f>IF(E1009=1,IF(ROUND(ABS(AI1009+AJ1009+AK1009-AH1009),6)&lt;=0.1,1,0),"")</f>
        <v>1</v>
      </c>
      <c r="AM1009" s="36">
        <f>IF(E1009=1,AI1009/AH1009,"")</f>
        <v>0.346666666666667</v>
      </c>
      <c r="AN1009" s="36">
        <f>IF(E1009=1,AJ1009/AH1009,"")</f>
        <v>0.493333333333333</v>
      </c>
      <c r="AO1009" s="36">
        <f>IF(E1009=1,AK1009/AH1009,"")</f>
        <v>0.16</v>
      </c>
      <c r="AP1009" s="34">
        <f>IF(E1009=1,Orders!Y1006,"")</f>
        <v>0.49</v>
      </c>
      <c r="AQ1009" s="33">
        <f>IF(Orders!X1006,1,0)</f>
        <v>0</v>
      </c>
      <c r="AR1009" s="34">
        <f>IF(AND(E1009=1,L1009=1),AJ1009,"")</f>
        <v>3.7</v>
      </c>
      <c r="AS1009" s="34" t="str">
        <f>IF(AND(E1009=1,L1009=0),AJ1009,"")</f>
        <v/>
      </c>
      <c r="AT1009" s="34">
        <f>IF(AND(E1009=1,L1009=1),AI1009,"")</f>
        <v>2.6</v>
      </c>
      <c r="AU1009" s="34" t="str">
        <f>IF(AND(E1009=1,L1009=0),AI1009,"")</f>
        <v/>
      </c>
      <c r="AV1009" s="34">
        <f>IF(AND(E1009=1,L1009=1),AG1009,"")</f>
        <v>8.5</v>
      </c>
      <c r="AW1009" s="34" t="str">
        <f>IF(AND(E1009=1,L1009=0),AG1009,"")</f>
        <v/>
      </c>
      <c r="AX1009" s="34">
        <f>IF(AND(E1009=1,L1009=1),AH1009,"")</f>
        <v>7.5</v>
      </c>
      <c r="AY1009" s="34" t="str">
        <f>IF(AND(E1009=1,L1009=0),AH1009,"")</f>
        <v/>
      </c>
      <c r="AZ1009" s="34" t="str">
        <f>IF(G1009=1,F1009,"")</f>
        <v/>
      </c>
      <c r="BA1009" s="34" t="str">
        <f>IF(AND(G1009=1,L1009=1),F1009,"")</f>
        <v/>
      </c>
      <c r="BB1009" s="34" t="str">
        <f>IF(AND(G1009=1,L1009=0),F1009,"")</f>
        <v/>
      </c>
      <c r="BC1009" s="33">
        <f>IF(E1009=1,IF(Orders!R1006&gt;3,1,0),"")</f>
        <v>0</v>
      </c>
      <c r="BD1009" s="33">
        <f>IF(E1009=1,IF(Orders!R1006&gt;7,1,0),"")</f>
        <v>0</v>
      </c>
      <c r="BE1009" s="32" t="str">
        <f>IF(E1009=1,IF(Orders!L1006&lt;=1.5,"Up to 1.5 km",IF(Orders!L1006&lt;=3,"1.5–3 km","Over 3 km")),"")</f>
        <v>Up to 1.5 km</v>
      </c>
      <c r="BF1009" s="33">
        <f>IF(E1009=1,IF(ABS((Orders!G1006-Orders!F1006)*1440-Orders!R1006)&lt;0.06,1,0),"")</f>
        <v>1</v>
      </c>
      <c r="BG1009" s="33">
        <f>IF(ABS((Orders!F1006-Orders!E1006)*1440-Orders!P1006)&lt;0.06,1,0)</f>
        <v>1</v>
      </c>
      <c r="BH1009" s="33">
        <f>IF(E1009=1,IF(IF(Orders!S1006,1,0)=1-G1009,1,0),"")</f>
        <v>1</v>
      </c>
      <c r="BI1009" s="32" t="str">
        <f>INDEX(Stores!$B$2:$B$21,MATCH(B1009,Stores!$A$2:$A$21,0))</f>
        <v>Pune</v>
      </c>
    </row>
    <row r="1010">
      <c r="A1010" s="32" t="str">
        <f>Orders!A1007</f>
        <v>O01006</v>
      </c>
      <c r="B1010" s="32" t="str">
        <f>Orders!C1007</f>
        <v>S014</v>
      </c>
      <c r="C1010" s="32" t="str">
        <f>Orders!B1007</f>
        <v>C0005</v>
      </c>
      <c r="D1010" s="32" t="str">
        <f>Orders!H1007</f>
        <v>Delivered</v>
      </c>
      <c r="E1010" s="33">
        <f>IF(Orders!H1007="Delivered",1,0)</f>
        <v>1</v>
      </c>
      <c r="F1010" s="34">
        <f>IF(E1010=1,Orders!R1007,"")</f>
        <v>5.2</v>
      </c>
      <c r="G1010" s="33">
        <f>IF(E1010=1,IF(Orders!R1007&gt;0,1,0),"")</f>
        <v>1</v>
      </c>
      <c r="H1010" s="33">
        <f>IF(E1010=1,IF(Orders!R1007&gt;5,1,0),"")</f>
        <v>1</v>
      </c>
      <c r="I1010" s="32" t="str">
        <f>IF(E1010=1,"",IF(OR(Orders!T1007="Rider unavailable",Orders!T1007="Item unavailable"),"Company-caused","Unresolved"))</f>
        <v/>
      </c>
      <c r="J1010" s="33">
        <f>IF(OR(E1010=1,I1010="Company-caused"),1,0)</f>
        <v>1</v>
      </c>
      <c r="K1010" s="32" t="str">
        <f>IF(E1010=0,IF(I1010="Company-caused",IF(Orders!T1007="Rider unavailable","C1 Rider unavailable","C2 Item unavailable"),"Outside root: unresolved"),IF(G1010=0,"A On time",IF(H1010=1,IF(L1010=1,"B2a Severe, peak","B2b Severe, off-peak"),IF(L1010=1,"B1a Slight, peak","B1b Slight, off-peak"))))</f>
        <v>B2b Severe, off-peak</v>
      </c>
      <c r="L1010" s="33">
        <f>IF(AND(Orders!U1007&gt;=19,Orders!U1007&lt;22),1,0)</f>
        <v>0</v>
      </c>
      <c r="M1010" s="33">
        <f>IF(L1010=IF(Orders!V1007,1,0),1,0)</f>
        <v>1</v>
      </c>
      <c r="N1010" s="32" t="str">
        <f>IF(Orders!W1007="","None",Orders!W1007)</f>
        <v>None</v>
      </c>
      <c r="O1010" s="35">
        <f>INT(Orders!E1007)</f>
        <v>46271.0</v>
      </c>
      <c r="P1010" s="33">
        <f>Orders!U1007</f>
        <v>23</v>
      </c>
      <c r="Q1010" s="33">
        <f>COUNTIFS(Demand!$A$2:$A$4481,B1010,Demand!$B$2:$B$4481,O1010,Demand!$C$2:$C$4481,P1010)</f>
        <v>1</v>
      </c>
      <c r="R1010" s="33">
        <f>IF(Q1010=1,SUMIFS(Demand!$E$2:$E$4481,Demand!$A$2:$A$4481,B1010,Demand!$B$2:$B$4481,O1010,Demand!$C$2:$C$4481,P1010),"")</f>
        <v>39</v>
      </c>
      <c r="S1010" s="33">
        <f>INDEX(Stores!$G$2:$G$21,MATCH(B1010,Stores!$A$2:$A$21,0))</f>
        <v>37</v>
      </c>
      <c r="T1010" s="34">
        <f>IF(R1010="","",R1010/S1010)</f>
        <v>1.05405405405405</v>
      </c>
      <c r="U1010" s="34">
        <f>IF(E1010=1,T1010,"")</f>
        <v>1.05405405405405</v>
      </c>
      <c r="V1010" s="34">
        <f>IF(AND(E1010=1,L1010=0),T1010,"")</f>
        <v>1.05405405405405</v>
      </c>
      <c r="W1010" s="33">
        <f>IF(U1010="","",IF(U1010&lt;=Breakdowns!$C$5,1,IF(U1010&lt;=Breakdowns!$C$6,2,IF(U1010&lt;=Breakdowns!$C$7,3,4))))</f>
        <v>3</v>
      </c>
      <c r="X1010" s="33">
        <f>IF(V1010="","",IF(V1010&lt;=Breakdowns!$D$5,1,IF(V1010&lt;=Breakdowns!$D$6,2,IF(V1010&lt;=Breakdowns!$D$7,3,4))))</f>
        <v>3</v>
      </c>
      <c r="Y1010" s="34">
        <f>INDEX(Stores!$F$2:$F$21,MATCH(B1010,Stores!$A$2:$A$21,0))</f>
        <v>5.55</v>
      </c>
      <c r="Z1010" s="33">
        <f>IF(Y1010&gt;Store_Summary!$M$2,1,0)</f>
        <v>1</v>
      </c>
      <c r="AA1010" s="33">
        <f>INDEX(Stores!$C$2:$C$21,MATCH(B1010,Stores!$A$2:$A$21,0))</f>
        <v>241</v>
      </c>
      <c r="AB1010" s="33">
        <f>IF(AA1010&lt;180,1,0)</f>
        <v>0</v>
      </c>
      <c r="AC1010" s="32" t="str">
        <f>IF(Orders!D1007="","",INDEX(Riders!$C$2:$C$81,MATCH(Orders!D1007,Riders!$A$2:$A$81,0)))</f>
        <v>EV scooter</v>
      </c>
      <c r="AD1010" s="33">
        <f>IF(Orders!D1007="","",INDEX(Riders!$D$2:$D$81,MATCH(Orders!D1007,Riders!$A$2:$A$81,0)))</f>
        <v>46</v>
      </c>
      <c r="AE1010" s="33">
        <f>IF(Orders!D1007="","",IF(INDEX(Riders!$B$2:$B$81,MATCH(Orders!D1007,Riders!$A$2:$A$81,0))=B1010,1,0))</f>
        <v>0</v>
      </c>
      <c r="AF1010" s="34">
        <f>IF(E1010=1,Orders!L1007,"")</f>
        <v>3.3</v>
      </c>
      <c r="AG1010" s="34">
        <f>IF(E1010=1,Orders!P1007,"")</f>
        <v>13.4</v>
      </c>
      <c r="AH1010" s="34">
        <f>IF(E1010=1,Orders!Q1007,"")</f>
        <v>18.6</v>
      </c>
      <c r="AI1010" s="34">
        <f>IF(E1010=1,Orders!M1007,"")</f>
        <v>6.1</v>
      </c>
      <c r="AJ1010" s="34">
        <f>IF(E1010=1,Orders!N1007,"")</f>
        <v>5.7</v>
      </c>
      <c r="AK1010" s="34">
        <f>IF(E1010=1,Orders!O1007,"")</f>
        <v>6.9</v>
      </c>
      <c r="AL1010" s="33">
        <f>IF(E1010=1,IF(ROUND(ABS(AI1010+AJ1010+AK1010-AH1010),6)&lt;=0.1,1,0),"")</f>
        <v>1</v>
      </c>
      <c r="AM1010" s="36">
        <f>IF(E1010=1,AI1010/AH1010,"")</f>
        <v>0.327956989247312</v>
      </c>
      <c r="AN1010" s="36">
        <f>IF(E1010=1,AJ1010/AH1010,"")</f>
        <v>0.306451612903226</v>
      </c>
      <c r="AO1010" s="36">
        <f>IF(E1010=1,AK1010/AH1010,"")</f>
        <v>0.370967741935484</v>
      </c>
      <c r="AP1010" s="34">
        <f>IF(E1010=1,Orders!Y1007,"")</f>
        <v>0.32</v>
      </c>
      <c r="AQ1010" s="33">
        <f>IF(Orders!X1007,1,0)</f>
        <v>0</v>
      </c>
      <c r="AR1010" s="34" t="str">
        <f>IF(AND(E1010=1,L1010=1),AJ1010,"")</f>
        <v/>
      </c>
      <c r="AS1010" s="34">
        <f>IF(AND(E1010=1,L1010=0),AJ1010,"")</f>
        <v>5.7</v>
      </c>
      <c r="AT1010" s="34" t="str">
        <f>IF(AND(E1010=1,L1010=1),AI1010,"")</f>
        <v/>
      </c>
      <c r="AU1010" s="34">
        <f>IF(AND(E1010=1,L1010=0),AI1010,"")</f>
        <v>6.1</v>
      </c>
      <c r="AV1010" s="34" t="str">
        <f>IF(AND(E1010=1,L1010=1),AG1010,"")</f>
        <v/>
      </c>
      <c r="AW1010" s="34">
        <f>IF(AND(E1010=1,L1010=0),AG1010,"")</f>
        <v>13.4</v>
      </c>
      <c r="AX1010" s="34" t="str">
        <f>IF(AND(E1010=1,L1010=1),AH1010,"")</f>
        <v/>
      </c>
      <c r="AY1010" s="34">
        <f>IF(AND(E1010=1,L1010=0),AH1010,"")</f>
        <v>18.6</v>
      </c>
      <c r="AZ1010" s="34">
        <f>IF(G1010=1,F1010,"")</f>
        <v>5.2</v>
      </c>
      <c r="BA1010" s="34" t="str">
        <f>IF(AND(G1010=1,L1010=1),F1010,"")</f>
        <v/>
      </c>
      <c r="BB1010" s="34">
        <f>IF(AND(G1010=1,L1010=0),F1010,"")</f>
        <v>5.2</v>
      </c>
      <c r="BC1010" s="33">
        <f>IF(E1010=1,IF(Orders!R1007&gt;3,1,0),"")</f>
        <v>1</v>
      </c>
      <c r="BD1010" s="33">
        <f>IF(E1010=1,IF(Orders!R1007&gt;7,1,0),"")</f>
        <v>0</v>
      </c>
      <c r="BE1010" s="32" t="str">
        <f>IF(E1010=1,IF(Orders!L1007&lt;=1.5,"Up to 1.5 km",IF(Orders!L1007&lt;=3,"1.5–3 km","Over 3 km")),"")</f>
        <v>Over 3 km</v>
      </c>
      <c r="BF1010" s="33">
        <f>IF(E1010=1,IF(ABS((Orders!G1007-Orders!F1007)*1440-Orders!R1007)&lt;0.06,1,0),"")</f>
        <v>1</v>
      </c>
      <c r="BG1010" s="33">
        <f>IF(ABS((Orders!F1007-Orders!E1007)*1440-Orders!P1007)&lt;0.06,1,0)</f>
        <v>1</v>
      </c>
      <c r="BH1010" s="33">
        <f>IF(E1010=1,IF(IF(Orders!S1007,1,0)=1-G1010,1,0),"")</f>
        <v>1</v>
      </c>
      <c r="BI1010" s="32" t="str">
        <f>INDEX(Stores!$B$2:$B$21,MATCH(B1010,Stores!$A$2:$A$21,0))</f>
        <v>Pune</v>
      </c>
    </row>
    <row r="1011">
      <c r="A1011" s="32" t="str">
        <f>Orders!A1008</f>
        <v>O01007</v>
      </c>
      <c r="B1011" s="32" t="str">
        <f>Orders!C1008</f>
        <v>S008</v>
      </c>
      <c r="C1011" s="32" t="str">
        <f>Orders!B1008</f>
        <v>C0073</v>
      </c>
      <c r="D1011" s="32" t="str">
        <f>Orders!H1008</f>
        <v>Delivered</v>
      </c>
      <c r="E1011" s="33">
        <f>IF(Orders!H1008="Delivered",1,0)</f>
        <v>1</v>
      </c>
      <c r="F1011" s="34">
        <f>IF(E1011=1,Orders!R1008,"")</f>
        <v>-0.8</v>
      </c>
      <c r="G1011" s="33">
        <f>IF(E1011=1,IF(Orders!R1008&gt;0,1,0),"")</f>
        <v>0</v>
      </c>
      <c r="H1011" s="33">
        <f>IF(E1011=1,IF(Orders!R1008&gt;5,1,0),"")</f>
        <v>0</v>
      </c>
      <c r="I1011" s="32" t="str">
        <f>IF(E1011=1,"",IF(OR(Orders!T1008="Rider unavailable",Orders!T1008="Item unavailable"),"Company-caused","Unresolved"))</f>
        <v/>
      </c>
      <c r="J1011" s="33">
        <f>IF(OR(E1011=1,I1011="Company-caused"),1,0)</f>
        <v>1</v>
      </c>
      <c r="K1011" s="32" t="str">
        <f>IF(E1011=0,IF(I1011="Company-caused",IF(Orders!T1008="Rider unavailable","C1 Rider unavailable","C2 Item unavailable"),"Outside root: unresolved"),IF(G1011=0,"A On time",IF(H1011=1,IF(L1011=1,"B2a Severe, peak","B2b Severe, off-peak"),IF(L1011=1,"B1a Slight, peak","B1b Slight, off-peak"))))</f>
        <v>A On time</v>
      </c>
      <c r="L1011" s="33">
        <f>IF(AND(Orders!U1008&gt;=19,Orders!U1008&lt;22),1,0)</f>
        <v>1</v>
      </c>
      <c r="M1011" s="33">
        <f>IF(L1011=IF(Orders!V1008,1,0),1,0)</f>
        <v>1</v>
      </c>
      <c r="N1011" s="32" t="str">
        <f>IF(Orders!W1008="","None",Orders!W1008)</f>
        <v>None</v>
      </c>
      <c r="O1011" s="35">
        <f>INT(Orders!E1008)</f>
        <v>46273.0</v>
      </c>
      <c r="P1011" s="33">
        <f>Orders!U1008</f>
        <v>20</v>
      </c>
      <c r="Q1011" s="33">
        <f>COUNTIFS(Demand!$A$2:$A$4481,B1011,Demand!$B$2:$B$4481,O1011,Demand!$C$2:$C$4481,P1011)</f>
        <v>1</v>
      </c>
      <c r="R1011" s="33">
        <f>IF(Q1011=1,SUMIFS(Demand!$E$2:$E$4481,Demand!$A$2:$A$4481,B1011,Demand!$B$2:$B$4481,O1011,Demand!$C$2:$C$4481,P1011),"")</f>
        <v>39</v>
      </c>
      <c r="S1011" s="33">
        <f>INDEX(Stores!$G$2:$G$21,MATCH(B1011,Stores!$A$2:$A$21,0))</f>
        <v>23</v>
      </c>
      <c r="T1011" s="34">
        <f>IF(R1011="","",R1011/S1011)</f>
        <v>1.69565217391304</v>
      </c>
      <c r="U1011" s="34">
        <f>IF(E1011=1,T1011,"")</f>
        <v>1.69565217391304</v>
      </c>
      <c r="V1011" s="34" t="str">
        <f>IF(AND(E1011=1,L1011=0),T1011,"")</f>
        <v/>
      </c>
      <c r="W1011" s="33">
        <f>IF(U1011="","",IF(U1011&lt;=Breakdowns!$C$5,1,IF(U1011&lt;=Breakdowns!$C$6,2,IF(U1011&lt;=Breakdowns!$C$7,3,4))))</f>
        <v>4</v>
      </c>
      <c r="X1011" s="33" t="str">
        <f>IF(V1011="","",IF(V1011&lt;=Breakdowns!$D$5,1,IF(V1011&lt;=Breakdowns!$D$6,2,IF(V1011&lt;=Breakdowns!$D$7,3,4))))</f>
        <v/>
      </c>
      <c r="Y1011" s="34">
        <f>INDEX(Stores!$F$2:$F$21,MATCH(B1011,Stores!$A$2:$A$21,0))</f>
        <v>3.46</v>
      </c>
      <c r="Z1011" s="33">
        <f>IF(Y1011&gt;Store_Summary!$M$2,1,0)</f>
        <v>0</v>
      </c>
      <c r="AA1011" s="33">
        <f>INDEX(Stores!$C$2:$C$21,MATCH(B1011,Stores!$A$2:$A$21,0))</f>
        <v>825</v>
      </c>
      <c r="AB1011" s="33">
        <f>IF(AA1011&lt;180,1,0)</f>
        <v>0</v>
      </c>
      <c r="AC1011" s="32" t="str">
        <f>IF(Orders!D1008="","",INDEX(Riders!$C$2:$C$81,MATCH(Orders!D1008,Riders!$A$2:$A$81,0)))</f>
        <v>EV scooter</v>
      </c>
      <c r="AD1011" s="33">
        <f>IF(Orders!D1008="","",INDEX(Riders!$D$2:$D$81,MATCH(Orders!D1008,Riders!$A$2:$A$81,0)))</f>
        <v>4</v>
      </c>
      <c r="AE1011" s="33">
        <f>IF(Orders!D1008="","",IF(INDEX(Riders!$B$2:$B$81,MATCH(Orders!D1008,Riders!$A$2:$A$81,0))=B1011,1,0))</f>
        <v>0</v>
      </c>
      <c r="AF1011" s="34">
        <f>IF(E1011=1,Orders!L1008,"")</f>
        <v>1.59</v>
      </c>
      <c r="AG1011" s="34">
        <f>IF(E1011=1,Orders!P1008,"")</f>
        <v>7</v>
      </c>
      <c r="AH1011" s="34">
        <f>IF(E1011=1,Orders!Q1008,"")</f>
        <v>6.2</v>
      </c>
      <c r="AI1011" s="34">
        <f>IF(E1011=1,Orders!M1008,"")</f>
        <v>1.9</v>
      </c>
      <c r="AJ1011" s="34">
        <f>IF(E1011=1,Orders!N1008,"")</f>
        <v>2</v>
      </c>
      <c r="AK1011" s="34">
        <f>IF(E1011=1,Orders!O1008,"")</f>
        <v>2.3</v>
      </c>
      <c r="AL1011" s="33">
        <f>IF(E1011=1,IF(ROUND(ABS(AI1011+AJ1011+AK1011-AH1011),6)&lt;=0.1,1,0),"")</f>
        <v>1</v>
      </c>
      <c r="AM1011" s="36">
        <f>IF(E1011=1,AI1011/AH1011,"")</f>
        <v>0.306451612903226</v>
      </c>
      <c r="AN1011" s="36">
        <f>IF(E1011=1,AJ1011/AH1011,"")</f>
        <v>0.32258064516129</v>
      </c>
      <c r="AO1011" s="36">
        <f>IF(E1011=1,AK1011/AH1011,"")</f>
        <v>0.370967741935484</v>
      </c>
      <c r="AP1011" s="34">
        <f>IF(E1011=1,Orders!Y1008,"")</f>
        <v>0.51</v>
      </c>
      <c r="AQ1011" s="33">
        <f>IF(Orders!X1008,1,0)</f>
        <v>0</v>
      </c>
      <c r="AR1011" s="34">
        <f>IF(AND(E1011=1,L1011=1),AJ1011,"")</f>
        <v>2</v>
      </c>
      <c r="AS1011" s="34" t="str">
        <f>IF(AND(E1011=1,L1011=0),AJ1011,"")</f>
        <v/>
      </c>
      <c r="AT1011" s="34">
        <f>IF(AND(E1011=1,L1011=1),AI1011,"")</f>
        <v>1.9</v>
      </c>
      <c r="AU1011" s="34" t="str">
        <f>IF(AND(E1011=1,L1011=0),AI1011,"")</f>
        <v/>
      </c>
      <c r="AV1011" s="34">
        <f>IF(AND(E1011=1,L1011=1),AG1011,"")</f>
        <v>7</v>
      </c>
      <c r="AW1011" s="34" t="str">
        <f>IF(AND(E1011=1,L1011=0),AG1011,"")</f>
        <v/>
      </c>
      <c r="AX1011" s="34">
        <f>IF(AND(E1011=1,L1011=1),AH1011,"")</f>
        <v>6.2</v>
      </c>
      <c r="AY1011" s="34" t="str">
        <f>IF(AND(E1011=1,L1011=0),AH1011,"")</f>
        <v/>
      </c>
      <c r="AZ1011" s="34" t="str">
        <f>IF(G1011=1,F1011,"")</f>
        <v/>
      </c>
      <c r="BA1011" s="34" t="str">
        <f>IF(AND(G1011=1,L1011=1),F1011,"")</f>
        <v/>
      </c>
      <c r="BB1011" s="34" t="str">
        <f>IF(AND(G1011=1,L1011=0),F1011,"")</f>
        <v/>
      </c>
      <c r="BC1011" s="33">
        <f>IF(E1011=1,IF(Orders!R1008&gt;3,1,0),"")</f>
        <v>0</v>
      </c>
      <c r="BD1011" s="33">
        <f>IF(E1011=1,IF(Orders!R1008&gt;7,1,0),"")</f>
        <v>0</v>
      </c>
      <c r="BE1011" s="32" t="str">
        <f>IF(E1011=1,IF(Orders!L1008&lt;=1.5,"Up to 1.5 km",IF(Orders!L1008&lt;=3,"1.5–3 km","Over 3 km")),"")</f>
        <v>1.5–3 km</v>
      </c>
      <c r="BF1011" s="33">
        <f>IF(E1011=1,IF(ABS((Orders!G1008-Orders!F1008)*1440-Orders!R1008)&lt;0.06,1,0),"")</f>
        <v>1</v>
      </c>
      <c r="BG1011" s="33">
        <f>IF(ABS((Orders!F1008-Orders!E1008)*1440-Orders!P1008)&lt;0.06,1,0)</f>
        <v>1</v>
      </c>
      <c r="BH1011" s="33">
        <f>IF(E1011=1,IF(IF(Orders!S1008,1,0)=1-G1011,1,0),"")</f>
        <v>1</v>
      </c>
      <c r="BI1011" s="32" t="str">
        <f>INDEX(Stores!$B$2:$B$21,MATCH(B1011,Stores!$A$2:$A$21,0))</f>
        <v>Mumbai</v>
      </c>
    </row>
    <row r="1012">
      <c r="A1012" s="32" t="str">
        <f>Orders!A1009</f>
        <v>O01008</v>
      </c>
      <c r="B1012" s="32" t="str">
        <f>Orders!C1009</f>
        <v>S010</v>
      </c>
      <c r="C1012" s="32" t="str">
        <f>Orders!B1009</f>
        <v>C0127</v>
      </c>
      <c r="D1012" s="32" t="str">
        <f>Orders!H1009</f>
        <v>Delivered</v>
      </c>
      <c r="E1012" s="33">
        <f>IF(Orders!H1009="Delivered",1,0)</f>
        <v>1</v>
      </c>
      <c r="F1012" s="34">
        <f>IF(E1012=1,Orders!R1009,"")</f>
        <v>11.3</v>
      </c>
      <c r="G1012" s="33">
        <f>IF(E1012=1,IF(Orders!R1009&gt;0,1,0),"")</f>
        <v>1</v>
      </c>
      <c r="H1012" s="33">
        <f>IF(E1012=1,IF(Orders!R1009&gt;5,1,0),"")</f>
        <v>1</v>
      </c>
      <c r="I1012" s="32" t="str">
        <f>IF(E1012=1,"",IF(OR(Orders!T1009="Rider unavailable",Orders!T1009="Item unavailable"),"Company-caused","Unresolved"))</f>
        <v/>
      </c>
      <c r="J1012" s="33">
        <f>IF(OR(E1012=1,I1012="Company-caused"),1,0)</f>
        <v>1</v>
      </c>
      <c r="K1012" s="32" t="str">
        <f>IF(E1012=0,IF(I1012="Company-caused",IF(Orders!T1009="Rider unavailable","C1 Rider unavailable","C2 Item unavailable"),"Outside root: unresolved"),IF(G1012=0,"A On time",IF(H1012=1,IF(L1012=1,"B2a Severe, peak","B2b Severe, off-peak"),IF(L1012=1,"B1a Slight, peak","B1b Slight, off-peak"))))</f>
        <v>B2a Severe, peak</v>
      </c>
      <c r="L1012" s="33">
        <f>IF(AND(Orders!U1009&gt;=19,Orders!U1009&lt;22),1,0)</f>
        <v>1</v>
      </c>
      <c r="M1012" s="33">
        <f>IF(L1012=IF(Orders!V1009,1,0),1,0)</f>
        <v>1</v>
      </c>
      <c r="N1012" s="32" t="str">
        <f>IF(Orders!W1009="","None",Orders!W1009)</f>
        <v>None</v>
      </c>
      <c r="O1012" s="35">
        <f>INT(Orders!E1009)</f>
        <v>46279.0</v>
      </c>
      <c r="P1012" s="33">
        <f>Orders!U1009</f>
        <v>20</v>
      </c>
      <c r="Q1012" s="33">
        <f>COUNTIFS(Demand!$A$2:$A$4481,B1012,Demand!$B$2:$B$4481,O1012,Demand!$C$2:$C$4481,P1012)</f>
        <v>1</v>
      </c>
      <c r="R1012" s="33">
        <f>IF(Q1012=1,SUMIFS(Demand!$E$2:$E$4481,Demand!$A$2:$A$4481,B1012,Demand!$B$2:$B$4481,O1012,Demand!$C$2:$C$4481,P1012),"")</f>
        <v>37</v>
      </c>
      <c r="S1012" s="33">
        <f>INDEX(Stores!$G$2:$G$21,MATCH(B1012,Stores!$A$2:$A$21,0))</f>
        <v>22</v>
      </c>
      <c r="T1012" s="34">
        <f>IF(R1012="","",R1012/S1012)</f>
        <v>1.68181818181818</v>
      </c>
      <c r="U1012" s="34">
        <f>IF(E1012=1,T1012,"")</f>
        <v>1.68181818181818</v>
      </c>
      <c r="V1012" s="34" t="str">
        <f>IF(AND(E1012=1,L1012=0),T1012,"")</f>
        <v/>
      </c>
      <c r="W1012" s="33">
        <f>IF(U1012="","",IF(U1012&lt;=Breakdowns!$C$5,1,IF(U1012&lt;=Breakdowns!$C$6,2,IF(U1012&lt;=Breakdowns!$C$7,3,4))))</f>
        <v>4</v>
      </c>
      <c r="X1012" s="33" t="str">
        <f>IF(V1012="","",IF(V1012&lt;=Breakdowns!$D$5,1,IF(V1012&lt;=Breakdowns!$D$6,2,IF(V1012&lt;=Breakdowns!$D$7,3,4))))</f>
        <v/>
      </c>
      <c r="Y1012" s="34">
        <f>INDEX(Stores!$F$2:$F$21,MATCH(B1012,Stores!$A$2:$A$21,0))</f>
        <v>5.61</v>
      </c>
      <c r="Z1012" s="33">
        <f>IF(Y1012&gt;Store_Summary!$M$2,1,0)</f>
        <v>1</v>
      </c>
      <c r="AA1012" s="33">
        <f>INDEX(Stores!$C$2:$C$21,MATCH(B1012,Stores!$A$2:$A$21,0))</f>
        <v>744</v>
      </c>
      <c r="AB1012" s="33">
        <f>IF(AA1012&lt;180,1,0)</f>
        <v>0</v>
      </c>
      <c r="AC1012" s="32" t="str">
        <f>IF(Orders!D1009="","",INDEX(Riders!$C$2:$C$81,MATCH(Orders!D1009,Riders!$A$2:$A$81,0)))</f>
        <v>Bicycle</v>
      </c>
      <c r="AD1012" s="33">
        <f>IF(Orders!D1009="","",INDEX(Riders!$D$2:$D$81,MATCH(Orders!D1009,Riders!$A$2:$A$81,0)))</f>
        <v>2</v>
      </c>
      <c r="AE1012" s="33">
        <f>IF(Orders!D1009="","",IF(INDEX(Riders!$B$2:$B$81,MATCH(Orders!D1009,Riders!$A$2:$A$81,0))=B1012,1,0))</f>
        <v>0</v>
      </c>
      <c r="AF1012" s="34">
        <f>IF(E1012=1,Orders!L1009,"")</f>
        <v>0.5</v>
      </c>
      <c r="AG1012" s="34">
        <f>IF(E1012=1,Orders!P1009,"")</f>
        <v>8.1</v>
      </c>
      <c r="AH1012" s="34">
        <f>IF(E1012=1,Orders!Q1009,"")</f>
        <v>19.4</v>
      </c>
      <c r="AI1012" s="34">
        <f>IF(E1012=1,Orders!M1009,"")</f>
        <v>5.8</v>
      </c>
      <c r="AJ1012" s="34">
        <f>IF(E1012=1,Orders!N1009,"")</f>
        <v>11.2</v>
      </c>
      <c r="AK1012" s="34">
        <f>IF(E1012=1,Orders!O1009,"")</f>
        <v>2.4</v>
      </c>
      <c r="AL1012" s="33">
        <f>IF(E1012=1,IF(ROUND(ABS(AI1012+AJ1012+AK1012-AH1012),6)&lt;=0.1,1,0),"")</f>
        <v>1</v>
      </c>
      <c r="AM1012" s="36">
        <f>IF(E1012=1,AI1012/AH1012,"")</f>
        <v>0.298969072164948</v>
      </c>
      <c r="AN1012" s="36">
        <f>IF(E1012=1,AJ1012/AH1012,"")</f>
        <v>0.577319587628866</v>
      </c>
      <c r="AO1012" s="36">
        <f>IF(E1012=1,AK1012/AH1012,"")</f>
        <v>0.123711340206186</v>
      </c>
      <c r="AP1012" s="34">
        <f>IF(E1012=1,Orders!Y1009,"")</f>
        <v>0.52</v>
      </c>
      <c r="AQ1012" s="33">
        <f>IF(Orders!X1009,1,0)</f>
        <v>0</v>
      </c>
      <c r="AR1012" s="34">
        <f>IF(AND(E1012=1,L1012=1),AJ1012,"")</f>
        <v>11.2</v>
      </c>
      <c r="AS1012" s="34" t="str">
        <f>IF(AND(E1012=1,L1012=0),AJ1012,"")</f>
        <v/>
      </c>
      <c r="AT1012" s="34">
        <f>IF(AND(E1012=1,L1012=1),AI1012,"")</f>
        <v>5.8</v>
      </c>
      <c r="AU1012" s="34" t="str">
        <f>IF(AND(E1012=1,L1012=0),AI1012,"")</f>
        <v/>
      </c>
      <c r="AV1012" s="34">
        <f>IF(AND(E1012=1,L1012=1),AG1012,"")</f>
        <v>8.1</v>
      </c>
      <c r="AW1012" s="34" t="str">
        <f>IF(AND(E1012=1,L1012=0),AG1012,"")</f>
        <v/>
      </c>
      <c r="AX1012" s="34">
        <f>IF(AND(E1012=1,L1012=1),AH1012,"")</f>
        <v>19.4</v>
      </c>
      <c r="AY1012" s="34" t="str">
        <f>IF(AND(E1012=1,L1012=0),AH1012,"")</f>
        <v/>
      </c>
      <c r="AZ1012" s="34">
        <f>IF(G1012=1,F1012,"")</f>
        <v>11.3</v>
      </c>
      <c r="BA1012" s="34">
        <f>IF(AND(G1012=1,L1012=1),F1012,"")</f>
        <v>11.3</v>
      </c>
      <c r="BB1012" s="34" t="str">
        <f>IF(AND(G1012=1,L1012=0),F1012,"")</f>
        <v/>
      </c>
      <c r="BC1012" s="33">
        <f>IF(E1012=1,IF(Orders!R1009&gt;3,1,0),"")</f>
        <v>1</v>
      </c>
      <c r="BD1012" s="33">
        <f>IF(E1012=1,IF(Orders!R1009&gt;7,1,0),"")</f>
        <v>1</v>
      </c>
      <c r="BE1012" s="32" t="str">
        <f>IF(E1012=1,IF(Orders!L1009&lt;=1.5,"Up to 1.5 km",IF(Orders!L1009&lt;=3,"1.5–3 km","Over 3 km")),"")</f>
        <v>Up to 1.5 km</v>
      </c>
      <c r="BF1012" s="33">
        <f>IF(E1012=1,IF(ABS((Orders!G1009-Orders!F1009)*1440-Orders!R1009)&lt;0.06,1,0),"")</f>
        <v>1</v>
      </c>
      <c r="BG1012" s="33">
        <f>IF(ABS((Orders!F1009-Orders!E1009)*1440-Orders!P1009)&lt;0.06,1,0)</f>
        <v>1</v>
      </c>
      <c r="BH1012" s="33">
        <f>IF(E1012=1,IF(IF(Orders!S1009,1,0)=1-G1012,1,0),"")</f>
        <v>1</v>
      </c>
      <c r="BI1012" s="32" t="str">
        <f>INDEX(Stores!$B$2:$B$21,MATCH(B1012,Stores!$A$2:$A$21,0))</f>
        <v>Delhi</v>
      </c>
    </row>
    <row r="1013">
      <c r="A1013" s="32" t="str">
        <f>Orders!A1010</f>
        <v>O01009</v>
      </c>
      <c r="B1013" s="32" t="str">
        <f>Orders!C1010</f>
        <v>S009</v>
      </c>
      <c r="C1013" s="32" t="str">
        <f>Orders!B1010</f>
        <v>C0025</v>
      </c>
      <c r="D1013" s="32" t="str">
        <f>Orders!H1010</f>
        <v>Delivered</v>
      </c>
      <c r="E1013" s="33">
        <f>IF(Orders!H1010="Delivered",1,0)</f>
        <v>1</v>
      </c>
      <c r="F1013" s="34">
        <f>IF(E1013=1,Orders!R1010,"")</f>
        <v>9.9</v>
      </c>
      <c r="G1013" s="33">
        <f>IF(E1013=1,IF(Orders!R1010&gt;0,1,0),"")</f>
        <v>1</v>
      </c>
      <c r="H1013" s="33">
        <f>IF(E1013=1,IF(Orders!R1010&gt;5,1,0),"")</f>
        <v>1</v>
      </c>
      <c r="I1013" s="32" t="str">
        <f>IF(E1013=1,"",IF(OR(Orders!T1010="Rider unavailable",Orders!T1010="Item unavailable"),"Company-caused","Unresolved"))</f>
        <v/>
      </c>
      <c r="J1013" s="33">
        <f>IF(OR(E1013=1,I1013="Company-caused"),1,0)</f>
        <v>1</v>
      </c>
      <c r="K1013" s="32" t="str">
        <f>IF(E1013=0,IF(I1013="Company-caused",IF(Orders!T1010="Rider unavailable","C1 Rider unavailable","C2 Item unavailable"),"Outside root: unresolved"),IF(G1013=0,"A On time",IF(H1013=1,IF(L1013=1,"B2a Severe, peak","B2b Severe, off-peak"),IF(L1013=1,"B1a Slight, peak","B1b Slight, off-peak"))))</f>
        <v>B2a Severe, peak</v>
      </c>
      <c r="L1013" s="33">
        <f>IF(AND(Orders!U1010&gt;=19,Orders!U1010&lt;22),1,0)</f>
        <v>1</v>
      </c>
      <c r="M1013" s="33">
        <f>IF(L1013=IF(Orders!V1010,1,0),1,0)</f>
        <v>1</v>
      </c>
      <c r="N1013" s="32" t="str">
        <f>IF(Orders!W1010="","None",Orders!W1010)</f>
        <v>None</v>
      </c>
      <c r="O1013" s="35">
        <f>INT(Orders!E1010)</f>
        <v>46269.0</v>
      </c>
      <c r="P1013" s="33">
        <f>Orders!U1010</f>
        <v>20</v>
      </c>
      <c r="Q1013" s="33">
        <f>COUNTIFS(Demand!$A$2:$A$4481,B1013,Demand!$B$2:$B$4481,O1013,Demand!$C$2:$C$4481,P1013)</f>
        <v>1</v>
      </c>
      <c r="R1013" s="33">
        <f>IF(Q1013=1,SUMIFS(Demand!$E$2:$E$4481,Demand!$A$2:$A$4481,B1013,Demand!$B$2:$B$4481,O1013,Demand!$C$2:$C$4481,P1013),"")</f>
        <v>50</v>
      </c>
      <c r="S1013" s="33">
        <f>INDEX(Stores!$G$2:$G$21,MATCH(B1013,Stores!$A$2:$A$21,0))</f>
        <v>29</v>
      </c>
      <c r="T1013" s="34">
        <f>IF(R1013="","",R1013/S1013)</f>
        <v>1.72413793103448</v>
      </c>
      <c r="U1013" s="34">
        <f>IF(E1013=1,T1013,"")</f>
        <v>1.72413793103448</v>
      </c>
      <c r="V1013" s="34" t="str">
        <f>IF(AND(E1013=1,L1013=0),T1013,"")</f>
        <v/>
      </c>
      <c r="W1013" s="33">
        <f>IF(U1013="","",IF(U1013&lt;=Breakdowns!$C$5,1,IF(U1013&lt;=Breakdowns!$C$6,2,IF(U1013&lt;=Breakdowns!$C$7,3,4))))</f>
        <v>4</v>
      </c>
      <c r="X1013" s="33" t="str">
        <f>IF(V1013="","",IF(V1013&lt;=Breakdowns!$D$5,1,IF(V1013&lt;=Breakdowns!$D$6,2,IF(V1013&lt;=Breakdowns!$D$7,3,4))))</f>
        <v/>
      </c>
      <c r="Y1013" s="34">
        <f>INDEX(Stores!$F$2:$F$21,MATCH(B1013,Stores!$A$2:$A$21,0))</f>
        <v>2.66</v>
      </c>
      <c r="Z1013" s="33">
        <f>IF(Y1013&gt;Store_Summary!$M$2,1,0)</f>
        <v>0</v>
      </c>
      <c r="AA1013" s="33">
        <f>INDEX(Stores!$C$2:$C$21,MATCH(B1013,Stores!$A$2:$A$21,0))</f>
        <v>645</v>
      </c>
      <c r="AB1013" s="33">
        <f>IF(AA1013&lt;180,1,0)</f>
        <v>0</v>
      </c>
      <c r="AC1013" s="32" t="str">
        <f>IF(Orders!D1010="","",INDEX(Riders!$C$2:$C$81,MATCH(Orders!D1010,Riders!$A$2:$A$81,0)))</f>
        <v>EV scooter</v>
      </c>
      <c r="AD1013" s="33">
        <f>IF(Orders!D1010="","",INDEX(Riders!$D$2:$D$81,MATCH(Orders!D1010,Riders!$A$2:$A$81,0)))</f>
        <v>11</v>
      </c>
      <c r="AE1013" s="33">
        <f>IF(Orders!D1010="","",IF(INDEX(Riders!$B$2:$B$81,MATCH(Orders!D1010,Riders!$A$2:$A$81,0))=B1013,1,0))</f>
        <v>0</v>
      </c>
      <c r="AF1013" s="34">
        <f>IF(E1013=1,Orders!L1010,"")</f>
        <v>2.8</v>
      </c>
      <c r="AG1013" s="34">
        <f>IF(E1013=1,Orders!P1010,"")</f>
        <v>9.1</v>
      </c>
      <c r="AH1013" s="34">
        <f>IF(E1013=1,Orders!Q1010,"")</f>
        <v>19</v>
      </c>
      <c r="AI1013" s="34">
        <f>IF(E1013=1,Orders!M1010,"")</f>
        <v>2.7</v>
      </c>
      <c r="AJ1013" s="34">
        <f>IF(E1013=1,Orders!N1010,"")</f>
        <v>7.9</v>
      </c>
      <c r="AK1013" s="34">
        <f>IF(E1013=1,Orders!O1010,"")</f>
        <v>8.4</v>
      </c>
      <c r="AL1013" s="33">
        <f>IF(E1013=1,IF(ROUND(ABS(AI1013+AJ1013+AK1013-AH1013),6)&lt;=0.1,1,0),"")</f>
        <v>1</v>
      </c>
      <c r="AM1013" s="36">
        <f>IF(E1013=1,AI1013/AH1013,"")</f>
        <v>0.142105263157895</v>
      </c>
      <c r="AN1013" s="36">
        <f>IF(E1013=1,AJ1013/AH1013,"")</f>
        <v>0.415789473684211</v>
      </c>
      <c r="AO1013" s="36">
        <f>IF(E1013=1,AK1013/AH1013,"")</f>
        <v>0.442105263157895</v>
      </c>
      <c r="AP1013" s="34">
        <f>IF(E1013=1,Orders!Y1010,"")</f>
        <v>0.78</v>
      </c>
      <c r="AQ1013" s="33">
        <f>IF(Orders!X1010,1,0)</f>
        <v>0</v>
      </c>
      <c r="AR1013" s="34">
        <f>IF(AND(E1013=1,L1013=1),AJ1013,"")</f>
        <v>7.9</v>
      </c>
      <c r="AS1013" s="34" t="str">
        <f>IF(AND(E1013=1,L1013=0),AJ1013,"")</f>
        <v/>
      </c>
      <c r="AT1013" s="34">
        <f>IF(AND(E1013=1,L1013=1),AI1013,"")</f>
        <v>2.7</v>
      </c>
      <c r="AU1013" s="34" t="str">
        <f>IF(AND(E1013=1,L1013=0),AI1013,"")</f>
        <v/>
      </c>
      <c r="AV1013" s="34">
        <f>IF(AND(E1013=1,L1013=1),AG1013,"")</f>
        <v>9.1</v>
      </c>
      <c r="AW1013" s="34" t="str">
        <f>IF(AND(E1013=1,L1013=0),AG1013,"")</f>
        <v/>
      </c>
      <c r="AX1013" s="34">
        <f>IF(AND(E1013=1,L1013=1),AH1013,"")</f>
        <v>19</v>
      </c>
      <c r="AY1013" s="34" t="str">
        <f>IF(AND(E1013=1,L1013=0),AH1013,"")</f>
        <v/>
      </c>
      <c r="AZ1013" s="34">
        <f>IF(G1013=1,F1013,"")</f>
        <v>9.9</v>
      </c>
      <c r="BA1013" s="34">
        <f>IF(AND(G1013=1,L1013=1),F1013,"")</f>
        <v>9.9</v>
      </c>
      <c r="BB1013" s="34" t="str">
        <f>IF(AND(G1013=1,L1013=0),F1013,"")</f>
        <v/>
      </c>
      <c r="BC1013" s="33">
        <f>IF(E1013=1,IF(Orders!R1010&gt;3,1,0),"")</f>
        <v>1</v>
      </c>
      <c r="BD1013" s="33">
        <f>IF(E1013=1,IF(Orders!R1010&gt;7,1,0),"")</f>
        <v>1</v>
      </c>
      <c r="BE1013" s="32" t="str">
        <f>IF(E1013=1,IF(Orders!L1010&lt;=1.5,"Up to 1.5 km",IF(Orders!L1010&lt;=3,"1.5–3 km","Over 3 km")),"")</f>
        <v>1.5–3 km</v>
      </c>
      <c r="BF1013" s="33">
        <f>IF(E1013=1,IF(ABS((Orders!G1010-Orders!F1010)*1440-Orders!R1010)&lt;0.06,1,0),"")</f>
        <v>1</v>
      </c>
      <c r="BG1013" s="33">
        <f>IF(ABS((Orders!F1010-Orders!E1010)*1440-Orders!P1010)&lt;0.06,1,0)</f>
        <v>1</v>
      </c>
      <c r="BH1013" s="33">
        <f>IF(E1013=1,IF(IF(Orders!S1010,1,0)=1-G1013,1,0),"")</f>
        <v>1</v>
      </c>
      <c r="BI1013" s="32" t="str">
        <f>INDEX(Stores!$B$2:$B$21,MATCH(B1013,Stores!$A$2:$A$21,0))</f>
        <v>Pune</v>
      </c>
    </row>
    <row r="1014">
      <c r="A1014" s="32" t="str">
        <f>Orders!A1011</f>
        <v>O01010</v>
      </c>
      <c r="B1014" s="32" t="str">
        <f>Orders!C1011</f>
        <v>S003</v>
      </c>
      <c r="C1014" s="32" t="str">
        <f>Orders!B1011</f>
        <v>C0073</v>
      </c>
      <c r="D1014" s="32" t="str">
        <f>Orders!H1011</f>
        <v>Delivered</v>
      </c>
      <c r="E1014" s="33">
        <f>IF(Orders!H1011="Delivered",1,0)</f>
        <v>1</v>
      </c>
      <c r="F1014" s="34">
        <f>IF(E1014=1,Orders!R1011,"")</f>
        <v>0.2</v>
      </c>
      <c r="G1014" s="33">
        <f>IF(E1014=1,IF(Orders!R1011&gt;0,1,0),"")</f>
        <v>1</v>
      </c>
      <c r="H1014" s="33">
        <f>IF(E1014=1,IF(Orders!R1011&gt;5,1,0),"")</f>
        <v>0</v>
      </c>
      <c r="I1014" s="32" t="str">
        <f>IF(E1014=1,"",IF(OR(Orders!T1011="Rider unavailable",Orders!T1011="Item unavailable"),"Company-caused","Unresolved"))</f>
        <v/>
      </c>
      <c r="J1014" s="33">
        <f>IF(OR(E1014=1,I1014="Company-caused"),1,0)</f>
        <v>1</v>
      </c>
      <c r="K1014" s="32" t="str">
        <f>IF(E1014=0,IF(I1014="Company-caused",IF(Orders!T1011="Rider unavailable","C1 Rider unavailable","C2 Item unavailable"),"Outside root: unresolved"),IF(G1014=0,"A On time",IF(H1014=1,IF(L1014=1,"B2a Severe, peak","B2b Severe, off-peak"),IF(L1014=1,"B1a Slight, peak","B1b Slight, off-peak"))))</f>
        <v>B1b Slight, off-peak</v>
      </c>
      <c r="L1014" s="33">
        <f>IF(AND(Orders!U1011&gt;=19,Orders!U1011&lt;22),1,0)</f>
        <v>0</v>
      </c>
      <c r="M1014" s="33">
        <f>IF(L1014=IF(Orders!V1011,1,0),1,0)</f>
        <v>1</v>
      </c>
      <c r="N1014" s="32" t="str">
        <f>IF(Orders!W1011="","None",Orders!W1011)</f>
        <v>None</v>
      </c>
      <c r="O1014" s="35">
        <f>INT(Orders!E1011)</f>
        <v>46272.0</v>
      </c>
      <c r="P1014" s="33">
        <f>Orders!U1011</f>
        <v>13</v>
      </c>
      <c r="Q1014" s="33">
        <f>COUNTIFS(Demand!$A$2:$A$4481,B1014,Demand!$B$2:$B$4481,O1014,Demand!$C$2:$C$4481,P1014)</f>
        <v>1</v>
      </c>
      <c r="R1014" s="33">
        <f>IF(Q1014=1,SUMIFS(Demand!$E$2:$E$4481,Demand!$A$2:$A$4481,B1014,Demand!$B$2:$B$4481,O1014,Demand!$C$2:$C$4481,P1014),"")</f>
        <v>50</v>
      </c>
      <c r="S1014" s="33">
        <f>INDEX(Stores!$G$2:$G$21,MATCH(B1014,Stores!$A$2:$A$21,0))</f>
        <v>41</v>
      </c>
      <c r="T1014" s="34">
        <f>IF(R1014="","",R1014/S1014)</f>
        <v>1.21951219512195</v>
      </c>
      <c r="U1014" s="34">
        <f>IF(E1014=1,T1014,"")</f>
        <v>1.21951219512195</v>
      </c>
      <c r="V1014" s="34">
        <f>IF(AND(E1014=1,L1014=0),T1014,"")</f>
        <v>1.21951219512195</v>
      </c>
      <c r="W1014" s="33">
        <f>IF(U1014="","",IF(U1014&lt;=Breakdowns!$C$5,1,IF(U1014&lt;=Breakdowns!$C$6,2,IF(U1014&lt;=Breakdowns!$C$7,3,4))))</f>
        <v>4</v>
      </c>
      <c r="X1014" s="33">
        <f>IF(V1014="","",IF(V1014&lt;=Breakdowns!$D$5,1,IF(V1014&lt;=Breakdowns!$D$6,2,IF(V1014&lt;=Breakdowns!$D$7,3,4))))</f>
        <v>4</v>
      </c>
      <c r="Y1014" s="34">
        <f>INDEX(Stores!$F$2:$F$21,MATCH(B1014,Stores!$A$2:$A$21,0))</f>
        <v>3.84</v>
      </c>
      <c r="Z1014" s="33">
        <f>IF(Y1014&gt;Store_Summary!$M$2,1,0)</f>
        <v>0</v>
      </c>
      <c r="AA1014" s="33">
        <f>INDEX(Stores!$C$2:$C$21,MATCH(B1014,Stores!$A$2:$A$21,0))</f>
        <v>426</v>
      </c>
      <c r="AB1014" s="33">
        <f>IF(AA1014&lt;180,1,0)</f>
        <v>0</v>
      </c>
      <c r="AC1014" s="32" t="str">
        <f>IF(Orders!D1011="","",INDEX(Riders!$C$2:$C$81,MATCH(Orders!D1011,Riders!$A$2:$A$81,0)))</f>
        <v>EV scooter</v>
      </c>
      <c r="AD1014" s="33">
        <f>IF(Orders!D1011="","",INDEX(Riders!$D$2:$D$81,MATCH(Orders!D1011,Riders!$A$2:$A$81,0)))</f>
        <v>46</v>
      </c>
      <c r="AE1014" s="33">
        <f>IF(Orders!D1011="","",IF(INDEX(Riders!$B$2:$B$81,MATCH(Orders!D1011,Riders!$A$2:$A$81,0))=B1014,1,0))</f>
        <v>0</v>
      </c>
      <c r="AF1014" s="34">
        <f>IF(E1014=1,Orders!L1011,"")</f>
        <v>0.5</v>
      </c>
      <c r="AG1014" s="34">
        <f>IF(E1014=1,Orders!P1011,"")</f>
        <v>10.8</v>
      </c>
      <c r="AH1014" s="34">
        <f>IF(E1014=1,Orders!Q1011,"")</f>
        <v>11</v>
      </c>
      <c r="AI1014" s="34">
        <f>IF(E1014=1,Orders!M1011,"")</f>
        <v>4.1</v>
      </c>
      <c r="AJ1014" s="34">
        <f>IF(E1014=1,Orders!N1011,"")</f>
        <v>4.4</v>
      </c>
      <c r="AK1014" s="34">
        <f>IF(E1014=1,Orders!O1011,"")</f>
        <v>2.6</v>
      </c>
      <c r="AL1014" s="33">
        <f>IF(E1014=1,IF(ROUND(ABS(AI1014+AJ1014+AK1014-AH1014),6)&lt;=0.1,1,0),"")</f>
        <v>1</v>
      </c>
      <c r="AM1014" s="36">
        <f>IF(E1014=1,AI1014/AH1014,"")</f>
        <v>0.372727272727273</v>
      </c>
      <c r="AN1014" s="36">
        <f>IF(E1014=1,AJ1014/AH1014,"")</f>
        <v>0.4</v>
      </c>
      <c r="AO1014" s="36">
        <f>IF(E1014=1,AK1014/AH1014,"")</f>
        <v>0.236363636363636</v>
      </c>
      <c r="AP1014" s="34">
        <f>IF(E1014=1,Orders!Y1011,"")</f>
        <v>0.53</v>
      </c>
      <c r="AQ1014" s="33">
        <f>IF(Orders!X1011,1,0)</f>
        <v>0</v>
      </c>
      <c r="AR1014" s="34" t="str">
        <f>IF(AND(E1014=1,L1014=1),AJ1014,"")</f>
        <v/>
      </c>
      <c r="AS1014" s="34">
        <f>IF(AND(E1014=1,L1014=0),AJ1014,"")</f>
        <v>4.4</v>
      </c>
      <c r="AT1014" s="34" t="str">
        <f>IF(AND(E1014=1,L1014=1),AI1014,"")</f>
        <v/>
      </c>
      <c r="AU1014" s="34">
        <f>IF(AND(E1014=1,L1014=0),AI1014,"")</f>
        <v>4.1</v>
      </c>
      <c r="AV1014" s="34" t="str">
        <f>IF(AND(E1014=1,L1014=1),AG1014,"")</f>
        <v/>
      </c>
      <c r="AW1014" s="34">
        <f>IF(AND(E1014=1,L1014=0),AG1014,"")</f>
        <v>10.8</v>
      </c>
      <c r="AX1014" s="34" t="str">
        <f>IF(AND(E1014=1,L1014=1),AH1014,"")</f>
        <v/>
      </c>
      <c r="AY1014" s="34">
        <f>IF(AND(E1014=1,L1014=0),AH1014,"")</f>
        <v>11</v>
      </c>
      <c r="AZ1014" s="34">
        <f>IF(G1014=1,F1014,"")</f>
        <v>0.2</v>
      </c>
      <c r="BA1014" s="34" t="str">
        <f>IF(AND(G1014=1,L1014=1),F1014,"")</f>
        <v/>
      </c>
      <c r="BB1014" s="34">
        <f>IF(AND(G1014=1,L1014=0),F1014,"")</f>
        <v>0.2</v>
      </c>
      <c r="BC1014" s="33">
        <f>IF(E1014=1,IF(Orders!R1011&gt;3,1,0),"")</f>
        <v>0</v>
      </c>
      <c r="BD1014" s="33">
        <f>IF(E1014=1,IF(Orders!R1011&gt;7,1,0),"")</f>
        <v>0</v>
      </c>
      <c r="BE1014" s="32" t="str">
        <f>IF(E1014=1,IF(Orders!L1011&lt;=1.5,"Up to 1.5 km",IF(Orders!L1011&lt;=3,"1.5–3 km","Over 3 km")),"")</f>
        <v>Up to 1.5 km</v>
      </c>
      <c r="BF1014" s="33">
        <f>IF(E1014=1,IF(ABS((Orders!G1011-Orders!F1011)*1440-Orders!R1011)&lt;0.06,1,0),"")</f>
        <v>1</v>
      </c>
      <c r="BG1014" s="33">
        <f>IF(ABS((Orders!F1011-Orders!E1011)*1440-Orders!P1011)&lt;0.06,1,0)</f>
        <v>1</v>
      </c>
      <c r="BH1014" s="33">
        <f>IF(E1014=1,IF(IF(Orders!S1011,1,0)=1-G1014,1,0),"")</f>
        <v>1</v>
      </c>
      <c r="BI1014" s="32" t="str">
        <f>INDEX(Stores!$B$2:$B$21,MATCH(B1014,Stores!$A$2:$A$21,0))</f>
        <v>Mumbai</v>
      </c>
    </row>
    <row r="1015">
      <c r="A1015" s="32" t="str">
        <f>Orders!A1012</f>
        <v>O01011</v>
      </c>
      <c r="B1015" s="32" t="str">
        <f>Orders!C1012</f>
        <v>S016</v>
      </c>
      <c r="C1015" s="32" t="str">
        <f>Orders!B1012</f>
        <v>C0081</v>
      </c>
      <c r="D1015" s="32" t="str">
        <f>Orders!H1012</f>
        <v>Delivered</v>
      </c>
      <c r="E1015" s="33">
        <f>IF(Orders!H1012="Delivered",1,0)</f>
        <v>1</v>
      </c>
      <c r="F1015" s="34">
        <f>IF(E1015=1,Orders!R1012,"")</f>
        <v>5.2</v>
      </c>
      <c r="G1015" s="33">
        <f>IF(E1015=1,IF(Orders!R1012&gt;0,1,0),"")</f>
        <v>1</v>
      </c>
      <c r="H1015" s="33">
        <f>IF(E1015=1,IF(Orders!R1012&gt;5,1,0),"")</f>
        <v>1</v>
      </c>
      <c r="I1015" s="32" t="str">
        <f>IF(E1015=1,"",IF(OR(Orders!T1012="Rider unavailable",Orders!T1012="Item unavailable"),"Company-caused","Unresolved"))</f>
        <v/>
      </c>
      <c r="J1015" s="33">
        <f>IF(OR(E1015=1,I1015="Company-caused"),1,0)</f>
        <v>1</v>
      </c>
      <c r="K1015" s="32" t="str">
        <f>IF(E1015=0,IF(I1015="Company-caused",IF(Orders!T1012="Rider unavailable","C1 Rider unavailable","C2 Item unavailable"),"Outside root: unresolved"),IF(G1015=0,"A On time",IF(H1015=1,IF(L1015=1,"B2a Severe, peak","B2b Severe, off-peak"),IF(L1015=1,"B1a Slight, peak","B1b Slight, off-peak"))))</f>
        <v>B2b Severe, off-peak</v>
      </c>
      <c r="L1015" s="33">
        <f>IF(AND(Orders!U1012&gt;=19,Orders!U1012&lt;22),1,0)</f>
        <v>0</v>
      </c>
      <c r="M1015" s="33">
        <f>IF(L1015=IF(Orders!V1012,1,0),1,0)</f>
        <v>1</v>
      </c>
      <c r="N1015" s="32" t="str">
        <f>IF(Orders!W1012="","None",Orders!W1012)</f>
        <v>None</v>
      </c>
      <c r="O1015" s="35">
        <f>INT(Orders!E1012)</f>
        <v>46275.0</v>
      </c>
      <c r="P1015" s="33">
        <f>Orders!U1012</f>
        <v>8</v>
      </c>
      <c r="Q1015" s="33">
        <f>COUNTIFS(Demand!$A$2:$A$4481,B1015,Demand!$B$2:$B$4481,O1015,Demand!$C$2:$C$4481,P1015)</f>
        <v>1</v>
      </c>
      <c r="R1015" s="33">
        <f>IF(Q1015=1,SUMIFS(Demand!$E$2:$E$4481,Demand!$A$2:$A$4481,B1015,Demand!$B$2:$B$4481,O1015,Demand!$C$2:$C$4481,P1015),"")</f>
        <v>14</v>
      </c>
      <c r="S1015" s="33">
        <f>INDEX(Stores!$G$2:$G$21,MATCH(B1015,Stores!$A$2:$A$21,0))</f>
        <v>25</v>
      </c>
      <c r="T1015" s="34">
        <f>IF(R1015="","",R1015/S1015)</f>
        <v>0.56</v>
      </c>
      <c r="U1015" s="34">
        <f>IF(E1015=1,T1015,"")</f>
        <v>0.56</v>
      </c>
      <c r="V1015" s="34">
        <f>IF(AND(E1015=1,L1015=0),T1015,"")</f>
        <v>0.56</v>
      </c>
      <c r="W1015" s="33">
        <f>IF(U1015="","",IF(U1015&lt;=Breakdowns!$C$5,1,IF(U1015&lt;=Breakdowns!$C$6,2,IF(U1015&lt;=Breakdowns!$C$7,3,4))))</f>
        <v>1</v>
      </c>
      <c r="X1015" s="33">
        <f>IF(V1015="","",IF(V1015&lt;=Breakdowns!$D$5,1,IF(V1015&lt;=Breakdowns!$D$6,2,IF(V1015&lt;=Breakdowns!$D$7,3,4))))</f>
        <v>1</v>
      </c>
      <c r="Y1015" s="34">
        <f>INDEX(Stores!$F$2:$F$21,MATCH(B1015,Stores!$A$2:$A$21,0))</f>
        <v>5.51</v>
      </c>
      <c r="Z1015" s="33">
        <f>IF(Y1015&gt;Store_Summary!$M$2,1,0)</f>
        <v>1</v>
      </c>
      <c r="AA1015" s="33">
        <f>INDEX(Stores!$C$2:$C$21,MATCH(B1015,Stores!$A$2:$A$21,0))</f>
        <v>792</v>
      </c>
      <c r="AB1015" s="33">
        <f>IF(AA1015&lt;180,1,0)</f>
        <v>0</v>
      </c>
      <c r="AC1015" s="32" t="str">
        <f>IF(Orders!D1012="","",INDEX(Riders!$C$2:$C$81,MATCH(Orders!D1012,Riders!$A$2:$A$81,0)))</f>
        <v>EV scooter</v>
      </c>
      <c r="AD1015" s="33">
        <f>IF(Orders!D1012="","",INDEX(Riders!$D$2:$D$81,MATCH(Orders!D1012,Riders!$A$2:$A$81,0)))</f>
        <v>32</v>
      </c>
      <c r="AE1015" s="33">
        <f>IF(Orders!D1012="","",IF(INDEX(Riders!$B$2:$B$81,MATCH(Orders!D1012,Riders!$A$2:$A$81,0))=B1015,1,0))</f>
        <v>0</v>
      </c>
      <c r="AF1015" s="34">
        <f>IF(E1015=1,Orders!L1012,"")</f>
        <v>1.45</v>
      </c>
      <c r="AG1015" s="34">
        <f>IF(E1015=1,Orders!P1012,"")</f>
        <v>7.1</v>
      </c>
      <c r="AH1015" s="34">
        <f>IF(E1015=1,Orders!Q1012,"")</f>
        <v>12.3</v>
      </c>
      <c r="AI1015" s="34">
        <f>IF(E1015=1,Orders!M1012,"")</f>
        <v>6.6</v>
      </c>
      <c r="AJ1015" s="34">
        <f>IF(E1015=1,Orders!N1012,"")</f>
        <v>1.9</v>
      </c>
      <c r="AK1015" s="34">
        <f>IF(E1015=1,Orders!O1012,"")</f>
        <v>3.9</v>
      </c>
      <c r="AL1015" s="33">
        <f>IF(E1015=1,IF(ROUND(ABS(AI1015+AJ1015+AK1015-AH1015),6)&lt;=0.1,1,0),"")</f>
        <v>1</v>
      </c>
      <c r="AM1015" s="36">
        <f>IF(E1015=1,AI1015/AH1015,"")</f>
        <v>0.536585365853659</v>
      </c>
      <c r="AN1015" s="36">
        <f>IF(E1015=1,AJ1015/AH1015,"")</f>
        <v>0.154471544715447</v>
      </c>
      <c r="AO1015" s="36">
        <f>IF(E1015=1,AK1015/AH1015,"")</f>
        <v>0.317073170731707</v>
      </c>
      <c r="AP1015" s="34">
        <f>IF(E1015=1,Orders!Y1012,"")</f>
        <v>0.34</v>
      </c>
      <c r="AQ1015" s="33">
        <f>IF(Orders!X1012,1,0)</f>
        <v>0</v>
      </c>
      <c r="AR1015" s="34" t="str">
        <f>IF(AND(E1015=1,L1015=1),AJ1015,"")</f>
        <v/>
      </c>
      <c r="AS1015" s="34">
        <f>IF(AND(E1015=1,L1015=0),AJ1015,"")</f>
        <v>1.9</v>
      </c>
      <c r="AT1015" s="34" t="str">
        <f>IF(AND(E1015=1,L1015=1),AI1015,"")</f>
        <v/>
      </c>
      <c r="AU1015" s="34">
        <f>IF(AND(E1015=1,L1015=0),AI1015,"")</f>
        <v>6.6</v>
      </c>
      <c r="AV1015" s="34" t="str">
        <f>IF(AND(E1015=1,L1015=1),AG1015,"")</f>
        <v/>
      </c>
      <c r="AW1015" s="34">
        <f>IF(AND(E1015=1,L1015=0),AG1015,"")</f>
        <v>7.1</v>
      </c>
      <c r="AX1015" s="34" t="str">
        <f>IF(AND(E1015=1,L1015=1),AH1015,"")</f>
        <v/>
      </c>
      <c r="AY1015" s="34">
        <f>IF(AND(E1015=1,L1015=0),AH1015,"")</f>
        <v>12.3</v>
      </c>
      <c r="AZ1015" s="34">
        <f>IF(G1015=1,F1015,"")</f>
        <v>5.2</v>
      </c>
      <c r="BA1015" s="34" t="str">
        <f>IF(AND(G1015=1,L1015=1),F1015,"")</f>
        <v/>
      </c>
      <c r="BB1015" s="34">
        <f>IF(AND(G1015=1,L1015=0),F1015,"")</f>
        <v>5.2</v>
      </c>
      <c r="BC1015" s="33">
        <f>IF(E1015=1,IF(Orders!R1012&gt;3,1,0),"")</f>
        <v>1</v>
      </c>
      <c r="BD1015" s="33">
        <f>IF(E1015=1,IF(Orders!R1012&gt;7,1,0),"")</f>
        <v>0</v>
      </c>
      <c r="BE1015" s="32" t="str">
        <f>IF(E1015=1,IF(Orders!L1012&lt;=1.5,"Up to 1.5 km",IF(Orders!L1012&lt;=3,"1.5–3 km","Over 3 km")),"")</f>
        <v>Up to 1.5 km</v>
      </c>
      <c r="BF1015" s="33">
        <f>IF(E1015=1,IF(ABS((Orders!G1012-Orders!F1012)*1440-Orders!R1012)&lt;0.06,1,0),"")</f>
        <v>1</v>
      </c>
      <c r="BG1015" s="33">
        <f>IF(ABS((Orders!F1012-Orders!E1012)*1440-Orders!P1012)&lt;0.06,1,0)</f>
        <v>1</v>
      </c>
      <c r="BH1015" s="33">
        <f>IF(E1015=1,IF(IF(Orders!S1012,1,0)=1-G1015,1,0),"")</f>
        <v>1</v>
      </c>
      <c r="BI1015" s="32" t="str">
        <f>INDEX(Stores!$B$2:$B$21,MATCH(B1015,Stores!$A$2:$A$21,0))</f>
        <v>Bengaluru</v>
      </c>
    </row>
    <row r="1016">
      <c r="A1016" s="32" t="str">
        <f>Orders!A1013</f>
        <v>O01012</v>
      </c>
      <c r="B1016" s="32" t="str">
        <f>Orders!C1013</f>
        <v>S020</v>
      </c>
      <c r="C1016" s="32" t="str">
        <f>Orders!B1013</f>
        <v>C0102</v>
      </c>
      <c r="D1016" s="32" t="str">
        <f>Orders!H1013</f>
        <v>Delivered</v>
      </c>
      <c r="E1016" s="33">
        <f>IF(Orders!H1013="Delivered",1,0)</f>
        <v>1</v>
      </c>
      <c r="F1016" s="34">
        <f>IF(E1016=1,Orders!R1013,"")</f>
        <v>10.5</v>
      </c>
      <c r="G1016" s="33">
        <f>IF(E1016=1,IF(Orders!R1013&gt;0,1,0),"")</f>
        <v>1</v>
      </c>
      <c r="H1016" s="33">
        <f>IF(E1016=1,IF(Orders!R1013&gt;5,1,0),"")</f>
        <v>1</v>
      </c>
      <c r="I1016" s="32" t="str">
        <f>IF(E1016=1,"",IF(OR(Orders!T1013="Rider unavailable",Orders!T1013="Item unavailable"),"Company-caused","Unresolved"))</f>
        <v/>
      </c>
      <c r="J1016" s="33">
        <f>IF(OR(E1016=1,I1016="Company-caused"),1,0)</f>
        <v>1</v>
      </c>
      <c r="K1016" s="32" t="str">
        <f>IF(E1016=0,IF(I1016="Company-caused",IF(Orders!T1013="Rider unavailable","C1 Rider unavailable","C2 Item unavailable"),"Outside root: unresolved"),IF(G1016=0,"A On time",IF(H1016=1,IF(L1016=1,"B2a Severe, peak","B2b Severe, off-peak"),IF(L1016=1,"B1a Slight, peak","B1b Slight, off-peak"))))</f>
        <v>B2b Severe, off-peak</v>
      </c>
      <c r="L1016" s="33">
        <f>IF(AND(Orders!U1013&gt;=19,Orders!U1013&lt;22),1,0)</f>
        <v>0</v>
      </c>
      <c r="M1016" s="33">
        <f>IF(L1016=IF(Orders!V1013,1,0),1,0)</f>
        <v>1</v>
      </c>
      <c r="N1016" s="32" t="str">
        <f>IF(Orders!W1013="","None",Orders!W1013)</f>
        <v>None</v>
      </c>
      <c r="O1016" s="35">
        <f>INT(Orders!E1013)</f>
        <v>46275.0</v>
      </c>
      <c r="P1016" s="33">
        <f>Orders!U1013</f>
        <v>22</v>
      </c>
      <c r="Q1016" s="33">
        <f>COUNTIFS(Demand!$A$2:$A$4481,B1016,Demand!$B$2:$B$4481,O1016,Demand!$C$2:$C$4481,P1016)</f>
        <v>1</v>
      </c>
      <c r="R1016" s="33">
        <f>IF(Q1016=1,SUMIFS(Demand!$E$2:$E$4481,Demand!$A$2:$A$4481,B1016,Demand!$B$2:$B$4481,O1016,Demand!$C$2:$C$4481,P1016),"")</f>
        <v>10</v>
      </c>
      <c r="S1016" s="33">
        <f>INDEX(Stores!$G$2:$G$21,MATCH(B1016,Stores!$A$2:$A$21,0))</f>
        <v>15</v>
      </c>
      <c r="T1016" s="34">
        <f>IF(R1016="","",R1016/S1016)</f>
        <v>0.666666666666667</v>
      </c>
      <c r="U1016" s="34">
        <f>IF(E1016=1,T1016,"")</f>
        <v>0.666666666666667</v>
      </c>
      <c r="V1016" s="34">
        <f>IF(AND(E1016=1,L1016=0),T1016,"")</f>
        <v>0.666666666666667</v>
      </c>
      <c r="W1016" s="33">
        <f>IF(U1016="","",IF(U1016&lt;=Breakdowns!$C$5,1,IF(U1016&lt;=Breakdowns!$C$6,2,IF(U1016&lt;=Breakdowns!$C$7,3,4))))</f>
        <v>1</v>
      </c>
      <c r="X1016" s="33">
        <f>IF(V1016="","",IF(V1016&lt;=Breakdowns!$D$5,1,IF(V1016&lt;=Breakdowns!$D$6,2,IF(V1016&lt;=Breakdowns!$D$7,3,4))))</f>
        <v>1</v>
      </c>
      <c r="Y1016" s="34">
        <f>INDEX(Stores!$F$2:$F$21,MATCH(B1016,Stores!$A$2:$A$21,0))</f>
        <v>5.74</v>
      </c>
      <c r="Z1016" s="33">
        <f>IF(Y1016&gt;Store_Summary!$M$2,1,0)</f>
        <v>1</v>
      </c>
      <c r="AA1016" s="33">
        <f>INDEX(Stores!$C$2:$C$21,MATCH(B1016,Stores!$A$2:$A$21,0))</f>
        <v>647</v>
      </c>
      <c r="AB1016" s="33">
        <f>IF(AA1016&lt;180,1,0)</f>
        <v>0</v>
      </c>
      <c r="AC1016" s="32" t="str">
        <f>IF(Orders!D1013="","",INDEX(Riders!$C$2:$C$81,MATCH(Orders!D1013,Riders!$A$2:$A$81,0)))</f>
        <v>Petrol scooter</v>
      </c>
      <c r="AD1016" s="33">
        <f>IF(Orders!D1013="","",INDEX(Riders!$D$2:$D$81,MATCH(Orders!D1013,Riders!$A$2:$A$81,0)))</f>
        <v>4</v>
      </c>
      <c r="AE1016" s="33">
        <f>IF(Orders!D1013="","",IF(INDEX(Riders!$B$2:$B$81,MATCH(Orders!D1013,Riders!$A$2:$A$81,0))=B1016,1,0))</f>
        <v>1</v>
      </c>
      <c r="AF1016" s="34">
        <f>IF(E1016=1,Orders!L1013,"")</f>
        <v>1.4</v>
      </c>
      <c r="AG1016" s="34">
        <f>IF(E1016=1,Orders!P1013,"")</f>
        <v>9.4</v>
      </c>
      <c r="AH1016" s="34">
        <f>IF(E1016=1,Orders!Q1013,"")</f>
        <v>19.9</v>
      </c>
      <c r="AI1016" s="34">
        <f>IF(E1016=1,Orders!M1013,"")</f>
        <v>6.5</v>
      </c>
      <c r="AJ1016" s="34">
        <f>IF(E1016=1,Orders!N1013,"")</f>
        <v>9.3</v>
      </c>
      <c r="AK1016" s="34">
        <f>IF(E1016=1,Orders!O1013,"")</f>
        <v>4.1</v>
      </c>
      <c r="AL1016" s="33">
        <f>IF(E1016=1,IF(ROUND(ABS(AI1016+AJ1016+AK1016-AH1016),6)&lt;=0.1,1,0),"")</f>
        <v>1</v>
      </c>
      <c r="AM1016" s="36">
        <f>IF(E1016=1,AI1016/AH1016,"")</f>
        <v>0.326633165829146</v>
      </c>
      <c r="AN1016" s="36">
        <f>IF(E1016=1,AJ1016/AH1016,"")</f>
        <v>0.467336683417086</v>
      </c>
      <c r="AO1016" s="36">
        <f>IF(E1016=1,AK1016/AH1016,"")</f>
        <v>0.206030150753769</v>
      </c>
      <c r="AP1016" s="34">
        <f>IF(E1016=1,Orders!Y1013,"")</f>
        <v>0.56</v>
      </c>
      <c r="AQ1016" s="33">
        <f>IF(Orders!X1013,1,0)</f>
        <v>0</v>
      </c>
      <c r="AR1016" s="34" t="str">
        <f>IF(AND(E1016=1,L1016=1),AJ1016,"")</f>
        <v/>
      </c>
      <c r="AS1016" s="34">
        <f>IF(AND(E1016=1,L1016=0),AJ1016,"")</f>
        <v>9.3</v>
      </c>
      <c r="AT1016" s="34" t="str">
        <f>IF(AND(E1016=1,L1016=1),AI1016,"")</f>
        <v/>
      </c>
      <c r="AU1016" s="34">
        <f>IF(AND(E1016=1,L1016=0),AI1016,"")</f>
        <v>6.5</v>
      </c>
      <c r="AV1016" s="34" t="str">
        <f>IF(AND(E1016=1,L1016=1),AG1016,"")</f>
        <v/>
      </c>
      <c r="AW1016" s="34">
        <f>IF(AND(E1016=1,L1016=0),AG1016,"")</f>
        <v>9.4</v>
      </c>
      <c r="AX1016" s="34" t="str">
        <f>IF(AND(E1016=1,L1016=1),AH1016,"")</f>
        <v/>
      </c>
      <c r="AY1016" s="34">
        <f>IF(AND(E1016=1,L1016=0),AH1016,"")</f>
        <v>19.9</v>
      </c>
      <c r="AZ1016" s="34">
        <f>IF(G1016=1,F1016,"")</f>
        <v>10.5</v>
      </c>
      <c r="BA1016" s="34" t="str">
        <f>IF(AND(G1016=1,L1016=1),F1016,"")</f>
        <v/>
      </c>
      <c r="BB1016" s="34">
        <f>IF(AND(G1016=1,L1016=0),F1016,"")</f>
        <v>10.5</v>
      </c>
      <c r="BC1016" s="33">
        <f>IF(E1016=1,IF(Orders!R1013&gt;3,1,0),"")</f>
        <v>1</v>
      </c>
      <c r="BD1016" s="33">
        <f>IF(E1016=1,IF(Orders!R1013&gt;7,1,0),"")</f>
        <v>1</v>
      </c>
      <c r="BE1016" s="32" t="str">
        <f>IF(E1016=1,IF(Orders!L1013&lt;=1.5,"Up to 1.5 km",IF(Orders!L1013&lt;=3,"1.5–3 km","Over 3 km")),"")</f>
        <v>Up to 1.5 km</v>
      </c>
      <c r="BF1016" s="33">
        <f>IF(E1016=1,IF(ABS((Orders!G1013-Orders!F1013)*1440-Orders!R1013)&lt;0.06,1,0),"")</f>
        <v>1</v>
      </c>
      <c r="BG1016" s="33">
        <f>IF(ABS((Orders!F1013-Orders!E1013)*1440-Orders!P1013)&lt;0.06,1,0)</f>
        <v>1</v>
      </c>
      <c r="BH1016" s="33">
        <f>IF(E1016=1,IF(IF(Orders!S1013,1,0)=1-G1016,1,0),"")</f>
        <v>1</v>
      </c>
      <c r="BI1016" s="32" t="str">
        <f>INDEX(Stores!$B$2:$B$21,MATCH(B1016,Stores!$A$2:$A$21,0))</f>
        <v>Delhi</v>
      </c>
    </row>
    <row r="1017">
      <c r="A1017" s="32" t="str">
        <f>Orders!A1014</f>
        <v>O01013</v>
      </c>
      <c r="B1017" s="32" t="str">
        <f>Orders!C1014</f>
        <v>S001</v>
      </c>
      <c r="C1017" s="32" t="str">
        <f>Orders!B1014</f>
        <v>C0196</v>
      </c>
      <c r="D1017" s="32" t="str">
        <f>Orders!H1014</f>
        <v>Delivered</v>
      </c>
      <c r="E1017" s="33">
        <f>IF(Orders!H1014="Delivered",1,0)</f>
        <v>1</v>
      </c>
      <c r="F1017" s="34">
        <f>IF(E1017=1,Orders!R1014,"")</f>
        <v>-0.3</v>
      </c>
      <c r="G1017" s="33">
        <f>IF(E1017=1,IF(Orders!R1014&gt;0,1,0),"")</f>
        <v>0</v>
      </c>
      <c r="H1017" s="33">
        <f>IF(E1017=1,IF(Orders!R1014&gt;5,1,0),"")</f>
        <v>0</v>
      </c>
      <c r="I1017" s="32" t="str">
        <f>IF(E1017=1,"",IF(OR(Orders!T1014="Rider unavailable",Orders!T1014="Item unavailable"),"Company-caused","Unresolved"))</f>
        <v/>
      </c>
      <c r="J1017" s="33">
        <f>IF(OR(E1017=1,I1017="Company-caused"),1,0)</f>
        <v>1</v>
      </c>
      <c r="K1017" s="32" t="str">
        <f>IF(E1017=0,IF(I1017="Company-caused",IF(Orders!T1014="Rider unavailable","C1 Rider unavailable","C2 Item unavailable"),"Outside root: unresolved"),IF(G1017=0,"A On time",IF(H1017=1,IF(L1017=1,"B2a Severe, peak","B2b Severe, off-peak"),IF(L1017=1,"B1a Slight, peak","B1b Slight, off-peak"))))</f>
        <v>A On time</v>
      </c>
      <c r="L1017" s="33">
        <f>IF(AND(Orders!U1014&gt;=19,Orders!U1014&lt;22),1,0)</f>
        <v>0</v>
      </c>
      <c r="M1017" s="33">
        <f>IF(L1017=IF(Orders!V1014,1,0),1,0)</f>
        <v>1</v>
      </c>
      <c r="N1017" s="32" t="str">
        <f>IF(Orders!W1014="","None",Orders!W1014)</f>
        <v>None</v>
      </c>
      <c r="O1017" s="35">
        <f>INT(Orders!E1014)</f>
        <v>46279.0</v>
      </c>
      <c r="P1017" s="33">
        <f>Orders!U1014</f>
        <v>15</v>
      </c>
      <c r="Q1017" s="33">
        <f>COUNTIFS(Demand!$A$2:$A$4481,B1017,Demand!$B$2:$B$4481,O1017,Demand!$C$2:$C$4481,P1017)</f>
        <v>1</v>
      </c>
      <c r="R1017" s="33">
        <f>IF(Q1017=1,SUMIFS(Demand!$E$2:$E$4481,Demand!$A$2:$A$4481,B1017,Demand!$B$2:$B$4481,O1017,Demand!$C$2:$C$4481,P1017),"")</f>
        <v>11</v>
      </c>
      <c r="S1017" s="33">
        <f>INDEX(Stores!$G$2:$G$21,MATCH(B1017,Stores!$A$2:$A$21,0))</f>
        <v>16</v>
      </c>
      <c r="T1017" s="34">
        <f>IF(R1017="","",R1017/S1017)</f>
        <v>0.6875</v>
      </c>
      <c r="U1017" s="34">
        <f>IF(E1017=1,T1017,"")</f>
        <v>0.6875</v>
      </c>
      <c r="V1017" s="34">
        <f>IF(AND(E1017=1,L1017=0),T1017,"")</f>
        <v>0.6875</v>
      </c>
      <c r="W1017" s="33">
        <f>IF(U1017="","",IF(U1017&lt;=Breakdowns!$C$5,1,IF(U1017&lt;=Breakdowns!$C$6,2,IF(U1017&lt;=Breakdowns!$C$7,3,4))))</f>
        <v>1</v>
      </c>
      <c r="X1017" s="33">
        <f>IF(V1017="","",IF(V1017&lt;=Breakdowns!$D$5,1,IF(V1017&lt;=Breakdowns!$D$6,2,IF(V1017&lt;=Breakdowns!$D$7,3,4))))</f>
        <v>1</v>
      </c>
      <c r="Y1017" s="34">
        <f>INDEX(Stores!$F$2:$F$21,MATCH(B1017,Stores!$A$2:$A$21,0))</f>
        <v>4.59</v>
      </c>
      <c r="Z1017" s="33">
        <f>IF(Y1017&gt;Store_Summary!$M$2,1,0)</f>
        <v>0</v>
      </c>
      <c r="AA1017" s="33">
        <f>INDEX(Stores!$C$2:$C$21,MATCH(B1017,Stores!$A$2:$A$21,0))</f>
        <v>362</v>
      </c>
      <c r="AB1017" s="33">
        <f>IF(AA1017&lt;180,1,0)</f>
        <v>0</v>
      </c>
      <c r="AC1017" s="32" t="str">
        <f>IF(Orders!D1014="","",INDEX(Riders!$C$2:$C$81,MATCH(Orders!D1014,Riders!$A$2:$A$81,0)))</f>
        <v>EV scooter</v>
      </c>
      <c r="AD1017" s="33">
        <f>IF(Orders!D1014="","",INDEX(Riders!$D$2:$D$81,MATCH(Orders!D1014,Riders!$A$2:$A$81,0)))</f>
        <v>38</v>
      </c>
      <c r="AE1017" s="33">
        <f>IF(Orders!D1014="","",IF(INDEX(Riders!$B$2:$B$81,MATCH(Orders!D1014,Riders!$A$2:$A$81,0))=B1017,1,0))</f>
        <v>0</v>
      </c>
      <c r="AF1017" s="34">
        <f>IF(E1017=1,Orders!L1014,"")</f>
        <v>1.27</v>
      </c>
      <c r="AG1017" s="34">
        <f>IF(E1017=1,Orders!P1014,"")</f>
        <v>8.9</v>
      </c>
      <c r="AH1017" s="34">
        <f>IF(E1017=1,Orders!Q1014,"")</f>
        <v>8.6</v>
      </c>
      <c r="AI1017" s="34">
        <f>IF(E1017=1,Orders!M1014,"")</f>
        <v>3</v>
      </c>
      <c r="AJ1017" s="34">
        <f>IF(E1017=1,Orders!N1014,"")</f>
        <v>3.9</v>
      </c>
      <c r="AK1017" s="34">
        <f>IF(E1017=1,Orders!O1014,"")</f>
        <v>1.7</v>
      </c>
      <c r="AL1017" s="33">
        <f>IF(E1017=1,IF(ROUND(ABS(AI1017+AJ1017+AK1017-AH1017),6)&lt;=0.1,1,0),"")</f>
        <v>1</v>
      </c>
      <c r="AM1017" s="36">
        <f>IF(E1017=1,AI1017/AH1017,"")</f>
        <v>0.348837209302326</v>
      </c>
      <c r="AN1017" s="36">
        <f>IF(E1017=1,AJ1017/AH1017,"")</f>
        <v>0.453488372093023</v>
      </c>
      <c r="AO1017" s="36">
        <f>IF(E1017=1,AK1017/AH1017,"")</f>
        <v>0.197674418604651</v>
      </c>
      <c r="AP1017" s="34">
        <f>IF(E1017=1,Orders!Y1014,"")</f>
        <v>0.15</v>
      </c>
      <c r="AQ1017" s="33">
        <f>IF(Orders!X1014,1,0)</f>
        <v>1</v>
      </c>
      <c r="AR1017" s="34" t="str">
        <f>IF(AND(E1017=1,L1017=1),AJ1017,"")</f>
        <v/>
      </c>
      <c r="AS1017" s="34">
        <f>IF(AND(E1017=1,L1017=0),AJ1017,"")</f>
        <v>3.9</v>
      </c>
      <c r="AT1017" s="34" t="str">
        <f>IF(AND(E1017=1,L1017=1),AI1017,"")</f>
        <v/>
      </c>
      <c r="AU1017" s="34">
        <f>IF(AND(E1017=1,L1017=0),AI1017,"")</f>
        <v>3</v>
      </c>
      <c r="AV1017" s="34" t="str">
        <f>IF(AND(E1017=1,L1017=1),AG1017,"")</f>
        <v/>
      </c>
      <c r="AW1017" s="34">
        <f>IF(AND(E1017=1,L1017=0),AG1017,"")</f>
        <v>8.9</v>
      </c>
      <c r="AX1017" s="34" t="str">
        <f>IF(AND(E1017=1,L1017=1),AH1017,"")</f>
        <v/>
      </c>
      <c r="AY1017" s="34">
        <f>IF(AND(E1017=1,L1017=0),AH1017,"")</f>
        <v>8.6</v>
      </c>
      <c r="AZ1017" s="34" t="str">
        <f>IF(G1017=1,F1017,"")</f>
        <v/>
      </c>
      <c r="BA1017" s="34" t="str">
        <f>IF(AND(G1017=1,L1017=1),F1017,"")</f>
        <v/>
      </c>
      <c r="BB1017" s="34" t="str">
        <f>IF(AND(G1017=1,L1017=0),F1017,"")</f>
        <v/>
      </c>
      <c r="BC1017" s="33">
        <f>IF(E1017=1,IF(Orders!R1014&gt;3,1,0),"")</f>
        <v>0</v>
      </c>
      <c r="BD1017" s="33">
        <f>IF(E1017=1,IF(Orders!R1014&gt;7,1,0),"")</f>
        <v>0</v>
      </c>
      <c r="BE1017" s="32" t="str">
        <f>IF(E1017=1,IF(Orders!L1014&lt;=1.5,"Up to 1.5 km",IF(Orders!L1014&lt;=3,"1.5–3 km","Over 3 km")),"")</f>
        <v>Up to 1.5 km</v>
      </c>
      <c r="BF1017" s="33">
        <f>IF(E1017=1,IF(ABS((Orders!G1014-Orders!F1014)*1440-Orders!R1014)&lt;0.06,1,0),"")</f>
        <v>1</v>
      </c>
      <c r="BG1017" s="33">
        <f>IF(ABS((Orders!F1014-Orders!E1014)*1440-Orders!P1014)&lt;0.06,1,0)</f>
        <v>1</v>
      </c>
      <c r="BH1017" s="33">
        <f>IF(E1017=1,IF(IF(Orders!S1014,1,0)=1-G1017,1,0),"")</f>
        <v>1</v>
      </c>
      <c r="BI1017" s="32" t="str">
        <f>INDEX(Stores!$B$2:$B$21,MATCH(B1017,Stores!$A$2:$A$21,0))</f>
        <v>Bengaluru</v>
      </c>
    </row>
    <row r="1018">
      <c r="A1018" s="32" t="str">
        <f>Orders!A1015</f>
        <v>O01014</v>
      </c>
      <c r="B1018" s="32" t="str">
        <f>Orders!C1015</f>
        <v>S010</v>
      </c>
      <c r="C1018" s="32" t="str">
        <f>Orders!B1015</f>
        <v>C0127</v>
      </c>
      <c r="D1018" s="32" t="str">
        <f>Orders!H1015</f>
        <v>Delivered</v>
      </c>
      <c r="E1018" s="33">
        <f>IF(Orders!H1015="Delivered",1,0)</f>
        <v>1</v>
      </c>
      <c r="F1018" s="34">
        <f>IF(E1018=1,Orders!R1015,"")</f>
        <v>-0.3</v>
      </c>
      <c r="G1018" s="33">
        <f>IF(E1018=1,IF(Orders!R1015&gt;0,1,0),"")</f>
        <v>0</v>
      </c>
      <c r="H1018" s="33">
        <f>IF(E1018=1,IF(Orders!R1015&gt;5,1,0),"")</f>
        <v>0</v>
      </c>
      <c r="I1018" s="32" t="str">
        <f>IF(E1018=1,"",IF(OR(Orders!T1015="Rider unavailable",Orders!T1015="Item unavailable"),"Company-caused","Unresolved"))</f>
        <v/>
      </c>
      <c r="J1018" s="33">
        <f>IF(OR(E1018=1,I1018="Company-caused"),1,0)</f>
        <v>1</v>
      </c>
      <c r="K1018" s="32" t="str">
        <f>IF(E1018=0,IF(I1018="Company-caused",IF(Orders!T1015="Rider unavailable","C1 Rider unavailable","C2 Item unavailable"),"Outside root: unresolved"),IF(G1018=0,"A On time",IF(H1018=1,IF(L1018=1,"B2a Severe, peak","B2b Severe, off-peak"),IF(L1018=1,"B1a Slight, peak","B1b Slight, off-peak"))))</f>
        <v>A On time</v>
      </c>
      <c r="L1018" s="33">
        <f>IF(AND(Orders!U1015&gt;=19,Orders!U1015&lt;22),1,0)</f>
        <v>0</v>
      </c>
      <c r="M1018" s="33">
        <f>IF(L1018=IF(Orders!V1015,1,0),1,0)</f>
        <v>1</v>
      </c>
      <c r="N1018" s="32" t="str">
        <f>IF(Orders!W1015="","None",Orders!W1015)</f>
        <v>None</v>
      </c>
      <c r="O1018" s="35">
        <f>INT(Orders!E1015)</f>
        <v>46273.0</v>
      </c>
      <c r="P1018" s="33">
        <f>Orders!U1015</f>
        <v>22</v>
      </c>
      <c r="Q1018" s="33">
        <f>COUNTIFS(Demand!$A$2:$A$4481,B1018,Demand!$B$2:$B$4481,O1018,Demand!$C$2:$C$4481,P1018)</f>
        <v>1</v>
      </c>
      <c r="R1018" s="33">
        <f>IF(Q1018=1,SUMIFS(Demand!$E$2:$E$4481,Demand!$A$2:$A$4481,B1018,Demand!$B$2:$B$4481,O1018,Demand!$C$2:$C$4481,P1018),"")</f>
        <v>21</v>
      </c>
      <c r="S1018" s="33">
        <f>INDEX(Stores!$G$2:$G$21,MATCH(B1018,Stores!$A$2:$A$21,0))</f>
        <v>22</v>
      </c>
      <c r="T1018" s="34">
        <f>IF(R1018="","",R1018/S1018)</f>
        <v>0.954545454545455</v>
      </c>
      <c r="U1018" s="34">
        <f>IF(E1018=1,T1018,"")</f>
        <v>0.954545454545455</v>
      </c>
      <c r="V1018" s="34">
        <f>IF(AND(E1018=1,L1018=0),T1018,"")</f>
        <v>0.954545454545455</v>
      </c>
      <c r="W1018" s="33">
        <f>IF(U1018="","",IF(U1018&lt;=Breakdowns!$C$5,1,IF(U1018&lt;=Breakdowns!$C$6,2,IF(U1018&lt;=Breakdowns!$C$7,3,4))))</f>
        <v>2</v>
      </c>
      <c r="X1018" s="33">
        <f>IF(V1018="","",IF(V1018&lt;=Breakdowns!$D$5,1,IF(V1018&lt;=Breakdowns!$D$6,2,IF(V1018&lt;=Breakdowns!$D$7,3,4))))</f>
        <v>3</v>
      </c>
      <c r="Y1018" s="34">
        <f>INDEX(Stores!$F$2:$F$21,MATCH(B1018,Stores!$A$2:$A$21,0))</f>
        <v>5.61</v>
      </c>
      <c r="Z1018" s="33">
        <f>IF(Y1018&gt;Store_Summary!$M$2,1,0)</f>
        <v>1</v>
      </c>
      <c r="AA1018" s="33">
        <f>INDEX(Stores!$C$2:$C$21,MATCH(B1018,Stores!$A$2:$A$21,0))</f>
        <v>744</v>
      </c>
      <c r="AB1018" s="33">
        <f>IF(AA1018&lt;180,1,0)</f>
        <v>0</v>
      </c>
      <c r="AC1018" s="32" t="str">
        <f>IF(Orders!D1015="","",INDEX(Riders!$C$2:$C$81,MATCH(Orders!D1015,Riders!$A$2:$A$81,0)))</f>
        <v>EV scooter</v>
      </c>
      <c r="AD1018" s="33">
        <f>IF(Orders!D1015="","",INDEX(Riders!$D$2:$D$81,MATCH(Orders!D1015,Riders!$A$2:$A$81,0)))</f>
        <v>36</v>
      </c>
      <c r="AE1018" s="33">
        <f>IF(Orders!D1015="","",IF(INDEX(Riders!$B$2:$B$81,MATCH(Orders!D1015,Riders!$A$2:$A$81,0))=B1018,1,0))</f>
        <v>1</v>
      </c>
      <c r="AF1018" s="34">
        <f>IF(E1018=1,Orders!L1015,"")</f>
        <v>2.47</v>
      </c>
      <c r="AG1018" s="34">
        <f>IF(E1018=1,Orders!P1015,"")</f>
        <v>10.6</v>
      </c>
      <c r="AH1018" s="34">
        <f>IF(E1018=1,Orders!Q1015,"")</f>
        <v>10.3</v>
      </c>
      <c r="AI1018" s="34">
        <f>IF(E1018=1,Orders!M1015,"")</f>
        <v>3.7</v>
      </c>
      <c r="AJ1018" s="34">
        <f>IF(E1018=1,Orders!N1015,"")</f>
        <v>2.6</v>
      </c>
      <c r="AK1018" s="34">
        <f>IF(E1018=1,Orders!O1015,"")</f>
        <v>4</v>
      </c>
      <c r="AL1018" s="33">
        <f>IF(E1018=1,IF(ROUND(ABS(AI1018+AJ1018+AK1018-AH1018),6)&lt;=0.1,1,0),"")</f>
        <v>1</v>
      </c>
      <c r="AM1018" s="36">
        <f>IF(E1018=1,AI1018/AH1018,"")</f>
        <v>0.359223300970874</v>
      </c>
      <c r="AN1018" s="36">
        <f>IF(E1018=1,AJ1018/AH1018,"")</f>
        <v>0.252427184466019</v>
      </c>
      <c r="AO1018" s="36">
        <f>IF(E1018=1,AK1018/AH1018,"")</f>
        <v>0.388349514563107</v>
      </c>
      <c r="AP1018" s="34">
        <f>IF(E1018=1,Orders!Y1015,"")</f>
        <v>0.42</v>
      </c>
      <c r="AQ1018" s="33">
        <f>IF(Orders!X1015,1,0)</f>
        <v>0</v>
      </c>
      <c r="AR1018" s="34" t="str">
        <f>IF(AND(E1018=1,L1018=1),AJ1018,"")</f>
        <v/>
      </c>
      <c r="AS1018" s="34">
        <f>IF(AND(E1018=1,L1018=0),AJ1018,"")</f>
        <v>2.6</v>
      </c>
      <c r="AT1018" s="34" t="str">
        <f>IF(AND(E1018=1,L1018=1),AI1018,"")</f>
        <v/>
      </c>
      <c r="AU1018" s="34">
        <f>IF(AND(E1018=1,L1018=0),AI1018,"")</f>
        <v>3.7</v>
      </c>
      <c r="AV1018" s="34" t="str">
        <f>IF(AND(E1018=1,L1018=1),AG1018,"")</f>
        <v/>
      </c>
      <c r="AW1018" s="34">
        <f>IF(AND(E1018=1,L1018=0),AG1018,"")</f>
        <v>10.6</v>
      </c>
      <c r="AX1018" s="34" t="str">
        <f>IF(AND(E1018=1,L1018=1),AH1018,"")</f>
        <v/>
      </c>
      <c r="AY1018" s="34">
        <f>IF(AND(E1018=1,L1018=0),AH1018,"")</f>
        <v>10.3</v>
      </c>
      <c r="AZ1018" s="34" t="str">
        <f>IF(G1018=1,F1018,"")</f>
        <v/>
      </c>
      <c r="BA1018" s="34" t="str">
        <f>IF(AND(G1018=1,L1018=1),F1018,"")</f>
        <v/>
      </c>
      <c r="BB1018" s="34" t="str">
        <f>IF(AND(G1018=1,L1018=0),F1018,"")</f>
        <v/>
      </c>
      <c r="BC1018" s="33">
        <f>IF(E1018=1,IF(Orders!R1015&gt;3,1,0),"")</f>
        <v>0</v>
      </c>
      <c r="BD1018" s="33">
        <f>IF(E1018=1,IF(Orders!R1015&gt;7,1,0),"")</f>
        <v>0</v>
      </c>
      <c r="BE1018" s="32" t="str">
        <f>IF(E1018=1,IF(Orders!L1015&lt;=1.5,"Up to 1.5 km",IF(Orders!L1015&lt;=3,"1.5–3 km","Over 3 km")),"")</f>
        <v>1.5–3 km</v>
      </c>
      <c r="BF1018" s="33">
        <f>IF(E1018=1,IF(ABS((Orders!G1015-Orders!F1015)*1440-Orders!R1015)&lt;0.06,1,0),"")</f>
        <v>1</v>
      </c>
      <c r="BG1018" s="33">
        <f>IF(ABS((Orders!F1015-Orders!E1015)*1440-Orders!P1015)&lt;0.06,1,0)</f>
        <v>1</v>
      </c>
      <c r="BH1018" s="33">
        <f>IF(E1018=1,IF(IF(Orders!S1015,1,0)=1-G1018,1,0),"")</f>
        <v>1</v>
      </c>
      <c r="BI1018" s="32" t="str">
        <f>INDEX(Stores!$B$2:$B$21,MATCH(B1018,Stores!$A$2:$A$21,0))</f>
        <v>Delhi</v>
      </c>
    </row>
    <row r="1019">
      <c r="A1019" s="32" t="str">
        <f>Orders!A1016</f>
        <v>O01015</v>
      </c>
      <c r="B1019" s="32" t="str">
        <f>Orders!C1016</f>
        <v>S014</v>
      </c>
      <c r="C1019" s="32" t="str">
        <f>Orders!B1016</f>
        <v>C0131</v>
      </c>
      <c r="D1019" s="32" t="str">
        <f>Orders!H1016</f>
        <v>Delivered</v>
      </c>
      <c r="E1019" s="33">
        <f>IF(Orders!H1016="Delivered",1,0)</f>
        <v>1</v>
      </c>
      <c r="F1019" s="34">
        <f>IF(E1019=1,Orders!R1016,"")</f>
        <v>-0.3</v>
      </c>
      <c r="G1019" s="33">
        <f>IF(E1019=1,IF(Orders!R1016&gt;0,1,0),"")</f>
        <v>0</v>
      </c>
      <c r="H1019" s="33">
        <f>IF(E1019=1,IF(Orders!R1016&gt;5,1,0),"")</f>
        <v>0</v>
      </c>
      <c r="I1019" s="32" t="str">
        <f>IF(E1019=1,"",IF(OR(Orders!T1016="Rider unavailable",Orders!T1016="Item unavailable"),"Company-caused","Unresolved"))</f>
        <v/>
      </c>
      <c r="J1019" s="33">
        <f>IF(OR(E1019=1,I1019="Company-caused"),1,0)</f>
        <v>1</v>
      </c>
      <c r="K1019" s="32" t="str">
        <f>IF(E1019=0,IF(I1019="Company-caused",IF(Orders!T1016="Rider unavailable","C1 Rider unavailable","C2 Item unavailable"),"Outside root: unresolved"),IF(G1019=0,"A On time",IF(H1019=1,IF(L1019=1,"B2a Severe, peak","B2b Severe, off-peak"),IF(L1019=1,"B1a Slight, peak","B1b Slight, off-peak"))))</f>
        <v>A On time</v>
      </c>
      <c r="L1019" s="33">
        <f>IF(AND(Orders!U1016&gt;=19,Orders!U1016&lt;22),1,0)</f>
        <v>0</v>
      </c>
      <c r="M1019" s="33">
        <f>IF(L1019=IF(Orders!V1016,1,0),1,0)</f>
        <v>1</v>
      </c>
      <c r="N1019" s="32" t="str">
        <f>IF(Orders!W1016="","None",Orders!W1016)</f>
        <v>Light</v>
      </c>
      <c r="O1019" s="35">
        <f>INT(Orders!E1016)</f>
        <v>46266.0</v>
      </c>
      <c r="P1019" s="33">
        <f>Orders!U1016</f>
        <v>10</v>
      </c>
      <c r="Q1019" s="33">
        <f>COUNTIFS(Demand!$A$2:$A$4481,B1019,Demand!$B$2:$B$4481,O1019,Demand!$C$2:$C$4481,P1019)</f>
        <v>1</v>
      </c>
      <c r="R1019" s="33">
        <f>IF(Q1019=1,SUMIFS(Demand!$E$2:$E$4481,Demand!$A$2:$A$4481,B1019,Demand!$B$2:$B$4481,O1019,Demand!$C$2:$C$4481,P1019),"")</f>
        <v>18</v>
      </c>
      <c r="S1019" s="33">
        <f>INDEX(Stores!$G$2:$G$21,MATCH(B1019,Stores!$A$2:$A$21,0))</f>
        <v>37</v>
      </c>
      <c r="T1019" s="34">
        <f>IF(R1019="","",R1019/S1019)</f>
        <v>0.486486486486487</v>
      </c>
      <c r="U1019" s="34">
        <f>IF(E1019=1,T1019,"")</f>
        <v>0.486486486486487</v>
      </c>
      <c r="V1019" s="34">
        <f>IF(AND(E1019=1,L1019=0),T1019,"")</f>
        <v>0.486486486486487</v>
      </c>
      <c r="W1019" s="33">
        <f>IF(U1019="","",IF(U1019&lt;=Breakdowns!$C$5,1,IF(U1019&lt;=Breakdowns!$C$6,2,IF(U1019&lt;=Breakdowns!$C$7,3,4))))</f>
        <v>1</v>
      </c>
      <c r="X1019" s="33">
        <f>IF(V1019="","",IF(V1019&lt;=Breakdowns!$D$5,1,IF(V1019&lt;=Breakdowns!$D$6,2,IF(V1019&lt;=Breakdowns!$D$7,3,4))))</f>
        <v>1</v>
      </c>
      <c r="Y1019" s="34">
        <f>INDEX(Stores!$F$2:$F$21,MATCH(B1019,Stores!$A$2:$A$21,0))</f>
        <v>5.55</v>
      </c>
      <c r="Z1019" s="33">
        <f>IF(Y1019&gt;Store_Summary!$M$2,1,0)</f>
        <v>1</v>
      </c>
      <c r="AA1019" s="33">
        <f>INDEX(Stores!$C$2:$C$21,MATCH(B1019,Stores!$A$2:$A$21,0))</f>
        <v>241</v>
      </c>
      <c r="AB1019" s="33">
        <f>IF(AA1019&lt;180,1,0)</f>
        <v>0</v>
      </c>
      <c r="AC1019" s="32" t="str">
        <f>IF(Orders!D1016="","",INDEX(Riders!$C$2:$C$81,MATCH(Orders!D1016,Riders!$A$2:$A$81,0)))</f>
        <v>EV scooter</v>
      </c>
      <c r="AD1019" s="33">
        <f>IF(Orders!D1016="","",INDEX(Riders!$D$2:$D$81,MATCH(Orders!D1016,Riders!$A$2:$A$81,0)))</f>
        <v>3</v>
      </c>
      <c r="AE1019" s="33">
        <f>IF(Orders!D1016="","",IF(INDEX(Riders!$B$2:$B$81,MATCH(Orders!D1016,Riders!$A$2:$A$81,0))=B1019,1,0))</f>
        <v>0</v>
      </c>
      <c r="AF1019" s="34">
        <f>IF(E1019=1,Orders!L1016,"")</f>
        <v>3.3</v>
      </c>
      <c r="AG1019" s="34">
        <f>IF(E1019=1,Orders!P1016,"")</f>
        <v>11.2</v>
      </c>
      <c r="AH1019" s="34">
        <f>IF(E1019=1,Orders!Q1016,"")</f>
        <v>10.9</v>
      </c>
      <c r="AI1019" s="34">
        <f>IF(E1019=1,Orders!M1016,"")</f>
        <v>2.4</v>
      </c>
      <c r="AJ1019" s="34">
        <f>IF(E1019=1,Orders!N1016,"")</f>
        <v>3.6</v>
      </c>
      <c r="AK1019" s="34">
        <f>IF(E1019=1,Orders!O1016,"")</f>
        <v>4.9</v>
      </c>
      <c r="AL1019" s="33">
        <f>IF(E1019=1,IF(ROUND(ABS(AI1019+AJ1019+AK1019-AH1019),6)&lt;=0.1,1,0),"")</f>
        <v>1</v>
      </c>
      <c r="AM1019" s="36">
        <f>IF(E1019=1,AI1019/AH1019,"")</f>
        <v>0.220183486238532</v>
      </c>
      <c r="AN1019" s="36">
        <f>IF(E1019=1,AJ1019/AH1019,"")</f>
        <v>0.330275229357798</v>
      </c>
      <c r="AO1019" s="36">
        <f>IF(E1019=1,AK1019/AH1019,"")</f>
        <v>0.44954128440367</v>
      </c>
      <c r="AP1019" s="34">
        <f>IF(E1019=1,Orders!Y1016,"")</f>
        <v>1</v>
      </c>
      <c r="AQ1019" s="33">
        <f>IF(Orders!X1016,1,0)</f>
        <v>0</v>
      </c>
      <c r="AR1019" s="34" t="str">
        <f>IF(AND(E1019=1,L1019=1),AJ1019,"")</f>
        <v/>
      </c>
      <c r="AS1019" s="34">
        <f>IF(AND(E1019=1,L1019=0),AJ1019,"")</f>
        <v>3.6</v>
      </c>
      <c r="AT1019" s="34" t="str">
        <f>IF(AND(E1019=1,L1019=1),AI1019,"")</f>
        <v/>
      </c>
      <c r="AU1019" s="34">
        <f>IF(AND(E1019=1,L1019=0),AI1019,"")</f>
        <v>2.4</v>
      </c>
      <c r="AV1019" s="34" t="str">
        <f>IF(AND(E1019=1,L1019=1),AG1019,"")</f>
        <v/>
      </c>
      <c r="AW1019" s="34">
        <f>IF(AND(E1019=1,L1019=0),AG1019,"")</f>
        <v>11.2</v>
      </c>
      <c r="AX1019" s="34" t="str">
        <f>IF(AND(E1019=1,L1019=1),AH1019,"")</f>
        <v/>
      </c>
      <c r="AY1019" s="34">
        <f>IF(AND(E1019=1,L1019=0),AH1019,"")</f>
        <v>10.9</v>
      </c>
      <c r="AZ1019" s="34" t="str">
        <f>IF(G1019=1,F1019,"")</f>
        <v/>
      </c>
      <c r="BA1019" s="34" t="str">
        <f>IF(AND(G1019=1,L1019=1),F1019,"")</f>
        <v/>
      </c>
      <c r="BB1019" s="34" t="str">
        <f>IF(AND(G1019=1,L1019=0),F1019,"")</f>
        <v/>
      </c>
      <c r="BC1019" s="33">
        <f>IF(E1019=1,IF(Orders!R1016&gt;3,1,0),"")</f>
        <v>0</v>
      </c>
      <c r="BD1019" s="33">
        <f>IF(E1019=1,IF(Orders!R1016&gt;7,1,0),"")</f>
        <v>0</v>
      </c>
      <c r="BE1019" s="32" t="str">
        <f>IF(E1019=1,IF(Orders!L1016&lt;=1.5,"Up to 1.5 km",IF(Orders!L1016&lt;=3,"1.5–3 km","Over 3 km")),"")</f>
        <v>Over 3 km</v>
      </c>
      <c r="BF1019" s="33">
        <f>IF(E1019=1,IF(ABS((Orders!G1016-Orders!F1016)*1440-Orders!R1016)&lt;0.06,1,0),"")</f>
        <v>1</v>
      </c>
      <c r="BG1019" s="33">
        <f>IF(ABS((Orders!F1016-Orders!E1016)*1440-Orders!P1016)&lt;0.06,1,0)</f>
        <v>1</v>
      </c>
      <c r="BH1019" s="33">
        <f>IF(E1019=1,IF(IF(Orders!S1016,1,0)=1-G1019,1,0),"")</f>
        <v>1</v>
      </c>
      <c r="BI1019" s="32" t="str">
        <f>INDEX(Stores!$B$2:$B$21,MATCH(B1019,Stores!$A$2:$A$21,0))</f>
        <v>Pune</v>
      </c>
    </row>
    <row r="1020">
      <c r="A1020" s="32" t="str">
        <f>Orders!A1017</f>
        <v>O01016</v>
      </c>
      <c r="B1020" s="32" t="str">
        <f>Orders!C1017</f>
        <v>S002</v>
      </c>
      <c r="C1020" s="32" t="str">
        <f>Orders!B1017</f>
        <v>C0125</v>
      </c>
      <c r="D1020" s="32" t="str">
        <f>Orders!H1017</f>
        <v>Delivered</v>
      </c>
      <c r="E1020" s="33">
        <f>IF(Orders!H1017="Delivered",1,0)</f>
        <v>1</v>
      </c>
      <c r="F1020" s="34">
        <f>IF(E1020=1,Orders!R1017,"")</f>
        <v>-0.2</v>
      </c>
      <c r="G1020" s="33">
        <f>IF(E1020=1,IF(Orders!R1017&gt;0,1,0),"")</f>
        <v>0</v>
      </c>
      <c r="H1020" s="33">
        <f>IF(E1020=1,IF(Orders!R1017&gt;5,1,0),"")</f>
        <v>0</v>
      </c>
      <c r="I1020" s="32" t="str">
        <f>IF(E1020=1,"",IF(OR(Orders!T1017="Rider unavailable",Orders!T1017="Item unavailable"),"Company-caused","Unresolved"))</f>
        <v/>
      </c>
      <c r="J1020" s="33">
        <f>IF(OR(E1020=1,I1020="Company-caused"),1,0)</f>
        <v>1</v>
      </c>
      <c r="K1020" s="32" t="str">
        <f>IF(E1020=0,IF(I1020="Company-caused",IF(Orders!T1017="Rider unavailable","C1 Rider unavailable","C2 Item unavailable"),"Outside root: unresolved"),IF(G1020=0,"A On time",IF(H1020=1,IF(L1020=1,"B2a Severe, peak","B2b Severe, off-peak"),IF(L1020=1,"B1a Slight, peak","B1b Slight, off-peak"))))</f>
        <v>A On time</v>
      </c>
      <c r="L1020" s="33">
        <f>IF(AND(Orders!U1017&gt;=19,Orders!U1017&lt;22),1,0)</f>
        <v>0</v>
      </c>
      <c r="M1020" s="33">
        <f>IF(L1020=IF(Orders!V1017,1,0),1,0)</f>
        <v>1</v>
      </c>
      <c r="N1020" s="32" t="str">
        <f>IF(Orders!W1017="","None",Orders!W1017)</f>
        <v>None</v>
      </c>
      <c r="O1020" s="35">
        <f>INT(Orders!E1017)</f>
        <v>46276.0</v>
      </c>
      <c r="P1020" s="33">
        <f>Orders!U1017</f>
        <v>9</v>
      </c>
      <c r="Q1020" s="33">
        <f>COUNTIFS(Demand!$A$2:$A$4481,B1020,Demand!$B$2:$B$4481,O1020,Demand!$C$2:$C$4481,P1020)</f>
        <v>1</v>
      </c>
      <c r="R1020" s="33">
        <f>IF(Q1020=1,SUMIFS(Demand!$E$2:$E$4481,Demand!$A$2:$A$4481,B1020,Demand!$B$2:$B$4481,O1020,Demand!$C$2:$C$4481,P1020),"")</f>
        <v>24</v>
      </c>
      <c r="S1020" s="33">
        <f>INDEX(Stores!$G$2:$G$21,MATCH(B1020,Stores!$A$2:$A$21,0))</f>
        <v>33</v>
      </c>
      <c r="T1020" s="34">
        <f>IF(R1020="","",R1020/S1020)</f>
        <v>0.727272727272727</v>
      </c>
      <c r="U1020" s="34">
        <f>IF(E1020=1,T1020,"")</f>
        <v>0.727272727272727</v>
      </c>
      <c r="V1020" s="34">
        <f>IF(AND(E1020=1,L1020=0),T1020,"")</f>
        <v>0.727272727272727</v>
      </c>
      <c r="W1020" s="33">
        <f>IF(U1020="","",IF(U1020&lt;=Breakdowns!$C$5,1,IF(U1020&lt;=Breakdowns!$C$6,2,IF(U1020&lt;=Breakdowns!$C$7,3,4))))</f>
        <v>1</v>
      </c>
      <c r="X1020" s="33">
        <f>IF(V1020="","",IF(V1020&lt;=Breakdowns!$D$5,1,IF(V1020&lt;=Breakdowns!$D$6,2,IF(V1020&lt;=Breakdowns!$D$7,3,4))))</f>
        <v>1</v>
      </c>
      <c r="Y1020" s="34">
        <f>INDEX(Stores!$F$2:$F$21,MATCH(B1020,Stores!$A$2:$A$21,0))</f>
        <v>2.39</v>
      </c>
      <c r="Z1020" s="33">
        <f>IF(Y1020&gt;Store_Summary!$M$2,1,0)</f>
        <v>0</v>
      </c>
      <c r="AA1020" s="33">
        <f>INDEX(Stores!$C$2:$C$21,MATCH(B1020,Stores!$A$2:$A$21,0))</f>
        <v>470</v>
      </c>
      <c r="AB1020" s="33">
        <f>IF(AA1020&lt;180,1,0)</f>
        <v>0</v>
      </c>
      <c r="AC1020" s="32" t="str">
        <f>IF(Orders!D1017="","",INDEX(Riders!$C$2:$C$81,MATCH(Orders!D1017,Riders!$A$2:$A$81,0)))</f>
        <v>EV scooter</v>
      </c>
      <c r="AD1020" s="33">
        <f>IF(Orders!D1017="","",INDEX(Riders!$D$2:$D$81,MATCH(Orders!D1017,Riders!$A$2:$A$81,0)))</f>
        <v>21</v>
      </c>
      <c r="AE1020" s="33">
        <f>IF(Orders!D1017="","",IF(INDEX(Riders!$B$2:$B$81,MATCH(Orders!D1017,Riders!$A$2:$A$81,0))=B1020,1,0))</f>
        <v>0</v>
      </c>
      <c r="AF1020" s="34">
        <f>IF(E1020=1,Orders!L1017,"")</f>
        <v>5</v>
      </c>
      <c r="AG1020" s="34">
        <f>IF(E1020=1,Orders!P1017,"")</f>
        <v>9.8</v>
      </c>
      <c r="AH1020" s="34">
        <f>IF(E1020=1,Orders!Q1017,"")</f>
        <v>9.6</v>
      </c>
      <c r="AI1020" s="34">
        <f>IF(E1020=1,Orders!M1017,"")</f>
        <v>1.2</v>
      </c>
      <c r="AJ1020" s="34">
        <f>IF(E1020=1,Orders!N1017,"")</f>
        <v>2.9</v>
      </c>
      <c r="AK1020" s="34">
        <f>IF(E1020=1,Orders!O1017,"")</f>
        <v>5.5</v>
      </c>
      <c r="AL1020" s="33">
        <f>IF(E1020=1,IF(ROUND(ABS(AI1020+AJ1020+AK1020-AH1020),6)&lt;=0.1,1,0),"")</f>
        <v>1</v>
      </c>
      <c r="AM1020" s="36">
        <f>IF(E1020=1,AI1020/AH1020,"")</f>
        <v>0.125</v>
      </c>
      <c r="AN1020" s="36">
        <f>IF(E1020=1,AJ1020/AH1020,"")</f>
        <v>0.302083333333333</v>
      </c>
      <c r="AO1020" s="36">
        <f>IF(E1020=1,AK1020/AH1020,"")</f>
        <v>0.572916666666667</v>
      </c>
      <c r="AP1020" s="34">
        <f>IF(E1020=1,Orders!Y1017,"")</f>
        <v>0.53</v>
      </c>
      <c r="AQ1020" s="33">
        <f>IF(Orders!X1017,1,0)</f>
        <v>0</v>
      </c>
      <c r="AR1020" s="34" t="str">
        <f>IF(AND(E1020=1,L1020=1),AJ1020,"")</f>
        <v/>
      </c>
      <c r="AS1020" s="34">
        <f>IF(AND(E1020=1,L1020=0),AJ1020,"")</f>
        <v>2.9</v>
      </c>
      <c r="AT1020" s="34" t="str">
        <f>IF(AND(E1020=1,L1020=1),AI1020,"")</f>
        <v/>
      </c>
      <c r="AU1020" s="34">
        <f>IF(AND(E1020=1,L1020=0),AI1020,"")</f>
        <v>1.2</v>
      </c>
      <c r="AV1020" s="34" t="str">
        <f>IF(AND(E1020=1,L1020=1),AG1020,"")</f>
        <v/>
      </c>
      <c r="AW1020" s="34">
        <f>IF(AND(E1020=1,L1020=0),AG1020,"")</f>
        <v>9.8</v>
      </c>
      <c r="AX1020" s="34" t="str">
        <f>IF(AND(E1020=1,L1020=1),AH1020,"")</f>
        <v/>
      </c>
      <c r="AY1020" s="34">
        <f>IF(AND(E1020=1,L1020=0),AH1020,"")</f>
        <v>9.6</v>
      </c>
      <c r="AZ1020" s="34" t="str">
        <f>IF(G1020=1,F1020,"")</f>
        <v/>
      </c>
      <c r="BA1020" s="34" t="str">
        <f>IF(AND(G1020=1,L1020=1),F1020,"")</f>
        <v/>
      </c>
      <c r="BB1020" s="34" t="str">
        <f>IF(AND(G1020=1,L1020=0),F1020,"")</f>
        <v/>
      </c>
      <c r="BC1020" s="33">
        <f>IF(E1020=1,IF(Orders!R1017&gt;3,1,0),"")</f>
        <v>0</v>
      </c>
      <c r="BD1020" s="33">
        <f>IF(E1020=1,IF(Orders!R1017&gt;7,1,0),"")</f>
        <v>0</v>
      </c>
      <c r="BE1020" s="32" t="str">
        <f>IF(E1020=1,IF(Orders!L1017&lt;=1.5,"Up to 1.5 km",IF(Orders!L1017&lt;=3,"1.5–3 km","Over 3 km")),"")</f>
        <v>Over 3 km</v>
      </c>
      <c r="BF1020" s="33">
        <f>IF(E1020=1,IF(ABS((Orders!G1017-Orders!F1017)*1440-Orders!R1017)&lt;0.06,1,0),"")</f>
        <v>1</v>
      </c>
      <c r="BG1020" s="33">
        <f>IF(ABS((Orders!F1017-Orders!E1017)*1440-Orders!P1017)&lt;0.06,1,0)</f>
        <v>1</v>
      </c>
      <c r="BH1020" s="33">
        <f>IF(E1020=1,IF(IF(Orders!S1017,1,0)=1-G1020,1,0),"")</f>
        <v>1</v>
      </c>
      <c r="BI1020" s="32" t="str">
        <f>INDEX(Stores!$B$2:$B$21,MATCH(B1020,Stores!$A$2:$A$21,0))</f>
        <v>Hyderabad</v>
      </c>
    </row>
    <row r="1021">
      <c r="A1021" s="32" t="str">
        <f>Orders!A1018</f>
        <v>O01017</v>
      </c>
      <c r="B1021" s="32" t="str">
        <f>Orders!C1018</f>
        <v>S004</v>
      </c>
      <c r="C1021" s="32" t="str">
        <f>Orders!B1018</f>
        <v>C0224</v>
      </c>
      <c r="D1021" s="32" t="str">
        <f>Orders!H1018</f>
        <v>Delivered</v>
      </c>
      <c r="E1021" s="33">
        <f>IF(Orders!H1018="Delivered",1,0)</f>
        <v>1</v>
      </c>
      <c r="F1021" s="34">
        <f>IF(E1021=1,Orders!R1018,"")</f>
        <v>2.1</v>
      </c>
      <c r="G1021" s="33">
        <f>IF(E1021=1,IF(Orders!R1018&gt;0,1,0),"")</f>
        <v>1</v>
      </c>
      <c r="H1021" s="33">
        <f>IF(E1021=1,IF(Orders!R1018&gt;5,1,0),"")</f>
        <v>0</v>
      </c>
      <c r="I1021" s="32" t="str">
        <f>IF(E1021=1,"",IF(OR(Orders!T1018="Rider unavailable",Orders!T1018="Item unavailable"),"Company-caused","Unresolved"))</f>
        <v/>
      </c>
      <c r="J1021" s="33">
        <f>IF(OR(E1021=1,I1021="Company-caused"),1,0)</f>
        <v>1</v>
      </c>
      <c r="K1021" s="32" t="str">
        <f>IF(E1021=0,IF(I1021="Company-caused",IF(Orders!T1018="Rider unavailable","C1 Rider unavailable","C2 Item unavailable"),"Outside root: unresolved"),IF(G1021=0,"A On time",IF(H1021=1,IF(L1021=1,"B2a Severe, peak","B2b Severe, off-peak"),IF(L1021=1,"B1a Slight, peak","B1b Slight, off-peak"))))</f>
        <v>B1b Slight, off-peak</v>
      </c>
      <c r="L1021" s="33">
        <f>IF(AND(Orders!U1018&gt;=19,Orders!U1018&lt;22),1,0)</f>
        <v>0</v>
      </c>
      <c r="M1021" s="33">
        <f>IF(L1021=IF(Orders!V1018,1,0),1,0)</f>
        <v>1</v>
      </c>
      <c r="N1021" s="32" t="str">
        <f>IF(Orders!W1018="","None",Orders!W1018)</f>
        <v>None</v>
      </c>
      <c r="O1021" s="35">
        <f>INT(Orders!E1018)</f>
        <v>46266.0</v>
      </c>
      <c r="P1021" s="33">
        <f>Orders!U1018</f>
        <v>11</v>
      </c>
      <c r="Q1021" s="33">
        <f>COUNTIFS(Demand!$A$2:$A$4481,B1021,Demand!$B$2:$B$4481,O1021,Demand!$C$2:$C$4481,P1021)</f>
        <v>1</v>
      </c>
      <c r="R1021" s="33">
        <f>IF(Q1021=1,SUMIFS(Demand!$E$2:$E$4481,Demand!$A$2:$A$4481,B1021,Demand!$B$2:$B$4481,O1021,Demand!$C$2:$C$4481,P1021),"")</f>
        <v>44</v>
      </c>
      <c r="S1021" s="33">
        <f>INDEX(Stores!$G$2:$G$21,MATCH(B1021,Stores!$A$2:$A$21,0))</f>
        <v>42</v>
      </c>
      <c r="T1021" s="34">
        <f>IF(R1021="","",R1021/S1021)</f>
        <v>1.04761904761905</v>
      </c>
      <c r="U1021" s="34">
        <f>IF(E1021=1,T1021,"")</f>
        <v>1.04761904761905</v>
      </c>
      <c r="V1021" s="34">
        <f>IF(AND(E1021=1,L1021=0),T1021,"")</f>
        <v>1.04761904761905</v>
      </c>
      <c r="W1021" s="33">
        <f>IF(U1021="","",IF(U1021&lt;=Breakdowns!$C$5,1,IF(U1021&lt;=Breakdowns!$C$6,2,IF(U1021&lt;=Breakdowns!$C$7,3,4))))</f>
        <v>3</v>
      </c>
      <c r="X1021" s="33">
        <f>IF(V1021="","",IF(V1021&lt;=Breakdowns!$D$5,1,IF(V1021&lt;=Breakdowns!$D$6,2,IF(V1021&lt;=Breakdowns!$D$7,3,4))))</f>
        <v>3</v>
      </c>
      <c r="Y1021" s="34">
        <f>INDEX(Stores!$F$2:$F$21,MATCH(B1021,Stores!$A$2:$A$21,0))</f>
        <v>2.19</v>
      </c>
      <c r="Z1021" s="33">
        <f>IF(Y1021&gt;Store_Summary!$M$2,1,0)</f>
        <v>0</v>
      </c>
      <c r="AA1021" s="33">
        <f>INDEX(Stores!$C$2:$C$21,MATCH(B1021,Stores!$A$2:$A$21,0))</f>
        <v>850</v>
      </c>
      <c r="AB1021" s="33">
        <f>IF(AA1021&lt;180,1,0)</f>
        <v>0</v>
      </c>
      <c r="AC1021" s="32" t="str">
        <f>IF(Orders!D1018="","",INDEX(Riders!$C$2:$C$81,MATCH(Orders!D1018,Riders!$A$2:$A$81,0)))</f>
        <v>Petrol scooter</v>
      </c>
      <c r="AD1021" s="33">
        <f>IF(Orders!D1018="","",INDEX(Riders!$D$2:$D$81,MATCH(Orders!D1018,Riders!$A$2:$A$81,0)))</f>
        <v>43</v>
      </c>
      <c r="AE1021" s="33">
        <f>IF(Orders!D1018="","",IF(INDEX(Riders!$B$2:$B$81,MATCH(Orders!D1018,Riders!$A$2:$A$81,0))=B1021,1,0))</f>
        <v>0</v>
      </c>
      <c r="AF1021" s="34">
        <f>IF(E1021=1,Orders!L1018,"")</f>
        <v>2.85</v>
      </c>
      <c r="AG1021" s="34">
        <f>IF(E1021=1,Orders!P1018,"")</f>
        <v>9.4</v>
      </c>
      <c r="AH1021" s="34">
        <f>IF(E1021=1,Orders!Q1018,"")</f>
        <v>11.5</v>
      </c>
      <c r="AI1021" s="34">
        <f>IF(E1021=1,Orders!M1018,"")</f>
        <v>2.6</v>
      </c>
      <c r="AJ1021" s="34">
        <f>IF(E1021=1,Orders!N1018,"")</f>
        <v>2.7</v>
      </c>
      <c r="AK1021" s="34">
        <f>IF(E1021=1,Orders!O1018,"")</f>
        <v>6.3</v>
      </c>
      <c r="AL1021" s="33">
        <f>IF(E1021=1,IF(ROUND(ABS(AI1021+AJ1021+AK1021-AH1021),6)&lt;=0.1,1,0),"")</f>
        <v>1</v>
      </c>
      <c r="AM1021" s="36">
        <f>IF(E1021=1,AI1021/AH1021,"")</f>
        <v>0.226086956521739</v>
      </c>
      <c r="AN1021" s="36">
        <f>IF(E1021=1,AJ1021/AH1021,"")</f>
        <v>0.234782608695652</v>
      </c>
      <c r="AO1021" s="36">
        <f>IF(E1021=1,AK1021/AH1021,"")</f>
        <v>0.547826086956522</v>
      </c>
      <c r="AP1021" s="34">
        <f>IF(E1021=1,Orders!Y1018,"")</f>
        <v>0.22</v>
      </c>
      <c r="AQ1021" s="33">
        <f>IF(Orders!X1018,1,0)</f>
        <v>0</v>
      </c>
      <c r="AR1021" s="34" t="str">
        <f>IF(AND(E1021=1,L1021=1),AJ1021,"")</f>
        <v/>
      </c>
      <c r="AS1021" s="34">
        <f>IF(AND(E1021=1,L1021=0),AJ1021,"")</f>
        <v>2.7</v>
      </c>
      <c r="AT1021" s="34" t="str">
        <f>IF(AND(E1021=1,L1021=1),AI1021,"")</f>
        <v/>
      </c>
      <c r="AU1021" s="34">
        <f>IF(AND(E1021=1,L1021=0),AI1021,"")</f>
        <v>2.6</v>
      </c>
      <c r="AV1021" s="34" t="str">
        <f>IF(AND(E1021=1,L1021=1),AG1021,"")</f>
        <v/>
      </c>
      <c r="AW1021" s="34">
        <f>IF(AND(E1021=1,L1021=0),AG1021,"")</f>
        <v>9.4</v>
      </c>
      <c r="AX1021" s="34" t="str">
        <f>IF(AND(E1021=1,L1021=1),AH1021,"")</f>
        <v/>
      </c>
      <c r="AY1021" s="34">
        <f>IF(AND(E1021=1,L1021=0),AH1021,"")</f>
        <v>11.5</v>
      </c>
      <c r="AZ1021" s="34">
        <f>IF(G1021=1,F1021,"")</f>
        <v>2.1</v>
      </c>
      <c r="BA1021" s="34" t="str">
        <f>IF(AND(G1021=1,L1021=1),F1021,"")</f>
        <v/>
      </c>
      <c r="BB1021" s="34">
        <f>IF(AND(G1021=1,L1021=0),F1021,"")</f>
        <v>2.1</v>
      </c>
      <c r="BC1021" s="33">
        <f>IF(E1021=1,IF(Orders!R1018&gt;3,1,0),"")</f>
        <v>0</v>
      </c>
      <c r="BD1021" s="33">
        <f>IF(E1021=1,IF(Orders!R1018&gt;7,1,0),"")</f>
        <v>0</v>
      </c>
      <c r="BE1021" s="32" t="str">
        <f>IF(E1021=1,IF(Orders!L1018&lt;=1.5,"Up to 1.5 km",IF(Orders!L1018&lt;=3,"1.5–3 km","Over 3 km")),"")</f>
        <v>1.5–3 km</v>
      </c>
      <c r="BF1021" s="33">
        <f>IF(E1021=1,IF(ABS((Orders!G1018-Orders!F1018)*1440-Orders!R1018)&lt;0.06,1,0),"")</f>
        <v>1</v>
      </c>
      <c r="BG1021" s="33">
        <f>IF(ABS((Orders!F1018-Orders!E1018)*1440-Orders!P1018)&lt;0.06,1,0)</f>
        <v>1</v>
      </c>
      <c r="BH1021" s="33">
        <f>IF(E1021=1,IF(IF(Orders!S1018,1,0)=1-G1021,1,0),"")</f>
        <v>1</v>
      </c>
      <c r="BI1021" s="32" t="str">
        <f>INDEX(Stores!$B$2:$B$21,MATCH(B1021,Stores!$A$2:$A$21,0))</f>
        <v>Pune</v>
      </c>
    </row>
    <row r="1022">
      <c r="A1022" s="32" t="str">
        <f>Orders!A1019</f>
        <v>O01018</v>
      </c>
      <c r="B1022" s="32" t="str">
        <f>Orders!C1019</f>
        <v>S014</v>
      </c>
      <c r="C1022" s="32" t="str">
        <f>Orders!B1019</f>
        <v>C0094</v>
      </c>
      <c r="D1022" s="32" t="str">
        <f>Orders!H1019</f>
        <v>Delivered</v>
      </c>
      <c r="E1022" s="33">
        <f>IF(Orders!H1019="Delivered",1,0)</f>
        <v>1</v>
      </c>
      <c r="F1022" s="34">
        <f>IF(E1022=1,Orders!R1019,"")</f>
        <v>-1.2</v>
      </c>
      <c r="G1022" s="33">
        <f>IF(E1022=1,IF(Orders!R1019&gt;0,1,0),"")</f>
        <v>0</v>
      </c>
      <c r="H1022" s="33">
        <f>IF(E1022=1,IF(Orders!R1019&gt;5,1,0),"")</f>
        <v>0</v>
      </c>
      <c r="I1022" s="32" t="str">
        <f>IF(E1022=1,"",IF(OR(Orders!T1019="Rider unavailable",Orders!T1019="Item unavailable"),"Company-caused","Unresolved"))</f>
        <v/>
      </c>
      <c r="J1022" s="33">
        <f>IF(OR(E1022=1,I1022="Company-caused"),1,0)</f>
        <v>1</v>
      </c>
      <c r="K1022" s="32" t="str">
        <f>IF(E1022=0,IF(I1022="Company-caused",IF(Orders!T1019="Rider unavailable","C1 Rider unavailable","C2 Item unavailable"),"Outside root: unresolved"),IF(G1022=0,"A On time",IF(H1022=1,IF(L1022=1,"B2a Severe, peak","B2b Severe, off-peak"),IF(L1022=1,"B1a Slight, peak","B1b Slight, off-peak"))))</f>
        <v>A On time</v>
      </c>
      <c r="L1022" s="33">
        <f>IF(AND(Orders!U1019&gt;=19,Orders!U1019&lt;22),1,0)</f>
        <v>0</v>
      </c>
      <c r="M1022" s="33">
        <f>IF(L1022=IF(Orders!V1019,1,0),1,0)</f>
        <v>1</v>
      </c>
      <c r="N1022" s="32" t="str">
        <f>IF(Orders!W1019="","None",Orders!W1019)</f>
        <v>None</v>
      </c>
      <c r="O1022" s="35">
        <f>INT(Orders!E1019)</f>
        <v>46273.0</v>
      </c>
      <c r="P1022" s="33">
        <f>Orders!U1019</f>
        <v>15</v>
      </c>
      <c r="Q1022" s="33">
        <f>COUNTIFS(Demand!$A$2:$A$4481,B1022,Demand!$B$2:$B$4481,O1022,Demand!$C$2:$C$4481,P1022)</f>
        <v>1</v>
      </c>
      <c r="R1022" s="33">
        <f>IF(Q1022=1,SUMIFS(Demand!$E$2:$E$4481,Demand!$A$2:$A$4481,B1022,Demand!$B$2:$B$4481,O1022,Demand!$C$2:$C$4481,P1022),"")</f>
        <v>26</v>
      </c>
      <c r="S1022" s="33">
        <f>INDEX(Stores!$G$2:$G$21,MATCH(B1022,Stores!$A$2:$A$21,0))</f>
        <v>37</v>
      </c>
      <c r="T1022" s="34">
        <f>IF(R1022="","",R1022/S1022)</f>
        <v>0.702702702702703</v>
      </c>
      <c r="U1022" s="34">
        <f>IF(E1022=1,T1022,"")</f>
        <v>0.702702702702703</v>
      </c>
      <c r="V1022" s="34">
        <f>IF(AND(E1022=1,L1022=0),T1022,"")</f>
        <v>0.702702702702703</v>
      </c>
      <c r="W1022" s="33">
        <f>IF(U1022="","",IF(U1022&lt;=Breakdowns!$C$5,1,IF(U1022&lt;=Breakdowns!$C$6,2,IF(U1022&lt;=Breakdowns!$C$7,3,4))))</f>
        <v>1</v>
      </c>
      <c r="X1022" s="33">
        <f>IF(V1022="","",IF(V1022&lt;=Breakdowns!$D$5,1,IF(V1022&lt;=Breakdowns!$D$6,2,IF(V1022&lt;=Breakdowns!$D$7,3,4))))</f>
        <v>1</v>
      </c>
      <c r="Y1022" s="34">
        <f>INDEX(Stores!$F$2:$F$21,MATCH(B1022,Stores!$A$2:$A$21,0))</f>
        <v>5.55</v>
      </c>
      <c r="Z1022" s="33">
        <f>IF(Y1022&gt;Store_Summary!$M$2,1,0)</f>
        <v>1</v>
      </c>
      <c r="AA1022" s="33">
        <f>INDEX(Stores!$C$2:$C$21,MATCH(B1022,Stores!$A$2:$A$21,0))</f>
        <v>241</v>
      </c>
      <c r="AB1022" s="33">
        <f>IF(AA1022&lt;180,1,0)</f>
        <v>0</v>
      </c>
      <c r="AC1022" s="32" t="str">
        <f>IF(Orders!D1019="","",INDEX(Riders!$C$2:$C$81,MATCH(Orders!D1019,Riders!$A$2:$A$81,0)))</f>
        <v>EV scooter</v>
      </c>
      <c r="AD1022" s="33">
        <f>IF(Orders!D1019="","",INDEX(Riders!$D$2:$D$81,MATCH(Orders!D1019,Riders!$A$2:$A$81,0)))</f>
        <v>4</v>
      </c>
      <c r="AE1022" s="33">
        <f>IF(Orders!D1019="","",IF(INDEX(Riders!$B$2:$B$81,MATCH(Orders!D1019,Riders!$A$2:$A$81,0))=B1022,1,0))</f>
        <v>0</v>
      </c>
      <c r="AF1022" s="34">
        <f>IF(E1022=1,Orders!L1019,"")</f>
        <v>3.3</v>
      </c>
      <c r="AG1022" s="34">
        <f>IF(E1022=1,Orders!P1019,"")</f>
        <v>11.9</v>
      </c>
      <c r="AH1022" s="34">
        <f>IF(E1022=1,Orders!Q1019,"")</f>
        <v>10.7</v>
      </c>
      <c r="AI1022" s="34">
        <f>IF(E1022=1,Orders!M1019,"")</f>
        <v>4.2</v>
      </c>
      <c r="AJ1022" s="34">
        <f>IF(E1022=1,Orders!N1019,"")</f>
        <v>1.9</v>
      </c>
      <c r="AK1022" s="34">
        <f>IF(E1022=1,Orders!O1019,"")</f>
        <v>4.6</v>
      </c>
      <c r="AL1022" s="33">
        <f>IF(E1022=1,IF(ROUND(ABS(AI1022+AJ1022+AK1022-AH1022),6)&lt;=0.1,1,0),"")</f>
        <v>1</v>
      </c>
      <c r="AM1022" s="36">
        <f>IF(E1022=1,AI1022/AH1022,"")</f>
        <v>0.392523364485981</v>
      </c>
      <c r="AN1022" s="36">
        <f>IF(E1022=1,AJ1022/AH1022,"")</f>
        <v>0.177570093457944</v>
      </c>
      <c r="AO1022" s="36">
        <f>IF(E1022=1,AK1022/AH1022,"")</f>
        <v>0.429906542056075</v>
      </c>
      <c r="AP1022" s="34">
        <f>IF(E1022=1,Orders!Y1019,"")</f>
        <v>0.43</v>
      </c>
      <c r="AQ1022" s="33">
        <f>IF(Orders!X1019,1,0)</f>
        <v>0</v>
      </c>
      <c r="AR1022" s="34" t="str">
        <f>IF(AND(E1022=1,L1022=1),AJ1022,"")</f>
        <v/>
      </c>
      <c r="AS1022" s="34">
        <f>IF(AND(E1022=1,L1022=0),AJ1022,"")</f>
        <v>1.9</v>
      </c>
      <c r="AT1022" s="34" t="str">
        <f>IF(AND(E1022=1,L1022=1),AI1022,"")</f>
        <v/>
      </c>
      <c r="AU1022" s="34">
        <f>IF(AND(E1022=1,L1022=0),AI1022,"")</f>
        <v>4.2</v>
      </c>
      <c r="AV1022" s="34" t="str">
        <f>IF(AND(E1022=1,L1022=1),AG1022,"")</f>
        <v/>
      </c>
      <c r="AW1022" s="34">
        <f>IF(AND(E1022=1,L1022=0),AG1022,"")</f>
        <v>11.9</v>
      </c>
      <c r="AX1022" s="34" t="str">
        <f>IF(AND(E1022=1,L1022=1),AH1022,"")</f>
        <v/>
      </c>
      <c r="AY1022" s="34">
        <f>IF(AND(E1022=1,L1022=0),AH1022,"")</f>
        <v>10.7</v>
      </c>
      <c r="AZ1022" s="34" t="str">
        <f>IF(G1022=1,F1022,"")</f>
        <v/>
      </c>
      <c r="BA1022" s="34" t="str">
        <f>IF(AND(G1022=1,L1022=1),F1022,"")</f>
        <v/>
      </c>
      <c r="BB1022" s="34" t="str">
        <f>IF(AND(G1022=1,L1022=0),F1022,"")</f>
        <v/>
      </c>
      <c r="BC1022" s="33">
        <f>IF(E1022=1,IF(Orders!R1019&gt;3,1,0),"")</f>
        <v>0</v>
      </c>
      <c r="BD1022" s="33">
        <f>IF(E1022=1,IF(Orders!R1019&gt;7,1,0),"")</f>
        <v>0</v>
      </c>
      <c r="BE1022" s="32" t="str">
        <f>IF(E1022=1,IF(Orders!L1019&lt;=1.5,"Up to 1.5 km",IF(Orders!L1019&lt;=3,"1.5–3 km","Over 3 km")),"")</f>
        <v>Over 3 km</v>
      </c>
      <c r="BF1022" s="33">
        <f>IF(E1022=1,IF(ABS((Orders!G1019-Orders!F1019)*1440-Orders!R1019)&lt;0.06,1,0),"")</f>
        <v>1</v>
      </c>
      <c r="BG1022" s="33">
        <f>IF(ABS((Orders!F1019-Orders!E1019)*1440-Orders!P1019)&lt;0.06,1,0)</f>
        <v>1</v>
      </c>
      <c r="BH1022" s="33">
        <f>IF(E1022=1,IF(IF(Orders!S1019,1,0)=1-G1022,1,0),"")</f>
        <v>1</v>
      </c>
      <c r="BI1022" s="32" t="str">
        <f>INDEX(Stores!$B$2:$B$21,MATCH(B1022,Stores!$A$2:$A$21,0))</f>
        <v>Pune</v>
      </c>
    </row>
    <row r="1023">
      <c r="A1023" s="32" t="str">
        <f>Orders!A1020</f>
        <v>O01019</v>
      </c>
      <c r="B1023" s="32" t="str">
        <f>Orders!C1020</f>
        <v>S003</v>
      </c>
      <c r="C1023" s="32" t="str">
        <f>Orders!B1020</f>
        <v>C0247</v>
      </c>
      <c r="D1023" s="32" t="str">
        <f>Orders!H1020</f>
        <v>Cancelled</v>
      </c>
      <c r="E1023" s="33">
        <f>IF(Orders!H1020="Delivered",1,0)</f>
        <v>0</v>
      </c>
      <c r="F1023" s="34" t="str">
        <f>IF(E1023=1,Orders!R1020,"")</f>
        <v/>
      </c>
      <c r="G1023" s="33" t="str">
        <f>IF(E1023=1,IF(Orders!R1020&gt;0,1,0),"")</f>
        <v/>
      </c>
      <c r="H1023" s="33" t="str">
        <f>IF(E1023=1,IF(Orders!R1020&gt;5,1,0),"")</f>
        <v/>
      </c>
      <c r="I1023" s="32" t="str">
        <f>IF(E1023=1,"",IF(OR(Orders!T1020="Rider unavailable",Orders!T1020="Item unavailable"),"Company-caused","Unresolved"))</f>
        <v>Unresolved</v>
      </c>
      <c r="J1023" s="33">
        <f>IF(OR(E1023=1,I1023="Company-caused"),1,0)</f>
        <v>0</v>
      </c>
      <c r="K1023" s="32" t="str">
        <f>IF(E1023=0,IF(I1023="Company-caused",IF(Orders!T1020="Rider unavailable","C1 Rider unavailable","C2 Item unavailable"),"Outside root: unresolved"),IF(G1023=0,"A On time",IF(H1023=1,IF(L1023=1,"B2a Severe, peak","B2b Severe, off-peak"),IF(L1023=1,"B1a Slight, peak","B1b Slight, off-peak"))))</f>
        <v>Outside root: unresolved</v>
      </c>
      <c r="L1023" s="33">
        <f>IF(AND(Orders!U1020&gt;=19,Orders!U1020&lt;22),1,0)</f>
        <v>0</v>
      </c>
      <c r="M1023" s="33">
        <f>IF(L1023=IF(Orders!V1020,1,0),1,0)</f>
        <v>1</v>
      </c>
      <c r="N1023" s="32" t="str">
        <f>IF(Orders!W1020="","None",Orders!W1020)</f>
        <v>Heavy</v>
      </c>
      <c r="O1023" s="35">
        <f>INT(Orders!E1020)</f>
        <v>46267.0</v>
      </c>
      <c r="P1023" s="33">
        <f>Orders!U1020</f>
        <v>12</v>
      </c>
      <c r="Q1023" s="33">
        <f>COUNTIFS(Demand!$A$2:$A$4481,B1023,Demand!$B$2:$B$4481,O1023,Demand!$C$2:$C$4481,P1023)</f>
        <v>1</v>
      </c>
      <c r="R1023" s="33">
        <f>IF(Q1023=1,SUMIFS(Demand!$E$2:$E$4481,Demand!$A$2:$A$4481,B1023,Demand!$B$2:$B$4481,O1023,Demand!$C$2:$C$4481,P1023),"")</f>
        <v>34</v>
      </c>
      <c r="S1023" s="33">
        <f>INDEX(Stores!$G$2:$G$21,MATCH(B1023,Stores!$A$2:$A$21,0))</f>
        <v>41</v>
      </c>
      <c r="T1023" s="34">
        <f>IF(R1023="","",R1023/S1023)</f>
        <v>0.829268292682927</v>
      </c>
      <c r="U1023" s="34" t="str">
        <f>IF(E1023=1,T1023,"")</f>
        <v/>
      </c>
      <c r="V1023" s="34" t="str">
        <f>IF(AND(E1023=1,L1023=0),T1023,"")</f>
        <v/>
      </c>
      <c r="W1023" s="33" t="str">
        <f>IF(U1023="","",IF(U1023&lt;=Breakdowns!$C$5,1,IF(U1023&lt;=Breakdowns!$C$6,2,IF(U1023&lt;=Breakdowns!$C$7,3,4))))</f>
        <v/>
      </c>
      <c r="X1023" s="33" t="str">
        <f>IF(V1023="","",IF(V1023&lt;=Breakdowns!$D$5,1,IF(V1023&lt;=Breakdowns!$D$6,2,IF(V1023&lt;=Breakdowns!$D$7,3,4))))</f>
        <v/>
      </c>
      <c r="Y1023" s="34">
        <f>INDEX(Stores!$F$2:$F$21,MATCH(B1023,Stores!$A$2:$A$21,0))</f>
        <v>3.84</v>
      </c>
      <c r="Z1023" s="33">
        <f>IF(Y1023&gt;Store_Summary!$M$2,1,0)</f>
        <v>0</v>
      </c>
      <c r="AA1023" s="33">
        <f>INDEX(Stores!$C$2:$C$21,MATCH(B1023,Stores!$A$2:$A$21,0))</f>
        <v>426</v>
      </c>
      <c r="AB1023" s="33">
        <f>IF(AA1023&lt;180,1,0)</f>
        <v>0</v>
      </c>
      <c r="AC1023" s="32" t="str">
        <f>IF(Orders!D1020="","",INDEX(Riders!$C$2:$C$81,MATCH(Orders!D1020,Riders!$A$2:$A$81,0)))</f>
        <v/>
      </c>
      <c r="AD1023" s="33" t="str">
        <f>IF(Orders!D1020="","",INDEX(Riders!$D$2:$D$81,MATCH(Orders!D1020,Riders!$A$2:$A$81,0)))</f>
        <v/>
      </c>
      <c r="AE1023" s="33" t="str">
        <f>IF(Orders!D1020="","",IF(INDEX(Riders!$B$2:$B$81,MATCH(Orders!D1020,Riders!$A$2:$A$81,0))=B1023,1,0))</f>
        <v/>
      </c>
      <c r="AF1023" s="34" t="str">
        <f>IF(E1023=1,Orders!L1020,"")</f>
        <v/>
      </c>
      <c r="AG1023" s="34" t="str">
        <f>IF(E1023=1,Orders!P1020,"")</f>
        <v/>
      </c>
      <c r="AH1023" s="34" t="str">
        <f>IF(E1023=1,Orders!Q1020,"")</f>
        <v/>
      </c>
      <c r="AI1023" s="34" t="str">
        <f>IF(E1023=1,Orders!M1020,"")</f>
        <v/>
      </c>
      <c r="AJ1023" s="34" t="str">
        <f>IF(E1023=1,Orders!N1020,"")</f>
        <v/>
      </c>
      <c r="AK1023" s="34" t="str">
        <f>IF(E1023=1,Orders!O1020,"")</f>
        <v/>
      </c>
      <c r="AL1023" s="33" t="str">
        <f>IF(E1023=1,IF(ROUND(ABS(AI1023+AJ1023+AK1023-AH1023),6)&lt;=0.1,1,0),"")</f>
        <v/>
      </c>
      <c r="AM1023" s="36" t="str">
        <f>IF(E1023=1,AI1023/AH1023,"")</f>
        <v/>
      </c>
      <c r="AN1023" s="36" t="str">
        <f>IF(E1023=1,AJ1023/AH1023,"")</f>
        <v/>
      </c>
      <c r="AO1023" s="36" t="str">
        <f>IF(E1023=1,AK1023/AH1023,"")</f>
        <v/>
      </c>
      <c r="AP1023" s="34" t="str">
        <f>IF(E1023=1,Orders!Y1020,"")</f>
        <v/>
      </c>
      <c r="AQ1023" s="33">
        <f>IF(Orders!X1020,1,0)</f>
        <v>0</v>
      </c>
      <c r="AR1023" s="34" t="str">
        <f>IF(AND(E1023=1,L1023=1),AJ1023,"")</f>
        <v/>
      </c>
      <c r="AS1023" s="34" t="str">
        <f>IF(AND(E1023=1,L1023=0),AJ1023,"")</f>
        <v/>
      </c>
      <c r="AT1023" s="34" t="str">
        <f>IF(AND(E1023=1,L1023=1),AI1023,"")</f>
        <v/>
      </c>
      <c r="AU1023" s="34" t="str">
        <f>IF(AND(E1023=1,L1023=0),AI1023,"")</f>
        <v/>
      </c>
      <c r="AV1023" s="34" t="str">
        <f>IF(AND(E1023=1,L1023=1),AG1023,"")</f>
        <v/>
      </c>
      <c r="AW1023" s="34" t="str">
        <f>IF(AND(E1023=1,L1023=0),AG1023,"")</f>
        <v/>
      </c>
      <c r="AX1023" s="34" t="str">
        <f>IF(AND(E1023=1,L1023=1),AH1023,"")</f>
        <v/>
      </c>
      <c r="AY1023" s="34" t="str">
        <f>IF(AND(E1023=1,L1023=0),AH1023,"")</f>
        <v/>
      </c>
      <c r="AZ1023" s="34" t="str">
        <f>IF(G1023=1,F1023,"")</f>
        <v/>
      </c>
      <c r="BA1023" s="34" t="str">
        <f>IF(AND(G1023=1,L1023=1),F1023,"")</f>
        <v/>
      </c>
      <c r="BB1023" s="34" t="str">
        <f>IF(AND(G1023=1,L1023=0),F1023,"")</f>
        <v/>
      </c>
      <c r="BC1023" s="33" t="str">
        <f>IF(E1023=1,IF(Orders!R1020&gt;3,1,0),"")</f>
        <v/>
      </c>
      <c r="BD1023" s="33" t="str">
        <f>IF(E1023=1,IF(Orders!R1020&gt;7,1,0),"")</f>
        <v/>
      </c>
      <c r="BE1023" s="32" t="str">
        <f>IF(E1023=1,IF(Orders!L1020&lt;=1.5,"Up to 1.5 km",IF(Orders!L1020&lt;=3,"1.5–3 km","Over 3 km")),"")</f>
        <v/>
      </c>
      <c r="BF1023" s="33" t="str">
        <f>IF(E1023=1,IF(ABS((Orders!G1020-Orders!F1020)*1440-Orders!R1020)&lt;0.06,1,0),"")</f>
        <v/>
      </c>
      <c r="BG1023" s="33">
        <f>IF(ABS((Orders!F1020-Orders!E1020)*1440-Orders!P1020)&lt;0.06,1,0)</f>
        <v>1</v>
      </c>
      <c r="BH1023" s="33" t="str">
        <f>IF(E1023=1,IF(IF(Orders!S1020,1,0)=1-G1023,1,0),"")</f>
        <v/>
      </c>
      <c r="BI1023" s="32" t="str">
        <f>INDEX(Stores!$B$2:$B$21,MATCH(B1023,Stores!$A$2:$A$21,0))</f>
        <v>Mumbai</v>
      </c>
    </row>
    <row r="1024">
      <c r="A1024" s="32" t="str">
        <f>Orders!A1021</f>
        <v>O01020</v>
      </c>
      <c r="B1024" s="32" t="str">
        <f>Orders!C1021</f>
        <v>S008</v>
      </c>
      <c r="C1024" s="32" t="str">
        <f>Orders!B1021</f>
        <v>C0230</v>
      </c>
      <c r="D1024" s="32" t="str">
        <f>Orders!H1021</f>
        <v>Delivered</v>
      </c>
      <c r="E1024" s="33">
        <f>IF(Orders!H1021="Delivered",1,0)</f>
        <v>1</v>
      </c>
      <c r="F1024" s="34">
        <f>IF(E1024=1,Orders!R1021,"")</f>
        <v>12.6</v>
      </c>
      <c r="G1024" s="33">
        <f>IF(E1024=1,IF(Orders!R1021&gt;0,1,0),"")</f>
        <v>1</v>
      </c>
      <c r="H1024" s="33">
        <f>IF(E1024=1,IF(Orders!R1021&gt;5,1,0),"")</f>
        <v>1</v>
      </c>
      <c r="I1024" s="32" t="str">
        <f>IF(E1024=1,"",IF(OR(Orders!T1021="Rider unavailable",Orders!T1021="Item unavailable"),"Company-caused","Unresolved"))</f>
        <v/>
      </c>
      <c r="J1024" s="33">
        <f>IF(OR(E1024=1,I1024="Company-caused"),1,0)</f>
        <v>1</v>
      </c>
      <c r="K1024" s="32" t="str">
        <f>IF(E1024=0,IF(I1024="Company-caused",IF(Orders!T1021="Rider unavailable","C1 Rider unavailable","C2 Item unavailable"),"Outside root: unresolved"),IF(G1024=0,"A On time",IF(H1024=1,IF(L1024=1,"B2a Severe, peak","B2b Severe, off-peak"),IF(L1024=1,"B1a Slight, peak","B1b Slight, off-peak"))))</f>
        <v>B2a Severe, peak</v>
      </c>
      <c r="L1024" s="33">
        <f>IF(AND(Orders!U1021&gt;=19,Orders!U1021&lt;22),1,0)</f>
        <v>1</v>
      </c>
      <c r="M1024" s="33">
        <f>IF(L1024=IF(Orders!V1021,1,0),1,0)</f>
        <v>1</v>
      </c>
      <c r="N1024" s="32" t="str">
        <f>IF(Orders!W1021="","None",Orders!W1021)</f>
        <v>Light</v>
      </c>
      <c r="O1024" s="35">
        <f>INT(Orders!E1021)</f>
        <v>46277.0</v>
      </c>
      <c r="P1024" s="33">
        <f>Orders!U1021</f>
        <v>20</v>
      </c>
      <c r="Q1024" s="33">
        <f>COUNTIFS(Demand!$A$2:$A$4481,B1024,Demand!$B$2:$B$4481,O1024,Demand!$C$2:$C$4481,P1024)</f>
        <v>1</v>
      </c>
      <c r="R1024" s="33">
        <f>IF(Q1024=1,SUMIFS(Demand!$E$2:$E$4481,Demand!$A$2:$A$4481,B1024,Demand!$B$2:$B$4481,O1024,Demand!$C$2:$C$4481,P1024),"")</f>
        <v>36</v>
      </c>
      <c r="S1024" s="33">
        <f>INDEX(Stores!$G$2:$G$21,MATCH(B1024,Stores!$A$2:$A$21,0))</f>
        <v>23</v>
      </c>
      <c r="T1024" s="34">
        <f>IF(R1024="","",R1024/S1024)</f>
        <v>1.56521739130435</v>
      </c>
      <c r="U1024" s="34">
        <f>IF(E1024=1,T1024,"")</f>
        <v>1.56521739130435</v>
      </c>
      <c r="V1024" s="34" t="str">
        <f>IF(AND(E1024=1,L1024=0),T1024,"")</f>
        <v/>
      </c>
      <c r="W1024" s="33">
        <f>IF(U1024="","",IF(U1024&lt;=Breakdowns!$C$5,1,IF(U1024&lt;=Breakdowns!$C$6,2,IF(U1024&lt;=Breakdowns!$C$7,3,4))))</f>
        <v>4</v>
      </c>
      <c r="X1024" s="33" t="str">
        <f>IF(V1024="","",IF(V1024&lt;=Breakdowns!$D$5,1,IF(V1024&lt;=Breakdowns!$D$6,2,IF(V1024&lt;=Breakdowns!$D$7,3,4))))</f>
        <v/>
      </c>
      <c r="Y1024" s="34">
        <f>INDEX(Stores!$F$2:$F$21,MATCH(B1024,Stores!$A$2:$A$21,0))</f>
        <v>3.46</v>
      </c>
      <c r="Z1024" s="33">
        <f>IF(Y1024&gt;Store_Summary!$M$2,1,0)</f>
        <v>0</v>
      </c>
      <c r="AA1024" s="33">
        <f>INDEX(Stores!$C$2:$C$21,MATCH(B1024,Stores!$A$2:$A$21,0))</f>
        <v>825</v>
      </c>
      <c r="AB1024" s="33">
        <f>IF(AA1024&lt;180,1,0)</f>
        <v>0</v>
      </c>
      <c r="AC1024" s="32" t="str">
        <f>IF(Orders!D1021="","",INDEX(Riders!$C$2:$C$81,MATCH(Orders!D1021,Riders!$A$2:$A$81,0)))</f>
        <v>Bicycle</v>
      </c>
      <c r="AD1024" s="33">
        <f>IF(Orders!D1021="","",INDEX(Riders!$D$2:$D$81,MATCH(Orders!D1021,Riders!$A$2:$A$81,0)))</f>
        <v>2</v>
      </c>
      <c r="AE1024" s="33">
        <f>IF(Orders!D1021="","",IF(INDEX(Riders!$B$2:$B$81,MATCH(Orders!D1021,Riders!$A$2:$A$81,0))=B1024,1,0))</f>
        <v>0</v>
      </c>
      <c r="AF1024" s="34">
        <f>IF(E1024=1,Orders!L1021,"")</f>
        <v>3.06</v>
      </c>
      <c r="AG1024" s="34">
        <f>IF(E1024=1,Orders!P1021,"")</f>
        <v>9.7</v>
      </c>
      <c r="AH1024" s="34">
        <f>IF(E1024=1,Orders!Q1021,"")</f>
        <v>22.3</v>
      </c>
      <c r="AI1024" s="34">
        <f>IF(E1024=1,Orders!M1021,"")</f>
        <v>3.3</v>
      </c>
      <c r="AJ1024" s="34">
        <f>IF(E1024=1,Orders!N1021,"")</f>
        <v>9.1</v>
      </c>
      <c r="AK1024" s="34">
        <f>IF(E1024=1,Orders!O1021,"")</f>
        <v>9.9</v>
      </c>
      <c r="AL1024" s="33">
        <f>IF(E1024=1,IF(ROUND(ABS(AI1024+AJ1024+AK1024-AH1024),6)&lt;=0.1,1,0),"")</f>
        <v>1</v>
      </c>
      <c r="AM1024" s="36">
        <f>IF(E1024=1,AI1024/AH1024,"")</f>
        <v>0.147982062780269</v>
      </c>
      <c r="AN1024" s="36">
        <f>IF(E1024=1,AJ1024/AH1024,"")</f>
        <v>0.408071748878924</v>
      </c>
      <c r="AO1024" s="36">
        <f>IF(E1024=1,AK1024/AH1024,"")</f>
        <v>0.443946188340807</v>
      </c>
      <c r="AP1024" s="34">
        <f>IF(E1024=1,Orders!Y1021,"")</f>
        <v>0.54</v>
      </c>
      <c r="AQ1024" s="33">
        <f>IF(Orders!X1021,1,0)</f>
        <v>0</v>
      </c>
      <c r="AR1024" s="34">
        <f>IF(AND(E1024=1,L1024=1),AJ1024,"")</f>
        <v>9.1</v>
      </c>
      <c r="AS1024" s="34" t="str">
        <f>IF(AND(E1024=1,L1024=0),AJ1024,"")</f>
        <v/>
      </c>
      <c r="AT1024" s="34">
        <f>IF(AND(E1024=1,L1024=1),AI1024,"")</f>
        <v>3.3</v>
      </c>
      <c r="AU1024" s="34" t="str">
        <f>IF(AND(E1024=1,L1024=0),AI1024,"")</f>
        <v/>
      </c>
      <c r="AV1024" s="34">
        <f>IF(AND(E1024=1,L1024=1),AG1024,"")</f>
        <v>9.7</v>
      </c>
      <c r="AW1024" s="34" t="str">
        <f>IF(AND(E1024=1,L1024=0),AG1024,"")</f>
        <v/>
      </c>
      <c r="AX1024" s="34">
        <f>IF(AND(E1024=1,L1024=1),AH1024,"")</f>
        <v>22.3</v>
      </c>
      <c r="AY1024" s="34" t="str">
        <f>IF(AND(E1024=1,L1024=0),AH1024,"")</f>
        <v/>
      </c>
      <c r="AZ1024" s="34">
        <f>IF(G1024=1,F1024,"")</f>
        <v>12.6</v>
      </c>
      <c r="BA1024" s="34">
        <f>IF(AND(G1024=1,L1024=1),F1024,"")</f>
        <v>12.6</v>
      </c>
      <c r="BB1024" s="34" t="str">
        <f>IF(AND(G1024=1,L1024=0),F1024,"")</f>
        <v/>
      </c>
      <c r="BC1024" s="33">
        <f>IF(E1024=1,IF(Orders!R1021&gt;3,1,0),"")</f>
        <v>1</v>
      </c>
      <c r="BD1024" s="33">
        <f>IF(E1024=1,IF(Orders!R1021&gt;7,1,0),"")</f>
        <v>1</v>
      </c>
      <c r="BE1024" s="32" t="str">
        <f>IF(E1024=1,IF(Orders!L1021&lt;=1.5,"Up to 1.5 km",IF(Orders!L1021&lt;=3,"1.5–3 km","Over 3 km")),"")</f>
        <v>Over 3 km</v>
      </c>
      <c r="BF1024" s="33">
        <f>IF(E1024=1,IF(ABS((Orders!G1021-Orders!F1021)*1440-Orders!R1021)&lt;0.06,1,0),"")</f>
        <v>1</v>
      </c>
      <c r="BG1024" s="33">
        <f>IF(ABS((Orders!F1021-Orders!E1021)*1440-Orders!P1021)&lt;0.06,1,0)</f>
        <v>1</v>
      </c>
      <c r="BH1024" s="33">
        <f>IF(E1024=1,IF(IF(Orders!S1021,1,0)=1-G1024,1,0),"")</f>
        <v>1</v>
      </c>
      <c r="BI1024" s="32" t="str">
        <f>INDEX(Stores!$B$2:$B$21,MATCH(B1024,Stores!$A$2:$A$21,0))</f>
        <v>Mumbai</v>
      </c>
    </row>
    <row r="1025">
      <c r="A1025" s="32" t="str">
        <f>Orders!A1022</f>
        <v>O01021</v>
      </c>
      <c r="B1025" s="32" t="str">
        <f>Orders!C1022</f>
        <v>S019</v>
      </c>
      <c r="C1025" s="32" t="str">
        <f>Orders!B1022</f>
        <v>C0202</v>
      </c>
      <c r="D1025" s="32" t="str">
        <f>Orders!H1022</f>
        <v>Delivered</v>
      </c>
      <c r="E1025" s="33">
        <f>IF(Orders!H1022="Delivered",1,0)</f>
        <v>1</v>
      </c>
      <c r="F1025" s="34">
        <f>IF(E1025=1,Orders!R1022,"")</f>
        <v>-0.3</v>
      </c>
      <c r="G1025" s="33">
        <f>IF(E1025=1,IF(Orders!R1022&gt;0,1,0),"")</f>
        <v>0</v>
      </c>
      <c r="H1025" s="33">
        <f>IF(E1025=1,IF(Orders!R1022&gt;5,1,0),"")</f>
        <v>0</v>
      </c>
      <c r="I1025" s="32" t="str">
        <f>IF(E1025=1,"",IF(OR(Orders!T1022="Rider unavailable",Orders!T1022="Item unavailable"),"Company-caused","Unresolved"))</f>
        <v/>
      </c>
      <c r="J1025" s="33">
        <f>IF(OR(E1025=1,I1025="Company-caused"),1,0)</f>
        <v>1</v>
      </c>
      <c r="K1025" s="32" t="str">
        <f>IF(E1025=0,IF(I1025="Company-caused",IF(Orders!T1022="Rider unavailable","C1 Rider unavailable","C2 Item unavailable"),"Outside root: unresolved"),IF(G1025=0,"A On time",IF(H1025=1,IF(L1025=1,"B2a Severe, peak","B2b Severe, off-peak"),IF(L1025=1,"B1a Slight, peak","B1b Slight, off-peak"))))</f>
        <v>A On time</v>
      </c>
      <c r="L1025" s="33">
        <f>IF(AND(Orders!U1022&gt;=19,Orders!U1022&lt;22),1,0)</f>
        <v>0</v>
      </c>
      <c r="M1025" s="33">
        <f>IF(L1025=IF(Orders!V1022,1,0),1,0)</f>
        <v>1</v>
      </c>
      <c r="N1025" s="32" t="str">
        <f>IF(Orders!W1022="","None",Orders!W1022)</f>
        <v>Light</v>
      </c>
      <c r="O1025" s="35">
        <f>INT(Orders!E1022)</f>
        <v>46271.0</v>
      </c>
      <c r="P1025" s="33">
        <f>Orders!U1022</f>
        <v>11</v>
      </c>
      <c r="Q1025" s="33">
        <f>COUNTIFS(Demand!$A$2:$A$4481,B1025,Demand!$B$2:$B$4481,O1025,Demand!$C$2:$C$4481,P1025)</f>
        <v>1</v>
      </c>
      <c r="R1025" s="33">
        <f>IF(Q1025=1,SUMIFS(Demand!$E$2:$E$4481,Demand!$A$2:$A$4481,B1025,Demand!$B$2:$B$4481,O1025,Demand!$C$2:$C$4481,P1025),"")</f>
        <v>21</v>
      </c>
      <c r="S1025" s="33">
        <f>INDEX(Stores!$G$2:$G$21,MATCH(B1025,Stores!$A$2:$A$21,0))</f>
        <v>22</v>
      </c>
      <c r="T1025" s="34">
        <f>IF(R1025="","",R1025/S1025)</f>
        <v>0.954545454545455</v>
      </c>
      <c r="U1025" s="34">
        <f>IF(E1025=1,T1025,"")</f>
        <v>0.954545454545455</v>
      </c>
      <c r="V1025" s="34">
        <f>IF(AND(E1025=1,L1025=0),T1025,"")</f>
        <v>0.954545454545455</v>
      </c>
      <c r="W1025" s="33">
        <f>IF(U1025="","",IF(U1025&lt;=Breakdowns!$C$5,1,IF(U1025&lt;=Breakdowns!$C$6,2,IF(U1025&lt;=Breakdowns!$C$7,3,4))))</f>
        <v>2</v>
      </c>
      <c r="X1025" s="33">
        <f>IF(V1025="","",IF(V1025&lt;=Breakdowns!$D$5,1,IF(V1025&lt;=Breakdowns!$D$6,2,IF(V1025&lt;=Breakdowns!$D$7,3,4))))</f>
        <v>3</v>
      </c>
      <c r="Y1025" s="34">
        <f>INDEX(Stores!$F$2:$F$21,MATCH(B1025,Stores!$A$2:$A$21,0))</f>
        <v>4.99</v>
      </c>
      <c r="Z1025" s="33">
        <f>IF(Y1025&gt;Store_Summary!$M$2,1,0)</f>
        <v>1</v>
      </c>
      <c r="AA1025" s="33">
        <f>INDEX(Stores!$C$2:$C$21,MATCH(B1025,Stores!$A$2:$A$21,0))</f>
        <v>851</v>
      </c>
      <c r="AB1025" s="33">
        <f>IF(AA1025&lt;180,1,0)</f>
        <v>0</v>
      </c>
      <c r="AC1025" s="32" t="str">
        <f>IF(Orders!D1022="","",INDEX(Riders!$C$2:$C$81,MATCH(Orders!D1022,Riders!$A$2:$A$81,0)))</f>
        <v>EV scooter</v>
      </c>
      <c r="AD1025" s="33">
        <f>IF(Orders!D1022="","",INDEX(Riders!$D$2:$D$81,MATCH(Orders!D1022,Riders!$A$2:$A$81,0)))</f>
        <v>36</v>
      </c>
      <c r="AE1025" s="33">
        <f>IF(Orders!D1022="","",IF(INDEX(Riders!$B$2:$B$81,MATCH(Orders!D1022,Riders!$A$2:$A$81,0))=B1025,1,0))</f>
        <v>0</v>
      </c>
      <c r="AF1025" s="34">
        <f>IF(E1025=1,Orders!L1022,"")</f>
        <v>2.5</v>
      </c>
      <c r="AG1025" s="34">
        <f>IF(E1025=1,Orders!P1022,"")</f>
        <v>11.2</v>
      </c>
      <c r="AH1025" s="34">
        <f>IF(E1025=1,Orders!Q1022,"")</f>
        <v>10.9</v>
      </c>
      <c r="AI1025" s="34">
        <f>IF(E1025=1,Orders!M1022,"")</f>
        <v>3.3</v>
      </c>
      <c r="AJ1025" s="34">
        <f>IF(E1025=1,Orders!N1022,"")</f>
        <v>2.6</v>
      </c>
      <c r="AK1025" s="34">
        <f>IF(E1025=1,Orders!O1022,"")</f>
        <v>5</v>
      </c>
      <c r="AL1025" s="33">
        <f>IF(E1025=1,IF(ROUND(ABS(AI1025+AJ1025+AK1025-AH1025),6)&lt;=0.1,1,0),"")</f>
        <v>1</v>
      </c>
      <c r="AM1025" s="36">
        <f>IF(E1025=1,AI1025/AH1025,"")</f>
        <v>0.302752293577982</v>
      </c>
      <c r="AN1025" s="36">
        <f>IF(E1025=1,AJ1025/AH1025,"")</f>
        <v>0.238532110091743</v>
      </c>
      <c r="AO1025" s="36">
        <f>IF(E1025=1,AK1025/AH1025,"")</f>
        <v>0.458715596330275</v>
      </c>
      <c r="AP1025" s="34">
        <f>IF(E1025=1,Orders!Y1022,"")</f>
        <v>0.51</v>
      </c>
      <c r="AQ1025" s="33">
        <f>IF(Orders!X1022,1,0)</f>
        <v>0</v>
      </c>
      <c r="AR1025" s="34" t="str">
        <f>IF(AND(E1025=1,L1025=1),AJ1025,"")</f>
        <v/>
      </c>
      <c r="AS1025" s="34">
        <f>IF(AND(E1025=1,L1025=0),AJ1025,"")</f>
        <v>2.6</v>
      </c>
      <c r="AT1025" s="34" t="str">
        <f>IF(AND(E1025=1,L1025=1),AI1025,"")</f>
        <v/>
      </c>
      <c r="AU1025" s="34">
        <f>IF(AND(E1025=1,L1025=0),AI1025,"")</f>
        <v>3.3</v>
      </c>
      <c r="AV1025" s="34" t="str">
        <f>IF(AND(E1025=1,L1025=1),AG1025,"")</f>
        <v/>
      </c>
      <c r="AW1025" s="34">
        <f>IF(AND(E1025=1,L1025=0),AG1025,"")</f>
        <v>11.2</v>
      </c>
      <c r="AX1025" s="34" t="str">
        <f>IF(AND(E1025=1,L1025=1),AH1025,"")</f>
        <v/>
      </c>
      <c r="AY1025" s="34">
        <f>IF(AND(E1025=1,L1025=0),AH1025,"")</f>
        <v>10.9</v>
      </c>
      <c r="AZ1025" s="34" t="str">
        <f>IF(G1025=1,F1025,"")</f>
        <v/>
      </c>
      <c r="BA1025" s="34" t="str">
        <f>IF(AND(G1025=1,L1025=1),F1025,"")</f>
        <v/>
      </c>
      <c r="BB1025" s="34" t="str">
        <f>IF(AND(G1025=1,L1025=0),F1025,"")</f>
        <v/>
      </c>
      <c r="BC1025" s="33">
        <f>IF(E1025=1,IF(Orders!R1022&gt;3,1,0),"")</f>
        <v>0</v>
      </c>
      <c r="BD1025" s="33">
        <f>IF(E1025=1,IF(Orders!R1022&gt;7,1,0),"")</f>
        <v>0</v>
      </c>
      <c r="BE1025" s="32" t="str">
        <f>IF(E1025=1,IF(Orders!L1022&lt;=1.5,"Up to 1.5 km",IF(Orders!L1022&lt;=3,"1.5–3 km","Over 3 km")),"")</f>
        <v>1.5–3 km</v>
      </c>
      <c r="BF1025" s="33">
        <f>IF(E1025=1,IF(ABS((Orders!G1022-Orders!F1022)*1440-Orders!R1022)&lt;0.06,1,0),"")</f>
        <v>1</v>
      </c>
      <c r="BG1025" s="33">
        <f>IF(ABS((Orders!F1022-Orders!E1022)*1440-Orders!P1022)&lt;0.06,1,0)</f>
        <v>1</v>
      </c>
      <c r="BH1025" s="33">
        <f>IF(E1025=1,IF(IF(Orders!S1022,1,0)=1-G1025,1,0),"")</f>
        <v>1</v>
      </c>
      <c r="BI1025" s="32" t="str">
        <f>INDEX(Stores!$B$2:$B$21,MATCH(B1025,Stores!$A$2:$A$21,0))</f>
        <v>Pune</v>
      </c>
    </row>
    <row r="1026">
      <c r="A1026" s="32" t="str">
        <f>Orders!A1023</f>
        <v>O01022</v>
      </c>
      <c r="B1026" s="32" t="str">
        <f>Orders!C1023</f>
        <v>S007</v>
      </c>
      <c r="C1026" s="32" t="str">
        <f>Orders!B1023</f>
        <v>C0034</v>
      </c>
      <c r="D1026" s="32" t="str">
        <f>Orders!H1023</f>
        <v>Delivered</v>
      </c>
      <c r="E1026" s="33">
        <f>IF(Orders!H1023="Delivered",1,0)</f>
        <v>1</v>
      </c>
      <c r="F1026" s="34">
        <f>IF(E1026=1,Orders!R1023,"")</f>
        <v>-0.7</v>
      </c>
      <c r="G1026" s="33">
        <f>IF(E1026=1,IF(Orders!R1023&gt;0,1,0),"")</f>
        <v>0</v>
      </c>
      <c r="H1026" s="33">
        <f>IF(E1026=1,IF(Orders!R1023&gt;5,1,0),"")</f>
        <v>0</v>
      </c>
      <c r="I1026" s="32" t="str">
        <f>IF(E1026=1,"",IF(OR(Orders!T1023="Rider unavailable",Orders!T1023="Item unavailable"),"Company-caused","Unresolved"))</f>
        <v/>
      </c>
      <c r="J1026" s="33">
        <f>IF(OR(E1026=1,I1026="Company-caused"),1,0)</f>
        <v>1</v>
      </c>
      <c r="K1026" s="32" t="str">
        <f>IF(E1026=0,IF(I1026="Company-caused",IF(Orders!T1023="Rider unavailable","C1 Rider unavailable","C2 Item unavailable"),"Outside root: unresolved"),IF(G1026=0,"A On time",IF(H1026=1,IF(L1026=1,"B2a Severe, peak","B2b Severe, off-peak"),IF(L1026=1,"B1a Slight, peak","B1b Slight, off-peak"))))</f>
        <v>A On time</v>
      </c>
      <c r="L1026" s="33">
        <f>IF(AND(Orders!U1023&gt;=19,Orders!U1023&lt;22),1,0)</f>
        <v>0</v>
      </c>
      <c r="M1026" s="33">
        <f>IF(L1026=IF(Orders!V1023,1,0),1,0)</f>
        <v>1</v>
      </c>
      <c r="N1026" s="32" t="str">
        <f>IF(Orders!W1023="","None",Orders!W1023)</f>
        <v>None</v>
      </c>
      <c r="O1026" s="35">
        <f>INT(Orders!E1023)</f>
        <v>46267.0</v>
      </c>
      <c r="P1026" s="33">
        <f>Orders!U1023</f>
        <v>12</v>
      </c>
      <c r="Q1026" s="33">
        <f>COUNTIFS(Demand!$A$2:$A$4481,B1026,Demand!$B$2:$B$4481,O1026,Demand!$C$2:$C$4481,P1026)</f>
        <v>1</v>
      </c>
      <c r="R1026" s="33">
        <f>IF(Q1026=1,SUMIFS(Demand!$E$2:$E$4481,Demand!$A$2:$A$4481,B1026,Demand!$B$2:$B$4481,O1026,Demand!$C$2:$C$4481,P1026),"")</f>
        <v>36</v>
      </c>
      <c r="S1026" s="33">
        <f>INDEX(Stores!$G$2:$G$21,MATCH(B1026,Stores!$A$2:$A$21,0))</f>
        <v>37</v>
      </c>
      <c r="T1026" s="34">
        <f>IF(R1026="","",R1026/S1026)</f>
        <v>0.972972972972973</v>
      </c>
      <c r="U1026" s="34">
        <f>IF(E1026=1,T1026,"")</f>
        <v>0.972972972972973</v>
      </c>
      <c r="V1026" s="34">
        <f>IF(AND(E1026=1,L1026=0),T1026,"")</f>
        <v>0.972972972972973</v>
      </c>
      <c r="W1026" s="33">
        <f>IF(U1026="","",IF(U1026&lt;=Breakdowns!$C$5,1,IF(U1026&lt;=Breakdowns!$C$6,2,IF(U1026&lt;=Breakdowns!$C$7,3,4))))</f>
        <v>2</v>
      </c>
      <c r="X1026" s="33">
        <f>IF(V1026="","",IF(V1026&lt;=Breakdowns!$D$5,1,IF(V1026&lt;=Breakdowns!$D$6,2,IF(V1026&lt;=Breakdowns!$D$7,3,4))))</f>
        <v>3</v>
      </c>
      <c r="Y1026" s="34">
        <f>INDEX(Stores!$F$2:$F$21,MATCH(B1026,Stores!$A$2:$A$21,0))</f>
        <v>4.05</v>
      </c>
      <c r="Z1026" s="33">
        <f>IF(Y1026&gt;Store_Summary!$M$2,1,0)</f>
        <v>0</v>
      </c>
      <c r="AA1026" s="33">
        <f>INDEX(Stores!$C$2:$C$21,MATCH(B1026,Stores!$A$2:$A$21,0))</f>
        <v>661</v>
      </c>
      <c r="AB1026" s="33">
        <f>IF(AA1026&lt;180,1,0)</f>
        <v>0</v>
      </c>
      <c r="AC1026" s="32" t="str">
        <f>IF(Orders!D1023="","",INDEX(Riders!$C$2:$C$81,MATCH(Orders!D1023,Riders!$A$2:$A$81,0)))</f>
        <v>EV scooter</v>
      </c>
      <c r="AD1026" s="33">
        <f>IF(Orders!D1023="","",INDEX(Riders!$D$2:$D$81,MATCH(Orders!D1023,Riders!$A$2:$A$81,0)))</f>
        <v>30</v>
      </c>
      <c r="AE1026" s="33">
        <f>IF(Orders!D1023="","",IF(INDEX(Riders!$B$2:$B$81,MATCH(Orders!D1023,Riders!$A$2:$A$81,0))=B1026,1,0))</f>
        <v>0</v>
      </c>
      <c r="AF1026" s="34">
        <f>IF(E1026=1,Orders!L1023,"")</f>
        <v>4.4</v>
      </c>
      <c r="AG1026" s="34">
        <f>IF(E1026=1,Orders!P1023,"")</f>
        <v>10.4</v>
      </c>
      <c r="AH1026" s="34">
        <f>IF(E1026=1,Orders!Q1023,"")</f>
        <v>9.7</v>
      </c>
      <c r="AI1026" s="34">
        <f>IF(E1026=1,Orders!M1023,"")</f>
        <v>2.2</v>
      </c>
      <c r="AJ1026" s="34">
        <f>IF(E1026=1,Orders!N1023,"")</f>
        <v>3</v>
      </c>
      <c r="AK1026" s="34">
        <f>IF(E1026=1,Orders!O1023,"")</f>
        <v>4.5</v>
      </c>
      <c r="AL1026" s="33">
        <f>IF(E1026=1,IF(ROUND(ABS(AI1026+AJ1026+AK1026-AH1026),6)&lt;=0.1,1,0),"")</f>
        <v>1</v>
      </c>
      <c r="AM1026" s="36">
        <f>IF(E1026=1,AI1026/AH1026,"")</f>
        <v>0.22680412371134</v>
      </c>
      <c r="AN1026" s="36">
        <f>IF(E1026=1,AJ1026/AH1026,"")</f>
        <v>0.309278350515464</v>
      </c>
      <c r="AO1026" s="36">
        <f>IF(E1026=1,AK1026/AH1026,"")</f>
        <v>0.463917525773196</v>
      </c>
      <c r="AP1026" s="34">
        <f>IF(E1026=1,Orders!Y1023,"")</f>
        <v>0.82</v>
      </c>
      <c r="AQ1026" s="33">
        <f>IF(Orders!X1023,1,0)</f>
        <v>0</v>
      </c>
      <c r="AR1026" s="34" t="str">
        <f>IF(AND(E1026=1,L1026=1),AJ1026,"")</f>
        <v/>
      </c>
      <c r="AS1026" s="34">
        <f>IF(AND(E1026=1,L1026=0),AJ1026,"")</f>
        <v>3</v>
      </c>
      <c r="AT1026" s="34" t="str">
        <f>IF(AND(E1026=1,L1026=1),AI1026,"")</f>
        <v/>
      </c>
      <c r="AU1026" s="34">
        <f>IF(AND(E1026=1,L1026=0),AI1026,"")</f>
        <v>2.2</v>
      </c>
      <c r="AV1026" s="34" t="str">
        <f>IF(AND(E1026=1,L1026=1),AG1026,"")</f>
        <v/>
      </c>
      <c r="AW1026" s="34">
        <f>IF(AND(E1026=1,L1026=0),AG1026,"")</f>
        <v>10.4</v>
      </c>
      <c r="AX1026" s="34" t="str">
        <f>IF(AND(E1026=1,L1026=1),AH1026,"")</f>
        <v/>
      </c>
      <c r="AY1026" s="34">
        <f>IF(AND(E1026=1,L1026=0),AH1026,"")</f>
        <v>9.7</v>
      </c>
      <c r="AZ1026" s="34" t="str">
        <f>IF(G1026=1,F1026,"")</f>
        <v/>
      </c>
      <c r="BA1026" s="34" t="str">
        <f>IF(AND(G1026=1,L1026=1),F1026,"")</f>
        <v/>
      </c>
      <c r="BB1026" s="34" t="str">
        <f>IF(AND(G1026=1,L1026=0),F1026,"")</f>
        <v/>
      </c>
      <c r="BC1026" s="33">
        <f>IF(E1026=1,IF(Orders!R1023&gt;3,1,0),"")</f>
        <v>0</v>
      </c>
      <c r="BD1026" s="33">
        <f>IF(E1026=1,IF(Orders!R1023&gt;7,1,0),"")</f>
        <v>0</v>
      </c>
      <c r="BE1026" s="32" t="str">
        <f>IF(E1026=1,IF(Orders!L1023&lt;=1.5,"Up to 1.5 km",IF(Orders!L1023&lt;=3,"1.5–3 km","Over 3 km")),"")</f>
        <v>Over 3 km</v>
      </c>
      <c r="BF1026" s="33">
        <f>IF(E1026=1,IF(ABS((Orders!G1023-Orders!F1023)*1440-Orders!R1023)&lt;0.06,1,0),"")</f>
        <v>1</v>
      </c>
      <c r="BG1026" s="33">
        <f>IF(ABS((Orders!F1023-Orders!E1023)*1440-Orders!P1023)&lt;0.06,1,0)</f>
        <v>1</v>
      </c>
      <c r="BH1026" s="33">
        <f>IF(E1026=1,IF(IF(Orders!S1023,1,0)=1-G1026,1,0),"")</f>
        <v>1</v>
      </c>
      <c r="BI1026" s="32" t="str">
        <f>INDEX(Stores!$B$2:$B$21,MATCH(B1026,Stores!$A$2:$A$21,0))</f>
        <v>Hyderabad</v>
      </c>
    </row>
    <row r="1027">
      <c r="A1027" s="32" t="str">
        <f>Orders!A1024</f>
        <v>O01023</v>
      </c>
      <c r="B1027" s="32" t="str">
        <f>Orders!C1024</f>
        <v>S009</v>
      </c>
      <c r="C1027" s="32" t="str">
        <f>Orders!B1024</f>
        <v>C0054</v>
      </c>
      <c r="D1027" s="32" t="str">
        <f>Orders!H1024</f>
        <v>Delivered</v>
      </c>
      <c r="E1027" s="33">
        <f>IF(Orders!H1024="Delivered",1,0)</f>
        <v>1</v>
      </c>
      <c r="F1027" s="34">
        <f>IF(E1027=1,Orders!R1024,"")</f>
        <v>3</v>
      </c>
      <c r="G1027" s="33">
        <f>IF(E1027=1,IF(Orders!R1024&gt;0,1,0),"")</f>
        <v>1</v>
      </c>
      <c r="H1027" s="33">
        <f>IF(E1027=1,IF(Orders!R1024&gt;5,1,0),"")</f>
        <v>0</v>
      </c>
      <c r="I1027" s="32" t="str">
        <f>IF(E1027=1,"",IF(OR(Orders!T1024="Rider unavailable",Orders!T1024="Item unavailable"),"Company-caused","Unresolved"))</f>
        <v/>
      </c>
      <c r="J1027" s="33">
        <f>IF(OR(E1027=1,I1027="Company-caused"),1,0)</f>
        <v>1</v>
      </c>
      <c r="K1027" s="32" t="str">
        <f>IF(E1027=0,IF(I1027="Company-caused",IF(Orders!T1024="Rider unavailable","C1 Rider unavailable","C2 Item unavailable"),"Outside root: unresolved"),IF(G1027=0,"A On time",IF(H1027=1,IF(L1027=1,"B2a Severe, peak","B2b Severe, off-peak"),IF(L1027=1,"B1a Slight, peak","B1b Slight, off-peak"))))</f>
        <v>B1b Slight, off-peak</v>
      </c>
      <c r="L1027" s="33">
        <f>IF(AND(Orders!U1024&gt;=19,Orders!U1024&lt;22),1,0)</f>
        <v>0</v>
      </c>
      <c r="M1027" s="33">
        <f>IF(L1027=IF(Orders!V1024,1,0),1,0)</f>
        <v>1</v>
      </c>
      <c r="N1027" s="32" t="str">
        <f>IF(Orders!W1024="","None",Orders!W1024)</f>
        <v>Heavy</v>
      </c>
      <c r="O1027" s="35">
        <f>INT(Orders!E1024)</f>
        <v>46275.0</v>
      </c>
      <c r="P1027" s="33">
        <f>Orders!U1024</f>
        <v>18</v>
      </c>
      <c r="Q1027" s="33">
        <f>COUNTIFS(Demand!$A$2:$A$4481,B1027,Demand!$B$2:$B$4481,O1027,Demand!$C$2:$C$4481,P1027)</f>
        <v>1</v>
      </c>
      <c r="R1027" s="33">
        <f>IF(Q1027=1,SUMIFS(Demand!$E$2:$E$4481,Demand!$A$2:$A$4481,B1027,Demand!$B$2:$B$4481,O1027,Demand!$C$2:$C$4481,P1027),"")</f>
        <v>32</v>
      </c>
      <c r="S1027" s="33">
        <f>INDEX(Stores!$G$2:$G$21,MATCH(B1027,Stores!$A$2:$A$21,0))</f>
        <v>29</v>
      </c>
      <c r="T1027" s="34">
        <f>IF(R1027="","",R1027/S1027)</f>
        <v>1.10344827586207</v>
      </c>
      <c r="U1027" s="34">
        <f>IF(E1027=1,T1027,"")</f>
        <v>1.10344827586207</v>
      </c>
      <c r="V1027" s="34">
        <f>IF(AND(E1027=1,L1027=0),T1027,"")</f>
        <v>1.10344827586207</v>
      </c>
      <c r="W1027" s="33">
        <f>IF(U1027="","",IF(U1027&lt;=Breakdowns!$C$5,1,IF(U1027&lt;=Breakdowns!$C$6,2,IF(U1027&lt;=Breakdowns!$C$7,3,4))))</f>
        <v>3</v>
      </c>
      <c r="X1027" s="33">
        <f>IF(V1027="","",IF(V1027&lt;=Breakdowns!$D$5,1,IF(V1027&lt;=Breakdowns!$D$6,2,IF(V1027&lt;=Breakdowns!$D$7,3,4))))</f>
        <v>4</v>
      </c>
      <c r="Y1027" s="34">
        <f>INDEX(Stores!$F$2:$F$21,MATCH(B1027,Stores!$A$2:$A$21,0))</f>
        <v>2.66</v>
      </c>
      <c r="Z1027" s="33">
        <f>IF(Y1027&gt;Store_Summary!$M$2,1,0)</f>
        <v>0</v>
      </c>
      <c r="AA1027" s="33">
        <f>INDEX(Stores!$C$2:$C$21,MATCH(B1027,Stores!$A$2:$A$21,0))</f>
        <v>645</v>
      </c>
      <c r="AB1027" s="33">
        <f>IF(AA1027&lt;180,1,0)</f>
        <v>0</v>
      </c>
      <c r="AC1027" s="32" t="str">
        <f>IF(Orders!D1024="","",INDEX(Riders!$C$2:$C$81,MATCH(Orders!D1024,Riders!$A$2:$A$81,0)))</f>
        <v>EV scooter</v>
      </c>
      <c r="AD1027" s="33">
        <f>IF(Orders!D1024="","",INDEX(Riders!$D$2:$D$81,MATCH(Orders!D1024,Riders!$A$2:$A$81,0)))</f>
        <v>27</v>
      </c>
      <c r="AE1027" s="33">
        <f>IF(Orders!D1024="","",IF(INDEX(Riders!$B$2:$B$81,MATCH(Orders!D1024,Riders!$A$2:$A$81,0))=B1027,1,0))</f>
        <v>0</v>
      </c>
      <c r="AF1027" s="34">
        <f>IF(E1027=1,Orders!L1024,"")</f>
        <v>1.55</v>
      </c>
      <c r="AG1027" s="34">
        <f>IF(E1027=1,Orders!P1024,"")</f>
        <v>8.8</v>
      </c>
      <c r="AH1027" s="34">
        <f>IF(E1027=1,Orders!Q1024,"")</f>
        <v>11.8</v>
      </c>
      <c r="AI1027" s="34">
        <f>IF(E1027=1,Orders!M1024,"")</f>
        <v>1.7</v>
      </c>
      <c r="AJ1027" s="34">
        <f>IF(E1027=1,Orders!N1024,"")</f>
        <v>4.6</v>
      </c>
      <c r="AK1027" s="34">
        <f>IF(E1027=1,Orders!O1024,"")</f>
        <v>5.5</v>
      </c>
      <c r="AL1027" s="33">
        <f>IF(E1027=1,IF(ROUND(ABS(AI1027+AJ1027+AK1027-AH1027),6)&lt;=0.1,1,0),"")</f>
        <v>1</v>
      </c>
      <c r="AM1027" s="36">
        <f>IF(E1027=1,AI1027/AH1027,"")</f>
        <v>0.144067796610169</v>
      </c>
      <c r="AN1027" s="36">
        <f>IF(E1027=1,AJ1027/AH1027,"")</f>
        <v>0.389830508474576</v>
      </c>
      <c r="AO1027" s="36">
        <f>IF(E1027=1,AK1027/AH1027,"")</f>
        <v>0.466101694915254</v>
      </c>
      <c r="AP1027" s="34">
        <f>IF(E1027=1,Orders!Y1024,"")</f>
        <v>0.27</v>
      </c>
      <c r="AQ1027" s="33">
        <f>IF(Orders!X1024,1,0)</f>
        <v>0</v>
      </c>
      <c r="AR1027" s="34" t="str">
        <f>IF(AND(E1027=1,L1027=1),AJ1027,"")</f>
        <v/>
      </c>
      <c r="AS1027" s="34">
        <f>IF(AND(E1027=1,L1027=0),AJ1027,"")</f>
        <v>4.6</v>
      </c>
      <c r="AT1027" s="34" t="str">
        <f>IF(AND(E1027=1,L1027=1),AI1027,"")</f>
        <v/>
      </c>
      <c r="AU1027" s="34">
        <f>IF(AND(E1027=1,L1027=0),AI1027,"")</f>
        <v>1.7</v>
      </c>
      <c r="AV1027" s="34" t="str">
        <f>IF(AND(E1027=1,L1027=1),AG1027,"")</f>
        <v/>
      </c>
      <c r="AW1027" s="34">
        <f>IF(AND(E1027=1,L1027=0),AG1027,"")</f>
        <v>8.8</v>
      </c>
      <c r="AX1027" s="34" t="str">
        <f>IF(AND(E1027=1,L1027=1),AH1027,"")</f>
        <v/>
      </c>
      <c r="AY1027" s="34">
        <f>IF(AND(E1027=1,L1027=0),AH1027,"")</f>
        <v>11.8</v>
      </c>
      <c r="AZ1027" s="34">
        <f>IF(G1027=1,F1027,"")</f>
        <v>3</v>
      </c>
      <c r="BA1027" s="34" t="str">
        <f>IF(AND(G1027=1,L1027=1),F1027,"")</f>
        <v/>
      </c>
      <c r="BB1027" s="34">
        <f>IF(AND(G1027=1,L1027=0),F1027,"")</f>
        <v>3</v>
      </c>
      <c r="BC1027" s="33">
        <f>IF(E1027=1,IF(Orders!R1024&gt;3,1,0),"")</f>
        <v>0</v>
      </c>
      <c r="BD1027" s="33">
        <f>IF(E1027=1,IF(Orders!R1024&gt;7,1,0),"")</f>
        <v>0</v>
      </c>
      <c r="BE1027" s="32" t="str">
        <f>IF(E1027=1,IF(Orders!L1024&lt;=1.5,"Up to 1.5 km",IF(Orders!L1024&lt;=3,"1.5–3 km","Over 3 km")),"")</f>
        <v>1.5–3 km</v>
      </c>
      <c r="BF1027" s="33">
        <f>IF(E1027=1,IF(ABS((Orders!G1024-Orders!F1024)*1440-Orders!R1024)&lt;0.06,1,0),"")</f>
        <v>1</v>
      </c>
      <c r="BG1027" s="33">
        <f>IF(ABS((Orders!F1024-Orders!E1024)*1440-Orders!P1024)&lt;0.06,1,0)</f>
        <v>1</v>
      </c>
      <c r="BH1027" s="33">
        <f>IF(E1027=1,IF(IF(Orders!S1024,1,0)=1-G1027,1,0),"")</f>
        <v>1</v>
      </c>
      <c r="BI1027" s="32" t="str">
        <f>INDEX(Stores!$B$2:$B$21,MATCH(B1027,Stores!$A$2:$A$21,0))</f>
        <v>Pune</v>
      </c>
    </row>
    <row r="1028">
      <c r="A1028" s="32" t="str">
        <f>Orders!A1025</f>
        <v>O01024</v>
      </c>
      <c r="B1028" s="32" t="str">
        <f>Orders!C1025</f>
        <v>S018</v>
      </c>
      <c r="C1028" s="32" t="str">
        <f>Orders!B1025</f>
        <v>C0165</v>
      </c>
      <c r="D1028" s="32" t="str">
        <f>Orders!H1025</f>
        <v>Delivered</v>
      </c>
      <c r="E1028" s="33">
        <f>IF(Orders!H1025="Delivered",1,0)</f>
        <v>1</v>
      </c>
      <c r="F1028" s="34">
        <f>IF(E1028=1,Orders!R1025,"")</f>
        <v>-0.4</v>
      </c>
      <c r="G1028" s="33">
        <f>IF(E1028=1,IF(Orders!R1025&gt;0,1,0),"")</f>
        <v>0</v>
      </c>
      <c r="H1028" s="33">
        <f>IF(E1028=1,IF(Orders!R1025&gt;5,1,0),"")</f>
        <v>0</v>
      </c>
      <c r="I1028" s="32" t="str">
        <f>IF(E1028=1,"",IF(OR(Orders!T1025="Rider unavailable",Orders!T1025="Item unavailable"),"Company-caused","Unresolved"))</f>
        <v/>
      </c>
      <c r="J1028" s="33">
        <f>IF(OR(E1028=1,I1028="Company-caused"),1,0)</f>
        <v>1</v>
      </c>
      <c r="K1028" s="32" t="str">
        <f>IF(E1028=0,IF(I1028="Company-caused",IF(Orders!T1025="Rider unavailable","C1 Rider unavailable","C2 Item unavailable"),"Outside root: unresolved"),IF(G1028=0,"A On time",IF(H1028=1,IF(L1028=1,"B2a Severe, peak","B2b Severe, off-peak"),IF(L1028=1,"B1a Slight, peak","B1b Slight, off-peak"))))</f>
        <v>A On time</v>
      </c>
      <c r="L1028" s="33">
        <f>IF(AND(Orders!U1025&gt;=19,Orders!U1025&lt;22),1,0)</f>
        <v>0</v>
      </c>
      <c r="M1028" s="33">
        <f>IF(L1028=IF(Orders!V1025,1,0),1,0)</f>
        <v>1</v>
      </c>
      <c r="N1028" s="32" t="str">
        <f>IF(Orders!W1025="","None",Orders!W1025)</f>
        <v>None</v>
      </c>
      <c r="O1028" s="35">
        <f>INT(Orders!E1025)</f>
        <v>46271.0</v>
      </c>
      <c r="P1028" s="33">
        <f>Orders!U1025</f>
        <v>14</v>
      </c>
      <c r="Q1028" s="33">
        <f>COUNTIFS(Demand!$A$2:$A$4481,B1028,Demand!$B$2:$B$4481,O1028,Demand!$C$2:$C$4481,P1028)</f>
        <v>1</v>
      </c>
      <c r="R1028" s="33">
        <f>IF(Q1028=1,SUMIFS(Demand!$E$2:$E$4481,Demand!$A$2:$A$4481,B1028,Demand!$B$2:$B$4481,O1028,Demand!$C$2:$C$4481,P1028),"")</f>
        <v>23</v>
      </c>
      <c r="S1028" s="33">
        <f>INDEX(Stores!$G$2:$G$21,MATCH(B1028,Stores!$A$2:$A$21,0))</f>
        <v>20</v>
      </c>
      <c r="T1028" s="34">
        <f>IF(R1028="","",R1028/S1028)</f>
        <v>1.15</v>
      </c>
      <c r="U1028" s="34">
        <f>IF(E1028=1,T1028,"")</f>
        <v>1.15</v>
      </c>
      <c r="V1028" s="34">
        <f>IF(AND(E1028=1,L1028=0),T1028,"")</f>
        <v>1.15</v>
      </c>
      <c r="W1028" s="33">
        <f>IF(U1028="","",IF(U1028&lt;=Breakdowns!$C$5,1,IF(U1028&lt;=Breakdowns!$C$6,2,IF(U1028&lt;=Breakdowns!$C$7,3,4))))</f>
        <v>3</v>
      </c>
      <c r="X1028" s="33">
        <f>IF(V1028="","",IF(V1028&lt;=Breakdowns!$D$5,1,IF(V1028&lt;=Breakdowns!$D$6,2,IF(V1028&lt;=Breakdowns!$D$7,3,4))))</f>
        <v>4</v>
      </c>
      <c r="Y1028" s="34">
        <f>INDEX(Stores!$F$2:$F$21,MATCH(B1028,Stores!$A$2:$A$21,0))</f>
        <v>5.31</v>
      </c>
      <c r="Z1028" s="33">
        <f>IF(Y1028&gt;Store_Summary!$M$2,1,0)</f>
        <v>1</v>
      </c>
      <c r="AA1028" s="33">
        <f>INDEX(Stores!$C$2:$C$21,MATCH(B1028,Stores!$A$2:$A$21,0))</f>
        <v>214</v>
      </c>
      <c r="AB1028" s="33">
        <f>IF(AA1028&lt;180,1,0)</f>
        <v>0</v>
      </c>
      <c r="AC1028" s="32" t="str">
        <f>IF(Orders!D1025="","",INDEX(Riders!$C$2:$C$81,MATCH(Orders!D1025,Riders!$A$2:$A$81,0)))</f>
        <v>Petrol scooter</v>
      </c>
      <c r="AD1028" s="33">
        <f>IF(Orders!D1025="","",INDEX(Riders!$D$2:$D$81,MATCH(Orders!D1025,Riders!$A$2:$A$81,0)))</f>
        <v>42</v>
      </c>
      <c r="AE1028" s="33">
        <f>IF(Orders!D1025="","",IF(INDEX(Riders!$B$2:$B$81,MATCH(Orders!D1025,Riders!$A$2:$A$81,0))=B1028,1,0))</f>
        <v>0</v>
      </c>
      <c r="AF1028" s="34">
        <f>IF(E1028=1,Orders!L1025,"")</f>
        <v>4.25</v>
      </c>
      <c r="AG1028" s="34">
        <f>IF(E1028=1,Orders!P1025,"")</f>
        <v>10</v>
      </c>
      <c r="AH1028" s="34">
        <f>IF(E1028=1,Orders!Q1025,"")</f>
        <v>9.6</v>
      </c>
      <c r="AI1028" s="34">
        <f>IF(E1028=1,Orders!M1025,"")</f>
        <v>3</v>
      </c>
      <c r="AJ1028" s="34">
        <f>IF(E1028=1,Orders!N1025,"")</f>
        <v>2.3</v>
      </c>
      <c r="AK1028" s="34">
        <f>IF(E1028=1,Orders!O1025,"")</f>
        <v>4.3</v>
      </c>
      <c r="AL1028" s="33">
        <f>IF(E1028=1,IF(ROUND(ABS(AI1028+AJ1028+AK1028-AH1028),6)&lt;=0.1,1,0),"")</f>
        <v>1</v>
      </c>
      <c r="AM1028" s="36">
        <f>IF(E1028=1,AI1028/AH1028,"")</f>
        <v>0.3125</v>
      </c>
      <c r="AN1028" s="36">
        <f>IF(E1028=1,AJ1028/AH1028,"")</f>
        <v>0.239583333333333</v>
      </c>
      <c r="AO1028" s="36">
        <f>IF(E1028=1,AK1028/AH1028,"")</f>
        <v>0.447916666666667</v>
      </c>
      <c r="AP1028" s="34">
        <f>IF(E1028=1,Orders!Y1025,"")</f>
        <v>0.25</v>
      </c>
      <c r="AQ1028" s="33">
        <f>IF(Orders!X1025,1,0)</f>
        <v>0</v>
      </c>
      <c r="AR1028" s="34" t="str">
        <f>IF(AND(E1028=1,L1028=1),AJ1028,"")</f>
        <v/>
      </c>
      <c r="AS1028" s="34">
        <f>IF(AND(E1028=1,L1028=0),AJ1028,"")</f>
        <v>2.3</v>
      </c>
      <c r="AT1028" s="34" t="str">
        <f>IF(AND(E1028=1,L1028=1),AI1028,"")</f>
        <v/>
      </c>
      <c r="AU1028" s="34">
        <f>IF(AND(E1028=1,L1028=0),AI1028,"")</f>
        <v>3</v>
      </c>
      <c r="AV1028" s="34" t="str">
        <f>IF(AND(E1028=1,L1028=1),AG1028,"")</f>
        <v/>
      </c>
      <c r="AW1028" s="34">
        <f>IF(AND(E1028=1,L1028=0),AG1028,"")</f>
        <v>10</v>
      </c>
      <c r="AX1028" s="34" t="str">
        <f>IF(AND(E1028=1,L1028=1),AH1028,"")</f>
        <v/>
      </c>
      <c r="AY1028" s="34">
        <f>IF(AND(E1028=1,L1028=0),AH1028,"")</f>
        <v>9.6</v>
      </c>
      <c r="AZ1028" s="34" t="str">
        <f>IF(G1028=1,F1028,"")</f>
        <v/>
      </c>
      <c r="BA1028" s="34" t="str">
        <f>IF(AND(G1028=1,L1028=1),F1028,"")</f>
        <v/>
      </c>
      <c r="BB1028" s="34" t="str">
        <f>IF(AND(G1028=1,L1028=0),F1028,"")</f>
        <v/>
      </c>
      <c r="BC1028" s="33">
        <f>IF(E1028=1,IF(Orders!R1025&gt;3,1,0),"")</f>
        <v>0</v>
      </c>
      <c r="BD1028" s="33">
        <f>IF(E1028=1,IF(Orders!R1025&gt;7,1,0),"")</f>
        <v>0</v>
      </c>
      <c r="BE1028" s="32" t="str">
        <f>IF(E1028=1,IF(Orders!L1025&lt;=1.5,"Up to 1.5 km",IF(Orders!L1025&lt;=3,"1.5–3 km","Over 3 km")),"")</f>
        <v>Over 3 km</v>
      </c>
      <c r="BF1028" s="33">
        <f>IF(E1028=1,IF(ABS((Orders!G1025-Orders!F1025)*1440-Orders!R1025)&lt;0.06,1,0),"")</f>
        <v>1</v>
      </c>
      <c r="BG1028" s="33">
        <f>IF(ABS((Orders!F1025-Orders!E1025)*1440-Orders!P1025)&lt;0.06,1,0)</f>
        <v>1</v>
      </c>
      <c r="BH1028" s="33">
        <f>IF(E1028=1,IF(IF(Orders!S1025,1,0)=1-G1028,1,0),"")</f>
        <v>1</v>
      </c>
      <c r="BI1028" s="32" t="str">
        <f>INDEX(Stores!$B$2:$B$21,MATCH(B1028,Stores!$A$2:$A$21,0))</f>
        <v>Mumbai</v>
      </c>
    </row>
    <row r="1029">
      <c r="A1029" s="32" t="str">
        <f>Orders!A1026</f>
        <v>O01025</v>
      </c>
      <c r="B1029" s="32" t="str">
        <f>Orders!C1026</f>
        <v>S006</v>
      </c>
      <c r="C1029" s="32" t="str">
        <f>Orders!B1026</f>
        <v>C0082</v>
      </c>
      <c r="D1029" s="32" t="str">
        <f>Orders!H1026</f>
        <v>Delivered</v>
      </c>
      <c r="E1029" s="33">
        <f>IF(Orders!H1026="Delivered",1,0)</f>
        <v>1</v>
      </c>
      <c r="F1029" s="34">
        <f>IF(E1029=1,Orders!R1026,"")</f>
        <v>-0.5</v>
      </c>
      <c r="G1029" s="33">
        <f>IF(E1029=1,IF(Orders!R1026&gt;0,1,0),"")</f>
        <v>0</v>
      </c>
      <c r="H1029" s="33">
        <f>IF(E1029=1,IF(Orders!R1026&gt;5,1,0),"")</f>
        <v>0</v>
      </c>
      <c r="I1029" s="32" t="str">
        <f>IF(E1029=1,"",IF(OR(Orders!T1026="Rider unavailable",Orders!T1026="Item unavailable"),"Company-caused","Unresolved"))</f>
        <v/>
      </c>
      <c r="J1029" s="33">
        <f>IF(OR(E1029=1,I1029="Company-caused"),1,0)</f>
        <v>1</v>
      </c>
      <c r="K1029" s="32" t="str">
        <f>IF(E1029=0,IF(I1029="Company-caused",IF(Orders!T1026="Rider unavailable","C1 Rider unavailable","C2 Item unavailable"),"Outside root: unresolved"),IF(G1029=0,"A On time",IF(H1029=1,IF(L1029=1,"B2a Severe, peak","B2b Severe, off-peak"),IF(L1029=1,"B1a Slight, peak","B1b Slight, off-peak"))))</f>
        <v>A On time</v>
      </c>
      <c r="L1029" s="33">
        <f>IF(AND(Orders!U1026&gt;=19,Orders!U1026&lt;22),1,0)</f>
        <v>0</v>
      </c>
      <c r="M1029" s="33">
        <f>IF(L1029=IF(Orders!V1026,1,0),1,0)</f>
        <v>1</v>
      </c>
      <c r="N1029" s="32" t="str">
        <f>IF(Orders!W1026="","None",Orders!W1026)</f>
        <v>Light</v>
      </c>
      <c r="O1029" s="35">
        <f>INT(Orders!E1026)</f>
        <v>46271.0</v>
      </c>
      <c r="P1029" s="33">
        <f>Orders!U1026</f>
        <v>10</v>
      </c>
      <c r="Q1029" s="33">
        <f>COUNTIFS(Demand!$A$2:$A$4481,B1029,Demand!$B$2:$B$4481,O1029,Demand!$C$2:$C$4481,P1029)</f>
        <v>1</v>
      </c>
      <c r="R1029" s="33">
        <f>IF(Q1029=1,SUMIFS(Demand!$E$2:$E$4481,Demand!$A$2:$A$4481,B1029,Demand!$B$2:$B$4481,O1029,Demand!$C$2:$C$4481,P1029),"")</f>
        <v>20</v>
      </c>
      <c r="S1029" s="33">
        <f>INDEX(Stores!$G$2:$G$21,MATCH(B1029,Stores!$A$2:$A$21,0))</f>
        <v>26</v>
      </c>
      <c r="T1029" s="34">
        <f>IF(R1029="","",R1029/S1029)</f>
        <v>0.769230769230769</v>
      </c>
      <c r="U1029" s="34">
        <f>IF(E1029=1,T1029,"")</f>
        <v>0.769230769230769</v>
      </c>
      <c r="V1029" s="34">
        <f>IF(AND(E1029=1,L1029=0),T1029,"")</f>
        <v>0.769230769230769</v>
      </c>
      <c r="W1029" s="33">
        <f>IF(U1029="","",IF(U1029&lt;=Breakdowns!$C$5,1,IF(U1029&lt;=Breakdowns!$C$6,2,IF(U1029&lt;=Breakdowns!$C$7,3,4))))</f>
        <v>1</v>
      </c>
      <c r="X1029" s="33">
        <f>IF(V1029="","",IF(V1029&lt;=Breakdowns!$D$5,1,IF(V1029&lt;=Breakdowns!$D$6,2,IF(V1029&lt;=Breakdowns!$D$7,3,4))))</f>
        <v>2</v>
      </c>
      <c r="Y1029" s="34">
        <f>INDEX(Stores!$F$2:$F$21,MATCH(B1029,Stores!$A$2:$A$21,0))</f>
        <v>5.22</v>
      </c>
      <c r="Z1029" s="33">
        <f>IF(Y1029&gt;Store_Summary!$M$2,1,0)</f>
        <v>1</v>
      </c>
      <c r="AA1029" s="33">
        <f>INDEX(Stores!$C$2:$C$21,MATCH(B1029,Stores!$A$2:$A$21,0))</f>
        <v>412</v>
      </c>
      <c r="AB1029" s="33">
        <f>IF(AA1029&lt;180,1,0)</f>
        <v>0</v>
      </c>
      <c r="AC1029" s="32" t="str">
        <f>IF(Orders!D1026="","",INDEX(Riders!$C$2:$C$81,MATCH(Orders!D1026,Riders!$A$2:$A$81,0)))</f>
        <v>Petrol scooter</v>
      </c>
      <c r="AD1029" s="33">
        <f>IF(Orders!D1026="","",INDEX(Riders!$D$2:$D$81,MATCH(Orders!D1026,Riders!$A$2:$A$81,0)))</f>
        <v>19</v>
      </c>
      <c r="AE1029" s="33">
        <f>IF(Orders!D1026="","",IF(INDEX(Riders!$B$2:$B$81,MATCH(Orders!D1026,Riders!$A$2:$A$81,0))=B1029,1,0))</f>
        <v>0</v>
      </c>
      <c r="AF1029" s="34">
        <f>IF(E1029=1,Orders!L1026,"")</f>
        <v>1.72</v>
      </c>
      <c r="AG1029" s="34">
        <f>IF(E1029=1,Orders!P1026,"")</f>
        <v>13.2</v>
      </c>
      <c r="AH1029" s="34">
        <f>IF(E1029=1,Orders!Q1026,"")</f>
        <v>12.7</v>
      </c>
      <c r="AI1029" s="34">
        <f>IF(E1029=1,Orders!M1026,"")</f>
        <v>3</v>
      </c>
      <c r="AJ1029" s="34">
        <f>IF(E1029=1,Orders!N1026,"")</f>
        <v>6.1</v>
      </c>
      <c r="AK1029" s="34">
        <f>IF(E1029=1,Orders!O1026,"")</f>
        <v>3.6</v>
      </c>
      <c r="AL1029" s="33">
        <f>IF(E1029=1,IF(ROUND(ABS(AI1029+AJ1029+AK1029-AH1029),6)&lt;=0.1,1,0),"")</f>
        <v>1</v>
      </c>
      <c r="AM1029" s="36">
        <f>IF(E1029=1,AI1029/AH1029,"")</f>
        <v>0.236220472440945</v>
      </c>
      <c r="AN1029" s="36">
        <f>IF(E1029=1,AJ1029/AH1029,"")</f>
        <v>0.480314960629921</v>
      </c>
      <c r="AO1029" s="36">
        <f>IF(E1029=1,AK1029/AH1029,"")</f>
        <v>0.283464566929134</v>
      </c>
      <c r="AP1029" s="34">
        <f>IF(E1029=1,Orders!Y1026,"")</f>
        <v>0</v>
      </c>
      <c r="AQ1029" s="33">
        <f>IF(Orders!X1026,1,0)</f>
        <v>0</v>
      </c>
      <c r="AR1029" s="34" t="str">
        <f>IF(AND(E1029=1,L1029=1),AJ1029,"")</f>
        <v/>
      </c>
      <c r="AS1029" s="34">
        <f>IF(AND(E1029=1,L1029=0),AJ1029,"")</f>
        <v>6.1</v>
      </c>
      <c r="AT1029" s="34" t="str">
        <f>IF(AND(E1029=1,L1029=1),AI1029,"")</f>
        <v/>
      </c>
      <c r="AU1029" s="34">
        <f>IF(AND(E1029=1,L1029=0),AI1029,"")</f>
        <v>3</v>
      </c>
      <c r="AV1029" s="34" t="str">
        <f>IF(AND(E1029=1,L1029=1),AG1029,"")</f>
        <v/>
      </c>
      <c r="AW1029" s="34">
        <f>IF(AND(E1029=1,L1029=0),AG1029,"")</f>
        <v>13.2</v>
      </c>
      <c r="AX1029" s="34" t="str">
        <f>IF(AND(E1029=1,L1029=1),AH1029,"")</f>
        <v/>
      </c>
      <c r="AY1029" s="34">
        <f>IF(AND(E1029=1,L1029=0),AH1029,"")</f>
        <v>12.7</v>
      </c>
      <c r="AZ1029" s="34" t="str">
        <f>IF(G1029=1,F1029,"")</f>
        <v/>
      </c>
      <c r="BA1029" s="34" t="str">
        <f>IF(AND(G1029=1,L1029=1),F1029,"")</f>
        <v/>
      </c>
      <c r="BB1029" s="34" t="str">
        <f>IF(AND(G1029=1,L1029=0),F1029,"")</f>
        <v/>
      </c>
      <c r="BC1029" s="33">
        <f>IF(E1029=1,IF(Orders!R1026&gt;3,1,0),"")</f>
        <v>0</v>
      </c>
      <c r="BD1029" s="33">
        <f>IF(E1029=1,IF(Orders!R1026&gt;7,1,0),"")</f>
        <v>0</v>
      </c>
      <c r="BE1029" s="32" t="str">
        <f>IF(E1029=1,IF(Orders!L1026&lt;=1.5,"Up to 1.5 km",IF(Orders!L1026&lt;=3,"1.5–3 km","Over 3 km")),"")</f>
        <v>1.5–3 km</v>
      </c>
      <c r="BF1029" s="33">
        <f>IF(E1029=1,IF(ABS((Orders!G1026-Orders!F1026)*1440-Orders!R1026)&lt;0.06,1,0),"")</f>
        <v>1</v>
      </c>
      <c r="BG1029" s="33">
        <f>IF(ABS((Orders!F1026-Orders!E1026)*1440-Orders!P1026)&lt;0.06,1,0)</f>
        <v>1</v>
      </c>
      <c r="BH1029" s="33">
        <f>IF(E1029=1,IF(IF(Orders!S1026,1,0)=1-G1029,1,0),"")</f>
        <v>1</v>
      </c>
      <c r="BI1029" s="32" t="str">
        <f>INDEX(Stores!$B$2:$B$21,MATCH(B1029,Stores!$A$2:$A$21,0))</f>
        <v>Bengaluru</v>
      </c>
    </row>
    <row r="1030">
      <c r="A1030" s="32" t="str">
        <f>Orders!A1027</f>
        <v>O01026</v>
      </c>
      <c r="B1030" s="32" t="str">
        <f>Orders!C1027</f>
        <v>S006</v>
      </c>
      <c r="C1030" s="32" t="str">
        <f>Orders!B1027</f>
        <v>C0186</v>
      </c>
      <c r="D1030" s="32" t="str">
        <f>Orders!H1027</f>
        <v>Delivered</v>
      </c>
      <c r="E1030" s="33">
        <f>IF(Orders!H1027="Delivered",1,0)</f>
        <v>1</v>
      </c>
      <c r="F1030" s="34">
        <f>IF(E1030=1,Orders!R1027,"")</f>
        <v>-0.5</v>
      </c>
      <c r="G1030" s="33">
        <f>IF(E1030=1,IF(Orders!R1027&gt;0,1,0),"")</f>
        <v>0</v>
      </c>
      <c r="H1030" s="33">
        <f>IF(E1030=1,IF(Orders!R1027&gt;5,1,0),"")</f>
        <v>0</v>
      </c>
      <c r="I1030" s="32" t="str">
        <f>IF(E1030=1,"",IF(OR(Orders!T1027="Rider unavailable",Orders!T1027="Item unavailable"),"Company-caused","Unresolved"))</f>
        <v/>
      </c>
      <c r="J1030" s="33">
        <f>IF(OR(E1030=1,I1030="Company-caused"),1,0)</f>
        <v>1</v>
      </c>
      <c r="K1030" s="32" t="str">
        <f>IF(E1030=0,IF(I1030="Company-caused",IF(Orders!T1027="Rider unavailable","C1 Rider unavailable","C2 Item unavailable"),"Outside root: unresolved"),IF(G1030=0,"A On time",IF(H1030=1,IF(L1030=1,"B2a Severe, peak","B2b Severe, off-peak"),IF(L1030=1,"B1a Slight, peak","B1b Slight, off-peak"))))</f>
        <v>A On time</v>
      </c>
      <c r="L1030" s="33">
        <f>IF(AND(Orders!U1027&gt;=19,Orders!U1027&lt;22),1,0)</f>
        <v>0</v>
      </c>
      <c r="M1030" s="33">
        <f>IF(L1030=IF(Orders!V1027,1,0),1,0)</f>
        <v>1</v>
      </c>
      <c r="N1030" s="32" t="str">
        <f>IF(Orders!W1027="","None",Orders!W1027)</f>
        <v>None</v>
      </c>
      <c r="O1030" s="35">
        <f>INT(Orders!E1027)</f>
        <v>46270.0</v>
      </c>
      <c r="P1030" s="33">
        <f>Orders!U1027</f>
        <v>13</v>
      </c>
      <c r="Q1030" s="33">
        <f>COUNTIFS(Demand!$A$2:$A$4481,B1030,Demand!$B$2:$B$4481,O1030,Demand!$C$2:$C$4481,P1030)</f>
        <v>1</v>
      </c>
      <c r="R1030" s="33">
        <f>IF(Q1030=1,SUMIFS(Demand!$E$2:$E$4481,Demand!$A$2:$A$4481,B1030,Demand!$B$2:$B$4481,O1030,Demand!$C$2:$C$4481,P1030),"")</f>
        <v>24</v>
      </c>
      <c r="S1030" s="33">
        <f>INDEX(Stores!$G$2:$G$21,MATCH(B1030,Stores!$A$2:$A$21,0))</f>
        <v>26</v>
      </c>
      <c r="T1030" s="34">
        <f>IF(R1030="","",R1030/S1030)</f>
        <v>0.923076923076923</v>
      </c>
      <c r="U1030" s="34">
        <f>IF(E1030=1,T1030,"")</f>
        <v>0.923076923076923</v>
      </c>
      <c r="V1030" s="34">
        <f>IF(AND(E1030=1,L1030=0),T1030,"")</f>
        <v>0.923076923076923</v>
      </c>
      <c r="W1030" s="33">
        <f>IF(U1030="","",IF(U1030&lt;=Breakdowns!$C$5,1,IF(U1030&lt;=Breakdowns!$C$6,2,IF(U1030&lt;=Breakdowns!$C$7,3,4))))</f>
        <v>2</v>
      </c>
      <c r="X1030" s="33">
        <f>IF(V1030="","",IF(V1030&lt;=Breakdowns!$D$5,1,IF(V1030&lt;=Breakdowns!$D$6,2,IF(V1030&lt;=Breakdowns!$D$7,3,4))))</f>
        <v>3</v>
      </c>
      <c r="Y1030" s="34">
        <f>INDEX(Stores!$F$2:$F$21,MATCH(B1030,Stores!$A$2:$A$21,0))</f>
        <v>5.22</v>
      </c>
      <c r="Z1030" s="33">
        <f>IF(Y1030&gt;Store_Summary!$M$2,1,0)</f>
        <v>1</v>
      </c>
      <c r="AA1030" s="33">
        <f>INDEX(Stores!$C$2:$C$21,MATCH(B1030,Stores!$A$2:$A$21,0))</f>
        <v>412</v>
      </c>
      <c r="AB1030" s="33">
        <f>IF(AA1030&lt;180,1,0)</f>
        <v>0</v>
      </c>
      <c r="AC1030" s="32" t="str">
        <f>IF(Orders!D1027="","",INDEX(Riders!$C$2:$C$81,MATCH(Orders!D1027,Riders!$A$2:$A$81,0)))</f>
        <v>EV scooter</v>
      </c>
      <c r="AD1030" s="33">
        <f>IF(Orders!D1027="","",INDEX(Riders!$D$2:$D$81,MATCH(Orders!D1027,Riders!$A$2:$A$81,0)))</f>
        <v>33</v>
      </c>
      <c r="AE1030" s="33">
        <f>IF(Orders!D1027="","",IF(INDEX(Riders!$B$2:$B$81,MATCH(Orders!D1027,Riders!$A$2:$A$81,0))=B1030,1,0))</f>
        <v>0</v>
      </c>
      <c r="AF1030" s="34">
        <f>IF(E1030=1,Orders!L1027,"")</f>
        <v>1.59</v>
      </c>
      <c r="AG1030" s="34">
        <f>IF(E1030=1,Orders!P1027,"")</f>
        <v>9</v>
      </c>
      <c r="AH1030" s="34">
        <f>IF(E1030=1,Orders!Q1027,"")</f>
        <v>8.5</v>
      </c>
      <c r="AI1030" s="34">
        <f>IF(E1030=1,Orders!M1027,"")</f>
        <v>2</v>
      </c>
      <c r="AJ1030" s="34">
        <f>IF(E1030=1,Orders!N1027,"")</f>
        <v>4.5</v>
      </c>
      <c r="AK1030" s="34">
        <f>IF(E1030=1,Orders!O1027,"")</f>
        <v>2</v>
      </c>
      <c r="AL1030" s="33">
        <f>IF(E1030=1,IF(ROUND(ABS(AI1030+AJ1030+AK1030-AH1030),6)&lt;=0.1,1,0),"")</f>
        <v>1</v>
      </c>
      <c r="AM1030" s="36">
        <f>IF(E1030=1,AI1030/AH1030,"")</f>
        <v>0.235294117647059</v>
      </c>
      <c r="AN1030" s="36">
        <f>IF(E1030=1,AJ1030/AH1030,"")</f>
        <v>0.529411764705882</v>
      </c>
      <c r="AO1030" s="36">
        <f>IF(E1030=1,AK1030/AH1030,"")</f>
        <v>0.235294117647059</v>
      </c>
      <c r="AP1030" s="34">
        <f>IF(E1030=1,Orders!Y1027,"")</f>
        <v>0.53</v>
      </c>
      <c r="AQ1030" s="33">
        <f>IF(Orders!X1027,1,0)</f>
        <v>0</v>
      </c>
      <c r="AR1030" s="34" t="str">
        <f>IF(AND(E1030=1,L1030=1),AJ1030,"")</f>
        <v/>
      </c>
      <c r="AS1030" s="34">
        <f>IF(AND(E1030=1,L1030=0),AJ1030,"")</f>
        <v>4.5</v>
      </c>
      <c r="AT1030" s="34" t="str">
        <f>IF(AND(E1030=1,L1030=1),AI1030,"")</f>
        <v/>
      </c>
      <c r="AU1030" s="34">
        <f>IF(AND(E1030=1,L1030=0),AI1030,"")</f>
        <v>2</v>
      </c>
      <c r="AV1030" s="34" t="str">
        <f>IF(AND(E1030=1,L1030=1),AG1030,"")</f>
        <v/>
      </c>
      <c r="AW1030" s="34">
        <f>IF(AND(E1030=1,L1030=0),AG1030,"")</f>
        <v>9</v>
      </c>
      <c r="AX1030" s="34" t="str">
        <f>IF(AND(E1030=1,L1030=1),AH1030,"")</f>
        <v/>
      </c>
      <c r="AY1030" s="34">
        <f>IF(AND(E1030=1,L1030=0),AH1030,"")</f>
        <v>8.5</v>
      </c>
      <c r="AZ1030" s="34" t="str">
        <f>IF(G1030=1,F1030,"")</f>
        <v/>
      </c>
      <c r="BA1030" s="34" t="str">
        <f>IF(AND(G1030=1,L1030=1),F1030,"")</f>
        <v/>
      </c>
      <c r="BB1030" s="34" t="str">
        <f>IF(AND(G1030=1,L1030=0),F1030,"")</f>
        <v/>
      </c>
      <c r="BC1030" s="33">
        <f>IF(E1030=1,IF(Orders!R1027&gt;3,1,0),"")</f>
        <v>0</v>
      </c>
      <c r="BD1030" s="33">
        <f>IF(E1030=1,IF(Orders!R1027&gt;7,1,0),"")</f>
        <v>0</v>
      </c>
      <c r="BE1030" s="32" t="str">
        <f>IF(E1030=1,IF(Orders!L1027&lt;=1.5,"Up to 1.5 km",IF(Orders!L1027&lt;=3,"1.5–3 km","Over 3 km")),"")</f>
        <v>1.5–3 km</v>
      </c>
      <c r="BF1030" s="33">
        <f>IF(E1030=1,IF(ABS((Orders!G1027-Orders!F1027)*1440-Orders!R1027)&lt;0.06,1,0),"")</f>
        <v>1</v>
      </c>
      <c r="BG1030" s="33">
        <f>IF(ABS((Orders!F1027-Orders!E1027)*1440-Orders!P1027)&lt;0.06,1,0)</f>
        <v>1</v>
      </c>
      <c r="BH1030" s="33">
        <f>IF(E1030=1,IF(IF(Orders!S1027,1,0)=1-G1030,1,0),"")</f>
        <v>1</v>
      </c>
      <c r="BI1030" s="32" t="str">
        <f>INDEX(Stores!$B$2:$B$21,MATCH(B1030,Stores!$A$2:$A$21,0))</f>
        <v>Bengaluru</v>
      </c>
    </row>
    <row r="1031">
      <c r="A1031" s="32" t="str">
        <f>Orders!A1028</f>
        <v>O01027</v>
      </c>
      <c r="B1031" s="32" t="str">
        <f>Orders!C1028</f>
        <v>S013</v>
      </c>
      <c r="C1031" s="32" t="str">
        <f>Orders!B1028</f>
        <v>C0075</v>
      </c>
      <c r="D1031" s="32" t="str">
        <f>Orders!H1028</f>
        <v>Delivered</v>
      </c>
      <c r="E1031" s="33">
        <f>IF(Orders!H1028="Delivered",1,0)</f>
        <v>1</v>
      </c>
      <c r="F1031" s="34">
        <f>IF(E1031=1,Orders!R1028,"")</f>
        <v>-0.3</v>
      </c>
      <c r="G1031" s="33">
        <f>IF(E1031=1,IF(Orders!R1028&gt;0,1,0),"")</f>
        <v>0</v>
      </c>
      <c r="H1031" s="33">
        <f>IF(E1031=1,IF(Orders!R1028&gt;5,1,0),"")</f>
        <v>0</v>
      </c>
      <c r="I1031" s="32" t="str">
        <f>IF(E1031=1,"",IF(OR(Orders!T1028="Rider unavailable",Orders!T1028="Item unavailable"),"Company-caused","Unresolved"))</f>
        <v/>
      </c>
      <c r="J1031" s="33">
        <f>IF(OR(E1031=1,I1031="Company-caused"),1,0)</f>
        <v>1</v>
      </c>
      <c r="K1031" s="32" t="str">
        <f>IF(E1031=0,IF(I1031="Company-caused",IF(Orders!T1028="Rider unavailable","C1 Rider unavailable","C2 Item unavailable"),"Outside root: unresolved"),IF(G1031=0,"A On time",IF(H1031=1,IF(L1031=1,"B2a Severe, peak","B2b Severe, off-peak"),IF(L1031=1,"B1a Slight, peak","B1b Slight, off-peak"))))</f>
        <v>A On time</v>
      </c>
      <c r="L1031" s="33">
        <f>IF(AND(Orders!U1028&gt;=19,Orders!U1028&lt;22),1,0)</f>
        <v>1</v>
      </c>
      <c r="M1031" s="33">
        <f>IF(L1031=IF(Orders!V1028,1,0),1,0)</f>
        <v>1</v>
      </c>
      <c r="N1031" s="32" t="str">
        <f>IF(Orders!W1028="","None",Orders!W1028)</f>
        <v>None</v>
      </c>
      <c r="O1031" s="35">
        <f>INT(Orders!E1028)</f>
        <v>46274.0</v>
      </c>
      <c r="P1031" s="33">
        <f>Orders!U1028</f>
        <v>21</v>
      </c>
      <c r="Q1031" s="33">
        <f>COUNTIFS(Demand!$A$2:$A$4481,B1031,Demand!$B$2:$B$4481,O1031,Demand!$C$2:$C$4481,P1031)</f>
        <v>1</v>
      </c>
      <c r="R1031" s="33">
        <f>IF(Q1031=1,SUMIFS(Demand!$E$2:$E$4481,Demand!$A$2:$A$4481,B1031,Demand!$B$2:$B$4481,O1031,Demand!$C$2:$C$4481,P1031),"")</f>
        <v>69</v>
      </c>
      <c r="S1031" s="33">
        <f>INDEX(Stores!$G$2:$G$21,MATCH(B1031,Stores!$A$2:$A$21,0))</f>
        <v>49</v>
      </c>
      <c r="T1031" s="34">
        <f>IF(R1031="","",R1031/S1031)</f>
        <v>1.40816326530612</v>
      </c>
      <c r="U1031" s="34">
        <f>IF(E1031=1,T1031,"")</f>
        <v>1.40816326530612</v>
      </c>
      <c r="V1031" s="34" t="str">
        <f>IF(AND(E1031=1,L1031=0),T1031,"")</f>
        <v/>
      </c>
      <c r="W1031" s="33">
        <f>IF(U1031="","",IF(U1031&lt;=Breakdowns!$C$5,1,IF(U1031&lt;=Breakdowns!$C$6,2,IF(U1031&lt;=Breakdowns!$C$7,3,4))))</f>
        <v>4</v>
      </c>
      <c r="X1031" s="33" t="str">
        <f>IF(V1031="","",IF(V1031&lt;=Breakdowns!$D$5,1,IF(V1031&lt;=Breakdowns!$D$6,2,IF(V1031&lt;=Breakdowns!$D$7,3,4))))</f>
        <v/>
      </c>
      <c r="Y1031" s="34">
        <f>INDEX(Stores!$F$2:$F$21,MATCH(B1031,Stores!$A$2:$A$21,0))</f>
        <v>5.82</v>
      </c>
      <c r="Z1031" s="33">
        <f>IF(Y1031&gt;Store_Summary!$M$2,1,0)</f>
        <v>1</v>
      </c>
      <c r="AA1031" s="33">
        <f>INDEX(Stores!$C$2:$C$21,MATCH(B1031,Stores!$A$2:$A$21,0))</f>
        <v>705</v>
      </c>
      <c r="AB1031" s="33">
        <f>IF(AA1031&lt;180,1,0)</f>
        <v>0</v>
      </c>
      <c r="AC1031" s="32" t="str">
        <f>IF(Orders!D1028="","",INDEX(Riders!$C$2:$C$81,MATCH(Orders!D1028,Riders!$A$2:$A$81,0)))</f>
        <v>Petrol scooter</v>
      </c>
      <c r="AD1031" s="33">
        <f>IF(Orders!D1028="","",INDEX(Riders!$D$2:$D$81,MATCH(Orders!D1028,Riders!$A$2:$A$81,0)))</f>
        <v>24</v>
      </c>
      <c r="AE1031" s="33">
        <f>IF(Orders!D1028="","",IF(INDEX(Riders!$B$2:$B$81,MATCH(Orders!D1028,Riders!$A$2:$A$81,0))=B1031,1,0))</f>
        <v>0</v>
      </c>
      <c r="AF1031" s="34">
        <f>IF(E1031=1,Orders!L1028,"")</f>
        <v>1.18</v>
      </c>
      <c r="AG1031" s="34">
        <f>IF(E1031=1,Orders!P1028,"")</f>
        <v>9</v>
      </c>
      <c r="AH1031" s="34">
        <f>IF(E1031=1,Orders!Q1028,"")</f>
        <v>8.7</v>
      </c>
      <c r="AI1031" s="34">
        <f>IF(E1031=1,Orders!M1028,"")</f>
        <v>3</v>
      </c>
      <c r="AJ1031" s="34">
        <f>IF(E1031=1,Orders!N1028,"")</f>
        <v>4</v>
      </c>
      <c r="AK1031" s="34">
        <f>IF(E1031=1,Orders!O1028,"")</f>
        <v>1.7</v>
      </c>
      <c r="AL1031" s="33">
        <f>IF(E1031=1,IF(ROUND(ABS(AI1031+AJ1031+AK1031-AH1031),6)&lt;=0.1,1,0),"")</f>
        <v>1</v>
      </c>
      <c r="AM1031" s="36">
        <f>IF(E1031=1,AI1031/AH1031,"")</f>
        <v>0.344827586206897</v>
      </c>
      <c r="AN1031" s="36">
        <f>IF(E1031=1,AJ1031/AH1031,"")</f>
        <v>0.459770114942529</v>
      </c>
      <c r="AO1031" s="36">
        <f>IF(E1031=1,AK1031/AH1031,"")</f>
        <v>0.195402298850575</v>
      </c>
      <c r="AP1031" s="34">
        <f>IF(E1031=1,Orders!Y1028,"")</f>
        <v>0.23</v>
      </c>
      <c r="AQ1031" s="33">
        <f>IF(Orders!X1028,1,0)</f>
        <v>0</v>
      </c>
      <c r="AR1031" s="34">
        <f>IF(AND(E1031=1,L1031=1),AJ1031,"")</f>
        <v>4</v>
      </c>
      <c r="AS1031" s="34" t="str">
        <f>IF(AND(E1031=1,L1031=0),AJ1031,"")</f>
        <v/>
      </c>
      <c r="AT1031" s="34">
        <f>IF(AND(E1031=1,L1031=1),AI1031,"")</f>
        <v>3</v>
      </c>
      <c r="AU1031" s="34" t="str">
        <f>IF(AND(E1031=1,L1031=0),AI1031,"")</f>
        <v/>
      </c>
      <c r="AV1031" s="34">
        <f>IF(AND(E1031=1,L1031=1),AG1031,"")</f>
        <v>9</v>
      </c>
      <c r="AW1031" s="34" t="str">
        <f>IF(AND(E1031=1,L1031=0),AG1031,"")</f>
        <v/>
      </c>
      <c r="AX1031" s="34">
        <f>IF(AND(E1031=1,L1031=1),AH1031,"")</f>
        <v>8.7</v>
      </c>
      <c r="AY1031" s="34" t="str">
        <f>IF(AND(E1031=1,L1031=0),AH1031,"")</f>
        <v/>
      </c>
      <c r="AZ1031" s="34" t="str">
        <f>IF(G1031=1,F1031,"")</f>
        <v/>
      </c>
      <c r="BA1031" s="34" t="str">
        <f>IF(AND(G1031=1,L1031=1),F1031,"")</f>
        <v/>
      </c>
      <c r="BB1031" s="34" t="str">
        <f>IF(AND(G1031=1,L1031=0),F1031,"")</f>
        <v/>
      </c>
      <c r="BC1031" s="33">
        <f>IF(E1031=1,IF(Orders!R1028&gt;3,1,0),"")</f>
        <v>0</v>
      </c>
      <c r="BD1031" s="33">
        <f>IF(E1031=1,IF(Orders!R1028&gt;7,1,0),"")</f>
        <v>0</v>
      </c>
      <c r="BE1031" s="32" t="str">
        <f>IF(E1031=1,IF(Orders!L1028&lt;=1.5,"Up to 1.5 km",IF(Orders!L1028&lt;=3,"1.5–3 km","Over 3 km")),"")</f>
        <v>Up to 1.5 km</v>
      </c>
      <c r="BF1031" s="33">
        <f>IF(E1031=1,IF(ABS((Orders!G1028-Orders!F1028)*1440-Orders!R1028)&lt;0.06,1,0),"")</f>
        <v>1</v>
      </c>
      <c r="BG1031" s="33">
        <f>IF(ABS((Orders!F1028-Orders!E1028)*1440-Orders!P1028)&lt;0.06,1,0)</f>
        <v>1</v>
      </c>
      <c r="BH1031" s="33">
        <f>IF(E1031=1,IF(IF(Orders!S1028,1,0)=1-G1031,1,0),"")</f>
        <v>1</v>
      </c>
      <c r="BI1031" s="32" t="str">
        <f>INDEX(Stores!$B$2:$B$21,MATCH(B1031,Stores!$A$2:$A$21,0))</f>
        <v>Mumbai</v>
      </c>
    </row>
    <row r="1032">
      <c r="A1032" s="32" t="str">
        <f>Orders!A1029</f>
        <v>O01028</v>
      </c>
      <c r="B1032" s="32" t="str">
        <f>Orders!C1029</f>
        <v>S013</v>
      </c>
      <c r="C1032" s="32" t="str">
        <f>Orders!B1029</f>
        <v>C0047</v>
      </c>
      <c r="D1032" s="32" t="str">
        <f>Orders!H1029</f>
        <v>Delivered</v>
      </c>
      <c r="E1032" s="33">
        <f>IF(Orders!H1029="Delivered",1,0)</f>
        <v>1</v>
      </c>
      <c r="F1032" s="34">
        <f>IF(E1032=1,Orders!R1029,"")</f>
        <v>11.3</v>
      </c>
      <c r="G1032" s="33">
        <f>IF(E1032=1,IF(Orders!R1029&gt;0,1,0),"")</f>
        <v>1</v>
      </c>
      <c r="H1032" s="33">
        <f>IF(E1032=1,IF(Orders!R1029&gt;5,1,0),"")</f>
        <v>1</v>
      </c>
      <c r="I1032" s="32" t="str">
        <f>IF(E1032=1,"",IF(OR(Orders!T1029="Rider unavailable",Orders!T1029="Item unavailable"),"Company-caused","Unresolved"))</f>
        <v/>
      </c>
      <c r="J1032" s="33">
        <f>IF(OR(E1032=1,I1032="Company-caused"),1,0)</f>
        <v>1</v>
      </c>
      <c r="K1032" s="32" t="str">
        <f>IF(E1032=0,IF(I1032="Company-caused",IF(Orders!T1029="Rider unavailable","C1 Rider unavailable","C2 Item unavailable"),"Outside root: unresolved"),IF(G1032=0,"A On time",IF(H1032=1,IF(L1032=1,"B2a Severe, peak","B2b Severe, off-peak"),IF(L1032=1,"B1a Slight, peak","B1b Slight, off-peak"))))</f>
        <v>B2b Severe, off-peak</v>
      </c>
      <c r="L1032" s="33">
        <f>IF(AND(Orders!U1029&gt;=19,Orders!U1029&lt;22),1,0)</f>
        <v>0</v>
      </c>
      <c r="M1032" s="33">
        <f>IF(L1032=IF(Orders!V1029,1,0),1,0)</f>
        <v>1</v>
      </c>
      <c r="N1032" s="32" t="str">
        <f>IF(Orders!W1029="","None",Orders!W1029)</f>
        <v>None</v>
      </c>
      <c r="O1032" s="35">
        <f>INT(Orders!E1029)</f>
        <v>46269.0</v>
      </c>
      <c r="P1032" s="33">
        <f>Orders!U1029</f>
        <v>9</v>
      </c>
      <c r="Q1032" s="33">
        <f>COUNTIFS(Demand!$A$2:$A$4481,B1032,Demand!$B$2:$B$4481,O1032,Demand!$C$2:$C$4481,P1032)</f>
        <v>1</v>
      </c>
      <c r="R1032" s="33">
        <f>IF(Q1032=1,SUMIFS(Demand!$E$2:$E$4481,Demand!$A$2:$A$4481,B1032,Demand!$B$2:$B$4481,O1032,Demand!$C$2:$C$4481,P1032),"")</f>
        <v>34</v>
      </c>
      <c r="S1032" s="33">
        <f>INDEX(Stores!$G$2:$G$21,MATCH(B1032,Stores!$A$2:$A$21,0))</f>
        <v>49</v>
      </c>
      <c r="T1032" s="34">
        <f>IF(R1032="","",R1032/S1032)</f>
        <v>0.693877551020408</v>
      </c>
      <c r="U1032" s="34">
        <f>IF(E1032=1,T1032,"")</f>
        <v>0.693877551020408</v>
      </c>
      <c r="V1032" s="34">
        <f>IF(AND(E1032=1,L1032=0),T1032,"")</f>
        <v>0.693877551020408</v>
      </c>
      <c r="W1032" s="33">
        <f>IF(U1032="","",IF(U1032&lt;=Breakdowns!$C$5,1,IF(U1032&lt;=Breakdowns!$C$6,2,IF(U1032&lt;=Breakdowns!$C$7,3,4))))</f>
        <v>1</v>
      </c>
      <c r="X1032" s="33">
        <f>IF(V1032="","",IF(V1032&lt;=Breakdowns!$D$5,1,IF(V1032&lt;=Breakdowns!$D$6,2,IF(V1032&lt;=Breakdowns!$D$7,3,4))))</f>
        <v>1</v>
      </c>
      <c r="Y1032" s="34">
        <f>INDEX(Stores!$F$2:$F$21,MATCH(B1032,Stores!$A$2:$A$21,0))</f>
        <v>5.82</v>
      </c>
      <c r="Z1032" s="33">
        <f>IF(Y1032&gt;Store_Summary!$M$2,1,0)</f>
        <v>1</v>
      </c>
      <c r="AA1032" s="33">
        <f>INDEX(Stores!$C$2:$C$21,MATCH(B1032,Stores!$A$2:$A$21,0))</f>
        <v>705</v>
      </c>
      <c r="AB1032" s="33">
        <f>IF(AA1032&lt;180,1,0)</f>
        <v>0</v>
      </c>
      <c r="AC1032" s="32" t="str">
        <f>IF(Orders!D1029="","",INDEX(Riders!$C$2:$C$81,MATCH(Orders!D1029,Riders!$A$2:$A$81,0)))</f>
        <v>Bicycle</v>
      </c>
      <c r="AD1032" s="33">
        <f>IF(Orders!D1029="","",INDEX(Riders!$D$2:$D$81,MATCH(Orders!D1029,Riders!$A$2:$A$81,0)))</f>
        <v>2</v>
      </c>
      <c r="AE1032" s="33">
        <f>IF(Orders!D1029="","",IF(INDEX(Riders!$B$2:$B$81,MATCH(Orders!D1029,Riders!$A$2:$A$81,0))=B1032,1,0))</f>
        <v>0</v>
      </c>
      <c r="AF1032" s="34">
        <f>IF(E1032=1,Orders!L1029,"")</f>
        <v>3</v>
      </c>
      <c r="AG1032" s="34">
        <f>IF(E1032=1,Orders!P1029,"")</f>
        <v>10.1</v>
      </c>
      <c r="AH1032" s="34">
        <f>IF(E1032=1,Orders!Q1029,"")</f>
        <v>21.4</v>
      </c>
      <c r="AI1032" s="34">
        <f>IF(E1032=1,Orders!M1029,"")</f>
        <v>6.7</v>
      </c>
      <c r="AJ1032" s="34">
        <f>IF(E1032=1,Orders!N1029,"")</f>
        <v>8.4</v>
      </c>
      <c r="AK1032" s="34">
        <f>IF(E1032=1,Orders!O1029,"")</f>
        <v>6.3</v>
      </c>
      <c r="AL1032" s="33">
        <f>IF(E1032=1,IF(ROUND(ABS(AI1032+AJ1032+AK1032-AH1032),6)&lt;=0.1,1,0),"")</f>
        <v>1</v>
      </c>
      <c r="AM1032" s="36">
        <f>IF(E1032=1,AI1032/AH1032,"")</f>
        <v>0.313084112149533</v>
      </c>
      <c r="AN1032" s="36">
        <f>IF(E1032=1,AJ1032/AH1032,"")</f>
        <v>0.392523364485981</v>
      </c>
      <c r="AO1032" s="36">
        <f>IF(E1032=1,AK1032/AH1032,"")</f>
        <v>0.294392523364486</v>
      </c>
      <c r="AP1032" s="34">
        <f>IF(E1032=1,Orders!Y1029,"")</f>
        <v>0.4</v>
      </c>
      <c r="AQ1032" s="33">
        <f>IF(Orders!X1029,1,0)</f>
        <v>0</v>
      </c>
      <c r="AR1032" s="34" t="str">
        <f>IF(AND(E1032=1,L1032=1),AJ1032,"")</f>
        <v/>
      </c>
      <c r="AS1032" s="34">
        <f>IF(AND(E1032=1,L1032=0),AJ1032,"")</f>
        <v>8.4</v>
      </c>
      <c r="AT1032" s="34" t="str">
        <f>IF(AND(E1032=1,L1032=1),AI1032,"")</f>
        <v/>
      </c>
      <c r="AU1032" s="34">
        <f>IF(AND(E1032=1,L1032=0),AI1032,"")</f>
        <v>6.7</v>
      </c>
      <c r="AV1032" s="34" t="str">
        <f>IF(AND(E1032=1,L1032=1),AG1032,"")</f>
        <v/>
      </c>
      <c r="AW1032" s="34">
        <f>IF(AND(E1032=1,L1032=0),AG1032,"")</f>
        <v>10.1</v>
      </c>
      <c r="AX1032" s="34" t="str">
        <f>IF(AND(E1032=1,L1032=1),AH1032,"")</f>
        <v/>
      </c>
      <c r="AY1032" s="34">
        <f>IF(AND(E1032=1,L1032=0),AH1032,"")</f>
        <v>21.4</v>
      </c>
      <c r="AZ1032" s="34">
        <f>IF(G1032=1,F1032,"")</f>
        <v>11.3</v>
      </c>
      <c r="BA1032" s="34" t="str">
        <f>IF(AND(G1032=1,L1032=1),F1032,"")</f>
        <v/>
      </c>
      <c r="BB1032" s="34">
        <f>IF(AND(G1032=1,L1032=0),F1032,"")</f>
        <v>11.3</v>
      </c>
      <c r="BC1032" s="33">
        <f>IF(E1032=1,IF(Orders!R1029&gt;3,1,0),"")</f>
        <v>1</v>
      </c>
      <c r="BD1032" s="33">
        <f>IF(E1032=1,IF(Orders!R1029&gt;7,1,0),"")</f>
        <v>1</v>
      </c>
      <c r="BE1032" s="32" t="str">
        <f>IF(E1032=1,IF(Orders!L1029&lt;=1.5,"Up to 1.5 km",IF(Orders!L1029&lt;=3,"1.5–3 km","Over 3 km")),"")</f>
        <v>1.5–3 km</v>
      </c>
      <c r="BF1032" s="33">
        <f>IF(E1032=1,IF(ABS((Orders!G1029-Orders!F1029)*1440-Orders!R1029)&lt;0.06,1,0),"")</f>
        <v>1</v>
      </c>
      <c r="BG1032" s="33">
        <f>IF(ABS((Orders!F1029-Orders!E1029)*1440-Orders!P1029)&lt;0.06,1,0)</f>
        <v>1</v>
      </c>
      <c r="BH1032" s="33">
        <f>IF(E1032=1,IF(IF(Orders!S1029,1,0)=1-G1032,1,0),"")</f>
        <v>1</v>
      </c>
      <c r="BI1032" s="32" t="str">
        <f>INDEX(Stores!$B$2:$B$21,MATCH(B1032,Stores!$A$2:$A$21,0))</f>
        <v>Mumbai</v>
      </c>
    </row>
    <row r="1033">
      <c r="A1033" s="32" t="str">
        <f>Orders!A1030</f>
        <v>O01029</v>
      </c>
      <c r="B1033" s="32" t="str">
        <f>Orders!C1030</f>
        <v>S005</v>
      </c>
      <c r="C1033" s="32" t="str">
        <f>Orders!B1030</f>
        <v>C0111</v>
      </c>
      <c r="D1033" s="32" t="str">
        <f>Orders!H1030</f>
        <v>Delivered</v>
      </c>
      <c r="E1033" s="33">
        <f>IF(Orders!H1030="Delivered",1,0)</f>
        <v>1</v>
      </c>
      <c r="F1033" s="34">
        <f>IF(E1033=1,Orders!R1030,"")</f>
        <v>-1.2</v>
      </c>
      <c r="G1033" s="33">
        <f>IF(E1033=1,IF(Orders!R1030&gt;0,1,0),"")</f>
        <v>0</v>
      </c>
      <c r="H1033" s="33">
        <f>IF(E1033=1,IF(Orders!R1030&gt;5,1,0),"")</f>
        <v>0</v>
      </c>
      <c r="I1033" s="32" t="str">
        <f>IF(E1033=1,"",IF(OR(Orders!T1030="Rider unavailable",Orders!T1030="Item unavailable"),"Company-caused","Unresolved"))</f>
        <v/>
      </c>
      <c r="J1033" s="33">
        <f>IF(OR(E1033=1,I1033="Company-caused"),1,0)</f>
        <v>1</v>
      </c>
      <c r="K1033" s="32" t="str">
        <f>IF(E1033=0,IF(I1033="Company-caused",IF(Orders!T1030="Rider unavailable","C1 Rider unavailable","C2 Item unavailable"),"Outside root: unresolved"),IF(G1033=0,"A On time",IF(H1033=1,IF(L1033=1,"B2a Severe, peak","B2b Severe, off-peak"),IF(L1033=1,"B1a Slight, peak","B1b Slight, off-peak"))))</f>
        <v>A On time</v>
      </c>
      <c r="L1033" s="33">
        <f>IF(AND(Orders!U1030&gt;=19,Orders!U1030&lt;22),1,0)</f>
        <v>1</v>
      </c>
      <c r="M1033" s="33">
        <f>IF(L1033=IF(Orders!V1030,1,0),1,0)</f>
        <v>1</v>
      </c>
      <c r="N1033" s="32" t="str">
        <f>IF(Orders!W1030="","None",Orders!W1030)</f>
        <v>None</v>
      </c>
      <c r="O1033" s="35">
        <f>INT(Orders!E1030)</f>
        <v>46269.0</v>
      </c>
      <c r="P1033" s="33">
        <f>Orders!U1030</f>
        <v>20</v>
      </c>
      <c r="Q1033" s="33">
        <f>COUNTIFS(Demand!$A$2:$A$4481,B1033,Demand!$B$2:$B$4481,O1033,Demand!$C$2:$C$4481,P1033)</f>
        <v>1</v>
      </c>
      <c r="R1033" s="33">
        <f>IF(Q1033=1,SUMIFS(Demand!$E$2:$E$4481,Demand!$A$2:$A$4481,B1033,Demand!$B$2:$B$4481,O1033,Demand!$C$2:$C$4481,P1033),"")</f>
        <v>23</v>
      </c>
      <c r="S1033" s="33">
        <f>INDEX(Stores!$G$2:$G$21,MATCH(B1033,Stores!$A$2:$A$21,0))</f>
        <v>14</v>
      </c>
      <c r="T1033" s="34">
        <f>IF(R1033="","",R1033/S1033)</f>
        <v>1.64285714285714</v>
      </c>
      <c r="U1033" s="34">
        <f>IF(E1033=1,T1033,"")</f>
        <v>1.64285714285714</v>
      </c>
      <c r="V1033" s="34" t="str">
        <f>IF(AND(E1033=1,L1033=0),T1033,"")</f>
        <v/>
      </c>
      <c r="W1033" s="33">
        <f>IF(U1033="","",IF(U1033&lt;=Breakdowns!$C$5,1,IF(U1033&lt;=Breakdowns!$C$6,2,IF(U1033&lt;=Breakdowns!$C$7,3,4))))</f>
        <v>4</v>
      </c>
      <c r="X1033" s="33" t="str">
        <f>IF(V1033="","",IF(V1033&lt;=Breakdowns!$D$5,1,IF(V1033&lt;=Breakdowns!$D$6,2,IF(V1033&lt;=Breakdowns!$D$7,3,4))))</f>
        <v/>
      </c>
      <c r="Y1033" s="34">
        <f>INDEX(Stores!$F$2:$F$21,MATCH(B1033,Stores!$A$2:$A$21,0))</f>
        <v>4.89</v>
      </c>
      <c r="Z1033" s="33">
        <f>IF(Y1033&gt;Store_Summary!$M$2,1,0)</f>
        <v>0</v>
      </c>
      <c r="AA1033" s="33">
        <f>INDEX(Stores!$C$2:$C$21,MATCH(B1033,Stores!$A$2:$A$21,0))</f>
        <v>138</v>
      </c>
      <c r="AB1033" s="33">
        <f>IF(AA1033&lt;180,1,0)</f>
        <v>1</v>
      </c>
      <c r="AC1033" s="32" t="str">
        <f>IF(Orders!D1030="","",INDEX(Riders!$C$2:$C$81,MATCH(Orders!D1030,Riders!$A$2:$A$81,0)))</f>
        <v>EV scooter</v>
      </c>
      <c r="AD1033" s="33">
        <f>IF(Orders!D1030="","",INDEX(Riders!$D$2:$D$81,MATCH(Orders!D1030,Riders!$A$2:$A$81,0)))</f>
        <v>2</v>
      </c>
      <c r="AE1033" s="33">
        <f>IF(Orders!D1030="","",IF(INDEX(Riders!$B$2:$B$81,MATCH(Orders!D1030,Riders!$A$2:$A$81,0))=B1033,1,0))</f>
        <v>0</v>
      </c>
      <c r="AF1033" s="34">
        <f>IF(E1033=1,Orders!L1030,"")</f>
        <v>1.07</v>
      </c>
      <c r="AG1033" s="34">
        <f>IF(E1033=1,Orders!P1030,"")</f>
        <v>8.9</v>
      </c>
      <c r="AH1033" s="34">
        <f>IF(E1033=1,Orders!Q1030,"")</f>
        <v>7.7</v>
      </c>
      <c r="AI1033" s="34">
        <f>IF(E1033=1,Orders!M1030,"")</f>
        <v>2.4</v>
      </c>
      <c r="AJ1033" s="34">
        <f>IF(E1033=1,Orders!N1030,"")</f>
        <v>3</v>
      </c>
      <c r="AK1033" s="34">
        <f>IF(E1033=1,Orders!O1030,"")</f>
        <v>2.3</v>
      </c>
      <c r="AL1033" s="33">
        <f>IF(E1033=1,IF(ROUND(ABS(AI1033+AJ1033+AK1033-AH1033),6)&lt;=0.1,1,0),"")</f>
        <v>1</v>
      </c>
      <c r="AM1033" s="36">
        <f>IF(E1033=1,AI1033/AH1033,"")</f>
        <v>0.311688311688312</v>
      </c>
      <c r="AN1033" s="36">
        <f>IF(E1033=1,AJ1033/AH1033,"")</f>
        <v>0.38961038961039</v>
      </c>
      <c r="AO1033" s="36">
        <f>IF(E1033=1,AK1033/AH1033,"")</f>
        <v>0.298701298701299</v>
      </c>
      <c r="AP1033" s="34">
        <f>IF(E1033=1,Orders!Y1030,"")</f>
        <v>0.76</v>
      </c>
      <c r="AQ1033" s="33">
        <f>IF(Orders!X1030,1,0)</f>
        <v>0</v>
      </c>
      <c r="AR1033" s="34">
        <f>IF(AND(E1033=1,L1033=1),AJ1033,"")</f>
        <v>3</v>
      </c>
      <c r="AS1033" s="34" t="str">
        <f>IF(AND(E1033=1,L1033=0),AJ1033,"")</f>
        <v/>
      </c>
      <c r="AT1033" s="34">
        <f>IF(AND(E1033=1,L1033=1),AI1033,"")</f>
        <v>2.4</v>
      </c>
      <c r="AU1033" s="34" t="str">
        <f>IF(AND(E1033=1,L1033=0),AI1033,"")</f>
        <v/>
      </c>
      <c r="AV1033" s="34">
        <f>IF(AND(E1033=1,L1033=1),AG1033,"")</f>
        <v>8.9</v>
      </c>
      <c r="AW1033" s="34" t="str">
        <f>IF(AND(E1033=1,L1033=0),AG1033,"")</f>
        <v/>
      </c>
      <c r="AX1033" s="34">
        <f>IF(AND(E1033=1,L1033=1),AH1033,"")</f>
        <v>7.7</v>
      </c>
      <c r="AY1033" s="34" t="str">
        <f>IF(AND(E1033=1,L1033=0),AH1033,"")</f>
        <v/>
      </c>
      <c r="AZ1033" s="34" t="str">
        <f>IF(G1033=1,F1033,"")</f>
        <v/>
      </c>
      <c r="BA1033" s="34" t="str">
        <f>IF(AND(G1033=1,L1033=1),F1033,"")</f>
        <v/>
      </c>
      <c r="BB1033" s="34" t="str">
        <f>IF(AND(G1033=1,L1033=0),F1033,"")</f>
        <v/>
      </c>
      <c r="BC1033" s="33">
        <f>IF(E1033=1,IF(Orders!R1030&gt;3,1,0),"")</f>
        <v>0</v>
      </c>
      <c r="BD1033" s="33">
        <f>IF(E1033=1,IF(Orders!R1030&gt;7,1,0),"")</f>
        <v>0</v>
      </c>
      <c r="BE1033" s="32" t="str">
        <f>IF(E1033=1,IF(Orders!L1030&lt;=1.5,"Up to 1.5 km",IF(Orders!L1030&lt;=3,"1.5–3 km","Over 3 km")),"")</f>
        <v>Up to 1.5 km</v>
      </c>
      <c r="BF1033" s="33">
        <f>IF(E1033=1,IF(ABS((Orders!G1030-Orders!F1030)*1440-Orders!R1030)&lt;0.06,1,0),"")</f>
        <v>1</v>
      </c>
      <c r="BG1033" s="33">
        <f>IF(ABS((Orders!F1030-Orders!E1030)*1440-Orders!P1030)&lt;0.06,1,0)</f>
        <v>1</v>
      </c>
      <c r="BH1033" s="33">
        <f>IF(E1033=1,IF(IF(Orders!S1030,1,0)=1-G1033,1,0),"")</f>
        <v>1</v>
      </c>
      <c r="BI1033" s="32" t="str">
        <f>INDEX(Stores!$B$2:$B$21,MATCH(B1033,Stores!$A$2:$A$21,0))</f>
        <v>Delhi</v>
      </c>
    </row>
    <row r="1034">
      <c r="A1034" s="32" t="str">
        <f>Orders!A1031</f>
        <v>O01030</v>
      </c>
      <c r="B1034" s="32" t="str">
        <f>Orders!C1031</f>
        <v>S004</v>
      </c>
      <c r="C1034" s="32" t="str">
        <f>Orders!B1031</f>
        <v>C0054</v>
      </c>
      <c r="D1034" s="32" t="str">
        <f>Orders!H1031</f>
        <v>Delivered</v>
      </c>
      <c r="E1034" s="33">
        <f>IF(Orders!H1031="Delivered",1,0)</f>
        <v>1</v>
      </c>
      <c r="F1034" s="34">
        <f>IF(E1034=1,Orders!R1031,"")</f>
        <v>-0.4</v>
      </c>
      <c r="G1034" s="33">
        <f>IF(E1034=1,IF(Orders!R1031&gt;0,1,0),"")</f>
        <v>0</v>
      </c>
      <c r="H1034" s="33">
        <f>IF(E1034=1,IF(Orders!R1031&gt;5,1,0),"")</f>
        <v>0</v>
      </c>
      <c r="I1034" s="32" t="str">
        <f>IF(E1034=1,"",IF(OR(Orders!T1031="Rider unavailable",Orders!T1031="Item unavailable"),"Company-caused","Unresolved"))</f>
        <v/>
      </c>
      <c r="J1034" s="33">
        <f>IF(OR(E1034=1,I1034="Company-caused"),1,0)</f>
        <v>1</v>
      </c>
      <c r="K1034" s="32" t="str">
        <f>IF(E1034=0,IF(I1034="Company-caused",IF(Orders!T1031="Rider unavailable","C1 Rider unavailable","C2 Item unavailable"),"Outside root: unresolved"),IF(G1034=0,"A On time",IF(H1034=1,IF(L1034=1,"B2a Severe, peak","B2b Severe, off-peak"),IF(L1034=1,"B1a Slight, peak","B1b Slight, off-peak"))))</f>
        <v>A On time</v>
      </c>
      <c r="L1034" s="33">
        <f>IF(AND(Orders!U1031&gt;=19,Orders!U1031&lt;22),1,0)</f>
        <v>0</v>
      </c>
      <c r="M1034" s="33">
        <f>IF(L1034=IF(Orders!V1031,1,0),1,0)</f>
        <v>1</v>
      </c>
      <c r="N1034" s="32" t="str">
        <f>IF(Orders!W1031="","None",Orders!W1031)</f>
        <v>Light</v>
      </c>
      <c r="O1034" s="35">
        <f>INT(Orders!E1031)</f>
        <v>46276.0</v>
      </c>
      <c r="P1034" s="33">
        <f>Orders!U1031</f>
        <v>13</v>
      </c>
      <c r="Q1034" s="33">
        <f>COUNTIFS(Demand!$A$2:$A$4481,B1034,Demand!$B$2:$B$4481,O1034,Demand!$C$2:$C$4481,P1034)</f>
        <v>1</v>
      </c>
      <c r="R1034" s="33">
        <f>IF(Q1034=1,SUMIFS(Demand!$E$2:$E$4481,Demand!$A$2:$A$4481,B1034,Demand!$B$2:$B$4481,O1034,Demand!$C$2:$C$4481,P1034),"")</f>
        <v>42</v>
      </c>
      <c r="S1034" s="33">
        <f>INDEX(Stores!$G$2:$G$21,MATCH(B1034,Stores!$A$2:$A$21,0))</f>
        <v>42</v>
      </c>
      <c r="T1034" s="34">
        <f>IF(R1034="","",R1034/S1034)</f>
        <v>1</v>
      </c>
      <c r="U1034" s="34">
        <f>IF(E1034=1,T1034,"")</f>
        <v>1</v>
      </c>
      <c r="V1034" s="34">
        <f>IF(AND(E1034=1,L1034=0),T1034,"")</f>
        <v>1</v>
      </c>
      <c r="W1034" s="33">
        <f>IF(U1034="","",IF(U1034&lt;=Breakdowns!$C$5,1,IF(U1034&lt;=Breakdowns!$C$6,2,IF(U1034&lt;=Breakdowns!$C$7,3,4))))</f>
        <v>2</v>
      </c>
      <c r="X1034" s="33">
        <f>IF(V1034="","",IF(V1034&lt;=Breakdowns!$D$5,1,IF(V1034&lt;=Breakdowns!$D$6,2,IF(V1034&lt;=Breakdowns!$D$7,3,4))))</f>
        <v>3</v>
      </c>
      <c r="Y1034" s="34">
        <f>INDEX(Stores!$F$2:$F$21,MATCH(B1034,Stores!$A$2:$A$21,0))</f>
        <v>2.19</v>
      </c>
      <c r="Z1034" s="33">
        <f>IF(Y1034&gt;Store_Summary!$M$2,1,0)</f>
        <v>0</v>
      </c>
      <c r="AA1034" s="33">
        <f>INDEX(Stores!$C$2:$C$21,MATCH(B1034,Stores!$A$2:$A$21,0))</f>
        <v>850</v>
      </c>
      <c r="AB1034" s="33">
        <f>IF(AA1034&lt;180,1,0)</f>
        <v>0</v>
      </c>
      <c r="AC1034" s="32" t="str">
        <f>IF(Orders!D1031="","",INDEX(Riders!$C$2:$C$81,MATCH(Orders!D1031,Riders!$A$2:$A$81,0)))</f>
        <v>EV scooter</v>
      </c>
      <c r="AD1034" s="33">
        <f>IF(Orders!D1031="","",INDEX(Riders!$D$2:$D$81,MATCH(Orders!D1031,Riders!$A$2:$A$81,0)))</f>
        <v>24</v>
      </c>
      <c r="AE1034" s="33">
        <f>IF(Orders!D1031="","",IF(INDEX(Riders!$B$2:$B$81,MATCH(Orders!D1031,Riders!$A$2:$A$81,0))=B1034,1,0))</f>
        <v>0</v>
      </c>
      <c r="AF1034" s="34">
        <f>IF(E1034=1,Orders!L1031,"")</f>
        <v>3.25</v>
      </c>
      <c r="AG1034" s="34">
        <f>IF(E1034=1,Orders!P1031,"")</f>
        <v>9.1</v>
      </c>
      <c r="AH1034" s="34">
        <f>IF(E1034=1,Orders!Q1031,"")</f>
        <v>8.7</v>
      </c>
      <c r="AI1034" s="34">
        <f>IF(E1034=1,Orders!M1031,"")</f>
        <v>1.4</v>
      </c>
      <c r="AJ1034" s="34">
        <f>IF(E1034=1,Orders!N1031,"")</f>
        <v>0.9</v>
      </c>
      <c r="AK1034" s="34">
        <f>IF(E1034=1,Orders!O1031,"")</f>
        <v>6.4</v>
      </c>
      <c r="AL1034" s="33">
        <f>IF(E1034=1,IF(ROUND(ABS(AI1034+AJ1034+AK1034-AH1034),6)&lt;=0.1,1,0),"")</f>
        <v>1</v>
      </c>
      <c r="AM1034" s="36">
        <f>IF(E1034=1,AI1034/AH1034,"")</f>
        <v>0.160919540229885</v>
      </c>
      <c r="AN1034" s="36">
        <f>IF(E1034=1,AJ1034/AH1034,"")</f>
        <v>0.103448275862069</v>
      </c>
      <c r="AO1034" s="36">
        <f>IF(E1034=1,AK1034/AH1034,"")</f>
        <v>0.735632183908046</v>
      </c>
      <c r="AP1034" s="34">
        <f>IF(E1034=1,Orders!Y1031,"")</f>
        <v>0.51</v>
      </c>
      <c r="AQ1034" s="33">
        <f>IF(Orders!X1031,1,0)</f>
        <v>0</v>
      </c>
      <c r="AR1034" s="34" t="str">
        <f>IF(AND(E1034=1,L1034=1),AJ1034,"")</f>
        <v/>
      </c>
      <c r="AS1034" s="34">
        <f>IF(AND(E1034=1,L1034=0),AJ1034,"")</f>
        <v>0.9</v>
      </c>
      <c r="AT1034" s="34" t="str">
        <f>IF(AND(E1034=1,L1034=1),AI1034,"")</f>
        <v/>
      </c>
      <c r="AU1034" s="34">
        <f>IF(AND(E1034=1,L1034=0),AI1034,"")</f>
        <v>1.4</v>
      </c>
      <c r="AV1034" s="34" t="str">
        <f>IF(AND(E1034=1,L1034=1),AG1034,"")</f>
        <v/>
      </c>
      <c r="AW1034" s="34">
        <f>IF(AND(E1034=1,L1034=0),AG1034,"")</f>
        <v>9.1</v>
      </c>
      <c r="AX1034" s="34" t="str">
        <f>IF(AND(E1034=1,L1034=1),AH1034,"")</f>
        <v/>
      </c>
      <c r="AY1034" s="34">
        <f>IF(AND(E1034=1,L1034=0),AH1034,"")</f>
        <v>8.7</v>
      </c>
      <c r="AZ1034" s="34" t="str">
        <f>IF(G1034=1,F1034,"")</f>
        <v/>
      </c>
      <c r="BA1034" s="34" t="str">
        <f>IF(AND(G1034=1,L1034=1),F1034,"")</f>
        <v/>
      </c>
      <c r="BB1034" s="34" t="str">
        <f>IF(AND(G1034=1,L1034=0),F1034,"")</f>
        <v/>
      </c>
      <c r="BC1034" s="33">
        <f>IF(E1034=1,IF(Orders!R1031&gt;3,1,0),"")</f>
        <v>0</v>
      </c>
      <c r="BD1034" s="33">
        <f>IF(E1034=1,IF(Orders!R1031&gt;7,1,0),"")</f>
        <v>0</v>
      </c>
      <c r="BE1034" s="32" t="str">
        <f>IF(E1034=1,IF(Orders!L1031&lt;=1.5,"Up to 1.5 km",IF(Orders!L1031&lt;=3,"1.5–3 km","Over 3 km")),"")</f>
        <v>Over 3 km</v>
      </c>
      <c r="BF1034" s="33">
        <f>IF(E1034=1,IF(ABS((Orders!G1031-Orders!F1031)*1440-Orders!R1031)&lt;0.06,1,0),"")</f>
        <v>1</v>
      </c>
      <c r="BG1034" s="33">
        <f>IF(ABS((Orders!F1031-Orders!E1031)*1440-Orders!P1031)&lt;0.06,1,0)</f>
        <v>1</v>
      </c>
      <c r="BH1034" s="33">
        <f>IF(E1034=1,IF(IF(Orders!S1031,1,0)=1-G1034,1,0),"")</f>
        <v>1</v>
      </c>
      <c r="BI1034" s="32" t="str">
        <f>INDEX(Stores!$B$2:$B$21,MATCH(B1034,Stores!$A$2:$A$21,0))</f>
        <v>Pune</v>
      </c>
    </row>
    <row r="1035">
      <c r="A1035" s="32" t="str">
        <f>Orders!A1032</f>
        <v>O01031</v>
      </c>
      <c r="B1035" s="32" t="str">
        <f>Orders!C1032</f>
        <v>S017</v>
      </c>
      <c r="C1035" s="32" t="str">
        <f>Orders!B1032</f>
        <v>C0231</v>
      </c>
      <c r="D1035" s="32" t="str">
        <f>Orders!H1032</f>
        <v>Delivered</v>
      </c>
      <c r="E1035" s="33">
        <f>IF(Orders!H1032="Delivered",1,0)</f>
        <v>1</v>
      </c>
      <c r="F1035" s="34">
        <f>IF(E1035=1,Orders!R1032,"")</f>
        <v>0</v>
      </c>
      <c r="G1035" s="33">
        <f>IF(E1035=1,IF(Orders!R1032&gt;0,1,0),"")</f>
        <v>0</v>
      </c>
      <c r="H1035" s="33">
        <f>IF(E1035=1,IF(Orders!R1032&gt;5,1,0),"")</f>
        <v>0</v>
      </c>
      <c r="I1035" s="32" t="str">
        <f>IF(E1035=1,"",IF(OR(Orders!T1032="Rider unavailable",Orders!T1032="Item unavailable"),"Company-caused","Unresolved"))</f>
        <v/>
      </c>
      <c r="J1035" s="33">
        <f>IF(OR(E1035=1,I1035="Company-caused"),1,0)</f>
        <v>1</v>
      </c>
      <c r="K1035" s="32" t="str">
        <f>IF(E1035=0,IF(I1035="Company-caused",IF(Orders!T1032="Rider unavailable","C1 Rider unavailable","C2 Item unavailable"),"Outside root: unresolved"),IF(G1035=0,"A On time",IF(H1035=1,IF(L1035=1,"B2a Severe, peak","B2b Severe, off-peak"),IF(L1035=1,"B1a Slight, peak","B1b Slight, off-peak"))))</f>
        <v>A On time</v>
      </c>
      <c r="L1035" s="33">
        <f>IF(AND(Orders!U1032&gt;=19,Orders!U1032&lt;22),1,0)</f>
        <v>0</v>
      </c>
      <c r="M1035" s="33">
        <f>IF(L1035=IF(Orders!V1032,1,0),1,0)</f>
        <v>1</v>
      </c>
      <c r="N1035" s="32" t="str">
        <f>IF(Orders!W1032="","None",Orders!W1032)</f>
        <v>None</v>
      </c>
      <c r="O1035" s="35">
        <f>INT(Orders!E1032)</f>
        <v>46273.0</v>
      </c>
      <c r="P1035" s="33">
        <f>Orders!U1032</f>
        <v>14</v>
      </c>
      <c r="Q1035" s="33">
        <f>COUNTIFS(Demand!$A$2:$A$4481,B1035,Demand!$B$2:$B$4481,O1035,Demand!$C$2:$C$4481,P1035)</f>
        <v>1</v>
      </c>
      <c r="R1035" s="33">
        <f>IF(Q1035=1,SUMIFS(Demand!$E$2:$E$4481,Demand!$A$2:$A$4481,B1035,Demand!$B$2:$B$4481,O1035,Demand!$C$2:$C$4481,P1035),"")</f>
        <v>25</v>
      </c>
      <c r="S1035" s="33">
        <f>INDEX(Stores!$G$2:$G$21,MATCH(B1035,Stores!$A$2:$A$21,0))</f>
        <v>36</v>
      </c>
      <c r="T1035" s="34">
        <f>IF(R1035="","",R1035/S1035)</f>
        <v>0.694444444444444</v>
      </c>
      <c r="U1035" s="34">
        <f>IF(E1035=1,T1035,"")</f>
        <v>0.694444444444444</v>
      </c>
      <c r="V1035" s="34">
        <f>IF(AND(E1035=1,L1035=0),T1035,"")</f>
        <v>0.694444444444444</v>
      </c>
      <c r="W1035" s="33">
        <f>IF(U1035="","",IF(U1035&lt;=Breakdowns!$C$5,1,IF(U1035&lt;=Breakdowns!$C$6,2,IF(U1035&lt;=Breakdowns!$C$7,3,4))))</f>
        <v>1</v>
      </c>
      <c r="X1035" s="33">
        <f>IF(V1035="","",IF(V1035&lt;=Breakdowns!$D$5,1,IF(V1035&lt;=Breakdowns!$D$6,2,IF(V1035&lt;=Breakdowns!$D$7,3,4))))</f>
        <v>1</v>
      </c>
      <c r="Y1035" s="34">
        <f>INDEX(Stores!$F$2:$F$21,MATCH(B1035,Stores!$A$2:$A$21,0))</f>
        <v>2.16</v>
      </c>
      <c r="Z1035" s="33">
        <f>IF(Y1035&gt;Store_Summary!$M$2,1,0)</f>
        <v>0</v>
      </c>
      <c r="AA1035" s="33">
        <f>INDEX(Stores!$C$2:$C$21,MATCH(B1035,Stores!$A$2:$A$21,0))</f>
        <v>47</v>
      </c>
      <c r="AB1035" s="33">
        <f>IF(AA1035&lt;180,1,0)</f>
        <v>1</v>
      </c>
      <c r="AC1035" s="32" t="str">
        <f>IF(Orders!D1032="","",INDEX(Riders!$C$2:$C$81,MATCH(Orders!D1032,Riders!$A$2:$A$81,0)))</f>
        <v>EV scooter</v>
      </c>
      <c r="AD1035" s="33">
        <f>IF(Orders!D1032="","",INDEX(Riders!$D$2:$D$81,MATCH(Orders!D1032,Riders!$A$2:$A$81,0)))</f>
        <v>45</v>
      </c>
      <c r="AE1035" s="33">
        <f>IF(Orders!D1032="","",IF(INDEX(Riders!$B$2:$B$81,MATCH(Orders!D1032,Riders!$A$2:$A$81,0))=B1035,1,0))</f>
        <v>0</v>
      </c>
      <c r="AF1035" s="34">
        <f>IF(E1035=1,Orders!L1032,"")</f>
        <v>2.15</v>
      </c>
      <c r="AG1035" s="34">
        <f>IF(E1035=1,Orders!P1032,"")</f>
        <v>10</v>
      </c>
      <c r="AH1035" s="34">
        <f>IF(E1035=1,Orders!Q1032,"")</f>
        <v>10</v>
      </c>
      <c r="AI1035" s="34">
        <f>IF(E1035=1,Orders!M1032,"")</f>
        <v>2.5</v>
      </c>
      <c r="AJ1035" s="34">
        <f>IF(E1035=1,Orders!N1032,"")</f>
        <v>2.7</v>
      </c>
      <c r="AK1035" s="34">
        <f>IF(E1035=1,Orders!O1032,"")</f>
        <v>4.8</v>
      </c>
      <c r="AL1035" s="33">
        <f>IF(E1035=1,IF(ROUND(ABS(AI1035+AJ1035+AK1035-AH1035),6)&lt;=0.1,1,0),"")</f>
        <v>1</v>
      </c>
      <c r="AM1035" s="36">
        <f>IF(E1035=1,AI1035/AH1035,"")</f>
        <v>0.25</v>
      </c>
      <c r="AN1035" s="36">
        <f>IF(E1035=1,AJ1035/AH1035,"")</f>
        <v>0.27</v>
      </c>
      <c r="AO1035" s="36">
        <f>IF(E1035=1,AK1035/AH1035,"")</f>
        <v>0.48</v>
      </c>
      <c r="AP1035" s="34">
        <f>IF(E1035=1,Orders!Y1032,"")</f>
        <v>0.37</v>
      </c>
      <c r="AQ1035" s="33">
        <f>IF(Orders!X1032,1,0)</f>
        <v>0</v>
      </c>
      <c r="AR1035" s="34" t="str">
        <f>IF(AND(E1035=1,L1035=1),AJ1035,"")</f>
        <v/>
      </c>
      <c r="AS1035" s="34">
        <f>IF(AND(E1035=1,L1035=0),AJ1035,"")</f>
        <v>2.7</v>
      </c>
      <c r="AT1035" s="34" t="str">
        <f>IF(AND(E1035=1,L1035=1),AI1035,"")</f>
        <v/>
      </c>
      <c r="AU1035" s="34">
        <f>IF(AND(E1035=1,L1035=0),AI1035,"")</f>
        <v>2.5</v>
      </c>
      <c r="AV1035" s="34" t="str">
        <f>IF(AND(E1035=1,L1035=1),AG1035,"")</f>
        <v/>
      </c>
      <c r="AW1035" s="34">
        <f>IF(AND(E1035=1,L1035=0),AG1035,"")</f>
        <v>10</v>
      </c>
      <c r="AX1035" s="34" t="str">
        <f>IF(AND(E1035=1,L1035=1),AH1035,"")</f>
        <v/>
      </c>
      <c r="AY1035" s="34">
        <f>IF(AND(E1035=1,L1035=0),AH1035,"")</f>
        <v>10</v>
      </c>
      <c r="AZ1035" s="34" t="str">
        <f>IF(G1035=1,F1035,"")</f>
        <v/>
      </c>
      <c r="BA1035" s="34" t="str">
        <f>IF(AND(G1035=1,L1035=1),F1035,"")</f>
        <v/>
      </c>
      <c r="BB1035" s="34" t="str">
        <f>IF(AND(G1035=1,L1035=0),F1035,"")</f>
        <v/>
      </c>
      <c r="BC1035" s="33">
        <f>IF(E1035=1,IF(Orders!R1032&gt;3,1,0),"")</f>
        <v>0</v>
      </c>
      <c r="BD1035" s="33">
        <f>IF(E1035=1,IF(Orders!R1032&gt;7,1,0),"")</f>
        <v>0</v>
      </c>
      <c r="BE1035" s="32" t="str">
        <f>IF(E1035=1,IF(Orders!L1032&lt;=1.5,"Up to 1.5 km",IF(Orders!L1032&lt;=3,"1.5–3 km","Over 3 km")),"")</f>
        <v>1.5–3 km</v>
      </c>
      <c r="BF1035" s="33">
        <f>IF(E1035=1,IF(ABS((Orders!G1032-Orders!F1032)*1440-Orders!R1032)&lt;0.06,1,0),"")</f>
        <v>1</v>
      </c>
      <c r="BG1035" s="33">
        <f>IF(ABS((Orders!F1032-Orders!E1032)*1440-Orders!P1032)&lt;0.06,1,0)</f>
        <v>1</v>
      </c>
      <c r="BH1035" s="33">
        <f>IF(E1035=1,IF(IF(Orders!S1032,1,0)=1-G1035,1,0),"")</f>
        <v>1</v>
      </c>
      <c r="BI1035" s="32" t="str">
        <f>INDEX(Stores!$B$2:$B$21,MATCH(B1035,Stores!$A$2:$A$21,0))</f>
        <v>Hyderabad</v>
      </c>
    </row>
    <row r="1036">
      <c r="A1036" s="32" t="str">
        <f>Orders!A1033</f>
        <v>O01032</v>
      </c>
      <c r="B1036" s="32" t="str">
        <f>Orders!C1033</f>
        <v>S017</v>
      </c>
      <c r="C1036" s="32" t="str">
        <f>Orders!B1033</f>
        <v>C0166</v>
      </c>
      <c r="D1036" s="32" t="str">
        <f>Orders!H1033</f>
        <v>Delivered</v>
      </c>
      <c r="E1036" s="33">
        <f>IF(Orders!H1033="Delivered",1,0)</f>
        <v>1</v>
      </c>
      <c r="F1036" s="34">
        <f>IF(E1036=1,Orders!R1033,"")</f>
        <v>-1</v>
      </c>
      <c r="G1036" s="33">
        <f>IF(E1036=1,IF(Orders!R1033&gt;0,1,0),"")</f>
        <v>0</v>
      </c>
      <c r="H1036" s="33">
        <f>IF(E1036=1,IF(Orders!R1033&gt;5,1,0),"")</f>
        <v>0</v>
      </c>
      <c r="I1036" s="32" t="str">
        <f>IF(E1036=1,"",IF(OR(Orders!T1033="Rider unavailable",Orders!T1033="Item unavailable"),"Company-caused","Unresolved"))</f>
        <v/>
      </c>
      <c r="J1036" s="33">
        <f>IF(OR(E1036=1,I1036="Company-caused"),1,0)</f>
        <v>1</v>
      </c>
      <c r="K1036" s="32" t="str">
        <f>IF(E1036=0,IF(I1036="Company-caused",IF(Orders!T1033="Rider unavailable","C1 Rider unavailable","C2 Item unavailable"),"Outside root: unresolved"),IF(G1036=0,"A On time",IF(H1036=1,IF(L1036=1,"B2a Severe, peak","B2b Severe, off-peak"),IF(L1036=1,"B1a Slight, peak","B1b Slight, off-peak"))))</f>
        <v>A On time</v>
      </c>
      <c r="L1036" s="33">
        <f>IF(AND(Orders!U1033&gt;=19,Orders!U1033&lt;22),1,0)</f>
        <v>0</v>
      </c>
      <c r="M1036" s="33">
        <f>IF(L1036=IF(Orders!V1033,1,0),1,0)</f>
        <v>1</v>
      </c>
      <c r="N1036" s="32" t="str">
        <f>IF(Orders!W1033="","None",Orders!W1033)</f>
        <v>None</v>
      </c>
      <c r="O1036" s="35">
        <f>INT(Orders!E1033)</f>
        <v>46268.0</v>
      </c>
      <c r="P1036" s="33">
        <f>Orders!U1033</f>
        <v>11</v>
      </c>
      <c r="Q1036" s="33">
        <f>COUNTIFS(Demand!$A$2:$A$4481,B1036,Demand!$B$2:$B$4481,O1036,Demand!$C$2:$C$4481,P1036)</f>
        <v>1</v>
      </c>
      <c r="R1036" s="33">
        <f>IF(Q1036=1,SUMIFS(Demand!$E$2:$E$4481,Demand!$A$2:$A$4481,B1036,Demand!$B$2:$B$4481,O1036,Demand!$C$2:$C$4481,P1036),"")</f>
        <v>35</v>
      </c>
      <c r="S1036" s="33">
        <f>INDEX(Stores!$G$2:$G$21,MATCH(B1036,Stores!$A$2:$A$21,0))</f>
        <v>36</v>
      </c>
      <c r="T1036" s="34">
        <f>IF(R1036="","",R1036/S1036)</f>
        <v>0.972222222222222</v>
      </c>
      <c r="U1036" s="34">
        <f>IF(E1036=1,T1036,"")</f>
        <v>0.972222222222222</v>
      </c>
      <c r="V1036" s="34">
        <f>IF(AND(E1036=1,L1036=0),T1036,"")</f>
        <v>0.972222222222222</v>
      </c>
      <c r="W1036" s="33">
        <f>IF(U1036="","",IF(U1036&lt;=Breakdowns!$C$5,1,IF(U1036&lt;=Breakdowns!$C$6,2,IF(U1036&lt;=Breakdowns!$C$7,3,4))))</f>
        <v>2</v>
      </c>
      <c r="X1036" s="33">
        <f>IF(V1036="","",IF(V1036&lt;=Breakdowns!$D$5,1,IF(V1036&lt;=Breakdowns!$D$6,2,IF(V1036&lt;=Breakdowns!$D$7,3,4))))</f>
        <v>3</v>
      </c>
      <c r="Y1036" s="34">
        <f>INDEX(Stores!$F$2:$F$21,MATCH(B1036,Stores!$A$2:$A$21,0))</f>
        <v>2.16</v>
      </c>
      <c r="Z1036" s="33">
        <f>IF(Y1036&gt;Store_Summary!$M$2,1,0)</f>
        <v>0</v>
      </c>
      <c r="AA1036" s="33">
        <f>INDEX(Stores!$C$2:$C$21,MATCH(B1036,Stores!$A$2:$A$21,0))</f>
        <v>47</v>
      </c>
      <c r="AB1036" s="33">
        <f>IF(AA1036&lt;180,1,0)</f>
        <v>1</v>
      </c>
      <c r="AC1036" s="32" t="str">
        <f>IF(Orders!D1033="","",INDEX(Riders!$C$2:$C$81,MATCH(Orders!D1033,Riders!$A$2:$A$81,0)))</f>
        <v>Petrol scooter</v>
      </c>
      <c r="AD1036" s="33">
        <f>IF(Orders!D1033="","",INDEX(Riders!$D$2:$D$81,MATCH(Orders!D1033,Riders!$A$2:$A$81,0)))</f>
        <v>32</v>
      </c>
      <c r="AE1036" s="33">
        <f>IF(Orders!D1033="","",IF(INDEX(Riders!$B$2:$B$81,MATCH(Orders!D1033,Riders!$A$2:$A$81,0))=B1036,1,0))</f>
        <v>0</v>
      </c>
      <c r="AF1036" s="34">
        <f>IF(E1036=1,Orders!L1033,"")</f>
        <v>1</v>
      </c>
      <c r="AG1036" s="34">
        <f>IF(E1036=1,Orders!P1033,"")</f>
        <v>10.7</v>
      </c>
      <c r="AH1036" s="34">
        <f>IF(E1036=1,Orders!Q1033,"")</f>
        <v>9.7</v>
      </c>
      <c r="AI1036" s="34">
        <f>IF(E1036=1,Orders!M1033,"")</f>
        <v>2.1</v>
      </c>
      <c r="AJ1036" s="34">
        <f>IF(E1036=1,Orders!N1033,"")</f>
        <v>4.6</v>
      </c>
      <c r="AK1036" s="34">
        <f>IF(E1036=1,Orders!O1033,"")</f>
        <v>3</v>
      </c>
      <c r="AL1036" s="33">
        <f>IF(E1036=1,IF(ROUND(ABS(AI1036+AJ1036+AK1036-AH1036),6)&lt;=0.1,1,0),"")</f>
        <v>1</v>
      </c>
      <c r="AM1036" s="36">
        <f>IF(E1036=1,AI1036/AH1036,"")</f>
        <v>0.216494845360825</v>
      </c>
      <c r="AN1036" s="36">
        <f>IF(E1036=1,AJ1036/AH1036,"")</f>
        <v>0.474226804123711</v>
      </c>
      <c r="AO1036" s="36">
        <f>IF(E1036=1,AK1036/AH1036,"")</f>
        <v>0.309278350515464</v>
      </c>
      <c r="AP1036" s="34">
        <f>IF(E1036=1,Orders!Y1033,"")</f>
        <v>0.33</v>
      </c>
      <c r="AQ1036" s="33">
        <f>IF(Orders!X1033,1,0)</f>
        <v>1</v>
      </c>
      <c r="AR1036" s="34" t="str">
        <f>IF(AND(E1036=1,L1036=1),AJ1036,"")</f>
        <v/>
      </c>
      <c r="AS1036" s="34">
        <f>IF(AND(E1036=1,L1036=0),AJ1036,"")</f>
        <v>4.6</v>
      </c>
      <c r="AT1036" s="34" t="str">
        <f>IF(AND(E1036=1,L1036=1),AI1036,"")</f>
        <v/>
      </c>
      <c r="AU1036" s="34">
        <f>IF(AND(E1036=1,L1036=0),AI1036,"")</f>
        <v>2.1</v>
      </c>
      <c r="AV1036" s="34" t="str">
        <f>IF(AND(E1036=1,L1036=1),AG1036,"")</f>
        <v/>
      </c>
      <c r="AW1036" s="34">
        <f>IF(AND(E1036=1,L1036=0),AG1036,"")</f>
        <v>10.7</v>
      </c>
      <c r="AX1036" s="34" t="str">
        <f>IF(AND(E1036=1,L1036=1),AH1036,"")</f>
        <v/>
      </c>
      <c r="AY1036" s="34">
        <f>IF(AND(E1036=1,L1036=0),AH1036,"")</f>
        <v>9.7</v>
      </c>
      <c r="AZ1036" s="34" t="str">
        <f>IF(G1036=1,F1036,"")</f>
        <v/>
      </c>
      <c r="BA1036" s="34" t="str">
        <f>IF(AND(G1036=1,L1036=1),F1036,"")</f>
        <v/>
      </c>
      <c r="BB1036" s="34" t="str">
        <f>IF(AND(G1036=1,L1036=0),F1036,"")</f>
        <v/>
      </c>
      <c r="BC1036" s="33">
        <f>IF(E1036=1,IF(Orders!R1033&gt;3,1,0),"")</f>
        <v>0</v>
      </c>
      <c r="BD1036" s="33">
        <f>IF(E1036=1,IF(Orders!R1033&gt;7,1,0),"")</f>
        <v>0</v>
      </c>
      <c r="BE1036" s="32" t="str">
        <f>IF(E1036=1,IF(Orders!L1033&lt;=1.5,"Up to 1.5 km",IF(Orders!L1033&lt;=3,"1.5–3 km","Over 3 km")),"")</f>
        <v>Up to 1.5 km</v>
      </c>
      <c r="BF1036" s="33">
        <f>IF(E1036=1,IF(ABS((Orders!G1033-Orders!F1033)*1440-Orders!R1033)&lt;0.06,1,0),"")</f>
        <v>1</v>
      </c>
      <c r="BG1036" s="33">
        <f>IF(ABS((Orders!F1033-Orders!E1033)*1440-Orders!P1033)&lt;0.06,1,0)</f>
        <v>1</v>
      </c>
      <c r="BH1036" s="33">
        <f>IF(E1036=1,IF(IF(Orders!S1033,1,0)=1-G1036,1,0),"")</f>
        <v>1</v>
      </c>
      <c r="BI1036" s="32" t="str">
        <f>INDEX(Stores!$B$2:$B$21,MATCH(B1036,Stores!$A$2:$A$21,0))</f>
        <v>Hyderabad</v>
      </c>
    </row>
    <row r="1037">
      <c r="A1037" s="32" t="str">
        <f>Orders!A1034</f>
        <v>O01033</v>
      </c>
      <c r="B1037" s="32" t="str">
        <f>Orders!C1034</f>
        <v>S014</v>
      </c>
      <c r="C1037" s="32" t="str">
        <f>Orders!B1034</f>
        <v>C0171</v>
      </c>
      <c r="D1037" s="32" t="str">
        <f>Orders!H1034</f>
        <v>Delivered</v>
      </c>
      <c r="E1037" s="33">
        <f>IF(Orders!H1034="Delivered",1,0)</f>
        <v>1</v>
      </c>
      <c r="F1037" s="34">
        <f>IF(E1037=1,Orders!R1034,"")</f>
        <v>-1</v>
      </c>
      <c r="G1037" s="33">
        <f>IF(E1037=1,IF(Orders!R1034&gt;0,1,0),"")</f>
        <v>0</v>
      </c>
      <c r="H1037" s="33">
        <f>IF(E1037=1,IF(Orders!R1034&gt;5,1,0),"")</f>
        <v>0</v>
      </c>
      <c r="I1037" s="32" t="str">
        <f>IF(E1037=1,"",IF(OR(Orders!T1034="Rider unavailable",Orders!T1034="Item unavailable"),"Company-caused","Unresolved"))</f>
        <v/>
      </c>
      <c r="J1037" s="33">
        <f>IF(OR(E1037=1,I1037="Company-caused"),1,0)</f>
        <v>1</v>
      </c>
      <c r="K1037" s="32" t="str">
        <f>IF(E1037=0,IF(I1037="Company-caused",IF(Orders!T1034="Rider unavailable","C1 Rider unavailable","C2 Item unavailable"),"Outside root: unresolved"),IF(G1037=0,"A On time",IF(H1037=1,IF(L1037=1,"B2a Severe, peak","B2b Severe, off-peak"),IF(L1037=1,"B1a Slight, peak","B1b Slight, off-peak"))))</f>
        <v>A On time</v>
      </c>
      <c r="L1037" s="33">
        <f>IF(AND(Orders!U1034&gt;=19,Orders!U1034&lt;22),1,0)</f>
        <v>0</v>
      </c>
      <c r="M1037" s="33">
        <f>IF(L1037=IF(Orders!V1034,1,0),1,0)</f>
        <v>1</v>
      </c>
      <c r="N1037" s="32" t="str">
        <f>IF(Orders!W1034="","None",Orders!W1034)</f>
        <v>None</v>
      </c>
      <c r="O1037" s="35">
        <f>INT(Orders!E1034)</f>
        <v>46275.0</v>
      </c>
      <c r="P1037" s="33">
        <f>Orders!U1034</f>
        <v>18</v>
      </c>
      <c r="Q1037" s="33">
        <f>COUNTIFS(Demand!$A$2:$A$4481,B1037,Demand!$B$2:$B$4481,O1037,Demand!$C$2:$C$4481,P1037)</f>
        <v>1</v>
      </c>
      <c r="R1037" s="33">
        <f>IF(Q1037=1,SUMIFS(Demand!$E$2:$E$4481,Demand!$A$2:$A$4481,B1037,Demand!$B$2:$B$4481,O1037,Demand!$C$2:$C$4481,P1037),"")</f>
        <v>47</v>
      </c>
      <c r="S1037" s="33">
        <f>INDEX(Stores!$G$2:$G$21,MATCH(B1037,Stores!$A$2:$A$21,0))</f>
        <v>37</v>
      </c>
      <c r="T1037" s="34">
        <f>IF(R1037="","",R1037/S1037)</f>
        <v>1.27027027027027</v>
      </c>
      <c r="U1037" s="34">
        <f>IF(E1037=1,T1037,"")</f>
        <v>1.27027027027027</v>
      </c>
      <c r="V1037" s="34">
        <f>IF(AND(E1037=1,L1037=0),T1037,"")</f>
        <v>1.27027027027027</v>
      </c>
      <c r="W1037" s="33">
        <f>IF(U1037="","",IF(U1037&lt;=Breakdowns!$C$5,1,IF(U1037&lt;=Breakdowns!$C$6,2,IF(U1037&lt;=Breakdowns!$C$7,3,4))))</f>
        <v>4</v>
      </c>
      <c r="X1037" s="33">
        <f>IF(V1037="","",IF(V1037&lt;=Breakdowns!$D$5,1,IF(V1037&lt;=Breakdowns!$D$6,2,IF(V1037&lt;=Breakdowns!$D$7,3,4))))</f>
        <v>4</v>
      </c>
      <c r="Y1037" s="34">
        <f>INDEX(Stores!$F$2:$F$21,MATCH(B1037,Stores!$A$2:$A$21,0))</f>
        <v>5.55</v>
      </c>
      <c r="Z1037" s="33">
        <f>IF(Y1037&gt;Store_Summary!$M$2,1,0)</f>
        <v>1</v>
      </c>
      <c r="AA1037" s="33">
        <f>INDEX(Stores!$C$2:$C$21,MATCH(B1037,Stores!$A$2:$A$21,0))</f>
        <v>241</v>
      </c>
      <c r="AB1037" s="33">
        <f>IF(AA1037&lt;180,1,0)</f>
        <v>0</v>
      </c>
      <c r="AC1037" s="32" t="str">
        <f>IF(Orders!D1034="","",INDEX(Riders!$C$2:$C$81,MATCH(Orders!D1034,Riders!$A$2:$A$81,0)))</f>
        <v>EV scooter</v>
      </c>
      <c r="AD1037" s="33">
        <f>IF(Orders!D1034="","",INDEX(Riders!$D$2:$D$81,MATCH(Orders!D1034,Riders!$A$2:$A$81,0)))</f>
        <v>45</v>
      </c>
      <c r="AE1037" s="33">
        <f>IF(Orders!D1034="","",IF(INDEX(Riders!$B$2:$B$81,MATCH(Orders!D1034,Riders!$A$2:$A$81,0))=B1037,1,0))</f>
        <v>0</v>
      </c>
      <c r="AF1037" s="34">
        <f>IF(E1037=1,Orders!L1034,"")</f>
        <v>0.68</v>
      </c>
      <c r="AG1037" s="34">
        <f>IF(E1037=1,Orders!P1034,"")</f>
        <v>10.6</v>
      </c>
      <c r="AH1037" s="34">
        <f>IF(E1037=1,Orders!Q1034,"")</f>
        <v>9.6</v>
      </c>
      <c r="AI1037" s="34">
        <f>IF(E1037=1,Orders!M1034,"")</f>
        <v>4.3</v>
      </c>
      <c r="AJ1037" s="34">
        <f>IF(E1037=1,Orders!N1034,"")</f>
        <v>3.4</v>
      </c>
      <c r="AK1037" s="34">
        <f>IF(E1037=1,Orders!O1034,"")</f>
        <v>1.9</v>
      </c>
      <c r="AL1037" s="33">
        <f>IF(E1037=1,IF(ROUND(ABS(AI1037+AJ1037+AK1037-AH1037),6)&lt;=0.1,1,0),"")</f>
        <v>1</v>
      </c>
      <c r="AM1037" s="36">
        <f>IF(E1037=1,AI1037/AH1037,"")</f>
        <v>0.447916666666667</v>
      </c>
      <c r="AN1037" s="36">
        <f>IF(E1037=1,AJ1037/AH1037,"")</f>
        <v>0.354166666666667</v>
      </c>
      <c r="AO1037" s="36">
        <f>IF(E1037=1,AK1037/AH1037,"")</f>
        <v>0.197916666666667</v>
      </c>
      <c r="AP1037" s="34">
        <f>IF(E1037=1,Orders!Y1034,"")</f>
        <v>0.36</v>
      </c>
      <c r="AQ1037" s="33">
        <f>IF(Orders!X1034,1,0)</f>
        <v>0</v>
      </c>
      <c r="AR1037" s="34" t="str">
        <f>IF(AND(E1037=1,L1037=1),AJ1037,"")</f>
        <v/>
      </c>
      <c r="AS1037" s="34">
        <f>IF(AND(E1037=1,L1037=0),AJ1037,"")</f>
        <v>3.4</v>
      </c>
      <c r="AT1037" s="34" t="str">
        <f>IF(AND(E1037=1,L1037=1),AI1037,"")</f>
        <v/>
      </c>
      <c r="AU1037" s="34">
        <f>IF(AND(E1037=1,L1037=0),AI1037,"")</f>
        <v>4.3</v>
      </c>
      <c r="AV1037" s="34" t="str">
        <f>IF(AND(E1037=1,L1037=1),AG1037,"")</f>
        <v/>
      </c>
      <c r="AW1037" s="34">
        <f>IF(AND(E1037=1,L1037=0),AG1037,"")</f>
        <v>10.6</v>
      </c>
      <c r="AX1037" s="34" t="str">
        <f>IF(AND(E1037=1,L1037=1),AH1037,"")</f>
        <v/>
      </c>
      <c r="AY1037" s="34">
        <f>IF(AND(E1037=1,L1037=0),AH1037,"")</f>
        <v>9.6</v>
      </c>
      <c r="AZ1037" s="34" t="str">
        <f>IF(G1037=1,F1037,"")</f>
        <v/>
      </c>
      <c r="BA1037" s="34" t="str">
        <f>IF(AND(G1037=1,L1037=1),F1037,"")</f>
        <v/>
      </c>
      <c r="BB1037" s="34" t="str">
        <f>IF(AND(G1037=1,L1037=0),F1037,"")</f>
        <v/>
      </c>
      <c r="BC1037" s="33">
        <f>IF(E1037=1,IF(Orders!R1034&gt;3,1,0),"")</f>
        <v>0</v>
      </c>
      <c r="BD1037" s="33">
        <f>IF(E1037=1,IF(Orders!R1034&gt;7,1,0),"")</f>
        <v>0</v>
      </c>
      <c r="BE1037" s="32" t="str">
        <f>IF(E1037=1,IF(Orders!L1034&lt;=1.5,"Up to 1.5 km",IF(Orders!L1034&lt;=3,"1.5–3 km","Over 3 km")),"")</f>
        <v>Up to 1.5 km</v>
      </c>
      <c r="BF1037" s="33">
        <f>IF(E1037=1,IF(ABS((Orders!G1034-Orders!F1034)*1440-Orders!R1034)&lt;0.06,1,0),"")</f>
        <v>1</v>
      </c>
      <c r="BG1037" s="33">
        <f>IF(ABS((Orders!F1034-Orders!E1034)*1440-Orders!P1034)&lt;0.06,1,0)</f>
        <v>1</v>
      </c>
      <c r="BH1037" s="33">
        <f>IF(E1037=1,IF(IF(Orders!S1034,1,0)=1-G1037,1,0),"")</f>
        <v>1</v>
      </c>
      <c r="BI1037" s="32" t="str">
        <f>INDEX(Stores!$B$2:$B$21,MATCH(B1037,Stores!$A$2:$A$21,0))</f>
        <v>Pune</v>
      </c>
    </row>
    <row r="1038">
      <c r="A1038" s="32" t="str">
        <f>Orders!A1035</f>
        <v>O01034</v>
      </c>
      <c r="B1038" s="32" t="str">
        <f>Orders!C1035</f>
        <v>S019</v>
      </c>
      <c r="C1038" s="32" t="str">
        <f>Orders!B1035</f>
        <v>C0219</v>
      </c>
      <c r="D1038" s="32" t="str">
        <f>Orders!H1035</f>
        <v>Delivered</v>
      </c>
      <c r="E1038" s="33">
        <f>IF(Orders!H1035="Delivered",1,0)</f>
        <v>1</v>
      </c>
      <c r="F1038" s="34">
        <f>IF(E1038=1,Orders!R1035,"")</f>
        <v>-0.2</v>
      </c>
      <c r="G1038" s="33">
        <f>IF(E1038=1,IF(Orders!R1035&gt;0,1,0),"")</f>
        <v>0</v>
      </c>
      <c r="H1038" s="33">
        <f>IF(E1038=1,IF(Orders!R1035&gt;5,1,0),"")</f>
        <v>0</v>
      </c>
      <c r="I1038" s="32" t="str">
        <f>IF(E1038=1,"",IF(OR(Orders!T1035="Rider unavailable",Orders!T1035="Item unavailable"),"Company-caused","Unresolved"))</f>
        <v/>
      </c>
      <c r="J1038" s="33">
        <f>IF(OR(E1038=1,I1038="Company-caused"),1,0)</f>
        <v>1</v>
      </c>
      <c r="K1038" s="32" t="str">
        <f>IF(E1038=0,IF(I1038="Company-caused",IF(Orders!T1035="Rider unavailable","C1 Rider unavailable","C2 Item unavailable"),"Outside root: unresolved"),IF(G1038=0,"A On time",IF(H1038=1,IF(L1038=1,"B2a Severe, peak","B2b Severe, off-peak"),IF(L1038=1,"B1a Slight, peak","B1b Slight, off-peak"))))</f>
        <v>A On time</v>
      </c>
      <c r="L1038" s="33">
        <f>IF(AND(Orders!U1035&gt;=19,Orders!U1035&lt;22),1,0)</f>
        <v>1</v>
      </c>
      <c r="M1038" s="33">
        <f>IF(L1038=IF(Orders!V1035,1,0),1,0)</f>
        <v>1</v>
      </c>
      <c r="N1038" s="32" t="str">
        <f>IF(Orders!W1035="","None",Orders!W1035)</f>
        <v>Light</v>
      </c>
      <c r="O1038" s="35">
        <f>INT(Orders!E1035)</f>
        <v>46272.0</v>
      </c>
      <c r="P1038" s="33">
        <f>Orders!U1035</f>
        <v>21</v>
      </c>
      <c r="Q1038" s="33">
        <f>COUNTIFS(Demand!$A$2:$A$4481,B1038,Demand!$B$2:$B$4481,O1038,Demand!$C$2:$C$4481,P1038)</f>
        <v>1</v>
      </c>
      <c r="R1038" s="33">
        <f>IF(Q1038=1,SUMIFS(Demand!$E$2:$E$4481,Demand!$A$2:$A$4481,B1038,Demand!$B$2:$B$4481,O1038,Demand!$C$2:$C$4481,P1038),"")</f>
        <v>27</v>
      </c>
      <c r="S1038" s="33">
        <f>INDEX(Stores!$G$2:$G$21,MATCH(B1038,Stores!$A$2:$A$21,0))</f>
        <v>22</v>
      </c>
      <c r="T1038" s="34">
        <f>IF(R1038="","",R1038/S1038)</f>
        <v>1.22727272727273</v>
      </c>
      <c r="U1038" s="34">
        <f>IF(E1038=1,T1038,"")</f>
        <v>1.22727272727273</v>
      </c>
      <c r="V1038" s="34" t="str">
        <f>IF(AND(E1038=1,L1038=0),T1038,"")</f>
        <v/>
      </c>
      <c r="W1038" s="33">
        <f>IF(U1038="","",IF(U1038&lt;=Breakdowns!$C$5,1,IF(U1038&lt;=Breakdowns!$C$6,2,IF(U1038&lt;=Breakdowns!$C$7,3,4))))</f>
        <v>4</v>
      </c>
      <c r="X1038" s="33" t="str">
        <f>IF(V1038="","",IF(V1038&lt;=Breakdowns!$D$5,1,IF(V1038&lt;=Breakdowns!$D$6,2,IF(V1038&lt;=Breakdowns!$D$7,3,4))))</f>
        <v/>
      </c>
      <c r="Y1038" s="34">
        <f>INDEX(Stores!$F$2:$F$21,MATCH(B1038,Stores!$A$2:$A$21,0))</f>
        <v>4.99</v>
      </c>
      <c r="Z1038" s="33">
        <f>IF(Y1038&gt;Store_Summary!$M$2,1,0)</f>
        <v>1</v>
      </c>
      <c r="AA1038" s="33">
        <f>INDEX(Stores!$C$2:$C$21,MATCH(B1038,Stores!$A$2:$A$21,0))</f>
        <v>851</v>
      </c>
      <c r="AB1038" s="33">
        <f>IF(AA1038&lt;180,1,0)</f>
        <v>0</v>
      </c>
      <c r="AC1038" s="32" t="str">
        <f>IF(Orders!D1035="","",INDEX(Riders!$C$2:$C$81,MATCH(Orders!D1035,Riders!$A$2:$A$81,0)))</f>
        <v>EV scooter</v>
      </c>
      <c r="AD1038" s="33">
        <f>IF(Orders!D1035="","",INDEX(Riders!$D$2:$D$81,MATCH(Orders!D1035,Riders!$A$2:$A$81,0)))</f>
        <v>39</v>
      </c>
      <c r="AE1038" s="33">
        <f>IF(Orders!D1035="","",IF(INDEX(Riders!$B$2:$B$81,MATCH(Orders!D1035,Riders!$A$2:$A$81,0))=B1038,1,0))</f>
        <v>0</v>
      </c>
      <c r="AF1038" s="34">
        <f>IF(E1038=1,Orders!L1035,"")</f>
        <v>2.43</v>
      </c>
      <c r="AG1038" s="34">
        <f>IF(E1038=1,Orders!P1035,"")</f>
        <v>10.8</v>
      </c>
      <c r="AH1038" s="34">
        <f>IF(E1038=1,Orders!Q1035,"")</f>
        <v>10.6</v>
      </c>
      <c r="AI1038" s="34">
        <f>IF(E1038=1,Orders!M1035,"")</f>
        <v>2.6</v>
      </c>
      <c r="AJ1038" s="34">
        <f>IF(E1038=1,Orders!N1035,"")</f>
        <v>3.5</v>
      </c>
      <c r="AK1038" s="34">
        <f>IF(E1038=1,Orders!O1035,"")</f>
        <v>4.5</v>
      </c>
      <c r="AL1038" s="33">
        <f>IF(E1038=1,IF(ROUND(ABS(AI1038+AJ1038+AK1038-AH1038),6)&lt;=0.1,1,0),"")</f>
        <v>1</v>
      </c>
      <c r="AM1038" s="36">
        <f>IF(E1038=1,AI1038/AH1038,"")</f>
        <v>0.245283018867925</v>
      </c>
      <c r="AN1038" s="36">
        <f>IF(E1038=1,AJ1038/AH1038,"")</f>
        <v>0.330188679245283</v>
      </c>
      <c r="AO1038" s="36">
        <f>IF(E1038=1,AK1038/AH1038,"")</f>
        <v>0.424528301886792</v>
      </c>
      <c r="AP1038" s="34">
        <f>IF(E1038=1,Orders!Y1035,"")</f>
        <v>0.77</v>
      </c>
      <c r="AQ1038" s="33">
        <f>IF(Orders!X1035,1,0)</f>
        <v>0</v>
      </c>
      <c r="AR1038" s="34">
        <f>IF(AND(E1038=1,L1038=1),AJ1038,"")</f>
        <v>3.5</v>
      </c>
      <c r="AS1038" s="34" t="str">
        <f>IF(AND(E1038=1,L1038=0),AJ1038,"")</f>
        <v/>
      </c>
      <c r="AT1038" s="34">
        <f>IF(AND(E1038=1,L1038=1),AI1038,"")</f>
        <v>2.6</v>
      </c>
      <c r="AU1038" s="34" t="str">
        <f>IF(AND(E1038=1,L1038=0),AI1038,"")</f>
        <v/>
      </c>
      <c r="AV1038" s="34">
        <f>IF(AND(E1038=1,L1038=1),AG1038,"")</f>
        <v>10.8</v>
      </c>
      <c r="AW1038" s="34" t="str">
        <f>IF(AND(E1038=1,L1038=0),AG1038,"")</f>
        <v/>
      </c>
      <c r="AX1038" s="34">
        <f>IF(AND(E1038=1,L1038=1),AH1038,"")</f>
        <v>10.6</v>
      </c>
      <c r="AY1038" s="34" t="str">
        <f>IF(AND(E1038=1,L1038=0),AH1038,"")</f>
        <v/>
      </c>
      <c r="AZ1038" s="34" t="str">
        <f>IF(G1038=1,F1038,"")</f>
        <v/>
      </c>
      <c r="BA1038" s="34" t="str">
        <f>IF(AND(G1038=1,L1038=1),F1038,"")</f>
        <v/>
      </c>
      <c r="BB1038" s="34" t="str">
        <f>IF(AND(G1038=1,L1038=0),F1038,"")</f>
        <v/>
      </c>
      <c r="BC1038" s="33">
        <f>IF(E1038=1,IF(Orders!R1035&gt;3,1,0),"")</f>
        <v>0</v>
      </c>
      <c r="BD1038" s="33">
        <f>IF(E1038=1,IF(Orders!R1035&gt;7,1,0),"")</f>
        <v>0</v>
      </c>
      <c r="BE1038" s="32" t="str">
        <f>IF(E1038=1,IF(Orders!L1035&lt;=1.5,"Up to 1.5 km",IF(Orders!L1035&lt;=3,"1.5–3 km","Over 3 km")),"")</f>
        <v>1.5–3 km</v>
      </c>
      <c r="BF1038" s="33">
        <f>IF(E1038=1,IF(ABS((Orders!G1035-Orders!F1035)*1440-Orders!R1035)&lt;0.06,1,0),"")</f>
        <v>1</v>
      </c>
      <c r="BG1038" s="33">
        <f>IF(ABS((Orders!F1035-Orders!E1035)*1440-Orders!P1035)&lt;0.06,1,0)</f>
        <v>1</v>
      </c>
      <c r="BH1038" s="33">
        <f>IF(E1038=1,IF(IF(Orders!S1035,1,0)=1-G1038,1,0),"")</f>
        <v>1</v>
      </c>
      <c r="BI1038" s="32" t="str">
        <f>INDEX(Stores!$B$2:$B$21,MATCH(B1038,Stores!$A$2:$A$21,0))</f>
        <v>Pune</v>
      </c>
    </row>
    <row r="1039">
      <c r="A1039" s="32" t="str">
        <f>Orders!A1036</f>
        <v>O01035</v>
      </c>
      <c r="B1039" s="32" t="str">
        <f>Orders!C1036</f>
        <v>S009</v>
      </c>
      <c r="C1039" s="32" t="str">
        <f>Orders!B1036</f>
        <v>C0029</v>
      </c>
      <c r="D1039" s="32" t="str">
        <f>Orders!H1036</f>
        <v>Delivered</v>
      </c>
      <c r="E1039" s="33">
        <f>IF(Orders!H1036="Delivered",1,0)</f>
        <v>1</v>
      </c>
      <c r="F1039" s="34">
        <f>IF(E1039=1,Orders!R1036,"")</f>
        <v>-0.4</v>
      </c>
      <c r="G1039" s="33">
        <f>IF(E1039=1,IF(Orders!R1036&gt;0,1,0),"")</f>
        <v>0</v>
      </c>
      <c r="H1039" s="33">
        <f>IF(E1039=1,IF(Orders!R1036&gt;5,1,0),"")</f>
        <v>0</v>
      </c>
      <c r="I1039" s="32" t="str">
        <f>IF(E1039=1,"",IF(OR(Orders!T1036="Rider unavailable",Orders!T1036="Item unavailable"),"Company-caused","Unresolved"))</f>
        <v/>
      </c>
      <c r="J1039" s="33">
        <f>IF(OR(E1039=1,I1039="Company-caused"),1,0)</f>
        <v>1</v>
      </c>
      <c r="K1039" s="32" t="str">
        <f>IF(E1039=0,IF(I1039="Company-caused",IF(Orders!T1036="Rider unavailable","C1 Rider unavailable","C2 Item unavailable"),"Outside root: unresolved"),IF(G1039=0,"A On time",IF(H1039=1,IF(L1039=1,"B2a Severe, peak","B2b Severe, off-peak"),IF(L1039=1,"B1a Slight, peak","B1b Slight, off-peak"))))</f>
        <v>A On time</v>
      </c>
      <c r="L1039" s="33">
        <f>IF(AND(Orders!U1036&gt;=19,Orders!U1036&lt;22),1,0)</f>
        <v>0</v>
      </c>
      <c r="M1039" s="33">
        <f>IF(L1039=IF(Orders!V1036,1,0),1,0)</f>
        <v>1</v>
      </c>
      <c r="N1039" s="32" t="str">
        <f>IF(Orders!W1036="","None",Orders!W1036)</f>
        <v>None</v>
      </c>
      <c r="O1039" s="35">
        <f>INT(Orders!E1036)</f>
        <v>46274.0</v>
      </c>
      <c r="P1039" s="33">
        <f>Orders!U1036</f>
        <v>16</v>
      </c>
      <c r="Q1039" s="33">
        <f>COUNTIFS(Demand!$A$2:$A$4481,B1039,Demand!$B$2:$B$4481,O1039,Demand!$C$2:$C$4481,P1039)</f>
        <v>1</v>
      </c>
      <c r="R1039" s="33">
        <f>IF(Q1039=1,SUMIFS(Demand!$E$2:$E$4481,Demand!$A$2:$A$4481,B1039,Demand!$B$2:$B$4481,O1039,Demand!$C$2:$C$4481,P1039),"")</f>
        <v>29</v>
      </c>
      <c r="S1039" s="33">
        <f>INDEX(Stores!$G$2:$G$21,MATCH(B1039,Stores!$A$2:$A$21,0))</f>
        <v>29</v>
      </c>
      <c r="T1039" s="34">
        <f>IF(R1039="","",R1039/S1039)</f>
        <v>1</v>
      </c>
      <c r="U1039" s="34">
        <f>IF(E1039=1,T1039,"")</f>
        <v>1</v>
      </c>
      <c r="V1039" s="34">
        <f>IF(AND(E1039=1,L1039=0),T1039,"")</f>
        <v>1</v>
      </c>
      <c r="W1039" s="33">
        <f>IF(U1039="","",IF(U1039&lt;=Breakdowns!$C$5,1,IF(U1039&lt;=Breakdowns!$C$6,2,IF(U1039&lt;=Breakdowns!$C$7,3,4))))</f>
        <v>2</v>
      </c>
      <c r="X1039" s="33">
        <f>IF(V1039="","",IF(V1039&lt;=Breakdowns!$D$5,1,IF(V1039&lt;=Breakdowns!$D$6,2,IF(V1039&lt;=Breakdowns!$D$7,3,4))))</f>
        <v>3</v>
      </c>
      <c r="Y1039" s="34">
        <f>INDEX(Stores!$F$2:$F$21,MATCH(B1039,Stores!$A$2:$A$21,0))</f>
        <v>2.66</v>
      </c>
      <c r="Z1039" s="33">
        <f>IF(Y1039&gt;Store_Summary!$M$2,1,0)</f>
        <v>0</v>
      </c>
      <c r="AA1039" s="33">
        <f>INDEX(Stores!$C$2:$C$21,MATCH(B1039,Stores!$A$2:$A$21,0))</f>
        <v>645</v>
      </c>
      <c r="AB1039" s="33">
        <f>IF(AA1039&lt;180,1,0)</f>
        <v>0</v>
      </c>
      <c r="AC1039" s="32" t="str">
        <f>IF(Orders!D1036="","",INDEX(Riders!$C$2:$C$81,MATCH(Orders!D1036,Riders!$A$2:$A$81,0)))</f>
        <v>Bicycle</v>
      </c>
      <c r="AD1039" s="33">
        <f>IF(Orders!D1036="","",INDEX(Riders!$D$2:$D$81,MATCH(Orders!D1036,Riders!$A$2:$A$81,0)))</f>
        <v>44</v>
      </c>
      <c r="AE1039" s="33">
        <f>IF(Orders!D1036="","",IF(INDEX(Riders!$B$2:$B$81,MATCH(Orders!D1036,Riders!$A$2:$A$81,0))=B1039,1,0))</f>
        <v>0</v>
      </c>
      <c r="AF1039" s="34">
        <f>IF(E1039=1,Orders!L1036,"")</f>
        <v>1.26</v>
      </c>
      <c r="AG1039" s="34">
        <f>IF(E1039=1,Orders!P1036,"")</f>
        <v>8</v>
      </c>
      <c r="AH1039" s="34">
        <f>IF(E1039=1,Orders!Q1036,"")</f>
        <v>7.6</v>
      </c>
      <c r="AI1039" s="34">
        <f>IF(E1039=1,Orders!M1036,"")</f>
        <v>1.6</v>
      </c>
      <c r="AJ1039" s="34">
        <f>IF(E1039=1,Orders!N1036,"")</f>
        <v>3.6</v>
      </c>
      <c r="AK1039" s="34">
        <f>IF(E1039=1,Orders!O1036,"")</f>
        <v>2.4</v>
      </c>
      <c r="AL1039" s="33">
        <f>IF(E1039=1,IF(ROUND(ABS(AI1039+AJ1039+AK1039-AH1039),6)&lt;=0.1,1,0),"")</f>
        <v>1</v>
      </c>
      <c r="AM1039" s="36">
        <f>IF(E1039=1,AI1039/AH1039,"")</f>
        <v>0.210526315789474</v>
      </c>
      <c r="AN1039" s="36">
        <f>IF(E1039=1,AJ1039/AH1039,"")</f>
        <v>0.473684210526316</v>
      </c>
      <c r="AO1039" s="36">
        <f>IF(E1039=1,AK1039/AH1039,"")</f>
        <v>0.315789473684211</v>
      </c>
      <c r="AP1039" s="34">
        <f>IF(E1039=1,Orders!Y1036,"")</f>
        <v>0.29</v>
      </c>
      <c r="AQ1039" s="33">
        <f>IF(Orders!X1036,1,0)</f>
        <v>0</v>
      </c>
      <c r="AR1039" s="34" t="str">
        <f>IF(AND(E1039=1,L1039=1),AJ1039,"")</f>
        <v/>
      </c>
      <c r="AS1039" s="34">
        <f>IF(AND(E1039=1,L1039=0),AJ1039,"")</f>
        <v>3.6</v>
      </c>
      <c r="AT1039" s="34" t="str">
        <f>IF(AND(E1039=1,L1039=1),AI1039,"")</f>
        <v/>
      </c>
      <c r="AU1039" s="34">
        <f>IF(AND(E1039=1,L1039=0),AI1039,"")</f>
        <v>1.6</v>
      </c>
      <c r="AV1039" s="34" t="str">
        <f>IF(AND(E1039=1,L1039=1),AG1039,"")</f>
        <v/>
      </c>
      <c r="AW1039" s="34">
        <f>IF(AND(E1039=1,L1039=0),AG1039,"")</f>
        <v>8</v>
      </c>
      <c r="AX1039" s="34" t="str">
        <f>IF(AND(E1039=1,L1039=1),AH1039,"")</f>
        <v/>
      </c>
      <c r="AY1039" s="34">
        <f>IF(AND(E1039=1,L1039=0),AH1039,"")</f>
        <v>7.6</v>
      </c>
      <c r="AZ1039" s="34" t="str">
        <f>IF(G1039=1,F1039,"")</f>
        <v/>
      </c>
      <c r="BA1039" s="34" t="str">
        <f>IF(AND(G1039=1,L1039=1),F1039,"")</f>
        <v/>
      </c>
      <c r="BB1039" s="34" t="str">
        <f>IF(AND(G1039=1,L1039=0),F1039,"")</f>
        <v/>
      </c>
      <c r="BC1039" s="33">
        <f>IF(E1039=1,IF(Orders!R1036&gt;3,1,0),"")</f>
        <v>0</v>
      </c>
      <c r="BD1039" s="33">
        <f>IF(E1039=1,IF(Orders!R1036&gt;7,1,0),"")</f>
        <v>0</v>
      </c>
      <c r="BE1039" s="32" t="str">
        <f>IF(E1039=1,IF(Orders!L1036&lt;=1.5,"Up to 1.5 km",IF(Orders!L1036&lt;=3,"1.5–3 km","Over 3 km")),"")</f>
        <v>Up to 1.5 km</v>
      </c>
      <c r="BF1039" s="33">
        <f>IF(E1039=1,IF(ABS((Orders!G1036-Orders!F1036)*1440-Orders!R1036)&lt;0.06,1,0),"")</f>
        <v>1</v>
      </c>
      <c r="BG1039" s="33">
        <f>IF(ABS((Orders!F1036-Orders!E1036)*1440-Orders!P1036)&lt;0.06,1,0)</f>
        <v>1</v>
      </c>
      <c r="BH1039" s="33">
        <f>IF(E1039=1,IF(IF(Orders!S1036,1,0)=1-G1039,1,0),"")</f>
        <v>1</v>
      </c>
      <c r="BI1039" s="32" t="str">
        <f>INDEX(Stores!$B$2:$B$21,MATCH(B1039,Stores!$A$2:$A$21,0))</f>
        <v>Pune</v>
      </c>
    </row>
    <row r="1040">
      <c r="A1040" s="32" t="str">
        <f>Orders!A1037</f>
        <v>O01036</v>
      </c>
      <c r="B1040" s="32" t="str">
        <f>Orders!C1037</f>
        <v>S015</v>
      </c>
      <c r="C1040" s="32" t="str">
        <f>Orders!B1037</f>
        <v>C0090</v>
      </c>
      <c r="D1040" s="32" t="str">
        <f>Orders!H1037</f>
        <v>Delivered</v>
      </c>
      <c r="E1040" s="33">
        <f>IF(Orders!H1037="Delivered",1,0)</f>
        <v>1</v>
      </c>
      <c r="F1040" s="34">
        <f>IF(E1040=1,Orders!R1037,"")</f>
        <v>-1.1</v>
      </c>
      <c r="G1040" s="33">
        <f>IF(E1040=1,IF(Orders!R1037&gt;0,1,0),"")</f>
        <v>0</v>
      </c>
      <c r="H1040" s="33">
        <f>IF(E1040=1,IF(Orders!R1037&gt;5,1,0),"")</f>
        <v>0</v>
      </c>
      <c r="I1040" s="32" t="str">
        <f>IF(E1040=1,"",IF(OR(Orders!T1037="Rider unavailable",Orders!T1037="Item unavailable"),"Company-caused","Unresolved"))</f>
        <v/>
      </c>
      <c r="J1040" s="33">
        <f>IF(OR(E1040=1,I1040="Company-caused"),1,0)</f>
        <v>1</v>
      </c>
      <c r="K1040" s="32" t="str">
        <f>IF(E1040=0,IF(I1040="Company-caused",IF(Orders!T1037="Rider unavailable","C1 Rider unavailable","C2 Item unavailable"),"Outside root: unresolved"),IF(G1040=0,"A On time",IF(H1040=1,IF(L1040=1,"B2a Severe, peak","B2b Severe, off-peak"),IF(L1040=1,"B1a Slight, peak","B1b Slight, off-peak"))))</f>
        <v>A On time</v>
      </c>
      <c r="L1040" s="33">
        <f>IF(AND(Orders!U1037&gt;=19,Orders!U1037&lt;22),1,0)</f>
        <v>0</v>
      </c>
      <c r="M1040" s="33">
        <f>IF(L1040=IF(Orders!V1037,1,0),1,0)</f>
        <v>1</v>
      </c>
      <c r="N1040" s="32" t="str">
        <f>IF(Orders!W1037="","None",Orders!W1037)</f>
        <v>None</v>
      </c>
      <c r="O1040" s="35">
        <f>INT(Orders!E1037)</f>
        <v>46274.0</v>
      </c>
      <c r="P1040" s="33">
        <f>Orders!U1037</f>
        <v>12</v>
      </c>
      <c r="Q1040" s="33">
        <f>COUNTIFS(Demand!$A$2:$A$4481,B1040,Demand!$B$2:$B$4481,O1040,Demand!$C$2:$C$4481,P1040)</f>
        <v>1</v>
      </c>
      <c r="R1040" s="33">
        <f>IF(Q1040=1,SUMIFS(Demand!$E$2:$E$4481,Demand!$A$2:$A$4481,B1040,Demand!$B$2:$B$4481,O1040,Demand!$C$2:$C$4481,P1040),"")</f>
        <v>32</v>
      </c>
      <c r="S1040" s="33">
        <f>INDEX(Stores!$G$2:$G$21,MATCH(B1040,Stores!$A$2:$A$21,0))</f>
        <v>23</v>
      </c>
      <c r="T1040" s="34">
        <f>IF(R1040="","",R1040/S1040)</f>
        <v>1.39130434782609</v>
      </c>
      <c r="U1040" s="34">
        <f>IF(E1040=1,T1040,"")</f>
        <v>1.39130434782609</v>
      </c>
      <c r="V1040" s="34">
        <f>IF(AND(E1040=1,L1040=0),T1040,"")</f>
        <v>1.39130434782609</v>
      </c>
      <c r="W1040" s="33">
        <f>IF(U1040="","",IF(U1040&lt;=Breakdowns!$C$5,1,IF(U1040&lt;=Breakdowns!$C$6,2,IF(U1040&lt;=Breakdowns!$C$7,3,4))))</f>
        <v>4</v>
      </c>
      <c r="X1040" s="33">
        <f>IF(V1040="","",IF(V1040&lt;=Breakdowns!$D$5,1,IF(V1040&lt;=Breakdowns!$D$6,2,IF(V1040&lt;=Breakdowns!$D$7,3,4))))</f>
        <v>4</v>
      </c>
      <c r="Y1040" s="34">
        <f>INDEX(Stores!$F$2:$F$21,MATCH(B1040,Stores!$A$2:$A$21,0))</f>
        <v>4.66</v>
      </c>
      <c r="Z1040" s="33">
        <f>IF(Y1040&gt;Store_Summary!$M$2,1,0)</f>
        <v>0</v>
      </c>
      <c r="AA1040" s="33">
        <f>INDEX(Stores!$C$2:$C$21,MATCH(B1040,Stores!$A$2:$A$21,0))</f>
        <v>204</v>
      </c>
      <c r="AB1040" s="33">
        <f>IF(AA1040&lt;180,1,0)</f>
        <v>0</v>
      </c>
      <c r="AC1040" s="32" t="str">
        <f>IF(Orders!D1037="","",INDEX(Riders!$C$2:$C$81,MATCH(Orders!D1037,Riders!$A$2:$A$81,0)))</f>
        <v>Bicycle</v>
      </c>
      <c r="AD1040" s="33">
        <f>IF(Orders!D1037="","",INDEX(Riders!$D$2:$D$81,MATCH(Orders!D1037,Riders!$A$2:$A$81,0)))</f>
        <v>8</v>
      </c>
      <c r="AE1040" s="33">
        <f>IF(Orders!D1037="","",IF(INDEX(Riders!$B$2:$B$81,MATCH(Orders!D1037,Riders!$A$2:$A$81,0))=B1040,1,0))</f>
        <v>1</v>
      </c>
      <c r="AF1040" s="34">
        <f>IF(E1040=1,Orders!L1037,"")</f>
        <v>1.21</v>
      </c>
      <c r="AG1040" s="34">
        <f>IF(E1040=1,Orders!P1037,"")</f>
        <v>11.6</v>
      </c>
      <c r="AH1040" s="34">
        <f>IF(E1040=1,Orders!Q1037,"")</f>
        <v>10.5</v>
      </c>
      <c r="AI1040" s="34">
        <f>IF(E1040=1,Orders!M1037,"")</f>
        <v>4.9</v>
      </c>
      <c r="AJ1040" s="34">
        <f>IF(E1040=1,Orders!N1037,"")</f>
        <v>2.4</v>
      </c>
      <c r="AK1040" s="34">
        <f>IF(E1040=1,Orders!O1037,"")</f>
        <v>3.2</v>
      </c>
      <c r="AL1040" s="33">
        <f>IF(E1040=1,IF(ROUND(ABS(AI1040+AJ1040+AK1040-AH1040),6)&lt;=0.1,1,0),"")</f>
        <v>1</v>
      </c>
      <c r="AM1040" s="36">
        <f>IF(E1040=1,AI1040/AH1040,"")</f>
        <v>0.466666666666667</v>
      </c>
      <c r="AN1040" s="36">
        <f>IF(E1040=1,AJ1040/AH1040,"")</f>
        <v>0.228571428571429</v>
      </c>
      <c r="AO1040" s="36">
        <f>IF(E1040=1,AK1040/AH1040,"")</f>
        <v>0.304761904761905</v>
      </c>
      <c r="AP1040" s="34">
        <f>IF(E1040=1,Orders!Y1037,"")</f>
        <v>0.6</v>
      </c>
      <c r="AQ1040" s="33">
        <f>IF(Orders!X1037,1,0)</f>
        <v>0</v>
      </c>
      <c r="AR1040" s="34" t="str">
        <f>IF(AND(E1040=1,L1040=1),AJ1040,"")</f>
        <v/>
      </c>
      <c r="AS1040" s="34">
        <f>IF(AND(E1040=1,L1040=0),AJ1040,"")</f>
        <v>2.4</v>
      </c>
      <c r="AT1040" s="34" t="str">
        <f>IF(AND(E1040=1,L1040=1),AI1040,"")</f>
        <v/>
      </c>
      <c r="AU1040" s="34">
        <f>IF(AND(E1040=1,L1040=0),AI1040,"")</f>
        <v>4.9</v>
      </c>
      <c r="AV1040" s="34" t="str">
        <f>IF(AND(E1040=1,L1040=1),AG1040,"")</f>
        <v/>
      </c>
      <c r="AW1040" s="34">
        <f>IF(AND(E1040=1,L1040=0),AG1040,"")</f>
        <v>11.6</v>
      </c>
      <c r="AX1040" s="34" t="str">
        <f>IF(AND(E1040=1,L1040=1),AH1040,"")</f>
        <v/>
      </c>
      <c r="AY1040" s="34">
        <f>IF(AND(E1040=1,L1040=0),AH1040,"")</f>
        <v>10.5</v>
      </c>
      <c r="AZ1040" s="34" t="str">
        <f>IF(G1040=1,F1040,"")</f>
        <v/>
      </c>
      <c r="BA1040" s="34" t="str">
        <f>IF(AND(G1040=1,L1040=1),F1040,"")</f>
        <v/>
      </c>
      <c r="BB1040" s="34" t="str">
        <f>IF(AND(G1040=1,L1040=0),F1040,"")</f>
        <v/>
      </c>
      <c r="BC1040" s="33">
        <f>IF(E1040=1,IF(Orders!R1037&gt;3,1,0),"")</f>
        <v>0</v>
      </c>
      <c r="BD1040" s="33">
        <f>IF(E1040=1,IF(Orders!R1037&gt;7,1,0),"")</f>
        <v>0</v>
      </c>
      <c r="BE1040" s="32" t="str">
        <f>IF(E1040=1,IF(Orders!L1037&lt;=1.5,"Up to 1.5 km",IF(Orders!L1037&lt;=3,"1.5–3 km","Over 3 km")),"")</f>
        <v>Up to 1.5 km</v>
      </c>
      <c r="BF1040" s="33">
        <f>IF(E1040=1,IF(ABS((Orders!G1037-Orders!F1037)*1440-Orders!R1037)&lt;0.06,1,0),"")</f>
        <v>1</v>
      </c>
      <c r="BG1040" s="33">
        <f>IF(ABS((Orders!F1037-Orders!E1037)*1440-Orders!P1037)&lt;0.06,1,0)</f>
        <v>1</v>
      </c>
      <c r="BH1040" s="33">
        <f>IF(E1040=1,IF(IF(Orders!S1037,1,0)=1-G1040,1,0),"")</f>
        <v>1</v>
      </c>
      <c r="BI1040" s="32" t="str">
        <f>INDEX(Stores!$B$2:$B$21,MATCH(B1040,Stores!$A$2:$A$21,0))</f>
        <v>Delhi</v>
      </c>
    </row>
    <row r="1041">
      <c r="A1041" s="32" t="str">
        <f>Orders!A1038</f>
        <v>O01037</v>
      </c>
      <c r="B1041" s="32" t="str">
        <f>Orders!C1038</f>
        <v>S020</v>
      </c>
      <c r="C1041" s="32" t="str">
        <f>Orders!B1038</f>
        <v>C0070</v>
      </c>
      <c r="D1041" s="32" t="str">
        <f>Orders!H1038</f>
        <v>Delivered</v>
      </c>
      <c r="E1041" s="33">
        <f>IF(Orders!H1038="Delivered",1,0)</f>
        <v>1</v>
      </c>
      <c r="F1041" s="34">
        <f>IF(E1041=1,Orders!R1038,"")</f>
        <v>3.7</v>
      </c>
      <c r="G1041" s="33">
        <f>IF(E1041=1,IF(Orders!R1038&gt;0,1,0),"")</f>
        <v>1</v>
      </c>
      <c r="H1041" s="33">
        <f>IF(E1041=1,IF(Orders!R1038&gt;5,1,0),"")</f>
        <v>0</v>
      </c>
      <c r="I1041" s="32" t="str">
        <f>IF(E1041=1,"",IF(OR(Orders!T1038="Rider unavailable",Orders!T1038="Item unavailable"),"Company-caused","Unresolved"))</f>
        <v/>
      </c>
      <c r="J1041" s="33">
        <f>IF(OR(E1041=1,I1041="Company-caused"),1,0)</f>
        <v>1</v>
      </c>
      <c r="K1041" s="32" t="str">
        <f>IF(E1041=0,IF(I1041="Company-caused",IF(Orders!T1038="Rider unavailable","C1 Rider unavailable","C2 Item unavailable"),"Outside root: unresolved"),IF(G1041=0,"A On time",IF(H1041=1,IF(L1041=1,"B2a Severe, peak","B2b Severe, off-peak"),IF(L1041=1,"B1a Slight, peak","B1b Slight, off-peak"))))</f>
        <v>B1b Slight, off-peak</v>
      </c>
      <c r="L1041" s="33">
        <f>IF(AND(Orders!U1038&gt;=19,Orders!U1038&lt;22),1,0)</f>
        <v>0</v>
      </c>
      <c r="M1041" s="33">
        <f>IF(L1041=IF(Orders!V1038,1,0),1,0)</f>
        <v>1</v>
      </c>
      <c r="N1041" s="32" t="str">
        <f>IF(Orders!W1038="","None",Orders!W1038)</f>
        <v>Light</v>
      </c>
      <c r="O1041" s="35">
        <f>INT(Orders!E1038)</f>
        <v>46270.0</v>
      </c>
      <c r="P1041" s="33">
        <f>Orders!U1038</f>
        <v>15</v>
      </c>
      <c r="Q1041" s="33">
        <f>COUNTIFS(Demand!$A$2:$A$4481,B1041,Demand!$B$2:$B$4481,O1041,Demand!$C$2:$C$4481,P1041)</f>
        <v>1</v>
      </c>
      <c r="R1041" s="33">
        <f>IF(Q1041=1,SUMIFS(Demand!$E$2:$E$4481,Demand!$A$2:$A$4481,B1041,Demand!$B$2:$B$4481,O1041,Demand!$C$2:$C$4481,P1041),"")</f>
        <v>10</v>
      </c>
      <c r="S1041" s="33">
        <f>INDEX(Stores!$G$2:$G$21,MATCH(B1041,Stores!$A$2:$A$21,0))</f>
        <v>15</v>
      </c>
      <c r="T1041" s="34">
        <f>IF(R1041="","",R1041/S1041)</f>
        <v>0.666666666666667</v>
      </c>
      <c r="U1041" s="34">
        <f>IF(E1041=1,T1041,"")</f>
        <v>0.666666666666667</v>
      </c>
      <c r="V1041" s="34">
        <f>IF(AND(E1041=1,L1041=0),T1041,"")</f>
        <v>0.666666666666667</v>
      </c>
      <c r="W1041" s="33">
        <f>IF(U1041="","",IF(U1041&lt;=Breakdowns!$C$5,1,IF(U1041&lt;=Breakdowns!$C$6,2,IF(U1041&lt;=Breakdowns!$C$7,3,4))))</f>
        <v>1</v>
      </c>
      <c r="X1041" s="33">
        <f>IF(V1041="","",IF(V1041&lt;=Breakdowns!$D$5,1,IF(V1041&lt;=Breakdowns!$D$6,2,IF(V1041&lt;=Breakdowns!$D$7,3,4))))</f>
        <v>1</v>
      </c>
      <c r="Y1041" s="34">
        <f>INDEX(Stores!$F$2:$F$21,MATCH(B1041,Stores!$A$2:$A$21,0))</f>
        <v>5.74</v>
      </c>
      <c r="Z1041" s="33">
        <f>IF(Y1041&gt;Store_Summary!$M$2,1,0)</f>
        <v>1</v>
      </c>
      <c r="AA1041" s="33">
        <f>INDEX(Stores!$C$2:$C$21,MATCH(B1041,Stores!$A$2:$A$21,0))</f>
        <v>647</v>
      </c>
      <c r="AB1041" s="33">
        <f>IF(AA1041&lt;180,1,0)</f>
        <v>0</v>
      </c>
      <c r="AC1041" s="32" t="str">
        <f>IF(Orders!D1038="","",INDEX(Riders!$C$2:$C$81,MATCH(Orders!D1038,Riders!$A$2:$A$81,0)))</f>
        <v>Bicycle</v>
      </c>
      <c r="AD1041" s="33">
        <f>IF(Orders!D1038="","",INDEX(Riders!$D$2:$D$81,MATCH(Orders!D1038,Riders!$A$2:$A$81,0)))</f>
        <v>14</v>
      </c>
      <c r="AE1041" s="33">
        <f>IF(Orders!D1038="","",IF(INDEX(Riders!$B$2:$B$81,MATCH(Orders!D1038,Riders!$A$2:$A$81,0))=B1041,1,0))</f>
        <v>0</v>
      </c>
      <c r="AF1041" s="34">
        <f>IF(E1041=1,Orders!L1038,"")</f>
        <v>2.22</v>
      </c>
      <c r="AG1041" s="34">
        <f>IF(E1041=1,Orders!P1038,"")</f>
        <v>10.4</v>
      </c>
      <c r="AH1041" s="34">
        <f>IF(E1041=1,Orders!Q1038,"")</f>
        <v>14.1</v>
      </c>
      <c r="AI1041" s="34">
        <f>IF(E1041=1,Orders!M1038,"")</f>
        <v>6.4</v>
      </c>
      <c r="AJ1041" s="34">
        <f>IF(E1041=1,Orders!N1038,"")</f>
        <v>0.6</v>
      </c>
      <c r="AK1041" s="34">
        <f>IF(E1041=1,Orders!O1038,"")</f>
        <v>7.1</v>
      </c>
      <c r="AL1041" s="33">
        <f>IF(E1041=1,IF(ROUND(ABS(AI1041+AJ1041+AK1041-AH1041),6)&lt;=0.1,1,0),"")</f>
        <v>1</v>
      </c>
      <c r="AM1041" s="36">
        <f>IF(E1041=1,AI1041/AH1041,"")</f>
        <v>0.453900709219858</v>
      </c>
      <c r="AN1041" s="36">
        <f>IF(E1041=1,AJ1041/AH1041,"")</f>
        <v>0.0425531914893617</v>
      </c>
      <c r="AO1041" s="36">
        <f>IF(E1041=1,AK1041/AH1041,"")</f>
        <v>0.50354609929078</v>
      </c>
      <c r="AP1041" s="34">
        <f>IF(E1041=1,Orders!Y1038,"")</f>
        <v>0.35</v>
      </c>
      <c r="AQ1041" s="33">
        <f>IF(Orders!X1038,1,0)</f>
        <v>0</v>
      </c>
      <c r="AR1041" s="34" t="str">
        <f>IF(AND(E1041=1,L1041=1),AJ1041,"")</f>
        <v/>
      </c>
      <c r="AS1041" s="34">
        <f>IF(AND(E1041=1,L1041=0),AJ1041,"")</f>
        <v>0.6</v>
      </c>
      <c r="AT1041" s="34" t="str">
        <f>IF(AND(E1041=1,L1041=1),AI1041,"")</f>
        <v/>
      </c>
      <c r="AU1041" s="34">
        <f>IF(AND(E1041=1,L1041=0),AI1041,"")</f>
        <v>6.4</v>
      </c>
      <c r="AV1041" s="34" t="str">
        <f>IF(AND(E1041=1,L1041=1),AG1041,"")</f>
        <v/>
      </c>
      <c r="AW1041" s="34">
        <f>IF(AND(E1041=1,L1041=0),AG1041,"")</f>
        <v>10.4</v>
      </c>
      <c r="AX1041" s="34" t="str">
        <f>IF(AND(E1041=1,L1041=1),AH1041,"")</f>
        <v/>
      </c>
      <c r="AY1041" s="34">
        <f>IF(AND(E1041=1,L1041=0),AH1041,"")</f>
        <v>14.1</v>
      </c>
      <c r="AZ1041" s="34">
        <f>IF(G1041=1,F1041,"")</f>
        <v>3.7</v>
      </c>
      <c r="BA1041" s="34" t="str">
        <f>IF(AND(G1041=1,L1041=1),F1041,"")</f>
        <v/>
      </c>
      <c r="BB1041" s="34">
        <f>IF(AND(G1041=1,L1041=0),F1041,"")</f>
        <v>3.7</v>
      </c>
      <c r="BC1041" s="33">
        <f>IF(E1041=1,IF(Orders!R1038&gt;3,1,0),"")</f>
        <v>1</v>
      </c>
      <c r="BD1041" s="33">
        <f>IF(E1041=1,IF(Orders!R1038&gt;7,1,0),"")</f>
        <v>0</v>
      </c>
      <c r="BE1041" s="32" t="str">
        <f>IF(E1041=1,IF(Orders!L1038&lt;=1.5,"Up to 1.5 km",IF(Orders!L1038&lt;=3,"1.5–3 km","Over 3 km")),"")</f>
        <v>1.5–3 km</v>
      </c>
      <c r="BF1041" s="33">
        <f>IF(E1041=1,IF(ABS((Orders!G1038-Orders!F1038)*1440-Orders!R1038)&lt;0.06,1,0),"")</f>
        <v>1</v>
      </c>
      <c r="BG1041" s="33">
        <f>IF(ABS((Orders!F1038-Orders!E1038)*1440-Orders!P1038)&lt;0.06,1,0)</f>
        <v>1</v>
      </c>
      <c r="BH1041" s="33">
        <f>IF(E1041=1,IF(IF(Orders!S1038,1,0)=1-G1041,1,0),"")</f>
        <v>1</v>
      </c>
      <c r="BI1041" s="32" t="str">
        <f>INDEX(Stores!$B$2:$B$21,MATCH(B1041,Stores!$A$2:$A$21,0))</f>
        <v>Delhi</v>
      </c>
    </row>
    <row r="1042">
      <c r="A1042" s="32" t="str">
        <f>Orders!A1039</f>
        <v>O01038</v>
      </c>
      <c r="B1042" s="32" t="str">
        <f>Orders!C1039</f>
        <v>S003</v>
      </c>
      <c r="C1042" s="32" t="str">
        <f>Orders!B1039</f>
        <v>C0165</v>
      </c>
      <c r="D1042" s="32" t="str">
        <f>Orders!H1039</f>
        <v>Delivered</v>
      </c>
      <c r="E1042" s="33">
        <f>IF(Orders!H1039="Delivered",1,0)</f>
        <v>1</v>
      </c>
      <c r="F1042" s="34">
        <f>IF(E1042=1,Orders!R1039,"")</f>
        <v>-1</v>
      </c>
      <c r="G1042" s="33">
        <f>IF(E1042=1,IF(Orders!R1039&gt;0,1,0),"")</f>
        <v>0</v>
      </c>
      <c r="H1042" s="33">
        <f>IF(E1042=1,IF(Orders!R1039&gt;5,1,0),"")</f>
        <v>0</v>
      </c>
      <c r="I1042" s="32" t="str">
        <f>IF(E1042=1,"",IF(OR(Orders!T1039="Rider unavailable",Orders!T1039="Item unavailable"),"Company-caused","Unresolved"))</f>
        <v/>
      </c>
      <c r="J1042" s="33">
        <f>IF(OR(E1042=1,I1042="Company-caused"),1,0)</f>
        <v>1</v>
      </c>
      <c r="K1042" s="32" t="str">
        <f>IF(E1042=0,IF(I1042="Company-caused",IF(Orders!T1039="Rider unavailable","C1 Rider unavailable","C2 Item unavailable"),"Outside root: unresolved"),IF(G1042=0,"A On time",IF(H1042=1,IF(L1042=1,"B2a Severe, peak","B2b Severe, off-peak"),IF(L1042=1,"B1a Slight, peak","B1b Slight, off-peak"))))</f>
        <v>A On time</v>
      </c>
      <c r="L1042" s="33">
        <f>IF(AND(Orders!U1039&gt;=19,Orders!U1039&lt;22),1,0)</f>
        <v>0</v>
      </c>
      <c r="M1042" s="33">
        <f>IF(L1042=IF(Orders!V1039,1,0),1,0)</f>
        <v>1</v>
      </c>
      <c r="N1042" s="32" t="str">
        <f>IF(Orders!W1039="","None",Orders!W1039)</f>
        <v>None</v>
      </c>
      <c r="O1042" s="35">
        <f>INT(Orders!E1039)</f>
        <v>46268.0</v>
      </c>
      <c r="P1042" s="33">
        <f>Orders!U1039</f>
        <v>15</v>
      </c>
      <c r="Q1042" s="33">
        <f>COUNTIFS(Demand!$A$2:$A$4481,B1042,Demand!$B$2:$B$4481,O1042,Demand!$C$2:$C$4481,P1042)</f>
        <v>1</v>
      </c>
      <c r="R1042" s="33">
        <f>IF(Q1042=1,SUMIFS(Demand!$E$2:$E$4481,Demand!$A$2:$A$4481,B1042,Demand!$B$2:$B$4481,O1042,Demand!$C$2:$C$4481,P1042),"")</f>
        <v>32</v>
      </c>
      <c r="S1042" s="33">
        <f>INDEX(Stores!$G$2:$G$21,MATCH(B1042,Stores!$A$2:$A$21,0))</f>
        <v>41</v>
      </c>
      <c r="T1042" s="34">
        <f>IF(R1042="","",R1042/S1042)</f>
        <v>0.780487804878049</v>
      </c>
      <c r="U1042" s="34">
        <f>IF(E1042=1,T1042,"")</f>
        <v>0.780487804878049</v>
      </c>
      <c r="V1042" s="34">
        <f>IF(AND(E1042=1,L1042=0),T1042,"")</f>
        <v>0.780487804878049</v>
      </c>
      <c r="W1042" s="33">
        <f>IF(U1042="","",IF(U1042&lt;=Breakdowns!$C$5,1,IF(U1042&lt;=Breakdowns!$C$6,2,IF(U1042&lt;=Breakdowns!$C$7,3,4))))</f>
        <v>1</v>
      </c>
      <c r="X1042" s="33">
        <f>IF(V1042="","",IF(V1042&lt;=Breakdowns!$D$5,1,IF(V1042&lt;=Breakdowns!$D$6,2,IF(V1042&lt;=Breakdowns!$D$7,3,4))))</f>
        <v>2</v>
      </c>
      <c r="Y1042" s="34">
        <f>INDEX(Stores!$F$2:$F$21,MATCH(B1042,Stores!$A$2:$A$21,0))</f>
        <v>3.84</v>
      </c>
      <c r="Z1042" s="33">
        <f>IF(Y1042&gt;Store_Summary!$M$2,1,0)</f>
        <v>0</v>
      </c>
      <c r="AA1042" s="33">
        <f>INDEX(Stores!$C$2:$C$21,MATCH(B1042,Stores!$A$2:$A$21,0))</f>
        <v>426</v>
      </c>
      <c r="AB1042" s="33">
        <f>IF(AA1042&lt;180,1,0)</f>
        <v>0</v>
      </c>
      <c r="AC1042" s="32" t="str">
        <f>IF(Orders!D1039="","",INDEX(Riders!$C$2:$C$81,MATCH(Orders!D1039,Riders!$A$2:$A$81,0)))</f>
        <v>Bicycle</v>
      </c>
      <c r="AD1042" s="33">
        <f>IF(Orders!D1039="","",INDEX(Riders!$D$2:$D$81,MATCH(Orders!D1039,Riders!$A$2:$A$81,0)))</f>
        <v>44</v>
      </c>
      <c r="AE1042" s="33">
        <f>IF(Orders!D1039="","",IF(INDEX(Riders!$B$2:$B$81,MATCH(Orders!D1039,Riders!$A$2:$A$81,0))=B1042,1,0))</f>
        <v>0</v>
      </c>
      <c r="AF1042" s="34">
        <f>IF(E1042=1,Orders!L1039,"")</f>
        <v>1.86</v>
      </c>
      <c r="AG1042" s="34">
        <f>IF(E1042=1,Orders!P1039,"")</f>
        <v>11.1</v>
      </c>
      <c r="AH1042" s="34">
        <f>IF(E1042=1,Orders!Q1039,"")</f>
        <v>10.1</v>
      </c>
      <c r="AI1042" s="34">
        <f>IF(E1042=1,Orders!M1039,"")</f>
        <v>2.5</v>
      </c>
      <c r="AJ1042" s="34">
        <f>IF(E1042=1,Orders!N1039,"")</f>
        <v>4.6</v>
      </c>
      <c r="AK1042" s="34">
        <f>IF(E1042=1,Orders!O1039,"")</f>
        <v>3</v>
      </c>
      <c r="AL1042" s="33">
        <f>IF(E1042=1,IF(ROUND(ABS(AI1042+AJ1042+AK1042-AH1042),6)&lt;=0.1,1,0),"")</f>
        <v>1</v>
      </c>
      <c r="AM1042" s="36">
        <f>IF(E1042=1,AI1042/AH1042,"")</f>
        <v>0.247524752475248</v>
      </c>
      <c r="AN1042" s="36">
        <f>IF(E1042=1,AJ1042/AH1042,"")</f>
        <v>0.455445544554455</v>
      </c>
      <c r="AO1042" s="36">
        <f>IF(E1042=1,AK1042/AH1042,"")</f>
        <v>0.297029702970297</v>
      </c>
      <c r="AP1042" s="34">
        <f>IF(E1042=1,Orders!Y1039,"")</f>
        <v>0.36</v>
      </c>
      <c r="AQ1042" s="33">
        <f>IF(Orders!X1039,1,0)</f>
        <v>0</v>
      </c>
      <c r="AR1042" s="34" t="str">
        <f>IF(AND(E1042=1,L1042=1),AJ1042,"")</f>
        <v/>
      </c>
      <c r="AS1042" s="34">
        <f>IF(AND(E1042=1,L1042=0),AJ1042,"")</f>
        <v>4.6</v>
      </c>
      <c r="AT1042" s="34" t="str">
        <f>IF(AND(E1042=1,L1042=1),AI1042,"")</f>
        <v/>
      </c>
      <c r="AU1042" s="34">
        <f>IF(AND(E1042=1,L1042=0),AI1042,"")</f>
        <v>2.5</v>
      </c>
      <c r="AV1042" s="34" t="str">
        <f>IF(AND(E1042=1,L1042=1),AG1042,"")</f>
        <v/>
      </c>
      <c r="AW1042" s="34">
        <f>IF(AND(E1042=1,L1042=0),AG1042,"")</f>
        <v>11.1</v>
      </c>
      <c r="AX1042" s="34" t="str">
        <f>IF(AND(E1042=1,L1042=1),AH1042,"")</f>
        <v/>
      </c>
      <c r="AY1042" s="34">
        <f>IF(AND(E1042=1,L1042=0),AH1042,"")</f>
        <v>10.1</v>
      </c>
      <c r="AZ1042" s="34" t="str">
        <f>IF(G1042=1,F1042,"")</f>
        <v/>
      </c>
      <c r="BA1042" s="34" t="str">
        <f>IF(AND(G1042=1,L1042=1),F1042,"")</f>
        <v/>
      </c>
      <c r="BB1042" s="34" t="str">
        <f>IF(AND(G1042=1,L1042=0),F1042,"")</f>
        <v/>
      </c>
      <c r="BC1042" s="33">
        <f>IF(E1042=1,IF(Orders!R1039&gt;3,1,0),"")</f>
        <v>0</v>
      </c>
      <c r="BD1042" s="33">
        <f>IF(E1042=1,IF(Orders!R1039&gt;7,1,0),"")</f>
        <v>0</v>
      </c>
      <c r="BE1042" s="32" t="str">
        <f>IF(E1042=1,IF(Orders!L1039&lt;=1.5,"Up to 1.5 km",IF(Orders!L1039&lt;=3,"1.5–3 km","Over 3 km")),"")</f>
        <v>1.5–3 km</v>
      </c>
      <c r="BF1042" s="33">
        <f>IF(E1042=1,IF(ABS((Orders!G1039-Orders!F1039)*1440-Orders!R1039)&lt;0.06,1,0),"")</f>
        <v>1</v>
      </c>
      <c r="BG1042" s="33">
        <f>IF(ABS((Orders!F1039-Orders!E1039)*1440-Orders!P1039)&lt;0.06,1,0)</f>
        <v>1</v>
      </c>
      <c r="BH1042" s="33">
        <f>IF(E1042=1,IF(IF(Orders!S1039,1,0)=1-G1042,1,0),"")</f>
        <v>1</v>
      </c>
      <c r="BI1042" s="32" t="str">
        <f>INDEX(Stores!$B$2:$B$21,MATCH(B1042,Stores!$A$2:$A$21,0))</f>
        <v>Mumbai</v>
      </c>
    </row>
    <row r="1043">
      <c r="A1043" s="32" t="str">
        <f>Orders!A1040</f>
        <v>O01039</v>
      </c>
      <c r="B1043" s="32" t="str">
        <f>Orders!C1040</f>
        <v>S003</v>
      </c>
      <c r="C1043" s="32" t="str">
        <f>Orders!B1040</f>
        <v>C0237</v>
      </c>
      <c r="D1043" s="32" t="str">
        <f>Orders!H1040</f>
        <v>Delivered</v>
      </c>
      <c r="E1043" s="33">
        <f>IF(Orders!H1040="Delivered",1,0)</f>
        <v>1</v>
      </c>
      <c r="F1043" s="34">
        <f>IF(E1043=1,Orders!R1040,"")</f>
        <v>-1.3</v>
      </c>
      <c r="G1043" s="33">
        <f>IF(E1043=1,IF(Orders!R1040&gt;0,1,0),"")</f>
        <v>0</v>
      </c>
      <c r="H1043" s="33">
        <f>IF(E1043=1,IF(Orders!R1040&gt;5,1,0),"")</f>
        <v>0</v>
      </c>
      <c r="I1043" s="32" t="str">
        <f>IF(E1043=1,"",IF(OR(Orders!T1040="Rider unavailable",Orders!T1040="Item unavailable"),"Company-caused","Unresolved"))</f>
        <v/>
      </c>
      <c r="J1043" s="33">
        <f>IF(OR(E1043=1,I1043="Company-caused"),1,0)</f>
        <v>1</v>
      </c>
      <c r="K1043" s="32" t="str">
        <f>IF(E1043=0,IF(I1043="Company-caused",IF(Orders!T1040="Rider unavailable","C1 Rider unavailable","C2 Item unavailable"),"Outside root: unresolved"),IF(G1043=0,"A On time",IF(H1043=1,IF(L1043=1,"B2a Severe, peak","B2b Severe, off-peak"),IF(L1043=1,"B1a Slight, peak","B1b Slight, off-peak"))))</f>
        <v>A On time</v>
      </c>
      <c r="L1043" s="33">
        <f>IF(AND(Orders!U1040&gt;=19,Orders!U1040&lt;22),1,0)</f>
        <v>0</v>
      </c>
      <c r="M1043" s="33">
        <f>IF(L1043=IF(Orders!V1040,1,0),1,0)</f>
        <v>1</v>
      </c>
      <c r="N1043" s="32" t="str">
        <f>IF(Orders!W1040="","None",Orders!W1040)</f>
        <v>Heavy</v>
      </c>
      <c r="O1043" s="35">
        <f>INT(Orders!E1040)</f>
        <v>46276.0</v>
      </c>
      <c r="P1043" s="33">
        <f>Orders!U1040</f>
        <v>10</v>
      </c>
      <c r="Q1043" s="33">
        <f>COUNTIFS(Demand!$A$2:$A$4481,B1043,Demand!$B$2:$B$4481,O1043,Demand!$C$2:$C$4481,P1043)</f>
        <v>1</v>
      </c>
      <c r="R1043" s="33">
        <f>IF(Q1043=1,SUMIFS(Demand!$E$2:$E$4481,Demand!$A$2:$A$4481,B1043,Demand!$B$2:$B$4481,O1043,Demand!$C$2:$C$4481,P1043),"")</f>
        <v>31</v>
      </c>
      <c r="S1043" s="33">
        <f>INDEX(Stores!$G$2:$G$21,MATCH(B1043,Stores!$A$2:$A$21,0))</f>
        <v>41</v>
      </c>
      <c r="T1043" s="34">
        <f>IF(R1043="","",R1043/S1043)</f>
        <v>0.75609756097561</v>
      </c>
      <c r="U1043" s="34">
        <f>IF(E1043=1,T1043,"")</f>
        <v>0.75609756097561</v>
      </c>
      <c r="V1043" s="34">
        <f>IF(AND(E1043=1,L1043=0),T1043,"")</f>
        <v>0.75609756097561</v>
      </c>
      <c r="W1043" s="33">
        <f>IF(U1043="","",IF(U1043&lt;=Breakdowns!$C$5,1,IF(U1043&lt;=Breakdowns!$C$6,2,IF(U1043&lt;=Breakdowns!$C$7,3,4))))</f>
        <v>1</v>
      </c>
      <c r="X1043" s="33">
        <f>IF(V1043="","",IF(V1043&lt;=Breakdowns!$D$5,1,IF(V1043&lt;=Breakdowns!$D$6,2,IF(V1043&lt;=Breakdowns!$D$7,3,4))))</f>
        <v>2</v>
      </c>
      <c r="Y1043" s="34">
        <f>INDEX(Stores!$F$2:$F$21,MATCH(B1043,Stores!$A$2:$A$21,0))</f>
        <v>3.84</v>
      </c>
      <c r="Z1043" s="33">
        <f>IF(Y1043&gt;Store_Summary!$M$2,1,0)</f>
        <v>0</v>
      </c>
      <c r="AA1043" s="33">
        <f>INDEX(Stores!$C$2:$C$21,MATCH(B1043,Stores!$A$2:$A$21,0))</f>
        <v>426</v>
      </c>
      <c r="AB1043" s="33">
        <f>IF(AA1043&lt;180,1,0)</f>
        <v>0</v>
      </c>
      <c r="AC1043" s="32" t="str">
        <f>IF(Orders!D1040="","",INDEX(Riders!$C$2:$C$81,MATCH(Orders!D1040,Riders!$A$2:$A$81,0)))</f>
        <v>Petrol scooter</v>
      </c>
      <c r="AD1043" s="33">
        <f>IF(Orders!D1040="","",INDEX(Riders!$D$2:$D$81,MATCH(Orders!D1040,Riders!$A$2:$A$81,0)))</f>
        <v>6</v>
      </c>
      <c r="AE1043" s="33">
        <f>IF(Orders!D1040="","",IF(INDEX(Riders!$B$2:$B$81,MATCH(Orders!D1040,Riders!$A$2:$A$81,0))=B1043,1,0))</f>
        <v>0</v>
      </c>
      <c r="AF1043" s="34">
        <f>IF(E1043=1,Orders!L1040,"")</f>
        <v>2.1</v>
      </c>
      <c r="AG1043" s="34">
        <f>IF(E1043=1,Orders!P1040,"")</f>
        <v>12.9</v>
      </c>
      <c r="AH1043" s="34">
        <f>IF(E1043=1,Orders!Q1040,"")</f>
        <v>11.6</v>
      </c>
      <c r="AI1043" s="34">
        <f>IF(E1043=1,Orders!M1040,"")</f>
        <v>2.8</v>
      </c>
      <c r="AJ1043" s="34">
        <f>IF(E1043=1,Orders!N1040,"")</f>
        <v>0.3</v>
      </c>
      <c r="AK1043" s="34">
        <f>IF(E1043=1,Orders!O1040,"")</f>
        <v>8.5</v>
      </c>
      <c r="AL1043" s="33">
        <f>IF(E1043=1,IF(ROUND(ABS(AI1043+AJ1043+AK1043-AH1043),6)&lt;=0.1,1,0),"")</f>
        <v>1</v>
      </c>
      <c r="AM1043" s="36">
        <f>IF(E1043=1,AI1043/AH1043,"")</f>
        <v>0.241379310344828</v>
      </c>
      <c r="AN1043" s="36">
        <f>IF(E1043=1,AJ1043/AH1043,"")</f>
        <v>0.0258620689655172</v>
      </c>
      <c r="AO1043" s="36">
        <f>IF(E1043=1,AK1043/AH1043,"")</f>
        <v>0.732758620689655</v>
      </c>
      <c r="AP1043" s="34">
        <f>IF(E1043=1,Orders!Y1040,"")</f>
        <v>0.49</v>
      </c>
      <c r="AQ1043" s="33">
        <f>IF(Orders!X1040,1,0)</f>
        <v>0</v>
      </c>
      <c r="AR1043" s="34" t="str">
        <f>IF(AND(E1043=1,L1043=1),AJ1043,"")</f>
        <v/>
      </c>
      <c r="AS1043" s="34">
        <f>IF(AND(E1043=1,L1043=0),AJ1043,"")</f>
        <v>0.3</v>
      </c>
      <c r="AT1043" s="34" t="str">
        <f>IF(AND(E1043=1,L1043=1),AI1043,"")</f>
        <v/>
      </c>
      <c r="AU1043" s="34">
        <f>IF(AND(E1043=1,L1043=0),AI1043,"")</f>
        <v>2.8</v>
      </c>
      <c r="AV1043" s="34" t="str">
        <f>IF(AND(E1043=1,L1043=1),AG1043,"")</f>
        <v/>
      </c>
      <c r="AW1043" s="34">
        <f>IF(AND(E1043=1,L1043=0),AG1043,"")</f>
        <v>12.9</v>
      </c>
      <c r="AX1043" s="34" t="str">
        <f>IF(AND(E1043=1,L1043=1),AH1043,"")</f>
        <v/>
      </c>
      <c r="AY1043" s="34">
        <f>IF(AND(E1043=1,L1043=0),AH1043,"")</f>
        <v>11.6</v>
      </c>
      <c r="AZ1043" s="34" t="str">
        <f>IF(G1043=1,F1043,"")</f>
        <v/>
      </c>
      <c r="BA1043" s="34" t="str">
        <f>IF(AND(G1043=1,L1043=1),F1043,"")</f>
        <v/>
      </c>
      <c r="BB1043" s="34" t="str">
        <f>IF(AND(G1043=1,L1043=0),F1043,"")</f>
        <v/>
      </c>
      <c r="BC1043" s="33">
        <f>IF(E1043=1,IF(Orders!R1040&gt;3,1,0),"")</f>
        <v>0</v>
      </c>
      <c r="BD1043" s="33">
        <f>IF(E1043=1,IF(Orders!R1040&gt;7,1,0),"")</f>
        <v>0</v>
      </c>
      <c r="BE1043" s="32" t="str">
        <f>IF(E1043=1,IF(Orders!L1040&lt;=1.5,"Up to 1.5 km",IF(Orders!L1040&lt;=3,"1.5–3 km","Over 3 km")),"")</f>
        <v>1.5–3 km</v>
      </c>
      <c r="BF1043" s="33">
        <f>IF(E1043=1,IF(ABS((Orders!G1040-Orders!F1040)*1440-Orders!R1040)&lt;0.06,1,0),"")</f>
        <v>1</v>
      </c>
      <c r="BG1043" s="33">
        <f>IF(ABS((Orders!F1040-Orders!E1040)*1440-Orders!P1040)&lt;0.06,1,0)</f>
        <v>1</v>
      </c>
      <c r="BH1043" s="33">
        <f>IF(E1043=1,IF(IF(Orders!S1040,1,0)=1-G1043,1,0),"")</f>
        <v>1</v>
      </c>
      <c r="BI1043" s="32" t="str">
        <f>INDEX(Stores!$B$2:$B$21,MATCH(B1043,Stores!$A$2:$A$21,0))</f>
        <v>Mumbai</v>
      </c>
    </row>
    <row r="1044">
      <c r="A1044" s="32" t="str">
        <f>Orders!A1041</f>
        <v>O01040</v>
      </c>
      <c r="B1044" s="32" t="str">
        <f>Orders!C1041</f>
        <v>S020</v>
      </c>
      <c r="C1044" s="32" t="str">
        <f>Orders!B1041</f>
        <v>C0212</v>
      </c>
      <c r="D1044" s="32" t="str">
        <f>Orders!H1041</f>
        <v>Delivered</v>
      </c>
      <c r="E1044" s="33">
        <f>IF(Orders!H1041="Delivered",1,0)</f>
        <v>1</v>
      </c>
      <c r="F1044" s="34">
        <f>IF(E1044=1,Orders!R1041,"")</f>
        <v>-0.7</v>
      </c>
      <c r="G1044" s="33">
        <f>IF(E1044=1,IF(Orders!R1041&gt;0,1,0),"")</f>
        <v>0</v>
      </c>
      <c r="H1044" s="33">
        <f>IF(E1044=1,IF(Orders!R1041&gt;5,1,0),"")</f>
        <v>0</v>
      </c>
      <c r="I1044" s="32" t="str">
        <f>IF(E1044=1,"",IF(OR(Orders!T1041="Rider unavailable",Orders!T1041="Item unavailable"),"Company-caused","Unresolved"))</f>
        <v/>
      </c>
      <c r="J1044" s="33">
        <f>IF(OR(E1044=1,I1044="Company-caused"),1,0)</f>
        <v>1</v>
      </c>
      <c r="K1044" s="32" t="str">
        <f>IF(E1044=0,IF(I1044="Company-caused",IF(Orders!T1041="Rider unavailable","C1 Rider unavailable","C2 Item unavailable"),"Outside root: unresolved"),IF(G1044=0,"A On time",IF(H1044=1,IF(L1044=1,"B2a Severe, peak","B2b Severe, off-peak"),IF(L1044=1,"B1a Slight, peak","B1b Slight, off-peak"))))</f>
        <v>A On time</v>
      </c>
      <c r="L1044" s="33">
        <f>IF(AND(Orders!U1041&gt;=19,Orders!U1041&lt;22),1,0)</f>
        <v>0</v>
      </c>
      <c r="M1044" s="33">
        <f>IF(L1044=IF(Orders!V1041,1,0),1,0)</f>
        <v>1</v>
      </c>
      <c r="N1044" s="32" t="str">
        <f>IF(Orders!W1041="","None",Orders!W1041)</f>
        <v>None</v>
      </c>
      <c r="O1044" s="35">
        <f>INT(Orders!E1041)</f>
        <v>46277.0</v>
      </c>
      <c r="P1044" s="33">
        <f>Orders!U1041</f>
        <v>17</v>
      </c>
      <c r="Q1044" s="33">
        <f>COUNTIFS(Demand!$A$2:$A$4481,B1044,Demand!$B$2:$B$4481,O1044,Demand!$C$2:$C$4481,P1044)</f>
        <v>1</v>
      </c>
      <c r="R1044" s="33">
        <f>IF(Q1044=1,SUMIFS(Demand!$E$2:$E$4481,Demand!$A$2:$A$4481,B1044,Demand!$B$2:$B$4481,O1044,Demand!$C$2:$C$4481,P1044),"")</f>
        <v>23</v>
      </c>
      <c r="S1044" s="33">
        <f>INDEX(Stores!$G$2:$G$21,MATCH(B1044,Stores!$A$2:$A$21,0))</f>
        <v>15</v>
      </c>
      <c r="T1044" s="34">
        <f>IF(R1044="","",R1044/S1044)</f>
        <v>1.53333333333333</v>
      </c>
      <c r="U1044" s="34">
        <f>IF(E1044=1,T1044,"")</f>
        <v>1.53333333333333</v>
      </c>
      <c r="V1044" s="34">
        <f>IF(AND(E1044=1,L1044=0),T1044,"")</f>
        <v>1.53333333333333</v>
      </c>
      <c r="W1044" s="33">
        <f>IF(U1044="","",IF(U1044&lt;=Breakdowns!$C$5,1,IF(U1044&lt;=Breakdowns!$C$6,2,IF(U1044&lt;=Breakdowns!$C$7,3,4))))</f>
        <v>4</v>
      </c>
      <c r="X1044" s="33">
        <f>IF(V1044="","",IF(V1044&lt;=Breakdowns!$D$5,1,IF(V1044&lt;=Breakdowns!$D$6,2,IF(V1044&lt;=Breakdowns!$D$7,3,4))))</f>
        <v>4</v>
      </c>
      <c r="Y1044" s="34">
        <f>INDEX(Stores!$F$2:$F$21,MATCH(B1044,Stores!$A$2:$A$21,0))</f>
        <v>5.74</v>
      </c>
      <c r="Z1044" s="33">
        <f>IF(Y1044&gt;Store_Summary!$M$2,1,0)</f>
        <v>1</v>
      </c>
      <c r="AA1044" s="33">
        <f>INDEX(Stores!$C$2:$C$21,MATCH(B1044,Stores!$A$2:$A$21,0))</f>
        <v>647</v>
      </c>
      <c r="AB1044" s="33">
        <f>IF(AA1044&lt;180,1,0)</f>
        <v>0</v>
      </c>
      <c r="AC1044" s="32" t="str">
        <f>IF(Orders!D1041="","",INDEX(Riders!$C$2:$C$81,MATCH(Orders!D1041,Riders!$A$2:$A$81,0)))</f>
        <v>Petrol scooter</v>
      </c>
      <c r="AD1044" s="33">
        <f>IF(Orders!D1041="","",INDEX(Riders!$D$2:$D$81,MATCH(Orders!D1041,Riders!$A$2:$A$81,0)))</f>
        <v>44</v>
      </c>
      <c r="AE1044" s="33">
        <f>IF(Orders!D1041="","",IF(INDEX(Riders!$B$2:$B$81,MATCH(Orders!D1041,Riders!$A$2:$A$81,0))=B1044,1,0))</f>
        <v>0</v>
      </c>
      <c r="AF1044" s="34">
        <f>IF(E1044=1,Orders!L1041,"")</f>
        <v>0.5</v>
      </c>
      <c r="AG1044" s="34">
        <f>IF(E1044=1,Orders!P1041,"")</f>
        <v>9.4</v>
      </c>
      <c r="AH1044" s="34">
        <f>IF(E1044=1,Orders!Q1041,"")</f>
        <v>8.7</v>
      </c>
      <c r="AI1044" s="34">
        <f>IF(E1044=1,Orders!M1041,"")</f>
        <v>3.2</v>
      </c>
      <c r="AJ1044" s="34">
        <f>IF(E1044=1,Orders!N1041,"")</f>
        <v>4.1</v>
      </c>
      <c r="AK1044" s="34">
        <f>IF(E1044=1,Orders!O1041,"")</f>
        <v>1.4</v>
      </c>
      <c r="AL1044" s="33">
        <f>IF(E1044=1,IF(ROUND(ABS(AI1044+AJ1044+AK1044-AH1044),6)&lt;=0.1,1,0),"")</f>
        <v>1</v>
      </c>
      <c r="AM1044" s="36">
        <f>IF(E1044=1,AI1044/AH1044,"")</f>
        <v>0.367816091954023</v>
      </c>
      <c r="AN1044" s="36">
        <f>IF(E1044=1,AJ1044/AH1044,"")</f>
        <v>0.471264367816092</v>
      </c>
      <c r="AO1044" s="36">
        <f>IF(E1044=1,AK1044/AH1044,"")</f>
        <v>0.160919540229885</v>
      </c>
      <c r="AP1044" s="34">
        <f>IF(E1044=1,Orders!Y1041,"")</f>
        <v>0.5</v>
      </c>
      <c r="AQ1044" s="33">
        <f>IF(Orders!X1041,1,0)</f>
        <v>0</v>
      </c>
      <c r="AR1044" s="34" t="str">
        <f>IF(AND(E1044=1,L1044=1),AJ1044,"")</f>
        <v/>
      </c>
      <c r="AS1044" s="34">
        <f>IF(AND(E1044=1,L1044=0),AJ1044,"")</f>
        <v>4.1</v>
      </c>
      <c r="AT1044" s="34" t="str">
        <f>IF(AND(E1044=1,L1044=1),AI1044,"")</f>
        <v/>
      </c>
      <c r="AU1044" s="34">
        <f>IF(AND(E1044=1,L1044=0),AI1044,"")</f>
        <v>3.2</v>
      </c>
      <c r="AV1044" s="34" t="str">
        <f>IF(AND(E1044=1,L1044=1),AG1044,"")</f>
        <v/>
      </c>
      <c r="AW1044" s="34">
        <f>IF(AND(E1044=1,L1044=0),AG1044,"")</f>
        <v>9.4</v>
      </c>
      <c r="AX1044" s="34" t="str">
        <f>IF(AND(E1044=1,L1044=1),AH1044,"")</f>
        <v/>
      </c>
      <c r="AY1044" s="34">
        <f>IF(AND(E1044=1,L1044=0),AH1044,"")</f>
        <v>8.7</v>
      </c>
      <c r="AZ1044" s="34" t="str">
        <f>IF(G1044=1,F1044,"")</f>
        <v/>
      </c>
      <c r="BA1044" s="34" t="str">
        <f>IF(AND(G1044=1,L1044=1),F1044,"")</f>
        <v/>
      </c>
      <c r="BB1044" s="34" t="str">
        <f>IF(AND(G1044=1,L1044=0),F1044,"")</f>
        <v/>
      </c>
      <c r="BC1044" s="33">
        <f>IF(E1044=1,IF(Orders!R1041&gt;3,1,0),"")</f>
        <v>0</v>
      </c>
      <c r="BD1044" s="33">
        <f>IF(E1044=1,IF(Orders!R1041&gt;7,1,0),"")</f>
        <v>0</v>
      </c>
      <c r="BE1044" s="32" t="str">
        <f>IF(E1044=1,IF(Orders!L1041&lt;=1.5,"Up to 1.5 km",IF(Orders!L1041&lt;=3,"1.5–3 km","Over 3 km")),"")</f>
        <v>Up to 1.5 km</v>
      </c>
      <c r="BF1044" s="33">
        <f>IF(E1044=1,IF(ABS((Orders!G1041-Orders!F1041)*1440-Orders!R1041)&lt;0.06,1,0),"")</f>
        <v>1</v>
      </c>
      <c r="BG1044" s="33">
        <f>IF(ABS((Orders!F1041-Orders!E1041)*1440-Orders!P1041)&lt;0.06,1,0)</f>
        <v>1</v>
      </c>
      <c r="BH1044" s="33">
        <f>IF(E1044=1,IF(IF(Orders!S1041,1,0)=1-G1044,1,0),"")</f>
        <v>1</v>
      </c>
      <c r="BI1044" s="32" t="str">
        <f>INDEX(Stores!$B$2:$B$21,MATCH(B1044,Stores!$A$2:$A$21,0))</f>
        <v>Delhi</v>
      </c>
    </row>
    <row r="1045">
      <c r="A1045" s="32" t="str">
        <f>Orders!A1042</f>
        <v>O01041</v>
      </c>
      <c r="B1045" s="32" t="str">
        <f>Orders!C1042</f>
        <v>S006</v>
      </c>
      <c r="C1045" s="32" t="str">
        <f>Orders!B1042</f>
        <v>C0216</v>
      </c>
      <c r="D1045" s="32" t="str">
        <f>Orders!H1042</f>
        <v>Delivered</v>
      </c>
      <c r="E1045" s="33">
        <f>IF(Orders!H1042="Delivered",1,0)</f>
        <v>1</v>
      </c>
      <c r="F1045" s="34">
        <f>IF(E1045=1,Orders!R1042,"")</f>
        <v>8.2</v>
      </c>
      <c r="G1045" s="33">
        <f>IF(E1045=1,IF(Orders!R1042&gt;0,1,0),"")</f>
        <v>1</v>
      </c>
      <c r="H1045" s="33">
        <f>IF(E1045=1,IF(Orders!R1042&gt;5,1,0),"")</f>
        <v>1</v>
      </c>
      <c r="I1045" s="32" t="str">
        <f>IF(E1045=1,"",IF(OR(Orders!T1042="Rider unavailable",Orders!T1042="Item unavailable"),"Company-caused","Unresolved"))</f>
        <v/>
      </c>
      <c r="J1045" s="33">
        <f>IF(OR(E1045=1,I1045="Company-caused"),1,0)</f>
        <v>1</v>
      </c>
      <c r="K1045" s="32" t="str">
        <f>IF(E1045=0,IF(I1045="Company-caused",IF(Orders!T1042="Rider unavailable","C1 Rider unavailable","C2 Item unavailable"),"Outside root: unresolved"),IF(G1045=0,"A On time",IF(H1045=1,IF(L1045=1,"B2a Severe, peak","B2b Severe, off-peak"),IF(L1045=1,"B1a Slight, peak","B1b Slight, off-peak"))))</f>
        <v>B2b Severe, off-peak</v>
      </c>
      <c r="L1045" s="33">
        <f>IF(AND(Orders!U1042&gt;=19,Orders!U1042&lt;22),1,0)</f>
        <v>0</v>
      </c>
      <c r="M1045" s="33">
        <f>IF(L1045=IF(Orders!V1042,1,0),1,0)</f>
        <v>1</v>
      </c>
      <c r="N1045" s="32" t="str">
        <f>IF(Orders!W1042="","None",Orders!W1042)</f>
        <v>None</v>
      </c>
      <c r="O1045" s="35">
        <f>INT(Orders!E1042)</f>
        <v>46267.0</v>
      </c>
      <c r="P1045" s="33">
        <f>Orders!U1042</f>
        <v>18</v>
      </c>
      <c r="Q1045" s="33">
        <f>COUNTIFS(Demand!$A$2:$A$4481,B1045,Demand!$B$2:$B$4481,O1045,Demand!$C$2:$C$4481,P1045)</f>
        <v>1</v>
      </c>
      <c r="R1045" s="33">
        <f>IF(Q1045=1,SUMIFS(Demand!$E$2:$E$4481,Demand!$A$2:$A$4481,B1045,Demand!$B$2:$B$4481,O1045,Demand!$C$2:$C$4481,P1045),"")</f>
        <v>29</v>
      </c>
      <c r="S1045" s="33">
        <f>INDEX(Stores!$G$2:$G$21,MATCH(B1045,Stores!$A$2:$A$21,0))</f>
        <v>26</v>
      </c>
      <c r="T1045" s="34">
        <f>IF(R1045="","",R1045/S1045)</f>
        <v>1.11538461538462</v>
      </c>
      <c r="U1045" s="34">
        <f>IF(E1045=1,T1045,"")</f>
        <v>1.11538461538462</v>
      </c>
      <c r="V1045" s="34">
        <f>IF(AND(E1045=1,L1045=0),T1045,"")</f>
        <v>1.11538461538462</v>
      </c>
      <c r="W1045" s="33">
        <f>IF(U1045="","",IF(U1045&lt;=Breakdowns!$C$5,1,IF(U1045&lt;=Breakdowns!$C$6,2,IF(U1045&lt;=Breakdowns!$C$7,3,4))))</f>
        <v>3</v>
      </c>
      <c r="X1045" s="33">
        <f>IF(V1045="","",IF(V1045&lt;=Breakdowns!$D$5,1,IF(V1045&lt;=Breakdowns!$D$6,2,IF(V1045&lt;=Breakdowns!$D$7,3,4))))</f>
        <v>4</v>
      </c>
      <c r="Y1045" s="34">
        <f>INDEX(Stores!$F$2:$F$21,MATCH(B1045,Stores!$A$2:$A$21,0))</f>
        <v>5.22</v>
      </c>
      <c r="Z1045" s="33">
        <f>IF(Y1045&gt;Store_Summary!$M$2,1,0)</f>
        <v>1</v>
      </c>
      <c r="AA1045" s="33">
        <f>INDEX(Stores!$C$2:$C$21,MATCH(B1045,Stores!$A$2:$A$21,0))</f>
        <v>412</v>
      </c>
      <c r="AB1045" s="33">
        <f>IF(AA1045&lt;180,1,0)</f>
        <v>0</v>
      </c>
      <c r="AC1045" s="32" t="str">
        <f>IF(Orders!D1042="","",INDEX(Riders!$C$2:$C$81,MATCH(Orders!D1042,Riders!$A$2:$A$81,0)))</f>
        <v>EV scooter</v>
      </c>
      <c r="AD1045" s="33">
        <f>IF(Orders!D1042="","",INDEX(Riders!$D$2:$D$81,MATCH(Orders!D1042,Riders!$A$2:$A$81,0)))</f>
        <v>33</v>
      </c>
      <c r="AE1045" s="33">
        <f>IF(Orders!D1042="","",IF(INDEX(Riders!$B$2:$B$81,MATCH(Orders!D1042,Riders!$A$2:$A$81,0))=B1045,1,0))</f>
        <v>0</v>
      </c>
      <c r="AF1045" s="34">
        <f>IF(E1045=1,Orders!L1042,"")</f>
        <v>2.14</v>
      </c>
      <c r="AG1045" s="34">
        <f>IF(E1045=1,Orders!P1042,"")</f>
        <v>11.9</v>
      </c>
      <c r="AH1045" s="34">
        <f>IF(E1045=1,Orders!Q1042,"")</f>
        <v>20.1</v>
      </c>
      <c r="AI1045" s="34">
        <f>IF(E1045=1,Orders!M1042,"")</f>
        <v>5.4</v>
      </c>
      <c r="AJ1045" s="34">
        <f>IF(E1045=1,Orders!N1042,"")</f>
        <v>8.4</v>
      </c>
      <c r="AK1045" s="34">
        <f>IF(E1045=1,Orders!O1042,"")</f>
        <v>6.2</v>
      </c>
      <c r="AL1045" s="33">
        <f>IF(E1045=1,IF(ROUND(ABS(AI1045+AJ1045+AK1045-AH1045),6)&lt;=0.1,1,0),"")</f>
        <v>1</v>
      </c>
      <c r="AM1045" s="36">
        <f>IF(E1045=1,AI1045/AH1045,"")</f>
        <v>0.26865671641791</v>
      </c>
      <c r="AN1045" s="36">
        <f>IF(E1045=1,AJ1045/AH1045,"")</f>
        <v>0.417910447761194</v>
      </c>
      <c r="AO1045" s="36">
        <f>IF(E1045=1,AK1045/AH1045,"")</f>
        <v>0.308457711442786</v>
      </c>
      <c r="AP1045" s="34">
        <f>IF(E1045=1,Orders!Y1042,"")</f>
        <v>0.36</v>
      </c>
      <c r="AQ1045" s="33">
        <f>IF(Orders!X1042,1,0)</f>
        <v>0</v>
      </c>
      <c r="AR1045" s="34" t="str">
        <f>IF(AND(E1045=1,L1045=1),AJ1045,"")</f>
        <v/>
      </c>
      <c r="AS1045" s="34">
        <f>IF(AND(E1045=1,L1045=0),AJ1045,"")</f>
        <v>8.4</v>
      </c>
      <c r="AT1045" s="34" t="str">
        <f>IF(AND(E1045=1,L1045=1),AI1045,"")</f>
        <v/>
      </c>
      <c r="AU1045" s="34">
        <f>IF(AND(E1045=1,L1045=0),AI1045,"")</f>
        <v>5.4</v>
      </c>
      <c r="AV1045" s="34" t="str">
        <f>IF(AND(E1045=1,L1045=1),AG1045,"")</f>
        <v/>
      </c>
      <c r="AW1045" s="34">
        <f>IF(AND(E1045=1,L1045=0),AG1045,"")</f>
        <v>11.9</v>
      </c>
      <c r="AX1045" s="34" t="str">
        <f>IF(AND(E1045=1,L1045=1),AH1045,"")</f>
        <v/>
      </c>
      <c r="AY1045" s="34">
        <f>IF(AND(E1045=1,L1045=0),AH1045,"")</f>
        <v>20.1</v>
      </c>
      <c r="AZ1045" s="34">
        <f>IF(G1045=1,F1045,"")</f>
        <v>8.2</v>
      </c>
      <c r="BA1045" s="34" t="str">
        <f>IF(AND(G1045=1,L1045=1),F1045,"")</f>
        <v/>
      </c>
      <c r="BB1045" s="34">
        <f>IF(AND(G1045=1,L1045=0),F1045,"")</f>
        <v>8.2</v>
      </c>
      <c r="BC1045" s="33">
        <f>IF(E1045=1,IF(Orders!R1042&gt;3,1,0),"")</f>
        <v>1</v>
      </c>
      <c r="BD1045" s="33">
        <f>IF(E1045=1,IF(Orders!R1042&gt;7,1,0),"")</f>
        <v>1</v>
      </c>
      <c r="BE1045" s="32" t="str">
        <f>IF(E1045=1,IF(Orders!L1042&lt;=1.5,"Up to 1.5 km",IF(Orders!L1042&lt;=3,"1.5–3 km","Over 3 km")),"")</f>
        <v>1.5–3 km</v>
      </c>
      <c r="BF1045" s="33">
        <f>IF(E1045=1,IF(ABS((Orders!G1042-Orders!F1042)*1440-Orders!R1042)&lt;0.06,1,0),"")</f>
        <v>1</v>
      </c>
      <c r="BG1045" s="33">
        <f>IF(ABS((Orders!F1042-Orders!E1042)*1440-Orders!P1042)&lt;0.06,1,0)</f>
        <v>1</v>
      </c>
      <c r="BH1045" s="33">
        <f>IF(E1045=1,IF(IF(Orders!S1042,1,0)=1-G1045,1,0),"")</f>
        <v>1</v>
      </c>
      <c r="BI1045" s="32" t="str">
        <f>INDEX(Stores!$B$2:$B$21,MATCH(B1045,Stores!$A$2:$A$21,0))</f>
        <v>Bengaluru</v>
      </c>
    </row>
    <row r="1046">
      <c r="A1046" s="32" t="str">
        <f>Orders!A1043</f>
        <v>O01042</v>
      </c>
      <c r="B1046" s="32" t="str">
        <f>Orders!C1043</f>
        <v>S014</v>
      </c>
      <c r="C1046" s="32" t="str">
        <f>Orders!B1043</f>
        <v>C0005</v>
      </c>
      <c r="D1046" s="32" t="str">
        <f>Orders!H1043</f>
        <v>Delivered</v>
      </c>
      <c r="E1046" s="33">
        <f>IF(Orders!H1043="Delivered",1,0)</f>
        <v>1</v>
      </c>
      <c r="F1046" s="34">
        <f>IF(E1046=1,Orders!R1043,"")</f>
        <v>-1.1</v>
      </c>
      <c r="G1046" s="33">
        <f>IF(E1046=1,IF(Orders!R1043&gt;0,1,0),"")</f>
        <v>0</v>
      </c>
      <c r="H1046" s="33">
        <f>IF(E1046=1,IF(Orders!R1043&gt;5,1,0),"")</f>
        <v>0</v>
      </c>
      <c r="I1046" s="32" t="str">
        <f>IF(E1046=1,"",IF(OR(Orders!T1043="Rider unavailable",Orders!T1043="Item unavailable"),"Company-caused","Unresolved"))</f>
        <v/>
      </c>
      <c r="J1046" s="33">
        <f>IF(OR(E1046=1,I1046="Company-caused"),1,0)</f>
        <v>1</v>
      </c>
      <c r="K1046" s="32" t="str">
        <f>IF(E1046=0,IF(I1046="Company-caused",IF(Orders!T1043="Rider unavailable","C1 Rider unavailable","C2 Item unavailable"),"Outside root: unresolved"),IF(G1046=0,"A On time",IF(H1046=1,IF(L1046=1,"B2a Severe, peak","B2b Severe, off-peak"),IF(L1046=1,"B1a Slight, peak","B1b Slight, off-peak"))))</f>
        <v>A On time</v>
      </c>
      <c r="L1046" s="33">
        <f>IF(AND(Orders!U1043&gt;=19,Orders!U1043&lt;22),1,0)</f>
        <v>0</v>
      </c>
      <c r="M1046" s="33">
        <f>IF(L1046=IF(Orders!V1043,1,0),1,0)</f>
        <v>1</v>
      </c>
      <c r="N1046" s="32" t="str">
        <f>IF(Orders!W1043="","None",Orders!W1043)</f>
        <v>Light</v>
      </c>
      <c r="O1046" s="35">
        <f>INT(Orders!E1043)</f>
        <v>46279.0</v>
      </c>
      <c r="P1046" s="33">
        <f>Orders!U1043</f>
        <v>11</v>
      </c>
      <c r="Q1046" s="33">
        <f>COUNTIFS(Demand!$A$2:$A$4481,B1046,Demand!$B$2:$B$4481,O1046,Demand!$C$2:$C$4481,P1046)</f>
        <v>1</v>
      </c>
      <c r="R1046" s="33">
        <f>IF(Q1046=1,SUMIFS(Demand!$E$2:$E$4481,Demand!$A$2:$A$4481,B1046,Demand!$B$2:$B$4481,O1046,Demand!$C$2:$C$4481,P1046),"")</f>
        <v>32</v>
      </c>
      <c r="S1046" s="33">
        <f>INDEX(Stores!$G$2:$G$21,MATCH(B1046,Stores!$A$2:$A$21,0))</f>
        <v>37</v>
      </c>
      <c r="T1046" s="34">
        <f>IF(R1046="","",R1046/S1046)</f>
        <v>0.864864864864865</v>
      </c>
      <c r="U1046" s="34">
        <f>IF(E1046=1,T1046,"")</f>
        <v>0.864864864864865</v>
      </c>
      <c r="V1046" s="34">
        <f>IF(AND(E1046=1,L1046=0),T1046,"")</f>
        <v>0.864864864864865</v>
      </c>
      <c r="W1046" s="33">
        <f>IF(U1046="","",IF(U1046&lt;=Breakdowns!$C$5,1,IF(U1046&lt;=Breakdowns!$C$6,2,IF(U1046&lt;=Breakdowns!$C$7,3,4))))</f>
        <v>2</v>
      </c>
      <c r="X1046" s="33">
        <f>IF(V1046="","",IF(V1046&lt;=Breakdowns!$D$5,1,IF(V1046&lt;=Breakdowns!$D$6,2,IF(V1046&lt;=Breakdowns!$D$7,3,4))))</f>
        <v>2</v>
      </c>
      <c r="Y1046" s="34">
        <f>INDEX(Stores!$F$2:$F$21,MATCH(B1046,Stores!$A$2:$A$21,0))</f>
        <v>5.55</v>
      </c>
      <c r="Z1046" s="33">
        <f>IF(Y1046&gt;Store_Summary!$M$2,1,0)</f>
        <v>1</v>
      </c>
      <c r="AA1046" s="33">
        <f>INDEX(Stores!$C$2:$C$21,MATCH(B1046,Stores!$A$2:$A$21,0))</f>
        <v>241</v>
      </c>
      <c r="AB1046" s="33">
        <f>IF(AA1046&lt;180,1,0)</f>
        <v>0</v>
      </c>
      <c r="AC1046" s="32" t="str">
        <f>IF(Orders!D1043="","",INDEX(Riders!$C$2:$C$81,MATCH(Orders!D1043,Riders!$A$2:$A$81,0)))</f>
        <v>EV scooter</v>
      </c>
      <c r="AD1046" s="33">
        <f>IF(Orders!D1043="","",INDEX(Riders!$D$2:$D$81,MATCH(Orders!D1043,Riders!$A$2:$A$81,0)))</f>
        <v>2</v>
      </c>
      <c r="AE1046" s="33">
        <f>IF(Orders!D1043="","",IF(INDEX(Riders!$B$2:$B$81,MATCH(Orders!D1043,Riders!$A$2:$A$81,0))=B1046,1,0))</f>
        <v>0</v>
      </c>
      <c r="AF1046" s="34">
        <f>IF(E1046=1,Orders!L1043,"")</f>
        <v>0.95</v>
      </c>
      <c r="AG1046" s="34">
        <f>IF(E1046=1,Orders!P1043,"")</f>
        <v>9.8</v>
      </c>
      <c r="AH1046" s="34">
        <f>IF(E1046=1,Orders!Q1043,"")</f>
        <v>8.7</v>
      </c>
      <c r="AI1046" s="34">
        <f>IF(E1046=1,Orders!M1043,"")</f>
        <v>4.5</v>
      </c>
      <c r="AJ1046" s="34">
        <f>IF(E1046=1,Orders!N1043,"")</f>
        <v>1.4</v>
      </c>
      <c r="AK1046" s="34">
        <f>IF(E1046=1,Orders!O1043,"")</f>
        <v>2.8</v>
      </c>
      <c r="AL1046" s="33">
        <f>IF(E1046=1,IF(ROUND(ABS(AI1046+AJ1046+AK1046-AH1046),6)&lt;=0.1,1,0),"")</f>
        <v>1</v>
      </c>
      <c r="AM1046" s="36">
        <f>IF(E1046=1,AI1046/AH1046,"")</f>
        <v>0.517241379310345</v>
      </c>
      <c r="AN1046" s="36">
        <f>IF(E1046=1,AJ1046/AH1046,"")</f>
        <v>0.160919540229885</v>
      </c>
      <c r="AO1046" s="36">
        <f>IF(E1046=1,AK1046/AH1046,"")</f>
        <v>0.32183908045977</v>
      </c>
      <c r="AP1046" s="34">
        <f>IF(E1046=1,Orders!Y1043,"")</f>
        <v>0.37</v>
      </c>
      <c r="AQ1046" s="33">
        <f>IF(Orders!X1043,1,0)</f>
        <v>0</v>
      </c>
      <c r="AR1046" s="34" t="str">
        <f>IF(AND(E1046=1,L1046=1),AJ1046,"")</f>
        <v/>
      </c>
      <c r="AS1046" s="34">
        <f>IF(AND(E1046=1,L1046=0),AJ1046,"")</f>
        <v>1.4</v>
      </c>
      <c r="AT1046" s="34" t="str">
        <f>IF(AND(E1046=1,L1046=1),AI1046,"")</f>
        <v/>
      </c>
      <c r="AU1046" s="34">
        <f>IF(AND(E1046=1,L1046=0),AI1046,"")</f>
        <v>4.5</v>
      </c>
      <c r="AV1046" s="34" t="str">
        <f>IF(AND(E1046=1,L1046=1),AG1046,"")</f>
        <v/>
      </c>
      <c r="AW1046" s="34">
        <f>IF(AND(E1046=1,L1046=0),AG1046,"")</f>
        <v>9.8</v>
      </c>
      <c r="AX1046" s="34" t="str">
        <f>IF(AND(E1046=1,L1046=1),AH1046,"")</f>
        <v/>
      </c>
      <c r="AY1046" s="34">
        <f>IF(AND(E1046=1,L1046=0),AH1046,"")</f>
        <v>8.7</v>
      </c>
      <c r="AZ1046" s="34" t="str">
        <f>IF(G1046=1,F1046,"")</f>
        <v/>
      </c>
      <c r="BA1046" s="34" t="str">
        <f>IF(AND(G1046=1,L1046=1),F1046,"")</f>
        <v/>
      </c>
      <c r="BB1046" s="34" t="str">
        <f>IF(AND(G1046=1,L1046=0),F1046,"")</f>
        <v/>
      </c>
      <c r="BC1046" s="33">
        <f>IF(E1046=1,IF(Orders!R1043&gt;3,1,0),"")</f>
        <v>0</v>
      </c>
      <c r="BD1046" s="33">
        <f>IF(E1046=1,IF(Orders!R1043&gt;7,1,0),"")</f>
        <v>0</v>
      </c>
      <c r="BE1046" s="32" t="str">
        <f>IF(E1046=1,IF(Orders!L1043&lt;=1.5,"Up to 1.5 km",IF(Orders!L1043&lt;=3,"1.5–3 km","Over 3 km")),"")</f>
        <v>Up to 1.5 km</v>
      </c>
      <c r="BF1046" s="33">
        <f>IF(E1046=1,IF(ABS((Orders!G1043-Orders!F1043)*1440-Orders!R1043)&lt;0.06,1,0),"")</f>
        <v>1</v>
      </c>
      <c r="BG1046" s="33">
        <f>IF(ABS((Orders!F1043-Orders!E1043)*1440-Orders!P1043)&lt;0.06,1,0)</f>
        <v>1</v>
      </c>
      <c r="BH1046" s="33">
        <f>IF(E1046=1,IF(IF(Orders!S1043,1,0)=1-G1046,1,0),"")</f>
        <v>1</v>
      </c>
      <c r="BI1046" s="32" t="str">
        <f>INDEX(Stores!$B$2:$B$21,MATCH(B1046,Stores!$A$2:$A$21,0))</f>
        <v>Pune</v>
      </c>
    </row>
    <row r="1047">
      <c r="A1047" s="32" t="str">
        <f>Orders!A1044</f>
        <v>O01043</v>
      </c>
      <c r="B1047" s="32" t="str">
        <f>Orders!C1044</f>
        <v>S013</v>
      </c>
      <c r="C1047" s="32" t="str">
        <f>Orders!B1044</f>
        <v>C0078</v>
      </c>
      <c r="D1047" s="32" t="str">
        <f>Orders!H1044</f>
        <v>Delivered</v>
      </c>
      <c r="E1047" s="33">
        <f>IF(Orders!H1044="Delivered",1,0)</f>
        <v>1</v>
      </c>
      <c r="F1047" s="34">
        <f>IF(E1047=1,Orders!R1044,"")</f>
        <v>-0.5</v>
      </c>
      <c r="G1047" s="33">
        <f>IF(E1047=1,IF(Orders!R1044&gt;0,1,0),"")</f>
        <v>0</v>
      </c>
      <c r="H1047" s="33">
        <f>IF(E1047=1,IF(Orders!R1044&gt;5,1,0),"")</f>
        <v>0</v>
      </c>
      <c r="I1047" s="32" t="str">
        <f>IF(E1047=1,"",IF(OR(Orders!T1044="Rider unavailable",Orders!T1044="Item unavailable"),"Company-caused","Unresolved"))</f>
        <v/>
      </c>
      <c r="J1047" s="33">
        <f>IF(OR(E1047=1,I1047="Company-caused"),1,0)</f>
        <v>1</v>
      </c>
      <c r="K1047" s="32" t="str">
        <f>IF(E1047=0,IF(I1047="Company-caused",IF(Orders!T1044="Rider unavailable","C1 Rider unavailable","C2 Item unavailable"),"Outside root: unresolved"),IF(G1047=0,"A On time",IF(H1047=1,IF(L1047=1,"B2a Severe, peak","B2b Severe, off-peak"),IF(L1047=1,"B1a Slight, peak","B1b Slight, off-peak"))))</f>
        <v>A On time</v>
      </c>
      <c r="L1047" s="33">
        <f>IF(AND(Orders!U1044&gt;=19,Orders!U1044&lt;22),1,0)</f>
        <v>1</v>
      </c>
      <c r="M1047" s="33">
        <f>IF(L1047=IF(Orders!V1044,1,0),1,0)</f>
        <v>1</v>
      </c>
      <c r="N1047" s="32" t="str">
        <f>IF(Orders!W1044="","None",Orders!W1044)</f>
        <v>Light</v>
      </c>
      <c r="O1047" s="35">
        <f>INT(Orders!E1044)</f>
        <v>46270.0</v>
      </c>
      <c r="P1047" s="33">
        <f>Orders!U1044</f>
        <v>19</v>
      </c>
      <c r="Q1047" s="33">
        <f>COUNTIFS(Demand!$A$2:$A$4481,B1047,Demand!$B$2:$B$4481,O1047,Demand!$C$2:$C$4481,P1047)</f>
        <v>1</v>
      </c>
      <c r="R1047" s="33">
        <f>IF(Q1047=1,SUMIFS(Demand!$E$2:$E$4481,Demand!$A$2:$A$4481,B1047,Demand!$B$2:$B$4481,O1047,Demand!$C$2:$C$4481,P1047),"")</f>
        <v>86</v>
      </c>
      <c r="S1047" s="33">
        <f>INDEX(Stores!$G$2:$G$21,MATCH(B1047,Stores!$A$2:$A$21,0))</f>
        <v>49</v>
      </c>
      <c r="T1047" s="34">
        <f>IF(R1047="","",R1047/S1047)</f>
        <v>1.75510204081633</v>
      </c>
      <c r="U1047" s="34">
        <f>IF(E1047=1,T1047,"")</f>
        <v>1.75510204081633</v>
      </c>
      <c r="V1047" s="34" t="str">
        <f>IF(AND(E1047=1,L1047=0),T1047,"")</f>
        <v/>
      </c>
      <c r="W1047" s="33">
        <f>IF(U1047="","",IF(U1047&lt;=Breakdowns!$C$5,1,IF(U1047&lt;=Breakdowns!$C$6,2,IF(U1047&lt;=Breakdowns!$C$7,3,4))))</f>
        <v>4</v>
      </c>
      <c r="X1047" s="33" t="str">
        <f>IF(V1047="","",IF(V1047&lt;=Breakdowns!$D$5,1,IF(V1047&lt;=Breakdowns!$D$6,2,IF(V1047&lt;=Breakdowns!$D$7,3,4))))</f>
        <v/>
      </c>
      <c r="Y1047" s="34">
        <f>INDEX(Stores!$F$2:$F$21,MATCH(B1047,Stores!$A$2:$A$21,0))</f>
        <v>5.82</v>
      </c>
      <c r="Z1047" s="33">
        <f>IF(Y1047&gt;Store_Summary!$M$2,1,0)</f>
        <v>1</v>
      </c>
      <c r="AA1047" s="33">
        <f>INDEX(Stores!$C$2:$C$21,MATCH(B1047,Stores!$A$2:$A$21,0))</f>
        <v>705</v>
      </c>
      <c r="AB1047" s="33">
        <f>IF(AA1047&lt;180,1,0)</f>
        <v>0</v>
      </c>
      <c r="AC1047" s="32" t="str">
        <f>IF(Orders!D1044="","",INDEX(Riders!$C$2:$C$81,MATCH(Orders!D1044,Riders!$A$2:$A$81,0)))</f>
        <v>Bicycle</v>
      </c>
      <c r="AD1047" s="33">
        <f>IF(Orders!D1044="","",INDEX(Riders!$D$2:$D$81,MATCH(Orders!D1044,Riders!$A$2:$A$81,0)))</f>
        <v>26</v>
      </c>
      <c r="AE1047" s="33">
        <f>IF(Orders!D1044="","",IF(INDEX(Riders!$B$2:$B$81,MATCH(Orders!D1044,Riders!$A$2:$A$81,0))=B1047,1,0))</f>
        <v>0</v>
      </c>
      <c r="AF1047" s="34">
        <f>IF(E1047=1,Orders!L1044,"")</f>
        <v>3</v>
      </c>
      <c r="AG1047" s="34">
        <f>IF(E1047=1,Orders!P1044,"")</f>
        <v>10.7</v>
      </c>
      <c r="AH1047" s="34">
        <f>IF(E1047=1,Orders!Q1044,"")</f>
        <v>10.2</v>
      </c>
      <c r="AI1047" s="34">
        <f>IF(E1047=1,Orders!M1044,"")</f>
        <v>2.9</v>
      </c>
      <c r="AJ1047" s="34">
        <f>IF(E1047=1,Orders!N1044,"")</f>
        <v>3</v>
      </c>
      <c r="AK1047" s="34">
        <f>IF(E1047=1,Orders!O1044,"")</f>
        <v>4.3</v>
      </c>
      <c r="AL1047" s="33">
        <f>IF(E1047=1,IF(ROUND(ABS(AI1047+AJ1047+AK1047-AH1047),6)&lt;=0.1,1,0),"")</f>
        <v>1</v>
      </c>
      <c r="AM1047" s="36">
        <f>IF(E1047=1,AI1047/AH1047,"")</f>
        <v>0.284313725490196</v>
      </c>
      <c r="AN1047" s="36">
        <f>IF(E1047=1,AJ1047/AH1047,"")</f>
        <v>0.294117647058824</v>
      </c>
      <c r="AO1047" s="36">
        <f>IF(E1047=1,AK1047/AH1047,"")</f>
        <v>0.42156862745098</v>
      </c>
      <c r="AP1047" s="34">
        <f>IF(E1047=1,Orders!Y1044,"")</f>
        <v>0.93</v>
      </c>
      <c r="AQ1047" s="33">
        <f>IF(Orders!X1044,1,0)</f>
        <v>1</v>
      </c>
      <c r="AR1047" s="34">
        <f>IF(AND(E1047=1,L1047=1),AJ1047,"")</f>
        <v>3</v>
      </c>
      <c r="AS1047" s="34" t="str">
        <f>IF(AND(E1047=1,L1047=0),AJ1047,"")</f>
        <v/>
      </c>
      <c r="AT1047" s="34">
        <f>IF(AND(E1047=1,L1047=1),AI1047,"")</f>
        <v>2.9</v>
      </c>
      <c r="AU1047" s="34" t="str">
        <f>IF(AND(E1047=1,L1047=0),AI1047,"")</f>
        <v/>
      </c>
      <c r="AV1047" s="34">
        <f>IF(AND(E1047=1,L1047=1),AG1047,"")</f>
        <v>10.7</v>
      </c>
      <c r="AW1047" s="34" t="str">
        <f>IF(AND(E1047=1,L1047=0),AG1047,"")</f>
        <v/>
      </c>
      <c r="AX1047" s="34">
        <f>IF(AND(E1047=1,L1047=1),AH1047,"")</f>
        <v>10.2</v>
      </c>
      <c r="AY1047" s="34" t="str">
        <f>IF(AND(E1047=1,L1047=0),AH1047,"")</f>
        <v/>
      </c>
      <c r="AZ1047" s="34" t="str">
        <f>IF(G1047=1,F1047,"")</f>
        <v/>
      </c>
      <c r="BA1047" s="34" t="str">
        <f>IF(AND(G1047=1,L1047=1),F1047,"")</f>
        <v/>
      </c>
      <c r="BB1047" s="34" t="str">
        <f>IF(AND(G1047=1,L1047=0),F1047,"")</f>
        <v/>
      </c>
      <c r="BC1047" s="33">
        <f>IF(E1047=1,IF(Orders!R1044&gt;3,1,0),"")</f>
        <v>0</v>
      </c>
      <c r="BD1047" s="33">
        <f>IF(E1047=1,IF(Orders!R1044&gt;7,1,0),"")</f>
        <v>0</v>
      </c>
      <c r="BE1047" s="32" t="str">
        <f>IF(E1047=1,IF(Orders!L1044&lt;=1.5,"Up to 1.5 km",IF(Orders!L1044&lt;=3,"1.5–3 km","Over 3 km")),"")</f>
        <v>1.5–3 km</v>
      </c>
      <c r="BF1047" s="33">
        <f>IF(E1047=1,IF(ABS((Orders!G1044-Orders!F1044)*1440-Orders!R1044)&lt;0.06,1,0),"")</f>
        <v>1</v>
      </c>
      <c r="BG1047" s="33">
        <f>IF(ABS((Orders!F1044-Orders!E1044)*1440-Orders!P1044)&lt;0.06,1,0)</f>
        <v>1</v>
      </c>
      <c r="BH1047" s="33">
        <f>IF(E1047=1,IF(IF(Orders!S1044,1,0)=1-G1047,1,0),"")</f>
        <v>1</v>
      </c>
      <c r="BI1047" s="32" t="str">
        <f>INDEX(Stores!$B$2:$B$21,MATCH(B1047,Stores!$A$2:$A$21,0))</f>
        <v>Mumbai</v>
      </c>
    </row>
    <row r="1048">
      <c r="A1048" s="32" t="str">
        <f>Orders!A1045</f>
        <v>O01044</v>
      </c>
      <c r="B1048" s="32" t="str">
        <f>Orders!C1045</f>
        <v>S020</v>
      </c>
      <c r="C1048" s="32" t="str">
        <f>Orders!B1045</f>
        <v>C0150</v>
      </c>
      <c r="D1048" s="32" t="str">
        <f>Orders!H1045</f>
        <v>Delivered</v>
      </c>
      <c r="E1048" s="33">
        <f>IF(Orders!H1045="Delivered",1,0)</f>
        <v>1</v>
      </c>
      <c r="F1048" s="34">
        <f>IF(E1048=1,Orders!R1045,"")</f>
        <v>-0.3</v>
      </c>
      <c r="G1048" s="33">
        <f>IF(E1048=1,IF(Orders!R1045&gt;0,1,0),"")</f>
        <v>0</v>
      </c>
      <c r="H1048" s="33">
        <f>IF(E1048=1,IF(Orders!R1045&gt;5,1,0),"")</f>
        <v>0</v>
      </c>
      <c r="I1048" s="32" t="str">
        <f>IF(E1048=1,"",IF(OR(Orders!T1045="Rider unavailable",Orders!T1045="Item unavailable"),"Company-caused","Unresolved"))</f>
        <v/>
      </c>
      <c r="J1048" s="33">
        <f>IF(OR(E1048=1,I1048="Company-caused"),1,0)</f>
        <v>1</v>
      </c>
      <c r="K1048" s="32" t="str">
        <f>IF(E1048=0,IF(I1048="Company-caused",IF(Orders!T1045="Rider unavailable","C1 Rider unavailable","C2 Item unavailable"),"Outside root: unresolved"),IF(G1048=0,"A On time",IF(H1048=1,IF(L1048=1,"B2a Severe, peak","B2b Severe, off-peak"),IF(L1048=1,"B1a Slight, peak","B1b Slight, off-peak"))))</f>
        <v>A On time</v>
      </c>
      <c r="L1048" s="33">
        <f>IF(AND(Orders!U1045&gt;=19,Orders!U1045&lt;22),1,0)</f>
        <v>0</v>
      </c>
      <c r="M1048" s="33">
        <f>IF(L1048=IF(Orders!V1045,1,0),1,0)</f>
        <v>1</v>
      </c>
      <c r="N1048" s="32" t="str">
        <f>IF(Orders!W1045="","None",Orders!W1045)</f>
        <v>None</v>
      </c>
      <c r="O1048" s="35">
        <f>INT(Orders!E1045)</f>
        <v>46277.0</v>
      </c>
      <c r="P1048" s="33">
        <f>Orders!U1045</f>
        <v>10</v>
      </c>
      <c r="Q1048" s="33">
        <f>COUNTIFS(Demand!$A$2:$A$4481,B1048,Demand!$B$2:$B$4481,O1048,Demand!$C$2:$C$4481,P1048)</f>
        <v>1</v>
      </c>
      <c r="R1048" s="33">
        <f>IF(Q1048=1,SUMIFS(Demand!$E$2:$E$4481,Demand!$A$2:$A$4481,B1048,Demand!$B$2:$B$4481,O1048,Demand!$C$2:$C$4481,P1048),"")</f>
        <v>8</v>
      </c>
      <c r="S1048" s="33">
        <f>INDEX(Stores!$G$2:$G$21,MATCH(B1048,Stores!$A$2:$A$21,0))</f>
        <v>15</v>
      </c>
      <c r="T1048" s="34">
        <f>IF(R1048="","",R1048/S1048)</f>
        <v>0.533333333333333</v>
      </c>
      <c r="U1048" s="34">
        <f>IF(E1048=1,T1048,"")</f>
        <v>0.533333333333333</v>
      </c>
      <c r="V1048" s="34">
        <f>IF(AND(E1048=1,L1048=0),T1048,"")</f>
        <v>0.533333333333333</v>
      </c>
      <c r="W1048" s="33">
        <f>IF(U1048="","",IF(U1048&lt;=Breakdowns!$C$5,1,IF(U1048&lt;=Breakdowns!$C$6,2,IF(U1048&lt;=Breakdowns!$C$7,3,4))))</f>
        <v>1</v>
      </c>
      <c r="X1048" s="33">
        <f>IF(V1048="","",IF(V1048&lt;=Breakdowns!$D$5,1,IF(V1048&lt;=Breakdowns!$D$6,2,IF(V1048&lt;=Breakdowns!$D$7,3,4))))</f>
        <v>1</v>
      </c>
      <c r="Y1048" s="34">
        <f>INDEX(Stores!$F$2:$F$21,MATCH(B1048,Stores!$A$2:$A$21,0))</f>
        <v>5.74</v>
      </c>
      <c r="Z1048" s="33">
        <f>IF(Y1048&gt;Store_Summary!$M$2,1,0)</f>
        <v>1</v>
      </c>
      <c r="AA1048" s="33">
        <f>INDEX(Stores!$C$2:$C$21,MATCH(B1048,Stores!$A$2:$A$21,0))</f>
        <v>647</v>
      </c>
      <c r="AB1048" s="33">
        <f>IF(AA1048&lt;180,1,0)</f>
        <v>0</v>
      </c>
      <c r="AC1048" s="32" t="str">
        <f>IF(Orders!D1045="","",INDEX(Riders!$C$2:$C$81,MATCH(Orders!D1045,Riders!$A$2:$A$81,0)))</f>
        <v>Petrol scooter</v>
      </c>
      <c r="AD1048" s="33">
        <f>IF(Orders!D1045="","",INDEX(Riders!$D$2:$D$81,MATCH(Orders!D1045,Riders!$A$2:$A$81,0)))</f>
        <v>43</v>
      </c>
      <c r="AE1048" s="33">
        <f>IF(Orders!D1045="","",IF(INDEX(Riders!$B$2:$B$81,MATCH(Orders!D1045,Riders!$A$2:$A$81,0))=B1048,1,0))</f>
        <v>0</v>
      </c>
      <c r="AF1048" s="34">
        <f>IF(E1048=1,Orders!L1045,"")</f>
        <v>3.8</v>
      </c>
      <c r="AG1048" s="34">
        <f>IF(E1048=1,Orders!P1045,"")</f>
        <v>11.4</v>
      </c>
      <c r="AH1048" s="34">
        <f>IF(E1048=1,Orders!Q1045,"")</f>
        <v>11.1</v>
      </c>
      <c r="AI1048" s="34">
        <f>IF(E1048=1,Orders!M1045,"")</f>
        <v>3.6</v>
      </c>
      <c r="AJ1048" s="34">
        <f>IF(E1048=1,Orders!N1045,"")</f>
        <v>0.9</v>
      </c>
      <c r="AK1048" s="34">
        <f>IF(E1048=1,Orders!O1045,"")</f>
        <v>6.6</v>
      </c>
      <c r="AL1048" s="33">
        <f>IF(E1048=1,IF(ROUND(ABS(AI1048+AJ1048+AK1048-AH1048),6)&lt;=0.1,1,0),"")</f>
        <v>1</v>
      </c>
      <c r="AM1048" s="36">
        <f>IF(E1048=1,AI1048/AH1048,"")</f>
        <v>0.324324324324324</v>
      </c>
      <c r="AN1048" s="36">
        <f>IF(E1048=1,AJ1048/AH1048,"")</f>
        <v>0.0810810810810811</v>
      </c>
      <c r="AO1048" s="36">
        <f>IF(E1048=1,AK1048/AH1048,"")</f>
        <v>0.594594594594595</v>
      </c>
      <c r="AP1048" s="34">
        <f>IF(E1048=1,Orders!Y1045,"")</f>
        <v>0.57</v>
      </c>
      <c r="AQ1048" s="33">
        <f>IF(Orders!X1045,1,0)</f>
        <v>0</v>
      </c>
      <c r="AR1048" s="34" t="str">
        <f>IF(AND(E1048=1,L1048=1),AJ1048,"")</f>
        <v/>
      </c>
      <c r="AS1048" s="34">
        <f>IF(AND(E1048=1,L1048=0),AJ1048,"")</f>
        <v>0.9</v>
      </c>
      <c r="AT1048" s="34" t="str">
        <f>IF(AND(E1048=1,L1048=1),AI1048,"")</f>
        <v/>
      </c>
      <c r="AU1048" s="34">
        <f>IF(AND(E1048=1,L1048=0),AI1048,"")</f>
        <v>3.6</v>
      </c>
      <c r="AV1048" s="34" t="str">
        <f>IF(AND(E1048=1,L1048=1),AG1048,"")</f>
        <v/>
      </c>
      <c r="AW1048" s="34">
        <f>IF(AND(E1048=1,L1048=0),AG1048,"")</f>
        <v>11.4</v>
      </c>
      <c r="AX1048" s="34" t="str">
        <f>IF(AND(E1048=1,L1048=1),AH1048,"")</f>
        <v/>
      </c>
      <c r="AY1048" s="34">
        <f>IF(AND(E1048=1,L1048=0),AH1048,"")</f>
        <v>11.1</v>
      </c>
      <c r="AZ1048" s="34" t="str">
        <f>IF(G1048=1,F1048,"")</f>
        <v/>
      </c>
      <c r="BA1048" s="34" t="str">
        <f>IF(AND(G1048=1,L1048=1),F1048,"")</f>
        <v/>
      </c>
      <c r="BB1048" s="34" t="str">
        <f>IF(AND(G1048=1,L1048=0),F1048,"")</f>
        <v/>
      </c>
      <c r="BC1048" s="33">
        <f>IF(E1048=1,IF(Orders!R1045&gt;3,1,0),"")</f>
        <v>0</v>
      </c>
      <c r="BD1048" s="33">
        <f>IF(E1048=1,IF(Orders!R1045&gt;7,1,0),"")</f>
        <v>0</v>
      </c>
      <c r="BE1048" s="32" t="str">
        <f>IF(E1048=1,IF(Orders!L1045&lt;=1.5,"Up to 1.5 km",IF(Orders!L1045&lt;=3,"1.5–3 km","Over 3 km")),"")</f>
        <v>Over 3 km</v>
      </c>
      <c r="BF1048" s="33">
        <f>IF(E1048=1,IF(ABS((Orders!G1045-Orders!F1045)*1440-Orders!R1045)&lt;0.06,1,0),"")</f>
        <v>1</v>
      </c>
      <c r="BG1048" s="33">
        <f>IF(ABS((Orders!F1045-Orders!E1045)*1440-Orders!P1045)&lt;0.06,1,0)</f>
        <v>1</v>
      </c>
      <c r="BH1048" s="33">
        <f>IF(E1048=1,IF(IF(Orders!S1045,1,0)=1-G1048,1,0),"")</f>
        <v>1</v>
      </c>
      <c r="BI1048" s="32" t="str">
        <f>INDEX(Stores!$B$2:$B$21,MATCH(B1048,Stores!$A$2:$A$21,0))</f>
        <v>Delhi</v>
      </c>
    </row>
    <row r="1049">
      <c r="A1049" s="32" t="str">
        <f>Orders!A1046</f>
        <v>O01045</v>
      </c>
      <c r="B1049" s="32" t="str">
        <f>Orders!C1046</f>
        <v>S010</v>
      </c>
      <c r="C1049" s="32" t="str">
        <f>Orders!B1046</f>
        <v>C0168</v>
      </c>
      <c r="D1049" s="32" t="str">
        <f>Orders!H1046</f>
        <v>Delivered</v>
      </c>
      <c r="E1049" s="33">
        <f>IF(Orders!H1046="Delivered",1,0)</f>
        <v>1</v>
      </c>
      <c r="F1049" s="34">
        <f>IF(E1049=1,Orders!R1046,"")</f>
        <v>-0.3</v>
      </c>
      <c r="G1049" s="33">
        <f>IF(E1049=1,IF(Orders!R1046&gt;0,1,0),"")</f>
        <v>0</v>
      </c>
      <c r="H1049" s="33">
        <f>IF(E1049=1,IF(Orders!R1046&gt;5,1,0),"")</f>
        <v>0</v>
      </c>
      <c r="I1049" s="32" t="str">
        <f>IF(E1049=1,"",IF(OR(Orders!T1046="Rider unavailable",Orders!T1046="Item unavailable"),"Company-caused","Unresolved"))</f>
        <v/>
      </c>
      <c r="J1049" s="33">
        <f>IF(OR(E1049=1,I1049="Company-caused"),1,0)</f>
        <v>1</v>
      </c>
      <c r="K1049" s="32" t="str">
        <f>IF(E1049=0,IF(I1049="Company-caused",IF(Orders!T1046="Rider unavailable","C1 Rider unavailable","C2 Item unavailable"),"Outside root: unresolved"),IF(G1049=0,"A On time",IF(H1049=1,IF(L1049=1,"B2a Severe, peak","B2b Severe, off-peak"),IF(L1049=1,"B1a Slight, peak","B1b Slight, off-peak"))))</f>
        <v>A On time</v>
      </c>
      <c r="L1049" s="33">
        <f>IF(AND(Orders!U1046&gt;=19,Orders!U1046&lt;22),1,0)</f>
        <v>0</v>
      </c>
      <c r="M1049" s="33">
        <f>IF(L1049=IF(Orders!V1046,1,0),1,0)</f>
        <v>1</v>
      </c>
      <c r="N1049" s="32" t="str">
        <f>IF(Orders!W1046="","None",Orders!W1046)</f>
        <v>None</v>
      </c>
      <c r="O1049" s="35">
        <f>INT(Orders!E1046)</f>
        <v>46268.0</v>
      </c>
      <c r="P1049" s="33">
        <f>Orders!U1046</f>
        <v>11</v>
      </c>
      <c r="Q1049" s="33">
        <f>COUNTIFS(Demand!$A$2:$A$4481,B1049,Demand!$B$2:$B$4481,O1049,Demand!$C$2:$C$4481,P1049)</f>
        <v>1</v>
      </c>
      <c r="R1049" s="33">
        <f>IF(Q1049=1,SUMIFS(Demand!$E$2:$E$4481,Demand!$A$2:$A$4481,B1049,Demand!$B$2:$B$4481,O1049,Demand!$C$2:$C$4481,P1049),"")</f>
        <v>22</v>
      </c>
      <c r="S1049" s="33">
        <f>INDEX(Stores!$G$2:$G$21,MATCH(B1049,Stores!$A$2:$A$21,0))</f>
        <v>22</v>
      </c>
      <c r="T1049" s="34">
        <f>IF(R1049="","",R1049/S1049)</f>
        <v>1</v>
      </c>
      <c r="U1049" s="34">
        <f>IF(E1049=1,T1049,"")</f>
        <v>1</v>
      </c>
      <c r="V1049" s="34">
        <f>IF(AND(E1049=1,L1049=0),T1049,"")</f>
        <v>1</v>
      </c>
      <c r="W1049" s="33">
        <f>IF(U1049="","",IF(U1049&lt;=Breakdowns!$C$5,1,IF(U1049&lt;=Breakdowns!$C$6,2,IF(U1049&lt;=Breakdowns!$C$7,3,4))))</f>
        <v>2</v>
      </c>
      <c r="X1049" s="33">
        <f>IF(V1049="","",IF(V1049&lt;=Breakdowns!$D$5,1,IF(V1049&lt;=Breakdowns!$D$6,2,IF(V1049&lt;=Breakdowns!$D$7,3,4))))</f>
        <v>3</v>
      </c>
      <c r="Y1049" s="34">
        <f>INDEX(Stores!$F$2:$F$21,MATCH(B1049,Stores!$A$2:$A$21,0))</f>
        <v>5.61</v>
      </c>
      <c r="Z1049" s="33">
        <f>IF(Y1049&gt;Store_Summary!$M$2,1,0)</f>
        <v>1</v>
      </c>
      <c r="AA1049" s="33">
        <f>INDEX(Stores!$C$2:$C$21,MATCH(B1049,Stores!$A$2:$A$21,0))</f>
        <v>744</v>
      </c>
      <c r="AB1049" s="33">
        <f>IF(AA1049&lt;180,1,0)</f>
        <v>0</v>
      </c>
      <c r="AC1049" s="32" t="str">
        <f>IF(Orders!D1046="","",INDEX(Riders!$C$2:$C$81,MATCH(Orders!D1046,Riders!$A$2:$A$81,0)))</f>
        <v>EV scooter</v>
      </c>
      <c r="AD1049" s="33">
        <f>IF(Orders!D1046="","",INDEX(Riders!$D$2:$D$81,MATCH(Orders!D1046,Riders!$A$2:$A$81,0)))</f>
        <v>46</v>
      </c>
      <c r="AE1049" s="33">
        <f>IF(Orders!D1046="","",IF(INDEX(Riders!$B$2:$B$81,MATCH(Orders!D1046,Riders!$A$2:$A$81,0))=B1049,1,0))</f>
        <v>0</v>
      </c>
      <c r="AF1049" s="34">
        <f>IF(E1049=1,Orders!L1046,"")</f>
        <v>3.93</v>
      </c>
      <c r="AG1049" s="34">
        <f>IF(E1049=1,Orders!P1046,"")</f>
        <v>9.4</v>
      </c>
      <c r="AH1049" s="34">
        <f>IF(E1049=1,Orders!Q1046,"")</f>
        <v>9.1</v>
      </c>
      <c r="AI1049" s="34">
        <f>IF(E1049=1,Orders!M1046,"")</f>
        <v>2.7</v>
      </c>
      <c r="AJ1049" s="34">
        <f>IF(E1049=1,Orders!N1046,"")</f>
        <v>1.6</v>
      </c>
      <c r="AK1049" s="34">
        <f>IF(E1049=1,Orders!O1046,"")</f>
        <v>4.8</v>
      </c>
      <c r="AL1049" s="33">
        <f>IF(E1049=1,IF(ROUND(ABS(AI1049+AJ1049+AK1049-AH1049),6)&lt;=0.1,1,0),"")</f>
        <v>1</v>
      </c>
      <c r="AM1049" s="36">
        <f>IF(E1049=1,AI1049/AH1049,"")</f>
        <v>0.296703296703297</v>
      </c>
      <c r="AN1049" s="36">
        <f>IF(E1049=1,AJ1049/AH1049,"")</f>
        <v>0.175824175824176</v>
      </c>
      <c r="AO1049" s="36">
        <f>IF(E1049=1,AK1049/AH1049,"")</f>
        <v>0.527472527472528</v>
      </c>
      <c r="AP1049" s="34">
        <f>IF(E1049=1,Orders!Y1046,"")</f>
        <v>0.23</v>
      </c>
      <c r="AQ1049" s="33">
        <f>IF(Orders!X1046,1,0)</f>
        <v>0</v>
      </c>
      <c r="AR1049" s="34" t="str">
        <f>IF(AND(E1049=1,L1049=1),AJ1049,"")</f>
        <v/>
      </c>
      <c r="AS1049" s="34">
        <f>IF(AND(E1049=1,L1049=0),AJ1049,"")</f>
        <v>1.6</v>
      </c>
      <c r="AT1049" s="34" t="str">
        <f>IF(AND(E1049=1,L1049=1),AI1049,"")</f>
        <v/>
      </c>
      <c r="AU1049" s="34">
        <f>IF(AND(E1049=1,L1049=0),AI1049,"")</f>
        <v>2.7</v>
      </c>
      <c r="AV1049" s="34" t="str">
        <f>IF(AND(E1049=1,L1049=1),AG1049,"")</f>
        <v/>
      </c>
      <c r="AW1049" s="34">
        <f>IF(AND(E1049=1,L1049=0),AG1049,"")</f>
        <v>9.4</v>
      </c>
      <c r="AX1049" s="34" t="str">
        <f>IF(AND(E1049=1,L1049=1),AH1049,"")</f>
        <v/>
      </c>
      <c r="AY1049" s="34">
        <f>IF(AND(E1049=1,L1049=0),AH1049,"")</f>
        <v>9.1</v>
      </c>
      <c r="AZ1049" s="34" t="str">
        <f>IF(G1049=1,F1049,"")</f>
        <v/>
      </c>
      <c r="BA1049" s="34" t="str">
        <f>IF(AND(G1049=1,L1049=1),F1049,"")</f>
        <v/>
      </c>
      <c r="BB1049" s="34" t="str">
        <f>IF(AND(G1049=1,L1049=0),F1049,"")</f>
        <v/>
      </c>
      <c r="BC1049" s="33">
        <f>IF(E1049=1,IF(Orders!R1046&gt;3,1,0),"")</f>
        <v>0</v>
      </c>
      <c r="BD1049" s="33">
        <f>IF(E1049=1,IF(Orders!R1046&gt;7,1,0),"")</f>
        <v>0</v>
      </c>
      <c r="BE1049" s="32" t="str">
        <f>IF(E1049=1,IF(Orders!L1046&lt;=1.5,"Up to 1.5 km",IF(Orders!L1046&lt;=3,"1.5–3 km","Over 3 km")),"")</f>
        <v>Over 3 km</v>
      </c>
      <c r="BF1049" s="33">
        <f>IF(E1049=1,IF(ABS((Orders!G1046-Orders!F1046)*1440-Orders!R1046)&lt;0.06,1,0),"")</f>
        <v>1</v>
      </c>
      <c r="BG1049" s="33">
        <f>IF(ABS((Orders!F1046-Orders!E1046)*1440-Orders!P1046)&lt;0.06,1,0)</f>
        <v>1</v>
      </c>
      <c r="BH1049" s="33">
        <f>IF(E1049=1,IF(IF(Orders!S1046,1,0)=1-G1049,1,0),"")</f>
        <v>1</v>
      </c>
      <c r="BI1049" s="32" t="str">
        <f>INDEX(Stores!$B$2:$B$21,MATCH(B1049,Stores!$A$2:$A$21,0))</f>
        <v>Delhi</v>
      </c>
    </row>
    <row r="1050">
      <c r="A1050" s="32" t="str">
        <f>Orders!A1047</f>
        <v>O01046</v>
      </c>
      <c r="B1050" s="32" t="str">
        <f>Orders!C1047</f>
        <v>S015</v>
      </c>
      <c r="C1050" s="32" t="str">
        <f>Orders!B1047</f>
        <v>C0127</v>
      </c>
      <c r="D1050" s="32" t="str">
        <f>Orders!H1047</f>
        <v>Delivered</v>
      </c>
      <c r="E1050" s="33">
        <f>IF(Orders!H1047="Delivered",1,0)</f>
        <v>1</v>
      </c>
      <c r="F1050" s="34">
        <f>IF(E1050=1,Orders!R1047,"")</f>
        <v>9.4</v>
      </c>
      <c r="G1050" s="33">
        <f>IF(E1050=1,IF(Orders!R1047&gt;0,1,0),"")</f>
        <v>1</v>
      </c>
      <c r="H1050" s="33">
        <f>IF(E1050=1,IF(Orders!R1047&gt;5,1,0),"")</f>
        <v>1</v>
      </c>
      <c r="I1050" s="32" t="str">
        <f>IF(E1050=1,"",IF(OR(Orders!T1047="Rider unavailable",Orders!T1047="Item unavailable"),"Company-caused","Unresolved"))</f>
        <v/>
      </c>
      <c r="J1050" s="33">
        <f>IF(OR(E1050=1,I1050="Company-caused"),1,0)</f>
        <v>1</v>
      </c>
      <c r="K1050" s="32" t="str">
        <f>IF(E1050=0,IF(I1050="Company-caused",IF(Orders!T1047="Rider unavailable","C1 Rider unavailable","C2 Item unavailable"),"Outside root: unresolved"),IF(G1050=0,"A On time",IF(H1050=1,IF(L1050=1,"B2a Severe, peak","B2b Severe, off-peak"),IF(L1050=1,"B1a Slight, peak","B1b Slight, off-peak"))))</f>
        <v>B2b Severe, off-peak</v>
      </c>
      <c r="L1050" s="33">
        <f>IF(AND(Orders!U1047&gt;=19,Orders!U1047&lt;22),1,0)</f>
        <v>0</v>
      </c>
      <c r="M1050" s="33">
        <f>IF(L1050=IF(Orders!V1047,1,0),1,0)</f>
        <v>1</v>
      </c>
      <c r="N1050" s="32" t="str">
        <f>IF(Orders!W1047="","None",Orders!W1047)</f>
        <v>None</v>
      </c>
      <c r="O1050" s="35">
        <f>INT(Orders!E1047)</f>
        <v>46277.0</v>
      </c>
      <c r="P1050" s="33">
        <f>Orders!U1047</f>
        <v>14</v>
      </c>
      <c r="Q1050" s="33">
        <f>COUNTIFS(Demand!$A$2:$A$4481,B1050,Demand!$B$2:$B$4481,O1050,Demand!$C$2:$C$4481,P1050)</f>
        <v>1</v>
      </c>
      <c r="R1050" s="33">
        <f>IF(Q1050=1,SUMIFS(Demand!$E$2:$E$4481,Demand!$A$2:$A$4481,B1050,Demand!$B$2:$B$4481,O1050,Demand!$C$2:$C$4481,P1050),"")</f>
        <v>13</v>
      </c>
      <c r="S1050" s="33">
        <f>INDEX(Stores!$G$2:$G$21,MATCH(B1050,Stores!$A$2:$A$21,0))</f>
        <v>23</v>
      </c>
      <c r="T1050" s="34">
        <f>IF(R1050="","",R1050/S1050)</f>
        <v>0.565217391304348</v>
      </c>
      <c r="U1050" s="34">
        <f>IF(E1050=1,T1050,"")</f>
        <v>0.565217391304348</v>
      </c>
      <c r="V1050" s="34">
        <f>IF(AND(E1050=1,L1050=0),T1050,"")</f>
        <v>0.565217391304348</v>
      </c>
      <c r="W1050" s="33">
        <f>IF(U1050="","",IF(U1050&lt;=Breakdowns!$C$5,1,IF(U1050&lt;=Breakdowns!$C$6,2,IF(U1050&lt;=Breakdowns!$C$7,3,4))))</f>
        <v>1</v>
      </c>
      <c r="X1050" s="33">
        <f>IF(V1050="","",IF(V1050&lt;=Breakdowns!$D$5,1,IF(V1050&lt;=Breakdowns!$D$6,2,IF(V1050&lt;=Breakdowns!$D$7,3,4))))</f>
        <v>1</v>
      </c>
      <c r="Y1050" s="34">
        <f>INDEX(Stores!$F$2:$F$21,MATCH(B1050,Stores!$A$2:$A$21,0))</f>
        <v>4.66</v>
      </c>
      <c r="Z1050" s="33">
        <f>IF(Y1050&gt;Store_Summary!$M$2,1,0)</f>
        <v>0</v>
      </c>
      <c r="AA1050" s="33">
        <f>INDEX(Stores!$C$2:$C$21,MATCH(B1050,Stores!$A$2:$A$21,0))</f>
        <v>204</v>
      </c>
      <c r="AB1050" s="33">
        <f>IF(AA1050&lt;180,1,0)</f>
        <v>0</v>
      </c>
      <c r="AC1050" s="32" t="str">
        <f>IF(Orders!D1047="","",INDEX(Riders!$C$2:$C$81,MATCH(Orders!D1047,Riders!$A$2:$A$81,0)))</f>
        <v>Petrol scooter</v>
      </c>
      <c r="AD1050" s="33">
        <f>IF(Orders!D1047="","",INDEX(Riders!$D$2:$D$81,MATCH(Orders!D1047,Riders!$A$2:$A$81,0)))</f>
        <v>42</v>
      </c>
      <c r="AE1050" s="33">
        <f>IF(Orders!D1047="","",IF(INDEX(Riders!$B$2:$B$81,MATCH(Orders!D1047,Riders!$A$2:$A$81,0))=B1050,1,0))</f>
        <v>0</v>
      </c>
      <c r="AF1050" s="34">
        <f>IF(E1050=1,Orders!L1047,"")</f>
        <v>2.16</v>
      </c>
      <c r="AG1050" s="34">
        <f>IF(E1050=1,Orders!P1047,"")</f>
        <v>10.8</v>
      </c>
      <c r="AH1050" s="34">
        <f>IF(E1050=1,Orders!Q1047,"")</f>
        <v>20.2</v>
      </c>
      <c r="AI1050" s="34">
        <f>IF(E1050=1,Orders!M1047,"")</f>
        <v>6.5</v>
      </c>
      <c r="AJ1050" s="34">
        <f>IF(E1050=1,Orders!N1047,"")</f>
        <v>7.3</v>
      </c>
      <c r="AK1050" s="34">
        <f>IF(E1050=1,Orders!O1047,"")</f>
        <v>6.4</v>
      </c>
      <c r="AL1050" s="33">
        <f>IF(E1050=1,IF(ROUND(ABS(AI1050+AJ1050+AK1050-AH1050),6)&lt;=0.1,1,0),"")</f>
        <v>1</v>
      </c>
      <c r="AM1050" s="36">
        <f>IF(E1050=1,AI1050/AH1050,"")</f>
        <v>0.321782178217822</v>
      </c>
      <c r="AN1050" s="36">
        <f>IF(E1050=1,AJ1050/AH1050,"")</f>
        <v>0.361386138613861</v>
      </c>
      <c r="AO1050" s="36">
        <f>IF(E1050=1,AK1050/AH1050,"")</f>
        <v>0.316831683168317</v>
      </c>
      <c r="AP1050" s="34">
        <f>IF(E1050=1,Orders!Y1047,"")</f>
        <v>0.43</v>
      </c>
      <c r="AQ1050" s="33">
        <f>IF(Orders!X1047,1,0)</f>
        <v>0</v>
      </c>
      <c r="AR1050" s="34" t="str">
        <f>IF(AND(E1050=1,L1050=1),AJ1050,"")</f>
        <v/>
      </c>
      <c r="AS1050" s="34">
        <f>IF(AND(E1050=1,L1050=0),AJ1050,"")</f>
        <v>7.3</v>
      </c>
      <c r="AT1050" s="34" t="str">
        <f>IF(AND(E1050=1,L1050=1),AI1050,"")</f>
        <v/>
      </c>
      <c r="AU1050" s="34">
        <f>IF(AND(E1050=1,L1050=0),AI1050,"")</f>
        <v>6.5</v>
      </c>
      <c r="AV1050" s="34" t="str">
        <f>IF(AND(E1050=1,L1050=1),AG1050,"")</f>
        <v/>
      </c>
      <c r="AW1050" s="34">
        <f>IF(AND(E1050=1,L1050=0),AG1050,"")</f>
        <v>10.8</v>
      </c>
      <c r="AX1050" s="34" t="str">
        <f>IF(AND(E1050=1,L1050=1),AH1050,"")</f>
        <v/>
      </c>
      <c r="AY1050" s="34">
        <f>IF(AND(E1050=1,L1050=0),AH1050,"")</f>
        <v>20.2</v>
      </c>
      <c r="AZ1050" s="34">
        <f>IF(G1050=1,F1050,"")</f>
        <v>9.4</v>
      </c>
      <c r="BA1050" s="34" t="str">
        <f>IF(AND(G1050=1,L1050=1),F1050,"")</f>
        <v/>
      </c>
      <c r="BB1050" s="34">
        <f>IF(AND(G1050=1,L1050=0),F1050,"")</f>
        <v>9.4</v>
      </c>
      <c r="BC1050" s="33">
        <f>IF(E1050=1,IF(Orders!R1047&gt;3,1,0),"")</f>
        <v>1</v>
      </c>
      <c r="BD1050" s="33">
        <f>IF(E1050=1,IF(Orders!R1047&gt;7,1,0),"")</f>
        <v>1</v>
      </c>
      <c r="BE1050" s="32" t="str">
        <f>IF(E1050=1,IF(Orders!L1047&lt;=1.5,"Up to 1.5 km",IF(Orders!L1047&lt;=3,"1.5–3 km","Over 3 km")),"")</f>
        <v>1.5–3 km</v>
      </c>
      <c r="BF1050" s="33">
        <f>IF(E1050=1,IF(ABS((Orders!G1047-Orders!F1047)*1440-Orders!R1047)&lt;0.06,1,0),"")</f>
        <v>1</v>
      </c>
      <c r="BG1050" s="33">
        <f>IF(ABS((Orders!F1047-Orders!E1047)*1440-Orders!P1047)&lt;0.06,1,0)</f>
        <v>1</v>
      </c>
      <c r="BH1050" s="33">
        <f>IF(E1050=1,IF(IF(Orders!S1047,1,0)=1-G1050,1,0),"")</f>
        <v>1</v>
      </c>
      <c r="BI1050" s="32" t="str">
        <f>INDEX(Stores!$B$2:$B$21,MATCH(B1050,Stores!$A$2:$A$21,0))</f>
        <v>Delhi</v>
      </c>
    </row>
    <row r="1051">
      <c r="A1051" s="32" t="str">
        <f>Orders!A1048</f>
        <v>O01047</v>
      </c>
      <c r="B1051" s="32" t="str">
        <f>Orders!C1048</f>
        <v>S004</v>
      </c>
      <c r="C1051" s="32" t="str">
        <f>Orders!B1048</f>
        <v>C0031</v>
      </c>
      <c r="D1051" s="32" t="str">
        <f>Orders!H1048</f>
        <v>Delivered</v>
      </c>
      <c r="E1051" s="33">
        <f>IF(Orders!H1048="Delivered",1,0)</f>
        <v>1</v>
      </c>
      <c r="F1051" s="34">
        <f>IF(E1051=1,Orders!R1048,"")</f>
        <v>-0.5</v>
      </c>
      <c r="G1051" s="33">
        <f>IF(E1051=1,IF(Orders!R1048&gt;0,1,0),"")</f>
        <v>0</v>
      </c>
      <c r="H1051" s="33">
        <f>IF(E1051=1,IF(Orders!R1048&gt;5,1,0),"")</f>
        <v>0</v>
      </c>
      <c r="I1051" s="32" t="str">
        <f>IF(E1051=1,"",IF(OR(Orders!T1048="Rider unavailable",Orders!T1048="Item unavailable"),"Company-caused","Unresolved"))</f>
        <v/>
      </c>
      <c r="J1051" s="33">
        <f>IF(OR(E1051=1,I1051="Company-caused"),1,0)</f>
        <v>1</v>
      </c>
      <c r="K1051" s="32" t="str">
        <f>IF(E1051=0,IF(I1051="Company-caused",IF(Orders!T1048="Rider unavailable","C1 Rider unavailable","C2 Item unavailable"),"Outside root: unresolved"),IF(G1051=0,"A On time",IF(H1051=1,IF(L1051=1,"B2a Severe, peak","B2b Severe, off-peak"),IF(L1051=1,"B1a Slight, peak","B1b Slight, off-peak"))))</f>
        <v>A On time</v>
      </c>
      <c r="L1051" s="33">
        <f>IF(AND(Orders!U1048&gt;=19,Orders!U1048&lt;22),1,0)</f>
        <v>1</v>
      </c>
      <c r="M1051" s="33">
        <f>IF(L1051=IF(Orders!V1048,1,0),1,0)</f>
        <v>1</v>
      </c>
      <c r="N1051" s="32" t="str">
        <f>IF(Orders!W1048="","None",Orders!W1048)</f>
        <v>Light</v>
      </c>
      <c r="O1051" s="35">
        <f>INT(Orders!E1048)</f>
        <v>46268.0</v>
      </c>
      <c r="P1051" s="33">
        <f>Orders!U1048</f>
        <v>19</v>
      </c>
      <c r="Q1051" s="33">
        <f>COUNTIFS(Demand!$A$2:$A$4481,B1051,Demand!$B$2:$B$4481,O1051,Demand!$C$2:$C$4481,P1051)</f>
        <v>1</v>
      </c>
      <c r="R1051" s="33">
        <f>IF(Q1051=1,SUMIFS(Demand!$E$2:$E$4481,Demand!$A$2:$A$4481,B1051,Demand!$B$2:$B$4481,O1051,Demand!$C$2:$C$4481,P1051),"")</f>
        <v>60</v>
      </c>
      <c r="S1051" s="33">
        <f>INDEX(Stores!$G$2:$G$21,MATCH(B1051,Stores!$A$2:$A$21,0))</f>
        <v>42</v>
      </c>
      <c r="T1051" s="34">
        <f>IF(R1051="","",R1051/S1051)</f>
        <v>1.42857142857143</v>
      </c>
      <c r="U1051" s="34">
        <f>IF(E1051=1,T1051,"")</f>
        <v>1.42857142857143</v>
      </c>
      <c r="V1051" s="34" t="str">
        <f>IF(AND(E1051=1,L1051=0),T1051,"")</f>
        <v/>
      </c>
      <c r="W1051" s="33">
        <f>IF(U1051="","",IF(U1051&lt;=Breakdowns!$C$5,1,IF(U1051&lt;=Breakdowns!$C$6,2,IF(U1051&lt;=Breakdowns!$C$7,3,4))))</f>
        <v>4</v>
      </c>
      <c r="X1051" s="33" t="str">
        <f>IF(V1051="","",IF(V1051&lt;=Breakdowns!$D$5,1,IF(V1051&lt;=Breakdowns!$D$6,2,IF(V1051&lt;=Breakdowns!$D$7,3,4))))</f>
        <v/>
      </c>
      <c r="Y1051" s="34">
        <f>INDEX(Stores!$F$2:$F$21,MATCH(B1051,Stores!$A$2:$A$21,0))</f>
        <v>2.19</v>
      </c>
      <c r="Z1051" s="33">
        <f>IF(Y1051&gt;Store_Summary!$M$2,1,0)</f>
        <v>0</v>
      </c>
      <c r="AA1051" s="33">
        <f>INDEX(Stores!$C$2:$C$21,MATCH(B1051,Stores!$A$2:$A$21,0))</f>
        <v>850</v>
      </c>
      <c r="AB1051" s="33">
        <f>IF(AA1051&lt;180,1,0)</f>
        <v>0</v>
      </c>
      <c r="AC1051" s="32" t="str">
        <f>IF(Orders!D1048="","",INDEX(Riders!$C$2:$C$81,MATCH(Orders!D1048,Riders!$A$2:$A$81,0)))</f>
        <v>EV scooter</v>
      </c>
      <c r="AD1051" s="33">
        <f>IF(Orders!D1048="","",INDEX(Riders!$D$2:$D$81,MATCH(Orders!D1048,Riders!$A$2:$A$81,0)))</f>
        <v>27</v>
      </c>
      <c r="AE1051" s="33">
        <f>IF(Orders!D1048="","",IF(INDEX(Riders!$B$2:$B$81,MATCH(Orders!D1048,Riders!$A$2:$A$81,0))=B1051,1,0))</f>
        <v>0</v>
      </c>
      <c r="AF1051" s="34">
        <f>IF(E1051=1,Orders!L1048,"")</f>
        <v>3.3</v>
      </c>
      <c r="AG1051" s="34">
        <f>IF(E1051=1,Orders!P1048,"")</f>
        <v>10.4</v>
      </c>
      <c r="AH1051" s="34">
        <f>IF(E1051=1,Orders!Q1048,"")</f>
        <v>9.9</v>
      </c>
      <c r="AI1051" s="34">
        <f>IF(E1051=1,Orders!M1048,"")</f>
        <v>1.9</v>
      </c>
      <c r="AJ1051" s="34">
        <f>IF(E1051=1,Orders!N1048,"")</f>
        <v>3</v>
      </c>
      <c r="AK1051" s="34">
        <f>IF(E1051=1,Orders!O1048,"")</f>
        <v>5</v>
      </c>
      <c r="AL1051" s="33">
        <f>IF(E1051=1,IF(ROUND(ABS(AI1051+AJ1051+AK1051-AH1051),6)&lt;=0.1,1,0),"")</f>
        <v>1</v>
      </c>
      <c r="AM1051" s="36">
        <f>IF(E1051=1,AI1051/AH1051,"")</f>
        <v>0.191919191919192</v>
      </c>
      <c r="AN1051" s="36">
        <f>IF(E1051=1,AJ1051/AH1051,"")</f>
        <v>0.303030303030303</v>
      </c>
      <c r="AO1051" s="36">
        <f>IF(E1051=1,AK1051/AH1051,"")</f>
        <v>0.505050505050505</v>
      </c>
      <c r="AP1051" s="34">
        <f>IF(E1051=1,Orders!Y1048,"")</f>
        <v>0.54</v>
      </c>
      <c r="AQ1051" s="33">
        <f>IF(Orders!X1048,1,0)</f>
        <v>0</v>
      </c>
      <c r="AR1051" s="34">
        <f>IF(AND(E1051=1,L1051=1),AJ1051,"")</f>
        <v>3</v>
      </c>
      <c r="AS1051" s="34" t="str">
        <f>IF(AND(E1051=1,L1051=0),AJ1051,"")</f>
        <v/>
      </c>
      <c r="AT1051" s="34">
        <f>IF(AND(E1051=1,L1051=1),AI1051,"")</f>
        <v>1.9</v>
      </c>
      <c r="AU1051" s="34" t="str">
        <f>IF(AND(E1051=1,L1051=0),AI1051,"")</f>
        <v/>
      </c>
      <c r="AV1051" s="34">
        <f>IF(AND(E1051=1,L1051=1),AG1051,"")</f>
        <v>10.4</v>
      </c>
      <c r="AW1051" s="34" t="str">
        <f>IF(AND(E1051=1,L1051=0),AG1051,"")</f>
        <v/>
      </c>
      <c r="AX1051" s="34">
        <f>IF(AND(E1051=1,L1051=1),AH1051,"")</f>
        <v>9.9</v>
      </c>
      <c r="AY1051" s="34" t="str">
        <f>IF(AND(E1051=1,L1051=0),AH1051,"")</f>
        <v/>
      </c>
      <c r="AZ1051" s="34" t="str">
        <f>IF(G1051=1,F1051,"")</f>
        <v/>
      </c>
      <c r="BA1051" s="34" t="str">
        <f>IF(AND(G1051=1,L1051=1),F1051,"")</f>
        <v/>
      </c>
      <c r="BB1051" s="34" t="str">
        <f>IF(AND(G1051=1,L1051=0),F1051,"")</f>
        <v/>
      </c>
      <c r="BC1051" s="33">
        <f>IF(E1051=1,IF(Orders!R1048&gt;3,1,0),"")</f>
        <v>0</v>
      </c>
      <c r="BD1051" s="33">
        <f>IF(E1051=1,IF(Orders!R1048&gt;7,1,0),"")</f>
        <v>0</v>
      </c>
      <c r="BE1051" s="32" t="str">
        <f>IF(E1051=1,IF(Orders!L1048&lt;=1.5,"Up to 1.5 km",IF(Orders!L1048&lt;=3,"1.5–3 km","Over 3 km")),"")</f>
        <v>Over 3 km</v>
      </c>
      <c r="BF1051" s="33">
        <f>IF(E1051=1,IF(ABS((Orders!G1048-Orders!F1048)*1440-Orders!R1048)&lt;0.06,1,0),"")</f>
        <v>1</v>
      </c>
      <c r="BG1051" s="33">
        <f>IF(ABS((Orders!F1048-Orders!E1048)*1440-Orders!P1048)&lt;0.06,1,0)</f>
        <v>1</v>
      </c>
      <c r="BH1051" s="33">
        <f>IF(E1051=1,IF(IF(Orders!S1048,1,0)=1-G1051,1,0),"")</f>
        <v>1</v>
      </c>
      <c r="BI1051" s="32" t="str">
        <f>INDEX(Stores!$B$2:$B$21,MATCH(B1051,Stores!$A$2:$A$21,0))</f>
        <v>Pune</v>
      </c>
    </row>
    <row r="1052">
      <c r="A1052" s="32" t="str">
        <f>Orders!A1049</f>
        <v>O01048</v>
      </c>
      <c r="B1052" s="32" t="str">
        <f>Orders!C1049</f>
        <v>S008</v>
      </c>
      <c r="C1052" s="32" t="str">
        <f>Orders!B1049</f>
        <v>C0071</v>
      </c>
      <c r="D1052" s="32" t="str">
        <f>Orders!H1049</f>
        <v>Delivered</v>
      </c>
      <c r="E1052" s="33">
        <f>IF(Orders!H1049="Delivered",1,0)</f>
        <v>1</v>
      </c>
      <c r="F1052" s="34">
        <f>IF(E1052=1,Orders!R1049,"")</f>
        <v>-0.4</v>
      </c>
      <c r="G1052" s="33">
        <f>IF(E1052=1,IF(Orders!R1049&gt;0,1,0),"")</f>
        <v>0</v>
      </c>
      <c r="H1052" s="33">
        <f>IF(E1052=1,IF(Orders!R1049&gt;5,1,0),"")</f>
        <v>0</v>
      </c>
      <c r="I1052" s="32" t="str">
        <f>IF(E1052=1,"",IF(OR(Orders!T1049="Rider unavailable",Orders!T1049="Item unavailable"),"Company-caused","Unresolved"))</f>
        <v/>
      </c>
      <c r="J1052" s="33">
        <f>IF(OR(E1052=1,I1052="Company-caused"),1,0)</f>
        <v>1</v>
      </c>
      <c r="K1052" s="32" t="str">
        <f>IF(E1052=0,IF(I1052="Company-caused",IF(Orders!T1049="Rider unavailable","C1 Rider unavailable","C2 Item unavailable"),"Outside root: unresolved"),IF(G1052=0,"A On time",IF(H1052=1,IF(L1052=1,"B2a Severe, peak","B2b Severe, off-peak"),IF(L1052=1,"B1a Slight, peak","B1b Slight, off-peak"))))</f>
        <v>A On time</v>
      </c>
      <c r="L1052" s="33">
        <f>IF(AND(Orders!U1049&gt;=19,Orders!U1049&lt;22),1,0)</f>
        <v>0</v>
      </c>
      <c r="M1052" s="33">
        <f>IF(L1052=IF(Orders!V1049,1,0),1,0)</f>
        <v>1</v>
      </c>
      <c r="N1052" s="32" t="str">
        <f>IF(Orders!W1049="","None",Orders!W1049)</f>
        <v>None</v>
      </c>
      <c r="O1052" s="35">
        <f>INT(Orders!E1049)</f>
        <v>46271.0</v>
      </c>
      <c r="P1052" s="33">
        <f>Orders!U1049</f>
        <v>15</v>
      </c>
      <c r="Q1052" s="33">
        <f>COUNTIFS(Demand!$A$2:$A$4481,B1052,Demand!$B$2:$B$4481,O1052,Demand!$C$2:$C$4481,P1052)</f>
        <v>1</v>
      </c>
      <c r="R1052" s="33">
        <f>IF(Q1052=1,SUMIFS(Demand!$E$2:$E$4481,Demand!$A$2:$A$4481,B1052,Demand!$B$2:$B$4481,O1052,Demand!$C$2:$C$4481,P1052),"")</f>
        <v>28</v>
      </c>
      <c r="S1052" s="33">
        <f>INDEX(Stores!$G$2:$G$21,MATCH(B1052,Stores!$A$2:$A$21,0))</f>
        <v>23</v>
      </c>
      <c r="T1052" s="34">
        <f>IF(R1052="","",R1052/S1052)</f>
        <v>1.21739130434783</v>
      </c>
      <c r="U1052" s="34">
        <f>IF(E1052=1,T1052,"")</f>
        <v>1.21739130434783</v>
      </c>
      <c r="V1052" s="34">
        <f>IF(AND(E1052=1,L1052=0),T1052,"")</f>
        <v>1.21739130434783</v>
      </c>
      <c r="W1052" s="33">
        <f>IF(U1052="","",IF(U1052&lt;=Breakdowns!$C$5,1,IF(U1052&lt;=Breakdowns!$C$6,2,IF(U1052&lt;=Breakdowns!$C$7,3,4))))</f>
        <v>3</v>
      </c>
      <c r="X1052" s="33">
        <f>IF(V1052="","",IF(V1052&lt;=Breakdowns!$D$5,1,IF(V1052&lt;=Breakdowns!$D$6,2,IF(V1052&lt;=Breakdowns!$D$7,3,4))))</f>
        <v>4</v>
      </c>
      <c r="Y1052" s="34">
        <f>INDEX(Stores!$F$2:$F$21,MATCH(B1052,Stores!$A$2:$A$21,0))</f>
        <v>3.46</v>
      </c>
      <c r="Z1052" s="33">
        <f>IF(Y1052&gt;Store_Summary!$M$2,1,0)</f>
        <v>0</v>
      </c>
      <c r="AA1052" s="33">
        <f>INDEX(Stores!$C$2:$C$21,MATCH(B1052,Stores!$A$2:$A$21,0))</f>
        <v>825</v>
      </c>
      <c r="AB1052" s="33">
        <f>IF(AA1052&lt;180,1,0)</f>
        <v>0</v>
      </c>
      <c r="AC1052" s="32" t="str">
        <f>IF(Orders!D1049="","",INDEX(Riders!$C$2:$C$81,MATCH(Orders!D1049,Riders!$A$2:$A$81,0)))</f>
        <v>EV scooter</v>
      </c>
      <c r="AD1052" s="33">
        <f>IF(Orders!D1049="","",INDEX(Riders!$D$2:$D$81,MATCH(Orders!D1049,Riders!$A$2:$A$81,0)))</f>
        <v>33</v>
      </c>
      <c r="AE1052" s="33">
        <f>IF(Orders!D1049="","",IF(INDEX(Riders!$B$2:$B$81,MATCH(Orders!D1049,Riders!$A$2:$A$81,0))=B1052,1,0))</f>
        <v>0</v>
      </c>
      <c r="AF1052" s="34">
        <f>IF(E1052=1,Orders!L1049,"")</f>
        <v>1.87</v>
      </c>
      <c r="AG1052" s="34">
        <f>IF(E1052=1,Orders!P1049,"")</f>
        <v>10.9</v>
      </c>
      <c r="AH1052" s="34">
        <f>IF(E1052=1,Orders!Q1049,"")</f>
        <v>10.5</v>
      </c>
      <c r="AI1052" s="34">
        <f>IF(E1052=1,Orders!M1049,"")</f>
        <v>2.5</v>
      </c>
      <c r="AJ1052" s="34">
        <f>IF(E1052=1,Orders!N1049,"")</f>
        <v>4.6</v>
      </c>
      <c r="AK1052" s="34">
        <f>IF(E1052=1,Orders!O1049,"")</f>
        <v>3.4</v>
      </c>
      <c r="AL1052" s="33">
        <f>IF(E1052=1,IF(ROUND(ABS(AI1052+AJ1052+AK1052-AH1052),6)&lt;=0.1,1,0),"")</f>
        <v>1</v>
      </c>
      <c r="AM1052" s="36">
        <f>IF(E1052=1,AI1052/AH1052,"")</f>
        <v>0.238095238095238</v>
      </c>
      <c r="AN1052" s="36">
        <f>IF(E1052=1,AJ1052/AH1052,"")</f>
        <v>0.438095238095238</v>
      </c>
      <c r="AO1052" s="36">
        <f>IF(E1052=1,AK1052/AH1052,"")</f>
        <v>0.323809523809524</v>
      </c>
      <c r="AP1052" s="34">
        <f>IF(E1052=1,Orders!Y1049,"")</f>
        <v>0.43</v>
      </c>
      <c r="AQ1052" s="33">
        <f>IF(Orders!X1049,1,0)</f>
        <v>0</v>
      </c>
      <c r="AR1052" s="34" t="str">
        <f>IF(AND(E1052=1,L1052=1),AJ1052,"")</f>
        <v/>
      </c>
      <c r="AS1052" s="34">
        <f>IF(AND(E1052=1,L1052=0),AJ1052,"")</f>
        <v>4.6</v>
      </c>
      <c r="AT1052" s="34" t="str">
        <f>IF(AND(E1052=1,L1052=1),AI1052,"")</f>
        <v/>
      </c>
      <c r="AU1052" s="34">
        <f>IF(AND(E1052=1,L1052=0),AI1052,"")</f>
        <v>2.5</v>
      </c>
      <c r="AV1052" s="34" t="str">
        <f>IF(AND(E1052=1,L1052=1),AG1052,"")</f>
        <v/>
      </c>
      <c r="AW1052" s="34">
        <f>IF(AND(E1052=1,L1052=0),AG1052,"")</f>
        <v>10.9</v>
      </c>
      <c r="AX1052" s="34" t="str">
        <f>IF(AND(E1052=1,L1052=1),AH1052,"")</f>
        <v/>
      </c>
      <c r="AY1052" s="34">
        <f>IF(AND(E1052=1,L1052=0),AH1052,"")</f>
        <v>10.5</v>
      </c>
      <c r="AZ1052" s="34" t="str">
        <f>IF(G1052=1,F1052,"")</f>
        <v/>
      </c>
      <c r="BA1052" s="34" t="str">
        <f>IF(AND(G1052=1,L1052=1),F1052,"")</f>
        <v/>
      </c>
      <c r="BB1052" s="34" t="str">
        <f>IF(AND(G1052=1,L1052=0),F1052,"")</f>
        <v/>
      </c>
      <c r="BC1052" s="33">
        <f>IF(E1052=1,IF(Orders!R1049&gt;3,1,0),"")</f>
        <v>0</v>
      </c>
      <c r="BD1052" s="33">
        <f>IF(E1052=1,IF(Orders!R1049&gt;7,1,0),"")</f>
        <v>0</v>
      </c>
      <c r="BE1052" s="32" t="str">
        <f>IF(E1052=1,IF(Orders!L1049&lt;=1.5,"Up to 1.5 km",IF(Orders!L1049&lt;=3,"1.5–3 km","Over 3 km")),"")</f>
        <v>1.5–3 km</v>
      </c>
      <c r="BF1052" s="33">
        <f>IF(E1052=1,IF(ABS((Orders!G1049-Orders!F1049)*1440-Orders!R1049)&lt;0.06,1,0),"")</f>
        <v>1</v>
      </c>
      <c r="BG1052" s="33">
        <f>IF(ABS((Orders!F1049-Orders!E1049)*1440-Orders!P1049)&lt;0.06,1,0)</f>
        <v>1</v>
      </c>
      <c r="BH1052" s="33">
        <f>IF(E1052=1,IF(IF(Orders!S1049,1,0)=1-G1052,1,0),"")</f>
        <v>1</v>
      </c>
      <c r="BI1052" s="32" t="str">
        <f>INDEX(Stores!$B$2:$B$21,MATCH(B1052,Stores!$A$2:$A$21,0))</f>
        <v>Mumbai</v>
      </c>
    </row>
    <row r="1053">
      <c r="A1053" s="32" t="str">
        <f>Orders!A1050</f>
        <v>O01049</v>
      </c>
      <c r="B1053" s="32" t="str">
        <f>Orders!C1050</f>
        <v>S009</v>
      </c>
      <c r="C1053" s="32" t="str">
        <f>Orders!B1050</f>
        <v>C0094</v>
      </c>
      <c r="D1053" s="32" t="str">
        <f>Orders!H1050</f>
        <v>Delivered</v>
      </c>
      <c r="E1053" s="33">
        <f>IF(Orders!H1050="Delivered",1,0)</f>
        <v>1</v>
      </c>
      <c r="F1053" s="34">
        <f>IF(E1053=1,Orders!R1050,"")</f>
        <v>-0.7</v>
      </c>
      <c r="G1053" s="33">
        <f>IF(E1053=1,IF(Orders!R1050&gt;0,1,0),"")</f>
        <v>0</v>
      </c>
      <c r="H1053" s="33">
        <f>IF(E1053=1,IF(Orders!R1050&gt;5,1,0),"")</f>
        <v>0</v>
      </c>
      <c r="I1053" s="32" t="str">
        <f>IF(E1053=1,"",IF(OR(Orders!T1050="Rider unavailable",Orders!T1050="Item unavailable"),"Company-caused","Unresolved"))</f>
        <v/>
      </c>
      <c r="J1053" s="33">
        <f>IF(OR(E1053=1,I1053="Company-caused"),1,0)</f>
        <v>1</v>
      </c>
      <c r="K1053" s="32" t="str">
        <f>IF(E1053=0,IF(I1053="Company-caused",IF(Orders!T1050="Rider unavailable","C1 Rider unavailable","C2 Item unavailable"),"Outside root: unresolved"),IF(G1053=0,"A On time",IF(H1053=1,IF(L1053=1,"B2a Severe, peak","B2b Severe, off-peak"),IF(L1053=1,"B1a Slight, peak","B1b Slight, off-peak"))))</f>
        <v>A On time</v>
      </c>
      <c r="L1053" s="33">
        <f>IF(AND(Orders!U1050&gt;=19,Orders!U1050&lt;22),1,0)</f>
        <v>0</v>
      </c>
      <c r="M1053" s="33">
        <f>IF(L1053=IF(Orders!V1050,1,0),1,0)</f>
        <v>1</v>
      </c>
      <c r="N1053" s="32" t="str">
        <f>IF(Orders!W1050="","None",Orders!W1050)</f>
        <v>None</v>
      </c>
      <c r="O1053" s="35">
        <f>INT(Orders!E1050)</f>
        <v>46273.0</v>
      </c>
      <c r="P1053" s="33">
        <f>Orders!U1050</f>
        <v>18</v>
      </c>
      <c r="Q1053" s="33">
        <f>COUNTIFS(Demand!$A$2:$A$4481,B1053,Demand!$B$2:$B$4481,O1053,Demand!$C$2:$C$4481,P1053)</f>
        <v>1</v>
      </c>
      <c r="R1053" s="33">
        <f>IF(Q1053=1,SUMIFS(Demand!$E$2:$E$4481,Demand!$A$2:$A$4481,B1053,Demand!$B$2:$B$4481,O1053,Demand!$C$2:$C$4481,P1053),"")</f>
        <v>25</v>
      </c>
      <c r="S1053" s="33">
        <f>INDEX(Stores!$G$2:$G$21,MATCH(B1053,Stores!$A$2:$A$21,0))</f>
        <v>29</v>
      </c>
      <c r="T1053" s="34">
        <f>IF(R1053="","",R1053/S1053)</f>
        <v>0.862068965517241</v>
      </c>
      <c r="U1053" s="34">
        <f>IF(E1053=1,T1053,"")</f>
        <v>0.862068965517241</v>
      </c>
      <c r="V1053" s="34">
        <f>IF(AND(E1053=1,L1053=0),T1053,"")</f>
        <v>0.862068965517241</v>
      </c>
      <c r="W1053" s="33">
        <f>IF(U1053="","",IF(U1053&lt;=Breakdowns!$C$5,1,IF(U1053&lt;=Breakdowns!$C$6,2,IF(U1053&lt;=Breakdowns!$C$7,3,4))))</f>
        <v>2</v>
      </c>
      <c r="X1053" s="33">
        <f>IF(V1053="","",IF(V1053&lt;=Breakdowns!$D$5,1,IF(V1053&lt;=Breakdowns!$D$6,2,IF(V1053&lt;=Breakdowns!$D$7,3,4))))</f>
        <v>2</v>
      </c>
      <c r="Y1053" s="34">
        <f>INDEX(Stores!$F$2:$F$21,MATCH(B1053,Stores!$A$2:$A$21,0))</f>
        <v>2.66</v>
      </c>
      <c r="Z1053" s="33">
        <f>IF(Y1053&gt;Store_Summary!$M$2,1,0)</f>
        <v>0</v>
      </c>
      <c r="AA1053" s="33">
        <f>INDEX(Stores!$C$2:$C$21,MATCH(B1053,Stores!$A$2:$A$21,0))</f>
        <v>645</v>
      </c>
      <c r="AB1053" s="33">
        <f>IF(AA1053&lt;180,1,0)</f>
        <v>0</v>
      </c>
      <c r="AC1053" s="32" t="str">
        <f>IF(Orders!D1050="","",INDEX(Riders!$C$2:$C$81,MATCH(Orders!D1050,Riders!$A$2:$A$81,0)))</f>
        <v>Petrol scooter</v>
      </c>
      <c r="AD1053" s="33">
        <f>IF(Orders!D1050="","",INDEX(Riders!$D$2:$D$81,MATCH(Orders!D1050,Riders!$A$2:$A$81,0)))</f>
        <v>32</v>
      </c>
      <c r="AE1053" s="33">
        <f>IF(Orders!D1050="","",IF(INDEX(Riders!$B$2:$B$81,MATCH(Orders!D1050,Riders!$A$2:$A$81,0))=B1053,1,0))</f>
        <v>0</v>
      </c>
      <c r="AF1053" s="34">
        <f>IF(E1053=1,Orders!L1050,"")</f>
        <v>1.1</v>
      </c>
      <c r="AG1053" s="34">
        <f>IF(E1053=1,Orders!P1050,"")</f>
        <v>10.5</v>
      </c>
      <c r="AH1053" s="34">
        <f>IF(E1053=1,Orders!Q1050,"")</f>
        <v>9.8</v>
      </c>
      <c r="AI1053" s="34">
        <f>IF(E1053=1,Orders!M1050,"")</f>
        <v>3.3</v>
      </c>
      <c r="AJ1053" s="34">
        <f>IF(E1053=1,Orders!N1050,"")</f>
        <v>4.1</v>
      </c>
      <c r="AK1053" s="34">
        <f>IF(E1053=1,Orders!O1050,"")</f>
        <v>2.4</v>
      </c>
      <c r="AL1053" s="33">
        <f>IF(E1053=1,IF(ROUND(ABS(AI1053+AJ1053+AK1053-AH1053),6)&lt;=0.1,1,0),"")</f>
        <v>1</v>
      </c>
      <c r="AM1053" s="36">
        <f>IF(E1053=1,AI1053/AH1053,"")</f>
        <v>0.336734693877551</v>
      </c>
      <c r="AN1053" s="36">
        <f>IF(E1053=1,AJ1053/AH1053,"")</f>
        <v>0.418367346938775</v>
      </c>
      <c r="AO1053" s="36">
        <f>IF(E1053=1,AK1053/AH1053,"")</f>
        <v>0.244897959183673</v>
      </c>
      <c r="AP1053" s="34">
        <f>IF(E1053=1,Orders!Y1050,"")</f>
        <v>0.54</v>
      </c>
      <c r="AQ1053" s="33">
        <f>IF(Orders!X1050,1,0)</f>
        <v>1</v>
      </c>
      <c r="AR1053" s="34" t="str">
        <f>IF(AND(E1053=1,L1053=1),AJ1053,"")</f>
        <v/>
      </c>
      <c r="AS1053" s="34">
        <f>IF(AND(E1053=1,L1053=0),AJ1053,"")</f>
        <v>4.1</v>
      </c>
      <c r="AT1053" s="34" t="str">
        <f>IF(AND(E1053=1,L1053=1),AI1053,"")</f>
        <v/>
      </c>
      <c r="AU1053" s="34">
        <f>IF(AND(E1053=1,L1053=0),AI1053,"")</f>
        <v>3.3</v>
      </c>
      <c r="AV1053" s="34" t="str">
        <f>IF(AND(E1053=1,L1053=1),AG1053,"")</f>
        <v/>
      </c>
      <c r="AW1053" s="34">
        <f>IF(AND(E1053=1,L1053=0),AG1053,"")</f>
        <v>10.5</v>
      </c>
      <c r="AX1053" s="34" t="str">
        <f>IF(AND(E1053=1,L1053=1),AH1053,"")</f>
        <v/>
      </c>
      <c r="AY1053" s="34">
        <f>IF(AND(E1053=1,L1053=0),AH1053,"")</f>
        <v>9.8</v>
      </c>
      <c r="AZ1053" s="34" t="str">
        <f>IF(G1053=1,F1053,"")</f>
        <v/>
      </c>
      <c r="BA1053" s="34" t="str">
        <f>IF(AND(G1053=1,L1053=1),F1053,"")</f>
        <v/>
      </c>
      <c r="BB1053" s="34" t="str">
        <f>IF(AND(G1053=1,L1053=0),F1053,"")</f>
        <v/>
      </c>
      <c r="BC1053" s="33">
        <f>IF(E1053=1,IF(Orders!R1050&gt;3,1,0),"")</f>
        <v>0</v>
      </c>
      <c r="BD1053" s="33">
        <f>IF(E1053=1,IF(Orders!R1050&gt;7,1,0),"")</f>
        <v>0</v>
      </c>
      <c r="BE1053" s="32" t="str">
        <f>IF(E1053=1,IF(Orders!L1050&lt;=1.5,"Up to 1.5 km",IF(Orders!L1050&lt;=3,"1.5–3 km","Over 3 km")),"")</f>
        <v>Up to 1.5 km</v>
      </c>
      <c r="BF1053" s="33">
        <f>IF(E1053=1,IF(ABS((Orders!G1050-Orders!F1050)*1440-Orders!R1050)&lt;0.06,1,0),"")</f>
        <v>1</v>
      </c>
      <c r="BG1053" s="33">
        <f>IF(ABS((Orders!F1050-Orders!E1050)*1440-Orders!P1050)&lt;0.06,1,0)</f>
        <v>1</v>
      </c>
      <c r="BH1053" s="33">
        <f>IF(E1053=1,IF(IF(Orders!S1050,1,0)=1-G1053,1,0),"")</f>
        <v>1</v>
      </c>
      <c r="BI1053" s="32" t="str">
        <f>INDEX(Stores!$B$2:$B$21,MATCH(B1053,Stores!$A$2:$A$21,0))</f>
        <v>Pune</v>
      </c>
    </row>
    <row r="1054">
      <c r="A1054" s="32" t="str">
        <f>Orders!A1051</f>
        <v>O01050</v>
      </c>
      <c r="B1054" s="32" t="str">
        <f>Orders!C1051</f>
        <v>S016</v>
      </c>
      <c r="C1054" s="32" t="str">
        <f>Orders!B1051</f>
        <v>C0160</v>
      </c>
      <c r="D1054" s="32" t="str">
        <f>Orders!H1051</f>
        <v>Delivered</v>
      </c>
      <c r="E1054" s="33">
        <f>IF(Orders!H1051="Delivered",1,0)</f>
        <v>1</v>
      </c>
      <c r="F1054" s="34">
        <f>IF(E1054=1,Orders!R1051,"")</f>
        <v>-0.9</v>
      </c>
      <c r="G1054" s="33">
        <f>IF(E1054=1,IF(Orders!R1051&gt;0,1,0),"")</f>
        <v>0</v>
      </c>
      <c r="H1054" s="33">
        <f>IF(E1054=1,IF(Orders!R1051&gt;5,1,0),"")</f>
        <v>0</v>
      </c>
      <c r="I1054" s="32" t="str">
        <f>IF(E1054=1,"",IF(OR(Orders!T1051="Rider unavailable",Orders!T1051="Item unavailable"),"Company-caused","Unresolved"))</f>
        <v/>
      </c>
      <c r="J1054" s="33">
        <f>IF(OR(E1054=1,I1054="Company-caused"),1,0)</f>
        <v>1</v>
      </c>
      <c r="K1054" s="32" t="str">
        <f>IF(E1054=0,IF(I1054="Company-caused",IF(Orders!T1051="Rider unavailable","C1 Rider unavailable","C2 Item unavailable"),"Outside root: unresolved"),IF(G1054=0,"A On time",IF(H1054=1,IF(L1054=1,"B2a Severe, peak","B2b Severe, off-peak"),IF(L1054=1,"B1a Slight, peak","B1b Slight, off-peak"))))</f>
        <v>A On time</v>
      </c>
      <c r="L1054" s="33">
        <f>IF(AND(Orders!U1051&gt;=19,Orders!U1051&lt;22),1,0)</f>
        <v>0</v>
      </c>
      <c r="M1054" s="33">
        <f>IF(L1054=IF(Orders!V1051,1,0),1,0)</f>
        <v>1</v>
      </c>
      <c r="N1054" s="32" t="str">
        <f>IF(Orders!W1051="","None",Orders!W1051)</f>
        <v>None</v>
      </c>
      <c r="O1054" s="35">
        <f>INT(Orders!E1051)</f>
        <v>46279.0</v>
      </c>
      <c r="P1054" s="33">
        <f>Orders!U1051</f>
        <v>16</v>
      </c>
      <c r="Q1054" s="33">
        <f>COUNTIFS(Demand!$A$2:$A$4481,B1054,Demand!$B$2:$B$4481,O1054,Demand!$C$2:$C$4481,P1054)</f>
        <v>1</v>
      </c>
      <c r="R1054" s="33">
        <f>IF(Q1054=1,SUMIFS(Demand!$E$2:$E$4481,Demand!$A$2:$A$4481,B1054,Demand!$B$2:$B$4481,O1054,Demand!$C$2:$C$4481,P1054),"")</f>
        <v>23</v>
      </c>
      <c r="S1054" s="33">
        <f>INDEX(Stores!$G$2:$G$21,MATCH(B1054,Stores!$A$2:$A$21,0))</f>
        <v>25</v>
      </c>
      <c r="T1054" s="34">
        <f>IF(R1054="","",R1054/S1054)</f>
        <v>0.92</v>
      </c>
      <c r="U1054" s="34">
        <f>IF(E1054=1,T1054,"")</f>
        <v>0.92</v>
      </c>
      <c r="V1054" s="34">
        <f>IF(AND(E1054=1,L1054=0),T1054,"")</f>
        <v>0.92</v>
      </c>
      <c r="W1054" s="33">
        <f>IF(U1054="","",IF(U1054&lt;=Breakdowns!$C$5,1,IF(U1054&lt;=Breakdowns!$C$6,2,IF(U1054&lt;=Breakdowns!$C$7,3,4))))</f>
        <v>2</v>
      </c>
      <c r="X1054" s="33">
        <f>IF(V1054="","",IF(V1054&lt;=Breakdowns!$D$5,1,IF(V1054&lt;=Breakdowns!$D$6,2,IF(V1054&lt;=Breakdowns!$D$7,3,4))))</f>
        <v>3</v>
      </c>
      <c r="Y1054" s="34">
        <f>INDEX(Stores!$F$2:$F$21,MATCH(B1054,Stores!$A$2:$A$21,0))</f>
        <v>5.51</v>
      </c>
      <c r="Z1054" s="33">
        <f>IF(Y1054&gt;Store_Summary!$M$2,1,0)</f>
        <v>1</v>
      </c>
      <c r="AA1054" s="33">
        <f>INDEX(Stores!$C$2:$C$21,MATCH(B1054,Stores!$A$2:$A$21,0))</f>
        <v>792</v>
      </c>
      <c r="AB1054" s="33">
        <f>IF(AA1054&lt;180,1,0)</f>
        <v>0</v>
      </c>
      <c r="AC1054" s="32" t="str">
        <f>IF(Orders!D1051="","",INDEX(Riders!$C$2:$C$81,MATCH(Orders!D1051,Riders!$A$2:$A$81,0)))</f>
        <v>Petrol scooter</v>
      </c>
      <c r="AD1054" s="33">
        <f>IF(Orders!D1051="","",INDEX(Riders!$D$2:$D$81,MATCH(Orders!D1051,Riders!$A$2:$A$81,0)))</f>
        <v>10</v>
      </c>
      <c r="AE1054" s="33">
        <f>IF(Orders!D1051="","",IF(INDEX(Riders!$B$2:$B$81,MATCH(Orders!D1051,Riders!$A$2:$A$81,0))=B1054,1,0))</f>
        <v>0</v>
      </c>
      <c r="AF1054" s="34">
        <f>IF(E1054=1,Orders!L1051,"")</f>
        <v>1.33</v>
      </c>
      <c r="AG1054" s="34">
        <f>IF(E1054=1,Orders!P1051,"")</f>
        <v>10.6</v>
      </c>
      <c r="AH1054" s="34">
        <f>IF(E1054=1,Orders!Q1051,"")</f>
        <v>9.7</v>
      </c>
      <c r="AI1054" s="34">
        <f>IF(E1054=1,Orders!M1051,"")</f>
        <v>5.1</v>
      </c>
      <c r="AJ1054" s="34">
        <f>IF(E1054=1,Orders!N1051,"")</f>
        <v>2.1</v>
      </c>
      <c r="AK1054" s="34">
        <f>IF(E1054=1,Orders!O1051,"")</f>
        <v>2.5</v>
      </c>
      <c r="AL1054" s="33">
        <f>IF(E1054=1,IF(ROUND(ABS(AI1054+AJ1054+AK1054-AH1054),6)&lt;=0.1,1,0),"")</f>
        <v>1</v>
      </c>
      <c r="AM1054" s="36">
        <f>IF(E1054=1,AI1054/AH1054,"")</f>
        <v>0.525773195876289</v>
      </c>
      <c r="AN1054" s="36">
        <f>IF(E1054=1,AJ1054/AH1054,"")</f>
        <v>0.216494845360825</v>
      </c>
      <c r="AO1054" s="36">
        <f>IF(E1054=1,AK1054/AH1054,"")</f>
        <v>0.257731958762887</v>
      </c>
      <c r="AP1054" s="34">
        <f>IF(E1054=1,Orders!Y1051,"")</f>
        <v>0.14</v>
      </c>
      <c r="AQ1054" s="33">
        <f>IF(Orders!X1051,1,0)</f>
        <v>0</v>
      </c>
      <c r="AR1054" s="34" t="str">
        <f>IF(AND(E1054=1,L1054=1),AJ1054,"")</f>
        <v/>
      </c>
      <c r="AS1054" s="34">
        <f>IF(AND(E1054=1,L1054=0),AJ1054,"")</f>
        <v>2.1</v>
      </c>
      <c r="AT1054" s="34" t="str">
        <f>IF(AND(E1054=1,L1054=1),AI1054,"")</f>
        <v/>
      </c>
      <c r="AU1054" s="34">
        <f>IF(AND(E1054=1,L1054=0),AI1054,"")</f>
        <v>5.1</v>
      </c>
      <c r="AV1054" s="34" t="str">
        <f>IF(AND(E1054=1,L1054=1),AG1054,"")</f>
        <v/>
      </c>
      <c r="AW1054" s="34">
        <f>IF(AND(E1054=1,L1054=0),AG1054,"")</f>
        <v>10.6</v>
      </c>
      <c r="AX1054" s="34" t="str">
        <f>IF(AND(E1054=1,L1054=1),AH1054,"")</f>
        <v/>
      </c>
      <c r="AY1054" s="34">
        <f>IF(AND(E1054=1,L1054=0),AH1054,"")</f>
        <v>9.7</v>
      </c>
      <c r="AZ1054" s="34" t="str">
        <f>IF(G1054=1,F1054,"")</f>
        <v/>
      </c>
      <c r="BA1054" s="34" t="str">
        <f>IF(AND(G1054=1,L1054=1),F1054,"")</f>
        <v/>
      </c>
      <c r="BB1054" s="34" t="str">
        <f>IF(AND(G1054=1,L1054=0),F1054,"")</f>
        <v/>
      </c>
      <c r="BC1054" s="33">
        <f>IF(E1054=1,IF(Orders!R1051&gt;3,1,0),"")</f>
        <v>0</v>
      </c>
      <c r="BD1054" s="33">
        <f>IF(E1054=1,IF(Orders!R1051&gt;7,1,0),"")</f>
        <v>0</v>
      </c>
      <c r="BE1054" s="32" t="str">
        <f>IF(E1054=1,IF(Orders!L1051&lt;=1.5,"Up to 1.5 km",IF(Orders!L1051&lt;=3,"1.5–3 km","Over 3 km")),"")</f>
        <v>Up to 1.5 km</v>
      </c>
      <c r="BF1054" s="33">
        <f>IF(E1054=1,IF(ABS((Orders!G1051-Orders!F1051)*1440-Orders!R1051)&lt;0.06,1,0),"")</f>
        <v>1</v>
      </c>
      <c r="BG1054" s="33">
        <f>IF(ABS((Orders!F1051-Orders!E1051)*1440-Orders!P1051)&lt;0.06,1,0)</f>
        <v>1</v>
      </c>
      <c r="BH1054" s="33">
        <f>IF(E1054=1,IF(IF(Orders!S1051,1,0)=1-G1054,1,0),"")</f>
        <v>1</v>
      </c>
      <c r="BI1054" s="32" t="str">
        <f>INDEX(Stores!$B$2:$B$21,MATCH(B1054,Stores!$A$2:$A$21,0))</f>
        <v>Bengaluru</v>
      </c>
    </row>
    <row r="1055">
      <c r="A1055" s="32" t="str">
        <f>Orders!A1052</f>
        <v>O01051</v>
      </c>
      <c r="B1055" s="32" t="str">
        <f>Orders!C1052</f>
        <v>S008</v>
      </c>
      <c r="C1055" s="32" t="str">
        <f>Orders!B1052</f>
        <v>C0032</v>
      </c>
      <c r="D1055" s="32" t="str">
        <f>Orders!H1052</f>
        <v>Delivered</v>
      </c>
      <c r="E1055" s="33">
        <f>IF(Orders!H1052="Delivered",1,0)</f>
        <v>1</v>
      </c>
      <c r="F1055" s="34">
        <f>IF(E1055=1,Orders!R1052,"")</f>
        <v>-0.7</v>
      </c>
      <c r="G1055" s="33">
        <f>IF(E1055=1,IF(Orders!R1052&gt;0,1,0),"")</f>
        <v>0</v>
      </c>
      <c r="H1055" s="33">
        <f>IF(E1055=1,IF(Orders!R1052&gt;5,1,0),"")</f>
        <v>0</v>
      </c>
      <c r="I1055" s="32" t="str">
        <f>IF(E1055=1,"",IF(OR(Orders!T1052="Rider unavailable",Orders!T1052="Item unavailable"),"Company-caused","Unresolved"))</f>
        <v/>
      </c>
      <c r="J1055" s="33">
        <f>IF(OR(E1055=1,I1055="Company-caused"),1,0)</f>
        <v>1</v>
      </c>
      <c r="K1055" s="32" t="str">
        <f>IF(E1055=0,IF(I1055="Company-caused",IF(Orders!T1052="Rider unavailable","C1 Rider unavailable","C2 Item unavailable"),"Outside root: unresolved"),IF(G1055=0,"A On time",IF(H1055=1,IF(L1055=1,"B2a Severe, peak","B2b Severe, off-peak"),IF(L1055=1,"B1a Slight, peak","B1b Slight, off-peak"))))</f>
        <v>A On time</v>
      </c>
      <c r="L1055" s="33">
        <f>IF(AND(Orders!U1052&gt;=19,Orders!U1052&lt;22),1,0)</f>
        <v>1</v>
      </c>
      <c r="M1055" s="33">
        <f>IF(L1055=IF(Orders!V1052,1,0),1,0)</f>
        <v>1</v>
      </c>
      <c r="N1055" s="32" t="str">
        <f>IF(Orders!W1052="","None",Orders!W1052)</f>
        <v>None</v>
      </c>
      <c r="O1055" s="35">
        <f>INT(Orders!E1052)</f>
        <v>46279.0</v>
      </c>
      <c r="P1055" s="33">
        <f>Orders!U1052</f>
        <v>21</v>
      </c>
      <c r="Q1055" s="33">
        <f>COUNTIFS(Demand!$A$2:$A$4481,B1055,Demand!$B$2:$B$4481,O1055,Demand!$C$2:$C$4481,P1055)</f>
        <v>1</v>
      </c>
      <c r="R1055" s="33">
        <f>IF(Q1055=1,SUMIFS(Demand!$E$2:$E$4481,Demand!$A$2:$A$4481,B1055,Demand!$B$2:$B$4481,O1055,Demand!$C$2:$C$4481,P1055),"")</f>
        <v>26</v>
      </c>
      <c r="S1055" s="33">
        <f>INDEX(Stores!$G$2:$G$21,MATCH(B1055,Stores!$A$2:$A$21,0))</f>
        <v>23</v>
      </c>
      <c r="T1055" s="34">
        <f>IF(R1055="","",R1055/S1055)</f>
        <v>1.1304347826087</v>
      </c>
      <c r="U1055" s="34">
        <f>IF(E1055=1,T1055,"")</f>
        <v>1.1304347826087</v>
      </c>
      <c r="V1055" s="34" t="str">
        <f>IF(AND(E1055=1,L1055=0),T1055,"")</f>
        <v/>
      </c>
      <c r="W1055" s="33">
        <f>IF(U1055="","",IF(U1055&lt;=Breakdowns!$C$5,1,IF(U1055&lt;=Breakdowns!$C$6,2,IF(U1055&lt;=Breakdowns!$C$7,3,4))))</f>
        <v>3</v>
      </c>
      <c r="X1055" s="33" t="str">
        <f>IF(V1055="","",IF(V1055&lt;=Breakdowns!$D$5,1,IF(V1055&lt;=Breakdowns!$D$6,2,IF(V1055&lt;=Breakdowns!$D$7,3,4))))</f>
        <v/>
      </c>
      <c r="Y1055" s="34">
        <f>INDEX(Stores!$F$2:$F$21,MATCH(B1055,Stores!$A$2:$A$21,0))</f>
        <v>3.46</v>
      </c>
      <c r="Z1055" s="33">
        <f>IF(Y1055&gt;Store_Summary!$M$2,1,0)</f>
        <v>0</v>
      </c>
      <c r="AA1055" s="33">
        <f>INDEX(Stores!$C$2:$C$21,MATCH(B1055,Stores!$A$2:$A$21,0))</f>
        <v>825</v>
      </c>
      <c r="AB1055" s="33">
        <f>IF(AA1055&lt;180,1,0)</f>
        <v>0</v>
      </c>
      <c r="AC1055" s="32" t="str">
        <f>IF(Orders!D1052="","",INDEX(Riders!$C$2:$C$81,MATCH(Orders!D1052,Riders!$A$2:$A$81,0)))</f>
        <v>EV scooter</v>
      </c>
      <c r="AD1055" s="33">
        <f>IF(Orders!D1052="","",INDEX(Riders!$D$2:$D$81,MATCH(Orders!D1052,Riders!$A$2:$A$81,0)))</f>
        <v>30</v>
      </c>
      <c r="AE1055" s="33">
        <f>IF(Orders!D1052="","",IF(INDEX(Riders!$B$2:$B$81,MATCH(Orders!D1052,Riders!$A$2:$A$81,0))=B1055,1,0))</f>
        <v>0</v>
      </c>
      <c r="AF1055" s="34">
        <f>IF(E1055=1,Orders!L1052,"")</f>
        <v>0.5</v>
      </c>
      <c r="AG1055" s="34">
        <f>IF(E1055=1,Orders!P1052,"")</f>
        <v>8.4</v>
      </c>
      <c r="AH1055" s="34">
        <f>IF(E1055=1,Orders!Q1052,"")</f>
        <v>7.7</v>
      </c>
      <c r="AI1055" s="34">
        <f>IF(E1055=1,Orders!M1052,"")</f>
        <v>1.6</v>
      </c>
      <c r="AJ1055" s="34">
        <f>IF(E1055=1,Orders!N1052,"")</f>
        <v>4.5</v>
      </c>
      <c r="AK1055" s="34">
        <f>IF(E1055=1,Orders!O1052,"")</f>
        <v>1.6</v>
      </c>
      <c r="AL1055" s="33">
        <f>IF(E1055=1,IF(ROUND(ABS(AI1055+AJ1055+AK1055-AH1055),6)&lt;=0.1,1,0),"")</f>
        <v>1</v>
      </c>
      <c r="AM1055" s="36">
        <f>IF(E1055=1,AI1055/AH1055,"")</f>
        <v>0.207792207792208</v>
      </c>
      <c r="AN1055" s="36">
        <f>IF(E1055=1,AJ1055/AH1055,"")</f>
        <v>0.584415584415584</v>
      </c>
      <c r="AO1055" s="36">
        <f>IF(E1055=1,AK1055/AH1055,"")</f>
        <v>0.207792207792208</v>
      </c>
      <c r="AP1055" s="34">
        <f>IF(E1055=1,Orders!Y1052,"")</f>
        <v>0.77</v>
      </c>
      <c r="AQ1055" s="33">
        <f>IF(Orders!X1052,1,0)</f>
        <v>0</v>
      </c>
      <c r="AR1055" s="34">
        <f>IF(AND(E1055=1,L1055=1),AJ1055,"")</f>
        <v>4.5</v>
      </c>
      <c r="AS1055" s="34" t="str">
        <f>IF(AND(E1055=1,L1055=0),AJ1055,"")</f>
        <v/>
      </c>
      <c r="AT1055" s="34">
        <f>IF(AND(E1055=1,L1055=1),AI1055,"")</f>
        <v>1.6</v>
      </c>
      <c r="AU1055" s="34" t="str">
        <f>IF(AND(E1055=1,L1055=0),AI1055,"")</f>
        <v/>
      </c>
      <c r="AV1055" s="34">
        <f>IF(AND(E1055=1,L1055=1),AG1055,"")</f>
        <v>8.4</v>
      </c>
      <c r="AW1055" s="34" t="str">
        <f>IF(AND(E1055=1,L1055=0),AG1055,"")</f>
        <v/>
      </c>
      <c r="AX1055" s="34">
        <f>IF(AND(E1055=1,L1055=1),AH1055,"")</f>
        <v>7.7</v>
      </c>
      <c r="AY1055" s="34" t="str">
        <f>IF(AND(E1055=1,L1055=0),AH1055,"")</f>
        <v/>
      </c>
      <c r="AZ1055" s="34" t="str">
        <f>IF(G1055=1,F1055,"")</f>
        <v/>
      </c>
      <c r="BA1055" s="34" t="str">
        <f>IF(AND(G1055=1,L1055=1),F1055,"")</f>
        <v/>
      </c>
      <c r="BB1055" s="34" t="str">
        <f>IF(AND(G1055=1,L1055=0),F1055,"")</f>
        <v/>
      </c>
      <c r="BC1055" s="33">
        <f>IF(E1055=1,IF(Orders!R1052&gt;3,1,0),"")</f>
        <v>0</v>
      </c>
      <c r="BD1055" s="33">
        <f>IF(E1055=1,IF(Orders!R1052&gt;7,1,0),"")</f>
        <v>0</v>
      </c>
      <c r="BE1055" s="32" t="str">
        <f>IF(E1055=1,IF(Orders!L1052&lt;=1.5,"Up to 1.5 km",IF(Orders!L1052&lt;=3,"1.5–3 km","Over 3 km")),"")</f>
        <v>Up to 1.5 km</v>
      </c>
      <c r="BF1055" s="33">
        <f>IF(E1055=1,IF(ABS((Orders!G1052-Orders!F1052)*1440-Orders!R1052)&lt;0.06,1,0),"")</f>
        <v>1</v>
      </c>
      <c r="BG1055" s="33">
        <f>IF(ABS((Orders!F1052-Orders!E1052)*1440-Orders!P1052)&lt;0.06,1,0)</f>
        <v>1</v>
      </c>
      <c r="BH1055" s="33">
        <f>IF(E1055=1,IF(IF(Orders!S1052,1,0)=1-G1055,1,0),"")</f>
        <v>1</v>
      </c>
      <c r="BI1055" s="32" t="str">
        <f>INDEX(Stores!$B$2:$B$21,MATCH(B1055,Stores!$A$2:$A$21,0))</f>
        <v>Mumbai</v>
      </c>
    </row>
    <row r="1056">
      <c r="A1056" s="32" t="str">
        <f>Orders!A1053</f>
        <v>O01052</v>
      </c>
      <c r="B1056" s="32" t="str">
        <f>Orders!C1053</f>
        <v>S009</v>
      </c>
      <c r="C1056" s="32" t="str">
        <f>Orders!B1053</f>
        <v>C0079</v>
      </c>
      <c r="D1056" s="32" t="str">
        <f>Orders!H1053</f>
        <v>Delivered</v>
      </c>
      <c r="E1056" s="33">
        <f>IF(Orders!H1053="Delivered",1,0)</f>
        <v>1</v>
      </c>
      <c r="F1056" s="34">
        <f>IF(E1056=1,Orders!R1053,"")</f>
        <v>-0.7</v>
      </c>
      <c r="G1056" s="33">
        <f>IF(E1056=1,IF(Orders!R1053&gt;0,1,0),"")</f>
        <v>0</v>
      </c>
      <c r="H1056" s="33">
        <f>IF(E1056=1,IF(Orders!R1053&gt;5,1,0),"")</f>
        <v>0</v>
      </c>
      <c r="I1056" s="32" t="str">
        <f>IF(E1056=1,"",IF(OR(Orders!T1053="Rider unavailable",Orders!T1053="Item unavailable"),"Company-caused","Unresolved"))</f>
        <v/>
      </c>
      <c r="J1056" s="33">
        <f>IF(OR(E1056=1,I1056="Company-caused"),1,0)</f>
        <v>1</v>
      </c>
      <c r="K1056" s="32" t="str">
        <f>IF(E1056=0,IF(I1056="Company-caused",IF(Orders!T1053="Rider unavailable","C1 Rider unavailable","C2 Item unavailable"),"Outside root: unresolved"),IF(G1056=0,"A On time",IF(H1056=1,IF(L1056=1,"B2a Severe, peak","B2b Severe, off-peak"),IF(L1056=1,"B1a Slight, peak","B1b Slight, off-peak"))))</f>
        <v>A On time</v>
      </c>
      <c r="L1056" s="33">
        <f>IF(AND(Orders!U1053&gt;=19,Orders!U1053&lt;22),1,0)</f>
        <v>0</v>
      </c>
      <c r="M1056" s="33">
        <f>IF(L1056=IF(Orders!V1053,1,0),1,0)</f>
        <v>1</v>
      </c>
      <c r="N1056" s="32" t="str">
        <f>IF(Orders!W1053="","None",Orders!W1053)</f>
        <v>Light</v>
      </c>
      <c r="O1056" s="35">
        <f>INT(Orders!E1053)</f>
        <v>46273.0</v>
      </c>
      <c r="P1056" s="33">
        <f>Orders!U1053</f>
        <v>16</v>
      </c>
      <c r="Q1056" s="33">
        <f>COUNTIFS(Demand!$A$2:$A$4481,B1056,Demand!$B$2:$B$4481,O1056,Demand!$C$2:$C$4481,P1056)</f>
        <v>1</v>
      </c>
      <c r="R1056" s="33">
        <f>IF(Q1056=1,SUMIFS(Demand!$E$2:$E$4481,Demand!$A$2:$A$4481,B1056,Demand!$B$2:$B$4481,O1056,Demand!$C$2:$C$4481,P1056),"")</f>
        <v>23</v>
      </c>
      <c r="S1056" s="33">
        <f>INDEX(Stores!$G$2:$G$21,MATCH(B1056,Stores!$A$2:$A$21,0))</f>
        <v>29</v>
      </c>
      <c r="T1056" s="34">
        <f>IF(R1056="","",R1056/S1056)</f>
        <v>0.793103448275862</v>
      </c>
      <c r="U1056" s="34">
        <f>IF(E1056=1,T1056,"")</f>
        <v>0.793103448275862</v>
      </c>
      <c r="V1056" s="34">
        <f>IF(AND(E1056=1,L1056=0),T1056,"")</f>
        <v>0.793103448275862</v>
      </c>
      <c r="W1056" s="33">
        <f>IF(U1056="","",IF(U1056&lt;=Breakdowns!$C$5,1,IF(U1056&lt;=Breakdowns!$C$6,2,IF(U1056&lt;=Breakdowns!$C$7,3,4))))</f>
        <v>2</v>
      </c>
      <c r="X1056" s="33">
        <f>IF(V1056="","",IF(V1056&lt;=Breakdowns!$D$5,1,IF(V1056&lt;=Breakdowns!$D$6,2,IF(V1056&lt;=Breakdowns!$D$7,3,4))))</f>
        <v>2</v>
      </c>
      <c r="Y1056" s="34">
        <f>INDEX(Stores!$F$2:$F$21,MATCH(B1056,Stores!$A$2:$A$21,0))</f>
        <v>2.66</v>
      </c>
      <c r="Z1056" s="33">
        <f>IF(Y1056&gt;Store_Summary!$M$2,1,0)</f>
        <v>0</v>
      </c>
      <c r="AA1056" s="33">
        <f>INDEX(Stores!$C$2:$C$21,MATCH(B1056,Stores!$A$2:$A$21,0))</f>
        <v>645</v>
      </c>
      <c r="AB1056" s="33">
        <f>IF(AA1056&lt;180,1,0)</f>
        <v>0</v>
      </c>
      <c r="AC1056" s="32" t="str">
        <f>IF(Orders!D1053="","",INDEX(Riders!$C$2:$C$81,MATCH(Orders!D1053,Riders!$A$2:$A$81,0)))</f>
        <v>EV scooter</v>
      </c>
      <c r="AD1056" s="33">
        <f>IF(Orders!D1053="","",INDEX(Riders!$D$2:$D$81,MATCH(Orders!D1053,Riders!$A$2:$A$81,0)))</f>
        <v>14</v>
      </c>
      <c r="AE1056" s="33">
        <f>IF(Orders!D1053="","",IF(INDEX(Riders!$B$2:$B$81,MATCH(Orders!D1053,Riders!$A$2:$A$81,0))=B1056,1,0))</f>
        <v>0</v>
      </c>
      <c r="AF1056" s="34">
        <f>IF(E1056=1,Orders!L1053,"")</f>
        <v>0.8</v>
      </c>
      <c r="AG1056" s="34">
        <f>IF(E1056=1,Orders!P1053,"")</f>
        <v>12</v>
      </c>
      <c r="AH1056" s="34">
        <f>IF(E1056=1,Orders!Q1053,"")</f>
        <v>11.3</v>
      </c>
      <c r="AI1056" s="34">
        <f>IF(E1056=1,Orders!M1053,"")</f>
        <v>2.7</v>
      </c>
      <c r="AJ1056" s="34">
        <f>IF(E1056=1,Orders!N1053,"")</f>
        <v>5.4</v>
      </c>
      <c r="AK1056" s="34">
        <f>IF(E1056=1,Orders!O1053,"")</f>
        <v>3.2</v>
      </c>
      <c r="AL1056" s="33">
        <f>IF(E1056=1,IF(ROUND(ABS(AI1056+AJ1056+AK1056-AH1056),6)&lt;=0.1,1,0),"")</f>
        <v>1</v>
      </c>
      <c r="AM1056" s="36">
        <f>IF(E1056=1,AI1056/AH1056,"")</f>
        <v>0.238938053097345</v>
      </c>
      <c r="AN1056" s="36">
        <f>IF(E1056=1,AJ1056/AH1056,"")</f>
        <v>0.47787610619469</v>
      </c>
      <c r="AO1056" s="36">
        <f>IF(E1056=1,AK1056/AH1056,"")</f>
        <v>0.283185840707965</v>
      </c>
      <c r="AP1056" s="34">
        <f>IF(E1056=1,Orders!Y1053,"")</f>
        <v>0.58</v>
      </c>
      <c r="AQ1056" s="33">
        <f>IF(Orders!X1053,1,0)</f>
        <v>0</v>
      </c>
      <c r="AR1056" s="34" t="str">
        <f>IF(AND(E1056=1,L1056=1),AJ1056,"")</f>
        <v/>
      </c>
      <c r="AS1056" s="34">
        <f>IF(AND(E1056=1,L1056=0),AJ1056,"")</f>
        <v>5.4</v>
      </c>
      <c r="AT1056" s="34" t="str">
        <f>IF(AND(E1056=1,L1056=1),AI1056,"")</f>
        <v/>
      </c>
      <c r="AU1056" s="34">
        <f>IF(AND(E1056=1,L1056=0),AI1056,"")</f>
        <v>2.7</v>
      </c>
      <c r="AV1056" s="34" t="str">
        <f>IF(AND(E1056=1,L1056=1),AG1056,"")</f>
        <v/>
      </c>
      <c r="AW1056" s="34">
        <f>IF(AND(E1056=1,L1056=0),AG1056,"")</f>
        <v>12</v>
      </c>
      <c r="AX1056" s="34" t="str">
        <f>IF(AND(E1056=1,L1056=1),AH1056,"")</f>
        <v/>
      </c>
      <c r="AY1056" s="34">
        <f>IF(AND(E1056=1,L1056=0),AH1056,"")</f>
        <v>11.3</v>
      </c>
      <c r="AZ1056" s="34" t="str">
        <f>IF(G1056=1,F1056,"")</f>
        <v/>
      </c>
      <c r="BA1056" s="34" t="str">
        <f>IF(AND(G1056=1,L1056=1),F1056,"")</f>
        <v/>
      </c>
      <c r="BB1056" s="34" t="str">
        <f>IF(AND(G1056=1,L1056=0),F1056,"")</f>
        <v/>
      </c>
      <c r="BC1056" s="33">
        <f>IF(E1056=1,IF(Orders!R1053&gt;3,1,0),"")</f>
        <v>0</v>
      </c>
      <c r="BD1056" s="33">
        <f>IF(E1056=1,IF(Orders!R1053&gt;7,1,0),"")</f>
        <v>0</v>
      </c>
      <c r="BE1056" s="32" t="str">
        <f>IF(E1056=1,IF(Orders!L1053&lt;=1.5,"Up to 1.5 km",IF(Orders!L1053&lt;=3,"1.5–3 km","Over 3 km")),"")</f>
        <v>Up to 1.5 km</v>
      </c>
      <c r="BF1056" s="33">
        <f>IF(E1056=1,IF(ABS((Orders!G1053-Orders!F1053)*1440-Orders!R1053)&lt;0.06,1,0),"")</f>
        <v>1</v>
      </c>
      <c r="BG1056" s="33">
        <f>IF(ABS((Orders!F1053-Orders!E1053)*1440-Orders!P1053)&lt;0.06,1,0)</f>
        <v>1</v>
      </c>
      <c r="BH1056" s="33">
        <f>IF(E1056=1,IF(IF(Orders!S1053,1,0)=1-G1056,1,0),"")</f>
        <v>1</v>
      </c>
      <c r="BI1056" s="32" t="str">
        <f>INDEX(Stores!$B$2:$B$21,MATCH(B1056,Stores!$A$2:$A$21,0))</f>
        <v>Pune</v>
      </c>
    </row>
    <row r="1057">
      <c r="A1057" s="32" t="str">
        <f>Orders!A1054</f>
        <v>O01053</v>
      </c>
      <c r="B1057" s="32" t="str">
        <f>Orders!C1054</f>
        <v>S003</v>
      </c>
      <c r="C1057" s="32" t="str">
        <f>Orders!B1054</f>
        <v>C0014</v>
      </c>
      <c r="D1057" s="32" t="str">
        <f>Orders!H1054</f>
        <v>Delivered</v>
      </c>
      <c r="E1057" s="33">
        <f>IF(Orders!H1054="Delivered",1,0)</f>
        <v>1</v>
      </c>
      <c r="F1057" s="34">
        <f>IF(E1057=1,Orders!R1054,"")</f>
        <v>-0.9</v>
      </c>
      <c r="G1057" s="33">
        <f>IF(E1057=1,IF(Orders!R1054&gt;0,1,0),"")</f>
        <v>0</v>
      </c>
      <c r="H1057" s="33">
        <f>IF(E1057=1,IF(Orders!R1054&gt;5,1,0),"")</f>
        <v>0</v>
      </c>
      <c r="I1057" s="32" t="str">
        <f>IF(E1057=1,"",IF(OR(Orders!T1054="Rider unavailable",Orders!T1054="Item unavailable"),"Company-caused","Unresolved"))</f>
        <v/>
      </c>
      <c r="J1057" s="33">
        <f>IF(OR(E1057=1,I1057="Company-caused"),1,0)</f>
        <v>1</v>
      </c>
      <c r="K1057" s="32" t="str">
        <f>IF(E1057=0,IF(I1057="Company-caused",IF(Orders!T1054="Rider unavailable","C1 Rider unavailable","C2 Item unavailable"),"Outside root: unresolved"),IF(G1057=0,"A On time",IF(H1057=1,IF(L1057=1,"B2a Severe, peak","B2b Severe, off-peak"),IF(L1057=1,"B1a Slight, peak","B1b Slight, off-peak"))))</f>
        <v>A On time</v>
      </c>
      <c r="L1057" s="33">
        <f>IF(AND(Orders!U1054&gt;=19,Orders!U1054&lt;22),1,0)</f>
        <v>1</v>
      </c>
      <c r="M1057" s="33">
        <f>IF(L1057=IF(Orders!V1054,1,0),1,0)</f>
        <v>1</v>
      </c>
      <c r="N1057" s="32" t="str">
        <f>IF(Orders!W1054="","None",Orders!W1054)</f>
        <v>None</v>
      </c>
      <c r="O1057" s="35">
        <f>INT(Orders!E1054)</f>
        <v>46268.0</v>
      </c>
      <c r="P1057" s="33">
        <f>Orders!U1054</f>
        <v>20</v>
      </c>
      <c r="Q1057" s="33">
        <f>COUNTIFS(Demand!$A$2:$A$4481,B1057,Demand!$B$2:$B$4481,O1057,Demand!$C$2:$C$4481,P1057)</f>
        <v>1</v>
      </c>
      <c r="R1057" s="33">
        <f>IF(Q1057=1,SUMIFS(Demand!$E$2:$E$4481,Demand!$A$2:$A$4481,B1057,Demand!$B$2:$B$4481,O1057,Demand!$C$2:$C$4481,P1057),"")</f>
        <v>57</v>
      </c>
      <c r="S1057" s="33">
        <f>INDEX(Stores!$G$2:$G$21,MATCH(B1057,Stores!$A$2:$A$21,0))</f>
        <v>41</v>
      </c>
      <c r="T1057" s="34">
        <f>IF(R1057="","",R1057/S1057)</f>
        <v>1.39024390243902</v>
      </c>
      <c r="U1057" s="34">
        <f>IF(E1057=1,T1057,"")</f>
        <v>1.39024390243902</v>
      </c>
      <c r="V1057" s="34" t="str">
        <f>IF(AND(E1057=1,L1057=0),T1057,"")</f>
        <v/>
      </c>
      <c r="W1057" s="33">
        <f>IF(U1057="","",IF(U1057&lt;=Breakdowns!$C$5,1,IF(U1057&lt;=Breakdowns!$C$6,2,IF(U1057&lt;=Breakdowns!$C$7,3,4))))</f>
        <v>4</v>
      </c>
      <c r="X1057" s="33" t="str">
        <f>IF(V1057="","",IF(V1057&lt;=Breakdowns!$D$5,1,IF(V1057&lt;=Breakdowns!$D$6,2,IF(V1057&lt;=Breakdowns!$D$7,3,4))))</f>
        <v/>
      </c>
      <c r="Y1057" s="34">
        <f>INDEX(Stores!$F$2:$F$21,MATCH(B1057,Stores!$A$2:$A$21,0))</f>
        <v>3.84</v>
      </c>
      <c r="Z1057" s="33">
        <f>IF(Y1057&gt;Store_Summary!$M$2,1,0)</f>
        <v>0</v>
      </c>
      <c r="AA1057" s="33">
        <f>INDEX(Stores!$C$2:$C$21,MATCH(B1057,Stores!$A$2:$A$21,0))</f>
        <v>426</v>
      </c>
      <c r="AB1057" s="33">
        <f>IF(AA1057&lt;180,1,0)</f>
        <v>0</v>
      </c>
      <c r="AC1057" s="32" t="str">
        <f>IF(Orders!D1054="","",INDEX(Riders!$C$2:$C$81,MATCH(Orders!D1054,Riders!$A$2:$A$81,0)))</f>
        <v>Bicycle</v>
      </c>
      <c r="AD1057" s="33">
        <f>IF(Orders!D1054="","",INDEX(Riders!$D$2:$D$81,MATCH(Orders!D1054,Riders!$A$2:$A$81,0)))</f>
        <v>14</v>
      </c>
      <c r="AE1057" s="33">
        <f>IF(Orders!D1054="","",IF(INDEX(Riders!$B$2:$B$81,MATCH(Orders!D1054,Riders!$A$2:$A$81,0))=B1057,1,0))</f>
        <v>0</v>
      </c>
      <c r="AF1057" s="34">
        <f>IF(E1057=1,Orders!L1054,"")</f>
        <v>1.8</v>
      </c>
      <c r="AG1057" s="34">
        <f>IF(E1057=1,Orders!P1054,"")</f>
        <v>8.7</v>
      </c>
      <c r="AH1057" s="34">
        <f>IF(E1057=1,Orders!Q1054,"")</f>
        <v>7.8</v>
      </c>
      <c r="AI1057" s="34">
        <f>IF(E1057=1,Orders!M1054,"")</f>
        <v>2.5</v>
      </c>
      <c r="AJ1057" s="34">
        <f>IF(E1057=1,Orders!N1054,"")</f>
        <v>2.2</v>
      </c>
      <c r="AK1057" s="34">
        <f>IF(E1057=1,Orders!O1054,"")</f>
        <v>3.1</v>
      </c>
      <c r="AL1057" s="33">
        <f>IF(E1057=1,IF(ROUND(ABS(AI1057+AJ1057+AK1057-AH1057),6)&lt;=0.1,1,0),"")</f>
        <v>1</v>
      </c>
      <c r="AM1057" s="36">
        <f>IF(E1057=1,AI1057/AH1057,"")</f>
        <v>0.320512820512821</v>
      </c>
      <c r="AN1057" s="36">
        <f>IF(E1057=1,AJ1057/AH1057,"")</f>
        <v>0.282051282051282</v>
      </c>
      <c r="AO1057" s="36">
        <f>IF(E1057=1,AK1057/AH1057,"")</f>
        <v>0.397435897435897</v>
      </c>
      <c r="AP1057" s="34">
        <f>IF(E1057=1,Orders!Y1054,"")</f>
        <v>0.71</v>
      </c>
      <c r="AQ1057" s="33">
        <f>IF(Orders!X1054,1,0)</f>
        <v>0</v>
      </c>
      <c r="AR1057" s="34">
        <f>IF(AND(E1057=1,L1057=1),AJ1057,"")</f>
        <v>2.2</v>
      </c>
      <c r="AS1057" s="34" t="str">
        <f>IF(AND(E1057=1,L1057=0),AJ1057,"")</f>
        <v/>
      </c>
      <c r="AT1057" s="34">
        <f>IF(AND(E1057=1,L1057=1),AI1057,"")</f>
        <v>2.5</v>
      </c>
      <c r="AU1057" s="34" t="str">
        <f>IF(AND(E1057=1,L1057=0),AI1057,"")</f>
        <v/>
      </c>
      <c r="AV1057" s="34">
        <f>IF(AND(E1057=1,L1057=1),AG1057,"")</f>
        <v>8.7</v>
      </c>
      <c r="AW1057" s="34" t="str">
        <f>IF(AND(E1057=1,L1057=0),AG1057,"")</f>
        <v/>
      </c>
      <c r="AX1057" s="34">
        <f>IF(AND(E1057=1,L1057=1),AH1057,"")</f>
        <v>7.8</v>
      </c>
      <c r="AY1057" s="34" t="str">
        <f>IF(AND(E1057=1,L1057=0),AH1057,"")</f>
        <v/>
      </c>
      <c r="AZ1057" s="34" t="str">
        <f>IF(G1057=1,F1057,"")</f>
        <v/>
      </c>
      <c r="BA1057" s="34" t="str">
        <f>IF(AND(G1057=1,L1057=1),F1057,"")</f>
        <v/>
      </c>
      <c r="BB1057" s="34" t="str">
        <f>IF(AND(G1057=1,L1057=0),F1057,"")</f>
        <v/>
      </c>
      <c r="BC1057" s="33">
        <f>IF(E1057=1,IF(Orders!R1054&gt;3,1,0),"")</f>
        <v>0</v>
      </c>
      <c r="BD1057" s="33">
        <f>IF(E1057=1,IF(Orders!R1054&gt;7,1,0),"")</f>
        <v>0</v>
      </c>
      <c r="BE1057" s="32" t="str">
        <f>IF(E1057=1,IF(Orders!L1054&lt;=1.5,"Up to 1.5 km",IF(Orders!L1054&lt;=3,"1.5–3 km","Over 3 km")),"")</f>
        <v>1.5–3 km</v>
      </c>
      <c r="BF1057" s="33">
        <f>IF(E1057=1,IF(ABS((Orders!G1054-Orders!F1054)*1440-Orders!R1054)&lt;0.06,1,0),"")</f>
        <v>1</v>
      </c>
      <c r="BG1057" s="33">
        <f>IF(ABS((Orders!F1054-Orders!E1054)*1440-Orders!P1054)&lt;0.06,1,0)</f>
        <v>1</v>
      </c>
      <c r="BH1057" s="33">
        <f>IF(E1057=1,IF(IF(Orders!S1054,1,0)=1-G1057,1,0),"")</f>
        <v>1</v>
      </c>
      <c r="BI1057" s="32" t="str">
        <f>INDEX(Stores!$B$2:$B$21,MATCH(B1057,Stores!$A$2:$A$21,0))</f>
        <v>Mumbai</v>
      </c>
    </row>
    <row r="1058">
      <c r="A1058" s="32" t="str">
        <f>Orders!A1055</f>
        <v>O01054</v>
      </c>
      <c r="B1058" s="32" t="str">
        <f>Orders!C1055</f>
        <v>S012</v>
      </c>
      <c r="C1058" s="32" t="str">
        <f>Orders!B1055</f>
        <v>C0125</v>
      </c>
      <c r="D1058" s="32" t="str">
        <f>Orders!H1055</f>
        <v>Delivered</v>
      </c>
      <c r="E1058" s="33">
        <f>IF(Orders!H1055="Delivered",1,0)</f>
        <v>1</v>
      </c>
      <c r="F1058" s="34">
        <f>IF(E1058=1,Orders!R1055,"")</f>
        <v>-0.9</v>
      </c>
      <c r="G1058" s="33">
        <f>IF(E1058=1,IF(Orders!R1055&gt;0,1,0),"")</f>
        <v>0</v>
      </c>
      <c r="H1058" s="33">
        <f>IF(E1058=1,IF(Orders!R1055&gt;5,1,0),"")</f>
        <v>0</v>
      </c>
      <c r="I1058" s="32" t="str">
        <f>IF(E1058=1,"",IF(OR(Orders!T1055="Rider unavailable",Orders!T1055="Item unavailable"),"Company-caused","Unresolved"))</f>
        <v/>
      </c>
      <c r="J1058" s="33">
        <f>IF(OR(E1058=1,I1058="Company-caused"),1,0)</f>
        <v>1</v>
      </c>
      <c r="K1058" s="32" t="str">
        <f>IF(E1058=0,IF(I1058="Company-caused",IF(Orders!T1055="Rider unavailable","C1 Rider unavailable","C2 Item unavailable"),"Outside root: unresolved"),IF(G1058=0,"A On time",IF(H1058=1,IF(L1058=1,"B2a Severe, peak","B2b Severe, off-peak"),IF(L1058=1,"B1a Slight, peak","B1b Slight, off-peak"))))</f>
        <v>A On time</v>
      </c>
      <c r="L1058" s="33">
        <f>IF(AND(Orders!U1055&gt;=19,Orders!U1055&lt;22),1,0)</f>
        <v>0</v>
      </c>
      <c r="M1058" s="33">
        <f>IF(L1058=IF(Orders!V1055,1,0),1,0)</f>
        <v>1</v>
      </c>
      <c r="N1058" s="32" t="str">
        <f>IF(Orders!W1055="","None",Orders!W1055)</f>
        <v>Light</v>
      </c>
      <c r="O1058" s="35">
        <f>INT(Orders!E1055)</f>
        <v>46266.0</v>
      </c>
      <c r="P1058" s="33">
        <f>Orders!U1055</f>
        <v>17</v>
      </c>
      <c r="Q1058" s="33">
        <f>COUNTIFS(Demand!$A$2:$A$4481,B1058,Demand!$B$2:$B$4481,O1058,Demand!$C$2:$C$4481,P1058)</f>
        <v>1</v>
      </c>
      <c r="R1058" s="33">
        <f>IF(Q1058=1,SUMIFS(Demand!$E$2:$E$4481,Demand!$A$2:$A$4481,B1058,Demand!$B$2:$B$4481,O1058,Demand!$C$2:$C$4481,P1058),"")</f>
        <v>16</v>
      </c>
      <c r="S1058" s="33">
        <f>INDEX(Stores!$G$2:$G$21,MATCH(B1058,Stores!$A$2:$A$21,0))</f>
        <v>15</v>
      </c>
      <c r="T1058" s="34">
        <f>IF(R1058="","",R1058/S1058)</f>
        <v>1.06666666666667</v>
      </c>
      <c r="U1058" s="34">
        <f>IF(E1058=1,T1058,"")</f>
        <v>1.06666666666667</v>
      </c>
      <c r="V1058" s="34">
        <f>IF(AND(E1058=1,L1058=0),T1058,"")</f>
        <v>1.06666666666667</v>
      </c>
      <c r="W1058" s="33">
        <f>IF(U1058="","",IF(U1058&lt;=Breakdowns!$C$5,1,IF(U1058&lt;=Breakdowns!$C$6,2,IF(U1058&lt;=Breakdowns!$C$7,3,4))))</f>
        <v>3</v>
      </c>
      <c r="X1058" s="33">
        <f>IF(V1058="","",IF(V1058&lt;=Breakdowns!$D$5,1,IF(V1058&lt;=Breakdowns!$D$6,2,IF(V1058&lt;=Breakdowns!$D$7,3,4))))</f>
        <v>3</v>
      </c>
      <c r="Y1058" s="34">
        <f>INDEX(Stores!$F$2:$F$21,MATCH(B1058,Stores!$A$2:$A$21,0))</f>
        <v>5.23</v>
      </c>
      <c r="Z1058" s="33">
        <f>IF(Y1058&gt;Store_Summary!$M$2,1,0)</f>
        <v>1</v>
      </c>
      <c r="AA1058" s="33">
        <f>INDEX(Stores!$C$2:$C$21,MATCH(B1058,Stores!$A$2:$A$21,0))</f>
        <v>300</v>
      </c>
      <c r="AB1058" s="33">
        <f>IF(AA1058&lt;180,1,0)</f>
        <v>0</v>
      </c>
      <c r="AC1058" s="32" t="str">
        <f>IF(Orders!D1055="","",INDEX(Riders!$C$2:$C$81,MATCH(Orders!D1055,Riders!$A$2:$A$81,0)))</f>
        <v>EV scooter</v>
      </c>
      <c r="AD1058" s="33">
        <f>IF(Orders!D1055="","",INDEX(Riders!$D$2:$D$81,MATCH(Orders!D1055,Riders!$A$2:$A$81,0)))</f>
        <v>44</v>
      </c>
      <c r="AE1058" s="33">
        <f>IF(Orders!D1055="","",IF(INDEX(Riders!$B$2:$B$81,MATCH(Orders!D1055,Riders!$A$2:$A$81,0))=B1058,1,0))</f>
        <v>0</v>
      </c>
      <c r="AF1058" s="34">
        <f>IF(E1058=1,Orders!L1055,"")</f>
        <v>1.64</v>
      </c>
      <c r="AG1058" s="34">
        <f>IF(E1058=1,Orders!P1055,"")</f>
        <v>9.1</v>
      </c>
      <c r="AH1058" s="34">
        <f>IF(E1058=1,Orders!Q1055,"")</f>
        <v>8.2</v>
      </c>
      <c r="AI1058" s="34">
        <f>IF(E1058=1,Orders!M1055,"")</f>
        <v>2.9</v>
      </c>
      <c r="AJ1058" s="34">
        <f>IF(E1058=1,Orders!N1055,"")</f>
        <v>1.7</v>
      </c>
      <c r="AK1058" s="34">
        <f>IF(E1058=1,Orders!O1055,"")</f>
        <v>3.6</v>
      </c>
      <c r="AL1058" s="33">
        <f>IF(E1058=1,IF(ROUND(ABS(AI1058+AJ1058+AK1058-AH1058),6)&lt;=0.1,1,0),"")</f>
        <v>1</v>
      </c>
      <c r="AM1058" s="36">
        <f>IF(E1058=1,AI1058/AH1058,"")</f>
        <v>0.353658536585366</v>
      </c>
      <c r="AN1058" s="36">
        <f>IF(E1058=1,AJ1058/AH1058,"")</f>
        <v>0.207317073170732</v>
      </c>
      <c r="AO1058" s="36">
        <f>IF(E1058=1,AK1058/AH1058,"")</f>
        <v>0.439024390243903</v>
      </c>
      <c r="AP1058" s="34">
        <f>IF(E1058=1,Orders!Y1055,"")</f>
        <v>0.39</v>
      </c>
      <c r="AQ1058" s="33">
        <f>IF(Orders!X1055,1,0)</f>
        <v>0</v>
      </c>
      <c r="AR1058" s="34" t="str">
        <f>IF(AND(E1058=1,L1058=1),AJ1058,"")</f>
        <v/>
      </c>
      <c r="AS1058" s="34">
        <f>IF(AND(E1058=1,L1058=0),AJ1058,"")</f>
        <v>1.7</v>
      </c>
      <c r="AT1058" s="34" t="str">
        <f>IF(AND(E1058=1,L1058=1),AI1058,"")</f>
        <v/>
      </c>
      <c r="AU1058" s="34">
        <f>IF(AND(E1058=1,L1058=0),AI1058,"")</f>
        <v>2.9</v>
      </c>
      <c r="AV1058" s="34" t="str">
        <f>IF(AND(E1058=1,L1058=1),AG1058,"")</f>
        <v/>
      </c>
      <c r="AW1058" s="34">
        <f>IF(AND(E1058=1,L1058=0),AG1058,"")</f>
        <v>9.1</v>
      </c>
      <c r="AX1058" s="34" t="str">
        <f>IF(AND(E1058=1,L1058=1),AH1058,"")</f>
        <v/>
      </c>
      <c r="AY1058" s="34">
        <f>IF(AND(E1058=1,L1058=0),AH1058,"")</f>
        <v>8.2</v>
      </c>
      <c r="AZ1058" s="34" t="str">
        <f>IF(G1058=1,F1058,"")</f>
        <v/>
      </c>
      <c r="BA1058" s="34" t="str">
        <f>IF(AND(G1058=1,L1058=1),F1058,"")</f>
        <v/>
      </c>
      <c r="BB1058" s="34" t="str">
        <f>IF(AND(G1058=1,L1058=0),F1058,"")</f>
        <v/>
      </c>
      <c r="BC1058" s="33">
        <f>IF(E1058=1,IF(Orders!R1055&gt;3,1,0),"")</f>
        <v>0</v>
      </c>
      <c r="BD1058" s="33">
        <f>IF(E1058=1,IF(Orders!R1055&gt;7,1,0),"")</f>
        <v>0</v>
      </c>
      <c r="BE1058" s="32" t="str">
        <f>IF(E1058=1,IF(Orders!L1055&lt;=1.5,"Up to 1.5 km",IF(Orders!L1055&lt;=3,"1.5–3 km","Over 3 km")),"")</f>
        <v>1.5–3 km</v>
      </c>
      <c r="BF1058" s="33">
        <f>IF(E1058=1,IF(ABS((Orders!G1055-Orders!F1055)*1440-Orders!R1055)&lt;0.06,1,0),"")</f>
        <v>1</v>
      </c>
      <c r="BG1058" s="33">
        <f>IF(ABS((Orders!F1055-Orders!E1055)*1440-Orders!P1055)&lt;0.06,1,0)</f>
        <v>1</v>
      </c>
      <c r="BH1058" s="33">
        <f>IF(E1058=1,IF(IF(Orders!S1055,1,0)=1-G1058,1,0),"")</f>
        <v>1</v>
      </c>
      <c r="BI1058" s="32" t="str">
        <f>INDEX(Stores!$B$2:$B$21,MATCH(B1058,Stores!$A$2:$A$21,0))</f>
        <v>Hyderabad</v>
      </c>
    </row>
    <row r="1059">
      <c r="A1059" s="32" t="str">
        <f>Orders!A1056</f>
        <v>O01055</v>
      </c>
      <c r="B1059" s="32" t="str">
        <f>Orders!C1056</f>
        <v>S017</v>
      </c>
      <c r="C1059" s="32" t="str">
        <f>Orders!B1056</f>
        <v>C0177</v>
      </c>
      <c r="D1059" s="32" t="str">
        <f>Orders!H1056</f>
        <v>Delivered</v>
      </c>
      <c r="E1059" s="33">
        <f>IF(Orders!H1056="Delivered",1,0)</f>
        <v>1</v>
      </c>
      <c r="F1059" s="34">
        <f>IF(E1059=1,Orders!R1056,"")</f>
        <v>-2.7</v>
      </c>
      <c r="G1059" s="33">
        <f>IF(E1059=1,IF(Orders!R1056&gt;0,1,0),"")</f>
        <v>0</v>
      </c>
      <c r="H1059" s="33">
        <f>IF(E1059=1,IF(Orders!R1056&gt;5,1,0),"")</f>
        <v>0</v>
      </c>
      <c r="I1059" s="32" t="str">
        <f>IF(E1059=1,"",IF(OR(Orders!T1056="Rider unavailable",Orders!T1056="Item unavailable"),"Company-caused","Unresolved"))</f>
        <v/>
      </c>
      <c r="J1059" s="33">
        <f>IF(OR(E1059=1,I1059="Company-caused"),1,0)</f>
        <v>1</v>
      </c>
      <c r="K1059" s="32" t="str">
        <f>IF(E1059=0,IF(I1059="Company-caused",IF(Orders!T1056="Rider unavailable","C1 Rider unavailable","C2 Item unavailable"),"Outside root: unresolved"),IF(G1059=0,"A On time",IF(H1059=1,IF(L1059=1,"B2a Severe, peak","B2b Severe, off-peak"),IF(L1059=1,"B1a Slight, peak","B1b Slight, off-peak"))))</f>
        <v>A On time</v>
      </c>
      <c r="L1059" s="33">
        <f>IF(AND(Orders!U1056&gt;=19,Orders!U1056&lt;22),1,0)</f>
        <v>0</v>
      </c>
      <c r="M1059" s="33">
        <f>IF(L1059=IF(Orders!V1056,1,0),1,0)</f>
        <v>1</v>
      </c>
      <c r="N1059" s="32" t="str">
        <f>IF(Orders!W1056="","None",Orders!W1056)</f>
        <v>Light</v>
      </c>
      <c r="O1059" s="35">
        <f>INT(Orders!E1056)</f>
        <v>46278.0</v>
      </c>
      <c r="P1059" s="33">
        <f>Orders!U1056</f>
        <v>16</v>
      </c>
      <c r="Q1059" s="33">
        <f>COUNTIFS(Demand!$A$2:$A$4481,B1059,Demand!$B$2:$B$4481,O1059,Demand!$C$2:$C$4481,P1059)</f>
        <v>1</v>
      </c>
      <c r="R1059" s="33">
        <f>IF(Q1059=1,SUMIFS(Demand!$E$2:$E$4481,Demand!$A$2:$A$4481,B1059,Demand!$B$2:$B$4481,O1059,Demand!$C$2:$C$4481,P1059),"")</f>
        <v>45</v>
      </c>
      <c r="S1059" s="33">
        <f>INDEX(Stores!$G$2:$G$21,MATCH(B1059,Stores!$A$2:$A$21,0))</f>
        <v>36</v>
      </c>
      <c r="T1059" s="34">
        <f>IF(R1059="","",R1059/S1059)</f>
        <v>1.25</v>
      </c>
      <c r="U1059" s="34">
        <f>IF(E1059=1,T1059,"")</f>
        <v>1.25</v>
      </c>
      <c r="V1059" s="34">
        <f>IF(AND(E1059=1,L1059=0),T1059,"")</f>
        <v>1.25</v>
      </c>
      <c r="W1059" s="33">
        <f>IF(U1059="","",IF(U1059&lt;=Breakdowns!$C$5,1,IF(U1059&lt;=Breakdowns!$C$6,2,IF(U1059&lt;=Breakdowns!$C$7,3,4))))</f>
        <v>4</v>
      </c>
      <c r="X1059" s="33">
        <f>IF(V1059="","",IF(V1059&lt;=Breakdowns!$D$5,1,IF(V1059&lt;=Breakdowns!$D$6,2,IF(V1059&lt;=Breakdowns!$D$7,3,4))))</f>
        <v>4</v>
      </c>
      <c r="Y1059" s="34">
        <f>INDEX(Stores!$F$2:$F$21,MATCH(B1059,Stores!$A$2:$A$21,0))</f>
        <v>2.16</v>
      </c>
      <c r="Z1059" s="33">
        <f>IF(Y1059&gt;Store_Summary!$M$2,1,0)</f>
        <v>0</v>
      </c>
      <c r="AA1059" s="33">
        <f>INDEX(Stores!$C$2:$C$21,MATCH(B1059,Stores!$A$2:$A$21,0))</f>
        <v>47</v>
      </c>
      <c r="AB1059" s="33">
        <f>IF(AA1059&lt;180,1,0)</f>
        <v>1</v>
      </c>
      <c r="AC1059" s="32" t="str">
        <f>IF(Orders!D1056="","",INDEX(Riders!$C$2:$C$81,MATCH(Orders!D1056,Riders!$A$2:$A$81,0)))</f>
        <v>EV scooter</v>
      </c>
      <c r="AD1059" s="33">
        <f>IF(Orders!D1056="","",INDEX(Riders!$D$2:$D$81,MATCH(Orders!D1056,Riders!$A$2:$A$81,0)))</f>
        <v>44</v>
      </c>
      <c r="AE1059" s="33">
        <f>IF(Orders!D1056="","",IF(INDEX(Riders!$B$2:$B$81,MATCH(Orders!D1056,Riders!$A$2:$A$81,0))=B1059,1,0))</f>
        <v>0</v>
      </c>
      <c r="AF1059" s="34">
        <f>IF(E1059=1,Orders!L1056,"")</f>
        <v>0.5</v>
      </c>
      <c r="AG1059" s="34">
        <f>IF(E1059=1,Orders!P1056,"")</f>
        <v>10.9</v>
      </c>
      <c r="AH1059" s="34">
        <f>IF(E1059=1,Orders!Q1056,"")</f>
        <v>8.2</v>
      </c>
      <c r="AI1059" s="34">
        <f>IF(E1059=1,Orders!M1056,"")</f>
        <v>1.6</v>
      </c>
      <c r="AJ1059" s="34">
        <f>IF(E1059=1,Orders!N1056,"")</f>
        <v>3</v>
      </c>
      <c r="AK1059" s="34">
        <f>IF(E1059=1,Orders!O1056,"")</f>
        <v>3.7</v>
      </c>
      <c r="AL1059" s="33">
        <f>IF(E1059=1,IF(ROUND(ABS(AI1059+AJ1059+AK1059-AH1059),6)&lt;=0.1,1,0),"")</f>
        <v>1</v>
      </c>
      <c r="AM1059" s="36">
        <f>IF(E1059=1,AI1059/AH1059,"")</f>
        <v>0.195121951219512</v>
      </c>
      <c r="AN1059" s="36">
        <f>IF(E1059=1,AJ1059/AH1059,"")</f>
        <v>0.365853658536585</v>
      </c>
      <c r="AO1059" s="36">
        <f>IF(E1059=1,AK1059/AH1059,"")</f>
        <v>0.451219512195122</v>
      </c>
      <c r="AP1059" s="34">
        <f>IF(E1059=1,Orders!Y1056,"")</f>
        <v>0.6</v>
      </c>
      <c r="AQ1059" s="33">
        <f>IF(Orders!X1056,1,0)</f>
        <v>0</v>
      </c>
      <c r="AR1059" s="34" t="str">
        <f>IF(AND(E1059=1,L1059=1),AJ1059,"")</f>
        <v/>
      </c>
      <c r="AS1059" s="34">
        <f>IF(AND(E1059=1,L1059=0),AJ1059,"")</f>
        <v>3</v>
      </c>
      <c r="AT1059" s="34" t="str">
        <f>IF(AND(E1059=1,L1059=1),AI1059,"")</f>
        <v/>
      </c>
      <c r="AU1059" s="34">
        <f>IF(AND(E1059=1,L1059=0),AI1059,"")</f>
        <v>1.6</v>
      </c>
      <c r="AV1059" s="34" t="str">
        <f>IF(AND(E1059=1,L1059=1),AG1059,"")</f>
        <v/>
      </c>
      <c r="AW1059" s="34">
        <f>IF(AND(E1059=1,L1059=0),AG1059,"")</f>
        <v>10.9</v>
      </c>
      <c r="AX1059" s="34" t="str">
        <f>IF(AND(E1059=1,L1059=1),AH1059,"")</f>
        <v/>
      </c>
      <c r="AY1059" s="34">
        <f>IF(AND(E1059=1,L1059=0),AH1059,"")</f>
        <v>8.2</v>
      </c>
      <c r="AZ1059" s="34" t="str">
        <f>IF(G1059=1,F1059,"")</f>
        <v/>
      </c>
      <c r="BA1059" s="34" t="str">
        <f>IF(AND(G1059=1,L1059=1),F1059,"")</f>
        <v/>
      </c>
      <c r="BB1059" s="34" t="str">
        <f>IF(AND(G1059=1,L1059=0),F1059,"")</f>
        <v/>
      </c>
      <c r="BC1059" s="33">
        <f>IF(E1059=1,IF(Orders!R1056&gt;3,1,0),"")</f>
        <v>0</v>
      </c>
      <c r="BD1059" s="33">
        <f>IF(E1059=1,IF(Orders!R1056&gt;7,1,0),"")</f>
        <v>0</v>
      </c>
      <c r="BE1059" s="32" t="str">
        <f>IF(E1059=1,IF(Orders!L1056&lt;=1.5,"Up to 1.5 km",IF(Orders!L1056&lt;=3,"1.5–3 km","Over 3 km")),"")</f>
        <v>Up to 1.5 km</v>
      </c>
      <c r="BF1059" s="33">
        <f>IF(E1059=1,IF(ABS((Orders!G1056-Orders!F1056)*1440-Orders!R1056)&lt;0.06,1,0),"")</f>
        <v>1</v>
      </c>
      <c r="BG1059" s="33">
        <f>IF(ABS((Orders!F1056-Orders!E1056)*1440-Orders!P1056)&lt;0.06,1,0)</f>
        <v>1</v>
      </c>
      <c r="BH1059" s="33">
        <f>IF(E1059=1,IF(IF(Orders!S1056,1,0)=1-G1059,1,0),"")</f>
        <v>1</v>
      </c>
      <c r="BI1059" s="32" t="str">
        <f>INDEX(Stores!$B$2:$B$21,MATCH(B1059,Stores!$A$2:$A$21,0))</f>
        <v>Hyderabad</v>
      </c>
    </row>
    <row r="1060">
      <c r="A1060" s="32" t="str">
        <f>Orders!A1057</f>
        <v>O01056</v>
      </c>
      <c r="B1060" s="32" t="str">
        <f>Orders!C1057</f>
        <v>S011</v>
      </c>
      <c r="C1060" s="32" t="str">
        <f>Orders!B1057</f>
        <v>C0189</v>
      </c>
      <c r="D1060" s="32" t="str">
        <f>Orders!H1057</f>
        <v>Delivered</v>
      </c>
      <c r="E1060" s="33">
        <f>IF(Orders!H1057="Delivered",1,0)</f>
        <v>1</v>
      </c>
      <c r="F1060" s="34">
        <f>IF(E1060=1,Orders!R1057,"")</f>
        <v>-1</v>
      </c>
      <c r="G1060" s="33">
        <f>IF(E1060=1,IF(Orders!R1057&gt;0,1,0),"")</f>
        <v>0</v>
      </c>
      <c r="H1060" s="33">
        <f>IF(E1060=1,IF(Orders!R1057&gt;5,1,0),"")</f>
        <v>0</v>
      </c>
      <c r="I1060" s="32" t="str">
        <f>IF(E1060=1,"",IF(OR(Orders!T1057="Rider unavailable",Orders!T1057="Item unavailable"),"Company-caused","Unresolved"))</f>
        <v/>
      </c>
      <c r="J1060" s="33">
        <f>IF(OR(E1060=1,I1060="Company-caused"),1,0)</f>
        <v>1</v>
      </c>
      <c r="K1060" s="32" t="str">
        <f>IF(E1060=0,IF(I1060="Company-caused",IF(Orders!T1057="Rider unavailable","C1 Rider unavailable","C2 Item unavailable"),"Outside root: unresolved"),IF(G1060=0,"A On time",IF(H1060=1,IF(L1060=1,"B2a Severe, peak","B2b Severe, off-peak"),IF(L1060=1,"B1a Slight, peak","B1b Slight, off-peak"))))</f>
        <v>A On time</v>
      </c>
      <c r="L1060" s="33">
        <f>IF(AND(Orders!U1057&gt;=19,Orders!U1057&lt;22),1,0)</f>
        <v>0</v>
      </c>
      <c r="M1060" s="33">
        <f>IF(L1060=IF(Orders!V1057,1,0),1,0)</f>
        <v>1</v>
      </c>
      <c r="N1060" s="32" t="str">
        <f>IF(Orders!W1057="","None",Orders!W1057)</f>
        <v>None</v>
      </c>
      <c r="O1060" s="35">
        <f>INT(Orders!E1057)</f>
        <v>46276.0</v>
      </c>
      <c r="P1060" s="33">
        <f>Orders!U1057</f>
        <v>14</v>
      </c>
      <c r="Q1060" s="33">
        <f>COUNTIFS(Demand!$A$2:$A$4481,B1060,Demand!$B$2:$B$4481,O1060,Demand!$C$2:$C$4481,P1060)</f>
        <v>1</v>
      </c>
      <c r="R1060" s="33">
        <f>IF(Q1060=1,SUMIFS(Demand!$E$2:$E$4481,Demand!$A$2:$A$4481,B1060,Demand!$B$2:$B$4481,O1060,Demand!$C$2:$C$4481,P1060),"")</f>
        <v>27</v>
      </c>
      <c r="S1060" s="33">
        <f>INDEX(Stores!$G$2:$G$21,MATCH(B1060,Stores!$A$2:$A$21,0))</f>
        <v>31</v>
      </c>
      <c r="T1060" s="34">
        <f>IF(R1060="","",R1060/S1060)</f>
        <v>0.870967741935484</v>
      </c>
      <c r="U1060" s="34">
        <f>IF(E1060=1,T1060,"")</f>
        <v>0.870967741935484</v>
      </c>
      <c r="V1060" s="34">
        <f>IF(AND(E1060=1,L1060=0),T1060,"")</f>
        <v>0.870967741935484</v>
      </c>
      <c r="W1060" s="33">
        <f>IF(U1060="","",IF(U1060&lt;=Breakdowns!$C$5,1,IF(U1060&lt;=Breakdowns!$C$6,2,IF(U1060&lt;=Breakdowns!$C$7,3,4))))</f>
        <v>2</v>
      </c>
      <c r="X1060" s="33">
        <f>IF(V1060="","",IF(V1060&lt;=Breakdowns!$D$5,1,IF(V1060&lt;=Breakdowns!$D$6,2,IF(V1060&lt;=Breakdowns!$D$7,3,4))))</f>
        <v>2</v>
      </c>
      <c r="Y1060" s="34">
        <f>INDEX(Stores!$F$2:$F$21,MATCH(B1060,Stores!$A$2:$A$21,0))</f>
        <v>5.67</v>
      </c>
      <c r="Z1060" s="33">
        <f>IF(Y1060&gt;Store_Summary!$M$2,1,0)</f>
        <v>1</v>
      </c>
      <c r="AA1060" s="33">
        <f>INDEX(Stores!$C$2:$C$21,MATCH(B1060,Stores!$A$2:$A$21,0))</f>
        <v>732</v>
      </c>
      <c r="AB1060" s="33">
        <f>IF(AA1060&lt;180,1,0)</f>
        <v>0</v>
      </c>
      <c r="AC1060" s="32" t="str">
        <f>IF(Orders!D1057="","",INDEX(Riders!$C$2:$C$81,MATCH(Orders!D1057,Riders!$A$2:$A$81,0)))</f>
        <v>EV scooter</v>
      </c>
      <c r="AD1060" s="33">
        <f>IF(Orders!D1057="","",INDEX(Riders!$D$2:$D$81,MATCH(Orders!D1057,Riders!$A$2:$A$81,0)))</f>
        <v>39</v>
      </c>
      <c r="AE1060" s="33">
        <f>IF(Orders!D1057="","",IF(INDEX(Riders!$B$2:$B$81,MATCH(Orders!D1057,Riders!$A$2:$A$81,0))=B1060,1,0))</f>
        <v>0</v>
      </c>
      <c r="AF1060" s="34">
        <f>IF(E1060=1,Orders!L1057,"")</f>
        <v>0.5</v>
      </c>
      <c r="AG1060" s="34">
        <f>IF(E1060=1,Orders!P1057,"")</f>
        <v>8</v>
      </c>
      <c r="AH1060" s="34">
        <f>IF(E1060=1,Orders!Q1057,"")</f>
        <v>7</v>
      </c>
      <c r="AI1060" s="34">
        <f>IF(E1060=1,Orders!M1057,"")</f>
        <v>2.8</v>
      </c>
      <c r="AJ1060" s="34">
        <f>IF(E1060=1,Orders!N1057,"")</f>
        <v>3.1</v>
      </c>
      <c r="AK1060" s="34">
        <f>IF(E1060=1,Orders!O1057,"")</f>
        <v>1.1</v>
      </c>
      <c r="AL1060" s="33">
        <f>IF(E1060=1,IF(ROUND(ABS(AI1060+AJ1060+AK1060-AH1060),6)&lt;=0.1,1,0),"")</f>
        <v>1</v>
      </c>
      <c r="AM1060" s="36">
        <f>IF(E1060=1,AI1060/AH1060,"")</f>
        <v>0.4</v>
      </c>
      <c r="AN1060" s="36">
        <f>IF(E1060=1,AJ1060/AH1060,"")</f>
        <v>0.442857142857143</v>
      </c>
      <c r="AO1060" s="36">
        <f>IF(E1060=1,AK1060/AH1060,"")</f>
        <v>0.157142857142857</v>
      </c>
      <c r="AP1060" s="34">
        <f>IF(E1060=1,Orders!Y1057,"")</f>
        <v>0.48</v>
      </c>
      <c r="AQ1060" s="33">
        <f>IF(Orders!X1057,1,0)</f>
        <v>0</v>
      </c>
      <c r="AR1060" s="34" t="str">
        <f>IF(AND(E1060=1,L1060=1),AJ1060,"")</f>
        <v/>
      </c>
      <c r="AS1060" s="34">
        <f>IF(AND(E1060=1,L1060=0),AJ1060,"")</f>
        <v>3.1</v>
      </c>
      <c r="AT1060" s="34" t="str">
        <f>IF(AND(E1060=1,L1060=1),AI1060,"")</f>
        <v/>
      </c>
      <c r="AU1060" s="34">
        <f>IF(AND(E1060=1,L1060=0),AI1060,"")</f>
        <v>2.8</v>
      </c>
      <c r="AV1060" s="34" t="str">
        <f>IF(AND(E1060=1,L1060=1),AG1060,"")</f>
        <v/>
      </c>
      <c r="AW1060" s="34">
        <f>IF(AND(E1060=1,L1060=0),AG1060,"")</f>
        <v>8</v>
      </c>
      <c r="AX1060" s="34" t="str">
        <f>IF(AND(E1060=1,L1060=1),AH1060,"")</f>
        <v/>
      </c>
      <c r="AY1060" s="34">
        <f>IF(AND(E1060=1,L1060=0),AH1060,"")</f>
        <v>7</v>
      </c>
      <c r="AZ1060" s="34" t="str">
        <f>IF(G1060=1,F1060,"")</f>
        <v/>
      </c>
      <c r="BA1060" s="34" t="str">
        <f>IF(AND(G1060=1,L1060=1),F1060,"")</f>
        <v/>
      </c>
      <c r="BB1060" s="34" t="str">
        <f>IF(AND(G1060=1,L1060=0),F1060,"")</f>
        <v/>
      </c>
      <c r="BC1060" s="33">
        <f>IF(E1060=1,IF(Orders!R1057&gt;3,1,0),"")</f>
        <v>0</v>
      </c>
      <c r="BD1060" s="33">
        <f>IF(E1060=1,IF(Orders!R1057&gt;7,1,0),"")</f>
        <v>0</v>
      </c>
      <c r="BE1060" s="32" t="str">
        <f>IF(E1060=1,IF(Orders!L1057&lt;=1.5,"Up to 1.5 km",IF(Orders!L1057&lt;=3,"1.5–3 km","Over 3 km")),"")</f>
        <v>Up to 1.5 km</v>
      </c>
      <c r="BF1060" s="33">
        <f>IF(E1060=1,IF(ABS((Orders!G1057-Orders!F1057)*1440-Orders!R1057)&lt;0.06,1,0),"")</f>
        <v>1</v>
      </c>
      <c r="BG1060" s="33">
        <f>IF(ABS((Orders!F1057-Orders!E1057)*1440-Orders!P1057)&lt;0.06,1,0)</f>
        <v>1</v>
      </c>
      <c r="BH1060" s="33">
        <f>IF(E1060=1,IF(IF(Orders!S1057,1,0)=1-G1060,1,0),"")</f>
        <v>1</v>
      </c>
      <c r="BI1060" s="32" t="str">
        <f>INDEX(Stores!$B$2:$B$21,MATCH(B1060,Stores!$A$2:$A$21,0))</f>
        <v>Bengaluru</v>
      </c>
    </row>
    <row r="1061">
      <c r="A1061" s="32" t="str">
        <f>Orders!A1058</f>
        <v>O01057</v>
      </c>
      <c r="B1061" s="32" t="str">
        <f>Orders!C1058</f>
        <v>S019</v>
      </c>
      <c r="C1061" s="32" t="str">
        <f>Orders!B1058</f>
        <v>C0171</v>
      </c>
      <c r="D1061" s="32" t="str">
        <f>Orders!H1058</f>
        <v>Cancelled</v>
      </c>
      <c r="E1061" s="33">
        <f>IF(Orders!H1058="Delivered",1,0)</f>
        <v>0</v>
      </c>
      <c r="F1061" s="34" t="str">
        <f>IF(E1061=1,Orders!R1058,"")</f>
        <v/>
      </c>
      <c r="G1061" s="33" t="str">
        <f>IF(E1061=1,IF(Orders!R1058&gt;0,1,0),"")</f>
        <v/>
      </c>
      <c r="H1061" s="33" t="str">
        <f>IF(E1061=1,IF(Orders!R1058&gt;5,1,0),"")</f>
        <v/>
      </c>
      <c r="I1061" s="32" t="str">
        <f>IF(E1061=1,"",IF(OR(Orders!T1058="Rider unavailable",Orders!T1058="Item unavailable"),"Company-caused","Unresolved"))</f>
        <v>Unresolved</v>
      </c>
      <c r="J1061" s="33">
        <f>IF(OR(E1061=1,I1061="Company-caused"),1,0)</f>
        <v>0</v>
      </c>
      <c r="K1061" s="32" t="str">
        <f>IF(E1061=0,IF(I1061="Company-caused",IF(Orders!T1058="Rider unavailable","C1 Rider unavailable","C2 Item unavailable"),"Outside root: unresolved"),IF(G1061=0,"A On time",IF(H1061=1,IF(L1061=1,"B2a Severe, peak","B2b Severe, off-peak"),IF(L1061=1,"B1a Slight, peak","B1b Slight, off-peak"))))</f>
        <v>Outside root: unresolved</v>
      </c>
      <c r="L1061" s="33">
        <f>IF(AND(Orders!U1058&gt;=19,Orders!U1058&lt;22),1,0)</f>
        <v>0</v>
      </c>
      <c r="M1061" s="33">
        <f>IF(L1061=IF(Orders!V1058,1,0),1,0)</f>
        <v>1</v>
      </c>
      <c r="N1061" s="32" t="str">
        <f>IF(Orders!W1058="","None",Orders!W1058)</f>
        <v>Heavy</v>
      </c>
      <c r="O1061" s="35">
        <f>INT(Orders!E1058)</f>
        <v>46276.0</v>
      </c>
      <c r="P1061" s="33">
        <f>Orders!U1058</f>
        <v>13</v>
      </c>
      <c r="Q1061" s="33">
        <f>COUNTIFS(Demand!$A$2:$A$4481,B1061,Demand!$B$2:$B$4481,O1061,Demand!$C$2:$C$4481,P1061)</f>
        <v>1</v>
      </c>
      <c r="R1061" s="33">
        <f>IF(Q1061=1,SUMIFS(Demand!$E$2:$E$4481,Demand!$A$2:$A$4481,B1061,Demand!$B$2:$B$4481,O1061,Demand!$C$2:$C$4481,P1061),"")</f>
        <v>29</v>
      </c>
      <c r="S1061" s="33">
        <f>INDEX(Stores!$G$2:$G$21,MATCH(B1061,Stores!$A$2:$A$21,0))</f>
        <v>22</v>
      </c>
      <c r="T1061" s="34">
        <f>IF(R1061="","",R1061/S1061)</f>
        <v>1.31818181818182</v>
      </c>
      <c r="U1061" s="34" t="str">
        <f>IF(E1061=1,T1061,"")</f>
        <v/>
      </c>
      <c r="V1061" s="34" t="str">
        <f>IF(AND(E1061=1,L1061=0),T1061,"")</f>
        <v/>
      </c>
      <c r="W1061" s="33" t="str">
        <f>IF(U1061="","",IF(U1061&lt;=Breakdowns!$C$5,1,IF(U1061&lt;=Breakdowns!$C$6,2,IF(U1061&lt;=Breakdowns!$C$7,3,4))))</f>
        <v/>
      </c>
      <c r="X1061" s="33" t="str">
        <f>IF(V1061="","",IF(V1061&lt;=Breakdowns!$D$5,1,IF(V1061&lt;=Breakdowns!$D$6,2,IF(V1061&lt;=Breakdowns!$D$7,3,4))))</f>
        <v/>
      </c>
      <c r="Y1061" s="34">
        <f>INDEX(Stores!$F$2:$F$21,MATCH(B1061,Stores!$A$2:$A$21,0))</f>
        <v>4.99</v>
      </c>
      <c r="Z1061" s="33">
        <f>IF(Y1061&gt;Store_Summary!$M$2,1,0)</f>
        <v>1</v>
      </c>
      <c r="AA1061" s="33">
        <f>INDEX(Stores!$C$2:$C$21,MATCH(B1061,Stores!$A$2:$A$21,0))</f>
        <v>851</v>
      </c>
      <c r="AB1061" s="33">
        <f>IF(AA1061&lt;180,1,0)</f>
        <v>0</v>
      </c>
      <c r="AC1061" s="32" t="str">
        <f>IF(Orders!D1058="","",INDEX(Riders!$C$2:$C$81,MATCH(Orders!D1058,Riders!$A$2:$A$81,0)))</f>
        <v/>
      </c>
      <c r="AD1061" s="33" t="str">
        <f>IF(Orders!D1058="","",INDEX(Riders!$D$2:$D$81,MATCH(Orders!D1058,Riders!$A$2:$A$81,0)))</f>
        <v/>
      </c>
      <c r="AE1061" s="33" t="str">
        <f>IF(Orders!D1058="","",IF(INDEX(Riders!$B$2:$B$81,MATCH(Orders!D1058,Riders!$A$2:$A$81,0))=B1061,1,0))</f>
        <v/>
      </c>
      <c r="AF1061" s="34" t="str">
        <f>IF(E1061=1,Orders!L1058,"")</f>
        <v/>
      </c>
      <c r="AG1061" s="34" t="str">
        <f>IF(E1061=1,Orders!P1058,"")</f>
        <v/>
      </c>
      <c r="AH1061" s="34" t="str">
        <f>IF(E1061=1,Orders!Q1058,"")</f>
        <v/>
      </c>
      <c r="AI1061" s="34" t="str">
        <f>IF(E1061=1,Orders!M1058,"")</f>
        <v/>
      </c>
      <c r="AJ1061" s="34" t="str">
        <f>IF(E1061=1,Orders!N1058,"")</f>
        <v/>
      </c>
      <c r="AK1061" s="34" t="str">
        <f>IF(E1061=1,Orders!O1058,"")</f>
        <v/>
      </c>
      <c r="AL1061" s="33" t="str">
        <f>IF(E1061=1,IF(ROUND(ABS(AI1061+AJ1061+AK1061-AH1061),6)&lt;=0.1,1,0),"")</f>
        <v/>
      </c>
      <c r="AM1061" s="36" t="str">
        <f>IF(E1061=1,AI1061/AH1061,"")</f>
        <v/>
      </c>
      <c r="AN1061" s="36" t="str">
        <f>IF(E1061=1,AJ1061/AH1061,"")</f>
        <v/>
      </c>
      <c r="AO1061" s="36" t="str">
        <f>IF(E1061=1,AK1061/AH1061,"")</f>
        <v/>
      </c>
      <c r="AP1061" s="34" t="str">
        <f>IF(E1061=1,Orders!Y1058,"")</f>
        <v/>
      </c>
      <c r="AQ1061" s="33">
        <f>IF(Orders!X1058,1,0)</f>
        <v>0</v>
      </c>
      <c r="AR1061" s="34" t="str">
        <f>IF(AND(E1061=1,L1061=1),AJ1061,"")</f>
        <v/>
      </c>
      <c r="AS1061" s="34" t="str">
        <f>IF(AND(E1061=1,L1061=0),AJ1061,"")</f>
        <v/>
      </c>
      <c r="AT1061" s="34" t="str">
        <f>IF(AND(E1061=1,L1061=1),AI1061,"")</f>
        <v/>
      </c>
      <c r="AU1061" s="34" t="str">
        <f>IF(AND(E1061=1,L1061=0),AI1061,"")</f>
        <v/>
      </c>
      <c r="AV1061" s="34" t="str">
        <f>IF(AND(E1061=1,L1061=1),AG1061,"")</f>
        <v/>
      </c>
      <c r="AW1061" s="34" t="str">
        <f>IF(AND(E1061=1,L1061=0),AG1061,"")</f>
        <v/>
      </c>
      <c r="AX1061" s="34" t="str">
        <f>IF(AND(E1061=1,L1061=1),AH1061,"")</f>
        <v/>
      </c>
      <c r="AY1061" s="34" t="str">
        <f>IF(AND(E1061=1,L1061=0),AH1061,"")</f>
        <v/>
      </c>
      <c r="AZ1061" s="34" t="str">
        <f>IF(G1061=1,F1061,"")</f>
        <v/>
      </c>
      <c r="BA1061" s="34" t="str">
        <f>IF(AND(G1061=1,L1061=1),F1061,"")</f>
        <v/>
      </c>
      <c r="BB1061" s="34" t="str">
        <f>IF(AND(G1061=1,L1061=0),F1061,"")</f>
        <v/>
      </c>
      <c r="BC1061" s="33" t="str">
        <f>IF(E1061=1,IF(Orders!R1058&gt;3,1,0),"")</f>
        <v/>
      </c>
      <c r="BD1061" s="33" t="str">
        <f>IF(E1061=1,IF(Orders!R1058&gt;7,1,0),"")</f>
        <v/>
      </c>
      <c r="BE1061" s="32" t="str">
        <f>IF(E1061=1,IF(Orders!L1058&lt;=1.5,"Up to 1.5 km",IF(Orders!L1058&lt;=3,"1.5–3 km","Over 3 km")),"")</f>
        <v/>
      </c>
      <c r="BF1061" s="33" t="str">
        <f>IF(E1061=1,IF(ABS((Orders!G1058-Orders!F1058)*1440-Orders!R1058)&lt;0.06,1,0),"")</f>
        <v/>
      </c>
      <c r="BG1061" s="33">
        <f>IF(ABS((Orders!F1058-Orders!E1058)*1440-Orders!P1058)&lt;0.06,1,0)</f>
        <v>1</v>
      </c>
      <c r="BH1061" s="33" t="str">
        <f>IF(E1061=1,IF(IF(Orders!S1058,1,0)=1-G1061,1,0),"")</f>
        <v/>
      </c>
      <c r="BI1061" s="32" t="str">
        <f>INDEX(Stores!$B$2:$B$21,MATCH(B1061,Stores!$A$2:$A$21,0))</f>
        <v>Pune</v>
      </c>
    </row>
    <row r="1062">
      <c r="A1062" s="32" t="str">
        <f>Orders!A1059</f>
        <v>O01058</v>
      </c>
      <c r="B1062" s="32" t="str">
        <f>Orders!C1059</f>
        <v>S013</v>
      </c>
      <c r="C1062" s="32" t="str">
        <f>Orders!B1059</f>
        <v>C0014</v>
      </c>
      <c r="D1062" s="32" t="str">
        <f>Orders!H1059</f>
        <v>Delivered</v>
      </c>
      <c r="E1062" s="33">
        <f>IF(Orders!H1059="Delivered",1,0)</f>
        <v>1</v>
      </c>
      <c r="F1062" s="34">
        <f>IF(E1062=1,Orders!R1059,"")</f>
        <v>-0.7</v>
      </c>
      <c r="G1062" s="33">
        <f>IF(E1062=1,IF(Orders!R1059&gt;0,1,0),"")</f>
        <v>0</v>
      </c>
      <c r="H1062" s="33">
        <f>IF(E1062=1,IF(Orders!R1059&gt;5,1,0),"")</f>
        <v>0</v>
      </c>
      <c r="I1062" s="32" t="str">
        <f>IF(E1062=1,"",IF(OR(Orders!T1059="Rider unavailable",Orders!T1059="Item unavailable"),"Company-caused","Unresolved"))</f>
        <v/>
      </c>
      <c r="J1062" s="33">
        <f>IF(OR(E1062=1,I1062="Company-caused"),1,0)</f>
        <v>1</v>
      </c>
      <c r="K1062" s="32" t="str">
        <f>IF(E1062=0,IF(I1062="Company-caused",IF(Orders!T1059="Rider unavailable","C1 Rider unavailable","C2 Item unavailable"),"Outside root: unresolved"),IF(G1062=0,"A On time",IF(H1062=1,IF(L1062=1,"B2a Severe, peak","B2b Severe, off-peak"),IF(L1062=1,"B1a Slight, peak","B1b Slight, off-peak"))))</f>
        <v>A On time</v>
      </c>
      <c r="L1062" s="33">
        <f>IF(AND(Orders!U1059&gt;=19,Orders!U1059&lt;22),1,0)</f>
        <v>0</v>
      </c>
      <c r="M1062" s="33">
        <f>IF(L1062=IF(Orders!V1059,1,0),1,0)</f>
        <v>1</v>
      </c>
      <c r="N1062" s="32" t="str">
        <f>IF(Orders!W1059="","None",Orders!W1059)</f>
        <v>None</v>
      </c>
      <c r="O1062" s="35">
        <f>INT(Orders!E1059)</f>
        <v>46272.0</v>
      </c>
      <c r="P1062" s="33">
        <f>Orders!U1059</f>
        <v>22</v>
      </c>
      <c r="Q1062" s="33">
        <f>COUNTIFS(Demand!$A$2:$A$4481,B1062,Demand!$B$2:$B$4481,O1062,Demand!$C$2:$C$4481,P1062)</f>
        <v>1</v>
      </c>
      <c r="R1062" s="33">
        <f>IF(Q1062=1,SUMIFS(Demand!$E$2:$E$4481,Demand!$A$2:$A$4481,B1062,Demand!$B$2:$B$4481,O1062,Demand!$C$2:$C$4481,P1062),"")</f>
        <v>45</v>
      </c>
      <c r="S1062" s="33">
        <f>INDEX(Stores!$G$2:$G$21,MATCH(B1062,Stores!$A$2:$A$21,0))</f>
        <v>49</v>
      </c>
      <c r="T1062" s="34">
        <f>IF(R1062="","",R1062/S1062)</f>
        <v>0.918367346938776</v>
      </c>
      <c r="U1062" s="34">
        <f>IF(E1062=1,T1062,"")</f>
        <v>0.918367346938776</v>
      </c>
      <c r="V1062" s="34">
        <f>IF(AND(E1062=1,L1062=0),T1062,"")</f>
        <v>0.918367346938776</v>
      </c>
      <c r="W1062" s="33">
        <f>IF(U1062="","",IF(U1062&lt;=Breakdowns!$C$5,1,IF(U1062&lt;=Breakdowns!$C$6,2,IF(U1062&lt;=Breakdowns!$C$7,3,4))))</f>
        <v>2</v>
      </c>
      <c r="X1062" s="33">
        <f>IF(V1062="","",IF(V1062&lt;=Breakdowns!$D$5,1,IF(V1062&lt;=Breakdowns!$D$6,2,IF(V1062&lt;=Breakdowns!$D$7,3,4))))</f>
        <v>3</v>
      </c>
      <c r="Y1062" s="34">
        <f>INDEX(Stores!$F$2:$F$21,MATCH(B1062,Stores!$A$2:$A$21,0))</f>
        <v>5.82</v>
      </c>
      <c r="Z1062" s="33">
        <f>IF(Y1062&gt;Store_Summary!$M$2,1,0)</f>
        <v>1</v>
      </c>
      <c r="AA1062" s="33">
        <f>INDEX(Stores!$C$2:$C$21,MATCH(B1062,Stores!$A$2:$A$21,0))</f>
        <v>705</v>
      </c>
      <c r="AB1062" s="33">
        <f>IF(AA1062&lt;180,1,0)</f>
        <v>0</v>
      </c>
      <c r="AC1062" s="32" t="str">
        <f>IF(Orders!D1059="","",INDEX(Riders!$C$2:$C$81,MATCH(Orders!D1059,Riders!$A$2:$A$81,0)))</f>
        <v>EV scooter</v>
      </c>
      <c r="AD1062" s="33">
        <f>IF(Orders!D1059="","",INDEX(Riders!$D$2:$D$81,MATCH(Orders!D1059,Riders!$A$2:$A$81,0)))</f>
        <v>40</v>
      </c>
      <c r="AE1062" s="33">
        <f>IF(Orders!D1059="","",IF(INDEX(Riders!$B$2:$B$81,MATCH(Orders!D1059,Riders!$A$2:$A$81,0))=B1062,1,0))</f>
        <v>0</v>
      </c>
      <c r="AF1062" s="34">
        <f>IF(E1062=1,Orders!L1059,"")</f>
        <v>1.55</v>
      </c>
      <c r="AG1062" s="34">
        <f>IF(E1062=1,Orders!P1059,"")</f>
        <v>7.1</v>
      </c>
      <c r="AH1062" s="34">
        <f>IF(E1062=1,Orders!Q1059,"")</f>
        <v>6.4</v>
      </c>
      <c r="AI1062" s="34">
        <f>IF(E1062=1,Orders!M1059,"")</f>
        <v>2.7</v>
      </c>
      <c r="AJ1062" s="34">
        <f>IF(E1062=1,Orders!N1059,"")</f>
        <v>1.7</v>
      </c>
      <c r="AK1062" s="34">
        <f>IF(E1062=1,Orders!O1059,"")</f>
        <v>2</v>
      </c>
      <c r="AL1062" s="33">
        <f>IF(E1062=1,IF(ROUND(ABS(AI1062+AJ1062+AK1062-AH1062),6)&lt;=0.1,1,0),"")</f>
        <v>1</v>
      </c>
      <c r="AM1062" s="36">
        <f>IF(E1062=1,AI1062/AH1062,"")</f>
        <v>0.421875</v>
      </c>
      <c r="AN1062" s="36">
        <f>IF(E1062=1,AJ1062/AH1062,"")</f>
        <v>0.265625</v>
      </c>
      <c r="AO1062" s="36">
        <f>IF(E1062=1,AK1062/AH1062,"")</f>
        <v>0.3125</v>
      </c>
      <c r="AP1062" s="34">
        <f>IF(E1062=1,Orders!Y1059,"")</f>
        <v>0.46</v>
      </c>
      <c r="AQ1062" s="33">
        <f>IF(Orders!X1059,1,0)</f>
        <v>0</v>
      </c>
      <c r="AR1062" s="34" t="str">
        <f>IF(AND(E1062=1,L1062=1),AJ1062,"")</f>
        <v/>
      </c>
      <c r="AS1062" s="34">
        <f>IF(AND(E1062=1,L1062=0),AJ1062,"")</f>
        <v>1.7</v>
      </c>
      <c r="AT1062" s="34" t="str">
        <f>IF(AND(E1062=1,L1062=1),AI1062,"")</f>
        <v/>
      </c>
      <c r="AU1062" s="34">
        <f>IF(AND(E1062=1,L1062=0),AI1062,"")</f>
        <v>2.7</v>
      </c>
      <c r="AV1062" s="34" t="str">
        <f>IF(AND(E1062=1,L1062=1),AG1062,"")</f>
        <v/>
      </c>
      <c r="AW1062" s="34">
        <f>IF(AND(E1062=1,L1062=0),AG1062,"")</f>
        <v>7.1</v>
      </c>
      <c r="AX1062" s="34" t="str">
        <f>IF(AND(E1062=1,L1062=1),AH1062,"")</f>
        <v/>
      </c>
      <c r="AY1062" s="34">
        <f>IF(AND(E1062=1,L1062=0),AH1062,"")</f>
        <v>6.4</v>
      </c>
      <c r="AZ1062" s="34" t="str">
        <f>IF(G1062=1,F1062,"")</f>
        <v/>
      </c>
      <c r="BA1062" s="34" t="str">
        <f>IF(AND(G1062=1,L1062=1),F1062,"")</f>
        <v/>
      </c>
      <c r="BB1062" s="34" t="str">
        <f>IF(AND(G1062=1,L1062=0),F1062,"")</f>
        <v/>
      </c>
      <c r="BC1062" s="33">
        <f>IF(E1062=1,IF(Orders!R1059&gt;3,1,0),"")</f>
        <v>0</v>
      </c>
      <c r="BD1062" s="33">
        <f>IF(E1062=1,IF(Orders!R1059&gt;7,1,0),"")</f>
        <v>0</v>
      </c>
      <c r="BE1062" s="32" t="str">
        <f>IF(E1062=1,IF(Orders!L1059&lt;=1.5,"Up to 1.5 km",IF(Orders!L1059&lt;=3,"1.5–3 km","Over 3 km")),"")</f>
        <v>1.5–3 km</v>
      </c>
      <c r="BF1062" s="33">
        <f>IF(E1062=1,IF(ABS((Orders!G1059-Orders!F1059)*1440-Orders!R1059)&lt;0.06,1,0),"")</f>
        <v>1</v>
      </c>
      <c r="BG1062" s="33">
        <f>IF(ABS((Orders!F1059-Orders!E1059)*1440-Orders!P1059)&lt;0.06,1,0)</f>
        <v>1</v>
      </c>
      <c r="BH1062" s="33">
        <f>IF(E1062=1,IF(IF(Orders!S1059,1,0)=1-G1062,1,0),"")</f>
        <v>1</v>
      </c>
      <c r="BI1062" s="32" t="str">
        <f>INDEX(Stores!$B$2:$B$21,MATCH(B1062,Stores!$A$2:$A$21,0))</f>
        <v>Mumbai</v>
      </c>
    </row>
    <row r="1063">
      <c r="A1063" s="32" t="str">
        <f>Orders!A1060</f>
        <v>O01059</v>
      </c>
      <c r="B1063" s="32" t="str">
        <f>Orders!C1060</f>
        <v>S015</v>
      </c>
      <c r="C1063" s="32" t="str">
        <f>Orders!B1060</f>
        <v>C0122</v>
      </c>
      <c r="D1063" s="32" t="str">
        <f>Orders!H1060</f>
        <v>Delivered</v>
      </c>
      <c r="E1063" s="33">
        <f>IF(Orders!H1060="Delivered",1,0)</f>
        <v>1</v>
      </c>
      <c r="F1063" s="34">
        <f>IF(E1063=1,Orders!R1060,"")</f>
        <v>2.4</v>
      </c>
      <c r="G1063" s="33">
        <f>IF(E1063=1,IF(Orders!R1060&gt;0,1,0),"")</f>
        <v>1</v>
      </c>
      <c r="H1063" s="33">
        <f>IF(E1063=1,IF(Orders!R1060&gt;5,1,0),"")</f>
        <v>0</v>
      </c>
      <c r="I1063" s="32" t="str">
        <f>IF(E1063=1,"",IF(OR(Orders!T1060="Rider unavailable",Orders!T1060="Item unavailable"),"Company-caused","Unresolved"))</f>
        <v/>
      </c>
      <c r="J1063" s="33">
        <f>IF(OR(E1063=1,I1063="Company-caused"),1,0)</f>
        <v>1</v>
      </c>
      <c r="K1063" s="32" t="str">
        <f>IF(E1063=0,IF(I1063="Company-caused",IF(Orders!T1060="Rider unavailable","C1 Rider unavailable","C2 Item unavailable"),"Outside root: unresolved"),IF(G1063=0,"A On time",IF(H1063=1,IF(L1063=1,"B2a Severe, peak","B2b Severe, off-peak"),IF(L1063=1,"B1a Slight, peak","B1b Slight, off-peak"))))</f>
        <v>B1b Slight, off-peak</v>
      </c>
      <c r="L1063" s="33">
        <f>IF(AND(Orders!U1060&gt;=19,Orders!U1060&lt;22),1,0)</f>
        <v>0</v>
      </c>
      <c r="M1063" s="33">
        <f>IF(L1063=IF(Orders!V1060,1,0),1,0)</f>
        <v>1</v>
      </c>
      <c r="N1063" s="32" t="str">
        <f>IF(Orders!W1060="","None",Orders!W1060)</f>
        <v>None</v>
      </c>
      <c r="O1063" s="35">
        <f>INT(Orders!E1060)</f>
        <v>46269.0</v>
      </c>
      <c r="P1063" s="33">
        <f>Orders!U1060</f>
        <v>8</v>
      </c>
      <c r="Q1063" s="33">
        <f>COUNTIFS(Demand!$A$2:$A$4481,B1063,Demand!$B$2:$B$4481,O1063,Demand!$C$2:$C$4481,P1063)</f>
        <v>1</v>
      </c>
      <c r="R1063" s="33">
        <f>IF(Q1063=1,SUMIFS(Demand!$E$2:$E$4481,Demand!$A$2:$A$4481,B1063,Demand!$B$2:$B$4481,O1063,Demand!$C$2:$C$4481,P1063),"")</f>
        <v>14</v>
      </c>
      <c r="S1063" s="33">
        <f>INDEX(Stores!$G$2:$G$21,MATCH(B1063,Stores!$A$2:$A$21,0))</f>
        <v>23</v>
      </c>
      <c r="T1063" s="34">
        <f>IF(R1063="","",R1063/S1063)</f>
        <v>0.608695652173913</v>
      </c>
      <c r="U1063" s="34">
        <f>IF(E1063=1,T1063,"")</f>
        <v>0.608695652173913</v>
      </c>
      <c r="V1063" s="34">
        <f>IF(AND(E1063=1,L1063=0),T1063,"")</f>
        <v>0.608695652173913</v>
      </c>
      <c r="W1063" s="33">
        <f>IF(U1063="","",IF(U1063&lt;=Breakdowns!$C$5,1,IF(U1063&lt;=Breakdowns!$C$6,2,IF(U1063&lt;=Breakdowns!$C$7,3,4))))</f>
        <v>1</v>
      </c>
      <c r="X1063" s="33">
        <f>IF(V1063="","",IF(V1063&lt;=Breakdowns!$D$5,1,IF(V1063&lt;=Breakdowns!$D$6,2,IF(V1063&lt;=Breakdowns!$D$7,3,4))))</f>
        <v>1</v>
      </c>
      <c r="Y1063" s="34">
        <f>INDEX(Stores!$F$2:$F$21,MATCH(B1063,Stores!$A$2:$A$21,0))</f>
        <v>4.66</v>
      </c>
      <c r="Z1063" s="33">
        <f>IF(Y1063&gt;Store_Summary!$M$2,1,0)</f>
        <v>0</v>
      </c>
      <c r="AA1063" s="33">
        <f>INDEX(Stores!$C$2:$C$21,MATCH(B1063,Stores!$A$2:$A$21,0))</f>
        <v>204</v>
      </c>
      <c r="AB1063" s="33">
        <f>IF(AA1063&lt;180,1,0)</f>
        <v>0</v>
      </c>
      <c r="AC1063" s="32" t="str">
        <f>IF(Orders!D1060="","",INDEX(Riders!$C$2:$C$81,MATCH(Orders!D1060,Riders!$A$2:$A$81,0)))</f>
        <v>EV scooter</v>
      </c>
      <c r="AD1063" s="33">
        <f>IF(Orders!D1060="","",INDEX(Riders!$D$2:$D$81,MATCH(Orders!D1060,Riders!$A$2:$A$81,0)))</f>
        <v>11</v>
      </c>
      <c r="AE1063" s="33">
        <f>IF(Orders!D1060="","",IF(INDEX(Riders!$B$2:$B$81,MATCH(Orders!D1060,Riders!$A$2:$A$81,0))=B1063,1,0))</f>
        <v>1</v>
      </c>
      <c r="AF1063" s="34">
        <f>IF(E1063=1,Orders!L1060,"")</f>
        <v>0.55</v>
      </c>
      <c r="AG1063" s="34">
        <f>IF(E1063=1,Orders!P1060,"")</f>
        <v>9.9</v>
      </c>
      <c r="AH1063" s="34">
        <f>IF(E1063=1,Orders!Q1060,"")</f>
        <v>12.3</v>
      </c>
      <c r="AI1063" s="34">
        <f>IF(E1063=1,Orders!M1060,"")</f>
        <v>4.3</v>
      </c>
      <c r="AJ1063" s="34">
        <f>IF(E1063=1,Orders!N1060,"")</f>
        <v>6</v>
      </c>
      <c r="AK1063" s="34">
        <f>IF(E1063=1,Orders!O1060,"")</f>
        <v>2</v>
      </c>
      <c r="AL1063" s="33">
        <f>IF(E1063=1,IF(ROUND(ABS(AI1063+AJ1063+AK1063-AH1063),6)&lt;=0.1,1,0),"")</f>
        <v>1</v>
      </c>
      <c r="AM1063" s="36">
        <f>IF(E1063=1,AI1063/AH1063,"")</f>
        <v>0.349593495934959</v>
      </c>
      <c r="AN1063" s="36">
        <f>IF(E1063=1,AJ1063/AH1063,"")</f>
        <v>0.487804878048781</v>
      </c>
      <c r="AO1063" s="36">
        <f>IF(E1063=1,AK1063/AH1063,"")</f>
        <v>0.16260162601626</v>
      </c>
      <c r="AP1063" s="34">
        <f>IF(E1063=1,Orders!Y1060,"")</f>
        <v>0.28</v>
      </c>
      <c r="AQ1063" s="33">
        <f>IF(Orders!X1060,1,0)</f>
        <v>0</v>
      </c>
      <c r="AR1063" s="34" t="str">
        <f>IF(AND(E1063=1,L1063=1),AJ1063,"")</f>
        <v/>
      </c>
      <c r="AS1063" s="34">
        <f>IF(AND(E1063=1,L1063=0),AJ1063,"")</f>
        <v>6</v>
      </c>
      <c r="AT1063" s="34" t="str">
        <f>IF(AND(E1063=1,L1063=1),AI1063,"")</f>
        <v/>
      </c>
      <c r="AU1063" s="34">
        <f>IF(AND(E1063=1,L1063=0),AI1063,"")</f>
        <v>4.3</v>
      </c>
      <c r="AV1063" s="34" t="str">
        <f>IF(AND(E1063=1,L1063=1),AG1063,"")</f>
        <v/>
      </c>
      <c r="AW1063" s="34">
        <f>IF(AND(E1063=1,L1063=0),AG1063,"")</f>
        <v>9.9</v>
      </c>
      <c r="AX1063" s="34" t="str">
        <f>IF(AND(E1063=1,L1063=1),AH1063,"")</f>
        <v/>
      </c>
      <c r="AY1063" s="34">
        <f>IF(AND(E1063=1,L1063=0),AH1063,"")</f>
        <v>12.3</v>
      </c>
      <c r="AZ1063" s="34">
        <f>IF(G1063=1,F1063,"")</f>
        <v>2.4</v>
      </c>
      <c r="BA1063" s="34" t="str">
        <f>IF(AND(G1063=1,L1063=1),F1063,"")</f>
        <v/>
      </c>
      <c r="BB1063" s="34">
        <f>IF(AND(G1063=1,L1063=0),F1063,"")</f>
        <v>2.4</v>
      </c>
      <c r="BC1063" s="33">
        <f>IF(E1063=1,IF(Orders!R1060&gt;3,1,0),"")</f>
        <v>0</v>
      </c>
      <c r="BD1063" s="33">
        <f>IF(E1063=1,IF(Orders!R1060&gt;7,1,0),"")</f>
        <v>0</v>
      </c>
      <c r="BE1063" s="32" t="str">
        <f>IF(E1063=1,IF(Orders!L1060&lt;=1.5,"Up to 1.5 km",IF(Orders!L1060&lt;=3,"1.5–3 km","Over 3 km")),"")</f>
        <v>Up to 1.5 km</v>
      </c>
      <c r="BF1063" s="33">
        <f>IF(E1063=1,IF(ABS((Orders!G1060-Orders!F1060)*1440-Orders!R1060)&lt;0.06,1,0),"")</f>
        <v>1</v>
      </c>
      <c r="BG1063" s="33">
        <f>IF(ABS((Orders!F1060-Orders!E1060)*1440-Orders!P1060)&lt;0.06,1,0)</f>
        <v>1</v>
      </c>
      <c r="BH1063" s="33">
        <f>IF(E1063=1,IF(IF(Orders!S1060,1,0)=1-G1063,1,0),"")</f>
        <v>1</v>
      </c>
      <c r="BI1063" s="32" t="str">
        <f>INDEX(Stores!$B$2:$B$21,MATCH(B1063,Stores!$A$2:$A$21,0))</f>
        <v>Delhi</v>
      </c>
    </row>
    <row r="1064">
      <c r="A1064" s="32" t="str">
        <f>Orders!A1061</f>
        <v>O01060</v>
      </c>
      <c r="B1064" s="32" t="str">
        <f>Orders!C1061</f>
        <v>S012</v>
      </c>
      <c r="C1064" s="32" t="str">
        <f>Orders!B1061</f>
        <v>C0157</v>
      </c>
      <c r="D1064" s="32" t="str">
        <f>Orders!H1061</f>
        <v>Delivered</v>
      </c>
      <c r="E1064" s="33">
        <f>IF(Orders!H1061="Delivered",1,0)</f>
        <v>1</v>
      </c>
      <c r="F1064" s="34">
        <f>IF(E1064=1,Orders!R1061,"")</f>
        <v>-1.1</v>
      </c>
      <c r="G1064" s="33">
        <f>IF(E1064=1,IF(Orders!R1061&gt;0,1,0),"")</f>
        <v>0</v>
      </c>
      <c r="H1064" s="33">
        <f>IF(E1064=1,IF(Orders!R1061&gt;5,1,0),"")</f>
        <v>0</v>
      </c>
      <c r="I1064" s="32" t="str">
        <f>IF(E1064=1,"",IF(OR(Orders!T1061="Rider unavailable",Orders!T1061="Item unavailable"),"Company-caused","Unresolved"))</f>
        <v/>
      </c>
      <c r="J1064" s="33">
        <f>IF(OR(E1064=1,I1064="Company-caused"),1,0)</f>
        <v>1</v>
      </c>
      <c r="K1064" s="32" t="str">
        <f>IF(E1064=0,IF(I1064="Company-caused",IF(Orders!T1061="Rider unavailable","C1 Rider unavailable","C2 Item unavailable"),"Outside root: unresolved"),IF(G1064=0,"A On time",IF(H1064=1,IF(L1064=1,"B2a Severe, peak","B2b Severe, off-peak"),IF(L1064=1,"B1a Slight, peak","B1b Slight, off-peak"))))</f>
        <v>A On time</v>
      </c>
      <c r="L1064" s="33">
        <f>IF(AND(Orders!U1061&gt;=19,Orders!U1061&lt;22),1,0)</f>
        <v>0</v>
      </c>
      <c r="M1064" s="33">
        <f>IF(L1064=IF(Orders!V1061,1,0),1,0)</f>
        <v>1</v>
      </c>
      <c r="N1064" s="32" t="str">
        <f>IF(Orders!W1061="","None",Orders!W1061)</f>
        <v>None</v>
      </c>
      <c r="O1064" s="35">
        <f>INT(Orders!E1061)</f>
        <v>46272.0</v>
      </c>
      <c r="P1064" s="33">
        <f>Orders!U1061</f>
        <v>13</v>
      </c>
      <c r="Q1064" s="33">
        <f>COUNTIFS(Demand!$A$2:$A$4481,B1064,Demand!$B$2:$B$4481,O1064,Demand!$C$2:$C$4481,P1064)</f>
        <v>1</v>
      </c>
      <c r="R1064" s="33">
        <f>IF(Q1064=1,SUMIFS(Demand!$E$2:$E$4481,Demand!$A$2:$A$4481,B1064,Demand!$B$2:$B$4481,O1064,Demand!$C$2:$C$4481,P1064),"")</f>
        <v>18</v>
      </c>
      <c r="S1064" s="33">
        <f>INDEX(Stores!$G$2:$G$21,MATCH(B1064,Stores!$A$2:$A$21,0))</f>
        <v>15</v>
      </c>
      <c r="T1064" s="34">
        <f>IF(R1064="","",R1064/S1064)</f>
        <v>1.2</v>
      </c>
      <c r="U1064" s="34">
        <f>IF(E1064=1,T1064,"")</f>
        <v>1.2</v>
      </c>
      <c r="V1064" s="34">
        <f>IF(AND(E1064=1,L1064=0),T1064,"")</f>
        <v>1.2</v>
      </c>
      <c r="W1064" s="33">
        <f>IF(U1064="","",IF(U1064&lt;=Breakdowns!$C$5,1,IF(U1064&lt;=Breakdowns!$C$6,2,IF(U1064&lt;=Breakdowns!$C$7,3,4))))</f>
        <v>3</v>
      </c>
      <c r="X1064" s="33">
        <f>IF(V1064="","",IF(V1064&lt;=Breakdowns!$D$5,1,IF(V1064&lt;=Breakdowns!$D$6,2,IF(V1064&lt;=Breakdowns!$D$7,3,4))))</f>
        <v>4</v>
      </c>
      <c r="Y1064" s="34">
        <f>INDEX(Stores!$F$2:$F$21,MATCH(B1064,Stores!$A$2:$A$21,0))</f>
        <v>5.23</v>
      </c>
      <c r="Z1064" s="33">
        <f>IF(Y1064&gt;Store_Summary!$M$2,1,0)</f>
        <v>1</v>
      </c>
      <c r="AA1064" s="33">
        <f>INDEX(Stores!$C$2:$C$21,MATCH(B1064,Stores!$A$2:$A$21,0))</f>
        <v>300</v>
      </c>
      <c r="AB1064" s="33">
        <f>IF(AA1064&lt;180,1,0)</f>
        <v>0</v>
      </c>
      <c r="AC1064" s="32" t="str">
        <f>IF(Orders!D1061="","",INDEX(Riders!$C$2:$C$81,MATCH(Orders!D1061,Riders!$A$2:$A$81,0)))</f>
        <v>EV scooter</v>
      </c>
      <c r="AD1064" s="33">
        <f>IF(Orders!D1061="","",INDEX(Riders!$D$2:$D$81,MATCH(Orders!D1061,Riders!$A$2:$A$81,0)))</f>
        <v>46</v>
      </c>
      <c r="AE1064" s="33">
        <f>IF(Orders!D1061="","",IF(INDEX(Riders!$B$2:$B$81,MATCH(Orders!D1061,Riders!$A$2:$A$81,0))=B1064,1,0))</f>
        <v>0</v>
      </c>
      <c r="AF1064" s="34">
        <f>IF(E1064=1,Orders!L1061,"")</f>
        <v>2.28</v>
      </c>
      <c r="AG1064" s="34">
        <f>IF(E1064=1,Orders!P1061,"")</f>
        <v>9.5</v>
      </c>
      <c r="AH1064" s="34">
        <f>IF(E1064=1,Orders!Q1061,"")</f>
        <v>8.4</v>
      </c>
      <c r="AI1064" s="34">
        <f>IF(E1064=1,Orders!M1061,"")</f>
        <v>3.4</v>
      </c>
      <c r="AJ1064" s="34">
        <f>IF(E1064=1,Orders!N1061,"")</f>
        <v>1.3</v>
      </c>
      <c r="AK1064" s="34">
        <f>IF(E1064=1,Orders!O1061,"")</f>
        <v>3.7</v>
      </c>
      <c r="AL1064" s="33">
        <f>IF(E1064=1,IF(ROUND(ABS(AI1064+AJ1064+AK1064-AH1064),6)&lt;=0.1,1,0),"")</f>
        <v>1</v>
      </c>
      <c r="AM1064" s="36">
        <f>IF(E1064=1,AI1064/AH1064,"")</f>
        <v>0.404761904761905</v>
      </c>
      <c r="AN1064" s="36">
        <f>IF(E1064=1,AJ1064/AH1064,"")</f>
        <v>0.154761904761905</v>
      </c>
      <c r="AO1064" s="36">
        <f>IF(E1064=1,AK1064/AH1064,"")</f>
        <v>0.44047619047619</v>
      </c>
      <c r="AP1064" s="34">
        <f>IF(E1064=1,Orders!Y1061,"")</f>
        <v>0.5</v>
      </c>
      <c r="AQ1064" s="33">
        <f>IF(Orders!X1061,1,0)</f>
        <v>0</v>
      </c>
      <c r="AR1064" s="34" t="str">
        <f>IF(AND(E1064=1,L1064=1),AJ1064,"")</f>
        <v/>
      </c>
      <c r="AS1064" s="34">
        <f>IF(AND(E1064=1,L1064=0),AJ1064,"")</f>
        <v>1.3</v>
      </c>
      <c r="AT1064" s="34" t="str">
        <f>IF(AND(E1064=1,L1064=1),AI1064,"")</f>
        <v/>
      </c>
      <c r="AU1064" s="34">
        <f>IF(AND(E1064=1,L1064=0),AI1064,"")</f>
        <v>3.4</v>
      </c>
      <c r="AV1064" s="34" t="str">
        <f>IF(AND(E1064=1,L1064=1),AG1064,"")</f>
        <v/>
      </c>
      <c r="AW1064" s="34">
        <f>IF(AND(E1064=1,L1064=0),AG1064,"")</f>
        <v>9.5</v>
      </c>
      <c r="AX1064" s="34" t="str">
        <f>IF(AND(E1064=1,L1064=1),AH1064,"")</f>
        <v/>
      </c>
      <c r="AY1064" s="34">
        <f>IF(AND(E1064=1,L1064=0),AH1064,"")</f>
        <v>8.4</v>
      </c>
      <c r="AZ1064" s="34" t="str">
        <f>IF(G1064=1,F1064,"")</f>
        <v/>
      </c>
      <c r="BA1064" s="34" t="str">
        <f>IF(AND(G1064=1,L1064=1),F1064,"")</f>
        <v/>
      </c>
      <c r="BB1064" s="34" t="str">
        <f>IF(AND(G1064=1,L1064=0),F1064,"")</f>
        <v/>
      </c>
      <c r="BC1064" s="33">
        <f>IF(E1064=1,IF(Orders!R1061&gt;3,1,0),"")</f>
        <v>0</v>
      </c>
      <c r="BD1064" s="33">
        <f>IF(E1064=1,IF(Orders!R1061&gt;7,1,0),"")</f>
        <v>0</v>
      </c>
      <c r="BE1064" s="32" t="str">
        <f>IF(E1064=1,IF(Orders!L1061&lt;=1.5,"Up to 1.5 km",IF(Orders!L1061&lt;=3,"1.5–3 km","Over 3 km")),"")</f>
        <v>1.5–3 km</v>
      </c>
      <c r="BF1064" s="33">
        <f>IF(E1064=1,IF(ABS((Orders!G1061-Orders!F1061)*1440-Orders!R1061)&lt;0.06,1,0),"")</f>
        <v>1</v>
      </c>
      <c r="BG1064" s="33">
        <f>IF(ABS((Orders!F1061-Orders!E1061)*1440-Orders!P1061)&lt;0.06,1,0)</f>
        <v>1</v>
      </c>
      <c r="BH1064" s="33">
        <f>IF(E1064=1,IF(IF(Orders!S1061,1,0)=1-G1064,1,0),"")</f>
        <v>1</v>
      </c>
      <c r="BI1064" s="32" t="str">
        <f>INDEX(Stores!$B$2:$B$21,MATCH(B1064,Stores!$A$2:$A$21,0))</f>
        <v>Hyderabad</v>
      </c>
    </row>
    <row r="1065">
      <c r="A1065" s="32" t="str">
        <f>Orders!A1062</f>
        <v>O01061</v>
      </c>
      <c r="B1065" s="32" t="str">
        <f>Orders!C1062</f>
        <v>S006</v>
      </c>
      <c r="C1065" s="32" t="str">
        <f>Orders!B1062</f>
        <v>C0196</v>
      </c>
      <c r="D1065" s="32" t="str">
        <f>Orders!H1062</f>
        <v>Delivered</v>
      </c>
      <c r="E1065" s="33">
        <f>IF(Orders!H1062="Delivered",1,0)</f>
        <v>1</v>
      </c>
      <c r="F1065" s="34">
        <f>IF(E1065=1,Orders!R1062,"")</f>
        <v>4.4</v>
      </c>
      <c r="G1065" s="33">
        <f>IF(E1065=1,IF(Orders!R1062&gt;0,1,0),"")</f>
        <v>1</v>
      </c>
      <c r="H1065" s="33">
        <f>IF(E1065=1,IF(Orders!R1062&gt;5,1,0),"")</f>
        <v>0</v>
      </c>
      <c r="I1065" s="32" t="str">
        <f>IF(E1065=1,"",IF(OR(Orders!T1062="Rider unavailable",Orders!T1062="Item unavailable"),"Company-caused","Unresolved"))</f>
        <v/>
      </c>
      <c r="J1065" s="33">
        <f>IF(OR(E1065=1,I1065="Company-caused"),1,0)</f>
        <v>1</v>
      </c>
      <c r="K1065" s="32" t="str">
        <f>IF(E1065=0,IF(I1065="Company-caused",IF(Orders!T1062="Rider unavailable","C1 Rider unavailable","C2 Item unavailable"),"Outside root: unresolved"),IF(G1065=0,"A On time",IF(H1065=1,IF(L1065=1,"B2a Severe, peak","B2b Severe, off-peak"),IF(L1065=1,"B1a Slight, peak","B1b Slight, off-peak"))))</f>
        <v>B1b Slight, off-peak</v>
      </c>
      <c r="L1065" s="33">
        <f>IF(AND(Orders!U1062&gt;=19,Orders!U1062&lt;22),1,0)</f>
        <v>0</v>
      </c>
      <c r="M1065" s="33">
        <f>IF(L1065=IF(Orders!V1062,1,0),1,0)</f>
        <v>1</v>
      </c>
      <c r="N1065" s="32" t="str">
        <f>IF(Orders!W1062="","None",Orders!W1062)</f>
        <v>None</v>
      </c>
      <c r="O1065" s="35">
        <f>INT(Orders!E1062)</f>
        <v>46266.0</v>
      </c>
      <c r="P1065" s="33">
        <f>Orders!U1062</f>
        <v>14</v>
      </c>
      <c r="Q1065" s="33">
        <f>COUNTIFS(Demand!$A$2:$A$4481,B1065,Demand!$B$2:$B$4481,O1065,Demand!$C$2:$C$4481,P1065)</f>
        <v>1</v>
      </c>
      <c r="R1065" s="33">
        <f>IF(Q1065=1,SUMIFS(Demand!$E$2:$E$4481,Demand!$A$2:$A$4481,B1065,Demand!$B$2:$B$4481,O1065,Demand!$C$2:$C$4481,P1065),"")</f>
        <v>21</v>
      </c>
      <c r="S1065" s="33">
        <f>INDEX(Stores!$G$2:$G$21,MATCH(B1065,Stores!$A$2:$A$21,0))</f>
        <v>26</v>
      </c>
      <c r="T1065" s="34">
        <f>IF(R1065="","",R1065/S1065)</f>
        <v>0.807692307692308</v>
      </c>
      <c r="U1065" s="34">
        <f>IF(E1065=1,T1065,"")</f>
        <v>0.807692307692308</v>
      </c>
      <c r="V1065" s="34">
        <f>IF(AND(E1065=1,L1065=0),T1065,"")</f>
        <v>0.807692307692308</v>
      </c>
      <c r="W1065" s="33">
        <f>IF(U1065="","",IF(U1065&lt;=Breakdowns!$C$5,1,IF(U1065&lt;=Breakdowns!$C$6,2,IF(U1065&lt;=Breakdowns!$C$7,3,4))))</f>
        <v>2</v>
      </c>
      <c r="X1065" s="33">
        <f>IF(V1065="","",IF(V1065&lt;=Breakdowns!$D$5,1,IF(V1065&lt;=Breakdowns!$D$6,2,IF(V1065&lt;=Breakdowns!$D$7,3,4))))</f>
        <v>2</v>
      </c>
      <c r="Y1065" s="34">
        <f>INDEX(Stores!$F$2:$F$21,MATCH(B1065,Stores!$A$2:$A$21,0))</f>
        <v>5.22</v>
      </c>
      <c r="Z1065" s="33">
        <f>IF(Y1065&gt;Store_Summary!$M$2,1,0)</f>
        <v>1</v>
      </c>
      <c r="AA1065" s="33">
        <f>INDEX(Stores!$C$2:$C$21,MATCH(B1065,Stores!$A$2:$A$21,0))</f>
        <v>412</v>
      </c>
      <c r="AB1065" s="33">
        <f>IF(AA1065&lt;180,1,0)</f>
        <v>0</v>
      </c>
      <c r="AC1065" s="32" t="str">
        <f>IF(Orders!D1062="","",INDEX(Riders!$C$2:$C$81,MATCH(Orders!D1062,Riders!$A$2:$A$81,0)))</f>
        <v>EV scooter</v>
      </c>
      <c r="AD1065" s="33">
        <f>IF(Orders!D1062="","",INDEX(Riders!$D$2:$D$81,MATCH(Orders!D1062,Riders!$A$2:$A$81,0)))</f>
        <v>32</v>
      </c>
      <c r="AE1065" s="33">
        <f>IF(Orders!D1062="","",IF(INDEX(Riders!$B$2:$B$81,MATCH(Orders!D1062,Riders!$A$2:$A$81,0))=B1065,1,0))</f>
        <v>0</v>
      </c>
      <c r="AF1065" s="34">
        <f>IF(E1065=1,Orders!L1062,"")</f>
        <v>0.84</v>
      </c>
      <c r="AG1065" s="34">
        <f>IF(E1065=1,Orders!P1062,"")</f>
        <v>8.6</v>
      </c>
      <c r="AH1065" s="34">
        <f>IF(E1065=1,Orders!Q1062,"")</f>
        <v>13</v>
      </c>
      <c r="AI1065" s="34">
        <f>IF(E1065=1,Orders!M1062,"")</f>
        <v>6.7</v>
      </c>
      <c r="AJ1065" s="34">
        <f>IF(E1065=1,Orders!N1062,"")</f>
        <v>3.8</v>
      </c>
      <c r="AK1065" s="34">
        <f>IF(E1065=1,Orders!O1062,"")</f>
        <v>2.5</v>
      </c>
      <c r="AL1065" s="33">
        <f>IF(E1065=1,IF(ROUND(ABS(AI1065+AJ1065+AK1065-AH1065),6)&lt;=0.1,1,0),"")</f>
        <v>1</v>
      </c>
      <c r="AM1065" s="36">
        <f>IF(E1065=1,AI1065/AH1065,"")</f>
        <v>0.515384615384615</v>
      </c>
      <c r="AN1065" s="36">
        <f>IF(E1065=1,AJ1065/AH1065,"")</f>
        <v>0.292307692307692</v>
      </c>
      <c r="AO1065" s="36">
        <f>IF(E1065=1,AK1065/AH1065,"")</f>
        <v>0.192307692307692</v>
      </c>
      <c r="AP1065" s="34">
        <f>IF(E1065=1,Orders!Y1062,"")</f>
        <v>0.22</v>
      </c>
      <c r="AQ1065" s="33">
        <f>IF(Orders!X1062,1,0)</f>
        <v>0</v>
      </c>
      <c r="AR1065" s="34" t="str">
        <f>IF(AND(E1065=1,L1065=1),AJ1065,"")</f>
        <v/>
      </c>
      <c r="AS1065" s="34">
        <f>IF(AND(E1065=1,L1065=0),AJ1065,"")</f>
        <v>3.8</v>
      </c>
      <c r="AT1065" s="34" t="str">
        <f>IF(AND(E1065=1,L1065=1),AI1065,"")</f>
        <v/>
      </c>
      <c r="AU1065" s="34">
        <f>IF(AND(E1065=1,L1065=0),AI1065,"")</f>
        <v>6.7</v>
      </c>
      <c r="AV1065" s="34" t="str">
        <f>IF(AND(E1065=1,L1065=1),AG1065,"")</f>
        <v/>
      </c>
      <c r="AW1065" s="34">
        <f>IF(AND(E1065=1,L1065=0),AG1065,"")</f>
        <v>8.6</v>
      </c>
      <c r="AX1065" s="34" t="str">
        <f>IF(AND(E1065=1,L1065=1),AH1065,"")</f>
        <v/>
      </c>
      <c r="AY1065" s="34">
        <f>IF(AND(E1065=1,L1065=0),AH1065,"")</f>
        <v>13</v>
      </c>
      <c r="AZ1065" s="34">
        <f>IF(G1065=1,F1065,"")</f>
        <v>4.4</v>
      </c>
      <c r="BA1065" s="34" t="str">
        <f>IF(AND(G1065=1,L1065=1),F1065,"")</f>
        <v/>
      </c>
      <c r="BB1065" s="34">
        <f>IF(AND(G1065=1,L1065=0),F1065,"")</f>
        <v>4.4</v>
      </c>
      <c r="BC1065" s="33">
        <f>IF(E1065=1,IF(Orders!R1062&gt;3,1,0),"")</f>
        <v>1</v>
      </c>
      <c r="BD1065" s="33">
        <f>IF(E1065=1,IF(Orders!R1062&gt;7,1,0),"")</f>
        <v>0</v>
      </c>
      <c r="BE1065" s="32" t="str">
        <f>IF(E1065=1,IF(Orders!L1062&lt;=1.5,"Up to 1.5 km",IF(Orders!L1062&lt;=3,"1.5–3 km","Over 3 km")),"")</f>
        <v>Up to 1.5 km</v>
      </c>
      <c r="BF1065" s="33">
        <f>IF(E1065=1,IF(ABS((Orders!G1062-Orders!F1062)*1440-Orders!R1062)&lt;0.06,1,0),"")</f>
        <v>1</v>
      </c>
      <c r="BG1065" s="33">
        <f>IF(ABS((Orders!F1062-Orders!E1062)*1440-Orders!P1062)&lt;0.06,1,0)</f>
        <v>1</v>
      </c>
      <c r="BH1065" s="33">
        <f>IF(E1065=1,IF(IF(Orders!S1062,1,0)=1-G1065,1,0),"")</f>
        <v>1</v>
      </c>
      <c r="BI1065" s="32" t="str">
        <f>INDEX(Stores!$B$2:$B$21,MATCH(B1065,Stores!$A$2:$A$21,0))</f>
        <v>Bengaluru</v>
      </c>
    </row>
    <row r="1066">
      <c r="A1066" s="32" t="str">
        <f>Orders!A1063</f>
        <v>O01062</v>
      </c>
      <c r="B1066" s="32" t="str">
        <f>Orders!C1063</f>
        <v>S009</v>
      </c>
      <c r="C1066" s="32" t="str">
        <f>Orders!B1063</f>
        <v>C0232</v>
      </c>
      <c r="D1066" s="32" t="str">
        <f>Orders!H1063</f>
        <v>Delivered</v>
      </c>
      <c r="E1066" s="33">
        <f>IF(Orders!H1063="Delivered",1,0)</f>
        <v>1</v>
      </c>
      <c r="F1066" s="34">
        <f>IF(E1066=1,Orders!R1063,"")</f>
        <v>-3.7</v>
      </c>
      <c r="G1066" s="33">
        <f>IF(E1066=1,IF(Orders!R1063&gt;0,1,0),"")</f>
        <v>0</v>
      </c>
      <c r="H1066" s="33">
        <f>IF(E1066=1,IF(Orders!R1063&gt;5,1,0),"")</f>
        <v>0</v>
      </c>
      <c r="I1066" s="32" t="str">
        <f>IF(E1066=1,"",IF(OR(Orders!T1063="Rider unavailable",Orders!T1063="Item unavailable"),"Company-caused","Unresolved"))</f>
        <v/>
      </c>
      <c r="J1066" s="33">
        <f>IF(OR(E1066=1,I1066="Company-caused"),1,0)</f>
        <v>1</v>
      </c>
      <c r="K1066" s="32" t="str">
        <f>IF(E1066=0,IF(I1066="Company-caused",IF(Orders!T1063="Rider unavailable","C1 Rider unavailable","C2 Item unavailable"),"Outside root: unresolved"),IF(G1066=0,"A On time",IF(H1066=1,IF(L1066=1,"B2a Severe, peak","B2b Severe, off-peak"),IF(L1066=1,"B1a Slight, peak","B1b Slight, off-peak"))))</f>
        <v>A On time</v>
      </c>
      <c r="L1066" s="33">
        <f>IF(AND(Orders!U1063&gt;=19,Orders!U1063&lt;22),1,0)</f>
        <v>0</v>
      </c>
      <c r="M1066" s="33">
        <f>IF(L1066=IF(Orders!V1063,1,0),1,0)</f>
        <v>1</v>
      </c>
      <c r="N1066" s="32" t="str">
        <f>IF(Orders!W1063="","None",Orders!W1063)</f>
        <v>Light</v>
      </c>
      <c r="O1066" s="35">
        <f>INT(Orders!E1063)</f>
        <v>46269.0</v>
      </c>
      <c r="P1066" s="33">
        <f>Orders!U1063</f>
        <v>13</v>
      </c>
      <c r="Q1066" s="33">
        <f>COUNTIFS(Demand!$A$2:$A$4481,B1066,Demand!$B$2:$B$4481,O1066,Demand!$C$2:$C$4481,P1066)</f>
        <v>1</v>
      </c>
      <c r="R1066" s="33">
        <f>IF(Q1066=1,SUMIFS(Demand!$E$2:$E$4481,Demand!$A$2:$A$4481,B1066,Demand!$B$2:$B$4481,O1066,Demand!$C$2:$C$4481,P1066),"")</f>
        <v>25</v>
      </c>
      <c r="S1066" s="33">
        <f>INDEX(Stores!$G$2:$G$21,MATCH(B1066,Stores!$A$2:$A$21,0))</f>
        <v>29</v>
      </c>
      <c r="T1066" s="34">
        <f>IF(R1066="","",R1066/S1066)</f>
        <v>0.862068965517241</v>
      </c>
      <c r="U1066" s="34">
        <f>IF(E1066=1,T1066,"")</f>
        <v>0.862068965517241</v>
      </c>
      <c r="V1066" s="34">
        <f>IF(AND(E1066=1,L1066=0),T1066,"")</f>
        <v>0.862068965517241</v>
      </c>
      <c r="W1066" s="33">
        <f>IF(U1066="","",IF(U1066&lt;=Breakdowns!$C$5,1,IF(U1066&lt;=Breakdowns!$C$6,2,IF(U1066&lt;=Breakdowns!$C$7,3,4))))</f>
        <v>2</v>
      </c>
      <c r="X1066" s="33">
        <f>IF(V1066="","",IF(V1066&lt;=Breakdowns!$D$5,1,IF(V1066&lt;=Breakdowns!$D$6,2,IF(V1066&lt;=Breakdowns!$D$7,3,4))))</f>
        <v>2</v>
      </c>
      <c r="Y1066" s="34">
        <f>INDEX(Stores!$F$2:$F$21,MATCH(B1066,Stores!$A$2:$A$21,0))</f>
        <v>2.66</v>
      </c>
      <c r="Z1066" s="33">
        <f>IF(Y1066&gt;Store_Summary!$M$2,1,0)</f>
        <v>0</v>
      </c>
      <c r="AA1066" s="33">
        <f>INDEX(Stores!$C$2:$C$21,MATCH(B1066,Stores!$A$2:$A$21,0))</f>
        <v>645</v>
      </c>
      <c r="AB1066" s="33">
        <f>IF(AA1066&lt;180,1,0)</f>
        <v>0</v>
      </c>
      <c r="AC1066" s="32" t="str">
        <f>IF(Orders!D1063="","",INDEX(Riders!$C$2:$C$81,MATCH(Orders!D1063,Riders!$A$2:$A$81,0)))</f>
        <v>Petrol scooter</v>
      </c>
      <c r="AD1066" s="33">
        <f>IF(Orders!D1063="","",INDEX(Riders!$D$2:$D$81,MATCH(Orders!D1063,Riders!$A$2:$A$81,0)))</f>
        <v>1</v>
      </c>
      <c r="AE1066" s="33">
        <f>IF(Orders!D1063="","",IF(INDEX(Riders!$B$2:$B$81,MATCH(Orders!D1063,Riders!$A$2:$A$81,0))=B1066,1,0))</f>
        <v>0</v>
      </c>
      <c r="AF1066" s="34">
        <f>IF(E1066=1,Orders!L1063,"")</f>
        <v>0.5</v>
      </c>
      <c r="AG1066" s="34">
        <f>IF(E1066=1,Orders!P1063,"")</f>
        <v>11.1</v>
      </c>
      <c r="AH1066" s="34">
        <f>IF(E1066=1,Orders!Q1063,"")</f>
        <v>7.4</v>
      </c>
      <c r="AI1066" s="34">
        <f>IF(E1066=1,Orders!M1063,"")</f>
        <v>1.6</v>
      </c>
      <c r="AJ1066" s="34">
        <f>IF(E1066=1,Orders!N1063,"")</f>
        <v>2</v>
      </c>
      <c r="AK1066" s="34">
        <f>IF(E1066=1,Orders!O1063,"")</f>
        <v>3.8</v>
      </c>
      <c r="AL1066" s="33">
        <f>IF(E1066=1,IF(ROUND(ABS(AI1066+AJ1066+AK1066-AH1066),6)&lt;=0.1,1,0),"")</f>
        <v>1</v>
      </c>
      <c r="AM1066" s="36">
        <f>IF(E1066=1,AI1066/AH1066,"")</f>
        <v>0.216216216216216</v>
      </c>
      <c r="AN1066" s="36">
        <f>IF(E1066=1,AJ1066/AH1066,"")</f>
        <v>0.27027027027027</v>
      </c>
      <c r="AO1066" s="36">
        <f>IF(E1066=1,AK1066/AH1066,"")</f>
        <v>0.513513513513514</v>
      </c>
      <c r="AP1066" s="34">
        <f>IF(E1066=1,Orders!Y1063,"")</f>
        <v>0.68</v>
      </c>
      <c r="AQ1066" s="33">
        <f>IF(Orders!X1063,1,0)</f>
        <v>0</v>
      </c>
      <c r="AR1066" s="34" t="str">
        <f>IF(AND(E1066=1,L1066=1),AJ1066,"")</f>
        <v/>
      </c>
      <c r="AS1066" s="34">
        <f>IF(AND(E1066=1,L1066=0),AJ1066,"")</f>
        <v>2</v>
      </c>
      <c r="AT1066" s="34" t="str">
        <f>IF(AND(E1066=1,L1066=1),AI1066,"")</f>
        <v/>
      </c>
      <c r="AU1066" s="34">
        <f>IF(AND(E1066=1,L1066=0),AI1066,"")</f>
        <v>1.6</v>
      </c>
      <c r="AV1066" s="34" t="str">
        <f>IF(AND(E1066=1,L1066=1),AG1066,"")</f>
        <v/>
      </c>
      <c r="AW1066" s="34">
        <f>IF(AND(E1066=1,L1066=0),AG1066,"")</f>
        <v>11.1</v>
      </c>
      <c r="AX1066" s="34" t="str">
        <f>IF(AND(E1066=1,L1066=1),AH1066,"")</f>
        <v/>
      </c>
      <c r="AY1066" s="34">
        <f>IF(AND(E1066=1,L1066=0),AH1066,"")</f>
        <v>7.4</v>
      </c>
      <c r="AZ1066" s="34" t="str">
        <f>IF(G1066=1,F1066,"")</f>
        <v/>
      </c>
      <c r="BA1066" s="34" t="str">
        <f>IF(AND(G1066=1,L1066=1),F1066,"")</f>
        <v/>
      </c>
      <c r="BB1066" s="34" t="str">
        <f>IF(AND(G1066=1,L1066=0),F1066,"")</f>
        <v/>
      </c>
      <c r="BC1066" s="33">
        <f>IF(E1066=1,IF(Orders!R1063&gt;3,1,0),"")</f>
        <v>0</v>
      </c>
      <c r="BD1066" s="33">
        <f>IF(E1066=1,IF(Orders!R1063&gt;7,1,0),"")</f>
        <v>0</v>
      </c>
      <c r="BE1066" s="32" t="str">
        <f>IF(E1066=1,IF(Orders!L1063&lt;=1.5,"Up to 1.5 km",IF(Orders!L1063&lt;=3,"1.5–3 km","Over 3 km")),"")</f>
        <v>Up to 1.5 km</v>
      </c>
      <c r="BF1066" s="33">
        <f>IF(E1066=1,IF(ABS((Orders!G1063-Orders!F1063)*1440-Orders!R1063)&lt;0.06,1,0),"")</f>
        <v>1</v>
      </c>
      <c r="BG1066" s="33">
        <f>IF(ABS((Orders!F1063-Orders!E1063)*1440-Orders!P1063)&lt;0.06,1,0)</f>
        <v>1</v>
      </c>
      <c r="BH1066" s="33">
        <f>IF(E1066=1,IF(IF(Orders!S1063,1,0)=1-G1066,1,0),"")</f>
        <v>1</v>
      </c>
      <c r="BI1066" s="32" t="str">
        <f>INDEX(Stores!$B$2:$B$21,MATCH(B1066,Stores!$A$2:$A$21,0))</f>
        <v>Pune</v>
      </c>
    </row>
    <row r="1067">
      <c r="A1067" s="32" t="str">
        <f>Orders!A1064</f>
        <v>O01063</v>
      </c>
      <c r="B1067" s="32" t="str">
        <f>Orders!C1064</f>
        <v>S007</v>
      </c>
      <c r="C1067" s="32" t="str">
        <f>Orders!B1064</f>
        <v>C0021</v>
      </c>
      <c r="D1067" s="32" t="str">
        <f>Orders!H1064</f>
        <v>Delivered</v>
      </c>
      <c r="E1067" s="33">
        <f>IF(Orders!H1064="Delivered",1,0)</f>
        <v>1</v>
      </c>
      <c r="F1067" s="34">
        <f>IF(E1067=1,Orders!R1064,"")</f>
        <v>-1.6</v>
      </c>
      <c r="G1067" s="33">
        <f>IF(E1067=1,IF(Orders!R1064&gt;0,1,0),"")</f>
        <v>0</v>
      </c>
      <c r="H1067" s="33">
        <f>IF(E1067=1,IF(Orders!R1064&gt;5,1,0),"")</f>
        <v>0</v>
      </c>
      <c r="I1067" s="32" t="str">
        <f>IF(E1067=1,"",IF(OR(Orders!T1064="Rider unavailable",Orders!T1064="Item unavailable"),"Company-caused","Unresolved"))</f>
        <v/>
      </c>
      <c r="J1067" s="33">
        <f>IF(OR(E1067=1,I1067="Company-caused"),1,0)</f>
        <v>1</v>
      </c>
      <c r="K1067" s="32" t="str">
        <f>IF(E1067=0,IF(I1067="Company-caused",IF(Orders!T1064="Rider unavailable","C1 Rider unavailable","C2 Item unavailable"),"Outside root: unresolved"),IF(G1067=0,"A On time",IF(H1067=1,IF(L1067=1,"B2a Severe, peak","B2b Severe, off-peak"),IF(L1067=1,"B1a Slight, peak","B1b Slight, off-peak"))))</f>
        <v>A On time</v>
      </c>
      <c r="L1067" s="33">
        <f>IF(AND(Orders!U1064&gt;=19,Orders!U1064&lt;22),1,0)</f>
        <v>0</v>
      </c>
      <c r="M1067" s="33">
        <f>IF(L1067=IF(Orders!V1064,1,0),1,0)</f>
        <v>1</v>
      </c>
      <c r="N1067" s="32" t="str">
        <f>IF(Orders!W1064="","None",Orders!W1064)</f>
        <v>Light</v>
      </c>
      <c r="O1067" s="35">
        <f>INT(Orders!E1064)</f>
        <v>46272.0</v>
      </c>
      <c r="P1067" s="33">
        <f>Orders!U1064</f>
        <v>22</v>
      </c>
      <c r="Q1067" s="33">
        <f>COUNTIFS(Demand!$A$2:$A$4481,B1067,Demand!$B$2:$B$4481,O1067,Demand!$C$2:$C$4481,P1067)</f>
        <v>1</v>
      </c>
      <c r="R1067" s="33">
        <f>IF(Q1067=1,SUMIFS(Demand!$E$2:$E$4481,Demand!$A$2:$A$4481,B1067,Demand!$B$2:$B$4481,O1067,Demand!$C$2:$C$4481,P1067),"")</f>
        <v>33</v>
      </c>
      <c r="S1067" s="33">
        <f>INDEX(Stores!$G$2:$G$21,MATCH(B1067,Stores!$A$2:$A$21,0))</f>
        <v>37</v>
      </c>
      <c r="T1067" s="34">
        <f>IF(R1067="","",R1067/S1067)</f>
        <v>0.891891891891892</v>
      </c>
      <c r="U1067" s="34">
        <f>IF(E1067=1,T1067,"")</f>
        <v>0.891891891891892</v>
      </c>
      <c r="V1067" s="34">
        <f>IF(AND(E1067=1,L1067=0),T1067,"")</f>
        <v>0.891891891891892</v>
      </c>
      <c r="W1067" s="33">
        <f>IF(U1067="","",IF(U1067&lt;=Breakdowns!$C$5,1,IF(U1067&lt;=Breakdowns!$C$6,2,IF(U1067&lt;=Breakdowns!$C$7,3,4))))</f>
        <v>2</v>
      </c>
      <c r="X1067" s="33">
        <f>IF(V1067="","",IF(V1067&lt;=Breakdowns!$D$5,1,IF(V1067&lt;=Breakdowns!$D$6,2,IF(V1067&lt;=Breakdowns!$D$7,3,4))))</f>
        <v>2</v>
      </c>
      <c r="Y1067" s="34">
        <f>INDEX(Stores!$F$2:$F$21,MATCH(B1067,Stores!$A$2:$A$21,0))</f>
        <v>4.05</v>
      </c>
      <c r="Z1067" s="33">
        <f>IF(Y1067&gt;Store_Summary!$M$2,1,0)</f>
        <v>0</v>
      </c>
      <c r="AA1067" s="33">
        <f>INDEX(Stores!$C$2:$C$21,MATCH(B1067,Stores!$A$2:$A$21,0))</f>
        <v>661</v>
      </c>
      <c r="AB1067" s="33">
        <f>IF(AA1067&lt;180,1,0)</f>
        <v>0</v>
      </c>
      <c r="AC1067" s="32" t="str">
        <f>IF(Orders!D1064="","",INDEX(Riders!$C$2:$C$81,MATCH(Orders!D1064,Riders!$A$2:$A$81,0)))</f>
        <v>EV scooter</v>
      </c>
      <c r="AD1067" s="33">
        <f>IF(Orders!D1064="","",INDEX(Riders!$D$2:$D$81,MATCH(Orders!D1064,Riders!$A$2:$A$81,0)))</f>
        <v>46</v>
      </c>
      <c r="AE1067" s="33">
        <f>IF(Orders!D1064="","",IF(INDEX(Riders!$B$2:$B$81,MATCH(Orders!D1064,Riders!$A$2:$A$81,0))=B1067,1,0))</f>
        <v>0</v>
      </c>
      <c r="AF1067" s="34">
        <f>IF(E1067=1,Orders!L1064,"")</f>
        <v>1.27</v>
      </c>
      <c r="AG1067" s="34">
        <f>IF(E1067=1,Orders!P1064,"")</f>
        <v>10.5</v>
      </c>
      <c r="AH1067" s="34">
        <f>IF(E1067=1,Orders!Q1064,"")</f>
        <v>8.9</v>
      </c>
      <c r="AI1067" s="34">
        <f>IF(E1067=1,Orders!M1064,"")</f>
        <v>3.5</v>
      </c>
      <c r="AJ1067" s="34">
        <f>IF(E1067=1,Orders!N1064,"")</f>
        <v>0.4</v>
      </c>
      <c r="AK1067" s="34">
        <f>IF(E1067=1,Orders!O1064,"")</f>
        <v>5</v>
      </c>
      <c r="AL1067" s="33">
        <f>IF(E1067=1,IF(ROUND(ABS(AI1067+AJ1067+AK1067-AH1067),6)&lt;=0.1,1,0),"")</f>
        <v>1</v>
      </c>
      <c r="AM1067" s="36">
        <f>IF(E1067=1,AI1067/AH1067,"")</f>
        <v>0.393258426966292</v>
      </c>
      <c r="AN1067" s="36">
        <f>IF(E1067=1,AJ1067/AH1067,"")</f>
        <v>0.0449438202247191</v>
      </c>
      <c r="AO1067" s="36">
        <f>IF(E1067=1,AK1067/AH1067,"")</f>
        <v>0.561797752808989</v>
      </c>
      <c r="AP1067" s="34">
        <f>IF(E1067=1,Orders!Y1064,"")</f>
        <v>0.41</v>
      </c>
      <c r="AQ1067" s="33">
        <f>IF(Orders!X1064,1,0)</f>
        <v>0</v>
      </c>
      <c r="AR1067" s="34" t="str">
        <f>IF(AND(E1067=1,L1067=1),AJ1067,"")</f>
        <v/>
      </c>
      <c r="AS1067" s="34">
        <f>IF(AND(E1067=1,L1067=0),AJ1067,"")</f>
        <v>0.4</v>
      </c>
      <c r="AT1067" s="34" t="str">
        <f>IF(AND(E1067=1,L1067=1),AI1067,"")</f>
        <v/>
      </c>
      <c r="AU1067" s="34">
        <f>IF(AND(E1067=1,L1067=0),AI1067,"")</f>
        <v>3.5</v>
      </c>
      <c r="AV1067" s="34" t="str">
        <f>IF(AND(E1067=1,L1067=1),AG1067,"")</f>
        <v/>
      </c>
      <c r="AW1067" s="34">
        <f>IF(AND(E1067=1,L1067=0),AG1067,"")</f>
        <v>10.5</v>
      </c>
      <c r="AX1067" s="34" t="str">
        <f>IF(AND(E1067=1,L1067=1),AH1067,"")</f>
        <v/>
      </c>
      <c r="AY1067" s="34">
        <f>IF(AND(E1067=1,L1067=0),AH1067,"")</f>
        <v>8.9</v>
      </c>
      <c r="AZ1067" s="34" t="str">
        <f>IF(G1067=1,F1067,"")</f>
        <v/>
      </c>
      <c r="BA1067" s="34" t="str">
        <f>IF(AND(G1067=1,L1067=1),F1067,"")</f>
        <v/>
      </c>
      <c r="BB1067" s="34" t="str">
        <f>IF(AND(G1067=1,L1067=0),F1067,"")</f>
        <v/>
      </c>
      <c r="BC1067" s="33">
        <f>IF(E1067=1,IF(Orders!R1064&gt;3,1,0),"")</f>
        <v>0</v>
      </c>
      <c r="BD1067" s="33">
        <f>IF(E1067=1,IF(Orders!R1064&gt;7,1,0),"")</f>
        <v>0</v>
      </c>
      <c r="BE1067" s="32" t="str">
        <f>IF(E1067=1,IF(Orders!L1064&lt;=1.5,"Up to 1.5 km",IF(Orders!L1064&lt;=3,"1.5–3 km","Over 3 km")),"")</f>
        <v>Up to 1.5 km</v>
      </c>
      <c r="BF1067" s="33">
        <f>IF(E1067=1,IF(ABS((Orders!G1064-Orders!F1064)*1440-Orders!R1064)&lt;0.06,1,0),"")</f>
        <v>1</v>
      </c>
      <c r="BG1067" s="33">
        <f>IF(ABS((Orders!F1064-Orders!E1064)*1440-Orders!P1064)&lt;0.06,1,0)</f>
        <v>1</v>
      </c>
      <c r="BH1067" s="33">
        <f>IF(E1067=1,IF(IF(Orders!S1064,1,0)=1-G1067,1,0),"")</f>
        <v>1</v>
      </c>
      <c r="BI1067" s="32" t="str">
        <f>INDEX(Stores!$B$2:$B$21,MATCH(B1067,Stores!$A$2:$A$21,0))</f>
        <v>Hyderabad</v>
      </c>
    </row>
    <row r="1068">
      <c r="A1068" s="32" t="str">
        <f>Orders!A1065</f>
        <v>O01064</v>
      </c>
      <c r="B1068" s="32" t="str">
        <f>Orders!C1065</f>
        <v>S006</v>
      </c>
      <c r="C1068" s="32" t="str">
        <f>Orders!B1065</f>
        <v>C0096</v>
      </c>
      <c r="D1068" s="32" t="str">
        <f>Orders!H1065</f>
        <v>Delivered</v>
      </c>
      <c r="E1068" s="33">
        <f>IF(Orders!H1065="Delivered",1,0)</f>
        <v>1</v>
      </c>
      <c r="F1068" s="34">
        <f>IF(E1068=1,Orders!R1065,"")</f>
        <v>-0.7</v>
      </c>
      <c r="G1068" s="33">
        <f>IF(E1068=1,IF(Orders!R1065&gt;0,1,0),"")</f>
        <v>0</v>
      </c>
      <c r="H1068" s="33">
        <f>IF(E1068=1,IF(Orders!R1065&gt;5,1,0),"")</f>
        <v>0</v>
      </c>
      <c r="I1068" s="32" t="str">
        <f>IF(E1068=1,"",IF(OR(Orders!T1065="Rider unavailable",Orders!T1065="Item unavailable"),"Company-caused","Unresolved"))</f>
        <v/>
      </c>
      <c r="J1068" s="33">
        <f>IF(OR(E1068=1,I1068="Company-caused"),1,0)</f>
        <v>1</v>
      </c>
      <c r="K1068" s="32" t="str">
        <f>IF(E1068=0,IF(I1068="Company-caused",IF(Orders!T1065="Rider unavailable","C1 Rider unavailable","C2 Item unavailable"),"Outside root: unresolved"),IF(G1068=0,"A On time",IF(H1068=1,IF(L1068=1,"B2a Severe, peak","B2b Severe, off-peak"),IF(L1068=1,"B1a Slight, peak","B1b Slight, off-peak"))))</f>
        <v>A On time</v>
      </c>
      <c r="L1068" s="33">
        <f>IF(AND(Orders!U1065&gt;=19,Orders!U1065&lt;22),1,0)</f>
        <v>0</v>
      </c>
      <c r="M1068" s="33">
        <f>IF(L1068=IF(Orders!V1065,1,0),1,0)</f>
        <v>1</v>
      </c>
      <c r="N1068" s="32" t="str">
        <f>IF(Orders!W1065="","None",Orders!W1065)</f>
        <v>Light</v>
      </c>
      <c r="O1068" s="35">
        <f>INT(Orders!E1065)</f>
        <v>46278.0</v>
      </c>
      <c r="P1068" s="33">
        <f>Orders!U1065</f>
        <v>11</v>
      </c>
      <c r="Q1068" s="33">
        <f>COUNTIFS(Demand!$A$2:$A$4481,B1068,Demand!$B$2:$B$4481,O1068,Demand!$C$2:$C$4481,P1068)</f>
        <v>1</v>
      </c>
      <c r="R1068" s="33">
        <f>IF(Q1068=1,SUMIFS(Demand!$E$2:$E$4481,Demand!$A$2:$A$4481,B1068,Demand!$B$2:$B$4481,O1068,Demand!$C$2:$C$4481,P1068),"")</f>
        <v>24</v>
      </c>
      <c r="S1068" s="33">
        <f>INDEX(Stores!$G$2:$G$21,MATCH(B1068,Stores!$A$2:$A$21,0))</f>
        <v>26</v>
      </c>
      <c r="T1068" s="34">
        <f>IF(R1068="","",R1068/S1068)</f>
        <v>0.923076923076923</v>
      </c>
      <c r="U1068" s="34">
        <f>IF(E1068=1,T1068,"")</f>
        <v>0.923076923076923</v>
      </c>
      <c r="V1068" s="34">
        <f>IF(AND(E1068=1,L1068=0),T1068,"")</f>
        <v>0.923076923076923</v>
      </c>
      <c r="W1068" s="33">
        <f>IF(U1068="","",IF(U1068&lt;=Breakdowns!$C$5,1,IF(U1068&lt;=Breakdowns!$C$6,2,IF(U1068&lt;=Breakdowns!$C$7,3,4))))</f>
        <v>2</v>
      </c>
      <c r="X1068" s="33">
        <f>IF(V1068="","",IF(V1068&lt;=Breakdowns!$D$5,1,IF(V1068&lt;=Breakdowns!$D$6,2,IF(V1068&lt;=Breakdowns!$D$7,3,4))))</f>
        <v>3</v>
      </c>
      <c r="Y1068" s="34">
        <f>INDEX(Stores!$F$2:$F$21,MATCH(B1068,Stores!$A$2:$A$21,0))</f>
        <v>5.22</v>
      </c>
      <c r="Z1068" s="33">
        <f>IF(Y1068&gt;Store_Summary!$M$2,1,0)</f>
        <v>1</v>
      </c>
      <c r="AA1068" s="33">
        <f>INDEX(Stores!$C$2:$C$21,MATCH(B1068,Stores!$A$2:$A$21,0))</f>
        <v>412</v>
      </c>
      <c r="AB1068" s="33">
        <f>IF(AA1068&lt;180,1,0)</f>
        <v>0</v>
      </c>
      <c r="AC1068" s="32" t="str">
        <f>IF(Orders!D1065="","",INDEX(Riders!$C$2:$C$81,MATCH(Orders!D1065,Riders!$A$2:$A$81,0)))</f>
        <v>Bicycle</v>
      </c>
      <c r="AD1068" s="33">
        <f>IF(Orders!D1065="","",INDEX(Riders!$D$2:$D$81,MATCH(Orders!D1065,Riders!$A$2:$A$81,0)))</f>
        <v>26</v>
      </c>
      <c r="AE1068" s="33">
        <f>IF(Orders!D1065="","",IF(INDEX(Riders!$B$2:$B$81,MATCH(Orders!D1065,Riders!$A$2:$A$81,0))=B1068,1,0))</f>
        <v>0</v>
      </c>
      <c r="AF1068" s="34">
        <f>IF(E1068=1,Orders!L1065,"")</f>
        <v>1.66</v>
      </c>
      <c r="AG1068" s="34">
        <f>IF(E1068=1,Orders!P1065,"")</f>
        <v>11.2</v>
      </c>
      <c r="AH1068" s="34">
        <f>IF(E1068=1,Orders!Q1065,"")</f>
        <v>10.5</v>
      </c>
      <c r="AI1068" s="34">
        <f>IF(E1068=1,Orders!M1065,"")</f>
        <v>3.5</v>
      </c>
      <c r="AJ1068" s="34">
        <f>IF(E1068=1,Orders!N1065,"")</f>
        <v>3.9</v>
      </c>
      <c r="AK1068" s="34">
        <f>IF(E1068=1,Orders!O1065,"")</f>
        <v>3.1</v>
      </c>
      <c r="AL1068" s="33">
        <f>IF(E1068=1,IF(ROUND(ABS(AI1068+AJ1068+AK1068-AH1068),6)&lt;=0.1,1,0),"")</f>
        <v>1</v>
      </c>
      <c r="AM1068" s="36">
        <f>IF(E1068=1,AI1068/AH1068,"")</f>
        <v>0.333333333333333</v>
      </c>
      <c r="AN1068" s="36">
        <f>IF(E1068=1,AJ1068/AH1068,"")</f>
        <v>0.371428571428571</v>
      </c>
      <c r="AO1068" s="36">
        <f>IF(E1068=1,AK1068/AH1068,"")</f>
        <v>0.295238095238095</v>
      </c>
      <c r="AP1068" s="34">
        <f>IF(E1068=1,Orders!Y1065,"")</f>
        <v>0.39</v>
      </c>
      <c r="AQ1068" s="33">
        <f>IF(Orders!X1065,1,0)</f>
        <v>1</v>
      </c>
      <c r="AR1068" s="34" t="str">
        <f>IF(AND(E1068=1,L1068=1),AJ1068,"")</f>
        <v/>
      </c>
      <c r="AS1068" s="34">
        <f>IF(AND(E1068=1,L1068=0),AJ1068,"")</f>
        <v>3.9</v>
      </c>
      <c r="AT1068" s="34" t="str">
        <f>IF(AND(E1068=1,L1068=1),AI1068,"")</f>
        <v/>
      </c>
      <c r="AU1068" s="34">
        <f>IF(AND(E1068=1,L1068=0),AI1068,"")</f>
        <v>3.5</v>
      </c>
      <c r="AV1068" s="34" t="str">
        <f>IF(AND(E1068=1,L1068=1),AG1068,"")</f>
        <v/>
      </c>
      <c r="AW1068" s="34">
        <f>IF(AND(E1068=1,L1068=0),AG1068,"")</f>
        <v>11.2</v>
      </c>
      <c r="AX1068" s="34" t="str">
        <f>IF(AND(E1068=1,L1068=1),AH1068,"")</f>
        <v/>
      </c>
      <c r="AY1068" s="34">
        <f>IF(AND(E1068=1,L1068=0),AH1068,"")</f>
        <v>10.5</v>
      </c>
      <c r="AZ1068" s="34" t="str">
        <f>IF(G1068=1,F1068,"")</f>
        <v/>
      </c>
      <c r="BA1068" s="34" t="str">
        <f>IF(AND(G1068=1,L1068=1),F1068,"")</f>
        <v/>
      </c>
      <c r="BB1068" s="34" t="str">
        <f>IF(AND(G1068=1,L1068=0),F1068,"")</f>
        <v/>
      </c>
      <c r="BC1068" s="33">
        <f>IF(E1068=1,IF(Orders!R1065&gt;3,1,0),"")</f>
        <v>0</v>
      </c>
      <c r="BD1068" s="33">
        <f>IF(E1068=1,IF(Orders!R1065&gt;7,1,0),"")</f>
        <v>0</v>
      </c>
      <c r="BE1068" s="32" t="str">
        <f>IF(E1068=1,IF(Orders!L1065&lt;=1.5,"Up to 1.5 km",IF(Orders!L1065&lt;=3,"1.5–3 km","Over 3 km")),"")</f>
        <v>1.5–3 km</v>
      </c>
      <c r="BF1068" s="33">
        <f>IF(E1068=1,IF(ABS((Orders!G1065-Orders!F1065)*1440-Orders!R1065)&lt;0.06,1,0),"")</f>
        <v>1</v>
      </c>
      <c r="BG1068" s="33">
        <f>IF(ABS((Orders!F1065-Orders!E1065)*1440-Orders!P1065)&lt;0.06,1,0)</f>
        <v>1</v>
      </c>
      <c r="BH1068" s="33">
        <f>IF(E1068=1,IF(IF(Orders!S1065,1,0)=1-G1068,1,0),"")</f>
        <v>1</v>
      </c>
      <c r="BI1068" s="32" t="str">
        <f>INDEX(Stores!$B$2:$B$21,MATCH(B1068,Stores!$A$2:$A$21,0))</f>
        <v>Bengaluru</v>
      </c>
    </row>
    <row r="1069">
      <c r="A1069" s="32" t="str">
        <f>Orders!A1066</f>
        <v>O01065</v>
      </c>
      <c r="B1069" s="32" t="str">
        <f>Orders!C1066</f>
        <v>S014</v>
      </c>
      <c r="C1069" s="32" t="str">
        <f>Orders!B1066</f>
        <v>C0219</v>
      </c>
      <c r="D1069" s="32" t="str">
        <f>Orders!H1066</f>
        <v>Delivered</v>
      </c>
      <c r="E1069" s="33">
        <f>IF(Orders!H1066="Delivered",1,0)</f>
        <v>1</v>
      </c>
      <c r="F1069" s="34">
        <f>IF(E1069=1,Orders!R1066,"")</f>
        <v>-0.9</v>
      </c>
      <c r="G1069" s="33">
        <f>IF(E1069=1,IF(Orders!R1066&gt;0,1,0),"")</f>
        <v>0</v>
      </c>
      <c r="H1069" s="33">
        <f>IF(E1069=1,IF(Orders!R1066&gt;5,1,0),"")</f>
        <v>0</v>
      </c>
      <c r="I1069" s="32" t="str">
        <f>IF(E1069=1,"",IF(OR(Orders!T1066="Rider unavailable",Orders!T1066="Item unavailable"),"Company-caused","Unresolved"))</f>
        <v/>
      </c>
      <c r="J1069" s="33">
        <f>IF(OR(E1069=1,I1069="Company-caused"),1,0)</f>
        <v>1</v>
      </c>
      <c r="K1069" s="32" t="str">
        <f>IF(E1069=0,IF(I1069="Company-caused",IF(Orders!T1066="Rider unavailable","C1 Rider unavailable","C2 Item unavailable"),"Outside root: unresolved"),IF(G1069=0,"A On time",IF(H1069=1,IF(L1069=1,"B2a Severe, peak","B2b Severe, off-peak"),IF(L1069=1,"B1a Slight, peak","B1b Slight, off-peak"))))</f>
        <v>A On time</v>
      </c>
      <c r="L1069" s="33">
        <f>IF(AND(Orders!U1066&gt;=19,Orders!U1066&lt;22),1,0)</f>
        <v>0</v>
      </c>
      <c r="M1069" s="33">
        <f>IF(L1069=IF(Orders!V1066,1,0),1,0)</f>
        <v>1</v>
      </c>
      <c r="N1069" s="32" t="str">
        <f>IF(Orders!W1066="","None",Orders!W1066)</f>
        <v>Heavy</v>
      </c>
      <c r="O1069" s="35">
        <f>INT(Orders!E1066)</f>
        <v>46278.0</v>
      </c>
      <c r="P1069" s="33">
        <f>Orders!U1066</f>
        <v>13</v>
      </c>
      <c r="Q1069" s="33">
        <f>COUNTIFS(Demand!$A$2:$A$4481,B1069,Demand!$B$2:$B$4481,O1069,Demand!$C$2:$C$4481,P1069)</f>
        <v>1</v>
      </c>
      <c r="R1069" s="33">
        <f>IF(Q1069=1,SUMIFS(Demand!$E$2:$E$4481,Demand!$A$2:$A$4481,B1069,Demand!$B$2:$B$4481,O1069,Demand!$C$2:$C$4481,P1069),"")</f>
        <v>35</v>
      </c>
      <c r="S1069" s="33">
        <f>INDEX(Stores!$G$2:$G$21,MATCH(B1069,Stores!$A$2:$A$21,0))</f>
        <v>37</v>
      </c>
      <c r="T1069" s="34">
        <f>IF(R1069="","",R1069/S1069)</f>
        <v>0.945945945945946</v>
      </c>
      <c r="U1069" s="34">
        <f>IF(E1069=1,T1069,"")</f>
        <v>0.945945945945946</v>
      </c>
      <c r="V1069" s="34">
        <f>IF(AND(E1069=1,L1069=0),T1069,"")</f>
        <v>0.945945945945946</v>
      </c>
      <c r="W1069" s="33">
        <f>IF(U1069="","",IF(U1069&lt;=Breakdowns!$C$5,1,IF(U1069&lt;=Breakdowns!$C$6,2,IF(U1069&lt;=Breakdowns!$C$7,3,4))))</f>
        <v>2</v>
      </c>
      <c r="X1069" s="33">
        <f>IF(V1069="","",IF(V1069&lt;=Breakdowns!$D$5,1,IF(V1069&lt;=Breakdowns!$D$6,2,IF(V1069&lt;=Breakdowns!$D$7,3,4))))</f>
        <v>3</v>
      </c>
      <c r="Y1069" s="34">
        <f>INDEX(Stores!$F$2:$F$21,MATCH(B1069,Stores!$A$2:$A$21,0))</f>
        <v>5.55</v>
      </c>
      <c r="Z1069" s="33">
        <f>IF(Y1069&gt;Store_Summary!$M$2,1,0)</f>
        <v>1</v>
      </c>
      <c r="AA1069" s="33">
        <f>INDEX(Stores!$C$2:$C$21,MATCH(B1069,Stores!$A$2:$A$21,0))</f>
        <v>241</v>
      </c>
      <c r="AB1069" s="33">
        <f>IF(AA1069&lt;180,1,0)</f>
        <v>0</v>
      </c>
      <c r="AC1069" s="32" t="str">
        <f>IF(Orders!D1066="","",INDEX(Riders!$C$2:$C$81,MATCH(Orders!D1066,Riders!$A$2:$A$81,0)))</f>
        <v>EV scooter</v>
      </c>
      <c r="AD1069" s="33">
        <f>IF(Orders!D1066="","",INDEX(Riders!$D$2:$D$81,MATCH(Orders!D1066,Riders!$A$2:$A$81,0)))</f>
        <v>40</v>
      </c>
      <c r="AE1069" s="33">
        <f>IF(Orders!D1066="","",IF(INDEX(Riders!$B$2:$B$81,MATCH(Orders!D1066,Riders!$A$2:$A$81,0))=B1069,1,0))</f>
        <v>0</v>
      </c>
      <c r="AF1069" s="34">
        <f>IF(E1069=1,Orders!L1066,"")</f>
        <v>3.3</v>
      </c>
      <c r="AG1069" s="34">
        <f>IF(E1069=1,Orders!P1066,"")</f>
        <v>11.2</v>
      </c>
      <c r="AH1069" s="34">
        <f>IF(E1069=1,Orders!Q1066,"")</f>
        <v>10.3</v>
      </c>
      <c r="AI1069" s="34">
        <f>IF(E1069=1,Orders!M1066,"")</f>
        <v>2.4</v>
      </c>
      <c r="AJ1069" s="34">
        <f>IF(E1069=1,Orders!N1066,"")</f>
        <v>3.3</v>
      </c>
      <c r="AK1069" s="34">
        <f>IF(E1069=1,Orders!O1066,"")</f>
        <v>4.6</v>
      </c>
      <c r="AL1069" s="33">
        <f>IF(E1069=1,IF(ROUND(ABS(AI1069+AJ1069+AK1069-AH1069),6)&lt;=0.1,1,0),"")</f>
        <v>1</v>
      </c>
      <c r="AM1069" s="36">
        <f>IF(E1069=1,AI1069/AH1069,"")</f>
        <v>0.233009708737864</v>
      </c>
      <c r="AN1069" s="36">
        <f>IF(E1069=1,AJ1069/AH1069,"")</f>
        <v>0.320388349514563</v>
      </c>
      <c r="AO1069" s="36">
        <f>IF(E1069=1,AK1069/AH1069,"")</f>
        <v>0.446601941747573</v>
      </c>
      <c r="AP1069" s="34">
        <f>IF(E1069=1,Orders!Y1066,"")</f>
        <v>0.49</v>
      </c>
      <c r="AQ1069" s="33">
        <f>IF(Orders!X1066,1,0)</f>
        <v>0</v>
      </c>
      <c r="AR1069" s="34" t="str">
        <f>IF(AND(E1069=1,L1069=1),AJ1069,"")</f>
        <v/>
      </c>
      <c r="AS1069" s="34">
        <f>IF(AND(E1069=1,L1069=0),AJ1069,"")</f>
        <v>3.3</v>
      </c>
      <c r="AT1069" s="34" t="str">
        <f>IF(AND(E1069=1,L1069=1),AI1069,"")</f>
        <v/>
      </c>
      <c r="AU1069" s="34">
        <f>IF(AND(E1069=1,L1069=0),AI1069,"")</f>
        <v>2.4</v>
      </c>
      <c r="AV1069" s="34" t="str">
        <f>IF(AND(E1069=1,L1069=1),AG1069,"")</f>
        <v/>
      </c>
      <c r="AW1069" s="34">
        <f>IF(AND(E1069=1,L1069=0),AG1069,"")</f>
        <v>11.2</v>
      </c>
      <c r="AX1069" s="34" t="str">
        <f>IF(AND(E1069=1,L1069=1),AH1069,"")</f>
        <v/>
      </c>
      <c r="AY1069" s="34">
        <f>IF(AND(E1069=1,L1069=0),AH1069,"")</f>
        <v>10.3</v>
      </c>
      <c r="AZ1069" s="34" t="str">
        <f>IF(G1069=1,F1069,"")</f>
        <v/>
      </c>
      <c r="BA1069" s="34" t="str">
        <f>IF(AND(G1069=1,L1069=1),F1069,"")</f>
        <v/>
      </c>
      <c r="BB1069" s="34" t="str">
        <f>IF(AND(G1069=1,L1069=0),F1069,"")</f>
        <v/>
      </c>
      <c r="BC1069" s="33">
        <f>IF(E1069=1,IF(Orders!R1066&gt;3,1,0),"")</f>
        <v>0</v>
      </c>
      <c r="BD1069" s="33">
        <f>IF(E1069=1,IF(Orders!R1066&gt;7,1,0),"")</f>
        <v>0</v>
      </c>
      <c r="BE1069" s="32" t="str">
        <f>IF(E1069=1,IF(Orders!L1066&lt;=1.5,"Up to 1.5 km",IF(Orders!L1066&lt;=3,"1.5–3 km","Over 3 km")),"")</f>
        <v>Over 3 km</v>
      </c>
      <c r="BF1069" s="33">
        <f>IF(E1069=1,IF(ABS((Orders!G1066-Orders!F1066)*1440-Orders!R1066)&lt;0.06,1,0),"")</f>
        <v>1</v>
      </c>
      <c r="BG1069" s="33">
        <f>IF(ABS((Orders!F1066-Orders!E1066)*1440-Orders!P1066)&lt;0.06,1,0)</f>
        <v>1</v>
      </c>
      <c r="BH1069" s="33">
        <f>IF(E1069=1,IF(IF(Orders!S1066,1,0)=1-G1069,1,0),"")</f>
        <v>1</v>
      </c>
      <c r="BI1069" s="32" t="str">
        <f>INDEX(Stores!$B$2:$B$21,MATCH(B1069,Stores!$A$2:$A$21,0))</f>
        <v>Pune</v>
      </c>
    </row>
    <row r="1070">
      <c r="A1070" s="32" t="str">
        <f>Orders!A1067</f>
        <v>O01066</v>
      </c>
      <c r="B1070" s="32" t="str">
        <f>Orders!C1067</f>
        <v>S015</v>
      </c>
      <c r="C1070" s="32" t="str">
        <f>Orders!B1067</f>
        <v>C0052</v>
      </c>
      <c r="D1070" s="32" t="str">
        <f>Orders!H1067</f>
        <v>Delivered</v>
      </c>
      <c r="E1070" s="33">
        <f>IF(Orders!H1067="Delivered",1,0)</f>
        <v>1</v>
      </c>
      <c r="F1070" s="34">
        <f>IF(E1070=1,Orders!R1067,"")</f>
        <v>1.6</v>
      </c>
      <c r="G1070" s="33">
        <f>IF(E1070=1,IF(Orders!R1067&gt;0,1,0),"")</f>
        <v>1</v>
      </c>
      <c r="H1070" s="33">
        <f>IF(E1070=1,IF(Orders!R1067&gt;5,1,0),"")</f>
        <v>0</v>
      </c>
      <c r="I1070" s="32" t="str">
        <f>IF(E1070=1,"",IF(OR(Orders!T1067="Rider unavailable",Orders!T1067="Item unavailable"),"Company-caused","Unresolved"))</f>
        <v/>
      </c>
      <c r="J1070" s="33">
        <f>IF(OR(E1070=1,I1070="Company-caused"),1,0)</f>
        <v>1</v>
      </c>
      <c r="K1070" s="32" t="str">
        <f>IF(E1070=0,IF(I1070="Company-caused",IF(Orders!T1067="Rider unavailable","C1 Rider unavailable","C2 Item unavailable"),"Outside root: unresolved"),IF(G1070=0,"A On time",IF(H1070=1,IF(L1070=1,"B2a Severe, peak","B2b Severe, off-peak"),IF(L1070=1,"B1a Slight, peak","B1b Slight, off-peak"))))</f>
        <v>B1b Slight, off-peak</v>
      </c>
      <c r="L1070" s="33">
        <f>IF(AND(Orders!U1067&gt;=19,Orders!U1067&lt;22),1,0)</f>
        <v>0</v>
      </c>
      <c r="M1070" s="33">
        <f>IF(L1070=IF(Orders!V1067,1,0),1,0)</f>
        <v>1</v>
      </c>
      <c r="N1070" s="32" t="str">
        <f>IF(Orders!W1067="","None",Orders!W1067)</f>
        <v>None</v>
      </c>
      <c r="O1070" s="35">
        <f>INT(Orders!E1067)</f>
        <v>46267.0</v>
      </c>
      <c r="P1070" s="33">
        <f>Orders!U1067</f>
        <v>18</v>
      </c>
      <c r="Q1070" s="33">
        <f>COUNTIFS(Demand!$A$2:$A$4481,B1070,Demand!$B$2:$B$4481,O1070,Demand!$C$2:$C$4481,P1070)</f>
        <v>1</v>
      </c>
      <c r="R1070" s="33">
        <f>IF(Q1070=1,SUMIFS(Demand!$E$2:$E$4481,Demand!$A$2:$A$4481,B1070,Demand!$B$2:$B$4481,O1070,Demand!$C$2:$C$4481,P1070),"")</f>
        <v>19</v>
      </c>
      <c r="S1070" s="33">
        <f>INDEX(Stores!$G$2:$G$21,MATCH(B1070,Stores!$A$2:$A$21,0))</f>
        <v>23</v>
      </c>
      <c r="T1070" s="34">
        <f>IF(R1070="","",R1070/S1070)</f>
        <v>0.826086956521739</v>
      </c>
      <c r="U1070" s="34">
        <f>IF(E1070=1,T1070,"")</f>
        <v>0.826086956521739</v>
      </c>
      <c r="V1070" s="34">
        <f>IF(AND(E1070=1,L1070=0),T1070,"")</f>
        <v>0.826086956521739</v>
      </c>
      <c r="W1070" s="33">
        <f>IF(U1070="","",IF(U1070&lt;=Breakdowns!$C$5,1,IF(U1070&lt;=Breakdowns!$C$6,2,IF(U1070&lt;=Breakdowns!$C$7,3,4))))</f>
        <v>2</v>
      </c>
      <c r="X1070" s="33">
        <f>IF(V1070="","",IF(V1070&lt;=Breakdowns!$D$5,1,IF(V1070&lt;=Breakdowns!$D$6,2,IF(V1070&lt;=Breakdowns!$D$7,3,4))))</f>
        <v>2</v>
      </c>
      <c r="Y1070" s="34">
        <f>INDEX(Stores!$F$2:$F$21,MATCH(B1070,Stores!$A$2:$A$21,0))</f>
        <v>4.66</v>
      </c>
      <c r="Z1070" s="33">
        <f>IF(Y1070&gt;Store_Summary!$M$2,1,0)</f>
        <v>0</v>
      </c>
      <c r="AA1070" s="33">
        <f>INDEX(Stores!$C$2:$C$21,MATCH(B1070,Stores!$A$2:$A$21,0))</f>
        <v>204</v>
      </c>
      <c r="AB1070" s="33">
        <f>IF(AA1070&lt;180,1,0)</f>
        <v>0</v>
      </c>
      <c r="AC1070" s="32" t="str">
        <f>IF(Orders!D1067="","",INDEX(Riders!$C$2:$C$81,MATCH(Orders!D1067,Riders!$A$2:$A$81,0)))</f>
        <v>Petrol scooter</v>
      </c>
      <c r="AD1070" s="33">
        <f>IF(Orders!D1067="","",INDEX(Riders!$D$2:$D$81,MATCH(Orders!D1067,Riders!$A$2:$A$81,0)))</f>
        <v>1</v>
      </c>
      <c r="AE1070" s="33">
        <f>IF(Orders!D1067="","",IF(INDEX(Riders!$B$2:$B$81,MATCH(Orders!D1067,Riders!$A$2:$A$81,0))=B1070,1,0))</f>
        <v>0</v>
      </c>
      <c r="AF1070" s="34">
        <f>IF(E1070=1,Orders!L1067,"")</f>
        <v>0.5</v>
      </c>
      <c r="AG1070" s="34">
        <f>IF(E1070=1,Orders!P1067,"")</f>
        <v>9.1</v>
      </c>
      <c r="AH1070" s="34">
        <f>IF(E1070=1,Orders!Q1067,"")</f>
        <v>10.7</v>
      </c>
      <c r="AI1070" s="34">
        <f>IF(E1070=1,Orders!M1067,"")</f>
        <v>5.6</v>
      </c>
      <c r="AJ1070" s="34">
        <f>IF(E1070=1,Orders!N1067,"")</f>
        <v>2.3</v>
      </c>
      <c r="AK1070" s="34">
        <f>IF(E1070=1,Orders!O1067,"")</f>
        <v>2.7</v>
      </c>
      <c r="AL1070" s="33">
        <f>IF(E1070=1,IF(ROUND(ABS(AI1070+AJ1070+AK1070-AH1070),6)&lt;=0.1,1,0),"")</f>
        <v>1</v>
      </c>
      <c r="AM1070" s="36">
        <f>IF(E1070=1,AI1070/AH1070,"")</f>
        <v>0.523364485981308</v>
      </c>
      <c r="AN1070" s="36">
        <f>IF(E1070=1,AJ1070/AH1070,"")</f>
        <v>0.214953271028037</v>
      </c>
      <c r="AO1070" s="36">
        <f>IF(E1070=1,AK1070/AH1070,"")</f>
        <v>0.252336448598131</v>
      </c>
      <c r="AP1070" s="34">
        <f>IF(E1070=1,Orders!Y1067,"")</f>
        <v>0.52</v>
      </c>
      <c r="AQ1070" s="33">
        <f>IF(Orders!X1067,1,0)</f>
        <v>0</v>
      </c>
      <c r="AR1070" s="34" t="str">
        <f>IF(AND(E1070=1,L1070=1),AJ1070,"")</f>
        <v/>
      </c>
      <c r="AS1070" s="34">
        <f>IF(AND(E1070=1,L1070=0),AJ1070,"")</f>
        <v>2.3</v>
      </c>
      <c r="AT1070" s="34" t="str">
        <f>IF(AND(E1070=1,L1070=1),AI1070,"")</f>
        <v/>
      </c>
      <c r="AU1070" s="34">
        <f>IF(AND(E1070=1,L1070=0),AI1070,"")</f>
        <v>5.6</v>
      </c>
      <c r="AV1070" s="34" t="str">
        <f>IF(AND(E1070=1,L1070=1),AG1070,"")</f>
        <v/>
      </c>
      <c r="AW1070" s="34">
        <f>IF(AND(E1070=1,L1070=0),AG1070,"")</f>
        <v>9.1</v>
      </c>
      <c r="AX1070" s="34" t="str">
        <f>IF(AND(E1070=1,L1070=1),AH1070,"")</f>
        <v/>
      </c>
      <c r="AY1070" s="34">
        <f>IF(AND(E1070=1,L1070=0),AH1070,"")</f>
        <v>10.7</v>
      </c>
      <c r="AZ1070" s="34">
        <f>IF(G1070=1,F1070,"")</f>
        <v>1.6</v>
      </c>
      <c r="BA1070" s="34" t="str">
        <f>IF(AND(G1070=1,L1070=1),F1070,"")</f>
        <v/>
      </c>
      <c r="BB1070" s="34">
        <f>IF(AND(G1070=1,L1070=0),F1070,"")</f>
        <v>1.6</v>
      </c>
      <c r="BC1070" s="33">
        <f>IF(E1070=1,IF(Orders!R1067&gt;3,1,0),"")</f>
        <v>0</v>
      </c>
      <c r="BD1070" s="33">
        <f>IF(E1070=1,IF(Orders!R1067&gt;7,1,0),"")</f>
        <v>0</v>
      </c>
      <c r="BE1070" s="32" t="str">
        <f>IF(E1070=1,IF(Orders!L1067&lt;=1.5,"Up to 1.5 km",IF(Orders!L1067&lt;=3,"1.5–3 km","Over 3 km")),"")</f>
        <v>Up to 1.5 km</v>
      </c>
      <c r="BF1070" s="33">
        <f>IF(E1070=1,IF(ABS((Orders!G1067-Orders!F1067)*1440-Orders!R1067)&lt;0.06,1,0),"")</f>
        <v>1</v>
      </c>
      <c r="BG1070" s="33">
        <f>IF(ABS((Orders!F1067-Orders!E1067)*1440-Orders!P1067)&lt;0.06,1,0)</f>
        <v>1</v>
      </c>
      <c r="BH1070" s="33">
        <f>IF(E1070=1,IF(IF(Orders!S1067,1,0)=1-G1070,1,0),"")</f>
        <v>1</v>
      </c>
      <c r="BI1070" s="32" t="str">
        <f>INDEX(Stores!$B$2:$B$21,MATCH(B1070,Stores!$A$2:$A$21,0))</f>
        <v>Delhi</v>
      </c>
    </row>
    <row r="1071">
      <c r="A1071" s="32" t="str">
        <f>Orders!A1068</f>
        <v>O01067</v>
      </c>
      <c r="B1071" s="32" t="str">
        <f>Orders!C1068</f>
        <v>S015</v>
      </c>
      <c r="C1071" s="32" t="str">
        <f>Orders!B1068</f>
        <v>C0244</v>
      </c>
      <c r="D1071" s="32" t="str">
        <f>Orders!H1068</f>
        <v>Delivered</v>
      </c>
      <c r="E1071" s="33">
        <f>IF(Orders!H1068="Delivered",1,0)</f>
        <v>1</v>
      </c>
      <c r="F1071" s="34">
        <f>IF(E1071=1,Orders!R1068,"")</f>
        <v>-0.7</v>
      </c>
      <c r="G1071" s="33">
        <f>IF(E1071=1,IF(Orders!R1068&gt;0,1,0),"")</f>
        <v>0</v>
      </c>
      <c r="H1071" s="33">
        <f>IF(E1071=1,IF(Orders!R1068&gt;5,1,0),"")</f>
        <v>0</v>
      </c>
      <c r="I1071" s="32" t="str">
        <f>IF(E1071=1,"",IF(OR(Orders!T1068="Rider unavailable",Orders!T1068="Item unavailable"),"Company-caused","Unresolved"))</f>
        <v/>
      </c>
      <c r="J1071" s="33">
        <f>IF(OR(E1071=1,I1071="Company-caused"),1,0)</f>
        <v>1</v>
      </c>
      <c r="K1071" s="32" t="str">
        <f>IF(E1071=0,IF(I1071="Company-caused",IF(Orders!T1068="Rider unavailable","C1 Rider unavailable","C2 Item unavailable"),"Outside root: unresolved"),IF(G1071=0,"A On time",IF(H1071=1,IF(L1071=1,"B2a Severe, peak","B2b Severe, off-peak"),IF(L1071=1,"B1a Slight, peak","B1b Slight, off-peak"))))</f>
        <v>A On time</v>
      </c>
      <c r="L1071" s="33">
        <f>IF(AND(Orders!U1068&gt;=19,Orders!U1068&lt;22),1,0)</f>
        <v>0</v>
      </c>
      <c r="M1071" s="33">
        <f>IF(L1071=IF(Orders!V1068,1,0),1,0)</f>
        <v>1</v>
      </c>
      <c r="N1071" s="32" t="str">
        <f>IF(Orders!W1068="","None",Orders!W1068)</f>
        <v>Light</v>
      </c>
      <c r="O1071" s="35">
        <f>INT(Orders!E1068)</f>
        <v>46266.0</v>
      </c>
      <c r="P1071" s="33">
        <f>Orders!U1068</f>
        <v>22</v>
      </c>
      <c r="Q1071" s="33">
        <f>COUNTIFS(Demand!$A$2:$A$4481,B1071,Demand!$B$2:$B$4481,O1071,Demand!$C$2:$C$4481,P1071)</f>
        <v>1</v>
      </c>
      <c r="R1071" s="33">
        <f>IF(Q1071=1,SUMIFS(Demand!$E$2:$E$4481,Demand!$A$2:$A$4481,B1071,Demand!$B$2:$B$4481,O1071,Demand!$C$2:$C$4481,P1071),"")</f>
        <v>28</v>
      </c>
      <c r="S1071" s="33">
        <f>INDEX(Stores!$G$2:$G$21,MATCH(B1071,Stores!$A$2:$A$21,0))</f>
        <v>23</v>
      </c>
      <c r="T1071" s="34">
        <f>IF(R1071="","",R1071/S1071)</f>
        <v>1.21739130434783</v>
      </c>
      <c r="U1071" s="34">
        <f>IF(E1071=1,T1071,"")</f>
        <v>1.21739130434783</v>
      </c>
      <c r="V1071" s="34">
        <f>IF(AND(E1071=1,L1071=0),T1071,"")</f>
        <v>1.21739130434783</v>
      </c>
      <c r="W1071" s="33">
        <f>IF(U1071="","",IF(U1071&lt;=Breakdowns!$C$5,1,IF(U1071&lt;=Breakdowns!$C$6,2,IF(U1071&lt;=Breakdowns!$C$7,3,4))))</f>
        <v>3</v>
      </c>
      <c r="X1071" s="33">
        <f>IF(V1071="","",IF(V1071&lt;=Breakdowns!$D$5,1,IF(V1071&lt;=Breakdowns!$D$6,2,IF(V1071&lt;=Breakdowns!$D$7,3,4))))</f>
        <v>4</v>
      </c>
      <c r="Y1071" s="34">
        <f>INDEX(Stores!$F$2:$F$21,MATCH(B1071,Stores!$A$2:$A$21,0))</f>
        <v>4.66</v>
      </c>
      <c r="Z1071" s="33">
        <f>IF(Y1071&gt;Store_Summary!$M$2,1,0)</f>
        <v>0</v>
      </c>
      <c r="AA1071" s="33">
        <f>INDEX(Stores!$C$2:$C$21,MATCH(B1071,Stores!$A$2:$A$21,0))</f>
        <v>204</v>
      </c>
      <c r="AB1071" s="33">
        <f>IF(AA1071&lt;180,1,0)</f>
        <v>0</v>
      </c>
      <c r="AC1071" s="32" t="str">
        <f>IF(Orders!D1068="","",INDEX(Riders!$C$2:$C$81,MATCH(Orders!D1068,Riders!$A$2:$A$81,0)))</f>
        <v>Petrol scooter</v>
      </c>
      <c r="AD1071" s="33">
        <f>IF(Orders!D1068="","",INDEX(Riders!$D$2:$D$81,MATCH(Orders!D1068,Riders!$A$2:$A$81,0)))</f>
        <v>37</v>
      </c>
      <c r="AE1071" s="33">
        <f>IF(Orders!D1068="","",IF(INDEX(Riders!$B$2:$B$81,MATCH(Orders!D1068,Riders!$A$2:$A$81,0))=B1071,1,0))</f>
        <v>0</v>
      </c>
      <c r="AF1071" s="34">
        <f>IF(E1071=1,Orders!L1068,"")</f>
        <v>4.35</v>
      </c>
      <c r="AG1071" s="34">
        <f>IF(E1071=1,Orders!P1068,"")</f>
        <v>10.8</v>
      </c>
      <c r="AH1071" s="34">
        <f>IF(E1071=1,Orders!Q1068,"")</f>
        <v>10.1</v>
      </c>
      <c r="AI1071" s="34">
        <f>IF(E1071=1,Orders!M1068,"")</f>
        <v>1.9</v>
      </c>
      <c r="AJ1071" s="34">
        <f>IF(E1071=1,Orders!N1068,"")</f>
        <v>3.1</v>
      </c>
      <c r="AK1071" s="34">
        <f>IF(E1071=1,Orders!O1068,"")</f>
        <v>5.1</v>
      </c>
      <c r="AL1071" s="33">
        <f>IF(E1071=1,IF(ROUND(ABS(AI1071+AJ1071+AK1071-AH1071),6)&lt;=0.1,1,0),"")</f>
        <v>1</v>
      </c>
      <c r="AM1071" s="36">
        <f>IF(E1071=1,AI1071/AH1071,"")</f>
        <v>0.188118811881188</v>
      </c>
      <c r="AN1071" s="36">
        <f>IF(E1071=1,AJ1071/AH1071,"")</f>
        <v>0.306930693069307</v>
      </c>
      <c r="AO1071" s="36">
        <f>IF(E1071=1,AK1071/AH1071,"")</f>
        <v>0.504950495049505</v>
      </c>
      <c r="AP1071" s="34">
        <f>IF(E1071=1,Orders!Y1068,"")</f>
        <v>0.79</v>
      </c>
      <c r="AQ1071" s="33">
        <f>IF(Orders!X1068,1,0)</f>
        <v>0</v>
      </c>
      <c r="AR1071" s="34" t="str">
        <f>IF(AND(E1071=1,L1071=1),AJ1071,"")</f>
        <v/>
      </c>
      <c r="AS1071" s="34">
        <f>IF(AND(E1071=1,L1071=0),AJ1071,"")</f>
        <v>3.1</v>
      </c>
      <c r="AT1071" s="34" t="str">
        <f>IF(AND(E1071=1,L1071=1),AI1071,"")</f>
        <v/>
      </c>
      <c r="AU1071" s="34">
        <f>IF(AND(E1071=1,L1071=0),AI1071,"")</f>
        <v>1.9</v>
      </c>
      <c r="AV1071" s="34" t="str">
        <f>IF(AND(E1071=1,L1071=1),AG1071,"")</f>
        <v/>
      </c>
      <c r="AW1071" s="34">
        <f>IF(AND(E1071=1,L1071=0),AG1071,"")</f>
        <v>10.8</v>
      </c>
      <c r="AX1071" s="34" t="str">
        <f>IF(AND(E1071=1,L1071=1),AH1071,"")</f>
        <v/>
      </c>
      <c r="AY1071" s="34">
        <f>IF(AND(E1071=1,L1071=0),AH1071,"")</f>
        <v>10.1</v>
      </c>
      <c r="AZ1071" s="34" t="str">
        <f>IF(G1071=1,F1071,"")</f>
        <v/>
      </c>
      <c r="BA1071" s="34" t="str">
        <f>IF(AND(G1071=1,L1071=1),F1071,"")</f>
        <v/>
      </c>
      <c r="BB1071" s="34" t="str">
        <f>IF(AND(G1071=1,L1071=0),F1071,"")</f>
        <v/>
      </c>
      <c r="BC1071" s="33">
        <f>IF(E1071=1,IF(Orders!R1068&gt;3,1,0),"")</f>
        <v>0</v>
      </c>
      <c r="BD1071" s="33">
        <f>IF(E1071=1,IF(Orders!R1068&gt;7,1,0),"")</f>
        <v>0</v>
      </c>
      <c r="BE1071" s="32" t="str">
        <f>IF(E1071=1,IF(Orders!L1068&lt;=1.5,"Up to 1.5 km",IF(Orders!L1068&lt;=3,"1.5–3 km","Over 3 km")),"")</f>
        <v>Over 3 km</v>
      </c>
      <c r="BF1071" s="33">
        <f>IF(E1071=1,IF(ABS((Orders!G1068-Orders!F1068)*1440-Orders!R1068)&lt;0.06,1,0),"")</f>
        <v>1</v>
      </c>
      <c r="BG1071" s="33">
        <f>IF(ABS((Orders!F1068-Orders!E1068)*1440-Orders!P1068)&lt;0.06,1,0)</f>
        <v>1</v>
      </c>
      <c r="BH1071" s="33">
        <f>IF(E1071=1,IF(IF(Orders!S1068,1,0)=1-G1071,1,0),"")</f>
        <v>1</v>
      </c>
      <c r="BI1071" s="32" t="str">
        <f>INDEX(Stores!$B$2:$B$21,MATCH(B1071,Stores!$A$2:$A$21,0))</f>
        <v>Delhi</v>
      </c>
    </row>
    <row r="1072">
      <c r="A1072" s="32" t="str">
        <f>Orders!A1069</f>
        <v>O01068</v>
      </c>
      <c r="B1072" s="32" t="str">
        <f>Orders!C1069</f>
        <v>S012</v>
      </c>
      <c r="C1072" s="32" t="str">
        <f>Orders!B1069</f>
        <v>C0095</v>
      </c>
      <c r="D1072" s="32" t="str">
        <f>Orders!H1069</f>
        <v>Delivered</v>
      </c>
      <c r="E1072" s="33">
        <f>IF(Orders!H1069="Delivered",1,0)</f>
        <v>1</v>
      </c>
      <c r="F1072" s="34">
        <f>IF(E1072=1,Orders!R1069,"")</f>
        <v>8.2</v>
      </c>
      <c r="G1072" s="33">
        <f>IF(E1072=1,IF(Orders!R1069&gt;0,1,0),"")</f>
        <v>1</v>
      </c>
      <c r="H1072" s="33">
        <f>IF(E1072=1,IF(Orders!R1069&gt;5,1,0),"")</f>
        <v>1</v>
      </c>
      <c r="I1072" s="32" t="str">
        <f>IF(E1072=1,"",IF(OR(Orders!T1069="Rider unavailable",Orders!T1069="Item unavailable"),"Company-caused","Unresolved"))</f>
        <v/>
      </c>
      <c r="J1072" s="33">
        <f>IF(OR(E1072=1,I1072="Company-caused"),1,0)</f>
        <v>1</v>
      </c>
      <c r="K1072" s="32" t="str">
        <f>IF(E1072=0,IF(I1072="Company-caused",IF(Orders!T1069="Rider unavailable","C1 Rider unavailable","C2 Item unavailable"),"Outside root: unresolved"),IF(G1072=0,"A On time",IF(H1072=1,IF(L1072=1,"B2a Severe, peak","B2b Severe, off-peak"),IF(L1072=1,"B1a Slight, peak","B1b Slight, off-peak"))))</f>
        <v>B2a Severe, peak</v>
      </c>
      <c r="L1072" s="33">
        <f>IF(AND(Orders!U1069&gt;=19,Orders!U1069&lt;22),1,0)</f>
        <v>1</v>
      </c>
      <c r="M1072" s="33">
        <f>IF(L1072=IF(Orders!V1069,1,0),1,0)</f>
        <v>1</v>
      </c>
      <c r="N1072" s="32" t="str">
        <f>IF(Orders!W1069="","None",Orders!W1069)</f>
        <v>Light</v>
      </c>
      <c r="O1072" s="35">
        <f>INT(Orders!E1069)</f>
        <v>46278.0</v>
      </c>
      <c r="P1072" s="33">
        <f>Orders!U1069</f>
        <v>20</v>
      </c>
      <c r="Q1072" s="33">
        <f>COUNTIFS(Demand!$A$2:$A$4481,B1072,Demand!$B$2:$B$4481,O1072,Demand!$C$2:$C$4481,P1072)</f>
        <v>1</v>
      </c>
      <c r="R1072" s="33">
        <f>IF(Q1072=1,SUMIFS(Demand!$E$2:$E$4481,Demand!$A$2:$A$4481,B1072,Demand!$B$2:$B$4481,O1072,Demand!$C$2:$C$4481,P1072),"")</f>
        <v>25</v>
      </c>
      <c r="S1072" s="33">
        <f>INDEX(Stores!$G$2:$G$21,MATCH(B1072,Stores!$A$2:$A$21,0))</f>
        <v>15</v>
      </c>
      <c r="T1072" s="34">
        <f>IF(R1072="","",R1072/S1072)</f>
        <v>1.66666666666667</v>
      </c>
      <c r="U1072" s="34">
        <f>IF(E1072=1,T1072,"")</f>
        <v>1.66666666666667</v>
      </c>
      <c r="V1072" s="34" t="str">
        <f>IF(AND(E1072=1,L1072=0),T1072,"")</f>
        <v/>
      </c>
      <c r="W1072" s="33">
        <f>IF(U1072="","",IF(U1072&lt;=Breakdowns!$C$5,1,IF(U1072&lt;=Breakdowns!$C$6,2,IF(U1072&lt;=Breakdowns!$C$7,3,4))))</f>
        <v>4</v>
      </c>
      <c r="X1072" s="33" t="str">
        <f>IF(V1072="","",IF(V1072&lt;=Breakdowns!$D$5,1,IF(V1072&lt;=Breakdowns!$D$6,2,IF(V1072&lt;=Breakdowns!$D$7,3,4))))</f>
        <v/>
      </c>
      <c r="Y1072" s="34">
        <f>INDEX(Stores!$F$2:$F$21,MATCH(B1072,Stores!$A$2:$A$21,0))</f>
        <v>5.23</v>
      </c>
      <c r="Z1072" s="33">
        <f>IF(Y1072&gt;Store_Summary!$M$2,1,0)</f>
        <v>1</v>
      </c>
      <c r="AA1072" s="33">
        <f>INDEX(Stores!$C$2:$C$21,MATCH(B1072,Stores!$A$2:$A$21,0))</f>
        <v>300</v>
      </c>
      <c r="AB1072" s="33">
        <f>IF(AA1072&lt;180,1,0)</f>
        <v>0</v>
      </c>
      <c r="AC1072" s="32" t="str">
        <f>IF(Orders!D1069="","",INDEX(Riders!$C$2:$C$81,MATCH(Orders!D1069,Riders!$A$2:$A$81,0)))</f>
        <v>EV scooter</v>
      </c>
      <c r="AD1072" s="33">
        <f>IF(Orders!D1069="","",INDEX(Riders!$D$2:$D$81,MATCH(Orders!D1069,Riders!$A$2:$A$81,0)))</f>
        <v>41</v>
      </c>
      <c r="AE1072" s="33">
        <f>IF(Orders!D1069="","",IF(INDEX(Riders!$B$2:$B$81,MATCH(Orders!D1069,Riders!$A$2:$A$81,0))=B1072,1,0))</f>
        <v>0</v>
      </c>
      <c r="AF1072" s="34">
        <f>IF(E1072=1,Orders!L1069,"")</f>
        <v>5.3</v>
      </c>
      <c r="AG1072" s="34">
        <f>IF(E1072=1,Orders!P1069,"")</f>
        <v>12.6</v>
      </c>
      <c r="AH1072" s="34">
        <f>IF(E1072=1,Orders!Q1069,"")</f>
        <v>20.8</v>
      </c>
      <c r="AI1072" s="34">
        <f>IF(E1072=1,Orders!M1069,"")</f>
        <v>6.1</v>
      </c>
      <c r="AJ1072" s="34">
        <f>IF(E1072=1,Orders!N1069,"")</f>
        <v>3.2</v>
      </c>
      <c r="AK1072" s="34">
        <f>IF(E1072=1,Orders!O1069,"")</f>
        <v>11.4</v>
      </c>
      <c r="AL1072" s="33">
        <f>IF(E1072=1,IF(ROUND(ABS(AI1072+AJ1072+AK1072-AH1072),6)&lt;=0.1,1,0),"")</f>
        <v>1</v>
      </c>
      <c r="AM1072" s="36">
        <f>IF(E1072=1,AI1072/AH1072,"")</f>
        <v>0.293269230769231</v>
      </c>
      <c r="AN1072" s="36">
        <f>IF(E1072=1,AJ1072/AH1072,"")</f>
        <v>0.153846153846154</v>
      </c>
      <c r="AO1072" s="36">
        <f>IF(E1072=1,AK1072/AH1072,"")</f>
        <v>0.548076923076923</v>
      </c>
      <c r="AP1072" s="34">
        <f>IF(E1072=1,Orders!Y1069,"")</f>
        <v>0.53</v>
      </c>
      <c r="AQ1072" s="33">
        <f>IF(Orders!X1069,1,0)</f>
        <v>0</v>
      </c>
      <c r="AR1072" s="34">
        <f>IF(AND(E1072=1,L1072=1),AJ1072,"")</f>
        <v>3.2</v>
      </c>
      <c r="AS1072" s="34" t="str">
        <f>IF(AND(E1072=1,L1072=0),AJ1072,"")</f>
        <v/>
      </c>
      <c r="AT1072" s="34">
        <f>IF(AND(E1072=1,L1072=1),AI1072,"")</f>
        <v>6.1</v>
      </c>
      <c r="AU1072" s="34" t="str">
        <f>IF(AND(E1072=1,L1072=0),AI1072,"")</f>
        <v/>
      </c>
      <c r="AV1072" s="34">
        <f>IF(AND(E1072=1,L1072=1),AG1072,"")</f>
        <v>12.6</v>
      </c>
      <c r="AW1072" s="34" t="str">
        <f>IF(AND(E1072=1,L1072=0),AG1072,"")</f>
        <v/>
      </c>
      <c r="AX1072" s="34">
        <f>IF(AND(E1072=1,L1072=1),AH1072,"")</f>
        <v>20.8</v>
      </c>
      <c r="AY1072" s="34" t="str">
        <f>IF(AND(E1072=1,L1072=0),AH1072,"")</f>
        <v/>
      </c>
      <c r="AZ1072" s="34">
        <f>IF(G1072=1,F1072,"")</f>
        <v>8.2</v>
      </c>
      <c r="BA1072" s="34">
        <f>IF(AND(G1072=1,L1072=1),F1072,"")</f>
        <v>8.2</v>
      </c>
      <c r="BB1072" s="34" t="str">
        <f>IF(AND(G1072=1,L1072=0),F1072,"")</f>
        <v/>
      </c>
      <c r="BC1072" s="33">
        <f>IF(E1072=1,IF(Orders!R1069&gt;3,1,0),"")</f>
        <v>1</v>
      </c>
      <c r="BD1072" s="33">
        <f>IF(E1072=1,IF(Orders!R1069&gt;7,1,0),"")</f>
        <v>1</v>
      </c>
      <c r="BE1072" s="32" t="str">
        <f>IF(E1072=1,IF(Orders!L1069&lt;=1.5,"Up to 1.5 km",IF(Orders!L1069&lt;=3,"1.5–3 km","Over 3 km")),"")</f>
        <v>Over 3 km</v>
      </c>
      <c r="BF1072" s="33">
        <f>IF(E1072=1,IF(ABS((Orders!G1069-Orders!F1069)*1440-Orders!R1069)&lt;0.06,1,0),"")</f>
        <v>1</v>
      </c>
      <c r="BG1072" s="33">
        <f>IF(ABS((Orders!F1069-Orders!E1069)*1440-Orders!P1069)&lt;0.06,1,0)</f>
        <v>1</v>
      </c>
      <c r="BH1072" s="33">
        <f>IF(E1072=1,IF(IF(Orders!S1069,1,0)=1-G1072,1,0),"")</f>
        <v>1</v>
      </c>
      <c r="BI1072" s="32" t="str">
        <f>INDEX(Stores!$B$2:$B$21,MATCH(B1072,Stores!$A$2:$A$21,0))</f>
        <v>Hyderabad</v>
      </c>
    </row>
    <row r="1073">
      <c r="A1073" s="32" t="str">
        <f>Orders!A1070</f>
        <v>O01069</v>
      </c>
      <c r="B1073" s="32" t="str">
        <f>Orders!C1070</f>
        <v>S018</v>
      </c>
      <c r="C1073" s="32" t="str">
        <f>Orders!B1070</f>
        <v>C0047</v>
      </c>
      <c r="D1073" s="32" t="str">
        <f>Orders!H1070</f>
        <v>Delivered</v>
      </c>
      <c r="E1073" s="33">
        <f>IF(Orders!H1070="Delivered",1,0)</f>
        <v>1</v>
      </c>
      <c r="F1073" s="34">
        <f>IF(E1073=1,Orders!R1070,"")</f>
        <v>7.3</v>
      </c>
      <c r="G1073" s="33">
        <f>IF(E1073=1,IF(Orders!R1070&gt;0,1,0),"")</f>
        <v>1</v>
      </c>
      <c r="H1073" s="33">
        <f>IF(E1073=1,IF(Orders!R1070&gt;5,1,0),"")</f>
        <v>1</v>
      </c>
      <c r="I1073" s="32" t="str">
        <f>IF(E1073=1,"",IF(OR(Orders!T1070="Rider unavailable",Orders!T1070="Item unavailable"),"Company-caused","Unresolved"))</f>
        <v/>
      </c>
      <c r="J1073" s="33">
        <f>IF(OR(E1073=1,I1073="Company-caused"),1,0)</f>
        <v>1</v>
      </c>
      <c r="K1073" s="32" t="str">
        <f>IF(E1073=0,IF(I1073="Company-caused",IF(Orders!T1070="Rider unavailable","C1 Rider unavailable","C2 Item unavailable"),"Outside root: unresolved"),IF(G1073=0,"A On time",IF(H1073=1,IF(L1073=1,"B2a Severe, peak","B2b Severe, off-peak"),IF(L1073=1,"B1a Slight, peak","B1b Slight, off-peak"))))</f>
        <v>B2b Severe, off-peak</v>
      </c>
      <c r="L1073" s="33">
        <f>IF(AND(Orders!U1070&gt;=19,Orders!U1070&lt;22),1,0)</f>
        <v>0</v>
      </c>
      <c r="M1073" s="33">
        <f>IF(L1073=IF(Orders!V1070,1,0),1,0)</f>
        <v>1</v>
      </c>
      <c r="N1073" s="32" t="str">
        <f>IF(Orders!W1070="","None",Orders!W1070)</f>
        <v>Heavy</v>
      </c>
      <c r="O1073" s="35">
        <f>INT(Orders!E1070)</f>
        <v>46271.0</v>
      </c>
      <c r="P1073" s="33">
        <f>Orders!U1070</f>
        <v>15</v>
      </c>
      <c r="Q1073" s="33">
        <f>COUNTIFS(Demand!$A$2:$A$4481,B1073,Demand!$B$2:$B$4481,O1073,Demand!$C$2:$C$4481,P1073)</f>
        <v>1</v>
      </c>
      <c r="R1073" s="33">
        <f>IF(Q1073=1,SUMIFS(Demand!$E$2:$E$4481,Demand!$A$2:$A$4481,B1073,Demand!$B$2:$B$4481,O1073,Demand!$C$2:$C$4481,P1073),"")</f>
        <v>18</v>
      </c>
      <c r="S1073" s="33">
        <f>INDEX(Stores!$G$2:$G$21,MATCH(B1073,Stores!$A$2:$A$21,0))</f>
        <v>20</v>
      </c>
      <c r="T1073" s="34">
        <f>IF(R1073="","",R1073/S1073)</f>
        <v>0.9</v>
      </c>
      <c r="U1073" s="34">
        <f>IF(E1073=1,T1073,"")</f>
        <v>0.9</v>
      </c>
      <c r="V1073" s="34">
        <f>IF(AND(E1073=1,L1073=0),T1073,"")</f>
        <v>0.9</v>
      </c>
      <c r="W1073" s="33">
        <f>IF(U1073="","",IF(U1073&lt;=Breakdowns!$C$5,1,IF(U1073&lt;=Breakdowns!$C$6,2,IF(U1073&lt;=Breakdowns!$C$7,3,4))))</f>
        <v>2</v>
      </c>
      <c r="X1073" s="33">
        <f>IF(V1073="","",IF(V1073&lt;=Breakdowns!$D$5,1,IF(V1073&lt;=Breakdowns!$D$6,2,IF(V1073&lt;=Breakdowns!$D$7,3,4))))</f>
        <v>2</v>
      </c>
      <c r="Y1073" s="34">
        <f>INDEX(Stores!$F$2:$F$21,MATCH(B1073,Stores!$A$2:$A$21,0))</f>
        <v>5.31</v>
      </c>
      <c r="Z1073" s="33">
        <f>IF(Y1073&gt;Store_Summary!$M$2,1,0)</f>
        <v>1</v>
      </c>
      <c r="AA1073" s="33">
        <f>INDEX(Stores!$C$2:$C$21,MATCH(B1073,Stores!$A$2:$A$21,0))</f>
        <v>214</v>
      </c>
      <c r="AB1073" s="33">
        <f>IF(AA1073&lt;180,1,0)</f>
        <v>0</v>
      </c>
      <c r="AC1073" s="32" t="str">
        <f>IF(Orders!D1070="","",INDEX(Riders!$C$2:$C$81,MATCH(Orders!D1070,Riders!$A$2:$A$81,0)))</f>
        <v>EV scooter</v>
      </c>
      <c r="AD1073" s="33">
        <f>IF(Orders!D1070="","",INDEX(Riders!$D$2:$D$81,MATCH(Orders!D1070,Riders!$A$2:$A$81,0)))</f>
        <v>38</v>
      </c>
      <c r="AE1073" s="33">
        <f>IF(Orders!D1070="","",IF(INDEX(Riders!$B$2:$B$81,MATCH(Orders!D1070,Riders!$A$2:$A$81,0))=B1073,1,0))</f>
        <v>0</v>
      </c>
      <c r="AF1073" s="34">
        <f>IF(E1073=1,Orders!L1070,"")</f>
        <v>0.86</v>
      </c>
      <c r="AG1073" s="34">
        <f>IF(E1073=1,Orders!P1070,"")</f>
        <v>9.9</v>
      </c>
      <c r="AH1073" s="34">
        <f>IF(E1073=1,Orders!Q1070,"")</f>
        <v>17.2</v>
      </c>
      <c r="AI1073" s="34">
        <f>IF(E1073=1,Orders!M1070,"")</f>
        <v>5.4</v>
      </c>
      <c r="AJ1073" s="34">
        <f>IF(E1073=1,Orders!N1070,"")</f>
        <v>7.8</v>
      </c>
      <c r="AK1073" s="34">
        <f>IF(E1073=1,Orders!O1070,"")</f>
        <v>4</v>
      </c>
      <c r="AL1073" s="33">
        <f>IF(E1073=1,IF(ROUND(ABS(AI1073+AJ1073+AK1073-AH1073),6)&lt;=0.1,1,0),"")</f>
        <v>1</v>
      </c>
      <c r="AM1073" s="36">
        <f>IF(E1073=1,AI1073/AH1073,"")</f>
        <v>0.313953488372093</v>
      </c>
      <c r="AN1073" s="36">
        <f>IF(E1073=1,AJ1073/AH1073,"")</f>
        <v>0.453488372093023</v>
      </c>
      <c r="AO1073" s="36">
        <f>IF(E1073=1,AK1073/AH1073,"")</f>
        <v>0.232558139534884</v>
      </c>
      <c r="AP1073" s="34">
        <f>IF(E1073=1,Orders!Y1070,"")</f>
        <v>0.16</v>
      </c>
      <c r="AQ1073" s="33">
        <f>IF(Orders!X1070,1,0)</f>
        <v>0</v>
      </c>
      <c r="AR1073" s="34" t="str">
        <f>IF(AND(E1073=1,L1073=1),AJ1073,"")</f>
        <v/>
      </c>
      <c r="AS1073" s="34">
        <f>IF(AND(E1073=1,L1073=0),AJ1073,"")</f>
        <v>7.8</v>
      </c>
      <c r="AT1073" s="34" t="str">
        <f>IF(AND(E1073=1,L1073=1),AI1073,"")</f>
        <v/>
      </c>
      <c r="AU1073" s="34">
        <f>IF(AND(E1073=1,L1073=0),AI1073,"")</f>
        <v>5.4</v>
      </c>
      <c r="AV1073" s="34" t="str">
        <f>IF(AND(E1073=1,L1073=1),AG1073,"")</f>
        <v/>
      </c>
      <c r="AW1073" s="34">
        <f>IF(AND(E1073=1,L1073=0),AG1073,"")</f>
        <v>9.9</v>
      </c>
      <c r="AX1073" s="34" t="str">
        <f>IF(AND(E1073=1,L1073=1),AH1073,"")</f>
        <v/>
      </c>
      <c r="AY1073" s="34">
        <f>IF(AND(E1073=1,L1073=0),AH1073,"")</f>
        <v>17.2</v>
      </c>
      <c r="AZ1073" s="34">
        <f>IF(G1073=1,F1073,"")</f>
        <v>7.3</v>
      </c>
      <c r="BA1073" s="34" t="str">
        <f>IF(AND(G1073=1,L1073=1),F1073,"")</f>
        <v/>
      </c>
      <c r="BB1073" s="34">
        <f>IF(AND(G1073=1,L1073=0),F1073,"")</f>
        <v>7.3</v>
      </c>
      <c r="BC1073" s="33">
        <f>IF(E1073=1,IF(Orders!R1070&gt;3,1,0),"")</f>
        <v>1</v>
      </c>
      <c r="BD1073" s="33">
        <f>IF(E1073=1,IF(Orders!R1070&gt;7,1,0),"")</f>
        <v>1</v>
      </c>
      <c r="BE1073" s="32" t="str">
        <f>IF(E1073=1,IF(Orders!L1070&lt;=1.5,"Up to 1.5 km",IF(Orders!L1070&lt;=3,"1.5–3 km","Over 3 km")),"")</f>
        <v>Up to 1.5 km</v>
      </c>
      <c r="BF1073" s="33">
        <f>IF(E1073=1,IF(ABS((Orders!G1070-Orders!F1070)*1440-Orders!R1070)&lt;0.06,1,0),"")</f>
        <v>1</v>
      </c>
      <c r="BG1073" s="33">
        <f>IF(ABS((Orders!F1070-Orders!E1070)*1440-Orders!P1070)&lt;0.06,1,0)</f>
        <v>1</v>
      </c>
      <c r="BH1073" s="33">
        <f>IF(E1073=1,IF(IF(Orders!S1070,1,0)=1-G1073,1,0),"")</f>
        <v>1</v>
      </c>
      <c r="BI1073" s="32" t="str">
        <f>INDEX(Stores!$B$2:$B$21,MATCH(B1073,Stores!$A$2:$A$21,0))</f>
        <v>Mumbai</v>
      </c>
    </row>
    <row r="1074">
      <c r="A1074" s="32" t="str">
        <f>Orders!A1071</f>
        <v>O01070</v>
      </c>
      <c r="B1074" s="32" t="str">
        <f>Orders!C1071</f>
        <v>S009</v>
      </c>
      <c r="C1074" s="32" t="str">
        <f>Orders!B1071</f>
        <v>C0134</v>
      </c>
      <c r="D1074" s="32" t="str">
        <f>Orders!H1071</f>
        <v>Delivered</v>
      </c>
      <c r="E1074" s="33">
        <f>IF(Orders!H1071="Delivered",1,0)</f>
        <v>1</v>
      </c>
      <c r="F1074" s="34">
        <f>IF(E1074=1,Orders!R1071,"")</f>
        <v>-0.8</v>
      </c>
      <c r="G1074" s="33">
        <f>IF(E1074=1,IF(Orders!R1071&gt;0,1,0),"")</f>
        <v>0</v>
      </c>
      <c r="H1074" s="33">
        <f>IF(E1074=1,IF(Orders!R1071&gt;5,1,0),"")</f>
        <v>0</v>
      </c>
      <c r="I1074" s="32" t="str">
        <f>IF(E1074=1,"",IF(OR(Orders!T1071="Rider unavailable",Orders!T1071="Item unavailable"),"Company-caused","Unresolved"))</f>
        <v/>
      </c>
      <c r="J1074" s="33">
        <f>IF(OR(E1074=1,I1074="Company-caused"),1,0)</f>
        <v>1</v>
      </c>
      <c r="K1074" s="32" t="str">
        <f>IF(E1074=0,IF(I1074="Company-caused",IF(Orders!T1071="Rider unavailable","C1 Rider unavailable","C2 Item unavailable"),"Outside root: unresolved"),IF(G1074=0,"A On time",IF(H1074=1,IF(L1074=1,"B2a Severe, peak","B2b Severe, off-peak"),IF(L1074=1,"B1a Slight, peak","B1b Slight, off-peak"))))</f>
        <v>A On time</v>
      </c>
      <c r="L1074" s="33">
        <f>IF(AND(Orders!U1071&gt;=19,Orders!U1071&lt;22),1,0)</f>
        <v>0</v>
      </c>
      <c r="M1074" s="33">
        <f>IF(L1074=IF(Orders!V1071,1,0),1,0)</f>
        <v>1</v>
      </c>
      <c r="N1074" s="32" t="str">
        <f>IF(Orders!W1071="","None",Orders!W1071)</f>
        <v>None</v>
      </c>
      <c r="O1074" s="35">
        <f>INT(Orders!E1071)</f>
        <v>46278.0</v>
      </c>
      <c r="P1074" s="33">
        <f>Orders!U1071</f>
        <v>10</v>
      </c>
      <c r="Q1074" s="33">
        <f>COUNTIFS(Demand!$A$2:$A$4481,B1074,Demand!$B$2:$B$4481,O1074,Demand!$C$2:$C$4481,P1074)</f>
        <v>1</v>
      </c>
      <c r="R1074" s="33">
        <f>IF(Q1074=1,SUMIFS(Demand!$E$2:$E$4481,Demand!$A$2:$A$4481,B1074,Demand!$B$2:$B$4481,O1074,Demand!$C$2:$C$4481,P1074),"")</f>
        <v>22</v>
      </c>
      <c r="S1074" s="33">
        <f>INDEX(Stores!$G$2:$G$21,MATCH(B1074,Stores!$A$2:$A$21,0))</f>
        <v>29</v>
      </c>
      <c r="T1074" s="34">
        <f>IF(R1074="","",R1074/S1074)</f>
        <v>0.758620689655172</v>
      </c>
      <c r="U1074" s="34">
        <f>IF(E1074=1,T1074,"")</f>
        <v>0.758620689655172</v>
      </c>
      <c r="V1074" s="34">
        <f>IF(AND(E1074=1,L1074=0),T1074,"")</f>
        <v>0.758620689655172</v>
      </c>
      <c r="W1074" s="33">
        <f>IF(U1074="","",IF(U1074&lt;=Breakdowns!$C$5,1,IF(U1074&lt;=Breakdowns!$C$6,2,IF(U1074&lt;=Breakdowns!$C$7,3,4))))</f>
        <v>1</v>
      </c>
      <c r="X1074" s="33">
        <f>IF(V1074="","",IF(V1074&lt;=Breakdowns!$D$5,1,IF(V1074&lt;=Breakdowns!$D$6,2,IF(V1074&lt;=Breakdowns!$D$7,3,4))))</f>
        <v>2</v>
      </c>
      <c r="Y1074" s="34">
        <f>INDEX(Stores!$F$2:$F$21,MATCH(B1074,Stores!$A$2:$A$21,0))</f>
        <v>2.66</v>
      </c>
      <c r="Z1074" s="33">
        <f>IF(Y1074&gt;Store_Summary!$M$2,1,0)</f>
        <v>0</v>
      </c>
      <c r="AA1074" s="33">
        <f>INDEX(Stores!$C$2:$C$21,MATCH(B1074,Stores!$A$2:$A$21,0))</f>
        <v>645</v>
      </c>
      <c r="AB1074" s="33">
        <f>IF(AA1074&lt;180,1,0)</f>
        <v>0</v>
      </c>
      <c r="AC1074" s="32" t="str">
        <f>IF(Orders!D1071="","",INDEX(Riders!$C$2:$C$81,MATCH(Orders!D1071,Riders!$A$2:$A$81,0)))</f>
        <v>EV scooter</v>
      </c>
      <c r="AD1074" s="33">
        <f>IF(Orders!D1071="","",INDEX(Riders!$D$2:$D$81,MATCH(Orders!D1071,Riders!$A$2:$A$81,0)))</f>
        <v>38</v>
      </c>
      <c r="AE1074" s="33">
        <f>IF(Orders!D1071="","",IF(INDEX(Riders!$B$2:$B$81,MATCH(Orders!D1071,Riders!$A$2:$A$81,0))=B1074,1,0))</f>
        <v>0</v>
      </c>
      <c r="AF1074" s="34">
        <f>IF(E1074=1,Orders!L1071,"")</f>
        <v>0.63</v>
      </c>
      <c r="AG1074" s="34">
        <f>IF(E1074=1,Orders!P1071,"")</f>
        <v>9.7</v>
      </c>
      <c r="AH1074" s="34">
        <f>IF(E1074=1,Orders!Q1071,"")</f>
        <v>8.9</v>
      </c>
      <c r="AI1074" s="34">
        <f>IF(E1074=1,Orders!M1071,"")</f>
        <v>1.5</v>
      </c>
      <c r="AJ1074" s="34">
        <f>IF(E1074=1,Orders!N1071,"")</f>
        <v>5.7</v>
      </c>
      <c r="AK1074" s="34">
        <f>IF(E1074=1,Orders!O1071,"")</f>
        <v>1.7</v>
      </c>
      <c r="AL1074" s="33">
        <f>IF(E1074=1,IF(ROUND(ABS(AI1074+AJ1074+AK1074-AH1074),6)&lt;=0.1,1,0),"")</f>
        <v>1</v>
      </c>
      <c r="AM1074" s="36">
        <f>IF(E1074=1,AI1074/AH1074,"")</f>
        <v>0.168539325842697</v>
      </c>
      <c r="AN1074" s="36">
        <f>IF(E1074=1,AJ1074/AH1074,"")</f>
        <v>0.640449438202247</v>
      </c>
      <c r="AO1074" s="36">
        <f>IF(E1074=1,AK1074/AH1074,"")</f>
        <v>0.191011235955056</v>
      </c>
      <c r="AP1074" s="34">
        <f>IF(E1074=1,Orders!Y1071,"")</f>
        <v>0.46</v>
      </c>
      <c r="AQ1074" s="33">
        <f>IF(Orders!X1071,1,0)</f>
        <v>0</v>
      </c>
      <c r="AR1074" s="34" t="str">
        <f>IF(AND(E1074=1,L1074=1),AJ1074,"")</f>
        <v/>
      </c>
      <c r="AS1074" s="34">
        <f>IF(AND(E1074=1,L1074=0),AJ1074,"")</f>
        <v>5.7</v>
      </c>
      <c r="AT1074" s="34" t="str">
        <f>IF(AND(E1074=1,L1074=1),AI1074,"")</f>
        <v/>
      </c>
      <c r="AU1074" s="34">
        <f>IF(AND(E1074=1,L1074=0),AI1074,"")</f>
        <v>1.5</v>
      </c>
      <c r="AV1074" s="34" t="str">
        <f>IF(AND(E1074=1,L1074=1),AG1074,"")</f>
        <v/>
      </c>
      <c r="AW1074" s="34">
        <f>IF(AND(E1074=1,L1074=0),AG1074,"")</f>
        <v>9.7</v>
      </c>
      <c r="AX1074" s="34" t="str">
        <f>IF(AND(E1074=1,L1074=1),AH1074,"")</f>
        <v/>
      </c>
      <c r="AY1074" s="34">
        <f>IF(AND(E1074=1,L1074=0),AH1074,"")</f>
        <v>8.9</v>
      </c>
      <c r="AZ1074" s="34" t="str">
        <f>IF(G1074=1,F1074,"")</f>
        <v/>
      </c>
      <c r="BA1074" s="34" t="str">
        <f>IF(AND(G1074=1,L1074=1),F1074,"")</f>
        <v/>
      </c>
      <c r="BB1074" s="34" t="str">
        <f>IF(AND(G1074=1,L1074=0),F1074,"")</f>
        <v/>
      </c>
      <c r="BC1074" s="33">
        <f>IF(E1074=1,IF(Orders!R1071&gt;3,1,0),"")</f>
        <v>0</v>
      </c>
      <c r="BD1074" s="33">
        <f>IF(E1074=1,IF(Orders!R1071&gt;7,1,0),"")</f>
        <v>0</v>
      </c>
      <c r="BE1074" s="32" t="str">
        <f>IF(E1074=1,IF(Orders!L1071&lt;=1.5,"Up to 1.5 km",IF(Orders!L1071&lt;=3,"1.5–3 km","Over 3 km")),"")</f>
        <v>Up to 1.5 km</v>
      </c>
      <c r="BF1074" s="33">
        <f>IF(E1074=1,IF(ABS((Orders!G1071-Orders!F1071)*1440-Orders!R1071)&lt;0.06,1,0),"")</f>
        <v>1</v>
      </c>
      <c r="BG1074" s="33">
        <f>IF(ABS((Orders!F1071-Orders!E1071)*1440-Orders!P1071)&lt;0.06,1,0)</f>
        <v>1</v>
      </c>
      <c r="BH1074" s="33">
        <f>IF(E1074=1,IF(IF(Orders!S1071,1,0)=1-G1074,1,0),"")</f>
        <v>1</v>
      </c>
      <c r="BI1074" s="32" t="str">
        <f>INDEX(Stores!$B$2:$B$21,MATCH(B1074,Stores!$A$2:$A$21,0))</f>
        <v>Pune</v>
      </c>
    </row>
    <row r="1075">
      <c r="A1075" s="32" t="str">
        <f>Orders!A1072</f>
        <v>O01071</v>
      </c>
      <c r="B1075" s="32" t="str">
        <f>Orders!C1072</f>
        <v>S002</v>
      </c>
      <c r="C1075" s="32" t="str">
        <f>Orders!B1072</f>
        <v>C0053</v>
      </c>
      <c r="D1075" s="32" t="str">
        <f>Orders!H1072</f>
        <v>Delivered</v>
      </c>
      <c r="E1075" s="33">
        <f>IF(Orders!H1072="Delivered",1,0)</f>
        <v>1</v>
      </c>
      <c r="F1075" s="34">
        <f>IF(E1075=1,Orders!R1072,"")</f>
        <v>-0.1</v>
      </c>
      <c r="G1075" s="33">
        <f>IF(E1075=1,IF(Orders!R1072&gt;0,1,0),"")</f>
        <v>0</v>
      </c>
      <c r="H1075" s="33">
        <f>IF(E1075=1,IF(Orders!R1072&gt;5,1,0),"")</f>
        <v>0</v>
      </c>
      <c r="I1075" s="32" t="str">
        <f>IF(E1075=1,"",IF(OR(Orders!T1072="Rider unavailable",Orders!T1072="Item unavailable"),"Company-caused","Unresolved"))</f>
        <v/>
      </c>
      <c r="J1075" s="33">
        <f>IF(OR(E1075=1,I1075="Company-caused"),1,0)</f>
        <v>1</v>
      </c>
      <c r="K1075" s="32" t="str">
        <f>IF(E1075=0,IF(I1075="Company-caused",IF(Orders!T1072="Rider unavailable","C1 Rider unavailable","C2 Item unavailable"),"Outside root: unresolved"),IF(G1075=0,"A On time",IF(H1075=1,IF(L1075=1,"B2a Severe, peak","B2b Severe, off-peak"),IF(L1075=1,"B1a Slight, peak","B1b Slight, off-peak"))))</f>
        <v>A On time</v>
      </c>
      <c r="L1075" s="33">
        <f>IF(AND(Orders!U1072&gt;=19,Orders!U1072&lt;22),1,0)</f>
        <v>0</v>
      </c>
      <c r="M1075" s="33">
        <f>IF(L1075=IF(Orders!V1072,1,0),1,0)</f>
        <v>1</v>
      </c>
      <c r="N1075" s="32" t="str">
        <f>IF(Orders!W1072="","None",Orders!W1072)</f>
        <v>Light</v>
      </c>
      <c r="O1075" s="35">
        <f>INT(Orders!E1072)</f>
        <v>46275.0</v>
      </c>
      <c r="P1075" s="33">
        <f>Orders!U1072</f>
        <v>23</v>
      </c>
      <c r="Q1075" s="33">
        <f>COUNTIFS(Demand!$A$2:$A$4481,B1075,Demand!$B$2:$B$4481,O1075,Demand!$C$2:$C$4481,P1075)</f>
        <v>1</v>
      </c>
      <c r="R1075" s="33">
        <f>IF(Q1075=1,SUMIFS(Demand!$E$2:$E$4481,Demand!$A$2:$A$4481,B1075,Demand!$B$2:$B$4481,O1075,Demand!$C$2:$C$4481,P1075),"")</f>
        <v>34</v>
      </c>
      <c r="S1075" s="33">
        <f>INDEX(Stores!$G$2:$G$21,MATCH(B1075,Stores!$A$2:$A$21,0))</f>
        <v>33</v>
      </c>
      <c r="T1075" s="34">
        <f>IF(R1075="","",R1075/S1075)</f>
        <v>1.03030303030303</v>
      </c>
      <c r="U1075" s="34">
        <f>IF(E1075=1,T1075,"")</f>
        <v>1.03030303030303</v>
      </c>
      <c r="V1075" s="34">
        <f>IF(AND(E1075=1,L1075=0),T1075,"")</f>
        <v>1.03030303030303</v>
      </c>
      <c r="W1075" s="33">
        <f>IF(U1075="","",IF(U1075&lt;=Breakdowns!$C$5,1,IF(U1075&lt;=Breakdowns!$C$6,2,IF(U1075&lt;=Breakdowns!$C$7,3,4))))</f>
        <v>3</v>
      </c>
      <c r="X1075" s="33">
        <f>IF(V1075="","",IF(V1075&lt;=Breakdowns!$D$5,1,IF(V1075&lt;=Breakdowns!$D$6,2,IF(V1075&lt;=Breakdowns!$D$7,3,4))))</f>
        <v>3</v>
      </c>
      <c r="Y1075" s="34">
        <f>INDEX(Stores!$F$2:$F$21,MATCH(B1075,Stores!$A$2:$A$21,0))</f>
        <v>2.39</v>
      </c>
      <c r="Z1075" s="33">
        <f>IF(Y1075&gt;Store_Summary!$M$2,1,0)</f>
        <v>0</v>
      </c>
      <c r="AA1075" s="33">
        <f>INDEX(Stores!$C$2:$C$21,MATCH(B1075,Stores!$A$2:$A$21,0))</f>
        <v>470</v>
      </c>
      <c r="AB1075" s="33">
        <f>IF(AA1075&lt;180,1,0)</f>
        <v>0</v>
      </c>
      <c r="AC1075" s="32" t="str">
        <f>IF(Orders!D1072="","",INDEX(Riders!$C$2:$C$81,MATCH(Orders!D1072,Riders!$A$2:$A$81,0)))</f>
        <v>Petrol scooter</v>
      </c>
      <c r="AD1075" s="33">
        <f>IF(Orders!D1072="","",INDEX(Riders!$D$2:$D$81,MATCH(Orders!D1072,Riders!$A$2:$A$81,0)))</f>
        <v>43</v>
      </c>
      <c r="AE1075" s="33">
        <f>IF(Orders!D1072="","",IF(INDEX(Riders!$B$2:$B$81,MATCH(Orders!D1072,Riders!$A$2:$A$81,0))=B1075,1,0))</f>
        <v>0</v>
      </c>
      <c r="AF1075" s="34">
        <f>IF(E1075=1,Orders!L1072,"")</f>
        <v>1.15</v>
      </c>
      <c r="AG1075" s="34">
        <f>IF(E1075=1,Orders!P1072,"")</f>
        <v>11.7</v>
      </c>
      <c r="AH1075" s="34">
        <f>IF(E1075=1,Orders!Q1072,"")</f>
        <v>11.6</v>
      </c>
      <c r="AI1075" s="34">
        <f>IF(E1075=1,Orders!M1072,"")</f>
        <v>3.1</v>
      </c>
      <c r="AJ1075" s="34">
        <f>IF(E1075=1,Orders!N1072,"")</f>
        <v>4.4</v>
      </c>
      <c r="AK1075" s="34">
        <f>IF(E1075=1,Orders!O1072,"")</f>
        <v>4.2</v>
      </c>
      <c r="AL1075" s="33">
        <f>IF(E1075=1,IF(ROUND(ABS(AI1075+AJ1075+AK1075-AH1075),6)&lt;=0.1,1,0),"")</f>
        <v>1</v>
      </c>
      <c r="AM1075" s="36">
        <f>IF(E1075=1,AI1075/AH1075,"")</f>
        <v>0.267241379310345</v>
      </c>
      <c r="AN1075" s="36">
        <f>IF(E1075=1,AJ1075/AH1075,"")</f>
        <v>0.379310344827586</v>
      </c>
      <c r="AO1075" s="36">
        <f>IF(E1075=1,AK1075/AH1075,"")</f>
        <v>0.362068965517241</v>
      </c>
      <c r="AP1075" s="34">
        <f>IF(E1075=1,Orders!Y1072,"")</f>
        <v>0.47</v>
      </c>
      <c r="AQ1075" s="33">
        <f>IF(Orders!X1072,1,0)</f>
        <v>0</v>
      </c>
      <c r="AR1075" s="34" t="str">
        <f>IF(AND(E1075=1,L1075=1),AJ1075,"")</f>
        <v/>
      </c>
      <c r="AS1075" s="34">
        <f>IF(AND(E1075=1,L1075=0),AJ1075,"")</f>
        <v>4.4</v>
      </c>
      <c r="AT1075" s="34" t="str">
        <f>IF(AND(E1075=1,L1075=1),AI1075,"")</f>
        <v/>
      </c>
      <c r="AU1075" s="34">
        <f>IF(AND(E1075=1,L1075=0),AI1075,"")</f>
        <v>3.1</v>
      </c>
      <c r="AV1075" s="34" t="str">
        <f>IF(AND(E1075=1,L1075=1),AG1075,"")</f>
        <v/>
      </c>
      <c r="AW1075" s="34">
        <f>IF(AND(E1075=1,L1075=0),AG1075,"")</f>
        <v>11.7</v>
      </c>
      <c r="AX1075" s="34" t="str">
        <f>IF(AND(E1075=1,L1075=1),AH1075,"")</f>
        <v/>
      </c>
      <c r="AY1075" s="34">
        <f>IF(AND(E1075=1,L1075=0),AH1075,"")</f>
        <v>11.6</v>
      </c>
      <c r="AZ1075" s="34" t="str">
        <f>IF(G1075=1,F1075,"")</f>
        <v/>
      </c>
      <c r="BA1075" s="34" t="str">
        <f>IF(AND(G1075=1,L1075=1),F1075,"")</f>
        <v/>
      </c>
      <c r="BB1075" s="34" t="str">
        <f>IF(AND(G1075=1,L1075=0),F1075,"")</f>
        <v/>
      </c>
      <c r="BC1075" s="33">
        <f>IF(E1075=1,IF(Orders!R1072&gt;3,1,0),"")</f>
        <v>0</v>
      </c>
      <c r="BD1075" s="33">
        <f>IF(E1075=1,IF(Orders!R1072&gt;7,1,0),"")</f>
        <v>0</v>
      </c>
      <c r="BE1075" s="32" t="str">
        <f>IF(E1075=1,IF(Orders!L1072&lt;=1.5,"Up to 1.5 km",IF(Orders!L1072&lt;=3,"1.5–3 km","Over 3 km")),"")</f>
        <v>Up to 1.5 km</v>
      </c>
      <c r="BF1075" s="33">
        <f>IF(E1075=1,IF(ABS((Orders!G1072-Orders!F1072)*1440-Orders!R1072)&lt;0.06,1,0),"")</f>
        <v>1</v>
      </c>
      <c r="BG1075" s="33">
        <f>IF(ABS((Orders!F1072-Orders!E1072)*1440-Orders!P1072)&lt;0.06,1,0)</f>
        <v>1</v>
      </c>
      <c r="BH1075" s="33">
        <f>IF(E1075=1,IF(IF(Orders!S1072,1,0)=1-G1075,1,0),"")</f>
        <v>1</v>
      </c>
      <c r="BI1075" s="32" t="str">
        <f>INDEX(Stores!$B$2:$B$21,MATCH(B1075,Stores!$A$2:$A$21,0))</f>
        <v>Hyderabad</v>
      </c>
    </row>
    <row r="1076">
      <c r="A1076" s="32" t="str">
        <f>Orders!A1073</f>
        <v>O01072</v>
      </c>
      <c r="B1076" s="32" t="str">
        <f>Orders!C1073</f>
        <v>S004</v>
      </c>
      <c r="C1076" s="32" t="str">
        <f>Orders!B1073</f>
        <v>C0123</v>
      </c>
      <c r="D1076" s="32" t="str">
        <f>Orders!H1073</f>
        <v>Delivered</v>
      </c>
      <c r="E1076" s="33">
        <f>IF(Orders!H1073="Delivered",1,0)</f>
        <v>1</v>
      </c>
      <c r="F1076" s="34">
        <f>IF(E1076=1,Orders!R1073,"")</f>
        <v>-1.4</v>
      </c>
      <c r="G1076" s="33">
        <f>IF(E1076=1,IF(Orders!R1073&gt;0,1,0),"")</f>
        <v>0</v>
      </c>
      <c r="H1076" s="33">
        <f>IF(E1076=1,IF(Orders!R1073&gt;5,1,0),"")</f>
        <v>0</v>
      </c>
      <c r="I1076" s="32" t="str">
        <f>IF(E1076=1,"",IF(OR(Orders!T1073="Rider unavailable",Orders!T1073="Item unavailable"),"Company-caused","Unresolved"))</f>
        <v/>
      </c>
      <c r="J1076" s="33">
        <f>IF(OR(E1076=1,I1076="Company-caused"),1,0)</f>
        <v>1</v>
      </c>
      <c r="K1076" s="32" t="str">
        <f>IF(E1076=0,IF(I1076="Company-caused",IF(Orders!T1073="Rider unavailable","C1 Rider unavailable","C2 Item unavailable"),"Outside root: unresolved"),IF(G1076=0,"A On time",IF(H1076=1,IF(L1076=1,"B2a Severe, peak","B2b Severe, off-peak"),IF(L1076=1,"B1a Slight, peak","B1b Slight, off-peak"))))</f>
        <v>A On time</v>
      </c>
      <c r="L1076" s="33">
        <f>IF(AND(Orders!U1073&gt;=19,Orders!U1073&lt;22),1,0)</f>
        <v>0</v>
      </c>
      <c r="M1076" s="33">
        <f>IF(L1076=IF(Orders!V1073,1,0),1,0)</f>
        <v>1</v>
      </c>
      <c r="N1076" s="32" t="str">
        <f>IF(Orders!W1073="","None",Orders!W1073)</f>
        <v>Light</v>
      </c>
      <c r="O1076" s="35">
        <f>INT(Orders!E1073)</f>
        <v>46275.0</v>
      </c>
      <c r="P1076" s="33">
        <f>Orders!U1073</f>
        <v>14</v>
      </c>
      <c r="Q1076" s="33">
        <f>COUNTIFS(Demand!$A$2:$A$4481,B1076,Demand!$B$2:$B$4481,O1076,Demand!$C$2:$C$4481,P1076)</f>
        <v>1</v>
      </c>
      <c r="R1076" s="33">
        <f>IF(Q1076=1,SUMIFS(Demand!$E$2:$E$4481,Demand!$A$2:$A$4481,B1076,Demand!$B$2:$B$4481,O1076,Demand!$C$2:$C$4481,P1076),"")</f>
        <v>30</v>
      </c>
      <c r="S1076" s="33">
        <f>INDEX(Stores!$G$2:$G$21,MATCH(B1076,Stores!$A$2:$A$21,0))</f>
        <v>42</v>
      </c>
      <c r="T1076" s="34">
        <f>IF(R1076="","",R1076/S1076)</f>
        <v>0.714285714285714</v>
      </c>
      <c r="U1076" s="34">
        <f>IF(E1076=1,T1076,"")</f>
        <v>0.714285714285714</v>
      </c>
      <c r="V1076" s="34">
        <f>IF(AND(E1076=1,L1076=0),T1076,"")</f>
        <v>0.714285714285714</v>
      </c>
      <c r="W1076" s="33">
        <f>IF(U1076="","",IF(U1076&lt;=Breakdowns!$C$5,1,IF(U1076&lt;=Breakdowns!$C$6,2,IF(U1076&lt;=Breakdowns!$C$7,3,4))))</f>
        <v>1</v>
      </c>
      <c r="X1076" s="33">
        <f>IF(V1076="","",IF(V1076&lt;=Breakdowns!$D$5,1,IF(V1076&lt;=Breakdowns!$D$6,2,IF(V1076&lt;=Breakdowns!$D$7,3,4))))</f>
        <v>1</v>
      </c>
      <c r="Y1076" s="34">
        <f>INDEX(Stores!$F$2:$F$21,MATCH(B1076,Stores!$A$2:$A$21,0))</f>
        <v>2.19</v>
      </c>
      <c r="Z1076" s="33">
        <f>IF(Y1076&gt;Store_Summary!$M$2,1,0)</f>
        <v>0</v>
      </c>
      <c r="AA1076" s="33">
        <f>INDEX(Stores!$C$2:$C$21,MATCH(B1076,Stores!$A$2:$A$21,0))</f>
        <v>850</v>
      </c>
      <c r="AB1076" s="33">
        <f>IF(AA1076&lt;180,1,0)</f>
        <v>0</v>
      </c>
      <c r="AC1076" s="32" t="str">
        <f>IF(Orders!D1073="","",INDEX(Riders!$C$2:$C$81,MATCH(Orders!D1073,Riders!$A$2:$A$81,0)))</f>
        <v>EV scooter</v>
      </c>
      <c r="AD1076" s="33">
        <f>IF(Orders!D1073="","",INDEX(Riders!$D$2:$D$81,MATCH(Orders!D1073,Riders!$A$2:$A$81,0)))</f>
        <v>2</v>
      </c>
      <c r="AE1076" s="33">
        <f>IF(Orders!D1073="","",IF(INDEX(Riders!$B$2:$B$81,MATCH(Orders!D1073,Riders!$A$2:$A$81,0))=B1076,1,0))</f>
        <v>0</v>
      </c>
      <c r="AF1076" s="34">
        <f>IF(E1076=1,Orders!L1073,"")</f>
        <v>0.55</v>
      </c>
      <c r="AG1076" s="34">
        <f>IF(E1076=1,Orders!P1073,"")</f>
        <v>9.4</v>
      </c>
      <c r="AH1076" s="34">
        <f>IF(E1076=1,Orders!Q1073,"")</f>
        <v>8</v>
      </c>
      <c r="AI1076" s="34">
        <f>IF(E1076=1,Orders!M1073,"")</f>
        <v>1.2</v>
      </c>
      <c r="AJ1076" s="34">
        <f>IF(E1076=1,Orders!N1073,"")</f>
        <v>3.6</v>
      </c>
      <c r="AK1076" s="34">
        <f>IF(E1076=1,Orders!O1073,"")</f>
        <v>3.3</v>
      </c>
      <c r="AL1076" s="33">
        <f>IF(E1076=1,IF(ROUND(ABS(AI1076+AJ1076+AK1076-AH1076),6)&lt;=0.1,1,0),"")</f>
        <v>1</v>
      </c>
      <c r="AM1076" s="36">
        <f>IF(E1076=1,AI1076/AH1076,"")</f>
        <v>0.15</v>
      </c>
      <c r="AN1076" s="36">
        <f>IF(E1076=1,AJ1076/AH1076,"")</f>
        <v>0.45</v>
      </c>
      <c r="AO1076" s="36">
        <f>IF(E1076=1,AK1076/AH1076,"")</f>
        <v>0.4125</v>
      </c>
      <c r="AP1076" s="34">
        <f>IF(E1076=1,Orders!Y1073,"")</f>
        <v>0.42</v>
      </c>
      <c r="AQ1076" s="33">
        <f>IF(Orders!X1073,1,0)</f>
        <v>0</v>
      </c>
      <c r="AR1076" s="34" t="str">
        <f>IF(AND(E1076=1,L1076=1),AJ1076,"")</f>
        <v/>
      </c>
      <c r="AS1076" s="34">
        <f>IF(AND(E1076=1,L1076=0),AJ1076,"")</f>
        <v>3.6</v>
      </c>
      <c r="AT1076" s="34" t="str">
        <f>IF(AND(E1076=1,L1076=1),AI1076,"")</f>
        <v/>
      </c>
      <c r="AU1076" s="34">
        <f>IF(AND(E1076=1,L1076=0),AI1076,"")</f>
        <v>1.2</v>
      </c>
      <c r="AV1076" s="34" t="str">
        <f>IF(AND(E1076=1,L1076=1),AG1076,"")</f>
        <v/>
      </c>
      <c r="AW1076" s="34">
        <f>IF(AND(E1076=1,L1076=0),AG1076,"")</f>
        <v>9.4</v>
      </c>
      <c r="AX1076" s="34" t="str">
        <f>IF(AND(E1076=1,L1076=1),AH1076,"")</f>
        <v/>
      </c>
      <c r="AY1076" s="34">
        <f>IF(AND(E1076=1,L1076=0),AH1076,"")</f>
        <v>8</v>
      </c>
      <c r="AZ1076" s="34" t="str">
        <f>IF(G1076=1,F1076,"")</f>
        <v/>
      </c>
      <c r="BA1076" s="34" t="str">
        <f>IF(AND(G1076=1,L1076=1),F1076,"")</f>
        <v/>
      </c>
      <c r="BB1076" s="34" t="str">
        <f>IF(AND(G1076=1,L1076=0),F1076,"")</f>
        <v/>
      </c>
      <c r="BC1076" s="33">
        <f>IF(E1076=1,IF(Orders!R1073&gt;3,1,0),"")</f>
        <v>0</v>
      </c>
      <c r="BD1076" s="33">
        <f>IF(E1076=1,IF(Orders!R1073&gt;7,1,0),"")</f>
        <v>0</v>
      </c>
      <c r="BE1076" s="32" t="str">
        <f>IF(E1076=1,IF(Orders!L1073&lt;=1.5,"Up to 1.5 km",IF(Orders!L1073&lt;=3,"1.5–3 km","Over 3 km")),"")</f>
        <v>Up to 1.5 km</v>
      </c>
      <c r="BF1076" s="33">
        <f>IF(E1076=1,IF(ABS((Orders!G1073-Orders!F1073)*1440-Orders!R1073)&lt;0.06,1,0),"")</f>
        <v>1</v>
      </c>
      <c r="BG1076" s="33">
        <f>IF(ABS((Orders!F1073-Orders!E1073)*1440-Orders!P1073)&lt;0.06,1,0)</f>
        <v>1</v>
      </c>
      <c r="BH1076" s="33">
        <f>IF(E1076=1,IF(IF(Orders!S1073,1,0)=1-G1076,1,0),"")</f>
        <v>1</v>
      </c>
      <c r="BI1076" s="32" t="str">
        <f>INDEX(Stores!$B$2:$B$21,MATCH(B1076,Stores!$A$2:$A$21,0))</f>
        <v>Pune</v>
      </c>
    </row>
    <row r="1077">
      <c r="A1077" s="32" t="str">
        <f>Orders!A1074</f>
        <v>O01073</v>
      </c>
      <c r="B1077" s="32" t="str">
        <f>Orders!C1074</f>
        <v>S009</v>
      </c>
      <c r="C1077" s="32" t="str">
        <f>Orders!B1074</f>
        <v>C0042</v>
      </c>
      <c r="D1077" s="32" t="str">
        <f>Orders!H1074</f>
        <v>Delivered</v>
      </c>
      <c r="E1077" s="33">
        <f>IF(Orders!H1074="Delivered",1,0)</f>
        <v>1</v>
      </c>
      <c r="F1077" s="34">
        <f>IF(E1077=1,Orders!R1074,"")</f>
        <v>-0.6</v>
      </c>
      <c r="G1077" s="33">
        <f>IF(E1077=1,IF(Orders!R1074&gt;0,1,0),"")</f>
        <v>0</v>
      </c>
      <c r="H1077" s="33">
        <f>IF(E1077=1,IF(Orders!R1074&gt;5,1,0),"")</f>
        <v>0</v>
      </c>
      <c r="I1077" s="32" t="str">
        <f>IF(E1077=1,"",IF(OR(Orders!T1074="Rider unavailable",Orders!T1074="Item unavailable"),"Company-caused","Unresolved"))</f>
        <v/>
      </c>
      <c r="J1077" s="33">
        <f>IF(OR(E1077=1,I1077="Company-caused"),1,0)</f>
        <v>1</v>
      </c>
      <c r="K1077" s="32" t="str">
        <f>IF(E1077=0,IF(I1077="Company-caused",IF(Orders!T1074="Rider unavailable","C1 Rider unavailable","C2 Item unavailable"),"Outside root: unresolved"),IF(G1077=0,"A On time",IF(H1077=1,IF(L1077=1,"B2a Severe, peak","B2b Severe, off-peak"),IF(L1077=1,"B1a Slight, peak","B1b Slight, off-peak"))))</f>
        <v>A On time</v>
      </c>
      <c r="L1077" s="33">
        <f>IF(AND(Orders!U1074&gt;=19,Orders!U1074&lt;22),1,0)</f>
        <v>1</v>
      </c>
      <c r="M1077" s="33">
        <f>IF(L1077=IF(Orders!V1074,1,0),1,0)</f>
        <v>1</v>
      </c>
      <c r="N1077" s="32" t="str">
        <f>IF(Orders!W1074="","None",Orders!W1074)</f>
        <v>None</v>
      </c>
      <c r="O1077" s="35">
        <f>INT(Orders!E1074)</f>
        <v>46278.0</v>
      </c>
      <c r="P1077" s="33">
        <f>Orders!U1074</f>
        <v>20</v>
      </c>
      <c r="Q1077" s="33">
        <f>COUNTIFS(Demand!$A$2:$A$4481,B1077,Demand!$B$2:$B$4481,O1077,Demand!$C$2:$C$4481,P1077)</f>
        <v>1</v>
      </c>
      <c r="R1077" s="33">
        <f>IF(Q1077=1,SUMIFS(Demand!$E$2:$E$4481,Demand!$A$2:$A$4481,B1077,Demand!$B$2:$B$4481,O1077,Demand!$C$2:$C$4481,P1077),"")</f>
        <v>46</v>
      </c>
      <c r="S1077" s="33">
        <f>INDEX(Stores!$G$2:$G$21,MATCH(B1077,Stores!$A$2:$A$21,0))</f>
        <v>29</v>
      </c>
      <c r="T1077" s="34">
        <f>IF(R1077="","",R1077/S1077)</f>
        <v>1.58620689655172</v>
      </c>
      <c r="U1077" s="34">
        <f>IF(E1077=1,T1077,"")</f>
        <v>1.58620689655172</v>
      </c>
      <c r="V1077" s="34" t="str">
        <f>IF(AND(E1077=1,L1077=0),T1077,"")</f>
        <v/>
      </c>
      <c r="W1077" s="33">
        <f>IF(U1077="","",IF(U1077&lt;=Breakdowns!$C$5,1,IF(U1077&lt;=Breakdowns!$C$6,2,IF(U1077&lt;=Breakdowns!$C$7,3,4))))</f>
        <v>4</v>
      </c>
      <c r="X1077" s="33" t="str">
        <f>IF(V1077="","",IF(V1077&lt;=Breakdowns!$D$5,1,IF(V1077&lt;=Breakdowns!$D$6,2,IF(V1077&lt;=Breakdowns!$D$7,3,4))))</f>
        <v/>
      </c>
      <c r="Y1077" s="34">
        <f>INDEX(Stores!$F$2:$F$21,MATCH(B1077,Stores!$A$2:$A$21,0))</f>
        <v>2.66</v>
      </c>
      <c r="Z1077" s="33">
        <f>IF(Y1077&gt;Store_Summary!$M$2,1,0)</f>
        <v>0</v>
      </c>
      <c r="AA1077" s="33">
        <f>INDEX(Stores!$C$2:$C$21,MATCH(B1077,Stores!$A$2:$A$21,0))</f>
        <v>645</v>
      </c>
      <c r="AB1077" s="33">
        <f>IF(AA1077&lt;180,1,0)</f>
        <v>0</v>
      </c>
      <c r="AC1077" s="32" t="str">
        <f>IF(Orders!D1074="","",INDEX(Riders!$C$2:$C$81,MATCH(Orders!D1074,Riders!$A$2:$A$81,0)))</f>
        <v>EV scooter</v>
      </c>
      <c r="AD1077" s="33">
        <f>IF(Orders!D1074="","",INDEX(Riders!$D$2:$D$81,MATCH(Orders!D1074,Riders!$A$2:$A$81,0)))</f>
        <v>26</v>
      </c>
      <c r="AE1077" s="33">
        <f>IF(Orders!D1074="","",IF(INDEX(Riders!$B$2:$B$81,MATCH(Orders!D1074,Riders!$A$2:$A$81,0))=B1077,1,0))</f>
        <v>0</v>
      </c>
      <c r="AF1077" s="34">
        <f>IF(E1077=1,Orders!L1074,"")</f>
        <v>1.53</v>
      </c>
      <c r="AG1077" s="34">
        <f>IF(E1077=1,Orders!P1074,"")</f>
        <v>9</v>
      </c>
      <c r="AH1077" s="34">
        <f>IF(E1077=1,Orders!Q1074,"")</f>
        <v>8.4</v>
      </c>
      <c r="AI1077" s="34">
        <f>IF(E1077=1,Orders!M1074,"")</f>
        <v>1.5</v>
      </c>
      <c r="AJ1077" s="34">
        <f>IF(E1077=1,Orders!N1074,"")</f>
        <v>4.5</v>
      </c>
      <c r="AK1077" s="34">
        <f>IF(E1077=1,Orders!O1074,"")</f>
        <v>2.4</v>
      </c>
      <c r="AL1077" s="33">
        <f>IF(E1077=1,IF(ROUND(ABS(AI1077+AJ1077+AK1077-AH1077),6)&lt;=0.1,1,0),"")</f>
        <v>1</v>
      </c>
      <c r="AM1077" s="36">
        <f>IF(E1077=1,AI1077/AH1077,"")</f>
        <v>0.178571428571429</v>
      </c>
      <c r="AN1077" s="36">
        <f>IF(E1077=1,AJ1077/AH1077,"")</f>
        <v>0.535714285714286</v>
      </c>
      <c r="AO1077" s="36">
        <f>IF(E1077=1,AK1077/AH1077,"")</f>
        <v>0.285714285714286</v>
      </c>
      <c r="AP1077" s="34">
        <f>IF(E1077=1,Orders!Y1074,"")</f>
        <v>0.61</v>
      </c>
      <c r="AQ1077" s="33">
        <f>IF(Orders!X1074,1,0)</f>
        <v>0</v>
      </c>
      <c r="AR1077" s="34">
        <f>IF(AND(E1077=1,L1077=1),AJ1077,"")</f>
        <v>4.5</v>
      </c>
      <c r="AS1077" s="34" t="str">
        <f>IF(AND(E1077=1,L1077=0),AJ1077,"")</f>
        <v/>
      </c>
      <c r="AT1077" s="34">
        <f>IF(AND(E1077=1,L1077=1),AI1077,"")</f>
        <v>1.5</v>
      </c>
      <c r="AU1077" s="34" t="str">
        <f>IF(AND(E1077=1,L1077=0),AI1077,"")</f>
        <v/>
      </c>
      <c r="AV1077" s="34">
        <f>IF(AND(E1077=1,L1077=1),AG1077,"")</f>
        <v>9</v>
      </c>
      <c r="AW1077" s="34" t="str">
        <f>IF(AND(E1077=1,L1077=0),AG1077,"")</f>
        <v/>
      </c>
      <c r="AX1077" s="34">
        <f>IF(AND(E1077=1,L1077=1),AH1077,"")</f>
        <v>8.4</v>
      </c>
      <c r="AY1077" s="34" t="str">
        <f>IF(AND(E1077=1,L1077=0),AH1077,"")</f>
        <v/>
      </c>
      <c r="AZ1077" s="34" t="str">
        <f>IF(G1077=1,F1077,"")</f>
        <v/>
      </c>
      <c r="BA1077" s="34" t="str">
        <f>IF(AND(G1077=1,L1077=1),F1077,"")</f>
        <v/>
      </c>
      <c r="BB1077" s="34" t="str">
        <f>IF(AND(G1077=1,L1077=0),F1077,"")</f>
        <v/>
      </c>
      <c r="BC1077" s="33">
        <f>IF(E1077=1,IF(Orders!R1074&gt;3,1,0),"")</f>
        <v>0</v>
      </c>
      <c r="BD1077" s="33">
        <f>IF(E1077=1,IF(Orders!R1074&gt;7,1,0),"")</f>
        <v>0</v>
      </c>
      <c r="BE1077" s="32" t="str">
        <f>IF(E1077=1,IF(Orders!L1074&lt;=1.5,"Up to 1.5 km",IF(Orders!L1074&lt;=3,"1.5–3 km","Over 3 km")),"")</f>
        <v>1.5–3 km</v>
      </c>
      <c r="BF1077" s="33">
        <f>IF(E1077=1,IF(ABS((Orders!G1074-Orders!F1074)*1440-Orders!R1074)&lt;0.06,1,0),"")</f>
        <v>1</v>
      </c>
      <c r="BG1077" s="33">
        <f>IF(ABS((Orders!F1074-Orders!E1074)*1440-Orders!P1074)&lt;0.06,1,0)</f>
        <v>1</v>
      </c>
      <c r="BH1077" s="33">
        <f>IF(E1077=1,IF(IF(Orders!S1074,1,0)=1-G1077,1,0),"")</f>
        <v>1</v>
      </c>
      <c r="BI1077" s="32" t="str">
        <f>INDEX(Stores!$B$2:$B$21,MATCH(B1077,Stores!$A$2:$A$21,0))</f>
        <v>Pune</v>
      </c>
    </row>
    <row r="1078">
      <c r="A1078" s="32" t="str">
        <f>Orders!A1075</f>
        <v>O01074</v>
      </c>
      <c r="B1078" s="32" t="str">
        <f>Orders!C1075</f>
        <v>S009</v>
      </c>
      <c r="C1078" s="32" t="str">
        <f>Orders!B1075</f>
        <v>C0135</v>
      </c>
      <c r="D1078" s="32" t="str">
        <f>Orders!H1075</f>
        <v>Delivered</v>
      </c>
      <c r="E1078" s="33">
        <f>IF(Orders!H1075="Delivered",1,0)</f>
        <v>1</v>
      </c>
      <c r="F1078" s="34">
        <f>IF(E1078=1,Orders!R1075,"")</f>
        <v>-0.6</v>
      </c>
      <c r="G1078" s="33">
        <f>IF(E1078=1,IF(Orders!R1075&gt;0,1,0),"")</f>
        <v>0</v>
      </c>
      <c r="H1078" s="33">
        <f>IF(E1078=1,IF(Orders!R1075&gt;5,1,0),"")</f>
        <v>0</v>
      </c>
      <c r="I1078" s="32" t="str">
        <f>IF(E1078=1,"",IF(OR(Orders!T1075="Rider unavailable",Orders!T1075="Item unavailable"),"Company-caused","Unresolved"))</f>
        <v/>
      </c>
      <c r="J1078" s="33">
        <f>IF(OR(E1078=1,I1078="Company-caused"),1,0)</f>
        <v>1</v>
      </c>
      <c r="K1078" s="32" t="str">
        <f>IF(E1078=0,IF(I1078="Company-caused",IF(Orders!T1075="Rider unavailable","C1 Rider unavailable","C2 Item unavailable"),"Outside root: unresolved"),IF(G1078=0,"A On time",IF(H1078=1,IF(L1078=1,"B2a Severe, peak","B2b Severe, off-peak"),IF(L1078=1,"B1a Slight, peak","B1b Slight, off-peak"))))</f>
        <v>A On time</v>
      </c>
      <c r="L1078" s="33">
        <f>IF(AND(Orders!U1075&gt;=19,Orders!U1075&lt;22),1,0)</f>
        <v>0</v>
      </c>
      <c r="M1078" s="33">
        <f>IF(L1078=IF(Orders!V1075,1,0),1,0)</f>
        <v>1</v>
      </c>
      <c r="N1078" s="32" t="str">
        <f>IF(Orders!W1075="","None",Orders!W1075)</f>
        <v>None</v>
      </c>
      <c r="O1078" s="35">
        <f>INT(Orders!E1075)</f>
        <v>46268.0</v>
      </c>
      <c r="P1078" s="33">
        <f>Orders!U1075</f>
        <v>16</v>
      </c>
      <c r="Q1078" s="33">
        <f>COUNTIFS(Demand!$A$2:$A$4481,B1078,Demand!$B$2:$B$4481,O1078,Demand!$C$2:$C$4481,P1078)</f>
        <v>1</v>
      </c>
      <c r="R1078" s="33">
        <f>IF(Q1078=1,SUMIFS(Demand!$E$2:$E$4481,Demand!$A$2:$A$4481,B1078,Demand!$B$2:$B$4481,O1078,Demand!$C$2:$C$4481,P1078),"")</f>
        <v>28</v>
      </c>
      <c r="S1078" s="33">
        <f>INDEX(Stores!$G$2:$G$21,MATCH(B1078,Stores!$A$2:$A$21,0))</f>
        <v>29</v>
      </c>
      <c r="T1078" s="34">
        <f>IF(R1078="","",R1078/S1078)</f>
        <v>0.96551724137931</v>
      </c>
      <c r="U1078" s="34">
        <f>IF(E1078=1,T1078,"")</f>
        <v>0.96551724137931</v>
      </c>
      <c r="V1078" s="34">
        <f>IF(AND(E1078=1,L1078=0),T1078,"")</f>
        <v>0.96551724137931</v>
      </c>
      <c r="W1078" s="33">
        <f>IF(U1078="","",IF(U1078&lt;=Breakdowns!$C$5,1,IF(U1078&lt;=Breakdowns!$C$6,2,IF(U1078&lt;=Breakdowns!$C$7,3,4))))</f>
        <v>2</v>
      </c>
      <c r="X1078" s="33">
        <f>IF(V1078="","",IF(V1078&lt;=Breakdowns!$D$5,1,IF(V1078&lt;=Breakdowns!$D$6,2,IF(V1078&lt;=Breakdowns!$D$7,3,4))))</f>
        <v>3</v>
      </c>
      <c r="Y1078" s="34">
        <f>INDEX(Stores!$F$2:$F$21,MATCH(B1078,Stores!$A$2:$A$21,0))</f>
        <v>2.66</v>
      </c>
      <c r="Z1078" s="33">
        <f>IF(Y1078&gt;Store_Summary!$M$2,1,0)</f>
        <v>0</v>
      </c>
      <c r="AA1078" s="33">
        <f>INDEX(Stores!$C$2:$C$21,MATCH(B1078,Stores!$A$2:$A$21,0))</f>
        <v>645</v>
      </c>
      <c r="AB1078" s="33">
        <f>IF(AA1078&lt;180,1,0)</f>
        <v>0</v>
      </c>
      <c r="AC1078" s="32" t="str">
        <f>IF(Orders!D1075="","",INDEX(Riders!$C$2:$C$81,MATCH(Orders!D1075,Riders!$A$2:$A$81,0)))</f>
        <v>Petrol scooter</v>
      </c>
      <c r="AD1078" s="33">
        <f>IF(Orders!D1075="","",INDEX(Riders!$D$2:$D$81,MATCH(Orders!D1075,Riders!$A$2:$A$81,0)))</f>
        <v>40</v>
      </c>
      <c r="AE1078" s="33">
        <f>IF(Orders!D1075="","",IF(INDEX(Riders!$B$2:$B$81,MATCH(Orders!D1075,Riders!$A$2:$A$81,0))=B1078,1,0))</f>
        <v>0</v>
      </c>
      <c r="AF1078" s="34">
        <f>IF(E1078=1,Orders!L1075,"")</f>
        <v>1.38</v>
      </c>
      <c r="AG1078" s="34">
        <f>IF(E1078=1,Orders!P1075,"")</f>
        <v>10.8</v>
      </c>
      <c r="AH1078" s="34">
        <f>IF(E1078=1,Orders!Q1075,"")</f>
        <v>10.2</v>
      </c>
      <c r="AI1078" s="34">
        <f>IF(E1078=1,Orders!M1075,"")</f>
        <v>3.2</v>
      </c>
      <c r="AJ1078" s="34">
        <f>IF(E1078=1,Orders!N1075,"")</f>
        <v>4.6</v>
      </c>
      <c r="AK1078" s="34">
        <f>IF(E1078=1,Orders!O1075,"")</f>
        <v>2.4</v>
      </c>
      <c r="AL1078" s="33">
        <f>IF(E1078=1,IF(ROUND(ABS(AI1078+AJ1078+AK1078-AH1078),6)&lt;=0.1,1,0),"")</f>
        <v>1</v>
      </c>
      <c r="AM1078" s="36">
        <f>IF(E1078=1,AI1078/AH1078,"")</f>
        <v>0.313725490196079</v>
      </c>
      <c r="AN1078" s="36">
        <f>IF(E1078=1,AJ1078/AH1078,"")</f>
        <v>0.450980392156863</v>
      </c>
      <c r="AO1078" s="36">
        <f>IF(E1078=1,AK1078/AH1078,"")</f>
        <v>0.235294117647059</v>
      </c>
      <c r="AP1078" s="34">
        <f>IF(E1078=1,Orders!Y1075,"")</f>
        <v>0.24</v>
      </c>
      <c r="AQ1078" s="33">
        <f>IF(Orders!X1075,1,0)</f>
        <v>0</v>
      </c>
      <c r="AR1078" s="34" t="str">
        <f>IF(AND(E1078=1,L1078=1),AJ1078,"")</f>
        <v/>
      </c>
      <c r="AS1078" s="34">
        <f>IF(AND(E1078=1,L1078=0),AJ1078,"")</f>
        <v>4.6</v>
      </c>
      <c r="AT1078" s="34" t="str">
        <f>IF(AND(E1078=1,L1078=1),AI1078,"")</f>
        <v/>
      </c>
      <c r="AU1078" s="34">
        <f>IF(AND(E1078=1,L1078=0),AI1078,"")</f>
        <v>3.2</v>
      </c>
      <c r="AV1078" s="34" t="str">
        <f>IF(AND(E1078=1,L1078=1),AG1078,"")</f>
        <v/>
      </c>
      <c r="AW1078" s="34">
        <f>IF(AND(E1078=1,L1078=0),AG1078,"")</f>
        <v>10.8</v>
      </c>
      <c r="AX1078" s="34" t="str">
        <f>IF(AND(E1078=1,L1078=1),AH1078,"")</f>
        <v/>
      </c>
      <c r="AY1078" s="34">
        <f>IF(AND(E1078=1,L1078=0),AH1078,"")</f>
        <v>10.2</v>
      </c>
      <c r="AZ1078" s="34" t="str">
        <f>IF(G1078=1,F1078,"")</f>
        <v/>
      </c>
      <c r="BA1078" s="34" t="str">
        <f>IF(AND(G1078=1,L1078=1),F1078,"")</f>
        <v/>
      </c>
      <c r="BB1078" s="34" t="str">
        <f>IF(AND(G1078=1,L1078=0),F1078,"")</f>
        <v/>
      </c>
      <c r="BC1078" s="33">
        <f>IF(E1078=1,IF(Orders!R1075&gt;3,1,0),"")</f>
        <v>0</v>
      </c>
      <c r="BD1078" s="33">
        <f>IF(E1078=1,IF(Orders!R1075&gt;7,1,0),"")</f>
        <v>0</v>
      </c>
      <c r="BE1078" s="32" t="str">
        <f>IF(E1078=1,IF(Orders!L1075&lt;=1.5,"Up to 1.5 km",IF(Orders!L1075&lt;=3,"1.5–3 km","Over 3 km")),"")</f>
        <v>Up to 1.5 km</v>
      </c>
      <c r="BF1078" s="33">
        <f>IF(E1078=1,IF(ABS((Orders!G1075-Orders!F1075)*1440-Orders!R1075)&lt;0.06,1,0),"")</f>
        <v>1</v>
      </c>
      <c r="BG1078" s="33">
        <f>IF(ABS((Orders!F1075-Orders!E1075)*1440-Orders!P1075)&lt;0.06,1,0)</f>
        <v>1</v>
      </c>
      <c r="BH1078" s="33">
        <f>IF(E1078=1,IF(IF(Orders!S1075,1,0)=1-G1078,1,0),"")</f>
        <v>1</v>
      </c>
      <c r="BI1078" s="32" t="str">
        <f>INDEX(Stores!$B$2:$B$21,MATCH(B1078,Stores!$A$2:$A$21,0))</f>
        <v>Pune</v>
      </c>
    </row>
    <row r="1079">
      <c r="A1079" s="32" t="str">
        <f>Orders!A1076</f>
        <v>O01075</v>
      </c>
      <c r="B1079" s="32" t="str">
        <f>Orders!C1076</f>
        <v>S009</v>
      </c>
      <c r="C1079" s="32" t="str">
        <f>Orders!B1076</f>
        <v>C0029</v>
      </c>
      <c r="D1079" s="32" t="str">
        <f>Orders!H1076</f>
        <v>Delivered</v>
      </c>
      <c r="E1079" s="33">
        <f>IF(Orders!H1076="Delivered",1,0)</f>
        <v>1</v>
      </c>
      <c r="F1079" s="34">
        <f>IF(E1079=1,Orders!R1076,"")</f>
        <v>-0.4</v>
      </c>
      <c r="G1079" s="33">
        <f>IF(E1079=1,IF(Orders!R1076&gt;0,1,0),"")</f>
        <v>0</v>
      </c>
      <c r="H1079" s="33">
        <f>IF(E1079=1,IF(Orders!R1076&gt;5,1,0),"")</f>
        <v>0</v>
      </c>
      <c r="I1079" s="32" t="str">
        <f>IF(E1079=1,"",IF(OR(Orders!T1076="Rider unavailable",Orders!T1076="Item unavailable"),"Company-caused","Unresolved"))</f>
        <v/>
      </c>
      <c r="J1079" s="33">
        <f>IF(OR(E1079=1,I1079="Company-caused"),1,0)</f>
        <v>1</v>
      </c>
      <c r="K1079" s="32" t="str">
        <f>IF(E1079=0,IF(I1079="Company-caused",IF(Orders!T1076="Rider unavailable","C1 Rider unavailable","C2 Item unavailable"),"Outside root: unresolved"),IF(G1079=0,"A On time",IF(H1079=1,IF(L1079=1,"B2a Severe, peak","B2b Severe, off-peak"),IF(L1079=1,"B1a Slight, peak","B1b Slight, off-peak"))))</f>
        <v>A On time</v>
      </c>
      <c r="L1079" s="33">
        <f>IF(AND(Orders!U1076&gt;=19,Orders!U1076&lt;22),1,0)</f>
        <v>0</v>
      </c>
      <c r="M1079" s="33">
        <f>IF(L1079=IF(Orders!V1076,1,0),1,0)</f>
        <v>1</v>
      </c>
      <c r="N1079" s="32" t="str">
        <f>IF(Orders!W1076="","None",Orders!W1076)</f>
        <v>None</v>
      </c>
      <c r="O1079" s="35">
        <f>INT(Orders!E1076)</f>
        <v>46273.0</v>
      </c>
      <c r="P1079" s="33">
        <f>Orders!U1076</f>
        <v>14</v>
      </c>
      <c r="Q1079" s="33">
        <f>COUNTIFS(Demand!$A$2:$A$4481,B1079,Demand!$B$2:$B$4481,O1079,Demand!$C$2:$C$4481,P1079)</f>
        <v>1</v>
      </c>
      <c r="R1079" s="33">
        <f>IF(Q1079=1,SUMIFS(Demand!$E$2:$E$4481,Demand!$A$2:$A$4481,B1079,Demand!$B$2:$B$4481,O1079,Demand!$C$2:$C$4481,P1079),"")</f>
        <v>27</v>
      </c>
      <c r="S1079" s="33">
        <f>INDEX(Stores!$G$2:$G$21,MATCH(B1079,Stores!$A$2:$A$21,0))</f>
        <v>29</v>
      </c>
      <c r="T1079" s="34">
        <f>IF(R1079="","",R1079/S1079)</f>
        <v>0.931034482758621</v>
      </c>
      <c r="U1079" s="34">
        <f>IF(E1079=1,T1079,"")</f>
        <v>0.931034482758621</v>
      </c>
      <c r="V1079" s="34">
        <f>IF(AND(E1079=1,L1079=0),T1079,"")</f>
        <v>0.931034482758621</v>
      </c>
      <c r="W1079" s="33">
        <f>IF(U1079="","",IF(U1079&lt;=Breakdowns!$C$5,1,IF(U1079&lt;=Breakdowns!$C$6,2,IF(U1079&lt;=Breakdowns!$C$7,3,4))))</f>
        <v>2</v>
      </c>
      <c r="X1079" s="33">
        <f>IF(V1079="","",IF(V1079&lt;=Breakdowns!$D$5,1,IF(V1079&lt;=Breakdowns!$D$6,2,IF(V1079&lt;=Breakdowns!$D$7,3,4))))</f>
        <v>3</v>
      </c>
      <c r="Y1079" s="34">
        <f>INDEX(Stores!$F$2:$F$21,MATCH(B1079,Stores!$A$2:$A$21,0))</f>
        <v>2.66</v>
      </c>
      <c r="Z1079" s="33">
        <f>IF(Y1079&gt;Store_Summary!$M$2,1,0)</f>
        <v>0</v>
      </c>
      <c r="AA1079" s="33">
        <f>INDEX(Stores!$C$2:$C$21,MATCH(B1079,Stores!$A$2:$A$21,0))</f>
        <v>645</v>
      </c>
      <c r="AB1079" s="33">
        <f>IF(AA1079&lt;180,1,0)</f>
        <v>0</v>
      </c>
      <c r="AC1079" s="32" t="str">
        <f>IF(Orders!D1076="","",INDEX(Riders!$C$2:$C$81,MATCH(Orders!D1076,Riders!$A$2:$A$81,0)))</f>
        <v>Bicycle</v>
      </c>
      <c r="AD1079" s="33">
        <f>IF(Orders!D1076="","",INDEX(Riders!$D$2:$D$81,MATCH(Orders!D1076,Riders!$A$2:$A$81,0)))</f>
        <v>2</v>
      </c>
      <c r="AE1079" s="33">
        <f>IF(Orders!D1076="","",IF(INDEX(Riders!$B$2:$B$81,MATCH(Orders!D1076,Riders!$A$2:$A$81,0))=B1079,1,0))</f>
        <v>0</v>
      </c>
      <c r="AF1079" s="34">
        <f>IF(E1079=1,Orders!L1076,"")</f>
        <v>1.17</v>
      </c>
      <c r="AG1079" s="34">
        <f>IF(E1079=1,Orders!P1076,"")</f>
        <v>10.3</v>
      </c>
      <c r="AH1079" s="34">
        <f>IF(E1079=1,Orders!Q1076,"")</f>
        <v>9.9</v>
      </c>
      <c r="AI1079" s="34">
        <f>IF(E1079=1,Orders!M1076,"")</f>
        <v>2.8</v>
      </c>
      <c r="AJ1079" s="34">
        <f>IF(E1079=1,Orders!N1076,"")</f>
        <v>4.7</v>
      </c>
      <c r="AK1079" s="34">
        <f>IF(E1079=1,Orders!O1076,"")</f>
        <v>2.4</v>
      </c>
      <c r="AL1079" s="33">
        <f>IF(E1079=1,IF(ROUND(ABS(AI1079+AJ1079+AK1079-AH1079),6)&lt;=0.1,1,0),"")</f>
        <v>1</v>
      </c>
      <c r="AM1079" s="36">
        <f>IF(E1079=1,AI1079/AH1079,"")</f>
        <v>0.282828282828283</v>
      </c>
      <c r="AN1079" s="36">
        <f>IF(E1079=1,AJ1079/AH1079,"")</f>
        <v>0.474747474747475</v>
      </c>
      <c r="AO1079" s="36">
        <f>IF(E1079=1,AK1079/AH1079,"")</f>
        <v>0.242424242424242</v>
      </c>
      <c r="AP1079" s="34">
        <f>IF(E1079=1,Orders!Y1076,"")</f>
        <v>0.3</v>
      </c>
      <c r="AQ1079" s="33">
        <f>IF(Orders!X1076,1,0)</f>
        <v>0</v>
      </c>
      <c r="AR1079" s="34" t="str">
        <f>IF(AND(E1079=1,L1079=1),AJ1079,"")</f>
        <v/>
      </c>
      <c r="AS1079" s="34">
        <f>IF(AND(E1079=1,L1079=0),AJ1079,"")</f>
        <v>4.7</v>
      </c>
      <c r="AT1079" s="34" t="str">
        <f>IF(AND(E1079=1,L1079=1),AI1079,"")</f>
        <v/>
      </c>
      <c r="AU1079" s="34">
        <f>IF(AND(E1079=1,L1079=0),AI1079,"")</f>
        <v>2.8</v>
      </c>
      <c r="AV1079" s="34" t="str">
        <f>IF(AND(E1079=1,L1079=1),AG1079,"")</f>
        <v/>
      </c>
      <c r="AW1079" s="34">
        <f>IF(AND(E1079=1,L1079=0),AG1079,"")</f>
        <v>10.3</v>
      </c>
      <c r="AX1079" s="34" t="str">
        <f>IF(AND(E1079=1,L1079=1),AH1079,"")</f>
        <v/>
      </c>
      <c r="AY1079" s="34">
        <f>IF(AND(E1079=1,L1079=0),AH1079,"")</f>
        <v>9.9</v>
      </c>
      <c r="AZ1079" s="34" t="str">
        <f>IF(G1079=1,F1079,"")</f>
        <v/>
      </c>
      <c r="BA1079" s="34" t="str">
        <f>IF(AND(G1079=1,L1079=1),F1079,"")</f>
        <v/>
      </c>
      <c r="BB1079" s="34" t="str">
        <f>IF(AND(G1079=1,L1079=0),F1079,"")</f>
        <v/>
      </c>
      <c r="BC1079" s="33">
        <f>IF(E1079=1,IF(Orders!R1076&gt;3,1,0),"")</f>
        <v>0</v>
      </c>
      <c r="BD1079" s="33">
        <f>IF(E1079=1,IF(Orders!R1076&gt;7,1,0),"")</f>
        <v>0</v>
      </c>
      <c r="BE1079" s="32" t="str">
        <f>IF(E1079=1,IF(Orders!L1076&lt;=1.5,"Up to 1.5 km",IF(Orders!L1076&lt;=3,"1.5–3 km","Over 3 km")),"")</f>
        <v>Up to 1.5 km</v>
      </c>
      <c r="BF1079" s="33">
        <f>IF(E1079=1,IF(ABS((Orders!G1076-Orders!F1076)*1440-Orders!R1076)&lt;0.06,1,0),"")</f>
        <v>1</v>
      </c>
      <c r="BG1079" s="33">
        <f>IF(ABS((Orders!F1076-Orders!E1076)*1440-Orders!P1076)&lt;0.06,1,0)</f>
        <v>1</v>
      </c>
      <c r="BH1079" s="33">
        <f>IF(E1079=1,IF(IF(Orders!S1076,1,0)=1-G1079,1,0),"")</f>
        <v>1</v>
      </c>
      <c r="BI1079" s="32" t="str">
        <f>INDEX(Stores!$B$2:$B$21,MATCH(B1079,Stores!$A$2:$A$21,0))</f>
        <v>Pune</v>
      </c>
    </row>
    <row r="1080">
      <c r="A1080" s="32" t="str">
        <f>Orders!A1077</f>
        <v>O01076</v>
      </c>
      <c r="B1080" s="32" t="str">
        <f>Orders!C1077</f>
        <v>S009</v>
      </c>
      <c r="C1080" s="32" t="str">
        <f>Orders!B1077</f>
        <v>C0112</v>
      </c>
      <c r="D1080" s="32" t="str">
        <f>Orders!H1077</f>
        <v>Delivered</v>
      </c>
      <c r="E1080" s="33">
        <f>IF(Orders!H1077="Delivered",1,0)</f>
        <v>1</v>
      </c>
      <c r="F1080" s="34">
        <f>IF(E1080=1,Orders!R1077,"")</f>
        <v>-0.1</v>
      </c>
      <c r="G1080" s="33">
        <f>IF(E1080=1,IF(Orders!R1077&gt;0,1,0),"")</f>
        <v>0</v>
      </c>
      <c r="H1080" s="33">
        <f>IF(E1080=1,IF(Orders!R1077&gt;5,1,0),"")</f>
        <v>0</v>
      </c>
      <c r="I1080" s="32" t="str">
        <f>IF(E1080=1,"",IF(OR(Orders!T1077="Rider unavailable",Orders!T1077="Item unavailable"),"Company-caused","Unresolved"))</f>
        <v/>
      </c>
      <c r="J1080" s="33">
        <f>IF(OR(E1080=1,I1080="Company-caused"),1,0)</f>
        <v>1</v>
      </c>
      <c r="K1080" s="32" t="str">
        <f>IF(E1080=0,IF(I1080="Company-caused",IF(Orders!T1077="Rider unavailable","C1 Rider unavailable","C2 Item unavailable"),"Outside root: unresolved"),IF(G1080=0,"A On time",IF(H1080=1,IF(L1080=1,"B2a Severe, peak","B2b Severe, off-peak"),IF(L1080=1,"B1a Slight, peak","B1b Slight, off-peak"))))</f>
        <v>A On time</v>
      </c>
      <c r="L1080" s="33">
        <f>IF(AND(Orders!U1077&gt;=19,Orders!U1077&lt;22),1,0)</f>
        <v>0</v>
      </c>
      <c r="M1080" s="33">
        <f>IF(L1080=IF(Orders!V1077,1,0),1,0)</f>
        <v>1</v>
      </c>
      <c r="N1080" s="32" t="str">
        <f>IF(Orders!W1077="","None",Orders!W1077)</f>
        <v>None</v>
      </c>
      <c r="O1080" s="35">
        <f>INT(Orders!E1077)</f>
        <v>46276.0</v>
      </c>
      <c r="P1080" s="33">
        <f>Orders!U1077</f>
        <v>17</v>
      </c>
      <c r="Q1080" s="33">
        <f>COUNTIFS(Demand!$A$2:$A$4481,B1080,Demand!$B$2:$B$4481,O1080,Demand!$C$2:$C$4481,P1080)</f>
        <v>1</v>
      </c>
      <c r="R1080" s="33">
        <f>IF(Q1080=1,SUMIFS(Demand!$E$2:$E$4481,Demand!$A$2:$A$4481,B1080,Demand!$B$2:$B$4481,O1080,Demand!$C$2:$C$4481,P1080),"")</f>
        <v>37</v>
      </c>
      <c r="S1080" s="33">
        <f>INDEX(Stores!$G$2:$G$21,MATCH(B1080,Stores!$A$2:$A$21,0))</f>
        <v>29</v>
      </c>
      <c r="T1080" s="34">
        <f>IF(R1080="","",R1080/S1080)</f>
        <v>1.27586206896552</v>
      </c>
      <c r="U1080" s="34">
        <f>IF(E1080=1,T1080,"")</f>
        <v>1.27586206896552</v>
      </c>
      <c r="V1080" s="34">
        <f>IF(AND(E1080=1,L1080=0),T1080,"")</f>
        <v>1.27586206896552</v>
      </c>
      <c r="W1080" s="33">
        <f>IF(U1080="","",IF(U1080&lt;=Breakdowns!$C$5,1,IF(U1080&lt;=Breakdowns!$C$6,2,IF(U1080&lt;=Breakdowns!$C$7,3,4))))</f>
        <v>4</v>
      </c>
      <c r="X1080" s="33">
        <f>IF(V1080="","",IF(V1080&lt;=Breakdowns!$D$5,1,IF(V1080&lt;=Breakdowns!$D$6,2,IF(V1080&lt;=Breakdowns!$D$7,3,4))))</f>
        <v>4</v>
      </c>
      <c r="Y1080" s="34">
        <f>INDEX(Stores!$F$2:$F$21,MATCH(B1080,Stores!$A$2:$A$21,0))</f>
        <v>2.66</v>
      </c>
      <c r="Z1080" s="33">
        <f>IF(Y1080&gt;Store_Summary!$M$2,1,0)</f>
        <v>0</v>
      </c>
      <c r="AA1080" s="33">
        <f>INDEX(Stores!$C$2:$C$21,MATCH(B1080,Stores!$A$2:$A$21,0))</f>
        <v>645</v>
      </c>
      <c r="AB1080" s="33">
        <f>IF(AA1080&lt;180,1,0)</f>
        <v>0</v>
      </c>
      <c r="AC1080" s="32" t="str">
        <f>IF(Orders!D1077="","",INDEX(Riders!$C$2:$C$81,MATCH(Orders!D1077,Riders!$A$2:$A$81,0)))</f>
        <v>EV scooter</v>
      </c>
      <c r="AD1080" s="33">
        <f>IF(Orders!D1077="","",INDEX(Riders!$D$2:$D$81,MATCH(Orders!D1077,Riders!$A$2:$A$81,0)))</f>
        <v>9</v>
      </c>
      <c r="AE1080" s="33">
        <f>IF(Orders!D1077="","",IF(INDEX(Riders!$B$2:$B$81,MATCH(Orders!D1077,Riders!$A$2:$A$81,0))=B1080,1,0))</f>
        <v>0</v>
      </c>
      <c r="AF1080" s="34">
        <f>IF(E1080=1,Orders!L1077,"")</f>
        <v>1.77</v>
      </c>
      <c r="AG1080" s="34">
        <f>IF(E1080=1,Orders!P1077,"")</f>
        <v>11.2</v>
      </c>
      <c r="AH1080" s="34">
        <f>IF(E1080=1,Orders!Q1077,"")</f>
        <v>11.1</v>
      </c>
      <c r="AI1080" s="34">
        <f>IF(E1080=1,Orders!M1077,"")</f>
        <v>3.2</v>
      </c>
      <c r="AJ1080" s="34">
        <f>IF(E1080=1,Orders!N1077,"")</f>
        <v>2</v>
      </c>
      <c r="AK1080" s="34">
        <f>IF(E1080=1,Orders!O1077,"")</f>
        <v>5.8</v>
      </c>
      <c r="AL1080" s="33">
        <f>IF(E1080=1,IF(ROUND(ABS(AI1080+AJ1080+AK1080-AH1080),6)&lt;=0.1,1,0),"")</f>
        <v>1</v>
      </c>
      <c r="AM1080" s="36">
        <f>IF(E1080=1,AI1080/AH1080,"")</f>
        <v>0.288288288288288</v>
      </c>
      <c r="AN1080" s="36">
        <f>IF(E1080=1,AJ1080/AH1080,"")</f>
        <v>0.18018018018018</v>
      </c>
      <c r="AO1080" s="36">
        <f>IF(E1080=1,AK1080/AH1080,"")</f>
        <v>0.522522522522523</v>
      </c>
      <c r="AP1080" s="34">
        <f>IF(E1080=1,Orders!Y1077,"")</f>
        <v>0.59</v>
      </c>
      <c r="AQ1080" s="33">
        <f>IF(Orders!X1077,1,0)</f>
        <v>0</v>
      </c>
      <c r="AR1080" s="34" t="str">
        <f>IF(AND(E1080=1,L1080=1),AJ1080,"")</f>
        <v/>
      </c>
      <c r="AS1080" s="34">
        <f>IF(AND(E1080=1,L1080=0),AJ1080,"")</f>
        <v>2</v>
      </c>
      <c r="AT1080" s="34" t="str">
        <f>IF(AND(E1080=1,L1080=1),AI1080,"")</f>
        <v/>
      </c>
      <c r="AU1080" s="34">
        <f>IF(AND(E1080=1,L1080=0),AI1080,"")</f>
        <v>3.2</v>
      </c>
      <c r="AV1080" s="34" t="str">
        <f>IF(AND(E1080=1,L1080=1),AG1080,"")</f>
        <v/>
      </c>
      <c r="AW1080" s="34">
        <f>IF(AND(E1080=1,L1080=0),AG1080,"")</f>
        <v>11.2</v>
      </c>
      <c r="AX1080" s="34" t="str">
        <f>IF(AND(E1080=1,L1080=1),AH1080,"")</f>
        <v/>
      </c>
      <c r="AY1080" s="34">
        <f>IF(AND(E1080=1,L1080=0),AH1080,"")</f>
        <v>11.1</v>
      </c>
      <c r="AZ1080" s="34" t="str">
        <f>IF(G1080=1,F1080,"")</f>
        <v/>
      </c>
      <c r="BA1080" s="34" t="str">
        <f>IF(AND(G1080=1,L1080=1),F1080,"")</f>
        <v/>
      </c>
      <c r="BB1080" s="34" t="str">
        <f>IF(AND(G1080=1,L1080=0),F1080,"")</f>
        <v/>
      </c>
      <c r="BC1080" s="33">
        <f>IF(E1080=1,IF(Orders!R1077&gt;3,1,0),"")</f>
        <v>0</v>
      </c>
      <c r="BD1080" s="33">
        <f>IF(E1080=1,IF(Orders!R1077&gt;7,1,0),"")</f>
        <v>0</v>
      </c>
      <c r="BE1080" s="32" t="str">
        <f>IF(E1080=1,IF(Orders!L1077&lt;=1.5,"Up to 1.5 km",IF(Orders!L1077&lt;=3,"1.5–3 km","Over 3 km")),"")</f>
        <v>1.5–3 km</v>
      </c>
      <c r="BF1080" s="33">
        <f>IF(E1080=1,IF(ABS((Orders!G1077-Orders!F1077)*1440-Orders!R1077)&lt;0.06,1,0),"")</f>
        <v>1</v>
      </c>
      <c r="BG1080" s="33">
        <f>IF(ABS((Orders!F1077-Orders!E1077)*1440-Orders!P1077)&lt;0.06,1,0)</f>
        <v>1</v>
      </c>
      <c r="BH1080" s="33">
        <f>IF(E1080=1,IF(IF(Orders!S1077,1,0)=1-G1080,1,0),"")</f>
        <v>1</v>
      </c>
      <c r="BI1080" s="32" t="str">
        <f>INDEX(Stores!$B$2:$B$21,MATCH(B1080,Stores!$A$2:$A$21,0))</f>
        <v>Pune</v>
      </c>
    </row>
    <row r="1081">
      <c r="A1081" s="32" t="str">
        <f>Orders!A1078</f>
        <v>O01077</v>
      </c>
      <c r="B1081" s="32" t="str">
        <f>Orders!C1078</f>
        <v>S013</v>
      </c>
      <c r="C1081" s="32" t="str">
        <f>Orders!B1078</f>
        <v>C0133</v>
      </c>
      <c r="D1081" s="32" t="str">
        <f>Orders!H1078</f>
        <v>Delivered</v>
      </c>
      <c r="E1081" s="33">
        <f>IF(Orders!H1078="Delivered",1,0)</f>
        <v>1</v>
      </c>
      <c r="F1081" s="34">
        <f>IF(E1081=1,Orders!R1078,"")</f>
        <v>-0.5</v>
      </c>
      <c r="G1081" s="33">
        <f>IF(E1081=1,IF(Orders!R1078&gt;0,1,0),"")</f>
        <v>0</v>
      </c>
      <c r="H1081" s="33">
        <f>IF(E1081=1,IF(Orders!R1078&gt;5,1,0),"")</f>
        <v>0</v>
      </c>
      <c r="I1081" s="32" t="str">
        <f>IF(E1081=1,"",IF(OR(Orders!T1078="Rider unavailable",Orders!T1078="Item unavailable"),"Company-caused","Unresolved"))</f>
        <v/>
      </c>
      <c r="J1081" s="33">
        <f>IF(OR(E1081=1,I1081="Company-caused"),1,0)</f>
        <v>1</v>
      </c>
      <c r="K1081" s="32" t="str">
        <f>IF(E1081=0,IF(I1081="Company-caused",IF(Orders!T1078="Rider unavailable","C1 Rider unavailable","C2 Item unavailable"),"Outside root: unresolved"),IF(G1081=0,"A On time",IF(H1081=1,IF(L1081=1,"B2a Severe, peak","B2b Severe, off-peak"),IF(L1081=1,"B1a Slight, peak","B1b Slight, off-peak"))))</f>
        <v>A On time</v>
      </c>
      <c r="L1081" s="33">
        <f>IF(AND(Orders!U1078&gt;=19,Orders!U1078&lt;22),1,0)</f>
        <v>0</v>
      </c>
      <c r="M1081" s="33">
        <f>IF(L1081=IF(Orders!V1078,1,0),1,0)</f>
        <v>1</v>
      </c>
      <c r="N1081" s="32" t="str">
        <f>IF(Orders!W1078="","None",Orders!W1078)</f>
        <v>Heavy</v>
      </c>
      <c r="O1081" s="35">
        <f>INT(Orders!E1078)</f>
        <v>46275.0</v>
      </c>
      <c r="P1081" s="33">
        <f>Orders!U1078</f>
        <v>15</v>
      </c>
      <c r="Q1081" s="33">
        <f>COUNTIFS(Demand!$A$2:$A$4481,B1081,Demand!$B$2:$B$4481,O1081,Demand!$C$2:$C$4481,P1081)</f>
        <v>1</v>
      </c>
      <c r="R1081" s="33">
        <f>IF(Q1081=1,SUMIFS(Demand!$E$2:$E$4481,Demand!$A$2:$A$4481,B1081,Demand!$B$2:$B$4481,O1081,Demand!$C$2:$C$4481,P1081),"")</f>
        <v>46</v>
      </c>
      <c r="S1081" s="33">
        <f>INDEX(Stores!$G$2:$G$21,MATCH(B1081,Stores!$A$2:$A$21,0))</f>
        <v>49</v>
      </c>
      <c r="T1081" s="34">
        <f>IF(R1081="","",R1081/S1081)</f>
        <v>0.938775510204082</v>
      </c>
      <c r="U1081" s="34">
        <f>IF(E1081=1,T1081,"")</f>
        <v>0.938775510204082</v>
      </c>
      <c r="V1081" s="34">
        <f>IF(AND(E1081=1,L1081=0),T1081,"")</f>
        <v>0.938775510204082</v>
      </c>
      <c r="W1081" s="33">
        <f>IF(U1081="","",IF(U1081&lt;=Breakdowns!$C$5,1,IF(U1081&lt;=Breakdowns!$C$6,2,IF(U1081&lt;=Breakdowns!$C$7,3,4))))</f>
        <v>2</v>
      </c>
      <c r="X1081" s="33">
        <f>IF(V1081="","",IF(V1081&lt;=Breakdowns!$D$5,1,IF(V1081&lt;=Breakdowns!$D$6,2,IF(V1081&lt;=Breakdowns!$D$7,3,4))))</f>
        <v>3</v>
      </c>
      <c r="Y1081" s="34">
        <f>INDEX(Stores!$F$2:$F$21,MATCH(B1081,Stores!$A$2:$A$21,0))</f>
        <v>5.82</v>
      </c>
      <c r="Z1081" s="33">
        <f>IF(Y1081&gt;Store_Summary!$M$2,1,0)</f>
        <v>1</v>
      </c>
      <c r="AA1081" s="33">
        <f>INDEX(Stores!$C$2:$C$21,MATCH(B1081,Stores!$A$2:$A$21,0))</f>
        <v>705</v>
      </c>
      <c r="AB1081" s="33">
        <f>IF(AA1081&lt;180,1,0)</f>
        <v>0</v>
      </c>
      <c r="AC1081" s="32" t="str">
        <f>IF(Orders!D1078="","",INDEX(Riders!$C$2:$C$81,MATCH(Orders!D1078,Riders!$A$2:$A$81,0)))</f>
        <v>EV scooter</v>
      </c>
      <c r="AD1081" s="33">
        <f>IF(Orders!D1078="","",INDEX(Riders!$D$2:$D$81,MATCH(Orders!D1078,Riders!$A$2:$A$81,0)))</f>
        <v>9</v>
      </c>
      <c r="AE1081" s="33">
        <f>IF(Orders!D1078="","",IF(INDEX(Riders!$B$2:$B$81,MATCH(Orders!D1078,Riders!$A$2:$A$81,0))=B1081,1,0))</f>
        <v>0</v>
      </c>
      <c r="AF1081" s="34">
        <f>IF(E1081=1,Orders!L1078,"")</f>
        <v>3</v>
      </c>
      <c r="AG1081" s="34">
        <f>IF(E1081=1,Orders!P1078,"")</f>
        <v>12.4</v>
      </c>
      <c r="AH1081" s="34">
        <f>IF(E1081=1,Orders!Q1078,"")</f>
        <v>11.9</v>
      </c>
      <c r="AI1081" s="34">
        <f>IF(E1081=1,Orders!M1078,"")</f>
        <v>3.4</v>
      </c>
      <c r="AJ1081" s="34">
        <f>IF(E1081=1,Orders!N1078,"")</f>
        <v>2.2</v>
      </c>
      <c r="AK1081" s="34">
        <f>IF(E1081=1,Orders!O1078,"")</f>
        <v>6.3</v>
      </c>
      <c r="AL1081" s="33">
        <f>IF(E1081=1,IF(ROUND(ABS(AI1081+AJ1081+AK1081-AH1081),6)&lt;=0.1,1,0),"")</f>
        <v>1</v>
      </c>
      <c r="AM1081" s="36">
        <f>IF(E1081=1,AI1081/AH1081,"")</f>
        <v>0.285714285714286</v>
      </c>
      <c r="AN1081" s="36">
        <f>IF(E1081=1,AJ1081/AH1081,"")</f>
        <v>0.184873949579832</v>
      </c>
      <c r="AO1081" s="36">
        <f>IF(E1081=1,AK1081/AH1081,"")</f>
        <v>0.529411764705882</v>
      </c>
      <c r="AP1081" s="34">
        <f>IF(E1081=1,Orders!Y1078,"")</f>
        <v>0.38</v>
      </c>
      <c r="AQ1081" s="33">
        <f>IF(Orders!X1078,1,0)</f>
        <v>0</v>
      </c>
      <c r="AR1081" s="34" t="str">
        <f>IF(AND(E1081=1,L1081=1),AJ1081,"")</f>
        <v/>
      </c>
      <c r="AS1081" s="34">
        <f>IF(AND(E1081=1,L1081=0),AJ1081,"")</f>
        <v>2.2</v>
      </c>
      <c r="AT1081" s="34" t="str">
        <f>IF(AND(E1081=1,L1081=1),AI1081,"")</f>
        <v/>
      </c>
      <c r="AU1081" s="34">
        <f>IF(AND(E1081=1,L1081=0),AI1081,"")</f>
        <v>3.4</v>
      </c>
      <c r="AV1081" s="34" t="str">
        <f>IF(AND(E1081=1,L1081=1),AG1081,"")</f>
        <v/>
      </c>
      <c r="AW1081" s="34">
        <f>IF(AND(E1081=1,L1081=0),AG1081,"")</f>
        <v>12.4</v>
      </c>
      <c r="AX1081" s="34" t="str">
        <f>IF(AND(E1081=1,L1081=1),AH1081,"")</f>
        <v/>
      </c>
      <c r="AY1081" s="34">
        <f>IF(AND(E1081=1,L1081=0),AH1081,"")</f>
        <v>11.9</v>
      </c>
      <c r="AZ1081" s="34" t="str">
        <f>IF(G1081=1,F1081,"")</f>
        <v/>
      </c>
      <c r="BA1081" s="34" t="str">
        <f>IF(AND(G1081=1,L1081=1),F1081,"")</f>
        <v/>
      </c>
      <c r="BB1081" s="34" t="str">
        <f>IF(AND(G1081=1,L1081=0),F1081,"")</f>
        <v/>
      </c>
      <c r="BC1081" s="33">
        <f>IF(E1081=1,IF(Orders!R1078&gt;3,1,0),"")</f>
        <v>0</v>
      </c>
      <c r="BD1081" s="33">
        <f>IF(E1081=1,IF(Orders!R1078&gt;7,1,0),"")</f>
        <v>0</v>
      </c>
      <c r="BE1081" s="32" t="str">
        <f>IF(E1081=1,IF(Orders!L1078&lt;=1.5,"Up to 1.5 km",IF(Orders!L1078&lt;=3,"1.5–3 km","Over 3 km")),"")</f>
        <v>1.5–3 km</v>
      </c>
      <c r="BF1081" s="33">
        <f>IF(E1081=1,IF(ABS((Orders!G1078-Orders!F1078)*1440-Orders!R1078)&lt;0.06,1,0),"")</f>
        <v>1</v>
      </c>
      <c r="BG1081" s="33">
        <f>IF(ABS((Orders!F1078-Orders!E1078)*1440-Orders!P1078)&lt;0.06,1,0)</f>
        <v>1</v>
      </c>
      <c r="BH1081" s="33">
        <f>IF(E1081=1,IF(IF(Orders!S1078,1,0)=1-G1081,1,0),"")</f>
        <v>1</v>
      </c>
      <c r="BI1081" s="32" t="str">
        <f>INDEX(Stores!$B$2:$B$21,MATCH(B1081,Stores!$A$2:$A$21,0))</f>
        <v>Mumbai</v>
      </c>
    </row>
    <row r="1082">
      <c r="A1082" s="32" t="str">
        <f>Orders!A1079</f>
        <v>O01078</v>
      </c>
      <c r="B1082" s="32" t="str">
        <f>Orders!C1079</f>
        <v>S016</v>
      </c>
      <c r="C1082" s="32" t="str">
        <f>Orders!B1079</f>
        <v>C0203</v>
      </c>
      <c r="D1082" s="32" t="str">
        <f>Orders!H1079</f>
        <v>Delivered</v>
      </c>
      <c r="E1082" s="33">
        <f>IF(Orders!H1079="Delivered",1,0)</f>
        <v>1</v>
      </c>
      <c r="F1082" s="34">
        <f>IF(E1082=1,Orders!R1079,"")</f>
        <v>-0.3</v>
      </c>
      <c r="G1082" s="33">
        <f>IF(E1082=1,IF(Orders!R1079&gt;0,1,0),"")</f>
        <v>0</v>
      </c>
      <c r="H1082" s="33">
        <f>IF(E1082=1,IF(Orders!R1079&gt;5,1,0),"")</f>
        <v>0</v>
      </c>
      <c r="I1082" s="32" t="str">
        <f>IF(E1082=1,"",IF(OR(Orders!T1079="Rider unavailable",Orders!T1079="Item unavailable"),"Company-caused","Unresolved"))</f>
        <v/>
      </c>
      <c r="J1082" s="33">
        <f>IF(OR(E1082=1,I1082="Company-caused"),1,0)</f>
        <v>1</v>
      </c>
      <c r="K1082" s="32" t="str">
        <f>IF(E1082=0,IF(I1082="Company-caused",IF(Orders!T1079="Rider unavailable","C1 Rider unavailable","C2 Item unavailable"),"Outside root: unresolved"),IF(G1082=0,"A On time",IF(H1082=1,IF(L1082=1,"B2a Severe, peak","B2b Severe, off-peak"),IF(L1082=1,"B1a Slight, peak","B1b Slight, off-peak"))))</f>
        <v>A On time</v>
      </c>
      <c r="L1082" s="33">
        <f>IF(AND(Orders!U1079&gt;=19,Orders!U1079&lt;22),1,0)</f>
        <v>0</v>
      </c>
      <c r="M1082" s="33">
        <f>IF(L1082=IF(Orders!V1079,1,0),1,0)</f>
        <v>1</v>
      </c>
      <c r="N1082" s="32" t="str">
        <f>IF(Orders!W1079="","None",Orders!W1079)</f>
        <v>None</v>
      </c>
      <c r="O1082" s="35">
        <f>INT(Orders!E1079)</f>
        <v>46272.0</v>
      </c>
      <c r="P1082" s="33">
        <f>Orders!U1079</f>
        <v>13</v>
      </c>
      <c r="Q1082" s="33">
        <f>COUNTIFS(Demand!$A$2:$A$4481,B1082,Demand!$B$2:$B$4481,O1082,Demand!$C$2:$C$4481,P1082)</f>
        <v>1</v>
      </c>
      <c r="R1082" s="33">
        <f>IF(Q1082=1,SUMIFS(Demand!$E$2:$E$4481,Demand!$A$2:$A$4481,B1082,Demand!$B$2:$B$4481,O1082,Demand!$C$2:$C$4481,P1082),"")</f>
        <v>14</v>
      </c>
      <c r="S1082" s="33">
        <f>INDEX(Stores!$G$2:$G$21,MATCH(B1082,Stores!$A$2:$A$21,0))</f>
        <v>25</v>
      </c>
      <c r="T1082" s="34">
        <f>IF(R1082="","",R1082/S1082)</f>
        <v>0.56</v>
      </c>
      <c r="U1082" s="34">
        <f>IF(E1082=1,T1082,"")</f>
        <v>0.56</v>
      </c>
      <c r="V1082" s="34">
        <f>IF(AND(E1082=1,L1082=0),T1082,"")</f>
        <v>0.56</v>
      </c>
      <c r="W1082" s="33">
        <f>IF(U1082="","",IF(U1082&lt;=Breakdowns!$C$5,1,IF(U1082&lt;=Breakdowns!$C$6,2,IF(U1082&lt;=Breakdowns!$C$7,3,4))))</f>
        <v>1</v>
      </c>
      <c r="X1082" s="33">
        <f>IF(V1082="","",IF(V1082&lt;=Breakdowns!$D$5,1,IF(V1082&lt;=Breakdowns!$D$6,2,IF(V1082&lt;=Breakdowns!$D$7,3,4))))</f>
        <v>1</v>
      </c>
      <c r="Y1082" s="34">
        <f>INDEX(Stores!$F$2:$F$21,MATCH(B1082,Stores!$A$2:$A$21,0))</f>
        <v>5.51</v>
      </c>
      <c r="Z1082" s="33">
        <f>IF(Y1082&gt;Store_Summary!$M$2,1,0)</f>
        <v>1</v>
      </c>
      <c r="AA1082" s="33">
        <f>INDEX(Stores!$C$2:$C$21,MATCH(B1082,Stores!$A$2:$A$21,0))</f>
        <v>792</v>
      </c>
      <c r="AB1082" s="33">
        <f>IF(AA1082&lt;180,1,0)</f>
        <v>0</v>
      </c>
      <c r="AC1082" s="32" t="str">
        <f>IF(Orders!D1079="","",INDEX(Riders!$C$2:$C$81,MATCH(Orders!D1079,Riders!$A$2:$A$81,0)))</f>
        <v>Petrol scooter</v>
      </c>
      <c r="AD1082" s="33">
        <f>IF(Orders!D1079="","",INDEX(Riders!$D$2:$D$81,MATCH(Orders!D1079,Riders!$A$2:$A$81,0)))</f>
        <v>4</v>
      </c>
      <c r="AE1082" s="33">
        <f>IF(Orders!D1079="","",IF(INDEX(Riders!$B$2:$B$81,MATCH(Orders!D1079,Riders!$A$2:$A$81,0))=B1082,1,0))</f>
        <v>0</v>
      </c>
      <c r="AF1082" s="34">
        <f>IF(E1082=1,Orders!L1079,"")</f>
        <v>2.6</v>
      </c>
      <c r="AG1082" s="34">
        <f>IF(E1082=1,Orders!P1079,"")</f>
        <v>9.5</v>
      </c>
      <c r="AH1082" s="34">
        <f>IF(E1082=1,Orders!Q1079,"")</f>
        <v>9.2</v>
      </c>
      <c r="AI1082" s="34">
        <f>IF(E1082=1,Orders!M1079,"")</f>
        <v>2.9</v>
      </c>
      <c r="AJ1082" s="34">
        <f>IF(E1082=1,Orders!N1079,"")</f>
        <v>3.5</v>
      </c>
      <c r="AK1082" s="34">
        <f>IF(E1082=1,Orders!O1079,"")</f>
        <v>2.8</v>
      </c>
      <c r="AL1082" s="33">
        <f>IF(E1082=1,IF(ROUND(ABS(AI1082+AJ1082+AK1082-AH1082),6)&lt;=0.1,1,0),"")</f>
        <v>1</v>
      </c>
      <c r="AM1082" s="36">
        <f>IF(E1082=1,AI1082/AH1082,"")</f>
        <v>0.315217391304348</v>
      </c>
      <c r="AN1082" s="36">
        <f>IF(E1082=1,AJ1082/AH1082,"")</f>
        <v>0.380434782608696</v>
      </c>
      <c r="AO1082" s="36">
        <f>IF(E1082=1,AK1082/AH1082,"")</f>
        <v>0.304347826086957</v>
      </c>
      <c r="AP1082" s="34">
        <f>IF(E1082=1,Orders!Y1079,"")</f>
        <v>0.55</v>
      </c>
      <c r="AQ1082" s="33">
        <f>IF(Orders!X1079,1,0)</f>
        <v>0</v>
      </c>
      <c r="AR1082" s="34" t="str">
        <f>IF(AND(E1082=1,L1082=1),AJ1082,"")</f>
        <v/>
      </c>
      <c r="AS1082" s="34">
        <f>IF(AND(E1082=1,L1082=0),AJ1082,"")</f>
        <v>3.5</v>
      </c>
      <c r="AT1082" s="34" t="str">
        <f>IF(AND(E1082=1,L1082=1),AI1082,"")</f>
        <v/>
      </c>
      <c r="AU1082" s="34">
        <f>IF(AND(E1082=1,L1082=0),AI1082,"")</f>
        <v>2.9</v>
      </c>
      <c r="AV1082" s="34" t="str">
        <f>IF(AND(E1082=1,L1082=1),AG1082,"")</f>
        <v/>
      </c>
      <c r="AW1082" s="34">
        <f>IF(AND(E1082=1,L1082=0),AG1082,"")</f>
        <v>9.5</v>
      </c>
      <c r="AX1082" s="34" t="str">
        <f>IF(AND(E1082=1,L1082=1),AH1082,"")</f>
        <v/>
      </c>
      <c r="AY1082" s="34">
        <f>IF(AND(E1082=1,L1082=0),AH1082,"")</f>
        <v>9.2</v>
      </c>
      <c r="AZ1082" s="34" t="str">
        <f>IF(G1082=1,F1082,"")</f>
        <v/>
      </c>
      <c r="BA1082" s="34" t="str">
        <f>IF(AND(G1082=1,L1082=1),F1082,"")</f>
        <v/>
      </c>
      <c r="BB1082" s="34" t="str">
        <f>IF(AND(G1082=1,L1082=0),F1082,"")</f>
        <v/>
      </c>
      <c r="BC1082" s="33">
        <f>IF(E1082=1,IF(Orders!R1079&gt;3,1,0),"")</f>
        <v>0</v>
      </c>
      <c r="BD1082" s="33">
        <f>IF(E1082=1,IF(Orders!R1079&gt;7,1,0),"")</f>
        <v>0</v>
      </c>
      <c r="BE1082" s="32" t="str">
        <f>IF(E1082=1,IF(Orders!L1079&lt;=1.5,"Up to 1.5 km",IF(Orders!L1079&lt;=3,"1.5–3 km","Over 3 km")),"")</f>
        <v>1.5–3 km</v>
      </c>
      <c r="BF1082" s="33">
        <f>IF(E1082=1,IF(ABS((Orders!G1079-Orders!F1079)*1440-Orders!R1079)&lt;0.06,1,0),"")</f>
        <v>1</v>
      </c>
      <c r="BG1082" s="33">
        <f>IF(ABS((Orders!F1079-Orders!E1079)*1440-Orders!P1079)&lt;0.06,1,0)</f>
        <v>1</v>
      </c>
      <c r="BH1082" s="33">
        <f>IF(E1082=1,IF(IF(Orders!S1079,1,0)=1-G1082,1,0),"")</f>
        <v>1</v>
      </c>
      <c r="BI1082" s="32" t="str">
        <f>INDEX(Stores!$B$2:$B$21,MATCH(B1082,Stores!$A$2:$A$21,0))</f>
        <v>Bengaluru</v>
      </c>
    </row>
    <row r="1083">
      <c r="A1083" s="32" t="str">
        <f>Orders!A1080</f>
        <v>O01079</v>
      </c>
      <c r="B1083" s="32" t="str">
        <f>Orders!C1080</f>
        <v>S002</v>
      </c>
      <c r="C1083" s="32" t="str">
        <f>Orders!B1080</f>
        <v>C0184</v>
      </c>
      <c r="D1083" s="32" t="str">
        <f>Orders!H1080</f>
        <v>Delivered</v>
      </c>
      <c r="E1083" s="33">
        <f>IF(Orders!H1080="Delivered",1,0)</f>
        <v>1</v>
      </c>
      <c r="F1083" s="34">
        <f>IF(E1083=1,Orders!R1080,"")</f>
        <v>-0.5</v>
      </c>
      <c r="G1083" s="33">
        <f>IF(E1083=1,IF(Orders!R1080&gt;0,1,0),"")</f>
        <v>0</v>
      </c>
      <c r="H1083" s="33">
        <f>IF(E1083=1,IF(Orders!R1080&gt;5,1,0),"")</f>
        <v>0</v>
      </c>
      <c r="I1083" s="32" t="str">
        <f>IF(E1083=1,"",IF(OR(Orders!T1080="Rider unavailable",Orders!T1080="Item unavailable"),"Company-caused","Unresolved"))</f>
        <v/>
      </c>
      <c r="J1083" s="33">
        <f>IF(OR(E1083=1,I1083="Company-caused"),1,0)</f>
        <v>1</v>
      </c>
      <c r="K1083" s="32" t="str">
        <f>IF(E1083=0,IF(I1083="Company-caused",IF(Orders!T1080="Rider unavailable","C1 Rider unavailable","C2 Item unavailable"),"Outside root: unresolved"),IF(G1083=0,"A On time",IF(H1083=1,IF(L1083=1,"B2a Severe, peak","B2b Severe, off-peak"),IF(L1083=1,"B1a Slight, peak","B1b Slight, off-peak"))))</f>
        <v>A On time</v>
      </c>
      <c r="L1083" s="33">
        <f>IF(AND(Orders!U1080&gt;=19,Orders!U1080&lt;22),1,0)</f>
        <v>1</v>
      </c>
      <c r="M1083" s="33">
        <f>IF(L1083=IF(Orders!V1080,1,0),1,0)</f>
        <v>1</v>
      </c>
      <c r="N1083" s="32" t="str">
        <f>IF(Orders!W1080="","None",Orders!W1080)</f>
        <v>None</v>
      </c>
      <c r="O1083" s="35">
        <f>INT(Orders!E1080)</f>
        <v>46276.0</v>
      </c>
      <c r="P1083" s="33">
        <f>Orders!U1080</f>
        <v>21</v>
      </c>
      <c r="Q1083" s="33">
        <f>COUNTIFS(Demand!$A$2:$A$4481,B1083,Demand!$B$2:$B$4481,O1083,Demand!$C$2:$C$4481,P1083)</f>
        <v>1</v>
      </c>
      <c r="R1083" s="33">
        <f>IF(Q1083=1,SUMIFS(Demand!$E$2:$E$4481,Demand!$A$2:$A$4481,B1083,Demand!$B$2:$B$4481,O1083,Demand!$C$2:$C$4481,P1083),"")</f>
        <v>48</v>
      </c>
      <c r="S1083" s="33">
        <f>INDEX(Stores!$G$2:$G$21,MATCH(B1083,Stores!$A$2:$A$21,0))</f>
        <v>33</v>
      </c>
      <c r="T1083" s="34">
        <f>IF(R1083="","",R1083/S1083)</f>
        <v>1.45454545454545</v>
      </c>
      <c r="U1083" s="34">
        <f>IF(E1083=1,T1083,"")</f>
        <v>1.45454545454545</v>
      </c>
      <c r="V1083" s="34" t="str">
        <f>IF(AND(E1083=1,L1083=0),T1083,"")</f>
        <v/>
      </c>
      <c r="W1083" s="33">
        <f>IF(U1083="","",IF(U1083&lt;=Breakdowns!$C$5,1,IF(U1083&lt;=Breakdowns!$C$6,2,IF(U1083&lt;=Breakdowns!$C$7,3,4))))</f>
        <v>4</v>
      </c>
      <c r="X1083" s="33" t="str">
        <f>IF(V1083="","",IF(V1083&lt;=Breakdowns!$D$5,1,IF(V1083&lt;=Breakdowns!$D$6,2,IF(V1083&lt;=Breakdowns!$D$7,3,4))))</f>
        <v/>
      </c>
      <c r="Y1083" s="34">
        <f>INDEX(Stores!$F$2:$F$21,MATCH(B1083,Stores!$A$2:$A$21,0))</f>
        <v>2.39</v>
      </c>
      <c r="Z1083" s="33">
        <f>IF(Y1083&gt;Store_Summary!$M$2,1,0)</f>
        <v>0</v>
      </c>
      <c r="AA1083" s="33">
        <f>INDEX(Stores!$C$2:$C$21,MATCH(B1083,Stores!$A$2:$A$21,0))</f>
        <v>470</v>
      </c>
      <c r="AB1083" s="33">
        <f>IF(AA1083&lt;180,1,0)</f>
        <v>0</v>
      </c>
      <c r="AC1083" s="32" t="str">
        <f>IF(Orders!D1080="","",INDEX(Riders!$C$2:$C$81,MATCH(Orders!D1080,Riders!$A$2:$A$81,0)))</f>
        <v>EV scooter</v>
      </c>
      <c r="AD1083" s="33">
        <f>IF(Orders!D1080="","",INDEX(Riders!$D$2:$D$81,MATCH(Orders!D1080,Riders!$A$2:$A$81,0)))</f>
        <v>9</v>
      </c>
      <c r="AE1083" s="33">
        <f>IF(Orders!D1080="","",IF(INDEX(Riders!$B$2:$B$81,MATCH(Orders!D1080,Riders!$A$2:$A$81,0))=B1083,1,0))</f>
        <v>0</v>
      </c>
      <c r="AF1083" s="34">
        <f>IF(E1083=1,Orders!L1080,"")</f>
        <v>1.12</v>
      </c>
      <c r="AG1083" s="34">
        <f>IF(E1083=1,Orders!P1080,"")</f>
        <v>7.2</v>
      </c>
      <c r="AH1083" s="34">
        <f>IF(E1083=1,Orders!Q1080,"")</f>
        <v>6.7</v>
      </c>
      <c r="AI1083" s="34">
        <f>IF(E1083=1,Orders!M1080,"")</f>
        <v>1.3</v>
      </c>
      <c r="AJ1083" s="34">
        <f>IF(E1083=1,Orders!N1080,"")</f>
        <v>3.3</v>
      </c>
      <c r="AK1083" s="34">
        <f>IF(E1083=1,Orders!O1080,"")</f>
        <v>2.1</v>
      </c>
      <c r="AL1083" s="33">
        <f>IF(E1083=1,IF(ROUND(ABS(AI1083+AJ1083+AK1083-AH1083),6)&lt;=0.1,1,0),"")</f>
        <v>1</v>
      </c>
      <c r="AM1083" s="36">
        <f>IF(E1083=1,AI1083/AH1083,"")</f>
        <v>0.194029850746269</v>
      </c>
      <c r="AN1083" s="36">
        <f>IF(E1083=1,AJ1083/AH1083,"")</f>
        <v>0.492537313432836</v>
      </c>
      <c r="AO1083" s="36">
        <f>IF(E1083=1,AK1083/AH1083,"")</f>
        <v>0.313432835820896</v>
      </c>
      <c r="AP1083" s="34">
        <f>IF(E1083=1,Orders!Y1080,"")</f>
        <v>0.93</v>
      </c>
      <c r="AQ1083" s="33">
        <f>IF(Orders!X1080,1,0)</f>
        <v>0</v>
      </c>
      <c r="AR1083" s="34">
        <f>IF(AND(E1083=1,L1083=1),AJ1083,"")</f>
        <v>3.3</v>
      </c>
      <c r="AS1083" s="34" t="str">
        <f>IF(AND(E1083=1,L1083=0),AJ1083,"")</f>
        <v/>
      </c>
      <c r="AT1083" s="34">
        <f>IF(AND(E1083=1,L1083=1),AI1083,"")</f>
        <v>1.3</v>
      </c>
      <c r="AU1083" s="34" t="str">
        <f>IF(AND(E1083=1,L1083=0),AI1083,"")</f>
        <v/>
      </c>
      <c r="AV1083" s="34">
        <f>IF(AND(E1083=1,L1083=1),AG1083,"")</f>
        <v>7.2</v>
      </c>
      <c r="AW1083" s="34" t="str">
        <f>IF(AND(E1083=1,L1083=0),AG1083,"")</f>
        <v/>
      </c>
      <c r="AX1083" s="34">
        <f>IF(AND(E1083=1,L1083=1),AH1083,"")</f>
        <v>6.7</v>
      </c>
      <c r="AY1083" s="34" t="str">
        <f>IF(AND(E1083=1,L1083=0),AH1083,"")</f>
        <v/>
      </c>
      <c r="AZ1083" s="34" t="str">
        <f>IF(G1083=1,F1083,"")</f>
        <v/>
      </c>
      <c r="BA1083" s="34" t="str">
        <f>IF(AND(G1083=1,L1083=1),F1083,"")</f>
        <v/>
      </c>
      <c r="BB1083" s="34" t="str">
        <f>IF(AND(G1083=1,L1083=0),F1083,"")</f>
        <v/>
      </c>
      <c r="BC1083" s="33">
        <f>IF(E1083=1,IF(Orders!R1080&gt;3,1,0),"")</f>
        <v>0</v>
      </c>
      <c r="BD1083" s="33">
        <f>IF(E1083=1,IF(Orders!R1080&gt;7,1,0),"")</f>
        <v>0</v>
      </c>
      <c r="BE1083" s="32" t="str">
        <f>IF(E1083=1,IF(Orders!L1080&lt;=1.5,"Up to 1.5 km",IF(Orders!L1080&lt;=3,"1.5–3 km","Over 3 km")),"")</f>
        <v>Up to 1.5 km</v>
      </c>
      <c r="BF1083" s="33">
        <f>IF(E1083=1,IF(ABS((Orders!G1080-Orders!F1080)*1440-Orders!R1080)&lt;0.06,1,0),"")</f>
        <v>1</v>
      </c>
      <c r="BG1083" s="33">
        <f>IF(ABS((Orders!F1080-Orders!E1080)*1440-Orders!P1080)&lt;0.06,1,0)</f>
        <v>1</v>
      </c>
      <c r="BH1083" s="33">
        <f>IF(E1083=1,IF(IF(Orders!S1080,1,0)=1-G1083,1,0),"")</f>
        <v>1</v>
      </c>
      <c r="BI1083" s="32" t="str">
        <f>INDEX(Stores!$B$2:$B$21,MATCH(B1083,Stores!$A$2:$A$21,0))</f>
        <v>Hyderabad</v>
      </c>
    </row>
    <row r="1084">
      <c r="A1084" s="32" t="str">
        <f>Orders!A1081</f>
        <v>O01080</v>
      </c>
      <c r="B1084" s="32" t="str">
        <f>Orders!C1081</f>
        <v>S006</v>
      </c>
      <c r="C1084" s="32" t="str">
        <f>Orders!B1081</f>
        <v>C0012</v>
      </c>
      <c r="D1084" s="32" t="str">
        <f>Orders!H1081</f>
        <v>Delivered</v>
      </c>
      <c r="E1084" s="33">
        <f>IF(Orders!H1081="Delivered",1,0)</f>
        <v>1</v>
      </c>
      <c r="F1084" s="34">
        <f>IF(E1084=1,Orders!R1081,"")</f>
        <v>1.6</v>
      </c>
      <c r="G1084" s="33">
        <f>IF(E1084=1,IF(Orders!R1081&gt;0,1,0),"")</f>
        <v>1</v>
      </c>
      <c r="H1084" s="33">
        <f>IF(E1084=1,IF(Orders!R1081&gt;5,1,0),"")</f>
        <v>0</v>
      </c>
      <c r="I1084" s="32" t="str">
        <f>IF(E1084=1,"",IF(OR(Orders!T1081="Rider unavailable",Orders!T1081="Item unavailable"),"Company-caused","Unresolved"))</f>
        <v/>
      </c>
      <c r="J1084" s="33">
        <f>IF(OR(E1084=1,I1084="Company-caused"),1,0)</f>
        <v>1</v>
      </c>
      <c r="K1084" s="32" t="str">
        <f>IF(E1084=0,IF(I1084="Company-caused",IF(Orders!T1081="Rider unavailable","C1 Rider unavailable","C2 Item unavailable"),"Outside root: unresolved"),IF(G1084=0,"A On time",IF(H1084=1,IF(L1084=1,"B2a Severe, peak","B2b Severe, off-peak"),IF(L1084=1,"B1a Slight, peak","B1b Slight, off-peak"))))</f>
        <v>B1b Slight, off-peak</v>
      </c>
      <c r="L1084" s="33">
        <f>IF(AND(Orders!U1081&gt;=19,Orders!U1081&lt;22),1,0)</f>
        <v>0</v>
      </c>
      <c r="M1084" s="33">
        <f>IF(L1084=IF(Orders!V1081,1,0),1,0)</f>
        <v>1</v>
      </c>
      <c r="N1084" s="32" t="str">
        <f>IF(Orders!W1081="","None",Orders!W1081)</f>
        <v>None</v>
      </c>
      <c r="O1084" s="35">
        <f>INT(Orders!E1081)</f>
        <v>46267.0</v>
      </c>
      <c r="P1084" s="33">
        <f>Orders!U1081</f>
        <v>10</v>
      </c>
      <c r="Q1084" s="33">
        <f>COUNTIFS(Demand!$A$2:$A$4481,B1084,Demand!$B$2:$B$4481,O1084,Demand!$C$2:$C$4481,P1084)</f>
        <v>1</v>
      </c>
      <c r="R1084" s="33">
        <f>IF(Q1084=1,SUMIFS(Demand!$E$2:$E$4481,Demand!$A$2:$A$4481,B1084,Demand!$B$2:$B$4481,O1084,Demand!$C$2:$C$4481,P1084),"")</f>
        <v>15</v>
      </c>
      <c r="S1084" s="33">
        <f>INDEX(Stores!$G$2:$G$21,MATCH(B1084,Stores!$A$2:$A$21,0))</f>
        <v>26</v>
      </c>
      <c r="T1084" s="34">
        <f>IF(R1084="","",R1084/S1084)</f>
        <v>0.576923076923077</v>
      </c>
      <c r="U1084" s="34">
        <f>IF(E1084=1,T1084,"")</f>
        <v>0.576923076923077</v>
      </c>
      <c r="V1084" s="34">
        <f>IF(AND(E1084=1,L1084=0),T1084,"")</f>
        <v>0.576923076923077</v>
      </c>
      <c r="W1084" s="33">
        <f>IF(U1084="","",IF(U1084&lt;=Breakdowns!$C$5,1,IF(U1084&lt;=Breakdowns!$C$6,2,IF(U1084&lt;=Breakdowns!$C$7,3,4))))</f>
        <v>1</v>
      </c>
      <c r="X1084" s="33">
        <f>IF(V1084="","",IF(V1084&lt;=Breakdowns!$D$5,1,IF(V1084&lt;=Breakdowns!$D$6,2,IF(V1084&lt;=Breakdowns!$D$7,3,4))))</f>
        <v>1</v>
      </c>
      <c r="Y1084" s="34">
        <f>INDEX(Stores!$F$2:$F$21,MATCH(B1084,Stores!$A$2:$A$21,0))</f>
        <v>5.22</v>
      </c>
      <c r="Z1084" s="33">
        <f>IF(Y1084&gt;Store_Summary!$M$2,1,0)</f>
        <v>1</v>
      </c>
      <c r="AA1084" s="33">
        <f>INDEX(Stores!$C$2:$C$21,MATCH(B1084,Stores!$A$2:$A$21,0))</f>
        <v>412</v>
      </c>
      <c r="AB1084" s="33">
        <f>IF(AA1084&lt;180,1,0)</f>
        <v>0</v>
      </c>
      <c r="AC1084" s="32" t="str">
        <f>IF(Orders!D1081="","",INDEX(Riders!$C$2:$C$81,MATCH(Orders!D1081,Riders!$A$2:$A$81,0)))</f>
        <v>EV scooter</v>
      </c>
      <c r="AD1084" s="33">
        <f>IF(Orders!D1081="","",INDEX(Riders!$D$2:$D$81,MATCH(Orders!D1081,Riders!$A$2:$A$81,0)))</f>
        <v>4</v>
      </c>
      <c r="AE1084" s="33">
        <f>IF(Orders!D1081="","",IF(INDEX(Riders!$B$2:$B$81,MATCH(Orders!D1081,Riders!$A$2:$A$81,0))=B1084,1,0))</f>
        <v>0</v>
      </c>
      <c r="AF1084" s="34">
        <f>IF(E1084=1,Orders!L1081,"")</f>
        <v>2.71</v>
      </c>
      <c r="AG1084" s="34">
        <f>IF(E1084=1,Orders!P1081,"")</f>
        <v>11.2</v>
      </c>
      <c r="AH1084" s="34">
        <f>IF(E1084=1,Orders!Q1081,"")</f>
        <v>12.8</v>
      </c>
      <c r="AI1084" s="34">
        <f>IF(E1084=1,Orders!M1081,"")</f>
        <v>4.7</v>
      </c>
      <c r="AJ1084" s="34">
        <f>IF(E1084=1,Orders!N1081,"")</f>
        <v>1.4</v>
      </c>
      <c r="AK1084" s="34">
        <f>IF(E1084=1,Orders!O1081,"")</f>
        <v>6.7</v>
      </c>
      <c r="AL1084" s="33">
        <f>IF(E1084=1,IF(ROUND(ABS(AI1084+AJ1084+AK1084-AH1084),6)&lt;=0.1,1,0),"")</f>
        <v>1</v>
      </c>
      <c r="AM1084" s="36">
        <f>IF(E1084=1,AI1084/AH1084,"")</f>
        <v>0.3671875</v>
      </c>
      <c r="AN1084" s="36">
        <f>IF(E1084=1,AJ1084/AH1084,"")</f>
        <v>0.109375</v>
      </c>
      <c r="AO1084" s="36">
        <f>IF(E1084=1,AK1084/AH1084,"")</f>
        <v>0.5234375</v>
      </c>
      <c r="AP1084" s="34">
        <f>IF(E1084=1,Orders!Y1081,"")</f>
        <v>0.51</v>
      </c>
      <c r="AQ1084" s="33">
        <f>IF(Orders!X1081,1,0)</f>
        <v>0</v>
      </c>
      <c r="AR1084" s="34" t="str">
        <f>IF(AND(E1084=1,L1084=1),AJ1084,"")</f>
        <v/>
      </c>
      <c r="AS1084" s="34">
        <f>IF(AND(E1084=1,L1084=0),AJ1084,"")</f>
        <v>1.4</v>
      </c>
      <c r="AT1084" s="34" t="str">
        <f>IF(AND(E1084=1,L1084=1),AI1084,"")</f>
        <v/>
      </c>
      <c r="AU1084" s="34">
        <f>IF(AND(E1084=1,L1084=0),AI1084,"")</f>
        <v>4.7</v>
      </c>
      <c r="AV1084" s="34" t="str">
        <f>IF(AND(E1084=1,L1084=1),AG1084,"")</f>
        <v/>
      </c>
      <c r="AW1084" s="34">
        <f>IF(AND(E1084=1,L1084=0),AG1084,"")</f>
        <v>11.2</v>
      </c>
      <c r="AX1084" s="34" t="str">
        <f>IF(AND(E1084=1,L1084=1),AH1084,"")</f>
        <v/>
      </c>
      <c r="AY1084" s="34">
        <f>IF(AND(E1084=1,L1084=0),AH1084,"")</f>
        <v>12.8</v>
      </c>
      <c r="AZ1084" s="34">
        <f>IF(G1084=1,F1084,"")</f>
        <v>1.6</v>
      </c>
      <c r="BA1084" s="34" t="str">
        <f>IF(AND(G1084=1,L1084=1),F1084,"")</f>
        <v/>
      </c>
      <c r="BB1084" s="34">
        <f>IF(AND(G1084=1,L1084=0),F1084,"")</f>
        <v>1.6</v>
      </c>
      <c r="BC1084" s="33">
        <f>IF(E1084=1,IF(Orders!R1081&gt;3,1,0),"")</f>
        <v>0</v>
      </c>
      <c r="BD1084" s="33">
        <f>IF(E1084=1,IF(Orders!R1081&gt;7,1,0),"")</f>
        <v>0</v>
      </c>
      <c r="BE1084" s="32" t="str">
        <f>IF(E1084=1,IF(Orders!L1081&lt;=1.5,"Up to 1.5 km",IF(Orders!L1081&lt;=3,"1.5–3 km","Over 3 km")),"")</f>
        <v>1.5–3 km</v>
      </c>
      <c r="BF1084" s="33">
        <f>IF(E1084=1,IF(ABS((Orders!G1081-Orders!F1081)*1440-Orders!R1081)&lt;0.06,1,0),"")</f>
        <v>1</v>
      </c>
      <c r="BG1084" s="33">
        <f>IF(ABS((Orders!F1081-Orders!E1081)*1440-Orders!P1081)&lt;0.06,1,0)</f>
        <v>1</v>
      </c>
      <c r="BH1084" s="33">
        <f>IF(E1084=1,IF(IF(Orders!S1081,1,0)=1-G1084,1,0),"")</f>
        <v>1</v>
      </c>
      <c r="BI1084" s="32" t="str">
        <f>INDEX(Stores!$B$2:$B$21,MATCH(B1084,Stores!$A$2:$A$21,0))</f>
        <v>Bengaluru</v>
      </c>
    </row>
    <row r="1085">
      <c r="A1085" s="32" t="str">
        <f>Orders!A1082</f>
        <v>O01081</v>
      </c>
      <c r="B1085" s="32" t="str">
        <f>Orders!C1082</f>
        <v>S019</v>
      </c>
      <c r="C1085" s="32" t="str">
        <f>Orders!B1082</f>
        <v>C0042</v>
      </c>
      <c r="D1085" s="32" t="str">
        <f>Orders!H1082</f>
        <v>Delivered</v>
      </c>
      <c r="E1085" s="33">
        <f>IF(Orders!H1082="Delivered",1,0)</f>
        <v>1</v>
      </c>
      <c r="F1085" s="34">
        <f>IF(E1085=1,Orders!R1082,"")</f>
        <v>-0.5</v>
      </c>
      <c r="G1085" s="33">
        <f>IF(E1085=1,IF(Orders!R1082&gt;0,1,0),"")</f>
        <v>0</v>
      </c>
      <c r="H1085" s="33">
        <f>IF(E1085=1,IF(Orders!R1082&gt;5,1,0),"")</f>
        <v>0</v>
      </c>
      <c r="I1085" s="32" t="str">
        <f>IF(E1085=1,"",IF(OR(Orders!T1082="Rider unavailable",Orders!T1082="Item unavailable"),"Company-caused","Unresolved"))</f>
        <v/>
      </c>
      <c r="J1085" s="33">
        <f>IF(OR(E1085=1,I1085="Company-caused"),1,0)</f>
        <v>1</v>
      </c>
      <c r="K1085" s="32" t="str">
        <f>IF(E1085=0,IF(I1085="Company-caused",IF(Orders!T1082="Rider unavailable","C1 Rider unavailable","C2 Item unavailable"),"Outside root: unresolved"),IF(G1085=0,"A On time",IF(H1085=1,IF(L1085=1,"B2a Severe, peak","B2b Severe, off-peak"),IF(L1085=1,"B1a Slight, peak","B1b Slight, off-peak"))))</f>
        <v>A On time</v>
      </c>
      <c r="L1085" s="33">
        <f>IF(AND(Orders!U1082&gt;=19,Orders!U1082&lt;22),1,0)</f>
        <v>1</v>
      </c>
      <c r="M1085" s="33">
        <f>IF(L1085=IF(Orders!V1082,1,0),1,0)</f>
        <v>1</v>
      </c>
      <c r="N1085" s="32" t="str">
        <f>IF(Orders!W1082="","None",Orders!W1082)</f>
        <v>None</v>
      </c>
      <c r="O1085" s="35">
        <f>INT(Orders!E1082)</f>
        <v>46273.0</v>
      </c>
      <c r="P1085" s="33">
        <f>Orders!U1082</f>
        <v>19</v>
      </c>
      <c r="Q1085" s="33">
        <f>COUNTIFS(Demand!$A$2:$A$4481,B1085,Demand!$B$2:$B$4481,O1085,Demand!$C$2:$C$4481,P1085)</f>
        <v>1</v>
      </c>
      <c r="R1085" s="33">
        <f>IF(Q1085=1,SUMIFS(Demand!$E$2:$E$4481,Demand!$A$2:$A$4481,B1085,Demand!$B$2:$B$4481,O1085,Demand!$C$2:$C$4481,P1085),"")</f>
        <v>33</v>
      </c>
      <c r="S1085" s="33">
        <f>INDEX(Stores!$G$2:$G$21,MATCH(B1085,Stores!$A$2:$A$21,0))</f>
        <v>22</v>
      </c>
      <c r="T1085" s="34">
        <f>IF(R1085="","",R1085/S1085)</f>
        <v>1.5</v>
      </c>
      <c r="U1085" s="34">
        <f>IF(E1085=1,T1085,"")</f>
        <v>1.5</v>
      </c>
      <c r="V1085" s="34" t="str">
        <f>IF(AND(E1085=1,L1085=0),T1085,"")</f>
        <v/>
      </c>
      <c r="W1085" s="33">
        <f>IF(U1085="","",IF(U1085&lt;=Breakdowns!$C$5,1,IF(U1085&lt;=Breakdowns!$C$6,2,IF(U1085&lt;=Breakdowns!$C$7,3,4))))</f>
        <v>4</v>
      </c>
      <c r="X1085" s="33" t="str">
        <f>IF(V1085="","",IF(V1085&lt;=Breakdowns!$D$5,1,IF(V1085&lt;=Breakdowns!$D$6,2,IF(V1085&lt;=Breakdowns!$D$7,3,4))))</f>
        <v/>
      </c>
      <c r="Y1085" s="34">
        <f>INDEX(Stores!$F$2:$F$21,MATCH(B1085,Stores!$A$2:$A$21,0))</f>
        <v>4.99</v>
      </c>
      <c r="Z1085" s="33">
        <f>IF(Y1085&gt;Store_Summary!$M$2,1,0)</f>
        <v>1</v>
      </c>
      <c r="AA1085" s="33">
        <f>INDEX(Stores!$C$2:$C$21,MATCH(B1085,Stores!$A$2:$A$21,0))</f>
        <v>851</v>
      </c>
      <c r="AB1085" s="33">
        <f>IF(AA1085&lt;180,1,0)</f>
        <v>0</v>
      </c>
      <c r="AC1085" s="32" t="str">
        <f>IF(Orders!D1082="","",INDEX(Riders!$C$2:$C$81,MATCH(Orders!D1082,Riders!$A$2:$A$81,0)))</f>
        <v>EV scooter</v>
      </c>
      <c r="AD1085" s="33">
        <f>IF(Orders!D1082="","",INDEX(Riders!$D$2:$D$81,MATCH(Orders!D1082,Riders!$A$2:$A$81,0)))</f>
        <v>45</v>
      </c>
      <c r="AE1085" s="33">
        <f>IF(Orders!D1082="","",IF(INDEX(Riders!$B$2:$B$81,MATCH(Orders!D1082,Riders!$A$2:$A$81,0))=B1085,1,0))</f>
        <v>0</v>
      </c>
      <c r="AF1085" s="34">
        <f>IF(E1085=1,Orders!L1082,"")</f>
        <v>0.88</v>
      </c>
      <c r="AG1085" s="34">
        <f>IF(E1085=1,Orders!P1082,"")</f>
        <v>10.2</v>
      </c>
      <c r="AH1085" s="34">
        <f>IF(E1085=1,Orders!Q1082,"")</f>
        <v>9.7</v>
      </c>
      <c r="AI1085" s="34">
        <f>IF(E1085=1,Orders!M1082,"")</f>
        <v>3</v>
      </c>
      <c r="AJ1085" s="34">
        <f>IF(E1085=1,Orders!N1082,"")</f>
        <v>4.9</v>
      </c>
      <c r="AK1085" s="34">
        <f>IF(E1085=1,Orders!O1082,"")</f>
        <v>1.8</v>
      </c>
      <c r="AL1085" s="33">
        <f>IF(E1085=1,IF(ROUND(ABS(AI1085+AJ1085+AK1085-AH1085),6)&lt;=0.1,1,0),"")</f>
        <v>1</v>
      </c>
      <c r="AM1085" s="36">
        <f>IF(E1085=1,AI1085/AH1085,"")</f>
        <v>0.309278350515464</v>
      </c>
      <c r="AN1085" s="36">
        <f>IF(E1085=1,AJ1085/AH1085,"")</f>
        <v>0.505154639175258</v>
      </c>
      <c r="AO1085" s="36">
        <f>IF(E1085=1,AK1085/AH1085,"")</f>
        <v>0.185567010309278</v>
      </c>
      <c r="AP1085" s="34">
        <f>IF(E1085=1,Orders!Y1082,"")</f>
        <v>0.6</v>
      </c>
      <c r="AQ1085" s="33">
        <f>IF(Orders!X1082,1,0)</f>
        <v>0</v>
      </c>
      <c r="AR1085" s="34">
        <f>IF(AND(E1085=1,L1085=1),AJ1085,"")</f>
        <v>4.9</v>
      </c>
      <c r="AS1085" s="34" t="str">
        <f>IF(AND(E1085=1,L1085=0),AJ1085,"")</f>
        <v/>
      </c>
      <c r="AT1085" s="34">
        <f>IF(AND(E1085=1,L1085=1),AI1085,"")</f>
        <v>3</v>
      </c>
      <c r="AU1085" s="34" t="str">
        <f>IF(AND(E1085=1,L1085=0),AI1085,"")</f>
        <v/>
      </c>
      <c r="AV1085" s="34">
        <f>IF(AND(E1085=1,L1085=1),AG1085,"")</f>
        <v>10.2</v>
      </c>
      <c r="AW1085" s="34" t="str">
        <f>IF(AND(E1085=1,L1085=0),AG1085,"")</f>
        <v/>
      </c>
      <c r="AX1085" s="34">
        <f>IF(AND(E1085=1,L1085=1),AH1085,"")</f>
        <v>9.7</v>
      </c>
      <c r="AY1085" s="34" t="str">
        <f>IF(AND(E1085=1,L1085=0),AH1085,"")</f>
        <v/>
      </c>
      <c r="AZ1085" s="34" t="str">
        <f>IF(G1085=1,F1085,"")</f>
        <v/>
      </c>
      <c r="BA1085" s="34" t="str">
        <f>IF(AND(G1085=1,L1085=1),F1085,"")</f>
        <v/>
      </c>
      <c r="BB1085" s="34" t="str">
        <f>IF(AND(G1085=1,L1085=0),F1085,"")</f>
        <v/>
      </c>
      <c r="BC1085" s="33">
        <f>IF(E1085=1,IF(Orders!R1082&gt;3,1,0),"")</f>
        <v>0</v>
      </c>
      <c r="BD1085" s="33">
        <f>IF(E1085=1,IF(Orders!R1082&gt;7,1,0),"")</f>
        <v>0</v>
      </c>
      <c r="BE1085" s="32" t="str">
        <f>IF(E1085=1,IF(Orders!L1082&lt;=1.5,"Up to 1.5 km",IF(Orders!L1082&lt;=3,"1.5–3 km","Over 3 km")),"")</f>
        <v>Up to 1.5 km</v>
      </c>
      <c r="BF1085" s="33">
        <f>IF(E1085=1,IF(ABS((Orders!G1082-Orders!F1082)*1440-Orders!R1082)&lt;0.06,1,0),"")</f>
        <v>1</v>
      </c>
      <c r="BG1085" s="33">
        <f>IF(ABS((Orders!F1082-Orders!E1082)*1440-Orders!P1082)&lt;0.06,1,0)</f>
        <v>1</v>
      </c>
      <c r="BH1085" s="33">
        <f>IF(E1085=1,IF(IF(Orders!S1082,1,0)=1-G1085,1,0),"")</f>
        <v>1</v>
      </c>
      <c r="BI1085" s="32" t="str">
        <f>INDEX(Stores!$B$2:$B$21,MATCH(B1085,Stores!$A$2:$A$21,0))</f>
        <v>Pune</v>
      </c>
    </row>
    <row r="1086">
      <c r="A1086" s="32" t="str">
        <f>Orders!A1083</f>
        <v>O01082</v>
      </c>
      <c r="B1086" s="32" t="str">
        <f>Orders!C1083</f>
        <v>S006</v>
      </c>
      <c r="C1086" s="32" t="str">
        <f>Orders!B1083</f>
        <v>C0114</v>
      </c>
      <c r="D1086" s="32" t="str">
        <f>Orders!H1083</f>
        <v>Delivered</v>
      </c>
      <c r="E1086" s="33">
        <f>IF(Orders!H1083="Delivered",1,0)</f>
        <v>1</v>
      </c>
      <c r="F1086" s="34">
        <f>IF(E1086=1,Orders!R1083,"")</f>
        <v>-0.5</v>
      </c>
      <c r="G1086" s="33">
        <f>IF(E1086=1,IF(Orders!R1083&gt;0,1,0),"")</f>
        <v>0</v>
      </c>
      <c r="H1086" s="33">
        <f>IF(E1086=1,IF(Orders!R1083&gt;5,1,0),"")</f>
        <v>0</v>
      </c>
      <c r="I1086" s="32" t="str">
        <f>IF(E1086=1,"",IF(OR(Orders!T1083="Rider unavailable",Orders!T1083="Item unavailable"),"Company-caused","Unresolved"))</f>
        <v/>
      </c>
      <c r="J1086" s="33">
        <f>IF(OR(E1086=1,I1086="Company-caused"),1,0)</f>
        <v>1</v>
      </c>
      <c r="K1086" s="32" t="str">
        <f>IF(E1086=0,IF(I1086="Company-caused",IF(Orders!T1083="Rider unavailable","C1 Rider unavailable","C2 Item unavailable"),"Outside root: unresolved"),IF(G1086=0,"A On time",IF(H1086=1,IF(L1086=1,"B2a Severe, peak","B2b Severe, off-peak"),IF(L1086=1,"B1a Slight, peak","B1b Slight, off-peak"))))</f>
        <v>A On time</v>
      </c>
      <c r="L1086" s="33">
        <f>IF(AND(Orders!U1083&gt;=19,Orders!U1083&lt;22),1,0)</f>
        <v>0</v>
      </c>
      <c r="M1086" s="33">
        <f>IF(L1086=IF(Orders!V1083,1,0),1,0)</f>
        <v>1</v>
      </c>
      <c r="N1086" s="32" t="str">
        <f>IF(Orders!W1083="","None",Orders!W1083)</f>
        <v>None</v>
      </c>
      <c r="O1086" s="35">
        <f>INT(Orders!E1083)</f>
        <v>46269.0</v>
      </c>
      <c r="P1086" s="33">
        <f>Orders!U1083</f>
        <v>13</v>
      </c>
      <c r="Q1086" s="33">
        <f>COUNTIFS(Demand!$A$2:$A$4481,B1086,Demand!$B$2:$B$4481,O1086,Demand!$C$2:$C$4481,P1086)</f>
        <v>1</v>
      </c>
      <c r="R1086" s="33">
        <f>IF(Q1086=1,SUMIFS(Demand!$E$2:$E$4481,Demand!$A$2:$A$4481,B1086,Demand!$B$2:$B$4481,O1086,Demand!$C$2:$C$4481,P1086),"")</f>
        <v>24</v>
      </c>
      <c r="S1086" s="33">
        <f>INDEX(Stores!$G$2:$G$21,MATCH(B1086,Stores!$A$2:$A$21,0))</f>
        <v>26</v>
      </c>
      <c r="T1086" s="34">
        <f>IF(R1086="","",R1086/S1086)</f>
        <v>0.923076923076923</v>
      </c>
      <c r="U1086" s="34">
        <f>IF(E1086=1,T1086,"")</f>
        <v>0.923076923076923</v>
      </c>
      <c r="V1086" s="34">
        <f>IF(AND(E1086=1,L1086=0),T1086,"")</f>
        <v>0.923076923076923</v>
      </c>
      <c r="W1086" s="33">
        <f>IF(U1086="","",IF(U1086&lt;=Breakdowns!$C$5,1,IF(U1086&lt;=Breakdowns!$C$6,2,IF(U1086&lt;=Breakdowns!$C$7,3,4))))</f>
        <v>2</v>
      </c>
      <c r="X1086" s="33">
        <f>IF(V1086="","",IF(V1086&lt;=Breakdowns!$D$5,1,IF(V1086&lt;=Breakdowns!$D$6,2,IF(V1086&lt;=Breakdowns!$D$7,3,4))))</f>
        <v>3</v>
      </c>
      <c r="Y1086" s="34">
        <f>INDEX(Stores!$F$2:$F$21,MATCH(B1086,Stores!$A$2:$A$21,0))</f>
        <v>5.22</v>
      </c>
      <c r="Z1086" s="33">
        <f>IF(Y1086&gt;Store_Summary!$M$2,1,0)</f>
        <v>1</v>
      </c>
      <c r="AA1086" s="33">
        <f>INDEX(Stores!$C$2:$C$21,MATCH(B1086,Stores!$A$2:$A$21,0))</f>
        <v>412</v>
      </c>
      <c r="AB1086" s="33">
        <f>IF(AA1086&lt;180,1,0)</f>
        <v>0</v>
      </c>
      <c r="AC1086" s="32" t="str">
        <f>IF(Orders!D1083="","",INDEX(Riders!$C$2:$C$81,MATCH(Orders!D1083,Riders!$A$2:$A$81,0)))</f>
        <v>Petrol scooter</v>
      </c>
      <c r="AD1086" s="33">
        <f>IF(Orders!D1083="","",INDEX(Riders!$D$2:$D$81,MATCH(Orders!D1083,Riders!$A$2:$A$81,0)))</f>
        <v>20</v>
      </c>
      <c r="AE1086" s="33">
        <f>IF(Orders!D1083="","",IF(INDEX(Riders!$B$2:$B$81,MATCH(Orders!D1083,Riders!$A$2:$A$81,0))=B1086,1,0))</f>
        <v>0</v>
      </c>
      <c r="AF1086" s="34">
        <f>IF(E1086=1,Orders!L1083,"")</f>
        <v>1.72</v>
      </c>
      <c r="AG1086" s="34">
        <f>IF(E1086=1,Orders!P1083,"")</f>
        <v>10.2</v>
      </c>
      <c r="AH1086" s="34">
        <f>IF(E1086=1,Orders!Q1083,"")</f>
        <v>9.7</v>
      </c>
      <c r="AI1086" s="34">
        <f>IF(E1086=1,Orders!M1083,"")</f>
        <v>2.8</v>
      </c>
      <c r="AJ1086" s="34">
        <f>IF(E1086=1,Orders!N1083,"")</f>
        <v>4.6</v>
      </c>
      <c r="AK1086" s="34">
        <f>IF(E1086=1,Orders!O1083,"")</f>
        <v>2.3</v>
      </c>
      <c r="AL1086" s="33">
        <f>IF(E1086=1,IF(ROUND(ABS(AI1086+AJ1086+AK1086-AH1086),6)&lt;=0.1,1,0),"")</f>
        <v>1</v>
      </c>
      <c r="AM1086" s="36">
        <f>IF(E1086=1,AI1086/AH1086,"")</f>
        <v>0.288659793814433</v>
      </c>
      <c r="AN1086" s="36">
        <f>IF(E1086=1,AJ1086/AH1086,"")</f>
        <v>0.474226804123711</v>
      </c>
      <c r="AO1086" s="36">
        <f>IF(E1086=1,AK1086/AH1086,"")</f>
        <v>0.237113402061856</v>
      </c>
      <c r="AP1086" s="34">
        <f>IF(E1086=1,Orders!Y1083,"")</f>
        <v>0</v>
      </c>
      <c r="AQ1086" s="33">
        <f>IF(Orders!X1083,1,0)</f>
        <v>0</v>
      </c>
      <c r="AR1086" s="34" t="str">
        <f>IF(AND(E1086=1,L1086=1),AJ1086,"")</f>
        <v/>
      </c>
      <c r="AS1086" s="34">
        <f>IF(AND(E1086=1,L1086=0),AJ1086,"")</f>
        <v>4.6</v>
      </c>
      <c r="AT1086" s="34" t="str">
        <f>IF(AND(E1086=1,L1086=1),AI1086,"")</f>
        <v/>
      </c>
      <c r="AU1086" s="34">
        <f>IF(AND(E1086=1,L1086=0),AI1086,"")</f>
        <v>2.8</v>
      </c>
      <c r="AV1086" s="34" t="str">
        <f>IF(AND(E1086=1,L1086=1),AG1086,"")</f>
        <v/>
      </c>
      <c r="AW1086" s="34">
        <f>IF(AND(E1086=1,L1086=0),AG1086,"")</f>
        <v>10.2</v>
      </c>
      <c r="AX1086" s="34" t="str">
        <f>IF(AND(E1086=1,L1086=1),AH1086,"")</f>
        <v/>
      </c>
      <c r="AY1086" s="34">
        <f>IF(AND(E1086=1,L1086=0),AH1086,"")</f>
        <v>9.7</v>
      </c>
      <c r="AZ1086" s="34" t="str">
        <f>IF(G1086=1,F1086,"")</f>
        <v/>
      </c>
      <c r="BA1086" s="34" t="str">
        <f>IF(AND(G1086=1,L1086=1),F1086,"")</f>
        <v/>
      </c>
      <c r="BB1086" s="34" t="str">
        <f>IF(AND(G1086=1,L1086=0),F1086,"")</f>
        <v/>
      </c>
      <c r="BC1086" s="33">
        <f>IF(E1086=1,IF(Orders!R1083&gt;3,1,0),"")</f>
        <v>0</v>
      </c>
      <c r="BD1086" s="33">
        <f>IF(E1086=1,IF(Orders!R1083&gt;7,1,0),"")</f>
        <v>0</v>
      </c>
      <c r="BE1086" s="32" t="str">
        <f>IF(E1086=1,IF(Orders!L1083&lt;=1.5,"Up to 1.5 km",IF(Orders!L1083&lt;=3,"1.5–3 km","Over 3 km")),"")</f>
        <v>1.5–3 km</v>
      </c>
      <c r="BF1086" s="33">
        <f>IF(E1086=1,IF(ABS((Orders!G1083-Orders!F1083)*1440-Orders!R1083)&lt;0.06,1,0),"")</f>
        <v>1</v>
      </c>
      <c r="BG1086" s="33">
        <f>IF(ABS((Orders!F1083-Orders!E1083)*1440-Orders!P1083)&lt;0.06,1,0)</f>
        <v>1</v>
      </c>
      <c r="BH1086" s="33">
        <f>IF(E1086=1,IF(IF(Orders!S1083,1,0)=1-G1086,1,0),"")</f>
        <v>1</v>
      </c>
      <c r="BI1086" s="32" t="str">
        <f>INDEX(Stores!$B$2:$B$21,MATCH(B1086,Stores!$A$2:$A$21,0))</f>
        <v>Bengaluru</v>
      </c>
    </row>
    <row r="1087">
      <c r="A1087" s="32" t="str">
        <f>Orders!A1084</f>
        <v>O01083</v>
      </c>
      <c r="B1087" s="32" t="str">
        <f>Orders!C1084</f>
        <v>S008</v>
      </c>
      <c r="C1087" s="32" t="str">
        <f>Orders!B1084</f>
        <v>C0126</v>
      </c>
      <c r="D1087" s="32" t="str">
        <f>Orders!H1084</f>
        <v>Delivered</v>
      </c>
      <c r="E1087" s="33">
        <f>IF(Orders!H1084="Delivered",1,0)</f>
        <v>1</v>
      </c>
      <c r="F1087" s="34">
        <f>IF(E1087=1,Orders!R1084,"")</f>
        <v>-0.6</v>
      </c>
      <c r="G1087" s="33">
        <f>IF(E1087=1,IF(Orders!R1084&gt;0,1,0),"")</f>
        <v>0</v>
      </c>
      <c r="H1087" s="33">
        <f>IF(E1087=1,IF(Orders!R1084&gt;5,1,0),"")</f>
        <v>0</v>
      </c>
      <c r="I1087" s="32" t="str">
        <f>IF(E1087=1,"",IF(OR(Orders!T1084="Rider unavailable",Orders!T1084="Item unavailable"),"Company-caused","Unresolved"))</f>
        <v/>
      </c>
      <c r="J1087" s="33">
        <f>IF(OR(E1087=1,I1087="Company-caused"),1,0)</f>
        <v>1</v>
      </c>
      <c r="K1087" s="32" t="str">
        <f>IF(E1087=0,IF(I1087="Company-caused",IF(Orders!T1084="Rider unavailable","C1 Rider unavailable","C2 Item unavailable"),"Outside root: unresolved"),IF(G1087=0,"A On time",IF(H1087=1,IF(L1087=1,"B2a Severe, peak","B2b Severe, off-peak"),IF(L1087=1,"B1a Slight, peak","B1b Slight, off-peak"))))</f>
        <v>A On time</v>
      </c>
      <c r="L1087" s="33">
        <f>IF(AND(Orders!U1084&gt;=19,Orders!U1084&lt;22),1,0)</f>
        <v>1</v>
      </c>
      <c r="M1087" s="33">
        <f>IF(L1087=IF(Orders!V1084,1,0),1,0)</f>
        <v>1</v>
      </c>
      <c r="N1087" s="32" t="str">
        <f>IF(Orders!W1084="","None",Orders!W1084)</f>
        <v>None</v>
      </c>
      <c r="O1087" s="35">
        <f>INT(Orders!E1084)</f>
        <v>46279.0</v>
      </c>
      <c r="P1087" s="33">
        <f>Orders!U1084</f>
        <v>21</v>
      </c>
      <c r="Q1087" s="33">
        <f>COUNTIFS(Demand!$A$2:$A$4481,B1087,Demand!$B$2:$B$4481,O1087,Demand!$C$2:$C$4481,P1087)</f>
        <v>1</v>
      </c>
      <c r="R1087" s="33">
        <f>IF(Q1087=1,SUMIFS(Demand!$E$2:$E$4481,Demand!$A$2:$A$4481,B1087,Demand!$B$2:$B$4481,O1087,Demand!$C$2:$C$4481,P1087),"")</f>
        <v>26</v>
      </c>
      <c r="S1087" s="33">
        <f>INDEX(Stores!$G$2:$G$21,MATCH(B1087,Stores!$A$2:$A$21,0))</f>
        <v>23</v>
      </c>
      <c r="T1087" s="34">
        <f>IF(R1087="","",R1087/S1087)</f>
        <v>1.1304347826087</v>
      </c>
      <c r="U1087" s="34">
        <f>IF(E1087=1,T1087,"")</f>
        <v>1.1304347826087</v>
      </c>
      <c r="V1087" s="34" t="str">
        <f>IF(AND(E1087=1,L1087=0),T1087,"")</f>
        <v/>
      </c>
      <c r="W1087" s="33">
        <f>IF(U1087="","",IF(U1087&lt;=Breakdowns!$C$5,1,IF(U1087&lt;=Breakdowns!$C$6,2,IF(U1087&lt;=Breakdowns!$C$7,3,4))))</f>
        <v>3</v>
      </c>
      <c r="X1087" s="33" t="str">
        <f>IF(V1087="","",IF(V1087&lt;=Breakdowns!$D$5,1,IF(V1087&lt;=Breakdowns!$D$6,2,IF(V1087&lt;=Breakdowns!$D$7,3,4))))</f>
        <v/>
      </c>
      <c r="Y1087" s="34">
        <f>INDEX(Stores!$F$2:$F$21,MATCH(B1087,Stores!$A$2:$A$21,0))</f>
        <v>3.46</v>
      </c>
      <c r="Z1087" s="33">
        <f>IF(Y1087&gt;Store_Summary!$M$2,1,0)</f>
        <v>0</v>
      </c>
      <c r="AA1087" s="33">
        <f>INDEX(Stores!$C$2:$C$21,MATCH(B1087,Stores!$A$2:$A$21,0))</f>
        <v>825</v>
      </c>
      <c r="AB1087" s="33">
        <f>IF(AA1087&lt;180,1,0)</f>
        <v>0</v>
      </c>
      <c r="AC1087" s="32" t="str">
        <f>IF(Orders!D1084="","",INDEX(Riders!$C$2:$C$81,MATCH(Orders!D1084,Riders!$A$2:$A$81,0)))</f>
        <v>Petrol scooter</v>
      </c>
      <c r="AD1087" s="33">
        <f>IF(Orders!D1084="","",INDEX(Riders!$D$2:$D$81,MATCH(Orders!D1084,Riders!$A$2:$A$81,0)))</f>
        <v>42</v>
      </c>
      <c r="AE1087" s="33">
        <f>IF(Orders!D1084="","",IF(INDEX(Riders!$B$2:$B$81,MATCH(Orders!D1084,Riders!$A$2:$A$81,0))=B1087,1,0))</f>
        <v>0</v>
      </c>
      <c r="AF1087" s="34">
        <f>IF(E1087=1,Orders!L1084,"")</f>
        <v>1.76</v>
      </c>
      <c r="AG1087" s="34">
        <f>IF(E1087=1,Orders!P1084,"")</f>
        <v>11.7</v>
      </c>
      <c r="AH1087" s="34">
        <f>IF(E1087=1,Orders!Q1084,"")</f>
        <v>11.1</v>
      </c>
      <c r="AI1087" s="34">
        <f>IF(E1087=1,Orders!M1084,"")</f>
        <v>4.2</v>
      </c>
      <c r="AJ1087" s="34">
        <f>IF(E1087=1,Orders!N1084,"")</f>
        <v>3.6</v>
      </c>
      <c r="AK1087" s="34">
        <f>IF(E1087=1,Orders!O1084,"")</f>
        <v>3.3</v>
      </c>
      <c r="AL1087" s="33">
        <f>IF(E1087=1,IF(ROUND(ABS(AI1087+AJ1087+AK1087-AH1087),6)&lt;=0.1,1,0),"")</f>
        <v>1</v>
      </c>
      <c r="AM1087" s="36">
        <f>IF(E1087=1,AI1087/AH1087,"")</f>
        <v>0.378378378378378</v>
      </c>
      <c r="AN1087" s="36">
        <f>IF(E1087=1,AJ1087/AH1087,"")</f>
        <v>0.324324324324324</v>
      </c>
      <c r="AO1087" s="36">
        <f>IF(E1087=1,AK1087/AH1087,"")</f>
        <v>0.297297297297297</v>
      </c>
      <c r="AP1087" s="34">
        <f>IF(E1087=1,Orders!Y1084,"")</f>
        <v>0.28</v>
      </c>
      <c r="AQ1087" s="33">
        <f>IF(Orders!X1084,1,0)</f>
        <v>0</v>
      </c>
      <c r="AR1087" s="34">
        <f>IF(AND(E1087=1,L1087=1),AJ1087,"")</f>
        <v>3.6</v>
      </c>
      <c r="AS1087" s="34" t="str">
        <f>IF(AND(E1087=1,L1087=0),AJ1087,"")</f>
        <v/>
      </c>
      <c r="AT1087" s="34">
        <f>IF(AND(E1087=1,L1087=1),AI1087,"")</f>
        <v>4.2</v>
      </c>
      <c r="AU1087" s="34" t="str">
        <f>IF(AND(E1087=1,L1087=0),AI1087,"")</f>
        <v/>
      </c>
      <c r="AV1087" s="34">
        <f>IF(AND(E1087=1,L1087=1),AG1087,"")</f>
        <v>11.7</v>
      </c>
      <c r="AW1087" s="34" t="str">
        <f>IF(AND(E1087=1,L1087=0),AG1087,"")</f>
        <v/>
      </c>
      <c r="AX1087" s="34">
        <f>IF(AND(E1087=1,L1087=1),AH1087,"")</f>
        <v>11.1</v>
      </c>
      <c r="AY1087" s="34" t="str">
        <f>IF(AND(E1087=1,L1087=0),AH1087,"")</f>
        <v/>
      </c>
      <c r="AZ1087" s="34" t="str">
        <f>IF(G1087=1,F1087,"")</f>
        <v/>
      </c>
      <c r="BA1087" s="34" t="str">
        <f>IF(AND(G1087=1,L1087=1),F1087,"")</f>
        <v/>
      </c>
      <c r="BB1087" s="34" t="str">
        <f>IF(AND(G1087=1,L1087=0),F1087,"")</f>
        <v/>
      </c>
      <c r="BC1087" s="33">
        <f>IF(E1087=1,IF(Orders!R1084&gt;3,1,0),"")</f>
        <v>0</v>
      </c>
      <c r="BD1087" s="33">
        <f>IF(E1087=1,IF(Orders!R1084&gt;7,1,0),"")</f>
        <v>0</v>
      </c>
      <c r="BE1087" s="32" t="str">
        <f>IF(E1087=1,IF(Orders!L1084&lt;=1.5,"Up to 1.5 km",IF(Orders!L1084&lt;=3,"1.5–3 km","Over 3 km")),"")</f>
        <v>1.5–3 km</v>
      </c>
      <c r="BF1087" s="33">
        <f>IF(E1087=1,IF(ABS((Orders!G1084-Orders!F1084)*1440-Orders!R1084)&lt;0.06,1,0),"")</f>
        <v>1</v>
      </c>
      <c r="BG1087" s="33">
        <f>IF(ABS((Orders!F1084-Orders!E1084)*1440-Orders!P1084)&lt;0.06,1,0)</f>
        <v>1</v>
      </c>
      <c r="BH1087" s="33">
        <f>IF(E1087=1,IF(IF(Orders!S1084,1,0)=1-G1087,1,0),"")</f>
        <v>1</v>
      </c>
      <c r="BI1087" s="32" t="str">
        <f>INDEX(Stores!$B$2:$B$21,MATCH(B1087,Stores!$A$2:$A$21,0))</f>
        <v>Mumbai</v>
      </c>
    </row>
    <row r="1088">
      <c r="A1088" s="32" t="str">
        <f>Orders!A1085</f>
        <v>O01084</v>
      </c>
      <c r="B1088" s="32" t="str">
        <f>Orders!C1085</f>
        <v>S014</v>
      </c>
      <c r="C1088" s="32" t="str">
        <f>Orders!B1085</f>
        <v>C0112</v>
      </c>
      <c r="D1088" s="32" t="str">
        <f>Orders!H1085</f>
        <v>Delivered</v>
      </c>
      <c r="E1088" s="33">
        <f>IF(Orders!H1085="Delivered",1,0)</f>
        <v>1</v>
      </c>
      <c r="F1088" s="34">
        <f>IF(E1088=1,Orders!R1085,"")</f>
        <v>14.1</v>
      </c>
      <c r="G1088" s="33">
        <f>IF(E1088=1,IF(Orders!R1085&gt;0,1,0),"")</f>
        <v>1</v>
      </c>
      <c r="H1088" s="33">
        <f>IF(E1088=1,IF(Orders!R1085&gt;5,1,0),"")</f>
        <v>1</v>
      </c>
      <c r="I1088" s="32" t="str">
        <f>IF(E1088=1,"",IF(OR(Orders!T1085="Rider unavailable",Orders!T1085="Item unavailable"),"Company-caused","Unresolved"))</f>
        <v/>
      </c>
      <c r="J1088" s="33">
        <f>IF(OR(E1088=1,I1088="Company-caused"),1,0)</f>
        <v>1</v>
      </c>
      <c r="K1088" s="32" t="str">
        <f>IF(E1088=0,IF(I1088="Company-caused",IF(Orders!T1085="Rider unavailable","C1 Rider unavailable","C2 Item unavailable"),"Outside root: unresolved"),IF(G1088=0,"A On time",IF(H1088=1,IF(L1088=1,"B2a Severe, peak","B2b Severe, off-peak"),IF(L1088=1,"B1a Slight, peak","B1b Slight, off-peak"))))</f>
        <v>B2b Severe, off-peak</v>
      </c>
      <c r="L1088" s="33">
        <f>IF(AND(Orders!U1085&gt;=19,Orders!U1085&lt;22),1,0)</f>
        <v>0</v>
      </c>
      <c r="M1088" s="33">
        <f>IF(L1088=IF(Orders!V1085,1,0),1,0)</f>
        <v>1</v>
      </c>
      <c r="N1088" s="32" t="str">
        <f>IF(Orders!W1085="","None",Orders!W1085)</f>
        <v>Light</v>
      </c>
      <c r="O1088" s="35">
        <f>INT(Orders!E1085)</f>
        <v>46277.0</v>
      </c>
      <c r="P1088" s="33">
        <f>Orders!U1085</f>
        <v>8</v>
      </c>
      <c r="Q1088" s="33">
        <f>COUNTIFS(Demand!$A$2:$A$4481,B1088,Demand!$B$2:$B$4481,O1088,Demand!$C$2:$C$4481,P1088)</f>
        <v>1</v>
      </c>
      <c r="R1088" s="33">
        <f>IF(Q1088=1,SUMIFS(Demand!$E$2:$E$4481,Demand!$A$2:$A$4481,B1088,Demand!$B$2:$B$4481,O1088,Demand!$C$2:$C$4481,P1088),"")</f>
        <v>31</v>
      </c>
      <c r="S1088" s="33">
        <f>INDEX(Stores!$G$2:$G$21,MATCH(B1088,Stores!$A$2:$A$21,0))</f>
        <v>37</v>
      </c>
      <c r="T1088" s="34">
        <f>IF(R1088="","",R1088/S1088)</f>
        <v>0.837837837837838</v>
      </c>
      <c r="U1088" s="34">
        <f>IF(E1088=1,T1088,"")</f>
        <v>0.837837837837838</v>
      </c>
      <c r="V1088" s="34">
        <f>IF(AND(E1088=1,L1088=0),T1088,"")</f>
        <v>0.837837837837838</v>
      </c>
      <c r="W1088" s="33">
        <f>IF(U1088="","",IF(U1088&lt;=Breakdowns!$C$5,1,IF(U1088&lt;=Breakdowns!$C$6,2,IF(U1088&lt;=Breakdowns!$C$7,3,4))))</f>
        <v>2</v>
      </c>
      <c r="X1088" s="33">
        <f>IF(V1088="","",IF(V1088&lt;=Breakdowns!$D$5,1,IF(V1088&lt;=Breakdowns!$D$6,2,IF(V1088&lt;=Breakdowns!$D$7,3,4))))</f>
        <v>2</v>
      </c>
      <c r="Y1088" s="34">
        <f>INDEX(Stores!$F$2:$F$21,MATCH(B1088,Stores!$A$2:$A$21,0))</f>
        <v>5.55</v>
      </c>
      <c r="Z1088" s="33">
        <f>IF(Y1088&gt;Store_Summary!$M$2,1,0)</f>
        <v>1</v>
      </c>
      <c r="AA1088" s="33">
        <f>INDEX(Stores!$C$2:$C$21,MATCH(B1088,Stores!$A$2:$A$21,0))</f>
        <v>241</v>
      </c>
      <c r="AB1088" s="33">
        <f>IF(AA1088&lt;180,1,0)</f>
        <v>0</v>
      </c>
      <c r="AC1088" s="32" t="str">
        <f>IF(Orders!D1085="","",INDEX(Riders!$C$2:$C$81,MATCH(Orders!D1085,Riders!$A$2:$A$81,0)))</f>
        <v>EV scooter</v>
      </c>
      <c r="AD1088" s="33">
        <f>IF(Orders!D1085="","",INDEX(Riders!$D$2:$D$81,MATCH(Orders!D1085,Riders!$A$2:$A$81,0)))</f>
        <v>41</v>
      </c>
      <c r="AE1088" s="33">
        <f>IF(Orders!D1085="","",IF(INDEX(Riders!$B$2:$B$81,MATCH(Orders!D1085,Riders!$A$2:$A$81,0))=B1088,1,0))</f>
        <v>0</v>
      </c>
      <c r="AF1088" s="34">
        <f>IF(E1088=1,Orders!L1085,"")</f>
        <v>2.58</v>
      </c>
      <c r="AG1088" s="34">
        <f>IF(E1088=1,Orders!P1085,"")</f>
        <v>10.6</v>
      </c>
      <c r="AH1088" s="34">
        <f>IF(E1088=1,Orders!Q1085,"")</f>
        <v>24.7</v>
      </c>
      <c r="AI1088" s="34">
        <f>IF(E1088=1,Orders!M1085,"")</f>
        <v>6.2</v>
      </c>
      <c r="AJ1088" s="34">
        <f>IF(E1088=1,Orders!N1085,"")</f>
        <v>10</v>
      </c>
      <c r="AK1088" s="34">
        <f>IF(E1088=1,Orders!O1085,"")</f>
        <v>8.5</v>
      </c>
      <c r="AL1088" s="33">
        <f>IF(E1088=1,IF(ROUND(ABS(AI1088+AJ1088+AK1088-AH1088),6)&lt;=0.1,1,0),"")</f>
        <v>1</v>
      </c>
      <c r="AM1088" s="36">
        <f>IF(E1088=1,AI1088/AH1088,"")</f>
        <v>0.251012145748988</v>
      </c>
      <c r="AN1088" s="36">
        <f>IF(E1088=1,AJ1088/AH1088,"")</f>
        <v>0.404858299595142</v>
      </c>
      <c r="AO1088" s="36">
        <f>IF(E1088=1,AK1088/AH1088,"")</f>
        <v>0.344129554655871</v>
      </c>
      <c r="AP1088" s="34">
        <f>IF(E1088=1,Orders!Y1085,"")</f>
        <v>0.65</v>
      </c>
      <c r="AQ1088" s="33">
        <f>IF(Orders!X1085,1,0)</f>
        <v>0</v>
      </c>
      <c r="AR1088" s="34" t="str">
        <f>IF(AND(E1088=1,L1088=1),AJ1088,"")</f>
        <v/>
      </c>
      <c r="AS1088" s="34">
        <f>IF(AND(E1088=1,L1088=0),AJ1088,"")</f>
        <v>10</v>
      </c>
      <c r="AT1088" s="34" t="str">
        <f>IF(AND(E1088=1,L1088=1),AI1088,"")</f>
        <v/>
      </c>
      <c r="AU1088" s="34">
        <f>IF(AND(E1088=1,L1088=0),AI1088,"")</f>
        <v>6.2</v>
      </c>
      <c r="AV1088" s="34" t="str">
        <f>IF(AND(E1088=1,L1088=1),AG1088,"")</f>
        <v/>
      </c>
      <c r="AW1088" s="34">
        <f>IF(AND(E1088=1,L1088=0),AG1088,"")</f>
        <v>10.6</v>
      </c>
      <c r="AX1088" s="34" t="str">
        <f>IF(AND(E1088=1,L1088=1),AH1088,"")</f>
        <v/>
      </c>
      <c r="AY1088" s="34">
        <f>IF(AND(E1088=1,L1088=0),AH1088,"")</f>
        <v>24.7</v>
      </c>
      <c r="AZ1088" s="34">
        <f>IF(G1088=1,F1088,"")</f>
        <v>14.1</v>
      </c>
      <c r="BA1088" s="34" t="str">
        <f>IF(AND(G1088=1,L1088=1),F1088,"")</f>
        <v/>
      </c>
      <c r="BB1088" s="34">
        <f>IF(AND(G1088=1,L1088=0),F1088,"")</f>
        <v>14.1</v>
      </c>
      <c r="BC1088" s="33">
        <f>IF(E1088=1,IF(Orders!R1085&gt;3,1,0),"")</f>
        <v>1</v>
      </c>
      <c r="BD1088" s="33">
        <f>IF(E1088=1,IF(Orders!R1085&gt;7,1,0),"")</f>
        <v>1</v>
      </c>
      <c r="BE1088" s="32" t="str">
        <f>IF(E1088=1,IF(Orders!L1085&lt;=1.5,"Up to 1.5 km",IF(Orders!L1085&lt;=3,"1.5–3 km","Over 3 km")),"")</f>
        <v>1.5–3 km</v>
      </c>
      <c r="BF1088" s="33">
        <f>IF(E1088=1,IF(ABS((Orders!G1085-Orders!F1085)*1440-Orders!R1085)&lt;0.06,1,0),"")</f>
        <v>1</v>
      </c>
      <c r="BG1088" s="33">
        <f>IF(ABS((Orders!F1085-Orders!E1085)*1440-Orders!P1085)&lt;0.06,1,0)</f>
        <v>1</v>
      </c>
      <c r="BH1088" s="33">
        <f>IF(E1088=1,IF(IF(Orders!S1085,1,0)=1-G1088,1,0),"")</f>
        <v>1</v>
      </c>
      <c r="BI1088" s="32" t="str">
        <f>INDEX(Stores!$B$2:$B$21,MATCH(B1088,Stores!$A$2:$A$21,0))</f>
        <v>Pune</v>
      </c>
    </row>
    <row r="1089">
      <c r="A1089" s="32" t="str">
        <f>Orders!A1086</f>
        <v>O01085</v>
      </c>
      <c r="B1089" s="32" t="str">
        <f>Orders!C1086</f>
        <v>S016</v>
      </c>
      <c r="C1089" s="32" t="str">
        <f>Orders!B1086</f>
        <v>C0081</v>
      </c>
      <c r="D1089" s="32" t="str">
        <f>Orders!H1086</f>
        <v>Delivered</v>
      </c>
      <c r="E1089" s="33">
        <f>IF(Orders!H1086="Delivered",1,0)</f>
        <v>1</v>
      </c>
      <c r="F1089" s="34">
        <f>IF(E1089=1,Orders!R1086,"")</f>
        <v>-1</v>
      </c>
      <c r="G1089" s="33">
        <f>IF(E1089=1,IF(Orders!R1086&gt;0,1,0),"")</f>
        <v>0</v>
      </c>
      <c r="H1089" s="33">
        <f>IF(E1089=1,IF(Orders!R1086&gt;5,1,0),"")</f>
        <v>0</v>
      </c>
      <c r="I1089" s="32" t="str">
        <f>IF(E1089=1,"",IF(OR(Orders!T1086="Rider unavailable",Orders!T1086="Item unavailable"),"Company-caused","Unresolved"))</f>
        <v/>
      </c>
      <c r="J1089" s="33">
        <f>IF(OR(E1089=1,I1089="Company-caused"),1,0)</f>
        <v>1</v>
      </c>
      <c r="K1089" s="32" t="str">
        <f>IF(E1089=0,IF(I1089="Company-caused",IF(Orders!T1086="Rider unavailable","C1 Rider unavailable","C2 Item unavailable"),"Outside root: unresolved"),IF(G1089=0,"A On time",IF(H1089=1,IF(L1089=1,"B2a Severe, peak","B2b Severe, off-peak"),IF(L1089=1,"B1a Slight, peak","B1b Slight, off-peak"))))</f>
        <v>A On time</v>
      </c>
      <c r="L1089" s="33">
        <f>IF(AND(Orders!U1086&gt;=19,Orders!U1086&lt;22),1,0)</f>
        <v>0</v>
      </c>
      <c r="M1089" s="33">
        <f>IF(L1089=IF(Orders!V1086,1,0),1,0)</f>
        <v>1</v>
      </c>
      <c r="N1089" s="32" t="str">
        <f>IF(Orders!W1086="","None",Orders!W1086)</f>
        <v>None</v>
      </c>
      <c r="O1089" s="35">
        <f>INT(Orders!E1086)</f>
        <v>46271.0</v>
      </c>
      <c r="P1089" s="33">
        <f>Orders!U1086</f>
        <v>14</v>
      </c>
      <c r="Q1089" s="33">
        <f>COUNTIFS(Demand!$A$2:$A$4481,B1089,Demand!$B$2:$B$4481,O1089,Demand!$C$2:$C$4481,P1089)</f>
        <v>1</v>
      </c>
      <c r="R1089" s="33">
        <f>IF(Q1089=1,SUMIFS(Demand!$E$2:$E$4481,Demand!$A$2:$A$4481,B1089,Demand!$B$2:$B$4481,O1089,Demand!$C$2:$C$4481,P1089),"")</f>
        <v>19</v>
      </c>
      <c r="S1089" s="33">
        <f>INDEX(Stores!$G$2:$G$21,MATCH(B1089,Stores!$A$2:$A$21,0))</f>
        <v>25</v>
      </c>
      <c r="T1089" s="34">
        <f>IF(R1089="","",R1089/S1089)</f>
        <v>0.76</v>
      </c>
      <c r="U1089" s="34">
        <f>IF(E1089=1,T1089,"")</f>
        <v>0.76</v>
      </c>
      <c r="V1089" s="34">
        <f>IF(AND(E1089=1,L1089=0),T1089,"")</f>
        <v>0.76</v>
      </c>
      <c r="W1089" s="33">
        <f>IF(U1089="","",IF(U1089&lt;=Breakdowns!$C$5,1,IF(U1089&lt;=Breakdowns!$C$6,2,IF(U1089&lt;=Breakdowns!$C$7,3,4))))</f>
        <v>1</v>
      </c>
      <c r="X1089" s="33">
        <f>IF(V1089="","",IF(V1089&lt;=Breakdowns!$D$5,1,IF(V1089&lt;=Breakdowns!$D$6,2,IF(V1089&lt;=Breakdowns!$D$7,3,4))))</f>
        <v>2</v>
      </c>
      <c r="Y1089" s="34">
        <f>INDEX(Stores!$F$2:$F$21,MATCH(B1089,Stores!$A$2:$A$21,0))</f>
        <v>5.51</v>
      </c>
      <c r="Z1089" s="33">
        <f>IF(Y1089&gt;Store_Summary!$M$2,1,0)</f>
        <v>1</v>
      </c>
      <c r="AA1089" s="33">
        <f>INDEX(Stores!$C$2:$C$21,MATCH(B1089,Stores!$A$2:$A$21,0))</f>
        <v>792</v>
      </c>
      <c r="AB1089" s="33">
        <f>IF(AA1089&lt;180,1,0)</f>
        <v>0</v>
      </c>
      <c r="AC1089" s="32" t="str">
        <f>IF(Orders!D1086="","",INDEX(Riders!$C$2:$C$81,MATCH(Orders!D1086,Riders!$A$2:$A$81,0)))</f>
        <v>EV scooter</v>
      </c>
      <c r="AD1089" s="33">
        <f>IF(Orders!D1086="","",INDEX(Riders!$D$2:$D$81,MATCH(Orders!D1086,Riders!$A$2:$A$81,0)))</f>
        <v>26</v>
      </c>
      <c r="AE1089" s="33">
        <f>IF(Orders!D1086="","",IF(INDEX(Riders!$B$2:$B$81,MATCH(Orders!D1086,Riders!$A$2:$A$81,0))=B1089,1,0))</f>
        <v>0</v>
      </c>
      <c r="AF1089" s="34">
        <f>IF(E1089=1,Orders!L1086,"")</f>
        <v>0.87</v>
      </c>
      <c r="AG1089" s="34">
        <f>IF(E1089=1,Orders!P1086,"")</f>
        <v>9.7</v>
      </c>
      <c r="AH1089" s="34">
        <f>IF(E1089=1,Orders!Q1086,"")</f>
        <v>8.7</v>
      </c>
      <c r="AI1089" s="34">
        <f>IF(E1089=1,Orders!M1086,"")</f>
        <v>4</v>
      </c>
      <c r="AJ1089" s="34">
        <f>IF(E1089=1,Orders!N1086,"")</f>
        <v>3.2</v>
      </c>
      <c r="AK1089" s="34">
        <f>IF(E1089=1,Orders!O1086,"")</f>
        <v>1.5</v>
      </c>
      <c r="AL1089" s="33">
        <f>IF(E1089=1,IF(ROUND(ABS(AI1089+AJ1089+AK1089-AH1089),6)&lt;=0.1,1,0),"")</f>
        <v>1</v>
      </c>
      <c r="AM1089" s="36">
        <f>IF(E1089=1,AI1089/AH1089,"")</f>
        <v>0.459770114942529</v>
      </c>
      <c r="AN1089" s="36">
        <f>IF(E1089=1,AJ1089/AH1089,"")</f>
        <v>0.367816091954023</v>
      </c>
      <c r="AO1089" s="36">
        <f>IF(E1089=1,AK1089/AH1089,"")</f>
        <v>0.172413793103448</v>
      </c>
      <c r="AP1089" s="34">
        <f>IF(E1089=1,Orders!Y1086,"")</f>
        <v>0.3</v>
      </c>
      <c r="AQ1089" s="33">
        <f>IF(Orders!X1086,1,0)</f>
        <v>0</v>
      </c>
      <c r="AR1089" s="34" t="str">
        <f>IF(AND(E1089=1,L1089=1),AJ1089,"")</f>
        <v/>
      </c>
      <c r="AS1089" s="34">
        <f>IF(AND(E1089=1,L1089=0),AJ1089,"")</f>
        <v>3.2</v>
      </c>
      <c r="AT1089" s="34" t="str">
        <f>IF(AND(E1089=1,L1089=1),AI1089,"")</f>
        <v/>
      </c>
      <c r="AU1089" s="34">
        <f>IF(AND(E1089=1,L1089=0),AI1089,"")</f>
        <v>4</v>
      </c>
      <c r="AV1089" s="34" t="str">
        <f>IF(AND(E1089=1,L1089=1),AG1089,"")</f>
        <v/>
      </c>
      <c r="AW1089" s="34">
        <f>IF(AND(E1089=1,L1089=0),AG1089,"")</f>
        <v>9.7</v>
      </c>
      <c r="AX1089" s="34" t="str">
        <f>IF(AND(E1089=1,L1089=1),AH1089,"")</f>
        <v/>
      </c>
      <c r="AY1089" s="34">
        <f>IF(AND(E1089=1,L1089=0),AH1089,"")</f>
        <v>8.7</v>
      </c>
      <c r="AZ1089" s="34" t="str">
        <f>IF(G1089=1,F1089,"")</f>
        <v/>
      </c>
      <c r="BA1089" s="34" t="str">
        <f>IF(AND(G1089=1,L1089=1),F1089,"")</f>
        <v/>
      </c>
      <c r="BB1089" s="34" t="str">
        <f>IF(AND(G1089=1,L1089=0),F1089,"")</f>
        <v/>
      </c>
      <c r="BC1089" s="33">
        <f>IF(E1089=1,IF(Orders!R1086&gt;3,1,0),"")</f>
        <v>0</v>
      </c>
      <c r="BD1089" s="33">
        <f>IF(E1089=1,IF(Orders!R1086&gt;7,1,0),"")</f>
        <v>0</v>
      </c>
      <c r="BE1089" s="32" t="str">
        <f>IF(E1089=1,IF(Orders!L1086&lt;=1.5,"Up to 1.5 km",IF(Orders!L1086&lt;=3,"1.5–3 km","Over 3 km")),"")</f>
        <v>Up to 1.5 km</v>
      </c>
      <c r="BF1089" s="33">
        <f>IF(E1089=1,IF(ABS((Orders!G1086-Orders!F1086)*1440-Orders!R1086)&lt;0.06,1,0),"")</f>
        <v>1</v>
      </c>
      <c r="BG1089" s="33">
        <f>IF(ABS((Orders!F1086-Orders!E1086)*1440-Orders!P1086)&lt;0.06,1,0)</f>
        <v>1</v>
      </c>
      <c r="BH1089" s="33">
        <f>IF(E1089=1,IF(IF(Orders!S1086,1,0)=1-G1089,1,0),"")</f>
        <v>1</v>
      </c>
      <c r="BI1089" s="32" t="str">
        <f>INDEX(Stores!$B$2:$B$21,MATCH(B1089,Stores!$A$2:$A$21,0))</f>
        <v>Bengaluru</v>
      </c>
    </row>
    <row r="1090">
      <c r="A1090" s="32" t="str">
        <f>Orders!A1087</f>
        <v>O01086</v>
      </c>
      <c r="B1090" s="32" t="str">
        <f>Orders!C1087</f>
        <v>S010</v>
      </c>
      <c r="C1090" s="32" t="str">
        <f>Orders!B1087</f>
        <v>C0152</v>
      </c>
      <c r="D1090" s="32" t="str">
        <f>Orders!H1087</f>
        <v>Delivered</v>
      </c>
      <c r="E1090" s="33">
        <f>IF(Orders!H1087="Delivered",1,0)</f>
        <v>1</v>
      </c>
      <c r="F1090" s="34">
        <f>IF(E1090=1,Orders!R1087,"")</f>
        <v>-0.6</v>
      </c>
      <c r="G1090" s="33">
        <f>IF(E1090=1,IF(Orders!R1087&gt;0,1,0),"")</f>
        <v>0</v>
      </c>
      <c r="H1090" s="33">
        <f>IF(E1090=1,IF(Orders!R1087&gt;5,1,0),"")</f>
        <v>0</v>
      </c>
      <c r="I1090" s="32" t="str">
        <f>IF(E1090=1,"",IF(OR(Orders!T1087="Rider unavailable",Orders!T1087="Item unavailable"),"Company-caused","Unresolved"))</f>
        <v/>
      </c>
      <c r="J1090" s="33">
        <f>IF(OR(E1090=1,I1090="Company-caused"),1,0)</f>
        <v>1</v>
      </c>
      <c r="K1090" s="32" t="str">
        <f>IF(E1090=0,IF(I1090="Company-caused",IF(Orders!T1087="Rider unavailable","C1 Rider unavailable","C2 Item unavailable"),"Outside root: unresolved"),IF(G1090=0,"A On time",IF(H1090=1,IF(L1090=1,"B2a Severe, peak","B2b Severe, off-peak"),IF(L1090=1,"B1a Slight, peak","B1b Slight, off-peak"))))</f>
        <v>A On time</v>
      </c>
      <c r="L1090" s="33">
        <f>IF(AND(Orders!U1087&gt;=19,Orders!U1087&lt;22),1,0)</f>
        <v>0</v>
      </c>
      <c r="M1090" s="33">
        <f>IF(L1090=IF(Orders!V1087,1,0),1,0)</f>
        <v>1</v>
      </c>
      <c r="N1090" s="32" t="str">
        <f>IF(Orders!W1087="","None",Orders!W1087)</f>
        <v>None</v>
      </c>
      <c r="O1090" s="35">
        <f>INT(Orders!E1087)</f>
        <v>46276.0</v>
      </c>
      <c r="P1090" s="33">
        <f>Orders!U1087</f>
        <v>9</v>
      </c>
      <c r="Q1090" s="33">
        <f>COUNTIFS(Demand!$A$2:$A$4481,B1090,Demand!$B$2:$B$4481,O1090,Demand!$C$2:$C$4481,P1090)</f>
        <v>1</v>
      </c>
      <c r="R1090" s="33">
        <f>IF(Q1090=1,SUMIFS(Demand!$E$2:$E$4481,Demand!$A$2:$A$4481,B1090,Demand!$B$2:$B$4481,O1090,Demand!$C$2:$C$4481,P1090),"")</f>
        <v>18</v>
      </c>
      <c r="S1090" s="33">
        <f>INDEX(Stores!$G$2:$G$21,MATCH(B1090,Stores!$A$2:$A$21,0))</f>
        <v>22</v>
      </c>
      <c r="T1090" s="34">
        <f>IF(R1090="","",R1090/S1090)</f>
        <v>0.818181818181818</v>
      </c>
      <c r="U1090" s="34">
        <f>IF(E1090=1,T1090,"")</f>
        <v>0.818181818181818</v>
      </c>
      <c r="V1090" s="34">
        <f>IF(AND(E1090=1,L1090=0),T1090,"")</f>
        <v>0.818181818181818</v>
      </c>
      <c r="W1090" s="33">
        <f>IF(U1090="","",IF(U1090&lt;=Breakdowns!$C$5,1,IF(U1090&lt;=Breakdowns!$C$6,2,IF(U1090&lt;=Breakdowns!$C$7,3,4))))</f>
        <v>2</v>
      </c>
      <c r="X1090" s="33">
        <f>IF(V1090="","",IF(V1090&lt;=Breakdowns!$D$5,1,IF(V1090&lt;=Breakdowns!$D$6,2,IF(V1090&lt;=Breakdowns!$D$7,3,4))))</f>
        <v>2</v>
      </c>
      <c r="Y1090" s="34">
        <f>INDEX(Stores!$F$2:$F$21,MATCH(B1090,Stores!$A$2:$A$21,0))</f>
        <v>5.61</v>
      </c>
      <c r="Z1090" s="33">
        <f>IF(Y1090&gt;Store_Summary!$M$2,1,0)</f>
        <v>1</v>
      </c>
      <c r="AA1090" s="33">
        <f>INDEX(Stores!$C$2:$C$21,MATCH(B1090,Stores!$A$2:$A$21,0))</f>
        <v>744</v>
      </c>
      <c r="AB1090" s="33">
        <f>IF(AA1090&lt;180,1,0)</f>
        <v>0</v>
      </c>
      <c r="AC1090" s="32" t="str">
        <f>IF(Orders!D1087="","",INDEX(Riders!$C$2:$C$81,MATCH(Orders!D1087,Riders!$A$2:$A$81,0)))</f>
        <v>Petrol scooter</v>
      </c>
      <c r="AD1090" s="33">
        <f>IF(Orders!D1087="","",INDEX(Riders!$D$2:$D$81,MATCH(Orders!D1087,Riders!$A$2:$A$81,0)))</f>
        <v>15</v>
      </c>
      <c r="AE1090" s="33">
        <f>IF(Orders!D1087="","",IF(INDEX(Riders!$B$2:$B$81,MATCH(Orders!D1087,Riders!$A$2:$A$81,0))=B1090,1,0))</f>
        <v>0</v>
      </c>
      <c r="AF1090" s="34">
        <f>IF(E1090=1,Orders!L1087,"")</f>
        <v>2.31</v>
      </c>
      <c r="AG1090" s="34">
        <f>IF(E1090=1,Orders!P1087,"")</f>
        <v>11.8</v>
      </c>
      <c r="AH1090" s="34">
        <f>IF(E1090=1,Orders!Q1087,"")</f>
        <v>11.2</v>
      </c>
      <c r="AI1090" s="34">
        <f>IF(E1090=1,Orders!M1087,"")</f>
        <v>4.1</v>
      </c>
      <c r="AJ1090" s="34">
        <f>IF(E1090=1,Orders!N1087,"")</f>
        <v>2.4</v>
      </c>
      <c r="AK1090" s="34">
        <f>IF(E1090=1,Orders!O1087,"")</f>
        <v>4.7</v>
      </c>
      <c r="AL1090" s="33">
        <f>IF(E1090=1,IF(ROUND(ABS(AI1090+AJ1090+AK1090-AH1090),6)&lt;=0.1,1,0),"")</f>
        <v>1</v>
      </c>
      <c r="AM1090" s="36">
        <f>IF(E1090=1,AI1090/AH1090,"")</f>
        <v>0.366071428571429</v>
      </c>
      <c r="AN1090" s="36">
        <f>IF(E1090=1,AJ1090/AH1090,"")</f>
        <v>0.214285714285714</v>
      </c>
      <c r="AO1090" s="36">
        <f>IF(E1090=1,AK1090/AH1090,"")</f>
        <v>0.419642857142857</v>
      </c>
      <c r="AP1090" s="34">
        <f>IF(E1090=1,Orders!Y1087,"")</f>
        <v>0.27</v>
      </c>
      <c r="AQ1090" s="33">
        <f>IF(Orders!X1087,1,0)</f>
        <v>0</v>
      </c>
      <c r="AR1090" s="34" t="str">
        <f>IF(AND(E1090=1,L1090=1),AJ1090,"")</f>
        <v/>
      </c>
      <c r="AS1090" s="34">
        <f>IF(AND(E1090=1,L1090=0),AJ1090,"")</f>
        <v>2.4</v>
      </c>
      <c r="AT1090" s="34" t="str">
        <f>IF(AND(E1090=1,L1090=1),AI1090,"")</f>
        <v/>
      </c>
      <c r="AU1090" s="34">
        <f>IF(AND(E1090=1,L1090=0),AI1090,"")</f>
        <v>4.1</v>
      </c>
      <c r="AV1090" s="34" t="str">
        <f>IF(AND(E1090=1,L1090=1),AG1090,"")</f>
        <v/>
      </c>
      <c r="AW1090" s="34">
        <f>IF(AND(E1090=1,L1090=0),AG1090,"")</f>
        <v>11.8</v>
      </c>
      <c r="AX1090" s="34" t="str">
        <f>IF(AND(E1090=1,L1090=1),AH1090,"")</f>
        <v/>
      </c>
      <c r="AY1090" s="34">
        <f>IF(AND(E1090=1,L1090=0),AH1090,"")</f>
        <v>11.2</v>
      </c>
      <c r="AZ1090" s="34" t="str">
        <f>IF(G1090=1,F1090,"")</f>
        <v/>
      </c>
      <c r="BA1090" s="34" t="str">
        <f>IF(AND(G1090=1,L1090=1),F1090,"")</f>
        <v/>
      </c>
      <c r="BB1090" s="34" t="str">
        <f>IF(AND(G1090=1,L1090=0),F1090,"")</f>
        <v/>
      </c>
      <c r="BC1090" s="33">
        <f>IF(E1090=1,IF(Orders!R1087&gt;3,1,0),"")</f>
        <v>0</v>
      </c>
      <c r="BD1090" s="33">
        <f>IF(E1090=1,IF(Orders!R1087&gt;7,1,0),"")</f>
        <v>0</v>
      </c>
      <c r="BE1090" s="32" t="str">
        <f>IF(E1090=1,IF(Orders!L1087&lt;=1.5,"Up to 1.5 km",IF(Orders!L1087&lt;=3,"1.5–3 km","Over 3 km")),"")</f>
        <v>1.5–3 km</v>
      </c>
      <c r="BF1090" s="33">
        <f>IF(E1090=1,IF(ABS((Orders!G1087-Orders!F1087)*1440-Orders!R1087)&lt;0.06,1,0),"")</f>
        <v>1</v>
      </c>
      <c r="BG1090" s="33">
        <f>IF(ABS((Orders!F1087-Orders!E1087)*1440-Orders!P1087)&lt;0.06,1,0)</f>
        <v>1</v>
      </c>
      <c r="BH1090" s="33">
        <f>IF(E1090=1,IF(IF(Orders!S1087,1,0)=1-G1090,1,0),"")</f>
        <v>1</v>
      </c>
      <c r="BI1090" s="32" t="str">
        <f>INDEX(Stores!$B$2:$B$21,MATCH(B1090,Stores!$A$2:$A$21,0))</f>
        <v>Delhi</v>
      </c>
    </row>
    <row r="1091">
      <c r="A1091" s="32" t="str">
        <f>Orders!A1088</f>
        <v>O01087</v>
      </c>
      <c r="B1091" s="32" t="str">
        <f>Orders!C1088</f>
        <v>S009</v>
      </c>
      <c r="C1091" s="32" t="str">
        <f>Orders!B1088</f>
        <v>C0028</v>
      </c>
      <c r="D1091" s="32" t="str">
        <f>Orders!H1088</f>
        <v>Delivered</v>
      </c>
      <c r="E1091" s="33">
        <f>IF(Orders!H1088="Delivered",1,0)</f>
        <v>1</v>
      </c>
      <c r="F1091" s="34">
        <f>IF(E1091=1,Orders!R1088,"")</f>
        <v>-0.7</v>
      </c>
      <c r="G1091" s="33">
        <f>IF(E1091=1,IF(Orders!R1088&gt;0,1,0),"")</f>
        <v>0</v>
      </c>
      <c r="H1091" s="33">
        <f>IF(E1091=1,IF(Orders!R1088&gt;5,1,0),"")</f>
        <v>0</v>
      </c>
      <c r="I1091" s="32" t="str">
        <f>IF(E1091=1,"",IF(OR(Orders!T1088="Rider unavailable",Orders!T1088="Item unavailable"),"Company-caused","Unresolved"))</f>
        <v/>
      </c>
      <c r="J1091" s="33">
        <f>IF(OR(E1091=1,I1091="Company-caused"),1,0)</f>
        <v>1</v>
      </c>
      <c r="K1091" s="32" t="str">
        <f>IF(E1091=0,IF(I1091="Company-caused",IF(Orders!T1088="Rider unavailable","C1 Rider unavailable","C2 Item unavailable"),"Outside root: unresolved"),IF(G1091=0,"A On time",IF(H1091=1,IF(L1091=1,"B2a Severe, peak","B2b Severe, off-peak"),IF(L1091=1,"B1a Slight, peak","B1b Slight, off-peak"))))</f>
        <v>A On time</v>
      </c>
      <c r="L1091" s="33">
        <f>IF(AND(Orders!U1088&gt;=19,Orders!U1088&lt;22),1,0)</f>
        <v>1</v>
      </c>
      <c r="M1091" s="33">
        <f>IF(L1091=IF(Orders!V1088,1,0),1,0)</f>
        <v>1</v>
      </c>
      <c r="N1091" s="32" t="str">
        <f>IF(Orders!W1088="","None",Orders!W1088)</f>
        <v>None</v>
      </c>
      <c r="O1091" s="35">
        <f>INT(Orders!E1088)</f>
        <v>46279.0</v>
      </c>
      <c r="P1091" s="33">
        <f>Orders!U1088</f>
        <v>20</v>
      </c>
      <c r="Q1091" s="33">
        <f>COUNTIFS(Demand!$A$2:$A$4481,B1091,Demand!$B$2:$B$4481,O1091,Demand!$C$2:$C$4481,P1091)</f>
        <v>1</v>
      </c>
      <c r="R1091" s="33">
        <f>IF(Q1091=1,SUMIFS(Demand!$E$2:$E$4481,Demand!$A$2:$A$4481,B1091,Demand!$B$2:$B$4481,O1091,Demand!$C$2:$C$4481,P1091),"")</f>
        <v>46</v>
      </c>
      <c r="S1091" s="33">
        <f>INDEX(Stores!$G$2:$G$21,MATCH(B1091,Stores!$A$2:$A$21,0))</f>
        <v>29</v>
      </c>
      <c r="T1091" s="34">
        <f>IF(R1091="","",R1091/S1091)</f>
        <v>1.58620689655172</v>
      </c>
      <c r="U1091" s="34">
        <f>IF(E1091=1,T1091,"")</f>
        <v>1.58620689655172</v>
      </c>
      <c r="V1091" s="34" t="str">
        <f>IF(AND(E1091=1,L1091=0),T1091,"")</f>
        <v/>
      </c>
      <c r="W1091" s="33">
        <f>IF(U1091="","",IF(U1091&lt;=Breakdowns!$C$5,1,IF(U1091&lt;=Breakdowns!$C$6,2,IF(U1091&lt;=Breakdowns!$C$7,3,4))))</f>
        <v>4</v>
      </c>
      <c r="X1091" s="33" t="str">
        <f>IF(V1091="","",IF(V1091&lt;=Breakdowns!$D$5,1,IF(V1091&lt;=Breakdowns!$D$6,2,IF(V1091&lt;=Breakdowns!$D$7,3,4))))</f>
        <v/>
      </c>
      <c r="Y1091" s="34">
        <f>INDEX(Stores!$F$2:$F$21,MATCH(B1091,Stores!$A$2:$A$21,0))</f>
        <v>2.66</v>
      </c>
      <c r="Z1091" s="33">
        <f>IF(Y1091&gt;Store_Summary!$M$2,1,0)</f>
        <v>0</v>
      </c>
      <c r="AA1091" s="33">
        <f>INDEX(Stores!$C$2:$C$21,MATCH(B1091,Stores!$A$2:$A$21,0))</f>
        <v>645</v>
      </c>
      <c r="AB1091" s="33">
        <f>IF(AA1091&lt;180,1,0)</f>
        <v>0</v>
      </c>
      <c r="AC1091" s="32" t="str">
        <f>IF(Orders!D1088="","",INDEX(Riders!$C$2:$C$81,MATCH(Orders!D1088,Riders!$A$2:$A$81,0)))</f>
        <v>EV scooter</v>
      </c>
      <c r="AD1091" s="33">
        <f>IF(Orders!D1088="","",INDEX(Riders!$D$2:$D$81,MATCH(Orders!D1088,Riders!$A$2:$A$81,0)))</f>
        <v>3</v>
      </c>
      <c r="AE1091" s="33">
        <f>IF(Orders!D1088="","",IF(INDEX(Riders!$B$2:$B$81,MATCH(Orders!D1088,Riders!$A$2:$A$81,0))=B1091,1,0))</f>
        <v>1</v>
      </c>
      <c r="AF1091" s="34">
        <f>IF(E1091=1,Orders!L1088,"")</f>
        <v>2.09</v>
      </c>
      <c r="AG1091" s="34">
        <f>IF(E1091=1,Orders!P1088,"")</f>
        <v>8.5</v>
      </c>
      <c r="AH1091" s="34">
        <f>IF(E1091=1,Orders!Q1088,"")</f>
        <v>7.8</v>
      </c>
      <c r="AI1091" s="34">
        <f>IF(E1091=1,Orders!M1088,"")</f>
        <v>0.8</v>
      </c>
      <c r="AJ1091" s="34">
        <f>IF(E1091=1,Orders!N1088,"")</f>
        <v>4.7</v>
      </c>
      <c r="AK1091" s="34">
        <f>IF(E1091=1,Orders!O1088,"")</f>
        <v>2.3</v>
      </c>
      <c r="AL1091" s="33">
        <f>IF(E1091=1,IF(ROUND(ABS(AI1091+AJ1091+AK1091-AH1091),6)&lt;=0.1,1,0),"")</f>
        <v>1</v>
      </c>
      <c r="AM1091" s="36">
        <f>IF(E1091=1,AI1091/AH1091,"")</f>
        <v>0.102564102564103</v>
      </c>
      <c r="AN1091" s="36">
        <f>IF(E1091=1,AJ1091/AH1091,"")</f>
        <v>0.602564102564103</v>
      </c>
      <c r="AO1091" s="36">
        <f>IF(E1091=1,AK1091/AH1091,"")</f>
        <v>0.294871794871795</v>
      </c>
      <c r="AP1091" s="34">
        <f>IF(E1091=1,Orders!Y1088,"")</f>
        <v>0.52</v>
      </c>
      <c r="AQ1091" s="33">
        <f>IF(Orders!X1088,1,0)</f>
        <v>0</v>
      </c>
      <c r="AR1091" s="34">
        <f>IF(AND(E1091=1,L1091=1),AJ1091,"")</f>
        <v>4.7</v>
      </c>
      <c r="AS1091" s="34" t="str">
        <f>IF(AND(E1091=1,L1091=0),AJ1091,"")</f>
        <v/>
      </c>
      <c r="AT1091" s="34">
        <f>IF(AND(E1091=1,L1091=1),AI1091,"")</f>
        <v>0.8</v>
      </c>
      <c r="AU1091" s="34" t="str">
        <f>IF(AND(E1091=1,L1091=0),AI1091,"")</f>
        <v/>
      </c>
      <c r="AV1091" s="34">
        <f>IF(AND(E1091=1,L1091=1),AG1091,"")</f>
        <v>8.5</v>
      </c>
      <c r="AW1091" s="34" t="str">
        <f>IF(AND(E1091=1,L1091=0),AG1091,"")</f>
        <v/>
      </c>
      <c r="AX1091" s="34">
        <f>IF(AND(E1091=1,L1091=1),AH1091,"")</f>
        <v>7.8</v>
      </c>
      <c r="AY1091" s="34" t="str">
        <f>IF(AND(E1091=1,L1091=0),AH1091,"")</f>
        <v/>
      </c>
      <c r="AZ1091" s="34" t="str">
        <f>IF(G1091=1,F1091,"")</f>
        <v/>
      </c>
      <c r="BA1091" s="34" t="str">
        <f>IF(AND(G1091=1,L1091=1),F1091,"")</f>
        <v/>
      </c>
      <c r="BB1091" s="34" t="str">
        <f>IF(AND(G1091=1,L1091=0),F1091,"")</f>
        <v/>
      </c>
      <c r="BC1091" s="33">
        <f>IF(E1091=1,IF(Orders!R1088&gt;3,1,0),"")</f>
        <v>0</v>
      </c>
      <c r="BD1091" s="33">
        <f>IF(E1091=1,IF(Orders!R1088&gt;7,1,0),"")</f>
        <v>0</v>
      </c>
      <c r="BE1091" s="32" t="str">
        <f>IF(E1091=1,IF(Orders!L1088&lt;=1.5,"Up to 1.5 km",IF(Orders!L1088&lt;=3,"1.5–3 km","Over 3 km")),"")</f>
        <v>1.5–3 km</v>
      </c>
      <c r="BF1091" s="33">
        <f>IF(E1091=1,IF(ABS((Orders!G1088-Orders!F1088)*1440-Orders!R1088)&lt;0.06,1,0),"")</f>
        <v>1</v>
      </c>
      <c r="BG1091" s="33">
        <f>IF(ABS((Orders!F1088-Orders!E1088)*1440-Orders!P1088)&lt;0.06,1,0)</f>
        <v>1</v>
      </c>
      <c r="BH1091" s="33">
        <f>IF(E1091=1,IF(IF(Orders!S1088,1,0)=1-G1091,1,0),"")</f>
        <v>1</v>
      </c>
      <c r="BI1091" s="32" t="str">
        <f>INDEX(Stores!$B$2:$B$21,MATCH(B1091,Stores!$A$2:$A$21,0))</f>
        <v>Pune</v>
      </c>
    </row>
    <row r="1092">
      <c r="A1092" s="32" t="str">
        <f>Orders!A1089</f>
        <v>O01088</v>
      </c>
      <c r="B1092" s="32" t="str">
        <f>Orders!C1089</f>
        <v>S010</v>
      </c>
      <c r="C1092" s="32" t="str">
        <f>Orders!B1089</f>
        <v>C0168</v>
      </c>
      <c r="D1092" s="32" t="str">
        <f>Orders!H1089</f>
        <v>Delivered</v>
      </c>
      <c r="E1092" s="33">
        <f>IF(Orders!H1089="Delivered",1,0)</f>
        <v>1</v>
      </c>
      <c r="F1092" s="34">
        <f>IF(E1092=1,Orders!R1089,"")</f>
        <v>7.8</v>
      </c>
      <c r="G1092" s="33">
        <f>IF(E1092=1,IF(Orders!R1089&gt;0,1,0),"")</f>
        <v>1</v>
      </c>
      <c r="H1092" s="33">
        <f>IF(E1092=1,IF(Orders!R1089&gt;5,1,0),"")</f>
        <v>1</v>
      </c>
      <c r="I1092" s="32" t="str">
        <f>IF(E1092=1,"",IF(OR(Orders!T1089="Rider unavailable",Orders!T1089="Item unavailable"),"Company-caused","Unresolved"))</f>
        <v/>
      </c>
      <c r="J1092" s="33">
        <f>IF(OR(E1092=1,I1092="Company-caused"),1,0)</f>
        <v>1</v>
      </c>
      <c r="K1092" s="32" t="str">
        <f>IF(E1092=0,IF(I1092="Company-caused",IF(Orders!T1089="Rider unavailable","C1 Rider unavailable","C2 Item unavailable"),"Outside root: unresolved"),IF(G1092=0,"A On time",IF(H1092=1,IF(L1092=1,"B2a Severe, peak","B2b Severe, off-peak"),IF(L1092=1,"B1a Slight, peak","B1b Slight, off-peak"))))</f>
        <v>B2b Severe, off-peak</v>
      </c>
      <c r="L1092" s="33">
        <f>IF(AND(Orders!U1089&gt;=19,Orders!U1089&lt;22),1,0)</f>
        <v>0</v>
      </c>
      <c r="M1092" s="33">
        <f>IF(L1092=IF(Orders!V1089,1,0),1,0)</f>
        <v>1</v>
      </c>
      <c r="N1092" s="32" t="str">
        <f>IF(Orders!W1089="","None",Orders!W1089)</f>
        <v>None</v>
      </c>
      <c r="O1092" s="35">
        <f>INT(Orders!E1089)</f>
        <v>46268.0</v>
      </c>
      <c r="P1092" s="33">
        <f>Orders!U1089</f>
        <v>22</v>
      </c>
      <c r="Q1092" s="33">
        <f>COUNTIFS(Demand!$A$2:$A$4481,B1092,Demand!$B$2:$B$4481,O1092,Demand!$C$2:$C$4481,P1092)</f>
        <v>1</v>
      </c>
      <c r="R1092" s="33">
        <f>IF(Q1092=1,SUMIFS(Demand!$E$2:$E$4481,Demand!$A$2:$A$4481,B1092,Demand!$B$2:$B$4481,O1092,Demand!$C$2:$C$4481,P1092),"")</f>
        <v>25</v>
      </c>
      <c r="S1092" s="33">
        <f>INDEX(Stores!$G$2:$G$21,MATCH(B1092,Stores!$A$2:$A$21,0))</f>
        <v>22</v>
      </c>
      <c r="T1092" s="34">
        <f>IF(R1092="","",R1092/S1092)</f>
        <v>1.13636363636364</v>
      </c>
      <c r="U1092" s="34">
        <f>IF(E1092=1,T1092,"")</f>
        <v>1.13636363636364</v>
      </c>
      <c r="V1092" s="34">
        <f>IF(AND(E1092=1,L1092=0),T1092,"")</f>
        <v>1.13636363636364</v>
      </c>
      <c r="W1092" s="33">
        <f>IF(U1092="","",IF(U1092&lt;=Breakdowns!$C$5,1,IF(U1092&lt;=Breakdowns!$C$6,2,IF(U1092&lt;=Breakdowns!$C$7,3,4))))</f>
        <v>3</v>
      </c>
      <c r="X1092" s="33">
        <f>IF(V1092="","",IF(V1092&lt;=Breakdowns!$D$5,1,IF(V1092&lt;=Breakdowns!$D$6,2,IF(V1092&lt;=Breakdowns!$D$7,3,4))))</f>
        <v>4</v>
      </c>
      <c r="Y1092" s="34">
        <f>INDEX(Stores!$F$2:$F$21,MATCH(B1092,Stores!$A$2:$A$21,0))</f>
        <v>5.61</v>
      </c>
      <c r="Z1092" s="33">
        <f>IF(Y1092&gt;Store_Summary!$M$2,1,0)</f>
        <v>1</v>
      </c>
      <c r="AA1092" s="33">
        <f>INDEX(Stores!$C$2:$C$21,MATCH(B1092,Stores!$A$2:$A$21,0))</f>
        <v>744</v>
      </c>
      <c r="AB1092" s="33">
        <f>IF(AA1092&lt;180,1,0)</f>
        <v>0</v>
      </c>
      <c r="AC1092" s="32" t="str">
        <f>IF(Orders!D1089="","",INDEX(Riders!$C$2:$C$81,MATCH(Orders!D1089,Riders!$A$2:$A$81,0)))</f>
        <v>Petrol scooter</v>
      </c>
      <c r="AD1092" s="33">
        <f>IF(Orders!D1089="","",INDEX(Riders!$D$2:$D$81,MATCH(Orders!D1089,Riders!$A$2:$A$81,0)))</f>
        <v>32</v>
      </c>
      <c r="AE1092" s="33">
        <f>IF(Orders!D1089="","",IF(INDEX(Riders!$B$2:$B$81,MATCH(Orders!D1089,Riders!$A$2:$A$81,0))=B1092,1,0))</f>
        <v>0</v>
      </c>
      <c r="AF1092" s="34">
        <f>IF(E1092=1,Orders!L1089,"")</f>
        <v>3.87</v>
      </c>
      <c r="AG1092" s="34">
        <f>IF(E1092=1,Orders!P1089,"")</f>
        <v>12.5</v>
      </c>
      <c r="AH1092" s="34">
        <f>IF(E1092=1,Orders!Q1089,"")</f>
        <v>20.3</v>
      </c>
      <c r="AI1092" s="34">
        <f>IF(E1092=1,Orders!M1089,"")</f>
        <v>6.7</v>
      </c>
      <c r="AJ1092" s="34">
        <f>IF(E1092=1,Orders!N1089,"")</f>
        <v>4.1</v>
      </c>
      <c r="AK1092" s="34">
        <f>IF(E1092=1,Orders!O1089,"")</f>
        <v>9.5</v>
      </c>
      <c r="AL1092" s="33">
        <f>IF(E1092=1,IF(ROUND(ABS(AI1092+AJ1092+AK1092-AH1092),6)&lt;=0.1,1,0),"")</f>
        <v>1</v>
      </c>
      <c r="AM1092" s="36">
        <f>IF(E1092=1,AI1092/AH1092,"")</f>
        <v>0.330049261083744</v>
      </c>
      <c r="AN1092" s="36">
        <f>IF(E1092=1,AJ1092/AH1092,"")</f>
        <v>0.201970443349754</v>
      </c>
      <c r="AO1092" s="36">
        <f>IF(E1092=1,AK1092/AH1092,"")</f>
        <v>0.467980295566502</v>
      </c>
      <c r="AP1092" s="34">
        <f>IF(E1092=1,Orders!Y1089,"")</f>
        <v>0.34</v>
      </c>
      <c r="AQ1092" s="33">
        <f>IF(Orders!X1089,1,0)</f>
        <v>0</v>
      </c>
      <c r="AR1092" s="34" t="str">
        <f>IF(AND(E1092=1,L1092=1),AJ1092,"")</f>
        <v/>
      </c>
      <c r="AS1092" s="34">
        <f>IF(AND(E1092=1,L1092=0),AJ1092,"")</f>
        <v>4.1</v>
      </c>
      <c r="AT1092" s="34" t="str">
        <f>IF(AND(E1092=1,L1092=1),AI1092,"")</f>
        <v/>
      </c>
      <c r="AU1092" s="34">
        <f>IF(AND(E1092=1,L1092=0),AI1092,"")</f>
        <v>6.7</v>
      </c>
      <c r="AV1092" s="34" t="str">
        <f>IF(AND(E1092=1,L1092=1),AG1092,"")</f>
        <v/>
      </c>
      <c r="AW1092" s="34">
        <f>IF(AND(E1092=1,L1092=0),AG1092,"")</f>
        <v>12.5</v>
      </c>
      <c r="AX1092" s="34" t="str">
        <f>IF(AND(E1092=1,L1092=1),AH1092,"")</f>
        <v/>
      </c>
      <c r="AY1092" s="34">
        <f>IF(AND(E1092=1,L1092=0),AH1092,"")</f>
        <v>20.3</v>
      </c>
      <c r="AZ1092" s="34">
        <f>IF(G1092=1,F1092,"")</f>
        <v>7.8</v>
      </c>
      <c r="BA1092" s="34" t="str">
        <f>IF(AND(G1092=1,L1092=1),F1092,"")</f>
        <v/>
      </c>
      <c r="BB1092" s="34">
        <f>IF(AND(G1092=1,L1092=0),F1092,"")</f>
        <v>7.8</v>
      </c>
      <c r="BC1092" s="33">
        <f>IF(E1092=1,IF(Orders!R1089&gt;3,1,0),"")</f>
        <v>1</v>
      </c>
      <c r="BD1092" s="33">
        <f>IF(E1092=1,IF(Orders!R1089&gt;7,1,0),"")</f>
        <v>1</v>
      </c>
      <c r="BE1092" s="32" t="str">
        <f>IF(E1092=1,IF(Orders!L1089&lt;=1.5,"Up to 1.5 km",IF(Orders!L1089&lt;=3,"1.5–3 km","Over 3 km")),"")</f>
        <v>Over 3 km</v>
      </c>
      <c r="BF1092" s="33">
        <f>IF(E1092=1,IF(ABS((Orders!G1089-Orders!F1089)*1440-Orders!R1089)&lt;0.06,1,0),"")</f>
        <v>1</v>
      </c>
      <c r="BG1092" s="33">
        <f>IF(ABS((Orders!F1089-Orders!E1089)*1440-Orders!P1089)&lt;0.06,1,0)</f>
        <v>1</v>
      </c>
      <c r="BH1092" s="33">
        <f>IF(E1092=1,IF(IF(Orders!S1089,1,0)=1-G1092,1,0),"")</f>
        <v>1</v>
      </c>
      <c r="BI1092" s="32" t="str">
        <f>INDEX(Stores!$B$2:$B$21,MATCH(B1092,Stores!$A$2:$A$21,0))</f>
        <v>Delhi</v>
      </c>
    </row>
    <row r="1093">
      <c r="A1093" s="32" t="str">
        <f>Orders!A1090</f>
        <v>O01089</v>
      </c>
      <c r="B1093" s="32" t="str">
        <f>Orders!C1090</f>
        <v>S018</v>
      </c>
      <c r="C1093" s="32" t="str">
        <f>Orders!B1090</f>
        <v>C0073</v>
      </c>
      <c r="D1093" s="32" t="str">
        <f>Orders!H1090</f>
        <v>Delivered</v>
      </c>
      <c r="E1093" s="33">
        <f>IF(Orders!H1090="Delivered",1,0)</f>
        <v>1</v>
      </c>
      <c r="F1093" s="34">
        <f>IF(E1093=1,Orders!R1090,"")</f>
        <v>-1.1</v>
      </c>
      <c r="G1093" s="33">
        <f>IF(E1093=1,IF(Orders!R1090&gt;0,1,0),"")</f>
        <v>0</v>
      </c>
      <c r="H1093" s="33">
        <f>IF(E1093=1,IF(Orders!R1090&gt;5,1,0),"")</f>
        <v>0</v>
      </c>
      <c r="I1093" s="32" t="str">
        <f>IF(E1093=1,"",IF(OR(Orders!T1090="Rider unavailable",Orders!T1090="Item unavailable"),"Company-caused","Unresolved"))</f>
        <v/>
      </c>
      <c r="J1093" s="33">
        <f>IF(OR(E1093=1,I1093="Company-caused"),1,0)</f>
        <v>1</v>
      </c>
      <c r="K1093" s="32" t="str">
        <f>IF(E1093=0,IF(I1093="Company-caused",IF(Orders!T1090="Rider unavailable","C1 Rider unavailable","C2 Item unavailable"),"Outside root: unresolved"),IF(G1093=0,"A On time",IF(H1093=1,IF(L1093=1,"B2a Severe, peak","B2b Severe, off-peak"),IF(L1093=1,"B1a Slight, peak","B1b Slight, off-peak"))))</f>
        <v>A On time</v>
      </c>
      <c r="L1093" s="33">
        <f>IF(AND(Orders!U1090&gt;=19,Orders!U1090&lt;22),1,0)</f>
        <v>0</v>
      </c>
      <c r="M1093" s="33">
        <f>IF(L1093=IF(Orders!V1090,1,0),1,0)</f>
        <v>1</v>
      </c>
      <c r="N1093" s="32" t="str">
        <f>IF(Orders!W1090="","None",Orders!W1090)</f>
        <v>None</v>
      </c>
      <c r="O1093" s="35">
        <f>INT(Orders!E1090)</f>
        <v>46271.0</v>
      </c>
      <c r="P1093" s="33">
        <f>Orders!U1090</f>
        <v>22</v>
      </c>
      <c r="Q1093" s="33">
        <f>COUNTIFS(Demand!$A$2:$A$4481,B1093,Demand!$B$2:$B$4481,O1093,Demand!$C$2:$C$4481,P1093)</f>
        <v>1</v>
      </c>
      <c r="R1093" s="33">
        <f>IF(Q1093=1,SUMIFS(Demand!$E$2:$E$4481,Demand!$A$2:$A$4481,B1093,Demand!$B$2:$B$4481,O1093,Demand!$C$2:$C$4481,P1093),"")</f>
        <v>26</v>
      </c>
      <c r="S1093" s="33">
        <f>INDEX(Stores!$G$2:$G$21,MATCH(B1093,Stores!$A$2:$A$21,0))</f>
        <v>20</v>
      </c>
      <c r="T1093" s="34">
        <f>IF(R1093="","",R1093/S1093)</f>
        <v>1.3</v>
      </c>
      <c r="U1093" s="34">
        <f>IF(E1093=1,T1093,"")</f>
        <v>1.3</v>
      </c>
      <c r="V1093" s="34">
        <f>IF(AND(E1093=1,L1093=0),T1093,"")</f>
        <v>1.3</v>
      </c>
      <c r="W1093" s="33">
        <f>IF(U1093="","",IF(U1093&lt;=Breakdowns!$C$5,1,IF(U1093&lt;=Breakdowns!$C$6,2,IF(U1093&lt;=Breakdowns!$C$7,3,4))))</f>
        <v>4</v>
      </c>
      <c r="X1093" s="33">
        <f>IF(V1093="","",IF(V1093&lt;=Breakdowns!$D$5,1,IF(V1093&lt;=Breakdowns!$D$6,2,IF(V1093&lt;=Breakdowns!$D$7,3,4))))</f>
        <v>4</v>
      </c>
      <c r="Y1093" s="34">
        <f>INDEX(Stores!$F$2:$F$21,MATCH(B1093,Stores!$A$2:$A$21,0))</f>
        <v>5.31</v>
      </c>
      <c r="Z1093" s="33">
        <f>IF(Y1093&gt;Store_Summary!$M$2,1,0)</f>
        <v>1</v>
      </c>
      <c r="AA1093" s="33">
        <f>INDEX(Stores!$C$2:$C$21,MATCH(B1093,Stores!$A$2:$A$21,0))</f>
        <v>214</v>
      </c>
      <c r="AB1093" s="33">
        <f>IF(AA1093&lt;180,1,0)</f>
        <v>0</v>
      </c>
      <c r="AC1093" s="32" t="str">
        <f>IF(Orders!D1090="","",INDEX(Riders!$C$2:$C$81,MATCH(Orders!D1090,Riders!$A$2:$A$81,0)))</f>
        <v>Bicycle</v>
      </c>
      <c r="AD1093" s="33">
        <f>IF(Orders!D1090="","",INDEX(Riders!$D$2:$D$81,MATCH(Orders!D1090,Riders!$A$2:$A$81,0)))</f>
        <v>14</v>
      </c>
      <c r="AE1093" s="33">
        <f>IF(Orders!D1090="","",IF(INDEX(Riders!$B$2:$B$81,MATCH(Orders!D1090,Riders!$A$2:$A$81,0))=B1093,1,0))</f>
        <v>0</v>
      </c>
      <c r="AF1093" s="34">
        <f>IF(E1093=1,Orders!L1090,"")</f>
        <v>1.11</v>
      </c>
      <c r="AG1093" s="34">
        <f>IF(E1093=1,Orders!P1090,"")</f>
        <v>11.1</v>
      </c>
      <c r="AH1093" s="34">
        <f>IF(E1093=1,Orders!Q1090,"")</f>
        <v>10</v>
      </c>
      <c r="AI1093" s="34">
        <f>IF(E1093=1,Orders!M1090,"")</f>
        <v>4.8</v>
      </c>
      <c r="AJ1093" s="34">
        <f>IF(E1093=1,Orders!N1090,"")</f>
        <v>2.1</v>
      </c>
      <c r="AK1093" s="34">
        <f>IF(E1093=1,Orders!O1090,"")</f>
        <v>3.1</v>
      </c>
      <c r="AL1093" s="33">
        <f>IF(E1093=1,IF(ROUND(ABS(AI1093+AJ1093+AK1093-AH1093),6)&lt;=0.1,1,0),"")</f>
        <v>1</v>
      </c>
      <c r="AM1093" s="36">
        <f>IF(E1093=1,AI1093/AH1093,"")</f>
        <v>0.48</v>
      </c>
      <c r="AN1093" s="36">
        <f>IF(E1093=1,AJ1093/AH1093,"")</f>
        <v>0.21</v>
      </c>
      <c r="AO1093" s="36">
        <f>IF(E1093=1,AK1093/AH1093,"")</f>
        <v>0.31</v>
      </c>
      <c r="AP1093" s="34">
        <f>IF(E1093=1,Orders!Y1090,"")</f>
        <v>0.56</v>
      </c>
      <c r="AQ1093" s="33">
        <f>IF(Orders!X1090,1,0)</f>
        <v>0</v>
      </c>
      <c r="AR1093" s="34" t="str">
        <f>IF(AND(E1093=1,L1093=1),AJ1093,"")</f>
        <v/>
      </c>
      <c r="AS1093" s="34">
        <f>IF(AND(E1093=1,L1093=0),AJ1093,"")</f>
        <v>2.1</v>
      </c>
      <c r="AT1093" s="34" t="str">
        <f>IF(AND(E1093=1,L1093=1),AI1093,"")</f>
        <v/>
      </c>
      <c r="AU1093" s="34">
        <f>IF(AND(E1093=1,L1093=0),AI1093,"")</f>
        <v>4.8</v>
      </c>
      <c r="AV1093" s="34" t="str">
        <f>IF(AND(E1093=1,L1093=1),AG1093,"")</f>
        <v/>
      </c>
      <c r="AW1093" s="34">
        <f>IF(AND(E1093=1,L1093=0),AG1093,"")</f>
        <v>11.1</v>
      </c>
      <c r="AX1093" s="34" t="str">
        <f>IF(AND(E1093=1,L1093=1),AH1093,"")</f>
        <v/>
      </c>
      <c r="AY1093" s="34">
        <f>IF(AND(E1093=1,L1093=0),AH1093,"")</f>
        <v>10</v>
      </c>
      <c r="AZ1093" s="34" t="str">
        <f>IF(G1093=1,F1093,"")</f>
        <v/>
      </c>
      <c r="BA1093" s="34" t="str">
        <f>IF(AND(G1093=1,L1093=1),F1093,"")</f>
        <v/>
      </c>
      <c r="BB1093" s="34" t="str">
        <f>IF(AND(G1093=1,L1093=0),F1093,"")</f>
        <v/>
      </c>
      <c r="BC1093" s="33">
        <f>IF(E1093=1,IF(Orders!R1090&gt;3,1,0),"")</f>
        <v>0</v>
      </c>
      <c r="BD1093" s="33">
        <f>IF(E1093=1,IF(Orders!R1090&gt;7,1,0),"")</f>
        <v>0</v>
      </c>
      <c r="BE1093" s="32" t="str">
        <f>IF(E1093=1,IF(Orders!L1090&lt;=1.5,"Up to 1.5 km",IF(Orders!L1090&lt;=3,"1.5–3 km","Over 3 km")),"")</f>
        <v>Up to 1.5 km</v>
      </c>
      <c r="BF1093" s="33">
        <f>IF(E1093=1,IF(ABS((Orders!G1090-Orders!F1090)*1440-Orders!R1090)&lt;0.06,1,0),"")</f>
        <v>1</v>
      </c>
      <c r="BG1093" s="33">
        <f>IF(ABS((Orders!F1090-Orders!E1090)*1440-Orders!P1090)&lt;0.06,1,0)</f>
        <v>1</v>
      </c>
      <c r="BH1093" s="33">
        <f>IF(E1093=1,IF(IF(Orders!S1090,1,0)=1-G1093,1,0),"")</f>
        <v>1</v>
      </c>
      <c r="BI1093" s="32" t="str">
        <f>INDEX(Stores!$B$2:$B$21,MATCH(B1093,Stores!$A$2:$A$21,0))</f>
        <v>Mumbai</v>
      </c>
    </row>
    <row r="1094">
      <c r="A1094" s="32" t="str">
        <f>Orders!A1091</f>
        <v>O01090</v>
      </c>
      <c r="B1094" s="32" t="str">
        <f>Orders!C1091</f>
        <v>S005</v>
      </c>
      <c r="C1094" s="32" t="str">
        <f>Orders!B1091</f>
        <v>C0111</v>
      </c>
      <c r="D1094" s="32" t="str">
        <f>Orders!H1091</f>
        <v>Delivered</v>
      </c>
      <c r="E1094" s="33">
        <f>IF(Orders!H1091="Delivered",1,0)</f>
        <v>1</v>
      </c>
      <c r="F1094" s="34">
        <f>IF(E1094=1,Orders!R1091,"")</f>
        <v>-0.7</v>
      </c>
      <c r="G1094" s="33">
        <f>IF(E1094=1,IF(Orders!R1091&gt;0,1,0),"")</f>
        <v>0</v>
      </c>
      <c r="H1094" s="33">
        <f>IF(E1094=1,IF(Orders!R1091&gt;5,1,0),"")</f>
        <v>0</v>
      </c>
      <c r="I1094" s="32" t="str">
        <f>IF(E1094=1,"",IF(OR(Orders!T1091="Rider unavailable",Orders!T1091="Item unavailable"),"Company-caused","Unresolved"))</f>
        <v/>
      </c>
      <c r="J1094" s="33">
        <f>IF(OR(E1094=1,I1094="Company-caused"),1,0)</f>
        <v>1</v>
      </c>
      <c r="K1094" s="32" t="str">
        <f>IF(E1094=0,IF(I1094="Company-caused",IF(Orders!T1091="Rider unavailable","C1 Rider unavailable","C2 Item unavailable"),"Outside root: unresolved"),IF(G1094=0,"A On time",IF(H1094=1,IF(L1094=1,"B2a Severe, peak","B2b Severe, off-peak"),IF(L1094=1,"B1a Slight, peak","B1b Slight, off-peak"))))</f>
        <v>A On time</v>
      </c>
      <c r="L1094" s="33">
        <f>IF(AND(Orders!U1091&gt;=19,Orders!U1091&lt;22),1,0)</f>
        <v>1</v>
      </c>
      <c r="M1094" s="33">
        <f>IF(L1094=IF(Orders!V1091,1,0),1,0)</f>
        <v>1</v>
      </c>
      <c r="N1094" s="32" t="str">
        <f>IF(Orders!W1091="","None",Orders!W1091)</f>
        <v>None</v>
      </c>
      <c r="O1094" s="35">
        <f>INT(Orders!E1091)</f>
        <v>46272.0</v>
      </c>
      <c r="P1094" s="33">
        <f>Orders!U1091</f>
        <v>19</v>
      </c>
      <c r="Q1094" s="33">
        <f>COUNTIFS(Demand!$A$2:$A$4481,B1094,Demand!$B$2:$B$4481,O1094,Demand!$C$2:$C$4481,P1094)</f>
        <v>1</v>
      </c>
      <c r="R1094" s="33">
        <f>IF(Q1094=1,SUMIFS(Demand!$E$2:$E$4481,Demand!$A$2:$A$4481,B1094,Demand!$B$2:$B$4481,O1094,Demand!$C$2:$C$4481,P1094),"")</f>
        <v>29</v>
      </c>
      <c r="S1094" s="33">
        <f>INDEX(Stores!$G$2:$G$21,MATCH(B1094,Stores!$A$2:$A$21,0))</f>
        <v>14</v>
      </c>
      <c r="T1094" s="34">
        <f>IF(R1094="","",R1094/S1094)</f>
        <v>2.07142857142857</v>
      </c>
      <c r="U1094" s="34">
        <f>IF(E1094=1,T1094,"")</f>
        <v>2.07142857142857</v>
      </c>
      <c r="V1094" s="34" t="str">
        <f>IF(AND(E1094=1,L1094=0),T1094,"")</f>
        <v/>
      </c>
      <c r="W1094" s="33">
        <f>IF(U1094="","",IF(U1094&lt;=Breakdowns!$C$5,1,IF(U1094&lt;=Breakdowns!$C$6,2,IF(U1094&lt;=Breakdowns!$C$7,3,4))))</f>
        <v>4</v>
      </c>
      <c r="X1094" s="33" t="str">
        <f>IF(V1094="","",IF(V1094&lt;=Breakdowns!$D$5,1,IF(V1094&lt;=Breakdowns!$D$6,2,IF(V1094&lt;=Breakdowns!$D$7,3,4))))</f>
        <v/>
      </c>
      <c r="Y1094" s="34">
        <f>INDEX(Stores!$F$2:$F$21,MATCH(B1094,Stores!$A$2:$A$21,0))</f>
        <v>4.89</v>
      </c>
      <c r="Z1094" s="33">
        <f>IF(Y1094&gt;Store_Summary!$M$2,1,0)</f>
        <v>0</v>
      </c>
      <c r="AA1094" s="33">
        <f>INDEX(Stores!$C$2:$C$21,MATCH(B1094,Stores!$A$2:$A$21,0))</f>
        <v>138</v>
      </c>
      <c r="AB1094" s="33">
        <f>IF(AA1094&lt;180,1,0)</f>
        <v>1</v>
      </c>
      <c r="AC1094" s="32" t="str">
        <f>IF(Orders!D1091="","",INDEX(Riders!$C$2:$C$81,MATCH(Orders!D1091,Riders!$A$2:$A$81,0)))</f>
        <v>Bicycle</v>
      </c>
      <c r="AD1094" s="33">
        <f>IF(Orders!D1091="","",INDEX(Riders!$D$2:$D$81,MATCH(Orders!D1091,Riders!$A$2:$A$81,0)))</f>
        <v>2</v>
      </c>
      <c r="AE1094" s="33">
        <f>IF(Orders!D1091="","",IF(INDEX(Riders!$B$2:$B$81,MATCH(Orders!D1091,Riders!$A$2:$A$81,0))=B1094,1,0))</f>
        <v>0</v>
      </c>
      <c r="AF1094" s="34">
        <f>IF(E1094=1,Orders!L1091,"")</f>
        <v>0.61</v>
      </c>
      <c r="AG1094" s="34">
        <f>IF(E1094=1,Orders!P1091,"")</f>
        <v>11.7</v>
      </c>
      <c r="AH1094" s="34">
        <f>IF(E1094=1,Orders!Q1091,"")</f>
        <v>11</v>
      </c>
      <c r="AI1094" s="34">
        <f>IF(E1094=1,Orders!M1091,"")</f>
        <v>3.4</v>
      </c>
      <c r="AJ1094" s="34">
        <f>IF(E1094=1,Orders!N1091,"")</f>
        <v>5.1</v>
      </c>
      <c r="AK1094" s="34">
        <f>IF(E1094=1,Orders!O1091,"")</f>
        <v>2.5</v>
      </c>
      <c r="AL1094" s="33">
        <f>IF(E1094=1,IF(ROUND(ABS(AI1094+AJ1094+AK1094-AH1094),6)&lt;=0.1,1,0),"")</f>
        <v>1</v>
      </c>
      <c r="AM1094" s="36">
        <f>IF(E1094=1,AI1094/AH1094,"")</f>
        <v>0.309090909090909</v>
      </c>
      <c r="AN1094" s="36">
        <f>IF(E1094=1,AJ1094/AH1094,"")</f>
        <v>0.463636363636364</v>
      </c>
      <c r="AO1094" s="36">
        <f>IF(E1094=1,AK1094/AH1094,"")</f>
        <v>0.227272727272727</v>
      </c>
      <c r="AP1094" s="34">
        <f>IF(E1094=1,Orders!Y1091,"")</f>
        <v>0.92</v>
      </c>
      <c r="AQ1094" s="33">
        <f>IF(Orders!X1091,1,0)</f>
        <v>0</v>
      </c>
      <c r="AR1094" s="34">
        <f>IF(AND(E1094=1,L1094=1),AJ1094,"")</f>
        <v>5.1</v>
      </c>
      <c r="AS1094" s="34" t="str">
        <f>IF(AND(E1094=1,L1094=0),AJ1094,"")</f>
        <v/>
      </c>
      <c r="AT1094" s="34">
        <f>IF(AND(E1094=1,L1094=1),AI1094,"")</f>
        <v>3.4</v>
      </c>
      <c r="AU1094" s="34" t="str">
        <f>IF(AND(E1094=1,L1094=0),AI1094,"")</f>
        <v/>
      </c>
      <c r="AV1094" s="34">
        <f>IF(AND(E1094=1,L1094=1),AG1094,"")</f>
        <v>11.7</v>
      </c>
      <c r="AW1094" s="34" t="str">
        <f>IF(AND(E1094=1,L1094=0),AG1094,"")</f>
        <v/>
      </c>
      <c r="AX1094" s="34">
        <f>IF(AND(E1094=1,L1094=1),AH1094,"")</f>
        <v>11</v>
      </c>
      <c r="AY1094" s="34" t="str">
        <f>IF(AND(E1094=1,L1094=0),AH1094,"")</f>
        <v/>
      </c>
      <c r="AZ1094" s="34" t="str">
        <f>IF(G1094=1,F1094,"")</f>
        <v/>
      </c>
      <c r="BA1094" s="34" t="str">
        <f>IF(AND(G1094=1,L1094=1),F1094,"")</f>
        <v/>
      </c>
      <c r="BB1094" s="34" t="str">
        <f>IF(AND(G1094=1,L1094=0),F1094,"")</f>
        <v/>
      </c>
      <c r="BC1094" s="33">
        <f>IF(E1094=1,IF(Orders!R1091&gt;3,1,0),"")</f>
        <v>0</v>
      </c>
      <c r="BD1094" s="33">
        <f>IF(E1094=1,IF(Orders!R1091&gt;7,1,0),"")</f>
        <v>0</v>
      </c>
      <c r="BE1094" s="32" t="str">
        <f>IF(E1094=1,IF(Orders!L1091&lt;=1.5,"Up to 1.5 km",IF(Orders!L1091&lt;=3,"1.5–3 km","Over 3 km")),"")</f>
        <v>Up to 1.5 km</v>
      </c>
      <c r="BF1094" s="33">
        <f>IF(E1094=1,IF(ABS((Orders!G1091-Orders!F1091)*1440-Orders!R1091)&lt;0.06,1,0),"")</f>
        <v>1</v>
      </c>
      <c r="BG1094" s="33">
        <f>IF(ABS((Orders!F1091-Orders!E1091)*1440-Orders!P1091)&lt;0.06,1,0)</f>
        <v>1</v>
      </c>
      <c r="BH1094" s="33">
        <f>IF(E1094=1,IF(IF(Orders!S1091,1,0)=1-G1094,1,0),"")</f>
        <v>1</v>
      </c>
      <c r="BI1094" s="32" t="str">
        <f>INDEX(Stores!$B$2:$B$21,MATCH(B1094,Stores!$A$2:$A$21,0))</f>
        <v>Delhi</v>
      </c>
    </row>
    <row r="1095">
      <c r="A1095" s="32" t="str">
        <f>Orders!A1092</f>
        <v>O01091</v>
      </c>
      <c r="B1095" s="32" t="str">
        <f>Orders!C1092</f>
        <v>S005</v>
      </c>
      <c r="C1095" s="32" t="str">
        <f>Orders!B1092</f>
        <v>C0188</v>
      </c>
      <c r="D1095" s="32" t="str">
        <f>Orders!H1092</f>
        <v>Delivered</v>
      </c>
      <c r="E1095" s="33">
        <f>IF(Orders!H1092="Delivered",1,0)</f>
        <v>1</v>
      </c>
      <c r="F1095" s="34">
        <f>IF(E1095=1,Orders!R1092,"")</f>
        <v>-0.4</v>
      </c>
      <c r="G1095" s="33">
        <f>IF(E1095=1,IF(Orders!R1092&gt;0,1,0),"")</f>
        <v>0</v>
      </c>
      <c r="H1095" s="33">
        <f>IF(E1095=1,IF(Orders!R1092&gt;5,1,0),"")</f>
        <v>0</v>
      </c>
      <c r="I1095" s="32" t="str">
        <f>IF(E1095=1,"",IF(OR(Orders!T1092="Rider unavailable",Orders!T1092="Item unavailable"),"Company-caused","Unresolved"))</f>
        <v/>
      </c>
      <c r="J1095" s="33">
        <f>IF(OR(E1095=1,I1095="Company-caused"),1,0)</f>
        <v>1</v>
      </c>
      <c r="K1095" s="32" t="str">
        <f>IF(E1095=0,IF(I1095="Company-caused",IF(Orders!T1092="Rider unavailable","C1 Rider unavailable","C2 Item unavailable"),"Outside root: unresolved"),IF(G1095=0,"A On time",IF(H1095=1,IF(L1095=1,"B2a Severe, peak","B2b Severe, off-peak"),IF(L1095=1,"B1a Slight, peak","B1b Slight, off-peak"))))</f>
        <v>A On time</v>
      </c>
      <c r="L1095" s="33">
        <f>IF(AND(Orders!U1092&gt;=19,Orders!U1092&lt;22),1,0)</f>
        <v>1</v>
      </c>
      <c r="M1095" s="33">
        <f>IF(L1095=IF(Orders!V1092,1,0),1,0)</f>
        <v>1</v>
      </c>
      <c r="N1095" s="32" t="str">
        <f>IF(Orders!W1092="","None",Orders!W1092)</f>
        <v>None</v>
      </c>
      <c r="O1095" s="35">
        <f>INT(Orders!E1092)</f>
        <v>46267.0</v>
      </c>
      <c r="P1095" s="33">
        <f>Orders!U1092</f>
        <v>20</v>
      </c>
      <c r="Q1095" s="33">
        <f>COUNTIFS(Demand!$A$2:$A$4481,B1095,Demand!$B$2:$B$4481,O1095,Demand!$C$2:$C$4481,P1095)</f>
        <v>1</v>
      </c>
      <c r="R1095" s="33">
        <f>IF(Q1095=1,SUMIFS(Demand!$E$2:$E$4481,Demand!$A$2:$A$4481,B1095,Demand!$B$2:$B$4481,O1095,Demand!$C$2:$C$4481,P1095),"")</f>
        <v>22</v>
      </c>
      <c r="S1095" s="33">
        <f>INDEX(Stores!$G$2:$G$21,MATCH(B1095,Stores!$A$2:$A$21,0))</f>
        <v>14</v>
      </c>
      <c r="T1095" s="34">
        <f>IF(R1095="","",R1095/S1095)</f>
        <v>1.57142857142857</v>
      </c>
      <c r="U1095" s="34">
        <f>IF(E1095=1,T1095,"")</f>
        <v>1.57142857142857</v>
      </c>
      <c r="V1095" s="34" t="str">
        <f>IF(AND(E1095=1,L1095=0),T1095,"")</f>
        <v/>
      </c>
      <c r="W1095" s="33">
        <f>IF(U1095="","",IF(U1095&lt;=Breakdowns!$C$5,1,IF(U1095&lt;=Breakdowns!$C$6,2,IF(U1095&lt;=Breakdowns!$C$7,3,4))))</f>
        <v>4</v>
      </c>
      <c r="X1095" s="33" t="str">
        <f>IF(V1095="","",IF(V1095&lt;=Breakdowns!$D$5,1,IF(V1095&lt;=Breakdowns!$D$6,2,IF(V1095&lt;=Breakdowns!$D$7,3,4))))</f>
        <v/>
      </c>
      <c r="Y1095" s="34">
        <f>INDEX(Stores!$F$2:$F$21,MATCH(B1095,Stores!$A$2:$A$21,0))</f>
        <v>4.89</v>
      </c>
      <c r="Z1095" s="33">
        <f>IF(Y1095&gt;Store_Summary!$M$2,1,0)</f>
        <v>0</v>
      </c>
      <c r="AA1095" s="33">
        <f>INDEX(Stores!$C$2:$C$21,MATCH(B1095,Stores!$A$2:$A$21,0))</f>
        <v>138</v>
      </c>
      <c r="AB1095" s="33">
        <f>IF(AA1095&lt;180,1,0)</f>
        <v>1</v>
      </c>
      <c r="AC1095" s="32" t="str">
        <f>IF(Orders!D1092="","",INDEX(Riders!$C$2:$C$81,MATCH(Orders!D1092,Riders!$A$2:$A$81,0)))</f>
        <v>EV scooter</v>
      </c>
      <c r="AD1095" s="33">
        <f>IF(Orders!D1092="","",INDEX(Riders!$D$2:$D$81,MATCH(Orders!D1092,Riders!$A$2:$A$81,0)))</f>
        <v>33</v>
      </c>
      <c r="AE1095" s="33">
        <f>IF(Orders!D1092="","",IF(INDEX(Riders!$B$2:$B$81,MATCH(Orders!D1092,Riders!$A$2:$A$81,0))=B1095,1,0))</f>
        <v>0</v>
      </c>
      <c r="AF1095" s="34">
        <f>IF(E1095=1,Orders!L1092,"")</f>
        <v>1.74</v>
      </c>
      <c r="AG1095" s="34">
        <f>IF(E1095=1,Orders!P1092,"")</f>
        <v>10.2</v>
      </c>
      <c r="AH1095" s="34">
        <f>IF(E1095=1,Orders!Q1092,"")</f>
        <v>9.8</v>
      </c>
      <c r="AI1095" s="34">
        <f>IF(E1095=1,Orders!M1092,"")</f>
        <v>2.6</v>
      </c>
      <c r="AJ1095" s="34">
        <f>IF(E1095=1,Orders!N1092,"")</f>
        <v>4.9</v>
      </c>
      <c r="AK1095" s="34">
        <f>IF(E1095=1,Orders!O1092,"")</f>
        <v>2.3</v>
      </c>
      <c r="AL1095" s="33">
        <f>IF(E1095=1,IF(ROUND(ABS(AI1095+AJ1095+AK1095-AH1095),6)&lt;=0.1,1,0),"")</f>
        <v>1</v>
      </c>
      <c r="AM1095" s="36">
        <f>IF(E1095=1,AI1095/AH1095,"")</f>
        <v>0.26530612244898</v>
      </c>
      <c r="AN1095" s="36">
        <f>IF(E1095=1,AJ1095/AH1095,"")</f>
        <v>0.5</v>
      </c>
      <c r="AO1095" s="36">
        <f>IF(E1095=1,AK1095/AH1095,"")</f>
        <v>0.23469387755102</v>
      </c>
      <c r="AP1095" s="34">
        <f>IF(E1095=1,Orders!Y1092,"")</f>
        <v>0.72</v>
      </c>
      <c r="AQ1095" s="33">
        <f>IF(Orders!X1092,1,0)</f>
        <v>0</v>
      </c>
      <c r="AR1095" s="34">
        <f>IF(AND(E1095=1,L1095=1),AJ1095,"")</f>
        <v>4.9</v>
      </c>
      <c r="AS1095" s="34" t="str">
        <f>IF(AND(E1095=1,L1095=0),AJ1095,"")</f>
        <v/>
      </c>
      <c r="AT1095" s="34">
        <f>IF(AND(E1095=1,L1095=1),AI1095,"")</f>
        <v>2.6</v>
      </c>
      <c r="AU1095" s="34" t="str">
        <f>IF(AND(E1095=1,L1095=0),AI1095,"")</f>
        <v/>
      </c>
      <c r="AV1095" s="34">
        <f>IF(AND(E1095=1,L1095=1),AG1095,"")</f>
        <v>10.2</v>
      </c>
      <c r="AW1095" s="34" t="str">
        <f>IF(AND(E1095=1,L1095=0),AG1095,"")</f>
        <v/>
      </c>
      <c r="AX1095" s="34">
        <f>IF(AND(E1095=1,L1095=1),AH1095,"")</f>
        <v>9.8</v>
      </c>
      <c r="AY1095" s="34" t="str">
        <f>IF(AND(E1095=1,L1095=0),AH1095,"")</f>
        <v/>
      </c>
      <c r="AZ1095" s="34" t="str">
        <f>IF(G1095=1,F1095,"")</f>
        <v/>
      </c>
      <c r="BA1095" s="34" t="str">
        <f>IF(AND(G1095=1,L1095=1),F1095,"")</f>
        <v/>
      </c>
      <c r="BB1095" s="34" t="str">
        <f>IF(AND(G1095=1,L1095=0),F1095,"")</f>
        <v/>
      </c>
      <c r="BC1095" s="33">
        <f>IF(E1095=1,IF(Orders!R1092&gt;3,1,0),"")</f>
        <v>0</v>
      </c>
      <c r="BD1095" s="33">
        <f>IF(E1095=1,IF(Orders!R1092&gt;7,1,0),"")</f>
        <v>0</v>
      </c>
      <c r="BE1095" s="32" t="str">
        <f>IF(E1095=1,IF(Orders!L1092&lt;=1.5,"Up to 1.5 km",IF(Orders!L1092&lt;=3,"1.5–3 km","Over 3 km")),"")</f>
        <v>1.5–3 km</v>
      </c>
      <c r="BF1095" s="33">
        <f>IF(E1095=1,IF(ABS((Orders!G1092-Orders!F1092)*1440-Orders!R1092)&lt;0.06,1,0),"")</f>
        <v>1</v>
      </c>
      <c r="BG1095" s="33">
        <f>IF(ABS((Orders!F1092-Orders!E1092)*1440-Orders!P1092)&lt;0.06,1,0)</f>
        <v>1</v>
      </c>
      <c r="BH1095" s="33">
        <f>IF(E1095=1,IF(IF(Orders!S1092,1,0)=1-G1095,1,0),"")</f>
        <v>1</v>
      </c>
      <c r="BI1095" s="32" t="str">
        <f>INDEX(Stores!$B$2:$B$21,MATCH(B1095,Stores!$A$2:$A$21,0))</f>
        <v>Delhi</v>
      </c>
    </row>
    <row r="1096">
      <c r="A1096" s="32" t="str">
        <f>Orders!A1093</f>
        <v>O01092</v>
      </c>
      <c r="B1096" s="32" t="str">
        <f>Orders!C1093</f>
        <v>S006</v>
      </c>
      <c r="C1096" s="32" t="str">
        <f>Orders!B1093</f>
        <v>C0007</v>
      </c>
      <c r="D1096" s="32" t="str">
        <f>Orders!H1093</f>
        <v>Delivered</v>
      </c>
      <c r="E1096" s="33">
        <f>IF(Orders!H1093="Delivered",1,0)</f>
        <v>1</v>
      </c>
      <c r="F1096" s="34">
        <f>IF(E1096=1,Orders!R1093,"")</f>
        <v>-0.6</v>
      </c>
      <c r="G1096" s="33">
        <f>IF(E1096=1,IF(Orders!R1093&gt;0,1,0),"")</f>
        <v>0</v>
      </c>
      <c r="H1096" s="33">
        <f>IF(E1096=1,IF(Orders!R1093&gt;5,1,0),"")</f>
        <v>0</v>
      </c>
      <c r="I1096" s="32" t="str">
        <f>IF(E1096=1,"",IF(OR(Orders!T1093="Rider unavailable",Orders!T1093="Item unavailable"),"Company-caused","Unresolved"))</f>
        <v/>
      </c>
      <c r="J1096" s="33">
        <f>IF(OR(E1096=1,I1096="Company-caused"),1,0)</f>
        <v>1</v>
      </c>
      <c r="K1096" s="32" t="str">
        <f>IF(E1096=0,IF(I1096="Company-caused",IF(Orders!T1093="Rider unavailable","C1 Rider unavailable","C2 Item unavailable"),"Outside root: unresolved"),IF(G1096=0,"A On time",IF(H1096=1,IF(L1096=1,"B2a Severe, peak","B2b Severe, off-peak"),IF(L1096=1,"B1a Slight, peak","B1b Slight, off-peak"))))</f>
        <v>A On time</v>
      </c>
      <c r="L1096" s="33">
        <f>IF(AND(Orders!U1093&gt;=19,Orders!U1093&lt;22),1,0)</f>
        <v>0</v>
      </c>
      <c r="M1096" s="33">
        <f>IF(L1096=IF(Orders!V1093,1,0),1,0)</f>
        <v>1</v>
      </c>
      <c r="N1096" s="32" t="str">
        <f>IF(Orders!W1093="","None",Orders!W1093)</f>
        <v>Light</v>
      </c>
      <c r="O1096" s="35">
        <f>INT(Orders!E1093)</f>
        <v>46279.0</v>
      </c>
      <c r="P1096" s="33">
        <f>Orders!U1093</f>
        <v>23</v>
      </c>
      <c r="Q1096" s="33">
        <f>COUNTIFS(Demand!$A$2:$A$4481,B1096,Demand!$B$2:$B$4481,O1096,Demand!$C$2:$C$4481,P1096)</f>
        <v>1</v>
      </c>
      <c r="R1096" s="33">
        <f>IF(Q1096=1,SUMIFS(Demand!$E$2:$E$4481,Demand!$A$2:$A$4481,B1096,Demand!$B$2:$B$4481,O1096,Demand!$C$2:$C$4481,P1096),"")</f>
        <v>25</v>
      </c>
      <c r="S1096" s="33">
        <f>INDEX(Stores!$G$2:$G$21,MATCH(B1096,Stores!$A$2:$A$21,0))</f>
        <v>26</v>
      </c>
      <c r="T1096" s="34">
        <f>IF(R1096="","",R1096/S1096)</f>
        <v>0.961538461538462</v>
      </c>
      <c r="U1096" s="34">
        <f>IF(E1096=1,T1096,"")</f>
        <v>0.961538461538462</v>
      </c>
      <c r="V1096" s="34">
        <f>IF(AND(E1096=1,L1096=0),T1096,"")</f>
        <v>0.961538461538462</v>
      </c>
      <c r="W1096" s="33">
        <f>IF(U1096="","",IF(U1096&lt;=Breakdowns!$C$5,1,IF(U1096&lt;=Breakdowns!$C$6,2,IF(U1096&lt;=Breakdowns!$C$7,3,4))))</f>
        <v>2</v>
      </c>
      <c r="X1096" s="33">
        <f>IF(V1096="","",IF(V1096&lt;=Breakdowns!$D$5,1,IF(V1096&lt;=Breakdowns!$D$6,2,IF(V1096&lt;=Breakdowns!$D$7,3,4))))</f>
        <v>3</v>
      </c>
      <c r="Y1096" s="34">
        <f>INDEX(Stores!$F$2:$F$21,MATCH(B1096,Stores!$A$2:$A$21,0))</f>
        <v>5.22</v>
      </c>
      <c r="Z1096" s="33">
        <f>IF(Y1096&gt;Store_Summary!$M$2,1,0)</f>
        <v>1</v>
      </c>
      <c r="AA1096" s="33">
        <f>INDEX(Stores!$C$2:$C$21,MATCH(B1096,Stores!$A$2:$A$21,0))</f>
        <v>412</v>
      </c>
      <c r="AB1096" s="33">
        <f>IF(AA1096&lt;180,1,0)</f>
        <v>0</v>
      </c>
      <c r="AC1096" s="32" t="str">
        <f>IF(Orders!D1093="","",INDEX(Riders!$C$2:$C$81,MATCH(Orders!D1093,Riders!$A$2:$A$81,0)))</f>
        <v>Petrol scooter</v>
      </c>
      <c r="AD1096" s="33">
        <f>IF(Orders!D1093="","",INDEX(Riders!$D$2:$D$81,MATCH(Orders!D1093,Riders!$A$2:$A$81,0)))</f>
        <v>44</v>
      </c>
      <c r="AE1096" s="33">
        <f>IF(Orders!D1093="","",IF(INDEX(Riders!$B$2:$B$81,MATCH(Orders!D1093,Riders!$A$2:$A$81,0))=B1096,1,0))</f>
        <v>0</v>
      </c>
      <c r="AF1096" s="34">
        <f>IF(E1096=1,Orders!L1093,"")</f>
        <v>2.27</v>
      </c>
      <c r="AG1096" s="34">
        <f>IF(E1096=1,Orders!P1093,"")</f>
        <v>10.4</v>
      </c>
      <c r="AH1096" s="34">
        <f>IF(E1096=1,Orders!Q1093,"")</f>
        <v>9.8</v>
      </c>
      <c r="AI1096" s="34">
        <f>IF(E1096=1,Orders!M1093,"")</f>
        <v>3.3</v>
      </c>
      <c r="AJ1096" s="34">
        <f>IF(E1096=1,Orders!N1093,"")</f>
        <v>2.2</v>
      </c>
      <c r="AK1096" s="34">
        <f>IF(E1096=1,Orders!O1093,"")</f>
        <v>4.3</v>
      </c>
      <c r="AL1096" s="33">
        <f>IF(E1096=1,IF(ROUND(ABS(AI1096+AJ1096+AK1096-AH1096),6)&lt;=0.1,1,0),"")</f>
        <v>1</v>
      </c>
      <c r="AM1096" s="36">
        <f>IF(E1096=1,AI1096/AH1096,"")</f>
        <v>0.336734693877551</v>
      </c>
      <c r="AN1096" s="36">
        <f>IF(E1096=1,AJ1096/AH1096,"")</f>
        <v>0.224489795918367</v>
      </c>
      <c r="AO1096" s="36">
        <f>IF(E1096=1,AK1096/AH1096,"")</f>
        <v>0.438775510204082</v>
      </c>
      <c r="AP1096" s="34">
        <f>IF(E1096=1,Orders!Y1093,"")</f>
        <v>0.36</v>
      </c>
      <c r="AQ1096" s="33">
        <f>IF(Orders!X1093,1,0)</f>
        <v>0</v>
      </c>
      <c r="AR1096" s="34" t="str">
        <f>IF(AND(E1096=1,L1096=1),AJ1096,"")</f>
        <v/>
      </c>
      <c r="AS1096" s="34">
        <f>IF(AND(E1096=1,L1096=0),AJ1096,"")</f>
        <v>2.2</v>
      </c>
      <c r="AT1096" s="34" t="str">
        <f>IF(AND(E1096=1,L1096=1),AI1096,"")</f>
        <v/>
      </c>
      <c r="AU1096" s="34">
        <f>IF(AND(E1096=1,L1096=0),AI1096,"")</f>
        <v>3.3</v>
      </c>
      <c r="AV1096" s="34" t="str">
        <f>IF(AND(E1096=1,L1096=1),AG1096,"")</f>
        <v/>
      </c>
      <c r="AW1096" s="34">
        <f>IF(AND(E1096=1,L1096=0),AG1096,"")</f>
        <v>10.4</v>
      </c>
      <c r="AX1096" s="34" t="str">
        <f>IF(AND(E1096=1,L1096=1),AH1096,"")</f>
        <v/>
      </c>
      <c r="AY1096" s="34">
        <f>IF(AND(E1096=1,L1096=0),AH1096,"")</f>
        <v>9.8</v>
      </c>
      <c r="AZ1096" s="34" t="str">
        <f>IF(G1096=1,F1096,"")</f>
        <v/>
      </c>
      <c r="BA1096" s="34" t="str">
        <f>IF(AND(G1096=1,L1096=1),F1096,"")</f>
        <v/>
      </c>
      <c r="BB1096" s="34" t="str">
        <f>IF(AND(G1096=1,L1096=0),F1096,"")</f>
        <v/>
      </c>
      <c r="BC1096" s="33">
        <f>IF(E1096=1,IF(Orders!R1093&gt;3,1,0),"")</f>
        <v>0</v>
      </c>
      <c r="BD1096" s="33">
        <f>IF(E1096=1,IF(Orders!R1093&gt;7,1,0),"")</f>
        <v>0</v>
      </c>
      <c r="BE1096" s="32" t="str">
        <f>IF(E1096=1,IF(Orders!L1093&lt;=1.5,"Up to 1.5 km",IF(Orders!L1093&lt;=3,"1.5–3 km","Over 3 km")),"")</f>
        <v>1.5–3 km</v>
      </c>
      <c r="BF1096" s="33">
        <f>IF(E1096=1,IF(ABS((Orders!G1093-Orders!F1093)*1440-Orders!R1093)&lt;0.06,1,0),"")</f>
        <v>1</v>
      </c>
      <c r="BG1096" s="33">
        <f>IF(ABS((Orders!F1093-Orders!E1093)*1440-Orders!P1093)&lt;0.06,1,0)</f>
        <v>1</v>
      </c>
      <c r="BH1096" s="33">
        <f>IF(E1096=1,IF(IF(Orders!S1093,1,0)=1-G1096,1,0),"")</f>
        <v>1</v>
      </c>
      <c r="BI1096" s="32" t="str">
        <f>INDEX(Stores!$B$2:$B$21,MATCH(B1096,Stores!$A$2:$A$21,0))</f>
        <v>Bengaluru</v>
      </c>
    </row>
    <row r="1097">
      <c r="A1097" s="32" t="str">
        <f>Orders!A1094</f>
        <v>O01093</v>
      </c>
      <c r="B1097" s="32" t="str">
        <f>Orders!C1094</f>
        <v>S004</v>
      </c>
      <c r="C1097" s="32" t="str">
        <f>Orders!B1094</f>
        <v>C0121</v>
      </c>
      <c r="D1097" s="32" t="str">
        <f>Orders!H1094</f>
        <v>Delivered</v>
      </c>
      <c r="E1097" s="33">
        <f>IF(Orders!H1094="Delivered",1,0)</f>
        <v>1</v>
      </c>
      <c r="F1097" s="34">
        <f>IF(E1097=1,Orders!R1094,"")</f>
        <v>4.4</v>
      </c>
      <c r="G1097" s="33">
        <f>IF(E1097=1,IF(Orders!R1094&gt;0,1,0),"")</f>
        <v>1</v>
      </c>
      <c r="H1097" s="33">
        <f>IF(E1097=1,IF(Orders!R1094&gt;5,1,0),"")</f>
        <v>0</v>
      </c>
      <c r="I1097" s="32" t="str">
        <f>IF(E1097=1,"",IF(OR(Orders!T1094="Rider unavailable",Orders!T1094="Item unavailable"),"Company-caused","Unresolved"))</f>
        <v/>
      </c>
      <c r="J1097" s="33">
        <f>IF(OR(E1097=1,I1097="Company-caused"),1,0)</f>
        <v>1</v>
      </c>
      <c r="K1097" s="32" t="str">
        <f>IF(E1097=0,IF(I1097="Company-caused",IF(Orders!T1094="Rider unavailable","C1 Rider unavailable","C2 Item unavailable"),"Outside root: unresolved"),IF(G1097=0,"A On time",IF(H1097=1,IF(L1097=1,"B2a Severe, peak","B2b Severe, off-peak"),IF(L1097=1,"B1a Slight, peak","B1b Slight, off-peak"))))</f>
        <v>B1b Slight, off-peak</v>
      </c>
      <c r="L1097" s="33">
        <f>IF(AND(Orders!U1094&gt;=19,Orders!U1094&lt;22),1,0)</f>
        <v>0</v>
      </c>
      <c r="M1097" s="33">
        <f>IF(L1097=IF(Orders!V1094,1,0),1,0)</f>
        <v>1</v>
      </c>
      <c r="N1097" s="32" t="str">
        <f>IF(Orders!W1094="","None",Orders!W1094)</f>
        <v>None</v>
      </c>
      <c r="O1097" s="35">
        <f>INT(Orders!E1094)</f>
        <v>46275.0</v>
      </c>
      <c r="P1097" s="33">
        <f>Orders!U1094</f>
        <v>9</v>
      </c>
      <c r="Q1097" s="33">
        <f>COUNTIFS(Demand!$A$2:$A$4481,B1097,Demand!$B$2:$B$4481,O1097,Demand!$C$2:$C$4481,P1097)</f>
        <v>1</v>
      </c>
      <c r="R1097" s="33">
        <f>IF(Q1097=1,SUMIFS(Demand!$E$2:$E$4481,Demand!$A$2:$A$4481,B1097,Demand!$B$2:$B$4481,O1097,Demand!$C$2:$C$4481,P1097),"")</f>
        <v>36</v>
      </c>
      <c r="S1097" s="33">
        <f>INDEX(Stores!$G$2:$G$21,MATCH(B1097,Stores!$A$2:$A$21,0))</f>
        <v>42</v>
      </c>
      <c r="T1097" s="34">
        <f>IF(R1097="","",R1097/S1097)</f>
        <v>0.857142857142857</v>
      </c>
      <c r="U1097" s="34">
        <f>IF(E1097=1,T1097,"")</f>
        <v>0.857142857142857</v>
      </c>
      <c r="V1097" s="34">
        <f>IF(AND(E1097=1,L1097=0),T1097,"")</f>
        <v>0.857142857142857</v>
      </c>
      <c r="W1097" s="33">
        <f>IF(U1097="","",IF(U1097&lt;=Breakdowns!$C$5,1,IF(U1097&lt;=Breakdowns!$C$6,2,IF(U1097&lt;=Breakdowns!$C$7,3,4))))</f>
        <v>2</v>
      </c>
      <c r="X1097" s="33">
        <f>IF(V1097="","",IF(V1097&lt;=Breakdowns!$D$5,1,IF(V1097&lt;=Breakdowns!$D$6,2,IF(V1097&lt;=Breakdowns!$D$7,3,4))))</f>
        <v>2</v>
      </c>
      <c r="Y1097" s="34">
        <f>INDEX(Stores!$F$2:$F$21,MATCH(B1097,Stores!$A$2:$A$21,0))</f>
        <v>2.19</v>
      </c>
      <c r="Z1097" s="33">
        <f>IF(Y1097&gt;Store_Summary!$M$2,1,0)</f>
        <v>0</v>
      </c>
      <c r="AA1097" s="33">
        <f>INDEX(Stores!$C$2:$C$21,MATCH(B1097,Stores!$A$2:$A$21,0))</f>
        <v>850</v>
      </c>
      <c r="AB1097" s="33">
        <f>IF(AA1097&lt;180,1,0)</f>
        <v>0</v>
      </c>
      <c r="AC1097" s="32" t="str">
        <f>IF(Orders!D1094="","",INDEX(Riders!$C$2:$C$81,MATCH(Orders!D1094,Riders!$A$2:$A$81,0)))</f>
        <v>EV scooter</v>
      </c>
      <c r="AD1097" s="33">
        <f>IF(Orders!D1094="","",INDEX(Riders!$D$2:$D$81,MATCH(Orders!D1094,Riders!$A$2:$A$81,0)))</f>
        <v>33</v>
      </c>
      <c r="AE1097" s="33">
        <f>IF(Orders!D1094="","",IF(INDEX(Riders!$B$2:$B$81,MATCH(Orders!D1094,Riders!$A$2:$A$81,0))=B1097,1,0))</f>
        <v>0</v>
      </c>
      <c r="AF1097" s="34">
        <f>IF(E1097=1,Orders!L1094,"")</f>
        <v>1.22</v>
      </c>
      <c r="AG1097" s="34">
        <f>IF(E1097=1,Orders!P1094,"")</f>
        <v>10</v>
      </c>
      <c r="AH1097" s="34">
        <f>IF(E1097=1,Orders!Q1094,"")</f>
        <v>14.4</v>
      </c>
      <c r="AI1097" s="34">
        <f>IF(E1097=1,Orders!M1094,"")</f>
        <v>3.6</v>
      </c>
      <c r="AJ1097" s="34">
        <f>IF(E1097=1,Orders!N1094,"")</f>
        <v>7.2</v>
      </c>
      <c r="AK1097" s="34">
        <f>IF(E1097=1,Orders!O1094,"")</f>
        <v>3.6</v>
      </c>
      <c r="AL1097" s="33">
        <f>IF(E1097=1,IF(ROUND(ABS(AI1097+AJ1097+AK1097-AH1097),6)&lt;=0.1,1,0),"")</f>
        <v>1</v>
      </c>
      <c r="AM1097" s="36">
        <f>IF(E1097=1,AI1097/AH1097,"")</f>
        <v>0.25</v>
      </c>
      <c r="AN1097" s="36">
        <f>IF(E1097=1,AJ1097/AH1097,"")</f>
        <v>0.5</v>
      </c>
      <c r="AO1097" s="36">
        <f>IF(E1097=1,AK1097/AH1097,"")</f>
        <v>0.25</v>
      </c>
      <c r="AP1097" s="34">
        <f>IF(E1097=1,Orders!Y1094,"")</f>
        <v>0.27</v>
      </c>
      <c r="AQ1097" s="33">
        <f>IF(Orders!X1094,1,0)</f>
        <v>0</v>
      </c>
      <c r="AR1097" s="34" t="str">
        <f>IF(AND(E1097=1,L1097=1),AJ1097,"")</f>
        <v/>
      </c>
      <c r="AS1097" s="34">
        <f>IF(AND(E1097=1,L1097=0),AJ1097,"")</f>
        <v>7.2</v>
      </c>
      <c r="AT1097" s="34" t="str">
        <f>IF(AND(E1097=1,L1097=1),AI1097,"")</f>
        <v/>
      </c>
      <c r="AU1097" s="34">
        <f>IF(AND(E1097=1,L1097=0),AI1097,"")</f>
        <v>3.6</v>
      </c>
      <c r="AV1097" s="34" t="str">
        <f>IF(AND(E1097=1,L1097=1),AG1097,"")</f>
        <v/>
      </c>
      <c r="AW1097" s="34">
        <f>IF(AND(E1097=1,L1097=0),AG1097,"")</f>
        <v>10</v>
      </c>
      <c r="AX1097" s="34" t="str">
        <f>IF(AND(E1097=1,L1097=1),AH1097,"")</f>
        <v/>
      </c>
      <c r="AY1097" s="34">
        <f>IF(AND(E1097=1,L1097=0),AH1097,"")</f>
        <v>14.4</v>
      </c>
      <c r="AZ1097" s="34">
        <f>IF(G1097=1,F1097,"")</f>
        <v>4.4</v>
      </c>
      <c r="BA1097" s="34" t="str">
        <f>IF(AND(G1097=1,L1097=1),F1097,"")</f>
        <v/>
      </c>
      <c r="BB1097" s="34">
        <f>IF(AND(G1097=1,L1097=0),F1097,"")</f>
        <v>4.4</v>
      </c>
      <c r="BC1097" s="33">
        <f>IF(E1097=1,IF(Orders!R1094&gt;3,1,0),"")</f>
        <v>1</v>
      </c>
      <c r="BD1097" s="33">
        <f>IF(E1097=1,IF(Orders!R1094&gt;7,1,0),"")</f>
        <v>0</v>
      </c>
      <c r="BE1097" s="32" t="str">
        <f>IF(E1097=1,IF(Orders!L1094&lt;=1.5,"Up to 1.5 km",IF(Orders!L1094&lt;=3,"1.5–3 km","Over 3 km")),"")</f>
        <v>Up to 1.5 km</v>
      </c>
      <c r="BF1097" s="33">
        <f>IF(E1097=1,IF(ABS((Orders!G1094-Orders!F1094)*1440-Orders!R1094)&lt;0.06,1,0),"")</f>
        <v>1</v>
      </c>
      <c r="BG1097" s="33">
        <f>IF(ABS((Orders!F1094-Orders!E1094)*1440-Orders!P1094)&lt;0.06,1,0)</f>
        <v>1</v>
      </c>
      <c r="BH1097" s="33">
        <f>IF(E1097=1,IF(IF(Orders!S1094,1,0)=1-G1097,1,0),"")</f>
        <v>1</v>
      </c>
      <c r="BI1097" s="32" t="str">
        <f>INDEX(Stores!$B$2:$B$21,MATCH(B1097,Stores!$A$2:$A$21,0))</f>
        <v>Pune</v>
      </c>
    </row>
    <row r="1098">
      <c r="A1098" s="32" t="str">
        <f>Orders!A1095</f>
        <v>O01094</v>
      </c>
      <c r="B1098" s="32" t="str">
        <f>Orders!C1095</f>
        <v>S010</v>
      </c>
      <c r="C1098" s="32" t="str">
        <f>Orders!B1095</f>
        <v>C0088</v>
      </c>
      <c r="D1098" s="32" t="str">
        <f>Orders!H1095</f>
        <v>Delivered</v>
      </c>
      <c r="E1098" s="33">
        <f>IF(Orders!H1095="Delivered",1,0)</f>
        <v>1</v>
      </c>
      <c r="F1098" s="34">
        <f>IF(E1098=1,Orders!R1095,"")</f>
        <v>7.2</v>
      </c>
      <c r="G1098" s="33">
        <f>IF(E1098=1,IF(Orders!R1095&gt;0,1,0),"")</f>
        <v>1</v>
      </c>
      <c r="H1098" s="33">
        <f>IF(E1098=1,IF(Orders!R1095&gt;5,1,0),"")</f>
        <v>1</v>
      </c>
      <c r="I1098" s="32" t="str">
        <f>IF(E1098=1,"",IF(OR(Orders!T1095="Rider unavailable",Orders!T1095="Item unavailable"),"Company-caused","Unresolved"))</f>
        <v/>
      </c>
      <c r="J1098" s="33">
        <f>IF(OR(E1098=1,I1098="Company-caused"),1,0)</f>
        <v>1</v>
      </c>
      <c r="K1098" s="32" t="str">
        <f>IF(E1098=0,IF(I1098="Company-caused",IF(Orders!T1095="Rider unavailable","C1 Rider unavailable","C2 Item unavailable"),"Outside root: unresolved"),IF(G1098=0,"A On time",IF(H1098=1,IF(L1098=1,"B2a Severe, peak","B2b Severe, off-peak"),IF(L1098=1,"B1a Slight, peak","B1b Slight, off-peak"))))</f>
        <v>B2a Severe, peak</v>
      </c>
      <c r="L1098" s="33">
        <f>IF(AND(Orders!U1095&gt;=19,Orders!U1095&lt;22),1,0)</f>
        <v>1</v>
      </c>
      <c r="M1098" s="33">
        <f>IF(L1098=IF(Orders!V1095,1,0),1,0)</f>
        <v>1</v>
      </c>
      <c r="N1098" s="32" t="str">
        <f>IF(Orders!W1095="","None",Orders!W1095)</f>
        <v>Light</v>
      </c>
      <c r="O1098" s="35">
        <f>INT(Orders!E1095)</f>
        <v>46268.0</v>
      </c>
      <c r="P1098" s="33">
        <f>Orders!U1095</f>
        <v>21</v>
      </c>
      <c r="Q1098" s="33">
        <f>COUNTIFS(Demand!$A$2:$A$4481,B1098,Demand!$B$2:$B$4481,O1098,Demand!$C$2:$C$4481,P1098)</f>
        <v>1</v>
      </c>
      <c r="R1098" s="33">
        <f>IF(Q1098=1,SUMIFS(Demand!$E$2:$E$4481,Demand!$A$2:$A$4481,B1098,Demand!$B$2:$B$4481,O1098,Demand!$C$2:$C$4481,P1098),"")</f>
        <v>36</v>
      </c>
      <c r="S1098" s="33">
        <f>INDEX(Stores!$G$2:$G$21,MATCH(B1098,Stores!$A$2:$A$21,0))</f>
        <v>22</v>
      </c>
      <c r="T1098" s="34">
        <f>IF(R1098="","",R1098/S1098)</f>
        <v>1.63636363636364</v>
      </c>
      <c r="U1098" s="34">
        <f>IF(E1098=1,T1098,"")</f>
        <v>1.63636363636364</v>
      </c>
      <c r="V1098" s="34" t="str">
        <f>IF(AND(E1098=1,L1098=0),T1098,"")</f>
        <v/>
      </c>
      <c r="W1098" s="33">
        <f>IF(U1098="","",IF(U1098&lt;=Breakdowns!$C$5,1,IF(U1098&lt;=Breakdowns!$C$6,2,IF(U1098&lt;=Breakdowns!$C$7,3,4))))</f>
        <v>4</v>
      </c>
      <c r="X1098" s="33" t="str">
        <f>IF(V1098="","",IF(V1098&lt;=Breakdowns!$D$5,1,IF(V1098&lt;=Breakdowns!$D$6,2,IF(V1098&lt;=Breakdowns!$D$7,3,4))))</f>
        <v/>
      </c>
      <c r="Y1098" s="34">
        <f>INDEX(Stores!$F$2:$F$21,MATCH(B1098,Stores!$A$2:$A$21,0))</f>
        <v>5.61</v>
      </c>
      <c r="Z1098" s="33">
        <f>IF(Y1098&gt;Store_Summary!$M$2,1,0)</f>
        <v>1</v>
      </c>
      <c r="AA1098" s="33">
        <f>INDEX(Stores!$C$2:$C$21,MATCH(B1098,Stores!$A$2:$A$21,0))</f>
        <v>744</v>
      </c>
      <c r="AB1098" s="33">
        <f>IF(AA1098&lt;180,1,0)</f>
        <v>0</v>
      </c>
      <c r="AC1098" s="32" t="str">
        <f>IF(Orders!D1095="","",INDEX(Riders!$C$2:$C$81,MATCH(Orders!D1095,Riders!$A$2:$A$81,0)))</f>
        <v>EV scooter</v>
      </c>
      <c r="AD1098" s="33">
        <f>IF(Orders!D1095="","",INDEX(Riders!$D$2:$D$81,MATCH(Orders!D1095,Riders!$A$2:$A$81,0)))</f>
        <v>9</v>
      </c>
      <c r="AE1098" s="33">
        <f>IF(Orders!D1095="","",IF(INDEX(Riders!$B$2:$B$81,MATCH(Orders!D1095,Riders!$A$2:$A$81,0))=B1098,1,0))</f>
        <v>0</v>
      </c>
      <c r="AF1098" s="34">
        <f>IF(E1098=1,Orders!L1095,"")</f>
        <v>1.98</v>
      </c>
      <c r="AG1098" s="34">
        <f>IF(E1098=1,Orders!P1095,"")</f>
        <v>7.8</v>
      </c>
      <c r="AH1098" s="34">
        <f>IF(E1098=1,Orders!Q1095,"")</f>
        <v>15</v>
      </c>
      <c r="AI1098" s="34">
        <f>IF(E1098=1,Orders!M1095,"")</f>
        <v>6.4</v>
      </c>
      <c r="AJ1098" s="34">
        <f>IF(E1098=1,Orders!N1095,"")</f>
        <v>2.3</v>
      </c>
      <c r="AK1098" s="34">
        <f>IF(E1098=1,Orders!O1095,"")</f>
        <v>6.3</v>
      </c>
      <c r="AL1098" s="33">
        <f>IF(E1098=1,IF(ROUND(ABS(AI1098+AJ1098+AK1098-AH1098),6)&lt;=0.1,1,0),"")</f>
        <v>1</v>
      </c>
      <c r="AM1098" s="36">
        <f>IF(E1098=1,AI1098/AH1098,"")</f>
        <v>0.426666666666667</v>
      </c>
      <c r="AN1098" s="36">
        <f>IF(E1098=1,AJ1098/AH1098,"")</f>
        <v>0.153333333333333</v>
      </c>
      <c r="AO1098" s="36">
        <f>IF(E1098=1,AK1098/AH1098,"")</f>
        <v>0.42</v>
      </c>
      <c r="AP1098" s="34">
        <f>IF(E1098=1,Orders!Y1095,"")</f>
        <v>0.44</v>
      </c>
      <c r="AQ1098" s="33">
        <f>IF(Orders!X1095,1,0)</f>
        <v>0</v>
      </c>
      <c r="AR1098" s="34">
        <f>IF(AND(E1098=1,L1098=1),AJ1098,"")</f>
        <v>2.3</v>
      </c>
      <c r="AS1098" s="34" t="str">
        <f>IF(AND(E1098=1,L1098=0),AJ1098,"")</f>
        <v/>
      </c>
      <c r="AT1098" s="34">
        <f>IF(AND(E1098=1,L1098=1),AI1098,"")</f>
        <v>6.4</v>
      </c>
      <c r="AU1098" s="34" t="str">
        <f>IF(AND(E1098=1,L1098=0),AI1098,"")</f>
        <v/>
      </c>
      <c r="AV1098" s="34">
        <f>IF(AND(E1098=1,L1098=1),AG1098,"")</f>
        <v>7.8</v>
      </c>
      <c r="AW1098" s="34" t="str">
        <f>IF(AND(E1098=1,L1098=0),AG1098,"")</f>
        <v/>
      </c>
      <c r="AX1098" s="34">
        <f>IF(AND(E1098=1,L1098=1),AH1098,"")</f>
        <v>15</v>
      </c>
      <c r="AY1098" s="34" t="str">
        <f>IF(AND(E1098=1,L1098=0),AH1098,"")</f>
        <v/>
      </c>
      <c r="AZ1098" s="34">
        <f>IF(G1098=1,F1098,"")</f>
        <v>7.2</v>
      </c>
      <c r="BA1098" s="34">
        <f>IF(AND(G1098=1,L1098=1),F1098,"")</f>
        <v>7.2</v>
      </c>
      <c r="BB1098" s="34" t="str">
        <f>IF(AND(G1098=1,L1098=0),F1098,"")</f>
        <v/>
      </c>
      <c r="BC1098" s="33">
        <f>IF(E1098=1,IF(Orders!R1095&gt;3,1,0),"")</f>
        <v>1</v>
      </c>
      <c r="BD1098" s="33">
        <f>IF(E1098=1,IF(Orders!R1095&gt;7,1,0),"")</f>
        <v>1</v>
      </c>
      <c r="BE1098" s="32" t="str">
        <f>IF(E1098=1,IF(Orders!L1095&lt;=1.5,"Up to 1.5 km",IF(Orders!L1095&lt;=3,"1.5–3 km","Over 3 km")),"")</f>
        <v>1.5–3 km</v>
      </c>
      <c r="BF1098" s="33">
        <f>IF(E1098=1,IF(ABS((Orders!G1095-Orders!F1095)*1440-Orders!R1095)&lt;0.06,1,0),"")</f>
        <v>1</v>
      </c>
      <c r="BG1098" s="33">
        <f>IF(ABS((Orders!F1095-Orders!E1095)*1440-Orders!P1095)&lt;0.06,1,0)</f>
        <v>1</v>
      </c>
      <c r="BH1098" s="33">
        <f>IF(E1098=1,IF(IF(Orders!S1095,1,0)=1-G1098,1,0),"")</f>
        <v>1</v>
      </c>
      <c r="BI1098" s="32" t="str">
        <f>INDEX(Stores!$B$2:$B$21,MATCH(B1098,Stores!$A$2:$A$21,0))</f>
        <v>Delhi</v>
      </c>
    </row>
    <row r="1099">
      <c r="A1099" s="32" t="str">
        <f>Orders!A1096</f>
        <v>O01095</v>
      </c>
      <c r="B1099" s="32" t="str">
        <f>Orders!C1096</f>
        <v>S019</v>
      </c>
      <c r="C1099" s="32" t="str">
        <f>Orders!B1096</f>
        <v>C0079</v>
      </c>
      <c r="D1099" s="32" t="str">
        <f>Orders!H1096</f>
        <v>Delivered</v>
      </c>
      <c r="E1099" s="33">
        <f>IF(Orders!H1096="Delivered",1,0)</f>
        <v>1</v>
      </c>
      <c r="F1099" s="34">
        <f>IF(E1099=1,Orders!R1096,"")</f>
        <v>-1.1</v>
      </c>
      <c r="G1099" s="33">
        <f>IF(E1099=1,IF(Orders!R1096&gt;0,1,0),"")</f>
        <v>0</v>
      </c>
      <c r="H1099" s="33">
        <f>IF(E1099=1,IF(Orders!R1096&gt;5,1,0),"")</f>
        <v>0</v>
      </c>
      <c r="I1099" s="32" t="str">
        <f>IF(E1099=1,"",IF(OR(Orders!T1096="Rider unavailable",Orders!T1096="Item unavailable"),"Company-caused","Unresolved"))</f>
        <v/>
      </c>
      <c r="J1099" s="33">
        <f>IF(OR(E1099=1,I1099="Company-caused"),1,0)</f>
        <v>1</v>
      </c>
      <c r="K1099" s="32" t="str">
        <f>IF(E1099=0,IF(I1099="Company-caused",IF(Orders!T1096="Rider unavailable","C1 Rider unavailable","C2 Item unavailable"),"Outside root: unresolved"),IF(G1099=0,"A On time",IF(H1099=1,IF(L1099=1,"B2a Severe, peak","B2b Severe, off-peak"),IF(L1099=1,"B1a Slight, peak","B1b Slight, off-peak"))))</f>
        <v>A On time</v>
      </c>
      <c r="L1099" s="33">
        <f>IF(AND(Orders!U1096&gt;=19,Orders!U1096&lt;22),1,0)</f>
        <v>0</v>
      </c>
      <c r="M1099" s="33">
        <f>IF(L1099=IF(Orders!V1096,1,0),1,0)</f>
        <v>1</v>
      </c>
      <c r="N1099" s="32" t="str">
        <f>IF(Orders!W1096="","None",Orders!W1096)</f>
        <v>Light</v>
      </c>
      <c r="O1099" s="35">
        <f>INT(Orders!E1096)</f>
        <v>46268.0</v>
      </c>
      <c r="P1099" s="33">
        <f>Orders!U1096</f>
        <v>12</v>
      </c>
      <c r="Q1099" s="33">
        <f>COUNTIFS(Demand!$A$2:$A$4481,B1099,Demand!$B$2:$B$4481,O1099,Demand!$C$2:$C$4481,P1099)</f>
        <v>1</v>
      </c>
      <c r="R1099" s="33">
        <f>IF(Q1099=1,SUMIFS(Demand!$E$2:$E$4481,Demand!$A$2:$A$4481,B1099,Demand!$B$2:$B$4481,O1099,Demand!$C$2:$C$4481,P1099),"")</f>
        <v>23</v>
      </c>
      <c r="S1099" s="33">
        <f>INDEX(Stores!$G$2:$G$21,MATCH(B1099,Stores!$A$2:$A$21,0))</f>
        <v>22</v>
      </c>
      <c r="T1099" s="34">
        <f>IF(R1099="","",R1099/S1099)</f>
        <v>1.04545454545455</v>
      </c>
      <c r="U1099" s="34">
        <f>IF(E1099=1,T1099,"")</f>
        <v>1.04545454545455</v>
      </c>
      <c r="V1099" s="34">
        <f>IF(AND(E1099=1,L1099=0),T1099,"")</f>
        <v>1.04545454545455</v>
      </c>
      <c r="W1099" s="33">
        <f>IF(U1099="","",IF(U1099&lt;=Breakdowns!$C$5,1,IF(U1099&lt;=Breakdowns!$C$6,2,IF(U1099&lt;=Breakdowns!$C$7,3,4))))</f>
        <v>3</v>
      </c>
      <c r="X1099" s="33">
        <f>IF(V1099="","",IF(V1099&lt;=Breakdowns!$D$5,1,IF(V1099&lt;=Breakdowns!$D$6,2,IF(V1099&lt;=Breakdowns!$D$7,3,4))))</f>
        <v>3</v>
      </c>
      <c r="Y1099" s="34">
        <f>INDEX(Stores!$F$2:$F$21,MATCH(B1099,Stores!$A$2:$A$21,0))</f>
        <v>4.99</v>
      </c>
      <c r="Z1099" s="33">
        <f>IF(Y1099&gt;Store_Summary!$M$2,1,0)</f>
        <v>1</v>
      </c>
      <c r="AA1099" s="33">
        <f>INDEX(Stores!$C$2:$C$21,MATCH(B1099,Stores!$A$2:$A$21,0))</f>
        <v>851</v>
      </c>
      <c r="AB1099" s="33">
        <f>IF(AA1099&lt;180,1,0)</f>
        <v>0</v>
      </c>
      <c r="AC1099" s="32" t="str">
        <f>IF(Orders!D1096="","",INDEX(Riders!$C$2:$C$81,MATCH(Orders!D1096,Riders!$A$2:$A$81,0)))</f>
        <v>EV scooter</v>
      </c>
      <c r="AD1099" s="33">
        <f>IF(Orders!D1096="","",INDEX(Riders!$D$2:$D$81,MATCH(Orders!D1096,Riders!$A$2:$A$81,0)))</f>
        <v>33</v>
      </c>
      <c r="AE1099" s="33">
        <f>IF(Orders!D1096="","",IF(INDEX(Riders!$B$2:$B$81,MATCH(Orders!D1096,Riders!$A$2:$A$81,0))=B1099,1,0))</f>
        <v>1</v>
      </c>
      <c r="AF1099" s="34">
        <f>IF(E1099=1,Orders!L1096,"")</f>
        <v>1.41</v>
      </c>
      <c r="AG1099" s="34">
        <f>IF(E1099=1,Orders!P1096,"")</f>
        <v>10.1</v>
      </c>
      <c r="AH1099" s="34">
        <f>IF(E1099=1,Orders!Q1096,"")</f>
        <v>9</v>
      </c>
      <c r="AI1099" s="34">
        <f>IF(E1099=1,Orders!M1096,"")</f>
        <v>2.6</v>
      </c>
      <c r="AJ1099" s="34">
        <f>IF(E1099=1,Orders!N1096,"")</f>
        <v>4.2</v>
      </c>
      <c r="AK1099" s="34">
        <f>IF(E1099=1,Orders!O1096,"")</f>
        <v>2.2</v>
      </c>
      <c r="AL1099" s="33">
        <f>IF(E1099=1,IF(ROUND(ABS(AI1099+AJ1099+AK1099-AH1099),6)&lt;=0.1,1,0),"")</f>
        <v>1</v>
      </c>
      <c r="AM1099" s="36">
        <f>IF(E1099=1,AI1099/AH1099,"")</f>
        <v>0.288888888888889</v>
      </c>
      <c r="AN1099" s="36">
        <f>IF(E1099=1,AJ1099/AH1099,"")</f>
        <v>0.466666666666667</v>
      </c>
      <c r="AO1099" s="36">
        <f>IF(E1099=1,AK1099/AH1099,"")</f>
        <v>0.244444444444444</v>
      </c>
      <c r="AP1099" s="34">
        <f>IF(E1099=1,Orders!Y1096,"")</f>
        <v>0.34</v>
      </c>
      <c r="AQ1099" s="33">
        <f>IF(Orders!X1096,1,0)</f>
        <v>0</v>
      </c>
      <c r="AR1099" s="34" t="str">
        <f>IF(AND(E1099=1,L1099=1),AJ1099,"")</f>
        <v/>
      </c>
      <c r="AS1099" s="34">
        <f>IF(AND(E1099=1,L1099=0),AJ1099,"")</f>
        <v>4.2</v>
      </c>
      <c r="AT1099" s="34" t="str">
        <f>IF(AND(E1099=1,L1099=1),AI1099,"")</f>
        <v/>
      </c>
      <c r="AU1099" s="34">
        <f>IF(AND(E1099=1,L1099=0),AI1099,"")</f>
        <v>2.6</v>
      </c>
      <c r="AV1099" s="34" t="str">
        <f>IF(AND(E1099=1,L1099=1),AG1099,"")</f>
        <v/>
      </c>
      <c r="AW1099" s="34">
        <f>IF(AND(E1099=1,L1099=0),AG1099,"")</f>
        <v>10.1</v>
      </c>
      <c r="AX1099" s="34" t="str">
        <f>IF(AND(E1099=1,L1099=1),AH1099,"")</f>
        <v/>
      </c>
      <c r="AY1099" s="34">
        <f>IF(AND(E1099=1,L1099=0),AH1099,"")</f>
        <v>9</v>
      </c>
      <c r="AZ1099" s="34" t="str">
        <f>IF(G1099=1,F1099,"")</f>
        <v/>
      </c>
      <c r="BA1099" s="34" t="str">
        <f>IF(AND(G1099=1,L1099=1),F1099,"")</f>
        <v/>
      </c>
      <c r="BB1099" s="34" t="str">
        <f>IF(AND(G1099=1,L1099=0),F1099,"")</f>
        <v/>
      </c>
      <c r="BC1099" s="33">
        <f>IF(E1099=1,IF(Orders!R1096&gt;3,1,0),"")</f>
        <v>0</v>
      </c>
      <c r="BD1099" s="33">
        <f>IF(E1099=1,IF(Orders!R1096&gt;7,1,0),"")</f>
        <v>0</v>
      </c>
      <c r="BE1099" s="32" t="str">
        <f>IF(E1099=1,IF(Orders!L1096&lt;=1.5,"Up to 1.5 km",IF(Orders!L1096&lt;=3,"1.5–3 km","Over 3 km")),"")</f>
        <v>Up to 1.5 km</v>
      </c>
      <c r="BF1099" s="33">
        <f>IF(E1099=1,IF(ABS((Orders!G1096-Orders!F1096)*1440-Orders!R1096)&lt;0.06,1,0),"")</f>
        <v>1</v>
      </c>
      <c r="BG1099" s="33">
        <f>IF(ABS((Orders!F1096-Orders!E1096)*1440-Orders!P1096)&lt;0.06,1,0)</f>
        <v>1</v>
      </c>
      <c r="BH1099" s="33">
        <f>IF(E1099=1,IF(IF(Orders!S1096,1,0)=1-G1099,1,0),"")</f>
        <v>1</v>
      </c>
      <c r="BI1099" s="32" t="str">
        <f>INDEX(Stores!$B$2:$B$21,MATCH(B1099,Stores!$A$2:$A$21,0))</f>
        <v>Pune</v>
      </c>
    </row>
    <row r="1100">
      <c r="A1100" s="32" t="str">
        <f>Orders!A1097</f>
        <v>O01096</v>
      </c>
      <c r="B1100" s="32" t="str">
        <f>Orders!C1097</f>
        <v>S019</v>
      </c>
      <c r="C1100" s="32" t="str">
        <f>Orders!B1097</f>
        <v>C0024</v>
      </c>
      <c r="D1100" s="32" t="str">
        <f>Orders!H1097</f>
        <v>Delivered</v>
      </c>
      <c r="E1100" s="33">
        <f>IF(Orders!H1097="Delivered",1,0)</f>
        <v>1</v>
      </c>
      <c r="F1100" s="34">
        <f>IF(E1100=1,Orders!R1097,"")</f>
        <v>-0.6</v>
      </c>
      <c r="G1100" s="33">
        <f>IF(E1100=1,IF(Orders!R1097&gt;0,1,0),"")</f>
        <v>0</v>
      </c>
      <c r="H1100" s="33">
        <f>IF(E1100=1,IF(Orders!R1097&gt;5,1,0),"")</f>
        <v>0</v>
      </c>
      <c r="I1100" s="32" t="str">
        <f>IF(E1100=1,"",IF(OR(Orders!T1097="Rider unavailable",Orders!T1097="Item unavailable"),"Company-caused","Unresolved"))</f>
        <v/>
      </c>
      <c r="J1100" s="33">
        <f>IF(OR(E1100=1,I1100="Company-caused"),1,0)</f>
        <v>1</v>
      </c>
      <c r="K1100" s="32" t="str">
        <f>IF(E1100=0,IF(I1100="Company-caused",IF(Orders!T1097="Rider unavailable","C1 Rider unavailable","C2 Item unavailable"),"Outside root: unresolved"),IF(G1100=0,"A On time",IF(H1100=1,IF(L1100=1,"B2a Severe, peak","B2b Severe, off-peak"),IF(L1100=1,"B1a Slight, peak","B1b Slight, off-peak"))))</f>
        <v>A On time</v>
      </c>
      <c r="L1100" s="33">
        <f>IF(AND(Orders!U1097&gt;=19,Orders!U1097&lt;22),1,0)</f>
        <v>0</v>
      </c>
      <c r="M1100" s="33">
        <f>IF(L1100=IF(Orders!V1097,1,0),1,0)</f>
        <v>1</v>
      </c>
      <c r="N1100" s="32" t="str">
        <f>IF(Orders!W1097="","None",Orders!W1097)</f>
        <v>None</v>
      </c>
      <c r="O1100" s="35">
        <f>INT(Orders!E1097)</f>
        <v>46275.0</v>
      </c>
      <c r="P1100" s="33">
        <f>Orders!U1097</f>
        <v>13</v>
      </c>
      <c r="Q1100" s="33">
        <f>COUNTIFS(Demand!$A$2:$A$4481,B1100,Demand!$B$2:$B$4481,O1100,Demand!$C$2:$C$4481,P1100)</f>
        <v>1</v>
      </c>
      <c r="R1100" s="33">
        <f>IF(Q1100=1,SUMIFS(Demand!$E$2:$E$4481,Demand!$A$2:$A$4481,B1100,Demand!$B$2:$B$4481,O1100,Demand!$C$2:$C$4481,P1100),"")</f>
        <v>25</v>
      </c>
      <c r="S1100" s="33">
        <f>INDEX(Stores!$G$2:$G$21,MATCH(B1100,Stores!$A$2:$A$21,0))</f>
        <v>22</v>
      </c>
      <c r="T1100" s="34">
        <f>IF(R1100="","",R1100/S1100)</f>
        <v>1.13636363636364</v>
      </c>
      <c r="U1100" s="34">
        <f>IF(E1100=1,T1100,"")</f>
        <v>1.13636363636364</v>
      </c>
      <c r="V1100" s="34">
        <f>IF(AND(E1100=1,L1100=0),T1100,"")</f>
        <v>1.13636363636364</v>
      </c>
      <c r="W1100" s="33">
        <f>IF(U1100="","",IF(U1100&lt;=Breakdowns!$C$5,1,IF(U1100&lt;=Breakdowns!$C$6,2,IF(U1100&lt;=Breakdowns!$C$7,3,4))))</f>
        <v>3</v>
      </c>
      <c r="X1100" s="33">
        <f>IF(V1100="","",IF(V1100&lt;=Breakdowns!$D$5,1,IF(V1100&lt;=Breakdowns!$D$6,2,IF(V1100&lt;=Breakdowns!$D$7,3,4))))</f>
        <v>4</v>
      </c>
      <c r="Y1100" s="34">
        <f>INDEX(Stores!$F$2:$F$21,MATCH(B1100,Stores!$A$2:$A$21,0))</f>
        <v>4.99</v>
      </c>
      <c r="Z1100" s="33">
        <f>IF(Y1100&gt;Store_Summary!$M$2,1,0)</f>
        <v>1</v>
      </c>
      <c r="AA1100" s="33">
        <f>INDEX(Stores!$C$2:$C$21,MATCH(B1100,Stores!$A$2:$A$21,0))</f>
        <v>851</v>
      </c>
      <c r="AB1100" s="33">
        <f>IF(AA1100&lt;180,1,0)</f>
        <v>0</v>
      </c>
      <c r="AC1100" s="32" t="str">
        <f>IF(Orders!D1097="","",INDEX(Riders!$C$2:$C$81,MATCH(Orders!D1097,Riders!$A$2:$A$81,0)))</f>
        <v>Petrol scooter</v>
      </c>
      <c r="AD1100" s="33">
        <f>IF(Orders!D1097="","",INDEX(Riders!$D$2:$D$81,MATCH(Orders!D1097,Riders!$A$2:$A$81,0)))</f>
        <v>42</v>
      </c>
      <c r="AE1100" s="33">
        <f>IF(Orders!D1097="","",IF(INDEX(Riders!$B$2:$B$81,MATCH(Orders!D1097,Riders!$A$2:$A$81,0))=B1100,1,0))</f>
        <v>1</v>
      </c>
      <c r="AF1100" s="34">
        <f>IF(E1100=1,Orders!L1097,"")</f>
        <v>2.5</v>
      </c>
      <c r="AG1100" s="34">
        <f>IF(E1100=1,Orders!P1097,"")</f>
        <v>10.5</v>
      </c>
      <c r="AH1100" s="34">
        <f>IF(E1100=1,Orders!Q1097,"")</f>
        <v>9.9</v>
      </c>
      <c r="AI1100" s="34">
        <f>IF(E1100=1,Orders!M1097,"")</f>
        <v>2.8</v>
      </c>
      <c r="AJ1100" s="34">
        <f>IF(E1100=1,Orders!N1097,"")</f>
        <v>3.1</v>
      </c>
      <c r="AK1100" s="34">
        <f>IF(E1100=1,Orders!O1097,"")</f>
        <v>4</v>
      </c>
      <c r="AL1100" s="33">
        <f>IF(E1100=1,IF(ROUND(ABS(AI1100+AJ1100+AK1100-AH1100),6)&lt;=0.1,1,0),"")</f>
        <v>1</v>
      </c>
      <c r="AM1100" s="36">
        <f>IF(E1100=1,AI1100/AH1100,"")</f>
        <v>0.282828282828283</v>
      </c>
      <c r="AN1100" s="36">
        <f>IF(E1100=1,AJ1100/AH1100,"")</f>
        <v>0.313131313131313</v>
      </c>
      <c r="AO1100" s="36">
        <f>IF(E1100=1,AK1100/AH1100,"")</f>
        <v>0.404040404040404</v>
      </c>
      <c r="AP1100" s="34">
        <f>IF(E1100=1,Orders!Y1097,"")</f>
        <v>0.49</v>
      </c>
      <c r="AQ1100" s="33">
        <f>IF(Orders!X1097,1,0)</f>
        <v>0</v>
      </c>
      <c r="AR1100" s="34" t="str">
        <f>IF(AND(E1100=1,L1100=1),AJ1100,"")</f>
        <v/>
      </c>
      <c r="AS1100" s="34">
        <f>IF(AND(E1100=1,L1100=0),AJ1100,"")</f>
        <v>3.1</v>
      </c>
      <c r="AT1100" s="34" t="str">
        <f>IF(AND(E1100=1,L1100=1),AI1100,"")</f>
        <v/>
      </c>
      <c r="AU1100" s="34">
        <f>IF(AND(E1100=1,L1100=0),AI1100,"")</f>
        <v>2.8</v>
      </c>
      <c r="AV1100" s="34" t="str">
        <f>IF(AND(E1100=1,L1100=1),AG1100,"")</f>
        <v/>
      </c>
      <c r="AW1100" s="34">
        <f>IF(AND(E1100=1,L1100=0),AG1100,"")</f>
        <v>10.5</v>
      </c>
      <c r="AX1100" s="34" t="str">
        <f>IF(AND(E1100=1,L1100=1),AH1100,"")</f>
        <v/>
      </c>
      <c r="AY1100" s="34">
        <f>IF(AND(E1100=1,L1100=0),AH1100,"")</f>
        <v>9.9</v>
      </c>
      <c r="AZ1100" s="34" t="str">
        <f>IF(G1100=1,F1100,"")</f>
        <v/>
      </c>
      <c r="BA1100" s="34" t="str">
        <f>IF(AND(G1100=1,L1100=1),F1100,"")</f>
        <v/>
      </c>
      <c r="BB1100" s="34" t="str">
        <f>IF(AND(G1100=1,L1100=0),F1100,"")</f>
        <v/>
      </c>
      <c r="BC1100" s="33">
        <f>IF(E1100=1,IF(Orders!R1097&gt;3,1,0),"")</f>
        <v>0</v>
      </c>
      <c r="BD1100" s="33">
        <f>IF(E1100=1,IF(Orders!R1097&gt;7,1,0),"")</f>
        <v>0</v>
      </c>
      <c r="BE1100" s="32" t="str">
        <f>IF(E1100=1,IF(Orders!L1097&lt;=1.5,"Up to 1.5 km",IF(Orders!L1097&lt;=3,"1.5–3 km","Over 3 km")),"")</f>
        <v>1.5–3 km</v>
      </c>
      <c r="BF1100" s="33">
        <f>IF(E1100=1,IF(ABS((Orders!G1097-Orders!F1097)*1440-Orders!R1097)&lt;0.06,1,0),"")</f>
        <v>1</v>
      </c>
      <c r="BG1100" s="33">
        <f>IF(ABS((Orders!F1097-Orders!E1097)*1440-Orders!P1097)&lt;0.06,1,0)</f>
        <v>1</v>
      </c>
      <c r="BH1100" s="33">
        <f>IF(E1100=1,IF(IF(Orders!S1097,1,0)=1-G1100,1,0),"")</f>
        <v>1</v>
      </c>
      <c r="BI1100" s="32" t="str">
        <f>INDEX(Stores!$B$2:$B$21,MATCH(B1100,Stores!$A$2:$A$21,0))</f>
        <v>Pune</v>
      </c>
    </row>
    <row r="1101">
      <c r="A1101" s="32" t="str">
        <f>Orders!A1098</f>
        <v>O01097</v>
      </c>
      <c r="B1101" s="32" t="str">
        <f>Orders!C1098</f>
        <v>S010</v>
      </c>
      <c r="C1101" s="32" t="str">
        <f>Orders!B1098</f>
        <v>C0111</v>
      </c>
      <c r="D1101" s="32" t="str">
        <f>Orders!H1098</f>
        <v>Delivered</v>
      </c>
      <c r="E1101" s="33">
        <f>IF(Orders!H1098="Delivered",1,0)</f>
        <v>1</v>
      </c>
      <c r="F1101" s="34">
        <f>IF(E1101=1,Orders!R1098,"")</f>
        <v>-0.5</v>
      </c>
      <c r="G1101" s="33">
        <f>IF(E1101=1,IF(Orders!R1098&gt;0,1,0),"")</f>
        <v>0</v>
      </c>
      <c r="H1101" s="33">
        <f>IF(E1101=1,IF(Orders!R1098&gt;5,1,0),"")</f>
        <v>0</v>
      </c>
      <c r="I1101" s="32" t="str">
        <f>IF(E1101=1,"",IF(OR(Orders!T1098="Rider unavailable",Orders!T1098="Item unavailable"),"Company-caused","Unresolved"))</f>
        <v/>
      </c>
      <c r="J1101" s="33">
        <f>IF(OR(E1101=1,I1101="Company-caused"),1,0)</f>
        <v>1</v>
      </c>
      <c r="K1101" s="32" t="str">
        <f>IF(E1101=0,IF(I1101="Company-caused",IF(Orders!T1098="Rider unavailable","C1 Rider unavailable","C2 Item unavailable"),"Outside root: unresolved"),IF(G1101=0,"A On time",IF(H1101=1,IF(L1101=1,"B2a Severe, peak","B2b Severe, off-peak"),IF(L1101=1,"B1a Slight, peak","B1b Slight, off-peak"))))</f>
        <v>A On time</v>
      </c>
      <c r="L1101" s="33">
        <f>IF(AND(Orders!U1098&gt;=19,Orders!U1098&lt;22),1,0)</f>
        <v>0</v>
      </c>
      <c r="M1101" s="33">
        <f>IF(L1101=IF(Orders!V1098,1,0),1,0)</f>
        <v>1</v>
      </c>
      <c r="N1101" s="32" t="str">
        <f>IF(Orders!W1098="","None",Orders!W1098)</f>
        <v>None</v>
      </c>
      <c r="O1101" s="35">
        <f>INT(Orders!E1098)</f>
        <v>46276.0</v>
      </c>
      <c r="P1101" s="33">
        <f>Orders!U1098</f>
        <v>22</v>
      </c>
      <c r="Q1101" s="33">
        <f>COUNTIFS(Demand!$A$2:$A$4481,B1101,Demand!$B$2:$B$4481,O1101,Demand!$C$2:$C$4481,P1101)</f>
        <v>1</v>
      </c>
      <c r="R1101" s="33">
        <f>IF(Q1101=1,SUMIFS(Demand!$E$2:$E$4481,Demand!$A$2:$A$4481,B1101,Demand!$B$2:$B$4481,O1101,Demand!$C$2:$C$4481,P1101),"")</f>
        <v>13</v>
      </c>
      <c r="S1101" s="33">
        <f>INDEX(Stores!$G$2:$G$21,MATCH(B1101,Stores!$A$2:$A$21,0))</f>
        <v>22</v>
      </c>
      <c r="T1101" s="34">
        <f>IF(R1101="","",R1101/S1101)</f>
        <v>0.590909090909091</v>
      </c>
      <c r="U1101" s="34">
        <f>IF(E1101=1,T1101,"")</f>
        <v>0.590909090909091</v>
      </c>
      <c r="V1101" s="34">
        <f>IF(AND(E1101=1,L1101=0),T1101,"")</f>
        <v>0.590909090909091</v>
      </c>
      <c r="W1101" s="33">
        <f>IF(U1101="","",IF(U1101&lt;=Breakdowns!$C$5,1,IF(U1101&lt;=Breakdowns!$C$6,2,IF(U1101&lt;=Breakdowns!$C$7,3,4))))</f>
        <v>1</v>
      </c>
      <c r="X1101" s="33">
        <f>IF(V1101="","",IF(V1101&lt;=Breakdowns!$D$5,1,IF(V1101&lt;=Breakdowns!$D$6,2,IF(V1101&lt;=Breakdowns!$D$7,3,4))))</f>
        <v>1</v>
      </c>
      <c r="Y1101" s="34">
        <f>INDEX(Stores!$F$2:$F$21,MATCH(B1101,Stores!$A$2:$A$21,0))</f>
        <v>5.61</v>
      </c>
      <c r="Z1101" s="33">
        <f>IF(Y1101&gt;Store_Summary!$M$2,1,0)</f>
        <v>1</v>
      </c>
      <c r="AA1101" s="33">
        <f>INDEX(Stores!$C$2:$C$21,MATCH(B1101,Stores!$A$2:$A$21,0))</f>
        <v>744</v>
      </c>
      <c r="AB1101" s="33">
        <f>IF(AA1101&lt;180,1,0)</f>
        <v>0</v>
      </c>
      <c r="AC1101" s="32" t="str">
        <f>IF(Orders!D1098="","",INDEX(Riders!$C$2:$C$81,MATCH(Orders!D1098,Riders!$A$2:$A$81,0)))</f>
        <v>EV scooter</v>
      </c>
      <c r="AD1101" s="33">
        <f>IF(Orders!D1098="","",INDEX(Riders!$D$2:$D$81,MATCH(Orders!D1098,Riders!$A$2:$A$81,0)))</f>
        <v>33</v>
      </c>
      <c r="AE1101" s="33">
        <f>IF(Orders!D1098="","",IF(INDEX(Riders!$B$2:$B$81,MATCH(Orders!D1098,Riders!$A$2:$A$81,0))=B1101,1,0))</f>
        <v>0</v>
      </c>
      <c r="AF1101" s="34">
        <f>IF(E1101=1,Orders!L1098,"")</f>
        <v>1.47</v>
      </c>
      <c r="AG1101" s="34">
        <f>IF(E1101=1,Orders!P1098,"")</f>
        <v>8.2</v>
      </c>
      <c r="AH1101" s="34">
        <f>IF(E1101=1,Orders!Q1098,"")</f>
        <v>7.7</v>
      </c>
      <c r="AI1101" s="34">
        <f>IF(E1101=1,Orders!M1098,"")</f>
        <v>2.7</v>
      </c>
      <c r="AJ1101" s="34">
        <f>IF(E1101=1,Orders!N1098,"")</f>
        <v>3</v>
      </c>
      <c r="AK1101" s="34">
        <f>IF(E1101=1,Orders!O1098,"")</f>
        <v>2</v>
      </c>
      <c r="AL1101" s="33">
        <f>IF(E1101=1,IF(ROUND(ABS(AI1101+AJ1101+AK1101-AH1101),6)&lt;=0.1,1,0),"")</f>
        <v>1</v>
      </c>
      <c r="AM1101" s="36">
        <f>IF(E1101=1,AI1101/AH1101,"")</f>
        <v>0.350649350649351</v>
      </c>
      <c r="AN1101" s="36">
        <f>IF(E1101=1,AJ1101/AH1101,"")</f>
        <v>0.38961038961039</v>
      </c>
      <c r="AO1101" s="36">
        <f>IF(E1101=1,AK1101/AH1101,"")</f>
        <v>0.25974025974026</v>
      </c>
      <c r="AP1101" s="34">
        <f>IF(E1101=1,Orders!Y1098,"")</f>
        <v>0.36</v>
      </c>
      <c r="AQ1101" s="33">
        <f>IF(Orders!X1098,1,0)</f>
        <v>0</v>
      </c>
      <c r="AR1101" s="34" t="str">
        <f>IF(AND(E1101=1,L1101=1),AJ1101,"")</f>
        <v/>
      </c>
      <c r="AS1101" s="34">
        <f>IF(AND(E1101=1,L1101=0),AJ1101,"")</f>
        <v>3</v>
      </c>
      <c r="AT1101" s="34" t="str">
        <f>IF(AND(E1101=1,L1101=1),AI1101,"")</f>
        <v/>
      </c>
      <c r="AU1101" s="34">
        <f>IF(AND(E1101=1,L1101=0),AI1101,"")</f>
        <v>2.7</v>
      </c>
      <c r="AV1101" s="34" t="str">
        <f>IF(AND(E1101=1,L1101=1),AG1101,"")</f>
        <v/>
      </c>
      <c r="AW1101" s="34">
        <f>IF(AND(E1101=1,L1101=0),AG1101,"")</f>
        <v>8.2</v>
      </c>
      <c r="AX1101" s="34" t="str">
        <f>IF(AND(E1101=1,L1101=1),AH1101,"")</f>
        <v/>
      </c>
      <c r="AY1101" s="34">
        <f>IF(AND(E1101=1,L1101=0),AH1101,"")</f>
        <v>7.7</v>
      </c>
      <c r="AZ1101" s="34" t="str">
        <f>IF(G1101=1,F1101,"")</f>
        <v/>
      </c>
      <c r="BA1101" s="34" t="str">
        <f>IF(AND(G1101=1,L1101=1),F1101,"")</f>
        <v/>
      </c>
      <c r="BB1101" s="34" t="str">
        <f>IF(AND(G1101=1,L1101=0),F1101,"")</f>
        <v/>
      </c>
      <c r="BC1101" s="33">
        <f>IF(E1101=1,IF(Orders!R1098&gt;3,1,0),"")</f>
        <v>0</v>
      </c>
      <c r="BD1101" s="33">
        <f>IF(E1101=1,IF(Orders!R1098&gt;7,1,0),"")</f>
        <v>0</v>
      </c>
      <c r="BE1101" s="32" t="str">
        <f>IF(E1101=1,IF(Orders!L1098&lt;=1.5,"Up to 1.5 km",IF(Orders!L1098&lt;=3,"1.5–3 km","Over 3 km")),"")</f>
        <v>Up to 1.5 km</v>
      </c>
      <c r="BF1101" s="33">
        <f>IF(E1101=1,IF(ABS((Orders!G1098-Orders!F1098)*1440-Orders!R1098)&lt;0.06,1,0),"")</f>
        <v>1</v>
      </c>
      <c r="BG1101" s="33">
        <f>IF(ABS((Orders!F1098-Orders!E1098)*1440-Orders!P1098)&lt;0.06,1,0)</f>
        <v>1</v>
      </c>
      <c r="BH1101" s="33">
        <f>IF(E1101=1,IF(IF(Orders!S1098,1,0)=1-G1101,1,0),"")</f>
        <v>1</v>
      </c>
      <c r="BI1101" s="32" t="str">
        <f>INDEX(Stores!$B$2:$B$21,MATCH(B1101,Stores!$A$2:$A$21,0))</f>
        <v>Delhi</v>
      </c>
    </row>
    <row r="1102">
      <c r="A1102" s="32" t="str">
        <f>Orders!A1099</f>
        <v>O01098</v>
      </c>
      <c r="B1102" s="32" t="str">
        <f>Orders!C1099</f>
        <v>S003</v>
      </c>
      <c r="C1102" s="32" t="str">
        <f>Orders!B1099</f>
        <v>C0032</v>
      </c>
      <c r="D1102" s="32" t="str">
        <f>Orders!H1099</f>
        <v>Delivered</v>
      </c>
      <c r="E1102" s="33">
        <f>IF(Orders!H1099="Delivered",1,0)</f>
        <v>1</v>
      </c>
      <c r="F1102" s="34">
        <f>IF(E1102=1,Orders!R1099,"")</f>
        <v>-1</v>
      </c>
      <c r="G1102" s="33">
        <f>IF(E1102=1,IF(Orders!R1099&gt;0,1,0),"")</f>
        <v>0</v>
      </c>
      <c r="H1102" s="33">
        <f>IF(E1102=1,IF(Orders!R1099&gt;5,1,0),"")</f>
        <v>0</v>
      </c>
      <c r="I1102" s="32" t="str">
        <f>IF(E1102=1,"",IF(OR(Orders!T1099="Rider unavailable",Orders!T1099="Item unavailable"),"Company-caused","Unresolved"))</f>
        <v/>
      </c>
      <c r="J1102" s="33">
        <f>IF(OR(E1102=1,I1102="Company-caused"),1,0)</f>
        <v>1</v>
      </c>
      <c r="K1102" s="32" t="str">
        <f>IF(E1102=0,IF(I1102="Company-caused",IF(Orders!T1099="Rider unavailable","C1 Rider unavailable","C2 Item unavailable"),"Outside root: unresolved"),IF(G1102=0,"A On time",IF(H1102=1,IF(L1102=1,"B2a Severe, peak","B2b Severe, off-peak"),IF(L1102=1,"B1a Slight, peak","B1b Slight, off-peak"))))</f>
        <v>A On time</v>
      </c>
      <c r="L1102" s="33">
        <f>IF(AND(Orders!U1099&gt;=19,Orders!U1099&lt;22),1,0)</f>
        <v>0</v>
      </c>
      <c r="M1102" s="33">
        <f>IF(L1102=IF(Orders!V1099,1,0),1,0)</f>
        <v>1</v>
      </c>
      <c r="N1102" s="32" t="str">
        <f>IF(Orders!W1099="","None",Orders!W1099)</f>
        <v>None</v>
      </c>
      <c r="O1102" s="35">
        <f>INT(Orders!E1099)</f>
        <v>46273.0</v>
      </c>
      <c r="P1102" s="33">
        <f>Orders!U1099</f>
        <v>13</v>
      </c>
      <c r="Q1102" s="33">
        <f>COUNTIFS(Demand!$A$2:$A$4481,B1102,Demand!$B$2:$B$4481,O1102,Demand!$C$2:$C$4481,P1102)</f>
        <v>1</v>
      </c>
      <c r="R1102" s="33">
        <f>IF(Q1102=1,SUMIFS(Demand!$E$2:$E$4481,Demand!$A$2:$A$4481,B1102,Demand!$B$2:$B$4481,O1102,Demand!$C$2:$C$4481,P1102),"")</f>
        <v>43</v>
      </c>
      <c r="S1102" s="33">
        <f>INDEX(Stores!$G$2:$G$21,MATCH(B1102,Stores!$A$2:$A$21,0))</f>
        <v>41</v>
      </c>
      <c r="T1102" s="34">
        <f>IF(R1102="","",R1102/S1102)</f>
        <v>1.04878048780488</v>
      </c>
      <c r="U1102" s="34">
        <f>IF(E1102=1,T1102,"")</f>
        <v>1.04878048780488</v>
      </c>
      <c r="V1102" s="34">
        <f>IF(AND(E1102=1,L1102=0),T1102,"")</f>
        <v>1.04878048780488</v>
      </c>
      <c r="W1102" s="33">
        <f>IF(U1102="","",IF(U1102&lt;=Breakdowns!$C$5,1,IF(U1102&lt;=Breakdowns!$C$6,2,IF(U1102&lt;=Breakdowns!$C$7,3,4))))</f>
        <v>3</v>
      </c>
      <c r="X1102" s="33">
        <f>IF(V1102="","",IF(V1102&lt;=Breakdowns!$D$5,1,IF(V1102&lt;=Breakdowns!$D$6,2,IF(V1102&lt;=Breakdowns!$D$7,3,4))))</f>
        <v>3</v>
      </c>
      <c r="Y1102" s="34">
        <f>INDEX(Stores!$F$2:$F$21,MATCH(B1102,Stores!$A$2:$A$21,0))</f>
        <v>3.84</v>
      </c>
      <c r="Z1102" s="33">
        <f>IF(Y1102&gt;Store_Summary!$M$2,1,0)</f>
        <v>0</v>
      </c>
      <c r="AA1102" s="33">
        <f>INDEX(Stores!$C$2:$C$21,MATCH(B1102,Stores!$A$2:$A$21,0))</f>
        <v>426</v>
      </c>
      <c r="AB1102" s="33">
        <f>IF(AA1102&lt;180,1,0)</f>
        <v>0</v>
      </c>
      <c r="AC1102" s="32" t="str">
        <f>IF(Orders!D1099="","",INDEX(Riders!$C$2:$C$81,MATCH(Orders!D1099,Riders!$A$2:$A$81,0)))</f>
        <v>EV scooter</v>
      </c>
      <c r="AD1102" s="33">
        <f>IF(Orders!D1099="","",INDEX(Riders!$D$2:$D$81,MATCH(Orders!D1099,Riders!$A$2:$A$81,0)))</f>
        <v>1</v>
      </c>
      <c r="AE1102" s="33">
        <f>IF(Orders!D1099="","",IF(INDEX(Riders!$B$2:$B$81,MATCH(Orders!D1099,Riders!$A$2:$A$81,0))=B1102,1,0))</f>
        <v>0</v>
      </c>
      <c r="AF1102" s="34">
        <f>IF(E1102=1,Orders!L1099,"")</f>
        <v>1.27</v>
      </c>
      <c r="AG1102" s="34">
        <f>IF(E1102=1,Orders!P1099,"")</f>
        <v>10.4</v>
      </c>
      <c r="AH1102" s="34">
        <f>IF(E1102=1,Orders!Q1099,"")</f>
        <v>9.4</v>
      </c>
      <c r="AI1102" s="34">
        <f>IF(E1102=1,Orders!M1099,"")</f>
        <v>4</v>
      </c>
      <c r="AJ1102" s="34">
        <f>IF(E1102=1,Orders!N1099,"")</f>
        <v>1.8</v>
      </c>
      <c r="AK1102" s="34">
        <f>IF(E1102=1,Orders!O1099,"")</f>
        <v>3.6</v>
      </c>
      <c r="AL1102" s="33">
        <f>IF(E1102=1,IF(ROUND(ABS(AI1102+AJ1102+AK1102-AH1102),6)&lt;=0.1,1,0),"")</f>
        <v>1</v>
      </c>
      <c r="AM1102" s="36">
        <f>IF(E1102=1,AI1102/AH1102,"")</f>
        <v>0.425531914893617</v>
      </c>
      <c r="AN1102" s="36">
        <f>IF(E1102=1,AJ1102/AH1102,"")</f>
        <v>0.191489361702128</v>
      </c>
      <c r="AO1102" s="36">
        <f>IF(E1102=1,AK1102/AH1102,"")</f>
        <v>0.382978723404255</v>
      </c>
      <c r="AP1102" s="34">
        <f>IF(E1102=1,Orders!Y1099,"")</f>
        <v>0.57</v>
      </c>
      <c r="AQ1102" s="33">
        <f>IF(Orders!X1099,1,0)</f>
        <v>0</v>
      </c>
      <c r="AR1102" s="34" t="str">
        <f>IF(AND(E1102=1,L1102=1),AJ1102,"")</f>
        <v/>
      </c>
      <c r="AS1102" s="34">
        <f>IF(AND(E1102=1,L1102=0),AJ1102,"")</f>
        <v>1.8</v>
      </c>
      <c r="AT1102" s="34" t="str">
        <f>IF(AND(E1102=1,L1102=1),AI1102,"")</f>
        <v/>
      </c>
      <c r="AU1102" s="34">
        <f>IF(AND(E1102=1,L1102=0),AI1102,"")</f>
        <v>4</v>
      </c>
      <c r="AV1102" s="34" t="str">
        <f>IF(AND(E1102=1,L1102=1),AG1102,"")</f>
        <v/>
      </c>
      <c r="AW1102" s="34">
        <f>IF(AND(E1102=1,L1102=0),AG1102,"")</f>
        <v>10.4</v>
      </c>
      <c r="AX1102" s="34" t="str">
        <f>IF(AND(E1102=1,L1102=1),AH1102,"")</f>
        <v/>
      </c>
      <c r="AY1102" s="34">
        <f>IF(AND(E1102=1,L1102=0),AH1102,"")</f>
        <v>9.4</v>
      </c>
      <c r="AZ1102" s="34" t="str">
        <f>IF(G1102=1,F1102,"")</f>
        <v/>
      </c>
      <c r="BA1102" s="34" t="str">
        <f>IF(AND(G1102=1,L1102=1),F1102,"")</f>
        <v/>
      </c>
      <c r="BB1102" s="34" t="str">
        <f>IF(AND(G1102=1,L1102=0),F1102,"")</f>
        <v/>
      </c>
      <c r="BC1102" s="33">
        <f>IF(E1102=1,IF(Orders!R1099&gt;3,1,0),"")</f>
        <v>0</v>
      </c>
      <c r="BD1102" s="33">
        <f>IF(E1102=1,IF(Orders!R1099&gt;7,1,0),"")</f>
        <v>0</v>
      </c>
      <c r="BE1102" s="32" t="str">
        <f>IF(E1102=1,IF(Orders!L1099&lt;=1.5,"Up to 1.5 km",IF(Orders!L1099&lt;=3,"1.5–3 km","Over 3 km")),"")</f>
        <v>Up to 1.5 km</v>
      </c>
      <c r="BF1102" s="33">
        <f>IF(E1102=1,IF(ABS((Orders!G1099-Orders!F1099)*1440-Orders!R1099)&lt;0.06,1,0),"")</f>
        <v>1</v>
      </c>
      <c r="BG1102" s="33">
        <f>IF(ABS((Orders!F1099-Orders!E1099)*1440-Orders!P1099)&lt;0.06,1,0)</f>
        <v>1</v>
      </c>
      <c r="BH1102" s="33">
        <f>IF(E1102=1,IF(IF(Orders!S1099,1,0)=1-G1102,1,0),"")</f>
        <v>1</v>
      </c>
      <c r="BI1102" s="32" t="str">
        <f>INDEX(Stores!$B$2:$B$21,MATCH(B1102,Stores!$A$2:$A$21,0))</f>
        <v>Mumbai</v>
      </c>
    </row>
    <row r="1103">
      <c r="A1103" s="32" t="str">
        <f>Orders!A1100</f>
        <v>O01099</v>
      </c>
      <c r="B1103" s="32" t="str">
        <f>Orders!C1100</f>
        <v>S015</v>
      </c>
      <c r="C1103" s="32" t="str">
        <f>Orders!B1100</f>
        <v>C0035</v>
      </c>
      <c r="D1103" s="32" t="str">
        <f>Orders!H1100</f>
        <v>Delivered</v>
      </c>
      <c r="E1103" s="33">
        <f>IF(Orders!H1100="Delivered",1,0)</f>
        <v>1</v>
      </c>
      <c r="F1103" s="34">
        <f>IF(E1103=1,Orders!R1100,"")</f>
        <v>-0.3</v>
      </c>
      <c r="G1103" s="33">
        <f>IF(E1103=1,IF(Orders!R1100&gt;0,1,0),"")</f>
        <v>0</v>
      </c>
      <c r="H1103" s="33">
        <f>IF(E1103=1,IF(Orders!R1100&gt;5,1,0),"")</f>
        <v>0</v>
      </c>
      <c r="I1103" s="32" t="str">
        <f>IF(E1103=1,"",IF(OR(Orders!T1100="Rider unavailable",Orders!T1100="Item unavailable"),"Company-caused","Unresolved"))</f>
        <v/>
      </c>
      <c r="J1103" s="33">
        <f>IF(OR(E1103=1,I1103="Company-caused"),1,0)</f>
        <v>1</v>
      </c>
      <c r="K1103" s="32" t="str">
        <f>IF(E1103=0,IF(I1103="Company-caused",IF(Orders!T1100="Rider unavailable","C1 Rider unavailable","C2 Item unavailable"),"Outside root: unresolved"),IF(G1103=0,"A On time",IF(H1103=1,IF(L1103=1,"B2a Severe, peak","B2b Severe, off-peak"),IF(L1103=1,"B1a Slight, peak","B1b Slight, off-peak"))))</f>
        <v>A On time</v>
      </c>
      <c r="L1103" s="33">
        <f>IF(AND(Orders!U1100&gt;=19,Orders!U1100&lt;22),1,0)</f>
        <v>1</v>
      </c>
      <c r="M1103" s="33">
        <f>IF(L1103=IF(Orders!V1100,1,0),1,0)</f>
        <v>1</v>
      </c>
      <c r="N1103" s="32" t="str">
        <f>IF(Orders!W1100="","None",Orders!W1100)</f>
        <v>None</v>
      </c>
      <c r="O1103" s="35">
        <f>INT(Orders!E1100)</f>
        <v>46272.0</v>
      </c>
      <c r="P1103" s="33">
        <f>Orders!U1100</f>
        <v>21</v>
      </c>
      <c r="Q1103" s="33">
        <f>COUNTIFS(Demand!$A$2:$A$4481,B1103,Demand!$B$2:$B$4481,O1103,Demand!$C$2:$C$4481,P1103)</f>
        <v>1</v>
      </c>
      <c r="R1103" s="33">
        <f>IF(Q1103=1,SUMIFS(Demand!$E$2:$E$4481,Demand!$A$2:$A$4481,B1103,Demand!$B$2:$B$4481,O1103,Demand!$C$2:$C$4481,P1103),"")</f>
        <v>30</v>
      </c>
      <c r="S1103" s="33">
        <f>INDEX(Stores!$G$2:$G$21,MATCH(B1103,Stores!$A$2:$A$21,0))</f>
        <v>23</v>
      </c>
      <c r="T1103" s="34">
        <f>IF(R1103="","",R1103/S1103)</f>
        <v>1.30434782608696</v>
      </c>
      <c r="U1103" s="34">
        <f>IF(E1103=1,T1103,"")</f>
        <v>1.30434782608696</v>
      </c>
      <c r="V1103" s="34" t="str">
        <f>IF(AND(E1103=1,L1103=0),T1103,"")</f>
        <v/>
      </c>
      <c r="W1103" s="33">
        <f>IF(U1103="","",IF(U1103&lt;=Breakdowns!$C$5,1,IF(U1103&lt;=Breakdowns!$C$6,2,IF(U1103&lt;=Breakdowns!$C$7,3,4))))</f>
        <v>4</v>
      </c>
      <c r="X1103" s="33" t="str">
        <f>IF(V1103="","",IF(V1103&lt;=Breakdowns!$D$5,1,IF(V1103&lt;=Breakdowns!$D$6,2,IF(V1103&lt;=Breakdowns!$D$7,3,4))))</f>
        <v/>
      </c>
      <c r="Y1103" s="34">
        <f>INDEX(Stores!$F$2:$F$21,MATCH(B1103,Stores!$A$2:$A$21,0))</f>
        <v>4.66</v>
      </c>
      <c r="Z1103" s="33">
        <f>IF(Y1103&gt;Store_Summary!$M$2,1,0)</f>
        <v>0</v>
      </c>
      <c r="AA1103" s="33">
        <f>INDEX(Stores!$C$2:$C$21,MATCH(B1103,Stores!$A$2:$A$21,0))</f>
        <v>204</v>
      </c>
      <c r="AB1103" s="33">
        <f>IF(AA1103&lt;180,1,0)</f>
        <v>0</v>
      </c>
      <c r="AC1103" s="32" t="str">
        <f>IF(Orders!D1100="","",INDEX(Riders!$C$2:$C$81,MATCH(Orders!D1100,Riders!$A$2:$A$81,0)))</f>
        <v>EV scooter</v>
      </c>
      <c r="AD1103" s="33">
        <f>IF(Orders!D1100="","",INDEX(Riders!$D$2:$D$81,MATCH(Orders!D1100,Riders!$A$2:$A$81,0)))</f>
        <v>9</v>
      </c>
      <c r="AE1103" s="33">
        <f>IF(Orders!D1100="","",IF(INDEX(Riders!$B$2:$B$81,MATCH(Orders!D1100,Riders!$A$2:$A$81,0))=B1103,1,0))</f>
        <v>0</v>
      </c>
      <c r="AF1103" s="34">
        <f>IF(E1103=1,Orders!L1100,"")</f>
        <v>1.72</v>
      </c>
      <c r="AG1103" s="34">
        <f>IF(E1103=1,Orders!P1100,"")</f>
        <v>9</v>
      </c>
      <c r="AH1103" s="34">
        <f>IF(E1103=1,Orders!Q1100,"")</f>
        <v>8.7</v>
      </c>
      <c r="AI1103" s="34">
        <f>IF(E1103=1,Orders!M1100,"")</f>
        <v>3</v>
      </c>
      <c r="AJ1103" s="34">
        <f>IF(E1103=1,Orders!N1100,"")</f>
        <v>3.5</v>
      </c>
      <c r="AK1103" s="34">
        <f>IF(E1103=1,Orders!O1100,"")</f>
        <v>2.2</v>
      </c>
      <c r="AL1103" s="33">
        <f>IF(E1103=1,IF(ROUND(ABS(AI1103+AJ1103+AK1103-AH1103),6)&lt;=0.1,1,0),"")</f>
        <v>1</v>
      </c>
      <c r="AM1103" s="36">
        <f>IF(E1103=1,AI1103/AH1103,"")</f>
        <v>0.344827586206897</v>
      </c>
      <c r="AN1103" s="36">
        <f>IF(E1103=1,AJ1103/AH1103,"")</f>
        <v>0.402298850574713</v>
      </c>
      <c r="AO1103" s="36">
        <f>IF(E1103=1,AK1103/AH1103,"")</f>
        <v>0.252873563218391</v>
      </c>
      <c r="AP1103" s="34">
        <f>IF(E1103=1,Orders!Y1100,"")</f>
        <v>0.51</v>
      </c>
      <c r="AQ1103" s="33">
        <f>IF(Orders!X1100,1,0)</f>
        <v>0</v>
      </c>
      <c r="AR1103" s="34">
        <f>IF(AND(E1103=1,L1103=1),AJ1103,"")</f>
        <v>3.5</v>
      </c>
      <c r="AS1103" s="34" t="str">
        <f>IF(AND(E1103=1,L1103=0),AJ1103,"")</f>
        <v/>
      </c>
      <c r="AT1103" s="34">
        <f>IF(AND(E1103=1,L1103=1),AI1103,"")</f>
        <v>3</v>
      </c>
      <c r="AU1103" s="34" t="str">
        <f>IF(AND(E1103=1,L1103=0),AI1103,"")</f>
        <v/>
      </c>
      <c r="AV1103" s="34">
        <f>IF(AND(E1103=1,L1103=1),AG1103,"")</f>
        <v>9</v>
      </c>
      <c r="AW1103" s="34" t="str">
        <f>IF(AND(E1103=1,L1103=0),AG1103,"")</f>
        <v/>
      </c>
      <c r="AX1103" s="34">
        <f>IF(AND(E1103=1,L1103=1),AH1103,"")</f>
        <v>8.7</v>
      </c>
      <c r="AY1103" s="34" t="str">
        <f>IF(AND(E1103=1,L1103=0),AH1103,"")</f>
        <v/>
      </c>
      <c r="AZ1103" s="34" t="str">
        <f>IF(G1103=1,F1103,"")</f>
        <v/>
      </c>
      <c r="BA1103" s="34" t="str">
        <f>IF(AND(G1103=1,L1103=1),F1103,"")</f>
        <v/>
      </c>
      <c r="BB1103" s="34" t="str">
        <f>IF(AND(G1103=1,L1103=0),F1103,"")</f>
        <v/>
      </c>
      <c r="BC1103" s="33">
        <f>IF(E1103=1,IF(Orders!R1100&gt;3,1,0),"")</f>
        <v>0</v>
      </c>
      <c r="BD1103" s="33">
        <f>IF(E1103=1,IF(Orders!R1100&gt;7,1,0),"")</f>
        <v>0</v>
      </c>
      <c r="BE1103" s="32" t="str">
        <f>IF(E1103=1,IF(Orders!L1100&lt;=1.5,"Up to 1.5 km",IF(Orders!L1100&lt;=3,"1.5–3 km","Over 3 km")),"")</f>
        <v>1.5–3 km</v>
      </c>
      <c r="BF1103" s="33">
        <f>IF(E1103=1,IF(ABS((Orders!G1100-Orders!F1100)*1440-Orders!R1100)&lt;0.06,1,0),"")</f>
        <v>1</v>
      </c>
      <c r="BG1103" s="33">
        <f>IF(ABS((Orders!F1100-Orders!E1100)*1440-Orders!P1100)&lt;0.06,1,0)</f>
        <v>1</v>
      </c>
      <c r="BH1103" s="33">
        <f>IF(E1103=1,IF(IF(Orders!S1100,1,0)=1-G1103,1,0),"")</f>
        <v>1</v>
      </c>
      <c r="BI1103" s="32" t="str">
        <f>INDEX(Stores!$B$2:$B$21,MATCH(B1103,Stores!$A$2:$A$21,0))</f>
        <v>Delhi</v>
      </c>
    </row>
    <row r="1104">
      <c r="A1104" s="32" t="str">
        <f>Orders!A1101</f>
        <v>O01100</v>
      </c>
      <c r="B1104" s="32" t="str">
        <f>Orders!C1101</f>
        <v>S015</v>
      </c>
      <c r="C1104" s="32" t="str">
        <f>Orders!B1101</f>
        <v>C0198</v>
      </c>
      <c r="D1104" s="32" t="str">
        <f>Orders!H1101</f>
        <v>Delivered</v>
      </c>
      <c r="E1104" s="33">
        <f>IF(Orders!H1101="Delivered",1,0)</f>
        <v>1</v>
      </c>
      <c r="F1104" s="34">
        <f>IF(E1104=1,Orders!R1101,"")</f>
        <v>-0.9</v>
      </c>
      <c r="G1104" s="33">
        <f>IF(E1104=1,IF(Orders!R1101&gt;0,1,0),"")</f>
        <v>0</v>
      </c>
      <c r="H1104" s="33">
        <f>IF(E1104=1,IF(Orders!R1101&gt;5,1,0),"")</f>
        <v>0</v>
      </c>
      <c r="I1104" s="32" t="str">
        <f>IF(E1104=1,"",IF(OR(Orders!T1101="Rider unavailable",Orders!T1101="Item unavailable"),"Company-caused","Unresolved"))</f>
        <v/>
      </c>
      <c r="J1104" s="33">
        <f>IF(OR(E1104=1,I1104="Company-caused"),1,0)</f>
        <v>1</v>
      </c>
      <c r="K1104" s="32" t="str">
        <f>IF(E1104=0,IF(I1104="Company-caused",IF(Orders!T1101="Rider unavailable","C1 Rider unavailable","C2 Item unavailable"),"Outside root: unresolved"),IF(G1104=0,"A On time",IF(H1104=1,IF(L1104=1,"B2a Severe, peak","B2b Severe, off-peak"),IF(L1104=1,"B1a Slight, peak","B1b Slight, off-peak"))))</f>
        <v>A On time</v>
      </c>
      <c r="L1104" s="33">
        <f>IF(AND(Orders!U1101&gt;=19,Orders!U1101&lt;22),1,0)</f>
        <v>0</v>
      </c>
      <c r="M1104" s="33">
        <f>IF(L1104=IF(Orders!V1101,1,0),1,0)</f>
        <v>1</v>
      </c>
      <c r="N1104" s="32" t="str">
        <f>IF(Orders!W1101="","None",Orders!W1101)</f>
        <v>None</v>
      </c>
      <c r="O1104" s="35">
        <f>INT(Orders!E1101)</f>
        <v>46278.0</v>
      </c>
      <c r="P1104" s="33">
        <f>Orders!U1101</f>
        <v>23</v>
      </c>
      <c r="Q1104" s="33">
        <f>COUNTIFS(Demand!$A$2:$A$4481,B1104,Demand!$B$2:$B$4481,O1104,Demand!$C$2:$C$4481,P1104)</f>
        <v>1</v>
      </c>
      <c r="R1104" s="33">
        <f>IF(Q1104=1,SUMIFS(Demand!$E$2:$E$4481,Demand!$A$2:$A$4481,B1104,Demand!$B$2:$B$4481,O1104,Demand!$C$2:$C$4481,P1104),"")</f>
        <v>19</v>
      </c>
      <c r="S1104" s="33">
        <f>INDEX(Stores!$G$2:$G$21,MATCH(B1104,Stores!$A$2:$A$21,0))</f>
        <v>23</v>
      </c>
      <c r="T1104" s="34">
        <f>IF(R1104="","",R1104/S1104)</f>
        <v>0.826086956521739</v>
      </c>
      <c r="U1104" s="34">
        <f>IF(E1104=1,T1104,"")</f>
        <v>0.826086956521739</v>
      </c>
      <c r="V1104" s="34">
        <f>IF(AND(E1104=1,L1104=0),T1104,"")</f>
        <v>0.826086956521739</v>
      </c>
      <c r="W1104" s="33">
        <f>IF(U1104="","",IF(U1104&lt;=Breakdowns!$C$5,1,IF(U1104&lt;=Breakdowns!$C$6,2,IF(U1104&lt;=Breakdowns!$C$7,3,4))))</f>
        <v>2</v>
      </c>
      <c r="X1104" s="33">
        <f>IF(V1104="","",IF(V1104&lt;=Breakdowns!$D$5,1,IF(V1104&lt;=Breakdowns!$D$6,2,IF(V1104&lt;=Breakdowns!$D$7,3,4))))</f>
        <v>2</v>
      </c>
      <c r="Y1104" s="34">
        <f>INDEX(Stores!$F$2:$F$21,MATCH(B1104,Stores!$A$2:$A$21,0))</f>
        <v>4.66</v>
      </c>
      <c r="Z1104" s="33">
        <f>IF(Y1104&gt;Store_Summary!$M$2,1,0)</f>
        <v>0</v>
      </c>
      <c r="AA1104" s="33">
        <f>INDEX(Stores!$C$2:$C$21,MATCH(B1104,Stores!$A$2:$A$21,0))</f>
        <v>204</v>
      </c>
      <c r="AB1104" s="33">
        <f>IF(AA1104&lt;180,1,0)</f>
        <v>0</v>
      </c>
      <c r="AC1104" s="32" t="str">
        <f>IF(Orders!D1101="","",INDEX(Riders!$C$2:$C$81,MATCH(Orders!D1101,Riders!$A$2:$A$81,0)))</f>
        <v>EV scooter</v>
      </c>
      <c r="AD1104" s="33">
        <f>IF(Orders!D1101="","",INDEX(Riders!$D$2:$D$81,MATCH(Orders!D1101,Riders!$A$2:$A$81,0)))</f>
        <v>14</v>
      </c>
      <c r="AE1104" s="33">
        <f>IF(Orders!D1101="","",IF(INDEX(Riders!$B$2:$B$81,MATCH(Orders!D1101,Riders!$A$2:$A$81,0))=B1104,1,0))</f>
        <v>0</v>
      </c>
      <c r="AF1104" s="34">
        <f>IF(E1104=1,Orders!L1101,"")</f>
        <v>1.19</v>
      </c>
      <c r="AG1104" s="34">
        <f>IF(E1104=1,Orders!P1101,"")</f>
        <v>10</v>
      </c>
      <c r="AH1104" s="34">
        <f>IF(E1104=1,Orders!Q1101,"")</f>
        <v>9.1</v>
      </c>
      <c r="AI1104" s="34">
        <f>IF(E1104=1,Orders!M1101,"")</f>
        <v>3.2</v>
      </c>
      <c r="AJ1104" s="34">
        <f>IF(E1104=1,Orders!N1101,"")</f>
        <v>3.9</v>
      </c>
      <c r="AK1104" s="34">
        <f>IF(E1104=1,Orders!O1101,"")</f>
        <v>2</v>
      </c>
      <c r="AL1104" s="33">
        <f>IF(E1104=1,IF(ROUND(ABS(AI1104+AJ1104+AK1104-AH1104),6)&lt;=0.1,1,0),"")</f>
        <v>1</v>
      </c>
      <c r="AM1104" s="36">
        <f>IF(E1104=1,AI1104/AH1104,"")</f>
        <v>0.351648351648352</v>
      </c>
      <c r="AN1104" s="36">
        <f>IF(E1104=1,AJ1104/AH1104,"")</f>
        <v>0.428571428571429</v>
      </c>
      <c r="AO1104" s="36">
        <f>IF(E1104=1,AK1104/AH1104,"")</f>
        <v>0.21978021978022</v>
      </c>
      <c r="AP1104" s="34">
        <f>IF(E1104=1,Orders!Y1101,"")</f>
        <v>0.42</v>
      </c>
      <c r="AQ1104" s="33">
        <f>IF(Orders!X1101,1,0)</f>
        <v>0</v>
      </c>
      <c r="AR1104" s="34" t="str">
        <f>IF(AND(E1104=1,L1104=1),AJ1104,"")</f>
        <v/>
      </c>
      <c r="AS1104" s="34">
        <f>IF(AND(E1104=1,L1104=0),AJ1104,"")</f>
        <v>3.9</v>
      </c>
      <c r="AT1104" s="34" t="str">
        <f>IF(AND(E1104=1,L1104=1),AI1104,"")</f>
        <v/>
      </c>
      <c r="AU1104" s="34">
        <f>IF(AND(E1104=1,L1104=0),AI1104,"")</f>
        <v>3.2</v>
      </c>
      <c r="AV1104" s="34" t="str">
        <f>IF(AND(E1104=1,L1104=1),AG1104,"")</f>
        <v/>
      </c>
      <c r="AW1104" s="34">
        <f>IF(AND(E1104=1,L1104=0),AG1104,"")</f>
        <v>10</v>
      </c>
      <c r="AX1104" s="34" t="str">
        <f>IF(AND(E1104=1,L1104=1),AH1104,"")</f>
        <v/>
      </c>
      <c r="AY1104" s="34">
        <f>IF(AND(E1104=1,L1104=0),AH1104,"")</f>
        <v>9.1</v>
      </c>
      <c r="AZ1104" s="34" t="str">
        <f>IF(G1104=1,F1104,"")</f>
        <v/>
      </c>
      <c r="BA1104" s="34" t="str">
        <f>IF(AND(G1104=1,L1104=1),F1104,"")</f>
        <v/>
      </c>
      <c r="BB1104" s="34" t="str">
        <f>IF(AND(G1104=1,L1104=0),F1104,"")</f>
        <v/>
      </c>
      <c r="BC1104" s="33">
        <f>IF(E1104=1,IF(Orders!R1101&gt;3,1,0),"")</f>
        <v>0</v>
      </c>
      <c r="BD1104" s="33">
        <f>IF(E1104=1,IF(Orders!R1101&gt;7,1,0),"")</f>
        <v>0</v>
      </c>
      <c r="BE1104" s="32" t="str">
        <f>IF(E1104=1,IF(Orders!L1101&lt;=1.5,"Up to 1.5 km",IF(Orders!L1101&lt;=3,"1.5–3 km","Over 3 km")),"")</f>
        <v>Up to 1.5 km</v>
      </c>
      <c r="BF1104" s="33">
        <f>IF(E1104=1,IF(ABS((Orders!G1101-Orders!F1101)*1440-Orders!R1101)&lt;0.06,1,0),"")</f>
        <v>1</v>
      </c>
      <c r="BG1104" s="33">
        <f>IF(ABS((Orders!F1101-Orders!E1101)*1440-Orders!P1101)&lt;0.06,1,0)</f>
        <v>1</v>
      </c>
      <c r="BH1104" s="33">
        <f>IF(E1104=1,IF(IF(Orders!S1101,1,0)=1-G1104,1,0),"")</f>
        <v>1</v>
      </c>
      <c r="BI1104" s="32" t="str">
        <f>INDEX(Stores!$B$2:$B$21,MATCH(B1104,Stores!$A$2:$A$21,0))</f>
        <v>Delhi</v>
      </c>
    </row>
    <row r="1105">
      <c r="A1105" s="32" t="str">
        <f>Orders!A1102</f>
        <v>O01101</v>
      </c>
      <c r="B1105" s="32" t="str">
        <f>Orders!C1102</f>
        <v>S009</v>
      </c>
      <c r="C1105" s="32" t="str">
        <f>Orders!B1102</f>
        <v>C0124</v>
      </c>
      <c r="D1105" s="32" t="str">
        <f>Orders!H1102</f>
        <v>Delivered</v>
      </c>
      <c r="E1105" s="33">
        <f>IF(Orders!H1102="Delivered",1,0)</f>
        <v>1</v>
      </c>
      <c r="F1105" s="34">
        <f>IF(E1105=1,Orders!R1102,"")</f>
        <v>4.4</v>
      </c>
      <c r="G1105" s="33">
        <f>IF(E1105=1,IF(Orders!R1102&gt;0,1,0),"")</f>
        <v>1</v>
      </c>
      <c r="H1105" s="33">
        <f>IF(E1105=1,IF(Orders!R1102&gt;5,1,0),"")</f>
        <v>0</v>
      </c>
      <c r="I1105" s="32" t="str">
        <f>IF(E1105=1,"",IF(OR(Orders!T1102="Rider unavailable",Orders!T1102="Item unavailable"),"Company-caused","Unresolved"))</f>
        <v/>
      </c>
      <c r="J1105" s="33">
        <f>IF(OR(E1105=1,I1105="Company-caused"),1,0)</f>
        <v>1</v>
      </c>
      <c r="K1105" s="32" t="str">
        <f>IF(E1105=0,IF(I1105="Company-caused",IF(Orders!T1102="Rider unavailable","C1 Rider unavailable","C2 Item unavailable"),"Outside root: unresolved"),IF(G1105=0,"A On time",IF(H1105=1,IF(L1105=1,"B2a Severe, peak","B2b Severe, off-peak"),IF(L1105=1,"B1a Slight, peak","B1b Slight, off-peak"))))</f>
        <v>B1b Slight, off-peak</v>
      </c>
      <c r="L1105" s="33">
        <f>IF(AND(Orders!U1102&gt;=19,Orders!U1102&lt;22),1,0)</f>
        <v>0</v>
      </c>
      <c r="M1105" s="33">
        <f>IF(L1105=IF(Orders!V1102,1,0),1,0)</f>
        <v>1</v>
      </c>
      <c r="N1105" s="32" t="str">
        <f>IF(Orders!W1102="","None",Orders!W1102)</f>
        <v>Light</v>
      </c>
      <c r="O1105" s="35">
        <f>INT(Orders!E1102)</f>
        <v>46266.0</v>
      </c>
      <c r="P1105" s="33">
        <f>Orders!U1102</f>
        <v>16</v>
      </c>
      <c r="Q1105" s="33">
        <f>COUNTIFS(Demand!$A$2:$A$4481,B1105,Demand!$B$2:$B$4481,O1105,Demand!$C$2:$C$4481,P1105)</f>
        <v>1</v>
      </c>
      <c r="R1105" s="33">
        <f>IF(Q1105=1,SUMIFS(Demand!$E$2:$E$4481,Demand!$A$2:$A$4481,B1105,Demand!$B$2:$B$4481,O1105,Demand!$C$2:$C$4481,P1105),"")</f>
        <v>29</v>
      </c>
      <c r="S1105" s="33">
        <f>INDEX(Stores!$G$2:$G$21,MATCH(B1105,Stores!$A$2:$A$21,0))</f>
        <v>29</v>
      </c>
      <c r="T1105" s="34">
        <f>IF(R1105="","",R1105/S1105)</f>
        <v>1</v>
      </c>
      <c r="U1105" s="34">
        <f>IF(E1105=1,T1105,"")</f>
        <v>1</v>
      </c>
      <c r="V1105" s="34">
        <f>IF(AND(E1105=1,L1105=0),T1105,"")</f>
        <v>1</v>
      </c>
      <c r="W1105" s="33">
        <f>IF(U1105="","",IF(U1105&lt;=Breakdowns!$C$5,1,IF(U1105&lt;=Breakdowns!$C$6,2,IF(U1105&lt;=Breakdowns!$C$7,3,4))))</f>
        <v>2</v>
      </c>
      <c r="X1105" s="33">
        <f>IF(V1105="","",IF(V1105&lt;=Breakdowns!$D$5,1,IF(V1105&lt;=Breakdowns!$D$6,2,IF(V1105&lt;=Breakdowns!$D$7,3,4))))</f>
        <v>3</v>
      </c>
      <c r="Y1105" s="34">
        <f>INDEX(Stores!$F$2:$F$21,MATCH(B1105,Stores!$A$2:$A$21,0))</f>
        <v>2.66</v>
      </c>
      <c r="Z1105" s="33">
        <f>IF(Y1105&gt;Store_Summary!$M$2,1,0)</f>
        <v>0</v>
      </c>
      <c r="AA1105" s="33">
        <f>INDEX(Stores!$C$2:$C$21,MATCH(B1105,Stores!$A$2:$A$21,0))</f>
        <v>645</v>
      </c>
      <c r="AB1105" s="33">
        <f>IF(AA1105&lt;180,1,0)</f>
        <v>0</v>
      </c>
      <c r="AC1105" s="32" t="str">
        <f>IF(Orders!D1102="","",INDEX(Riders!$C$2:$C$81,MATCH(Orders!D1102,Riders!$A$2:$A$81,0)))</f>
        <v>EV scooter</v>
      </c>
      <c r="AD1105" s="33">
        <f>IF(Orders!D1102="","",INDEX(Riders!$D$2:$D$81,MATCH(Orders!D1102,Riders!$A$2:$A$81,0)))</f>
        <v>32</v>
      </c>
      <c r="AE1105" s="33">
        <f>IF(Orders!D1102="","",IF(INDEX(Riders!$B$2:$B$81,MATCH(Orders!D1102,Riders!$A$2:$A$81,0))=B1105,1,0))</f>
        <v>0</v>
      </c>
      <c r="AF1105" s="34">
        <f>IF(E1105=1,Orders!L1102,"")</f>
        <v>2.5</v>
      </c>
      <c r="AG1105" s="34">
        <f>IF(E1105=1,Orders!P1102,"")</f>
        <v>12.7</v>
      </c>
      <c r="AH1105" s="34">
        <f>IF(E1105=1,Orders!Q1102,"")</f>
        <v>17.1</v>
      </c>
      <c r="AI1105" s="34">
        <f>IF(E1105=1,Orders!M1102,"")</f>
        <v>4.2</v>
      </c>
      <c r="AJ1105" s="34">
        <f>IF(E1105=1,Orders!N1102,"")</f>
        <v>4.9</v>
      </c>
      <c r="AK1105" s="34">
        <f>IF(E1105=1,Orders!O1102,"")</f>
        <v>8</v>
      </c>
      <c r="AL1105" s="33">
        <f>IF(E1105=1,IF(ROUND(ABS(AI1105+AJ1105+AK1105-AH1105),6)&lt;=0.1,1,0),"")</f>
        <v>1</v>
      </c>
      <c r="AM1105" s="36">
        <f>IF(E1105=1,AI1105/AH1105,"")</f>
        <v>0.245614035087719</v>
      </c>
      <c r="AN1105" s="36">
        <f>IF(E1105=1,AJ1105/AH1105,"")</f>
        <v>0.286549707602339</v>
      </c>
      <c r="AO1105" s="36">
        <f>IF(E1105=1,AK1105/AH1105,"")</f>
        <v>0.467836257309942</v>
      </c>
      <c r="AP1105" s="34">
        <f>IF(E1105=1,Orders!Y1102,"")</f>
        <v>0.47</v>
      </c>
      <c r="AQ1105" s="33">
        <f>IF(Orders!X1102,1,0)</f>
        <v>0</v>
      </c>
      <c r="AR1105" s="34" t="str">
        <f>IF(AND(E1105=1,L1105=1),AJ1105,"")</f>
        <v/>
      </c>
      <c r="AS1105" s="34">
        <f>IF(AND(E1105=1,L1105=0),AJ1105,"")</f>
        <v>4.9</v>
      </c>
      <c r="AT1105" s="34" t="str">
        <f>IF(AND(E1105=1,L1105=1),AI1105,"")</f>
        <v/>
      </c>
      <c r="AU1105" s="34">
        <f>IF(AND(E1105=1,L1105=0),AI1105,"")</f>
        <v>4.2</v>
      </c>
      <c r="AV1105" s="34" t="str">
        <f>IF(AND(E1105=1,L1105=1),AG1105,"")</f>
        <v/>
      </c>
      <c r="AW1105" s="34">
        <f>IF(AND(E1105=1,L1105=0),AG1105,"")</f>
        <v>12.7</v>
      </c>
      <c r="AX1105" s="34" t="str">
        <f>IF(AND(E1105=1,L1105=1),AH1105,"")</f>
        <v/>
      </c>
      <c r="AY1105" s="34">
        <f>IF(AND(E1105=1,L1105=0),AH1105,"")</f>
        <v>17.1</v>
      </c>
      <c r="AZ1105" s="34">
        <f>IF(G1105=1,F1105,"")</f>
        <v>4.4</v>
      </c>
      <c r="BA1105" s="34" t="str">
        <f>IF(AND(G1105=1,L1105=1),F1105,"")</f>
        <v/>
      </c>
      <c r="BB1105" s="34">
        <f>IF(AND(G1105=1,L1105=0),F1105,"")</f>
        <v>4.4</v>
      </c>
      <c r="BC1105" s="33">
        <f>IF(E1105=1,IF(Orders!R1102&gt;3,1,0),"")</f>
        <v>1</v>
      </c>
      <c r="BD1105" s="33">
        <f>IF(E1105=1,IF(Orders!R1102&gt;7,1,0),"")</f>
        <v>0</v>
      </c>
      <c r="BE1105" s="32" t="str">
        <f>IF(E1105=1,IF(Orders!L1102&lt;=1.5,"Up to 1.5 km",IF(Orders!L1102&lt;=3,"1.5–3 km","Over 3 km")),"")</f>
        <v>1.5–3 km</v>
      </c>
      <c r="BF1105" s="33">
        <f>IF(E1105=1,IF(ABS((Orders!G1102-Orders!F1102)*1440-Orders!R1102)&lt;0.06,1,0),"")</f>
        <v>1</v>
      </c>
      <c r="BG1105" s="33">
        <f>IF(ABS((Orders!F1102-Orders!E1102)*1440-Orders!P1102)&lt;0.06,1,0)</f>
        <v>1</v>
      </c>
      <c r="BH1105" s="33">
        <f>IF(E1105=1,IF(IF(Orders!S1102,1,0)=1-G1105,1,0),"")</f>
        <v>1</v>
      </c>
      <c r="BI1105" s="32" t="str">
        <f>INDEX(Stores!$B$2:$B$21,MATCH(B1105,Stores!$A$2:$A$21,0))</f>
        <v>Pune</v>
      </c>
    </row>
    <row r="1106">
      <c r="A1106" s="32" t="str">
        <f>Orders!A1103</f>
        <v>O01102</v>
      </c>
      <c r="B1106" s="32" t="str">
        <f>Orders!C1103</f>
        <v>S013</v>
      </c>
      <c r="C1106" s="32" t="str">
        <f>Orders!B1103</f>
        <v>C0075</v>
      </c>
      <c r="D1106" s="32" t="str">
        <f>Orders!H1103</f>
        <v>Delivered</v>
      </c>
      <c r="E1106" s="33">
        <f>IF(Orders!H1103="Delivered",1,0)</f>
        <v>1</v>
      </c>
      <c r="F1106" s="34">
        <f>IF(E1106=1,Orders!R1103,"")</f>
        <v>-0.7</v>
      </c>
      <c r="G1106" s="33">
        <f>IF(E1106=1,IF(Orders!R1103&gt;0,1,0),"")</f>
        <v>0</v>
      </c>
      <c r="H1106" s="33">
        <f>IF(E1106=1,IF(Orders!R1103&gt;5,1,0),"")</f>
        <v>0</v>
      </c>
      <c r="I1106" s="32" t="str">
        <f>IF(E1106=1,"",IF(OR(Orders!T1103="Rider unavailable",Orders!T1103="Item unavailable"),"Company-caused","Unresolved"))</f>
        <v/>
      </c>
      <c r="J1106" s="33">
        <f>IF(OR(E1106=1,I1106="Company-caused"),1,0)</f>
        <v>1</v>
      </c>
      <c r="K1106" s="32" t="str">
        <f>IF(E1106=0,IF(I1106="Company-caused",IF(Orders!T1103="Rider unavailable","C1 Rider unavailable","C2 Item unavailable"),"Outside root: unresolved"),IF(G1106=0,"A On time",IF(H1106=1,IF(L1106=1,"B2a Severe, peak","B2b Severe, off-peak"),IF(L1106=1,"B1a Slight, peak","B1b Slight, off-peak"))))</f>
        <v>A On time</v>
      </c>
      <c r="L1106" s="33">
        <f>IF(AND(Orders!U1103&gt;=19,Orders!U1103&lt;22),1,0)</f>
        <v>1</v>
      </c>
      <c r="M1106" s="33">
        <f>IF(L1106=IF(Orders!V1103,1,0),1,0)</f>
        <v>1</v>
      </c>
      <c r="N1106" s="32" t="str">
        <f>IF(Orders!W1103="","None",Orders!W1103)</f>
        <v>Light</v>
      </c>
      <c r="O1106" s="35">
        <f>INT(Orders!E1103)</f>
        <v>46268.0</v>
      </c>
      <c r="P1106" s="33">
        <f>Orders!U1103</f>
        <v>21</v>
      </c>
      <c r="Q1106" s="33">
        <f>COUNTIFS(Demand!$A$2:$A$4481,B1106,Demand!$B$2:$B$4481,O1106,Demand!$C$2:$C$4481,P1106)</f>
        <v>1</v>
      </c>
      <c r="R1106" s="33">
        <f>IF(Q1106=1,SUMIFS(Demand!$E$2:$E$4481,Demand!$A$2:$A$4481,B1106,Demand!$B$2:$B$4481,O1106,Demand!$C$2:$C$4481,P1106),"")</f>
        <v>65</v>
      </c>
      <c r="S1106" s="33">
        <f>INDEX(Stores!$G$2:$G$21,MATCH(B1106,Stores!$A$2:$A$21,0))</f>
        <v>49</v>
      </c>
      <c r="T1106" s="34">
        <f>IF(R1106="","",R1106/S1106)</f>
        <v>1.3265306122449</v>
      </c>
      <c r="U1106" s="34">
        <f>IF(E1106=1,T1106,"")</f>
        <v>1.3265306122449</v>
      </c>
      <c r="V1106" s="34" t="str">
        <f>IF(AND(E1106=1,L1106=0),T1106,"")</f>
        <v/>
      </c>
      <c r="W1106" s="33">
        <f>IF(U1106="","",IF(U1106&lt;=Breakdowns!$C$5,1,IF(U1106&lt;=Breakdowns!$C$6,2,IF(U1106&lt;=Breakdowns!$C$7,3,4))))</f>
        <v>4</v>
      </c>
      <c r="X1106" s="33" t="str">
        <f>IF(V1106="","",IF(V1106&lt;=Breakdowns!$D$5,1,IF(V1106&lt;=Breakdowns!$D$6,2,IF(V1106&lt;=Breakdowns!$D$7,3,4))))</f>
        <v/>
      </c>
      <c r="Y1106" s="34">
        <f>INDEX(Stores!$F$2:$F$21,MATCH(B1106,Stores!$A$2:$A$21,0))</f>
        <v>5.82</v>
      </c>
      <c r="Z1106" s="33">
        <f>IF(Y1106&gt;Store_Summary!$M$2,1,0)</f>
        <v>1</v>
      </c>
      <c r="AA1106" s="33">
        <f>INDEX(Stores!$C$2:$C$21,MATCH(B1106,Stores!$A$2:$A$21,0))</f>
        <v>705</v>
      </c>
      <c r="AB1106" s="33">
        <f>IF(AA1106&lt;180,1,0)</f>
        <v>0</v>
      </c>
      <c r="AC1106" s="32" t="str">
        <f>IF(Orders!D1103="","",INDEX(Riders!$C$2:$C$81,MATCH(Orders!D1103,Riders!$A$2:$A$81,0)))</f>
        <v>EV scooter</v>
      </c>
      <c r="AD1106" s="33">
        <f>IF(Orders!D1103="","",INDEX(Riders!$D$2:$D$81,MATCH(Orders!D1103,Riders!$A$2:$A$81,0)))</f>
        <v>33</v>
      </c>
      <c r="AE1106" s="33">
        <f>IF(Orders!D1103="","",IF(INDEX(Riders!$B$2:$B$81,MATCH(Orders!D1103,Riders!$A$2:$A$81,0))=B1106,1,0))</f>
        <v>0</v>
      </c>
      <c r="AF1106" s="34">
        <f>IF(E1106=1,Orders!L1103,"")</f>
        <v>2.27</v>
      </c>
      <c r="AG1106" s="34">
        <f>IF(E1106=1,Orders!P1103,"")</f>
        <v>10</v>
      </c>
      <c r="AH1106" s="34">
        <f>IF(E1106=1,Orders!Q1103,"")</f>
        <v>9.3</v>
      </c>
      <c r="AI1106" s="34">
        <f>IF(E1106=1,Orders!M1103,"")</f>
        <v>3</v>
      </c>
      <c r="AJ1106" s="34">
        <f>IF(E1106=1,Orders!N1103,"")</f>
        <v>2.6</v>
      </c>
      <c r="AK1106" s="34">
        <f>IF(E1106=1,Orders!O1103,"")</f>
        <v>3.7</v>
      </c>
      <c r="AL1106" s="33">
        <f>IF(E1106=1,IF(ROUND(ABS(AI1106+AJ1106+AK1106-AH1106),6)&lt;=0.1,1,0),"")</f>
        <v>1</v>
      </c>
      <c r="AM1106" s="36">
        <f>IF(E1106=1,AI1106/AH1106,"")</f>
        <v>0.32258064516129</v>
      </c>
      <c r="AN1106" s="36">
        <f>IF(E1106=1,AJ1106/AH1106,"")</f>
        <v>0.279569892473118</v>
      </c>
      <c r="AO1106" s="36">
        <f>IF(E1106=1,AK1106/AH1106,"")</f>
        <v>0.397849462365591</v>
      </c>
      <c r="AP1106" s="34">
        <f>IF(E1106=1,Orders!Y1103,"")</f>
        <v>0.58</v>
      </c>
      <c r="AQ1106" s="33">
        <f>IF(Orders!X1103,1,0)</f>
        <v>0</v>
      </c>
      <c r="AR1106" s="34">
        <f>IF(AND(E1106=1,L1106=1),AJ1106,"")</f>
        <v>2.6</v>
      </c>
      <c r="AS1106" s="34" t="str">
        <f>IF(AND(E1106=1,L1106=0),AJ1106,"")</f>
        <v/>
      </c>
      <c r="AT1106" s="34">
        <f>IF(AND(E1106=1,L1106=1),AI1106,"")</f>
        <v>3</v>
      </c>
      <c r="AU1106" s="34" t="str">
        <f>IF(AND(E1106=1,L1106=0),AI1106,"")</f>
        <v/>
      </c>
      <c r="AV1106" s="34">
        <f>IF(AND(E1106=1,L1106=1),AG1106,"")</f>
        <v>10</v>
      </c>
      <c r="AW1106" s="34" t="str">
        <f>IF(AND(E1106=1,L1106=0),AG1106,"")</f>
        <v/>
      </c>
      <c r="AX1106" s="34">
        <f>IF(AND(E1106=1,L1106=1),AH1106,"")</f>
        <v>9.3</v>
      </c>
      <c r="AY1106" s="34" t="str">
        <f>IF(AND(E1106=1,L1106=0),AH1106,"")</f>
        <v/>
      </c>
      <c r="AZ1106" s="34" t="str">
        <f>IF(G1106=1,F1106,"")</f>
        <v/>
      </c>
      <c r="BA1106" s="34" t="str">
        <f>IF(AND(G1106=1,L1106=1),F1106,"")</f>
        <v/>
      </c>
      <c r="BB1106" s="34" t="str">
        <f>IF(AND(G1106=1,L1106=0),F1106,"")</f>
        <v/>
      </c>
      <c r="BC1106" s="33">
        <f>IF(E1106=1,IF(Orders!R1103&gt;3,1,0),"")</f>
        <v>0</v>
      </c>
      <c r="BD1106" s="33">
        <f>IF(E1106=1,IF(Orders!R1103&gt;7,1,0),"")</f>
        <v>0</v>
      </c>
      <c r="BE1106" s="32" t="str">
        <f>IF(E1106=1,IF(Orders!L1103&lt;=1.5,"Up to 1.5 km",IF(Orders!L1103&lt;=3,"1.5–3 km","Over 3 km")),"")</f>
        <v>1.5–3 km</v>
      </c>
      <c r="BF1106" s="33">
        <f>IF(E1106=1,IF(ABS((Orders!G1103-Orders!F1103)*1440-Orders!R1103)&lt;0.06,1,0),"")</f>
        <v>1</v>
      </c>
      <c r="BG1106" s="33">
        <f>IF(ABS((Orders!F1103-Orders!E1103)*1440-Orders!P1103)&lt;0.06,1,0)</f>
        <v>1</v>
      </c>
      <c r="BH1106" s="33">
        <f>IF(E1106=1,IF(IF(Orders!S1103,1,0)=1-G1106,1,0),"")</f>
        <v>1</v>
      </c>
      <c r="BI1106" s="32" t="str">
        <f>INDEX(Stores!$B$2:$B$21,MATCH(B1106,Stores!$A$2:$A$21,0))</f>
        <v>Mumbai</v>
      </c>
    </row>
    <row r="1107">
      <c r="A1107" s="32" t="str">
        <f>Orders!A1104</f>
        <v>O01103</v>
      </c>
      <c r="B1107" s="32" t="str">
        <f>Orders!C1104</f>
        <v>S012</v>
      </c>
      <c r="C1107" s="32" t="str">
        <f>Orders!B1104</f>
        <v>C0057</v>
      </c>
      <c r="D1107" s="32" t="str">
        <f>Orders!H1104</f>
        <v>Cancelled</v>
      </c>
      <c r="E1107" s="33">
        <f>IF(Orders!H1104="Delivered",1,0)</f>
        <v>0</v>
      </c>
      <c r="F1107" s="34" t="str">
        <f>IF(E1107=1,Orders!R1104,"")</f>
        <v/>
      </c>
      <c r="G1107" s="33" t="str">
        <f>IF(E1107=1,IF(Orders!R1104&gt;0,1,0),"")</f>
        <v/>
      </c>
      <c r="H1107" s="33" t="str">
        <f>IF(E1107=1,IF(Orders!R1104&gt;5,1,0),"")</f>
        <v/>
      </c>
      <c r="I1107" s="32" t="str">
        <f>IF(E1107=1,"",IF(OR(Orders!T1104="Rider unavailable",Orders!T1104="Item unavailable"),"Company-caused","Unresolved"))</f>
        <v>Company-caused</v>
      </c>
      <c r="J1107" s="33">
        <f>IF(OR(E1107=1,I1107="Company-caused"),1,0)</f>
        <v>1</v>
      </c>
      <c r="K1107" s="32" t="str">
        <f>IF(E1107=0,IF(I1107="Company-caused",IF(Orders!T1104="Rider unavailable","C1 Rider unavailable","C2 Item unavailable"),"Outside root: unresolved"),IF(G1107=0,"A On time",IF(H1107=1,IF(L1107=1,"B2a Severe, peak","B2b Severe, off-peak"),IF(L1107=1,"B1a Slight, peak","B1b Slight, off-peak"))))</f>
        <v>C2 Item unavailable</v>
      </c>
      <c r="L1107" s="33">
        <f>IF(AND(Orders!U1104&gt;=19,Orders!U1104&lt;22),1,0)</f>
        <v>0</v>
      </c>
      <c r="M1107" s="33">
        <f>IF(L1107=IF(Orders!V1104,1,0),1,0)</f>
        <v>1</v>
      </c>
      <c r="N1107" s="32" t="str">
        <f>IF(Orders!W1104="","None",Orders!W1104)</f>
        <v>None</v>
      </c>
      <c r="O1107" s="35">
        <f>INT(Orders!E1104)</f>
        <v>46278.0</v>
      </c>
      <c r="P1107" s="33">
        <f>Orders!U1104</f>
        <v>23</v>
      </c>
      <c r="Q1107" s="33">
        <f>COUNTIFS(Demand!$A$2:$A$4481,B1107,Demand!$B$2:$B$4481,O1107,Demand!$C$2:$C$4481,P1107)</f>
        <v>1</v>
      </c>
      <c r="R1107" s="33">
        <f>IF(Q1107=1,SUMIFS(Demand!$E$2:$E$4481,Demand!$A$2:$A$4481,B1107,Demand!$B$2:$B$4481,O1107,Demand!$C$2:$C$4481,P1107),"")</f>
        <v>19</v>
      </c>
      <c r="S1107" s="33">
        <f>INDEX(Stores!$G$2:$G$21,MATCH(B1107,Stores!$A$2:$A$21,0))</f>
        <v>15</v>
      </c>
      <c r="T1107" s="34">
        <f>IF(R1107="","",R1107/S1107)</f>
        <v>1.26666666666667</v>
      </c>
      <c r="U1107" s="34" t="str">
        <f>IF(E1107=1,T1107,"")</f>
        <v/>
      </c>
      <c r="V1107" s="34" t="str">
        <f>IF(AND(E1107=1,L1107=0),T1107,"")</f>
        <v/>
      </c>
      <c r="W1107" s="33" t="str">
        <f>IF(U1107="","",IF(U1107&lt;=Breakdowns!$C$5,1,IF(U1107&lt;=Breakdowns!$C$6,2,IF(U1107&lt;=Breakdowns!$C$7,3,4))))</f>
        <v/>
      </c>
      <c r="X1107" s="33" t="str">
        <f>IF(V1107="","",IF(V1107&lt;=Breakdowns!$D$5,1,IF(V1107&lt;=Breakdowns!$D$6,2,IF(V1107&lt;=Breakdowns!$D$7,3,4))))</f>
        <v/>
      </c>
      <c r="Y1107" s="34">
        <f>INDEX(Stores!$F$2:$F$21,MATCH(B1107,Stores!$A$2:$A$21,0))</f>
        <v>5.23</v>
      </c>
      <c r="Z1107" s="33">
        <f>IF(Y1107&gt;Store_Summary!$M$2,1,0)</f>
        <v>1</v>
      </c>
      <c r="AA1107" s="33">
        <f>INDEX(Stores!$C$2:$C$21,MATCH(B1107,Stores!$A$2:$A$21,0))</f>
        <v>300</v>
      </c>
      <c r="AB1107" s="33">
        <f>IF(AA1107&lt;180,1,0)</f>
        <v>0</v>
      </c>
      <c r="AC1107" s="32" t="str">
        <f>IF(Orders!D1104="","",INDEX(Riders!$C$2:$C$81,MATCH(Orders!D1104,Riders!$A$2:$A$81,0)))</f>
        <v/>
      </c>
      <c r="AD1107" s="33" t="str">
        <f>IF(Orders!D1104="","",INDEX(Riders!$D$2:$D$81,MATCH(Orders!D1104,Riders!$A$2:$A$81,0)))</f>
        <v/>
      </c>
      <c r="AE1107" s="33" t="str">
        <f>IF(Orders!D1104="","",IF(INDEX(Riders!$B$2:$B$81,MATCH(Orders!D1104,Riders!$A$2:$A$81,0))=B1107,1,0))</f>
        <v/>
      </c>
      <c r="AF1107" s="34" t="str">
        <f>IF(E1107=1,Orders!L1104,"")</f>
        <v/>
      </c>
      <c r="AG1107" s="34" t="str">
        <f>IF(E1107=1,Orders!P1104,"")</f>
        <v/>
      </c>
      <c r="AH1107" s="34" t="str">
        <f>IF(E1107=1,Orders!Q1104,"")</f>
        <v/>
      </c>
      <c r="AI1107" s="34" t="str">
        <f>IF(E1107=1,Orders!M1104,"")</f>
        <v/>
      </c>
      <c r="AJ1107" s="34" t="str">
        <f>IF(E1107=1,Orders!N1104,"")</f>
        <v/>
      </c>
      <c r="AK1107" s="34" t="str">
        <f>IF(E1107=1,Orders!O1104,"")</f>
        <v/>
      </c>
      <c r="AL1107" s="33" t="str">
        <f>IF(E1107=1,IF(ROUND(ABS(AI1107+AJ1107+AK1107-AH1107),6)&lt;=0.1,1,0),"")</f>
        <v/>
      </c>
      <c r="AM1107" s="36" t="str">
        <f>IF(E1107=1,AI1107/AH1107,"")</f>
        <v/>
      </c>
      <c r="AN1107" s="36" t="str">
        <f>IF(E1107=1,AJ1107/AH1107,"")</f>
        <v/>
      </c>
      <c r="AO1107" s="36" t="str">
        <f>IF(E1107=1,AK1107/AH1107,"")</f>
        <v/>
      </c>
      <c r="AP1107" s="34" t="str">
        <f>IF(E1107=1,Orders!Y1104,"")</f>
        <v/>
      </c>
      <c r="AQ1107" s="33">
        <f>IF(Orders!X1104,1,0)</f>
        <v>0</v>
      </c>
      <c r="AR1107" s="34" t="str">
        <f>IF(AND(E1107=1,L1107=1),AJ1107,"")</f>
        <v/>
      </c>
      <c r="AS1107" s="34" t="str">
        <f>IF(AND(E1107=1,L1107=0),AJ1107,"")</f>
        <v/>
      </c>
      <c r="AT1107" s="34" t="str">
        <f>IF(AND(E1107=1,L1107=1),AI1107,"")</f>
        <v/>
      </c>
      <c r="AU1107" s="34" t="str">
        <f>IF(AND(E1107=1,L1107=0),AI1107,"")</f>
        <v/>
      </c>
      <c r="AV1107" s="34" t="str">
        <f>IF(AND(E1107=1,L1107=1),AG1107,"")</f>
        <v/>
      </c>
      <c r="AW1107" s="34" t="str">
        <f>IF(AND(E1107=1,L1107=0),AG1107,"")</f>
        <v/>
      </c>
      <c r="AX1107" s="34" t="str">
        <f>IF(AND(E1107=1,L1107=1),AH1107,"")</f>
        <v/>
      </c>
      <c r="AY1107" s="34" t="str">
        <f>IF(AND(E1107=1,L1107=0),AH1107,"")</f>
        <v/>
      </c>
      <c r="AZ1107" s="34" t="str">
        <f>IF(G1107=1,F1107,"")</f>
        <v/>
      </c>
      <c r="BA1107" s="34" t="str">
        <f>IF(AND(G1107=1,L1107=1),F1107,"")</f>
        <v/>
      </c>
      <c r="BB1107" s="34" t="str">
        <f>IF(AND(G1107=1,L1107=0),F1107,"")</f>
        <v/>
      </c>
      <c r="BC1107" s="33" t="str">
        <f>IF(E1107=1,IF(Orders!R1104&gt;3,1,0),"")</f>
        <v/>
      </c>
      <c r="BD1107" s="33" t="str">
        <f>IF(E1107=1,IF(Orders!R1104&gt;7,1,0),"")</f>
        <v/>
      </c>
      <c r="BE1107" s="32" t="str">
        <f>IF(E1107=1,IF(Orders!L1104&lt;=1.5,"Up to 1.5 km",IF(Orders!L1104&lt;=3,"1.5–3 km","Over 3 km")),"")</f>
        <v/>
      </c>
      <c r="BF1107" s="33" t="str">
        <f>IF(E1107=1,IF(ABS((Orders!G1104-Orders!F1104)*1440-Orders!R1104)&lt;0.06,1,0),"")</f>
        <v/>
      </c>
      <c r="BG1107" s="33">
        <f>IF(ABS((Orders!F1104-Orders!E1104)*1440-Orders!P1104)&lt;0.06,1,0)</f>
        <v>1</v>
      </c>
      <c r="BH1107" s="33" t="str">
        <f>IF(E1107=1,IF(IF(Orders!S1104,1,0)=1-G1107,1,0),"")</f>
        <v/>
      </c>
      <c r="BI1107" s="32" t="str">
        <f>INDEX(Stores!$B$2:$B$21,MATCH(B1107,Stores!$A$2:$A$21,0))</f>
        <v>Hyderabad</v>
      </c>
    </row>
    <row r="1108">
      <c r="A1108" s="32" t="str">
        <f>Orders!A1105</f>
        <v>O01104</v>
      </c>
      <c r="B1108" s="32" t="str">
        <f>Orders!C1105</f>
        <v>S017</v>
      </c>
      <c r="C1108" s="32" t="str">
        <f>Orders!B1105</f>
        <v>C0067</v>
      </c>
      <c r="D1108" s="32" t="str">
        <f>Orders!H1105</f>
        <v>Delivered</v>
      </c>
      <c r="E1108" s="33">
        <f>IF(Orders!H1105="Delivered",1,0)</f>
        <v>1</v>
      </c>
      <c r="F1108" s="34">
        <f>IF(E1108=1,Orders!R1105,"")</f>
        <v>-1.8</v>
      </c>
      <c r="G1108" s="33">
        <f>IF(E1108=1,IF(Orders!R1105&gt;0,1,0),"")</f>
        <v>0</v>
      </c>
      <c r="H1108" s="33">
        <f>IF(E1108=1,IF(Orders!R1105&gt;5,1,0),"")</f>
        <v>0</v>
      </c>
      <c r="I1108" s="32" t="str">
        <f>IF(E1108=1,"",IF(OR(Orders!T1105="Rider unavailable",Orders!T1105="Item unavailable"),"Company-caused","Unresolved"))</f>
        <v/>
      </c>
      <c r="J1108" s="33">
        <f>IF(OR(E1108=1,I1108="Company-caused"),1,0)</f>
        <v>1</v>
      </c>
      <c r="K1108" s="32" t="str">
        <f>IF(E1108=0,IF(I1108="Company-caused",IF(Orders!T1105="Rider unavailable","C1 Rider unavailable","C2 Item unavailable"),"Outside root: unresolved"),IF(G1108=0,"A On time",IF(H1108=1,IF(L1108=1,"B2a Severe, peak","B2b Severe, off-peak"),IF(L1108=1,"B1a Slight, peak","B1b Slight, off-peak"))))</f>
        <v>A On time</v>
      </c>
      <c r="L1108" s="33">
        <f>IF(AND(Orders!U1105&gt;=19,Orders!U1105&lt;22),1,0)</f>
        <v>0</v>
      </c>
      <c r="M1108" s="33">
        <f>IF(L1108=IF(Orders!V1105,1,0),1,0)</f>
        <v>1</v>
      </c>
      <c r="N1108" s="32" t="str">
        <f>IF(Orders!W1105="","None",Orders!W1105)</f>
        <v>None</v>
      </c>
      <c r="O1108" s="35">
        <f>INT(Orders!E1105)</f>
        <v>46270.0</v>
      </c>
      <c r="P1108" s="33">
        <f>Orders!U1105</f>
        <v>15</v>
      </c>
      <c r="Q1108" s="33">
        <f>COUNTIFS(Demand!$A$2:$A$4481,B1108,Demand!$B$2:$B$4481,O1108,Demand!$C$2:$C$4481,P1108)</f>
        <v>1</v>
      </c>
      <c r="R1108" s="33">
        <f>IF(Q1108=1,SUMIFS(Demand!$E$2:$E$4481,Demand!$A$2:$A$4481,B1108,Demand!$B$2:$B$4481,O1108,Demand!$C$2:$C$4481,P1108),"")</f>
        <v>29</v>
      </c>
      <c r="S1108" s="33">
        <f>INDEX(Stores!$G$2:$G$21,MATCH(B1108,Stores!$A$2:$A$21,0))</f>
        <v>36</v>
      </c>
      <c r="T1108" s="34">
        <f>IF(R1108="","",R1108/S1108)</f>
        <v>0.805555555555556</v>
      </c>
      <c r="U1108" s="34">
        <f>IF(E1108=1,T1108,"")</f>
        <v>0.805555555555556</v>
      </c>
      <c r="V1108" s="34">
        <f>IF(AND(E1108=1,L1108=0),T1108,"")</f>
        <v>0.805555555555556</v>
      </c>
      <c r="W1108" s="33">
        <f>IF(U1108="","",IF(U1108&lt;=Breakdowns!$C$5,1,IF(U1108&lt;=Breakdowns!$C$6,2,IF(U1108&lt;=Breakdowns!$C$7,3,4))))</f>
        <v>2</v>
      </c>
      <c r="X1108" s="33">
        <f>IF(V1108="","",IF(V1108&lt;=Breakdowns!$D$5,1,IF(V1108&lt;=Breakdowns!$D$6,2,IF(V1108&lt;=Breakdowns!$D$7,3,4))))</f>
        <v>2</v>
      </c>
      <c r="Y1108" s="34">
        <f>INDEX(Stores!$F$2:$F$21,MATCH(B1108,Stores!$A$2:$A$21,0))</f>
        <v>2.16</v>
      </c>
      <c r="Z1108" s="33">
        <f>IF(Y1108&gt;Store_Summary!$M$2,1,0)</f>
        <v>0</v>
      </c>
      <c r="AA1108" s="33">
        <f>INDEX(Stores!$C$2:$C$21,MATCH(B1108,Stores!$A$2:$A$21,0))</f>
        <v>47</v>
      </c>
      <c r="AB1108" s="33">
        <f>IF(AA1108&lt;180,1,0)</f>
        <v>1</v>
      </c>
      <c r="AC1108" s="32" t="str">
        <f>IF(Orders!D1105="","",INDEX(Riders!$C$2:$C$81,MATCH(Orders!D1105,Riders!$A$2:$A$81,0)))</f>
        <v>EV scooter</v>
      </c>
      <c r="AD1108" s="33">
        <f>IF(Orders!D1105="","",INDEX(Riders!$D$2:$D$81,MATCH(Orders!D1105,Riders!$A$2:$A$81,0)))</f>
        <v>14</v>
      </c>
      <c r="AE1108" s="33">
        <f>IF(Orders!D1105="","",IF(INDEX(Riders!$B$2:$B$81,MATCH(Orders!D1105,Riders!$A$2:$A$81,0))=B1108,1,0))</f>
        <v>0</v>
      </c>
      <c r="AF1108" s="34">
        <f>IF(E1108=1,Orders!L1105,"")</f>
        <v>0.78</v>
      </c>
      <c r="AG1108" s="34">
        <f>IF(E1108=1,Orders!P1105,"")</f>
        <v>9.4</v>
      </c>
      <c r="AH1108" s="34">
        <f>IF(E1108=1,Orders!Q1105,"")</f>
        <v>7.6</v>
      </c>
      <c r="AI1108" s="34">
        <f>IF(E1108=1,Orders!M1105,"")</f>
        <v>2.6</v>
      </c>
      <c r="AJ1108" s="34">
        <f>IF(E1108=1,Orders!N1105,"")</f>
        <v>2.1</v>
      </c>
      <c r="AK1108" s="34">
        <f>IF(E1108=1,Orders!O1105,"")</f>
        <v>2.9</v>
      </c>
      <c r="AL1108" s="33">
        <f>IF(E1108=1,IF(ROUND(ABS(AI1108+AJ1108+AK1108-AH1108),6)&lt;=0.1,1,0),"")</f>
        <v>1</v>
      </c>
      <c r="AM1108" s="36">
        <f>IF(E1108=1,AI1108/AH1108,"")</f>
        <v>0.342105263157895</v>
      </c>
      <c r="AN1108" s="36">
        <f>IF(E1108=1,AJ1108/AH1108,"")</f>
        <v>0.276315789473684</v>
      </c>
      <c r="AO1108" s="36">
        <f>IF(E1108=1,AK1108/AH1108,"")</f>
        <v>0.381578947368421</v>
      </c>
      <c r="AP1108" s="34">
        <f>IF(E1108=1,Orders!Y1105,"")</f>
        <v>0.35</v>
      </c>
      <c r="AQ1108" s="33">
        <f>IF(Orders!X1105,1,0)</f>
        <v>1</v>
      </c>
      <c r="AR1108" s="34" t="str">
        <f>IF(AND(E1108=1,L1108=1),AJ1108,"")</f>
        <v/>
      </c>
      <c r="AS1108" s="34">
        <f>IF(AND(E1108=1,L1108=0),AJ1108,"")</f>
        <v>2.1</v>
      </c>
      <c r="AT1108" s="34" t="str">
        <f>IF(AND(E1108=1,L1108=1),AI1108,"")</f>
        <v/>
      </c>
      <c r="AU1108" s="34">
        <f>IF(AND(E1108=1,L1108=0),AI1108,"")</f>
        <v>2.6</v>
      </c>
      <c r="AV1108" s="34" t="str">
        <f>IF(AND(E1108=1,L1108=1),AG1108,"")</f>
        <v/>
      </c>
      <c r="AW1108" s="34">
        <f>IF(AND(E1108=1,L1108=0),AG1108,"")</f>
        <v>9.4</v>
      </c>
      <c r="AX1108" s="34" t="str">
        <f>IF(AND(E1108=1,L1108=1),AH1108,"")</f>
        <v/>
      </c>
      <c r="AY1108" s="34">
        <f>IF(AND(E1108=1,L1108=0),AH1108,"")</f>
        <v>7.6</v>
      </c>
      <c r="AZ1108" s="34" t="str">
        <f>IF(G1108=1,F1108,"")</f>
        <v/>
      </c>
      <c r="BA1108" s="34" t="str">
        <f>IF(AND(G1108=1,L1108=1),F1108,"")</f>
        <v/>
      </c>
      <c r="BB1108" s="34" t="str">
        <f>IF(AND(G1108=1,L1108=0),F1108,"")</f>
        <v/>
      </c>
      <c r="BC1108" s="33">
        <f>IF(E1108=1,IF(Orders!R1105&gt;3,1,0),"")</f>
        <v>0</v>
      </c>
      <c r="BD1108" s="33">
        <f>IF(E1108=1,IF(Orders!R1105&gt;7,1,0),"")</f>
        <v>0</v>
      </c>
      <c r="BE1108" s="32" t="str">
        <f>IF(E1108=1,IF(Orders!L1105&lt;=1.5,"Up to 1.5 km",IF(Orders!L1105&lt;=3,"1.5–3 km","Over 3 km")),"")</f>
        <v>Up to 1.5 km</v>
      </c>
      <c r="BF1108" s="33">
        <f>IF(E1108=1,IF(ABS((Orders!G1105-Orders!F1105)*1440-Orders!R1105)&lt;0.06,1,0),"")</f>
        <v>1</v>
      </c>
      <c r="BG1108" s="33">
        <f>IF(ABS((Orders!F1105-Orders!E1105)*1440-Orders!P1105)&lt;0.06,1,0)</f>
        <v>1</v>
      </c>
      <c r="BH1108" s="33">
        <f>IF(E1108=1,IF(IF(Orders!S1105,1,0)=1-G1108,1,0),"")</f>
        <v>1</v>
      </c>
      <c r="BI1108" s="32" t="str">
        <f>INDEX(Stores!$B$2:$B$21,MATCH(B1108,Stores!$A$2:$A$21,0))</f>
        <v>Hyderabad</v>
      </c>
    </row>
    <row r="1109">
      <c r="A1109" s="32" t="str">
        <f>Orders!A1106</f>
        <v>O01105</v>
      </c>
      <c r="B1109" s="32" t="str">
        <f>Orders!C1106</f>
        <v>S015</v>
      </c>
      <c r="C1109" s="32" t="str">
        <f>Orders!B1106</f>
        <v>C0122</v>
      </c>
      <c r="D1109" s="32" t="str">
        <f>Orders!H1106</f>
        <v>Delivered</v>
      </c>
      <c r="E1109" s="33">
        <f>IF(Orders!H1106="Delivered",1,0)</f>
        <v>1</v>
      </c>
      <c r="F1109" s="34">
        <f>IF(E1109=1,Orders!R1106,"")</f>
        <v>2.3</v>
      </c>
      <c r="G1109" s="33">
        <f>IF(E1109=1,IF(Orders!R1106&gt;0,1,0),"")</f>
        <v>1</v>
      </c>
      <c r="H1109" s="33">
        <f>IF(E1109=1,IF(Orders!R1106&gt;5,1,0),"")</f>
        <v>0</v>
      </c>
      <c r="I1109" s="32" t="str">
        <f>IF(E1109=1,"",IF(OR(Orders!T1106="Rider unavailable",Orders!T1106="Item unavailable"),"Company-caused","Unresolved"))</f>
        <v/>
      </c>
      <c r="J1109" s="33">
        <f>IF(OR(E1109=1,I1109="Company-caused"),1,0)</f>
        <v>1</v>
      </c>
      <c r="K1109" s="32" t="str">
        <f>IF(E1109=0,IF(I1109="Company-caused",IF(Orders!T1106="Rider unavailable","C1 Rider unavailable","C2 Item unavailable"),"Outside root: unresolved"),IF(G1109=0,"A On time",IF(H1109=1,IF(L1109=1,"B2a Severe, peak","B2b Severe, off-peak"),IF(L1109=1,"B1a Slight, peak","B1b Slight, off-peak"))))</f>
        <v>B1b Slight, off-peak</v>
      </c>
      <c r="L1109" s="33">
        <f>IF(AND(Orders!U1106&gt;=19,Orders!U1106&lt;22),1,0)</f>
        <v>0</v>
      </c>
      <c r="M1109" s="33">
        <f>IF(L1109=IF(Orders!V1106,1,0),1,0)</f>
        <v>1</v>
      </c>
      <c r="N1109" s="32" t="str">
        <f>IF(Orders!W1106="","None",Orders!W1106)</f>
        <v>Light</v>
      </c>
      <c r="O1109" s="35">
        <f>INT(Orders!E1106)</f>
        <v>46266.0</v>
      </c>
      <c r="P1109" s="33">
        <f>Orders!U1106</f>
        <v>17</v>
      </c>
      <c r="Q1109" s="33">
        <f>COUNTIFS(Demand!$A$2:$A$4481,B1109,Demand!$B$2:$B$4481,O1109,Demand!$C$2:$C$4481,P1109)</f>
        <v>1</v>
      </c>
      <c r="R1109" s="33">
        <f>IF(Q1109=1,SUMIFS(Demand!$E$2:$E$4481,Demand!$A$2:$A$4481,B1109,Demand!$B$2:$B$4481,O1109,Demand!$C$2:$C$4481,P1109),"")</f>
        <v>20</v>
      </c>
      <c r="S1109" s="33">
        <f>INDEX(Stores!$G$2:$G$21,MATCH(B1109,Stores!$A$2:$A$21,0))</f>
        <v>23</v>
      </c>
      <c r="T1109" s="34">
        <f>IF(R1109="","",R1109/S1109)</f>
        <v>0.869565217391304</v>
      </c>
      <c r="U1109" s="34">
        <f>IF(E1109=1,T1109,"")</f>
        <v>0.869565217391304</v>
      </c>
      <c r="V1109" s="34">
        <f>IF(AND(E1109=1,L1109=0),T1109,"")</f>
        <v>0.869565217391304</v>
      </c>
      <c r="W1109" s="33">
        <f>IF(U1109="","",IF(U1109&lt;=Breakdowns!$C$5,1,IF(U1109&lt;=Breakdowns!$C$6,2,IF(U1109&lt;=Breakdowns!$C$7,3,4))))</f>
        <v>2</v>
      </c>
      <c r="X1109" s="33">
        <f>IF(V1109="","",IF(V1109&lt;=Breakdowns!$D$5,1,IF(V1109&lt;=Breakdowns!$D$6,2,IF(V1109&lt;=Breakdowns!$D$7,3,4))))</f>
        <v>2</v>
      </c>
      <c r="Y1109" s="34">
        <f>INDEX(Stores!$F$2:$F$21,MATCH(B1109,Stores!$A$2:$A$21,0))</f>
        <v>4.66</v>
      </c>
      <c r="Z1109" s="33">
        <f>IF(Y1109&gt;Store_Summary!$M$2,1,0)</f>
        <v>0</v>
      </c>
      <c r="AA1109" s="33">
        <f>INDEX(Stores!$C$2:$C$21,MATCH(B1109,Stores!$A$2:$A$21,0))</f>
        <v>204</v>
      </c>
      <c r="AB1109" s="33">
        <f>IF(AA1109&lt;180,1,0)</f>
        <v>0</v>
      </c>
      <c r="AC1109" s="32" t="str">
        <f>IF(Orders!D1106="","",INDEX(Riders!$C$2:$C$81,MATCH(Orders!D1106,Riders!$A$2:$A$81,0)))</f>
        <v>Petrol scooter</v>
      </c>
      <c r="AD1109" s="33">
        <f>IF(Orders!D1106="","",INDEX(Riders!$D$2:$D$81,MATCH(Orders!D1106,Riders!$A$2:$A$81,0)))</f>
        <v>11</v>
      </c>
      <c r="AE1109" s="33">
        <f>IF(Orders!D1106="","",IF(INDEX(Riders!$B$2:$B$81,MATCH(Orders!D1106,Riders!$A$2:$A$81,0))=B1109,1,0))</f>
        <v>0</v>
      </c>
      <c r="AF1109" s="34">
        <f>IF(E1109=1,Orders!L1106,"")</f>
        <v>3.58</v>
      </c>
      <c r="AG1109" s="34">
        <f>IF(E1109=1,Orders!P1106,"")</f>
        <v>14.5</v>
      </c>
      <c r="AH1109" s="34">
        <f>IF(E1109=1,Orders!Q1106,"")</f>
        <v>16.8</v>
      </c>
      <c r="AI1109" s="34">
        <f>IF(E1109=1,Orders!M1106,"")</f>
        <v>5.6</v>
      </c>
      <c r="AJ1109" s="34">
        <f>IF(E1109=1,Orders!N1106,"")</f>
        <v>1.5</v>
      </c>
      <c r="AK1109" s="34">
        <f>IF(E1109=1,Orders!O1106,"")</f>
        <v>9.8</v>
      </c>
      <c r="AL1109" s="33">
        <f>IF(E1109=1,IF(ROUND(ABS(AI1109+AJ1109+AK1109-AH1109),6)&lt;=0.1,1,0),"")</f>
        <v>1</v>
      </c>
      <c r="AM1109" s="36">
        <f>IF(E1109=1,AI1109/AH1109,"")</f>
        <v>0.333333333333333</v>
      </c>
      <c r="AN1109" s="36">
        <f>IF(E1109=1,AJ1109/AH1109,"")</f>
        <v>0.0892857142857143</v>
      </c>
      <c r="AO1109" s="36">
        <f>IF(E1109=1,AK1109/AH1109,"")</f>
        <v>0.583333333333333</v>
      </c>
      <c r="AP1109" s="34">
        <f>IF(E1109=1,Orders!Y1106,"")</f>
        <v>0.84</v>
      </c>
      <c r="AQ1109" s="33">
        <f>IF(Orders!X1106,1,0)</f>
        <v>0</v>
      </c>
      <c r="AR1109" s="34" t="str">
        <f>IF(AND(E1109=1,L1109=1),AJ1109,"")</f>
        <v/>
      </c>
      <c r="AS1109" s="34">
        <f>IF(AND(E1109=1,L1109=0),AJ1109,"")</f>
        <v>1.5</v>
      </c>
      <c r="AT1109" s="34" t="str">
        <f>IF(AND(E1109=1,L1109=1),AI1109,"")</f>
        <v/>
      </c>
      <c r="AU1109" s="34">
        <f>IF(AND(E1109=1,L1109=0),AI1109,"")</f>
        <v>5.6</v>
      </c>
      <c r="AV1109" s="34" t="str">
        <f>IF(AND(E1109=1,L1109=1),AG1109,"")</f>
        <v/>
      </c>
      <c r="AW1109" s="34">
        <f>IF(AND(E1109=1,L1109=0),AG1109,"")</f>
        <v>14.5</v>
      </c>
      <c r="AX1109" s="34" t="str">
        <f>IF(AND(E1109=1,L1109=1),AH1109,"")</f>
        <v/>
      </c>
      <c r="AY1109" s="34">
        <f>IF(AND(E1109=1,L1109=0),AH1109,"")</f>
        <v>16.8</v>
      </c>
      <c r="AZ1109" s="34">
        <f>IF(G1109=1,F1109,"")</f>
        <v>2.3</v>
      </c>
      <c r="BA1109" s="34" t="str">
        <f>IF(AND(G1109=1,L1109=1),F1109,"")</f>
        <v/>
      </c>
      <c r="BB1109" s="34">
        <f>IF(AND(G1109=1,L1109=0),F1109,"")</f>
        <v>2.3</v>
      </c>
      <c r="BC1109" s="33">
        <f>IF(E1109=1,IF(Orders!R1106&gt;3,1,0),"")</f>
        <v>0</v>
      </c>
      <c r="BD1109" s="33">
        <f>IF(E1109=1,IF(Orders!R1106&gt;7,1,0),"")</f>
        <v>0</v>
      </c>
      <c r="BE1109" s="32" t="str">
        <f>IF(E1109=1,IF(Orders!L1106&lt;=1.5,"Up to 1.5 km",IF(Orders!L1106&lt;=3,"1.5–3 km","Over 3 km")),"")</f>
        <v>Over 3 km</v>
      </c>
      <c r="BF1109" s="33">
        <f>IF(E1109=1,IF(ABS((Orders!G1106-Orders!F1106)*1440-Orders!R1106)&lt;0.06,1,0),"")</f>
        <v>1</v>
      </c>
      <c r="BG1109" s="33">
        <f>IF(ABS((Orders!F1106-Orders!E1106)*1440-Orders!P1106)&lt;0.06,1,0)</f>
        <v>1</v>
      </c>
      <c r="BH1109" s="33">
        <f>IF(E1109=1,IF(IF(Orders!S1106,1,0)=1-G1109,1,0),"")</f>
        <v>1</v>
      </c>
      <c r="BI1109" s="32" t="str">
        <f>INDEX(Stores!$B$2:$B$21,MATCH(B1109,Stores!$A$2:$A$21,0))</f>
        <v>Delhi</v>
      </c>
    </row>
    <row r="1110">
      <c r="A1110" s="32" t="str">
        <f>Orders!A1107</f>
        <v>O01106</v>
      </c>
      <c r="B1110" s="32" t="str">
        <f>Orders!C1107</f>
        <v>S018</v>
      </c>
      <c r="C1110" s="32" t="str">
        <f>Orders!B1107</f>
        <v>C0172</v>
      </c>
      <c r="D1110" s="32" t="str">
        <f>Orders!H1107</f>
        <v>Delivered</v>
      </c>
      <c r="E1110" s="33">
        <f>IF(Orders!H1107="Delivered",1,0)</f>
        <v>1</v>
      </c>
      <c r="F1110" s="34">
        <f>IF(E1110=1,Orders!R1107,"")</f>
        <v>-0.7</v>
      </c>
      <c r="G1110" s="33">
        <f>IF(E1110=1,IF(Orders!R1107&gt;0,1,0),"")</f>
        <v>0</v>
      </c>
      <c r="H1110" s="33">
        <f>IF(E1110=1,IF(Orders!R1107&gt;5,1,0),"")</f>
        <v>0</v>
      </c>
      <c r="I1110" s="32" t="str">
        <f>IF(E1110=1,"",IF(OR(Orders!T1107="Rider unavailable",Orders!T1107="Item unavailable"),"Company-caused","Unresolved"))</f>
        <v/>
      </c>
      <c r="J1110" s="33">
        <f>IF(OR(E1110=1,I1110="Company-caused"),1,0)</f>
        <v>1</v>
      </c>
      <c r="K1110" s="32" t="str">
        <f>IF(E1110=0,IF(I1110="Company-caused",IF(Orders!T1107="Rider unavailable","C1 Rider unavailable","C2 Item unavailable"),"Outside root: unresolved"),IF(G1110=0,"A On time",IF(H1110=1,IF(L1110=1,"B2a Severe, peak","B2b Severe, off-peak"),IF(L1110=1,"B1a Slight, peak","B1b Slight, off-peak"))))</f>
        <v>A On time</v>
      </c>
      <c r="L1110" s="33">
        <f>IF(AND(Orders!U1107&gt;=19,Orders!U1107&lt;22),1,0)</f>
        <v>0</v>
      </c>
      <c r="M1110" s="33">
        <f>IF(L1110=IF(Orders!V1107,1,0),1,0)</f>
        <v>1</v>
      </c>
      <c r="N1110" s="32" t="str">
        <f>IF(Orders!W1107="","None",Orders!W1107)</f>
        <v>None</v>
      </c>
      <c r="O1110" s="35">
        <f>INT(Orders!E1107)</f>
        <v>46275.0</v>
      </c>
      <c r="P1110" s="33">
        <f>Orders!U1107</f>
        <v>18</v>
      </c>
      <c r="Q1110" s="33">
        <f>COUNTIFS(Demand!$A$2:$A$4481,B1110,Demand!$B$2:$B$4481,O1110,Demand!$C$2:$C$4481,P1110)</f>
        <v>1</v>
      </c>
      <c r="R1110" s="33">
        <f>IF(Q1110=1,SUMIFS(Demand!$E$2:$E$4481,Demand!$A$2:$A$4481,B1110,Demand!$B$2:$B$4481,O1110,Demand!$C$2:$C$4481,P1110),"")</f>
        <v>17</v>
      </c>
      <c r="S1110" s="33">
        <f>INDEX(Stores!$G$2:$G$21,MATCH(B1110,Stores!$A$2:$A$21,0))</f>
        <v>20</v>
      </c>
      <c r="T1110" s="34">
        <f>IF(R1110="","",R1110/S1110)</f>
        <v>0.85</v>
      </c>
      <c r="U1110" s="34">
        <f>IF(E1110=1,T1110,"")</f>
        <v>0.85</v>
      </c>
      <c r="V1110" s="34">
        <f>IF(AND(E1110=1,L1110=0),T1110,"")</f>
        <v>0.85</v>
      </c>
      <c r="W1110" s="33">
        <f>IF(U1110="","",IF(U1110&lt;=Breakdowns!$C$5,1,IF(U1110&lt;=Breakdowns!$C$6,2,IF(U1110&lt;=Breakdowns!$C$7,3,4))))</f>
        <v>2</v>
      </c>
      <c r="X1110" s="33">
        <f>IF(V1110="","",IF(V1110&lt;=Breakdowns!$D$5,1,IF(V1110&lt;=Breakdowns!$D$6,2,IF(V1110&lt;=Breakdowns!$D$7,3,4))))</f>
        <v>2</v>
      </c>
      <c r="Y1110" s="34">
        <f>INDEX(Stores!$F$2:$F$21,MATCH(B1110,Stores!$A$2:$A$21,0))</f>
        <v>5.31</v>
      </c>
      <c r="Z1110" s="33">
        <f>IF(Y1110&gt;Store_Summary!$M$2,1,0)</f>
        <v>1</v>
      </c>
      <c r="AA1110" s="33">
        <f>INDEX(Stores!$C$2:$C$21,MATCH(B1110,Stores!$A$2:$A$21,0))</f>
        <v>214</v>
      </c>
      <c r="AB1110" s="33">
        <f>IF(AA1110&lt;180,1,0)</f>
        <v>0</v>
      </c>
      <c r="AC1110" s="32" t="str">
        <f>IF(Orders!D1107="","",INDEX(Riders!$C$2:$C$81,MATCH(Orders!D1107,Riders!$A$2:$A$81,0)))</f>
        <v>Petrol scooter</v>
      </c>
      <c r="AD1110" s="33">
        <f>IF(Orders!D1107="","",INDEX(Riders!$D$2:$D$81,MATCH(Orders!D1107,Riders!$A$2:$A$81,0)))</f>
        <v>42</v>
      </c>
      <c r="AE1110" s="33">
        <f>IF(Orders!D1107="","",IF(INDEX(Riders!$B$2:$B$81,MATCH(Orders!D1107,Riders!$A$2:$A$81,0))=B1110,1,0))</f>
        <v>0</v>
      </c>
      <c r="AF1110" s="34">
        <f>IF(E1110=1,Orders!L1107,"")</f>
        <v>2.68</v>
      </c>
      <c r="AG1110" s="34">
        <f>IF(E1110=1,Orders!P1107,"")</f>
        <v>11.4</v>
      </c>
      <c r="AH1110" s="34">
        <f>IF(E1110=1,Orders!Q1107,"")</f>
        <v>10.7</v>
      </c>
      <c r="AI1110" s="34">
        <f>IF(E1110=1,Orders!M1107,"")</f>
        <v>3.4</v>
      </c>
      <c r="AJ1110" s="34">
        <f>IF(E1110=1,Orders!N1107,"")</f>
        <v>3</v>
      </c>
      <c r="AK1110" s="34">
        <f>IF(E1110=1,Orders!O1107,"")</f>
        <v>4.3</v>
      </c>
      <c r="AL1110" s="33">
        <f>IF(E1110=1,IF(ROUND(ABS(AI1110+AJ1110+AK1110-AH1110),6)&lt;=0.1,1,0),"")</f>
        <v>1</v>
      </c>
      <c r="AM1110" s="36">
        <f>IF(E1110=1,AI1110/AH1110,"")</f>
        <v>0.317757009345794</v>
      </c>
      <c r="AN1110" s="36">
        <f>IF(E1110=1,AJ1110/AH1110,"")</f>
        <v>0.280373831775701</v>
      </c>
      <c r="AO1110" s="36">
        <f>IF(E1110=1,AK1110/AH1110,"")</f>
        <v>0.401869158878505</v>
      </c>
      <c r="AP1110" s="34">
        <f>IF(E1110=1,Orders!Y1107,"")</f>
        <v>0.41</v>
      </c>
      <c r="AQ1110" s="33">
        <f>IF(Orders!X1107,1,0)</f>
        <v>0</v>
      </c>
      <c r="AR1110" s="34" t="str">
        <f>IF(AND(E1110=1,L1110=1),AJ1110,"")</f>
        <v/>
      </c>
      <c r="AS1110" s="34">
        <f>IF(AND(E1110=1,L1110=0),AJ1110,"")</f>
        <v>3</v>
      </c>
      <c r="AT1110" s="34" t="str">
        <f>IF(AND(E1110=1,L1110=1),AI1110,"")</f>
        <v/>
      </c>
      <c r="AU1110" s="34">
        <f>IF(AND(E1110=1,L1110=0),AI1110,"")</f>
        <v>3.4</v>
      </c>
      <c r="AV1110" s="34" t="str">
        <f>IF(AND(E1110=1,L1110=1),AG1110,"")</f>
        <v/>
      </c>
      <c r="AW1110" s="34">
        <f>IF(AND(E1110=1,L1110=0),AG1110,"")</f>
        <v>11.4</v>
      </c>
      <c r="AX1110" s="34" t="str">
        <f>IF(AND(E1110=1,L1110=1),AH1110,"")</f>
        <v/>
      </c>
      <c r="AY1110" s="34">
        <f>IF(AND(E1110=1,L1110=0),AH1110,"")</f>
        <v>10.7</v>
      </c>
      <c r="AZ1110" s="34" t="str">
        <f>IF(G1110=1,F1110,"")</f>
        <v/>
      </c>
      <c r="BA1110" s="34" t="str">
        <f>IF(AND(G1110=1,L1110=1),F1110,"")</f>
        <v/>
      </c>
      <c r="BB1110" s="34" t="str">
        <f>IF(AND(G1110=1,L1110=0),F1110,"")</f>
        <v/>
      </c>
      <c r="BC1110" s="33">
        <f>IF(E1110=1,IF(Orders!R1107&gt;3,1,0),"")</f>
        <v>0</v>
      </c>
      <c r="BD1110" s="33">
        <f>IF(E1110=1,IF(Orders!R1107&gt;7,1,0),"")</f>
        <v>0</v>
      </c>
      <c r="BE1110" s="32" t="str">
        <f>IF(E1110=1,IF(Orders!L1107&lt;=1.5,"Up to 1.5 km",IF(Orders!L1107&lt;=3,"1.5–3 km","Over 3 km")),"")</f>
        <v>1.5–3 km</v>
      </c>
      <c r="BF1110" s="33">
        <f>IF(E1110=1,IF(ABS((Orders!G1107-Orders!F1107)*1440-Orders!R1107)&lt;0.06,1,0),"")</f>
        <v>1</v>
      </c>
      <c r="BG1110" s="33">
        <f>IF(ABS((Orders!F1107-Orders!E1107)*1440-Orders!P1107)&lt;0.06,1,0)</f>
        <v>1</v>
      </c>
      <c r="BH1110" s="33">
        <f>IF(E1110=1,IF(IF(Orders!S1107,1,0)=1-G1110,1,0),"")</f>
        <v>1</v>
      </c>
      <c r="BI1110" s="32" t="str">
        <f>INDEX(Stores!$B$2:$B$21,MATCH(B1110,Stores!$A$2:$A$21,0))</f>
        <v>Mumbai</v>
      </c>
    </row>
    <row r="1111">
      <c r="A1111" s="32" t="str">
        <f>Orders!A1108</f>
        <v>O01107</v>
      </c>
      <c r="B1111" s="32" t="str">
        <f>Orders!C1108</f>
        <v>S008</v>
      </c>
      <c r="C1111" s="32" t="str">
        <f>Orders!B1108</f>
        <v>C0077</v>
      </c>
      <c r="D1111" s="32" t="str">
        <f>Orders!H1108</f>
        <v>Delivered</v>
      </c>
      <c r="E1111" s="33">
        <f>IF(Orders!H1108="Delivered",1,0)</f>
        <v>1</v>
      </c>
      <c r="F1111" s="34">
        <f>IF(E1111=1,Orders!R1108,"")</f>
        <v>-0.5</v>
      </c>
      <c r="G1111" s="33">
        <f>IF(E1111=1,IF(Orders!R1108&gt;0,1,0),"")</f>
        <v>0</v>
      </c>
      <c r="H1111" s="33">
        <f>IF(E1111=1,IF(Orders!R1108&gt;5,1,0),"")</f>
        <v>0</v>
      </c>
      <c r="I1111" s="32" t="str">
        <f>IF(E1111=1,"",IF(OR(Orders!T1108="Rider unavailable",Orders!T1108="Item unavailable"),"Company-caused","Unresolved"))</f>
        <v/>
      </c>
      <c r="J1111" s="33">
        <f>IF(OR(E1111=1,I1111="Company-caused"),1,0)</f>
        <v>1</v>
      </c>
      <c r="K1111" s="32" t="str">
        <f>IF(E1111=0,IF(I1111="Company-caused",IF(Orders!T1108="Rider unavailable","C1 Rider unavailable","C2 Item unavailable"),"Outside root: unresolved"),IF(G1111=0,"A On time",IF(H1111=1,IF(L1111=1,"B2a Severe, peak","B2b Severe, off-peak"),IF(L1111=1,"B1a Slight, peak","B1b Slight, off-peak"))))</f>
        <v>A On time</v>
      </c>
      <c r="L1111" s="33">
        <f>IF(AND(Orders!U1108&gt;=19,Orders!U1108&lt;22),1,0)</f>
        <v>1</v>
      </c>
      <c r="M1111" s="33">
        <f>IF(L1111=IF(Orders!V1108,1,0),1,0)</f>
        <v>1</v>
      </c>
      <c r="N1111" s="32" t="str">
        <f>IF(Orders!W1108="","None",Orders!W1108)</f>
        <v>Light</v>
      </c>
      <c r="O1111" s="35">
        <f>INT(Orders!E1108)</f>
        <v>46267.0</v>
      </c>
      <c r="P1111" s="33">
        <f>Orders!U1108</f>
        <v>21</v>
      </c>
      <c r="Q1111" s="33">
        <f>COUNTIFS(Demand!$A$2:$A$4481,B1111,Demand!$B$2:$B$4481,O1111,Demand!$C$2:$C$4481,P1111)</f>
        <v>1</v>
      </c>
      <c r="R1111" s="33">
        <f>IF(Q1111=1,SUMIFS(Demand!$E$2:$E$4481,Demand!$A$2:$A$4481,B1111,Demand!$B$2:$B$4481,O1111,Demand!$C$2:$C$4481,P1111),"")</f>
        <v>25</v>
      </c>
      <c r="S1111" s="33">
        <f>INDEX(Stores!$G$2:$G$21,MATCH(B1111,Stores!$A$2:$A$21,0))</f>
        <v>23</v>
      </c>
      <c r="T1111" s="34">
        <f>IF(R1111="","",R1111/S1111)</f>
        <v>1.08695652173913</v>
      </c>
      <c r="U1111" s="34">
        <f>IF(E1111=1,T1111,"")</f>
        <v>1.08695652173913</v>
      </c>
      <c r="V1111" s="34" t="str">
        <f>IF(AND(E1111=1,L1111=0),T1111,"")</f>
        <v/>
      </c>
      <c r="W1111" s="33">
        <f>IF(U1111="","",IF(U1111&lt;=Breakdowns!$C$5,1,IF(U1111&lt;=Breakdowns!$C$6,2,IF(U1111&lt;=Breakdowns!$C$7,3,4))))</f>
        <v>3</v>
      </c>
      <c r="X1111" s="33" t="str">
        <f>IF(V1111="","",IF(V1111&lt;=Breakdowns!$D$5,1,IF(V1111&lt;=Breakdowns!$D$6,2,IF(V1111&lt;=Breakdowns!$D$7,3,4))))</f>
        <v/>
      </c>
      <c r="Y1111" s="34">
        <f>INDEX(Stores!$F$2:$F$21,MATCH(B1111,Stores!$A$2:$A$21,0))</f>
        <v>3.46</v>
      </c>
      <c r="Z1111" s="33">
        <f>IF(Y1111&gt;Store_Summary!$M$2,1,0)</f>
        <v>0</v>
      </c>
      <c r="AA1111" s="33">
        <f>INDEX(Stores!$C$2:$C$21,MATCH(B1111,Stores!$A$2:$A$21,0))</f>
        <v>825</v>
      </c>
      <c r="AB1111" s="33">
        <f>IF(AA1111&lt;180,1,0)</f>
        <v>0</v>
      </c>
      <c r="AC1111" s="32" t="str">
        <f>IF(Orders!D1108="","",INDEX(Riders!$C$2:$C$81,MATCH(Orders!D1108,Riders!$A$2:$A$81,0)))</f>
        <v>EV scooter</v>
      </c>
      <c r="AD1111" s="33">
        <f>IF(Orders!D1108="","",INDEX(Riders!$D$2:$D$81,MATCH(Orders!D1108,Riders!$A$2:$A$81,0)))</f>
        <v>9</v>
      </c>
      <c r="AE1111" s="33">
        <f>IF(Orders!D1108="","",IF(INDEX(Riders!$B$2:$B$81,MATCH(Orders!D1108,Riders!$A$2:$A$81,0))=B1111,1,0))</f>
        <v>0</v>
      </c>
      <c r="AF1111" s="34">
        <f>IF(E1111=1,Orders!L1108,"")</f>
        <v>1.14</v>
      </c>
      <c r="AG1111" s="34">
        <f>IF(E1111=1,Orders!P1108,"")</f>
        <v>7.1</v>
      </c>
      <c r="AH1111" s="34">
        <f>IF(E1111=1,Orders!Q1108,"")</f>
        <v>6.6</v>
      </c>
      <c r="AI1111" s="34">
        <f>IF(E1111=1,Orders!M1108,"")</f>
        <v>1.7</v>
      </c>
      <c r="AJ1111" s="34">
        <f>IF(E1111=1,Orders!N1108,"")</f>
        <v>2.9</v>
      </c>
      <c r="AK1111" s="34">
        <f>IF(E1111=1,Orders!O1108,"")</f>
        <v>2</v>
      </c>
      <c r="AL1111" s="33">
        <f>IF(E1111=1,IF(ROUND(ABS(AI1111+AJ1111+AK1111-AH1111),6)&lt;=0.1,1,0),"")</f>
        <v>1</v>
      </c>
      <c r="AM1111" s="36">
        <f>IF(E1111=1,AI1111/AH1111,"")</f>
        <v>0.257575757575758</v>
      </c>
      <c r="AN1111" s="36">
        <f>IF(E1111=1,AJ1111/AH1111,"")</f>
        <v>0.439393939393939</v>
      </c>
      <c r="AO1111" s="36">
        <f>IF(E1111=1,AK1111/AH1111,"")</f>
        <v>0.303030303030303</v>
      </c>
      <c r="AP1111" s="34">
        <f>IF(E1111=1,Orders!Y1108,"")</f>
        <v>0.6</v>
      </c>
      <c r="AQ1111" s="33">
        <f>IF(Orders!X1108,1,0)</f>
        <v>0</v>
      </c>
      <c r="AR1111" s="34">
        <f>IF(AND(E1111=1,L1111=1),AJ1111,"")</f>
        <v>2.9</v>
      </c>
      <c r="AS1111" s="34" t="str">
        <f>IF(AND(E1111=1,L1111=0),AJ1111,"")</f>
        <v/>
      </c>
      <c r="AT1111" s="34">
        <f>IF(AND(E1111=1,L1111=1),AI1111,"")</f>
        <v>1.7</v>
      </c>
      <c r="AU1111" s="34" t="str">
        <f>IF(AND(E1111=1,L1111=0),AI1111,"")</f>
        <v/>
      </c>
      <c r="AV1111" s="34">
        <f>IF(AND(E1111=1,L1111=1),AG1111,"")</f>
        <v>7.1</v>
      </c>
      <c r="AW1111" s="34" t="str">
        <f>IF(AND(E1111=1,L1111=0),AG1111,"")</f>
        <v/>
      </c>
      <c r="AX1111" s="34">
        <f>IF(AND(E1111=1,L1111=1),AH1111,"")</f>
        <v>6.6</v>
      </c>
      <c r="AY1111" s="34" t="str">
        <f>IF(AND(E1111=1,L1111=0),AH1111,"")</f>
        <v/>
      </c>
      <c r="AZ1111" s="34" t="str">
        <f>IF(G1111=1,F1111,"")</f>
        <v/>
      </c>
      <c r="BA1111" s="34" t="str">
        <f>IF(AND(G1111=1,L1111=1),F1111,"")</f>
        <v/>
      </c>
      <c r="BB1111" s="34" t="str">
        <f>IF(AND(G1111=1,L1111=0),F1111,"")</f>
        <v/>
      </c>
      <c r="BC1111" s="33">
        <f>IF(E1111=1,IF(Orders!R1108&gt;3,1,0),"")</f>
        <v>0</v>
      </c>
      <c r="BD1111" s="33">
        <f>IF(E1111=1,IF(Orders!R1108&gt;7,1,0),"")</f>
        <v>0</v>
      </c>
      <c r="BE1111" s="32" t="str">
        <f>IF(E1111=1,IF(Orders!L1108&lt;=1.5,"Up to 1.5 km",IF(Orders!L1108&lt;=3,"1.5–3 km","Over 3 km")),"")</f>
        <v>Up to 1.5 km</v>
      </c>
      <c r="BF1111" s="33">
        <f>IF(E1111=1,IF(ABS((Orders!G1108-Orders!F1108)*1440-Orders!R1108)&lt;0.06,1,0),"")</f>
        <v>1</v>
      </c>
      <c r="BG1111" s="33">
        <f>IF(ABS((Orders!F1108-Orders!E1108)*1440-Orders!P1108)&lt;0.06,1,0)</f>
        <v>1</v>
      </c>
      <c r="BH1111" s="33">
        <f>IF(E1111=1,IF(IF(Orders!S1108,1,0)=1-G1111,1,0),"")</f>
        <v>1</v>
      </c>
      <c r="BI1111" s="32" t="str">
        <f>INDEX(Stores!$B$2:$B$21,MATCH(B1111,Stores!$A$2:$A$21,0))</f>
        <v>Mumbai</v>
      </c>
    </row>
    <row r="1112">
      <c r="A1112" s="32" t="str">
        <f>Orders!A1109</f>
        <v>O01108</v>
      </c>
      <c r="B1112" s="32" t="str">
        <f>Orders!C1109</f>
        <v>S015</v>
      </c>
      <c r="C1112" s="32" t="str">
        <f>Orders!B1109</f>
        <v>C0168</v>
      </c>
      <c r="D1112" s="32" t="str">
        <f>Orders!H1109</f>
        <v>Delivered</v>
      </c>
      <c r="E1112" s="33">
        <f>IF(Orders!H1109="Delivered",1,0)</f>
        <v>1</v>
      </c>
      <c r="F1112" s="34">
        <f>IF(E1112=1,Orders!R1109,"")</f>
        <v>-1.2</v>
      </c>
      <c r="G1112" s="33">
        <f>IF(E1112=1,IF(Orders!R1109&gt;0,1,0),"")</f>
        <v>0</v>
      </c>
      <c r="H1112" s="33">
        <f>IF(E1112=1,IF(Orders!R1109&gt;5,1,0),"")</f>
        <v>0</v>
      </c>
      <c r="I1112" s="32" t="str">
        <f>IF(E1112=1,"",IF(OR(Orders!T1109="Rider unavailable",Orders!T1109="Item unavailable"),"Company-caused","Unresolved"))</f>
        <v/>
      </c>
      <c r="J1112" s="33">
        <f>IF(OR(E1112=1,I1112="Company-caused"),1,0)</f>
        <v>1</v>
      </c>
      <c r="K1112" s="32" t="str">
        <f>IF(E1112=0,IF(I1112="Company-caused",IF(Orders!T1109="Rider unavailable","C1 Rider unavailable","C2 Item unavailable"),"Outside root: unresolved"),IF(G1112=0,"A On time",IF(H1112=1,IF(L1112=1,"B2a Severe, peak","B2b Severe, off-peak"),IF(L1112=1,"B1a Slight, peak","B1b Slight, off-peak"))))</f>
        <v>A On time</v>
      </c>
      <c r="L1112" s="33">
        <f>IF(AND(Orders!U1109&gt;=19,Orders!U1109&lt;22),1,0)</f>
        <v>0</v>
      </c>
      <c r="M1112" s="33">
        <f>IF(L1112=IF(Orders!V1109,1,0),1,0)</f>
        <v>1</v>
      </c>
      <c r="N1112" s="32" t="str">
        <f>IF(Orders!W1109="","None",Orders!W1109)</f>
        <v>None</v>
      </c>
      <c r="O1112" s="35">
        <f>INT(Orders!E1109)</f>
        <v>46275.0</v>
      </c>
      <c r="P1112" s="33">
        <f>Orders!U1109</f>
        <v>8</v>
      </c>
      <c r="Q1112" s="33">
        <f>COUNTIFS(Demand!$A$2:$A$4481,B1112,Demand!$B$2:$B$4481,O1112,Demand!$C$2:$C$4481,P1112)</f>
        <v>1</v>
      </c>
      <c r="R1112" s="33">
        <f>IF(Q1112=1,SUMIFS(Demand!$E$2:$E$4481,Demand!$A$2:$A$4481,B1112,Demand!$B$2:$B$4481,O1112,Demand!$C$2:$C$4481,P1112),"")</f>
        <v>19</v>
      </c>
      <c r="S1112" s="33">
        <f>INDEX(Stores!$G$2:$G$21,MATCH(B1112,Stores!$A$2:$A$21,0))</f>
        <v>23</v>
      </c>
      <c r="T1112" s="34">
        <f>IF(R1112="","",R1112/S1112)</f>
        <v>0.826086956521739</v>
      </c>
      <c r="U1112" s="34">
        <f>IF(E1112=1,T1112,"")</f>
        <v>0.826086956521739</v>
      </c>
      <c r="V1112" s="34">
        <f>IF(AND(E1112=1,L1112=0),T1112,"")</f>
        <v>0.826086956521739</v>
      </c>
      <c r="W1112" s="33">
        <f>IF(U1112="","",IF(U1112&lt;=Breakdowns!$C$5,1,IF(U1112&lt;=Breakdowns!$C$6,2,IF(U1112&lt;=Breakdowns!$C$7,3,4))))</f>
        <v>2</v>
      </c>
      <c r="X1112" s="33">
        <f>IF(V1112="","",IF(V1112&lt;=Breakdowns!$D$5,1,IF(V1112&lt;=Breakdowns!$D$6,2,IF(V1112&lt;=Breakdowns!$D$7,3,4))))</f>
        <v>2</v>
      </c>
      <c r="Y1112" s="34">
        <f>INDEX(Stores!$F$2:$F$21,MATCH(B1112,Stores!$A$2:$A$21,0))</f>
        <v>4.66</v>
      </c>
      <c r="Z1112" s="33">
        <f>IF(Y1112&gt;Store_Summary!$M$2,1,0)</f>
        <v>0</v>
      </c>
      <c r="AA1112" s="33">
        <f>INDEX(Stores!$C$2:$C$21,MATCH(B1112,Stores!$A$2:$A$21,0))</f>
        <v>204</v>
      </c>
      <c r="AB1112" s="33">
        <f>IF(AA1112&lt;180,1,0)</f>
        <v>0</v>
      </c>
      <c r="AC1112" s="32" t="str">
        <f>IF(Orders!D1109="","",INDEX(Riders!$C$2:$C$81,MATCH(Orders!D1109,Riders!$A$2:$A$81,0)))</f>
        <v>Petrol scooter</v>
      </c>
      <c r="AD1112" s="33">
        <f>IF(Orders!D1109="","",INDEX(Riders!$D$2:$D$81,MATCH(Orders!D1109,Riders!$A$2:$A$81,0)))</f>
        <v>43</v>
      </c>
      <c r="AE1112" s="33">
        <f>IF(Orders!D1109="","",IF(INDEX(Riders!$B$2:$B$81,MATCH(Orders!D1109,Riders!$A$2:$A$81,0))=B1112,1,0))</f>
        <v>0</v>
      </c>
      <c r="AF1112" s="34">
        <f>IF(E1112=1,Orders!L1109,"")</f>
        <v>1.46</v>
      </c>
      <c r="AG1112" s="34">
        <f>IF(E1112=1,Orders!P1109,"")</f>
        <v>9.8</v>
      </c>
      <c r="AH1112" s="34">
        <f>IF(E1112=1,Orders!Q1109,"")</f>
        <v>8.6</v>
      </c>
      <c r="AI1112" s="34">
        <f>IF(E1112=1,Orders!M1109,"")</f>
        <v>4.3</v>
      </c>
      <c r="AJ1112" s="34">
        <f>IF(E1112=1,Orders!N1109,"")</f>
        <v>1.6</v>
      </c>
      <c r="AK1112" s="34">
        <f>IF(E1112=1,Orders!O1109,"")</f>
        <v>2.7</v>
      </c>
      <c r="AL1112" s="33">
        <f>IF(E1112=1,IF(ROUND(ABS(AI1112+AJ1112+AK1112-AH1112),6)&lt;=0.1,1,0),"")</f>
        <v>1</v>
      </c>
      <c r="AM1112" s="36">
        <f>IF(E1112=1,AI1112/AH1112,"")</f>
        <v>0.5</v>
      </c>
      <c r="AN1112" s="36">
        <f>IF(E1112=1,AJ1112/AH1112,"")</f>
        <v>0.186046511627907</v>
      </c>
      <c r="AO1112" s="36">
        <f>IF(E1112=1,AK1112/AH1112,"")</f>
        <v>0.313953488372093</v>
      </c>
      <c r="AP1112" s="34">
        <f>IF(E1112=1,Orders!Y1109,"")</f>
        <v>0.48</v>
      </c>
      <c r="AQ1112" s="33">
        <f>IF(Orders!X1109,1,0)</f>
        <v>0</v>
      </c>
      <c r="AR1112" s="34" t="str">
        <f>IF(AND(E1112=1,L1112=1),AJ1112,"")</f>
        <v/>
      </c>
      <c r="AS1112" s="34">
        <f>IF(AND(E1112=1,L1112=0),AJ1112,"")</f>
        <v>1.6</v>
      </c>
      <c r="AT1112" s="34" t="str">
        <f>IF(AND(E1112=1,L1112=1),AI1112,"")</f>
        <v/>
      </c>
      <c r="AU1112" s="34">
        <f>IF(AND(E1112=1,L1112=0),AI1112,"")</f>
        <v>4.3</v>
      </c>
      <c r="AV1112" s="34" t="str">
        <f>IF(AND(E1112=1,L1112=1),AG1112,"")</f>
        <v/>
      </c>
      <c r="AW1112" s="34">
        <f>IF(AND(E1112=1,L1112=0),AG1112,"")</f>
        <v>9.8</v>
      </c>
      <c r="AX1112" s="34" t="str">
        <f>IF(AND(E1112=1,L1112=1),AH1112,"")</f>
        <v/>
      </c>
      <c r="AY1112" s="34">
        <f>IF(AND(E1112=1,L1112=0),AH1112,"")</f>
        <v>8.6</v>
      </c>
      <c r="AZ1112" s="34" t="str">
        <f>IF(G1112=1,F1112,"")</f>
        <v/>
      </c>
      <c r="BA1112" s="34" t="str">
        <f>IF(AND(G1112=1,L1112=1),F1112,"")</f>
        <v/>
      </c>
      <c r="BB1112" s="34" t="str">
        <f>IF(AND(G1112=1,L1112=0),F1112,"")</f>
        <v/>
      </c>
      <c r="BC1112" s="33">
        <f>IF(E1112=1,IF(Orders!R1109&gt;3,1,0),"")</f>
        <v>0</v>
      </c>
      <c r="BD1112" s="33">
        <f>IF(E1112=1,IF(Orders!R1109&gt;7,1,0),"")</f>
        <v>0</v>
      </c>
      <c r="BE1112" s="32" t="str">
        <f>IF(E1112=1,IF(Orders!L1109&lt;=1.5,"Up to 1.5 km",IF(Orders!L1109&lt;=3,"1.5–3 km","Over 3 km")),"")</f>
        <v>Up to 1.5 km</v>
      </c>
      <c r="BF1112" s="33">
        <f>IF(E1112=1,IF(ABS((Orders!G1109-Orders!F1109)*1440-Orders!R1109)&lt;0.06,1,0),"")</f>
        <v>1</v>
      </c>
      <c r="BG1112" s="33">
        <f>IF(ABS((Orders!F1109-Orders!E1109)*1440-Orders!P1109)&lt;0.06,1,0)</f>
        <v>1</v>
      </c>
      <c r="BH1112" s="33">
        <f>IF(E1112=1,IF(IF(Orders!S1109,1,0)=1-G1112,1,0),"")</f>
        <v>1</v>
      </c>
      <c r="BI1112" s="32" t="str">
        <f>INDEX(Stores!$B$2:$B$21,MATCH(B1112,Stores!$A$2:$A$21,0))</f>
        <v>Delhi</v>
      </c>
    </row>
    <row r="1113">
      <c r="A1113" s="32" t="str">
        <f>Orders!A1110</f>
        <v>O01109</v>
      </c>
      <c r="B1113" s="32" t="str">
        <f>Orders!C1110</f>
        <v>S013</v>
      </c>
      <c r="C1113" s="32" t="str">
        <f>Orders!B1110</f>
        <v>C0065</v>
      </c>
      <c r="D1113" s="32" t="str">
        <f>Orders!H1110</f>
        <v>Delivered</v>
      </c>
      <c r="E1113" s="33">
        <f>IF(Orders!H1110="Delivered",1,0)</f>
        <v>1</v>
      </c>
      <c r="F1113" s="34">
        <f>IF(E1113=1,Orders!R1110,"")</f>
        <v>-0.5</v>
      </c>
      <c r="G1113" s="33">
        <f>IF(E1113=1,IF(Orders!R1110&gt;0,1,0),"")</f>
        <v>0</v>
      </c>
      <c r="H1113" s="33">
        <f>IF(E1113=1,IF(Orders!R1110&gt;5,1,0),"")</f>
        <v>0</v>
      </c>
      <c r="I1113" s="32" t="str">
        <f>IF(E1113=1,"",IF(OR(Orders!T1110="Rider unavailable",Orders!T1110="Item unavailable"),"Company-caused","Unresolved"))</f>
        <v/>
      </c>
      <c r="J1113" s="33">
        <f>IF(OR(E1113=1,I1113="Company-caused"),1,0)</f>
        <v>1</v>
      </c>
      <c r="K1113" s="32" t="str">
        <f>IF(E1113=0,IF(I1113="Company-caused",IF(Orders!T1110="Rider unavailable","C1 Rider unavailable","C2 Item unavailable"),"Outside root: unresolved"),IF(G1113=0,"A On time",IF(H1113=1,IF(L1113=1,"B2a Severe, peak","B2b Severe, off-peak"),IF(L1113=1,"B1a Slight, peak","B1b Slight, off-peak"))))</f>
        <v>A On time</v>
      </c>
      <c r="L1113" s="33">
        <f>IF(AND(Orders!U1110&gt;=19,Orders!U1110&lt;22),1,0)</f>
        <v>0</v>
      </c>
      <c r="M1113" s="33">
        <f>IF(L1113=IF(Orders!V1110,1,0),1,0)</f>
        <v>1</v>
      </c>
      <c r="N1113" s="32" t="str">
        <f>IF(Orders!W1110="","None",Orders!W1110)</f>
        <v>None</v>
      </c>
      <c r="O1113" s="35">
        <f>INT(Orders!E1110)</f>
        <v>46276.0</v>
      </c>
      <c r="P1113" s="33">
        <f>Orders!U1110</f>
        <v>9</v>
      </c>
      <c r="Q1113" s="33">
        <f>COUNTIFS(Demand!$A$2:$A$4481,B1113,Demand!$B$2:$B$4481,O1113,Demand!$C$2:$C$4481,P1113)</f>
        <v>1</v>
      </c>
      <c r="R1113" s="33">
        <f>IF(Q1113=1,SUMIFS(Demand!$E$2:$E$4481,Demand!$A$2:$A$4481,B1113,Demand!$B$2:$B$4481,O1113,Demand!$C$2:$C$4481,P1113),"")</f>
        <v>35</v>
      </c>
      <c r="S1113" s="33">
        <f>INDEX(Stores!$G$2:$G$21,MATCH(B1113,Stores!$A$2:$A$21,0))</f>
        <v>49</v>
      </c>
      <c r="T1113" s="34">
        <f>IF(R1113="","",R1113/S1113)</f>
        <v>0.714285714285714</v>
      </c>
      <c r="U1113" s="34">
        <f>IF(E1113=1,T1113,"")</f>
        <v>0.714285714285714</v>
      </c>
      <c r="V1113" s="34">
        <f>IF(AND(E1113=1,L1113=0),T1113,"")</f>
        <v>0.714285714285714</v>
      </c>
      <c r="W1113" s="33">
        <f>IF(U1113="","",IF(U1113&lt;=Breakdowns!$C$5,1,IF(U1113&lt;=Breakdowns!$C$6,2,IF(U1113&lt;=Breakdowns!$C$7,3,4))))</f>
        <v>1</v>
      </c>
      <c r="X1113" s="33">
        <f>IF(V1113="","",IF(V1113&lt;=Breakdowns!$D$5,1,IF(V1113&lt;=Breakdowns!$D$6,2,IF(V1113&lt;=Breakdowns!$D$7,3,4))))</f>
        <v>1</v>
      </c>
      <c r="Y1113" s="34">
        <f>INDEX(Stores!$F$2:$F$21,MATCH(B1113,Stores!$A$2:$A$21,0))</f>
        <v>5.82</v>
      </c>
      <c r="Z1113" s="33">
        <f>IF(Y1113&gt;Store_Summary!$M$2,1,0)</f>
        <v>1</v>
      </c>
      <c r="AA1113" s="33">
        <f>INDEX(Stores!$C$2:$C$21,MATCH(B1113,Stores!$A$2:$A$21,0))</f>
        <v>705</v>
      </c>
      <c r="AB1113" s="33">
        <f>IF(AA1113&lt;180,1,0)</f>
        <v>0</v>
      </c>
      <c r="AC1113" s="32" t="str">
        <f>IF(Orders!D1110="","",INDEX(Riders!$C$2:$C$81,MATCH(Orders!D1110,Riders!$A$2:$A$81,0)))</f>
        <v>EV scooter</v>
      </c>
      <c r="AD1113" s="33">
        <f>IF(Orders!D1110="","",INDEX(Riders!$D$2:$D$81,MATCH(Orders!D1110,Riders!$A$2:$A$81,0)))</f>
        <v>33</v>
      </c>
      <c r="AE1113" s="33">
        <f>IF(Orders!D1110="","",IF(INDEX(Riders!$B$2:$B$81,MATCH(Orders!D1110,Riders!$A$2:$A$81,0))=B1113,1,0))</f>
        <v>0</v>
      </c>
      <c r="AF1113" s="34">
        <f>IF(E1113=1,Orders!L1110,"")</f>
        <v>1.47</v>
      </c>
      <c r="AG1113" s="34">
        <f>IF(E1113=1,Orders!P1110,"")</f>
        <v>12.8</v>
      </c>
      <c r="AH1113" s="34">
        <f>IF(E1113=1,Orders!Q1110,"")</f>
        <v>12.3</v>
      </c>
      <c r="AI1113" s="34">
        <f>IF(E1113=1,Orders!M1110,"")</f>
        <v>5.1</v>
      </c>
      <c r="AJ1113" s="34">
        <f>IF(E1113=1,Orders!N1110,"")</f>
        <v>4.5</v>
      </c>
      <c r="AK1113" s="34">
        <f>IF(E1113=1,Orders!O1110,"")</f>
        <v>2.7</v>
      </c>
      <c r="AL1113" s="33">
        <f>IF(E1113=1,IF(ROUND(ABS(AI1113+AJ1113+AK1113-AH1113),6)&lt;=0.1,1,0),"")</f>
        <v>1</v>
      </c>
      <c r="AM1113" s="36">
        <f>IF(E1113=1,AI1113/AH1113,"")</f>
        <v>0.414634146341463</v>
      </c>
      <c r="AN1113" s="36">
        <f>IF(E1113=1,AJ1113/AH1113,"")</f>
        <v>0.365853658536585</v>
      </c>
      <c r="AO1113" s="36">
        <f>IF(E1113=1,AK1113/AH1113,"")</f>
        <v>0.219512195121951</v>
      </c>
      <c r="AP1113" s="34">
        <f>IF(E1113=1,Orders!Y1110,"")</f>
        <v>0.15</v>
      </c>
      <c r="AQ1113" s="33">
        <f>IF(Orders!X1110,1,0)</f>
        <v>0</v>
      </c>
      <c r="AR1113" s="34" t="str">
        <f>IF(AND(E1113=1,L1113=1),AJ1113,"")</f>
        <v/>
      </c>
      <c r="AS1113" s="34">
        <f>IF(AND(E1113=1,L1113=0),AJ1113,"")</f>
        <v>4.5</v>
      </c>
      <c r="AT1113" s="34" t="str">
        <f>IF(AND(E1113=1,L1113=1),AI1113,"")</f>
        <v/>
      </c>
      <c r="AU1113" s="34">
        <f>IF(AND(E1113=1,L1113=0),AI1113,"")</f>
        <v>5.1</v>
      </c>
      <c r="AV1113" s="34" t="str">
        <f>IF(AND(E1113=1,L1113=1),AG1113,"")</f>
        <v/>
      </c>
      <c r="AW1113" s="34">
        <f>IF(AND(E1113=1,L1113=0),AG1113,"")</f>
        <v>12.8</v>
      </c>
      <c r="AX1113" s="34" t="str">
        <f>IF(AND(E1113=1,L1113=1),AH1113,"")</f>
        <v/>
      </c>
      <c r="AY1113" s="34">
        <f>IF(AND(E1113=1,L1113=0),AH1113,"")</f>
        <v>12.3</v>
      </c>
      <c r="AZ1113" s="34" t="str">
        <f>IF(G1113=1,F1113,"")</f>
        <v/>
      </c>
      <c r="BA1113" s="34" t="str">
        <f>IF(AND(G1113=1,L1113=1),F1113,"")</f>
        <v/>
      </c>
      <c r="BB1113" s="34" t="str">
        <f>IF(AND(G1113=1,L1113=0),F1113,"")</f>
        <v/>
      </c>
      <c r="BC1113" s="33">
        <f>IF(E1113=1,IF(Orders!R1110&gt;3,1,0),"")</f>
        <v>0</v>
      </c>
      <c r="BD1113" s="33">
        <f>IF(E1113=1,IF(Orders!R1110&gt;7,1,0),"")</f>
        <v>0</v>
      </c>
      <c r="BE1113" s="32" t="str">
        <f>IF(E1113=1,IF(Orders!L1110&lt;=1.5,"Up to 1.5 km",IF(Orders!L1110&lt;=3,"1.5–3 km","Over 3 km")),"")</f>
        <v>Up to 1.5 km</v>
      </c>
      <c r="BF1113" s="33">
        <f>IF(E1113=1,IF(ABS((Orders!G1110-Orders!F1110)*1440-Orders!R1110)&lt;0.06,1,0),"")</f>
        <v>1</v>
      </c>
      <c r="BG1113" s="33">
        <f>IF(ABS((Orders!F1110-Orders!E1110)*1440-Orders!P1110)&lt;0.06,1,0)</f>
        <v>1</v>
      </c>
      <c r="BH1113" s="33">
        <f>IF(E1113=1,IF(IF(Orders!S1110,1,0)=1-G1113,1,0),"")</f>
        <v>1</v>
      </c>
      <c r="BI1113" s="32" t="str">
        <f>INDEX(Stores!$B$2:$B$21,MATCH(B1113,Stores!$A$2:$A$21,0))</f>
        <v>Mumbai</v>
      </c>
    </row>
    <row r="1114">
      <c r="A1114" s="32" t="str">
        <f>Orders!A1111</f>
        <v>O01110</v>
      </c>
      <c r="B1114" s="32" t="str">
        <f>Orders!C1111</f>
        <v>S016</v>
      </c>
      <c r="C1114" s="32" t="str">
        <f>Orders!B1111</f>
        <v>C0151</v>
      </c>
      <c r="D1114" s="32" t="str">
        <f>Orders!H1111</f>
        <v>Delivered</v>
      </c>
      <c r="E1114" s="33">
        <f>IF(Orders!H1111="Delivered",1,0)</f>
        <v>1</v>
      </c>
      <c r="F1114" s="34">
        <f>IF(E1114=1,Orders!R1111,"")</f>
        <v>-0.3</v>
      </c>
      <c r="G1114" s="33">
        <f>IF(E1114=1,IF(Orders!R1111&gt;0,1,0),"")</f>
        <v>0</v>
      </c>
      <c r="H1114" s="33">
        <f>IF(E1114=1,IF(Orders!R1111&gt;5,1,0),"")</f>
        <v>0</v>
      </c>
      <c r="I1114" s="32" t="str">
        <f>IF(E1114=1,"",IF(OR(Orders!T1111="Rider unavailable",Orders!T1111="Item unavailable"),"Company-caused","Unresolved"))</f>
        <v/>
      </c>
      <c r="J1114" s="33">
        <f>IF(OR(E1114=1,I1114="Company-caused"),1,0)</f>
        <v>1</v>
      </c>
      <c r="K1114" s="32" t="str">
        <f>IF(E1114=0,IF(I1114="Company-caused",IF(Orders!T1111="Rider unavailable","C1 Rider unavailable","C2 Item unavailable"),"Outside root: unresolved"),IF(G1114=0,"A On time",IF(H1114=1,IF(L1114=1,"B2a Severe, peak","B2b Severe, off-peak"),IF(L1114=1,"B1a Slight, peak","B1b Slight, off-peak"))))</f>
        <v>A On time</v>
      </c>
      <c r="L1114" s="33">
        <f>IF(AND(Orders!U1111&gt;=19,Orders!U1111&lt;22),1,0)</f>
        <v>0</v>
      </c>
      <c r="M1114" s="33">
        <f>IF(L1114=IF(Orders!V1111,1,0),1,0)</f>
        <v>1</v>
      </c>
      <c r="N1114" s="32" t="str">
        <f>IF(Orders!W1111="","None",Orders!W1111)</f>
        <v>None</v>
      </c>
      <c r="O1114" s="35">
        <f>INT(Orders!E1111)</f>
        <v>46275.0</v>
      </c>
      <c r="P1114" s="33">
        <f>Orders!U1111</f>
        <v>11</v>
      </c>
      <c r="Q1114" s="33">
        <f>COUNTIFS(Demand!$A$2:$A$4481,B1114,Demand!$B$2:$B$4481,O1114,Demand!$C$2:$C$4481,P1114)</f>
        <v>1</v>
      </c>
      <c r="R1114" s="33">
        <f>IF(Q1114=1,SUMIFS(Demand!$E$2:$E$4481,Demand!$A$2:$A$4481,B1114,Demand!$B$2:$B$4481,O1114,Demand!$C$2:$C$4481,P1114),"")</f>
        <v>20</v>
      </c>
      <c r="S1114" s="33">
        <f>INDEX(Stores!$G$2:$G$21,MATCH(B1114,Stores!$A$2:$A$21,0))</f>
        <v>25</v>
      </c>
      <c r="T1114" s="34">
        <f>IF(R1114="","",R1114/S1114)</f>
        <v>0.8</v>
      </c>
      <c r="U1114" s="34">
        <f>IF(E1114=1,T1114,"")</f>
        <v>0.8</v>
      </c>
      <c r="V1114" s="34">
        <f>IF(AND(E1114=1,L1114=0),T1114,"")</f>
        <v>0.8</v>
      </c>
      <c r="W1114" s="33">
        <f>IF(U1114="","",IF(U1114&lt;=Breakdowns!$C$5,1,IF(U1114&lt;=Breakdowns!$C$6,2,IF(U1114&lt;=Breakdowns!$C$7,3,4))))</f>
        <v>2</v>
      </c>
      <c r="X1114" s="33">
        <f>IF(V1114="","",IF(V1114&lt;=Breakdowns!$D$5,1,IF(V1114&lt;=Breakdowns!$D$6,2,IF(V1114&lt;=Breakdowns!$D$7,3,4))))</f>
        <v>2</v>
      </c>
      <c r="Y1114" s="34">
        <f>INDEX(Stores!$F$2:$F$21,MATCH(B1114,Stores!$A$2:$A$21,0))</f>
        <v>5.51</v>
      </c>
      <c r="Z1114" s="33">
        <f>IF(Y1114&gt;Store_Summary!$M$2,1,0)</f>
        <v>1</v>
      </c>
      <c r="AA1114" s="33">
        <f>INDEX(Stores!$C$2:$C$21,MATCH(B1114,Stores!$A$2:$A$21,0))</f>
        <v>792</v>
      </c>
      <c r="AB1114" s="33">
        <f>IF(AA1114&lt;180,1,0)</f>
        <v>0</v>
      </c>
      <c r="AC1114" s="32" t="str">
        <f>IF(Orders!D1111="","",INDEX(Riders!$C$2:$C$81,MATCH(Orders!D1111,Riders!$A$2:$A$81,0)))</f>
        <v>EV scooter</v>
      </c>
      <c r="AD1114" s="33">
        <f>IF(Orders!D1111="","",INDEX(Riders!$D$2:$D$81,MATCH(Orders!D1111,Riders!$A$2:$A$81,0)))</f>
        <v>18</v>
      </c>
      <c r="AE1114" s="33">
        <f>IF(Orders!D1111="","",IF(INDEX(Riders!$B$2:$B$81,MATCH(Orders!D1111,Riders!$A$2:$A$81,0))=B1114,1,0))</f>
        <v>0</v>
      </c>
      <c r="AF1114" s="34">
        <f>IF(E1114=1,Orders!L1111,"")</f>
        <v>2.5</v>
      </c>
      <c r="AG1114" s="34">
        <f>IF(E1114=1,Orders!P1111,"")</f>
        <v>11.5</v>
      </c>
      <c r="AH1114" s="34">
        <f>IF(E1114=1,Orders!Q1111,"")</f>
        <v>11.2</v>
      </c>
      <c r="AI1114" s="34">
        <f>IF(E1114=1,Orders!M1111,"")</f>
        <v>4</v>
      </c>
      <c r="AJ1114" s="34">
        <f>IF(E1114=1,Orders!N1111,"")</f>
        <v>2.3</v>
      </c>
      <c r="AK1114" s="34">
        <f>IF(E1114=1,Orders!O1111,"")</f>
        <v>4.9</v>
      </c>
      <c r="AL1114" s="33">
        <f>IF(E1114=1,IF(ROUND(ABS(AI1114+AJ1114+AK1114-AH1114),6)&lt;=0.1,1,0),"")</f>
        <v>1</v>
      </c>
      <c r="AM1114" s="36">
        <f>IF(E1114=1,AI1114/AH1114,"")</f>
        <v>0.357142857142857</v>
      </c>
      <c r="AN1114" s="36">
        <f>IF(E1114=1,AJ1114/AH1114,"")</f>
        <v>0.205357142857143</v>
      </c>
      <c r="AO1114" s="36">
        <f>IF(E1114=1,AK1114/AH1114,"")</f>
        <v>0.4375</v>
      </c>
      <c r="AP1114" s="34">
        <f>IF(E1114=1,Orders!Y1111,"")</f>
        <v>0.28</v>
      </c>
      <c r="AQ1114" s="33">
        <f>IF(Orders!X1111,1,0)</f>
        <v>0</v>
      </c>
      <c r="AR1114" s="34" t="str">
        <f>IF(AND(E1114=1,L1114=1),AJ1114,"")</f>
        <v/>
      </c>
      <c r="AS1114" s="34">
        <f>IF(AND(E1114=1,L1114=0),AJ1114,"")</f>
        <v>2.3</v>
      </c>
      <c r="AT1114" s="34" t="str">
        <f>IF(AND(E1114=1,L1114=1),AI1114,"")</f>
        <v/>
      </c>
      <c r="AU1114" s="34">
        <f>IF(AND(E1114=1,L1114=0),AI1114,"")</f>
        <v>4</v>
      </c>
      <c r="AV1114" s="34" t="str">
        <f>IF(AND(E1114=1,L1114=1),AG1114,"")</f>
        <v/>
      </c>
      <c r="AW1114" s="34">
        <f>IF(AND(E1114=1,L1114=0),AG1114,"")</f>
        <v>11.5</v>
      </c>
      <c r="AX1114" s="34" t="str">
        <f>IF(AND(E1114=1,L1114=1),AH1114,"")</f>
        <v/>
      </c>
      <c r="AY1114" s="34">
        <f>IF(AND(E1114=1,L1114=0),AH1114,"")</f>
        <v>11.2</v>
      </c>
      <c r="AZ1114" s="34" t="str">
        <f>IF(G1114=1,F1114,"")</f>
        <v/>
      </c>
      <c r="BA1114" s="34" t="str">
        <f>IF(AND(G1114=1,L1114=1),F1114,"")</f>
        <v/>
      </c>
      <c r="BB1114" s="34" t="str">
        <f>IF(AND(G1114=1,L1114=0),F1114,"")</f>
        <v/>
      </c>
      <c r="BC1114" s="33">
        <f>IF(E1114=1,IF(Orders!R1111&gt;3,1,0),"")</f>
        <v>0</v>
      </c>
      <c r="BD1114" s="33">
        <f>IF(E1114=1,IF(Orders!R1111&gt;7,1,0),"")</f>
        <v>0</v>
      </c>
      <c r="BE1114" s="32" t="str">
        <f>IF(E1114=1,IF(Orders!L1111&lt;=1.5,"Up to 1.5 km",IF(Orders!L1111&lt;=3,"1.5–3 km","Over 3 km")),"")</f>
        <v>1.5–3 km</v>
      </c>
      <c r="BF1114" s="33">
        <f>IF(E1114=1,IF(ABS((Orders!G1111-Orders!F1111)*1440-Orders!R1111)&lt;0.06,1,0),"")</f>
        <v>1</v>
      </c>
      <c r="BG1114" s="33">
        <f>IF(ABS((Orders!F1111-Orders!E1111)*1440-Orders!P1111)&lt;0.06,1,0)</f>
        <v>1</v>
      </c>
      <c r="BH1114" s="33">
        <f>IF(E1114=1,IF(IF(Orders!S1111,1,0)=1-G1114,1,0),"")</f>
        <v>1</v>
      </c>
      <c r="BI1114" s="32" t="str">
        <f>INDEX(Stores!$B$2:$B$21,MATCH(B1114,Stores!$A$2:$A$21,0))</f>
        <v>Bengaluru</v>
      </c>
    </row>
    <row r="1115">
      <c r="A1115" s="32" t="str">
        <f>Orders!A1112</f>
        <v>O01111</v>
      </c>
      <c r="B1115" s="32" t="str">
        <f>Orders!C1112</f>
        <v>S018</v>
      </c>
      <c r="C1115" s="32" t="str">
        <f>Orders!B1112</f>
        <v>C0169</v>
      </c>
      <c r="D1115" s="32" t="str">
        <f>Orders!H1112</f>
        <v>Delivered</v>
      </c>
      <c r="E1115" s="33">
        <f>IF(Orders!H1112="Delivered",1,0)</f>
        <v>1</v>
      </c>
      <c r="F1115" s="34">
        <f>IF(E1115=1,Orders!R1112,"")</f>
        <v>-1</v>
      </c>
      <c r="G1115" s="33">
        <f>IF(E1115=1,IF(Orders!R1112&gt;0,1,0),"")</f>
        <v>0</v>
      </c>
      <c r="H1115" s="33">
        <f>IF(E1115=1,IF(Orders!R1112&gt;5,1,0),"")</f>
        <v>0</v>
      </c>
      <c r="I1115" s="32" t="str">
        <f>IF(E1115=1,"",IF(OR(Orders!T1112="Rider unavailable",Orders!T1112="Item unavailable"),"Company-caused","Unresolved"))</f>
        <v/>
      </c>
      <c r="J1115" s="33">
        <f>IF(OR(E1115=1,I1115="Company-caused"),1,0)</f>
        <v>1</v>
      </c>
      <c r="K1115" s="32" t="str">
        <f>IF(E1115=0,IF(I1115="Company-caused",IF(Orders!T1112="Rider unavailable","C1 Rider unavailable","C2 Item unavailable"),"Outside root: unresolved"),IF(G1115=0,"A On time",IF(H1115=1,IF(L1115=1,"B2a Severe, peak","B2b Severe, off-peak"),IF(L1115=1,"B1a Slight, peak","B1b Slight, off-peak"))))</f>
        <v>A On time</v>
      </c>
      <c r="L1115" s="33">
        <f>IF(AND(Orders!U1112&gt;=19,Orders!U1112&lt;22),1,0)</f>
        <v>0</v>
      </c>
      <c r="M1115" s="33">
        <f>IF(L1115=IF(Orders!V1112,1,0),1,0)</f>
        <v>1</v>
      </c>
      <c r="N1115" s="32" t="str">
        <f>IF(Orders!W1112="","None",Orders!W1112)</f>
        <v>Light</v>
      </c>
      <c r="O1115" s="35">
        <f>INT(Orders!E1112)</f>
        <v>46278.0</v>
      </c>
      <c r="P1115" s="33">
        <f>Orders!U1112</f>
        <v>16</v>
      </c>
      <c r="Q1115" s="33">
        <f>COUNTIFS(Demand!$A$2:$A$4481,B1115,Demand!$B$2:$B$4481,O1115,Demand!$C$2:$C$4481,P1115)</f>
        <v>1</v>
      </c>
      <c r="R1115" s="33">
        <f>IF(Q1115=1,SUMIFS(Demand!$E$2:$E$4481,Demand!$A$2:$A$4481,B1115,Demand!$B$2:$B$4481,O1115,Demand!$C$2:$C$4481,P1115),"")</f>
        <v>23</v>
      </c>
      <c r="S1115" s="33">
        <f>INDEX(Stores!$G$2:$G$21,MATCH(B1115,Stores!$A$2:$A$21,0))</f>
        <v>20</v>
      </c>
      <c r="T1115" s="34">
        <f>IF(R1115="","",R1115/S1115)</f>
        <v>1.15</v>
      </c>
      <c r="U1115" s="34">
        <f>IF(E1115=1,T1115,"")</f>
        <v>1.15</v>
      </c>
      <c r="V1115" s="34">
        <f>IF(AND(E1115=1,L1115=0),T1115,"")</f>
        <v>1.15</v>
      </c>
      <c r="W1115" s="33">
        <f>IF(U1115="","",IF(U1115&lt;=Breakdowns!$C$5,1,IF(U1115&lt;=Breakdowns!$C$6,2,IF(U1115&lt;=Breakdowns!$C$7,3,4))))</f>
        <v>3</v>
      </c>
      <c r="X1115" s="33">
        <f>IF(V1115="","",IF(V1115&lt;=Breakdowns!$D$5,1,IF(V1115&lt;=Breakdowns!$D$6,2,IF(V1115&lt;=Breakdowns!$D$7,3,4))))</f>
        <v>4</v>
      </c>
      <c r="Y1115" s="34">
        <f>INDEX(Stores!$F$2:$F$21,MATCH(B1115,Stores!$A$2:$A$21,0))</f>
        <v>5.31</v>
      </c>
      <c r="Z1115" s="33">
        <f>IF(Y1115&gt;Store_Summary!$M$2,1,0)</f>
        <v>1</v>
      </c>
      <c r="AA1115" s="33">
        <f>INDEX(Stores!$C$2:$C$21,MATCH(B1115,Stores!$A$2:$A$21,0))</f>
        <v>214</v>
      </c>
      <c r="AB1115" s="33">
        <f>IF(AA1115&lt;180,1,0)</f>
        <v>0</v>
      </c>
      <c r="AC1115" s="32" t="str">
        <f>IF(Orders!D1112="","",INDEX(Riders!$C$2:$C$81,MATCH(Orders!D1112,Riders!$A$2:$A$81,0)))</f>
        <v>EV scooter</v>
      </c>
      <c r="AD1115" s="33">
        <f>IF(Orders!D1112="","",INDEX(Riders!$D$2:$D$81,MATCH(Orders!D1112,Riders!$A$2:$A$81,0)))</f>
        <v>45</v>
      </c>
      <c r="AE1115" s="33">
        <f>IF(Orders!D1112="","",IF(INDEX(Riders!$B$2:$B$81,MATCH(Orders!D1112,Riders!$A$2:$A$81,0))=B1115,1,0))</f>
        <v>0</v>
      </c>
      <c r="AF1115" s="34">
        <f>IF(E1115=1,Orders!L1112,"")</f>
        <v>1.47</v>
      </c>
      <c r="AG1115" s="34">
        <f>IF(E1115=1,Orders!P1112,"")</f>
        <v>10.8</v>
      </c>
      <c r="AH1115" s="34">
        <f>IF(E1115=1,Orders!Q1112,"")</f>
        <v>9.8</v>
      </c>
      <c r="AI1115" s="34">
        <f>IF(E1115=1,Orders!M1112,"")</f>
        <v>3.8</v>
      </c>
      <c r="AJ1115" s="34">
        <f>IF(E1115=1,Orders!N1112,"")</f>
        <v>1.6</v>
      </c>
      <c r="AK1115" s="34">
        <f>IF(E1115=1,Orders!O1112,"")</f>
        <v>4.4</v>
      </c>
      <c r="AL1115" s="33">
        <f>IF(E1115=1,IF(ROUND(ABS(AI1115+AJ1115+AK1115-AH1115),6)&lt;=0.1,1,0),"")</f>
        <v>1</v>
      </c>
      <c r="AM1115" s="36">
        <f>IF(E1115=1,AI1115/AH1115,"")</f>
        <v>0.387755102040816</v>
      </c>
      <c r="AN1115" s="36">
        <f>IF(E1115=1,AJ1115/AH1115,"")</f>
        <v>0.163265306122449</v>
      </c>
      <c r="AO1115" s="36">
        <f>IF(E1115=1,AK1115/AH1115,"")</f>
        <v>0.448979591836735</v>
      </c>
      <c r="AP1115" s="34">
        <f>IF(E1115=1,Orders!Y1112,"")</f>
        <v>0.65</v>
      </c>
      <c r="AQ1115" s="33">
        <f>IF(Orders!X1112,1,0)</f>
        <v>0</v>
      </c>
      <c r="AR1115" s="34" t="str">
        <f>IF(AND(E1115=1,L1115=1),AJ1115,"")</f>
        <v/>
      </c>
      <c r="AS1115" s="34">
        <f>IF(AND(E1115=1,L1115=0),AJ1115,"")</f>
        <v>1.6</v>
      </c>
      <c r="AT1115" s="34" t="str">
        <f>IF(AND(E1115=1,L1115=1),AI1115,"")</f>
        <v/>
      </c>
      <c r="AU1115" s="34">
        <f>IF(AND(E1115=1,L1115=0),AI1115,"")</f>
        <v>3.8</v>
      </c>
      <c r="AV1115" s="34" t="str">
        <f>IF(AND(E1115=1,L1115=1),AG1115,"")</f>
        <v/>
      </c>
      <c r="AW1115" s="34">
        <f>IF(AND(E1115=1,L1115=0),AG1115,"")</f>
        <v>10.8</v>
      </c>
      <c r="AX1115" s="34" t="str">
        <f>IF(AND(E1115=1,L1115=1),AH1115,"")</f>
        <v/>
      </c>
      <c r="AY1115" s="34">
        <f>IF(AND(E1115=1,L1115=0),AH1115,"")</f>
        <v>9.8</v>
      </c>
      <c r="AZ1115" s="34" t="str">
        <f>IF(G1115=1,F1115,"")</f>
        <v/>
      </c>
      <c r="BA1115" s="34" t="str">
        <f>IF(AND(G1115=1,L1115=1),F1115,"")</f>
        <v/>
      </c>
      <c r="BB1115" s="34" t="str">
        <f>IF(AND(G1115=1,L1115=0),F1115,"")</f>
        <v/>
      </c>
      <c r="BC1115" s="33">
        <f>IF(E1115=1,IF(Orders!R1112&gt;3,1,0),"")</f>
        <v>0</v>
      </c>
      <c r="BD1115" s="33">
        <f>IF(E1115=1,IF(Orders!R1112&gt;7,1,0),"")</f>
        <v>0</v>
      </c>
      <c r="BE1115" s="32" t="str">
        <f>IF(E1115=1,IF(Orders!L1112&lt;=1.5,"Up to 1.5 km",IF(Orders!L1112&lt;=3,"1.5–3 km","Over 3 km")),"")</f>
        <v>Up to 1.5 km</v>
      </c>
      <c r="BF1115" s="33">
        <f>IF(E1115=1,IF(ABS((Orders!G1112-Orders!F1112)*1440-Orders!R1112)&lt;0.06,1,0),"")</f>
        <v>1</v>
      </c>
      <c r="BG1115" s="33">
        <f>IF(ABS((Orders!F1112-Orders!E1112)*1440-Orders!P1112)&lt;0.06,1,0)</f>
        <v>1</v>
      </c>
      <c r="BH1115" s="33">
        <f>IF(E1115=1,IF(IF(Orders!S1112,1,0)=1-G1115,1,0),"")</f>
        <v>1</v>
      </c>
      <c r="BI1115" s="32" t="str">
        <f>INDEX(Stores!$B$2:$B$21,MATCH(B1115,Stores!$A$2:$A$21,0))</f>
        <v>Mumbai</v>
      </c>
    </row>
    <row r="1116">
      <c r="A1116" s="32" t="str">
        <f>Orders!A1113</f>
        <v>O01112</v>
      </c>
      <c r="B1116" s="32" t="str">
        <f>Orders!C1113</f>
        <v>S001</v>
      </c>
      <c r="C1116" s="32" t="str">
        <f>Orders!B1113</f>
        <v>C0096</v>
      </c>
      <c r="D1116" s="32" t="str">
        <f>Orders!H1113</f>
        <v>Delivered</v>
      </c>
      <c r="E1116" s="33">
        <f>IF(Orders!H1113="Delivered",1,0)</f>
        <v>1</v>
      </c>
      <c r="F1116" s="34">
        <f>IF(E1116=1,Orders!R1113,"")</f>
        <v>-0.3</v>
      </c>
      <c r="G1116" s="33">
        <f>IF(E1116=1,IF(Orders!R1113&gt;0,1,0),"")</f>
        <v>0</v>
      </c>
      <c r="H1116" s="33">
        <f>IF(E1116=1,IF(Orders!R1113&gt;5,1,0),"")</f>
        <v>0</v>
      </c>
      <c r="I1116" s="32" t="str">
        <f>IF(E1116=1,"",IF(OR(Orders!T1113="Rider unavailable",Orders!T1113="Item unavailable"),"Company-caused","Unresolved"))</f>
        <v/>
      </c>
      <c r="J1116" s="33">
        <f>IF(OR(E1116=1,I1116="Company-caused"),1,0)</f>
        <v>1</v>
      </c>
      <c r="K1116" s="32" t="str">
        <f>IF(E1116=0,IF(I1116="Company-caused",IF(Orders!T1113="Rider unavailable","C1 Rider unavailable","C2 Item unavailable"),"Outside root: unresolved"),IF(G1116=0,"A On time",IF(H1116=1,IF(L1116=1,"B2a Severe, peak","B2b Severe, off-peak"),IF(L1116=1,"B1a Slight, peak","B1b Slight, off-peak"))))</f>
        <v>A On time</v>
      </c>
      <c r="L1116" s="33">
        <f>IF(AND(Orders!U1113&gt;=19,Orders!U1113&lt;22),1,0)</f>
        <v>0</v>
      </c>
      <c r="M1116" s="33">
        <f>IF(L1116=IF(Orders!V1113,1,0),1,0)</f>
        <v>1</v>
      </c>
      <c r="N1116" s="32" t="str">
        <f>IF(Orders!W1113="","None",Orders!W1113)</f>
        <v>None</v>
      </c>
      <c r="O1116" s="35">
        <f>INT(Orders!E1113)</f>
        <v>46269.0</v>
      </c>
      <c r="P1116" s="33">
        <f>Orders!U1113</f>
        <v>16</v>
      </c>
      <c r="Q1116" s="33">
        <f>COUNTIFS(Demand!$A$2:$A$4481,B1116,Demand!$B$2:$B$4481,O1116,Demand!$C$2:$C$4481,P1116)</f>
        <v>1</v>
      </c>
      <c r="R1116" s="33">
        <f>IF(Q1116=1,SUMIFS(Demand!$E$2:$E$4481,Demand!$A$2:$A$4481,B1116,Demand!$B$2:$B$4481,O1116,Demand!$C$2:$C$4481,P1116),"")</f>
        <v>14</v>
      </c>
      <c r="S1116" s="33">
        <f>INDEX(Stores!$G$2:$G$21,MATCH(B1116,Stores!$A$2:$A$21,0))</f>
        <v>16</v>
      </c>
      <c r="T1116" s="34">
        <f>IF(R1116="","",R1116/S1116)</f>
        <v>0.875</v>
      </c>
      <c r="U1116" s="34">
        <f>IF(E1116=1,T1116,"")</f>
        <v>0.875</v>
      </c>
      <c r="V1116" s="34">
        <f>IF(AND(E1116=1,L1116=0),T1116,"")</f>
        <v>0.875</v>
      </c>
      <c r="W1116" s="33">
        <f>IF(U1116="","",IF(U1116&lt;=Breakdowns!$C$5,1,IF(U1116&lt;=Breakdowns!$C$6,2,IF(U1116&lt;=Breakdowns!$C$7,3,4))))</f>
        <v>2</v>
      </c>
      <c r="X1116" s="33">
        <f>IF(V1116="","",IF(V1116&lt;=Breakdowns!$D$5,1,IF(V1116&lt;=Breakdowns!$D$6,2,IF(V1116&lt;=Breakdowns!$D$7,3,4))))</f>
        <v>2</v>
      </c>
      <c r="Y1116" s="34">
        <f>INDEX(Stores!$F$2:$F$21,MATCH(B1116,Stores!$A$2:$A$21,0))</f>
        <v>4.59</v>
      </c>
      <c r="Z1116" s="33">
        <f>IF(Y1116&gt;Store_Summary!$M$2,1,0)</f>
        <v>0</v>
      </c>
      <c r="AA1116" s="33">
        <f>INDEX(Stores!$C$2:$C$21,MATCH(B1116,Stores!$A$2:$A$21,0))</f>
        <v>362</v>
      </c>
      <c r="AB1116" s="33">
        <f>IF(AA1116&lt;180,1,0)</f>
        <v>0</v>
      </c>
      <c r="AC1116" s="32" t="str">
        <f>IF(Orders!D1113="","",INDEX(Riders!$C$2:$C$81,MATCH(Orders!D1113,Riders!$A$2:$A$81,0)))</f>
        <v>Bicycle</v>
      </c>
      <c r="AD1116" s="33">
        <f>IF(Orders!D1113="","",INDEX(Riders!$D$2:$D$81,MATCH(Orders!D1113,Riders!$A$2:$A$81,0)))</f>
        <v>26</v>
      </c>
      <c r="AE1116" s="33">
        <f>IF(Orders!D1113="","",IF(INDEX(Riders!$B$2:$B$81,MATCH(Orders!D1113,Riders!$A$2:$A$81,0))=B1116,1,0))</f>
        <v>0</v>
      </c>
      <c r="AF1116" s="34">
        <f>IF(E1116=1,Orders!L1113,"")</f>
        <v>0.6</v>
      </c>
      <c r="AG1116" s="34">
        <f>IF(E1116=1,Orders!P1113,"")</f>
        <v>10.8</v>
      </c>
      <c r="AH1116" s="34">
        <f>IF(E1116=1,Orders!Q1113,"")</f>
        <v>10.5</v>
      </c>
      <c r="AI1116" s="34">
        <f>IF(E1116=1,Orders!M1113,"")</f>
        <v>3.1</v>
      </c>
      <c r="AJ1116" s="34">
        <f>IF(E1116=1,Orders!N1113,"")</f>
        <v>5.2</v>
      </c>
      <c r="AK1116" s="34">
        <f>IF(E1116=1,Orders!O1113,"")</f>
        <v>2.2</v>
      </c>
      <c r="AL1116" s="33">
        <f>IF(E1116=1,IF(ROUND(ABS(AI1116+AJ1116+AK1116-AH1116),6)&lt;=0.1,1,0),"")</f>
        <v>1</v>
      </c>
      <c r="AM1116" s="36">
        <f>IF(E1116=1,AI1116/AH1116,"")</f>
        <v>0.295238095238095</v>
      </c>
      <c r="AN1116" s="36">
        <f>IF(E1116=1,AJ1116/AH1116,"")</f>
        <v>0.495238095238095</v>
      </c>
      <c r="AO1116" s="36">
        <f>IF(E1116=1,AK1116/AH1116,"")</f>
        <v>0.20952380952381</v>
      </c>
      <c r="AP1116" s="34">
        <f>IF(E1116=1,Orders!Y1113,"")</f>
        <v>0.48</v>
      </c>
      <c r="AQ1116" s="33">
        <f>IF(Orders!X1113,1,0)</f>
        <v>0</v>
      </c>
      <c r="AR1116" s="34" t="str">
        <f>IF(AND(E1116=1,L1116=1),AJ1116,"")</f>
        <v/>
      </c>
      <c r="AS1116" s="34">
        <f>IF(AND(E1116=1,L1116=0),AJ1116,"")</f>
        <v>5.2</v>
      </c>
      <c r="AT1116" s="34" t="str">
        <f>IF(AND(E1116=1,L1116=1),AI1116,"")</f>
        <v/>
      </c>
      <c r="AU1116" s="34">
        <f>IF(AND(E1116=1,L1116=0),AI1116,"")</f>
        <v>3.1</v>
      </c>
      <c r="AV1116" s="34" t="str">
        <f>IF(AND(E1116=1,L1116=1),AG1116,"")</f>
        <v/>
      </c>
      <c r="AW1116" s="34">
        <f>IF(AND(E1116=1,L1116=0),AG1116,"")</f>
        <v>10.8</v>
      </c>
      <c r="AX1116" s="34" t="str">
        <f>IF(AND(E1116=1,L1116=1),AH1116,"")</f>
        <v/>
      </c>
      <c r="AY1116" s="34">
        <f>IF(AND(E1116=1,L1116=0),AH1116,"")</f>
        <v>10.5</v>
      </c>
      <c r="AZ1116" s="34" t="str">
        <f>IF(G1116=1,F1116,"")</f>
        <v/>
      </c>
      <c r="BA1116" s="34" t="str">
        <f>IF(AND(G1116=1,L1116=1),F1116,"")</f>
        <v/>
      </c>
      <c r="BB1116" s="34" t="str">
        <f>IF(AND(G1116=1,L1116=0),F1116,"")</f>
        <v/>
      </c>
      <c r="BC1116" s="33">
        <f>IF(E1116=1,IF(Orders!R1113&gt;3,1,0),"")</f>
        <v>0</v>
      </c>
      <c r="BD1116" s="33">
        <f>IF(E1116=1,IF(Orders!R1113&gt;7,1,0),"")</f>
        <v>0</v>
      </c>
      <c r="BE1116" s="32" t="str">
        <f>IF(E1116=1,IF(Orders!L1113&lt;=1.5,"Up to 1.5 km",IF(Orders!L1113&lt;=3,"1.5–3 km","Over 3 km")),"")</f>
        <v>Up to 1.5 km</v>
      </c>
      <c r="BF1116" s="33">
        <f>IF(E1116=1,IF(ABS((Orders!G1113-Orders!F1113)*1440-Orders!R1113)&lt;0.06,1,0),"")</f>
        <v>1</v>
      </c>
      <c r="BG1116" s="33">
        <f>IF(ABS((Orders!F1113-Orders!E1113)*1440-Orders!P1113)&lt;0.06,1,0)</f>
        <v>1</v>
      </c>
      <c r="BH1116" s="33">
        <f>IF(E1116=1,IF(IF(Orders!S1113,1,0)=1-G1116,1,0),"")</f>
        <v>1</v>
      </c>
      <c r="BI1116" s="32" t="str">
        <f>INDEX(Stores!$B$2:$B$21,MATCH(B1116,Stores!$A$2:$A$21,0))</f>
        <v>Bengaluru</v>
      </c>
    </row>
    <row r="1117">
      <c r="A1117" s="32" t="str">
        <f>Orders!A1114</f>
        <v>O01113</v>
      </c>
      <c r="B1117" s="32" t="str">
        <f>Orders!C1114</f>
        <v>S007</v>
      </c>
      <c r="C1117" s="32" t="str">
        <f>Orders!B1114</f>
        <v>C0067</v>
      </c>
      <c r="D1117" s="32" t="str">
        <f>Orders!H1114</f>
        <v>Delivered</v>
      </c>
      <c r="E1117" s="33">
        <f>IF(Orders!H1114="Delivered",1,0)</f>
        <v>1</v>
      </c>
      <c r="F1117" s="34">
        <f>IF(E1117=1,Orders!R1114,"")</f>
        <v>5.7</v>
      </c>
      <c r="G1117" s="33">
        <f>IF(E1117=1,IF(Orders!R1114&gt;0,1,0),"")</f>
        <v>1</v>
      </c>
      <c r="H1117" s="33">
        <f>IF(E1117=1,IF(Orders!R1114&gt;5,1,0),"")</f>
        <v>1</v>
      </c>
      <c r="I1117" s="32" t="str">
        <f>IF(E1117=1,"",IF(OR(Orders!T1114="Rider unavailable",Orders!T1114="Item unavailable"),"Company-caused","Unresolved"))</f>
        <v/>
      </c>
      <c r="J1117" s="33">
        <f>IF(OR(E1117=1,I1117="Company-caused"),1,0)</f>
        <v>1</v>
      </c>
      <c r="K1117" s="32" t="str">
        <f>IF(E1117=0,IF(I1117="Company-caused",IF(Orders!T1114="Rider unavailable","C1 Rider unavailable","C2 Item unavailable"),"Outside root: unresolved"),IF(G1117=0,"A On time",IF(H1117=1,IF(L1117=1,"B2a Severe, peak","B2b Severe, off-peak"),IF(L1117=1,"B1a Slight, peak","B1b Slight, off-peak"))))</f>
        <v>B2b Severe, off-peak</v>
      </c>
      <c r="L1117" s="33">
        <f>IF(AND(Orders!U1114&gt;=19,Orders!U1114&lt;22),1,0)</f>
        <v>0</v>
      </c>
      <c r="M1117" s="33">
        <f>IF(L1117=IF(Orders!V1114,1,0),1,0)</f>
        <v>1</v>
      </c>
      <c r="N1117" s="32" t="str">
        <f>IF(Orders!W1114="","None",Orders!W1114)</f>
        <v>None</v>
      </c>
      <c r="O1117" s="35">
        <f>INT(Orders!E1114)</f>
        <v>46270.0</v>
      </c>
      <c r="P1117" s="33">
        <f>Orders!U1114</f>
        <v>13</v>
      </c>
      <c r="Q1117" s="33">
        <f>COUNTIFS(Demand!$A$2:$A$4481,B1117,Demand!$B$2:$B$4481,O1117,Demand!$C$2:$C$4481,P1117)</f>
        <v>1</v>
      </c>
      <c r="R1117" s="33">
        <f>IF(Q1117=1,SUMIFS(Demand!$E$2:$E$4481,Demand!$A$2:$A$4481,B1117,Demand!$B$2:$B$4481,O1117,Demand!$C$2:$C$4481,P1117),"")</f>
        <v>38</v>
      </c>
      <c r="S1117" s="33">
        <f>INDEX(Stores!$G$2:$G$21,MATCH(B1117,Stores!$A$2:$A$21,0))</f>
        <v>37</v>
      </c>
      <c r="T1117" s="34">
        <f>IF(R1117="","",R1117/S1117)</f>
        <v>1.02702702702703</v>
      </c>
      <c r="U1117" s="34">
        <f>IF(E1117=1,T1117,"")</f>
        <v>1.02702702702703</v>
      </c>
      <c r="V1117" s="34">
        <f>IF(AND(E1117=1,L1117=0),T1117,"")</f>
        <v>1.02702702702703</v>
      </c>
      <c r="W1117" s="33">
        <f>IF(U1117="","",IF(U1117&lt;=Breakdowns!$C$5,1,IF(U1117&lt;=Breakdowns!$C$6,2,IF(U1117&lt;=Breakdowns!$C$7,3,4))))</f>
        <v>3</v>
      </c>
      <c r="X1117" s="33">
        <f>IF(V1117="","",IF(V1117&lt;=Breakdowns!$D$5,1,IF(V1117&lt;=Breakdowns!$D$6,2,IF(V1117&lt;=Breakdowns!$D$7,3,4))))</f>
        <v>3</v>
      </c>
      <c r="Y1117" s="34">
        <f>INDEX(Stores!$F$2:$F$21,MATCH(B1117,Stores!$A$2:$A$21,0))</f>
        <v>4.05</v>
      </c>
      <c r="Z1117" s="33">
        <f>IF(Y1117&gt;Store_Summary!$M$2,1,0)</f>
        <v>0</v>
      </c>
      <c r="AA1117" s="33">
        <f>INDEX(Stores!$C$2:$C$21,MATCH(B1117,Stores!$A$2:$A$21,0))</f>
        <v>661</v>
      </c>
      <c r="AB1117" s="33">
        <f>IF(AA1117&lt;180,1,0)</f>
        <v>0</v>
      </c>
      <c r="AC1117" s="32" t="str">
        <f>IF(Orders!D1114="","",INDEX(Riders!$C$2:$C$81,MATCH(Orders!D1114,Riders!$A$2:$A$81,0)))</f>
        <v>Petrol scooter</v>
      </c>
      <c r="AD1117" s="33">
        <f>IF(Orders!D1114="","",INDEX(Riders!$D$2:$D$81,MATCH(Orders!D1114,Riders!$A$2:$A$81,0)))</f>
        <v>44</v>
      </c>
      <c r="AE1117" s="33">
        <f>IF(Orders!D1114="","",IF(INDEX(Riders!$B$2:$B$81,MATCH(Orders!D1114,Riders!$A$2:$A$81,0))=B1117,1,0))</f>
        <v>0</v>
      </c>
      <c r="AF1117" s="34">
        <f>IF(E1117=1,Orders!L1114,"")</f>
        <v>1.8</v>
      </c>
      <c r="AG1117" s="34">
        <f>IF(E1117=1,Orders!P1114,"")</f>
        <v>9.7</v>
      </c>
      <c r="AH1117" s="34">
        <f>IF(E1117=1,Orders!Q1114,"")</f>
        <v>15.4</v>
      </c>
      <c r="AI1117" s="34">
        <f>IF(E1117=1,Orders!M1114,"")</f>
        <v>5.4</v>
      </c>
      <c r="AJ1117" s="34">
        <f>IF(E1117=1,Orders!N1114,"")</f>
        <v>4.4</v>
      </c>
      <c r="AK1117" s="34">
        <f>IF(E1117=1,Orders!O1114,"")</f>
        <v>5.6</v>
      </c>
      <c r="AL1117" s="33">
        <f>IF(E1117=1,IF(ROUND(ABS(AI1117+AJ1117+AK1117-AH1117),6)&lt;=0.1,1,0),"")</f>
        <v>1</v>
      </c>
      <c r="AM1117" s="36">
        <f>IF(E1117=1,AI1117/AH1117,"")</f>
        <v>0.350649350649351</v>
      </c>
      <c r="AN1117" s="36">
        <f>IF(E1117=1,AJ1117/AH1117,"")</f>
        <v>0.285714285714286</v>
      </c>
      <c r="AO1117" s="36">
        <f>IF(E1117=1,AK1117/AH1117,"")</f>
        <v>0.363636363636364</v>
      </c>
      <c r="AP1117" s="34">
        <f>IF(E1117=1,Orders!Y1114,"")</f>
        <v>0.41</v>
      </c>
      <c r="AQ1117" s="33">
        <f>IF(Orders!X1114,1,0)</f>
        <v>0</v>
      </c>
      <c r="AR1117" s="34" t="str">
        <f>IF(AND(E1117=1,L1117=1),AJ1117,"")</f>
        <v/>
      </c>
      <c r="AS1117" s="34">
        <f>IF(AND(E1117=1,L1117=0),AJ1117,"")</f>
        <v>4.4</v>
      </c>
      <c r="AT1117" s="34" t="str">
        <f>IF(AND(E1117=1,L1117=1),AI1117,"")</f>
        <v/>
      </c>
      <c r="AU1117" s="34">
        <f>IF(AND(E1117=1,L1117=0),AI1117,"")</f>
        <v>5.4</v>
      </c>
      <c r="AV1117" s="34" t="str">
        <f>IF(AND(E1117=1,L1117=1),AG1117,"")</f>
        <v/>
      </c>
      <c r="AW1117" s="34">
        <f>IF(AND(E1117=1,L1117=0),AG1117,"")</f>
        <v>9.7</v>
      </c>
      <c r="AX1117" s="34" t="str">
        <f>IF(AND(E1117=1,L1117=1),AH1117,"")</f>
        <v/>
      </c>
      <c r="AY1117" s="34">
        <f>IF(AND(E1117=1,L1117=0),AH1117,"")</f>
        <v>15.4</v>
      </c>
      <c r="AZ1117" s="34">
        <f>IF(G1117=1,F1117,"")</f>
        <v>5.7</v>
      </c>
      <c r="BA1117" s="34" t="str">
        <f>IF(AND(G1117=1,L1117=1),F1117,"")</f>
        <v/>
      </c>
      <c r="BB1117" s="34">
        <f>IF(AND(G1117=1,L1117=0),F1117,"")</f>
        <v>5.7</v>
      </c>
      <c r="BC1117" s="33">
        <f>IF(E1117=1,IF(Orders!R1114&gt;3,1,0),"")</f>
        <v>1</v>
      </c>
      <c r="BD1117" s="33">
        <f>IF(E1117=1,IF(Orders!R1114&gt;7,1,0),"")</f>
        <v>0</v>
      </c>
      <c r="BE1117" s="32" t="str">
        <f>IF(E1117=1,IF(Orders!L1114&lt;=1.5,"Up to 1.5 km",IF(Orders!L1114&lt;=3,"1.5–3 km","Over 3 km")),"")</f>
        <v>1.5–3 km</v>
      </c>
      <c r="BF1117" s="33">
        <f>IF(E1117=1,IF(ABS((Orders!G1114-Orders!F1114)*1440-Orders!R1114)&lt;0.06,1,0),"")</f>
        <v>1</v>
      </c>
      <c r="BG1117" s="33">
        <f>IF(ABS((Orders!F1114-Orders!E1114)*1440-Orders!P1114)&lt;0.06,1,0)</f>
        <v>1</v>
      </c>
      <c r="BH1117" s="33">
        <f>IF(E1117=1,IF(IF(Orders!S1114,1,0)=1-G1117,1,0),"")</f>
        <v>1</v>
      </c>
      <c r="BI1117" s="32" t="str">
        <f>INDEX(Stores!$B$2:$B$21,MATCH(B1117,Stores!$A$2:$A$21,0))</f>
        <v>Hyderabad</v>
      </c>
    </row>
    <row r="1118">
      <c r="A1118" s="32" t="str">
        <f>Orders!A1115</f>
        <v>O01114</v>
      </c>
      <c r="B1118" s="32" t="str">
        <f>Orders!C1115</f>
        <v>S008</v>
      </c>
      <c r="C1118" s="32" t="str">
        <f>Orders!B1115</f>
        <v>C0149</v>
      </c>
      <c r="D1118" s="32" t="str">
        <f>Orders!H1115</f>
        <v>Delivered</v>
      </c>
      <c r="E1118" s="33">
        <f>IF(Orders!H1115="Delivered",1,0)</f>
        <v>1</v>
      </c>
      <c r="F1118" s="34">
        <f>IF(E1118=1,Orders!R1115,"")</f>
        <v>11.6</v>
      </c>
      <c r="G1118" s="33">
        <f>IF(E1118=1,IF(Orders!R1115&gt;0,1,0),"")</f>
        <v>1</v>
      </c>
      <c r="H1118" s="33">
        <f>IF(E1118=1,IF(Orders!R1115&gt;5,1,0),"")</f>
        <v>1</v>
      </c>
      <c r="I1118" s="32" t="str">
        <f>IF(E1118=1,"",IF(OR(Orders!T1115="Rider unavailable",Orders!T1115="Item unavailable"),"Company-caused","Unresolved"))</f>
        <v/>
      </c>
      <c r="J1118" s="33">
        <f>IF(OR(E1118=1,I1118="Company-caused"),1,0)</f>
        <v>1</v>
      </c>
      <c r="K1118" s="32" t="str">
        <f>IF(E1118=0,IF(I1118="Company-caused",IF(Orders!T1115="Rider unavailable","C1 Rider unavailable","C2 Item unavailable"),"Outside root: unresolved"),IF(G1118=0,"A On time",IF(H1118=1,IF(L1118=1,"B2a Severe, peak","B2b Severe, off-peak"),IF(L1118=1,"B1a Slight, peak","B1b Slight, off-peak"))))</f>
        <v>B2a Severe, peak</v>
      </c>
      <c r="L1118" s="33">
        <f>IF(AND(Orders!U1115&gt;=19,Orders!U1115&lt;22),1,0)</f>
        <v>1</v>
      </c>
      <c r="M1118" s="33">
        <f>IF(L1118=IF(Orders!V1115,1,0),1,0)</f>
        <v>1</v>
      </c>
      <c r="N1118" s="32" t="str">
        <f>IF(Orders!W1115="","None",Orders!W1115)</f>
        <v>Light</v>
      </c>
      <c r="O1118" s="35">
        <f>INT(Orders!E1115)</f>
        <v>46274.0</v>
      </c>
      <c r="P1118" s="33">
        <f>Orders!U1115</f>
        <v>19</v>
      </c>
      <c r="Q1118" s="33">
        <f>COUNTIFS(Demand!$A$2:$A$4481,B1118,Demand!$B$2:$B$4481,O1118,Demand!$C$2:$C$4481,P1118)</f>
        <v>1</v>
      </c>
      <c r="R1118" s="33">
        <f>IF(Q1118=1,SUMIFS(Demand!$E$2:$E$4481,Demand!$A$2:$A$4481,B1118,Demand!$B$2:$B$4481,O1118,Demand!$C$2:$C$4481,P1118),"")</f>
        <v>41</v>
      </c>
      <c r="S1118" s="33">
        <f>INDEX(Stores!$G$2:$G$21,MATCH(B1118,Stores!$A$2:$A$21,0))</f>
        <v>23</v>
      </c>
      <c r="T1118" s="34">
        <f>IF(R1118="","",R1118/S1118)</f>
        <v>1.78260869565217</v>
      </c>
      <c r="U1118" s="34">
        <f>IF(E1118=1,T1118,"")</f>
        <v>1.78260869565217</v>
      </c>
      <c r="V1118" s="34" t="str">
        <f>IF(AND(E1118=1,L1118=0),T1118,"")</f>
        <v/>
      </c>
      <c r="W1118" s="33">
        <f>IF(U1118="","",IF(U1118&lt;=Breakdowns!$C$5,1,IF(U1118&lt;=Breakdowns!$C$6,2,IF(U1118&lt;=Breakdowns!$C$7,3,4))))</f>
        <v>4</v>
      </c>
      <c r="X1118" s="33" t="str">
        <f>IF(V1118="","",IF(V1118&lt;=Breakdowns!$D$5,1,IF(V1118&lt;=Breakdowns!$D$6,2,IF(V1118&lt;=Breakdowns!$D$7,3,4))))</f>
        <v/>
      </c>
      <c r="Y1118" s="34">
        <f>INDEX(Stores!$F$2:$F$21,MATCH(B1118,Stores!$A$2:$A$21,0))</f>
        <v>3.46</v>
      </c>
      <c r="Z1118" s="33">
        <f>IF(Y1118&gt;Store_Summary!$M$2,1,0)</f>
        <v>0</v>
      </c>
      <c r="AA1118" s="33">
        <f>INDEX(Stores!$C$2:$C$21,MATCH(B1118,Stores!$A$2:$A$21,0))</f>
        <v>825</v>
      </c>
      <c r="AB1118" s="33">
        <f>IF(AA1118&lt;180,1,0)</f>
        <v>0</v>
      </c>
      <c r="AC1118" s="32" t="str">
        <f>IF(Orders!D1115="","",INDEX(Riders!$C$2:$C$81,MATCH(Orders!D1115,Riders!$A$2:$A$81,0)))</f>
        <v>EV scooter</v>
      </c>
      <c r="AD1118" s="33">
        <f>IF(Orders!D1115="","",INDEX(Riders!$D$2:$D$81,MATCH(Orders!D1115,Riders!$A$2:$A$81,0)))</f>
        <v>27</v>
      </c>
      <c r="AE1118" s="33">
        <f>IF(Orders!D1115="","",IF(INDEX(Riders!$B$2:$B$81,MATCH(Orders!D1115,Riders!$A$2:$A$81,0))=B1118,1,0))</f>
        <v>0</v>
      </c>
      <c r="AF1118" s="34">
        <f>IF(E1118=1,Orders!L1115,"")</f>
        <v>2.52</v>
      </c>
      <c r="AG1118" s="34">
        <f>IF(E1118=1,Orders!P1115,"")</f>
        <v>7.7</v>
      </c>
      <c r="AH1118" s="34">
        <f>IF(E1118=1,Orders!Q1115,"")</f>
        <v>19.3</v>
      </c>
      <c r="AI1118" s="34">
        <f>IF(E1118=1,Orders!M1115,"")</f>
        <v>3.2</v>
      </c>
      <c r="AJ1118" s="34">
        <f>IF(E1118=1,Orders!N1115,"")</f>
        <v>7.1</v>
      </c>
      <c r="AK1118" s="34">
        <f>IF(E1118=1,Orders!O1115,"")</f>
        <v>9</v>
      </c>
      <c r="AL1118" s="33">
        <f>IF(E1118=1,IF(ROUND(ABS(AI1118+AJ1118+AK1118-AH1118),6)&lt;=0.1,1,0),"")</f>
        <v>1</v>
      </c>
      <c r="AM1118" s="36">
        <f>IF(E1118=1,AI1118/AH1118,"")</f>
        <v>0.16580310880829</v>
      </c>
      <c r="AN1118" s="36">
        <f>IF(E1118=1,AJ1118/AH1118,"")</f>
        <v>0.367875647668394</v>
      </c>
      <c r="AO1118" s="36">
        <f>IF(E1118=1,AK1118/AH1118,"")</f>
        <v>0.466321243523316</v>
      </c>
      <c r="AP1118" s="34">
        <f>IF(E1118=1,Orders!Y1115,"")</f>
        <v>0.77</v>
      </c>
      <c r="AQ1118" s="33">
        <f>IF(Orders!X1115,1,0)</f>
        <v>0</v>
      </c>
      <c r="AR1118" s="34">
        <f>IF(AND(E1118=1,L1118=1),AJ1118,"")</f>
        <v>7.1</v>
      </c>
      <c r="AS1118" s="34" t="str">
        <f>IF(AND(E1118=1,L1118=0),AJ1118,"")</f>
        <v/>
      </c>
      <c r="AT1118" s="34">
        <f>IF(AND(E1118=1,L1118=1),AI1118,"")</f>
        <v>3.2</v>
      </c>
      <c r="AU1118" s="34" t="str">
        <f>IF(AND(E1118=1,L1118=0),AI1118,"")</f>
        <v/>
      </c>
      <c r="AV1118" s="34">
        <f>IF(AND(E1118=1,L1118=1),AG1118,"")</f>
        <v>7.7</v>
      </c>
      <c r="AW1118" s="34" t="str">
        <f>IF(AND(E1118=1,L1118=0),AG1118,"")</f>
        <v/>
      </c>
      <c r="AX1118" s="34">
        <f>IF(AND(E1118=1,L1118=1),AH1118,"")</f>
        <v>19.3</v>
      </c>
      <c r="AY1118" s="34" t="str">
        <f>IF(AND(E1118=1,L1118=0),AH1118,"")</f>
        <v/>
      </c>
      <c r="AZ1118" s="34">
        <f>IF(G1118=1,F1118,"")</f>
        <v>11.6</v>
      </c>
      <c r="BA1118" s="34">
        <f>IF(AND(G1118=1,L1118=1),F1118,"")</f>
        <v>11.6</v>
      </c>
      <c r="BB1118" s="34" t="str">
        <f>IF(AND(G1118=1,L1118=0),F1118,"")</f>
        <v/>
      </c>
      <c r="BC1118" s="33">
        <f>IF(E1118=1,IF(Orders!R1115&gt;3,1,0),"")</f>
        <v>1</v>
      </c>
      <c r="BD1118" s="33">
        <f>IF(E1118=1,IF(Orders!R1115&gt;7,1,0),"")</f>
        <v>1</v>
      </c>
      <c r="BE1118" s="32" t="str">
        <f>IF(E1118=1,IF(Orders!L1115&lt;=1.5,"Up to 1.5 km",IF(Orders!L1115&lt;=3,"1.5–3 km","Over 3 km")),"")</f>
        <v>1.5–3 km</v>
      </c>
      <c r="BF1118" s="33">
        <f>IF(E1118=1,IF(ABS((Orders!G1115-Orders!F1115)*1440-Orders!R1115)&lt;0.06,1,0),"")</f>
        <v>1</v>
      </c>
      <c r="BG1118" s="33">
        <f>IF(ABS((Orders!F1115-Orders!E1115)*1440-Orders!P1115)&lt;0.06,1,0)</f>
        <v>1</v>
      </c>
      <c r="BH1118" s="33">
        <f>IF(E1118=1,IF(IF(Orders!S1115,1,0)=1-G1118,1,0),"")</f>
        <v>1</v>
      </c>
      <c r="BI1118" s="32" t="str">
        <f>INDEX(Stores!$B$2:$B$21,MATCH(B1118,Stores!$A$2:$A$21,0))</f>
        <v>Mumbai</v>
      </c>
    </row>
    <row r="1119">
      <c r="A1119" s="32" t="str">
        <f>Orders!A1116</f>
        <v>O01115</v>
      </c>
      <c r="B1119" s="32" t="str">
        <f>Orders!C1116</f>
        <v>S020</v>
      </c>
      <c r="C1119" s="32" t="str">
        <f>Orders!B1116</f>
        <v>C0102</v>
      </c>
      <c r="D1119" s="32" t="str">
        <f>Orders!H1116</f>
        <v>Delivered</v>
      </c>
      <c r="E1119" s="33">
        <f>IF(Orders!H1116="Delivered",1,0)</f>
        <v>1</v>
      </c>
      <c r="F1119" s="34">
        <f>IF(E1119=1,Orders!R1116,"")</f>
        <v>-0.5</v>
      </c>
      <c r="G1119" s="33">
        <f>IF(E1119=1,IF(Orders!R1116&gt;0,1,0),"")</f>
        <v>0</v>
      </c>
      <c r="H1119" s="33">
        <f>IF(E1119=1,IF(Orders!R1116&gt;5,1,0),"")</f>
        <v>0</v>
      </c>
      <c r="I1119" s="32" t="str">
        <f>IF(E1119=1,"",IF(OR(Orders!T1116="Rider unavailable",Orders!T1116="Item unavailable"),"Company-caused","Unresolved"))</f>
        <v/>
      </c>
      <c r="J1119" s="33">
        <f>IF(OR(E1119=1,I1119="Company-caused"),1,0)</f>
        <v>1</v>
      </c>
      <c r="K1119" s="32" t="str">
        <f>IF(E1119=0,IF(I1119="Company-caused",IF(Orders!T1116="Rider unavailable","C1 Rider unavailable","C2 Item unavailable"),"Outside root: unresolved"),IF(G1119=0,"A On time",IF(H1119=1,IF(L1119=1,"B2a Severe, peak","B2b Severe, off-peak"),IF(L1119=1,"B1a Slight, peak","B1b Slight, off-peak"))))</f>
        <v>A On time</v>
      </c>
      <c r="L1119" s="33">
        <f>IF(AND(Orders!U1116&gt;=19,Orders!U1116&lt;22),1,0)</f>
        <v>0</v>
      </c>
      <c r="M1119" s="33">
        <f>IF(L1119=IF(Orders!V1116,1,0),1,0)</f>
        <v>1</v>
      </c>
      <c r="N1119" s="32" t="str">
        <f>IF(Orders!W1116="","None",Orders!W1116)</f>
        <v>None</v>
      </c>
      <c r="O1119" s="35">
        <f>INT(Orders!E1116)</f>
        <v>46275.0</v>
      </c>
      <c r="P1119" s="33">
        <f>Orders!U1116</f>
        <v>22</v>
      </c>
      <c r="Q1119" s="33">
        <f>COUNTIFS(Demand!$A$2:$A$4481,B1119,Demand!$B$2:$B$4481,O1119,Demand!$C$2:$C$4481,P1119)</f>
        <v>1</v>
      </c>
      <c r="R1119" s="33">
        <f>IF(Q1119=1,SUMIFS(Demand!$E$2:$E$4481,Demand!$A$2:$A$4481,B1119,Demand!$B$2:$B$4481,O1119,Demand!$C$2:$C$4481,P1119),"")</f>
        <v>10</v>
      </c>
      <c r="S1119" s="33">
        <f>INDEX(Stores!$G$2:$G$21,MATCH(B1119,Stores!$A$2:$A$21,0))</f>
        <v>15</v>
      </c>
      <c r="T1119" s="34">
        <f>IF(R1119="","",R1119/S1119)</f>
        <v>0.666666666666667</v>
      </c>
      <c r="U1119" s="34">
        <f>IF(E1119=1,T1119,"")</f>
        <v>0.666666666666667</v>
      </c>
      <c r="V1119" s="34">
        <f>IF(AND(E1119=1,L1119=0),T1119,"")</f>
        <v>0.666666666666667</v>
      </c>
      <c r="W1119" s="33">
        <f>IF(U1119="","",IF(U1119&lt;=Breakdowns!$C$5,1,IF(U1119&lt;=Breakdowns!$C$6,2,IF(U1119&lt;=Breakdowns!$C$7,3,4))))</f>
        <v>1</v>
      </c>
      <c r="X1119" s="33">
        <f>IF(V1119="","",IF(V1119&lt;=Breakdowns!$D$5,1,IF(V1119&lt;=Breakdowns!$D$6,2,IF(V1119&lt;=Breakdowns!$D$7,3,4))))</f>
        <v>1</v>
      </c>
      <c r="Y1119" s="34">
        <f>INDEX(Stores!$F$2:$F$21,MATCH(B1119,Stores!$A$2:$A$21,0))</f>
        <v>5.74</v>
      </c>
      <c r="Z1119" s="33">
        <f>IF(Y1119&gt;Store_Summary!$M$2,1,0)</f>
        <v>1</v>
      </c>
      <c r="AA1119" s="33">
        <f>INDEX(Stores!$C$2:$C$21,MATCH(B1119,Stores!$A$2:$A$21,0))</f>
        <v>647</v>
      </c>
      <c r="AB1119" s="33">
        <f>IF(AA1119&lt;180,1,0)</f>
        <v>0</v>
      </c>
      <c r="AC1119" s="32" t="str">
        <f>IF(Orders!D1116="","",INDEX(Riders!$C$2:$C$81,MATCH(Orders!D1116,Riders!$A$2:$A$81,0)))</f>
        <v>Petrol scooter</v>
      </c>
      <c r="AD1119" s="33">
        <f>IF(Orders!D1116="","",INDEX(Riders!$D$2:$D$81,MATCH(Orders!D1116,Riders!$A$2:$A$81,0)))</f>
        <v>29</v>
      </c>
      <c r="AE1119" s="33">
        <f>IF(Orders!D1116="","",IF(INDEX(Riders!$B$2:$B$81,MATCH(Orders!D1116,Riders!$A$2:$A$81,0))=B1119,1,0))</f>
        <v>0</v>
      </c>
      <c r="AF1119" s="34">
        <f>IF(E1119=1,Orders!L1116,"")</f>
        <v>1.53</v>
      </c>
      <c r="AG1119" s="34">
        <f>IF(E1119=1,Orders!P1116,"")</f>
        <v>8.9</v>
      </c>
      <c r="AH1119" s="34">
        <f>IF(E1119=1,Orders!Q1116,"")</f>
        <v>8.4</v>
      </c>
      <c r="AI1119" s="34">
        <f>IF(E1119=1,Orders!M1116,"")</f>
        <v>3</v>
      </c>
      <c r="AJ1119" s="34">
        <f>IF(E1119=1,Orders!N1116,"")</f>
        <v>2.7</v>
      </c>
      <c r="AK1119" s="34">
        <f>IF(E1119=1,Orders!O1116,"")</f>
        <v>2.7</v>
      </c>
      <c r="AL1119" s="33">
        <f>IF(E1119=1,IF(ROUND(ABS(AI1119+AJ1119+AK1119-AH1119),6)&lt;=0.1,1,0),"")</f>
        <v>1</v>
      </c>
      <c r="AM1119" s="36">
        <f>IF(E1119=1,AI1119/AH1119,"")</f>
        <v>0.357142857142857</v>
      </c>
      <c r="AN1119" s="36">
        <f>IF(E1119=1,AJ1119/AH1119,"")</f>
        <v>0.321428571428571</v>
      </c>
      <c r="AO1119" s="36">
        <f>IF(E1119=1,AK1119/AH1119,"")</f>
        <v>0.321428571428571</v>
      </c>
      <c r="AP1119" s="34">
        <f>IF(E1119=1,Orders!Y1116,"")</f>
        <v>0.57</v>
      </c>
      <c r="AQ1119" s="33">
        <f>IF(Orders!X1116,1,0)</f>
        <v>0</v>
      </c>
      <c r="AR1119" s="34" t="str">
        <f>IF(AND(E1119=1,L1119=1),AJ1119,"")</f>
        <v/>
      </c>
      <c r="AS1119" s="34">
        <f>IF(AND(E1119=1,L1119=0),AJ1119,"")</f>
        <v>2.7</v>
      </c>
      <c r="AT1119" s="34" t="str">
        <f>IF(AND(E1119=1,L1119=1),AI1119,"")</f>
        <v/>
      </c>
      <c r="AU1119" s="34">
        <f>IF(AND(E1119=1,L1119=0),AI1119,"")</f>
        <v>3</v>
      </c>
      <c r="AV1119" s="34" t="str">
        <f>IF(AND(E1119=1,L1119=1),AG1119,"")</f>
        <v/>
      </c>
      <c r="AW1119" s="34">
        <f>IF(AND(E1119=1,L1119=0),AG1119,"")</f>
        <v>8.9</v>
      </c>
      <c r="AX1119" s="34" t="str">
        <f>IF(AND(E1119=1,L1119=1),AH1119,"")</f>
        <v/>
      </c>
      <c r="AY1119" s="34">
        <f>IF(AND(E1119=1,L1119=0),AH1119,"")</f>
        <v>8.4</v>
      </c>
      <c r="AZ1119" s="34" t="str">
        <f>IF(G1119=1,F1119,"")</f>
        <v/>
      </c>
      <c r="BA1119" s="34" t="str">
        <f>IF(AND(G1119=1,L1119=1),F1119,"")</f>
        <v/>
      </c>
      <c r="BB1119" s="34" t="str">
        <f>IF(AND(G1119=1,L1119=0),F1119,"")</f>
        <v/>
      </c>
      <c r="BC1119" s="33">
        <f>IF(E1119=1,IF(Orders!R1116&gt;3,1,0),"")</f>
        <v>0</v>
      </c>
      <c r="BD1119" s="33">
        <f>IF(E1119=1,IF(Orders!R1116&gt;7,1,0),"")</f>
        <v>0</v>
      </c>
      <c r="BE1119" s="32" t="str">
        <f>IF(E1119=1,IF(Orders!L1116&lt;=1.5,"Up to 1.5 km",IF(Orders!L1116&lt;=3,"1.5–3 km","Over 3 km")),"")</f>
        <v>1.5–3 km</v>
      </c>
      <c r="BF1119" s="33">
        <f>IF(E1119=1,IF(ABS((Orders!G1116-Orders!F1116)*1440-Orders!R1116)&lt;0.06,1,0),"")</f>
        <v>1</v>
      </c>
      <c r="BG1119" s="33">
        <f>IF(ABS((Orders!F1116-Orders!E1116)*1440-Orders!P1116)&lt;0.06,1,0)</f>
        <v>1</v>
      </c>
      <c r="BH1119" s="33">
        <f>IF(E1119=1,IF(IF(Orders!S1116,1,0)=1-G1119,1,0),"")</f>
        <v>1</v>
      </c>
      <c r="BI1119" s="32" t="str">
        <f>INDEX(Stores!$B$2:$B$21,MATCH(B1119,Stores!$A$2:$A$21,0))</f>
        <v>Delhi</v>
      </c>
    </row>
    <row r="1120">
      <c r="A1120" s="32" t="str">
        <f>Orders!A1117</f>
        <v>O01116</v>
      </c>
      <c r="B1120" s="32" t="str">
        <f>Orders!C1117</f>
        <v>S001</v>
      </c>
      <c r="C1120" s="32" t="str">
        <f>Orders!B1117</f>
        <v>C0012</v>
      </c>
      <c r="D1120" s="32" t="str">
        <f>Orders!H1117</f>
        <v>Delivered</v>
      </c>
      <c r="E1120" s="33">
        <f>IF(Orders!H1117="Delivered",1,0)</f>
        <v>1</v>
      </c>
      <c r="F1120" s="34">
        <f>IF(E1120=1,Orders!R1117,"")</f>
        <v>-0.7</v>
      </c>
      <c r="G1120" s="33">
        <f>IF(E1120=1,IF(Orders!R1117&gt;0,1,0),"")</f>
        <v>0</v>
      </c>
      <c r="H1120" s="33">
        <f>IF(E1120=1,IF(Orders!R1117&gt;5,1,0),"")</f>
        <v>0</v>
      </c>
      <c r="I1120" s="32" t="str">
        <f>IF(E1120=1,"",IF(OR(Orders!T1117="Rider unavailable",Orders!T1117="Item unavailable"),"Company-caused","Unresolved"))</f>
        <v/>
      </c>
      <c r="J1120" s="33">
        <f>IF(OR(E1120=1,I1120="Company-caused"),1,0)</f>
        <v>1</v>
      </c>
      <c r="K1120" s="32" t="str">
        <f>IF(E1120=0,IF(I1120="Company-caused",IF(Orders!T1117="Rider unavailable","C1 Rider unavailable","C2 Item unavailable"),"Outside root: unresolved"),IF(G1120=0,"A On time",IF(H1120=1,IF(L1120=1,"B2a Severe, peak","B2b Severe, off-peak"),IF(L1120=1,"B1a Slight, peak","B1b Slight, off-peak"))))</f>
        <v>A On time</v>
      </c>
      <c r="L1120" s="33">
        <f>IF(AND(Orders!U1117&gt;=19,Orders!U1117&lt;22),1,0)</f>
        <v>0</v>
      </c>
      <c r="M1120" s="33">
        <f>IF(L1120=IF(Orders!V1117,1,0),1,0)</f>
        <v>1</v>
      </c>
      <c r="N1120" s="32" t="str">
        <f>IF(Orders!W1117="","None",Orders!W1117)</f>
        <v>Light</v>
      </c>
      <c r="O1120" s="35">
        <f>INT(Orders!E1117)</f>
        <v>46266.0</v>
      </c>
      <c r="P1120" s="33">
        <f>Orders!U1117</f>
        <v>16</v>
      </c>
      <c r="Q1120" s="33">
        <f>COUNTIFS(Demand!$A$2:$A$4481,B1120,Demand!$B$2:$B$4481,O1120,Demand!$C$2:$C$4481,P1120)</f>
        <v>1</v>
      </c>
      <c r="R1120" s="33">
        <f>IF(Q1120=1,SUMIFS(Demand!$E$2:$E$4481,Demand!$A$2:$A$4481,B1120,Demand!$B$2:$B$4481,O1120,Demand!$C$2:$C$4481,P1120),"")</f>
        <v>21</v>
      </c>
      <c r="S1120" s="33">
        <f>INDEX(Stores!$G$2:$G$21,MATCH(B1120,Stores!$A$2:$A$21,0))</f>
        <v>16</v>
      </c>
      <c r="T1120" s="34">
        <f>IF(R1120="","",R1120/S1120)</f>
        <v>1.3125</v>
      </c>
      <c r="U1120" s="34">
        <f>IF(E1120=1,T1120,"")</f>
        <v>1.3125</v>
      </c>
      <c r="V1120" s="34">
        <f>IF(AND(E1120=1,L1120=0),T1120,"")</f>
        <v>1.3125</v>
      </c>
      <c r="W1120" s="33">
        <f>IF(U1120="","",IF(U1120&lt;=Breakdowns!$C$5,1,IF(U1120&lt;=Breakdowns!$C$6,2,IF(U1120&lt;=Breakdowns!$C$7,3,4))))</f>
        <v>4</v>
      </c>
      <c r="X1120" s="33">
        <f>IF(V1120="","",IF(V1120&lt;=Breakdowns!$D$5,1,IF(V1120&lt;=Breakdowns!$D$6,2,IF(V1120&lt;=Breakdowns!$D$7,3,4))))</f>
        <v>4</v>
      </c>
      <c r="Y1120" s="34">
        <f>INDEX(Stores!$F$2:$F$21,MATCH(B1120,Stores!$A$2:$A$21,0))</f>
        <v>4.59</v>
      </c>
      <c r="Z1120" s="33">
        <f>IF(Y1120&gt;Store_Summary!$M$2,1,0)</f>
        <v>0</v>
      </c>
      <c r="AA1120" s="33">
        <f>INDEX(Stores!$C$2:$C$21,MATCH(B1120,Stores!$A$2:$A$21,0))</f>
        <v>362</v>
      </c>
      <c r="AB1120" s="33">
        <f>IF(AA1120&lt;180,1,0)</f>
        <v>0</v>
      </c>
      <c r="AC1120" s="32" t="str">
        <f>IF(Orders!D1117="","",INDEX(Riders!$C$2:$C$81,MATCH(Orders!D1117,Riders!$A$2:$A$81,0)))</f>
        <v>Petrol scooter</v>
      </c>
      <c r="AD1120" s="33">
        <f>IF(Orders!D1117="","",INDEX(Riders!$D$2:$D$81,MATCH(Orders!D1117,Riders!$A$2:$A$81,0)))</f>
        <v>30</v>
      </c>
      <c r="AE1120" s="33">
        <f>IF(Orders!D1117="","",IF(INDEX(Riders!$B$2:$B$81,MATCH(Orders!D1117,Riders!$A$2:$A$81,0))=B1120,1,0))</f>
        <v>0</v>
      </c>
      <c r="AF1120" s="34">
        <f>IF(E1120=1,Orders!L1117,"")</f>
        <v>2.28</v>
      </c>
      <c r="AG1120" s="34">
        <f>IF(E1120=1,Orders!P1117,"")</f>
        <v>10.1</v>
      </c>
      <c r="AH1120" s="34">
        <f>IF(E1120=1,Orders!Q1117,"")</f>
        <v>9.4</v>
      </c>
      <c r="AI1120" s="34">
        <f>IF(E1120=1,Orders!M1117,"")</f>
        <v>3</v>
      </c>
      <c r="AJ1120" s="34">
        <f>IF(E1120=1,Orders!N1117,"")</f>
        <v>0.4</v>
      </c>
      <c r="AK1120" s="34">
        <f>IF(E1120=1,Orders!O1117,"")</f>
        <v>6</v>
      </c>
      <c r="AL1120" s="33">
        <f>IF(E1120=1,IF(ROUND(ABS(AI1120+AJ1120+AK1120-AH1120),6)&lt;=0.1,1,0),"")</f>
        <v>1</v>
      </c>
      <c r="AM1120" s="36">
        <f>IF(E1120=1,AI1120/AH1120,"")</f>
        <v>0.319148936170213</v>
      </c>
      <c r="AN1120" s="36">
        <f>IF(E1120=1,AJ1120/AH1120,"")</f>
        <v>0.0425531914893617</v>
      </c>
      <c r="AO1120" s="36">
        <f>IF(E1120=1,AK1120/AH1120,"")</f>
        <v>0.638297872340426</v>
      </c>
      <c r="AP1120" s="34">
        <f>IF(E1120=1,Orders!Y1117,"")</f>
        <v>0.6</v>
      </c>
      <c r="AQ1120" s="33">
        <f>IF(Orders!X1117,1,0)</f>
        <v>0</v>
      </c>
      <c r="AR1120" s="34" t="str">
        <f>IF(AND(E1120=1,L1120=1),AJ1120,"")</f>
        <v/>
      </c>
      <c r="AS1120" s="34">
        <f>IF(AND(E1120=1,L1120=0),AJ1120,"")</f>
        <v>0.4</v>
      </c>
      <c r="AT1120" s="34" t="str">
        <f>IF(AND(E1120=1,L1120=1),AI1120,"")</f>
        <v/>
      </c>
      <c r="AU1120" s="34">
        <f>IF(AND(E1120=1,L1120=0),AI1120,"")</f>
        <v>3</v>
      </c>
      <c r="AV1120" s="34" t="str">
        <f>IF(AND(E1120=1,L1120=1),AG1120,"")</f>
        <v/>
      </c>
      <c r="AW1120" s="34">
        <f>IF(AND(E1120=1,L1120=0),AG1120,"")</f>
        <v>10.1</v>
      </c>
      <c r="AX1120" s="34" t="str">
        <f>IF(AND(E1120=1,L1120=1),AH1120,"")</f>
        <v/>
      </c>
      <c r="AY1120" s="34">
        <f>IF(AND(E1120=1,L1120=0),AH1120,"")</f>
        <v>9.4</v>
      </c>
      <c r="AZ1120" s="34" t="str">
        <f>IF(G1120=1,F1120,"")</f>
        <v/>
      </c>
      <c r="BA1120" s="34" t="str">
        <f>IF(AND(G1120=1,L1120=1),F1120,"")</f>
        <v/>
      </c>
      <c r="BB1120" s="34" t="str">
        <f>IF(AND(G1120=1,L1120=0),F1120,"")</f>
        <v/>
      </c>
      <c r="BC1120" s="33">
        <f>IF(E1120=1,IF(Orders!R1117&gt;3,1,0),"")</f>
        <v>0</v>
      </c>
      <c r="BD1120" s="33">
        <f>IF(E1120=1,IF(Orders!R1117&gt;7,1,0),"")</f>
        <v>0</v>
      </c>
      <c r="BE1120" s="32" t="str">
        <f>IF(E1120=1,IF(Orders!L1117&lt;=1.5,"Up to 1.5 km",IF(Orders!L1117&lt;=3,"1.5–3 km","Over 3 km")),"")</f>
        <v>1.5–3 km</v>
      </c>
      <c r="BF1120" s="33">
        <f>IF(E1120=1,IF(ABS((Orders!G1117-Orders!F1117)*1440-Orders!R1117)&lt;0.06,1,0),"")</f>
        <v>1</v>
      </c>
      <c r="BG1120" s="33">
        <f>IF(ABS((Orders!F1117-Orders!E1117)*1440-Orders!P1117)&lt;0.06,1,0)</f>
        <v>1</v>
      </c>
      <c r="BH1120" s="33">
        <f>IF(E1120=1,IF(IF(Orders!S1117,1,0)=1-G1120,1,0),"")</f>
        <v>1</v>
      </c>
      <c r="BI1120" s="32" t="str">
        <f>INDEX(Stores!$B$2:$B$21,MATCH(B1120,Stores!$A$2:$A$21,0))</f>
        <v>Bengaluru</v>
      </c>
    </row>
    <row r="1121">
      <c r="A1121" s="32" t="str">
        <f>Orders!A1118</f>
        <v>O01117</v>
      </c>
      <c r="B1121" s="32" t="str">
        <f>Orders!C1118</f>
        <v>S003</v>
      </c>
      <c r="C1121" s="32" t="str">
        <f>Orders!B1118</f>
        <v>C0126</v>
      </c>
      <c r="D1121" s="32" t="str">
        <f>Orders!H1118</f>
        <v>Delivered</v>
      </c>
      <c r="E1121" s="33">
        <f>IF(Orders!H1118="Delivered",1,0)</f>
        <v>1</v>
      </c>
      <c r="F1121" s="34">
        <f>IF(E1121=1,Orders!R1118,"")</f>
        <v>-0.5</v>
      </c>
      <c r="G1121" s="33">
        <f>IF(E1121=1,IF(Orders!R1118&gt;0,1,0),"")</f>
        <v>0</v>
      </c>
      <c r="H1121" s="33">
        <f>IF(E1121=1,IF(Orders!R1118&gt;5,1,0),"")</f>
        <v>0</v>
      </c>
      <c r="I1121" s="32" t="str">
        <f>IF(E1121=1,"",IF(OR(Orders!T1118="Rider unavailable",Orders!T1118="Item unavailable"),"Company-caused","Unresolved"))</f>
        <v/>
      </c>
      <c r="J1121" s="33">
        <f>IF(OR(E1121=1,I1121="Company-caused"),1,0)</f>
        <v>1</v>
      </c>
      <c r="K1121" s="32" t="str">
        <f>IF(E1121=0,IF(I1121="Company-caused",IF(Orders!T1118="Rider unavailable","C1 Rider unavailable","C2 Item unavailable"),"Outside root: unresolved"),IF(G1121=0,"A On time",IF(H1121=1,IF(L1121=1,"B2a Severe, peak","B2b Severe, off-peak"),IF(L1121=1,"B1a Slight, peak","B1b Slight, off-peak"))))</f>
        <v>A On time</v>
      </c>
      <c r="L1121" s="33">
        <f>IF(AND(Orders!U1118&gt;=19,Orders!U1118&lt;22),1,0)</f>
        <v>0</v>
      </c>
      <c r="M1121" s="33">
        <f>IF(L1121=IF(Orders!V1118,1,0),1,0)</f>
        <v>1</v>
      </c>
      <c r="N1121" s="32" t="str">
        <f>IF(Orders!W1118="","None",Orders!W1118)</f>
        <v>Light</v>
      </c>
      <c r="O1121" s="35">
        <f>INT(Orders!E1118)</f>
        <v>46277.0</v>
      </c>
      <c r="P1121" s="33">
        <f>Orders!U1118</f>
        <v>23</v>
      </c>
      <c r="Q1121" s="33">
        <f>COUNTIFS(Demand!$A$2:$A$4481,B1121,Demand!$B$2:$B$4481,O1121,Demand!$C$2:$C$4481,P1121)</f>
        <v>1</v>
      </c>
      <c r="R1121" s="33">
        <f>IF(Q1121=1,SUMIFS(Demand!$E$2:$E$4481,Demand!$A$2:$A$4481,B1121,Demand!$B$2:$B$4481,O1121,Demand!$C$2:$C$4481,P1121),"")</f>
        <v>43</v>
      </c>
      <c r="S1121" s="33">
        <f>INDEX(Stores!$G$2:$G$21,MATCH(B1121,Stores!$A$2:$A$21,0))</f>
        <v>41</v>
      </c>
      <c r="T1121" s="34">
        <f>IF(R1121="","",R1121/S1121)</f>
        <v>1.04878048780488</v>
      </c>
      <c r="U1121" s="34">
        <f>IF(E1121=1,T1121,"")</f>
        <v>1.04878048780488</v>
      </c>
      <c r="V1121" s="34">
        <f>IF(AND(E1121=1,L1121=0),T1121,"")</f>
        <v>1.04878048780488</v>
      </c>
      <c r="W1121" s="33">
        <f>IF(U1121="","",IF(U1121&lt;=Breakdowns!$C$5,1,IF(U1121&lt;=Breakdowns!$C$6,2,IF(U1121&lt;=Breakdowns!$C$7,3,4))))</f>
        <v>3</v>
      </c>
      <c r="X1121" s="33">
        <f>IF(V1121="","",IF(V1121&lt;=Breakdowns!$D$5,1,IF(V1121&lt;=Breakdowns!$D$6,2,IF(V1121&lt;=Breakdowns!$D$7,3,4))))</f>
        <v>3</v>
      </c>
      <c r="Y1121" s="34">
        <f>INDEX(Stores!$F$2:$F$21,MATCH(B1121,Stores!$A$2:$A$21,0))</f>
        <v>3.84</v>
      </c>
      <c r="Z1121" s="33">
        <f>IF(Y1121&gt;Store_Summary!$M$2,1,0)</f>
        <v>0</v>
      </c>
      <c r="AA1121" s="33">
        <f>INDEX(Stores!$C$2:$C$21,MATCH(B1121,Stores!$A$2:$A$21,0))</f>
        <v>426</v>
      </c>
      <c r="AB1121" s="33">
        <f>IF(AA1121&lt;180,1,0)</f>
        <v>0</v>
      </c>
      <c r="AC1121" s="32" t="str">
        <f>IF(Orders!D1118="","",INDEX(Riders!$C$2:$C$81,MATCH(Orders!D1118,Riders!$A$2:$A$81,0)))</f>
        <v>EV scooter</v>
      </c>
      <c r="AD1121" s="33">
        <f>IF(Orders!D1118="","",INDEX(Riders!$D$2:$D$81,MATCH(Orders!D1118,Riders!$A$2:$A$81,0)))</f>
        <v>45</v>
      </c>
      <c r="AE1121" s="33">
        <f>IF(Orders!D1118="","",IF(INDEX(Riders!$B$2:$B$81,MATCH(Orders!D1118,Riders!$A$2:$A$81,0))=B1121,1,0))</f>
        <v>0</v>
      </c>
      <c r="AF1121" s="34">
        <f>IF(E1121=1,Orders!L1118,"")</f>
        <v>0.54</v>
      </c>
      <c r="AG1121" s="34">
        <f>IF(E1121=1,Orders!P1118,"")</f>
        <v>9.9</v>
      </c>
      <c r="AH1121" s="34">
        <f>IF(E1121=1,Orders!Q1118,"")</f>
        <v>9.4</v>
      </c>
      <c r="AI1121" s="34">
        <f>IF(E1121=1,Orders!M1118,"")</f>
        <v>2.7</v>
      </c>
      <c r="AJ1121" s="34">
        <f>IF(E1121=1,Orders!N1118,"")</f>
        <v>4.7</v>
      </c>
      <c r="AK1121" s="34">
        <f>IF(E1121=1,Orders!O1118,"")</f>
        <v>2</v>
      </c>
      <c r="AL1121" s="33">
        <f>IF(E1121=1,IF(ROUND(ABS(AI1121+AJ1121+AK1121-AH1121),6)&lt;=0.1,1,0),"")</f>
        <v>1</v>
      </c>
      <c r="AM1121" s="36">
        <f>IF(E1121=1,AI1121/AH1121,"")</f>
        <v>0.287234042553192</v>
      </c>
      <c r="AN1121" s="36">
        <f>IF(E1121=1,AJ1121/AH1121,"")</f>
        <v>0.5</v>
      </c>
      <c r="AO1121" s="36">
        <f>IF(E1121=1,AK1121/AH1121,"")</f>
        <v>0.212765957446809</v>
      </c>
      <c r="AP1121" s="34">
        <f>IF(E1121=1,Orders!Y1118,"")</f>
        <v>0.01</v>
      </c>
      <c r="AQ1121" s="33">
        <f>IF(Orders!X1118,1,0)</f>
        <v>0</v>
      </c>
      <c r="AR1121" s="34" t="str">
        <f>IF(AND(E1121=1,L1121=1),AJ1121,"")</f>
        <v/>
      </c>
      <c r="AS1121" s="34">
        <f>IF(AND(E1121=1,L1121=0),AJ1121,"")</f>
        <v>4.7</v>
      </c>
      <c r="AT1121" s="34" t="str">
        <f>IF(AND(E1121=1,L1121=1),AI1121,"")</f>
        <v/>
      </c>
      <c r="AU1121" s="34">
        <f>IF(AND(E1121=1,L1121=0),AI1121,"")</f>
        <v>2.7</v>
      </c>
      <c r="AV1121" s="34" t="str">
        <f>IF(AND(E1121=1,L1121=1),AG1121,"")</f>
        <v/>
      </c>
      <c r="AW1121" s="34">
        <f>IF(AND(E1121=1,L1121=0),AG1121,"")</f>
        <v>9.9</v>
      </c>
      <c r="AX1121" s="34" t="str">
        <f>IF(AND(E1121=1,L1121=1),AH1121,"")</f>
        <v/>
      </c>
      <c r="AY1121" s="34">
        <f>IF(AND(E1121=1,L1121=0),AH1121,"")</f>
        <v>9.4</v>
      </c>
      <c r="AZ1121" s="34" t="str">
        <f>IF(G1121=1,F1121,"")</f>
        <v/>
      </c>
      <c r="BA1121" s="34" t="str">
        <f>IF(AND(G1121=1,L1121=1),F1121,"")</f>
        <v/>
      </c>
      <c r="BB1121" s="34" t="str">
        <f>IF(AND(G1121=1,L1121=0),F1121,"")</f>
        <v/>
      </c>
      <c r="BC1121" s="33">
        <f>IF(E1121=1,IF(Orders!R1118&gt;3,1,0),"")</f>
        <v>0</v>
      </c>
      <c r="BD1121" s="33">
        <f>IF(E1121=1,IF(Orders!R1118&gt;7,1,0),"")</f>
        <v>0</v>
      </c>
      <c r="BE1121" s="32" t="str">
        <f>IF(E1121=1,IF(Orders!L1118&lt;=1.5,"Up to 1.5 km",IF(Orders!L1118&lt;=3,"1.5–3 km","Over 3 km")),"")</f>
        <v>Up to 1.5 km</v>
      </c>
      <c r="BF1121" s="33">
        <f>IF(E1121=1,IF(ABS((Orders!G1118-Orders!F1118)*1440-Orders!R1118)&lt;0.06,1,0),"")</f>
        <v>1</v>
      </c>
      <c r="BG1121" s="33">
        <f>IF(ABS((Orders!F1118-Orders!E1118)*1440-Orders!P1118)&lt;0.06,1,0)</f>
        <v>1</v>
      </c>
      <c r="BH1121" s="33">
        <f>IF(E1121=1,IF(IF(Orders!S1118,1,0)=1-G1121,1,0),"")</f>
        <v>1</v>
      </c>
      <c r="BI1121" s="32" t="str">
        <f>INDEX(Stores!$B$2:$B$21,MATCH(B1121,Stores!$A$2:$A$21,0))</f>
        <v>Mumbai</v>
      </c>
    </row>
    <row r="1122">
      <c r="A1122" s="32" t="str">
        <f>Orders!A1119</f>
        <v>O01118</v>
      </c>
      <c r="B1122" s="32" t="str">
        <f>Orders!C1119</f>
        <v>S012</v>
      </c>
      <c r="C1122" s="32" t="str">
        <f>Orders!B1119</f>
        <v>C0235</v>
      </c>
      <c r="D1122" s="32" t="str">
        <f>Orders!H1119</f>
        <v>Delivered</v>
      </c>
      <c r="E1122" s="33">
        <f>IF(Orders!H1119="Delivered",1,0)</f>
        <v>1</v>
      </c>
      <c r="F1122" s="34">
        <f>IF(E1122=1,Orders!R1119,"")</f>
        <v>-0.3</v>
      </c>
      <c r="G1122" s="33">
        <f>IF(E1122=1,IF(Orders!R1119&gt;0,1,0),"")</f>
        <v>0</v>
      </c>
      <c r="H1122" s="33">
        <f>IF(E1122=1,IF(Orders!R1119&gt;5,1,0),"")</f>
        <v>0</v>
      </c>
      <c r="I1122" s="32" t="str">
        <f>IF(E1122=1,"",IF(OR(Orders!T1119="Rider unavailable",Orders!T1119="Item unavailable"),"Company-caused","Unresolved"))</f>
        <v/>
      </c>
      <c r="J1122" s="33">
        <f>IF(OR(E1122=1,I1122="Company-caused"),1,0)</f>
        <v>1</v>
      </c>
      <c r="K1122" s="32" t="str">
        <f>IF(E1122=0,IF(I1122="Company-caused",IF(Orders!T1119="Rider unavailable","C1 Rider unavailable","C2 Item unavailable"),"Outside root: unresolved"),IF(G1122=0,"A On time",IF(H1122=1,IF(L1122=1,"B2a Severe, peak","B2b Severe, off-peak"),IF(L1122=1,"B1a Slight, peak","B1b Slight, off-peak"))))</f>
        <v>A On time</v>
      </c>
      <c r="L1122" s="33">
        <f>IF(AND(Orders!U1119&gt;=19,Orders!U1119&lt;22),1,0)</f>
        <v>0</v>
      </c>
      <c r="M1122" s="33">
        <f>IF(L1122=IF(Orders!V1119,1,0),1,0)</f>
        <v>1</v>
      </c>
      <c r="N1122" s="32" t="str">
        <f>IF(Orders!W1119="","None",Orders!W1119)</f>
        <v>None</v>
      </c>
      <c r="O1122" s="35">
        <f>INT(Orders!E1119)</f>
        <v>46276.0</v>
      </c>
      <c r="P1122" s="33">
        <f>Orders!U1119</f>
        <v>16</v>
      </c>
      <c r="Q1122" s="33">
        <f>COUNTIFS(Demand!$A$2:$A$4481,B1122,Demand!$B$2:$B$4481,O1122,Demand!$C$2:$C$4481,P1122)</f>
        <v>1</v>
      </c>
      <c r="R1122" s="33">
        <f>IF(Q1122=1,SUMIFS(Demand!$E$2:$E$4481,Demand!$A$2:$A$4481,B1122,Demand!$B$2:$B$4481,O1122,Demand!$C$2:$C$4481,P1122),"")</f>
        <v>20</v>
      </c>
      <c r="S1122" s="33">
        <f>INDEX(Stores!$G$2:$G$21,MATCH(B1122,Stores!$A$2:$A$21,0))</f>
        <v>15</v>
      </c>
      <c r="T1122" s="34">
        <f>IF(R1122="","",R1122/S1122)</f>
        <v>1.33333333333333</v>
      </c>
      <c r="U1122" s="34">
        <f>IF(E1122=1,T1122,"")</f>
        <v>1.33333333333333</v>
      </c>
      <c r="V1122" s="34">
        <f>IF(AND(E1122=1,L1122=0),T1122,"")</f>
        <v>1.33333333333333</v>
      </c>
      <c r="W1122" s="33">
        <f>IF(U1122="","",IF(U1122&lt;=Breakdowns!$C$5,1,IF(U1122&lt;=Breakdowns!$C$6,2,IF(U1122&lt;=Breakdowns!$C$7,3,4))))</f>
        <v>4</v>
      </c>
      <c r="X1122" s="33">
        <f>IF(V1122="","",IF(V1122&lt;=Breakdowns!$D$5,1,IF(V1122&lt;=Breakdowns!$D$6,2,IF(V1122&lt;=Breakdowns!$D$7,3,4))))</f>
        <v>4</v>
      </c>
      <c r="Y1122" s="34">
        <f>INDEX(Stores!$F$2:$F$21,MATCH(B1122,Stores!$A$2:$A$21,0))</f>
        <v>5.23</v>
      </c>
      <c r="Z1122" s="33">
        <f>IF(Y1122&gt;Store_Summary!$M$2,1,0)</f>
        <v>1</v>
      </c>
      <c r="AA1122" s="33">
        <f>INDEX(Stores!$C$2:$C$21,MATCH(B1122,Stores!$A$2:$A$21,0))</f>
        <v>300</v>
      </c>
      <c r="AB1122" s="33">
        <f>IF(AA1122&lt;180,1,0)</f>
        <v>0</v>
      </c>
      <c r="AC1122" s="32" t="str">
        <f>IF(Orders!D1119="","",INDEX(Riders!$C$2:$C$81,MATCH(Orders!D1119,Riders!$A$2:$A$81,0)))</f>
        <v>Petrol scooter</v>
      </c>
      <c r="AD1122" s="33">
        <f>IF(Orders!D1119="","",INDEX(Riders!$D$2:$D$81,MATCH(Orders!D1119,Riders!$A$2:$A$81,0)))</f>
        <v>19</v>
      </c>
      <c r="AE1122" s="33">
        <f>IF(Orders!D1119="","",IF(INDEX(Riders!$B$2:$B$81,MATCH(Orders!D1119,Riders!$A$2:$A$81,0))=B1122,1,0))</f>
        <v>0</v>
      </c>
      <c r="AF1122" s="34">
        <f>IF(E1122=1,Orders!L1119,"")</f>
        <v>1.14</v>
      </c>
      <c r="AG1122" s="34">
        <f>IF(E1122=1,Orders!P1119,"")</f>
        <v>10.2</v>
      </c>
      <c r="AH1122" s="34">
        <f>IF(E1122=1,Orders!Q1119,"")</f>
        <v>9.9</v>
      </c>
      <c r="AI1122" s="34">
        <f>IF(E1122=1,Orders!M1119,"")</f>
        <v>3.7</v>
      </c>
      <c r="AJ1122" s="34">
        <f>IF(E1122=1,Orders!N1119,"")</f>
        <v>3.8</v>
      </c>
      <c r="AK1122" s="34">
        <f>IF(E1122=1,Orders!O1119,"")</f>
        <v>2.4</v>
      </c>
      <c r="AL1122" s="33">
        <f>IF(E1122=1,IF(ROUND(ABS(AI1122+AJ1122+AK1122-AH1122),6)&lt;=0.1,1,0),"")</f>
        <v>1</v>
      </c>
      <c r="AM1122" s="36">
        <f>IF(E1122=1,AI1122/AH1122,"")</f>
        <v>0.373737373737374</v>
      </c>
      <c r="AN1122" s="36">
        <f>IF(E1122=1,AJ1122/AH1122,"")</f>
        <v>0.383838383838384</v>
      </c>
      <c r="AO1122" s="36">
        <f>IF(E1122=1,AK1122/AH1122,"")</f>
        <v>0.242424242424242</v>
      </c>
      <c r="AP1122" s="34">
        <f>IF(E1122=1,Orders!Y1119,"")</f>
        <v>0.44</v>
      </c>
      <c r="AQ1122" s="33">
        <f>IF(Orders!X1119,1,0)</f>
        <v>0</v>
      </c>
      <c r="AR1122" s="34" t="str">
        <f>IF(AND(E1122=1,L1122=1),AJ1122,"")</f>
        <v/>
      </c>
      <c r="AS1122" s="34">
        <f>IF(AND(E1122=1,L1122=0),AJ1122,"")</f>
        <v>3.8</v>
      </c>
      <c r="AT1122" s="34" t="str">
        <f>IF(AND(E1122=1,L1122=1),AI1122,"")</f>
        <v/>
      </c>
      <c r="AU1122" s="34">
        <f>IF(AND(E1122=1,L1122=0),AI1122,"")</f>
        <v>3.7</v>
      </c>
      <c r="AV1122" s="34" t="str">
        <f>IF(AND(E1122=1,L1122=1),AG1122,"")</f>
        <v/>
      </c>
      <c r="AW1122" s="34">
        <f>IF(AND(E1122=1,L1122=0),AG1122,"")</f>
        <v>10.2</v>
      </c>
      <c r="AX1122" s="34" t="str">
        <f>IF(AND(E1122=1,L1122=1),AH1122,"")</f>
        <v/>
      </c>
      <c r="AY1122" s="34">
        <f>IF(AND(E1122=1,L1122=0),AH1122,"")</f>
        <v>9.9</v>
      </c>
      <c r="AZ1122" s="34" t="str">
        <f>IF(G1122=1,F1122,"")</f>
        <v/>
      </c>
      <c r="BA1122" s="34" t="str">
        <f>IF(AND(G1122=1,L1122=1),F1122,"")</f>
        <v/>
      </c>
      <c r="BB1122" s="34" t="str">
        <f>IF(AND(G1122=1,L1122=0),F1122,"")</f>
        <v/>
      </c>
      <c r="BC1122" s="33">
        <f>IF(E1122=1,IF(Orders!R1119&gt;3,1,0),"")</f>
        <v>0</v>
      </c>
      <c r="BD1122" s="33">
        <f>IF(E1122=1,IF(Orders!R1119&gt;7,1,0),"")</f>
        <v>0</v>
      </c>
      <c r="BE1122" s="32" t="str">
        <f>IF(E1122=1,IF(Orders!L1119&lt;=1.5,"Up to 1.5 km",IF(Orders!L1119&lt;=3,"1.5–3 km","Over 3 km")),"")</f>
        <v>Up to 1.5 km</v>
      </c>
      <c r="BF1122" s="33">
        <f>IF(E1122=1,IF(ABS((Orders!G1119-Orders!F1119)*1440-Orders!R1119)&lt;0.06,1,0),"")</f>
        <v>1</v>
      </c>
      <c r="BG1122" s="33">
        <f>IF(ABS((Orders!F1119-Orders!E1119)*1440-Orders!P1119)&lt;0.06,1,0)</f>
        <v>1</v>
      </c>
      <c r="BH1122" s="33">
        <f>IF(E1122=1,IF(IF(Orders!S1119,1,0)=1-G1122,1,0),"")</f>
        <v>1</v>
      </c>
      <c r="BI1122" s="32" t="str">
        <f>INDEX(Stores!$B$2:$B$21,MATCH(B1122,Stores!$A$2:$A$21,0))</f>
        <v>Hyderabad</v>
      </c>
    </row>
    <row r="1123">
      <c r="A1123" s="32" t="str">
        <f>Orders!A1120</f>
        <v>O01119</v>
      </c>
      <c r="B1123" s="32" t="str">
        <f>Orders!C1120</f>
        <v>S019</v>
      </c>
      <c r="C1123" s="32" t="str">
        <f>Orders!B1120</f>
        <v>C0225</v>
      </c>
      <c r="D1123" s="32" t="str">
        <f>Orders!H1120</f>
        <v>Delivered</v>
      </c>
      <c r="E1123" s="33">
        <f>IF(Orders!H1120="Delivered",1,0)</f>
        <v>1</v>
      </c>
      <c r="F1123" s="34">
        <f>IF(E1123=1,Orders!R1120,"")</f>
        <v>-0.8</v>
      </c>
      <c r="G1123" s="33">
        <f>IF(E1123=1,IF(Orders!R1120&gt;0,1,0),"")</f>
        <v>0</v>
      </c>
      <c r="H1123" s="33">
        <f>IF(E1123=1,IF(Orders!R1120&gt;5,1,0),"")</f>
        <v>0</v>
      </c>
      <c r="I1123" s="32" t="str">
        <f>IF(E1123=1,"",IF(OR(Orders!T1120="Rider unavailable",Orders!T1120="Item unavailable"),"Company-caused","Unresolved"))</f>
        <v/>
      </c>
      <c r="J1123" s="33">
        <f>IF(OR(E1123=1,I1123="Company-caused"),1,0)</f>
        <v>1</v>
      </c>
      <c r="K1123" s="32" t="str">
        <f>IF(E1123=0,IF(I1123="Company-caused",IF(Orders!T1120="Rider unavailable","C1 Rider unavailable","C2 Item unavailable"),"Outside root: unresolved"),IF(G1123=0,"A On time",IF(H1123=1,IF(L1123=1,"B2a Severe, peak","B2b Severe, off-peak"),IF(L1123=1,"B1a Slight, peak","B1b Slight, off-peak"))))</f>
        <v>A On time</v>
      </c>
      <c r="L1123" s="33">
        <f>IF(AND(Orders!U1120&gt;=19,Orders!U1120&lt;22),1,0)</f>
        <v>0</v>
      </c>
      <c r="M1123" s="33">
        <f>IF(L1123=IF(Orders!V1120,1,0),1,0)</f>
        <v>1</v>
      </c>
      <c r="N1123" s="32" t="str">
        <f>IF(Orders!W1120="","None",Orders!W1120)</f>
        <v>None</v>
      </c>
      <c r="O1123" s="35">
        <f>INT(Orders!E1120)</f>
        <v>46270.0</v>
      </c>
      <c r="P1123" s="33">
        <f>Orders!U1120</f>
        <v>9</v>
      </c>
      <c r="Q1123" s="33">
        <f>COUNTIFS(Demand!$A$2:$A$4481,B1123,Demand!$B$2:$B$4481,O1123,Demand!$C$2:$C$4481,P1123)</f>
        <v>1</v>
      </c>
      <c r="R1123" s="33">
        <f>IF(Q1123=1,SUMIFS(Demand!$E$2:$E$4481,Demand!$A$2:$A$4481,B1123,Demand!$B$2:$B$4481,O1123,Demand!$C$2:$C$4481,P1123),"")</f>
        <v>16</v>
      </c>
      <c r="S1123" s="33">
        <f>INDEX(Stores!$G$2:$G$21,MATCH(B1123,Stores!$A$2:$A$21,0))</f>
        <v>22</v>
      </c>
      <c r="T1123" s="34">
        <f>IF(R1123="","",R1123/S1123)</f>
        <v>0.727272727272727</v>
      </c>
      <c r="U1123" s="34">
        <f>IF(E1123=1,T1123,"")</f>
        <v>0.727272727272727</v>
      </c>
      <c r="V1123" s="34">
        <f>IF(AND(E1123=1,L1123=0),T1123,"")</f>
        <v>0.727272727272727</v>
      </c>
      <c r="W1123" s="33">
        <f>IF(U1123="","",IF(U1123&lt;=Breakdowns!$C$5,1,IF(U1123&lt;=Breakdowns!$C$6,2,IF(U1123&lt;=Breakdowns!$C$7,3,4))))</f>
        <v>1</v>
      </c>
      <c r="X1123" s="33">
        <f>IF(V1123="","",IF(V1123&lt;=Breakdowns!$D$5,1,IF(V1123&lt;=Breakdowns!$D$6,2,IF(V1123&lt;=Breakdowns!$D$7,3,4))))</f>
        <v>1</v>
      </c>
      <c r="Y1123" s="34">
        <f>INDEX(Stores!$F$2:$F$21,MATCH(B1123,Stores!$A$2:$A$21,0))</f>
        <v>4.99</v>
      </c>
      <c r="Z1123" s="33">
        <f>IF(Y1123&gt;Store_Summary!$M$2,1,0)</f>
        <v>1</v>
      </c>
      <c r="AA1123" s="33">
        <f>INDEX(Stores!$C$2:$C$21,MATCH(B1123,Stores!$A$2:$A$21,0))</f>
        <v>851</v>
      </c>
      <c r="AB1123" s="33">
        <f>IF(AA1123&lt;180,1,0)</f>
        <v>0</v>
      </c>
      <c r="AC1123" s="32" t="str">
        <f>IF(Orders!D1120="","",INDEX(Riders!$C$2:$C$81,MATCH(Orders!D1120,Riders!$A$2:$A$81,0)))</f>
        <v>EV scooter</v>
      </c>
      <c r="AD1123" s="33">
        <f>IF(Orders!D1120="","",INDEX(Riders!$D$2:$D$81,MATCH(Orders!D1120,Riders!$A$2:$A$81,0)))</f>
        <v>36</v>
      </c>
      <c r="AE1123" s="33">
        <f>IF(Orders!D1120="","",IF(INDEX(Riders!$B$2:$B$81,MATCH(Orders!D1120,Riders!$A$2:$A$81,0))=B1123,1,0))</f>
        <v>0</v>
      </c>
      <c r="AF1123" s="34">
        <f>IF(E1123=1,Orders!L1120,"")</f>
        <v>2.5</v>
      </c>
      <c r="AG1123" s="34">
        <f>IF(E1123=1,Orders!P1120,"")</f>
        <v>9.8</v>
      </c>
      <c r="AH1123" s="34">
        <f>IF(E1123=1,Orders!Q1120,"")</f>
        <v>9</v>
      </c>
      <c r="AI1123" s="34">
        <f>IF(E1123=1,Orders!M1120,"")</f>
        <v>3.8</v>
      </c>
      <c r="AJ1123" s="34">
        <f>IF(E1123=1,Orders!N1120,"")</f>
        <v>1.6</v>
      </c>
      <c r="AK1123" s="34">
        <f>IF(E1123=1,Orders!O1120,"")</f>
        <v>3.6</v>
      </c>
      <c r="AL1123" s="33">
        <f>IF(E1123=1,IF(ROUND(ABS(AI1123+AJ1123+AK1123-AH1123),6)&lt;=0.1,1,0),"")</f>
        <v>1</v>
      </c>
      <c r="AM1123" s="36">
        <f>IF(E1123=1,AI1123/AH1123,"")</f>
        <v>0.422222222222222</v>
      </c>
      <c r="AN1123" s="36">
        <f>IF(E1123=1,AJ1123/AH1123,"")</f>
        <v>0.177777777777778</v>
      </c>
      <c r="AO1123" s="36">
        <f>IF(E1123=1,AK1123/AH1123,"")</f>
        <v>0.4</v>
      </c>
      <c r="AP1123" s="34">
        <f>IF(E1123=1,Orders!Y1120,"")</f>
        <v>0.65</v>
      </c>
      <c r="AQ1123" s="33">
        <f>IF(Orders!X1120,1,0)</f>
        <v>0</v>
      </c>
      <c r="AR1123" s="34" t="str">
        <f>IF(AND(E1123=1,L1123=1),AJ1123,"")</f>
        <v/>
      </c>
      <c r="AS1123" s="34">
        <f>IF(AND(E1123=1,L1123=0),AJ1123,"")</f>
        <v>1.6</v>
      </c>
      <c r="AT1123" s="34" t="str">
        <f>IF(AND(E1123=1,L1123=1),AI1123,"")</f>
        <v/>
      </c>
      <c r="AU1123" s="34">
        <f>IF(AND(E1123=1,L1123=0),AI1123,"")</f>
        <v>3.8</v>
      </c>
      <c r="AV1123" s="34" t="str">
        <f>IF(AND(E1123=1,L1123=1),AG1123,"")</f>
        <v/>
      </c>
      <c r="AW1123" s="34">
        <f>IF(AND(E1123=1,L1123=0),AG1123,"")</f>
        <v>9.8</v>
      </c>
      <c r="AX1123" s="34" t="str">
        <f>IF(AND(E1123=1,L1123=1),AH1123,"")</f>
        <v/>
      </c>
      <c r="AY1123" s="34">
        <f>IF(AND(E1123=1,L1123=0),AH1123,"")</f>
        <v>9</v>
      </c>
      <c r="AZ1123" s="34" t="str">
        <f>IF(G1123=1,F1123,"")</f>
        <v/>
      </c>
      <c r="BA1123" s="34" t="str">
        <f>IF(AND(G1123=1,L1123=1),F1123,"")</f>
        <v/>
      </c>
      <c r="BB1123" s="34" t="str">
        <f>IF(AND(G1123=1,L1123=0),F1123,"")</f>
        <v/>
      </c>
      <c r="BC1123" s="33">
        <f>IF(E1123=1,IF(Orders!R1120&gt;3,1,0),"")</f>
        <v>0</v>
      </c>
      <c r="BD1123" s="33">
        <f>IF(E1123=1,IF(Orders!R1120&gt;7,1,0),"")</f>
        <v>0</v>
      </c>
      <c r="BE1123" s="32" t="str">
        <f>IF(E1123=1,IF(Orders!L1120&lt;=1.5,"Up to 1.5 km",IF(Orders!L1120&lt;=3,"1.5–3 km","Over 3 km")),"")</f>
        <v>1.5–3 km</v>
      </c>
      <c r="BF1123" s="33">
        <f>IF(E1123=1,IF(ABS((Orders!G1120-Orders!F1120)*1440-Orders!R1120)&lt;0.06,1,0),"")</f>
        <v>1</v>
      </c>
      <c r="BG1123" s="33">
        <f>IF(ABS((Orders!F1120-Orders!E1120)*1440-Orders!P1120)&lt;0.06,1,0)</f>
        <v>1</v>
      </c>
      <c r="BH1123" s="33">
        <f>IF(E1123=1,IF(IF(Orders!S1120,1,0)=1-G1123,1,0),"")</f>
        <v>1</v>
      </c>
      <c r="BI1123" s="32" t="str">
        <f>INDEX(Stores!$B$2:$B$21,MATCH(B1123,Stores!$A$2:$A$21,0))</f>
        <v>Pune</v>
      </c>
    </row>
    <row r="1124">
      <c r="A1124" s="32" t="str">
        <f>Orders!A1121</f>
        <v>O01120</v>
      </c>
      <c r="B1124" s="32" t="str">
        <f>Orders!C1121</f>
        <v>S006</v>
      </c>
      <c r="C1124" s="32" t="str">
        <f>Orders!B1121</f>
        <v>C0236</v>
      </c>
      <c r="D1124" s="32" t="str">
        <f>Orders!H1121</f>
        <v>Delivered</v>
      </c>
      <c r="E1124" s="33">
        <f>IF(Orders!H1121="Delivered",1,0)</f>
        <v>1</v>
      </c>
      <c r="F1124" s="34">
        <f>IF(E1124=1,Orders!R1121,"")</f>
        <v>-0.3</v>
      </c>
      <c r="G1124" s="33">
        <f>IF(E1124=1,IF(Orders!R1121&gt;0,1,0),"")</f>
        <v>0</v>
      </c>
      <c r="H1124" s="33">
        <f>IF(E1124=1,IF(Orders!R1121&gt;5,1,0),"")</f>
        <v>0</v>
      </c>
      <c r="I1124" s="32" t="str">
        <f>IF(E1124=1,"",IF(OR(Orders!T1121="Rider unavailable",Orders!T1121="Item unavailable"),"Company-caused","Unresolved"))</f>
        <v/>
      </c>
      <c r="J1124" s="33">
        <f>IF(OR(E1124=1,I1124="Company-caused"),1,0)</f>
        <v>1</v>
      </c>
      <c r="K1124" s="32" t="str">
        <f>IF(E1124=0,IF(I1124="Company-caused",IF(Orders!T1121="Rider unavailable","C1 Rider unavailable","C2 Item unavailable"),"Outside root: unresolved"),IF(G1124=0,"A On time",IF(H1124=1,IF(L1124=1,"B2a Severe, peak","B2b Severe, off-peak"),IF(L1124=1,"B1a Slight, peak","B1b Slight, off-peak"))))</f>
        <v>A On time</v>
      </c>
      <c r="L1124" s="33">
        <f>IF(AND(Orders!U1121&gt;=19,Orders!U1121&lt;22),1,0)</f>
        <v>0</v>
      </c>
      <c r="M1124" s="33">
        <f>IF(L1124=IF(Orders!V1121,1,0),1,0)</f>
        <v>1</v>
      </c>
      <c r="N1124" s="32" t="str">
        <f>IF(Orders!W1121="","None",Orders!W1121)</f>
        <v>None</v>
      </c>
      <c r="O1124" s="35">
        <f>INT(Orders!E1121)</f>
        <v>46271.0</v>
      </c>
      <c r="P1124" s="33">
        <f>Orders!U1121</f>
        <v>15</v>
      </c>
      <c r="Q1124" s="33">
        <f>COUNTIFS(Demand!$A$2:$A$4481,B1124,Demand!$B$2:$B$4481,O1124,Demand!$C$2:$C$4481,P1124)</f>
        <v>1</v>
      </c>
      <c r="R1124" s="33">
        <f>IF(Q1124=1,SUMIFS(Demand!$E$2:$E$4481,Demand!$A$2:$A$4481,B1124,Demand!$B$2:$B$4481,O1124,Demand!$C$2:$C$4481,P1124),"")</f>
        <v>18</v>
      </c>
      <c r="S1124" s="33">
        <f>INDEX(Stores!$G$2:$G$21,MATCH(B1124,Stores!$A$2:$A$21,0))</f>
        <v>26</v>
      </c>
      <c r="T1124" s="34">
        <f>IF(R1124="","",R1124/S1124)</f>
        <v>0.692307692307692</v>
      </c>
      <c r="U1124" s="34">
        <f>IF(E1124=1,T1124,"")</f>
        <v>0.692307692307692</v>
      </c>
      <c r="V1124" s="34">
        <f>IF(AND(E1124=1,L1124=0),T1124,"")</f>
        <v>0.692307692307692</v>
      </c>
      <c r="W1124" s="33">
        <f>IF(U1124="","",IF(U1124&lt;=Breakdowns!$C$5,1,IF(U1124&lt;=Breakdowns!$C$6,2,IF(U1124&lt;=Breakdowns!$C$7,3,4))))</f>
        <v>1</v>
      </c>
      <c r="X1124" s="33">
        <f>IF(V1124="","",IF(V1124&lt;=Breakdowns!$D$5,1,IF(V1124&lt;=Breakdowns!$D$6,2,IF(V1124&lt;=Breakdowns!$D$7,3,4))))</f>
        <v>1</v>
      </c>
      <c r="Y1124" s="34">
        <f>INDEX(Stores!$F$2:$F$21,MATCH(B1124,Stores!$A$2:$A$21,0))</f>
        <v>5.22</v>
      </c>
      <c r="Z1124" s="33">
        <f>IF(Y1124&gt;Store_Summary!$M$2,1,0)</f>
        <v>1</v>
      </c>
      <c r="AA1124" s="33">
        <f>INDEX(Stores!$C$2:$C$21,MATCH(B1124,Stores!$A$2:$A$21,0))</f>
        <v>412</v>
      </c>
      <c r="AB1124" s="33">
        <f>IF(AA1124&lt;180,1,0)</f>
        <v>0</v>
      </c>
      <c r="AC1124" s="32" t="str">
        <f>IF(Orders!D1121="","",INDEX(Riders!$C$2:$C$81,MATCH(Orders!D1121,Riders!$A$2:$A$81,0)))</f>
        <v>Petrol scooter</v>
      </c>
      <c r="AD1124" s="33">
        <f>IF(Orders!D1121="","",INDEX(Riders!$D$2:$D$81,MATCH(Orders!D1121,Riders!$A$2:$A$81,0)))</f>
        <v>15</v>
      </c>
      <c r="AE1124" s="33">
        <f>IF(Orders!D1121="","",IF(INDEX(Riders!$B$2:$B$81,MATCH(Orders!D1121,Riders!$A$2:$A$81,0))=B1124,1,0))</f>
        <v>0</v>
      </c>
      <c r="AF1124" s="34">
        <f>IF(E1124=1,Orders!L1121,"")</f>
        <v>1.16</v>
      </c>
      <c r="AG1124" s="34">
        <f>IF(E1124=1,Orders!P1121,"")</f>
        <v>9.2</v>
      </c>
      <c r="AH1124" s="34">
        <f>IF(E1124=1,Orders!Q1121,"")</f>
        <v>8.9</v>
      </c>
      <c r="AI1124" s="34">
        <f>IF(E1124=1,Orders!M1121,"")</f>
        <v>3.9</v>
      </c>
      <c r="AJ1124" s="34">
        <f>IF(E1124=1,Orders!N1121,"")</f>
        <v>1.9</v>
      </c>
      <c r="AK1124" s="34">
        <f>IF(E1124=1,Orders!O1121,"")</f>
        <v>3.1</v>
      </c>
      <c r="AL1124" s="33">
        <f>IF(E1124=1,IF(ROUND(ABS(AI1124+AJ1124+AK1124-AH1124),6)&lt;=0.1,1,0),"")</f>
        <v>1</v>
      </c>
      <c r="AM1124" s="36">
        <f>IF(E1124=1,AI1124/AH1124,"")</f>
        <v>0.438202247191011</v>
      </c>
      <c r="AN1124" s="36">
        <f>IF(E1124=1,AJ1124/AH1124,"")</f>
        <v>0.213483146067416</v>
      </c>
      <c r="AO1124" s="36">
        <f>IF(E1124=1,AK1124/AH1124,"")</f>
        <v>0.348314606741573</v>
      </c>
      <c r="AP1124" s="34">
        <f>IF(E1124=1,Orders!Y1121,"")</f>
        <v>0.65</v>
      </c>
      <c r="AQ1124" s="33">
        <f>IF(Orders!X1121,1,0)</f>
        <v>0</v>
      </c>
      <c r="AR1124" s="34" t="str">
        <f>IF(AND(E1124=1,L1124=1),AJ1124,"")</f>
        <v/>
      </c>
      <c r="AS1124" s="34">
        <f>IF(AND(E1124=1,L1124=0),AJ1124,"")</f>
        <v>1.9</v>
      </c>
      <c r="AT1124" s="34" t="str">
        <f>IF(AND(E1124=1,L1124=1),AI1124,"")</f>
        <v/>
      </c>
      <c r="AU1124" s="34">
        <f>IF(AND(E1124=1,L1124=0),AI1124,"")</f>
        <v>3.9</v>
      </c>
      <c r="AV1124" s="34" t="str">
        <f>IF(AND(E1124=1,L1124=1),AG1124,"")</f>
        <v/>
      </c>
      <c r="AW1124" s="34">
        <f>IF(AND(E1124=1,L1124=0),AG1124,"")</f>
        <v>9.2</v>
      </c>
      <c r="AX1124" s="34" t="str">
        <f>IF(AND(E1124=1,L1124=1),AH1124,"")</f>
        <v/>
      </c>
      <c r="AY1124" s="34">
        <f>IF(AND(E1124=1,L1124=0),AH1124,"")</f>
        <v>8.9</v>
      </c>
      <c r="AZ1124" s="34" t="str">
        <f>IF(G1124=1,F1124,"")</f>
        <v/>
      </c>
      <c r="BA1124" s="34" t="str">
        <f>IF(AND(G1124=1,L1124=1),F1124,"")</f>
        <v/>
      </c>
      <c r="BB1124" s="34" t="str">
        <f>IF(AND(G1124=1,L1124=0),F1124,"")</f>
        <v/>
      </c>
      <c r="BC1124" s="33">
        <f>IF(E1124=1,IF(Orders!R1121&gt;3,1,0),"")</f>
        <v>0</v>
      </c>
      <c r="BD1124" s="33">
        <f>IF(E1124=1,IF(Orders!R1121&gt;7,1,0),"")</f>
        <v>0</v>
      </c>
      <c r="BE1124" s="32" t="str">
        <f>IF(E1124=1,IF(Orders!L1121&lt;=1.5,"Up to 1.5 km",IF(Orders!L1121&lt;=3,"1.5–3 km","Over 3 km")),"")</f>
        <v>Up to 1.5 km</v>
      </c>
      <c r="BF1124" s="33">
        <f>IF(E1124=1,IF(ABS((Orders!G1121-Orders!F1121)*1440-Orders!R1121)&lt;0.06,1,0),"")</f>
        <v>1</v>
      </c>
      <c r="BG1124" s="33">
        <f>IF(ABS((Orders!F1121-Orders!E1121)*1440-Orders!P1121)&lt;0.06,1,0)</f>
        <v>1</v>
      </c>
      <c r="BH1124" s="33">
        <f>IF(E1124=1,IF(IF(Orders!S1121,1,0)=1-G1124,1,0),"")</f>
        <v>1</v>
      </c>
      <c r="BI1124" s="32" t="str">
        <f>INDEX(Stores!$B$2:$B$21,MATCH(B1124,Stores!$A$2:$A$21,0))</f>
        <v>Bengaluru</v>
      </c>
    </row>
    <row r="1125">
      <c r="A1125" s="32" t="str">
        <f>Orders!A1122</f>
        <v>O01121</v>
      </c>
      <c r="B1125" s="32" t="str">
        <f>Orders!C1122</f>
        <v>S019</v>
      </c>
      <c r="C1125" s="32" t="str">
        <f>Orders!B1122</f>
        <v>C0136</v>
      </c>
      <c r="D1125" s="32" t="str">
        <f>Orders!H1122</f>
        <v>Delivered</v>
      </c>
      <c r="E1125" s="33">
        <f>IF(Orders!H1122="Delivered",1,0)</f>
        <v>1</v>
      </c>
      <c r="F1125" s="34">
        <f>IF(E1125=1,Orders!R1122,"")</f>
        <v>3.6</v>
      </c>
      <c r="G1125" s="33">
        <f>IF(E1125=1,IF(Orders!R1122&gt;0,1,0),"")</f>
        <v>1</v>
      </c>
      <c r="H1125" s="33">
        <f>IF(E1125=1,IF(Orders!R1122&gt;5,1,0),"")</f>
        <v>0</v>
      </c>
      <c r="I1125" s="32" t="str">
        <f>IF(E1125=1,"",IF(OR(Orders!T1122="Rider unavailable",Orders!T1122="Item unavailable"),"Company-caused","Unresolved"))</f>
        <v/>
      </c>
      <c r="J1125" s="33">
        <f>IF(OR(E1125=1,I1125="Company-caused"),1,0)</f>
        <v>1</v>
      </c>
      <c r="K1125" s="32" t="str">
        <f>IF(E1125=0,IF(I1125="Company-caused",IF(Orders!T1122="Rider unavailable","C1 Rider unavailable","C2 Item unavailable"),"Outside root: unresolved"),IF(G1125=0,"A On time",IF(H1125=1,IF(L1125=1,"B2a Severe, peak","B2b Severe, off-peak"),IF(L1125=1,"B1a Slight, peak","B1b Slight, off-peak"))))</f>
        <v>B1b Slight, off-peak</v>
      </c>
      <c r="L1125" s="33">
        <f>IF(AND(Orders!U1122&gt;=19,Orders!U1122&lt;22),1,0)</f>
        <v>0</v>
      </c>
      <c r="M1125" s="33">
        <f>IF(L1125=IF(Orders!V1122,1,0),1,0)</f>
        <v>1</v>
      </c>
      <c r="N1125" s="32" t="str">
        <f>IF(Orders!W1122="","None",Orders!W1122)</f>
        <v>None</v>
      </c>
      <c r="O1125" s="35">
        <f>INT(Orders!E1122)</f>
        <v>46269.0</v>
      </c>
      <c r="P1125" s="33">
        <f>Orders!U1122</f>
        <v>16</v>
      </c>
      <c r="Q1125" s="33">
        <f>COUNTIFS(Demand!$A$2:$A$4481,B1125,Demand!$B$2:$B$4481,O1125,Demand!$C$2:$C$4481,P1125)</f>
        <v>1</v>
      </c>
      <c r="R1125" s="33">
        <f>IF(Q1125=1,SUMIFS(Demand!$E$2:$E$4481,Demand!$A$2:$A$4481,B1125,Demand!$B$2:$B$4481,O1125,Demand!$C$2:$C$4481,P1125),"")</f>
        <v>22</v>
      </c>
      <c r="S1125" s="33">
        <f>INDEX(Stores!$G$2:$G$21,MATCH(B1125,Stores!$A$2:$A$21,0))</f>
        <v>22</v>
      </c>
      <c r="T1125" s="34">
        <f>IF(R1125="","",R1125/S1125)</f>
        <v>1</v>
      </c>
      <c r="U1125" s="34">
        <f>IF(E1125=1,T1125,"")</f>
        <v>1</v>
      </c>
      <c r="V1125" s="34">
        <f>IF(AND(E1125=1,L1125=0),T1125,"")</f>
        <v>1</v>
      </c>
      <c r="W1125" s="33">
        <f>IF(U1125="","",IF(U1125&lt;=Breakdowns!$C$5,1,IF(U1125&lt;=Breakdowns!$C$6,2,IF(U1125&lt;=Breakdowns!$C$7,3,4))))</f>
        <v>2</v>
      </c>
      <c r="X1125" s="33">
        <f>IF(V1125="","",IF(V1125&lt;=Breakdowns!$D$5,1,IF(V1125&lt;=Breakdowns!$D$6,2,IF(V1125&lt;=Breakdowns!$D$7,3,4))))</f>
        <v>3</v>
      </c>
      <c r="Y1125" s="34">
        <f>INDEX(Stores!$F$2:$F$21,MATCH(B1125,Stores!$A$2:$A$21,0))</f>
        <v>4.99</v>
      </c>
      <c r="Z1125" s="33">
        <f>IF(Y1125&gt;Store_Summary!$M$2,1,0)</f>
        <v>1</v>
      </c>
      <c r="AA1125" s="33">
        <f>INDEX(Stores!$C$2:$C$21,MATCH(B1125,Stores!$A$2:$A$21,0))</f>
        <v>851</v>
      </c>
      <c r="AB1125" s="33">
        <f>IF(AA1125&lt;180,1,0)</f>
        <v>0</v>
      </c>
      <c r="AC1125" s="32" t="str">
        <f>IF(Orders!D1122="","",INDEX(Riders!$C$2:$C$81,MATCH(Orders!D1122,Riders!$A$2:$A$81,0)))</f>
        <v>Bicycle</v>
      </c>
      <c r="AD1125" s="33">
        <f>IF(Orders!D1122="","",INDEX(Riders!$D$2:$D$81,MATCH(Orders!D1122,Riders!$A$2:$A$81,0)))</f>
        <v>26</v>
      </c>
      <c r="AE1125" s="33">
        <f>IF(Orders!D1122="","",IF(INDEX(Riders!$B$2:$B$81,MATCH(Orders!D1122,Riders!$A$2:$A$81,0))=B1125,1,0))</f>
        <v>0</v>
      </c>
      <c r="AF1125" s="34">
        <f>IF(E1125=1,Orders!L1122,"")</f>
        <v>2.5</v>
      </c>
      <c r="AG1125" s="34">
        <f>IF(E1125=1,Orders!P1122,"")</f>
        <v>13.4</v>
      </c>
      <c r="AH1125" s="34">
        <f>IF(E1125=1,Orders!Q1122,"")</f>
        <v>17</v>
      </c>
      <c r="AI1125" s="34">
        <f>IF(E1125=1,Orders!M1122,"")</f>
        <v>6.3</v>
      </c>
      <c r="AJ1125" s="34">
        <f>IF(E1125=1,Orders!N1122,"")</f>
        <v>4.6</v>
      </c>
      <c r="AK1125" s="34">
        <f>IF(E1125=1,Orders!O1122,"")</f>
        <v>6.1</v>
      </c>
      <c r="AL1125" s="33">
        <f>IF(E1125=1,IF(ROUND(ABS(AI1125+AJ1125+AK1125-AH1125),6)&lt;=0.1,1,0),"")</f>
        <v>1</v>
      </c>
      <c r="AM1125" s="36">
        <f>IF(E1125=1,AI1125/AH1125,"")</f>
        <v>0.370588235294118</v>
      </c>
      <c r="AN1125" s="36">
        <f>IF(E1125=1,AJ1125/AH1125,"")</f>
        <v>0.270588235294118</v>
      </c>
      <c r="AO1125" s="36">
        <f>IF(E1125=1,AK1125/AH1125,"")</f>
        <v>0.358823529411765</v>
      </c>
      <c r="AP1125" s="34">
        <f>IF(E1125=1,Orders!Y1122,"")</f>
        <v>0.26</v>
      </c>
      <c r="AQ1125" s="33">
        <f>IF(Orders!X1122,1,0)</f>
        <v>0</v>
      </c>
      <c r="AR1125" s="34" t="str">
        <f>IF(AND(E1125=1,L1125=1),AJ1125,"")</f>
        <v/>
      </c>
      <c r="AS1125" s="34">
        <f>IF(AND(E1125=1,L1125=0),AJ1125,"")</f>
        <v>4.6</v>
      </c>
      <c r="AT1125" s="34" t="str">
        <f>IF(AND(E1125=1,L1125=1),AI1125,"")</f>
        <v/>
      </c>
      <c r="AU1125" s="34">
        <f>IF(AND(E1125=1,L1125=0),AI1125,"")</f>
        <v>6.3</v>
      </c>
      <c r="AV1125" s="34" t="str">
        <f>IF(AND(E1125=1,L1125=1),AG1125,"")</f>
        <v/>
      </c>
      <c r="AW1125" s="34">
        <f>IF(AND(E1125=1,L1125=0),AG1125,"")</f>
        <v>13.4</v>
      </c>
      <c r="AX1125" s="34" t="str">
        <f>IF(AND(E1125=1,L1125=1),AH1125,"")</f>
        <v/>
      </c>
      <c r="AY1125" s="34">
        <f>IF(AND(E1125=1,L1125=0),AH1125,"")</f>
        <v>17</v>
      </c>
      <c r="AZ1125" s="34">
        <f>IF(G1125=1,F1125,"")</f>
        <v>3.6</v>
      </c>
      <c r="BA1125" s="34" t="str">
        <f>IF(AND(G1125=1,L1125=1),F1125,"")</f>
        <v/>
      </c>
      <c r="BB1125" s="34">
        <f>IF(AND(G1125=1,L1125=0),F1125,"")</f>
        <v>3.6</v>
      </c>
      <c r="BC1125" s="33">
        <f>IF(E1125=1,IF(Orders!R1122&gt;3,1,0),"")</f>
        <v>1</v>
      </c>
      <c r="BD1125" s="33">
        <f>IF(E1125=1,IF(Orders!R1122&gt;7,1,0),"")</f>
        <v>0</v>
      </c>
      <c r="BE1125" s="32" t="str">
        <f>IF(E1125=1,IF(Orders!L1122&lt;=1.5,"Up to 1.5 km",IF(Orders!L1122&lt;=3,"1.5–3 km","Over 3 km")),"")</f>
        <v>1.5–3 km</v>
      </c>
      <c r="BF1125" s="33">
        <f>IF(E1125=1,IF(ABS((Orders!G1122-Orders!F1122)*1440-Orders!R1122)&lt;0.06,1,0),"")</f>
        <v>1</v>
      </c>
      <c r="BG1125" s="33">
        <f>IF(ABS((Orders!F1122-Orders!E1122)*1440-Orders!P1122)&lt;0.06,1,0)</f>
        <v>1</v>
      </c>
      <c r="BH1125" s="33">
        <f>IF(E1125=1,IF(IF(Orders!S1122,1,0)=1-G1125,1,0),"")</f>
        <v>1</v>
      </c>
      <c r="BI1125" s="32" t="str">
        <f>INDEX(Stores!$B$2:$B$21,MATCH(B1125,Stores!$A$2:$A$21,0))</f>
        <v>Pune</v>
      </c>
    </row>
    <row r="1126">
      <c r="A1126" s="32" t="str">
        <f>Orders!A1123</f>
        <v>O01122</v>
      </c>
      <c r="B1126" s="32" t="str">
        <f>Orders!C1123</f>
        <v>S016</v>
      </c>
      <c r="C1126" s="32" t="str">
        <f>Orders!B1123</f>
        <v>C0009</v>
      </c>
      <c r="D1126" s="32" t="str">
        <f>Orders!H1123</f>
        <v>Delivered</v>
      </c>
      <c r="E1126" s="33">
        <f>IF(Orders!H1123="Delivered",1,0)</f>
        <v>1</v>
      </c>
      <c r="F1126" s="34">
        <f>IF(E1126=1,Orders!R1123,"")</f>
        <v>-0.9</v>
      </c>
      <c r="G1126" s="33">
        <f>IF(E1126=1,IF(Orders!R1123&gt;0,1,0),"")</f>
        <v>0</v>
      </c>
      <c r="H1126" s="33">
        <f>IF(E1126=1,IF(Orders!R1123&gt;5,1,0),"")</f>
        <v>0</v>
      </c>
      <c r="I1126" s="32" t="str">
        <f>IF(E1126=1,"",IF(OR(Orders!T1123="Rider unavailable",Orders!T1123="Item unavailable"),"Company-caused","Unresolved"))</f>
        <v/>
      </c>
      <c r="J1126" s="33">
        <f>IF(OR(E1126=1,I1126="Company-caused"),1,0)</f>
        <v>1</v>
      </c>
      <c r="K1126" s="32" t="str">
        <f>IF(E1126=0,IF(I1126="Company-caused",IF(Orders!T1123="Rider unavailable","C1 Rider unavailable","C2 Item unavailable"),"Outside root: unresolved"),IF(G1126=0,"A On time",IF(H1126=1,IF(L1126=1,"B2a Severe, peak","B2b Severe, off-peak"),IF(L1126=1,"B1a Slight, peak","B1b Slight, off-peak"))))</f>
        <v>A On time</v>
      </c>
      <c r="L1126" s="33">
        <f>IF(AND(Orders!U1123&gt;=19,Orders!U1123&lt;22),1,0)</f>
        <v>0</v>
      </c>
      <c r="M1126" s="33">
        <f>IF(L1126=IF(Orders!V1123,1,0),1,0)</f>
        <v>1</v>
      </c>
      <c r="N1126" s="32" t="str">
        <f>IF(Orders!W1123="","None",Orders!W1123)</f>
        <v>None</v>
      </c>
      <c r="O1126" s="35">
        <f>INT(Orders!E1123)</f>
        <v>46266.0</v>
      </c>
      <c r="P1126" s="33">
        <f>Orders!U1123</f>
        <v>9</v>
      </c>
      <c r="Q1126" s="33">
        <f>COUNTIFS(Demand!$A$2:$A$4481,B1126,Demand!$B$2:$B$4481,O1126,Demand!$C$2:$C$4481,P1126)</f>
        <v>1</v>
      </c>
      <c r="R1126" s="33">
        <f>IF(Q1126=1,SUMIFS(Demand!$E$2:$E$4481,Demand!$A$2:$A$4481,B1126,Demand!$B$2:$B$4481,O1126,Demand!$C$2:$C$4481,P1126),"")</f>
        <v>19</v>
      </c>
      <c r="S1126" s="33">
        <f>INDEX(Stores!$G$2:$G$21,MATCH(B1126,Stores!$A$2:$A$21,0))</f>
        <v>25</v>
      </c>
      <c r="T1126" s="34">
        <f>IF(R1126="","",R1126/S1126)</f>
        <v>0.76</v>
      </c>
      <c r="U1126" s="34">
        <f>IF(E1126=1,T1126,"")</f>
        <v>0.76</v>
      </c>
      <c r="V1126" s="34">
        <f>IF(AND(E1126=1,L1126=0),T1126,"")</f>
        <v>0.76</v>
      </c>
      <c r="W1126" s="33">
        <f>IF(U1126="","",IF(U1126&lt;=Breakdowns!$C$5,1,IF(U1126&lt;=Breakdowns!$C$6,2,IF(U1126&lt;=Breakdowns!$C$7,3,4))))</f>
        <v>1</v>
      </c>
      <c r="X1126" s="33">
        <f>IF(V1126="","",IF(V1126&lt;=Breakdowns!$D$5,1,IF(V1126&lt;=Breakdowns!$D$6,2,IF(V1126&lt;=Breakdowns!$D$7,3,4))))</f>
        <v>2</v>
      </c>
      <c r="Y1126" s="34">
        <f>INDEX(Stores!$F$2:$F$21,MATCH(B1126,Stores!$A$2:$A$21,0))</f>
        <v>5.51</v>
      </c>
      <c r="Z1126" s="33">
        <f>IF(Y1126&gt;Store_Summary!$M$2,1,0)</f>
        <v>1</v>
      </c>
      <c r="AA1126" s="33">
        <f>INDEX(Stores!$C$2:$C$21,MATCH(B1126,Stores!$A$2:$A$21,0))</f>
        <v>792</v>
      </c>
      <c r="AB1126" s="33">
        <f>IF(AA1126&lt;180,1,0)</f>
        <v>0</v>
      </c>
      <c r="AC1126" s="32" t="str">
        <f>IF(Orders!D1123="","",INDEX(Riders!$C$2:$C$81,MATCH(Orders!D1123,Riders!$A$2:$A$81,0)))</f>
        <v>Petrol scooter</v>
      </c>
      <c r="AD1126" s="33">
        <f>IF(Orders!D1123="","",INDEX(Riders!$D$2:$D$81,MATCH(Orders!D1123,Riders!$A$2:$A$81,0)))</f>
        <v>24</v>
      </c>
      <c r="AE1126" s="33">
        <f>IF(Orders!D1123="","",IF(INDEX(Riders!$B$2:$B$81,MATCH(Orders!D1123,Riders!$A$2:$A$81,0))=B1126,1,0))</f>
        <v>1</v>
      </c>
      <c r="AF1126" s="34">
        <f>IF(E1126=1,Orders!L1123,"")</f>
        <v>1.09</v>
      </c>
      <c r="AG1126" s="34">
        <f>IF(E1126=1,Orders!P1123,"")</f>
        <v>11.2</v>
      </c>
      <c r="AH1126" s="34">
        <f>IF(E1126=1,Orders!Q1123,"")</f>
        <v>10.3</v>
      </c>
      <c r="AI1126" s="34">
        <f>IF(E1126=1,Orders!M1123,"")</f>
        <v>4.8</v>
      </c>
      <c r="AJ1126" s="34">
        <f>IF(E1126=1,Orders!N1123,"")</f>
        <v>2.3</v>
      </c>
      <c r="AK1126" s="34">
        <f>IF(E1126=1,Orders!O1123,"")</f>
        <v>3.2</v>
      </c>
      <c r="AL1126" s="33">
        <f>IF(E1126=1,IF(ROUND(ABS(AI1126+AJ1126+AK1126-AH1126),6)&lt;=0.1,1,0),"")</f>
        <v>1</v>
      </c>
      <c r="AM1126" s="36">
        <f>IF(E1126=1,AI1126/AH1126,"")</f>
        <v>0.466019417475728</v>
      </c>
      <c r="AN1126" s="36">
        <f>IF(E1126=1,AJ1126/AH1126,"")</f>
        <v>0.223300970873786</v>
      </c>
      <c r="AO1126" s="36">
        <f>IF(E1126=1,AK1126/AH1126,"")</f>
        <v>0.310679611650485</v>
      </c>
      <c r="AP1126" s="34">
        <f>IF(E1126=1,Orders!Y1123,"")</f>
        <v>0.59</v>
      </c>
      <c r="AQ1126" s="33">
        <f>IF(Orders!X1123,1,0)</f>
        <v>0</v>
      </c>
      <c r="AR1126" s="34" t="str">
        <f>IF(AND(E1126=1,L1126=1),AJ1126,"")</f>
        <v/>
      </c>
      <c r="AS1126" s="34">
        <f>IF(AND(E1126=1,L1126=0),AJ1126,"")</f>
        <v>2.3</v>
      </c>
      <c r="AT1126" s="34" t="str">
        <f>IF(AND(E1126=1,L1126=1),AI1126,"")</f>
        <v/>
      </c>
      <c r="AU1126" s="34">
        <f>IF(AND(E1126=1,L1126=0),AI1126,"")</f>
        <v>4.8</v>
      </c>
      <c r="AV1126" s="34" t="str">
        <f>IF(AND(E1126=1,L1126=1),AG1126,"")</f>
        <v/>
      </c>
      <c r="AW1126" s="34">
        <f>IF(AND(E1126=1,L1126=0),AG1126,"")</f>
        <v>11.2</v>
      </c>
      <c r="AX1126" s="34" t="str">
        <f>IF(AND(E1126=1,L1126=1),AH1126,"")</f>
        <v/>
      </c>
      <c r="AY1126" s="34">
        <f>IF(AND(E1126=1,L1126=0),AH1126,"")</f>
        <v>10.3</v>
      </c>
      <c r="AZ1126" s="34" t="str">
        <f>IF(G1126=1,F1126,"")</f>
        <v/>
      </c>
      <c r="BA1126" s="34" t="str">
        <f>IF(AND(G1126=1,L1126=1),F1126,"")</f>
        <v/>
      </c>
      <c r="BB1126" s="34" t="str">
        <f>IF(AND(G1126=1,L1126=0),F1126,"")</f>
        <v/>
      </c>
      <c r="BC1126" s="33">
        <f>IF(E1126=1,IF(Orders!R1123&gt;3,1,0),"")</f>
        <v>0</v>
      </c>
      <c r="BD1126" s="33">
        <f>IF(E1126=1,IF(Orders!R1123&gt;7,1,0),"")</f>
        <v>0</v>
      </c>
      <c r="BE1126" s="32" t="str">
        <f>IF(E1126=1,IF(Orders!L1123&lt;=1.5,"Up to 1.5 km",IF(Orders!L1123&lt;=3,"1.5–3 km","Over 3 km")),"")</f>
        <v>Up to 1.5 km</v>
      </c>
      <c r="BF1126" s="33">
        <f>IF(E1126=1,IF(ABS((Orders!G1123-Orders!F1123)*1440-Orders!R1123)&lt;0.06,1,0),"")</f>
        <v>1</v>
      </c>
      <c r="BG1126" s="33">
        <f>IF(ABS((Orders!F1123-Orders!E1123)*1440-Orders!P1123)&lt;0.06,1,0)</f>
        <v>1</v>
      </c>
      <c r="BH1126" s="33">
        <f>IF(E1126=1,IF(IF(Orders!S1123,1,0)=1-G1126,1,0),"")</f>
        <v>1</v>
      </c>
      <c r="BI1126" s="32" t="str">
        <f>INDEX(Stores!$B$2:$B$21,MATCH(B1126,Stores!$A$2:$A$21,0))</f>
        <v>Bengaluru</v>
      </c>
    </row>
    <row r="1127">
      <c r="A1127" s="32" t="str">
        <f>Orders!A1124</f>
        <v>O01123</v>
      </c>
      <c r="B1127" s="32" t="str">
        <f>Orders!C1124</f>
        <v>S001</v>
      </c>
      <c r="C1127" s="32" t="str">
        <f>Orders!B1124</f>
        <v>C0186</v>
      </c>
      <c r="D1127" s="32" t="str">
        <f>Orders!H1124</f>
        <v>Delivered</v>
      </c>
      <c r="E1127" s="33">
        <f>IF(Orders!H1124="Delivered",1,0)</f>
        <v>1</v>
      </c>
      <c r="F1127" s="34">
        <f>IF(E1127=1,Orders!R1124,"")</f>
        <v>-0.4</v>
      </c>
      <c r="G1127" s="33">
        <f>IF(E1127=1,IF(Orders!R1124&gt;0,1,0),"")</f>
        <v>0</v>
      </c>
      <c r="H1127" s="33">
        <f>IF(E1127=1,IF(Orders!R1124&gt;5,1,0),"")</f>
        <v>0</v>
      </c>
      <c r="I1127" s="32" t="str">
        <f>IF(E1127=1,"",IF(OR(Orders!T1124="Rider unavailable",Orders!T1124="Item unavailable"),"Company-caused","Unresolved"))</f>
        <v/>
      </c>
      <c r="J1127" s="33">
        <f>IF(OR(E1127=1,I1127="Company-caused"),1,0)</f>
        <v>1</v>
      </c>
      <c r="K1127" s="32" t="str">
        <f>IF(E1127=0,IF(I1127="Company-caused",IF(Orders!T1124="Rider unavailable","C1 Rider unavailable","C2 Item unavailable"),"Outside root: unresolved"),IF(G1127=0,"A On time",IF(H1127=1,IF(L1127=1,"B2a Severe, peak","B2b Severe, off-peak"),IF(L1127=1,"B1a Slight, peak","B1b Slight, off-peak"))))</f>
        <v>A On time</v>
      </c>
      <c r="L1127" s="33">
        <f>IF(AND(Orders!U1124&gt;=19,Orders!U1124&lt;22),1,0)</f>
        <v>0</v>
      </c>
      <c r="M1127" s="33">
        <f>IF(L1127=IF(Orders!V1124,1,0),1,0)</f>
        <v>1</v>
      </c>
      <c r="N1127" s="32" t="str">
        <f>IF(Orders!W1124="","None",Orders!W1124)</f>
        <v>None</v>
      </c>
      <c r="O1127" s="35">
        <f>INT(Orders!E1124)</f>
        <v>46276.0</v>
      </c>
      <c r="P1127" s="33">
        <f>Orders!U1124</f>
        <v>18</v>
      </c>
      <c r="Q1127" s="33">
        <f>COUNTIFS(Demand!$A$2:$A$4481,B1127,Demand!$B$2:$B$4481,O1127,Demand!$C$2:$C$4481,P1127)</f>
        <v>1</v>
      </c>
      <c r="R1127" s="33">
        <f>IF(Q1127=1,SUMIFS(Demand!$E$2:$E$4481,Demand!$A$2:$A$4481,B1127,Demand!$B$2:$B$4481,O1127,Demand!$C$2:$C$4481,P1127),"")</f>
        <v>15</v>
      </c>
      <c r="S1127" s="33">
        <f>INDEX(Stores!$G$2:$G$21,MATCH(B1127,Stores!$A$2:$A$21,0))</f>
        <v>16</v>
      </c>
      <c r="T1127" s="34">
        <f>IF(R1127="","",R1127/S1127)</f>
        <v>0.9375</v>
      </c>
      <c r="U1127" s="34">
        <f>IF(E1127=1,T1127,"")</f>
        <v>0.9375</v>
      </c>
      <c r="V1127" s="34">
        <f>IF(AND(E1127=1,L1127=0),T1127,"")</f>
        <v>0.9375</v>
      </c>
      <c r="W1127" s="33">
        <f>IF(U1127="","",IF(U1127&lt;=Breakdowns!$C$5,1,IF(U1127&lt;=Breakdowns!$C$6,2,IF(U1127&lt;=Breakdowns!$C$7,3,4))))</f>
        <v>2</v>
      </c>
      <c r="X1127" s="33">
        <f>IF(V1127="","",IF(V1127&lt;=Breakdowns!$D$5,1,IF(V1127&lt;=Breakdowns!$D$6,2,IF(V1127&lt;=Breakdowns!$D$7,3,4))))</f>
        <v>3</v>
      </c>
      <c r="Y1127" s="34">
        <f>INDEX(Stores!$F$2:$F$21,MATCH(B1127,Stores!$A$2:$A$21,0))</f>
        <v>4.59</v>
      </c>
      <c r="Z1127" s="33">
        <f>IF(Y1127&gt;Store_Summary!$M$2,1,0)</f>
        <v>0</v>
      </c>
      <c r="AA1127" s="33">
        <f>INDEX(Stores!$C$2:$C$21,MATCH(B1127,Stores!$A$2:$A$21,0))</f>
        <v>362</v>
      </c>
      <c r="AB1127" s="33">
        <f>IF(AA1127&lt;180,1,0)</f>
        <v>0</v>
      </c>
      <c r="AC1127" s="32" t="str">
        <f>IF(Orders!D1124="","",INDEX(Riders!$C$2:$C$81,MATCH(Orders!D1124,Riders!$A$2:$A$81,0)))</f>
        <v>EV scooter</v>
      </c>
      <c r="AD1127" s="33">
        <f>IF(Orders!D1124="","",INDEX(Riders!$D$2:$D$81,MATCH(Orders!D1124,Riders!$A$2:$A$81,0)))</f>
        <v>10</v>
      </c>
      <c r="AE1127" s="33">
        <f>IF(Orders!D1124="","",IF(INDEX(Riders!$B$2:$B$81,MATCH(Orders!D1124,Riders!$A$2:$A$81,0))=B1127,1,0))</f>
        <v>0</v>
      </c>
      <c r="AF1127" s="34">
        <f>IF(E1127=1,Orders!L1124,"")</f>
        <v>1.63</v>
      </c>
      <c r="AG1127" s="34">
        <f>IF(E1127=1,Orders!P1124,"")</f>
        <v>11.9</v>
      </c>
      <c r="AH1127" s="34">
        <f>IF(E1127=1,Orders!Q1124,"")</f>
        <v>11.5</v>
      </c>
      <c r="AI1127" s="34">
        <f>IF(E1127=1,Orders!M1124,"")</f>
        <v>4.1</v>
      </c>
      <c r="AJ1127" s="34">
        <f>IF(E1127=1,Orders!N1124,"")</f>
        <v>3.7</v>
      </c>
      <c r="AK1127" s="34">
        <f>IF(E1127=1,Orders!O1124,"")</f>
        <v>3.7</v>
      </c>
      <c r="AL1127" s="33">
        <f>IF(E1127=1,IF(ROUND(ABS(AI1127+AJ1127+AK1127-AH1127),6)&lt;=0.1,1,0),"")</f>
        <v>1</v>
      </c>
      <c r="AM1127" s="36">
        <f>IF(E1127=1,AI1127/AH1127,"")</f>
        <v>0.356521739130435</v>
      </c>
      <c r="AN1127" s="36">
        <f>IF(E1127=1,AJ1127/AH1127,"")</f>
        <v>0.321739130434783</v>
      </c>
      <c r="AO1127" s="36">
        <f>IF(E1127=1,AK1127/AH1127,"")</f>
        <v>0.321739130434783</v>
      </c>
      <c r="AP1127" s="34">
        <f>IF(E1127=1,Orders!Y1124,"")</f>
        <v>0.24</v>
      </c>
      <c r="AQ1127" s="33">
        <f>IF(Orders!X1124,1,0)</f>
        <v>0</v>
      </c>
      <c r="AR1127" s="34" t="str">
        <f>IF(AND(E1127=1,L1127=1),AJ1127,"")</f>
        <v/>
      </c>
      <c r="AS1127" s="34">
        <f>IF(AND(E1127=1,L1127=0),AJ1127,"")</f>
        <v>3.7</v>
      </c>
      <c r="AT1127" s="34" t="str">
        <f>IF(AND(E1127=1,L1127=1),AI1127,"")</f>
        <v/>
      </c>
      <c r="AU1127" s="34">
        <f>IF(AND(E1127=1,L1127=0),AI1127,"")</f>
        <v>4.1</v>
      </c>
      <c r="AV1127" s="34" t="str">
        <f>IF(AND(E1127=1,L1127=1),AG1127,"")</f>
        <v/>
      </c>
      <c r="AW1127" s="34">
        <f>IF(AND(E1127=1,L1127=0),AG1127,"")</f>
        <v>11.9</v>
      </c>
      <c r="AX1127" s="34" t="str">
        <f>IF(AND(E1127=1,L1127=1),AH1127,"")</f>
        <v/>
      </c>
      <c r="AY1127" s="34">
        <f>IF(AND(E1127=1,L1127=0),AH1127,"")</f>
        <v>11.5</v>
      </c>
      <c r="AZ1127" s="34" t="str">
        <f>IF(G1127=1,F1127,"")</f>
        <v/>
      </c>
      <c r="BA1127" s="34" t="str">
        <f>IF(AND(G1127=1,L1127=1),F1127,"")</f>
        <v/>
      </c>
      <c r="BB1127" s="34" t="str">
        <f>IF(AND(G1127=1,L1127=0),F1127,"")</f>
        <v/>
      </c>
      <c r="BC1127" s="33">
        <f>IF(E1127=1,IF(Orders!R1124&gt;3,1,0),"")</f>
        <v>0</v>
      </c>
      <c r="BD1127" s="33">
        <f>IF(E1127=1,IF(Orders!R1124&gt;7,1,0),"")</f>
        <v>0</v>
      </c>
      <c r="BE1127" s="32" t="str">
        <f>IF(E1127=1,IF(Orders!L1124&lt;=1.5,"Up to 1.5 km",IF(Orders!L1124&lt;=3,"1.5–3 km","Over 3 km")),"")</f>
        <v>1.5–3 km</v>
      </c>
      <c r="BF1127" s="33">
        <f>IF(E1127=1,IF(ABS((Orders!G1124-Orders!F1124)*1440-Orders!R1124)&lt;0.06,1,0),"")</f>
        <v>1</v>
      </c>
      <c r="BG1127" s="33">
        <f>IF(ABS((Orders!F1124-Orders!E1124)*1440-Orders!P1124)&lt;0.06,1,0)</f>
        <v>1</v>
      </c>
      <c r="BH1127" s="33">
        <f>IF(E1127=1,IF(IF(Orders!S1124,1,0)=1-G1127,1,0),"")</f>
        <v>1</v>
      </c>
      <c r="BI1127" s="32" t="str">
        <f>INDEX(Stores!$B$2:$B$21,MATCH(B1127,Stores!$A$2:$A$21,0))</f>
        <v>Bengaluru</v>
      </c>
    </row>
    <row r="1128">
      <c r="A1128" s="32" t="str">
        <f>Orders!A1125</f>
        <v>O01124</v>
      </c>
      <c r="B1128" s="32" t="str">
        <f>Orders!C1125</f>
        <v>S010</v>
      </c>
      <c r="C1128" s="32" t="str">
        <f>Orders!B1125</f>
        <v>C0049</v>
      </c>
      <c r="D1128" s="32" t="str">
        <f>Orders!H1125</f>
        <v>Delivered</v>
      </c>
      <c r="E1128" s="33">
        <f>IF(Orders!H1125="Delivered",1,0)</f>
        <v>1</v>
      </c>
      <c r="F1128" s="34">
        <f>IF(E1128=1,Orders!R1125,"")</f>
        <v>-0.3</v>
      </c>
      <c r="G1128" s="33">
        <f>IF(E1128=1,IF(Orders!R1125&gt;0,1,0),"")</f>
        <v>0</v>
      </c>
      <c r="H1128" s="33">
        <f>IF(E1128=1,IF(Orders!R1125&gt;5,1,0),"")</f>
        <v>0</v>
      </c>
      <c r="I1128" s="32" t="str">
        <f>IF(E1128=1,"",IF(OR(Orders!T1125="Rider unavailable",Orders!T1125="Item unavailable"),"Company-caused","Unresolved"))</f>
        <v/>
      </c>
      <c r="J1128" s="33">
        <f>IF(OR(E1128=1,I1128="Company-caused"),1,0)</f>
        <v>1</v>
      </c>
      <c r="K1128" s="32" t="str">
        <f>IF(E1128=0,IF(I1128="Company-caused",IF(Orders!T1125="Rider unavailable","C1 Rider unavailable","C2 Item unavailable"),"Outside root: unresolved"),IF(G1128=0,"A On time",IF(H1128=1,IF(L1128=1,"B2a Severe, peak","B2b Severe, off-peak"),IF(L1128=1,"B1a Slight, peak","B1b Slight, off-peak"))))</f>
        <v>A On time</v>
      </c>
      <c r="L1128" s="33">
        <f>IF(AND(Orders!U1125&gt;=19,Orders!U1125&lt;22),1,0)</f>
        <v>0</v>
      </c>
      <c r="M1128" s="33">
        <f>IF(L1128=IF(Orders!V1125,1,0),1,0)</f>
        <v>1</v>
      </c>
      <c r="N1128" s="32" t="str">
        <f>IF(Orders!W1125="","None",Orders!W1125)</f>
        <v>None</v>
      </c>
      <c r="O1128" s="35">
        <f>INT(Orders!E1125)</f>
        <v>46276.0</v>
      </c>
      <c r="P1128" s="33">
        <f>Orders!U1125</f>
        <v>23</v>
      </c>
      <c r="Q1128" s="33">
        <f>COUNTIFS(Demand!$A$2:$A$4481,B1128,Demand!$B$2:$B$4481,O1128,Demand!$C$2:$C$4481,P1128)</f>
        <v>1</v>
      </c>
      <c r="R1128" s="33">
        <f>IF(Q1128=1,SUMIFS(Demand!$E$2:$E$4481,Demand!$A$2:$A$4481,B1128,Demand!$B$2:$B$4481,O1128,Demand!$C$2:$C$4481,P1128),"")</f>
        <v>21</v>
      </c>
      <c r="S1128" s="33">
        <f>INDEX(Stores!$G$2:$G$21,MATCH(B1128,Stores!$A$2:$A$21,0))</f>
        <v>22</v>
      </c>
      <c r="T1128" s="34">
        <f>IF(R1128="","",R1128/S1128)</f>
        <v>0.954545454545455</v>
      </c>
      <c r="U1128" s="34">
        <f>IF(E1128=1,T1128,"")</f>
        <v>0.954545454545455</v>
      </c>
      <c r="V1128" s="34">
        <f>IF(AND(E1128=1,L1128=0),T1128,"")</f>
        <v>0.954545454545455</v>
      </c>
      <c r="W1128" s="33">
        <f>IF(U1128="","",IF(U1128&lt;=Breakdowns!$C$5,1,IF(U1128&lt;=Breakdowns!$C$6,2,IF(U1128&lt;=Breakdowns!$C$7,3,4))))</f>
        <v>2</v>
      </c>
      <c r="X1128" s="33">
        <f>IF(V1128="","",IF(V1128&lt;=Breakdowns!$D$5,1,IF(V1128&lt;=Breakdowns!$D$6,2,IF(V1128&lt;=Breakdowns!$D$7,3,4))))</f>
        <v>3</v>
      </c>
      <c r="Y1128" s="34">
        <f>INDEX(Stores!$F$2:$F$21,MATCH(B1128,Stores!$A$2:$A$21,0))</f>
        <v>5.61</v>
      </c>
      <c r="Z1128" s="33">
        <f>IF(Y1128&gt;Store_Summary!$M$2,1,0)</f>
        <v>1</v>
      </c>
      <c r="AA1128" s="33">
        <f>INDEX(Stores!$C$2:$C$21,MATCH(B1128,Stores!$A$2:$A$21,0))</f>
        <v>744</v>
      </c>
      <c r="AB1128" s="33">
        <f>IF(AA1128&lt;180,1,0)</f>
        <v>0</v>
      </c>
      <c r="AC1128" s="32" t="str">
        <f>IF(Orders!D1125="","",INDEX(Riders!$C$2:$C$81,MATCH(Orders!D1125,Riders!$A$2:$A$81,0)))</f>
        <v>EV scooter</v>
      </c>
      <c r="AD1128" s="33">
        <f>IF(Orders!D1125="","",INDEX(Riders!$D$2:$D$81,MATCH(Orders!D1125,Riders!$A$2:$A$81,0)))</f>
        <v>21</v>
      </c>
      <c r="AE1128" s="33">
        <f>IF(Orders!D1125="","",IF(INDEX(Riders!$B$2:$B$81,MATCH(Orders!D1125,Riders!$A$2:$A$81,0))=B1128,1,0))</f>
        <v>0</v>
      </c>
      <c r="AF1128" s="34">
        <f>IF(E1128=1,Orders!L1125,"")</f>
        <v>2.65</v>
      </c>
      <c r="AG1128" s="34">
        <f>IF(E1128=1,Orders!P1125,"")</f>
        <v>13.3</v>
      </c>
      <c r="AH1128" s="34">
        <f>IF(E1128=1,Orders!Q1125,"")</f>
        <v>13</v>
      </c>
      <c r="AI1128" s="34">
        <f>IF(E1128=1,Orders!M1125,"")</f>
        <v>3.6</v>
      </c>
      <c r="AJ1128" s="34">
        <f>IF(E1128=1,Orders!N1125,"")</f>
        <v>6.1</v>
      </c>
      <c r="AK1128" s="34">
        <f>IF(E1128=1,Orders!O1125,"")</f>
        <v>3.3</v>
      </c>
      <c r="AL1128" s="33">
        <f>IF(E1128=1,IF(ROUND(ABS(AI1128+AJ1128+AK1128-AH1128),6)&lt;=0.1,1,0),"")</f>
        <v>1</v>
      </c>
      <c r="AM1128" s="36">
        <f>IF(E1128=1,AI1128/AH1128,"")</f>
        <v>0.276923076923077</v>
      </c>
      <c r="AN1128" s="36">
        <f>IF(E1128=1,AJ1128/AH1128,"")</f>
        <v>0.469230769230769</v>
      </c>
      <c r="AO1128" s="36">
        <f>IF(E1128=1,AK1128/AH1128,"")</f>
        <v>0.253846153846154</v>
      </c>
      <c r="AP1128" s="34">
        <f>IF(E1128=1,Orders!Y1125,"")</f>
        <v>0.21</v>
      </c>
      <c r="AQ1128" s="33">
        <f>IF(Orders!X1125,1,0)</f>
        <v>0</v>
      </c>
      <c r="AR1128" s="34" t="str">
        <f>IF(AND(E1128=1,L1128=1),AJ1128,"")</f>
        <v/>
      </c>
      <c r="AS1128" s="34">
        <f>IF(AND(E1128=1,L1128=0),AJ1128,"")</f>
        <v>6.1</v>
      </c>
      <c r="AT1128" s="34" t="str">
        <f>IF(AND(E1128=1,L1128=1),AI1128,"")</f>
        <v/>
      </c>
      <c r="AU1128" s="34">
        <f>IF(AND(E1128=1,L1128=0),AI1128,"")</f>
        <v>3.6</v>
      </c>
      <c r="AV1128" s="34" t="str">
        <f>IF(AND(E1128=1,L1128=1),AG1128,"")</f>
        <v/>
      </c>
      <c r="AW1128" s="34">
        <f>IF(AND(E1128=1,L1128=0),AG1128,"")</f>
        <v>13.3</v>
      </c>
      <c r="AX1128" s="34" t="str">
        <f>IF(AND(E1128=1,L1128=1),AH1128,"")</f>
        <v/>
      </c>
      <c r="AY1128" s="34">
        <f>IF(AND(E1128=1,L1128=0),AH1128,"")</f>
        <v>13</v>
      </c>
      <c r="AZ1128" s="34" t="str">
        <f>IF(G1128=1,F1128,"")</f>
        <v/>
      </c>
      <c r="BA1128" s="34" t="str">
        <f>IF(AND(G1128=1,L1128=1),F1128,"")</f>
        <v/>
      </c>
      <c r="BB1128" s="34" t="str">
        <f>IF(AND(G1128=1,L1128=0),F1128,"")</f>
        <v/>
      </c>
      <c r="BC1128" s="33">
        <f>IF(E1128=1,IF(Orders!R1125&gt;3,1,0),"")</f>
        <v>0</v>
      </c>
      <c r="BD1128" s="33">
        <f>IF(E1128=1,IF(Orders!R1125&gt;7,1,0),"")</f>
        <v>0</v>
      </c>
      <c r="BE1128" s="32" t="str">
        <f>IF(E1128=1,IF(Orders!L1125&lt;=1.5,"Up to 1.5 km",IF(Orders!L1125&lt;=3,"1.5–3 km","Over 3 km")),"")</f>
        <v>1.5–3 km</v>
      </c>
      <c r="BF1128" s="33">
        <f>IF(E1128=1,IF(ABS((Orders!G1125-Orders!F1125)*1440-Orders!R1125)&lt;0.06,1,0),"")</f>
        <v>1</v>
      </c>
      <c r="BG1128" s="33">
        <f>IF(ABS((Orders!F1125-Orders!E1125)*1440-Orders!P1125)&lt;0.06,1,0)</f>
        <v>1</v>
      </c>
      <c r="BH1128" s="33">
        <f>IF(E1128=1,IF(IF(Orders!S1125,1,0)=1-G1128,1,0),"")</f>
        <v>1</v>
      </c>
      <c r="BI1128" s="32" t="str">
        <f>INDEX(Stores!$B$2:$B$21,MATCH(B1128,Stores!$A$2:$A$21,0))</f>
        <v>Delhi</v>
      </c>
    </row>
    <row r="1129">
      <c r="A1129" s="32" t="str">
        <f>Orders!A1126</f>
        <v>O01125</v>
      </c>
      <c r="B1129" s="32" t="str">
        <f>Orders!C1126</f>
        <v>S008</v>
      </c>
      <c r="C1129" s="32" t="str">
        <f>Orders!B1126</f>
        <v>C0153</v>
      </c>
      <c r="D1129" s="32" t="str">
        <f>Orders!H1126</f>
        <v>Delivered</v>
      </c>
      <c r="E1129" s="33">
        <f>IF(Orders!H1126="Delivered",1,0)</f>
        <v>1</v>
      </c>
      <c r="F1129" s="34">
        <f>IF(E1129=1,Orders!R1126,"")</f>
        <v>-0.5</v>
      </c>
      <c r="G1129" s="33">
        <f>IF(E1129=1,IF(Orders!R1126&gt;0,1,0),"")</f>
        <v>0</v>
      </c>
      <c r="H1129" s="33">
        <f>IF(E1129=1,IF(Orders!R1126&gt;5,1,0),"")</f>
        <v>0</v>
      </c>
      <c r="I1129" s="32" t="str">
        <f>IF(E1129=1,"",IF(OR(Orders!T1126="Rider unavailable",Orders!T1126="Item unavailable"),"Company-caused","Unresolved"))</f>
        <v/>
      </c>
      <c r="J1129" s="33">
        <f>IF(OR(E1129=1,I1129="Company-caused"),1,0)</f>
        <v>1</v>
      </c>
      <c r="K1129" s="32" t="str">
        <f>IF(E1129=0,IF(I1129="Company-caused",IF(Orders!T1126="Rider unavailable","C1 Rider unavailable","C2 Item unavailable"),"Outside root: unresolved"),IF(G1129=0,"A On time",IF(H1129=1,IF(L1129=1,"B2a Severe, peak","B2b Severe, off-peak"),IF(L1129=1,"B1a Slight, peak","B1b Slight, off-peak"))))</f>
        <v>A On time</v>
      </c>
      <c r="L1129" s="33">
        <f>IF(AND(Orders!U1126&gt;=19,Orders!U1126&lt;22),1,0)</f>
        <v>0</v>
      </c>
      <c r="M1129" s="33">
        <f>IF(L1129=IF(Orders!V1126,1,0),1,0)</f>
        <v>1</v>
      </c>
      <c r="N1129" s="32" t="str">
        <f>IF(Orders!W1126="","None",Orders!W1126)</f>
        <v>None</v>
      </c>
      <c r="O1129" s="35">
        <f>INT(Orders!E1126)</f>
        <v>46278.0</v>
      </c>
      <c r="P1129" s="33">
        <f>Orders!U1126</f>
        <v>10</v>
      </c>
      <c r="Q1129" s="33">
        <f>COUNTIFS(Demand!$A$2:$A$4481,B1129,Demand!$B$2:$B$4481,O1129,Demand!$C$2:$C$4481,P1129)</f>
        <v>1</v>
      </c>
      <c r="R1129" s="33">
        <f>IF(Q1129=1,SUMIFS(Demand!$E$2:$E$4481,Demand!$A$2:$A$4481,B1129,Demand!$B$2:$B$4481,O1129,Demand!$C$2:$C$4481,P1129),"")</f>
        <v>19</v>
      </c>
      <c r="S1129" s="33">
        <f>INDEX(Stores!$G$2:$G$21,MATCH(B1129,Stores!$A$2:$A$21,0))</f>
        <v>23</v>
      </c>
      <c r="T1129" s="34">
        <f>IF(R1129="","",R1129/S1129)</f>
        <v>0.826086956521739</v>
      </c>
      <c r="U1129" s="34">
        <f>IF(E1129=1,T1129,"")</f>
        <v>0.826086956521739</v>
      </c>
      <c r="V1129" s="34">
        <f>IF(AND(E1129=1,L1129=0),T1129,"")</f>
        <v>0.826086956521739</v>
      </c>
      <c r="W1129" s="33">
        <f>IF(U1129="","",IF(U1129&lt;=Breakdowns!$C$5,1,IF(U1129&lt;=Breakdowns!$C$6,2,IF(U1129&lt;=Breakdowns!$C$7,3,4))))</f>
        <v>2</v>
      </c>
      <c r="X1129" s="33">
        <f>IF(V1129="","",IF(V1129&lt;=Breakdowns!$D$5,1,IF(V1129&lt;=Breakdowns!$D$6,2,IF(V1129&lt;=Breakdowns!$D$7,3,4))))</f>
        <v>2</v>
      </c>
      <c r="Y1129" s="34">
        <f>INDEX(Stores!$F$2:$F$21,MATCH(B1129,Stores!$A$2:$A$21,0))</f>
        <v>3.46</v>
      </c>
      <c r="Z1129" s="33">
        <f>IF(Y1129&gt;Store_Summary!$M$2,1,0)</f>
        <v>0</v>
      </c>
      <c r="AA1129" s="33">
        <f>INDEX(Stores!$C$2:$C$21,MATCH(B1129,Stores!$A$2:$A$21,0))</f>
        <v>825</v>
      </c>
      <c r="AB1129" s="33">
        <f>IF(AA1129&lt;180,1,0)</f>
        <v>0</v>
      </c>
      <c r="AC1129" s="32" t="str">
        <f>IF(Orders!D1126="","",INDEX(Riders!$C$2:$C$81,MATCH(Orders!D1126,Riders!$A$2:$A$81,0)))</f>
        <v>Petrol scooter</v>
      </c>
      <c r="AD1129" s="33">
        <f>IF(Orders!D1126="","",INDEX(Riders!$D$2:$D$81,MATCH(Orders!D1126,Riders!$A$2:$A$81,0)))</f>
        <v>48</v>
      </c>
      <c r="AE1129" s="33">
        <f>IF(Orders!D1126="","",IF(INDEX(Riders!$B$2:$B$81,MATCH(Orders!D1126,Riders!$A$2:$A$81,0))=B1129,1,0))</f>
        <v>0</v>
      </c>
      <c r="AF1129" s="34">
        <f>IF(E1129=1,Orders!L1126,"")</f>
        <v>3</v>
      </c>
      <c r="AG1129" s="34">
        <f>IF(E1129=1,Orders!P1126,"")</f>
        <v>10.1</v>
      </c>
      <c r="AH1129" s="34">
        <f>IF(E1129=1,Orders!Q1126,"")</f>
        <v>9.6</v>
      </c>
      <c r="AI1129" s="34">
        <f>IF(E1129=1,Orders!M1126,"")</f>
        <v>2.1</v>
      </c>
      <c r="AJ1129" s="34">
        <f>IF(E1129=1,Orders!N1126,"")</f>
        <v>3.8</v>
      </c>
      <c r="AK1129" s="34">
        <f>IF(E1129=1,Orders!O1126,"")</f>
        <v>3.7</v>
      </c>
      <c r="AL1129" s="33">
        <f>IF(E1129=1,IF(ROUND(ABS(AI1129+AJ1129+AK1129-AH1129),6)&lt;=0.1,1,0),"")</f>
        <v>1</v>
      </c>
      <c r="AM1129" s="36">
        <f>IF(E1129=1,AI1129/AH1129,"")</f>
        <v>0.21875</v>
      </c>
      <c r="AN1129" s="36">
        <f>IF(E1129=1,AJ1129/AH1129,"")</f>
        <v>0.395833333333333</v>
      </c>
      <c r="AO1129" s="36">
        <f>IF(E1129=1,AK1129/AH1129,"")</f>
        <v>0.385416666666667</v>
      </c>
      <c r="AP1129" s="34">
        <f>IF(E1129=1,Orders!Y1126,"")</f>
        <v>0.5</v>
      </c>
      <c r="AQ1129" s="33">
        <f>IF(Orders!X1126,1,0)</f>
        <v>0</v>
      </c>
      <c r="AR1129" s="34" t="str">
        <f>IF(AND(E1129=1,L1129=1),AJ1129,"")</f>
        <v/>
      </c>
      <c r="AS1129" s="34">
        <f>IF(AND(E1129=1,L1129=0),AJ1129,"")</f>
        <v>3.8</v>
      </c>
      <c r="AT1129" s="34" t="str">
        <f>IF(AND(E1129=1,L1129=1),AI1129,"")</f>
        <v/>
      </c>
      <c r="AU1129" s="34">
        <f>IF(AND(E1129=1,L1129=0),AI1129,"")</f>
        <v>2.1</v>
      </c>
      <c r="AV1129" s="34" t="str">
        <f>IF(AND(E1129=1,L1129=1),AG1129,"")</f>
        <v/>
      </c>
      <c r="AW1129" s="34">
        <f>IF(AND(E1129=1,L1129=0),AG1129,"")</f>
        <v>10.1</v>
      </c>
      <c r="AX1129" s="34" t="str">
        <f>IF(AND(E1129=1,L1129=1),AH1129,"")</f>
        <v/>
      </c>
      <c r="AY1129" s="34">
        <f>IF(AND(E1129=1,L1129=0),AH1129,"")</f>
        <v>9.6</v>
      </c>
      <c r="AZ1129" s="34" t="str">
        <f>IF(G1129=1,F1129,"")</f>
        <v/>
      </c>
      <c r="BA1129" s="34" t="str">
        <f>IF(AND(G1129=1,L1129=1),F1129,"")</f>
        <v/>
      </c>
      <c r="BB1129" s="34" t="str">
        <f>IF(AND(G1129=1,L1129=0),F1129,"")</f>
        <v/>
      </c>
      <c r="BC1129" s="33">
        <f>IF(E1129=1,IF(Orders!R1126&gt;3,1,0),"")</f>
        <v>0</v>
      </c>
      <c r="BD1129" s="33">
        <f>IF(E1129=1,IF(Orders!R1126&gt;7,1,0),"")</f>
        <v>0</v>
      </c>
      <c r="BE1129" s="32" t="str">
        <f>IF(E1129=1,IF(Orders!L1126&lt;=1.5,"Up to 1.5 km",IF(Orders!L1126&lt;=3,"1.5–3 km","Over 3 km")),"")</f>
        <v>1.5–3 km</v>
      </c>
      <c r="BF1129" s="33">
        <f>IF(E1129=1,IF(ABS((Orders!G1126-Orders!F1126)*1440-Orders!R1126)&lt;0.06,1,0),"")</f>
        <v>1</v>
      </c>
      <c r="BG1129" s="33">
        <f>IF(ABS((Orders!F1126-Orders!E1126)*1440-Orders!P1126)&lt;0.06,1,0)</f>
        <v>1</v>
      </c>
      <c r="BH1129" s="33">
        <f>IF(E1129=1,IF(IF(Orders!S1126,1,0)=1-G1129,1,0),"")</f>
        <v>1</v>
      </c>
      <c r="BI1129" s="32" t="str">
        <f>INDEX(Stores!$B$2:$B$21,MATCH(B1129,Stores!$A$2:$A$21,0))</f>
        <v>Mumbai</v>
      </c>
    </row>
    <row r="1130">
      <c r="A1130" s="32" t="str">
        <f>Orders!A1127</f>
        <v>O01126</v>
      </c>
      <c r="B1130" s="32" t="str">
        <f>Orders!C1127</f>
        <v>S006</v>
      </c>
      <c r="C1130" s="32" t="str">
        <f>Orders!B1127</f>
        <v>C0143</v>
      </c>
      <c r="D1130" s="32" t="str">
        <f>Orders!H1127</f>
        <v>Delivered</v>
      </c>
      <c r="E1130" s="33">
        <f>IF(Orders!H1127="Delivered",1,0)</f>
        <v>1</v>
      </c>
      <c r="F1130" s="34">
        <f>IF(E1130=1,Orders!R1127,"")</f>
        <v>-1</v>
      </c>
      <c r="G1130" s="33">
        <f>IF(E1130=1,IF(Orders!R1127&gt;0,1,0),"")</f>
        <v>0</v>
      </c>
      <c r="H1130" s="33">
        <f>IF(E1130=1,IF(Orders!R1127&gt;5,1,0),"")</f>
        <v>0</v>
      </c>
      <c r="I1130" s="32" t="str">
        <f>IF(E1130=1,"",IF(OR(Orders!T1127="Rider unavailable",Orders!T1127="Item unavailable"),"Company-caused","Unresolved"))</f>
        <v/>
      </c>
      <c r="J1130" s="33">
        <f>IF(OR(E1130=1,I1130="Company-caused"),1,0)</f>
        <v>1</v>
      </c>
      <c r="K1130" s="32" t="str">
        <f>IF(E1130=0,IF(I1130="Company-caused",IF(Orders!T1127="Rider unavailable","C1 Rider unavailable","C2 Item unavailable"),"Outside root: unresolved"),IF(G1130=0,"A On time",IF(H1130=1,IF(L1130=1,"B2a Severe, peak","B2b Severe, off-peak"),IF(L1130=1,"B1a Slight, peak","B1b Slight, off-peak"))))</f>
        <v>A On time</v>
      </c>
      <c r="L1130" s="33">
        <f>IF(AND(Orders!U1127&gt;=19,Orders!U1127&lt;22),1,0)</f>
        <v>0</v>
      </c>
      <c r="M1130" s="33">
        <f>IF(L1130=IF(Orders!V1127,1,0),1,0)</f>
        <v>1</v>
      </c>
      <c r="N1130" s="32" t="str">
        <f>IF(Orders!W1127="","None",Orders!W1127)</f>
        <v>Light</v>
      </c>
      <c r="O1130" s="35">
        <f>INT(Orders!E1127)</f>
        <v>46268.0</v>
      </c>
      <c r="P1130" s="33">
        <f>Orders!U1127</f>
        <v>9</v>
      </c>
      <c r="Q1130" s="33">
        <f>COUNTIFS(Demand!$A$2:$A$4481,B1130,Demand!$B$2:$B$4481,O1130,Demand!$C$2:$C$4481,P1130)</f>
        <v>1</v>
      </c>
      <c r="R1130" s="33">
        <f>IF(Q1130=1,SUMIFS(Demand!$E$2:$E$4481,Demand!$A$2:$A$4481,B1130,Demand!$B$2:$B$4481,O1130,Demand!$C$2:$C$4481,P1130),"")</f>
        <v>13</v>
      </c>
      <c r="S1130" s="33">
        <f>INDEX(Stores!$G$2:$G$21,MATCH(B1130,Stores!$A$2:$A$21,0))</f>
        <v>26</v>
      </c>
      <c r="T1130" s="34">
        <f>IF(R1130="","",R1130/S1130)</f>
        <v>0.5</v>
      </c>
      <c r="U1130" s="34">
        <f>IF(E1130=1,T1130,"")</f>
        <v>0.5</v>
      </c>
      <c r="V1130" s="34">
        <f>IF(AND(E1130=1,L1130=0),T1130,"")</f>
        <v>0.5</v>
      </c>
      <c r="W1130" s="33">
        <f>IF(U1130="","",IF(U1130&lt;=Breakdowns!$C$5,1,IF(U1130&lt;=Breakdowns!$C$6,2,IF(U1130&lt;=Breakdowns!$C$7,3,4))))</f>
        <v>1</v>
      </c>
      <c r="X1130" s="33">
        <f>IF(V1130="","",IF(V1130&lt;=Breakdowns!$D$5,1,IF(V1130&lt;=Breakdowns!$D$6,2,IF(V1130&lt;=Breakdowns!$D$7,3,4))))</f>
        <v>1</v>
      </c>
      <c r="Y1130" s="34">
        <f>INDEX(Stores!$F$2:$F$21,MATCH(B1130,Stores!$A$2:$A$21,0))</f>
        <v>5.22</v>
      </c>
      <c r="Z1130" s="33">
        <f>IF(Y1130&gt;Store_Summary!$M$2,1,0)</f>
        <v>1</v>
      </c>
      <c r="AA1130" s="33">
        <f>INDEX(Stores!$C$2:$C$21,MATCH(B1130,Stores!$A$2:$A$21,0))</f>
        <v>412</v>
      </c>
      <c r="AB1130" s="33">
        <f>IF(AA1130&lt;180,1,0)</f>
        <v>0</v>
      </c>
      <c r="AC1130" s="32" t="str">
        <f>IF(Orders!D1127="","",INDEX(Riders!$C$2:$C$81,MATCH(Orders!D1127,Riders!$A$2:$A$81,0)))</f>
        <v>Petrol scooter</v>
      </c>
      <c r="AD1130" s="33">
        <f>IF(Orders!D1127="","",INDEX(Riders!$D$2:$D$81,MATCH(Orders!D1127,Riders!$A$2:$A$81,0)))</f>
        <v>30</v>
      </c>
      <c r="AE1130" s="33">
        <f>IF(Orders!D1127="","",IF(INDEX(Riders!$B$2:$B$81,MATCH(Orders!D1127,Riders!$A$2:$A$81,0))=B1130,1,0))</f>
        <v>0</v>
      </c>
      <c r="AF1130" s="34">
        <f>IF(E1130=1,Orders!L1127,"")</f>
        <v>1.4</v>
      </c>
      <c r="AG1130" s="34">
        <f>IF(E1130=1,Orders!P1127,"")</f>
        <v>9.6</v>
      </c>
      <c r="AH1130" s="34">
        <f>IF(E1130=1,Orders!Q1127,"")</f>
        <v>8.6</v>
      </c>
      <c r="AI1130" s="34">
        <f>IF(E1130=1,Orders!M1127,"")</f>
        <v>4.8</v>
      </c>
      <c r="AJ1130" s="34">
        <f>IF(E1130=1,Orders!N1127,"")</f>
        <v>0</v>
      </c>
      <c r="AK1130" s="34">
        <f>IF(E1130=1,Orders!O1127,"")</f>
        <v>3.8</v>
      </c>
      <c r="AL1130" s="33">
        <f>IF(E1130=1,IF(ROUND(ABS(AI1130+AJ1130+AK1130-AH1130),6)&lt;=0.1,1,0),"")</f>
        <v>1</v>
      </c>
      <c r="AM1130" s="36">
        <f>IF(E1130=1,AI1130/AH1130,"")</f>
        <v>0.558139534883721</v>
      </c>
      <c r="AN1130" s="36">
        <f>IF(E1130=1,AJ1130/AH1130,"")</f>
        <v>0</v>
      </c>
      <c r="AO1130" s="36">
        <f>IF(E1130=1,AK1130/AH1130,"")</f>
        <v>0.441860465116279</v>
      </c>
      <c r="AP1130" s="34">
        <f>IF(E1130=1,Orders!Y1127,"")</f>
        <v>0.6</v>
      </c>
      <c r="AQ1130" s="33">
        <f>IF(Orders!X1127,1,0)</f>
        <v>0</v>
      </c>
      <c r="AR1130" s="34" t="str">
        <f>IF(AND(E1130=1,L1130=1),AJ1130,"")</f>
        <v/>
      </c>
      <c r="AS1130" s="34">
        <f>IF(AND(E1130=1,L1130=0),AJ1130,"")</f>
        <v>0</v>
      </c>
      <c r="AT1130" s="34" t="str">
        <f>IF(AND(E1130=1,L1130=1),AI1130,"")</f>
        <v/>
      </c>
      <c r="AU1130" s="34">
        <f>IF(AND(E1130=1,L1130=0),AI1130,"")</f>
        <v>4.8</v>
      </c>
      <c r="AV1130" s="34" t="str">
        <f>IF(AND(E1130=1,L1130=1),AG1130,"")</f>
        <v/>
      </c>
      <c r="AW1130" s="34">
        <f>IF(AND(E1130=1,L1130=0),AG1130,"")</f>
        <v>9.6</v>
      </c>
      <c r="AX1130" s="34" t="str">
        <f>IF(AND(E1130=1,L1130=1),AH1130,"")</f>
        <v/>
      </c>
      <c r="AY1130" s="34">
        <f>IF(AND(E1130=1,L1130=0),AH1130,"")</f>
        <v>8.6</v>
      </c>
      <c r="AZ1130" s="34" t="str">
        <f>IF(G1130=1,F1130,"")</f>
        <v/>
      </c>
      <c r="BA1130" s="34" t="str">
        <f>IF(AND(G1130=1,L1130=1),F1130,"")</f>
        <v/>
      </c>
      <c r="BB1130" s="34" t="str">
        <f>IF(AND(G1130=1,L1130=0),F1130,"")</f>
        <v/>
      </c>
      <c r="BC1130" s="33">
        <f>IF(E1130=1,IF(Orders!R1127&gt;3,1,0),"")</f>
        <v>0</v>
      </c>
      <c r="BD1130" s="33">
        <f>IF(E1130=1,IF(Orders!R1127&gt;7,1,0),"")</f>
        <v>0</v>
      </c>
      <c r="BE1130" s="32" t="str">
        <f>IF(E1130=1,IF(Orders!L1127&lt;=1.5,"Up to 1.5 km",IF(Orders!L1127&lt;=3,"1.5–3 km","Over 3 km")),"")</f>
        <v>Up to 1.5 km</v>
      </c>
      <c r="BF1130" s="33">
        <f>IF(E1130=1,IF(ABS((Orders!G1127-Orders!F1127)*1440-Orders!R1127)&lt;0.06,1,0),"")</f>
        <v>1</v>
      </c>
      <c r="BG1130" s="33">
        <f>IF(ABS((Orders!F1127-Orders!E1127)*1440-Orders!P1127)&lt;0.06,1,0)</f>
        <v>1</v>
      </c>
      <c r="BH1130" s="33">
        <f>IF(E1130=1,IF(IF(Orders!S1127,1,0)=1-G1130,1,0),"")</f>
        <v>1</v>
      </c>
      <c r="BI1130" s="32" t="str">
        <f>INDEX(Stores!$B$2:$B$21,MATCH(B1130,Stores!$A$2:$A$21,0))</f>
        <v>Bengaluru</v>
      </c>
    </row>
    <row r="1131">
      <c r="A1131" s="32" t="str">
        <f>Orders!A1128</f>
        <v>O01127</v>
      </c>
      <c r="B1131" s="32" t="str">
        <f>Orders!C1128</f>
        <v>S010</v>
      </c>
      <c r="C1131" s="32" t="str">
        <f>Orders!B1128</f>
        <v>C0084</v>
      </c>
      <c r="D1131" s="32" t="str">
        <f>Orders!H1128</f>
        <v>Delivered</v>
      </c>
      <c r="E1131" s="33">
        <f>IF(Orders!H1128="Delivered",1,0)</f>
        <v>1</v>
      </c>
      <c r="F1131" s="34">
        <f>IF(E1131=1,Orders!R1128,"")</f>
        <v>-0.9</v>
      </c>
      <c r="G1131" s="33">
        <f>IF(E1131=1,IF(Orders!R1128&gt;0,1,0),"")</f>
        <v>0</v>
      </c>
      <c r="H1131" s="33">
        <f>IF(E1131=1,IF(Orders!R1128&gt;5,1,0),"")</f>
        <v>0</v>
      </c>
      <c r="I1131" s="32" t="str">
        <f>IF(E1131=1,"",IF(OR(Orders!T1128="Rider unavailable",Orders!T1128="Item unavailable"),"Company-caused","Unresolved"))</f>
        <v/>
      </c>
      <c r="J1131" s="33">
        <f>IF(OR(E1131=1,I1131="Company-caused"),1,0)</f>
        <v>1</v>
      </c>
      <c r="K1131" s="32" t="str">
        <f>IF(E1131=0,IF(I1131="Company-caused",IF(Orders!T1128="Rider unavailable","C1 Rider unavailable","C2 Item unavailable"),"Outside root: unresolved"),IF(G1131=0,"A On time",IF(H1131=1,IF(L1131=1,"B2a Severe, peak","B2b Severe, off-peak"),IF(L1131=1,"B1a Slight, peak","B1b Slight, off-peak"))))</f>
        <v>A On time</v>
      </c>
      <c r="L1131" s="33">
        <f>IF(AND(Orders!U1128&gt;=19,Orders!U1128&lt;22),1,0)</f>
        <v>0</v>
      </c>
      <c r="M1131" s="33">
        <f>IF(L1131=IF(Orders!V1128,1,0),1,0)</f>
        <v>1</v>
      </c>
      <c r="N1131" s="32" t="str">
        <f>IF(Orders!W1128="","None",Orders!W1128)</f>
        <v>Light</v>
      </c>
      <c r="O1131" s="35">
        <f>INT(Orders!E1128)</f>
        <v>46273.0</v>
      </c>
      <c r="P1131" s="33">
        <f>Orders!U1128</f>
        <v>11</v>
      </c>
      <c r="Q1131" s="33">
        <f>COUNTIFS(Demand!$A$2:$A$4481,B1131,Demand!$B$2:$B$4481,O1131,Demand!$C$2:$C$4481,P1131)</f>
        <v>1</v>
      </c>
      <c r="R1131" s="33">
        <f>IF(Q1131=1,SUMIFS(Demand!$E$2:$E$4481,Demand!$A$2:$A$4481,B1131,Demand!$B$2:$B$4481,O1131,Demand!$C$2:$C$4481,P1131),"")</f>
        <v>22</v>
      </c>
      <c r="S1131" s="33">
        <f>INDEX(Stores!$G$2:$G$21,MATCH(B1131,Stores!$A$2:$A$21,0))</f>
        <v>22</v>
      </c>
      <c r="T1131" s="34">
        <f>IF(R1131="","",R1131/S1131)</f>
        <v>1</v>
      </c>
      <c r="U1131" s="34">
        <f>IF(E1131=1,T1131,"")</f>
        <v>1</v>
      </c>
      <c r="V1131" s="34">
        <f>IF(AND(E1131=1,L1131=0),T1131,"")</f>
        <v>1</v>
      </c>
      <c r="W1131" s="33">
        <f>IF(U1131="","",IF(U1131&lt;=Breakdowns!$C$5,1,IF(U1131&lt;=Breakdowns!$C$6,2,IF(U1131&lt;=Breakdowns!$C$7,3,4))))</f>
        <v>2</v>
      </c>
      <c r="X1131" s="33">
        <f>IF(V1131="","",IF(V1131&lt;=Breakdowns!$D$5,1,IF(V1131&lt;=Breakdowns!$D$6,2,IF(V1131&lt;=Breakdowns!$D$7,3,4))))</f>
        <v>3</v>
      </c>
      <c r="Y1131" s="34">
        <f>INDEX(Stores!$F$2:$F$21,MATCH(B1131,Stores!$A$2:$A$21,0))</f>
        <v>5.61</v>
      </c>
      <c r="Z1131" s="33">
        <f>IF(Y1131&gt;Store_Summary!$M$2,1,0)</f>
        <v>1</v>
      </c>
      <c r="AA1131" s="33">
        <f>INDEX(Stores!$C$2:$C$21,MATCH(B1131,Stores!$A$2:$A$21,0))</f>
        <v>744</v>
      </c>
      <c r="AB1131" s="33">
        <f>IF(AA1131&lt;180,1,0)</f>
        <v>0</v>
      </c>
      <c r="AC1131" s="32" t="str">
        <f>IF(Orders!D1128="","",INDEX(Riders!$C$2:$C$81,MATCH(Orders!D1128,Riders!$A$2:$A$81,0)))</f>
        <v>EV scooter</v>
      </c>
      <c r="AD1131" s="33">
        <f>IF(Orders!D1128="","",INDEX(Riders!$D$2:$D$81,MATCH(Orders!D1128,Riders!$A$2:$A$81,0)))</f>
        <v>2</v>
      </c>
      <c r="AE1131" s="33">
        <f>IF(Orders!D1128="","",IF(INDEX(Riders!$B$2:$B$81,MATCH(Orders!D1128,Riders!$A$2:$A$81,0))=B1131,1,0))</f>
        <v>0</v>
      </c>
      <c r="AF1131" s="34">
        <f>IF(E1131=1,Orders!L1128,"")</f>
        <v>1.09</v>
      </c>
      <c r="AG1131" s="34">
        <f>IF(E1131=1,Orders!P1128,"")</f>
        <v>11.6</v>
      </c>
      <c r="AH1131" s="34">
        <f>IF(E1131=1,Orders!Q1128,"")</f>
        <v>10.7</v>
      </c>
      <c r="AI1131" s="34">
        <f>IF(E1131=1,Orders!M1128,"")</f>
        <v>6.3</v>
      </c>
      <c r="AJ1131" s="34">
        <f>IF(E1131=1,Orders!N1128,"")</f>
        <v>1.1</v>
      </c>
      <c r="AK1131" s="34">
        <f>IF(E1131=1,Orders!O1128,"")</f>
        <v>3.3</v>
      </c>
      <c r="AL1131" s="33">
        <f>IF(E1131=1,IF(ROUND(ABS(AI1131+AJ1131+AK1131-AH1131),6)&lt;=0.1,1,0),"")</f>
        <v>1</v>
      </c>
      <c r="AM1131" s="36">
        <f>IF(E1131=1,AI1131/AH1131,"")</f>
        <v>0.588785046728972</v>
      </c>
      <c r="AN1131" s="36">
        <f>IF(E1131=1,AJ1131/AH1131,"")</f>
        <v>0.102803738317757</v>
      </c>
      <c r="AO1131" s="36">
        <f>IF(E1131=1,AK1131/AH1131,"")</f>
        <v>0.308411214953271</v>
      </c>
      <c r="AP1131" s="34">
        <f>IF(E1131=1,Orders!Y1128,"")</f>
        <v>0.18</v>
      </c>
      <c r="AQ1131" s="33">
        <f>IF(Orders!X1128,1,0)</f>
        <v>0</v>
      </c>
      <c r="AR1131" s="34" t="str">
        <f>IF(AND(E1131=1,L1131=1),AJ1131,"")</f>
        <v/>
      </c>
      <c r="AS1131" s="34">
        <f>IF(AND(E1131=1,L1131=0),AJ1131,"")</f>
        <v>1.1</v>
      </c>
      <c r="AT1131" s="34" t="str">
        <f>IF(AND(E1131=1,L1131=1),AI1131,"")</f>
        <v/>
      </c>
      <c r="AU1131" s="34">
        <f>IF(AND(E1131=1,L1131=0),AI1131,"")</f>
        <v>6.3</v>
      </c>
      <c r="AV1131" s="34" t="str">
        <f>IF(AND(E1131=1,L1131=1),AG1131,"")</f>
        <v/>
      </c>
      <c r="AW1131" s="34">
        <f>IF(AND(E1131=1,L1131=0),AG1131,"")</f>
        <v>11.6</v>
      </c>
      <c r="AX1131" s="34" t="str">
        <f>IF(AND(E1131=1,L1131=1),AH1131,"")</f>
        <v/>
      </c>
      <c r="AY1131" s="34">
        <f>IF(AND(E1131=1,L1131=0),AH1131,"")</f>
        <v>10.7</v>
      </c>
      <c r="AZ1131" s="34" t="str">
        <f>IF(G1131=1,F1131,"")</f>
        <v/>
      </c>
      <c r="BA1131" s="34" t="str">
        <f>IF(AND(G1131=1,L1131=1),F1131,"")</f>
        <v/>
      </c>
      <c r="BB1131" s="34" t="str">
        <f>IF(AND(G1131=1,L1131=0),F1131,"")</f>
        <v/>
      </c>
      <c r="BC1131" s="33">
        <f>IF(E1131=1,IF(Orders!R1128&gt;3,1,0),"")</f>
        <v>0</v>
      </c>
      <c r="BD1131" s="33">
        <f>IF(E1131=1,IF(Orders!R1128&gt;7,1,0),"")</f>
        <v>0</v>
      </c>
      <c r="BE1131" s="32" t="str">
        <f>IF(E1131=1,IF(Orders!L1128&lt;=1.5,"Up to 1.5 km",IF(Orders!L1128&lt;=3,"1.5–3 km","Over 3 km")),"")</f>
        <v>Up to 1.5 km</v>
      </c>
      <c r="BF1131" s="33">
        <f>IF(E1131=1,IF(ABS((Orders!G1128-Orders!F1128)*1440-Orders!R1128)&lt;0.06,1,0),"")</f>
        <v>1</v>
      </c>
      <c r="BG1131" s="33">
        <f>IF(ABS((Orders!F1128-Orders!E1128)*1440-Orders!P1128)&lt;0.06,1,0)</f>
        <v>1</v>
      </c>
      <c r="BH1131" s="33">
        <f>IF(E1131=1,IF(IF(Orders!S1128,1,0)=1-G1131,1,0),"")</f>
        <v>1</v>
      </c>
      <c r="BI1131" s="32" t="str">
        <f>INDEX(Stores!$B$2:$B$21,MATCH(B1131,Stores!$A$2:$A$21,0))</f>
        <v>Delhi</v>
      </c>
    </row>
    <row r="1132">
      <c r="A1132" s="32" t="str">
        <f>Orders!A1129</f>
        <v>O01128</v>
      </c>
      <c r="B1132" s="32" t="str">
        <f>Orders!C1129</f>
        <v>S019</v>
      </c>
      <c r="C1132" s="32" t="str">
        <f>Orders!B1129</f>
        <v>C0042</v>
      </c>
      <c r="D1132" s="32" t="str">
        <f>Orders!H1129</f>
        <v>Delivered</v>
      </c>
      <c r="E1132" s="33">
        <f>IF(Orders!H1129="Delivered",1,0)</f>
        <v>1</v>
      </c>
      <c r="F1132" s="34">
        <f>IF(E1132=1,Orders!R1129,"")</f>
        <v>-1.2</v>
      </c>
      <c r="G1132" s="33">
        <f>IF(E1132=1,IF(Orders!R1129&gt;0,1,0),"")</f>
        <v>0</v>
      </c>
      <c r="H1132" s="33">
        <f>IF(E1132=1,IF(Orders!R1129&gt;5,1,0),"")</f>
        <v>0</v>
      </c>
      <c r="I1132" s="32" t="str">
        <f>IF(E1132=1,"",IF(OR(Orders!T1129="Rider unavailable",Orders!T1129="Item unavailable"),"Company-caused","Unresolved"))</f>
        <v/>
      </c>
      <c r="J1132" s="33">
        <f>IF(OR(E1132=1,I1132="Company-caused"),1,0)</f>
        <v>1</v>
      </c>
      <c r="K1132" s="32" t="str">
        <f>IF(E1132=0,IF(I1132="Company-caused",IF(Orders!T1129="Rider unavailable","C1 Rider unavailable","C2 Item unavailable"),"Outside root: unresolved"),IF(G1132=0,"A On time",IF(H1132=1,IF(L1132=1,"B2a Severe, peak","B2b Severe, off-peak"),IF(L1132=1,"B1a Slight, peak","B1b Slight, off-peak"))))</f>
        <v>A On time</v>
      </c>
      <c r="L1132" s="33">
        <f>IF(AND(Orders!U1129&gt;=19,Orders!U1129&lt;22),1,0)</f>
        <v>0</v>
      </c>
      <c r="M1132" s="33">
        <f>IF(L1132=IF(Orders!V1129,1,0),1,0)</f>
        <v>1</v>
      </c>
      <c r="N1132" s="32" t="str">
        <f>IF(Orders!W1129="","None",Orders!W1129)</f>
        <v>Light</v>
      </c>
      <c r="O1132" s="35">
        <f>INT(Orders!E1129)</f>
        <v>46279.0</v>
      </c>
      <c r="P1132" s="33">
        <f>Orders!U1129</f>
        <v>10</v>
      </c>
      <c r="Q1132" s="33">
        <f>COUNTIFS(Demand!$A$2:$A$4481,B1132,Demand!$B$2:$B$4481,O1132,Demand!$C$2:$C$4481,P1132)</f>
        <v>1</v>
      </c>
      <c r="R1132" s="33">
        <f>IF(Q1132=1,SUMIFS(Demand!$E$2:$E$4481,Demand!$A$2:$A$4481,B1132,Demand!$B$2:$B$4481,O1132,Demand!$C$2:$C$4481,P1132),"")</f>
        <v>12</v>
      </c>
      <c r="S1132" s="33">
        <f>INDEX(Stores!$G$2:$G$21,MATCH(B1132,Stores!$A$2:$A$21,0))</f>
        <v>22</v>
      </c>
      <c r="T1132" s="34">
        <f>IF(R1132="","",R1132/S1132)</f>
        <v>0.545454545454545</v>
      </c>
      <c r="U1132" s="34">
        <f>IF(E1132=1,T1132,"")</f>
        <v>0.545454545454545</v>
      </c>
      <c r="V1132" s="34">
        <f>IF(AND(E1132=1,L1132=0),T1132,"")</f>
        <v>0.545454545454545</v>
      </c>
      <c r="W1132" s="33">
        <f>IF(U1132="","",IF(U1132&lt;=Breakdowns!$C$5,1,IF(U1132&lt;=Breakdowns!$C$6,2,IF(U1132&lt;=Breakdowns!$C$7,3,4))))</f>
        <v>1</v>
      </c>
      <c r="X1132" s="33">
        <f>IF(V1132="","",IF(V1132&lt;=Breakdowns!$D$5,1,IF(V1132&lt;=Breakdowns!$D$6,2,IF(V1132&lt;=Breakdowns!$D$7,3,4))))</f>
        <v>1</v>
      </c>
      <c r="Y1132" s="34">
        <f>INDEX(Stores!$F$2:$F$21,MATCH(B1132,Stores!$A$2:$A$21,0))</f>
        <v>4.99</v>
      </c>
      <c r="Z1132" s="33">
        <f>IF(Y1132&gt;Store_Summary!$M$2,1,0)</f>
        <v>1</v>
      </c>
      <c r="AA1132" s="33">
        <f>INDEX(Stores!$C$2:$C$21,MATCH(B1132,Stores!$A$2:$A$21,0))</f>
        <v>851</v>
      </c>
      <c r="AB1132" s="33">
        <f>IF(AA1132&lt;180,1,0)</f>
        <v>0</v>
      </c>
      <c r="AC1132" s="32" t="str">
        <f>IF(Orders!D1129="","",INDEX(Riders!$C$2:$C$81,MATCH(Orders!D1129,Riders!$A$2:$A$81,0)))</f>
        <v>Petrol scooter</v>
      </c>
      <c r="AD1132" s="33">
        <f>IF(Orders!D1129="","",INDEX(Riders!$D$2:$D$81,MATCH(Orders!D1129,Riders!$A$2:$A$81,0)))</f>
        <v>44</v>
      </c>
      <c r="AE1132" s="33">
        <f>IF(Orders!D1129="","",IF(INDEX(Riders!$B$2:$B$81,MATCH(Orders!D1129,Riders!$A$2:$A$81,0))=B1132,1,0))</f>
        <v>0</v>
      </c>
      <c r="AF1132" s="34">
        <f>IF(E1132=1,Orders!L1129,"")</f>
        <v>1.58</v>
      </c>
      <c r="AG1132" s="34">
        <f>IF(E1132=1,Orders!P1129,"")</f>
        <v>10.2</v>
      </c>
      <c r="AH1132" s="34">
        <f>IF(E1132=1,Orders!Q1129,"")</f>
        <v>9</v>
      </c>
      <c r="AI1132" s="34">
        <f>IF(E1132=1,Orders!M1129,"")</f>
        <v>3.3</v>
      </c>
      <c r="AJ1132" s="34">
        <f>IF(E1132=1,Orders!N1129,"")</f>
        <v>2.3</v>
      </c>
      <c r="AK1132" s="34">
        <f>IF(E1132=1,Orders!O1129,"")</f>
        <v>3.4</v>
      </c>
      <c r="AL1132" s="33">
        <f>IF(E1132=1,IF(ROUND(ABS(AI1132+AJ1132+AK1132-AH1132),6)&lt;=0.1,1,0),"")</f>
        <v>1</v>
      </c>
      <c r="AM1132" s="36">
        <f>IF(E1132=1,AI1132/AH1132,"")</f>
        <v>0.366666666666667</v>
      </c>
      <c r="AN1132" s="36">
        <f>IF(E1132=1,AJ1132/AH1132,"")</f>
        <v>0.255555555555556</v>
      </c>
      <c r="AO1132" s="36">
        <f>IF(E1132=1,AK1132/AH1132,"")</f>
        <v>0.377777777777778</v>
      </c>
      <c r="AP1132" s="34">
        <f>IF(E1132=1,Orders!Y1129,"")</f>
        <v>0.47</v>
      </c>
      <c r="AQ1132" s="33">
        <f>IF(Orders!X1129,1,0)</f>
        <v>0</v>
      </c>
      <c r="AR1132" s="34" t="str">
        <f>IF(AND(E1132=1,L1132=1),AJ1132,"")</f>
        <v/>
      </c>
      <c r="AS1132" s="34">
        <f>IF(AND(E1132=1,L1132=0),AJ1132,"")</f>
        <v>2.3</v>
      </c>
      <c r="AT1132" s="34" t="str">
        <f>IF(AND(E1132=1,L1132=1),AI1132,"")</f>
        <v/>
      </c>
      <c r="AU1132" s="34">
        <f>IF(AND(E1132=1,L1132=0),AI1132,"")</f>
        <v>3.3</v>
      </c>
      <c r="AV1132" s="34" t="str">
        <f>IF(AND(E1132=1,L1132=1),AG1132,"")</f>
        <v/>
      </c>
      <c r="AW1132" s="34">
        <f>IF(AND(E1132=1,L1132=0),AG1132,"")</f>
        <v>10.2</v>
      </c>
      <c r="AX1132" s="34" t="str">
        <f>IF(AND(E1132=1,L1132=1),AH1132,"")</f>
        <v/>
      </c>
      <c r="AY1132" s="34">
        <f>IF(AND(E1132=1,L1132=0),AH1132,"")</f>
        <v>9</v>
      </c>
      <c r="AZ1132" s="34" t="str">
        <f>IF(G1132=1,F1132,"")</f>
        <v/>
      </c>
      <c r="BA1132" s="34" t="str">
        <f>IF(AND(G1132=1,L1132=1),F1132,"")</f>
        <v/>
      </c>
      <c r="BB1132" s="34" t="str">
        <f>IF(AND(G1132=1,L1132=0),F1132,"")</f>
        <v/>
      </c>
      <c r="BC1132" s="33">
        <f>IF(E1132=1,IF(Orders!R1129&gt;3,1,0),"")</f>
        <v>0</v>
      </c>
      <c r="BD1132" s="33">
        <f>IF(E1132=1,IF(Orders!R1129&gt;7,1,0),"")</f>
        <v>0</v>
      </c>
      <c r="BE1132" s="32" t="str">
        <f>IF(E1132=1,IF(Orders!L1129&lt;=1.5,"Up to 1.5 km",IF(Orders!L1129&lt;=3,"1.5–3 km","Over 3 km")),"")</f>
        <v>1.5–3 km</v>
      </c>
      <c r="BF1132" s="33">
        <f>IF(E1132=1,IF(ABS((Orders!G1129-Orders!F1129)*1440-Orders!R1129)&lt;0.06,1,0),"")</f>
        <v>1</v>
      </c>
      <c r="BG1132" s="33">
        <f>IF(ABS((Orders!F1129-Orders!E1129)*1440-Orders!P1129)&lt;0.06,1,0)</f>
        <v>1</v>
      </c>
      <c r="BH1132" s="33">
        <f>IF(E1132=1,IF(IF(Orders!S1129,1,0)=1-G1132,1,0),"")</f>
        <v>1</v>
      </c>
      <c r="BI1132" s="32" t="str">
        <f>INDEX(Stores!$B$2:$B$21,MATCH(B1132,Stores!$A$2:$A$21,0))</f>
        <v>Pune</v>
      </c>
    </row>
    <row r="1133">
      <c r="A1133" s="32" t="str">
        <f>Orders!A1130</f>
        <v>O01129</v>
      </c>
      <c r="B1133" s="32" t="str">
        <f>Orders!C1130</f>
        <v>S013</v>
      </c>
      <c r="C1133" s="32" t="str">
        <f>Orders!B1130</f>
        <v>C0237</v>
      </c>
      <c r="D1133" s="32" t="str">
        <f>Orders!H1130</f>
        <v>Delivered</v>
      </c>
      <c r="E1133" s="33">
        <f>IF(Orders!H1130="Delivered",1,0)</f>
        <v>1</v>
      </c>
      <c r="F1133" s="34">
        <f>IF(E1133=1,Orders!R1130,"")</f>
        <v>-0.9</v>
      </c>
      <c r="G1133" s="33">
        <f>IF(E1133=1,IF(Orders!R1130&gt;0,1,0),"")</f>
        <v>0</v>
      </c>
      <c r="H1133" s="33">
        <f>IF(E1133=1,IF(Orders!R1130&gt;5,1,0),"")</f>
        <v>0</v>
      </c>
      <c r="I1133" s="32" t="str">
        <f>IF(E1133=1,"",IF(OR(Orders!T1130="Rider unavailable",Orders!T1130="Item unavailable"),"Company-caused","Unresolved"))</f>
        <v/>
      </c>
      <c r="J1133" s="33">
        <f>IF(OR(E1133=1,I1133="Company-caused"),1,0)</f>
        <v>1</v>
      </c>
      <c r="K1133" s="32" t="str">
        <f>IF(E1133=0,IF(I1133="Company-caused",IF(Orders!T1130="Rider unavailable","C1 Rider unavailable","C2 Item unavailable"),"Outside root: unresolved"),IF(G1133=0,"A On time",IF(H1133=1,IF(L1133=1,"B2a Severe, peak","B2b Severe, off-peak"),IF(L1133=1,"B1a Slight, peak","B1b Slight, off-peak"))))</f>
        <v>A On time</v>
      </c>
      <c r="L1133" s="33">
        <f>IF(AND(Orders!U1130&gt;=19,Orders!U1130&lt;22),1,0)</f>
        <v>0</v>
      </c>
      <c r="M1133" s="33">
        <f>IF(L1133=IF(Orders!V1130,1,0),1,0)</f>
        <v>1</v>
      </c>
      <c r="N1133" s="32" t="str">
        <f>IF(Orders!W1130="","None",Orders!W1130)</f>
        <v>Light</v>
      </c>
      <c r="O1133" s="35">
        <f>INT(Orders!E1130)</f>
        <v>46274.0</v>
      </c>
      <c r="P1133" s="33">
        <f>Orders!U1130</f>
        <v>23</v>
      </c>
      <c r="Q1133" s="33">
        <f>COUNTIFS(Demand!$A$2:$A$4481,B1133,Demand!$B$2:$B$4481,O1133,Demand!$C$2:$C$4481,P1133)</f>
        <v>1</v>
      </c>
      <c r="R1133" s="33">
        <f>IF(Q1133=1,SUMIFS(Demand!$E$2:$E$4481,Demand!$A$2:$A$4481,B1133,Demand!$B$2:$B$4481,O1133,Demand!$C$2:$C$4481,P1133),"")</f>
        <v>51</v>
      </c>
      <c r="S1133" s="33">
        <f>INDEX(Stores!$G$2:$G$21,MATCH(B1133,Stores!$A$2:$A$21,0))</f>
        <v>49</v>
      </c>
      <c r="T1133" s="34">
        <f>IF(R1133="","",R1133/S1133)</f>
        <v>1.04081632653061</v>
      </c>
      <c r="U1133" s="34">
        <f>IF(E1133=1,T1133,"")</f>
        <v>1.04081632653061</v>
      </c>
      <c r="V1133" s="34">
        <f>IF(AND(E1133=1,L1133=0),T1133,"")</f>
        <v>1.04081632653061</v>
      </c>
      <c r="W1133" s="33">
        <f>IF(U1133="","",IF(U1133&lt;=Breakdowns!$C$5,1,IF(U1133&lt;=Breakdowns!$C$6,2,IF(U1133&lt;=Breakdowns!$C$7,3,4))))</f>
        <v>3</v>
      </c>
      <c r="X1133" s="33">
        <f>IF(V1133="","",IF(V1133&lt;=Breakdowns!$D$5,1,IF(V1133&lt;=Breakdowns!$D$6,2,IF(V1133&lt;=Breakdowns!$D$7,3,4))))</f>
        <v>3</v>
      </c>
      <c r="Y1133" s="34">
        <f>INDEX(Stores!$F$2:$F$21,MATCH(B1133,Stores!$A$2:$A$21,0))</f>
        <v>5.82</v>
      </c>
      <c r="Z1133" s="33">
        <f>IF(Y1133&gt;Store_Summary!$M$2,1,0)</f>
        <v>1</v>
      </c>
      <c r="AA1133" s="33">
        <f>INDEX(Stores!$C$2:$C$21,MATCH(B1133,Stores!$A$2:$A$21,0))</f>
        <v>705</v>
      </c>
      <c r="AB1133" s="33">
        <f>IF(AA1133&lt;180,1,0)</f>
        <v>0</v>
      </c>
      <c r="AC1133" s="32" t="str">
        <f>IF(Orders!D1130="","",INDEX(Riders!$C$2:$C$81,MATCH(Orders!D1130,Riders!$A$2:$A$81,0)))</f>
        <v>EV scooter</v>
      </c>
      <c r="AD1133" s="33">
        <f>IF(Orders!D1130="","",INDEX(Riders!$D$2:$D$81,MATCH(Orders!D1130,Riders!$A$2:$A$81,0)))</f>
        <v>11</v>
      </c>
      <c r="AE1133" s="33">
        <f>IF(Orders!D1130="","",IF(INDEX(Riders!$B$2:$B$81,MATCH(Orders!D1130,Riders!$A$2:$A$81,0))=B1133,1,0))</f>
        <v>0</v>
      </c>
      <c r="AF1133" s="34">
        <f>IF(E1133=1,Orders!L1130,"")</f>
        <v>0.5</v>
      </c>
      <c r="AG1133" s="34">
        <f>IF(E1133=1,Orders!P1130,"")</f>
        <v>9.9</v>
      </c>
      <c r="AH1133" s="34">
        <f>IF(E1133=1,Orders!Q1130,"")</f>
        <v>9</v>
      </c>
      <c r="AI1133" s="34">
        <f>IF(E1133=1,Orders!M1130,"")</f>
        <v>3.5</v>
      </c>
      <c r="AJ1133" s="34">
        <f>IF(E1133=1,Orders!N1130,"")</f>
        <v>3.9</v>
      </c>
      <c r="AK1133" s="34">
        <f>IF(E1133=1,Orders!O1130,"")</f>
        <v>1.6</v>
      </c>
      <c r="AL1133" s="33">
        <f>IF(E1133=1,IF(ROUND(ABS(AI1133+AJ1133+AK1133-AH1133),6)&lt;=0.1,1,0),"")</f>
        <v>1</v>
      </c>
      <c r="AM1133" s="36">
        <f>IF(E1133=1,AI1133/AH1133,"")</f>
        <v>0.388888888888889</v>
      </c>
      <c r="AN1133" s="36">
        <f>IF(E1133=1,AJ1133/AH1133,"")</f>
        <v>0.433333333333333</v>
      </c>
      <c r="AO1133" s="36">
        <f>IF(E1133=1,AK1133/AH1133,"")</f>
        <v>0.177777777777778</v>
      </c>
      <c r="AP1133" s="34">
        <f>IF(E1133=1,Orders!Y1130,"")</f>
        <v>0.43</v>
      </c>
      <c r="AQ1133" s="33">
        <f>IF(Orders!X1130,1,0)</f>
        <v>0</v>
      </c>
      <c r="AR1133" s="34" t="str">
        <f>IF(AND(E1133=1,L1133=1),AJ1133,"")</f>
        <v/>
      </c>
      <c r="AS1133" s="34">
        <f>IF(AND(E1133=1,L1133=0),AJ1133,"")</f>
        <v>3.9</v>
      </c>
      <c r="AT1133" s="34" t="str">
        <f>IF(AND(E1133=1,L1133=1),AI1133,"")</f>
        <v/>
      </c>
      <c r="AU1133" s="34">
        <f>IF(AND(E1133=1,L1133=0),AI1133,"")</f>
        <v>3.5</v>
      </c>
      <c r="AV1133" s="34" t="str">
        <f>IF(AND(E1133=1,L1133=1),AG1133,"")</f>
        <v/>
      </c>
      <c r="AW1133" s="34">
        <f>IF(AND(E1133=1,L1133=0),AG1133,"")</f>
        <v>9.9</v>
      </c>
      <c r="AX1133" s="34" t="str">
        <f>IF(AND(E1133=1,L1133=1),AH1133,"")</f>
        <v/>
      </c>
      <c r="AY1133" s="34">
        <f>IF(AND(E1133=1,L1133=0),AH1133,"")</f>
        <v>9</v>
      </c>
      <c r="AZ1133" s="34" t="str">
        <f>IF(G1133=1,F1133,"")</f>
        <v/>
      </c>
      <c r="BA1133" s="34" t="str">
        <f>IF(AND(G1133=1,L1133=1),F1133,"")</f>
        <v/>
      </c>
      <c r="BB1133" s="34" t="str">
        <f>IF(AND(G1133=1,L1133=0),F1133,"")</f>
        <v/>
      </c>
      <c r="BC1133" s="33">
        <f>IF(E1133=1,IF(Orders!R1130&gt;3,1,0),"")</f>
        <v>0</v>
      </c>
      <c r="BD1133" s="33">
        <f>IF(E1133=1,IF(Orders!R1130&gt;7,1,0),"")</f>
        <v>0</v>
      </c>
      <c r="BE1133" s="32" t="str">
        <f>IF(E1133=1,IF(Orders!L1130&lt;=1.5,"Up to 1.5 km",IF(Orders!L1130&lt;=3,"1.5–3 km","Over 3 km")),"")</f>
        <v>Up to 1.5 km</v>
      </c>
      <c r="BF1133" s="33">
        <f>IF(E1133=1,IF(ABS((Orders!G1130-Orders!F1130)*1440-Orders!R1130)&lt;0.06,1,0),"")</f>
        <v>1</v>
      </c>
      <c r="BG1133" s="33">
        <f>IF(ABS((Orders!F1130-Orders!E1130)*1440-Orders!P1130)&lt;0.06,1,0)</f>
        <v>1</v>
      </c>
      <c r="BH1133" s="33">
        <f>IF(E1133=1,IF(IF(Orders!S1130,1,0)=1-G1133,1,0),"")</f>
        <v>1</v>
      </c>
      <c r="BI1133" s="32" t="str">
        <f>INDEX(Stores!$B$2:$B$21,MATCH(B1133,Stores!$A$2:$A$21,0))</f>
        <v>Mumbai</v>
      </c>
    </row>
    <row r="1134">
      <c r="A1134" s="32" t="str">
        <f>Orders!A1131</f>
        <v>O01130</v>
      </c>
      <c r="B1134" s="32" t="str">
        <f>Orders!C1131</f>
        <v>S006</v>
      </c>
      <c r="C1134" s="32" t="str">
        <f>Orders!B1131</f>
        <v>C0162</v>
      </c>
      <c r="D1134" s="32" t="str">
        <f>Orders!H1131</f>
        <v>Delivered</v>
      </c>
      <c r="E1134" s="33">
        <f>IF(Orders!H1131="Delivered",1,0)</f>
        <v>1</v>
      </c>
      <c r="F1134" s="34">
        <f>IF(E1134=1,Orders!R1131,"")</f>
        <v>6.7</v>
      </c>
      <c r="G1134" s="33">
        <f>IF(E1134=1,IF(Orders!R1131&gt;0,1,0),"")</f>
        <v>1</v>
      </c>
      <c r="H1134" s="33">
        <f>IF(E1134=1,IF(Orders!R1131&gt;5,1,0),"")</f>
        <v>1</v>
      </c>
      <c r="I1134" s="32" t="str">
        <f>IF(E1134=1,"",IF(OR(Orders!T1131="Rider unavailable",Orders!T1131="Item unavailable"),"Company-caused","Unresolved"))</f>
        <v/>
      </c>
      <c r="J1134" s="33">
        <f>IF(OR(E1134=1,I1134="Company-caused"),1,0)</f>
        <v>1</v>
      </c>
      <c r="K1134" s="32" t="str">
        <f>IF(E1134=0,IF(I1134="Company-caused",IF(Orders!T1131="Rider unavailable","C1 Rider unavailable","C2 Item unavailable"),"Outside root: unresolved"),IF(G1134=0,"A On time",IF(H1134=1,IF(L1134=1,"B2a Severe, peak","B2b Severe, off-peak"),IF(L1134=1,"B1a Slight, peak","B1b Slight, off-peak"))))</f>
        <v>B2b Severe, off-peak</v>
      </c>
      <c r="L1134" s="33">
        <f>IF(AND(Orders!U1131&gt;=19,Orders!U1131&lt;22),1,0)</f>
        <v>0</v>
      </c>
      <c r="M1134" s="33">
        <f>IF(L1134=IF(Orders!V1131,1,0),1,0)</f>
        <v>1</v>
      </c>
      <c r="N1134" s="32" t="str">
        <f>IF(Orders!W1131="","None",Orders!W1131)</f>
        <v>None</v>
      </c>
      <c r="O1134" s="35">
        <f>INT(Orders!E1131)</f>
        <v>46279.0</v>
      </c>
      <c r="P1134" s="33">
        <f>Orders!U1131</f>
        <v>12</v>
      </c>
      <c r="Q1134" s="33">
        <f>COUNTIFS(Demand!$A$2:$A$4481,B1134,Demand!$B$2:$B$4481,O1134,Demand!$C$2:$C$4481,P1134)</f>
        <v>1</v>
      </c>
      <c r="R1134" s="33">
        <f>IF(Q1134=1,SUMIFS(Demand!$E$2:$E$4481,Demand!$A$2:$A$4481,B1134,Demand!$B$2:$B$4481,O1134,Demand!$C$2:$C$4481,P1134),"")</f>
        <v>25</v>
      </c>
      <c r="S1134" s="33">
        <f>INDEX(Stores!$G$2:$G$21,MATCH(B1134,Stores!$A$2:$A$21,0))</f>
        <v>26</v>
      </c>
      <c r="T1134" s="34">
        <f>IF(R1134="","",R1134/S1134)</f>
        <v>0.961538461538462</v>
      </c>
      <c r="U1134" s="34">
        <f>IF(E1134=1,T1134,"")</f>
        <v>0.961538461538462</v>
      </c>
      <c r="V1134" s="34">
        <f>IF(AND(E1134=1,L1134=0),T1134,"")</f>
        <v>0.961538461538462</v>
      </c>
      <c r="W1134" s="33">
        <f>IF(U1134="","",IF(U1134&lt;=Breakdowns!$C$5,1,IF(U1134&lt;=Breakdowns!$C$6,2,IF(U1134&lt;=Breakdowns!$C$7,3,4))))</f>
        <v>2</v>
      </c>
      <c r="X1134" s="33">
        <f>IF(V1134="","",IF(V1134&lt;=Breakdowns!$D$5,1,IF(V1134&lt;=Breakdowns!$D$6,2,IF(V1134&lt;=Breakdowns!$D$7,3,4))))</f>
        <v>3</v>
      </c>
      <c r="Y1134" s="34">
        <f>INDEX(Stores!$F$2:$F$21,MATCH(B1134,Stores!$A$2:$A$21,0))</f>
        <v>5.22</v>
      </c>
      <c r="Z1134" s="33">
        <f>IF(Y1134&gt;Store_Summary!$M$2,1,0)</f>
        <v>1</v>
      </c>
      <c r="AA1134" s="33">
        <f>INDEX(Stores!$C$2:$C$21,MATCH(B1134,Stores!$A$2:$A$21,0))</f>
        <v>412</v>
      </c>
      <c r="AB1134" s="33">
        <f>IF(AA1134&lt;180,1,0)</f>
        <v>0</v>
      </c>
      <c r="AC1134" s="32" t="str">
        <f>IF(Orders!D1131="","",INDEX(Riders!$C$2:$C$81,MATCH(Orders!D1131,Riders!$A$2:$A$81,0)))</f>
        <v>Bicycle</v>
      </c>
      <c r="AD1134" s="33">
        <f>IF(Orders!D1131="","",INDEX(Riders!$D$2:$D$81,MATCH(Orders!D1131,Riders!$A$2:$A$81,0)))</f>
        <v>2</v>
      </c>
      <c r="AE1134" s="33">
        <f>IF(Orders!D1131="","",IF(INDEX(Riders!$B$2:$B$81,MATCH(Orders!D1131,Riders!$A$2:$A$81,0))=B1134,1,0))</f>
        <v>0</v>
      </c>
      <c r="AF1134" s="34">
        <f>IF(E1134=1,Orders!L1131,"")</f>
        <v>1.63</v>
      </c>
      <c r="AG1134" s="34">
        <f>IF(E1134=1,Orders!P1131,"")</f>
        <v>10.3</v>
      </c>
      <c r="AH1134" s="34">
        <f>IF(E1134=1,Orders!Q1131,"")</f>
        <v>17</v>
      </c>
      <c r="AI1134" s="34">
        <f>IF(E1134=1,Orders!M1131,"")</f>
        <v>6.1</v>
      </c>
      <c r="AJ1134" s="34">
        <f>IF(E1134=1,Orders!N1131,"")</f>
        <v>5.5</v>
      </c>
      <c r="AK1134" s="34">
        <f>IF(E1134=1,Orders!O1131,"")</f>
        <v>5.5</v>
      </c>
      <c r="AL1134" s="33">
        <f>IF(E1134=1,IF(ROUND(ABS(AI1134+AJ1134+AK1134-AH1134),6)&lt;=0.1,1,0),"")</f>
        <v>1</v>
      </c>
      <c r="AM1134" s="36">
        <f>IF(E1134=1,AI1134/AH1134,"")</f>
        <v>0.358823529411765</v>
      </c>
      <c r="AN1134" s="36">
        <f>IF(E1134=1,AJ1134/AH1134,"")</f>
        <v>0.323529411764706</v>
      </c>
      <c r="AO1134" s="36">
        <f>IF(E1134=1,AK1134/AH1134,"")</f>
        <v>0.323529411764706</v>
      </c>
      <c r="AP1134" s="34">
        <f>IF(E1134=1,Orders!Y1131,"")</f>
        <v>0.49</v>
      </c>
      <c r="AQ1134" s="33">
        <f>IF(Orders!X1131,1,0)</f>
        <v>0</v>
      </c>
      <c r="AR1134" s="34" t="str">
        <f>IF(AND(E1134=1,L1134=1),AJ1134,"")</f>
        <v/>
      </c>
      <c r="AS1134" s="34">
        <f>IF(AND(E1134=1,L1134=0),AJ1134,"")</f>
        <v>5.5</v>
      </c>
      <c r="AT1134" s="34" t="str">
        <f>IF(AND(E1134=1,L1134=1),AI1134,"")</f>
        <v/>
      </c>
      <c r="AU1134" s="34">
        <f>IF(AND(E1134=1,L1134=0),AI1134,"")</f>
        <v>6.1</v>
      </c>
      <c r="AV1134" s="34" t="str">
        <f>IF(AND(E1134=1,L1134=1),AG1134,"")</f>
        <v/>
      </c>
      <c r="AW1134" s="34">
        <f>IF(AND(E1134=1,L1134=0),AG1134,"")</f>
        <v>10.3</v>
      </c>
      <c r="AX1134" s="34" t="str">
        <f>IF(AND(E1134=1,L1134=1),AH1134,"")</f>
        <v/>
      </c>
      <c r="AY1134" s="34">
        <f>IF(AND(E1134=1,L1134=0),AH1134,"")</f>
        <v>17</v>
      </c>
      <c r="AZ1134" s="34">
        <f>IF(G1134=1,F1134,"")</f>
        <v>6.7</v>
      </c>
      <c r="BA1134" s="34" t="str">
        <f>IF(AND(G1134=1,L1134=1),F1134,"")</f>
        <v/>
      </c>
      <c r="BB1134" s="34">
        <f>IF(AND(G1134=1,L1134=0),F1134,"")</f>
        <v>6.7</v>
      </c>
      <c r="BC1134" s="33">
        <f>IF(E1134=1,IF(Orders!R1131&gt;3,1,0),"")</f>
        <v>1</v>
      </c>
      <c r="BD1134" s="33">
        <f>IF(E1134=1,IF(Orders!R1131&gt;7,1,0),"")</f>
        <v>0</v>
      </c>
      <c r="BE1134" s="32" t="str">
        <f>IF(E1134=1,IF(Orders!L1131&lt;=1.5,"Up to 1.5 km",IF(Orders!L1131&lt;=3,"1.5–3 km","Over 3 km")),"")</f>
        <v>1.5–3 km</v>
      </c>
      <c r="BF1134" s="33">
        <f>IF(E1134=1,IF(ABS((Orders!G1131-Orders!F1131)*1440-Orders!R1131)&lt;0.06,1,0),"")</f>
        <v>1</v>
      </c>
      <c r="BG1134" s="33">
        <f>IF(ABS((Orders!F1131-Orders!E1131)*1440-Orders!P1131)&lt;0.06,1,0)</f>
        <v>1</v>
      </c>
      <c r="BH1134" s="33">
        <f>IF(E1134=1,IF(IF(Orders!S1131,1,0)=1-G1134,1,0),"")</f>
        <v>1</v>
      </c>
      <c r="BI1134" s="32" t="str">
        <f>INDEX(Stores!$B$2:$B$21,MATCH(B1134,Stores!$A$2:$A$21,0))</f>
        <v>Bengaluru</v>
      </c>
    </row>
    <row r="1135">
      <c r="A1135" s="32" t="str">
        <f>Orders!A1132</f>
        <v>O01131</v>
      </c>
      <c r="B1135" s="32" t="str">
        <f>Orders!C1132</f>
        <v>S012</v>
      </c>
      <c r="C1135" s="32" t="str">
        <f>Orders!B1132</f>
        <v>C0003</v>
      </c>
      <c r="D1135" s="32" t="str">
        <f>Orders!H1132</f>
        <v>Delivered</v>
      </c>
      <c r="E1135" s="33">
        <f>IF(Orders!H1132="Delivered",1,0)</f>
        <v>1</v>
      </c>
      <c r="F1135" s="34">
        <f>IF(E1135=1,Orders!R1132,"")</f>
        <v>-1.2</v>
      </c>
      <c r="G1135" s="33">
        <f>IF(E1135=1,IF(Orders!R1132&gt;0,1,0),"")</f>
        <v>0</v>
      </c>
      <c r="H1135" s="33">
        <f>IF(E1135=1,IF(Orders!R1132&gt;5,1,0),"")</f>
        <v>0</v>
      </c>
      <c r="I1135" s="32" t="str">
        <f>IF(E1135=1,"",IF(OR(Orders!T1132="Rider unavailable",Orders!T1132="Item unavailable"),"Company-caused","Unresolved"))</f>
        <v/>
      </c>
      <c r="J1135" s="33">
        <f>IF(OR(E1135=1,I1135="Company-caused"),1,0)</f>
        <v>1</v>
      </c>
      <c r="K1135" s="32" t="str">
        <f>IF(E1135=0,IF(I1135="Company-caused",IF(Orders!T1132="Rider unavailable","C1 Rider unavailable","C2 Item unavailable"),"Outside root: unresolved"),IF(G1135=0,"A On time",IF(H1135=1,IF(L1135=1,"B2a Severe, peak","B2b Severe, off-peak"),IF(L1135=1,"B1a Slight, peak","B1b Slight, off-peak"))))</f>
        <v>A On time</v>
      </c>
      <c r="L1135" s="33">
        <f>IF(AND(Orders!U1132&gt;=19,Orders!U1132&lt;22),1,0)</f>
        <v>0</v>
      </c>
      <c r="M1135" s="33">
        <f>IF(L1135=IF(Orders!V1132,1,0),1,0)</f>
        <v>1</v>
      </c>
      <c r="N1135" s="32" t="str">
        <f>IF(Orders!W1132="","None",Orders!W1132)</f>
        <v>Light</v>
      </c>
      <c r="O1135" s="35">
        <f>INT(Orders!E1132)</f>
        <v>46279.0</v>
      </c>
      <c r="P1135" s="33">
        <f>Orders!U1132</f>
        <v>22</v>
      </c>
      <c r="Q1135" s="33">
        <f>COUNTIFS(Demand!$A$2:$A$4481,B1135,Demand!$B$2:$B$4481,O1135,Demand!$C$2:$C$4481,P1135)</f>
        <v>1</v>
      </c>
      <c r="R1135" s="33">
        <f>IF(Q1135=1,SUMIFS(Demand!$E$2:$E$4481,Demand!$A$2:$A$4481,B1135,Demand!$B$2:$B$4481,O1135,Demand!$C$2:$C$4481,P1135),"")</f>
        <v>12</v>
      </c>
      <c r="S1135" s="33">
        <f>INDEX(Stores!$G$2:$G$21,MATCH(B1135,Stores!$A$2:$A$21,0))</f>
        <v>15</v>
      </c>
      <c r="T1135" s="34">
        <f>IF(R1135="","",R1135/S1135)</f>
        <v>0.8</v>
      </c>
      <c r="U1135" s="34">
        <f>IF(E1135=1,T1135,"")</f>
        <v>0.8</v>
      </c>
      <c r="V1135" s="34">
        <f>IF(AND(E1135=1,L1135=0),T1135,"")</f>
        <v>0.8</v>
      </c>
      <c r="W1135" s="33">
        <f>IF(U1135="","",IF(U1135&lt;=Breakdowns!$C$5,1,IF(U1135&lt;=Breakdowns!$C$6,2,IF(U1135&lt;=Breakdowns!$C$7,3,4))))</f>
        <v>2</v>
      </c>
      <c r="X1135" s="33">
        <f>IF(V1135="","",IF(V1135&lt;=Breakdowns!$D$5,1,IF(V1135&lt;=Breakdowns!$D$6,2,IF(V1135&lt;=Breakdowns!$D$7,3,4))))</f>
        <v>2</v>
      </c>
      <c r="Y1135" s="34">
        <f>INDEX(Stores!$F$2:$F$21,MATCH(B1135,Stores!$A$2:$A$21,0))</f>
        <v>5.23</v>
      </c>
      <c r="Z1135" s="33">
        <f>IF(Y1135&gt;Store_Summary!$M$2,1,0)</f>
        <v>1</v>
      </c>
      <c r="AA1135" s="33">
        <f>INDEX(Stores!$C$2:$C$21,MATCH(B1135,Stores!$A$2:$A$21,0))</f>
        <v>300</v>
      </c>
      <c r="AB1135" s="33">
        <f>IF(AA1135&lt;180,1,0)</f>
        <v>0</v>
      </c>
      <c r="AC1135" s="32" t="str">
        <f>IF(Orders!D1132="","",INDEX(Riders!$C$2:$C$81,MATCH(Orders!D1132,Riders!$A$2:$A$81,0)))</f>
        <v>Bicycle</v>
      </c>
      <c r="AD1135" s="33">
        <f>IF(Orders!D1132="","",INDEX(Riders!$D$2:$D$81,MATCH(Orders!D1132,Riders!$A$2:$A$81,0)))</f>
        <v>8</v>
      </c>
      <c r="AE1135" s="33">
        <f>IF(Orders!D1132="","",IF(INDEX(Riders!$B$2:$B$81,MATCH(Orders!D1132,Riders!$A$2:$A$81,0))=B1135,1,0))</f>
        <v>0</v>
      </c>
      <c r="AF1135" s="34">
        <f>IF(E1135=1,Orders!L1132,"")</f>
        <v>1.79</v>
      </c>
      <c r="AG1135" s="34">
        <f>IF(E1135=1,Orders!P1132,"")</f>
        <v>9.2</v>
      </c>
      <c r="AH1135" s="34">
        <f>IF(E1135=1,Orders!Q1132,"")</f>
        <v>8</v>
      </c>
      <c r="AI1135" s="34">
        <f>IF(E1135=1,Orders!M1132,"")</f>
        <v>2.9</v>
      </c>
      <c r="AJ1135" s="34">
        <f>IF(E1135=1,Orders!N1132,"")</f>
        <v>1.9</v>
      </c>
      <c r="AK1135" s="34">
        <f>IF(E1135=1,Orders!O1132,"")</f>
        <v>3.2</v>
      </c>
      <c r="AL1135" s="33">
        <f>IF(E1135=1,IF(ROUND(ABS(AI1135+AJ1135+AK1135-AH1135),6)&lt;=0.1,1,0),"")</f>
        <v>1</v>
      </c>
      <c r="AM1135" s="36">
        <f>IF(E1135=1,AI1135/AH1135,"")</f>
        <v>0.3625</v>
      </c>
      <c r="AN1135" s="36">
        <f>IF(E1135=1,AJ1135/AH1135,"")</f>
        <v>0.2375</v>
      </c>
      <c r="AO1135" s="36">
        <f>IF(E1135=1,AK1135/AH1135,"")</f>
        <v>0.4</v>
      </c>
      <c r="AP1135" s="34">
        <f>IF(E1135=1,Orders!Y1132,"")</f>
        <v>0.27</v>
      </c>
      <c r="AQ1135" s="33">
        <f>IF(Orders!X1132,1,0)</f>
        <v>0</v>
      </c>
      <c r="AR1135" s="34" t="str">
        <f>IF(AND(E1135=1,L1135=1),AJ1135,"")</f>
        <v/>
      </c>
      <c r="AS1135" s="34">
        <f>IF(AND(E1135=1,L1135=0),AJ1135,"")</f>
        <v>1.9</v>
      </c>
      <c r="AT1135" s="34" t="str">
        <f>IF(AND(E1135=1,L1135=1),AI1135,"")</f>
        <v/>
      </c>
      <c r="AU1135" s="34">
        <f>IF(AND(E1135=1,L1135=0),AI1135,"")</f>
        <v>2.9</v>
      </c>
      <c r="AV1135" s="34" t="str">
        <f>IF(AND(E1135=1,L1135=1),AG1135,"")</f>
        <v/>
      </c>
      <c r="AW1135" s="34">
        <f>IF(AND(E1135=1,L1135=0),AG1135,"")</f>
        <v>9.2</v>
      </c>
      <c r="AX1135" s="34" t="str">
        <f>IF(AND(E1135=1,L1135=1),AH1135,"")</f>
        <v/>
      </c>
      <c r="AY1135" s="34">
        <f>IF(AND(E1135=1,L1135=0),AH1135,"")</f>
        <v>8</v>
      </c>
      <c r="AZ1135" s="34" t="str">
        <f>IF(G1135=1,F1135,"")</f>
        <v/>
      </c>
      <c r="BA1135" s="34" t="str">
        <f>IF(AND(G1135=1,L1135=1),F1135,"")</f>
        <v/>
      </c>
      <c r="BB1135" s="34" t="str">
        <f>IF(AND(G1135=1,L1135=0),F1135,"")</f>
        <v/>
      </c>
      <c r="BC1135" s="33">
        <f>IF(E1135=1,IF(Orders!R1132&gt;3,1,0),"")</f>
        <v>0</v>
      </c>
      <c r="BD1135" s="33">
        <f>IF(E1135=1,IF(Orders!R1132&gt;7,1,0),"")</f>
        <v>0</v>
      </c>
      <c r="BE1135" s="32" t="str">
        <f>IF(E1135=1,IF(Orders!L1132&lt;=1.5,"Up to 1.5 km",IF(Orders!L1132&lt;=3,"1.5–3 km","Over 3 km")),"")</f>
        <v>1.5–3 km</v>
      </c>
      <c r="BF1135" s="33">
        <f>IF(E1135=1,IF(ABS((Orders!G1132-Orders!F1132)*1440-Orders!R1132)&lt;0.06,1,0),"")</f>
        <v>1</v>
      </c>
      <c r="BG1135" s="33">
        <f>IF(ABS((Orders!F1132-Orders!E1132)*1440-Orders!P1132)&lt;0.06,1,0)</f>
        <v>1</v>
      </c>
      <c r="BH1135" s="33">
        <f>IF(E1135=1,IF(IF(Orders!S1132,1,0)=1-G1135,1,0),"")</f>
        <v>1</v>
      </c>
      <c r="BI1135" s="32" t="str">
        <f>INDEX(Stores!$B$2:$B$21,MATCH(B1135,Stores!$A$2:$A$21,0))</f>
        <v>Hyderabad</v>
      </c>
    </row>
    <row r="1136">
      <c r="A1136" s="32" t="str">
        <f>Orders!A1133</f>
        <v>O01132</v>
      </c>
      <c r="B1136" s="32" t="str">
        <f>Orders!C1133</f>
        <v>S019</v>
      </c>
      <c r="C1136" s="32" t="str">
        <f>Orders!B1133</f>
        <v>C0187</v>
      </c>
      <c r="D1136" s="32" t="str">
        <f>Orders!H1133</f>
        <v>Delivered</v>
      </c>
      <c r="E1136" s="33">
        <f>IF(Orders!H1133="Delivered",1,0)</f>
        <v>1</v>
      </c>
      <c r="F1136" s="34">
        <f>IF(E1136=1,Orders!R1133,"")</f>
        <v>-1.1</v>
      </c>
      <c r="G1136" s="33">
        <f>IF(E1136=1,IF(Orders!R1133&gt;0,1,0),"")</f>
        <v>0</v>
      </c>
      <c r="H1136" s="33">
        <f>IF(E1136=1,IF(Orders!R1133&gt;5,1,0),"")</f>
        <v>0</v>
      </c>
      <c r="I1136" s="32" t="str">
        <f>IF(E1136=1,"",IF(OR(Orders!T1133="Rider unavailable",Orders!T1133="Item unavailable"),"Company-caused","Unresolved"))</f>
        <v/>
      </c>
      <c r="J1136" s="33">
        <f>IF(OR(E1136=1,I1136="Company-caused"),1,0)</f>
        <v>1</v>
      </c>
      <c r="K1136" s="32" t="str">
        <f>IF(E1136=0,IF(I1136="Company-caused",IF(Orders!T1133="Rider unavailable","C1 Rider unavailable","C2 Item unavailable"),"Outside root: unresolved"),IF(G1136=0,"A On time",IF(H1136=1,IF(L1136=1,"B2a Severe, peak","B2b Severe, off-peak"),IF(L1136=1,"B1a Slight, peak","B1b Slight, off-peak"))))</f>
        <v>A On time</v>
      </c>
      <c r="L1136" s="33">
        <f>IF(AND(Orders!U1133&gt;=19,Orders!U1133&lt;22),1,0)</f>
        <v>0</v>
      </c>
      <c r="M1136" s="33">
        <f>IF(L1136=IF(Orders!V1133,1,0),1,0)</f>
        <v>1</v>
      </c>
      <c r="N1136" s="32" t="str">
        <f>IF(Orders!W1133="","None",Orders!W1133)</f>
        <v>None</v>
      </c>
      <c r="O1136" s="35">
        <f>INT(Orders!E1133)</f>
        <v>46279.0</v>
      </c>
      <c r="P1136" s="33">
        <f>Orders!U1133</f>
        <v>16</v>
      </c>
      <c r="Q1136" s="33">
        <f>COUNTIFS(Demand!$A$2:$A$4481,B1136,Demand!$B$2:$B$4481,O1136,Demand!$C$2:$C$4481,P1136)</f>
        <v>1</v>
      </c>
      <c r="R1136" s="33">
        <f>IF(Q1136=1,SUMIFS(Demand!$E$2:$E$4481,Demand!$A$2:$A$4481,B1136,Demand!$B$2:$B$4481,O1136,Demand!$C$2:$C$4481,P1136),"")</f>
        <v>22</v>
      </c>
      <c r="S1136" s="33">
        <f>INDEX(Stores!$G$2:$G$21,MATCH(B1136,Stores!$A$2:$A$21,0))</f>
        <v>22</v>
      </c>
      <c r="T1136" s="34">
        <f>IF(R1136="","",R1136/S1136)</f>
        <v>1</v>
      </c>
      <c r="U1136" s="34">
        <f>IF(E1136=1,T1136,"")</f>
        <v>1</v>
      </c>
      <c r="V1136" s="34">
        <f>IF(AND(E1136=1,L1136=0),T1136,"")</f>
        <v>1</v>
      </c>
      <c r="W1136" s="33">
        <f>IF(U1136="","",IF(U1136&lt;=Breakdowns!$C$5,1,IF(U1136&lt;=Breakdowns!$C$6,2,IF(U1136&lt;=Breakdowns!$C$7,3,4))))</f>
        <v>2</v>
      </c>
      <c r="X1136" s="33">
        <f>IF(V1136="","",IF(V1136&lt;=Breakdowns!$D$5,1,IF(V1136&lt;=Breakdowns!$D$6,2,IF(V1136&lt;=Breakdowns!$D$7,3,4))))</f>
        <v>3</v>
      </c>
      <c r="Y1136" s="34">
        <f>INDEX(Stores!$F$2:$F$21,MATCH(B1136,Stores!$A$2:$A$21,0))</f>
        <v>4.99</v>
      </c>
      <c r="Z1136" s="33">
        <f>IF(Y1136&gt;Store_Summary!$M$2,1,0)</f>
        <v>1</v>
      </c>
      <c r="AA1136" s="33">
        <f>INDEX(Stores!$C$2:$C$21,MATCH(B1136,Stores!$A$2:$A$21,0))</f>
        <v>851</v>
      </c>
      <c r="AB1136" s="33">
        <f>IF(AA1136&lt;180,1,0)</f>
        <v>0</v>
      </c>
      <c r="AC1136" s="32" t="str">
        <f>IF(Orders!D1133="","",INDEX(Riders!$C$2:$C$81,MATCH(Orders!D1133,Riders!$A$2:$A$81,0)))</f>
        <v>Petrol scooter</v>
      </c>
      <c r="AD1136" s="33">
        <f>IF(Orders!D1133="","",INDEX(Riders!$D$2:$D$81,MATCH(Orders!D1133,Riders!$A$2:$A$81,0)))</f>
        <v>42</v>
      </c>
      <c r="AE1136" s="33">
        <f>IF(Orders!D1133="","",IF(INDEX(Riders!$B$2:$B$81,MATCH(Orders!D1133,Riders!$A$2:$A$81,0))=B1136,1,0))</f>
        <v>1</v>
      </c>
      <c r="AF1136" s="34">
        <f>IF(E1136=1,Orders!L1133,"")</f>
        <v>2.5</v>
      </c>
      <c r="AG1136" s="34">
        <f>IF(E1136=1,Orders!P1133,"")</f>
        <v>10.9</v>
      </c>
      <c r="AH1136" s="34">
        <f>IF(E1136=1,Orders!Q1133,"")</f>
        <v>9.8</v>
      </c>
      <c r="AI1136" s="34">
        <f>IF(E1136=1,Orders!M1133,"")</f>
        <v>3.5</v>
      </c>
      <c r="AJ1136" s="34">
        <f>IF(E1136=1,Orders!N1133,"")</f>
        <v>2.7</v>
      </c>
      <c r="AK1136" s="34">
        <f>IF(E1136=1,Orders!O1133,"")</f>
        <v>3.6</v>
      </c>
      <c r="AL1136" s="33">
        <f>IF(E1136=1,IF(ROUND(ABS(AI1136+AJ1136+AK1136-AH1136),6)&lt;=0.1,1,0),"")</f>
        <v>1</v>
      </c>
      <c r="AM1136" s="36">
        <f>IF(E1136=1,AI1136/AH1136,"")</f>
        <v>0.357142857142857</v>
      </c>
      <c r="AN1136" s="36">
        <f>IF(E1136=1,AJ1136/AH1136,"")</f>
        <v>0.275510204081633</v>
      </c>
      <c r="AO1136" s="36">
        <f>IF(E1136=1,AK1136/AH1136,"")</f>
        <v>0.36734693877551</v>
      </c>
      <c r="AP1136" s="34">
        <f>IF(E1136=1,Orders!Y1133,"")</f>
        <v>0.44</v>
      </c>
      <c r="AQ1136" s="33">
        <f>IF(Orders!X1133,1,0)</f>
        <v>0</v>
      </c>
      <c r="AR1136" s="34" t="str">
        <f>IF(AND(E1136=1,L1136=1),AJ1136,"")</f>
        <v/>
      </c>
      <c r="AS1136" s="34">
        <f>IF(AND(E1136=1,L1136=0),AJ1136,"")</f>
        <v>2.7</v>
      </c>
      <c r="AT1136" s="34" t="str">
        <f>IF(AND(E1136=1,L1136=1),AI1136,"")</f>
        <v/>
      </c>
      <c r="AU1136" s="34">
        <f>IF(AND(E1136=1,L1136=0),AI1136,"")</f>
        <v>3.5</v>
      </c>
      <c r="AV1136" s="34" t="str">
        <f>IF(AND(E1136=1,L1136=1),AG1136,"")</f>
        <v/>
      </c>
      <c r="AW1136" s="34">
        <f>IF(AND(E1136=1,L1136=0),AG1136,"")</f>
        <v>10.9</v>
      </c>
      <c r="AX1136" s="34" t="str">
        <f>IF(AND(E1136=1,L1136=1),AH1136,"")</f>
        <v/>
      </c>
      <c r="AY1136" s="34">
        <f>IF(AND(E1136=1,L1136=0),AH1136,"")</f>
        <v>9.8</v>
      </c>
      <c r="AZ1136" s="34" t="str">
        <f>IF(G1136=1,F1136,"")</f>
        <v/>
      </c>
      <c r="BA1136" s="34" t="str">
        <f>IF(AND(G1136=1,L1136=1),F1136,"")</f>
        <v/>
      </c>
      <c r="BB1136" s="34" t="str">
        <f>IF(AND(G1136=1,L1136=0),F1136,"")</f>
        <v/>
      </c>
      <c r="BC1136" s="33">
        <f>IF(E1136=1,IF(Orders!R1133&gt;3,1,0),"")</f>
        <v>0</v>
      </c>
      <c r="BD1136" s="33">
        <f>IF(E1136=1,IF(Orders!R1133&gt;7,1,0),"")</f>
        <v>0</v>
      </c>
      <c r="BE1136" s="32" t="str">
        <f>IF(E1136=1,IF(Orders!L1133&lt;=1.5,"Up to 1.5 km",IF(Orders!L1133&lt;=3,"1.5–3 km","Over 3 km")),"")</f>
        <v>1.5–3 km</v>
      </c>
      <c r="BF1136" s="33">
        <f>IF(E1136=1,IF(ABS((Orders!G1133-Orders!F1133)*1440-Orders!R1133)&lt;0.06,1,0),"")</f>
        <v>1</v>
      </c>
      <c r="BG1136" s="33">
        <f>IF(ABS((Orders!F1133-Orders!E1133)*1440-Orders!P1133)&lt;0.06,1,0)</f>
        <v>1</v>
      </c>
      <c r="BH1136" s="33">
        <f>IF(E1136=1,IF(IF(Orders!S1133,1,0)=1-G1136,1,0),"")</f>
        <v>1</v>
      </c>
      <c r="BI1136" s="32" t="str">
        <f>INDEX(Stores!$B$2:$B$21,MATCH(B1136,Stores!$A$2:$A$21,0))</f>
        <v>Pune</v>
      </c>
    </row>
    <row r="1137">
      <c r="A1137" s="32" t="str">
        <f>Orders!A1134</f>
        <v>O01133</v>
      </c>
      <c r="B1137" s="32" t="str">
        <f>Orders!C1134</f>
        <v>S018</v>
      </c>
      <c r="C1137" s="32" t="str">
        <f>Orders!B1134</f>
        <v>C0149</v>
      </c>
      <c r="D1137" s="32" t="str">
        <f>Orders!H1134</f>
        <v>Delivered</v>
      </c>
      <c r="E1137" s="33">
        <f>IF(Orders!H1134="Delivered",1,0)</f>
        <v>1</v>
      </c>
      <c r="F1137" s="34">
        <f>IF(E1137=1,Orders!R1134,"")</f>
        <v>-0.5</v>
      </c>
      <c r="G1137" s="33">
        <f>IF(E1137=1,IF(Orders!R1134&gt;0,1,0),"")</f>
        <v>0</v>
      </c>
      <c r="H1137" s="33">
        <f>IF(E1137=1,IF(Orders!R1134&gt;5,1,0),"")</f>
        <v>0</v>
      </c>
      <c r="I1137" s="32" t="str">
        <f>IF(E1137=1,"",IF(OR(Orders!T1134="Rider unavailable",Orders!T1134="Item unavailable"),"Company-caused","Unresolved"))</f>
        <v/>
      </c>
      <c r="J1137" s="33">
        <f>IF(OR(E1137=1,I1137="Company-caused"),1,0)</f>
        <v>1</v>
      </c>
      <c r="K1137" s="32" t="str">
        <f>IF(E1137=0,IF(I1137="Company-caused",IF(Orders!T1134="Rider unavailable","C1 Rider unavailable","C2 Item unavailable"),"Outside root: unresolved"),IF(G1137=0,"A On time",IF(H1137=1,IF(L1137=1,"B2a Severe, peak","B2b Severe, off-peak"),IF(L1137=1,"B1a Slight, peak","B1b Slight, off-peak"))))</f>
        <v>A On time</v>
      </c>
      <c r="L1137" s="33">
        <f>IF(AND(Orders!U1134&gt;=19,Orders!U1134&lt;22),1,0)</f>
        <v>0</v>
      </c>
      <c r="M1137" s="33">
        <f>IF(L1137=IF(Orders!V1134,1,0),1,0)</f>
        <v>1</v>
      </c>
      <c r="N1137" s="32" t="str">
        <f>IF(Orders!W1134="","None",Orders!W1134)</f>
        <v>None</v>
      </c>
      <c r="O1137" s="35">
        <f>INT(Orders!E1134)</f>
        <v>46266.0</v>
      </c>
      <c r="P1137" s="33">
        <f>Orders!U1134</f>
        <v>12</v>
      </c>
      <c r="Q1137" s="33">
        <f>COUNTIFS(Demand!$A$2:$A$4481,B1137,Demand!$B$2:$B$4481,O1137,Demand!$C$2:$C$4481,P1137)</f>
        <v>1</v>
      </c>
      <c r="R1137" s="33">
        <f>IF(Q1137=1,SUMIFS(Demand!$E$2:$E$4481,Demand!$A$2:$A$4481,B1137,Demand!$B$2:$B$4481,O1137,Demand!$C$2:$C$4481,P1137),"")</f>
        <v>18</v>
      </c>
      <c r="S1137" s="33">
        <f>INDEX(Stores!$G$2:$G$21,MATCH(B1137,Stores!$A$2:$A$21,0))</f>
        <v>20</v>
      </c>
      <c r="T1137" s="34">
        <f>IF(R1137="","",R1137/S1137)</f>
        <v>0.9</v>
      </c>
      <c r="U1137" s="34">
        <f>IF(E1137=1,T1137,"")</f>
        <v>0.9</v>
      </c>
      <c r="V1137" s="34">
        <f>IF(AND(E1137=1,L1137=0),T1137,"")</f>
        <v>0.9</v>
      </c>
      <c r="W1137" s="33">
        <f>IF(U1137="","",IF(U1137&lt;=Breakdowns!$C$5,1,IF(U1137&lt;=Breakdowns!$C$6,2,IF(U1137&lt;=Breakdowns!$C$7,3,4))))</f>
        <v>2</v>
      </c>
      <c r="X1137" s="33">
        <f>IF(V1137="","",IF(V1137&lt;=Breakdowns!$D$5,1,IF(V1137&lt;=Breakdowns!$D$6,2,IF(V1137&lt;=Breakdowns!$D$7,3,4))))</f>
        <v>2</v>
      </c>
      <c r="Y1137" s="34">
        <f>INDEX(Stores!$F$2:$F$21,MATCH(B1137,Stores!$A$2:$A$21,0))</f>
        <v>5.31</v>
      </c>
      <c r="Z1137" s="33">
        <f>IF(Y1137&gt;Store_Summary!$M$2,1,0)</f>
        <v>1</v>
      </c>
      <c r="AA1137" s="33">
        <f>INDEX(Stores!$C$2:$C$21,MATCH(B1137,Stores!$A$2:$A$21,0))</f>
        <v>214</v>
      </c>
      <c r="AB1137" s="33">
        <f>IF(AA1137&lt;180,1,0)</f>
        <v>0</v>
      </c>
      <c r="AC1137" s="32" t="str">
        <f>IF(Orders!D1134="","",INDEX(Riders!$C$2:$C$81,MATCH(Orders!D1134,Riders!$A$2:$A$81,0)))</f>
        <v>Petrol scooter</v>
      </c>
      <c r="AD1137" s="33">
        <f>IF(Orders!D1134="","",INDEX(Riders!$D$2:$D$81,MATCH(Orders!D1134,Riders!$A$2:$A$81,0)))</f>
        <v>4</v>
      </c>
      <c r="AE1137" s="33">
        <f>IF(Orders!D1134="","",IF(INDEX(Riders!$B$2:$B$81,MATCH(Orders!D1134,Riders!$A$2:$A$81,0))=B1137,1,0))</f>
        <v>0</v>
      </c>
      <c r="AF1137" s="34">
        <f>IF(E1137=1,Orders!L1134,"")</f>
        <v>1.86</v>
      </c>
      <c r="AG1137" s="34">
        <f>IF(E1137=1,Orders!P1134,"")</f>
        <v>12.1</v>
      </c>
      <c r="AH1137" s="34">
        <f>IF(E1137=1,Orders!Q1134,"")</f>
        <v>11.6</v>
      </c>
      <c r="AI1137" s="34">
        <f>IF(E1137=1,Orders!M1134,"")</f>
        <v>3.4</v>
      </c>
      <c r="AJ1137" s="34">
        <f>IF(E1137=1,Orders!N1134,"")</f>
        <v>5.5</v>
      </c>
      <c r="AK1137" s="34">
        <f>IF(E1137=1,Orders!O1134,"")</f>
        <v>2.7</v>
      </c>
      <c r="AL1137" s="33">
        <f>IF(E1137=1,IF(ROUND(ABS(AI1137+AJ1137+AK1137-AH1137),6)&lt;=0.1,1,0),"")</f>
        <v>1</v>
      </c>
      <c r="AM1137" s="36">
        <f>IF(E1137=1,AI1137/AH1137,"")</f>
        <v>0.293103448275862</v>
      </c>
      <c r="AN1137" s="36">
        <f>IF(E1137=1,AJ1137/AH1137,"")</f>
        <v>0.474137931034483</v>
      </c>
      <c r="AO1137" s="36">
        <f>IF(E1137=1,AK1137/AH1137,"")</f>
        <v>0.232758620689655</v>
      </c>
      <c r="AP1137" s="34">
        <f>IF(E1137=1,Orders!Y1134,"")</f>
        <v>0.33</v>
      </c>
      <c r="AQ1137" s="33">
        <f>IF(Orders!X1134,1,0)</f>
        <v>0</v>
      </c>
      <c r="AR1137" s="34" t="str">
        <f>IF(AND(E1137=1,L1137=1),AJ1137,"")</f>
        <v/>
      </c>
      <c r="AS1137" s="34">
        <f>IF(AND(E1137=1,L1137=0),AJ1137,"")</f>
        <v>5.5</v>
      </c>
      <c r="AT1137" s="34" t="str">
        <f>IF(AND(E1137=1,L1137=1),AI1137,"")</f>
        <v/>
      </c>
      <c r="AU1137" s="34">
        <f>IF(AND(E1137=1,L1137=0),AI1137,"")</f>
        <v>3.4</v>
      </c>
      <c r="AV1137" s="34" t="str">
        <f>IF(AND(E1137=1,L1137=1),AG1137,"")</f>
        <v/>
      </c>
      <c r="AW1137" s="34">
        <f>IF(AND(E1137=1,L1137=0),AG1137,"")</f>
        <v>12.1</v>
      </c>
      <c r="AX1137" s="34" t="str">
        <f>IF(AND(E1137=1,L1137=1),AH1137,"")</f>
        <v/>
      </c>
      <c r="AY1137" s="34">
        <f>IF(AND(E1137=1,L1137=0),AH1137,"")</f>
        <v>11.6</v>
      </c>
      <c r="AZ1137" s="34" t="str">
        <f>IF(G1137=1,F1137,"")</f>
        <v/>
      </c>
      <c r="BA1137" s="34" t="str">
        <f>IF(AND(G1137=1,L1137=1),F1137,"")</f>
        <v/>
      </c>
      <c r="BB1137" s="34" t="str">
        <f>IF(AND(G1137=1,L1137=0),F1137,"")</f>
        <v/>
      </c>
      <c r="BC1137" s="33">
        <f>IF(E1137=1,IF(Orders!R1134&gt;3,1,0),"")</f>
        <v>0</v>
      </c>
      <c r="BD1137" s="33">
        <f>IF(E1137=1,IF(Orders!R1134&gt;7,1,0),"")</f>
        <v>0</v>
      </c>
      <c r="BE1137" s="32" t="str">
        <f>IF(E1137=1,IF(Orders!L1134&lt;=1.5,"Up to 1.5 km",IF(Orders!L1134&lt;=3,"1.5–3 km","Over 3 km")),"")</f>
        <v>1.5–3 km</v>
      </c>
      <c r="BF1137" s="33">
        <f>IF(E1137=1,IF(ABS((Orders!G1134-Orders!F1134)*1440-Orders!R1134)&lt;0.06,1,0),"")</f>
        <v>1</v>
      </c>
      <c r="BG1137" s="33">
        <f>IF(ABS((Orders!F1134-Orders!E1134)*1440-Orders!P1134)&lt;0.06,1,0)</f>
        <v>1</v>
      </c>
      <c r="BH1137" s="33">
        <f>IF(E1137=1,IF(IF(Orders!S1134,1,0)=1-G1137,1,0),"")</f>
        <v>1</v>
      </c>
      <c r="BI1137" s="32" t="str">
        <f>INDEX(Stores!$B$2:$B$21,MATCH(B1137,Stores!$A$2:$A$21,0))</f>
        <v>Mumbai</v>
      </c>
    </row>
    <row r="1138">
      <c r="A1138" s="32" t="str">
        <f>Orders!A1135</f>
        <v>O01134</v>
      </c>
      <c r="B1138" s="32" t="str">
        <f>Orders!C1135</f>
        <v>S001</v>
      </c>
      <c r="C1138" s="32" t="str">
        <f>Orders!B1135</f>
        <v>C0160</v>
      </c>
      <c r="D1138" s="32" t="str">
        <f>Orders!H1135</f>
        <v>Delivered</v>
      </c>
      <c r="E1138" s="33">
        <f>IF(Orders!H1135="Delivered",1,0)</f>
        <v>1</v>
      </c>
      <c r="F1138" s="34">
        <f>IF(E1138=1,Orders!R1135,"")</f>
        <v>-1</v>
      </c>
      <c r="G1138" s="33">
        <f>IF(E1138=1,IF(Orders!R1135&gt;0,1,0),"")</f>
        <v>0</v>
      </c>
      <c r="H1138" s="33">
        <f>IF(E1138=1,IF(Orders!R1135&gt;5,1,0),"")</f>
        <v>0</v>
      </c>
      <c r="I1138" s="32" t="str">
        <f>IF(E1138=1,"",IF(OR(Orders!T1135="Rider unavailable",Orders!T1135="Item unavailable"),"Company-caused","Unresolved"))</f>
        <v/>
      </c>
      <c r="J1138" s="33">
        <f>IF(OR(E1138=1,I1138="Company-caused"),1,0)</f>
        <v>1</v>
      </c>
      <c r="K1138" s="32" t="str">
        <f>IF(E1138=0,IF(I1138="Company-caused",IF(Orders!T1135="Rider unavailable","C1 Rider unavailable","C2 Item unavailable"),"Outside root: unresolved"),IF(G1138=0,"A On time",IF(H1138=1,IF(L1138=1,"B2a Severe, peak","B2b Severe, off-peak"),IF(L1138=1,"B1a Slight, peak","B1b Slight, off-peak"))))</f>
        <v>A On time</v>
      </c>
      <c r="L1138" s="33">
        <f>IF(AND(Orders!U1135&gt;=19,Orders!U1135&lt;22),1,0)</f>
        <v>0</v>
      </c>
      <c r="M1138" s="33">
        <f>IF(L1138=IF(Orders!V1135,1,0),1,0)</f>
        <v>1</v>
      </c>
      <c r="N1138" s="32" t="str">
        <f>IF(Orders!W1135="","None",Orders!W1135)</f>
        <v>None</v>
      </c>
      <c r="O1138" s="35">
        <f>INT(Orders!E1135)</f>
        <v>46277.0</v>
      </c>
      <c r="P1138" s="33">
        <f>Orders!U1135</f>
        <v>10</v>
      </c>
      <c r="Q1138" s="33">
        <f>COUNTIFS(Demand!$A$2:$A$4481,B1138,Demand!$B$2:$B$4481,O1138,Demand!$C$2:$C$4481,P1138)</f>
        <v>1</v>
      </c>
      <c r="R1138" s="33">
        <f>IF(Q1138=1,SUMIFS(Demand!$E$2:$E$4481,Demand!$A$2:$A$4481,B1138,Demand!$B$2:$B$4481,O1138,Demand!$C$2:$C$4481,P1138),"")</f>
        <v>17</v>
      </c>
      <c r="S1138" s="33">
        <f>INDEX(Stores!$G$2:$G$21,MATCH(B1138,Stores!$A$2:$A$21,0))</f>
        <v>16</v>
      </c>
      <c r="T1138" s="34">
        <f>IF(R1138="","",R1138/S1138)</f>
        <v>1.0625</v>
      </c>
      <c r="U1138" s="34">
        <f>IF(E1138=1,T1138,"")</f>
        <v>1.0625</v>
      </c>
      <c r="V1138" s="34">
        <f>IF(AND(E1138=1,L1138=0),T1138,"")</f>
        <v>1.0625</v>
      </c>
      <c r="W1138" s="33">
        <f>IF(U1138="","",IF(U1138&lt;=Breakdowns!$C$5,1,IF(U1138&lt;=Breakdowns!$C$6,2,IF(U1138&lt;=Breakdowns!$C$7,3,4))))</f>
        <v>3</v>
      </c>
      <c r="X1138" s="33">
        <f>IF(V1138="","",IF(V1138&lt;=Breakdowns!$D$5,1,IF(V1138&lt;=Breakdowns!$D$6,2,IF(V1138&lt;=Breakdowns!$D$7,3,4))))</f>
        <v>3</v>
      </c>
      <c r="Y1138" s="34">
        <f>INDEX(Stores!$F$2:$F$21,MATCH(B1138,Stores!$A$2:$A$21,0))</f>
        <v>4.59</v>
      </c>
      <c r="Z1138" s="33">
        <f>IF(Y1138&gt;Store_Summary!$M$2,1,0)</f>
        <v>0</v>
      </c>
      <c r="AA1138" s="33">
        <f>INDEX(Stores!$C$2:$C$21,MATCH(B1138,Stores!$A$2:$A$21,0))</f>
        <v>362</v>
      </c>
      <c r="AB1138" s="33">
        <f>IF(AA1138&lt;180,1,0)</f>
        <v>0</v>
      </c>
      <c r="AC1138" s="32" t="str">
        <f>IF(Orders!D1135="","",INDEX(Riders!$C$2:$C$81,MATCH(Orders!D1135,Riders!$A$2:$A$81,0)))</f>
        <v>EV scooter</v>
      </c>
      <c r="AD1138" s="33">
        <f>IF(Orders!D1135="","",INDEX(Riders!$D$2:$D$81,MATCH(Orders!D1135,Riders!$A$2:$A$81,0)))</f>
        <v>1</v>
      </c>
      <c r="AE1138" s="33">
        <f>IF(Orders!D1135="","",IF(INDEX(Riders!$B$2:$B$81,MATCH(Orders!D1135,Riders!$A$2:$A$81,0))=B1138,1,0))</f>
        <v>0</v>
      </c>
      <c r="AF1138" s="34">
        <f>IF(E1138=1,Orders!L1135,"")</f>
        <v>1.65</v>
      </c>
      <c r="AG1138" s="34">
        <f>IF(E1138=1,Orders!P1135,"")</f>
        <v>12.2</v>
      </c>
      <c r="AH1138" s="34">
        <f>IF(E1138=1,Orders!Q1135,"")</f>
        <v>11.2</v>
      </c>
      <c r="AI1138" s="34">
        <f>IF(E1138=1,Orders!M1135,"")</f>
        <v>4.2</v>
      </c>
      <c r="AJ1138" s="34">
        <f>IF(E1138=1,Orders!N1135,"")</f>
        <v>2.6</v>
      </c>
      <c r="AK1138" s="34">
        <f>IF(E1138=1,Orders!O1135,"")</f>
        <v>4.4</v>
      </c>
      <c r="AL1138" s="33">
        <f>IF(E1138=1,IF(ROUND(ABS(AI1138+AJ1138+AK1138-AH1138),6)&lt;=0.1,1,0),"")</f>
        <v>1</v>
      </c>
      <c r="AM1138" s="36">
        <f>IF(E1138=1,AI1138/AH1138,"")</f>
        <v>0.375</v>
      </c>
      <c r="AN1138" s="36">
        <f>IF(E1138=1,AJ1138/AH1138,"")</f>
        <v>0.232142857142857</v>
      </c>
      <c r="AO1138" s="36">
        <f>IF(E1138=1,AK1138/AH1138,"")</f>
        <v>0.392857142857143</v>
      </c>
      <c r="AP1138" s="34">
        <f>IF(E1138=1,Orders!Y1135,"")</f>
        <v>0.24</v>
      </c>
      <c r="AQ1138" s="33">
        <f>IF(Orders!X1135,1,0)</f>
        <v>0</v>
      </c>
      <c r="AR1138" s="34" t="str">
        <f>IF(AND(E1138=1,L1138=1),AJ1138,"")</f>
        <v/>
      </c>
      <c r="AS1138" s="34">
        <f>IF(AND(E1138=1,L1138=0),AJ1138,"")</f>
        <v>2.6</v>
      </c>
      <c r="AT1138" s="34" t="str">
        <f>IF(AND(E1138=1,L1138=1),AI1138,"")</f>
        <v/>
      </c>
      <c r="AU1138" s="34">
        <f>IF(AND(E1138=1,L1138=0),AI1138,"")</f>
        <v>4.2</v>
      </c>
      <c r="AV1138" s="34" t="str">
        <f>IF(AND(E1138=1,L1138=1),AG1138,"")</f>
        <v/>
      </c>
      <c r="AW1138" s="34">
        <f>IF(AND(E1138=1,L1138=0),AG1138,"")</f>
        <v>12.2</v>
      </c>
      <c r="AX1138" s="34" t="str">
        <f>IF(AND(E1138=1,L1138=1),AH1138,"")</f>
        <v/>
      </c>
      <c r="AY1138" s="34">
        <f>IF(AND(E1138=1,L1138=0),AH1138,"")</f>
        <v>11.2</v>
      </c>
      <c r="AZ1138" s="34" t="str">
        <f>IF(G1138=1,F1138,"")</f>
        <v/>
      </c>
      <c r="BA1138" s="34" t="str">
        <f>IF(AND(G1138=1,L1138=1),F1138,"")</f>
        <v/>
      </c>
      <c r="BB1138" s="34" t="str">
        <f>IF(AND(G1138=1,L1138=0),F1138,"")</f>
        <v/>
      </c>
      <c r="BC1138" s="33">
        <f>IF(E1138=1,IF(Orders!R1135&gt;3,1,0),"")</f>
        <v>0</v>
      </c>
      <c r="BD1138" s="33">
        <f>IF(E1138=1,IF(Orders!R1135&gt;7,1,0),"")</f>
        <v>0</v>
      </c>
      <c r="BE1138" s="32" t="str">
        <f>IF(E1138=1,IF(Orders!L1135&lt;=1.5,"Up to 1.5 km",IF(Orders!L1135&lt;=3,"1.5–3 km","Over 3 km")),"")</f>
        <v>1.5–3 km</v>
      </c>
      <c r="BF1138" s="33">
        <f>IF(E1138=1,IF(ABS((Orders!G1135-Orders!F1135)*1440-Orders!R1135)&lt;0.06,1,0),"")</f>
        <v>1</v>
      </c>
      <c r="BG1138" s="33">
        <f>IF(ABS((Orders!F1135-Orders!E1135)*1440-Orders!P1135)&lt;0.06,1,0)</f>
        <v>1</v>
      </c>
      <c r="BH1138" s="33">
        <f>IF(E1138=1,IF(IF(Orders!S1135,1,0)=1-G1138,1,0),"")</f>
        <v>1</v>
      </c>
      <c r="BI1138" s="32" t="str">
        <f>INDEX(Stores!$B$2:$B$21,MATCH(B1138,Stores!$A$2:$A$21,0))</f>
        <v>Bengaluru</v>
      </c>
    </row>
    <row r="1139">
      <c r="A1139" s="32" t="str">
        <f>Orders!A1136</f>
        <v>O01135</v>
      </c>
      <c r="B1139" s="32" t="str">
        <f>Orders!C1136</f>
        <v>S015</v>
      </c>
      <c r="C1139" s="32" t="str">
        <f>Orders!B1136</f>
        <v>C0015</v>
      </c>
      <c r="D1139" s="32" t="str">
        <f>Orders!H1136</f>
        <v>Cancelled</v>
      </c>
      <c r="E1139" s="33">
        <f>IF(Orders!H1136="Delivered",1,0)</f>
        <v>0</v>
      </c>
      <c r="F1139" s="34" t="str">
        <f>IF(E1139=1,Orders!R1136,"")</f>
        <v/>
      </c>
      <c r="G1139" s="33" t="str">
        <f>IF(E1139=1,IF(Orders!R1136&gt;0,1,0),"")</f>
        <v/>
      </c>
      <c r="H1139" s="33" t="str">
        <f>IF(E1139=1,IF(Orders!R1136&gt;5,1,0),"")</f>
        <v/>
      </c>
      <c r="I1139" s="32" t="str">
        <f>IF(E1139=1,"",IF(OR(Orders!T1136="Rider unavailable",Orders!T1136="Item unavailable"),"Company-caused","Unresolved"))</f>
        <v>Unresolved</v>
      </c>
      <c r="J1139" s="33">
        <f>IF(OR(E1139=1,I1139="Company-caused"),1,0)</f>
        <v>0</v>
      </c>
      <c r="K1139" s="32" t="str">
        <f>IF(E1139=0,IF(I1139="Company-caused",IF(Orders!T1136="Rider unavailable","C1 Rider unavailable","C2 Item unavailable"),"Outside root: unresolved"),IF(G1139=0,"A On time",IF(H1139=1,IF(L1139=1,"B2a Severe, peak","B2b Severe, off-peak"),IF(L1139=1,"B1a Slight, peak","B1b Slight, off-peak"))))</f>
        <v>Outside root: unresolved</v>
      </c>
      <c r="L1139" s="33">
        <f>IF(AND(Orders!U1136&gt;=19,Orders!U1136&lt;22),1,0)</f>
        <v>0</v>
      </c>
      <c r="M1139" s="33">
        <f>IF(L1139=IF(Orders!V1136,1,0),1,0)</f>
        <v>1</v>
      </c>
      <c r="N1139" s="32" t="str">
        <f>IF(Orders!W1136="","None",Orders!W1136)</f>
        <v>None</v>
      </c>
      <c r="O1139" s="35">
        <f>INT(Orders!E1136)</f>
        <v>46272.0</v>
      </c>
      <c r="P1139" s="33">
        <f>Orders!U1136</f>
        <v>12</v>
      </c>
      <c r="Q1139" s="33">
        <f>COUNTIFS(Demand!$A$2:$A$4481,B1139,Demand!$B$2:$B$4481,O1139,Demand!$C$2:$C$4481,P1139)</f>
        <v>1</v>
      </c>
      <c r="R1139" s="33">
        <f>IF(Q1139=1,SUMIFS(Demand!$E$2:$E$4481,Demand!$A$2:$A$4481,B1139,Demand!$B$2:$B$4481,O1139,Demand!$C$2:$C$4481,P1139),"")</f>
        <v>22</v>
      </c>
      <c r="S1139" s="33">
        <f>INDEX(Stores!$G$2:$G$21,MATCH(B1139,Stores!$A$2:$A$21,0))</f>
        <v>23</v>
      </c>
      <c r="T1139" s="34">
        <f>IF(R1139="","",R1139/S1139)</f>
        <v>0.956521739130435</v>
      </c>
      <c r="U1139" s="34" t="str">
        <f>IF(E1139=1,T1139,"")</f>
        <v/>
      </c>
      <c r="V1139" s="34" t="str">
        <f>IF(AND(E1139=1,L1139=0),T1139,"")</f>
        <v/>
      </c>
      <c r="W1139" s="33" t="str">
        <f>IF(U1139="","",IF(U1139&lt;=Breakdowns!$C$5,1,IF(U1139&lt;=Breakdowns!$C$6,2,IF(U1139&lt;=Breakdowns!$C$7,3,4))))</f>
        <v/>
      </c>
      <c r="X1139" s="33" t="str">
        <f>IF(V1139="","",IF(V1139&lt;=Breakdowns!$D$5,1,IF(V1139&lt;=Breakdowns!$D$6,2,IF(V1139&lt;=Breakdowns!$D$7,3,4))))</f>
        <v/>
      </c>
      <c r="Y1139" s="34">
        <f>INDEX(Stores!$F$2:$F$21,MATCH(B1139,Stores!$A$2:$A$21,0))</f>
        <v>4.66</v>
      </c>
      <c r="Z1139" s="33">
        <f>IF(Y1139&gt;Store_Summary!$M$2,1,0)</f>
        <v>0</v>
      </c>
      <c r="AA1139" s="33">
        <f>INDEX(Stores!$C$2:$C$21,MATCH(B1139,Stores!$A$2:$A$21,0))</f>
        <v>204</v>
      </c>
      <c r="AB1139" s="33">
        <f>IF(AA1139&lt;180,1,0)</f>
        <v>0</v>
      </c>
      <c r="AC1139" s="32" t="str">
        <f>IF(Orders!D1136="","",INDEX(Riders!$C$2:$C$81,MATCH(Orders!D1136,Riders!$A$2:$A$81,0)))</f>
        <v/>
      </c>
      <c r="AD1139" s="33" t="str">
        <f>IF(Orders!D1136="","",INDEX(Riders!$D$2:$D$81,MATCH(Orders!D1136,Riders!$A$2:$A$81,0)))</f>
        <v/>
      </c>
      <c r="AE1139" s="33" t="str">
        <f>IF(Orders!D1136="","",IF(INDEX(Riders!$B$2:$B$81,MATCH(Orders!D1136,Riders!$A$2:$A$81,0))=B1139,1,0))</f>
        <v/>
      </c>
      <c r="AF1139" s="34" t="str">
        <f>IF(E1139=1,Orders!L1136,"")</f>
        <v/>
      </c>
      <c r="AG1139" s="34" t="str">
        <f>IF(E1139=1,Orders!P1136,"")</f>
        <v/>
      </c>
      <c r="AH1139" s="34" t="str">
        <f>IF(E1139=1,Orders!Q1136,"")</f>
        <v/>
      </c>
      <c r="AI1139" s="34" t="str">
        <f>IF(E1139=1,Orders!M1136,"")</f>
        <v/>
      </c>
      <c r="AJ1139" s="34" t="str">
        <f>IF(E1139=1,Orders!N1136,"")</f>
        <v/>
      </c>
      <c r="AK1139" s="34" t="str">
        <f>IF(E1139=1,Orders!O1136,"")</f>
        <v/>
      </c>
      <c r="AL1139" s="33" t="str">
        <f>IF(E1139=1,IF(ROUND(ABS(AI1139+AJ1139+AK1139-AH1139),6)&lt;=0.1,1,0),"")</f>
        <v/>
      </c>
      <c r="AM1139" s="36" t="str">
        <f>IF(E1139=1,AI1139/AH1139,"")</f>
        <v/>
      </c>
      <c r="AN1139" s="36" t="str">
        <f>IF(E1139=1,AJ1139/AH1139,"")</f>
        <v/>
      </c>
      <c r="AO1139" s="36" t="str">
        <f>IF(E1139=1,AK1139/AH1139,"")</f>
        <v/>
      </c>
      <c r="AP1139" s="34" t="str">
        <f>IF(E1139=1,Orders!Y1136,"")</f>
        <v/>
      </c>
      <c r="AQ1139" s="33">
        <f>IF(Orders!X1136,1,0)</f>
        <v>0</v>
      </c>
      <c r="AR1139" s="34" t="str">
        <f>IF(AND(E1139=1,L1139=1),AJ1139,"")</f>
        <v/>
      </c>
      <c r="AS1139" s="34" t="str">
        <f>IF(AND(E1139=1,L1139=0),AJ1139,"")</f>
        <v/>
      </c>
      <c r="AT1139" s="34" t="str">
        <f>IF(AND(E1139=1,L1139=1),AI1139,"")</f>
        <v/>
      </c>
      <c r="AU1139" s="34" t="str">
        <f>IF(AND(E1139=1,L1139=0),AI1139,"")</f>
        <v/>
      </c>
      <c r="AV1139" s="34" t="str">
        <f>IF(AND(E1139=1,L1139=1),AG1139,"")</f>
        <v/>
      </c>
      <c r="AW1139" s="34" t="str">
        <f>IF(AND(E1139=1,L1139=0),AG1139,"")</f>
        <v/>
      </c>
      <c r="AX1139" s="34" t="str">
        <f>IF(AND(E1139=1,L1139=1),AH1139,"")</f>
        <v/>
      </c>
      <c r="AY1139" s="34" t="str">
        <f>IF(AND(E1139=1,L1139=0),AH1139,"")</f>
        <v/>
      </c>
      <c r="AZ1139" s="34" t="str">
        <f>IF(G1139=1,F1139,"")</f>
        <v/>
      </c>
      <c r="BA1139" s="34" t="str">
        <f>IF(AND(G1139=1,L1139=1),F1139,"")</f>
        <v/>
      </c>
      <c r="BB1139" s="34" t="str">
        <f>IF(AND(G1139=1,L1139=0),F1139,"")</f>
        <v/>
      </c>
      <c r="BC1139" s="33" t="str">
        <f>IF(E1139=1,IF(Orders!R1136&gt;3,1,0),"")</f>
        <v/>
      </c>
      <c r="BD1139" s="33" t="str">
        <f>IF(E1139=1,IF(Orders!R1136&gt;7,1,0),"")</f>
        <v/>
      </c>
      <c r="BE1139" s="32" t="str">
        <f>IF(E1139=1,IF(Orders!L1136&lt;=1.5,"Up to 1.5 km",IF(Orders!L1136&lt;=3,"1.5–3 km","Over 3 km")),"")</f>
        <v/>
      </c>
      <c r="BF1139" s="33" t="str">
        <f>IF(E1139=1,IF(ABS((Orders!G1136-Orders!F1136)*1440-Orders!R1136)&lt;0.06,1,0),"")</f>
        <v/>
      </c>
      <c r="BG1139" s="33">
        <f>IF(ABS((Orders!F1136-Orders!E1136)*1440-Orders!P1136)&lt;0.06,1,0)</f>
        <v>1</v>
      </c>
      <c r="BH1139" s="33" t="str">
        <f>IF(E1139=1,IF(IF(Orders!S1136,1,0)=1-G1139,1,0),"")</f>
        <v/>
      </c>
      <c r="BI1139" s="32" t="str">
        <f>INDEX(Stores!$B$2:$B$21,MATCH(B1139,Stores!$A$2:$A$21,0))</f>
        <v>Delhi</v>
      </c>
    </row>
    <row r="1140">
      <c r="A1140" s="32" t="str">
        <f>Orders!A1137</f>
        <v>O01136</v>
      </c>
      <c r="B1140" s="32" t="str">
        <f>Orders!C1137</f>
        <v>S011</v>
      </c>
      <c r="C1140" s="32" t="str">
        <f>Orders!B1137</f>
        <v>C0151</v>
      </c>
      <c r="D1140" s="32" t="str">
        <f>Orders!H1137</f>
        <v>Delivered</v>
      </c>
      <c r="E1140" s="33">
        <f>IF(Orders!H1137="Delivered",1,0)</f>
        <v>1</v>
      </c>
      <c r="F1140" s="34">
        <f>IF(E1140=1,Orders!R1137,"")</f>
        <v>7.5</v>
      </c>
      <c r="G1140" s="33">
        <f>IF(E1140=1,IF(Orders!R1137&gt;0,1,0),"")</f>
        <v>1</v>
      </c>
      <c r="H1140" s="33">
        <f>IF(E1140=1,IF(Orders!R1137&gt;5,1,0),"")</f>
        <v>1</v>
      </c>
      <c r="I1140" s="32" t="str">
        <f>IF(E1140=1,"",IF(OR(Orders!T1137="Rider unavailable",Orders!T1137="Item unavailable"),"Company-caused","Unresolved"))</f>
        <v/>
      </c>
      <c r="J1140" s="33">
        <f>IF(OR(E1140=1,I1140="Company-caused"),1,0)</f>
        <v>1</v>
      </c>
      <c r="K1140" s="32" t="str">
        <f>IF(E1140=0,IF(I1140="Company-caused",IF(Orders!T1137="Rider unavailable","C1 Rider unavailable","C2 Item unavailable"),"Outside root: unresolved"),IF(G1140=0,"A On time",IF(H1140=1,IF(L1140=1,"B2a Severe, peak","B2b Severe, off-peak"),IF(L1140=1,"B1a Slight, peak","B1b Slight, off-peak"))))</f>
        <v>B2b Severe, off-peak</v>
      </c>
      <c r="L1140" s="33">
        <f>IF(AND(Orders!U1137&gt;=19,Orders!U1137&lt;22),1,0)</f>
        <v>0</v>
      </c>
      <c r="M1140" s="33">
        <f>IF(L1140=IF(Orders!V1137,1,0),1,0)</f>
        <v>1</v>
      </c>
      <c r="N1140" s="32" t="str">
        <f>IF(Orders!W1137="","None",Orders!W1137)</f>
        <v>None</v>
      </c>
      <c r="O1140" s="35">
        <f>INT(Orders!E1137)</f>
        <v>46274.0</v>
      </c>
      <c r="P1140" s="33">
        <f>Orders!U1137</f>
        <v>18</v>
      </c>
      <c r="Q1140" s="33">
        <f>COUNTIFS(Demand!$A$2:$A$4481,B1140,Demand!$B$2:$B$4481,O1140,Demand!$C$2:$C$4481,P1140)</f>
        <v>1</v>
      </c>
      <c r="R1140" s="33">
        <f>IF(Q1140=1,SUMIFS(Demand!$E$2:$E$4481,Demand!$A$2:$A$4481,B1140,Demand!$B$2:$B$4481,O1140,Demand!$C$2:$C$4481,P1140),"")</f>
        <v>38</v>
      </c>
      <c r="S1140" s="33">
        <f>INDEX(Stores!$G$2:$G$21,MATCH(B1140,Stores!$A$2:$A$21,0))</f>
        <v>31</v>
      </c>
      <c r="T1140" s="34">
        <f>IF(R1140="","",R1140/S1140)</f>
        <v>1.2258064516129</v>
      </c>
      <c r="U1140" s="34">
        <f>IF(E1140=1,T1140,"")</f>
        <v>1.2258064516129</v>
      </c>
      <c r="V1140" s="34">
        <f>IF(AND(E1140=1,L1140=0),T1140,"")</f>
        <v>1.2258064516129</v>
      </c>
      <c r="W1140" s="33">
        <f>IF(U1140="","",IF(U1140&lt;=Breakdowns!$C$5,1,IF(U1140&lt;=Breakdowns!$C$6,2,IF(U1140&lt;=Breakdowns!$C$7,3,4))))</f>
        <v>4</v>
      </c>
      <c r="X1140" s="33">
        <f>IF(V1140="","",IF(V1140&lt;=Breakdowns!$D$5,1,IF(V1140&lt;=Breakdowns!$D$6,2,IF(V1140&lt;=Breakdowns!$D$7,3,4))))</f>
        <v>4</v>
      </c>
      <c r="Y1140" s="34">
        <f>INDEX(Stores!$F$2:$F$21,MATCH(B1140,Stores!$A$2:$A$21,0))</f>
        <v>5.67</v>
      </c>
      <c r="Z1140" s="33">
        <f>IF(Y1140&gt;Store_Summary!$M$2,1,0)</f>
        <v>1</v>
      </c>
      <c r="AA1140" s="33">
        <f>INDEX(Stores!$C$2:$C$21,MATCH(B1140,Stores!$A$2:$A$21,0))</f>
        <v>732</v>
      </c>
      <c r="AB1140" s="33">
        <f>IF(AA1140&lt;180,1,0)</f>
        <v>0</v>
      </c>
      <c r="AC1140" s="32" t="str">
        <f>IF(Orders!D1137="","",INDEX(Riders!$C$2:$C$81,MATCH(Orders!D1137,Riders!$A$2:$A$81,0)))</f>
        <v>EV scooter</v>
      </c>
      <c r="AD1140" s="33">
        <f>IF(Orders!D1137="","",INDEX(Riders!$D$2:$D$81,MATCH(Orders!D1137,Riders!$A$2:$A$81,0)))</f>
        <v>1</v>
      </c>
      <c r="AE1140" s="33">
        <f>IF(Orders!D1137="","",IF(INDEX(Riders!$B$2:$B$81,MATCH(Orders!D1137,Riders!$A$2:$A$81,0))=B1140,1,0))</f>
        <v>0</v>
      </c>
      <c r="AF1140" s="34">
        <f>IF(E1140=1,Orders!L1137,"")</f>
        <v>3.3</v>
      </c>
      <c r="AG1140" s="34">
        <f>IF(E1140=1,Orders!P1137,"")</f>
        <v>11</v>
      </c>
      <c r="AH1140" s="34">
        <f>IF(E1140=1,Orders!Q1137,"")</f>
        <v>18.5</v>
      </c>
      <c r="AI1140" s="34">
        <f>IF(E1140=1,Orders!M1137,"")</f>
        <v>5.6</v>
      </c>
      <c r="AJ1140" s="34">
        <f>IF(E1140=1,Orders!N1137,"")</f>
        <v>3.7</v>
      </c>
      <c r="AK1140" s="34">
        <f>IF(E1140=1,Orders!O1137,"")</f>
        <v>9.3</v>
      </c>
      <c r="AL1140" s="33">
        <f>IF(E1140=1,IF(ROUND(ABS(AI1140+AJ1140+AK1140-AH1140),6)&lt;=0.1,1,0),"")</f>
        <v>1</v>
      </c>
      <c r="AM1140" s="36">
        <f>IF(E1140=1,AI1140/AH1140,"")</f>
        <v>0.302702702702703</v>
      </c>
      <c r="AN1140" s="36">
        <f>IF(E1140=1,AJ1140/AH1140,"")</f>
        <v>0.2</v>
      </c>
      <c r="AO1140" s="36">
        <f>IF(E1140=1,AK1140/AH1140,"")</f>
        <v>0.502702702702703</v>
      </c>
      <c r="AP1140" s="34">
        <f>IF(E1140=1,Orders!Y1137,"")</f>
        <v>0.53</v>
      </c>
      <c r="AQ1140" s="33">
        <f>IF(Orders!X1137,1,0)</f>
        <v>0</v>
      </c>
      <c r="AR1140" s="34" t="str">
        <f>IF(AND(E1140=1,L1140=1),AJ1140,"")</f>
        <v/>
      </c>
      <c r="AS1140" s="34">
        <f>IF(AND(E1140=1,L1140=0),AJ1140,"")</f>
        <v>3.7</v>
      </c>
      <c r="AT1140" s="34" t="str">
        <f>IF(AND(E1140=1,L1140=1),AI1140,"")</f>
        <v/>
      </c>
      <c r="AU1140" s="34">
        <f>IF(AND(E1140=1,L1140=0),AI1140,"")</f>
        <v>5.6</v>
      </c>
      <c r="AV1140" s="34" t="str">
        <f>IF(AND(E1140=1,L1140=1),AG1140,"")</f>
        <v/>
      </c>
      <c r="AW1140" s="34">
        <f>IF(AND(E1140=1,L1140=0),AG1140,"")</f>
        <v>11</v>
      </c>
      <c r="AX1140" s="34" t="str">
        <f>IF(AND(E1140=1,L1140=1),AH1140,"")</f>
        <v/>
      </c>
      <c r="AY1140" s="34">
        <f>IF(AND(E1140=1,L1140=0),AH1140,"")</f>
        <v>18.5</v>
      </c>
      <c r="AZ1140" s="34">
        <f>IF(G1140=1,F1140,"")</f>
        <v>7.5</v>
      </c>
      <c r="BA1140" s="34" t="str">
        <f>IF(AND(G1140=1,L1140=1),F1140,"")</f>
        <v/>
      </c>
      <c r="BB1140" s="34">
        <f>IF(AND(G1140=1,L1140=0),F1140,"")</f>
        <v>7.5</v>
      </c>
      <c r="BC1140" s="33">
        <f>IF(E1140=1,IF(Orders!R1137&gt;3,1,0),"")</f>
        <v>1</v>
      </c>
      <c r="BD1140" s="33">
        <f>IF(E1140=1,IF(Orders!R1137&gt;7,1,0),"")</f>
        <v>1</v>
      </c>
      <c r="BE1140" s="32" t="str">
        <f>IF(E1140=1,IF(Orders!L1137&lt;=1.5,"Up to 1.5 km",IF(Orders!L1137&lt;=3,"1.5–3 km","Over 3 km")),"")</f>
        <v>Over 3 km</v>
      </c>
      <c r="BF1140" s="33">
        <f>IF(E1140=1,IF(ABS((Orders!G1137-Orders!F1137)*1440-Orders!R1137)&lt;0.06,1,0),"")</f>
        <v>1</v>
      </c>
      <c r="BG1140" s="33">
        <f>IF(ABS((Orders!F1137-Orders!E1137)*1440-Orders!P1137)&lt;0.06,1,0)</f>
        <v>1</v>
      </c>
      <c r="BH1140" s="33">
        <f>IF(E1140=1,IF(IF(Orders!S1137,1,0)=1-G1140,1,0),"")</f>
        <v>1</v>
      </c>
      <c r="BI1140" s="32" t="str">
        <f>INDEX(Stores!$B$2:$B$21,MATCH(B1140,Stores!$A$2:$A$21,0))</f>
        <v>Bengaluru</v>
      </c>
    </row>
    <row r="1141">
      <c r="A1141" s="32" t="str">
        <f>Orders!A1138</f>
        <v>O01137</v>
      </c>
      <c r="B1141" s="32" t="str">
        <f>Orders!C1138</f>
        <v>S013</v>
      </c>
      <c r="C1141" s="32" t="str">
        <f>Orders!B1138</f>
        <v>C0228</v>
      </c>
      <c r="D1141" s="32" t="str">
        <f>Orders!H1138</f>
        <v>Delivered</v>
      </c>
      <c r="E1141" s="33">
        <f>IF(Orders!H1138="Delivered",1,0)</f>
        <v>1</v>
      </c>
      <c r="F1141" s="34">
        <f>IF(E1141=1,Orders!R1138,"")</f>
        <v>-0.4</v>
      </c>
      <c r="G1141" s="33">
        <f>IF(E1141=1,IF(Orders!R1138&gt;0,1,0),"")</f>
        <v>0</v>
      </c>
      <c r="H1141" s="33">
        <f>IF(E1141=1,IF(Orders!R1138&gt;5,1,0),"")</f>
        <v>0</v>
      </c>
      <c r="I1141" s="32" t="str">
        <f>IF(E1141=1,"",IF(OR(Orders!T1138="Rider unavailable",Orders!T1138="Item unavailable"),"Company-caused","Unresolved"))</f>
        <v/>
      </c>
      <c r="J1141" s="33">
        <f>IF(OR(E1141=1,I1141="Company-caused"),1,0)</f>
        <v>1</v>
      </c>
      <c r="K1141" s="32" t="str">
        <f>IF(E1141=0,IF(I1141="Company-caused",IF(Orders!T1138="Rider unavailable","C1 Rider unavailable","C2 Item unavailable"),"Outside root: unresolved"),IF(G1141=0,"A On time",IF(H1141=1,IF(L1141=1,"B2a Severe, peak","B2b Severe, off-peak"),IF(L1141=1,"B1a Slight, peak","B1b Slight, off-peak"))))</f>
        <v>A On time</v>
      </c>
      <c r="L1141" s="33">
        <f>IF(AND(Orders!U1138&gt;=19,Orders!U1138&lt;22),1,0)</f>
        <v>0</v>
      </c>
      <c r="M1141" s="33">
        <f>IF(L1141=IF(Orders!V1138,1,0),1,0)</f>
        <v>1</v>
      </c>
      <c r="N1141" s="32" t="str">
        <f>IF(Orders!W1138="","None",Orders!W1138)</f>
        <v>None</v>
      </c>
      <c r="O1141" s="35">
        <f>INT(Orders!E1138)</f>
        <v>46276.0</v>
      </c>
      <c r="P1141" s="33">
        <f>Orders!U1138</f>
        <v>8</v>
      </c>
      <c r="Q1141" s="33">
        <f>COUNTIFS(Demand!$A$2:$A$4481,B1141,Demand!$B$2:$B$4481,O1141,Demand!$C$2:$C$4481,P1141)</f>
        <v>1</v>
      </c>
      <c r="R1141" s="33">
        <f>IF(Q1141=1,SUMIFS(Demand!$E$2:$E$4481,Demand!$A$2:$A$4481,B1141,Demand!$B$2:$B$4481,O1141,Demand!$C$2:$C$4481,P1141),"")</f>
        <v>46</v>
      </c>
      <c r="S1141" s="33">
        <f>INDEX(Stores!$G$2:$G$21,MATCH(B1141,Stores!$A$2:$A$21,0))</f>
        <v>49</v>
      </c>
      <c r="T1141" s="34">
        <f>IF(R1141="","",R1141/S1141)</f>
        <v>0.938775510204082</v>
      </c>
      <c r="U1141" s="34">
        <f>IF(E1141=1,T1141,"")</f>
        <v>0.938775510204082</v>
      </c>
      <c r="V1141" s="34">
        <f>IF(AND(E1141=1,L1141=0),T1141,"")</f>
        <v>0.938775510204082</v>
      </c>
      <c r="W1141" s="33">
        <f>IF(U1141="","",IF(U1141&lt;=Breakdowns!$C$5,1,IF(U1141&lt;=Breakdowns!$C$6,2,IF(U1141&lt;=Breakdowns!$C$7,3,4))))</f>
        <v>2</v>
      </c>
      <c r="X1141" s="33">
        <f>IF(V1141="","",IF(V1141&lt;=Breakdowns!$D$5,1,IF(V1141&lt;=Breakdowns!$D$6,2,IF(V1141&lt;=Breakdowns!$D$7,3,4))))</f>
        <v>3</v>
      </c>
      <c r="Y1141" s="34">
        <f>INDEX(Stores!$F$2:$F$21,MATCH(B1141,Stores!$A$2:$A$21,0))</f>
        <v>5.82</v>
      </c>
      <c r="Z1141" s="33">
        <f>IF(Y1141&gt;Store_Summary!$M$2,1,0)</f>
        <v>1</v>
      </c>
      <c r="AA1141" s="33">
        <f>INDEX(Stores!$C$2:$C$21,MATCH(B1141,Stores!$A$2:$A$21,0))</f>
        <v>705</v>
      </c>
      <c r="AB1141" s="33">
        <f>IF(AA1141&lt;180,1,0)</f>
        <v>0</v>
      </c>
      <c r="AC1141" s="32" t="str">
        <f>IF(Orders!D1138="","",INDEX(Riders!$C$2:$C$81,MATCH(Orders!D1138,Riders!$A$2:$A$81,0)))</f>
        <v>EV scooter</v>
      </c>
      <c r="AD1141" s="33">
        <f>IF(Orders!D1138="","",INDEX(Riders!$D$2:$D$81,MATCH(Orders!D1138,Riders!$A$2:$A$81,0)))</f>
        <v>11</v>
      </c>
      <c r="AE1141" s="33">
        <f>IF(Orders!D1138="","",IF(INDEX(Riders!$B$2:$B$81,MATCH(Orders!D1138,Riders!$A$2:$A$81,0))=B1141,1,0))</f>
        <v>0</v>
      </c>
      <c r="AF1141" s="34">
        <f>IF(E1141=1,Orders!L1138,"")</f>
        <v>3</v>
      </c>
      <c r="AG1141" s="34">
        <f>IF(E1141=1,Orders!P1138,"")</f>
        <v>11.5</v>
      </c>
      <c r="AH1141" s="34">
        <f>IF(E1141=1,Orders!Q1138,"")</f>
        <v>11.1</v>
      </c>
      <c r="AI1141" s="34">
        <f>IF(E1141=1,Orders!M1138,"")</f>
        <v>4.3</v>
      </c>
      <c r="AJ1141" s="34">
        <f>IF(E1141=1,Orders!N1138,"")</f>
        <v>2.2</v>
      </c>
      <c r="AK1141" s="34">
        <f>IF(E1141=1,Orders!O1138,"")</f>
        <v>4.6</v>
      </c>
      <c r="AL1141" s="33">
        <f>IF(E1141=1,IF(ROUND(ABS(AI1141+AJ1141+AK1141-AH1141),6)&lt;=0.1,1,0),"")</f>
        <v>1</v>
      </c>
      <c r="AM1141" s="36">
        <f>IF(E1141=1,AI1141/AH1141,"")</f>
        <v>0.387387387387387</v>
      </c>
      <c r="AN1141" s="36">
        <f>IF(E1141=1,AJ1141/AH1141,"")</f>
        <v>0.198198198198198</v>
      </c>
      <c r="AO1141" s="36">
        <f>IF(E1141=1,AK1141/AH1141,"")</f>
        <v>0.414414414414414</v>
      </c>
      <c r="AP1141" s="34">
        <f>IF(E1141=1,Orders!Y1138,"")</f>
        <v>0.32</v>
      </c>
      <c r="AQ1141" s="33">
        <f>IF(Orders!X1138,1,0)</f>
        <v>0</v>
      </c>
      <c r="AR1141" s="34" t="str">
        <f>IF(AND(E1141=1,L1141=1),AJ1141,"")</f>
        <v/>
      </c>
      <c r="AS1141" s="34">
        <f>IF(AND(E1141=1,L1141=0),AJ1141,"")</f>
        <v>2.2</v>
      </c>
      <c r="AT1141" s="34" t="str">
        <f>IF(AND(E1141=1,L1141=1),AI1141,"")</f>
        <v/>
      </c>
      <c r="AU1141" s="34">
        <f>IF(AND(E1141=1,L1141=0),AI1141,"")</f>
        <v>4.3</v>
      </c>
      <c r="AV1141" s="34" t="str">
        <f>IF(AND(E1141=1,L1141=1),AG1141,"")</f>
        <v/>
      </c>
      <c r="AW1141" s="34">
        <f>IF(AND(E1141=1,L1141=0),AG1141,"")</f>
        <v>11.5</v>
      </c>
      <c r="AX1141" s="34" t="str">
        <f>IF(AND(E1141=1,L1141=1),AH1141,"")</f>
        <v/>
      </c>
      <c r="AY1141" s="34">
        <f>IF(AND(E1141=1,L1141=0),AH1141,"")</f>
        <v>11.1</v>
      </c>
      <c r="AZ1141" s="34" t="str">
        <f>IF(G1141=1,F1141,"")</f>
        <v/>
      </c>
      <c r="BA1141" s="34" t="str">
        <f>IF(AND(G1141=1,L1141=1),F1141,"")</f>
        <v/>
      </c>
      <c r="BB1141" s="34" t="str">
        <f>IF(AND(G1141=1,L1141=0),F1141,"")</f>
        <v/>
      </c>
      <c r="BC1141" s="33">
        <f>IF(E1141=1,IF(Orders!R1138&gt;3,1,0),"")</f>
        <v>0</v>
      </c>
      <c r="BD1141" s="33">
        <f>IF(E1141=1,IF(Orders!R1138&gt;7,1,0),"")</f>
        <v>0</v>
      </c>
      <c r="BE1141" s="32" t="str">
        <f>IF(E1141=1,IF(Orders!L1138&lt;=1.5,"Up to 1.5 km",IF(Orders!L1138&lt;=3,"1.5–3 km","Over 3 km")),"")</f>
        <v>1.5–3 km</v>
      </c>
      <c r="BF1141" s="33">
        <f>IF(E1141=1,IF(ABS((Orders!G1138-Orders!F1138)*1440-Orders!R1138)&lt;0.06,1,0),"")</f>
        <v>1</v>
      </c>
      <c r="BG1141" s="33">
        <f>IF(ABS((Orders!F1138-Orders!E1138)*1440-Orders!P1138)&lt;0.06,1,0)</f>
        <v>1</v>
      </c>
      <c r="BH1141" s="33">
        <f>IF(E1141=1,IF(IF(Orders!S1138,1,0)=1-G1141,1,0),"")</f>
        <v>1</v>
      </c>
      <c r="BI1141" s="32" t="str">
        <f>INDEX(Stores!$B$2:$B$21,MATCH(B1141,Stores!$A$2:$A$21,0))</f>
        <v>Mumbai</v>
      </c>
    </row>
    <row r="1142">
      <c r="A1142" s="32" t="str">
        <f>Orders!A1139</f>
        <v>O01138</v>
      </c>
      <c r="B1142" s="32" t="str">
        <f>Orders!C1139</f>
        <v>S005</v>
      </c>
      <c r="C1142" s="32" t="str">
        <f>Orders!B1139</f>
        <v>C0045</v>
      </c>
      <c r="D1142" s="32" t="str">
        <f>Orders!H1139</f>
        <v>Delivered</v>
      </c>
      <c r="E1142" s="33">
        <f>IF(Orders!H1139="Delivered",1,0)</f>
        <v>1</v>
      </c>
      <c r="F1142" s="34">
        <f>IF(E1142=1,Orders!R1139,"")</f>
        <v>8.9</v>
      </c>
      <c r="G1142" s="33">
        <f>IF(E1142=1,IF(Orders!R1139&gt;0,1,0),"")</f>
        <v>1</v>
      </c>
      <c r="H1142" s="33">
        <f>IF(E1142=1,IF(Orders!R1139&gt;5,1,0),"")</f>
        <v>1</v>
      </c>
      <c r="I1142" s="32" t="str">
        <f>IF(E1142=1,"",IF(OR(Orders!T1139="Rider unavailable",Orders!T1139="Item unavailable"),"Company-caused","Unresolved"))</f>
        <v/>
      </c>
      <c r="J1142" s="33">
        <f>IF(OR(E1142=1,I1142="Company-caused"),1,0)</f>
        <v>1</v>
      </c>
      <c r="K1142" s="32" t="str">
        <f>IF(E1142=0,IF(I1142="Company-caused",IF(Orders!T1139="Rider unavailable","C1 Rider unavailable","C2 Item unavailable"),"Outside root: unresolved"),IF(G1142=0,"A On time",IF(H1142=1,IF(L1142=1,"B2a Severe, peak","B2b Severe, off-peak"),IF(L1142=1,"B1a Slight, peak","B1b Slight, off-peak"))))</f>
        <v>B2b Severe, off-peak</v>
      </c>
      <c r="L1142" s="33">
        <f>IF(AND(Orders!U1139&gt;=19,Orders!U1139&lt;22),1,0)</f>
        <v>0</v>
      </c>
      <c r="M1142" s="33">
        <f>IF(L1142=IF(Orders!V1139,1,0),1,0)</f>
        <v>1</v>
      </c>
      <c r="N1142" s="32" t="str">
        <f>IF(Orders!W1139="","None",Orders!W1139)</f>
        <v>Heavy</v>
      </c>
      <c r="O1142" s="35">
        <f>INT(Orders!E1139)</f>
        <v>46270.0</v>
      </c>
      <c r="P1142" s="33">
        <f>Orders!U1139</f>
        <v>8</v>
      </c>
      <c r="Q1142" s="33">
        <f>COUNTIFS(Demand!$A$2:$A$4481,B1142,Demand!$B$2:$B$4481,O1142,Demand!$C$2:$C$4481,P1142)</f>
        <v>1</v>
      </c>
      <c r="R1142" s="33">
        <f>IF(Q1142=1,SUMIFS(Demand!$E$2:$E$4481,Demand!$A$2:$A$4481,B1142,Demand!$B$2:$B$4481,O1142,Demand!$C$2:$C$4481,P1142),"")</f>
        <v>11</v>
      </c>
      <c r="S1142" s="33">
        <f>INDEX(Stores!$G$2:$G$21,MATCH(B1142,Stores!$A$2:$A$21,0))</f>
        <v>14</v>
      </c>
      <c r="T1142" s="34">
        <f>IF(R1142="","",R1142/S1142)</f>
        <v>0.785714285714286</v>
      </c>
      <c r="U1142" s="34">
        <f>IF(E1142=1,T1142,"")</f>
        <v>0.785714285714286</v>
      </c>
      <c r="V1142" s="34">
        <f>IF(AND(E1142=1,L1142=0),T1142,"")</f>
        <v>0.785714285714286</v>
      </c>
      <c r="W1142" s="33">
        <f>IF(U1142="","",IF(U1142&lt;=Breakdowns!$C$5,1,IF(U1142&lt;=Breakdowns!$C$6,2,IF(U1142&lt;=Breakdowns!$C$7,3,4))))</f>
        <v>1</v>
      </c>
      <c r="X1142" s="33">
        <f>IF(V1142="","",IF(V1142&lt;=Breakdowns!$D$5,1,IF(V1142&lt;=Breakdowns!$D$6,2,IF(V1142&lt;=Breakdowns!$D$7,3,4))))</f>
        <v>2</v>
      </c>
      <c r="Y1142" s="34">
        <f>INDEX(Stores!$F$2:$F$21,MATCH(B1142,Stores!$A$2:$A$21,0))</f>
        <v>4.89</v>
      </c>
      <c r="Z1142" s="33">
        <f>IF(Y1142&gt;Store_Summary!$M$2,1,0)</f>
        <v>0</v>
      </c>
      <c r="AA1142" s="33">
        <f>INDEX(Stores!$C$2:$C$21,MATCH(B1142,Stores!$A$2:$A$21,0))</f>
        <v>138</v>
      </c>
      <c r="AB1142" s="33">
        <f>IF(AA1142&lt;180,1,0)</f>
        <v>1</v>
      </c>
      <c r="AC1142" s="32" t="str">
        <f>IF(Orders!D1139="","",INDEX(Riders!$C$2:$C$81,MATCH(Orders!D1139,Riders!$A$2:$A$81,0)))</f>
        <v>EV scooter</v>
      </c>
      <c r="AD1142" s="33">
        <f>IF(Orders!D1139="","",INDEX(Riders!$D$2:$D$81,MATCH(Orders!D1139,Riders!$A$2:$A$81,0)))</f>
        <v>45</v>
      </c>
      <c r="AE1142" s="33">
        <f>IF(Orders!D1139="","",IF(INDEX(Riders!$B$2:$B$81,MATCH(Orders!D1139,Riders!$A$2:$A$81,0))=B1142,1,0))</f>
        <v>0</v>
      </c>
      <c r="AF1142" s="34">
        <f>IF(E1142=1,Orders!L1139,"")</f>
        <v>0.64</v>
      </c>
      <c r="AG1142" s="34">
        <f>IF(E1142=1,Orders!P1139,"")</f>
        <v>9.3</v>
      </c>
      <c r="AH1142" s="34">
        <f>IF(E1142=1,Orders!Q1139,"")</f>
        <v>18.2</v>
      </c>
      <c r="AI1142" s="34">
        <f>IF(E1142=1,Orders!M1139,"")</f>
        <v>4.8</v>
      </c>
      <c r="AJ1142" s="34">
        <f>IF(E1142=1,Orders!N1139,"")</f>
        <v>8.4</v>
      </c>
      <c r="AK1142" s="34">
        <f>IF(E1142=1,Orders!O1139,"")</f>
        <v>5</v>
      </c>
      <c r="AL1142" s="33">
        <f>IF(E1142=1,IF(ROUND(ABS(AI1142+AJ1142+AK1142-AH1142),6)&lt;=0.1,1,0),"")</f>
        <v>1</v>
      </c>
      <c r="AM1142" s="36">
        <f>IF(E1142=1,AI1142/AH1142,"")</f>
        <v>0.263736263736264</v>
      </c>
      <c r="AN1142" s="36">
        <f>IF(E1142=1,AJ1142/AH1142,"")</f>
        <v>0.461538461538462</v>
      </c>
      <c r="AO1142" s="36">
        <f>IF(E1142=1,AK1142/AH1142,"")</f>
        <v>0.274725274725275</v>
      </c>
      <c r="AP1142" s="34">
        <f>IF(E1142=1,Orders!Y1139,"")</f>
        <v>0.64</v>
      </c>
      <c r="AQ1142" s="33">
        <f>IF(Orders!X1139,1,0)</f>
        <v>0</v>
      </c>
      <c r="AR1142" s="34" t="str">
        <f>IF(AND(E1142=1,L1142=1),AJ1142,"")</f>
        <v/>
      </c>
      <c r="AS1142" s="34">
        <f>IF(AND(E1142=1,L1142=0),AJ1142,"")</f>
        <v>8.4</v>
      </c>
      <c r="AT1142" s="34" t="str">
        <f>IF(AND(E1142=1,L1142=1),AI1142,"")</f>
        <v/>
      </c>
      <c r="AU1142" s="34">
        <f>IF(AND(E1142=1,L1142=0),AI1142,"")</f>
        <v>4.8</v>
      </c>
      <c r="AV1142" s="34" t="str">
        <f>IF(AND(E1142=1,L1142=1),AG1142,"")</f>
        <v/>
      </c>
      <c r="AW1142" s="34">
        <f>IF(AND(E1142=1,L1142=0),AG1142,"")</f>
        <v>9.3</v>
      </c>
      <c r="AX1142" s="34" t="str">
        <f>IF(AND(E1142=1,L1142=1),AH1142,"")</f>
        <v/>
      </c>
      <c r="AY1142" s="34">
        <f>IF(AND(E1142=1,L1142=0),AH1142,"")</f>
        <v>18.2</v>
      </c>
      <c r="AZ1142" s="34">
        <f>IF(G1142=1,F1142,"")</f>
        <v>8.9</v>
      </c>
      <c r="BA1142" s="34" t="str">
        <f>IF(AND(G1142=1,L1142=1),F1142,"")</f>
        <v/>
      </c>
      <c r="BB1142" s="34">
        <f>IF(AND(G1142=1,L1142=0),F1142,"")</f>
        <v>8.9</v>
      </c>
      <c r="BC1142" s="33">
        <f>IF(E1142=1,IF(Orders!R1139&gt;3,1,0),"")</f>
        <v>1</v>
      </c>
      <c r="BD1142" s="33">
        <f>IF(E1142=1,IF(Orders!R1139&gt;7,1,0),"")</f>
        <v>1</v>
      </c>
      <c r="BE1142" s="32" t="str">
        <f>IF(E1142=1,IF(Orders!L1139&lt;=1.5,"Up to 1.5 km",IF(Orders!L1139&lt;=3,"1.5–3 km","Over 3 km")),"")</f>
        <v>Up to 1.5 km</v>
      </c>
      <c r="BF1142" s="33">
        <f>IF(E1142=1,IF(ABS((Orders!G1139-Orders!F1139)*1440-Orders!R1139)&lt;0.06,1,0),"")</f>
        <v>1</v>
      </c>
      <c r="BG1142" s="33">
        <f>IF(ABS((Orders!F1139-Orders!E1139)*1440-Orders!P1139)&lt;0.06,1,0)</f>
        <v>1</v>
      </c>
      <c r="BH1142" s="33">
        <f>IF(E1142=1,IF(IF(Orders!S1139,1,0)=1-G1142,1,0),"")</f>
        <v>1</v>
      </c>
      <c r="BI1142" s="32" t="str">
        <f>INDEX(Stores!$B$2:$B$21,MATCH(B1142,Stores!$A$2:$A$21,0))</f>
        <v>Delhi</v>
      </c>
    </row>
    <row r="1143">
      <c r="A1143" s="32" t="str">
        <f>Orders!A1140</f>
        <v>O01139</v>
      </c>
      <c r="B1143" s="32" t="str">
        <f>Orders!C1140</f>
        <v>S020</v>
      </c>
      <c r="C1143" s="32" t="str">
        <f>Orders!B1140</f>
        <v>C0152</v>
      </c>
      <c r="D1143" s="32" t="str">
        <f>Orders!H1140</f>
        <v>Delivered</v>
      </c>
      <c r="E1143" s="33">
        <f>IF(Orders!H1140="Delivered",1,0)</f>
        <v>1</v>
      </c>
      <c r="F1143" s="34">
        <f>IF(E1143=1,Orders!R1140,"")</f>
        <v>7.2</v>
      </c>
      <c r="G1143" s="33">
        <f>IF(E1143=1,IF(Orders!R1140&gt;0,1,0),"")</f>
        <v>1</v>
      </c>
      <c r="H1143" s="33">
        <f>IF(E1143=1,IF(Orders!R1140&gt;5,1,0),"")</f>
        <v>1</v>
      </c>
      <c r="I1143" s="32" t="str">
        <f>IF(E1143=1,"",IF(OR(Orders!T1140="Rider unavailable",Orders!T1140="Item unavailable"),"Company-caused","Unresolved"))</f>
        <v/>
      </c>
      <c r="J1143" s="33">
        <f>IF(OR(E1143=1,I1143="Company-caused"),1,0)</f>
        <v>1</v>
      </c>
      <c r="K1143" s="32" t="str">
        <f>IF(E1143=0,IF(I1143="Company-caused",IF(Orders!T1140="Rider unavailable","C1 Rider unavailable","C2 Item unavailable"),"Outside root: unresolved"),IF(G1143=0,"A On time",IF(H1143=1,IF(L1143=1,"B2a Severe, peak","B2b Severe, off-peak"),IF(L1143=1,"B1a Slight, peak","B1b Slight, off-peak"))))</f>
        <v>B2b Severe, off-peak</v>
      </c>
      <c r="L1143" s="33">
        <f>IF(AND(Orders!U1140&gt;=19,Orders!U1140&lt;22),1,0)</f>
        <v>0</v>
      </c>
      <c r="M1143" s="33">
        <f>IF(L1143=IF(Orders!V1140,1,0),1,0)</f>
        <v>1</v>
      </c>
      <c r="N1143" s="32" t="str">
        <f>IF(Orders!W1140="","None",Orders!W1140)</f>
        <v>None</v>
      </c>
      <c r="O1143" s="35">
        <f>INT(Orders!E1140)</f>
        <v>46272.0</v>
      </c>
      <c r="P1143" s="33">
        <f>Orders!U1140</f>
        <v>22</v>
      </c>
      <c r="Q1143" s="33">
        <f>COUNTIFS(Demand!$A$2:$A$4481,B1143,Demand!$B$2:$B$4481,O1143,Demand!$C$2:$C$4481,P1143)</f>
        <v>1</v>
      </c>
      <c r="R1143" s="33">
        <f>IF(Q1143=1,SUMIFS(Demand!$E$2:$E$4481,Demand!$A$2:$A$4481,B1143,Demand!$B$2:$B$4481,O1143,Demand!$C$2:$C$4481,P1143),"")</f>
        <v>10</v>
      </c>
      <c r="S1143" s="33">
        <f>INDEX(Stores!$G$2:$G$21,MATCH(B1143,Stores!$A$2:$A$21,0))</f>
        <v>15</v>
      </c>
      <c r="T1143" s="34">
        <f>IF(R1143="","",R1143/S1143)</f>
        <v>0.666666666666667</v>
      </c>
      <c r="U1143" s="34">
        <f>IF(E1143=1,T1143,"")</f>
        <v>0.666666666666667</v>
      </c>
      <c r="V1143" s="34">
        <f>IF(AND(E1143=1,L1143=0),T1143,"")</f>
        <v>0.666666666666667</v>
      </c>
      <c r="W1143" s="33">
        <f>IF(U1143="","",IF(U1143&lt;=Breakdowns!$C$5,1,IF(U1143&lt;=Breakdowns!$C$6,2,IF(U1143&lt;=Breakdowns!$C$7,3,4))))</f>
        <v>1</v>
      </c>
      <c r="X1143" s="33">
        <f>IF(V1143="","",IF(V1143&lt;=Breakdowns!$D$5,1,IF(V1143&lt;=Breakdowns!$D$6,2,IF(V1143&lt;=Breakdowns!$D$7,3,4))))</f>
        <v>1</v>
      </c>
      <c r="Y1143" s="34">
        <f>INDEX(Stores!$F$2:$F$21,MATCH(B1143,Stores!$A$2:$A$21,0))</f>
        <v>5.74</v>
      </c>
      <c r="Z1143" s="33">
        <f>IF(Y1143&gt;Store_Summary!$M$2,1,0)</f>
        <v>1</v>
      </c>
      <c r="AA1143" s="33">
        <f>INDEX(Stores!$C$2:$C$21,MATCH(B1143,Stores!$A$2:$A$21,0))</f>
        <v>647</v>
      </c>
      <c r="AB1143" s="33">
        <f>IF(AA1143&lt;180,1,0)</f>
        <v>0</v>
      </c>
      <c r="AC1143" s="32" t="str">
        <f>IF(Orders!D1140="","",INDEX(Riders!$C$2:$C$81,MATCH(Orders!D1140,Riders!$A$2:$A$81,0)))</f>
        <v>Petrol scooter</v>
      </c>
      <c r="AD1143" s="33">
        <f>IF(Orders!D1140="","",INDEX(Riders!$D$2:$D$81,MATCH(Orders!D1140,Riders!$A$2:$A$81,0)))</f>
        <v>15</v>
      </c>
      <c r="AE1143" s="33">
        <f>IF(Orders!D1140="","",IF(INDEX(Riders!$B$2:$B$81,MATCH(Orders!D1140,Riders!$A$2:$A$81,0))=B1143,1,0))</f>
        <v>0</v>
      </c>
      <c r="AF1143" s="34">
        <f>IF(E1143=1,Orders!L1140,"")</f>
        <v>3.8</v>
      </c>
      <c r="AG1143" s="34">
        <f>IF(E1143=1,Orders!P1140,"")</f>
        <v>11.8</v>
      </c>
      <c r="AH1143" s="34">
        <f>IF(E1143=1,Orders!Q1140,"")</f>
        <v>19</v>
      </c>
      <c r="AI1143" s="34">
        <f>IF(E1143=1,Orders!M1140,"")</f>
        <v>5.5</v>
      </c>
      <c r="AJ1143" s="34">
        <f>IF(E1143=1,Orders!N1140,"")</f>
        <v>2.9</v>
      </c>
      <c r="AK1143" s="34">
        <f>IF(E1143=1,Orders!O1140,"")</f>
        <v>10.7</v>
      </c>
      <c r="AL1143" s="33">
        <f>IF(E1143=1,IF(ROUND(ABS(AI1143+AJ1143+AK1143-AH1143),6)&lt;=0.1,1,0),"")</f>
        <v>1</v>
      </c>
      <c r="AM1143" s="36">
        <f>IF(E1143=1,AI1143/AH1143,"")</f>
        <v>0.289473684210526</v>
      </c>
      <c r="AN1143" s="36">
        <f>IF(E1143=1,AJ1143/AH1143,"")</f>
        <v>0.152631578947368</v>
      </c>
      <c r="AO1143" s="36">
        <f>IF(E1143=1,AK1143/AH1143,"")</f>
        <v>0.563157894736842</v>
      </c>
      <c r="AP1143" s="34">
        <f>IF(E1143=1,Orders!Y1140,"")</f>
        <v>0.79</v>
      </c>
      <c r="AQ1143" s="33">
        <f>IF(Orders!X1140,1,0)</f>
        <v>0</v>
      </c>
      <c r="AR1143" s="34" t="str">
        <f>IF(AND(E1143=1,L1143=1),AJ1143,"")</f>
        <v/>
      </c>
      <c r="AS1143" s="34">
        <f>IF(AND(E1143=1,L1143=0),AJ1143,"")</f>
        <v>2.9</v>
      </c>
      <c r="AT1143" s="34" t="str">
        <f>IF(AND(E1143=1,L1143=1),AI1143,"")</f>
        <v/>
      </c>
      <c r="AU1143" s="34">
        <f>IF(AND(E1143=1,L1143=0),AI1143,"")</f>
        <v>5.5</v>
      </c>
      <c r="AV1143" s="34" t="str">
        <f>IF(AND(E1143=1,L1143=1),AG1143,"")</f>
        <v/>
      </c>
      <c r="AW1143" s="34">
        <f>IF(AND(E1143=1,L1143=0),AG1143,"")</f>
        <v>11.8</v>
      </c>
      <c r="AX1143" s="34" t="str">
        <f>IF(AND(E1143=1,L1143=1),AH1143,"")</f>
        <v/>
      </c>
      <c r="AY1143" s="34">
        <f>IF(AND(E1143=1,L1143=0),AH1143,"")</f>
        <v>19</v>
      </c>
      <c r="AZ1143" s="34">
        <f>IF(G1143=1,F1143,"")</f>
        <v>7.2</v>
      </c>
      <c r="BA1143" s="34" t="str">
        <f>IF(AND(G1143=1,L1143=1),F1143,"")</f>
        <v/>
      </c>
      <c r="BB1143" s="34">
        <f>IF(AND(G1143=1,L1143=0),F1143,"")</f>
        <v>7.2</v>
      </c>
      <c r="BC1143" s="33">
        <f>IF(E1143=1,IF(Orders!R1140&gt;3,1,0),"")</f>
        <v>1</v>
      </c>
      <c r="BD1143" s="33">
        <f>IF(E1143=1,IF(Orders!R1140&gt;7,1,0),"")</f>
        <v>1</v>
      </c>
      <c r="BE1143" s="32" t="str">
        <f>IF(E1143=1,IF(Orders!L1140&lt;=1.5,"Up to 1.5 km",IF(Orders!L1140&lt;=3,"1.5–3 km","Over 3 km")),"")</f>
        <v>Over 3 km</v>
      </c>
      <c r="BF1143" s="33">
        <f>IF(E1143=1,IF(ABS((Orders!G1140-Orders!F1140)*1440-Orders!R1140)&lt;0.06,1,0),"")</f>
        <v>1</v>
      </c>
      <c r="BG1143" s="33">
        <f>IF(ABS((Orders!F1140-Orders!E1140)*1440-Orders!P1140)&lt;0.06,1,0)</f>
        <v>1</v>
      </c>
      <c r="BH1143" s="33">
        <f>IF(E1143=1,IF(IF(Orders!S1140,1,0)=1-G1143,1,0),"")</f>
        <v>1</v>
      </c>
      <c r="BI1143" s="32" t="str">
        <f>INDEX(Stores!$B$2:$B$21,MATCH(B1143,Stores!$A$2:$A$21,0))</f>
        <v>Delhi</v>
      </c>
    </row>
    <row r="1144">
      <c r="A1144" s="32" t="str">
        <f>Orders!A1141</f>
        <v>O01140</v>
      </c>
      <c r="B1144" s="32" t="str">
        <f>Orders!C1141</f>
        <v>S008</v>
      </c>
      <c r="C1144" s="32" t="str">
        <f>Orders!B1141</f>
        <v>C0145</v>
      </c>
      <c r="D1144" s="32" t="str">
        <f>Orders!H1141</f>
        <v>Delivered</v>
      </c>
      <c r="E1144" s="33">
        <f>IF(Orders!H1141="Delivered",1,0)</f>
        <v>1</v>
      </c>
      <c r="F1144" s="34">
        <f>IF(E1144=1,Orders!R1141,"")</f>
        <v>-0.5</v>
      </c>
      <c r="G1144" s="33">
        <f>IF(E1144=1,IF(Orders!R1141&gt;0,1,0),"")</f>
        <v>0</v>
      </c>
      <c r="H1144" s="33">
        <f>IF(E1144=1,IF(Orders!R1141&gt;5,1,0),"")</f>
        <v>0</v>
      </c>
      <c r="I1144" s="32" t="str">
        <f>IF(E1144=1,"",IF(OR(Orders!T1141="Rider unavailable",Orders!T1141="Item unavailable"),"Company-caused","Unresolved"))</f>
        <v/>
      </c>
      <c r="J1144" s="33">
        <f>IF(OR(E1144=1,I1144="Company-caused"),1,0)</f>
        <v>1</v>
      </c>
      <c r="K1144" s="32" t="str">
        <f>IF(E1144=0,IF(I1144="Company-caused",IF(Orders!T1141="Rider unavailable","C1 Rider unavailable","C2 Item unavailable"),"Outside root: unresolved"),IF(G1144=0,"A On time",IF(H1144=1,IF(L1144=1,"B2a Severe, peak","B2b Severe, off-peak"),IF(L1144=1,"B1a Slight, peak","B1b Slight, off-peak"))))</f>
        <v>A On time</v>
      </c>
      <c r="L1144" s="33">
        <f>IF(AND(Orders!U1141&gt;=19,Orders!U1141&lt;22),1,0)</f>
        <v>1</v>
      </c>
      <c r="M1144" s="33">
        <f>IF(L1144=IF(Orders!V1141,1,0),1,0)</f>
        <v>1</v>
      </c>
      <c r="N1144" s="32" t="str">
        <f>IF(Orders!W1141="","None",Orders!W1141)</f>
        <v>None</v>
      </c>
      <c r="O1144" s="35">
        <f>INT(Orders!E1141)</f>
        <v>46269.0</v>
      </c>
      <c r="P1144" s="33">
        <f>Orders!U1141</f>
        <v>21</v>
      </c>
      <c r="Q1144" s="33">
        <f>COUNTIFS(Demand!$A$2:$A$4481,B1144,Demand!$B$2:$B$4481,O1144,Demand!$C$2:$C$4481,P1144)</f>
        <v>1</v>
      </c>
      <c r="R1144" s="33">
        <f>IF(Q1144=1,SUMIFS(Demand!$E$2:$E$4481,Demand!$A$2:$A$4481,B1144,Demand!$B$2:$B$4481,O1144,Demand!$C$2:$C$4481,P1144),"")</f>
        <v>36</v>
      </c>
      <c r="S1144" s="33">
        <f>INDEX(Stores!$G$2:$G$21,MATCH(B1144,Stores!$A$2:$A$21,0))</f>
        <v>23</v>
      </c>
      <c r="T1144" s="34">
        <f>IF(R1144="","",R1144/S1144)</f>
        <v>1.56521739130435</v>
      </c>
      <c r="U1144" s="34">
        <f>IF(E1144=1,T1144,"")</f>
        <v>1.56521739130435</v>
      </c>
      <c r="V1144" s="34" t="str">
        <f>IF(AND(E1144=1,L1144=0),T1144,"")</f>
        <v/>
      </c>
      <c r="W1144" s="33">
        <f>IF(U1144="","",IF(U1144&lt;=Breakdowns!$C$5,1,IF(U1144&lt;=Breakdowns!$C$6,2,IF(U1144&lt;=Breakdowns!$C$7,3,4))))</f>
        <v>4</v>
      </c>
      <c r="X1144" s="33" t="str">
        <f>IF(V1144="","",IF(V1144&lt;=Breakdowns!$D$5,1,IF(V1144&lt;=Breakdowns!$D$6,2,IF(V1144&lt;=Breakdowns!$D$7,3,4))))</f>
        <v/>
      </c>
      <c r="Y1144" s="34">
        <f>INDEX(Stores!$F$2:$F$21,MATCH(B1144,Stores!$A$2:$A$21,0))</f>
        <v>3.46</v>
      </c>
      <c r="Z1144" s="33">
        <f>IF(Y1144&gt;Store_Summary!$M$2,1,0)</f>
        <v>0</v>
      </c>
      <c r="AA1144" s="33">
        <f>INDEX(Stores!$C$2:$C$21,MATCH(B1144,Stores!$A$2:$A$21,0))</f>
        <v>825</v>
      </c>
      <c r="AB1144" s="33">
        <f>IF(AA1144&lt;180,1,0)</f>
        <v>0</v>
      </c>
      <c r="AC1144" s="32" t="str">
        <f>IF(Orders!D1141="","",INDEX(Riders!$C$2:$C$81,MATCH(Orders!D1141,Riders!$A$2:$A$81,0)))</f>
        <v>EV scooter</v>
      </c>
      <c r="AD1144" s="33">
        <f>IF(Orders!D1141="","",INDEX(Riders!$D$2:$D$81,MATCH(Orders!D1141,Riders!$A$2:$A$81,0)))</f>
        <v>37</v>
      </c>
      <c r="AE1144" s="33">
        <f>IF(Orders!D1141="","",IF(INDEX(Riders!$B$2:$B$81,MATCH(Orders!D1141,Riders!$A$2:$A$81,0))=B1144,1,0))</f>
        <v>0</v>
      </c>
      <c r="AF1144" s="34">
        <f>IF(E1144=1,Orders!L1141,"")</f>
        <v>1.84</v>
      </c>
      <c r="AG1144" s="34">
        <f>IF(E1144=1,Orders!P1141,"")</f>
        <v>9.7</v>
      </c>
      <c r="AH1144" s="34">
        <f>IF(E1144=1,Orders!Q1141,"")</f>
        <v>9.2</v>
      </c>
      <c r="AI1144" s="34">
        <f>IF(E1144=1,Orders!M1141,"")</f>
        <v>3</v>
      </c>
      <c r="AJ1144" s="34">
        <f>IF(E1144=1,Orders!N1141,"")</f>
        <v>2.7</v>
      </c>
      <c r="AK1144" s="34">
        <f>IF(E1144=1,Orders!O1141,"")</f>
        <v>3.5</v>
      </c>
      <c r="AL1144" s="33">
        <f>IF(E1144=1,IF(ROUND(ABS(AI1144+AJ1144+AK1144-AH1144),6)&lt;=0.1,1,0),"")</f>
        <v>1</v>
      </c>
      <c r="AM1144" s="36">
        <f>IF(E1144=1,AI1144/AH1144,"")</f>
        <v>0.326086956521739</v>
      </c>
      <c r="AN1144" s="36">
        <f>IF(E1144=1,AJ1144/AH1144,"")</f>
        <v>0.293478260869565</v>
      </c>
      <c r="AO1144" s="36">
        <f>IF(E1144=1,AK1144/AH1144,"")</f>
        <v>0.380434782608696</v>
      </c>
      <c r="AP1144" s="34">
        <f>IF(E1144=1,Orders!Y1141,"")</f>
        <v>0.61</v>
      </c>
      <c r="AQ1144" s="33">
        <f>IF(Orders!X1141,1,0)</f>
        <v>0</v>
      </c>
      <c r="AR1144" s="34">
        <f>IF(AND(E1144=1,L1144=1),AJ1144,"")</f>
        <v>2.7</v>
      </c>
      <c r="AS1144" s="34" t="str">
        <f>IF(AND(E1144=1,L1144=0),AJ1144,"")</f>
        <v/>
      </c>
      <c r="AT1144" s="34">
        <f>IF(AND(E1144=1,L1144=1),AI1144,"")</f>
        <v>3</v>
      </c>
      <c r="AU1144" s="34" t="str">
        <f>IF(AND(E1144=1,L1144=0),AI1144,"")</f>
        <v/>
      </c>
      <c r="AV1144" s="34">
        <f>IF(AND(E1144=1,L1144=1),AG1144,"")</f>
        <v>9.7</v>
      </c>
      <c r="AW1144" s="34" t="str">
        <f>IF(AND(E1144=1,L1144=0),AG1144,"")</f>
        <v/>
      </c>
      <c r="AX1144" s="34">
        <f>IF(AND(E1144=1,L1144=1),AH1144,"")</f>
        <v>9.2</v>
      </c>
      <c r="AY1144" s="34" t="str">
        <f>IF(AND(E1144=1,L1144=0),AH1144,"")</f>
        <v/>
      </c>
      <c r="AZ1144" s="34" t="str">
        <f>IF(G1144=1,F1144,"")</f>
        <v/>
      </c>
      <c r="BA1144" s="34" t="str">
        <f>IF(AND(G1144=1,L1144=1),F1144,"")</f>
        <v/>
      </c>
      <c r="BB1144" s="34" t="str">
        <f>IF(AND(G1144=1,L1144=0),F1144,"")</f>
        <v/>
      </c>
      <c r="BC1144" s="33">
        <f>IF(E1144=1,IF(Orders!R1141&gt;3,1,0),"")</f>
        <v>0</v>
      </c>
      <c r="BD1144" s="33">
        <f>IF(E1144=1,IF(Orders!R1141&gt;7,1,0),"")</f>
        <v>0</v>
      </c>
      <c r="BE1144" s="32" t="str">
        <f>IF(E1144=1,IF(Orders!L1141&lt;=1.5,"Up to 1.5 km",IF(Orders!L1141&lt;=3,"1.5–3 km","Over 3 km")),"")</f>
        <v>1.5–3 km</v>
      </c>
      <c r="BF1144" s="33">
        <f>IF(E1144=1,IF(ABS((Orders!G1141-Orders!F1141)*1440-Orders!R1141)&lt;0.06,1,0),"")</f>
        <v>1</v>
      </c>
      <c r="BG1144" s="33">
        <f>IF(ABS((Orders!F1141-Orders!E1141)*1440-Orders!P1141)&lt;0.06,1,0)</f>
        <v>1</v>
      </c>
      <c r="BH1144" s="33">
        <f>IF(E1144=1,IF(IF(Orders!S1141,1,0)=1-G1144,1,0),"")</f>
        <v>1</v>
      </c>
      <c r="BI1144" s="32" t="str">
        <f>INDEX(Stores!$B$2:$B$21,MATCH(B1144,Stores!$A$2:$A$21,0))</f>
        <v>Mumbai</v>
      </c>
    </row>
    <row r="1145">
      <c r="A1145" s="32" t="str">
        <f>Orders!A1142</f>
        <v>O01141</v>
      </c>
      <c r="B1145" s="32" t="str">
        <f>Orders!C1142</f>
        <v>S005</v>
      </c>
      <c r="C1145" s="32" t="str">
        <f>Orders!B1142</f>
        <v>C0181</v>
      </c>
      <c r="D1145" s="32" t="str">
        <f>Orders!H1142</f>
        <v>Delivered</v>
      </c>
      <c r="E1145" s="33">
        <f>IF(Orders!H1142="Delivered",1,0)</f>
        <v>1</v>
      </c>
      <c r="F1145" s="34">
        <f>IF(E1145=1,Orders!R1142,"")</f>
        <v>-0.3</v>
      </c>
      <c r="G1145" s="33">
        <f>IF(E1145=1,IF(Orders!R1142&gt;0,1,0),"")</f>
        <v>0</v>
      </c>
      <c r="H1145" s="33">
        <f>IF(E1145=1,IF(Orders!R1142&gt;5,1,0),"")</f>
        <v>0</v>
      </c>
      <c r="I1145" s="32" t="str">
        <f>IF(E1145=1,"",IF(OR(Orders!T1142="Rider unavailable",Orders!T1142="Item unavailable"),"Company-caused","Unresolved"))</f>
        <v/>
      </c>
      <c r="J1145" s="33">
        <f>IF(OR(E1145=1,I1145="Company-caused"),1,0)</f>
        <v>1</v>
      </c>
      <c r="K1145" s="32" t="str">
        <f>IF(E1145=0,IF(I1145="Company-caused",IF(Orders!T1142="Rider unavailable","C1 Rider unavailable","C2 Item unavailable"),"Outside root: unresolved"),IF(G1145=0,"A On time",IF(H1145=1,IF(L1145=1,"B2a Severe, peak","B2b Severe, off-peak"),IF(L1145=1,"B1a Slight, peak","B1b Slight, off-peak"))))</f>
        <v>A On time</v>
      </c>
      <c r="L1145" s="33">
        <f>IF(AND(Orders!U1142&gt;=19,Orders!U1142&lt;22),1,0)</f>
        <v>0</v>
      </c>
      <c r="M1145" s="33">
        <f>IF(L1145=IF(Orders!V1142,1,0),1,0)</f>
        <v>1</v>
      </c>
      <c r="N1145" s="32" t="str">
        <f>IF(Orders!W1142="","None",Orders!W1142)</f>
        <v>None</v>
      </c>
      <c r="O1145" s="35">
        <f>INT(Orders!E1142)</f>
        <v>46273.0</v>
      </c>
      <c r="P1145" s="33">
        <f>Orders!U1142</f>
        <v>23</v>
      </c>
      <c r="Q1145" s="33">
        <f>COUNTIFS(Demand!$A$2:$A$4481,B1145,Demand!$B$2:$B$4481,O1145,Demand!$C$2:$C$4481,P1145)</f>
        <v>1</v>
      </c>
      <c r="R1145" s="33">
        <f>IF(Q1145=1,SUMIFS(Demand!$E$2:$E$4481,Demand!$A$2:$A$4481,B1145,Demand!$B$2:$B$4481,O1145,Demand!$C$2:$C$4481,P1145),"")</f>
        <v>17</v>
      </c>
      <c r="S1145" s="33">
        <f>INDEX(Stores!$G$2:$G$21,MATCH(B1145,Stores!$A$2:$A$21,0))</f>
        <v>14</v>
      </c>
      <c r="T1145" s="34">
        <f>IF(R1145="","",R1145/S1145)</f>
        <v>1.21428571428571</v>
      </c>
      <c r="U1145" s="34">
        <f>IF(E1145=1,T1145,"")</f>
        <v>1.21428571428571</v>
      </c>
      <c r="V1145" s="34">
        <f>IF(AND(E1145=1,L1145=0),T1145,"")</f>
        <v>1.21428571428571</v>
      </c>
      <c r="W1145" s="33">
        <f>IF(U1145="","",IF(U1145&lt;=Breakdowns!$C$5,1,IF(U1145&lt;=Breakdowns!$C$6,2,IF(U1145&lt;=Breakdowns!$C$7,3,4))))</f>
        <v>3</v>
      </c>
      <c r="X1145" s="33">
        <f>IF(V1145="","",IF(V1145&lt;=Breakdowns!$D$5,1,IF(V1145&lt;=Breakdowns!$D$6,2,IF(V1145&lt;=Breakdowns!$D$7,3,4))))</f>
        <v>4</v>
      </c>
      <c r="Y1145" s="34">
        <f>INDEX(Stores!$F$2:$F$21,MATCH(B1145,Stores!$A$2:$A$21,0))</f>
        <v>4.89</v>
      </c>
      <c r="Z1145" s="33">
        <f>IF(Y1145&gt;Store_Summary!$M$2,1,0)</f>
        <v>0</v>
      </c>
      <c r="AA1145" s="33">
        <f>INDEX(Stores!$C$2:$C$21,MATCH(B1145,Stores!$A$2:$A$21,0))</f>
        <v>138</v>
      </c>
      <c r="AB1145" s="33">
        <f>IF(AA1145&lt;180,1,0)</f>
        <v>1</v>
      </c>
      <c r="AC1145" s="32" t="str">
        <f>IF(Orders!D1142="","",INDEX(Riders!$C$2:$C$81,MATCH(Orders!D1142,Riders!$A$2:$A$81,0)))</f>
        <v>Petrol scooter</v>
      </c>
      <c r="AD1145" s="33">
        <f>IF(Orders!D1142="","",INDEX(Riders!$D$2:$D$81,MATCH(Orders!D1142,Riders!$A$2:$A$81,0)))</f>
        <v>2</v>
      </c>
      <c r="AE1145" s="33">
        <f>IF(Orders!D1142="","",IF(INDEX(Riders!$B$2:$B$81,MATCH(Orders!D1142,Riders!$A$2:$A$81,0))=B1145,1,0))</f>
        <v>0</v>
      </c>
      <c r="AF1145" s="34">
        <f>IF(E1145=1,Orders!L1142,"")</f>
        <v>1.09</v>
      </c>
      <c r="AG1145" s="34">
        <f>IF(E1145=1,Orders!P1142,"")</f>
        <v>11.8</v>
      </c>
      <c r="AH1145" s="34">
        <f>IF(E1145=1,Orders!Q1142,"")</f>
        <v>11.5</v>
      </c>
      <c r="AI1145" s="34">
        <f>IF(E1145=1,Orders!M1142,"")</f>
        <v>4.5</v>
      </c>
      <c r="AJ1145" s="34">
        <f>IF(E1145=1,Orders!N1142,"")</f>
        <v>4.5</v>
      </c>
      <c r="AK1145" s="34">
        <f>IF(E1145=1,Orders!O1142,"")</f>
        <v>2.5</v>
      </c>
      <c r="AL1145" s="33">
        <f>IF(E1145=1,IF(ROUND(ABS(AI1145+AJ1145+AK1145-AH1145),6)&lt;=0.1,1,0),"")</f>
        <v>1</v>
      </c>
      <c r="AM1145" s="36">
        <f>IF(E1145=1,AI1145/AH1145,"")</f>
        <v>0.391304347826087</v>
      </c>
      <c r="AN1145" s="36">
        <f>IF(E1145=1,AJ1145/AH1145,"")</f>
        <v>0.391304347826087</v>
      </c>
      <c r="AO1145" s="36">
        <f>IF(E1145=1,AK1145/AH1145,"")</f>
        <v>0.217391304347826</v>
      </c>
      <c r="AP1145" s="34">
        <f>IF(E1145=1,Orders!Y1142,"")</f>
        <v>0.48</v>
      </c>
      <c r="AQ1145" s="33">
        <f>IF(Orders!X1142,1,0)</f>
        <v>0</v>
      </c>
      <c r="AR1145" s="34" t="str">
        <f>IF(AND(E1145=1,L1145=1),AJ1145,"")</f>
        <v/>
      </c>
      <c r="AS1145" s="34">
        <f>IF(AND(E1145=1,L1145=0),AJ1145,"")</f>
        <v>4.5</v>
      </c>
      <c r="AT1145" s="34" t="str">
        <f>IF(AND(E1145=1,L1145=1),AI1145,"")</f>
        <v/>
      </c>
      <c r="AU1145" s="34">
        <f>IF(AND(E1145=1,L1145=0),AI1145,"")</f>
        <v>4.5</v>
      </c>
      <c r="AV1145" s="34" t="str">
        <f>IF(AND(E1145=1,L1145=1),AG1145,"")</f>
        <v/>
      </c>
      <c r="AW1145" s="34">
        <f>IF(AND(E1145=1,L1145=0),AG1145,"")</f>
        <v>11.8</v>
      </c>
      <c r="AX1145" s="34" t="str">
        <f>IF(AND(E1145=1,L1145=1),AH1145,"")</f>
        <v/>
      </c>
      <c r="AY1145" s="34">
        <f>IF(AND(E1145=1,L1145=0),AH1145,"")</f>
        <v>11.5</v>
      </c>
      <c r="AZ1145" s="34" t="str">
        <f>IF(G1145=1,F1145,"")</f>
        <v/>
      </c>
      <c r="BA1145" s="34" t="str">
        <f>IF(AND(G1145=1,L1145=1),F1145,"")</f>
        <v/>
      </c>
      <c r="BB1145" s="34" t="str">
        <f>IF(AND(G1145=1,L1145=0),F1145,"")</f>
        <v/>
      </c>
      <c r="BC1145" s="33">
        <f>IF(E1145=1,IF(Orders!R1142&gt;3,1,0),"")</f>
        <v>0</v>
      </c>
      <c r="BD1145" s="33">
        <f>IF(E1145=1,IF(Orders!R1142&gt;7,1,0),"")</f>
        <v>0</v>
      </c>
      <c r="BE1145" s="32" t="str">
        <f>IF(E1145=1,IF(Orders!L1142&lt;=1.5,"Up to 1.5 km",IF(Orders!L1142&lt;=3,"1.5–3 km","Over 3 km")),"")</f>
        <v>Up to 1.5 km</v>
      </c>
      <c r="BF1145" s="33">
        <f>IF(E1145=1,IF(ABS((Orders!G1142-Orders!F1142)*1440-Orders!R1142)&lt;0.06,1,0),"")</f>
        <v>1</v>
      </c>
      <c r="BG1145" s="33">
        <f>IF(ABS((Orders!F1142-Orders!E1142)*1440-Orders!P1142)&lt;0.06,1,0)</f>
        <v>1</v>
      </c>
      <c r="BH1145" s="33">
        <f>IF(E1145=1,IF(IF(Orders!S1142,1,0)=1-G1145,1,0),"")</f>
        <v>1</v>
      </c>
      <c r="BI1145" s="32" t="str">
        <f>INDEX(Stores!$B$2:$B$21,MATCH(B1145,Stores!$A$2:$A$21,0))</f>
        <v>Delhi</v>
      </c>
    </row>
    <row r="1146">
      <c r="A1146" s="32" t="str">
        <f>Orders!A1143</f>
        <v>O01142</v>
      </c>
      <c r="B1146" s="32" t="str">
        <f>Orders!C1143</f>
        <v>S005</v>
      </c>
      <c r="C1146" s="32" t="str">
        <f>Orders!B1143</f>
        <v>C0198</v>
      </c>
      <c r="D1146" s="32" t="str">
        <f>Orders!H1143</f>
        <v>Delivered</v>
      </c>
      <c r="E1146" s="33">
        <f>IF(Orders!H1143="Delivered",1,0)</f>
        <v>1</v>
      </c>
      <c r="F1146" s="34">
        <f>IF(E1146=1,Orders!R1143,"")</f>
        <v>0.7</v>
      </c>
      <c r="G1146" s="33">
        <f>IF(E1146=1,IF(Orders!R1143&gt;0,1,0),"")</f>
        <v>1</v>
      </c>
      <c r="H1146" s="33">
        <f>IF(E1146=1,IF(Orders!R1143&gt;5,1,0),"")</f>
        <v>0</v>
      </c>
      <c r="I1146" s="32" t="str">
        <f>IF(E1146=1,"",IF(OR(Orders!T1143="Rider unavailable",Orders!T1143="Item unavailable"),"Company-caused","Unresolved"))</f>
        <v/>
      </c>
      <c r="J1146" s="33">
        <f>IF(OR(E1146=1,I1146="Company-caused"),1,0)</f>
        <v>1</v>
      </c>
      <c r="K1146" s="32" t="str">
        <f>IF(E1146=0,IF(I1146="Company-caused",IF(Orders!T1143="Rider unavailable","C1 Rider unavailable","C2 Item unavailable"),"Outside root: unresolved"),IF(G1146=0,"A On time",IF(H1146=1,IF(L1146=1,"B2a Severe, peak","B2b Severe, off-peak"),IF(L1146=1,"B1a Slight, peak","B1b Slight, off-peak"))))</f>
        <v>B1b Slight, off-peak</v>
      </c>
      <c r="L1146" s="33">
        <f>IF(AND(Orders!U1143&gt;=19,Orders!U1143&lt;22),1,0)</f>
        <v>0</v>
      </c>
      <c r="M1146" s="33">
        <f>IF(L1146=IF(Orders!V1143,1,0),1,0)</f>
        <v>1</v>
      </c>
      <c r="N1146" s="32" t="str">
        <f>IF(Orders!W1143="","None",Orders!W1143)</f>
        <v>None</v>
      </c>
      <c r="O1146" s="35">
        <f>INT(Orders!E1143)</f>
        <v>46272.0</v>
      </c>
      <c r="P1146" s="33">
        <f>Orders!U1143</f>
        <v>11</v>
      </c>
      <c r="Q1146" s="33">
        <f>COUNTIFS(Demand!$A$2:$A$4481,B1146,Demand!$B$2:$B$4481,O1146,Demand!$C$2:$C$4481,P1146)</f>
        <v>1</v>
      </c>
      <c r="R1146" s="33">
        <f>IF(Q1146=1,SUMIFS(Demand!$E$2:$E$4481,Demand!$A$2:$A$4481,B1146,Demand!$B$2:$B$4481,O1146,Demand!$C$2:$C$4481,P1146),"")</f>
        <v>13</v>
      </c>
      <c r="S1146" s="33">
        <f>INDEX(Stores!$G$2:$G$21,MATCH(B1146,Stores!$A$2:$A$21,0))</f>
        <v>14</v>
      </c>
      <c r="T1146" s="34">
        <f>IF(R1146="","",R1146/S1146)</f>
        <v>0.928571428571429</v>
      </c>
      <c r="U1146" s="34">
        <f>IF(E1146=1,T1146,"")</f>
        <v>0.928571428571429</v>
      </c>
      <c r="V1146" s="34">
        <f>IF(AND(E1146=1,L1146=0),T1146,"")</f>
        <v>0.928571428571429</v>
      </c>
      <c r="W1146" s="33">
        <f>IF(U1146="","",IF(U1146&lt;=Breakdowns!$C$5,1,IF(U1146&lt;=Breakdowns!$C$6,2,IF(U1146&lt;=Breakdowns!$C$7,3,4))))</f>
        <v>2</v>
      </c>
      <c r="X1146" s="33">
        <f>IF(V1146="","",IF(V1146&lt;=Breakdowns!$D$5,1,IF(V1146&lt;=Breakdowns!$D$6,2,IF(V1146&lt;=Breakdowns!$D$7,3,4))))</f>
        <v>3</v>
      </c>
      <c r="Y1146" s="34">
        <f>INDEX(Stores!$F$2:$F$21,MATCH(B1146,Stores!$A$2:$A$21,0))</f>
        <v>4.89</v>
      </c>
      <c r="Z1146" s="33">
        <f>IF(Y1146&gt;Store_Summary!$M$2,1,0)</f>
        <v>0</v>
      </c>
      <c r="AA1146" s="33">
        <f>INDEX(Stores!$C$2:$C$21,MATCH(B1146,Stores!$A$2:$A$21,0))</f>
        <v>138</v>
      </c>
      <c r="AB1146" s="33">
        <f>IF(AA1146&lt;180,1,0)</f>
        <v>1</v>
      </c>
      <c r="AC1146" s="32" t="str">
        <f>IF(Orders!D1143="","",INDEX(Riders!$C$2:$C$81,MATCH(Orders!D1143,Riders!$A$2:$A$81,0)))</f>
        <v>EV scooter</v>
      </c>
      <c r="AD1146" s="33">
        <f>IF(Orders!D1143="","",INDEX(Riders!$D$2:$D$81,MATCH(Orders!D1143,Riders!$A$2:$A$81,0)))</f>
        <v>39</v>
      </c>
      <c r="AE1146" s="33">
        <f>IF(Orders!D1143="","",IF(INDEX(Riders!$B$2:$B$81,MATCH(Orders!D1143,Riders!$A$2:$A$81,0))=B1146,1,0))</f>
        <v>0</v>
      </c>
      <c r="AF1146" s="34">
        <f>IF(E1146=1,Orders!L1143,"")</f>
        <v>1.64</v>
      </c>
      <c r="AG1146" s="34">
        <f>IF(E1146=1,Orders!P1143,"")</f>
        <v>11.2</v>
      </c>
      <c r="AH1146" s="34">
        <f>IF(E1146=1,Orders!Q1143,"")</f>
        <v>11.9</v>
      </c>
      <c r="AI1146" s="34">
        <f>IF(E1146=1,Orders!M1143,"")</f>
        <v>4.4</v>
      </c>
      <c r="AJ1146" s="34">
        <f>IF(E1146=1,Orders!N1143,"")</f>
        <v>3</v>
      </c>
      <c r="AK1146" s="34">
        <f>IF(E1146=1,Orders!O1143,"")</f>
        <v>4.4</v>
      </c>
      <c r="AL1146" s="33">
        <f>IF(E1146=1,IF(ROUND(ABS(AI1146+AJ1146+AK1146-AH1146),6)&lt;=0.1,1,0),"")</f>
        <v>1</v>
      </c>
      <c r="AM1146" s="36">
        <f>IF(E1146=1,AI1146/AH1146,"")</f>
        <v>0.369747899159664</v>
      </c>
      <c r="AN1146" s="36">
        <f>IF(E1146=1,AJ1146/AH1146,"")</f>
        <v>0.252100840336134</v>
      </c>
      <c r="AO1146" s="36">
        <f>IF(E1146=1,AK1146/AH1146,"")</f>
        <v>0.369747899159664</v>
      </c>
      <c r="AP1146" s="34">
        <f>IF(E1146=1,Orders!Y1143,"")</f>
        <v>0.45</v>
      </c>
      <c r="AQ1146" s="33">
        <f>IF(Orders!X1143,1,0)</f>
        <v>0</v>
      </c>
      <c r="AR1146" s="34" t="str">
        <f>IF(AND(E1146=1,L1146=1),AJ1146,"")</f>
        <v/>
      </c>
      <c r="AS1146" s="34">
        <f>IF(AND(E1146=1,L1146=0),AJ1146,"")</f>
        <v>3</v>
      </c>
      <c r="AT1146" s="34" t="str">
        <f>IF(AND(E1146=1,L1146=1),AI1146,"")</f>
        <v/>
      </c>
      <c r="AU1146" s="34">
        <f>IF(AND(E1146=1,L1146=0),AI1146,"")</f>
        <v>4.4</v>
      </c>
      <c r="AV1146" s="34" t="str">
        <f>IF(AND(E1146=1,L1146=1),AG1146,"")</f>
        <v/>
      </c>
      <c r="AW1146" s="34">
        <f>IF(AND(E1146=1,L1146=0),AG1146,"")</f>
        <v>11.2</v>
      </c>
      <c r="AX1146" s="34" t="str">
        <f>IF(AND(E1146=1,L1146=1),AH1146,"")</f>
        <v/>
      </c>
      <c r="AY1146" s="34">
        <f>IF(AND(E1146=1,L1146=0),AH1146,"")</f>
        <v>11.9</v>
      </c>
      <c r="AZ1146" s="34">
        <f>IF(G1146=1,F1146,"")</f>
        <v>0.7</v>
      </c>
      <c r="BA1146" s="34" t="str">
        <f>IF(AND(G1146=1,L1146=1),F1146,"")</f>
        <v/>
      </c>
      <c r="BB1146" s="34">
        <f>IF(AND(G1146=1,L1146=0),F1146,"")</f>
        <v>0.7</v>
      </c>
      <c r="BC1146" s="33">
        <f>IF(E1146=1,IF(Orders!R1143&gt;3,1,0),"")</f>
        <v>0</v>
      </c>
      <c r="BD1146" s="33">
        <f>IF(E1146=1,IF(Orders!R1143&gt;7,1,0),"")</f>
        <v>0</v>
      </c>
      <c r="BE1146" s="32" t="str">
        <f>IF(E1146=1,IF(Orders!L1143&lt;=1.5,"Up to 1.5 km",IF(Orders!L1143&lt;=3,"1.5–3 km","Over 3 km")),"")</f>
        <v>1.5–3 km</v>
      </c>
      <c r="BF1146" s="33">
        <f>IF(E1146=1,IF(ABS((Orders!G1143-Orders!F1143)*1440-Orders!R1143)&lt;0.06,1,0),"")</f>
        <v>1</v>
      </c>
      <c r="BG1146" s="33">
        <f>IF(ABS((Orders!F1143-Orders!E1143)*1440-Orders!P1143)&lt;0.06,1,0)</f>
        <v>1</v>
      </c>
      <c r="BH1146" s="33">
        <f>IF(E1146=1,IF(IF(Orders!S1143,1,0)=1-G1146,1,0),"")</f>
        <v>1</v>
      </c>
      <c r="BI1146" s="32" t="str">
        <f>INDEX(Stores!$B$2:$B$21,MATCH(B1146,Stores!$A$2:$A$21,0))</f>
        <v>Delhi</v>
      </c>
    </row>
    <row r="1147">
      <c r="A1147" s="32" t="str">
        <f>Orders!A1144</f>
        <v>O01143</v>
      </c>
      <c r="B1147" s="32" t="str">
        <f>Orders!C1144</f>
        <v>S020</v>
      </c>
      <c r="C1147" s="32" t="str">
        <f>Orders!B1144</f>
        <v>C0052</v>
      </c>
      <c r="D1147" s="32" t="str">
        <f>Orders!H1144</f>
        <v>Delivered</v>
      </c>
      <c r="E1147" s="33">
        <f>IF(Orders!H1144="Delivered",1,0)</f>
        <v>1</v>
      </c>
      <c r="F1147" s="34">
        <f>IF(E1147=1,Orders!R1144,"")</f>
        <v>4.1</v>
      </c>
      <c r="G1147" s="33">
        <f>IF(E1147=1,IF(Orders!R1144&gt;0,1,0),"")</f>
        <v>1</v>
      </c>
      <c r="H1147" s="33">
        <f>IF(E1147=1,IF(Orders!R1144&gt;5,1,0),"")</f>
        <v>0</v>
      </c>
      <c r="I1147" s="32" t="str">
        <f>IF(E1147=1,"",IF(OR(Orders!T1144="Rider unavailable",Orders!T1144="Item unavailable"),"Company-caused","Unresolved"))</f>
        <v/>
      </c>
      <c r="J1147" s="33">
        <f>IF(OR(E1147=1,I1147="Company-caused"),1,0)</f>
        <v>1</v>
      </c>
      <c r="K1147" s="32" t="str">
        <f>IF(E1147=0,IF(I1147="Company-caused",IF(Orders!T1144="Rider unavailable","C1 Rider unavailable","C2 Item unavailable"),"Outside root: unresolved"),IF(G1147=0,"A On time",IF(H1147=1,IF(L1147=1,"B2a Severe, peak","B2b Severe, off-peak"),IF(L1147=1,"B1a Slight, peak","B1b Slight, off-peak"))))</f>
        <v>B1b Slight, off-peak</v>
      </c>
      <c r="L1147" s="33">
        <f>IF(AND(Orders!U1144&gt;=19,Orders!U1144&lt;22),1,0)</f>
        <v>0</v>
      </c>
      <c r="M1147" s="33">
        <f>IF(L1147=IF(Orders!V1144,1,0),1,0)</f>
        <v>1</v>
      </c>
      <c r="N1147" s="32" t="str">
        <f>IF(Orders!W1144="","None",Orders!W1144)</f>
        <v>Light</v>
      </c>
      <c r="O1147" s="35">
        <f>INT(Orders!E1144)</f>
        <v>46266.0</v>
      </c>
      <c r="P1147" s="33">
        <f>Orders!U1144</f>
        <v>18</v>
      </c>
      <c r="Q1147" s="33">
        <f>COUNTIFS(Demand!$A$2:$A$4481,B1147,Demand!$B$2:$B$4481,O1147,Demand!$C$2:$C$4481,P1147)</f>
        <v>1</v>
      </c>
      <c r="R1147" s="33">
        <f>IF(Q1147=1,SUMIFS(Demand!$E$2:$E$4481,Demand!$A$2:$A$4481,B1147,Demand!$B$2:$B$4481,O1147,Demand!$C$2:$C$4481,P1147),"")</f>
        <v>12</v>
      </c>
      <c r="S1147" s="33">
        <f>INDEX(Stores!$G$2:$G$21,MATCH(B1147,Stores!$A$2:$A$21,0))</f>
        <v>15</v>
      </c>
      <c r="T1147" s="34">
        <f>IF(R1147="","",R1147/S1147)</f>
        <v>0.8</v>
      </c>
      <c r="U1147" s="34">
        <f>IF(E1147=1,T1147,"")</f>
        <v>0.8</v>
      </c>
      <c r="V1147" s="34">
        <f>IF(AND(E1147=1,L1147=0),T1147,"")</f>
        <v>0.8</v>
      </c>
      <c r="W1147" s="33">
        <f>IF(U1147="","",IF(U1147&lt;=Breakdowns!$C$5,1,IF(U1147&lt;=Breakdowns!$C$6,2,IF(U1147&lt;=Breakdowns!$C$7,3,4))))</f>
        <v>2</v>
      </c>
      <c r="X1147" s="33">
        <f>IF(V1147="","",IF(V1147&lt;=Breakdowns!$D$5,1,IF(V1147&lt;=Breakdowns!$D$6,2,IF(V1147&lt;=Breakdowns!$D$7,3,4))))</f>
        <v>2</v>
      </c>
      <c r="Y1147" s="34">
        <f>INDEX(Stores!$F$2:$F$21,MATCH(B1147,Stores!$A$2:$A$21,0))</f>
        <v>5.74</v>
      </c>
      <c r="Z1147" s="33">
        <f>IF(Y1147&gt;Store_Summary!$M$2,1,0)</f>
        <v>1</v>
      </c>
      <c r="AA1147" s="33">
        <f>INDEX(Stores!$C$2:$C$21,MATCH(B1147,Stores!$A$2:$A$21,0))</f>
        <v>647</v>
      </c>
      <c r="AB1147" s="33">
        <f>IF(AA1147&lt;180,1,0)</f>
        <v>0</v>
      </c>
      <c r="AC1147" s="32" t="str">
        <f>IF(Orders!D1144="","",INDEX(Riders!$C$2:$C$81,MATCH(Orders!D1144,Riders!$A$2:$A$81,0)))</f>
        <v>Petrol scooter</v>
      </c>
      <c r="AD1147" s="33">
        <f>IF(Orders!D1144="","",INDEX(Riders!$D$2:$D$81,MATCH(Orders!D1144,Riders!$A$2:$A$81,0)))</f>
        <v>29</v>
      </c>
      <c r="AE1147" s="33">
        <f>IF(Orders!D1144="","",IF(INDEX(Riders!$B$2:$B$81,MATCH(Orders!D1144,Riders!$A$2:$A$81,0))=B1147,1,0))</f>
        <v>0</v>
      </c>
      <c r="AF1147" s="34">
        <f>IF(E1147=1,Orders!L1144,"")</f>
        <v>1.88</v>
      </c>
      <c r="AG1147" s="34">
        <f>IF(E1147=1,Orders!P1144,"")</f>
        <v>11.1</v>
      </c>
      <c r="AH1147" s="34">
        <f>IF(E1147=1,Orders!Q1144,"")</f>
        <v>15.2</v>
      </c>
      <c r="AI1147" s="34">
        <f>IF(E1147=1,Orders!M1144,"")</f>
        <v>5.6</v>
      </c>
      <c r="AJ1147" s="34">
        <f>IF(E1147=1,Orders!N1144,"")</f>
        <v>4.9</v>
      </c>
      <c r="AK1147" s="34">
        <f>IF(E1147=1,Orders!O1144,"")</f>
        <v>4.6</v>
      </c>
      <c r="AL1147" s="33">
        <f>IF(E1147=1,IF(ROUND(ABS(AI1147+AJ1147+AK1147-AH1147),6)&lt;=0.1,1,0),"")</f>
        <v>1</v>
      </c>
      <c r="AM1147" s="36">
        <f>IF(E1147=1,AI1147/AH1147,"")</f>
        <v>0.368421052631579</v>
      </c>
      <c r="AN1147" s="36">
        <f>IF(E1147=1,AJ1147/AH1147,"")</f>
        <v>0.322368421052632</v>
      </c>
      <c r="AO1147" s="36">
        <f>IF(E1147=1,AK1147/AH1147,"")</f>
        <v>0.302631578947368</v>
      </c>
      <c r="AP1147" s="34">
        <f>IF(E1147=1,Orders!Y1144,"")</f>
        <v>0.2</v>
      </c>
      <c r="AQ1147" s="33">
        <f>IF(Orders!X1144,1,0)</f>
        <v>0</v>
      </c>
      <c r="AR1147" s="34" t="str">
        <f>IF(AND(E1147=1,L1147=1),AJ1147,"")</f>
        <v/>
      </c>
      <c r="AS1147" s="34">
        <f>IF(AND(E1147=1,L1147=0),AJ1147,"")</f>
        <v>4.9</v>
      </c>
      <c r="AT1147" s="34" t="str">
        <f>IF(AND(E1147=1,L1147=1),AI1147,"")</f>
        <v/>
      </c>
      <c r="AU1147" s="34">
        <f>IF(AND(E1147=1,L1147=0),AI1147,"")</f>
        <v>5.6</v>
      </c>
      <c r="AV1147" s="34" t="str">
        <f>IF(AND(E1147=1,L1147=1),AG1147,"")</f>
        <v/>
      </c>
      <c r="AW1147" s="34">
        <f>IF(AND(E1147=1,L1147=0),AG1147,"")</f>
        <v>11.1</v>
      </c>
      <c r="AX1147" s="34" t="str">
        <f>IF(AND(E1147=1,L1147=1),AH1147,"")</f>
        <v/>
      </c>
      <c r="AY1147" s="34">
        <f>IF(AND(E1147=1,L1147=0),AH1147,"")</f>
        <v>15.2</v>
      </c>
      <c r="AZ1147" s="34">
        <f>IF(G1147=1,F1147,"")</f>
        <v>4.1</v>
      </c>
      <c r="BA1147" s="34" t="str">
        <f>IF(AND(G1147=1,L1147=1),F1147,"")</f>
        <v/>
      </c>
      <c r="BB1147" s="34">
        <f>IF(AND(G1147=1,L1147=0),F1147,"")</f>
        <v>4.1</v>
      </c>
      <c r="BC1147" s="33">
        <f>IF(E1147=1,IF(Orders!R1144&gt;3,1,0),"")</f>
        <v>1</v>
      </c>
      <c r="BD1147" s="33">
        <f>IF(E1147=1,IF(Orders!R1144&gt;7,1,0),"")</f>
        <v>0</v>
      </c>
      <c r="BE1147" s="32" t="str">
        <f>IF(E1147=1,IF(Orders!L1144&lt;=1.5,"Up to 1.5 km",IF(Orders!L1144&lt;=3,"1.5–3 km","Over 3 km")),"")</f>
        <v>1.5–3 km</v>
      </c>
      <c r="BF1147" s="33">
        <f>IF(E1147=1,IF(ABS((Orders!G1144-Orders!F1144)*1440-Orders!R1144)&lt;0.06,1,0),"")</f>
        <v>1</v>
      </c>
      <c r="BG1147" s="33">
        <f>IF(ABS((Orders!F1144-Orders!E1144)*1440-Orders!P1144)&lt;0.06,1,0)</f>
        <v>1</v>
      </c>
      <c r="BH1147" s="33">
        <f>IF(E1147=1,IF(IF(Orders!S1144,1,0)=1-G1147,1,0),"")</f>
        <v>1</v>
      </c>
      <c r="BI1147" s="32" t="str">
        <f>INDEX(Stores!$B$2:$B$21,MATCH(B1147,Stores!$A$2:$A$21,0))</f>
        <v>Delhi</v>
      </c>
    </row>
    <row r="1148">
      <c r="A1148" s="32" t="str">
        <f>Orders!A1145</f>
        <v>O01144</v>
      </c>
      <c r="B1148" s="32" t="str">
        <f>Orders!C1145</f>
        <v>S009</v>
      </c>
      <c r="C1148" s="32" t="str">
        <f>Orders!B1145</f>
        <v>C0144</v>
      </c>
      <c r="D1148" s="32" t="str">
        <f>Orders!H1145</f>
        <v>Delivered</v>
      </c>
      <c r="E1148" s="33">
        <f>IF(Orders!H1145="Delivered",1,0)</f>
        <v>1</v>
      </c>
      <c r="F1148" s="34">
        <f>IF(E1148=1,Orders!R1145,"")</f>
        <v>-1.1</v>
      </c>
      <c r="G1148" s="33">
        <f>IF(E1148=1,IF(Orders!R1145&gt;0,1,0),"")</f>
        <v>0</v>
      </c>
      <c r="H1148" s="33">
        <f>IF(E1148=1,IF(Orders!R1145&gt;5,1,0),"")</f>
        <v>0</v>
      </c>
      <c r="I1148" s="32" t="str">
        <f>IF(E1148=1,"",IF(OR(Orders!T1145="Rider unavailable",Orders!T1145="Item unavailable"),"Company-caused","Unresolved"))</f>
        <v/>
      </c>
      <c r="J1148" s="33">
        <f>IF(OR(E1148=1,I1148="Company-caused"),1,0)</f>
        <v>1</v>
      </c>
      <c r="K1148" s="32" t="str">
        <f>IF(E1148=0,IF(I1148="Company-caused",IF(Orders!T1145="Rider unavailable","C1 Rider unavailable","C2 Item unavailable"),"Outside root: unresolved"),IF(G1148=0,"A On time",IF(H1148=1,IF(L1148=1,"B2a Severe, peak","B2b Severe, off-peak"),IF(L1148=1,"B1a Slight, peak","B1b Slight, off-peak"))))</f>
        <v>A On time</v>
      </c>
      <c r="L1148" s="33">
        <f>IF(AND(Orders!U1145&gt;=19,Orders!U1145&lt;22),1,0)</f>
        <v>0</v>
      </c>
      <c r="M1148" s="33">
        <f>IF(L1148=IF(Orders!V1145,1,0),1,0)</f>
        <v>1</v>
      </c>
      <c r="N1148" s="32" t="str">
        <f>IF(Orders!W1145="","None",Orders!W1145)</f>
        <v>None</v>
      </c>
      <c r="O1148" s="35">
        <f>INT(Orders!E1145)</f>
        <v>46274.0</v>
      </c>
      <c r="P1148" s="33">
        <f>Orders!U1145</f>
        <v>16</v>
      </c>
      <c r="Q1148" s="33">
        <f>COUNTIFS(Demand!$A$2:$A$4481,B1148,Demand!$B$2:$B$4481,O1148,Demand!$C$2:$C$4481,P1148)</f>
        <v>1</v>
      </c>
      <c r="R1148" s="33">
        <f>IF(Q1148=1,SUMIFS(Demand!$E$2:$E$4481,Demand!$A$2:$A$4481,B1148,Demand!$B$2:$B$4481,O1148,Demand!$C$2:$C$4481,P1148),"")</f>
        <v>29</v>
      </c>
      <c r="S1148" s="33">
        <f>INDEX(Stores!$G$2:$G$21,MATCH(B1148,Stores!$A$2:$A$21,0))</f>
        <v>29</v>
      </c>
      <c r="T1148" s="34">
        <f>IF(R1148="","",R1148/S1148)</f>
        <v>1</v>
      </c>
      <c r="U1148" s="34">
        <f>IF(E1148=1,T1148,"")</f>
        <v>1</v>
      </c>
      <c r="V1148" s="34">
        <f>IF(AND(E1148=1,L1148=0),T1148,"")</f>
        <v>1</v>
      </c>
      <c r="W1148" s="33">
        <f>IF(U1148="","",IF(U1148&lt;=Breakdowns!$C$5,1,IF(U1148&lt;=Breakdowns!$C$6,2,IF(U1148&lt;=Breakdowns!$C$7,3,4))))</f>
        <v>2</v>
      </c>
      <c r="X1148" s="33">
        <f>IF(V1148="","",IF(V1148&lt;=Breakdowns!$D$5,1,IF(V1148&lt;=Breakdowns!$D$6,2,IF(V1148&lt;=Breakdowns!$D$7,3,4))))</f>
        <v>3</v>
      </c>
      <c r="Y1148" s="34">
        <f>INDEX(Stores!$F$2:$F$21,MATCH(B1148,Stores!$A$2:$A$21,0))</f>
        <v>2.66</v>
      </c>
      <c r="Z1148" s="33">
        <f>IF(Y1148&gt;Store_Summary!$M$2,1,0)</f>
        <v>0</v>
      </c>
      <c r="AA1148" s="33">
        <f>INDEX(Stores!$C$2:$C$21,MATCH(B1148,Stores!$A$2:$A$21,0))</f>
        <v>645</v>
      </c>
      <c r="AB1148" s="33">
        <f>IF(AA1148&lt;180,1,0)</f>
        <v>0</v>
      </c>
      <c r="AC1148" s="32" t="str">
        <f>IF(Orders!D1145="","",INDEX(Riders!$C$2:$C$81,MATCH(Orders!D1145,Riders!$A$2:$A$81,0)))</f>
        <v>EV scooter</v>
      </c>
      <c r="AD1148" s="33">
        <f>IF(Orders!D1145="","",INDEX(Riders!$D$2:$D$81,MATCH(Orders!D1145,Riders!$A$2:$A$81,0)))</f>
        <v>11</v>
      </c>
      <c r="AE1148" s="33">
        <f>IF(Orders!D1145="","",IF(INDEX(Riders!$B$2:$B$81,MATCH(Orders!D1145,Riders!$A$2:$A$81,0))=B1148,1,0))</f>
        <v>0</v>
      </c>
      <c r="AF1148" s="34">
        <f>IF(E1148=1,Orders!L1145,"")</f>
        <v>1.04</v>
      </c>
      <c r="AG1148" s="34">
        <f>IF(E1148=1,Orders!P1145,"")</f>
        <v>8.2</v>
      </c>
      <c r="AH1148" s="34">
        <f>IF(E1148=1,Orders!Q1145,"")</f>
        <v>7.1</v>
      </c>
      <c r="AI1148" s="34">
        <f>IF(E1148=1,Orders!M1145,"")</f>
        <v>1.8</v>
      </c>
      <c r="AJ1148" s="34">
        <f>IF(E1148=1,Orders!N1145,"")</f>
        <v>2.9</v>
      </c>
      <c r="AK1148" s="34">
        <f>IF(E1148=1,Orders!O1145,"")</f>
        <v>2.4</v>
      </c>
      <c r="AL1148" s="33">
        <f>IF(E1148=1,IF(ROUND(ABS(AI1148+AJ1148+AK1148-AH1148),6)&lt;=0.1,1,0),"")</f>
        <v>1</v>
      </c>
      <c r="AM1148" s="36">
        <f>IF(E1148=1,AI1148/AH1148,"")</f>
        <v>0.253521126760563</v>
      </c>
      <c r="AN1148" s="36">
        <f>IF(E1148=1,AJ1148/AH1148,"")</f>
        <v>0.408450704225352</v>
      </c>
      <c r="AO1148" s="36">
        <f>IF(E1148=1,AK1148/AH1148,"")</f>
        <v>0.338028169014085</v>
      </c>
      <c r="AP1148" s="34">
        <f>IF(E1148=1,Orders!Y1145,"")</f>
        <v>0.36</v>
      </c>
      <c r="AQ1148" s="33">
        <f>IF(Orders!X1145,1,0)</f>
        <v>0</v>
      </c>
      <c r="AR1148" s="34" t="str">
        <f>IF(AND(E1148=1,L1148=1),AJ1148,"")</f>
        <v/>
      </c>
      <c r="AS1148" s="34">
        <f>IF(AND(E1148=1,L1148=0),AJ1148,"")</f>
        <v>2.9</v>
      </c>
      <c r="AT1148" s="34" t="str">
        <f>IF(AND(E1148=1,L1148=1),AI1148,"")</f>
        <v/>
      </c>
      <c r="AU1148" s="34">
        <f>IF(AND(E1148=1,L1148=0),AI1148,"")</f>
        <v>1.8</v>
      </c>
      <c r="AV1148" s="34" t="str">
        <f>IF(AND(E1148=1,L1148=1),AG1148,"")</f>
        <v/>
      </c>
      <c r="AW1148" s="34">
        <f>IF(AND(E1148=1,L1148=0),AG1148,"")</f>
        <v>8.2</v>
      </c>
      <c r="AX1148" s="34" t="str">
        <f>IF(AND(E1148=1,L1148=1),AH1148,"")</f>
        <v/>
      </c>
      <c r="AY1148" s="34">
        <f>IF(AND(E1148=1,L1148=0),AH1148,"")</f>
        <v>7.1</v>
      </c>
      <c r="AZ1148" s="34" t="str">
        <f>IF(G1148=1,F1148,"")</f>
        <v/>
      </c>
      <c r="BA1148" s="34" t="str">
        <f>IF(AND(G1148=1,L1148=1),F1148,"")</f>
        <v/>
      </c>
      <c r="BB1148" s="34" t="str">
        <f>IF(AND(G1148=1,L1148=0),F1148,"")</f>
        <v/>
      </c>
      <c r="BC1148" s="33">
        <f>IF(E1148=1,IF(Orders!R1145&gt;3,1,0),"")</f>
        <v>0</v>
      </c>
      <c r="BD1148" s="33">
        <f>IF(E1148=1,IF(Orders!R1145&gt;7,1,0),"")</f>
        <v>0</v>
      </c>
      <c r="BE1148" s="32" t="str">
        <f>IF(E1148=1,IF(Orders!L1145&lt;=1.5,"Up to 1.5 km",IF(Orders!L1145&lt;=3,"1.5–3 km","Over 3 km")),"")</f>
        <v>Up to 1.5 km</v>
      </c>
      <c r="BF1148" s="33">
        <f>IF(E1148=1,IF(ABS((Orders!G1145-Orders!F1145)*1440-Orders!R1145)&lt;0.06,1,0),"")</f>
        <v>1</v>
      </c>
      <c r="BG1148" s="33">
        <f>IF(ABS((Orders!F1145-Orders!E1145)*1440-Orders!P1145)&lt;0.06,1,0)</f>
        <v>1</v>
      </c>
      <c r="BH1148" s="33">
        <f>IF(E1148=1,IF(IF(Orders!S1145,1,0)=1-G1148,1,0),"")</f>
        <v>1</v>
      </c>
      <c r="BI1148" s="32" t="str">
        <f>INDEX(Stores!$B$2:$B$21,MATCH(B1148,Stores!$A$2:$A$21,0))</f>
        <v>Pune</v>
      </c>
    </row>
    <row r="1149">
      <c r="A1149" s="32" t="str">
        <f>Orders!A1146</f>
        <v>O01145</v>
      </c>
      <c r="B1149" s="32" t="str">
        <f>Orders!C1146</f>
        <v>S010</v>
      </c>
      <c r="C1149" s="32" t="str">
        <f>Orders!B1146</f>
        <v>C0127</v>
      </c>
      <c r="D1149" s="32" t="str">
        <f>Orders!H1146</f>
        <v>Delivered</v>
      </c>
      <c r="E1149" s="33">
        <f>IF(Orders!H1146="Delivered",1,0)</f>
        <v>1</v>
      </c>
      <c r="F1149" s="34">
        <f>IF(E1149=1,Orders!R1146,"")</f>
        <v>4.9</v>
      </c>
      <c r="G1149" s="33">
        <f>IF(E1149=1,IF(Orders!R1146&gt;0,1,0),"")</f>
        <v>1</v>
      </c>
      <c r="H1149" s="33">
        <f>IF(E1149=1,IF(Orders!R1146&gt;5,1,0),"")</f>
        <v>0</v>
      </c>
      <c r="I1149" s="32" t="str">
        <f>IF(E1149=1,"",IF(OR(Orders!T1146="Rider unavailable",Orders!T1146="Item unavailable"),"Company-caused","Unresolved"))</f>
        <v/>
      </c>
      <c r="J1149" s="33">
        <f>IF(OR(E1149=1,I1149="Company-caused"),1,0)</f>
        <v>1</v>
      </c>
      <c r="K1149" s="32" t="str">
        <f>IF(E1149=0,IF(I1149="Company-caused",IF(Orders!T1146="Rider unavailable","C1 Rider unavailable","C2 Item unavailable"),"Outside root: unresolved"),IF(G1149=0,"A On time",IF(H1149=1,IF(L1149=1,"B2a Severe, peak","B2b Severe, off-peak"),IF(L1149=1,"B1a Slight, peak","B1b Slight, off-peak"))))</f>
        <v>B1b Slight, off-peak</v>
      </c>
      <c r="L1149" s="33">
        <f>IF(AND(Orders!U1146&gt;=19,Orders!U1146&lt;22),1,0)</f>
        <v>0</v>
      </c>
      <c r="M1149" s="33">
        <f>IF(L1149=IF(Orders!V1146,1,0),1,0)</f>
        <v>1</v>
      </c>
      <c r="N1149" s="32" t="str">
        <f>IF(Orders!W1146="","None",Orders!W1146)</f>
        <v>None</v>
      </c>
      <c r="O1149" s="35">
        <f>INT(Orders!E1146)</f>
        <v>46266.0</v>
      </c>
      <c r="P1149" s="33">
        <f>Orders!U1146</f>
        <v>22</v>
      </c>
      <c r="Q1149" s="33">
        <f>COUNTIFS(Demand!$A$2:$A$4481,B1149,Demand!$B$2:$B$4481,O1149,Demand!$C$2:$C$4481,P1149)</f>
        <v>1</v>
      </c>
      <c r="R1149" s="33">
        <f>IF(Q1149=1,SUMIFS(Demand!$E$2:$E$4481,Demand!$A$2:$A$4481,B1149,Demand!$B$2:$B$4481,O1149,Demand!$C$2:$C$4481,P1149),"")</f>
        <v>18</v>
      </c>
      <c r="S1149" s="33">
        <f>INDEX(Stores!$G$2:$G$21,MATCH(B1149,Stores!$A$2:$A$21,0))</f>
        <v>22</v>
      </c>
      <c r="T1149" s="34">
        <f>IF(R1149="","",R1149/S1149)</f>
        <v>0.818181818181818</v>
      </c>
      <c r="U1149" s="34">
        <f>IF(E1149=1,T1149,"")</f>
        <v>0.818181818181818</v>
      </c>
      <c r="V1149" s="34">
        <f>IF(AND(E1149=1,L1149=0),T1149,"")</f>
        <v>0.818181818181818</v>
      </c>
      <c r="W1149" s="33">
        <f>IF(U1149="","",IF(U1149&lt;=Breakdowns!$C$5,1,IF(U1149&lt;=Breakdowns!$C$6,2,IF(U1149&lt;=Breakdowns!$C$7,3,4))))</f>
        <v>2</v>
      </c>
      <c r="X1149" s="33">
        <f>IF(V1149="","",IF(V1149&lt;=Breakdowns!$D$5,1,IF(V1149&lt;=Breakdowns!$D$6,2,IF(V1149&lt;=Breakdowns!$D$7,3,4))))</f>
        <v>2</v>
      </c>
      <c r="Y1149" s="34">
        <f>INDEX(Stores!$F$2:$F$21,MATCH(B1149,Stores!$A$2:$A$21,0))</f>
        <v>5.61</v>
      </c>
      <c r="Z1149" s="33">
        <f>IF(Y1149&gt;Store_Summary!$M$2,1,0)</f>
        <v>1</v>
      </c>
      <c r="AA1149" s="33">
        <f>INDEX(Stores!$C$2:$C$21,MATCH(B1149,Stores!$A$2:$A$21,0))</f>
        <v>744</v>
      </c>
      <c r="AB1149" s="33">
        <f>IF(AA1149&lt;180,1,0)</f>
        <v>0</v>
      </c>
      <c r="AC1149" s="32" t="str">
        <f>IF(Orders!D1146="","",INDEX(Riders!$C$2:$C$81,MATCH(Orders!D1146,Riders!$A$2:$A$81,0)))</f>
        <v>Petrol scooter</v>
      </c>
      <c r="AD1149" s="33">
        <f>IF(Orders!D1146="","",INDEX(Riders!$D$2:$D$81,MATCH(Orders!D1146,Riders!$A$2:$A$81,0)))</f>
        <v>11</v>
      </c>
      <c r="AE1149" s="33">
        <f>IF(Orders!D1146="","",IF(INDEX(Riders!$B$2:$B$81,MATCH(Orders!D1146,Riders!$A$2:$A$81,0))=B1149,1,0))</f>
        <v>0</v>
      </c>
      <c r="AF1149" s="34">
        <f>IF(E1149=1,Orders!L1146,"")</f>
        <v>4</v>
      </c>
      <c r="AG1149" s="34">
        <f>IF(E1149=1,Orders!P1146,"")</f>
        <v>12.1</v>
      </c>
      <c r="AH1149" s="34">
        <f>IF(E1149=1,Orders!Q1146,"")</f>
        <v>17</v>
      </c>
      <c r="AI1149" s="34">
        <f>IF(E1149=1,Orders!M1146,"")</f>
        <v>6.1</v>
      </c>
      <c r="AJ1149" s="34">
        <f>IF(E1149=1,Orders!N1146,"")</f>
        <v>1.7</v>
      </c>
      <c r="AK1149" s="34">
        <f>IF(E1149=1,Orders!O1146,"")</f>
        <v>9.2</v>
      </c>
      <c r="AL1149" s="33">
        <f>IF(E1149=1,IF(ROUND(ABS(AI1149+AJ1149+AK1149-AH1149),6)&lt;=0.1,1,0),"")</f>
        <v>1</v>
      </c>
      <c r="AM1149" s="36">
        <f>IF(E1149=1,AI1149/AH1149,"")</f>
        <v>0.358823529411765</v>
      </c>
      <c r="AN1149" s="36">
        <f>IF(E1149=1,AJ1149/AH1149,"")</f>
        <v>0.1</v>
      </c>
      <c r="AO1149" s="36">
        <f>IF(E1149=1,AK1149/AH1149,"")</f>
        <v>0.541176470588235</v>
      </c>
      <c r="AP1149" s="34">
        <f>IF(E1149=1,Orders!Y1146,"")</f>
        <v>0.36</v>
      </c>
      <c r="AQ1149" s="33">
        <f>IF(Orders!X1146,1,0)</f>
        <v>0</v>
      </c>
      <c r="AR1149" s="34" t="str">
        <f>IF(AND(E1149=1,L1149=1),AJ1149,"")</f>
        <v/>
      </c>
      <c r="AS1149" s="34">
        <f>IF(AND(E1149=1,L1149=0),AJ1149,"")</f>
        <v>1.7</v>
      </c>
      <c r="AT1149" s="34" t="str">
        <f>IF(AND(E1149=1,L1149=1),AI1149,"")</f>
        <v/>
      </c>
      <c r="AU1149" s="34">
        <f>IF(AND(E1149=1,L1149=0),AI1149,"")</f>
        <v>6.1</v>
      </c>
      <c r="AV1149" s="34" t="str">
        <f>IF(AND(E1149=1,L1149=1),AG1149,"")</f>
        <v/>
      </c>
      <c r="AW1149" s="34">
        <f>IF(AND(E1149=1,L1149=0),AG1149,"")</f>
        <v>12.1</v>
      </c>
      <c r="AX1149" s="34" t="str">
        <f>IF(AND(E1149=1,L1149=1),AH1149,"")</f>
        <v/>
      </c>
      <c r="AY1149" s="34">
        <f>IF(AND(E1149=1,L1149=0),AH1149,"")</f>
        <v>17</v>
      </c>
      <c r="AZ1149" s="34">
        <f>IF(G1149=1,F1149,"")</f>
        <v>4.9</v>
      </c>
      <c r="BA1149" s="34" t="str">
        <f>IF(AND(G1149=1,L1149=1),F1149,"")</f>
        <v/>
      </c>
      <c r="BB1149" s="34">
        <f>IF(AND(G1149=1,L1149=0),F1149,"")</f>
        <v>4.9</v>
      </c>
      <c r="BC1149" s="33">
        <f>IF(E1149=1,IF(Orders!R1146&gt;3,1,0),"")</f>
        <v>1</v>
      </c>
      <c r="BD1149" s="33">
        <f>IF(E1149=1,IF(Orders!R1146&gt;7,1,0),"")</f>
        <v>0</v>
      </c>
      <c r="BE1149" s="32" t="str">
        <f>IF(E1149=1,IF(Orders!L1146&lt;=1.5,"Up to 1.5 km",IF(Orders!L1146&lt;=3,"1.5–3 km","Over 3 km")),"")</f>
        <v>Over 3 km</v>
      </c>
      <c r="BF1149" s="33">
        <f>IF(E1149=1,IF(ABS((Orders!G1146-Orders!F1146)*1440-Orders!R1146)&lt;0.06,1,0),"")</f>
        <v>1</v>
      </c>
      <c r="BG1149" s="33">
        <f>IF(ABS((Orders!F1146-Orders!E1146)*1440-Orders!P1146)&lt;0.06,1,0)</f>
        <v>1</v>
      </c>
      <c r="BH1149" s="33">
        <f>IF(E1149=1,IF(IF(Orders!S1146,1,0)=1-G1149,1,0),"")</f>
        <v>1</v>
      </c>
      <c r="BI1149" s="32" t="str">
        <f>INDEX(Stores!$B$2:$B$21,MATCH(B1149,Stores!$A$2:$A$21,0))</f>
        <v>Delhi</v>
      </c>
    </row>
    <row r="1150">
      <c r="A1150" s="32" t="str">
        <f>Orders!A1147</f>
        <v>O01146</v>
      </c>
      <c r="B1150" s="32" t="str">
        <f>Orders!C1147</f>
        <v>S011</v>
      </c>
      <c r="C1150" s="32" t="str">
        <f>Orders!B1147</f>
        <v>C0107</v>
      </c>
      <c r="D1150" s="32" t="str">
        <f>Orders!H1147</f>
        <v>Delivered</v>
      </c>
      <c r="E1150" s="33">
        <f>IF(Orders!H1147="Delivered",1,0)</f>
        <v>1</v>
      </c>
      <c r="F1150" s="34">
        <f>IF(E1150=1,Orders!R1147,"")</f>
        <v>-0.8</v>
      </c>
      <c r="G1150" s="33">
        <f>IF(E1150=1,IF(Orders!R1147&gt;0,1,0),"")</f>
        <v>0</v>
      </c>
      <c r="H1150" s="33">
        <f>IF(E1150=1,IF(Orders!R1147&gt;5,1,0),"")</f>
        <v>0</v>
      </c>
      <c r="I1150" s="32" t="str">
        <f>IF(E1150=1,"",IF(OR(Orders!T1147="Rider unavailable",Orders!T1147="Item unavailable"),"Company-caused","Unresolved"))</f>
        <v/>
      </c>
      <c r="J1150" s="33">
        <f>IF(OR(E1150=1,I1150="Company-caused"),1,0)</f>
        <v>1</v>
      </c>
      <c r="K1150" s="32" t="str">
        <f>IF(E1150=0,IF(I1150="Company-caused",IF(Orders!T1147="Rider unavailable","C1 Rider unavailable","C2 Item unavailable"),"Outside root: unresolved"),IF(G1150=0,"A On time",IF(H1150=1,IF(L1150=1,"B2a Severe, peak","B2b Severe, off-peak"),IF(L1150=1,"B1a Slight, peak","B1b Slight, off-peak"))))</f>
        <v>A On time</v>
      </c>
      <c r="L1150" s="33">
        <f>IF(AND(Orders!U1147&gt;=19,Orders!U1147&lt;22),1,0)</f>
        <v>0</v>
      </c>
      <c r="M1150" s="33">
        <f>IF(L1150=IF(Orders!V1147,1,0),1,0)</f>
        <v>1</v>
      </c>
      <c r="N1150" s="32" t="str">
        <f>IF(Orders!W1147="","None",Orders!W1147)</f>
        <v>None</v>
      </c>
      <c r="O1150" s="35">
        <f>INT(Orders!E1147)</f>
        <v>46276.0</v>
      </c>
      <c r="P1150" s="33">
        <f>Orders!U1147</f>
        <v>23</v>
      </c>
      <c r="Q1150" s="33">
        <f>COUNTIFS(Demand!$A$2:$A$4481,B1150,Demand!$B$2:$B$4481,O1150,Demand!$C$2:$C$4481,P1150)</f>
        <v>1</v>
      </c>
      <c r="R1150" s="33">
        <f>IF(Q1150=1,SUMIFS(Demand!$E$2:$E$4481,Demand!$A$2:$A$4481,B1150,Demand!$B$2:$B$4481,O1150,Demand!$C$2:$C$4481,P1150),"")</f>
        <v>32</v>
      </c>
      <c r="S1150" s="33">
        <f>INDEX(Stores!$G$2:$G$21,MATCH(B1150,Stores!$A$2:$A$21,0))</f>
        <v>31</v>
      </c>
      <c r="T1150" s="34">
        <f>IF(R1150="","",R1150/S1150)</f>
        <v>1.03225806451613</v>
      </c>
      <c r="U1150" s="34">
        <f>IF(E1150=1,T1150,"")</f>
        <v>1.03225806451613</v>
      </c>
      <c r="V1150" s="34">
        <f>IF(AND(E1150=1,L1150=0),T1150,"")</f>
        <v>1.03225806451613</v>
      </c>
      <c r="W1150" s="33">
        <f>IF(U1150="","",IF(U1150&lt;=Breakdowns!$C$5,1,IF(U1150&lt;=Breakdowns!$C$6,2,IF(U1150&lt;=Breakdowns!$C$7,3,4))))</f>
        <v>3</v>
      </c>
      <c r="X1150" s="33">
        <f>IF(V1150="","",IF(V1150&lt;=Breakdowns!$D$5,1,IF(V1150&lt;=Breakdowns!$D$6,2,IF(V1150&lt;=Breakdowns!$D$7,3,4))))</f>
        <v>3</v>
      </c>
      <c r="Y1150" s="34">
        <f>INDEX(Stores!$F$2:$F$21,MATCH(B1150,Stores!$A$2:$A$21,0))</f>
        <v>5.67</v>
      </c>
      <c r="Z1150" s="33">
        <f>IF(Y1150&gt;Store_Summary!$M$2,1,0)</f>
        <v>1</v>
      </c>
      <c r="AA1150" s="33">
        <f>INDEX(Stores!$C$2:$C$21,MATCH(B1150,Stores!$A$2:$A$21,0))</f>
        <v>732</v>
      </c>
      <c r="AB1150" s="33">
        <f>IF(AA1150&lt;180,1,0)</f>
        <v>0</v>
      </c>
      <c r="AC1150" s="32" t="str">
        <f>IF(Orders!D1147="","",INDEX(Riders!$C$2:$C$81,MATCH(Orders!D1147,Riders!$A$2:$A$81,0)))</f>
        <v>EV scooter</v>
      </c>
      <c r="AD1150" s="33">
        <f>IF(Orders!D1147="","",INDEX(Riders!$D$2:$D$81,MATCH(Orders!D1147,Riders!$A$2:$A$81,0)))</f>
        <v>33</v>
      </c>
      <c r="AE1150" s="33">
        <f>IF(Orders!D1147="","",IF(INDEX(Riders!$B$2:$B$81,MATCH(Orders!D1147,Riders!$A$2:$A$81,0))=B1150,1,0))</f>
        <v>0</v>
      </c>
      <c r="AF1150" s="34">
        <f>IF(E1150=1,Orders!L1147,"")</f>
        <v>2.96</v>
      </c>
      <c r="AG1150" s="34">
        <f>IF(E1150=1,Orders!P1147,"")</f>
        <v>9.4</v>
      </c>
      <c r="AH1150" s="34">
        <f>IF(E1150=1,Orders!Q1147,"")</f>
        <v>8.6</v>
      </c>
      <c r="AI1150" s="34">
        <f>IF(E1150=1,Orders!M1147,"")</f>
        <v>2.8</v>
      </c>
      <c r="AJ1150" s="34">
        <f>IF(E1150=1,Orders!N1147,"")</f>
        <v>2.6</v>
      </c>
      <c r="AK1150" s="34">
        <f>IF(E1150=1,Orders!O1147,"")</f>
        <v>3.2</v>
      </c>
      <c r="AL1150" s="33">
        <f>IF(E1150=1,IF(ROUND(ABS(AI1150+AJ1150+AK1150-AH1150),6)&lt;=0.1,1,0),"")</f>
        <v>1</v>
      </c>
      <c r="AM1150" s="36">
        <f>IF(E1150=1,AI1150/AH1150,"")</f>
        <v>0.325581395348837</v>
      </c>
      <c r="AN1150" s="36">
        <f>IF(E1150=1,AJ1150/AH1150,"")</f>
        <v>0.302325581395349</v>
      </c>
      <c r="AO1150" s="36">
        <f>IF(E1150=1,AK1150/AH1150,"")</f>
        <v>0.372093023255814</v>
      </c>
      <c r="AP1150" s="34">
        <f>IF(E1150=1,Orders!Y1147,"")</f>
        <v>0.5</v>
      </c>
      <c r="AQ1150" s="33">
        <f>IF(Orders!X1147,1,0)</f>
        <v>0</v>
      </c>
      <c r="AR1150" s="34" t="str">
        <f>IF(AND(E1150=1,L1150=1),AJ1150,"")</f>
        <v/>
      </c>
      <c r="AS1150" s="34">
        <f>IF(AND(E1150=1,L1150=0),AJ1150,"")</f>
        <v>2.6</v>
      </c>
      <c r="AT1150" s="34" t="str">
        <f>IF(AND(E1150=1,L1150=1),AI1150,"")</f>
        <v/>
      </c>
      <c r="AU1150" s="34">
        <f>IF(AND(E1150=1,L1150=0),AI1150,"")</f>
        <v>2.8</v>
      </c>
      <c r="AV1150" s="34" t="str">
        <f>IF(AND(E1150=1,L1150=1),AG1150,"")</f>
        <v/>
      </c>
      <c r="AW1150" s="34">
        <f>IF(AND(E1150=1,L1150=0),AG1150,"")</f>
        <v>9.4</v>
      </c>
      <c r="AX1150" s="34" t="str">
        <f>IF(AND(E1150=1,L1150=1),AH1150,"")</f>
        <v/>
      </c>
      <c r="AY1150" s="34">
        <f>IF(AND(E1150=1,L1150=0),AH1150,"")</f>
        <v>8.6</v>
      </c>
      <c r="AZ1150" s="34" t="str">
        <f>IF(G1150=1,F1150,"")</f>
        <v/>
      </c>
      <c r="BA1150" s="34" t="str">
        <f>IF(AND(G1150=1,L1150=1),F1150,"")</f>
        <v/>
      </c>
      <c r="BB1150" s="34" t="str">
        <f>IF(AND(G1150=1,L1150=0),F1150,"")</f>
        <v/>
      </c>
      <c r="BC1150" s="33">
        <f>IF(E1150=1,IF(Orders!R1147&gt;3,1,0),"")</f>
        <v>0</v>
      </c>
      <c r="BD1150" s="33">
        <f>IF(E1150=1,IF(Orders!R1147&gt;7,1,0),"")</f>
        <v>0</v>
      </c>
      <c r="BE1150" s="32" t="str">
        <f>IF(E1150=1,IF(Orders!L1147&lt;=1.5,"Up to 1.5 km",IF(Orders!L1147&lt;=3,"1.5–3 km","Over 3 km")),"")</f>
        <v>1.5–3 km</v>
      </c>
      <c r="BF1150" s="33">
        <f>IF(E1150=1,IF(ABS((Orders!G1147-Orders!F1147)*1440-Orders!R1147)&lt;0.06,1,0),"")</f>
        <v>1</v>
      </c>
      <c r="BG1150" s="33">
        <f>IF(ABS((Orders!F1147-Orders!E1147)*1440-Orders!P1147)&lt;0.06,1,0)</f>
        <v>1</v>
      </c>
      <c r="BH1150" s="33">
        <f>IF(E1150=1,IF(IF(Orders!S1147,1,0)=1-G1150,1,0),"")</f>
        <v>1</v>
      </c>
      <c r="BI1150" s="32" t="str">
        <f>INDEX(Stores!$B$2:$B$21,MATCH(B1150,Stores!$A$2:$A$21,0))</f>
        <v>Bengaluru</v>
      </c>
    </row>
    <row r="1151">
      <c r="A1151" s="32" t="str">
        <f>Orders!A1148</f>
        <v>O01147</v>
      </c>
      <c r="B1151" s="32" t="str">
        <f>Orders!C1148</f>
        <v>S014</v>
      </c>
      <c r="C1151" s="32" t="str">
        <f>Orders!B1148</f>
        <v>C0046</v>
      </c>
      <c r="D1151" s="32" t="str">
        <f>Orders!H1148</f>
        <v>Delivered</v>
      </c>
      <c r="E1151" s="33">
        <f>IF(Orders!H1148="Delivered",1,0)</f>
        <v>1</v>
      </c>
      <c r="F1151" s="34">
        <f>IF(E1151=1,Orders!R1148,"")</f>
        <v>3.7</v>
      </c>
      <c r="G1151" s="33">
        <f>IF(E1151=1,IF(Orders!R1148&gt;0,1,0),"")</f>
        <v>1</v>
      </c>
      <c r="H1151" s="33">
        <f>IF(E1151=1,IF(Orders!R1148&gt;5,1,0),"")</f>
        <v>0</v>
      </c>
      <c r="I1151" s="32" t="str">
        <f>IF(E1151=1,"",IF(OR(Orders!T1148="Rider unavailable",Orders!T1148="Item unavailable"),"Company-caused","Unresolved"))</f>
        <v/>
      </c>
      <c r="J1151" s="33">
        <f>IF(OR(E1151=1,I1151="Company-caused"),1,0)</f>
        <v>1</v>
      </c>
      <c r="K1151" s="32" t="str">
        <f>IF(E1151=0,IF(I1151="Company-caused",IF(Orders!T1148="Rider unavailable","C1 Rider unavailable","C2 Item unavailable"),"Outside root: unresolved"),IF(G1151=0,"A On time",IF(H1151=1,IF(L1151=1,"B2a Severe, peak","B2b Severe, off-peak"),IF(L1151=1,"B1a Slight, peak","B1b Slight, off-peak"))))</f>
        <v>B1b Slight, off-peak</v>
      </c>
      <c r="L1151" s="33">
        <f>IF(AND(Orders!U1148&gt;=19,Orders!U1148&lt;22),1,0)</f>
        <v>0</v>
      </c>
      <c r="M1151" s="33">
        <f>IF(L1151=IF(Orders!V1148,1,0),1,0)</f>
        <v>1</v>
      </c>
      <c r="N1151" s="32" t="str">
        <f>IF(Orders!W1148="","None",Orders!W1148)</f>
        <v>None</v>
      </c>
      <c r="O1151" s="35">
        <f>INT(Orders!E1148)</f>
        <v>46271.0</v>
      </c>
      <c r="P1151" s="33">
        <f>Orders!U1148</f>
        <v>16</v>
      </c>
      <c r="Q1151" s="33">
        <f>COUNTIFS(Demand!$A$2:$A$4481,B1151,Demand!$B$2:$B$4481,O1151,Demand!$C$2:$C$4481,P1151)</f>
        <v>1</v>
      </c>
      <c r="R1151" s="33">
        <f>IF(Q1151=1,SUMIFS(Demand!$E$2:$E$4481,Demand!$A$2:$A$4481,B1151,Demand!$B$2:$B$4481,O1151,Demand!$C$2:$C$4481,P1151),"")</f>
        <v>40</v>
      </c>
      <c r="S1151" s="33">
        <f>INDEX(Stores!$G$2:$G$21,MATCH(B1151,Stores!$A$2:$A$21,0))</f>
        <v>37</v>
      </c>
      <c r="T1151" s="34">
        <f>IF(R1151="","",R1151/S1151)</f>
        <v>1.08108108108108</v>
      </c>
      <c r="U1151" s="34">
        <f>IF(E1151=1,T1151,"")</f>
        <v>1.08108108108108</v>
      </c>
      <c r="V1151" s="34">
        <f>IF(AND(E1151=1,L1151=0),T1151,"")</f>
        <v>1.08108108108108</v>
      </c>
      <c r="W1151" s="33">
        <f>IF(U1151="","",IF(U1151&lt;=Breakdowns!$C$5,1,IF(U1151&lt;=Breakdowns!$C$6,2,IF(U1151&lt;=Breakdowns!$C$7,3,4))))</f>
        <v>3</v>
      </c>
      <c r="X1151" s="33">
        <f>IF(V1151="","",IF(V1151&lt;=Breakdowns!$D$5,1,IF(V1151&lt;=Breakdowns!$D$6,2,IF(V1151&lt;=Breakdowns!$D$7,3,4))))</f>
        <v>4</v>
      </c>
      <c r="Y1151" s="34">
        <f>INDEX(Stores!$F$2:$F$21,MATCH(B1151,Stores!$A$2:$A$21,0))</f>
        <v>5.55</v>
      </c>
      <c r="Z1151" s="33">
        <f>IF(Y1151&gt;Store_Summary!$M$2,1,0)</f>
        <v>1</v>
      </c>
      <c r="AA1151" s="33">
        <f>INDEX(Stores!$C$2:$C$21,MATCH(B1151,Stores!$A$2:$A$21,0))</f>
        <v>241</v>
      </c>
      <c r="AB1151" s="33">
        <f>IF(AA1151&lt;180,1,0)</f>
        <v>0</v>
      </c>
      <c r="AC1151" s="32" t="str">
        <f>IF(Orders!D1148="","",INDEX(Riders!$C$2:$C$81,MATCH(Orders!D1148,Riders!$A$2:$A$81,0)))</f>
        <v>EV scooter</v>
      </c>
      <c r="AD1151" s="33">
        <f>IF(Orders!D1148="","",INDEX(Riders!$D$2:$D$81,MATCH(Orders!D1148,Riders!$A$2:$A$81,0)))</f>
        <v>33</v>
      </c>
      <c r="AE1151" s="33">
        <f>IF(Orders!D1148="","",IF(INDEX(Riders!$B$2:$B$81,MATCH(Orders!D1148,Riders!$A$2:$A$81,0))=B1151,1,0))</f>
        <v>0</v>
      </c>
      <c r="AF1151" s="34">
        <f>IF(E1151=1,Orders!L1148,"")</f>
        <v>0.5</v>
      </c>
      <c r="AG1151" s="34">
        <f>IF(E1151=1,Orders!P1148,"")</f>
        <v>9.4</v>
      </c>
      <c r="AH1151" s="34">
        <f>IF(E1151=1,Orders!Q1148,"")</f>
        <v>13.1</v>
      </c>
      <c r="AI1151" s="34">
        <f>IF(E1151=1,Orders!M1148,"")</f>
        <v>5.1</v>
      </c>
      <c r="AJ1151" s="34">
        <f>IF(E1151=1,Orders!N1148,"")</f>
        <v>5.9</v>
      </c>
      <c r="AK1151" s="34">
        <f>IF(E1151=1,Orders!O1148,"")</f>
        <v>2.2</v>
      </c>
      <c r="AL1151" s="33">
        <f>IF(E1151=1,IF(ROUND(ABS(AI1151+AJ1151+AK1151-AH1151),6)&lt;=0.1,1,0),"")</f>
        <v>1</v>
      </c>
      <c r="AM1151" s="36">
        <f>IF(E1151=1,AI1151/AH1151,"")</f>
        <v>0.389312977099237</v>
      </c>
      <c r="AN1151" s="36">
        <f>IF(E1151=1,AJ1151/AH1151,"")</f>
        <v>0.450381679389313</v>
      </c>
      <c r="AO1151" s="36">
        <f>IF(E1151=1,AK1151/AH1151,"")</f>
        <v>0.16793893129771</v>
      </c>
      <c r="AP1151" s="34">
        <f>IF(E1151=1,Orders!Y1148,"")</f>
        <v>0.31</v>
      </c>
      <c r="AQ1151" s="33">
        <f>IF(Orders!X1148,1,0)</f>
        <v>0</v>
      </c>
      <c r="AR1151" s="34" t="str">
        <f>IF(AND(E1151=1,L1151=1),AJ1151,"")</f>
        <v/>
      </c>
      <c r="AS1151" s="34">
        <f>IF(AND(E1151=1,L1151=0),AJ1151,"")</f>
        <v>5.9</v>
      </c>
      <c r="AT1151" s="34" t="str">
        <f>IF(AND(E1151=1,L1151=1),AI1151,"")</f>
        <v/>
      </c>
      <c r="AU1151" s="34">
        <f>IF(AND(E1151=1,L1151=0),AI1151,"")</f>
        <v>5.1</v>
      </c>
      <c r="AV1151" s="34" t="str">
        <f>IF(AND(E1151=1,L1151=1),AG1151,"")</f>
        <v/>
      </c>
      <c r="AW1151" s="34">
        <f>IF(AND(E1151=1,L1151=0),AG1151,"")</f>
        <v>9.4</v>
      </c>
      <c r="AX1151" s="34" t="str">
        <f>IF(AND(E1151=1,L1151=1),AH1151,"")</f>
        <v/>
      </c>
      <c r="AY1151" s="34">
        <f>IF(AND(E1151=1,L1151=0),AH1151,"")</f>
        <v>13.1</v>
      </c>
      <c r="AZ1151" s="34">
        <f>IF(G1151=1,F1151,"")</f>
        <v>3.7</v>
      </c>
      <c r="BA1151" s="34" t="str">
        <f>IF(AND(G1151=1,L1151=1),F1151,"")</f>
        <v/>
      </c>
      <c r="BB1151" s="34">
        <f>IF(AND(G1151=1,L1151=0),F1151,"")</f>
        <v>3.7</v>
      </c>
      <c r="BC1151" s="33">
        <f>IF(E1151=1,IF(Orders!R1148&gt;3,1,0),"")</f>
        <v>1</v>
      </c>
      <c r="BD1151" s="33">
        <f>IF(E1151=1,IF(Orders!R1148&gt;7,1,0),"")</f>
        <v>0</v>
      </c>
      <c r="BE1151" s="32" t="str">
        <f>IF(E1151=1,IF(Orders!L1148&lt;=1.5,"Up to 1.5 km",IF(Orders!L1148&lt;=3,"1.5–3 km","Over 3 km")),"")</f>
        <v>Up to 1.5 km</v>
      </c>
      <c r="BF1151" s="33">
        <f>IF(E1151=1,IF(ABS((Orders!G1148-Orders!F1148)*1440-Orders!R1148)&lt;0.06,1,0),"")</f>
        <v>1</v>
      </c>
      <c r="BG1151" s="33">
        <f>IF(ABS((Orders!F1148-Orders!E1148)*1440-Orders!P1148)&lt;0.06,1,0)</f>
        <v>1</v>
      </c>
      <c r="BH1151" s="33">
        <f>IF(E1151=1,IF(IF(Orders!S1148,1,0)=1-G1151,1,0),"")</f>
        <v>1</v>
      </c>
      <c r="BI1151" s="32" t="str">
        <f>INDEX(Stores!$B$2:$B$21,MATCH(B1151,Stores!$A$2:$A$21,0))</f>
        <v>Pune</v>
      </c>
    </row>
    <row r="1152">
      <c r="A1152" s="32" t="str">
        <f>Orders!A1149</f>
        <v>O01148</v>
      </c>
      <c r="B1152" s="32" t="str">
        <f>Orders!C1149</f>
        <v>S018</v>
      </c>
      <c r="C1152" s="32" t="str">
        <f>Orders!B1149</f>
        <v>C0091</v>
      </c>
      <c r="D1152" s="32" t="str">
        <f>Orders!H1149</f>
        <v>Delivered</v>
      </c>
      <c r="E1152" s="33">
        <f>IF(Orders!H1149="Delivered",1,0)</f>
        <v>1</v>
      </c>
      <c r="F1152" s="34">
        <f>IF(E1152=1,Orders!R1149,"")</f>
        <v>-1</v>
      </c>
      <c r="G1152" s="33">
        <f>IF(E1152=1,IF(Orders!R1149&gt;0,1,0),"")</f>
        <v>0</v>
      </c>
      <c r="H1152" s="33">
        <f>IF(E1152=1,IF(Orders!R1149&gt;5,1,0),"")</f>
        <v>0</v>
      </c>
      <c r="I1152" s="32" t="str">
        <f>IF(E1152=1,"",IF(OR(Orders!T1149="Rider unavailable",Orders!T1149="Item unavailable"),"Company-caused","Unresolved"))</f>
        <v/>
      </c>
      <c r="J1152" s="33">
        <f>IF(OR(E1152=1,I1152="Company-caused"),1,0)</f>
        <v>1</v>
      </c>
      <c r="K1152" s="32" t="str">
        <f>IF(E1152=0,IF(I1152="Company-caused",IF(Orders!T1149="Rider unavailable","C1 Rider unavailable","C2 Item unavailable"),"Outside root: unresolved"),IF(G1152=0,"A On time",IF(H1152=1,IF(L1152=1,"B2a Severe, peak","B2b Severe, off-peak"),IF(L1152=1,"B1a Slight, peak","B1b Slight, off-peak"))))</f>
        <v>A On time</v>
      </c>
      <c r="L1152" s="33">
        <f>IF(AND(Orders!U1149&gt;=19,Orders!U1149&lt;22),1,0)</f>
        <v>1</v>
      </c>
      <c r="M1152" s="33">
        <f>IF(L1152=IF(Orders!V1149,1,0),1,0)</f>
        <v>1</v>
      </c>
      <c r="N1152" s="32" t="str">
        <f>IF(Orders!W1149="","None",Orders!W1149)</f>
        <v>None</v>
      </c>
      <c r="O1152" s="35">
        <f>INT(Orders!E1149)</f>
        <v>46273.0</v>
      </c>
      <c r="P1152" s="33">
        <f>Orders!U1149</f>
        <v>21</v>
      </c>
      <c r="Q1152" s="33">
        <f>COUNTIFS(Demand!$A$2:$A$4481,B1152,Demand!$B$2:$B$4481,O1152,Demand!$C$2:$C$4481,P1152)</f>
        <v>1</v>
      </c>
      <c r="R1152" s="33">
        <f>IF(Q1152=1,SUMIFS(Demand!$E$2:$E$4481,Demand!$A$2:$A$4481,B1152,Demand!$B$2:$B$4481,O1152,Demand!$C$2:$C$4481,P1152),"")</f>
        <v>39</v>
      </c>
      <c r="S1152" s="33">
        <f>INDEX(Stores!$G$2:$G$21,MATCH(B1152,Stores!$A$2:$A$21,0))</f>
        <v>20</v>
      </c>
      <c r="T1152" s="34">
        <f>IF(R1152="","",R1152/S1152)</f>
        <v>1.95</v>
      </c>
      <c r="U1152" s="34">
        <f>IF(E1152=1,T1152,"")</f>
        <v>1.95</v>
      </c>
      <c r="V1152" s="34" t="str">
        <f>IF(AND(E1152=1,L1152=0),T1152,"")</f>
        <v/>
      </c>
      <c r="W1152" s="33">
        <f>IF(U1152="","",IF(U1152&lt;=Breakdowns!$C$5,1,IF(U1152&lt;=Breakdowns!$C$6,2,IF(U1152&lt;=Breakdowns!$C$7,3,4))))</f>
        <v>4</v>
      </c>
      <c r="X1152" s="33" t="str">
        <f>IF(V1152="","",IF(V1152&lt;=Breakdowns!$D$5,1,IF(V1152&lt;=Breakdowns!$D$6,2,IF(V1152&lt;=Breakdowns!$D$7,3,4))))</f>
        <v/>
      </c>
      <c r="Y1152" s="34">
        <f>INDEX(Stores!$F$2:$F$21,MATCH(B1152,Stores!$A$2:$A$21,0))</f>
        <v>5.31</v>
      </c>
      <c r="Z1152" s="33">
        <f>IF(Y1152&gt;Store_Summary!$M$2,1,0)</f>
        <v>1</v>
      </c>
      <c r="AA1152" s="33">
        <f>INDEX(Stores!$C$2:$C$21,MATCH(B1152,Stores!$A$2:$A$21,0))</f>
        <v>214</v>
      </c>
      <c r="AB1152" s="33">
        <f>IF(AA1152&lt;180,1,0)</f>
        <v>0</v>
      </c>
      <c r="AC1152" s="32" t="str">
        <f>IF(Orders!D1149="","",INDEX(Riders!$C$2:$C$81,MATCH(Orders!D1149,Riders!$A$2:$A$81,0)))</f>
        <v>Petrol scooter</v>
      </c>
      <c r="AD1152" s="33">
        <f>IF(Orders!D1149="","",INDEX(Riders!$D$2:$D$81,MATCH(Orders!D1149,Riders!$A$2:$A$81,0)))</f>
        <v>29</v>
      </c>
      <c r="AE1152" s="33">
        <f>IF(Orders!D1149="","",IF(INDEX(Riders!$B$2:$B$81,MATCH(Orders!D1149,Riders!$A$2:$A$81,0))=B1152,1,0))</f>
        <v>0</v>
      </c>
      <c r="AF1152" s="34">
        <f>IF(E1152=1,Orders!L1149,"")</f>
        <v>0.94</v>
      </c>
      <c r="AG1152" s="34">
        <f>IF(E1152=1,Orders!P1149,"")</f>
        <v>8.6</v>
      </c>
      <c r="AH1152" s="34">
        <f>IF(E1152=1,Orders!Q1149,"")</f>
        <v>7.6</v>
      </c>
      <c r="AI1152" s="34">
        <f>IF(E1152=1,Orders!M1149,"")</f>
        <v>2.2</v>
      </c>
      <c r="AJ1152" s="34">
        <f>IF(E1152=1,Orders!N1149,"")</f>
        <v>3.6</v>
      </c>
      <c r="AK1152" s="34">
        <f>IF(E1152=1,Orders!O1149,"")</f>
        <v>1.8</v>
      </c>
      <c r="AL1152" s="33">
        <f>IF(E1152=1,IF(ROUND(ABS(AI1152+AJ1152+AK1152-AH1152),6)&lt;=0.1,1,0),"")</f>
        <v>1</v>
      </c>
      <c r="AM1152" s="36">
        <f>IF(E1152=1,AI1152/AH1152,"")</f>
        <v>0.289473684210526</v>
      </c>
      <c r="AN1152" s="36">
        <f>IF(E1152=1,AJ1152/AH1152,"")</f>
        <v>0.473684210526316</v>
      </c>
      <c r="AO1152" s="36">
        <f>IF(E1152=1,AK1152/AH1152,"")</f>
        <v>0.236842105263158</v>
      </c>
      <c r="AP1152" s="34">
        <f>IF(E1152=1,Orders!Y1149,"")</f>
        <v>0.45</v>
      </c>
      <c r="AQ1152" s="33">
        <f>IF(Orders!X1149,1,0)</f>
        <v>0</v>
      </c>
      <c r="AR1152" s="34">
        <f>IF(AND(E1152=1,L1152=1),AJ1152,"")</f>
        <v>3.6</v>
      </c>
      <c r="AS1152" s="34" t="str">
        <f>IF(AND(E1152=1,L1152=0),AJ1152,"")</f>
        <v/>
      </c>
      <c r="AT1152" s="34">
        <f>IF(AND(E1152=1,L1152=1),AI1152,"")</f>
        <v>2.2</v>
      </c>
      <c r="AU1152" s="34" t="str">
        <f>IF(AND(E1152=1,L1152=0),AI1152,"")</f>
        <v/>
      </c>
      <c r="AV1152" s="34">
        <f>IF(AND(E1152=1,L1152=1),AG1152,"")</f>
        <v>8.6</v>
      </c>
      <c r="AW1152" s="34" t="str">
        <f>IF(AND(E1152=1,L1152=0),AG1152,"")</f>
        <v/>
      </c>
      <c r="AX1152" s="34">
        <f>IF(AND(E1152=1,L1152=1),AH1152,"")</f>
        <v>7.6</v>
      </c>
      <c r="AY1152" s="34" t="str">
        <f>IF(AND(E1152=1,L1152=0),AH1152,"")</f>
        <v/>
      </c>
      <c r="AZ1152" s="34" t="str">
        <f>IF(G1152=1,F1152,"")</f>
        <v/>
      </c>
      <c r="BA1152" s="34" t="str">
        <f>IF(AND(G1152=1,L1152=1),F1152,"")</f>
        <v/>
      </c>
      <c r="BB1152" s="34" t="str">
        <f>IF(AND(G1152=1,L1152=0),F1152,"")</f>
        <v/>
      </c>
      <c r="BC1152" s="33">
        <f>IF(E1152=1,IF(Orders!R1149&gt;3,1,0),"")</f>
        <v>0</v>
      </c>
      <c r="BD1152" s="33">
        <f>IF(E1152=1,IF(Orders!R1149&gt;7,1,0),"")</f>
        <v>0</v>
      </c>
      <c r="BE1152" s="32" t="str">
        <f>IF(E1152=1,IF(Orders!L1149&lt;=1.5,"Up to 1.5 km",IF(Orders!L1149&lt;=3,"1.5–3 km","Over 3 km")),"")</f>
        <v>Up to 1.5 km</v>
      </c>
      <c r="BF1152" s="33">
        <f>IF(E1152=1,IF(ABS((Orders!G1149-Orders!F1149)*1440-Orders!R1149)&lt;0.06,1,0),"")</f>
        <v>1</v>
      </c>
      <c r="BG1152" s="33">
        <f>IF(ABS((Orders!F1149-Orders!E1149)*1440-Orders!P1149)&lt;0.06,1,0)</f>
        <v>1</v>
      </c>
      <c r="BH1152" s="33">
        <f>IF(E1152=1,IF(IF(Orders!S1149,1,0)=1-G1152,1,0),"")</f>
        <v>1</v>
      </c>
      <c r="BI1152" s="32" t="str">
        <f>INDEX(Stores!$B$2:$B$21,MATCH(B1152,Stores!$A$2:$A$21,0))</f>
        <v>Mumbai</v>
      </c>
    </row>
    <row r="1153">
      <c r="A1153" s="32" t="str">
        <f>Orders!A1150</f>
        <v>O01149</v>
      </c>
      <c r="B1153" s="32" t="str">
        <f>Orders!C1150</f>
        <v>S002</v>
      </c>
      <c r="C1153" s="32" t="str">
        <f>Orders!B1150</f>
        <v>C0184</v>
      </c>
      <c r="D1153" s="32" t="str">
        <f>Orders!H1150</f>
        <v>Delivered</v>
      </c>
      <c r="E1153" s="33">
        <f>IF(Orders!H1150="Delivered",1,0)</f>
        <v>1</v>
      </c>
      <c r="F1153" s="34">
        <f>IF(E1153=1,Orders!R1150,"")</f>
        <v>-0.8</v>
      </c>
      <c r="G1153" s="33">
        <f>IF(E1153=1,IF(Orders!R1150&gt;0,1,0),"")</f>
        <v>0</v>
      </c>
      <c r="H1153" s="33">
        <f>IF(E1153=1,IF(Orders!R1150&gt;5,1,0),"")</f>
        <v>0</v>
      </c>
      <c r="I1153" s="32" t="str">
        <f>IF(E1153=1,"",IF(OR(Orders!T1150="Rider unavailable",Orders!T1150="Item unavailable"),"Company-caused","Unresolved"))</f>
        <v/>
      </c>
      <c r="J1153" s="33">
        <f>IF(OR(E1153=1,I1153="Company-caused"),1,0)</f>
        <v>1</v>
      </c>
      <c r="K1153" s="32" t="str">
        <f>IF(E1153=0,IF(I1153="Company-caused",IF(Orders!T1150="Rider unavailable","C1 Rider unavailable","C2 Item unavailable"),"Outside root: unresolved"),IF(G1153=0,"A On time",IF(H1153=1,IF(L1153=1,"B2a Severe, peak","B2b Severe, off-peak"),IF(L1153=1,"B1a Slight, peak","B1b Slight, off-peak"))))</f>
        <v>A On time</v>
      </c>
      <c r="L1153" s="33">
        <f>IF(AND(Orders!U1150&gt;=19,Orders!U1150&lt;22),1,0)</f>
        <v>0</v>
      </c>
      <c r="M1153" s="33">
        <f>IF(L1153=IF(Orders!V1150,1,0),1,0)</f>
        <v>1</v>
      </c>
      <c r="N1153" s="32" t="str">
        <f>IF(Orders!W1150="","None",Orders!W1150)</f>
        <v>Light</v>
      </c>
      <c r="O1153" s="35">
        <f>INT(Orders!E1150)</f>
        <v>46276.0</v>
      </c>
      <c r="P1153" s="33">
        <f>Orders!U1150</f>
        <v>11</v>
      </c>
      <c r="Q1153" s="33">
        <f>COUNTIFS(Demand!$A$2:$A$4481,B1153,Demand!$B$2:$B$4481,O1153,Demand!$C$2:$C$4481,P1153)</f>
        <v>1</v>
      </c>
      <c r="R1153" s="33">
        <f>IF(Q1153=1,SUMIFS(Demand!$E$2:$E$4481,Demand!$A$2:$A$4481,B1153,Demand!$B$2:$B$4481,O1153,Demand!$C$2:$C$4481,P1153),"")</f>
        <v>30</v>
      </c>
      <c r="S1153" s="33">
        <f>INDEX(Stores!$G$2:$G$21,MATCH(B1153,Stores!$A$2:$A$21,0))</f>
        <v>33</v>
      </c>
      <c r="T1153" s="34">
        <f>IF(R1153="","",R1153/S1153)</f>
        <v>0.909090909090909</v>
      </c>
      <c r="U1153" s="34">
        <f>IF(E1153=1,T1153,"")</f>
        <v>0.909090909090909</v>
      </c>
      <c r="V1153" s="34">
        <f>IF(AND(E1153=1,L1153=0),T1153,"")</f>
        <v>0.909090909090909</v>
      </c>
      <c r="W1153" s="33">
        <f>IF(U1153="","",IF(U1153&lt;=Breakdowns!$C$5,1,IF(U1153&lt;=Breakdowns!$C$6,2,IF(U1153&lt;=Breakdowns!$C$7,3,4))))</f>
        <v>2</v>
      </c>
      <c r="X1153" s="33">
        <f>IF(V1153="","",IF(V1153&lt;=Breakdowns!$D$5,1,IF(V1153&lt;=Breakdowns!$D$6,2,IF(V1153&lt;=Breakdowns!$D$7,3,4))))</f>
        <v>2</v>
      </c>
      <c r="Y1153" s="34">
        <f>INDEX(Stores!$F$2:$F$21,MATCH(B1153,Stores!$A$2:$A$21,0))</f>
        <v>2.39</v>
      </c>
      <c r="Z1153" s="33">
        <f>IF(Y1153&gt;Store_Summary!$M$2,1,0)</f>
        <v>0</v>
      </c>
      <c r="AA1153" s="33">
        <f>INDEX(Stores!$C$2:$C$21,MATCH(B1153,Stores!$A$2:$A$21,0))</f>
        <v>470</v>
      </c>
      <c r="AB1153" s="33">
        <f>IF(AA1153&lt;180,1,0)</f>
        <v>0</v>
      </c>
      <c r="AC1153" s="32" t="str">
        <f>IF(Orders!D1150="","",INDEX(Riders!$C$2:$C$81,MATCH(Orders!D1150,Riders!$A$2:$A$81,0)))</f>
        <v>Petrol scooter</v>
      </c>
      <c r="AD1153" s="33">
        <f>IF(Orders!D1150="","",INDEX(Riders!$D$2:$D$81,MATCH(Orders!D1150,Riders!$A$2:$A$81,0)))</f>
        <v>32</v>
      </c>
      <c r="AE1153" s="33">
        <f>IF(Orders!D1150="","",IF(INDEX(Riders!$B$2:$B$81,MATCH(Orders!D1150,Riders!$A$2:$A$81,0))=B1153,1,0))</f>
        <v>0</v>
      </c>
      <c r="AF1153" s="34">
        <f>IF(E1153=1,Orders!L1150,"")</f>
        <v>4.64</v>
      </c>
      <c r="AG1153" s="34">
        <f>IF(E1153=1,Orders!P1150,"")</f>
        <v>10.7</v>
      </c>
      <c r="AH1153" s="34">
        <f>IF(E1153=1,Orders!Q1150,"")</f>
        <v>9.9</v>
      </c>
      <c r="AI1153" s="34">
        <f>IF(E1153=1,Orders!M1150,"")</f>
        <v>1.6</v>
      </c>
      <c r="AJ1153" s="34">
        <f>IF(E1153=1,Orders!N1150,"")</f>
        <v>2.7</v>
      </c>
      <c r="AK1153" s="34">
        <f>IF(E1153=1,Orders!O1150,"")</f>
        <v>5.6</v>
      </c>
      <c r="AL1153" s="33">
        <f>IF(E1153=1,IF(ROUND(ABS(AI1153+AJ1153+AK1153-AH1153),6)&lt;=0.1,1,0),"")</f>
        <v>1</v>
      </c>
      <c r="AM1153" s="36">
        <f>IF(E1153=1,AI1153/AH1153,"")</f>
        <v>0.161616161616162</v>
      </c>
      <c r="AN1153" s="36">
        <f>IF(E1153=1,AJ1153/AH1153,"")</f>
        <v>0.272727272727273</v>
      </c>
      <c r="AO1153" s="36">
        <f>IF(E1153=1,AK1153/AH1153,"")</f>
        <v>0.565656565656566</v>
      </c>
      <c r="AP1153" s="34">
        <f>IF(E1153=1,Orders!Y1150,"")</f>
        <v>0.35</v>
      </c>
      <c r="AQ1153" s="33">
        <f>IF(Orders!X1150,1,0)</f>
        <v>0</v>
      </c>
      <c r="AR1153" s="34" t="str">
        <f>IF(AND(E1153=1,L1153=1),AJ1153,"")</f>
        <v/>
      </c>
      <c r="AS1153" s="34">
        <f>IF(AND(E1153=1,L1153=0),AJ1153,"")</f>
        <v>2.7</v>
      </c>
      <c r="AT1153" s="34" t="str">
        <f>IF(AND(E1153=1,L1153=1),AI1153,"")</f>
        <v/>
      </c>
      <c r="AU1153" s="34">
        <f>IF(AND(E1153=1,L1153=0),AI1153,"")</f>
        <v>1.6</v>
      </c>
      <c r="AV1153" s="34" t="str">
        <f>IF(AND(E1153=1,L1153=1),AG1153,"")</f>
        <v/>
      </c>
      <c r="AW1153" s="34">
        <f>IF(AND(E1153=1,L1153=0),AG1153,"")</f>
        <v>10.7</v>
      </c>
      <c r="AX1153" s="34" t="str">
        <f>IF(AND(E1153=1,L1153=1),AH1153,"")</f>
        <v/>
      </c>
      <c r="AY1153" s="34">
        <f>IF(AND(E1153=1,L1153=0),AH1153,"")</f>
        <v>9.9</v>
      </c>
      <c r="AZ1153" s="34" t="str">
        <f>IF(G1153=1,F1153,"")</f>
        <v/>
      </c>
      <c r="BA1153" s="34" t="str">
        <f>IF(AND(G1153=1,L1153=1),F1153,"")</f>
        <v/>
      </c>
      <c r="BB1153" s="34" t="str">
        <f>IF(AND(G1153=1,L1153=0),F1153,"")</f>
        <v/>
      </c>
      <c r="BC1153" s="33">
        <f>IF(E1153=1,IF(Orders!R1150&gt;3,1,0),"")</f>
        <v>0</v>
      </c>
      <c r="BD1153" s="33">
        <f>IF(E1153=1,IF(Orders!R1150&gt;7,1,0),"")</f>
        <v>0</v>
      </c>
      <c r="BE1153" s="32" t="str">
        <f>IF(E1153=1,IF(Orders!L1150&lt;=1.5,"Up to 1.5 km",IF(Orders!L1150&lt;=3,"1.5–3 km","Over 3 km")),"")</f>
        <v>Over 3 km</v>
      </c>
      <c r="BF1153" s="33">
        <f>IF(E1153=1,IF(ABS((Orders!G1150-Orders!F1150)*1440-Orders!R1150)&lt;0.06,1,0),"")</f>
        <v>1</v>
      </c>
      <c r="BG1153" s="33">
        <f>IF(ABS((Orders!F1150-Orders!E1150)*1440-Orders!P1150)&lt;0.06,1,0)</f>
        <v>1</v>
      </c>
      <c r="BH1153" s="33">
        <f>IF(E1153=1,IF(IF(Orders!S1150,1,0)=1-G1153,1,0),"")</f>
        <v>1</v>
      </c>
      <c r="BI1153" s="32" t="str">
        <f>INDEX(Stores!$B$2:$B$21,MATCH(B1153,Stores!$A$2:$A$21,0))</f>
        <v>Hyderabad</v>
      </c>
    </row>
    <row r="1154">
      <c r="A1154" s="32" t="str">
        <f>Orders!A1151</f>
        <v>O01150</v>
      </c>
      <c r="B1154" s="32" t="str">
        <f>Orders!C1151</f>
        <v>S019</v>
      </c>
      <c r="C1154" s="32" t="str">
        <f>Orders!B1151</f>
        <v>C0022</v>
      </c>
      <c r="D1154" s="32" t="str">
        <f>Orders!H1151</f>
        <v>Delivered</v>
      </c>
      <c r="E1154" s="33">
        <f>IF(Orders!H1151="Delivered",1,0)</f>
        <v>1</v>
      </c>
      <c r="F1154" s="34">
        <f>IF(E1154=1,Orders!R1151,"")</f>
        <v>-0.9</v>
      </c>
      <c r="G1154" s="33">
        <f>IF(E1154=1,IF(Orders!R1151&gt;0,1,0),"")</f>
        <v>0</v>
      </c>
      <c r="H1154" s="33">
        <f>IF(E1154=1,IF(Orders!R1151&gt;5,1,0),"")</f>
        <v>0</v>
      </c>
      <c r="I1154" s="32" t="str">
        <f>IF(E1154=1,"",IF(OR(Orders!T1151="Rider unavailable",Orders!T1151="Item unavailable"),"Company-caused","Unresolved"))</f>
        <v/>
      </c>
      <c r="J1154" s="33">
        <f>IF(OR(E1154=1,I1154="Company-caused"),1,0)</f>
        <v>1</v>
      </c>
      <c r="K1154" s="32" t="str">
        <f>IF(E1154=0,IF(I1154="Company-caused",IF(Orders!T1151="Rider unavailable","C1 Rider unavailable","C2 Item unavailable"),"Outside root: unresolved"),IF(G1154=0,"A On time",IF(H1154=1,IF(L1154=1,"B2a Severe, peak","B2b Severe, off-peak"),IF(L1154=1,"B1a Slight, peak","B1b Slight, off-peak"))))</f>
        <v>A On time</v>
      </c>
      <c r="L1154" s="33">
        <f>IF(AND(Orders!U1151&gt;=19,Orders!U1151&lt;22),1,0)</f>
        <v>0</v>
      </c>
      <c r="M1154" s="33">
        <f>IF(L1154=IF(Orders!V1151,1,0),1,0)</f>
        <v>1</v>
      </c>
      <c r="N1154" s="32" t="str">
        <f>IF(Orders!W1151="","None",Orders!W1151)</f>
        <v>Light</v>
      </c>
      <c r="O1154" s="35">
        <f>INT(Orders!E1151)</f>
        <v>46270.0</v>
      </c>
      <c r="P1154" s="33">
        <f>Orders!U1151</f>
        <v>12</v>
      </c>
      <c r="Q1154" s="33">
        <f>COUNTIFS(Demand!$A$2:$A$4481,B1154,Demand!$B$2:$B$4481,O1154,Demand!$C$2:$C$4481,P1154)</f>
        <v>1</v>
      </c>
      <c r="R1154" s="33">
        <f>IF(Q1154=1,SUMIFS(Demand!$E$2:$E$4481,Demand!$A$2:$A$4481,B1154,Demand!$B$2:$B$4481,O1154,Demand!$C$2:$C$4481,P1154),"")</f>
        <v>26</v>
      </c>
      <c r="S1154" s="33">
        <f>INDEX(Stores!$G$2:$G$21,MATCH(B1154,Stores!$A$2:$A$21,0))</f>
        <v>22</v>
      </c>
      <c r="T1154" s="34">
        <f>IF(R1154="","",R1154/S1154)</f>
        <v>1.18181818181818</v>
      </c>
      <c r="U1154" s="34">
        <f>IF(E1154=1,T1154,"")</f>
        <v>1.18181818181818</v>
      </c>
      <c r="V1154" s="34">
        <f>IF(AND(E1154=1,L1154=0),T1154,"")</f>
        <v>1.18181818181818</v>
      </c>
      <c r="W1154" s="33">
        <f>IF(U1154="","",IF(U1154&lt;=Breakdowns!$C$5,1,IF(U1154&lt;=Breakdowns!$C$6,2,IF(U1154&lt;=Breakdowns!$C$7,3,4))))</f>
        <v>3</v>
      </c>
      <c r="X1154" s="33">
        <f>IF(V1154="","",IF(V1154&lt;=Breakdowns!$D$5,1,IF(V1154&lt;=Breakdowns!$D$6,2,IF(V1154&lt;=Breakdowns!$D$7,3,4))))</f>
        <v>4</v>
      </c>
      <c r="Y1154" s="34">
        <f>INDEX(Stores!$F$2:$F$21,MATCH(B1154,Stores!$A$2:$A$21,0))</f>
        <v>4.99</v>
      </c>
      <c r="Z1154" s="33">
        <f>IF(Y1154&gt;Store_Summary!$M$2,1,0)</f>
        <v>1</v>
      </c>
      <c r="AA1154" s="33">
        <f>INDEX(Stores!$C$2:$C$21,MATCH(B1154,Stores!$A$2:$A$21,0))</f>
        <v>851</v>
      </c>
      <c r="AB1154" s="33">
        <f>IF(AA1154&lt;180,1,0)</f>
        <v>0</v>
      </c>
      <c r="AC1154" s="32" t="str">
        <f>IF(Orders!D1151="","",INDEX(Riders!$C$2:$C$81,MATCH(Orders!D1151,Riders!$A$2:$A$81,0)))</f>
        <v>EV scooter</v>
      </c>
      <c r="AD1154" s="33">
        <f>IF(Orders!D1151="","",INDEX(Riders!$D$2:$D$81,MATCH(Orders!D1151,Riders!$A$2:$A$81,0)))</f>
        <v>18</v>
      </c>
      <c r="AE1154" s="33">
        <f>IF(Orders!D1151="","",IF(INDEX(Riders!$B$2:$B$81,MATCH(Orders!D1151,Riders!$A$2:$A$81,0))=B1154,1,0))</f>
        <v>0</v>
      </c>
      <c r="AF1154" s="34">
        <f>IF(E1154=1,Orders!L1151,"")</f>
        <v>1.52</v>
      </c>
      <c r="AG1154" s="34">
        <f>IF(E1154=1,Orders!P1151,"")</f>
        <v>10.8</v>
      </c>
      <c r="AH1154" s="34">
        <f>IF(E1154=1,Orders!Q1151,"")</f>
        <v>9.9</v>
      </c>
      <c r="AI1154" s="34">
        <f>IF(E1154=1,Orders!M1151,"")</f>
        <v>3.6</v>
      </c>
      <c r="AJ1154" s="34">
        <f>IF(E1154=1,Orders!N1151,"")</f>
        <v>2.5</v>
      </c>
      <c r="AK1154" s="34">
        <f>IF(E1154=1,Orders!O1151,"")</f>
        <v>3.8</v>
      </c>
      <c r="AL1154" s="33">
        <f>IF(E1154=1,IF(ROUND(ABS(AI1154+AJ1154+AK1154-AH1154),6)&lt;=0.1,1,0),"")</f>
        <v>1</v>
      </c>
      <c r="AM1154" s="36">
        <f>IF(E1154=1,AI1154/AH1154,"")</f>
        <v>0.363636363636364</v>
      </c>
      <c r="AN1154" s="36">
        <f>IF(E1154=1,AJ1154/AH1154,"")</f>
        <v>0.252525252525253</v>
      </c>
      <c r="AO1154" s="36">
        <f>IF(E1154=1,AK1154/AH1154,"")</f>
        <v>0.383838383838384</v>
      </c>
      <c r="AP1154" s="34">
        <f>IF(E1154=1,Orders!Y1151,"")</f>
        <v>0.43</v>
      </c>
      <c r="AQ1154" s="33">
        <f>IF(Orders!X1151,1,0)</f>
        <v>0</v>
      </c>
      <c r="AR1154" s="34" t="str">
        <f>IF(AND(E1154=1,L1154=1),AJ1154,"")</f>
        <v/>
      </c>
      <c r="AS1154" s="34">
        <f>IF(AND(E1154=1,L1154=0),AJ1154,"")</f>
        <v>2.5</v>
      </c>
      <c r="AT1154" s="34" t="str">
        <f>IF(AND(E1154=1,L1154=1),AI1154,"")</f>
        <v/>
      </c>
      <c r="AU1154" s="34">
        <f>IF(AND(E1154=1,L1154=0),AI1154,"")</f>
        <v>3.6</v>
      </c>
      <c r="AV1154" s="34" t="str">
        <f>IF(AND(E1154=1,L1154=1),AG1154,"")</f>
        <v/>
      </c>
      <c r="AW1154" s="34">
        <f>IF(AND(E1154=1,L1154=0),AG1154,"")</f>
        <v>10.8</v>
      </c>
      <c r="AX1154" s="34" t="str">
        <f>IF(AND(E1154=1,L1154=1),AH1154,"")</f>
        <v/>
      </c>
      <c r="AY1154" s="34">
        <f>IF(AND(E1154=1,L1154=0),AH1154,"")</f>
        <v>9.9</v>
      </c>
      <c r="AZ1154" s="34" t="str">
        <f>IF(G1154=1,F1154,"")</f>
        <v/>
      </c>
      <c r="BA1154" s="34" t="str">
        <f>IF(AND(G1154=1,L1154=1),F1154,"")</f>
        <v/>
      </c>
      <c r="BB1154" s="34" t="str">
        <f>IF(AND(G1154=1,L1154=0),F1154,"")</f>
        <v/>
      </c>
      <c r="BC1154" s="33">
        <f>IF(E1154=1,IF(Orders!R1151&gt;3,1,0),"")</f>
        <v>0</v>
      </c>
      <c r="BD1154" s="33">
        <f>IF(E1154=1,IF(Orders!R1151&gt;7,1,0),"")</f>
        <v>0</v>
      </c>
      <c r="BE1154" s="32" t="str">
        <f>IF(E1154=1,IF(Orders!L1151&lt;=1.5,"Up to 1.5 km",IF(Orders!L1151&lt;=3,"1.5–3 km","Over 3 km")),"")</f>
        <v>1.5–3 km</v>
      </c>
      <c r="BF1154" s="33">
        <f>IF(E1154=1,IF(ABS((Orders!G1151-Orders!F1151)*1440-Orders!R1151)&lt;0.06,1,0),"")</f>
        <v>1</v>
      </c>
      <c r="BG1154" s="33">
        <f>IF(ABS((Orders!F1151-Orders!E1151)*1440-Orders!P1151)&lt;0.06,1,0)</f>
        <v>1</v>
      </c>
      <c r="BH1154" s="33">
        <f>IF(E1154=1,IF(IF(Orders!S1151,1,0)=1-G1154,1,0),"")</f>
        <v>1</v>
      </c>
      <c r="BI1154" s="32" t="str">
        <f>INDEX(Stores!$B$2:$B$21,MATCH(B1154,Stores!$A$2:$A$21,0))</f>
        <v>Pune</v>
      </c>
    </row>
    <row r="1155">
      <c r="A1155" s="32" t="str">
        <f>Orders!A1152</f>
        <v>O01151</v>
      </c>
      <c r="B1155" s="32" t="str">
        <f>Orders!C1152</f>
        <v>S015</v>
      </c>
      <c r="C1155" s="32" t="str">
        <f>Orders!B1152</f>
        <v>C0122</v>
      </c>
      <c r="D1155" s="32" t="str">
        <f>Orders!H1152</f>
        <v>Delivered</v>
      </c>
      <c r="E1155" s="33">
        <f>IF(Orders!H1152="Delivered",1,0)</f>
        <v>1</v>
      </c>
      <c r="F1155" s="34">
        <f>IF(E1155=1,Orders!R1152,"")</f>
        <v>-0.7</v>
      </c>
      <c r="G1155" s="33">
        <f>IF(E1155=1,IF(Orders!R1152&gt;0,1,0),"")</f>
        <v>0</v>
      </c>
      <c r="H1155" s="33">
        <f>IF(E1155=1,IF(Orders!R1152&gt;5,1,0),"")</f>
        <v>0</v>
      </c>
      <c r="I1155" s="32" t="str">
        <f>IF(E1155=1,"",IF(OR(Orders!T1152="Rider unavailable",Orders!T1152="Item unavailable"),"Company-caused","Unresolved"))</f>
        <v/>
      </c>
      <c r="J1155" s="33">
        <f>IF(OR(E1155=1,I1155="Company-caused"),1,0)</f>
        <v>1</v>
      </c>
      <c r="K1155" s="32" t="str">
        <f>IF(E1155=0,IF(I1155="Company-caused",IF(Orders!T1152="Rider unavailable","C1 Rider unavailable","C2 Item unavailable"),"Outside root: unresolved"),IF(G1155=0,"A On time",IF(H1155=1,IF(L1155=1,"B2a Severe, peak","B2b Severe, off-peak"),IF(L1155=1,"B1a Slight, peak","B1b Slight, off-peak"))))</f>
        <v>A On time</v>
      </c>
      <c r="L1155" s="33">
        <f>IF(AND(Orders!U1152&gt;=19,Orders!U1152&lt;22),1,0)</f>
        <v>1</v>
      </c>
      <c r="M1155" s="33">
        <f>IF(L1155=IF(Orders!V1152,1,0),1,0)</f>
        <v>1</v>
      </c>
      <c r="N1155" s="32" t="str">
        <f>IF(Orders!W1152="","None",Orders!W1152)</f>
        <v>None</v>
      </c>
      <c r="O1155" s="35">
        <f>INT(Orders!E1152)</f>
        <v>46275.0</v>
      </c>
      <c r="P1155" s="33">
        <f>Orders!U1152</f>
        <v>20</v>
      </c>
      <c r="Q1155" s="33">
        <f>COUNTIFS(Demand!$A$2:$A$4481,B1155,Demand!$B$2:$B$4481,O1155,Demand!$C$2:$C$4481,P1155)</f>
        <v>1</v>
      </c>
      <c r="R1155" s="33">
        <f>IF(Q1155=1,SUMIFS(Demand!$E$2:$E$4481,Demand!$A$2:$A$4481,B1155,Demand!$B$2:$B$4481,O1155,Demand!$C$2:$C$4481,P1155),"")</f>
        <v>29</v>
      </c>
      <c r="S1155" s="33">
        <f>INDEX(Stores!$G$2:$G$21,MATCH(B1155,Stores!$A$2:$A$21,0))</f>
        <v>23</v>
      </c>
      <c r="T1155" s="34">
        <f>IF(R1155="","",R1155/S1155)</f>
        <v>1.26086956521739</v>
      </c>
      <c r="U1155" s="34">
        <f>IF(E1155=1,T1155,"")</f>
        <v>1.26086956521739</v>
      </c>
      <c r="V1155" s="34" t="str">
        <f>IF(AND(E1155=1,L1155=0),T1155,"")</f>
        <v/>
      </c>
      <c r="W1155" s="33">
        <f>IF(U1155="","",IF(U1155&lt;=Breakdowns!$C$5,1,IF(U1155&lt;=Breakdowns!$C$6,2,IF(U1155&lt;=Breakdowns!$C$7,3,4))))</f>
        <v>4</v>
      </c>
      <c r="X1155" s="33" t="str">
        <f>IF(V1155="","",IF(V1155&lt;=Breakdowns!$D$5,1,IF(V1155&lt;=Breakdowns!$D$6,2,IF(V1155&lt;=Breakdowns!$D$7,3,4))))</f>
        <v/>
      </c>
      <c r="Y1155" s="34">
        <f>INDEX(Stores!$F$2:$F$21,MATCH(B1155,Stores!$A$2:$A$21,0))</f>
        <v>4.66</v>
      </c>
      <c r="Z1155" s="33">
        <f>IF(Y1155&gt;Store_Summary!$M$2,1,0)</f>
        <v>0</v>
      </c>
      <c r="AA1155" s="33">
        <f>INDEX(Stores!$C$2:$C$21,MATCH(B1155,Stores!$A$2:$A$21,0))</f>
        <v>204</v>
      </c>
      <c r="AB1155" s="33">
        <f>IF(AA1155&lt;180,1,0)</f>
        <v>0</v>
      </c>
      <c r="AC1155" s="32" t="str">
        <f>IF(Orders!D1152="","",INDEX(Riders!$C$2:$C$81,MATCH(Orders!D1152,Riders!$A$2:$A$81,0)))</f>
        <v>Petrol scooter</v>
      </c>
      <c r="AD1155" s="33">
        <f>IF(Orders!D1152="","",INDEX(Riders!$D$2:$D$81,MATCH(Orders!D1152,Riders!$A$2:$A$81,0)))</f>
        <v>15</v>
      </c>
      <c r="AE1155" s="33">
        <f>IF(Orders!D1152="","",IF(INDEX(Riders!$B$2:$B$81,MATCH(Orders!D1152,Riders!$A$2:$A$81,0))=B1155,1,0))</f>
        <v>0</v>
      </c>
      <c r="AF1155" s="34">
        <f>IF(E1155=1,Orders!L1152,"")</f>
        <v>3.49</v>
      </c>
      <c r="AG1155" s="34">
        <f>IF(E1155=1,Orders!P1152,"")</f>
        <v>10.2</v>
      </c>
      <c r="AH1155" s="34">
        <f>IF(E1155=1,Orders!Q1152,"")</f>
        <v>9.5</v>
      </c>
      <c r="AI1155" s="34">
        <f>IF(E1155=1,Orders!M1152,"")</f>
        <v>2.5</v>
      </c>
      <c r="AJ1155" s="34">
        <f>IF(E1155=1,Orders!N1152,"")</f>
        <v>2.2</v>
      </c>
      <c r="AK1155" s="34">
        <f>IF(E1155=1,Orders!O1152,"")</f>
        <v>4.8</v>
      </c>
      <c r="AL1155" s="33">
        <f>IF(E1155=1,IF(ROUND(ABS(AI1155+AJ1155+AK1155-AH1155),6)&lt;=0.1,1,0),"")</f>
        <v>1</v>
      </c>
      <c r="AM1155" s="36">
        <f>IF(E1155=1,AI1155/AH1155,"")</f>
        <v>0.263157894736842</v>
      </c>
      <c r="AN1155" s="36">
        <f>IF(E1155=1,AJ1155/AH1155,"")</f>
        <v>0.231578947368421</v>
      </c>
      <c r="AO1155" s="36">
        <f>IF(E1155=1,AK1155/AH1155,"")</f>
        <v>0.505263157894737</v>
      </c>
      <c r="AP1155" s="34">
        <f>IF(E1155=1,Orders!Y1152,"")</f>
        <v>0.53</v>
      </c>
      <c r="AQ1155" s="33">
        <f>IF(Orders!X1152,1,0)</f>
        <v>0</v>
      </c>
      <c r="AR1155" s="34">
        <f>IF(AND(E1155=1,L1155=1),AJ1155,"")</f>
        <v>2.2</v>
      </c>
      <c r="AS1155" s="34" t="str">
        <f>IF(AND(E1155=1,L1155=0),AJ1155,"")</f>
        <v/>
      </c>
      <c r="AT1155" s="34">
        <f>IF(AND(E1155=1,L1155=1),AI1155,"")</f>
        <v>2.5</v>
      </c>
      <c r="AU1155" s="34" t="str">
        <f>IF(AND(E1155=1,L1155=0),AI1155,"")</f>
        <v/>
      </c>
      <c r="AV1155" s="34">
        <f>IF(AND(E1155=1,L1155=1),AG1155,"")</f>
        <v>10.2</v>
      </c>
      <c r="AW1155" s="34" t="str">
        <f>IF(AND(E1155=1,L1155=0),AG1155,"")</f>
        <v/>
      </c>
      <c r="AX1155" s="34">
        <f>IF(AND(E1155=1,L1155=1),AH1155,"")</f>
        <v>9.5</v>
      </c>
      <c r="AY1155" s="34" t="str">
        <f>IF(AND(E1155=1,L1155=0),AH1155,"")</f>
        <v/>
      </c>
      <c r="AZ1155" s="34" t="str">
        <f>IF(G1155=1,F1155,"")</f>
        <v/>
      </c>
      <c r="BA1155" s="34" t="str">
        <f>IF(AND(G1155=1,L1155=1),F1155,"")</f>
        <v/>
      </c>
      <c r="BB1155" s="34" t="str">
        <f>IF(AND(G1155=1,L1155=0),F1155,"")</f>
        <v/>
      </c>
      <c r="BC1155" s="33">
        <f>IF(E1155=1,IF(Orders!R1152&gt;3,1,0),"")</f>
        <v>0</v>
      </c>
      <c r="BD1155" s="33">
        <f>IF(E1155=1,IF(Orders!R1152&gt;7,1,0),"")</f>
        <v>0</v>
      </c>
      <c r="BE1155" s="32" t="str">
        <f>IF(E1155=1,IF(Orders!L1152&lt;=1.5,"Up to 1.5 km",IF(Orders!L1152&lt;=3,"1.5–3 km","Over 3 km")),"")</f>
        <v>Over 3 km</v>
      </c>
      <c r="BF1155" s="33">
        <f>IF(E1155=1,IF(ABS((Orders!G1152-Orders!F1152)*1440-Orders!R1152)&lt;0.06,1,0),"")</f>
        <v>1</v>
      </c>
      <c r="BG1155" s="33">
        <f>IF(ABS((Orders!F1152-Orders!E1152)*1440-Orders!P1152)&lt;0.06,1,0)</f>
        <v>1</v>
      </c>
      <c r="BH1155" s="33">
        <f>IF(E1155=1,IF(IF(Orders!S1152,1,0)=1-G1155,1,0),"")</f>
        <v>1</v>
      </c>
      <c r="BI1155" s="32" t="str">
        <f>INDEX(Stores!$B$2:$B$21,MATCH(B1155,Stores!$A$2:$A$21,0))</f>
        <v>Delhi</v>
      </c>
    </row>
    <row r="1156">
      <c r="A1156" s="32" t="str">
        <f>Orders!A1153</f>
        <v>O01152</v>
      </c>
      <c r="B1156" s="32" t="str">
        <f>Orders!C1153</f>
        <v>S015</v>
      </c>
      <c r="C1156" s="32" t="str">
        <f>Orders!B1153</f>
        <v>C0113</v>
      </c>
      <c r="D1156" s="32" t="str">
        <f>Orders!H1153</f>
        <v>Delivered</v>
      </c>
      <c r="E1156" s="33">
        <f>IF(Orders!H1153="Delivered",1,0)</f>
        <v>1</v>
      </c>
      <c r="F1156" s="34">
        <f>IF(E1156=1,Orders!R1153,"")</f>
        <v>7.2</v>
      </c>
      <c r="G1156" s="33">
        <f>IF(E1156=1,IF(Orders!R1153&gt;0,1,0),"")</f>
        <v>1</v>
      </c>
      <c r="H1156" s="33">
        <f>IF(E1156=1,IF(Orders!R1153&gt;5,1,0),"")</f>
        <v>1</v>
      </c>
      <c r="I1156" s="32" t="str">
        <f>IF(E1156=1,"",IF(OR(Orders!T1153="Rider unavailable",Orders!T1153="Item unavailable"),"Company-caused","Unresolved"))</f>
        <v/>
      </c>
      <c r="J1156" s="33">
        <f>IF(OR(E1156=1,I1156="Company-caused"),1,0)</f>
        <v>1</v>
      </c>
      <c r="K1156" s="32" t="str">
        <f>IF(E1156=0,IF(I1156="Company-caused",IF(Orders!T1153="Rider unavailable","C1 Rider unavailable","C2 Item unavailable"),"Outside root: unresolved"),IF(G1156=0,"A On time",IF(H1156=1,IF(L1156=1,"B2a Severe, peak","B2b Severe, off-peak"),IF(L1156=1,"B1a Slight, peak","B1b Slight, off-peak"))))</f>
        <v>B2b Severe, off-peak</v>
      </c>
      <c r="L1156" s="33">
        <f>IF(AND(Orders!U1153&gt;=19,Orders!U1153&lt;22),1,0)</f>
        <v>0</v>
      </c>
      <c r="M1156" s="33">
        <f>IF(L1156=IF(Orders!V1153,1,0),1,0)</f>
        <v>1</v>
      </c>
      <c r="N1156" s="32" t="str">
        <f>IF(Orders!W1153="","None",Orders!W1153)</f>
        <v>None</v>
      </c>
      <c r="O1156" s="35">
        <f>INT(Orders!E1153)</f>
        <v>46277.0</v>
      </c>
      <c r="P1156" s="33">
        <f>Orders!U1153</f>
        <v>14</v>
      </c>
      <c r="Q1156" s="33">
        <f>COUNTIFS(Demand!$A$2:$A$4481,B1156,Demand!$B$2:$B$4481,O1156,Demand!$C$2:$C$4481,P1156)</f>
        <v>1</v>
      </c>
      <c r="R1156" s="33">
        <f>IF(Q1156=1,SUMIFS(Demand!$E$2:$E$4481,Demand!$A$2:$A$4481,B1156,Demand!$B$2:$B$4481,O1156,Demand!$C$2:$C$4481,P1156),"")</f>
        <v>13</v>
      </c>
      <c r="S1156" s="33">
        <f>INDEX(Stores!$G$2:$G$21,MATCH(B1156,Stores!$A$2:$A$21,0))</f>
        <v>23</v>
      </c>
      <c r="T1156" s="34">
        <f>IF(R1156="","",R1156/S1156)</f>
        <v>0.565217391304348</v>
      </c>
      <c r="U1156" s="34">
        <f>IF(E1156=1,T1156,"")</f>
        <v>0.565217391304348</v>
      </c>
      <c r="V1156" s="34">
        <f>IF(AND(E1156=1,L1156=0),T1156,"")</f>
        <v>0.565217391304348</v>
      </c>
      <c r="W1156" s="33">
        <f>IF(U1156="","",IF(U1156&lt;=Breakdowns!$C$5,1,IF(U1156&lt;=Breakdowns!$C$6,2,IF(U1156&lt;=Breakdowns!$C$7,3,4))))</f>
        <v>1</v>
      </c>
      <c r="X1156" s="33">
        <f>IF(V1156="","",IF(V1156&lt;=Breakdowns!$D$5,1,IF(V1156&lt;=Breakdowns!$D$6,2,IF(V1156&lt;=Breakdowns!$D$7,3,4))))</f>
        <v>1</v>
      </c>
      <c r="Y1156" s="34">
        <f>INDEX(Stores!$F$2:$F$21,MATCH(B1156,Stores!$A$2:$A$21,0))</f>
        <v>4.66</v>
      </c>
      <c r="Z1156" s="33">
        <f>IF(Y1156&gt;Store_Summary!$M$2,1,0)</f>
        <v>0</v>
      </c>
      <c r="AA1156" s="33">
        <f>INDEX(Stores!$C$2:$C$21,MATCH(B1156,Stores!$A$2:$A$21,0))</f>
        <v>204</v>
      </c>
      <c r="AB1156" s="33">
        <f>IF(AA1156&lt;180,1,0)</f>
        <v>0</v>
      </c>
      <c r="AC1156" s="32" t="str">
        <f>IF(Orders!D1153="","",INDEX(Riders!$C$2:$C$81,MATCH(Orders!D1153,Riders!$A$2:$A$81,0)))</f>
        <v>EV scooter</v>
      </c>
      <c r="AD1156" s="33">
        <f>IF(Orders!D1153="","",INDEX(Riders!$D$2:$D$81,MATCH(Orders!D1153,Riders!$A$2:$A$81,0)))</f>
        <v>38</v>
      </c>
      <c r="AE1156" s="33">
        <f>IF(Orders!D1153="","",IF(INDEX(Riders!$B$2:$B$81,MATCH(Orders!D1153,Riders!$A$2:$A$81,0))=B1156,1,0))</f>
        <v>0</v>
      </c>
      <c r="AF1156" s="34">
        <f>IF(E1156=1,Orders!L1153,"")</f>
        <v>1.27</v>
      </c>
      <c r="AG1156" s="34">
        <f>IF(E1156=1,Orders!P1153,"")</f>
        <v>10.5</v>
      </c>
      <c r="AH1156" s="34">
        <f>IF(E1156=1,Orders!Q1153,"")</f>
        <v>17.7</v>
      </c>
      <c r="AI1156" s="34">
        <f>IF(E1156=1,Orders!M1153,"")</f>
        <v>4.5</v>
      </c>
      <c r="AJ1156" s="34">
        <f>IF(E1156=1,Orders!N1153,"")</f>
        <v>9.5</v>
      </c>
      <c r="AK1156" s="34">
        <f>IF(E1156=1,Orders!O1153,"")</f>
        <v>3.7</v>
      </c>
      <c r="AL1156" s="33">
        <f>IF(E1156=1,IF(ROUND(ABS(AI1156+AJ1156+AK1156-AH1156),6)&lt;=0.1,1,0),"")</f>
        <v>1</v>
      </c>
      <c r="AM1156" s="36">
        <f>IF(E1156=1,AI1156/AH1156,"")</f>
        <v>0.254237288135593</v>
      </c>
      <c r="AN1156" s="36">
        <f>IF(E1156=1,AJ1156/AH1156,"")</f>
        <v>0.536723163841808</v>
      </c>
      <c r="AO1156" s="36">
        <f>IF(E1156=1,AK1156/AH1156,"")</f>
        <v>0.209039548022599</v>
      </c>
      <c r="AP1156" s="34">
        <f>IF(E1156=1,Orders!Y1153,"")</f>
        <v>0.4</v>
      </c>
      <c r="AQ1156" s="33">
        <f>IF(Orders!X1153,1,0)</f>
        <v>0</v>
      </c>
      <c r="AR1156" s="34" t="str">
        <f>IF(AND(E1156=1,L1156=1),AJ1156,"")</f>
        <v/>
      </c>
      <c r="AS1156" s="34">
        <f>IF(AND(E1156=1,L1156=0),AJ1156,"")</f>
        <v>9.5</v>
      </c>
      <c r="AT1156" s="34" t="str">
        <f>IF(AND(E1156=1,L1156=1),AI1156,"")</f>
        <v/>
      </c>
      <c r="AU1156" s="34">
        <f>IF(AND(E1156=1,L1156=0),AI1156,"")</f>
        <v>4.5</v>
      </c>
      <c r="AV1156" s="34" t="str">
        <f>IF(AND(E1156=1,L1156=1),AG1156,"")</f>
        <v/>
      </c>
      <c r="AW1156" s="34">
        <f>IF(AND(E1156=1,L1156=0),AG1156,"")</f>
        <v>10.5</v>
      </c>
      <c r="AX1156" s="34" t="str">
        <f>IF(AND(E1156=1,L1156=1),AH1156,"")</f>
        <v/>
      </c>
      <c r="AY1156" s="34">
        <f>IF(AND(E1156=1,L1156=0),AH1156,"")</f>
        <v>17.7</v>
      </c>
      <c r="AZ1156" s="34">
        <f>IF(G1156=1,F1156,"")</f>
        <v>7.2</v>
      </c>
      <c r="BA1156" s="34" t="str">
        <f>IF(AND(G1156=1,L1156=1),F1156,"")</f>
        <v/>
      </c>
      <c r="BB1156" s="34">
        <f>IF(AND(G1156=1,L1156=0),F1156,"")</f>
        <v>7.2</v>
      </c>
      <c r="BC1156" s="33">
        <f>IF(E1156=1,IF(Orders!R1153&gt;3,1,0),"")</f>
        <v>1</v>
      </c>
      <c r="BD1156" s="33">
        <f>IF(E1156=1,IF(Orders!R1153&gt;7,1,0),"")</f>
        <v>1</v>
      </c>
      <c r="BE1156" s="32" t="str">
        <f>IF(E1156=1,IF(Orders!L1153&lt;=1.5,"Up to 1.5 km",IF(Orders!L1153&lt;=3,"1.5–3 km","Over 3 km")),"")</f>
        <v>Up to 1.5 km</v>
      </c>
      <c r="BF1156" s="33">
        <f>IF(E1156=1,IF(ABS((Orders!G1153-Orders!F1153)*1440-Orders!R1153)&lt;0.06,1,0),"")</f>
        <v>1</v>
      </c>
      <c r="BG1156" s="33">
        <f>IF(ABS((Orders!F1153-Orders!E1153)*1440-Orders!P1153)&lt;0.06,1,0)</f>
        <v>1</v>
      </c>
      <c r="BH1156" s="33">
        <f>IF(E1156=1,IF(IF(Orders!S1153,1,0)=1-G1156,1,0),"")</f>
        <v>1</v>
      </c>
      <c r="BI1156" s="32" t="str">
        <f>INDEX(Stores!$B$2:$B$21,MATCH(B1156,Stores!$A$2:$A$21,0))</f>
        <v>Delhi</v>
      </c>
    </row>
    <row r="1157">
      <c r="A1157" s="32" t="str">
        <f>Orders!A1154</f>
        <v>O01153</v>
      </c>
      <c r="B1157" s="32" t="str">
        <f>Orders!C1154</f>
        <v>S008</v>
      </c>
      <c r="C1157" s="32" t="str">
        <f>Orders!B1154</f>
        <v>C0149</v>
      </c>
      <c r="D1157" s="32" t="str">
        <f>Orders!H1154</f>
        <v>Delivered</v>
      </c>
      <c r="E1157" s="33">
        <f>IF(Orders!H1154="Delivered",1,0)</f>
        <v>1</v>
      </c>
      <c r="F1157" s="34">
        <f>IF(E1157=1,Orders!R1154,"")</f>
        <v>8.4</v>
      </c>
      <c r="G1157" s="33">
        <f>IF(E1157=1,IF(Orders!R1154&gt;0,1,0),"")</f>
        <v>1</v>
      </c>
      <c r="H1157" s="33">
        <f>IF(E1157=1,IF(Orders!R1154&gt;5,1,0),"")</f>
        <v>1</v>
      </c>
      <c r="I1157" s="32" t="str">
        <f>IF(E1157=1,"",IF(OR(Orders!T1154="Rider unavailable",Orders!T1154="Item unavailable"),"Company-caused","Unresolved"))</f>
        <v/>
      </c>
      <c r="J1157" s="33">
        <f>IF(OR(E1157=1,I1157="Company-caused"),1,0)</f>
        <v>1</v>
      </c>
      <c r="K1157" s="32" t="str">
        <f>IF(E1157=0,IF(I1157="Company-caused",IF(Orders!T1154="Rider unavailable","C1 Rider unavailable","C2 Item unavailable"),"Outside root: unresolved"),IF(G1157=0,"A On time",IF(H1157=1,IF(L1157=1,"B2a Severe, peak","B2b Severe, off-peak"),IF(L1157=1,"B1a Slight, peak","B1b Slight, off-peak"))))</f>
        <v>B2b Severe, off-peak</v>
      </c>
      <c r="L1157" s="33">
        <f>IF(AND(Orders!U1154&gt;=19,Orders!U1154&lt;22),1,0)</f>
        <v>0</v>
      </c>
      <c r="M1157" s="33">
        <f>IF(L1157=IF(Orders!V1154,1,0),1,0)</f>
        <v>1</v>
      </c>
      <c r="N1157" s="32" t="str">
        <f>IF(Orders!W1154="","None",Orders!W1154)</f>
        <v>None</v>
      </c>
      <c r="O1157" s="35">
        <f>INT(Orders!E1154)</f>
        <v>46266.0</v>
      </c>
      <c r="P1157" s="33">
        <f>Orders!U1154</f>
        <v>11</v>
      </c>
      <c r="Q1157" s="33">
        <f>COUNTIFS(Demand!$A$2:$A$4481,B1157,Demand!$B$2:$B$4481,O1157,Demand!$C$2:$C$4481,P1157)</f>
        <v>1</v>
      </c>
      <c r="R1157" s="33">
        <f>IF(Q1157=1,SUMIFS(Demand!$E$2:$E$4481,Demand!$A$2:$A$4481,B1157,Demand!$B$2:$B$4481,O1157,Demand!$C$2:$C$4481,P1157),"")</f>
        <v>21</v>
      </c>
      <c r="S1157" s="33">
        <f>INDEX(Stores!$G$2:$G$21,MATCH(B1157,Stores!$A$2:$A$21,0))</f>
        <v>23</v>
      </c>
      <c r="T1157" s="34">
        <f>IF(R1157="","",R1157/S1157)</f>
        <v>0.91304347826087</v>
      </c>
      <c r="U1157" s="34">
        <f>IF(E1157=1,T1157,"")</f>
        <v>0.91304347826087</v>
      </c>
      <c r="V1157" s="34">
        <f>IF(AND(E1157=1,L1157=0),T1157,"")</f>
        <v>0.91304347826087</v>
      </c>
      <c r="W1157" s="33">
        <f>IF(U1157="","",IF(U1157&lt;=Breakdowns!$C$5,1,IF(U1157&lt;=Breakdowns!$C$6,2,IF(U1157&lt;=Breakdowns!$C$7,3,4))))</f>
        <v>2</v>
      </c>
      <c r="X1157" s="33">
        <f>IF(V1157="","",IF(V1157&lt;=Breakdowns!$D$5,1,IF(V1157&lt;=Breakdowns!$D$6,2,IF(V1157&lt;=Breakdowns!$D$7,3,4))))</f>
        <v>2</v>
      </c>
      <c r="Y1157" s="34">
        <f>INDEX(Stores!$F$2:$F$21,MATCH(B1157,Stores!$A$2:$A$21,0))</f>
        <v>3.46</v>
      </c>
      <c r="Z1157" s="33">
        <f>IF(Y1157&gt;Store_Summary!$M$2,1,0)</f>
        <v>0</v>
      </c>
      <c r="AA1157" s="33">
        <f>INDEX(Stores!$C$2:$C$21,MATCH(B1157,Stores!$A$2:$A$21,0))</f>
        <v>825</v>
      </c>
      <c r="AB1157" s="33">
        <f>IF(AA1157&lt;180,1,0)</f>
        <v>0</v>
      </c>
      <c r="AC1157" s="32" t="str">
        <f>IF(Orders!D1154="","",INDEX(Riders!$C$2:$C$81,MATCH(Orders!D1154,Riders!$A$2:$A$81,0)))</f>
        <v>EV scooter</v>
      </c>
      <c r="AD1157" s="33">
        <f>IF(Orders!D1154="","",INDEX(Riders!$D$2:$D$81,MATCH(Orders!D1154,Riders!$A$2:$A$81,0)))</f>
        <v>45</v>
      </c>
      <c r="AE1157" s="33">
        <f>IF(Orders!D1154="","",IF(INDEX(Riders!$B$2:$B$81,MATCH(Orders!D1154,Riders!$A$2:$A$81,0))=B1157,1,0))</f>
        <v>0</v>
      </c>
      <c r="AF1157" s="34">
        <f>IF(E1157=1,Orders!L1154,"")</f>
        <v>4.9</v>
      </c>
      <c r="AG1157" s="34">
        <f>IF(E1157=1,Orders!P1154,"")</f>
        <v>12.9</v>
      </c>
      <c r="AH1157" s="34">
        <f>IF(E1157=1,Orders!Q1154,"")</f>
        <v>21.3</v>
      </c>
      <c r="AI1157" s="34">
        <f>IF(E1157=1,Orders!M1154,"")</f>
        <v>4.6</v>
      </c>
      <c r="AJ1157" s="34">
        <f>IF(E1157=1,Orders!N1154,"")</f>
        <v>5.2</v>
      </c>
      <c r="AK1157" s="34">
        <f>IF(E1157=1,Orders!O1154,"")</f>
        <v>11.5</v>
      </c>
      <c r="AL1157" s="33">
        <f>IF(E1157=1,IF(ROUND(ABS(AI1157+AJ1157+AK1157-AH1157),6)&lt;=0.1,1,0),"")</f>
        <v>1</v>
      </c>
      <c r="AM1157" s="36">
        <f>IF(E1157=1,AI1157/AH1157,"")</f>
        <v>0.215962441314554</v>
      </c>
      <c r="AN1157" s="36">
        <f>IF(E1157=1,AJ1157/AH1157,"")</f>
        <v>0.244131455399061</v>
      </c>
      <c r="AO1157" s="36">
        <f>IF(E1157=1,AK1157/AH1157,"")</f>
        <v>0.539906103286385</v>
      </c>
      <c r="AP1157" s="34">
        <f>IF(E1157=1,Orders!Y1154,"")</f>
        <v>0.21</v>
      </c>
      <c r="AQ1157" s="33">
        <f>IF(Orders!X1154,1,0)</f>
        <v>0</v>
      </c>
      <c r="AR1157" s="34" t="str">
        <f>IF(AND(E1157=1,L1157=1),AJ1157,"")</f>
        <v/>
      </c>
      <c r="AS1157" s="34">
        <f>IF(AND(E1157=1,L1157=0),AJ1157,"")</f>
        <v>5.2</v>
      </c>
      <c r="AT1157" s="34" t="str">
        <f>IF(AND(E1157=1,L1157=1),AI1157,"")</f>
        <v/>
      </c>
      <c r="AU1157" s="34">
        <f>IF(AND(E1157=1,L1157=0),AI1157,"")</f>
        <v>4.6</v>
      </c>
      <c r="AV1157" s="34" t="str">
        <f>IF(AND(E1157=1,L1157=1),AG1157,"")</f>
        <v/>
      </c>
      <c r="AW1157" s="34">
        <f>IF(AND(E1157=1,L1157=0),AG1157,"")</f>
        <v>12.9</v>
      </c>
      <c r="AX1157" s="34" t="str">
        <f>IF(AND(E1157=1,L1157=1),AH1157,"")</f>
        <v/>
      </c>
      <c r="AY1157" s="34">
        <f>IF(AND(E1157=1,L1157=0),AH1157,"")</f>
        <v>21.3</v>
      </c>
      <c r="AZ1157" s="34">
        <f>IF(G1157=1,F1157,"")</f>
        <v>8.4</v>
      </c>
      <c r="BA1157" s="34" t="str">
        <f>IF(AND(G1157=1,L1157=1),F1157,"")</f>
        <v/>
      </c>
      <c r="BB1157" s="34">
        <f>IF(AND(G1157=1,L1157=0),F1157,"")</f>
        <v>8.4</v>
      </c>
      <c r="BC1157" s="33">
        <f>IF(E1157=1,IF(Orders!R1154&gt;3,1,0),"")</f>
        <v>1</v>
      </c>
      <c r="BD1157" s="33">
        <f>IF(E1157=1,IF(Orders!R1154&gt;7,1,0),"")</f>
        <v>1</v>
      </c>
      <c r="BE1157" s="32" t="str">
        <f>IF(E1157=1,IF(Orders!L1154&lt;=1.5,"Up to 1.5 km",IF(Orders!L1154&lt;=3,"1.5–3 km","Over 3 km")),"")</f>
        <v>Over 3 km</v>
      </c>
      <c r="BF1157" s="33">
        <f>IF(E1157=1,IF(ABS((Orders!G1154-Orders!F1154)*1440-Orders!R1154)&lt;0.06,1,0),"")</f>
        <v>1</v>
      </c>
      <c r="BG1157" s="33">
        <f>IF(ABS((Orders!F1154-Orders!E1154)*1440-Orders!P1154)&lt;0.06,1,0)</f>
        <v>1</v>
      </c>
      <c r="BH1157" s="33">
        <f>IF(E1157=1,IF(IF(Orders!S1154,1,0)=1-G1157,1,0),"")</f>
        <v>1</v>
      </c>
      <c r="BI1157" s="32" t="str">
        <f>INDEX(Stores!$B$2:$B$21,MATCH(B1157,Stores!$A$2:$A$21,0))</f>
        <v>Mumbai</v>
      </c>
    </row>
    <row r="1158">
      <c r="A1158" s="32" t="str">
        <f>Orders!A1155</f>
        <v>O01154</v>
      </c>
      <c r="B1158" s="32" t="str">
        <f>Orders!C1155</f>
        <v>S004</v>
      </c>
      <c r="C1158" s="32" t="str">
        <f>Orders!B1155</f>
        <v>C0063</v>
      </c>
      <c r="D1158" s="32" t="str">
        <f>Orders!H1155</f>
        <v>Delivered</v>
      </c>
      <c r="E1158" s="33">
        <f>IF(Orders!H1155="Delivered",1,0)</f>
        <v>1</v>
      </c>
      <c r="F1158" s="34">
        <f>IF(E1158=1,Orders!R1155,"")</f>
        <v>-0.2</v>
      </c>
      <c r="G1158" s="33">
        <f>IF(E1158=1,IF(Orders!R1155&gt;0,1,0),"")</f>
        <v>0</v>
      </c>
      <c r="H1158" s="33">
        <f>IF(E1158=1,IF(Orders!R1155&gt;5,1,0),"")</f>
        <v>0</v>
      </c>
      <c r="I1158" s="32" t="str">
        <f>IF(E1158=1,"",IF(OR(Orders!T1155="Rider unavailable",Orders!T1155="Item unavailable"),"Company-caused","Unresolved"))</f>
        <v/>
      </c>
      <c r="J1158" s="33">
        <f>IF(OR(E1158=1,I1158="Company-caused"),1,0)</f>
        <v>1</v>
      </c>
      <c r="K1158" s="32" t="str">
        <f>IF(E1158=0,IF(I1158="Company-caused",IF(Orders!T1155="Rider unavailable","C1 Rider unavailable","C2 Item unavailable"),"Outside root: unresolved"),IF(G1158=0,"A On time",IF(H1158=1,IF(L1158=1,"B2a Severe, peak","B2b Severe, off-peak"),IF(L1158=1,"B1a Slight, peak","B1b Slight, off-peak"))))</f>
        <v>A On time</v>
      </c>
      <c r="L1158" s="33">
        <f>IF(AND(Orders!U1155&gt;=19,Orders!U1155&lt;22),1,0)</f>
        <v>1</v>
      </c>
      <c r="M1158" s="33">
        <f>IF(L1158=IF(Orders!V1155,1,0),1,0)</f>
        <v>1</v>
      </c>
      <c r="N1158" s="32" t="str">
        <f>IF(Orders!W1155="","None",Orders!W1155)</f>
        <v>Light</v>
      </c>
      <c r="O1158" s="35">
        <f>INT(Orders!E1155)</f>
        <v>46277.0</v>
      </c>
      <c r="P1158" s="33">
        <f>Orders!U1155</f>
        <v>21</v>
      </c>
      <c r="Q1158" s="33">
        <f>COUNTIFS(Demand!$A$2:$A$4481,B1158,Demand!$B$2:$B$4481,O1158,Demand!$C$2:$C$4481,P1158)</f>
        <v>1</v>
      </c>
      <c r="R1158" s="33">
        <f>IF(Q1158=1,SUMIFS(Demand!$E$2:$E$4481,Demand!$A$2:$A$4481,B1158,Demand!$B$2:$B$4481,O1158,Demand!$C$2:$C$4481,P1158),"")</f>
        <v>79</v>
      </c>
      <c r="S1158" s="33">
        <f>INDEX(Stores!$G$2:$G$21,MATCH(B1158,Stores!$A$2:$A$21,0))</f>
        <v>42</v>
      </c>
      <c r="T1158" s="34">
        <f>IF(R1158="","",R1158/S1158)</f>
        <v>1.88095238095238</v>
      </c>
      <c r="U1158" s="34">
        <f>IF(E1158=1,T1158,"")</f>
        <v>1.88095238095238</v>
      </c>
      <c r="V1158" s="34" t="str">
        <f>IF(AND(E1158=1,L1158=0),T1158,"")</f>
        <v/>
      </c>
      <c r="W1158" s="33">
        <f>IF(U1158="","",IF(U1158&lt;=Breakdowns!$C$5,1,IF(U1158&lt;=Breakdowns!$C$6,2,IF(U1158&lt;=Breakdowns!$C$7,3,4))))</f>
        <v>4</v>
      </c>
      <c r="X1158" s="33" t="str">
        <f>IF(V1158="","",IF(V1158&lt;=Breakdowns!$D$5,1,IF(V1158&lt;=Breakdowns!$D$6,2,IF(V1158&lt;=Breakdowns!$D$7,3,4))))</f>
        <v/>
      </c>
      <c r="Y1158" s="34">
        <f>INDEX(Stores!$F$2:$F$21,MATCH(B1158,Stores!$A$2:$A$21,0))</f>
        <v>2.19</v>
      </c>
      <c r="Z1158" s="33">
        <f>IF(Y1158&gt;Store_Summary!$M$2,1,0)</f>
        <v>0</v>
      </c>
      <c r="AA1158" s="33">
        <f>INDEX(Stores!$C$2:$C$21,MATCH(B1158,Stores!$A$2:$A$21,0))</f>
        <v>850</v>
      </c>
      <c r="AB1158" s="33">
        <f>IF(AA1158&lt;180,1,0)</f>
        <v>0</v>
      </c>
      <c r="AC1158" s="32" t="str">
        <f>IF(Orders!D1155="","",INDEX(Riders!$C$2:$C$81,MATCH(Orders!D1155,Riders!$A$2:$A$81,0)))</f>
        <v>EV scooter</v>
      </c>
      <c r="AD1158" s="33">
        <f>IF(Orders!D1155="","",INDEX(Riders!$D$2:$D$81,MATCH(Orders!D1155,Riders!$A$2:$A$81,0)))</f>
        <v>41</v>
      </c>
      <c r="AE1158" s="33">
        <f>IF(Orders!D1155="","",IF(INDEX(Riders!$B$2:$B$81,MATCH(Orders!D1155,Riders!$A$2:$A$81,0))=B1158,1,0))</f>
        <v>0</v>
      </c>
      <c r="AF1158" s="34">
        <f>IF(E1158=1,Orders!L1155,"")</f>
        <v>0.99</v>
      </c>
      <c r="AG1158" s="34">
        <f>IF(E1158=1,Orders!P1155,"")</f>
        <v>9.2</v>
      </c>
      <c r="AH1158" s="34">
        <f>IF(E1158=1,Orders!Q1155,"")</f>
        <v>9</v>
      </c>
      <c r="AI1158" s="34">
        <f>IF(E1158=1,Orders!M1155,"")</f>
        <v>3.7</v>
      </c>
      <c r="AJ1158" s="34">
        <f>IF(E1158=1,Orders!N1155,"")</f>
        <v>1.6</v>
      </c>
      <c r="AK1158" s="34">
        <f>IF(E1158=1,Orders!O1155,"")</f>
        <v>3.7</v>
      </c>
      <c r="AL1158" s="33">
        <f>IF(E1158=1,IF(ROUND(ABS(AI1158+AJ1158+AK1158-AH1158),6)&lt;=0.1,1,0),"")</f>
        <v>1</v>
      </c>
      <c r="AM1158" s="36">
        <f>IF(E1158=1,AI1158/AH1158,"")</f>
        <v>0.411111111111111</v>
      </c>
      <c r="AN1158" s="36">
        <f>IF(E1158=1,AJ1158/AH1158,"")</f>
        <v>0.177777777777778</v>
      </c>
      <c r="AO1158" s="36">
        <f>IF(E1158=1,AK1158/AH1158,"")</f>
        <v>0.411111111111111</v>
      </c>
      <c r="AP1158" s="34">
        <f>IF(E1158=1,Orders!Y1155,"")</f>
        <v>0.54</v>
      </c>
      <c r="AQ1158" s="33">
        <f>IF(Orders!X1155,1,0)</f>
        <v>0</v>
      </c>
      <c r="AR1158" s="34">
        <f>IF(AND(E1158=1,L1158=1),AJ1158,"")</f>
        <v>1.6</v>
      </c>
      <c r="AS1158" s="34" t="str">
        <f>IF(AND(E1158=1,L1158=0),AJ1158,"")</f>
        <v/>
      </c>
      <c r="AT1158" s="34">
        <f>IF(AND(E1158=1,L1158=1),AI1158,"")</f>
        <v>3.7</v>
      </c>
      <c r="AU1158" s="34" t="str">
        <f>IF(AND(E1158=1,L1158=0),AI1158,"")</f>
        <v/>
      </c>
      <c r="AV1158" s="34">
        <f>IF(AND(E1158=1,L1158=1),AG1158,"")</f>
        <v>9.2</v>
      </c>
      <c r="AW1158" s="34" t="str">
        <f>IF(AND(E1158=1,L1158=0),AG1158,"")</f>
        <v/>
      </c>
      <c r="AX1158" s="34">
        <f>IF(AND(E1158=1,L1158=1),AH1158,"")</f>
        <v>9</v>
      </c>
      <c r="AY1158" s="34" t="str">
        <f>IF(AND(E1158=1,L1158=0),AH1158,"")</f>
        <v/>
      </c>
      <c r="AZ1158" s="34" t="str">
        <f>IF(G1158=1,F1158,"")</f>
        <v/>
      </c>
      <c r="BA1158" s="34" t="str">
        <f>IF(AND(G1158=1,L1158=1),F1158,"")</f>
        <v/>
      </c>
      <c r="BB1158" s="34" t="str">
        <f>IF(AND(G1158=1,L1158=0),F1158,"")</f>
        <v/>
      </c>
      <c r="BC1158" s="33">
        <f>IF(E1158=1,IF(Orders!R1155&gt;3,1,0),"")</f>
        <v>0</v>
      </c>
      <c r="BD1158" s="33">
        <f>IF(E1158=1,IF(Orders!R1155&gt;7,1,0),"")</f>
        <v>0</v>
      </c>
      <c r="BE1158" s="32" t="str">
        <f>IF(E1158=1,IF(Orders!L1155&lt;=1.5,"Up to 1.5 km",IF(Orders!L1155&lt;=3,"1.5–3 km","Over 3 km")),"")</f>
        <v>Up to 1.5 km</v>
      </c>
      <c r="BF1158" s="33">
        <f>IF(E1158=1,IF(ABS((Orders!G1155-Orders!F1155)*1440-Orders!R1155)&lt;0.06,1,0),"")</f>
        <v>1</v>
      </c>
      <c r="BG1158" s="33">
        <f>IF(ABS((Orders!F1155-Orders!E1155)*1440-Orders!P1155)&lt;0.06,1,0)</f>
        <v>1</v>
      </c>
      <c r="BH1158" s="33">
        <f>IF(E1158=1,IF(IF(Orders!S1155,1,0)=1-G1158,1,0),"")</f>
        <v>1</v>
      </c>
      <c r="BI1158" s="32" t="str">
        <f>INDEX(Stores!$B$2:$B$21,MATCH(B1158,Stores!$A$2:$A$21,0))</f>
        <v>Pune</v>
      </c>
    </row>
    <row r="1159">
      <c r="A1159" s="32" t="str">
        <f>Orders!A1156</f>
        <v>O01155</v>
      </c>
      <c r="B1159" s="32" t="str">
        <f>Orders!C1156</f>
        <v>S010</v>
      </c>
      <c r="C1159" s="32" t="str">
        <f>Orders!B1156</f>
        <v>C0152</v>
      </c>
      <c r="D1159" s="32" t="str">
        <f>Orders!H1156</f>
        <v>Cancelled</v>
      </c>
      <c r="E1159" s="33">
        <f>IF(Orders!H1156="Delivered",1,0)</f>
        <v>0</v>
      </c>
      <c r="F1159" s="34" t="str">
        <f>IF(E1159=1,Orders!R1156,"")</f>
        <v/>
      </c>
      <c r="G1159" s="33" t="str">
        <f>IF(E1159=1,IF(Orders!R1156&gt;0,1,0),"")</f>
        <v/>
      </c>
      <c r="H1159" s="33" t="str">
        <f>IF(E1159=1,IF(Orders!R1156&gt;5,1,0),"")</f>
        <v/>
      </c>
      <c r="I1159" s="32" t="str">
        <f>IF(E1159=1,"",IF(OR(Orders!T1156="Rider unavailable",Orders!T1156="Item unavailable"),"Company-caused","Unresolved"))</f>
        <v>Unresolved</v>
      </c>
      <c r="J1159" s="33">
        <f>IF(OR(E1159=1,I1159="Company-caused"),1,0)</f>
        <v>0</v>
      </c>
      <c r="K1159" s="32" t="str">
        <f>IF(E1159=0,IF(I1159="Company-caused",IF(Orders!T1156="Rider unavailable","C1 Rider unavailable","C2 Item unavailable"),"Outside root: unresolved"),IF(G1159=0,"A On time",IF(H1159=1,IF(L1159=1,"B2a Severe, peak","B2b Severe, off-peak"),IF(L1159=1,"B1a Slight, peak","B1b Slight, off-peak"))))</f>
        <v>Outside root: unresolved</v>
      </c>
      <c r="L1159" s="33">
        <f>IF(AND(Orders!U1156&gt;=19,Orders!U1156&lt;22),1,0)</f>
        <v>1</v>
      </c>
      <c r="M1159" s="33">
        <f>IF(L1159=IF(Orders!V1156,1,0),1,0)</f>
        <v>1</v>
      </c>
      <c r="N1159" s="32" t="str">
        <f>IF(Orders!W1156="","None",Orders!W1156)</f>
        <v>None</v>
      </c>
      <c r="O1159" s="35">
        <f>INT(Orders!E1156)</f>
        <v>46275.0</v>
      </c>
      <c r="P1159" s="33">
        <f>Orders!U1156</f>
        <v>20</v>
      </c>
      <c r="Q1159" s="33">
        <f>COUNTIFS(Demand!$A$2:$A$4481,B1159,Demand!$B$2:$B$4481,O1159,Demand!$C$2:$C$4481,P1159)</f>
        <v>1</v>
      </c>
      <c r="R1159" s="33">
        <f>IF(Q1159=1,SUMIFS(Demand!$E$2:$E$4481,Demand!$A$2:$A$4481,B1159,Demand!$B$2:$B$4481,O1159,Demand!$C$2:$C$4481,P1159),"")</f>
        <v>47</v>
      </c>
      <c r="S1159" s="33">
        <f>INDEX(Stores!$G$2:$G$21,MATCH(B1159,Stores!$A$2:$A$21,0))</f>
        <v>22</v>
      </c>
      <c r="T1159" s="34">
        <f>IF(R1159="","",R1159/S1159)</f>
        <v>2.13636363636364</v>
      </c>
      <c r="U1159" s="34" t="str">
        <f>IF(E1159=1,T1159,"")</f>
        <v/>
      </c>
      <c r="V1159" s="34" t="str">
        <f>IF(AND(E1159=1,L1159=0),T1159,"")</f>
        <v/>
      </c>
      <c r="W1159" s="33" t="str">
        <f>IF(U1159="","",IF(U1159&lt;=Breakdowns!$C$5,1,IF(U1159&lt;=Breakdowns!$C$6,2,IF(U1159&lt;=Breakdowns!$C$7,3,4))))</f>
        <v/>
      </c>
      <c r="X1159" s="33" t="str">
        <f>IF(V1159="","",IF(V1159&lt;=Breakdowns!$D$5,1,IF(V1159&lt;=Breakdowns!$D$6,2,IF(V1159&lt;=Breakdowns!$D$7,3,4))))</f>
        <v/>
      </c>
      <c r="Y1159" s="34">
        <f>INDEX(Stores!$F$2:$F$21,MATCH(B1159,Stores!$A$2:$A$21,0))</f>
        <v>5.61</v>
      </c>
      <c r="Z1159" s="33">
        <f>IF(Y1159&gt;Store_Summary!$M$2,1,0)</f>
        <v>1</v>
      </c>
      <c r="AA1159" s="33">
        <f>INDEX(Stores!$C$2:$C$21,MATCH(B1159,Stores!$A$2:$A$21,0))</f>
        <v>744</v>
      </c>
      <c r="AB1159" s="33">
        <f>IF(AA1159&lt;180,1,0)</f>
        <v>0</v>
      </c>
      <c r="AC1159" s="32" t="str">
        <f>IF(Orders!D1156="","",INDEX(Riders!$C$2:$C$81,MATCH(Orders!D1156,Riders!$A$2:$A$81,0)))</f>
        <v/>
      </c>
      <c r="AD1159" s="33" t="str">
        <f>IF(Orders!D1156="","",INDEX(Riders!$D$2:$D$81,MATCH(Orders!D1156,Riders!$A$2:$A$81,0)))</f>
        <v/>
      </c>
      <c r="AE1159" s="33" t="str">
        <f>IF(Orders!D1156="","",IF(INDEX(Riders!$B$2:$B$81,MATCH(Orders!D1156,Riders!$A$2:$A$81,0))=B1159,1,0))</f>
        <v/>
      </c>
      <c r="AF1159" s="34" t="str">
        <f>IF(E1159=1,Orders!L1156,"")</f>
        <v/>
      </c>
      <c r="AG1159" s="34" t="str">
        <f>IF(E1159=1,Orders!P1156,"")</f>
        <v/>
      </c>
      <c r="AH1159" s="34" t="str">
        <f>IF(E1159=1,Orders!Q1156,"")</f>
        <v/>
      </c>
      <c r="AI1159" s="34" t="str">
        <f>IF(E1159=1,Orders!M1156,"")</f>
        <v/>
      </c>
      <c r="AJ1159" s="34" t="str">
        <f>IF(E1159=1,Orders!N1156,"")</f>
        <v/>
      </c>
      <c r="AK1159" s="34" t="str">
        <f>IF(E1159=1,Orders!O1156,"")</f>
        <v/>
      </c>
      <c r="AL1159" s="33" t="str">
        <f>IF(E1159=1,IF(ROUND(ABS(AI1159+AJ1159+AK1159-AH1159),6)&lt;=0.1,1,0),"")</f>
        <v/>
      </c>
      <c r="AM1159" s="36" t="str">
        <f>IF(E1159=1,AI1159/AH1159,"")</f>
        <v/>
      </c>
      <c r="AN1159" s="36" t="str">
        <f>IF(E1159=1,AJ1159/AH1159,"")</f>
        <v/>
      </c>
      <c r="AO1159" s="36" t="str">
        <f>IF(E1159=1,AK1159/AH1159,"")</f>
        <v/>
      </c>
      <c r="AP1159" s="34" t="str">
        <f>IF(E1159=1,Orders!Y1156,"")</f>
        <v/>
      </c>
      <c r="AQ1159" s="33">
        <f>IF(Orders!X1156,1,0)</f>
        <v>0</v>
      </c>
      <c r="AR1159" s="34" t="str">
        <f>IF(AND(E1159=1,L1159=1),AJ1159,"")</f>
        <v/>
      </c>
      <c r="AS1159" s="34" t="str">
        <f>IF(AND(E1159=1,L1159=0),AJ1159,"")</f>
        <v/>
      </c>
      <c r="AT1159" s="34" t="str">
        <f>IF(AND(E1159=1,L1159=1),AI1159,"")</f>
        <v/>
      </c>
      <c r="AU1159" s="34" t="str">
        <f>IF(AND(E1159=1,L1159=0),AI1159,"")</f>
        <v/>
      </c>
      <c r="AV1159" s="34" t="str">
        <f>IF(AND(E1159=1,L1159=1),AG1159,"")</f>
        <v/>
      </c>
      <c r="AW1159" s="34" t="str">
        <f>IF(AND(E1159=1,L1159=0),AG1159,"")</f>
        <v/>
      </c>
      <c r="AX1159" s="34" t="str">
        <f>IF(AND(E1159=1,L1159=1),AH1159,"")</f>
        <v/>
      </c>
      <c r="AY1159" s="34" t="str">
        <f>IF(AND(E1159=1,L1159=0),AH1159,"")</f>
        <v/>
      </c>
      <c r="AZ1159" s="34" t="str">
        <f>IF(G1159=1,F1159,"")</f>
        <v/>
      </c>
      <c r="BA1159" s="34" t="str">
        <f>IF(AND(G1159=1,L1159=1),F1159,"")</f>
        <v/>
      </c>
      <c r="BB1159" s="34" t="str">
        <f>IF(AND(G1159=1,L1159=0),F1159,"")</f>
        <v/>
      </c>
      <c r="BC1159" s="33" t="str">
        <f>IF(E1159=1,IF(Orders!R1156&gt;3,1,0),"")</f>
        <v/>
      </c>
      <c r="BD1159" s="33" t="str">
        <f>IF(E1159=1,IF(Orders!R1156&gt;7,1,0),"")</f>
        <v/>
      </c>
      <c r="BE1159" s="32" t="str">
        <f>IF(E1159=1,IF(Orders!L1156&lt;=1.5,"Up to 1.5 km",IF(Orders!L1156&lt;=3,"1.5–3 km","Over 3 km")),"")</f>
        <v/>
      </c>
      <c r="BF1159" s="33" t="str">
        <f>IF(E1159=1,IF(ABS((Orders!G1156-Orders!F1156)*1440-Orders!R1156)&lt;0.06,1,0),"")</f>
        <v/>
      </c>
      <c r="BG1159" s="33">
        <f>IF(ABS((Orders!F1156-Orders!E1156)*1440-Orders!P1156)&lt;0.06,1,0)</f>
        <v>1</v>
      </c>
      <c r="BH1159" s="33" t="str">
        <f>IF(E1159=1,IF(IF(Orders!S1156,1,0)=1-G1159,1,0),"")</f>
        <v/>
      </c>
      <c r="BI1159" s="32" t="str">
        <f>INDEX(Stores!$B$2:$B$21,MATCH(B1159,Stores!$A$2:$A$21,0))</f>
        <v>Delhi</v>
      </c>
    </row>
    <row r="1160">
      <c r="A1160" s="32" t="str">
        <f>Orders!A1157</f>
        <v>O01156</v>
      </c>
      <c r="B1160" s="32" t="str">
        <f>Orders!C1157</f>
        <v>S016</v>
      </c>
      <c r="C1160" s="32" t="str">
        <f>Orders!B1157</f>
        <v>C0249</v>
      </c>
      <c r="D1160" s="32" t="str">
        <f>Orders!H1157</f>
        <v>Delivered</v>
      </c>
      <c r="E1160" s="33">
        <f>IF(Orders!H1157="Delivered",1,0)</f>
        <v>1</v>
      </c>
      <c r="F1160" s="34">
        <f>IF(E1160=1,Orders!R1157,"")</f>
        <v>-0.3</v>
      </c>
      <c r="G1160" s="33">
        <f>IF(E1160=1,IF(Orders!R1157&gt;0,1,0),"")</f>
        <v>0</v>
      </c>
      <c r="H1160" s="33">
        <f>IF(E1160=1,IF(Orders!R1157&gt;5,1,0),"")</f>
        <v>0</v>
      </c>
      <c r="I1160" s="32" t="str">
        <f>IF(E1160=1,"",IF(OR(Orders!T1157="Rider unavailable",Orders!T1157="Item unavailable"),"Company-caused","Unresolved"))</f>
        <v/>
      </c>
      <c r="J1160" s="33">
        <f>IF(OR(E1160=1,I1160="Company-caused"),1,0)</f>
        <v>1</v>
      </c>
      <c r="K1160" s="32" t="str">
        <f>IF(E1160=0,IF(I1160="Company-caused",IF(Orders!T1157="Rider unavailable","C1 Rider unavailable","C2 Item unavailable"),"Outside root: unresolved"),IF(G1160=0,"A On time",IF(H1160=1,IF(L1160=1,"B2a Severe, peak","B2b Severe, off-peak"),IF(L1160=1,"B1a Slight, peak","B1b Slight, off-peak"))))</f>
        <v>A On time</v>
      </c>
      <c r="L1160" s="33">
        <f>IF(AND(Orders!U1157&gt;=19,Orders!U1157&lt;22),1,0)</f>
        <v>0</v>
      </c>
      <c r="M1160" s="33">
        <f>IF(L1160=IF(Orders!V1157,1,0),1,0)</f>
        <v>1</v>
      </c>
      <c r="N1160" s="32" t="str">
        <f>IF(Orders!W1157="","None",Orders!W1157)</f>
        <v>None</v>
      </c>
      <c r="O1160" s="35">
        <f>INT(Orders!E1157)</f>
        <v>46279.0</v>
      </c>
      <c r="P1160" s="33">
        <f>Orders!U1157</f>
        <v>16</v>
      </c>
      <c r="Q1160" s="33">
        <f>COUNTIFS(Demand!$A$2:$A$4481,B1160,Demand!$B$2:$B$4481,O1160,Demand!$C$2:$C$4481,P1160)</f>
        <v>1</v>
      </c>
      <c r="R1160" s="33">
        <f>IF(Q1160=1,SUMIFS(Demand!$E$2:$E$4481,Demand!$A$2:$A$4481,B1160,Demand!$B$2:$B$4481,O1160,Demand!$C$2:$C$4481,P1160),"")</f>
        <v>23</v>
      </c>
      <c r="S1160" s="33">
        <f>INDEX(Stores!$G$2:$G$21,MATCH(B1160,Stores!$A$2:$A$21,0))</f>
        <v>25</v>
      </c>
      <c r="T1160" s="34">
        <f>IF(R1160="","",R1160/S1160)</f>
        <v>0.92</v>
      </c>
      <c r="U1160" s="34">
        <f>IF(E1160=1,T1160,"")</f>
        <v>0.92</v>
      </c>
      <c r="V1160" s="34">
        <f>IF(AND(E1160=1,L1160=0),T1160,"")</f>
        <v>0.92</v>
      </c>
      <c r="W1160" s="33">
        <f>IF(U1160="","",IF(U1160&lt;=Breakdowns!$C$5,1,IF(U1160&lt;=Breakdowns!$C$6,2,IF(U1160&lt;=Breakdowns!$C$7,3,4))))</f>
        <v>2</v>
      </c>
      <c r="X1160" s="33">
        <f>IF(V1160="","",IF(V1160&lt;=Breakdowns!$D$5,1,IF(V1160&lt;=Breakdowns!$D$6,2,IF(V1160&lt;=Breakdowns!$D$7,3,4))))</f>
        <v>3</v>
      </c>
      <c r="Y1160" s="34">
        <f>INDEX(Stores!$F$2:$F$21,MATCH(B1160,Stores!$A$2:$A$21,0))</f>
        <v>5.51</v>
      </c>
      <c r="Z1160" s="33">
        <f>IF(Y1160&gt;Store_Summary!$M$2,1,0)</f>
        <v>1</v>
      </c>
      <c r="AA1160" s="33">
        <f>INDEX(Stores!$C$2:$C$21,MATCH(B1160,Stores!$A$2:$A$21,0))</f>
        <v>792</v>
      </c>
      <c r="AB1160" s="33">
        <f>IF(AA1160&lt;180,1,0)</f>
        <v>0</v>
      </c>
      <c r="AC1160" s="32" t="str">
        <f>IF(Orders!D1157="","",INDEX(Riders!$C$2:$C$81,MATCH(Orders!D1157,Riders!$A$2:$A$81,0)))</f>
        <v>EV scooter</v>
      </c>
      <c r="AD1160" s="33">
        <f>IF(Orders!D1157="","",INDEX(Riders!$D$2:$D$81,MATCH(Orders!D1157,Riders!$A$2:$A$81,0)))</f>
        <v>1</v>
      </c>
      <c r="AE1160" s="33">
        <f>IF(Orders!D1157="","",IF(INDEX(Riders!$B$2:$B$81,MATCH(Orders!D1157,Riders!$A$2:$A$81,0))=B1160,1,0))</f>
        <v>1</v>
      </c>
      <c r="AF1160" s="34">
        <f>IF(E1160=1,Orders!L1157,"")</f>
        <v>1.9</v>
      </c>
      <c r="AG1160" s="34">
        <f>IF(E1160=1,Orders!P1157,"")</f>
        <v>13.5</v>
      </c>
      <c r="AH1160" s="34">
        <f>IF(E1160=1,Orders!Q1157,"")</f>
        <v>13.2</v>
      </c>
      <c r="AI1160" s="34">
        <f>IF(E1160=1,Orders!M1157,"")</f>
        <v>4.2</v>
      </c>
      <c r="AJ1160" s="34">
        <f>IF(E1160=1,Orders!N1157,"")</f>
        <v>5.6</v>
      </c>
      <c r="AK1160" s="34">
        <f>IF(E1160=1,Orders!O1157,"")</f>
        <v>3.4</v>
      </c>
      <c r="AL1160" s="33">
        <f>IF(E1160=1,IF(ROUND(ABS(AI1160+AJ1160+AK1160-AH1160),6)&lt;=0.1,1,0),"")</f>
        <v>1</v>
      </c>
      <c r="AM1160" s="36">
        <f>IF(E1160=1,AI1160/AH1160,"")</f>
        <v>0.318181818181818</v>
      </c>
      <c r="AN1160" s="36">
        <f>IF(E1160=1,AJ1160/AH1160,"")</f>
        <v>0.424242424242424</v>
      </c>
      <c r="AO1160" s="36">
        <f>IF(E1160=1,AK1160/AH1160,"")</f>
        <v>0.257575757575758</v>
      </c>
      <c r="AP1160" s="34">
        <f>IF(E1160=1,Orders!Y1157,"")</f>
        <v>0.25</v>
      </c>
      <c r="AQ1160" s="33">
        <f>IF(Orders!X1157,1,0)</f>
        <v>0</v>
      </c>
      <c r="AR1160" s="34" t="str">
        <f>IF(AND(E1160=1,L1160=1),AJ1160,"")</f>
        <v/>
      </c>
      <c r="AS1160" s="34">
        <f>IF(AND(E1160=1,L1160=0),AJ1160,"")</f>
        <v>5.6</v>
      </c>
      <c r="AT1160" s="34" t="str">
        <f>IF(AND(E1160=1,L1160=1),AI1160,"")</f>
        <v/>
      </c>
      <c r="AU1160" s="34">
        <f>IF(AND(E1160=1,L1160=0),AI1160,"")</f>
        <v>4.2</v>
      </c>
      <c r="AV1160" s="34" t="str">
        <f>IF(AND(E1160=1,L1160=1),AG1160,"")</f>
        <v/>
      </c>
      <c r="AW1160" s="34">
        <f>IF(AND(E1160=1,L1160=0),AG1160,"")</f>
        <v>13.5</v>
      </c>
      <c r="AX1160" s="34" t="str">
        <f>IF(AND(E1160=1,L1160=1),AH1160,"")</f>
        <v/>
      </c>
      <c r="AY1160" s="34">
        <f>IF(AND(E1160=1,L1160=0),AH1160,"")</f>
        <v>13.2</v>
      </c>
      <c r="AZ1160" s="34" t="str">
        <f>IF(G1160=1,F1160,"")</f>
        <v/>
      </c>
      <c r="BA1160" s="34" t="str">
        <f>IF(AND(G1160=1,L1160=1),F1160,"")</f>
        <v/>
      </c>
      <c r="BB1160" s="34" t="str">
        <f>IF(AND(G1160=1,L1160=0),F1160,"")</f>
        <v/>
      </c>
      <c r="BC1160" s="33">
        <f>IF(E1160=1,IF(Orders!R1157&gt;3,1,0),"")</f>
        <v>0</v>
      </c>
      <c r="BD1160" s="33">
        <f>IF(E1160=1,IF(Orders!R1157&gt;7,1,0),"")</f>
        <v>0</v>
      </c>
      <c r="BE1160" s="32" t="str">
        <f>IF(E1160=1,IF(Orders!L1157&lt;=1.5,"Up to 1.5 km",IF(Orders!L1157&lt;=3,"1.5–3 km","Over 3 km")),"")</f>
        <v>1.5–3 km</v>
      </c>
      <c r="BF1160" s="33">
        <f>IF(E1160=1,IF(ABS((Orders!G1157-Orders!F1157)*1440-Orders!R1157)&lt;0.06,1,0),"")</f>
        <v>1</v>
      </c>
      <c r="BG1160" s="33">
        <f>IF(ABS((Orders!F1157-Orders!E1157)*1440-Orders!P1157)&lt;0.06,1,0)</f>
        <v>1</v>
      </c>
      <c r="BH1160" s="33">
        <f>IF(E1160=1,IF(IF(Orders!S1157,1,0)=1-G1160,1,0),"")</f>
        <v>1</v>
      </c>
      <c r="BI1160" s="32" t="str">
        <f>INDEX(Stores!$B$2:$B$21,MATCH(B1160,Stores!$A$2:$A$21,0))</f>
        <v>Bengaluru</v>
      </c>
    </row>
    <row r="1161">
      <c r="A1161" s="32" t="str">
        <f>Orders!A1158</f>
        <v>O01157</v>
      </c>
      <c r="B1161" s="32" t="str">
        <f>Orders!C1158</f>
        <v>S013</v>
      </c>
      <c r="C1161" s="32" t="str">
        <f>Orders!B1158</f>
        <v>C0218</v>
      </c>
      <c r="D1161" s="32" t="str">
        <f>Orders!H1158</f>
        <v>Delivered</v>
      </c>
      <c r="E1161" s="33">
        <f>IF(Orders!H1158="Delivered",1,0)</f>
        <v>1</v>
      </c>
      <c r="F1161" s="34">
        <f>IF(E1161=1,Orders!R1158,"")</f>
        <v>-0.7</v>
      </c>
      <c r="G1161" s="33">
        <f>IF(E1161=1,IF(Orders!R1158&gt;0,1,0),"")</f>
        <v>0</v>
      </c>
      <c r="H1161" s="33">
        <f>IF(E1161=1,IF(Orders!R1158&gt;5,1,0),"")</f>
        <v>0</v>
      </c>
      <c r="I1161" s="32" t="str">
        <f>IF(E1161=1,"",IF(OR(Orders!T1158="Rider unavailable",Orders!T1158="Item unavailable"),"Company-caused","Unresolved"))</f>
        <v/>
      </c>
      <c r="J1161" s="33">
        <f>IF(OR(E1161=1,I1161="Company-caused"),1,0)</f>
        <v>1</v>
      </c>
      <c r="K1161" s="32" t="str">
        <f>IF(E1161=0,IF(I1161="Company-caused",IF(Orders!T1158="Rider unavailable","C1 Rider unavailable","C2 Item unavailable"),"Outside root: unresolved"),IF(G1161=0,"A On time",IF(H1161=1,IF(L1161=1,"B2a Severe, peak","B2b Severe, off-peak"),IF(L1161=1,"B1a Slight, peak","B1b Slight, off-peak"))))</f>
        <v>A On time</v>
      </c>
      <c r="L1161" s="33">
        <f>IF(AND(Orders!U1158&gt;=19,Orders!U1158&lt;22),1,0)</f>
        <v>0</v>
      </c>
      <c r="M1161" s="33">
        <f>IF(L1161=IF(Orders!V1158,1,0),1,0)</f>
        <v>1</v>
      </c>
      <c r="N1161" s="32" t="str">
        <f>IF(Orders!W1158="","None",Orders!W1158)</f>
        <v>None</v>
      </c>
      <c r="O1161" s="35">
        <f>INT(Orders!E1158)</f>
        <v>46269.0</v>
      </c>
      <c r="P1161" s="33">
        <f>Orders!U1158</f>
        <v>10</v>
      </c>
      <c r="Q1161" s="33">
        <f>COUNTIFS(Demand!$A$2:$A$4481,B1161,Demand!$B$2:$B$4481,O1161,Demand!$C$2:$C$4481,P1161)</f>
        <v>1</v>
      </c>
      <c r="R1161" s="33">
        <f>IF(Q1161=1,SUMIFS(Demand!$E$2:$E$4481,Demand!$A$2:$A$4481,B1161,Demand!$B$2:$B$4481,O1161,Demand!$C$2:$C$4481,P1161),"")</f>
        <v>34</v>
      </c>
      <c r="S1161" s="33">
        <f>INDEX(Stores!$G$2:$G$21,MATCH(B1161,Stores!$A$2:$A$21,0))</f>
        <v>49</v>
      </c>
      <c r="T1161" s="34">
        <f>IF(R1161="","",R1161/S1161)</f>
        <v>0.693877551020408</v>
      </c>
      <c r="U1161" s="34">
        <f>IF(E1161=1,T1161,"")</f>
        <v>0.693877551020408</v>
      </c>
      <c r="V1161" s="34">
        <f>IF(AND(E1161=1,L1161=0),T1161,"")</f>
        <v>0.693877551020408</v>
      </c>
      <c r="W1161" s="33">
        <f>IF(U1161="","",IF(U1161&lt;=Breakdowns!$C$5,1,IF(U1161&lt;=Breakdowns!$C$6,2,IF(U1161&lt;=Breakdowns!$C$7,3,4))))</f>
        <v>1</v>
      </c>
      <c r="X1161" s="33">
        <f>IF(V1161="","",IF(V1161&lt;=Breakdowns!$D$5,1,IF(V1161&lt;=Breakdowns!$D$6,2,IF(V1161&lt;=Breakdowns!$D$7,3,4))))</f>
        <v>1</v>
      </c>
      <c r="Y1161" s="34">
        <f>INDEX(Stores!$F$2:$F$21,MATCH(B1161,Stores!$A$2:$A$21,0))</f>
        <v>5.82</v>
      </c>
      <c r="Z1161" s="33">
        <f>IF(Y1161&gt;Store_Summary!$M$2,1,0)</f>
        <v>1</v>
      </c>
      <c r="AA1161" s="33">
        <f>INDEX(Stores!$C$2:$C$21,MATCH(B1161,Stores!$A$2:$A$21,0))</f>
        <v>705</v>
      </c>
      <c r="AB1161" s="33">
        <f>IF(AA1161&lt;180,1,0)</f>
        <v>0</v>
      </c>
      <c r="AC1161" s="32" t="str">
        <f>IF(Orders!D1158="","",INDEX(Riders!$C$2:$C$81,MATCH(Orders!D1158,Riders!$A$2:$A$81,0)))</f>
        <v>Petrol scooter</v>
      </c>
      <c r="AD1161" s="33">
        <f>IF(Orders!D1158="","",INDEX(Riders!$D$2:$D$81,MATCH(Orders!D1158,Riders!$A$2:$A$81,0)))</f>
        <v>29</v>
      </c>
      <c r="AE1161" s="33">
        <f>IF(Orders!D1158="","",IF(INDEX(Riders!$B$2:$B$81,MATCH(Orders!D1158,Riders!$A$2:$A$81,0))=B1161,1,0))</f>
        <v>0</v>
      </c>
      <c r="AF1161" s="34">
        <f>IF(E1161=1,Orders!L1158,"")</f>
        <v>2.84</v>
      </c>
      <c r="AG1161" s="34">
        <f>IF(E1161=1,Orders!P1158,"")</f>
        <v>10</v>
      </c>
      <c r="AH1161" s="34">
        <f>IF(E1161=1,Orders!Q1158,"")</f>
        <v>9.3</v>
      </c>
      <c r="AI1161" s="34">
        <f>IF(E1161=1,Orders!M1158,"")</f>
        <v>4.4</v>
      </c>
      <c r="AJ1161" s="34">
        <f>IF(E1161=1,Orders!N1158,"")</f>
        <v>1.5</v>
      </c>
      <c r="AK1161" s="34">
        <f>IF(E1161=1,Orders!O1158,"")</f>
        <v>3.4</v>
      </c>
      <c r="AL1161" s="33">
        <f>IF(E1161=1,IF(ROUND(ABS(AI1161+AJ1161+AK1161-AH1161),6)&lt;=0.1,1,0),"")</f>
        <v>1</v>
      </c>
      <c r="AM1161" s="36">
        <f>IF(E1161=1,AI1161/AH1161,"")</f>
        <v>0.473118279569893</v>
      </c>
      <c r="AN1161" s="36">
        <f>IF(E1161=1,AJ1161/AH1161,"")</f>
        <v>0.161290322580645</v>
      </c>
      <c r="AO1161" s="36">
        <f>IF(E1161=1,AK1161/AH1161,"")</f>
        <v>0.365591397849462</v>
      </c>
      <c r="AP1161" s="34">
        <f>IF(E1161=1,Orders!Y1158,"")</f>
        <v>0.38</v>
      </c>
      <c r="AQ1161" s="33">
        <f>IF(Orders!X1158,1,0)</f>
        <v>0</v>
      </c>
      <c r="AR1161" s="34" t="str">
        <f>IF(AND(E1161=1,L1161=1),AJ1161,"")</f>
        <v/>
      </c>
      <c r="AS1161" s="34">
        <f>IF(AND(E1161=1,L1161=0),AJ1161,"")</f>
        <v>1.5</v>
      </c>
      <c r="AT1161" s="34" t="str">
        <f>IF(AND(E1161=1,L1161=1),AI1161,"")</f>
        <v/>
      </c>
      <c r="AU1161" s="34">
        <f>IF(AND(E1161=1,L1161=0),AI1161,"")</f>
        <v>4.4</v>
      </c>
      <c r="AV1161" s="34" t="str">
        <f>IF(AND(E1161=1,L1161=1),AG1161,"")</f>
        <v/>
      </c>
      <c r="AW1161" s="34">
        <f>IF(AND(E1161=1,L1161=0),AG1161,"")</f>
        <v>10</v>
      </c>
      <c r="AX1161" s="34" t="str">
        <f>IF(AND(E1161=1,L1161=1),AH1161,"")</f>
        <v/>
      </c>
      <c r="AY1161" s="34">
        <f>IF(AND(E1161=1,L1161=0),AH1161,"")</f>
        <v>9.3</v>
      </c>
      <c r="AZ1161" s="34" t="str">
        <f>IF(G1161=1,F1161,"")</f>
        <v/>
      </c>
      <c r="BA1161" s="34" t="str">
        <f>IF(AND(G1161=1,L1161=1),F1161,"")</f>
        <v/>
      </c>
      <c r="BB1161" s="34" t="str">
        <f>IF(AND(G1161=1,L1161=0),F1161,"")</f>
        <v/>
      </c>
      <c r="BC1161" s="33">
        <f>IF(E1161=1,IF(Orders!R1158&gt;3,1,0),"")</f>
        <v>0</v>
      </c>
      <c r="BD1161" s="33">
        <f>IF(E1161=1,IF(Orders!R1158&gt;7,1,0),"")</f>
        <v>0</v>
      </c>
      <c r="BE1161" s="32" t="str">
        <f>IF(E1161=1,IF(Orders!L1158&lt;=1.5,"Up to 1.5 km",IF(Orders!L1158&lt;=3,"1.5–3 km","Over 3 km")),"")</f>
        <v>1.5–3 km</v>
      </c>
      <c r="BF1161" s="33">
        <f>IF(E1161=1,IF(ABS((Orders!G1158-Orders!F1158)*1440-Orders!R1158)&lt;0.06,1,0),"")</f>
        <v>1</v>
      </c>
      <c r="BG1161" s="33">
        <f>IF(ABS((Orders!F1158-Orders!E1158)*1440-Orders!P1158)&lt;0.06,1,0)</f>
        <v>1</v>
      </c>
      <c r="BH1161" s="33">
        <f>IF(E1161=1,IF(IF(Orders!S1158,1,0)=1-G1161,1,0),"")</f>
        <v>1</v>
      </c>
      <c r="BI1161" s="32" t="str">
        <f>INDEX(Stores!$B$2:$B$21,MATCH(B1161,Stores!$A$2:$A$21,0))</f>
        <v>Mumbai</v>
      </c>
    </row>
    <row r="1162">
      <c r="A1162" s="32" t="str">
        <f>Orders!A1159</f>
        <v>O01158</v>
      </c>
      <c r="B1162" s="32" t="str">
        <f>Orders!C1159</f>
        <v>S020</v>
      </c>
      <c r="C1162" s="32" t="str">
        <f>Orders!B1159</f>
        <v>C0015</v>
      </c>
      <c r="D1162" s="32" t="str">
        <f>Orders!H1159</f>
        <v>Delivered</v>
      </c>
      <c r="E1162" s="33">
        <f>IF(Orders!H1159="Delivered",1,0)</f>
        <v>1</v>
      </c>
      <c r="F1162" s="34">
        <f>IF(E1162=1,Orders!R1159,"")</f>
        <v>6.5</v>
      </c>
      <c r="G1162" s="33">
        <f>IF(E1162=1,IF(Orders!R1159&gt;0,1,0),"")</f>
        <v>1</v>
      </c>
      <c r="H1162" s="33">
        <f>IF(E1162=1,IF(Orders!R1159&gt;5,1,0),"")</f>
        <v>1</v>
      </c>
      <c r="I1162" s="32" t="str">
        <f>IF(E1162=1,"",IF(OR(Orders!T1159="Rider unavailable",Orders!T1159="Item unavailable"),"Company-caused","Unresolved"))</f>
        <v/>
      </c>
      <c r="J1162" s="33">
        <f>IF(OR(E1162=1,I1162="Company-caused"),1,0)</f>
        <v>1</v>
      </c>
      <c r="K1162" s="32" t="str">
        <f>IF(E1162=0,IF(I1162="Company-caused",IF(Orders!T1159="Rider unavailable","C1 Rider unavailable","C2 Item unavailable"),"Outside root: unresolved"),IF(G1162=0,"A On time",IF(H1162=1,IF(L1162=1,"B2a Severe, peak","B2b Severe, off-peak"),IF(L1162=1,"B1a Slight, peak","B1b Slight, off-peak"))))</f>
        <v>B2b Severe, off-peak</v>
      </c>
      <c r="L1162" s="33">
        <f>IF(AND(Orders!U1159&gt;=19,Orders!U1159&lt;22),1,0)</f>
        <v>0</v>
      </c>
      <c r="M1162" s="33">
        <f>IF(L1162=IF(Orders!V1159,1,0),1,0)</f>
        <v>1</v>
      </c>
      <c r="N1162" s="32" t="str">
        <f>IF(Orders!W1159="","None",Orders!W1159)</f>
        <v>None</v>
      </c>
      <c r="O1162" s="35">
        <f>INT(Orders!E1159)</f>
        <v>46272.0</v>
      </c>
      <c r="P1162" s="33">
        <f>Orders!U1159</f>
        <v>14</v>
      </c>
      <c r="Q1162" s="33">
        <f>COUNTIFS(Demand!$A$2:$A$4481,B1162,Demand!$B$2:$B$4481,O1162,Demand!$C$2:$C$4481,P1162)</f>
        <v>1</v>
      </c>
      <c r="R1162" s="33">
        <f>IF(Q1162=1,SUMIFS(Demand!$E$2:$E$4481,Demand!$A$2:$A$4481,B1162,Demand!$B$2:$B$4481,O1162,Demand!$C$2:$C$4481,P1162),"")</f>
        <v>11</v>
      </c>
      <c r="S1162" s="33">
        <f>INDEX(Stores!$G$2:$G$21,MATCH(B1162,Stores!$A$2:$A$21,0))</f>
        <v>15</v>
      </c>
      <c r="T1162" s="34">
        <f>IF(R1162="","",R1162/S1162)</f>
        <v>0.733333333333333</v>
      </c>
      <c r="U1162" s="34">
        <f>IF(E1162=1,T1162,"")</f>
        <v>0.733333333333333</v>
      </c>
      <c r="V1162" s="34">
        <f>IF(AND(E1162=1,L1162=0),T1162,"")</f>
        <v>0.733333333333333</v>
      </c>
      <c r="W1162" s="33">
        <f>IF(U1162="","",IF(U1162&lt;=Breakdowns!$C$5,1,IF(U1162&lt;=Breakdowns!$C$6,2,IF(U1162&lt;=Breakdowns!$C$7,3,4))))</f>
        <v>1</v>
      </c>
      <c r="X1162" s="33">
        <f>IF(V1162="","",IF(V1162&lt;=Breakdowns!$D$5,1,IF(V1162&lt;=Breakdowns!$D$6,2,IF(V1162&lt;=Breakdowns!$D$7,3,4))))</f>
        <v>1</v>
      </c>
      <c r="Y1162" s="34">
        <f>INDEX(Stores!$F$2:$F$21,MATCH(B1162,Stores!$A$2:$A$21,0))</f>
        <v>5.74</v>
      </c>
      <c r="Z1162" s="33">
        <f>IF(Y1162&gt;Store_Summary!$M$2,1,0)</f>
        <v>1</v>
      </c>
      <c r="AA1162" s="33">
        <f>INDEX(Stores!$C$2:$C$21,MATCH(B1162,Stores!$A$2:$A$21,0))</f>
        <v>647</v>
      </c>
      <c r="AB1162" s="33">
        <f>IF(AA1162&lt;180,1,0)</f>
        <v>0</v>
      </c>
      <c r="AC1162" s="32" t="str">
        <f>IF(Orders!D1159="","",INDEX(Riders!$C$2:$C$81,MATCH(Orders!D1159,Riders!$A$2:$A$81,0)))</f>
        <v>EV scooter</v>
      </c>
      <c r="AD1162" s="33">
        <f>IF(Orders!D1159="","",INDEX(Riders!$D$2:$D$81,MATCH(Orders!D1159,Riders!$A$2:$A$81,0)))</f>
        <v>9</v>
      </c>
      <c r="AE1162" s="33">
        <f>IF(Orders!D1159="","",IF(INDEX(Riders!$B$2:$B$81,MATCH(Orders!D1159,Riders!$A$2:$A$81,0))=B1162,1,0))</f>
        <v>0</v>
      </c>
      <c r="AF1162" s="34">
        <f>IF(E1162=1,Orders!L1159,"")</f>
        <v>3.8</v>
      </c>
      <c r="AG1162" s="34">
        <f>IF(E1162=1,Orders!P1159,"")</f>
        <v>12.2</v>
      </c>
      <c r="AH1162" s="34">
        <f>IF(E1162=1,Orders!Q1159,"")</f>
        <v>18.7</v>
      </c>
      <c r="AI1162" s="34">
        <f>IF(E1162=1,Orders!M1159,"")</f>
        <v>6.7</v>
      </c>
      <c r="AJ1162" s="34">
        <f>IF(E1162=1,Orders!N1159,"")</f>
        <v>2.7</v>
      </c>
      <c r="AK1162" s="34">
        <f>IF(E1162=1,Orders!O1159,"")</f>
        <v>9.3</v>
      </c>
      <c r="AL1162" s="33">
        <f>IF(E1162=1,IF(ROUND(ABS(AI1162+AJ1162+AK1162-AH1162),6)&lt;=0.1,1,0),"")</f>
        <v>1</v>
      </c>
      <c r="AM1162" s="36">
        <f>IF(E1162=1,AI1162/AH1162,"")</f>
        <v>0.358288770053476</v>
      </c>
      <c r="AN1162" s="36">
        <f>IF(E1162=1,AJ1162/AH1162,"")</f>
        <v>0.144385026737968</v>
      </c>
      <c r="AO1162" s="36">
        <f>IF(E1162=1,AK1162/AH1162,"")</f>
        <v>0.497326203208556</v>
      </c>
      <c r="AP1162" s="34">
        <f>IF(E1162=1,Orders!Y1159,"")</f>
        <v>0.35</v>
      </c>
      <c r="AQ1162" s="33">
        <f>IF(Orders!X1159,1,0)</f>
        <v>0</v>
      </c>
      <c r="AR1162" s="34" t="str">
        <f>IF(AND(E1162=1,L1162=1),AJ1162,"")</f>
        <v/>
      </c>
      <c r="AS1162" s="34">
        <f>IF(AND(E1162=1,L1162=0),AJ1162,"")</f>
        <v>2.7</v>
      </c>
      <c r="AT1162" s="34" t="str">
        <f>IF(AND(E1162=1,L1162=1),AI1162,"")</f>
        <v/>
      </c>
      <c r="AU1162" s="34">
        <f>IF(AND(E1162=1,L1162=0),AI1162,"")</f>
        <v>6.7</v>
      </c>
      <c r="AV1162" s="34" t="str">
        <f>IF(AND(E1162=1,L1162=1),AG1162,"")</f>
        <v/>
      </c>
      <c r="AW1162" s="34">
        <f>IF(AND(E1162=1,L1162=0),AG1162,"")</f>
        <v>12.2</v>
      </c>
      <c r="AX1162" s="34" t="str">
        <f>IF(AND(E1162=1,L1162=1),AH1162,"")</f>
        <v/>
      </c>
      <c r="AY1162" s="34">
        <f>IF(AND(E1162=1,L1162=0),AH1162,"")</f>
        <v>18.7</v>
      </c>
      <c r="AZ1162" s="34">
        <f>IF(G1162=1,F1162,"")</f>
        <v>6.5</v>
      </c>
      <c r="BA1162" s="34" t="str">
        <f>IF(AND(G1162=1,L1162=1),F1162,"")</f>
        <v/>
      </c>
      <c r="BB1162" s="34">
        <f>IF(AND(G1162=1,L1162=0),F1162,"")</f>
        <v>6.5</v>
      </c>
      <c r="BC1162" s="33">
        <f>IF(E1162=1,IF(Orders!R1159&gt;3,1,0),"")</f>
        <v>1</v>
      </c>
      <c r="BD1162" s="33">
        <f>IF(E1162=1,IF(Orders!R1159&gt;7,1,0),"")</f>
        <v>0</v>
      </c>
      <c r="BE1162" s="32" t="str">
        <f>IF(E1162=1,IF(Orders!L1159&lt;=1.5,"Up to 1.5 km",IF(Orders!L1159&lt;=3,"1.5–3 km","Over 3 km")),"")</f>
        <v>Over 3 km</v>
      </c>
      <c r="BF1162" s="33">
        <f>IF(E1162=1,IF(ABS((Orders!G1159-Orders!F1159)*1440-Orders!R1159)&lt;0.06,1,0),"")</f>
        <v>1</v>
      </c>
      <c r="BG1162" s="33">
        <f>IF(ABS((Orders!F1159-Orders!E1159)*1440-Orders!P1159)&lt;0.06,1,0)</f>
        <v>1</v>
      </c>
      <c r="BH1162" s="33">
        <f>IF(E1162=1,IF(IF(Orders!S1159,1,0)=1-G1162,1,0),"")</f>
        <v>1</v>
      </c>
      <c r="BI1162" s="32" t="str">
        <f>INDEX(Stores!$B$2:$B$21,MATCH(B1162,Stores!$A$2:$A$21,0))</f>
        <v>Delhi</v>
      </c>
    </row>
    <row r="1163">
      <c r="A1163" s="32" t="str">
        <f>Orders!A1160</f>
        <v>O01159</v>
      </c>
      <c r="B1163" s="32" t="str">
        <f>Orders!C1160</f>
        <v>S008</v>
      </c>
      <c r="C1163" s="32" t="str">
        <f>Orders!B1160</f>
        <v>C0133</v>
      </c>
      <c r="D1163" s="32" t="str">
        <f>Orders!H1160</f>
        <v>Delivered</v>
      </c>
      <c r="E1163" s="33">
        <f>IF(Orders!H1160="Delivered",1,0)</f>
        <v>1</v>
      </c>
      <c r="F1163" s="34">
        <f>IF(E1163=1,Orders!R1160,"")</f>
        <v>7</v>
      </c>
      <c r="G1163" s="33">
        <f>IF(E1163=1,IF(Orders!R1160&gt;0,1,0),"")</f>
        <v>1</v>
      </c>
      <c r="H1163" s="33">
        <f>IF(E1163=1,IF(Orders!R1160&gt;5,1,0),"")</f>
        <v>1</v>
      </c>
      <c r="I1163" s="32" t="str">
        <f>IF(E1163=1,"",IF(OR(Orders!T1160="Rider unavailable",Orders!T1160="Item unavailable"),"Company-caused","Unresolved"))</f>
        <v/>
      </c>
      <c r="J1163" s="33">
        <f>IF(OR(E1163=1,I1163="Company-caused"),1,0)</f>
        <v>1</v>
      </c>
      <c r="K1163" s="32" t="str">
        <f>IF(E1163=0,IF(I1163="Company-caused",IF(Orders!T1160="Rider unavailable","C1 Rider unavailable","C2 Item unavailable"),"Outside root: unresolved"),IF(G1163=0,"A On time",IF(H1163=1,IF(L1163=1,"B2a Severe, peak","B2b Severe, off-peak"),IF(L1163=1,"B1a Slight, peak","B1b Slight, off-peak"))))</f>
        <v>B2b Severe, off-peak</v>
      </c>
      <c r="L1163" s="33">
        <f>IF(AND(Orders!U1160&gt;=19,Orders!U1160&lt;22),1,0)</f>
        <v>0</v>
      </c>
      <c r="M1163" s="33">
        <f>IF(L1163=IF(Orders!V1160,1,0),1,0)</f>
        <v>1</v>
      </c>
      <c r="N1163" s="32" t="str">
        <f>IF(Orders!W1160="","None",Orders!W1160)</f>
        <v>None</v>
      </c>
      <c r="O1163" s="35">
        <f>INT(Orders!E1160)</f>
        <v>46267.0</v>
      </c>
      <c r="P1163" s="33">
        <f>Orders!U1160</f>
        <v>17</v>
      </c>
      <c r="Q1163" s="33">
        <f>COUNTIFS(Demand!$A$2:$A$4481,B1163,Demand!$B$2:$B$4481,O1163,Demand!$C$2:$C$4481,P1163)</f>
        <v>1</v>
      </c>
      <c r="R1163" s="33">
        <f>IF(Q1163=1,SUMIFS(Demand!$E$2:$E$4481,Demand!$A$2:$A$4481,B1163,Demand!$B$2:$B$4481,O1163,Demand!$C$2:$C$4481,P1163),"")</f>
        <v>20</v>
      </c>
      <c r="S1163" s="33">
        <f>INDEX(Stores!$G$2:$G$21,MATCH(B1163,Stores!$A$2:$A$21,0))</f>
        <v>23</v>
      </c>
      <c r="T1163" s="34">
        <f>IF(R1163="","",R1163/S1163)</f>
        <v>0.869565217391304</v>
      </c>
      <c r="U1163" s="34">
        <f>IF(E1163=1,T1163,"")</f>
        <v>0.869565217391304</v>
      </c>
      <c r="V1163" s="34">
        <f>IF(AND(E1163=1,L1163=0),T1163,"")</f>
        <v>0.869565217391304</v>
      </c>
      <c r="W1163" s="33">
        <f>IF(U1163="","",IF(U1163&lt;=Breakdowns!$C$5,1,IF(U1163&lt;=Breakdowns!$C$6,2,IF(U1163&lt;=Breakdowns!$C$7,3,4))))</f>
        <v>2</v>
      </c>
      <c r="X1163" s="33">
        <f>IF(V1163="","",IF(V1163&lt;=Breakdowns!$D$5,1,IF(V1163&lt;=Breakdowns!$D$6,2,IF(V1163&lt;=Breakdowns!$D$7,3,4))))</f>
        <v>2</v>
      </c>
      <c r="Y1163" s="34">
        <f>INDEX(Stores!$F$2:$F$21,MATCH(B1163,Stores!$A$2:$A$21,0))</f>
        <v>3.46</v>
      </c>
      <c r="Z1163" s="33">
        <f>IF(Y1163&gt;Store_Summary!$M$2,1,0)</f>
        <v>0</v>
      </c>
      <c r="AA1163" s="33">
        <f>INDEX(Stores!$C$2:$C$21,MATCH(B1163,Stores!$A$2:$A$21,0))</f>
        <v>825</v>
      </c>
      <c r="AB1163" s="33">
        <f>IF(AA1163&lt;180,1,0)</f>
        <v>0</v>
      </c>
      <c r="AC1163" s="32" t="str">
        <f>IF(Orders!D1160="","",INDEX(Riders!$C$2:$C$81,MATCH(Orders!D1160,Riders!$A$2:$A$81,0)))</f>
        <v>Bicycle</v>
      </c>
      <c r="AD1163" s="33">
        <f>IF(Orders!D1160="","",INDEX(Riders!$D$2:$D$81,MATCH(Orders!D1160,Riders!$A$2:$A$81,0)))</f>
        <v>2</v>
      </c>
      <c r="AE1163" s="33">
        <f>IF(Orders!D1160="","",IF(INDEX(Riders!$B$2:$B$81,MATCH(Orders!D1160,Riders!$A$2:$A$81,0))=B1163,1,0))</f>
        <v>0</v>
      </c>
      <c r="AF1163" s="34">
        <f>IF(E1163=1,Orders!L1160,"")</f>
        <v>2.11</v>
      </c>
      <c r="AG1163" s="34">
        <f>IF(E1163=1,Orders!P1160,"")</f>
        <v>11.1</v>
      </c>
      <c r="AH1163" s="34">
        <f>IF(E1163=1,Orders!Q1160,"")</f>
        <v>18.1</v>
      </c>
      <c r="AI1163" s="34">
        <f>IF(E1163=1,Orders!M1160,"")</f>
        <v>4.3</v>
      </c>
      <c r="AJ1163" s="34">
        <f>IF(E1163=1,Orders!N1160,"")</f>
        <v>8.4</v>
      </c>
      <c r="AK1163" s="34">
        <f>IF(E1163=1,Orders!O1160,"")</f>
        <v>5.3</v>
      </c>
      <c r="AL1163" s="33">
        <f>IF(E1163=1,IF(ROUND(ABS(AI1163+AJ1163+AK1163-AH1163),6)&lt;=0.1,1,0),"")</f>
        <v>1</v>
      </c>
      <c r="AM1163" s="36">
        <f>IF(E1163=1,AI1163/AH1163,"")</f>
        <v>0.237569060773481</v>
      </c>
      <c r="AN1163" s="36">
        <f>IF(E1163=1,AJ1163/AH1163,"")</f>
        <v>0.464088397790055</v>
      </c>
      <c r="AO1163" s="36">
        <f>IF(E1163=1,AK1163/AH1163,"")</f>
        <v>0.292817679558011</v>
      </c>
      <c r="AP1163" s="34">
        <f>IF(E1163=1,Orders!Y1160,"")</f>
        <v>0.54</v>
      </c>
      <c r="AQ1163" s="33">
        <f>IF(Orders!X1160,1,0)</f>
        <v>0</v>
      </c>
      <c r="AR1163" s="34" t="str">
        <f>IF(AND(E1163=1,L1163=1),AJ1163,"")</f>
        <v/>
      </c>
      <c r="AS1163" s="34">
        <f>IF(AND(E1163=1,L1163=0),AJ1163,"")</f>
        <v>8.4</v>
      </c>
      <c r="AT1163" s="34" t="str">
        <f>IF(AND(E1163=1,L1163=1),AI1163,"")</f>
        <v/>
      </c>
      <c r="AU1163" s="34">
        <f>IF(AND(E1163=1,L1163=0),AI1163,"")</f>
        <v>4.3</v>
      </c>
      <c r="AV1163" s="34" t="str">
        <f>IF(AND(E1163=1,L1163=1),AG1163,"")</f>
        <v/>
      </c>
      <c r="AW1163" s="34">
        <f>IF(AND(E1163=1,L1163=0),AG1163,"")</f>
        <v>11.1</v>
      </c>
      <c r="AX1163" s="34" t="str">
        <f>IF(AND(E1163=1,L1163=1),AH1163,"")</f>
        <v/>
      </c>
      <c r="AY1163" s="34">
        <f>IF(AND(E1163=1,L1163=0),AH1163,"")</f>
        <v>18.1</v>
      </c>
      <c r="AZ1163" s="34">
        <f>IF(G1163=1,F1163,"")</f>
        <v>7</v>
      </c>
      <c r="BA1163" s="34" t="str">
        <f>IF(AND(G1163=1,L1163=1),F1163,"")</f>
        <v/>
      </c>
      <c r="BB1163" s="34">
        <f>IF(AND(G1163=1,L1163=0),F1163,"")</f>
        <v>7</v>
      </c>
      <c r="BC1163" s="33">
        <f>IF(E1163=1,IF(Orders!R1160&gt;3,1,0),"")</f>
        <v>1</v>
      </c>
      <c r="BD1163" s="33">
        <f>IF(E1163=1,IF(Orders!R1160&gt;7,1,0),"")</f>
        <v>0</v>
      </c>
      <c r="BE1163" s="32" t="str">
        <f>IF(E1163=1,IF(Orders!L1160&lt;=1.5,"Up to 1.5 km",IF(Orders!L1160&lt;=3,"1.5–3 km","Over 3 km")),"")</f>
        <v>1.5–3 km</v>
      </c>
      <c r="BF1163" s="33">
        <f>IF(E1163=1,IF(ABS((Orders!G1160-Orders!F1160)*1440-Orders!R1160)&lt;0.06,1,0),"")</f>
        <v>1</v>
      </c>
      <c r="BG1163" s="33">
        <f>IF(ABS((Orders!F1160-Orders!E1160)*1440-Orders!P1160)&lt;0.06,1,0)</f>
        <v>1</v>
      </c>
      <c r="BH1163" s="33">
        <f>IF(E1163=1,IF(IF(Orders!S1160,1,0)=1-G1163,1,0),"")</f>
        <v>1</v>
      </c>
      <c r="BI1163" s="32" t="str">
        <f>INDEX(Stores!$B$2:$B$21,MATCH(B1163,Stores!$A$2:$A$21,0))</f>
        <v>Mumbai</v>
      </c>
    </row>
    <row r="1164">
      <c r="A1164" s="32" t="str">
        <f>Orders!A1161</f>
        <v>O01160</v>
      </c>
      <c r="B1164" s="32" t="str">
        <f>Orders!C1161</f>
        <v>S007</v>
      </c>
      <c r="C1164" s="32" t="str">
        <f>Orders!B1161</f>
        <v>C0057</v>
      </c>
      <c r="D1164" s="32" t="str">
        <f>Orders!H1161</f>
        <v>Delivered</v>
      </c>
      <c r="E1164" s="33">
        <f>IF(Orders!H1161="Delivered",1,0)</f>
        <v>1</v>
      </c>
      <c r="F1164" s="34">
        <f>IF(E1164=1,Orders!R1161,"")</f>
        <v>8.2</v>
      </c>
      <c r="G1164" s="33">
        <f>IF(E1164=1,IF(Orders!R1161&gt;0,1,0),"")</f>
        <v>1</v>
      </c>
      <c r="H1164" s="33">
        <f>IF(E1164=1,IF(Orders!R1161&gt;5,1,0),"")</f>
        <v>1</v>
      </c>
      <c r="I1164" s="32" t="str">
        <f>IF(E1164=1,"",IF(OR(Orders!T1161="Rider unavailable",Orders!T1161="Item unavailable"),"Company-caused","Unresolved"))</f>
        <v/>
      </c>
      <c r="J1164" s="33">
        <f>IF(OR(E1164=1,I1164="Company-caused"),1,0)</f>
        <v>1</v>
      </c>
      <c r="K1164" s="32" t="str">
        <f>IF(E1164=0,IF(I1164="Company-caused",IF(Orders!T1161="Rider unavailable","C1 Rider unavailable","C2 Item unavailable"),"Outside root: unresolved"),IF(G1164=0,"A On time",IF(H1164=1,IF(L1164=1,"B2a Severe, peak","B2b Severe, off-peak"),IF(L1164=1,"B1a Slight, peak","B1b Slight, off-peak"))))</f>
        <v>B2b Severe, off-peak</v>
      </c>
      <c r="L1164" s="33">
        <f>IF(AND(Orders!U1161&gt;=19,Orders!U1161&lt;22),1,0)</f>
        <v>0</v>
      </c>
      <c r="M1164" s="33">
        <f>IF(L1164=IF(Orders!V1161,1,0),1,0)</f>
        <v>1</v>
      </c>
      <c r="N1164" s="32" t="str">
        <f>IF(Orders!W1161="","None",Orders!W1161)</f>
        <v>Light</v>
      </c>
      <c r="O1164" s="35">
        <f>INT(Orders!E1161)</f>
        <v>46272.0</v>
      </c>
      <c r="P1164" s="33">
        <f>Orders!U1161</f>
        <v>22</v>
      </c>
      <c r="Q1164" s="33">
        <f>COUNTIFS(Demand!$A$2:$A$4481,B1164,Demand!$B$2:$B$4481,O1164,Demand!$C$2:$C$4481,P1164)</f>
        <v>1</v>
      </c>
      <c r="R1164" s="33">
        <f>IF(Q1164=1,SUMIFS(Demand!$E$2:$E$4481,Demand!$A$2:$A$4481,B1164,Demand!$B$2:$B$4481,O1164,Demand!$C$2:$C$4481,P1164),"")</f>
        <v>33</v>
      </c>
      <c r="S1164" s="33">
        <f>INDEX(Stores!$G$2:$G$21,MATCH(B1164,Stores!$A$2:$A$21,0))</f>
        <v>37</v>
      </c>
      <c r="T1164" s="34">
        <f>IF(R1164="","",R1164/S1164)</f>
        <v>0.891891891891892</v>
      </c>
      <c r="U1164" s="34">
        <f>IF(E1164=1,T1164,"")</f>
        <v>0.891891891891892</v>
      </c>
      <c r="V1164" s="34">
        <f>IF(AND(E1164=1,L1164=0),T1164,"")</f>
        <v>0.891891891891892</v>
      </c>
      <c r="W1164" s="33">
        <f>IF(U1164="","",IF(U1164&lt;=Breakdowns!$C$5,1,IF(U1164&lt;=Breakdowns!$C$6,2,IF(U1164&lt;=Breakdowns!$C$7,3,4))))</f>
        <v>2</v>
      </c>
      <c r="X1164" s="33">
        <f>IF(V1164="","",IF(V1164&lt;=Breakdowns!$D$5,1,IF(V1164&lt;=Breakdowns!$D$6,2,IF(V1164&lt;=Breakdowns!$D$7,3,4))))</f>
        <v>2</v>
      </c>
      <c r="Y1164" s="34">
        <f>INDEX(Stores!$F$2:$F$21,MATCH(B1164,Stores!$A$2:$A$21,0))</f>
        <v>4.05</v>
      </c>
      <c r="Z1164" s="33">
        <f>IF(Y1164&gt;Store_Summary!$M$2,1,0)</f>
        <v>0</v>
      </c>
      <c r="AA1164" s="33">
        <f>INDEX(Stores!$C$2:$C$21,MATCH(B1164,Stores!$A$2:$A$21,0))</f>
        <v>661</v>
      </c>
      <c r="AB1164" s="33">
        <f>IF(AA1164&lt;180,1,0)</f>
        <v>0</v>
      </c>
      <c r="AC1164" s="32" t="str">
        <f>IF(Orders!D1161="","",INDEX(Riders!$C$2:$C$81,MATCH(Orders!D1161,Riders!$A$2:$A$81,0)))</f>
        <v>EV scooter</v>
      </c>
      <c r="AD1164" s="33">
        <f>IF(Orders!D1161="","",INDEX(Riders!$D$2:$D$81,MATCH(Orders!D1161,Riders!$A$2:$A$81,0)))</f>
        <v>45</v>
      </c>
      <c r="AE1164" s="33">
        <f>IF(Orders!D1161="","",IF(INDEX(Riders!$B$2:$B$81,MATCH(Orders!D1161,Riders!$A$2:$A$81,0))=B1164,1,0))</f>
        <v>0</v>
      </c>
      <c r="AF1164" s="34">
        <f>IF(E1164=1,Orders!L1161,"")</f>
        <v>4.4</v>
      </c>
      <c r="AG1164" s="34">
        <f>IF(E1164=1,Orders!P1161,"")</f>
        <v>12.8</v>
      </c>
      <c r="AH1164" s="34">
        <f>IF(E1164=1,Orders!Q1161,"")</f>
        <v>21</v>
      </c>
      <c r="AI1164" s="34">
        <f>IF(E1164=1,Orders!M1161,"")</f>
        <v>3.9</v>
      </c>
      <c r="AJ1164" s="34">
        <f>IF(E1164=1,Orders!N1161,"")</f>
        <v>7</v>
      </c>
      <c r="AK1164" s="34">
        <f>IF(E1164=1,Orders!O1161,"")</f>
        <v>10</v>
      </c>
      <c r="AL1164" s="33">
        <f>IF(E1164=1,IF(ROUND(ABS(AI1164+AJ1164+AK1164-AH1164),6)&lt;=0.1,1,0),"")</f>
        <v>1</v>
      </c>
      <c r="AM1164" s="36">
        <f>IF(E1164=1,AI1164/AH1164,"")</f>
        <v>0.185714285714286</v>
      </c>
      <c r="AN1164" s="36">
        <f>IF(E1164=1,AJ1164/AH1164,"")</f>
        <v>0.333333333333333</v>
      </c>
      <c r="AO1164" s="36">
        <f>IF(E1164=1,AK1164/AH1164,"")</f>
        <v>0.476190476190476</v>
      </c>
      <c r="AP1164" s="34">
        <f>IF(E1164=1,Orders!Y1161,"")</f>
        <v>0.28</v>
      </c>
      <c r="AQ1164" s="33">
        <f>IF(Orders!X1161,1,0)</f>
        <v>0</v>
      </c>
      <c r="AR1164" s="34" t="str">
        <f>IF(AND(E1164=1,L1164=1),AJ1164,"")</f>
        <v/>
      </c>
      <c r="AS1164" s="34">
        <f>IF(AND(E1164=1,L1164=0),AJ1164,"")</f>
        <v>7</v>
      </c>
      <c r="AT1164" s="34" t="str">
        <f>IF(AND(E1164=1,L1164=1),AI1164,"")</f>
        <v/>
      </c>
      <c r="AU1164" s="34">
        <f>IF(AND(E1164=1,L1164=0),AI1164,"")</f>
        <v>3.9</v>
      </c>
      <c r="AV1164" s="34" t="str">
        <f>IF(AND(E1164=1,L1164=1),AG1164,"")</f>
        <v/>
      </c>
      <c r="AW1164" s="34">
        <f>IF(AND(E1164=1,L1164=0),AG1164,"")</f>
        <v>12.8</v>
      </c>
      <c r="AX1164" s="34" t="str">
        <f>IF(AND(E1164=1,L1164=1),AH1164,"")</f>
        <v/>
      </c>
      <c r="AY1164" s="34">
        <f>IF(AND(E1164=1,L1164=0),AH1164,"")</f>
        <v>21</v>
      </c>
      <c r="AZ1164" s="34">
        <f>IF(G1164=1,F1164,"")</f>
        <v>8.2</v>
      </c>
      <c r="BA1164" s="34" t="str">
        <f>IF(AND(G1164=1,L1164=1),F1164,"")</f>
        <v/>
      </c>
      <c r="BB1164" s="34">
        <f>IF(AND(G1164=1,L1164=0),F1164,"")</f>
        <v>8.2</v>
      </c>
      <c r="BC1164" s="33">
        <f>IF(E1164=1,IF(Orders!R1161&gt;3,1,0),"")</f>
        <v>1</v>
      </c>
      <c r="BD1164" s="33">
        <f>IF(E1164=1,IF(Orders!R1161&gt;7,1,0),"")</f>
        <v>1</v>
      </c>
      <c r="BE1164" s="32" t="str">
        <f>IF(E1164=1,IF(Orders!L1161&lt;=1.5,"Up to 1.5 km",IF(Orders!L1161&lt;=3,"1.5–3 km","Over 3 km")),"")</f>
        <v>Over 3 km</v>
      </c>
      <c r="BF1164" s="33">
        <f>IF(E1164=1,IF(ABS((Orders!G1161-Orders!F1161)*1440-Orders!R1161)&lt;0.06,1,0),"")</f>
        <v>1</v>
      </c>
      <c r="BG1164" s="33">
        <f>IF(ABS((Orders!F1161-Orders!E1161)*1440-Orders!P1161)&lt;0.06,1,0)</f>
        <v>1</v>
      </c>
      <c r="BH1164" s="33">
        <f>IF(E1164=1,IF(IF(Orders!S1161,1,0)=1-G1164,1,0),"")</f>
        <v>1</v>
      </c>
      <c r="BI1164" s="32" t="str">
        <f>INDEX(Stores!$B$2:$B$21,MATCH(B1164,Stores!$A$2:$A$21,0))</f>
        <v>Hyderabad</v>
      </c>
    </row>
    <row r="1165">
      <c r="A1165" s="32" t="str">
        <f>Orders!A1162</f>
        <v>O01161</v>
      </c>
      <c r="B1165" s="32" t="str">
        <f>Orders!C1162</f>
        <v>S015</v>
      </c>
      <c r="C1165" s="32" t="str">
        <f>Orders!B1162</f>
        <v>C0156</v>
      </c>
      <c r="D1165" s="32" t="str">
        <f>Orders!H1162</f>
        <v>Delivered</v>
      </c>
      <c r="E1165" s="33">
        <f>IF(Orders!H1162="Delivered",1,0)</f>
        <v>1</v>
      </c>
      <c r="F1165" s="34">
        <f>IF(E1165=1,Orders!R1162,"")</f>
        <v>-0.5</v>
      </c>
      <c r="G1165" s="33">
        <f>IF(E1165=1,IF(Orders!R1162&gt;0,1,0),"")</f>
        <v>0</v>
      </c>
      <c r="H1165" s="33">
        <f>IF(E1165=1,IF(Orders!R1162&gt;5,1,0),"")</f>
        <v>0</v>
      </c>
      <c r="I1165" s="32" t="str">
        <f>IF(E1165=1,"",IF(OR(Orders!T1162="Rider unavailable",Orders!T1162="Item unavailable"),"Company-caused","Unresolved"))</f>
        <v/>
      </c>
      <c r="J1165" s="33">
        <f>IF(OR(E1165=1,I1165="Company-caused"),1,0)</f>
        <v>1</v>
      </c>
      <c r="K1165" s="32" t="str">
        <f>IF(E1165=0,IF(I1165="Company-caused",IF(Orders!T1162="Rider unavailable","C1 Rider unavailable","C2 Item unavailable"),"Outside root: unresolved"),IF(G1165=0,"A On time",IF(H1165=1,IF(L1165=1,"B2a Severe, peak","B2b Severe, off-peak"),IF(L1165=1,"B1a Slight, peak","B1b Slight, off-peak"))))</f>
        <v>A On time</v>
      </c>
      <c r="L1165" s="33">
        <f>IF(AND(Orders!U1162&gt;=19,Orders!U1162&lt;22),1,0)</f>
        <v>0</v>
      </c>
      <c r="M1165" s="33">
        <f>IF(L1165=IF(Orders!V1162,1,0),1,0)</f>
        <v>1</v>
      </c>
      <c r="N1165" s="32" t="str">
        <f>IF(Orders!W1162="","None",Orders!W1162)</f>
        <v>None</v>
      </c>
      <c r="O1165" s="35">
        <f>INT(Orders!E1162)</f>
        <v>46268.0</v>
      </c>
      <c r="P1165" s="33">
        <f>Orders!U1162</f>
        <v>12</v>
      </c>
      <c r="Q1165" s="33">
        <f>COUNTIFS(Demand!$A$2:$A$4481,B1165,Demand!$B$2:$B$4481,O1165,Demand!$C$2:$C$4481,P1165)</f>
        <v>1</v>
      </c>
      <c r="R1165" s="33">
        <f>IF(Q1165=1,SUMIFS(Demand!$E$2:$E$4481,Demand!$A$2:$A$4481,B1165,Demand!$B$2:$B$4481,O1165,Demand!$C$2:$C$4481,P1165),"")</f>
        <v>19</v>
      </c>
      <c r="S1165" s="33">
        <f>INDEX(Stores!$G$2:$G$21,MATCH(B1165,Stores!$A$2:$A$21,0))</f>
        <v>23</v>
      </c>
      <c r="T1165" s="34">
        <f>IF(R1165="","",R1165/S1165)</f>
        <v>0.826086956521739</v>
      </c>
      <c r="U1165" s="34">
        <f>IF(E1165=1,T1165,"")</f>
        <v>0.826086956521739</v>
      </c>
      <c r="V1165" s="34">
        <f>IF(AND(E1165=1,L1165=0),T1165,"")</f>
        <v>0.826086956521739</v>
      </c>
      <c r="W1165" s="33">
        <f>IF(U1165="","",IF(U1165&lt;=Breakdowns!$C$5,1,IF(U1165&lt;=Breakdowns!$C$6,2,IF(U1165&lt;=Breakdowns!$C$7,3,4))))</f>
        <v>2</v>
      </c>
      <c r="X1165" s="33">
        <f>IF(V1165="","",IF(V1165&lt;=Breakdowns!$D$5,1,IF(V1165&lt;=Breakdowns!$D$6,2,IF(V1165&lt;=Breakdowns!$D$7,3,4))))</f>
        <v>2</v>
      </c>
      <c r="Y1165" s="34">
        <f>INDEX(Stores!$F$2:$F$21,MATCH(B1165,Stores!$A$2:$A$21,0))</f>
        <v>4.66</v>
      </c>
      <c r="Z1165" s="33">
        <f>IF(Y1165&gt;Store_Summary!$M$2,1,0)</f>
        <v>0</v>
      </c>
      <c r="AA1165" s="33">
        <f>INDEX(Stores!$C$2:$C$21,MATCH(B1165,Stores!$A$2:$A$21,0))</f>
        <v>204</v>
      </c>
      <c r="AB1165" s="33">
        <f>IF(AA1165&lt;180,1,0)</f>
        <v>0</v>
      </c>
      <c r="AC1165" s="32" t="str">
        <f>IF(Orders!D1162="","",INDEX(Riders!$C$2:$C$81,MATCH(Orders!D1162,Riders!$A$2:$A$81,0)))</f>
        <v>EV scooter</v>
      </c>
      <c r="AD1165" s="33">
        <f>IF(Orders!D1162="","",INDEX(Riders!$D$2:$D$81,MATCH(Orders!D1162,Riders!$A$2:$A$81,0)))</f>
        <v>26</v>
      </c>
      <c r="AE1165" s="33">
        <f>IF(Orders!D1162="","",IF(INDEX(Riders!$B$2:$B$81,MATCH(Orders!D1162,Riders!$A$2:$A$81,0))=B1165,1,0))</f>
        <v>0</v>
      </c>
      <c r="AF1165" s="34">
        <f>IF(E1165=1,Orders!L1162,"")</f>
        <v>0.82</v>
      </c>
      <c r="AG1165" s="34">
        <f>IF(E1165=1,Orders!P1162,"")</f>
        <v>10</v>
      </c>
      <c r="AH1165" s="34">
        <f>IF(E1165=1,Orders!Q1162,"")</f>
        <v>9.5</v>
      </c>
      <c r="AI1165" s="34">
        <f>IF(E1165=1,Orders!M1162,"")</f>
        <v>2.8</v>
      </c>
      <c r="AJ1165" s="34">
        <f>IF(E1165=1,Orders!N1162,"")</f>
        <v>4.9</v>
      </c>
      <c r="AK1165" s="34">
        <f>IF(E1165=1,Orders!O1162,"")</f>
        <v>1.8</v>
      </c>
      <c r="AL1165" s="33">
        <f>IF(E1165=1,IF(ROUND(ABS(AI1165+AJ1165+AK1165-AH1165),6)&lt;=0.1,1,0),"")</f>
        <v>1</v>
      </c>
      <c r="AM1165" s="36">
        <f>IF(E1165=1,AI1165/AH1165,"")</f>
        <v>0.294736842105263</v>
      </c>
      <c r="AN1165" s="36">
        <f>IF(E1165=1,AJ1165/AH1165,"")</f>
        <v>0.515789473684211</v>
      </c>
      <c r="AO1165" s="36">
        <f>IF(E1165=1,AK1165/AH1165,"")</f>
        <v>0.189473684210526</v>
      </c>
      <c r="AP1165" s="34">
        <f>IF(E1165=1,Orders!Y1162,"")</f>
        <v>0.36</v>
      </c>
      <c r="AQ1165" s="33">
        <f>IF(Orders!X1162,1,0)</f>
        <v>0</v>
      </c>
      <c r="AR1165" s="34" t="str">
        <f>IF(AND(E1165=1,L1165=1),AJ1165,"")</f>
        <v/>
      </c>
      <c r="AS1165" s="34">
        <f>IF(AND(E1165=1,L1165=0),AJ1165,"")</f>
        <v>4.9</v>
      </c>
      <c r="AT1165" s="34" t="str">
        <f>IF(AND(E1165=1,L1165=1),AI1165,"")</f>
        <v/>
      </c>
      <c r="AU1165" s="34">
        <f>IF(AND(E1165=1,L1165=0),AI1165,"")</f>
        <v>2.8</v>
      </c>
      <c r="AV1165" s="34" t="str">
        <f>IF(AND(E1165=1,L1165=1),AG1165,"")</f>
        <v/>
      </c>
      <c r="AW1165" s="34">
        <f>IF(AND(E1165=1,L1165=0),AG1165,"")</f>
        <v>10</v>
      </c>
      <c r="AX1165" s="34" t="str">
        <f>IF(AND(E1165=1,L1165=1),AH1165,"")</f>
        <v/>
      </c>
      <c r="AY1165" s="34">
        <f>IF(AND(E1165=1,L1165=0),AH1165,"")</f>
        <v>9.5</v>
      </c>
      <c r="AZ1165" s="34" t="str">
        <f>IF(G1165=1,F1165,"")</f>
        <v/>
      </c>
      <c r="BA1165" s="34" t="str">
        <f>IF(AND(G1165=1,L1165=1),F1165,"")</f>
        <v/>
      </c>
      <c r="BB1165" s="34" t="str">
        <f>IF(AND(G1165=1,L1165=0),F1165,"")</f>
        <v/>
      </c>
      <c r="BC1165" s="33">
        <f>IF(E1165=1,IF(Orders!R1162&gt;3,1,0),"")</f>
        <v>0</v>
      </c>
      <c r="BD1165" s="33">
        <f>IF(E1165=1,IF(Orders!R1162&gt;7,1,0),"")</f>
        <v>0</v>
      </c>
      <c r="BE1165" s="32" t="str">
        <f>IF(E1165=1,IF(Orders!L1162&lt;=1.5,"Up to 1.5 km",IF(Orders!L1162&lt;=3,"1.5–3 km","Over 3 km")),"")</f>
        <v>Up to 1.5 km</v>
      </c>
      <c r="BF1165" s="33">
        <f>IF(E1165=1,IF(ABS((Orders!G1162-Orders!F1162)*1440-Orders!R1162)&lt;0.06,1,0),"")</f>
        <v>1</v>
      </c>
      <c r="BG1165" s="33">
        <f>IF(ABS((Orders!F1162-Orders!E1162)*1440-Orders!P1162)&lt;0.06,1,0)</f>
        <v>1</v>
      </c>
      <c r="BH1165" s="33">
        <f>IF(E1165=1,IF(IF(Orders!S1162,1,0)=1-G1165,1,0),"")</f>
        <v>1</v>
      </c>
      <c r="BI1165" s="32" t="str">
        <f>INDEX(Stores!$B$2:$B$21,MATCH(B1165,Stores!$A$2:$A$21,0))</f>
        <v>Delhi</v>
      </c>
    </row>
    <row r="1166">
      <c r="A1166" s="32" t="str">
        <f>Orders!A1163</f>
        <v>O01162</v>
      </c>
      <c r="B1166" s="32" t="str">
        <f>Orders!C1163</f>
        <v>S006</v>
      </c>
      <c r="C1166" s="32" t="str">
        <f>Orders!B1163</f>
        <v>C0142</v>
      </c>
      <c r="D1166" s="32" t="str">
        <f>Orders!H1163</f>
        <v>Delivered</v>
      </c>
      <c r="E1166" s="33">
        <f>IF(Orders!H1163="Delivered",1,0)</f>
        <v>1</v>
      </c>
      <c r="F1166" s="34">
        <f>IF(E1166=1,Orders!R1163,"")</f>
        <v>6</v>
      </c>
      <c r="G1166" s="33">
        <f>IF(E1166=1,IF(Orders!R1163&gt;0,1,0),"")</f>
        <v>1</v>
      </c>
      <c r="H1166" s="33">
        <f>IF(E1166=1,IF(Orders!R1163&gt;5,1,0),"")</f>
        <v>1</v>
      </c>
      <c r="I1166" s="32" t="str">
        <f>IF(E1166=1,"",IF(OR(Orders!T1163="Rider unavailable",Orders!T1163="Item unavailable"),"Company-caused","Unresolved"))</f>
        <v/>
      </c>
      <c r="J1166" s="33">
        <f>IF(OR(E1166=1,I1166="Company-caused"),1,0)</f>
        <v>1</v>
      </c>
      <c r="K1166" s="32" t="str">
        <f>IF(E1166=0,IF(I1166="Company-caused",IF(Orders!T1163="Rider unavailable","C1 Rider unavailable","C2 Item unavailable"),"Outside root: unresolved"),IF(G1166=0,"A On time",IF(H1166=1,IF(L1166=1,"B2a Severe, peak","B2b Severe, off-peak"),IF(L1166=1,"B1a Slight, peak","B1b Slight, off-peak"))))</f>
        <v>B2a Severe, peak</v>
      </c>
      <c r="L1166" s="33">
        <f>IF(AND(Orders!U1163&gt;=19,Orders!U1163&lt;22),1,0)</f>
        <v>1</v>
      </c>
      <c r="M1166" s="33">
        <f>IF(L1166=IF(Orders!V1163,1,0),1,0)</f>
        <v>1</v>
      </c>
      <c r="N1166" s="32" t="str">
        <f>IF(Orders!W1163="","None",Orders!W1163)</f>
        <v>None</v>
      </c>
      <c r="O1166" s="35">
        <f>INT(Orders!E1163)</f>
        <v>46267.0</v>
      </c>
      <c r="P1166" s="33">
        <f>Orders!U1163</f>
        <v>20</v>
      </c>
      <c r="Q1166" s="33">
        <f>COUNTIFS(Demand!$A$2:$A$4481,B1166,Demand!$B$2:$B$4481,O1166,Demand!$C$2:$C$4481,P1166)</f>
        <v>1</v>
      </c>
      <c r="R1166" s="33">
        <f>IF(Q1166=1,SUMIFS(Demand!$E$2:$E$4481,Demand!$A$2:$A$4481,B1166,Demand!$B$2:$B$4481,O1166,Demand!$C$2:$C$4481,P1166),"")</f>
        <v>49</v>
      </c>
      <c r="S1166" s="33">
        <f>INDEX(Stores!$G$2:$G$21,MATCH(B1166,Stores!$A$2:$A$21,0))</f>
        <v>26</v>
      </c>
      <c r="T1166" s="34">
        <f>IF(R1166="","",R1166/S1166)</f>
        <v>1.88461538461538</v>
      </c>
      <c r="U1166" s="34">
        <f>IF(E1166=1,T1166,"")</f>
        <v>1.88461538461538</v>
      </c>
      <c r="V1166" s="34" t="str">
        <f>IF(AND(E1166=1,L1166=0),T1166,"")</f>
        <v/>
      </c>
      <c r="W1166" s="33">
        <f>IF(U1166="","",IF(U1166&lt;=Breakdowns!$C$5,1,IF(U1166&lt;=Breakdowns!$C$6,2,IF(U1166&lt;=Breakdowns!$C$7,3,4))))</f>
        <v>4</v>
      </c>
      <c r="X1166" s="33" t="str">
        <f>IF(V1166="","",IF(V1166&lt;=Breakdowns!$D$5,1,IF(V1166&lt;=Breakdowns!$D$6,2,IF(V1166&lt;=Breakdowns!$D$7,3,4))))</f>
        <v/>
      </c>
      <c r="Y1166" s="34">
        <f>INDEX(Stores!$F$2:$F$21,MATCH(B1166,Stores!$A$2:$A$21,0))</f>
        <v>5.22</v>
      </c>
      <c r="Z1166" s="33">
        <f>IF(Y1166&gt;Store_Summary!$M$2,1,0)</f>
        <v>1</v>
      </c>
      <c r="AA1166" s="33">
        <f>INDEX(Stores!$C$2:$C$21,MATCH(B1166,Stores!$A$2:$A$21,0))</f>
        <v>412</v>
      </c>
      <c r="AB1166" s="33">
        <f>IF(AA1166&lt;180,1,0)</f>
        <v>0</v>
      </c>
      <c r="AC1166" s="32" t="str">
        <f>IF(Orders!D1163="","",INDEX(Riders!$C$2:$C$81,MATCH(Orders!D1163,Riders!$A$2:$A$81,0)))</f>
        <v>EV scooter</v>
      </c>
      <c r="AD1166" s="33">
        <f>IF(Orders!D1163="","",INDEX(Riders!$D$2:$D$81,MATCH(Orders!D1163,Riders!$A$2:$A$81,0)))</f>
        <v>4</v>
      </c>
      <c r="AE1166" s="33">
        <f>IF(Orders!D1163="","",IF(INDEX(Riders!$B$2:$B$81,MATCH(Orders!D1163,Riders!$A$2:$A$81,0))=B1166,1,0))</f>
        <v>0</v>
      </c>
      <c r="AF1166" s="34">
        <f>IF(E1166=1,Orders!L1163,"")</f>
        <v>1.5</v>
      </c>
      <c r="AG1166" s="34">
        <f>IF(E1166=1,Orders!P1163,"")</f>
        <v>8.3</v>
      </c>
      <c r="AH1166" s="34">
        <f>IF(E1166=1,Orders!Q1163,"")</f>
        <v>14.3</v>
      </c>
      <c r="AI1166" s="34">
        <f>IF(E1166=1,Orders!M1163,"")</f>
        <v>6.4</v>
      </c>
      <c r="AJ1166" s="34">
        <f>IF(E1166=1,Orders!N1163,"")</f>
        <v>3.2</v>
      </c>
      <c r="AK1166" s="34">
        <f>IF(E1166=1,Orders!O1163,"")</f>
        <v>4.7</v>
      </c>
      <c r="AL1166" s="33">
        <f>IF(E1166=1,IF(ROUND(ABS(AI1166+AJ1166+AK1166-AH1166),6)&lt;=0.1,1,0),"")</f>
        <v>1</v>
      </c>
      <c r="AM1166" s="36">
        <f>IF(E1166=1,AI1166/AH1166,"")</f>
        <v>0.447552447552448</v>
      </c>
      <c r="AN1166" s="36">
        <f>IF(E1166=1,AJ1166/AH1166,"")</f>
        <v>0.223776223776224</v>
      </c>
      <c r="AO1166" s="36">
        <f>IF(E1166=1,AK1166/AH1166,"")</f>
        <v>0.328671328671329</v>
      </c>
      <c r="AP1166" s="34">
        <f>IF(E1166=1,Orders!Y1163,"")</f>
        <v>0.62</v>
      </c>
      <c r="AQ1166" s="33">
        <f>IF(Orders!X1163,1,0)</f>
        <v>0</v>
      </c>
      <c r="AR1166" s="34">
        <f>IF(AND(E1166=1,L1166=1),AJ1166,"")</f>
        <v>3.2</v>
      </c>
      <c r="AS1166" s="34" t="str">
        <f>IF(AND(E1166=1,L1166=0),AJ1166,"")</f>
        <v/>
      </c>
      <c r="AT1166" s="34">
        <f>IF(AND(E1166=1,L1166=1),AI1166,"")</f>
        <v>6.4</v>
      </c>
      <c r="AU1166" s="34" t="str">
        <f>IF(AND(E1166=1,L1166=0),AI1166,"")</f>
        <v/>
      </c>
      <c r="AV1166" s="34">
        <f>IF(AND(E1166=1,L1166=1),AG1166,"")</f>
        <v>8.3</v>
      </c>
      <c r="AW1166" s="34" t="str">
        <f>IF(AND(E1166=1,L1166=0),AG1166,"")</f>
        <v/>
      </c>
      <c r="AX1166" s="34">
        <f>IF(AND(E1166=1,L1166=1),AH1166,"")</f>
        <v>14.3</v>
      </c>
      <c r="AY1166" s="34" t="str">
        <f>IF(AND(E1166=1,L1166=0),AH1166,"")</f>
        <v/>
      </c>
      <c r="AZ1166" s="34">
        <f>IF(G1166=1,F1166,"")</f>
        <v>6</v>
      </c>
      <c r="BA1166" s="34">
        <f>IF(AND(G1166=1,L1166=1),F1166,"")</f>
        <v>6</v>
      </c>
      <c r="BB1166" s="34" t="str">
        <f>IF(AND(G1166=1,L1166=0),F1166,"")</f>
        <v/>
      </c>
      <c r="BC1166" s="33">
        <f>IF(E1166=1,IF(Orders!R1163&gt;3,1,0),"")</f>
        <v>1</v>
      </c>
      <c r="BD1166" s="33">
        <f>IF(E1166=1,IF(Orders!R1163&gt;7,1,0),"")</f>
        <v>0</v>
      </c>
      <c r="BE1166" s="32" t="str">
        <f>IF(E1166=1,IF(Orders!L1163&lt;=1.5,"Up to 1.5 km",IF(Orders!L1163&lt;=3,"1.5–3 km","Over 3 km")),"")</f>
        <v>Up to 1.5 km</v>
      </c>
      <c r="BF1166" s="33">
        <f>IF(E1166=1,IF(ABS((Orders!G1163-Orders!F1163)*1440-Orders!R1163)&lt;0.06,1,0),"")</f>
        <v>1</v>
      </c>
      <c r="BG1166" s="33">
        <f>IF(ABS((Orders!F1163-Orders!E1163)*1440-Orders!P1163)&lt;0.06,1,0)</f>
        <v>1</v>
      </c>
      <c r="BH1166" s="33">
        <f>IF(E1166=1,IF(IF(Orders!S1163,1,0)=1-G1166,1,0),"")</f>
        <v>1</v>
      </c>
      <c r="BI1166" s="32" t="str">
        <f>INDEX(Stores!$B$2:$B$21,MATCH(B1166,Stores!$A$2:$A$21,0))</f>
        <v>Bengaluru</v>
      </c>
    </row>
    <row r="1167">
      <c r="A1167" s="32" t="str">
        <f>Orders!A1164</f>
        <v>O01163</v>
      </c>
      <c r="B1167" s="32" t="str">
        <f>Orders!C1164</f>
        <v>S020</v>
      </c>
      <c r="C1167" s="32" t="str">
        <f>Orders!B1164</f>
        <v>C0212</v>
      </c>
      <c r="D1167" s="32" t="str">
        <f>Orders!H1164</f>
        <v>Delivered</v>
      </c>
      <c r="E1167" s="33">
        <f>IF(Orders!H1164="Delivered",1,0)</f>
        <v>1</v>
      </c>
      <c r="F1167" s="34">
        <f>IF(E1167=1,Orders!R1164,"")</f>
        <v>-0.3</v>
      </c>
      <c r="G1167" s="33">
        <f>IF(E1167=1,IF(Orders!R1164&gt;0,1,0),"")</f>
        <v>0</v>
      </c>
      <c r="H1167" s="33">
        <f>IF(E1167=1,IF(Orders!R1164&gt;5,1,0),"")</f>
        <v>0</v>
      </c>
      <c r="I1167" s="32" t="str">
        <f>IF(E1167=1,"",IF(OR(Orders!T1164="Rider unavailable",Orders!T1164="Item unavailable"),"Company-caused","Unresolved"))</f>
        <v/>
      </c>
      <c r="J1167" s="33">
        <f>IF(OR(E1167=1,I1167="Company-caused"),1,0)</f>
        <v>1</v>
      </c>
      <c r="K1167" s="32" t="str">
        <f>IF(E1167=0,IF(I1167="Company-caused",IF(Orders!T1164="Rider unavailable","C1 Rider unavailable","C2 Item unavailable"),"Outside root: unresolved"),IF(G1167=0,"A On time",IF(H1167=1,IF(L1167=1,"B2a Severe, peak","B2b Severe, off-peak"),IF(L1167=1,"B1a Slight, peak","B1b Slight, off-peak"))))</f>
        <v>A On time</v>
      </c>
      <c r="L1167" s="33">
        <f>IF(AND(Orders!U1164&gt;=19,Orders!U1164&lt;22),1,0)</f>
        <v>0</v>
      </c>
      <c r="M1167" s="33">
        <f>IF(L1167=IF(Orders!V1164,1,0),1,0)</f>
        <v>1</v>
      </c>
      <c r="N1167" s="32" t="str">
        <f>IF(Orders!W1164="","None",Orders!W1164)</f>
        <v>None</v>
      </c>
      <c r="O1167" s="35">
        <f>INT(Orders!E1164)</f>
        <v>46268.0</v>
      </c>
      <c r="P1167" s="33">
        <f>Orders!U1164</f>
        <v>16</v>
      </c>
      <c r="Q1167" s="33">
        <f>COUNTIFS(Demand!$A$2:$A$4481,B1167,Demand!$B$2:$B$4481,O1167,Demand!$C$2:$C$4481,P1167)</f>
        <v>1</v>
      </c>
      <c r="R1167" s="33">
        <f>IF(Q1167=1,SUMIFS(Demand!$E$2:$E$4481,Demand!$A$2:$A$4481,B1167,Demand!$B$2:$B$4481,O1167,Demand!$C$2:$C$4481,P1167),"")</f>
        <v>10</v>
      </c>
      <c r="S1167" s="33">
        <f>INDEX(Stores!$G$2:$G$21,MATCH(B1167,Stores!$A$2:$A$21,0))</f>
        <v>15</v>
      </c>
      <c r="T1167" s="34">
        <f>IF(R1167="","",R1167/S1167)</f>
        <v>0.666666666666667</v>
      </c>
      <c r="U1167" s="34">
        <f>IF(E1167=1,T1167,"")</f>
        <v>0.666666666666667</v>
      </c>
      <c r="V1167" s="34">
        <f>IF(AND(E1167=1,L1167=0),T1167,"")</f>
        <v>0.666666666666667</v>
      </c>
      <c r="W1167" s="33">
        <f>IF(U1167="","",IF(U1167&lt;=Breakdowns!$C$5,1,IF(U1167&lt;=Breakdowns!$C$6,2,IF(U1167&lt;=Breakdowns!$C$7,3,4))))</f>
        <v>1</v>
      </c>
      <c r="X1167" s="33">
        <f>IF(V1167="","",IF(V1167&lt;=Breakdowns!$D$5,1,IF(V1167&lt;=Breakdowns!$D$6,2,IF(V1167&lt;=Breakdowns!$D$7,3,4))))</f>
        <v>1</v>
      </c>
      <c r="Y1167" s="34">
        <f>INDEX(Stores!$F$2:$F$21,MATCH(B1167,Stores!$A$2:$A$21,0))</f>
        <v>5.74</v>
      </c>
      <c r="Z1167" s="33">
        <f>IF(Y1167&gt;Store_Summary!$M$2,1,0)</f>
        <v>1</v>
      </c>
      <c r="AA1167" s="33">
        <f>INDEX(Stores!$C$2:$C$21,MATCH(B1167,Stores!$A$2:$A$21,0))</f>
        <v>647</v>
      </c>
      <c r="AB1167" s="33">
        <f>IF(AA1167&lt;180,1,0)</f>
        <v>0</v>
      </c>
      <c r="AC1167" s="32" t="str">
        <f>IF(Orders!D1164="","",INDEX(Riders!$C$2:$C$81,MATCH(Orders!D1164,Riders!$A$2:$A$81,0)))</f>
        <v>EV scooter</v>
      </c>
      <c r="AD1167" s="33">
        <f>IF(Orders!D1164="","",INDEX(Riders!$D$2:$D$81,MATCH(Orders!D1164,Riders!$A$2:$A$81,0)))</f>
        <v>38</v>
      </c>
      <c r="AE1167" s="33">
        <f>IF(Orders!D1164="","",IF(INDEX(Riders!$B$2:$B$81,MATCH(Orders!D1164,Riders!$A$2:$A$81,0))=B1167,1,0))</f>
        <v>0</v>
      </c>
      <c r="AF1167" s="34">
        <f>IF(E1167=1,Orders!L1164,"")</f>
        <v>1.6</v>
      </c>
      <c r="AG1167" s="34">
        <f>IF(E1167=1,Orders!P1164,"")</f>
        <v>10.2</v>
      </c>
      <c r="AH1167" s="34">
        <f>IF(E1167=1,Orders!Q1164,"")</f>
        <v>9.9</v>
      </c>
      <c r="AI1167" s="34">
        <f>IF(E1167=1,Orders!M1164,"")</f>
        <v>3.4</v>
      </c>
      <c r="AJ1167" s="34">
        <f>IF(E1167=1,Orders!N1164,"")</f>
        <v>4.2</v>
      </c>
      <c r="AK1167" s="34">
        <f>IF(E1167=1,Orders!O1164,"")</f>
        <v>2.3</v>
      </c>
      <c r="AL1167" s="33">
        <f>IF(E1167=1,IF(ROUND(ABS(AI1167+AJ1167+AK1167-AH1167),6)&lt;=0.1,1,0),"")</f>
        <v>1</v>
      </c>
      <c r="AM1167" s="36">
        <f>IF(E1167=1,AI1167/AH1167,"")</f>
        <v>0.343434343434343</v>
      </c>
      <c r="AN1167" s="36">
        <f>IF(E1167=1,AJ1167/AH1167,"")</f>
        <v>0.424242424242424</v>
      </c>
      <c r="AO1167" s="36">
        <f>IF(E1167=1,AK1167/AH1167,"")</f>
        <v>0.232323232323232</v>
      </c>
      <c r="AP1167" s="34">
        <f>IF(E1167=1,Orders!Y1164,"")</f>
        <v>0.37</v>
      </c>
      <c r="AQ1167" s="33">
        <f>IF(Orders!X1164,1,0)</f>
        <v>0</v>
      </c>
      <c r="AR1167" s="34" t="str">
        <f>IF(AND(E1167=1,L1167=1),AJ1167,"")</f>
        <v/>
      </c>
      <c r="AS1167" s="34">
        <f>IF(AND(E1167=1,L1167=0),AJ1167,"")</f>
        <v>4.2</v>
      </c>
      <c r="AT1167" s="34" t="str">
        <f>IF(AND(E1167=1,L1167=1),AI1167,"")</f>
        <v/>
      </c>
      <c r="AU1167" s="34">
        <f>IF(AND(E1167=1,L1167=0),AI1167,"")</f>
        <v>3.4</v>
      </c>
      <c r="AV1167" s="34" t="str">
        <f>IF(AND(E1167=1,L1167=1),AG1167,"")</f>
        <v/>
      </c>
      <c r="AW1167" s="34">
        <f>IF(AND(E1167=1,L1167=0),AG1167,"")</f>
        <v>10.2</v>
      </c>
      <c r="AX1167" s="34" t="str">
        <f>IF(AND(E1167=1,L1167=1),AH1167,"")</f>
        <v/>
      </c>
      <c r="AY1167" s="34">
        <f>IF(AND(E1167=1,L1167=0),AH1167,"")</f>
        <v>9.9</v>
      </c>
      <c r="AZ1167" s="34" t="str">
        <f>IF(G1167=1,F1167,"")</f>
        <v/>
      </c>
      <c r="BA1167" s="34" t="str">
        <f>IF(AND(G1167=1,L1167=1),F1167,"")</f>
        <v/>
      </c>
      <c r="BB1167" s="34" t="str">
        <f>IF(AND(G1167=1,L1167=0),F1167,"")</f>
        <v/>
      </c>
      <c r="BC1167" s="33">
        <f>IF(E1167=1,IF(Orders!R1164&gt;3,1,0),"")</f>
        <v>0</v>
      </c>
      <c r="BD1167" s="33">
        <f>IF(E1167=1,IF(Orders!R1164&gt;7,1,0),"")</f>
        <v>0</v>
      </c>
      <c r="BE1167" s="32" t="str">
        <f>IF(E1167=1,IF(Orders!L1164&lt;=1.5,"Up to 1.5 km",IF(Orders!L1164&lt;=3,"1.5–3 km","Over 3 km")),"")</f>
        <v>1.5–3 km</v>
      </c>
      <c r="BF1167" s="33">
        <f>IF(E1167=1,IF(ABS((Orders!G1164-Orders!F1164)*1440-Orders!R1164)&lt;0.06,1,0),"")</f>
        <v>1</v>
      </c>
      <c r="BG1167" s="33">
        <f>IF(ABS((Orders!F1164-Orders!E1164)*1440-Orders!P1164)&lt;0.06,1,0)</f>
        <v>1</v>
      </c>
      <c r="BH1167" s="33">
        <f>IF(E1167=1,IF(IF(Orders!S1164,1,0)=1-G1167,1,0),"")</f>
        <v>1</v>
      </c>
      <c r="BI1167" s="32" t="str">
        <f>INDEX(Stores!$B$2:$B$21,MATCH(B1167,Stores!$A$2:$A$21,0))</f>
        <v>Delhi</v>
      </c>
    </row>
    <row r="1168">
      <c r="A1168" s="32" t="str">
        <f>Orders!A1165</f>
        <v>O01164</v>
      </c>
      <c r="B1168" s="32" t="str">
        <f>Orders!C1165</f>
        <v>S011</v>
      </c>
      <c r="C1168" s="32" t="str">
        <f>Orders!B1165</f>
        <v>C0197</v>
      </c>
      <c r="D1168" s="32" t="str">
        <f>Orders!H1165</f>
        <v>Delivered</v>
      </c>
      <c r="E1168" s="33">
        <f>IF(Orders!H1165="Delivered",1,0)</f>
        <v>1</v>
      </c>
      <c r="F1168" s="34">
        <f>IF(E1168=1,Orders!R1165,"")</f>
        <v>-0.2</v>
      </c>
      <c r="G1168" s="33">
        <f>IF(E1168=1,IF(Orders!R1165&gt;0,1,0),"")</f>
        <v>0</v>
      </c>
      <c r="H1168" s="33">
        <f>IF(E1168=1,IF(Orders!R1165&gt;5,1,0),"")</f>
        <v>0</v>
      </c>
      <c r="I1168" s="32" t="str">
        <f>IF(E1168=1,"",IF(OR(Orders!T1165="Rider unavailable",Orders!T1165="Item unavailable"),"Company-caused","Unresolved"))</f>
        <v/>
      </c>
      <c r="J1168" s="33">
        <f>IF(OR(E1168=1,I1168="Company-caused"),1,0)</f>
        <v>1</v>
      </c>
      <c r="K1168" s="32" t="str">
        <f>IF(E1168=0,IF(I1168="Company-caused",IF(Orders!T1165="Rider unavailable","C1 Rider unavailable","C2 Item unavailable"),"Outside root: unresolved"),IF(G1168=0,"A On time",IF(H1168=1,IF(L1168=1,"B2a Severe, peak","B2b Severe, off-peak"),IF(L1168=1,"B1a Slight, peak","B1b Slight, off-peak"))))</f>
        <v>A On time</v>
      </c>
      <c r="L1168" s="33">
        <f>IF(AND(Orders!U1165&gt;=19,Orders!U1165&lt;22),1,0)</f>
        <v>0</v>
      </c>
      <c r="M1168" s="33">
        <f>IF(L1168=IF(Orders!V1165,1,0),1,0)</f>
        <v>1</v>
      </c>
      <c r="N1168" s="32" t="str">
        <f>IF(Orders!W1165="","None",Orders!W1165)</f>
        <v>None</v>
      </c>
      <c r="O1168" s="35">
        <f>INT(Orders!E1165)</f>
        <v>46276.0</v>
      </c>
      <c r="P1168" s="33">
        <f>Orders!U1165</f>
        <v>14</v>
      </c>
      <c r="Q1168" s="33">
        <f>COUNTIFS(Demand!$A$2:$A$4481,B1168,Demand!$B$2:$B$4481,O1168,Demand!$C$2:$C$4481,P1168)</f>
        <v>1</v>
      </c>
      <c r="R1168" s="33">
        <f>IF(Q1168=1,SUMIFS(Demand!$E$2:$E$4481,Demand!$A$2:$A$4481,B1168,Demand!$B$2:$B$4481,O1168,Demand!$C$2:$C$4481,P1168),"")</f>
        <v>27</v>
      </c>
      <c r="S1168" s="33">
        <f>INDEX(Stores!$G$2:$G$21,MATCH(B1168,Stores!$A$2:$A$21,0))</f>
        <v>31</v>
      </c>
      <c r="T1168" s="34">
        <f>IF(R1168="","",R1168/S1168)</f>
        <v>0.870967741935484</v>
      </c>
      <c r="U1168" s="34">
        <f>IF(E1168=1,T1168,"")</f>
        <v>0.870967741935484</v>
      </c>
      <c r="V1168" s="34">
        <f>IF(AND(E1168=1,L1168=0),T1168,"")</f>
        <v>0.870967741935484</v>
      </c>
      <c r="W1168" s="33">
        <f>IF(U1168="","",IF(U1168&lt;=Breakdowns!$C$5,1,IF(U1168&lt;=Breakdowns!$C$6,2,IF(U1168&lt;=Breakdowns!$C$7,3,4))))</f>
        <v>2</v>
      </c>
      <c r="X1168" s="33">
        <f>IF(V1168="","",IF(V1168&lt;=Breakdowns!$D$5,1,IF(V1168&lt;=Breakdowns!$D$6,2,IF(V1168&lt;=Breakdowns!$D$7,3,4))))</f>
        <v>2</v>
      </c>
      <c r="Y1168" s="34">
        <f>INDEX(Stores!$F$2:$F$21,MATCH(B1168,Stores!$A$2:$A$21,0))</f>
        <v>5.67</v>
      </c>
      <c r="Z1168" s="33">
        <f>IF(Y1168&gt;Store_Summary!$M$2,1,0)</f>
        <v>1</v>
      </c>
      <c r="AA1168" s="33">
        <f>INDEX(Stores!$C$2:$C$21,MATCH(B1168,Stores!$A$2:$A$21,0))</f>
        <v>732</v>
      </c>
      <c r="AB1168" s="33">
        <f>IF(AA1168&lt;180,1,0)</f>
        <v>0</v>
      </c>
      <c r="AC1168" s="32" t="str">
        <f>IF(Orders!D1165="","",INDEX(Riders!$C$2:$C$81,MATCH(Orders!D1165,Riders!$A$2:$A$81,0)))</f>
        <v>EV scooter</v>
      </c>
      <c r="AD1168" s="33">
        <f>IF(Orders!D1165="","",INDEX(Riders!$D$2:$D$81,MATCH(Orders!D1165,Riders!$A$2:$A$81,0)))</f>
        <v>32</v>
      </c>
      <c r="AE1168" s="33">
        <f>IF(Orders!D1165="","",IF(INDEX(Riders!$B$2:$B$81,MATCH(Orders!D1165,Riders!$A$2:$A$81,0))=B1168,1,0))</f>
        <v>0</v>
      </c>
      <c r="AF1168" s="34">
        <f>IF(E1168=1,Orders!L1165,"")</f>
        <v>0.88</v>
      </c>
      <c r="AG1168" s="34">
        <f>IF(E1168=1,Orders!P1165,"")</f>
        <v>11</v>
      </c>
      <c r="AH1168" s="34">
        <f>IF(E1168=1,Orders!Q1165,"")</f>
        <v>10.8</v>
      </c>
      <c r="AI1168" s="34">
        <f>IF(E1168=1,Orders!M1165,"")</f>
        <v>4.8</v>
      </c>
      <c r="AJ1168" s="34">
        <f>IF(E1168=1,Orders!N1165,"")</f>
        <v>3.3</v>
      </c>
      <c r="AK1168" s="34">
        <f>IF(E1168=1,Orders!O1165,"")</f>
        <v>2.7</v>
      </c>
      <c r="AL1168" s="33">
        <f>IF(E1168=1,IF(ROUND(ABS(AI1168+AJ1168+AK1168-AH1168),6)&lt;=0.1,1,0),"")</f>
        <v>1</v>
      </c>
      <c r="AM1168" s="36">
        <f>IF(E1168=1,AI1168/AH1168,"")</f>
        <v>0.444444444444444</v>
      </c>
      <c r="AN1168" s="36">
        <f>IF(E1168=1,AJ1168/AH1168,"")</f>
        <v>0.305555555555556</v>
      </c>
      <c r="AO1168" s="36">
        <f>IF(E1168=1,AK1168/AH1168,"")</f>
        <v>0.25</v>
      </c>
      <c r="AP1168" s="34">
        <f>IF(E1168=1,Orders!Y1165,"")</f>
        <v>0.32</v>
      </c>
      <c r="AQ1168" s="33">
        <f>IF(Orders!X1165,1,0)</f>
        <v>0</v>
      </c>
      <c r="AR1168" s="34" t="str">
        <f>IF(AND(E1168=1,L1168=1),AJ1168,"")</f>
        <v/>
      </c>
      <c r="AS1168" s="34">
        <f>IF(AND(E1168=1,L1168=0),AJ1168,"")</f>
        <v>3.3</v>
      </c>
      <c r="AT1168" s="34" t="str">
        <f>IF(AND(E1168=1,L1168=1),AI1168,"")</f>
        <v/>
      </c>
      <c r="AU1168" s="34">
        <f>IF(AND(E1168=1,L1168=0),AI1168,"")</f>
        <v>4.8</v>
      </c>
      <c r="AV1168" s="34" t="str">
        <f>IF(AND(E1168=1,L1168=1),AG1168,"")</f>
        <v/>
      </c>
      <c r="AW1168" s="34">
        <f>IF(AND(E1168=1,L1168=0),AG1168,"")</f>
        <v>11</v>
      </c>
      <c r="AX1168" s="34" t="str">
        <f>IF(AND(E1168=1,L1168=1),AH1168,"")</f>
        <v/>
      </c>
      <c r="AY1168" s="34">
        <f>IF(AND(E1168=1,L1168=0),AH1168,"")</f>
        <v>10.8</v>
      </c>
      <c r="AZ1168" s="34" t="str">
        <f>IF(G1168=1,F1168,"")</f>
        <v/>
      </c>
      <c r="BA1168" s="34" t="str">
        <f>IF(AND(G1168=1,L1168=1),F1168,"")</f>
        <v/>
      </c>
      <c r="BB1168" s="34" t="str">
        <f>IF(AND(G1168=1,L1168=0),F1168,"")</f>
        <v/>
      </c>
      <c r="BC1168" s="33">
        <f>IF(E1168=1,IF(Orders!R1165&gt;3,1,0),"")</f>
        <v>0</v>
      </c>
      <c r="BD1168" s="33">
        <f>IF(E1168=1,IF(Orders!R1165&gt;7,1,0),"")</f>
        <v>0</v>
      </c>
      <c r="BE1168" s="32" t="str">
        <f>IF(E1168=1,IF(Orders!L1165&lt;=1.5,"Up to 1.5 km",IF(Orders!L1165&lt;=3,"1.5–3 km","Over 3 km")),"")</f>
        <v>Up to 1.5 km</v>
      </c>
      <c r="BF1168" s="33">
        <f>IF(E1168=1,IF(ABS((Orders!G1165-Orders!F1165)*1440-Orders!R1165)&lt;0.06,1,0),"")</f>
        <v>1</v>
      </c>
      <c r="BG1168" s="33">
        <f>IF(ABS((Orders!F1165-Orders!E1165)*1440-Orders!P1165)&lt;0.06,1,0)</f>
        <v>1</v>
      </c>
      <c r="BH1168" s="33">
        <f>IF(E1168=1,IF(IF(Orders!S1165,1,0)=1-G1168,1,0),"")</f>
        <v>1</v>
      </c>
      <c r="BI1168" s="32" t="str">
        <f>INDEX(Stores!$B$2:$B$21,MATCH(B1168,Stores!$A$2:$A$21,0))</f>
        <v>Bengaluru</v>
      </c>
    </row>
    <row r="1169">
      <c r="A1169" s="32" t="str">
        <f>Orders!A1166</f>
        <v>O01165</v>
      </c>
      <c r="B1169" s="32" t="str">
        <f>Orders!C1166</f>
        <v>S013</v>
      </c>
      <c r="C1169" s="32" t="str">
        <f>Orders!B1166</f>
        <v>C0149</v>
      </c>
      <c r="D1169" s="32" t="str">
        <f>Orders!H1166</f>
        <v>Delivered</v>
      </c>
      <c r="E1169" s="33">
        <f>IF(Orders!H1166="Delivered",1,0)</f>
        <v>1</v>
      </c>
      <c r="F1169" s="34">
        <f>IF(E1169=1,Orders!R1166,"")</f>
        <v>-0.2</v>
      </c>
      <c r="G1169" s="33">
        <f>IF(E1169=1,IF(Orders!R1166&gt;0,1,0),"")</f>
        <v>0</v>
      </c>
      <c r="H1169" s="33">
        <f>IF(E1169=1,IF(Orders!R1166&gt;5,1,0),"")</f>
        <v>0</v>
      </c>
      <c r="I1169" s="32" t="str">
        <f>IF(E1169=1,"",IF(OR(Orders!T1166="Rider unavailable",Orders!T1166="Item unavailable"),"Company-caused","Unresolved"))</f>
        <v/>
      </c>
      <c r="J1169" s="33">
        <f>IF(OR(E1169=1,I1169="Company-caused"),1,0)</f>
        <v>1</v>
      </c>
      <c r="K1169" s="32" t="str">
        <f>IF(E1169=0,IF(I1169="Company-caused",IF(Orders!T1166="Rider unavailable","C1 Rider unavailable","C2 Item unavailable"),"Outside root: unresolved"),IF(G1169=0,"A On time",IF(H1169=1,IF(L1169=1,"B2a Severe, peak","B2b Severe, off-peak"),IF(L1169=1,"B1a Slight, peak","B1b Slight, off-peak"))))</f>
        <v>A On time</v>
      </c>
      <c r="L1169" s="33">
        <f>IF(AND(Orders!U1166&gt;=19,Orders!U1166&lt;22),1,0)</f>
        <v>1</v>
      </c>
      <c r="M1169" s="33">
        <f>IF(L1169=IF(Orders!V1166,1,0),1,0)</f>
        <v>1</v>
      </c>
      <c r="N1169" s="32" t="str">
        <f>IF(Orders!W1166="","None",Orders!W1166)</f>
        <v>None</v>
      </c>
      <c r="O1169" s="35">
        <f>INT(Orders!E1166)</f>
        <v>46279.0</v>
      </c>
      <c r="P1169" s="33">
        <f>Orders!U1166</f>
        <v>20</v>
      </c>
      <c r="Q1169" s="33">
        <f>COUNTIFS(Demand!$A$2:$A$4481,B1169,Demand!$B$2:$B$4481,O1169,Demand!$C$2:$C$4481,P1169)</f>
        <v>1</v>
      </c>
      <c r="R1169" s="33">
        <f>IF(Q1169=1,SUMIFS(Demand!$E$2:$E$4481,Demand!$A$2:$A$4481,B1169,Demand!$B$2:$B$4481,O1169,Demand!$C$2:$C$4481,P1169),"")</f>
        <v>86</v>
      </c>
      <c r="S1169" s="33">
        <f>INDEX(Stores!$G$2:$G$21,MATCH(B1169,Stores!$A$2:$A$21,0))</f>
        <v>49</v>
      </c>
      <c r="T1169" s="34">
        <f>IF(R1169="","",R1169/S1169)</f>
        <v>1.75510204081633</v>
      </c>
      <c r="U1169" s="34">
        <f>IF(E1169=1,T1169,"")</f>
        <v>1.75510204081633</v>
      </c>
      <c r="V1169" s="34" t="str">
        <f>IF(AND(E1169=1,L1169=0),T1169,"")</f>
        <v/>
      </c>
      <c r="W1169" s="33">
        <f>IF(U1169="","",IF(U1169&lt;=Breakdowns!$C$5,1,IF(U1169&lt;=Breakdowns!$C$6,2,IF(U1169&lt;=Breakdowns!$C$7,3,4))))</f>
        <v>4</v>
      </c>
      <c r="X1169" s="33" t="str">
        <f>IF(V1169="","",IF(V1169&lt;=Breakdowns!$D$5,1,IF(V1169&lt;=Breakdowns!$D$6,2,IF(V1169&lt;=Breakdowns!$D$7,3,4))))</f>
        <v/>
      </c>
      <c r="Y1169" s="34">
        <f>INDEX(Stores!$F$2:$F$21,MATCH(B1169,Stores!$A$2:$A$21,0))</f>
        <v>5.82</v>
      </c>
      <c r="Z1169" s="33">
        <f>IF(Y1169&gt;Store_Summary!$M$2,1,0)</f>
        <v>1</v>
      </c>
      <c r="AA1169" s="33">
        <f>INDEX(Stores!$C$2:$C$21,MATCH(B1169,Stores!$A$2:$A$21,0))</f>
        <v>705</v>
      </c>
      <c r="AB1169" s="33">
        <f>IF(AA1169&lt;180,1,0)</f>
        <v>0</v>
      </c>
      <c r="AC1169" s="32" t="str">
        <f>IF(Orders!D1166="","",INDEX(Riders!$C$2:$C$81,MATCH(Orders!D1166,Riders!$A$2:$A$81,0)))</f>
        <v>EV scooter</v>
      </c>
      <c r="AD1169" s="33">
        <f>IF(Orders!D1166="","",INDEX(Riders!$D$2:$D$81,MATCH(Orders!D1166,Riders!$A$2:$A$81,0)))</f>
        <v>45</v>
      </c>
      <c r="AE1169" s="33">
        <f>IF(Orders!D1166="","",IF(INDEX(Riders!$B$2:$B$81,MATCH(Orders!D1166,Riders!$A$2:$A$81,0))=B1169,1,0))</f>
        <v>0</v>
      </c>
      <c r="AF1169" s="34">
        <f>IF(E1169=1,Orders!L1166,"")</f>
        <v>1.62</v>
      </c>
      <c r="AG1169" s="34">
        <f>IF(E1169=1,Orders!P1166,"")</f>
        <v>9.2</v>
      </c>
      <c r="AH1169" s="34">
        <f>IF(E1169=1,Orders!Q1166,"")</f>
        <v>9</v>
      </c>
      <c r="AI1169" s="34">
        <f>IF(E1169=1,Orders!M1166,"")</f>
        <v>2.1</v>
      </c>
      <c r="AJ1169" s="34">
        <f>IF(E1169=1,Orders!N1166,"")</f>
        <v>4.5</v>
      </c>
      <c r="AK1169" s="34">
        <f>IF(E1169=1,Orders!O1166,"")</f>
        <v>2.4</v>
      </c>
      <c r="AL1169" s="33">
        <f>IF(E1169=1,IF(ROUND(ABS(AI1169+AJ1169+AK1169-AH1169),6)&lt;=0.1,1,0),"")</f>
        <v>1</v>
      </c>
      <c r="AM1169" s="36">
        <f>IF(E1169=1,AI1169/AH1169,"")</f>
        <v>0.233333333333333</v>
      </c>
      <c r="AN1169" s="36">
        <f>IF(E1169=1,AJ1169/AH1169,"")</f>
        <v>0.5</v>
      </c>
      <c r="AO1169" s="36">
        <f>IF(E1169=1,AK1169/AH1169,"")</f>
        <v>0.266666666666667</v>
      </c>
      <c r="AP1169" s="34">
        <f>IF(E1169=1,Orders!Y1166,"")</f>
        <v>0.73</v>
      </c>
      <c r="AQ1169" s="33">
        <f>IF(Orders!X1166,1,0)</f>
        <v>0</v>
      </c>
      <c r="AR1169" s="34">
        <f>IF(AND(E1169=1,L1169=1),AJ1169,"")</f>
        <v>4.5</v>
      </c>
      <c r="AS1169" s="34" t="str">
        <f>IF(AND(E1169=1,L1169=0),AJ1169,"")</f>
        <v/>
      </c>
      <c r="AT1169" s="34">
        <f>IF(AND(E1169=1,L1169=1),AI1169,"")</f>
        <v>2.1</v>
      </c>
      <c r="AU1169" s="34" t="str">
        <f>IF(AND(E1169=1,L1169=0),AI1169,"")</f>
        <v/>
      </c>
      <c r="AV1169" s="34">
        <f>IF(AND(E1169=1,L1169=1),AG1169,"")</f>
        <v>9.2</v>
      </c>
      <c r="AW1169" s="34" t="str">
        <f>IF(AND(E1169=1,L1169=0),AG1169,"")</f>
        <v/>
      </c>
      <c r="AX1169" s="34">
        <f>IF(AND(E1169=1,L1169=1),AH1169,"")</f>
        <v>9</v>
      </c>
      <c r="AY1169" s="34" t="str">
        <f>IF(AND(E1169=1,L1169=0),AH1169,"")</f>
        <v/>
      </c>
      <c r="AZ1169" s="34" t="str">
        <f>IF(G1169=1,F1169,"")</f>
        <v/>
      </c>
      <c r="BA1169" s="34" t="str">
        <f>IF(AND(G1169=1,L1169=1),F1169,"")</f>
        <v/>
      </c>
      <c r="BB1169" s="34" t="str">
        <f>IF(AND(G1169=1,L1169=0),F1169,"")</f>
        <v/>
      </c>
      <c r="BC1169" s="33">
        <f>IF(E1169=1,IF(Orders!R1166&gt;3,1,0),"")</f>
        <v>0</v>
      </c>
      <c r="BD1169" s="33">
        <f>IF(E1169=1,IF(Orders!R1166&gt;7,1,0),"")</f>
        <v>0</v>
      </c>
      <c r="BE1169" s="32" t="str">
        <f>IF(E1169=1,IF(Orders!L1166&lt;=1.5,"Up to 1.5 km",IF(Orders!L1166&lt;=3,"1.5–3 km","Over 3 km")),"")</f>
        <v>1.5–3 km</v>
      </c>
      <c r="BF1169" s="33">
        <f>IF(E1169=1,IF(ABS((Orders!G1166-Orders!F1166)*1440-Orders!R1166)&lt;0.06,1,0),"")</f>
        <v>1</v>
      </c>
      <c r="BG1169" s="33">
        <f>IF(ABS((Orders!F1166-Orders!E1166)*1440-Orders!P1166)&lt;0.06,1,0)</f>
        <v>1</v>
      </c>
      <c r="BH1169" s="33">
        <f>IF(E1169=1,IF(IF(Orders!S1166,1,0)=1-G1169,1,0),"")</f>
        <v>1</v>
      </c>
      <c r="BI1169" s="32" t="str">
        <f>INDEX(Stores!$B$2:$B$21,MATCH(B1169,Stores!$A$2:$A$21,0))</f>
        <v>Mumbai</v>
      </c>
    </row>
    <row r="1170">
      <c r="A1170" s="32" t="str">
        <f>Orders!A1167</f>
        <v>O01166</v>
      </c>
      <c r="B1170" s="32" t="str">
        <f>Orders!C1167</f>
        <v>S009</v>
      </c>
      <c r="C1170" s="32" t="str">
        <f>Orders!B1167</f>
        <v>C0024</v>
      </c>
      <c r="D1170" s="32" t="str">
        <f>Orders!H1167</f>
        <v>Delivered</v>
      </c>
      <c r="E1170" s="33">
        <f>IF(Orders!H1167="Delivered",1,0)</f>
        <v>1</v>
      </c>
      <c r="F1170" s="34">
        <f>IF(E1170=1,Orders!R1167,"")</f>
        <v>5</v>
      </c>
      <c r="G1170" s="33">
        <f>IF(E1170=1,IF(Orders!R1167&gt;0,1,0),"")</f>
        <v>1</v>
      </c>
      <c r="H1170" s="33">
        <f>IF(E1170=1,IF(Orders!R1167&gt;5,1,0),"")</f>
        <v>0</v>
      </c>
      <c r="I1170" s="32" t="str">
        <f>IF(E1170=1,"",IF(OR(Orders!T1167="Rider unavailable",Orders!T1167="Item unavailable"),"Company-caused","Unresolved"))</f>
        <v/>
      </c>
      <c r="J1170" s="33">
        <f>IF(OR(E1170=1,I1170="Company-caused"),1,0)</f>
        <v>1</v>
      </c>
      <c r="K1170" s="32" t="str">
        <f>IF(E1170=0,IF(I1170="Company-caused",IF(Orders!T1167="Rider unavailable","C1 Rider unavailable","C2 Item unavailable"),"Outside root: unresolved"),IF(G1170=0,"A On time",IF(H1170=1,IF(L1170=1,"B2a Severe, peak","B2b Severe, off-peak"),IF(L1170=1,"B1a Slight, peak","B1b Slight, off-peak"))))</f>
        <v>B1a Slight, peak</v>
      </c>
      <c r="L1170" s="33">
        <f>IF(AND(Orders!U1167&gt;=19,Orders!U1167&lt;22),1,0)</f>
        <v>1</v>
      </c>
      <c r="M1170" s="33">
        <f>IF(L1170=IF(Orders!V1167,1,0),1,0)</f>
        <v>1</v>
      </c>
      <c r="N1170" s="32" t="str">
        <f>IF(Orders!W1167="","None",Orders!W1167)</f>
        <v>Heavy</v>
      </c>
      <c r="O1170" s="35">
        <f>INT(Orders!E1167)</f>
        <v>46270.0</v>
      </c>
      <c r="P1170" s="33">
        <f>Orders!U1167</f>
        <v>20</v>
      </c>
      <c r="Q1170" s="33">
        <f>COUNTIFS(Demand!$A$2:$A$4481,B1170,Demand!$B$2:$B$4481,O1170,Demand!$C$2:$C$4481,P1170)</f>
        <v>1</v>
      </c>
      <c r="R1170" s="33">
        <f>IF(Q1170=1,SUMIFS(Demand!$E$2:$E$4481,Demand!$A$2:$A$4481,B1170,Demand!$B$2:$B$4481,O1170,Demand!$C$2:$C$4481,P1170),"")</f>
        <v>51</v>
      </c>
      <c r="S1170" s="33">
        <f>INDEX(Stores!$G$2:$G$21,MATCH(B1170,Stores!$A$2:$A$21,0))</f>
        <v>29</v>
      </c>
      <c r="T1170" s="34">
        <f>IF(R1170="","",R1170/S1170)</f>
        <v>1.75862068965517</v>
      </c>
      <c r="U1170" s="34">
        <f>IF(E1170=1,T1170,"")</f>
        <v>1.75862068965517</v>
      </c>
      <c r="V1170" s="34" t="str">
        <f>IF(AND(E1170=1,L1170=0),T1170,"")</f>
        <v/>
      </c>
      <c r="W1170" s="33">
        <f>IF(U1170="","",IF(U1170&lt;=Breakdowns!$C$5,1,IF(U1170&lt;=Breakdowns!$C$6,2,IF(U1170&lt;=Breakdowns!$C$7,3,4))))</f>
        <v>4</v>
      </c>
      <c r="X1170" s="33" t="str">
        <f>IF(V1170="","",IF(V1170&lt;=Breakdowns!$D$5,1,IF(V1170&lt;=Breakdowns!$D$6,2,IF(V1170&lt;=Breakdowns!$D$7,3,4))))</f>
        <v/>
      </c>
      <c r="Y1170" s="34">
        <f>INDEX(Stores!$F$2:$F$21,MATCH(B1170,Stores!$A$2:$A$21,0))</f>
        <v>2.66</v>
      </c>
      <c r="Z1170" s="33">
        <f>IF(Y1170&gt;Store_Summary!$M$2,1,0)</f>
        <v>0</v>
      </c>
      <c r="AA1170" s="33">
        <f>INDEX(Stores!$C$2:$C$21,MATCH(B1170,Stores!$A$2:$A$21,0))</f>
        <v>645</v>
      </c>
      <c r="AB1170" s="33">
        <f>IF(AA1170&lt;180,1,0)</f>
        <v>0</v>
      </c>
      <c r="AC1170" s="32" t="str">
        <f>IF(Orders!D1167="","",INDEX(Riders!$C$2:$C$81,MATCH(Orders!D1167,Riders!$A$2:$A$81,0)))</f>
        <v>EV scooter</v>
      </c>
      <c r="AD1170" s="33">
        <f>IF(Orders!D1167="","",INDEX(Riders!$D$2:$D$81,MATCH(Orders!D1167,Riders!$A$2:$A$81,0)))</f>
        <v>14</v>
      </c>
      <c r="AE1170" s="33">
        <f>IF(Orders!D1167="","",IF(INDEX(Riders!$B$2:$B$81,MATCH(Orders!D1167,Riders!$A$2:$A$81,0))=B1170,1,0))</f>
        <v>0</v>
      </c>
      <c r="AF1170" s="34">
        <f>IF(E1170=1,Orders!L1167,"")</f>
        <v>0.5</v>
      </c>
      <c r="AG1170" s="34">
        <f>IF(E1170=1,Orders!P1167,"")</f>
        <v>8.9</v>
      </c>
      <c r="AH1170" s="34">
        <f>IF(E1170=1,Orders!Q1167,"")</f>
        <v>13.9</v>
      </c>
      <c r="AI1170" s="34">
        <f>IF(E1170=1,Orders!M1167,"")</f>
        <v>1.9</v>
      </c>
      <c r="AJ1170" s="34">
        <f>IF(E1170=1,Orders!N1167,"")</f>
        <v>6.8</v>
      </c>
      <c r="AK1170" s="34">
        <f>IF(E1170=1,Orders!O1167,"")</f>
        <v>5.2</v>
      </c>
      <c r="AL1170" s="33">
        <f>IF(E1170=1,IF(ROUND(ABS(AI1170+AJ1170+AK1170-AH1170),6)&lt;=0.1,1,0),"")</f>
        <v>1</v>
      </c>
      <c r="AM1170" s="36">
        <f>IF(E1170=1,AI1170/AH1170,"")</f>
        <v>0.136690647482014</v>
      </c>
      <c r="AN1170" s="36">
        <f>IF(E1170=1,AJ1170/AH1170,"")</f>
        <v>0.489208633093525</v>
      </c>
      <c r="AO1170" s="36">
        <f>IF(E1170=1,AK1170/AH1170,"")</f>
        <v>0.37410071942446</v>
      </c>
      <c r="AP1170" s="34">
        <f>IF(E1170=1,Orders!Y1167,"")</f>
        <v>0.72</v>
      </c>
      <c r="AQ1170" s="33">
        <f>IF(Orders!X1167,1,0)</f>
        <v>0</v>
      </c>
      <c r="AR1170" s="34">
        <f>IF(AND(E1170=1,L1170=1),AJ1170,"")</f>
        <v>6.8</v>
      </c>
      <c r="AS1170" s="34" t="str">
        <f>IF(AND(E1170=1,L1170=0),AJ1170,"")</f>
        <v/>
      </c>
      <c r="AT1170" s="34">
        <f>IF(AND(E1170=1,L1170=1),AI1170,"")</f>
        <v>1.9</v>
      </c>
      <c r="AU1170" s="34" t="str">
        <f>IF(AND(E1170=1,L1170=0),AI1170,"")</f>
        <v/>
      </c>
      <c r="AV1170" s="34">
        <f>IF(AND(E1170=1,L1170=1),AG1170,"")</f>
        <v>8.9</v>
      </c>
      <c r="AW1170" s="34" t="str">
        <f>IF(AND(E1170=1,L1170=0),AG1170,"")</f>
        <v/>
      </c>
      <c r="AX1170" s="34">
        <f>IF(AND(E1170=1,L1170=1),AH1170,"")</f>
        <v>13.9</v>
      </c>
      <c r="AY1170" s="34" t="str">
        <f>IF(AND(E1170=1,L1170=0),AH1170,"")</f>
        <v/>
      </c>
      <c r="AZ1170" s="34">
        <f>IF(G1170=1,F1170,"")</f>
        <v>5</v>
      </c>
      <c r="BA1170" s="34">
        <f>IF(AND(G1170=1,L1170=1),F1170,"")</f>
        <v>5</v>
      </c>
      <c r="BB1170" s="34" t="str">
        <f>IF(AND(G1170=1,L1170=0),F1170,"")</f>
        <v/>
      </c>
      <c r="BC1170" s="33">
        <f>IF(E1170=1,IF(Orders!R1167&gt;3,1,0),"")</f>
        <v>1</v>
      </c>
      <c r="BD1170" s="33">
        <f>IF(E1170=1,IF(Orders!R1167&gt;7,1,0),"")</f>
        <v>0</v>
      </c>
      <c r="BE1170" s="32" t="str">
        <f>IF(E1170=1,IF(Orders!L1167&lt;=1.5,"Up to 1.5 km",IF(Orders!L1167&lt;=3,"1.5–3 km","Over 3 km")),"")</f>
        <v>Up to 1.5 km</v>
      </c>
      <c r="BF1170" s="33">
        <f>IF(E1170=1,IF(ABS((Orders!G1167-Orders!F1167)*1440-Orders!R1167)&lt;0.06,1,0),"")</f>
        <v>1</v>
      </c>
      <c r="BG1170" s="33">
        <f>IF(ABS((Orders!F1167-Orders!E1167)*1440-Orders!P1167)&lt;0.06,1,0)</f>
        <v>1</v>
      </c>
      <c r="BH1170" s="33">
        <f>IF(E1170=1,IF(IF(Orders!S1167,1,0)=1-G1170,1,0),"")</f>
        <v>1</v>
      </c>
      <c r="BI1170" s="32" t="str">
        <f>INDEX(Stores!$B$2:$B$21,MATCH(B1170,Stores!$A$2:$A$21,0))</f>
        <v>Pune</v>
      </c>
    </row>
    <row r="1171">
      <c r="A1171" s="32" t="str">
        <f>Orders!A1168</f>
        <v>O01167</v>
      </c>
      <c r="B1171" s="32" t="str">
        <f>Orders!C1168</f>
        <v>S014</v>
      </c>
      <c r="C1171" s="32" t="str">
        <f>Orders!B1168</f>
        <v>C0004</v>
      </c>
      <c r="D1171" s="32" t="str">
        <f>Orders!H1168</f>
        <v>Delivered</v>
      </c>
      <c r="E1171" s="33">
        <f>IF(Orders!H1168="Delivered",1,0)</f>
        <v>1</v>
      </c>
      <c r="F1171" s="34">
        <f>IF(E1171=1,Orders!R1168,"")</f>
        <v>-0.8</v>
      </c>
      <c r="G1171" s="33">
        <f>IF(E1171=1,IF(Orders!R1168&gt;0,1,0),"")</f>
        <v>0</v>
      </c>
      <c r="H1171" s="33">
        <f>IF(E1171=1,IF(Orders!R1168&gt;5,1,0),"")</f>
        <v>0</v>
      </c>
      <c r="I1171" s="32" t="str">
        <f>IF(E1171=1,"",IF(OR(Orders!T1168="Rider unavailable",Orders!T1168="Item unavailable"),"Company-caused","Unresolved"))</f>
        <v/>
      </c>
      <c r="J1171" s="33">
        <f>IF(OR(E1171=1,I1171="Company-caused"),1,0)</f>
        <v>1</v>
      </c>
      <c r="K1171" s="32" t="str">
        <f>IF(E1171=0,IF(I1171="Company-caused",IF(Orders!T1168="Rider unavailable","C1 Rider unavailable","C2 Item unavailable"),"Outside root: unresolved"),IF(G1171=0,"A On time",IF(H1171=1,IF(L1171=1,"B2a Severe, peak","B2b Severe, off-peak"),IF(L1171=1,"B1a Slight, peak","B1b Slight, off-peak"))))</f>
        <v>A On time</v>
      </c>
      <c r="L1171" s="33">
        <f>IF(AND(Orders!U1168&gt;=19,Orders!U1168&lt;22),1,0)</f>
        <v>1</v>
      </c>
      <c r="M1171" s="33">
        <f>IF(L1171=IF(Orders!V1168,1,0),1,0)</f>
        <v>1</v>
      </c>
      <c r="N1171" s="32" t="str">
        <f>IF(Orders!W1168="","None",Orders!W1168)</f>
        <v>Light</v>
      </c>
      <c r="O1171" s="35">
        <f>INT(Orders!E1168)</f>
        <v>46268.0</v>
      </c>
      <c r="P1171" s="33">
        <f>Orders!U1168</f>
        <v>19</v>
      </c>
      <c r="Q1171" s="33">
        <f>COUNTIFS(Demand!$A$2:$A$4481,B1171,Demand!$B$2:$B$4481,O1171,Demand!$C$2:$C$4481,P1171)</f>
        <v>1</v>
      </c>
      <c r="R1171" s="33">
        <f>IF(Q1171=1,SUMIFS(Demand!$E$2:$E$4481,Demand!$A$2:$A$4481,B1171,Demand!$B$2:$B$4481,O1171,Demand!$C$2:$C$4481,P1171),"")</f>
        <v>54</v>
      </c>
      <c r="S1171" s="33">
        <f>INDEX(Stores!$G$2:$G$21,MATCH(B1171,Stores!$A$2:$A$21,0))</f>
        <v>37</v>
      </c>
      <c r="T1171" s="34">
        <f>IF(R1171="","",R1171/S1171)</f>
        <v>1.45945945945946</v>
      </c>
      <c r="U1171" s="34">
        <f>IF(E1171=1,T1171,"")</f>
        <v>1.45945945945946</v>
      </c>
      <c r="V1171" s="34" t="str">
        <f>IF(AND(E1171=1,L1171=0),T1171,"")</f>
        <v/>
      </c>
      <c r="W1171" s="33">
        <f>IF(U1171="","",IF(U1171&lt;=Breakdowns!$C$5,1,IF(U1171&lt;=Breakdowns!$C$6,2,IF(U1171&lt;=Breakdowns!$C$7,3,4))))</f>
        <v>4</v>
      </c>
      <c r="X1171" s="33" t="str">
        <f>IF(V1171="","",IF(V1171&lt;=Breakdowns!$D$5,1,IF(V1171&lt;=Breakdowns!$D$6,2,IF(V1171&lt;=Breakdowns!$D$7,3,4))))</f>
        <v/>
      </c>
      <c r="Y1171" s="34">
        <f>INDEX(Stores!$F$2:$F$21,MATCH(B1171,Stores!$A$2:$A$21,0))</f>
        <v>5.55</v>
      </c>
      <c r="Z1171" s="33">
        <f>IF(Y1171&gt;Store_Summary!$M$2,1,0)</f>
        <v>1</v>
      </c>
      <c r="AA1171" s="33">
        <f>INDEX(Stores!$C$2:$C$21,MATCH(B1171,Stores!$A$2:$A$21,0))</f>
        <v>241</v>
      </c>
      <c r="AB1171" s="33">
        <f>IF(AA1171&lt;180,1,0)</f>
        <v>0</v>
      </c>
      <c r="AC1171" s="32" t="str">
        <f>IF(Orders!D1168="","",INDEX(Riders!$C$2:$C$81,MATCH(Orders!D1168,Riders!$A$2:$A$81,0)))</f>
        <v>EV scooter</v>
      </c>
      <c r="AD1171" s="33">
        <f>IF(Orders!D1168="","",INDEX(Riders!$D$2:$D$81,MATCH(Orders!D1168,Riders!$A$2:$A$81,0)))</f>
        <v>33</v>
      </c>
      <c r="AE1171" s="33">
        <f>IF(Orders!D1168="","",IF(INDEX(Riders!$B$2:$B$81,MATCH(Orders!D1168,Riders!$A$2:$A$81,0))=B1171,1,0))</f>
        <v>0</v>
      </c>
      <c r="AF1171" s="34">
        <f>IF(E1171=1,Orders!L1168,"")</f>
        <v>1.44</v>
      </c>
      <c r="AG1171" s="34">
        <f>IF(E1171=1,Orders!P1168,"")</f>
        <v>11</v>
      </c>
      <c r="AH1171" s="34">
        <f>IF(E1171=1,Orders!Q1168,"")</f>
        <v>10.2</v>
      </c>
      <c r="AI1171" s="34">
        <f>IF(E1171=1,Orders!M1168,"")</f>
        <v>3.7</v>
      </c>
      <c r="AJ1171" s="34">
        <f>IF(E1171=1,Orders!N1168,"")</f>
        <v>3.7</v>
      </c>
      <c r="AK1171" s="34">
        <f>IF(E1171=1,Orders!O1168,"")</f>
        <v>2.8</v>
      </c>
      <c r="AL1171" s="33">
        <f>IF(E1171=1,IF(ROUND(ABS(AI1171+AJ1171+AK1171-AH1171),6)&lt;=0.1,1,0),"")</f>
        <v>1</v>
      </c>
      <c r="AM1171" s="36">
        <f>IF(E1171=1,AI1171/AH1171,"")</f>
        <v>0.362745098039216</v>
      </c>
      <c r="AN1171" s="36">
        <f>IF(E1171=1,AJ1171/AH1171,"")</f>
        <v>0.362745098039216</v>
      </c>
      <c r="AO1171" s="36">
        <f>IF(E1171=1,AK1171/AH1171,"")</f>
        <v>0.274509803921569</v>
      </c>
      <c r="AP1171" s="34">
        <f>IF(E1171=1,Orders!Y1168,"")</f>
        <v>0.39</v>
      </c>
      <c r="AQ1171" s="33">
        <f>IF(Orders!X1168,1,0)</f>
        <v>0</v>
      </c>
      <c r="AR1171" s="34">
        <f>IF(AND(E1171=1,L1171=1),AJ1171,"")</f>
        <v>3.7</v>
      </c>
      <c r="AS1171" s="34" t="str">
        <f>IF(AND(E1171=1,L1171=0),AJ1171,"")</f>
        <v/>
      </c>
      <c r="AT1171" s="34">
        <f>IF(AND(E1171=1,L1171=1),AI1171,"")</f>
        <v>3.7</v>
      </c>
      <c r="AU1171" s="34" t="str">
        <f>IF(AND(E1171=1,L1171=0),AI1171,"")</f>
        <v/>
      </c>
      <c r="AV1171" s="34">
        <f>IF(AND(E1171=1,L1171=1),AG1171,"")</f>
        <v>11</v>
      </c>
      <c r="AW1171" s="34" t="str">
        <f>IF(AND(E1171=1,L1171=0),AG1171,"")</f>
        <v/>
      </c>
      <c r="AX1171" s="34">
        <f>IF(AND(E1171=1,L1171=1),AH1171,"")</f>
        <v>10.2</v>
      </c>
      <c r="AY1171" s="34" t="str">
        <f>IF(AND(E1171=1,L1171=0),AH1171,"")</f>
        <v/>
      </c>
      <c r="AZ1171" s="34" t="str">
        <f>IF(G1171=1,F1171,"")</f>
        <v/>
      </c>
      <c r="BA1171" s="34" t="str">
        <f>IF(AND(G1171=1,L1171=1),F1171,"")</f>
        <v/>
      </c>
      <c r="BB1171" s="34" t="str">
        <f>IF(AND(G1171=1,L1171=0),F1171,"")</f>
        <v/>
      </c>
      <c r="BC1171" s="33">
        <f>IF(E1171=1,IF(Orders!R1168&gt;3,1,0),"")</f>
        <v>0</v>
      </c>
      <c r="BD1171" s="33">
        <f>IF(E1171=1,IF(Orders!R1168&gt;7,1,0),"")</f>
        <v>0</v>
      </c>
      <c r="BE1171" s="32" t="str">
        <f>IF(E1171=1,IF(Orders!L1168&lt;=1.5,"Up to 1.5 km",IF(Orders!L1168&lt;=3,"1.5–3 km","Over 3 km")),"")</f>
        <v>Up to 1.5 km</v>
      </c>
      <c r="BF1171" s="33">
        <f>IF(E1171=1,IF(ABS((Orders!G1168-Orders!F1168)*1440-Orders!R1168)&lt;0.06,1,0),"")</f>
        <v>1</v>
      </c>
      <c r="BG1171" s="33">
        <f>IF(ABS((Orders!F1168-Orders!E1168)*1440-Orders!P1168)&lt;0.06,1,0)</f>
        <v>1</v>
      </c>
      <c r="BH1171" s="33">
        <f>IF(E1171=1,IF(IF(Orders!S1168,1,0)=1-G1171,1,0),"")</f>
        <v>1</v>
      </c>
      <c r="BI1171" s="32" t="str">
        <f>INDEX(Stores!$B$2:$B$21,MATCH(B1171,Stores!$A$2:$A$21,0))</f>
        <v>Pune</v>
      </c>
    </row>
    <row r="1172">
      <c r="A1172" s="32" t="str">
        <f>Orders!A1169</f>
        <v>O01168</v>
      </c>
      <c r="B1172" s="32" t="str">
        <f>Orders!C1169</f>
        <v>S010</v>
      </c>
      <c r="C1172" s="32" t="str">
        <f>Orders!B1169</f>
        <v>C0045</v>
      </c>
      <c r="D1172" s="32" t="str">
        <f>Orders!H1169</f>
        <v>Delivered</v>
      </c>
      <c r="E1172" s="33">
        <f>IF(Orders!H1169="Delivered",1,0)</f>
        <v>1</v>
      </c>
      <c r="F1172" s="34">
        <f>IF(E1172=1,Orders!R1169,"")</f>
        <v>-0.4</v>
      </c>
      <c r="G1172" s="33">
        <f>IF(E1172=1,IF(Orders!R1169&gt;0,1,0),"")</f>
        <v>0</v>
      </c>
      <c r="H1172" s="33">
        <f>IF(E1172=1,IF(Orders!R1169&gt;5,1,0),"")</f>
        <v>0</v>
      </c>
      <c r="I1172" s="32" t="str">
        <f>IF(E1172=1,"",IF(OR(Orders!T1169="Rider unavailable",Orders!T1169="Item unavailable"),"Company-caused","Unresolved"))</f>
        <v/>
      </c>
      <c r="J1172" s="33">
        <f>IF(OR(E1172=1,I1172="Company-caused"),1,0)</f>
        <v>1</v>
      </c>
      <c r="K1172" s="32" t="str">
        <f>IF(E1172=0,IF(I1172="Company-caused",IF(Orders!T1169="Rider unavailable","C1 Rider unavailable","C2 Item unavailable"),"Outside root: unresolved"),IF(G1172=0,"A On time",IF(H1172=1,IF(L1172=1,"B2a Severe, peak","B2b Severe, off-peak"),IF(L1172=1,"B1a Slight, peak","B1b Slight, off-peak"))))</f>
        <v>A On time</v>
      </c>
      <c r="L1172" s="33">
        <f>IF(AND(Orders!U1169&gt;=19,Orders!U1169&lt;22),1,0)</f>
        <v>0</v>
      </c>
      <c r="M1172" s="33">
        <f>IF(L1172=IF(Orders!V1169,1,0),1,0)</f>
        <v>1</v>
      </c>
      <c r="N1172" s="32" t="str">
        <f>IF(Orders!W1169="","None",Orders!W1169)</f>
        <v>None</v>
      </c>
      <c r="O1172" s="35">
        <f>INT(Orders!E1169)</f>
        <v>46279.0</v>
      </c>
      <c r="P1172" s="33">
        <f>Orders!U1169</f>
        <v>12</v>
      </c>
      <c r="Q1172" s="33">
        <f>COUNTIFS(Demand!$A$2:$A$4481,B1172,Demand!$B$2:$B$4481,O1172,Demand!$C$2:$C$4481,P1172)</f>
        <v>1</v>
      </c>
      <c r="R1172" s="33">
        <f>IF(Q1172=1,SUMIFS(Demand!$E$2:$E$4481,Demand!$A$2:$A$4481,B1172,Demand!$B$2:$B$4481,O1172,Demand!$C$2:$C$4481,P1172),"")</f>
        <v>27</v>
      </c>
      <c r="S1172" s="33">
        <f>INDEX(Stores!$G$2:$G$21,MATCH(B1172,Stores!$A$2:$A$21,0))</f>
        <v>22</v>
      </c>
      <c r="T1172" s="34">
        <f>IF(R1172="","",R1172/S1172)</f>
        <v>1.22727272727273</v>
      </c>
      <c r="U1172" s="34">
        <f>IF(E1172=1,T1172,"")</f>
        <v>1.22727272727273</v>
      </c>
      <c r="V1172" s="34">
        <f>IF(AND(E1172=1,L1172=0),T1172,"")</f>
        <v>1.22727272727273</v>
      </c>
      <c r="W1172" s="33">
        <f>IF(U1172="","",IF(U1172&lt;=Breakdowns!$C$5,1,IF(U1172&lt;=Breakdowns!$C$6,2,IF(U1172&lt;=Breakdowns!$C$7,3,4))))</f>
        <v>4</v>
      </c>
      <c r="X1172" s="33">
        <f>IF(V1172="","",IF(V1172&lt;=Breakdowns!$D$5,1,IF(V1172&lt;=Breakdowns!$D$6,2,IF(V1172&lt;=Breakdowns!$D$7,3,4))))</f>
        <v>4</v>
      </c>
      <c r="Y1172" s="34">
        <f>INDEX(Stores!$F$2:$F$21,MATCH(B1172,Stores!$A$2:$A$21,0))</f>
        <v>5.61</v>
      </c>
      <c r="Z1172" s="33">
        <f>IF(Y1172&gt;Store_Summary!$M$2,1,0)</f>
        <v>1</v>
      </c>
      <c r="AA1172" s="33">
        <f>INDEX(Stores!$C$2:$C$21,MATCH(B1172,Stores!$A$2:$A$21,0))</f>
        <v>744</v>
      </c>
      <c r="AB1172" s="33">
        <f>IF(AA1172&lt;180,1,0)</f>
        <v>0</v>
      </c>
      <c r="AC1172" s="32" t="str">
        <f>IF(Orders!D1169="","",INDEX(Riders!$C$2:$C$81,MATCH(Orders!D1169,Riders!$A$2:$A$81,0)))</f>
        <v>Petrol scooter</v>
      </c>
      <c r="AD1172" s="33">
        <f>IF(Orders!D1169="","",INDEX(Riders!$D$2:$D$81,MATCH(Orders!D1169,Riders!$A$2:$A$81,0)))</f>
        <v>2</v>
      </c>
      <c r="AE1172" s="33">
        <f>IF(Orders!D1169="","",IF(INDEX(Riders!$B$2:$B$81,MATCH(Orders!D1169,Riders!$A$2:$A$81,0))=B1172,1,0))</f>
        <v>1</v>
      </c>
      <c r="AF1172" s="34">
        <f>IF(E1172=1,Orders!L1169,"")</f>
        <v>0.55</v>
      </c>
      <c r="AG1172" s="34">
        <f>IF(E1172=1,Orders!P1169,"")</f>
        <v>10.2</v>
      </c>
      <c r="AH1172" s="34">
        <f>IF(E1172=1,Orders!Q1169,"")</f>
        <v>9.8</v>
      </c>
      <c r="AI1172" s="34">
        <f>IF(E1172=1,Orders!M1169,"")</f>
        <v>3.9</v>
      </c>
      <c r="AJ1172" s="34">
        <f>IF(E1172=1,Orders!N1169,"")</f>
        <v>4</v>
      </c>
      <c r="AK1172" s="34">
        <f>IF(E1172=1,Orders!O1169,"")</f>
        <v>1.9</v>
      </c>
      <c r="AL1172" s="33">
        <f>IF(E1172=1,IF(ROUND(ABS(AI1172+AJ1172+AK1172-AH1172),6)&lt;=0.1,1,0),"")</f>
        <v>1</v>
      </c>
      <c r="AM1172" s="36">
        <f>IF(E1172=1,AI1172/AH1172,"")</f>
        <v>0.397959183673469</v>
      </c>
      <c r="AN1172" s="36">
        <f>IF(E1172=1,AJ1172/AH1172,"")</f>
        <v>0.408163265306122</v>
      </c>
      <c r="AO1172" s="36">
        <f>IF(E1172=1,AK1172/AH1172,"")</f>
        <v>0.193877551020408</v>
      </c>
      <c r="AP1172" s="34">
        <f>IF(E1172=1,Orders!Y1169,"")</f>
        <v>0.47</v>
      </c>
      <c r="AQ1172" s="33">
        <f>IF(Orders!X1169,1,0)</f>
        <v>0</v>
      </c>
      <c r="AR1172" s="34" t="str">
        <f>IF(AND(E1172=1,L1172=1),AJ1172,"")</f>
        <v/>
      </c>
      <c r="AS1172" s="34">
        <f>IF(AND(E1172=1,L1172=0),AJ1172,"")</f>
        <v>4</v>
      </c>
      <c r="AT1172" s="34" t="str">
        <f>IF(AND(E1172=1,L1172=1),AI1172,"")</f>
        <v/>
      </c>
      <c r="AU1172" s="34">
        <f>IF(AND(E1172=1,L1172=0),AI1172,"")</f>
        <v>3.9</v>
      </c>
      <c r="AV1172" s="34" t="str">
        <f>IF(AND(E1172=1,L1172=1),AG1172,"")</f>
        <v/>
      </c>
      <c r="AW1172" s="34">
        <f>IF(AND(E1172=1,L1172=0),AG1172,"")</f>
        <v>10.2</v>
      </c>
      <c r="AX1172" s="34" t="str">
        <f>IF(AND(E1172=1,L1172=1),AH1172,"")</f>
        <v/>
      </c>
      <c r="AY1172" s="34">
        <f>IF(AND(E1172=1,L1172=0),AH1172,"")</f>
        <v>9.8</v>
      </c>
      <c r="AZ1172" s="34" t="str">
        <f>IF(G1172=1,F1172,"")</f>
        <v/>
      </c>
      <c r="BA1172" s="34" t="str">
        <f>IF(AND(G1172=1,L1172=1),F1172,"")</f>
        <v/>
      </c>
      <c r="BB1172" s="34" t="str">
        <f>IF(AND(G1172=1,L1172=0),F1172,"")</f>
        <v/>
      </c>
      <c r="BC1172" s="33">
        <f>IF(E1172=1,IF(Orders!R1169&gt;3,1,0),"")</f>
        <v>0</v>
      </c>
      <c r="BD1172" s="33">
        <f>IF(E1172=1,IF(Orders!R1169&gt;7,1,0),"")</f>
        <v>0</v>
      </c>
      <c r="BE1172" s="32" t="str">
        <f>IF(E1172=1,IF(Orders!L1169&lt;=1.5,"Up to 1.5 km",IF(Orders!L1169&lt;=3,"1.5–3 km","Over 3 km")),"")</f>
        <v>Up to 1.5 km</v>
      </c>
      <c r="BF1172" s="33">
        <f>IF(E1172=1,IF(ABS((Orders!G1169-Orders!F1169)*1440-Orders!R1169)&lt;0.06,1,0),"")</f>
        <v>1</v>
      </c>
      <c r="BG1172" s="33">
        <f>IF(ABS((Orders!F1169-Orders!E1169)*1440-Orders!P1169)&lt;0.06,1,0)</f>
        <v>1</v>
      </c>
      <c r="BH1172" s="33">
        <f>IF(E1172=1,IF(IF(Orders!S1169,1,0)=1-G1172,1,0),"")</f>
        <v>1</v>
      </c>
      <c r="BI1172" s="32" t="str">
        <f>INDEX(Stores!$B$2:$B$21,MATCH(B1172,Stores!$A$2:$A$21,0))</f>
        <v>Delhi</v>
      </c>
    </row>
    <row r="1173">
      <c r="A1173" s="32" t="str">
        <f>Orders!A1170</f>
        <v>O01169</v>
      </c>
      <c r="B1173" s="32" t="str">
        <f>Orders!C1170</f>
        <v>S014</v>
      </c>
      <c r="C1173" s="32" t="str">
        <f>Orders!B1170</f>
        <v>C0115</v>
      </c>
      <c r="D1173" s="32" t="str">
        <f>Orders!H1170</f>
        <v>Delivered</v>
      </c>
      <c r="E1173" s="33">
        <f>IF(Orders!H1170="Delivered",1,0)</f>
        <v>1</v>
      </c>
      <c r="F1173" s="34">
        <f>IF(E1173=1,Orders!R1170,"")</f>
        <v>-0.8</v>
      </c>
      <c r="G1173" s="33">
        <f>IF(E1173=1,IF(Orders!R1170&gt;0,1,0),"")</f>
        <v>0</v>
      </c>
      <c r="H1173" s="33">
        <f>IF(E1173=1,IF(Orders!R1170&gt;5,1,0),"")</f>
        <v>0</v>
      </c>
      <c r="I1173" s="32" t="str">
        <f>IF(E1173=1,"",IF(OR(Orders!T1170="Rider unavailable",Orders!T1170="Item unavailable"),"Company-caused","Unresolved"))</f>
        <v/>
      </c>
      <c r="J1173" s="33">
        <f>IF(OR(E1173=1,I1173="Company-caused"),1,0)</f>
        <v>1</v>
      </c>
      <c r="K1173" s="32" t="str">
        <f>IF(E1173=0,IF(I1173="Company-caused",IF(Orders!T1170="Rider unavailable","C1 Rider unavailable","C2 Item unavailable"),"Outside root: unresolved"),IF(G1173=0,"A On time",IF(H1173=1,IF(L1173=1,"B2a Severe, peak","B2b Severe, off-peak"),IF(L1173=1,"B1a Slight, peak","B1b Slight, off-peak"))))</f>
        <v>A On time</v>
      </c>
      <c r="L1173" s="33">
        <f>IF(AND(Orders!U1170&gt;=19,Orders!U1170&lt;22),1,0)</f>
        <v>0</v>
      </c>
      <c r="M1173" s="33">
        <f>IF(L1173=IF(Orders!V1170,1,0),1,0)</f>
        <v>1</v>
      </c>
      <c r="N1173" s="32" t="str">
        <f>IF(Orders!W1170="","None",Orders!W1170)</f>
        <v>None</v>
      </c>
      <c r="O1173" s="35">
        <f>INT(Orders!E1170)</f>
        <v>46276.0</v>
      </c>
      <c r="P1173" s="33">
        <f>Orders!U1170</f>
        <v>14</v>
      </c>
      <c r="Q1173" s="33">
        <f>COUNTIFS(Demand!$A$2:$A$4481,B1173,Demand!$B$2:$B$4481,O1173,Demand!$C$2:$C$4481,P1173)</f>
        <v>1</v>
      </c>
      <c r="R1173" s="33">
        <f>IF(Q1173=1,SUMIFS(Demand!$E$2:$E$4481,Demand!$A$2:$A$4481,B1173,Demand!$B$2:$B$4481,O1173,Demand!$C$2:$C$4481,P1173),"")</f>
        <v>20</v>
      </c>
      <c r="S1173" s="33">
        <f>INDEX(Stores!$G$2:$G$21,MATCH(B1173,Stores!$A$2:$A$21,0))</f>
        <v>37</v>
      </c>
      <c r="T1173" s="34">
        <f>IF(R1173="","",R1173/S1173)</f>
        <v>0.540540540540541</v>
      </c>
      <c r="U1173" s="34">
        <f>IF(E1173=1,T1173,"")</f>
        <v>0.540540540540541</v>
      </c>
      <c r="V1173" s="34">
        <f>IF(AND(E1173=1,L1173=0),T1173,"")</f>
        <v>0.540540540540541</v>
      </c>
      <c r="W1173" s="33">
        <f>IF(U1173="","",IF(U1173&lt;=Breakdowns!$C$5,1,IF(U1173&lt;=Breakdowns!$C$6,2,IF(U1173&lt;=Breakdowns!$C$7,3,4))))</f>
        <v>1</v>
      </c>
      <c r="X1173" s="33">
        <f>IF(V1173="","",IF(V1173&lt;=Breakdowns!$D$5,1,IF(V1173&lt;=Breakdowns!$D$6,2,IF(V1173&lt;=Breakdowns!$D$7,3,4))))</f>
        <v>1</v>
      </c>
      <c r="Y1173" s="34">
        <f>INDEX(Stores!$F$2:$F$21,MATCH(B1173,Stores!$A$2:$A$21,0))</f>
        <v>5.55</v>
      </c>
      <c r="Z1173" s="33">
        <f>IF(Y1173&gt;Store_Summary!$M$2,1,0)</f>
        <v>1</v>
      </c>
      <c r="AA1173" s="33">
        <f>INDEX(Stores!$C$2:$C$21,MATCH(B1173,Stores!$A$2:$A$21,0))</f>
        <v>241</v>
      </c>
      <c r="AB1173" s="33">
        <f>IF(AA1173&lt;180,1,0)</f>
        <v>0</v>
      </c>
      <c r="AC1173" s="32" t="str">
        <f>IF(Orders!D1170="","",INDEX(Riders!$C$2:$C$81,MATCH(Orders!D1170,Riders!$A$2:$A$81,0)))</f>
        <v>Petrol scooter</v>
      </c>
      <c r="AD1173" s="33">
        <f>IF(Orders!D1170="","",INDEX(Riders!$D$2:$D$81,MATCH(Orders!D1170,Riders!$A$2:$A$81,0)))</f>
        <v>11</v>
      </c>
      <c r="AE1173" s="33">
        <f>IF(Orders!D1170="","",IF(INDEX(Riders!$B$2:$B$81,MATCH(Orders!D1170,Riders!$A$2:$A$81,0))=B1173,1,0))</f>
        <v>0</v>
      </c>
      <c r="AF1173" s="34">
        <f>IF(E1173=1,Orders!L1170,"")</f>
        <v>1.77</v>
      </c>
      <c r="AG1173" s="34">
        <f>IF(E1173=1,Orders!P1170,"")</f>
        <v>7.5</v>
      </c>
      <c r="AH1173" s="34">
        <f>IF(E1173=1,Orders!Q1170,"")</f>
        <v>6.7</v>
      </c>
      <c r="AI1173" s="34">
        <f>IF(E1173=1,Orders!M1170,"")</f>
        <v>3.9</v>
      </c>
      <c r="AJ1173" s="34">
        <f>IF(E1173=1,Orders!N1170,"")</f>
        <v>0</v>
      </c>
      <c r="AK1173" s="34">
        <f>IF(E1173=1,Orders!O1170,"")</f>
        <v>2.8</v>
      </c>
      <c r="AL1173" s="33">
        <f>IF(E1173=1,IF(ROUND(ABS(AI1173+AJ1173+AK1173-AH1173),6)&lt;=0.1,1,0),"")</f>
        <v>1</v>
      </c>
      <c r="AM1173" s="36">
        <f>IF(E1173=1,AI1173/AH1173,"")</f>
        <v>0.582089552238806</v>
      </c>
      <c r="AN1173" s="36">
        <f>IF(E1173=1,AJ1173/AH1173,"")</f>
        <v>0</v>
      </c>
      <c r="AO1173" s="36">
        <f>IF(E1173=1,AK1173/AH1173,"")</f>
        <v>0.417910447761194</v>
      </c>
      <c r="AP1173" s="34">
        <f>IF(E1173=1,Orders!Y1170,"")</f>
        <v>0.32</v>
      </c>
      <c r="AQ1173" s="33">
        <f>IF(Orders!X1170,1,0)</f>
        <v>0</v>
      </c>
      <c r="AR1173" s="34" t="str">
        <f>IF(AND(E1173=1,L1173=1),AJ1173,"")</f>
        <v/>
      </c>
      <c r="AS1173" s="34">
        <f>IF(AND(E1173=1,L1173=0),AJ1173,"")</f>
        <v>0</v>
      </c>
      <c r="AT1173" s="34" t="str">
        <f>IF(AND(E1173=1,L1173=1),AI1173,"")</f>
        <v/>
      </c>
      <c r="AU1173" s="34">
        <f>IF(AND(E1173=1,L1173=0),AI1173,"")</f>
        <v>3.9</v>
      </c>
      <c r="AV1173" s="34" t="str">
        <f>IF(AND(E1173=1,L1173=1),AG1173,"")</f>
        <v/>
      </c>
      <c r="AW1173" s="34">
        <f>IF(AND(E1173=1,L1173=0),AG1173,"")</f>
        <v>7.5</v>
      </c>
      <c r="AX1173" s="34" t="str">
        <f>IF(AND(E1173=1,L1173=1),AH1173,"")</f>
        <v/>
      </c>
      <c r="AY1173" s="34">
        <f>IF(AND(E1173=1,L1173=0),AH1173,"")</f>
        <v>6.7</v>
      </c>
      <c r="AZ1173" s="34" t="str">
        <f>IF(G1173=1,F1173,"")</f>
        <v/>
      </c>
      <c r="BA1173" s="34" t="str">
        <f>IF(AND(G1173=1,L1173=1),F1173,"")</f>
        <v/>
      </c>
      <c r="BB1173" s="34" t="str">
        <f>IF(AND(G1173=1,L1173=0),F1173,"")</f>
        <v/>
      </c>
      <c r="BC1173" s="33">
        <f>IF(E1173=1,IF(Orders!R1170&gt;3,1,0),"")</f>
        <v>0</v>
      </c>
      <c r="BD1173" s="33">
        <f>IF(E1173=1,IF(Orders!R1170&gt;7,1,0),"")</f>
        <v>0</v>
      </c>
      <c r="BE1173" s="32" t="str">
        <f>IF(E1173=1,IF(Orders!L1170&lt;=1.5,"Up to 1.5 km",IF(Orders!L1170&lt;=3,"1.5–3 km","Over 3 km")),"")</f>
        <v>1.5–3 km</v>
      </c>
      <c r="BF1173" s="33">
        <f>IF(E1173=1,IF(ABS((Orders!G1170-Orders!F1170)*1440-Orders!R1170)&lt;0.06,1,0),"")</f>
        <v>1</v>
      </c>
      <c r="BG1173" s="33">
        <f>IF(ABS((Orders!F1170-Orders!E1170)*1440-Orders!P1170)&lt;0.06,1,0)</f>
        <v>1</v>
      </c>
      <c r="BH1173" s="33">
        <f>IF(E1173=1,IF(IF(Orders!S1170,1,0)=1-G1173,1,0),"")</f>
        <v>1</v>
      </c>
      <c r="BI1173" s="32" t="str">
        <f>INDEX(Stores!$B$2:$B$21,MATCH(B1173,Stores!$A$2:$A$21,0))</f>
        <v>Pune</v>
      </c>
    </row>
    <row r="1174">
      <c r="A1174" s="32" t="str">
        <f>Orders!A1171</f>
        <v>O01170</v>
      </c>
      <c r="B1174" s="32" t="str">
        <f>Orders!C1171</f>
        <v>S019</v>
      </c>
      <c r="C1174" s="32" t="str">
        <f>Orders!B1171</f>
        <v>C0211</v>
      </c>
      <c r="D1174" s="32" t="str">
        <f>Orders!H1171</f>
        <v>Delivered</v>
      </c>
      <c r="E1174" s="33">
        <f>IF(Orders!H1171="Delivered",1,0)</f>
        <v>1</v>
      </c>
      <c r="F1174" s="34">
        <f>IF(E1174=1,Orders!R1171,"")</f>
        <v>-0.9</v>
      </c>
      <c r="G1174" s="33">
        <f>IF(E1174=1,IF(Orders!R1171&gt;0,1,0),"")</f>
        <v>0</v>
      </c>
      <c r="H1174" s="33">
        <f>IF(E1174=1,IF(Orders!R1171&gt;5,1,0),"")</f>
        <v>0</v>
      </c>
      <c r="I1174" s="32" t="str">
        <f>IF(E1174=1,"",IF(OR(Orders!T1171="Rider unavailable",Orders!T1171="Item unavailable"),"Company-caused","Unresolved"))</f>
        <v/>
      </c>
      <c r="J1174" s="33">
        <f>IF(OR(E1174=1,I1174="Company-caused"),1,0)</f>
        <v>1</v>
      </c>
      <c r="K1174" s="32" t="str">
        <f>IF(E1174=0,IF(I1174="Company-caused",IF(Orders!T1171="Rider unavailable","C1 Rider unavailable","C2 Item unavailable"),"Outside root: unresolved"),IF(G1174=0,"A On time",IF(H1174=1,IF(L1174=1,"B2a Severe, peak","B2b Severe, off-peak"),IF(L1174=1,"B1a Slight, peak","B1b Slight, off-peak"))))</f>
        <v>A On time</v>
      </c>
      <c r="L1174" s="33">
        <f>IF(AND(Orders!U1171&gt;=19,Orders!U1171&lt;22),1,0)</f>
        <v>0</v>
      </c>
      <c r="M1174" s="33">
        <f>IF(L1174=IF(Orders!V1171,1,0),1,0)</f>
        <v>1</v>
      </c>
      <c r="N1174" s="32" t="str">
        <f>IF(Orders!W1171="","None",Orders!W1171)</f>
        <v>None</v>
      </c>
      <c r="O1174" s="35">
        <f>INT(Orders!E1171)</f>
        <v>46270.0</v>
      </c>
      <c r="P1174" s="33">
        <f>Orders!U1171</f>
        <v>11</v>
      </c>
      <c r="Q1174" s="33">
        <f>COUNTIFS(Demand!$A$2:$A$4481,B1174,Demand!$B$2:$B$4481,O1174,Demand!$C$2:$C$4481,P1174)</f>
        <v>1</v>
      </c>
      <c r="R1174" s="33">
        <f>IF(Q1174=1,SUMIFS(Demand!$E$2:$E$4481,Demand!$A$2:$A$4481,B1174,Demand!$B$2:$B$4481,O1174,Demand!$C$2:$C$4481,P1174),"")</f>
        <v>22</v>
      </c>
      <c r="S1174" s="33">
        <f>INDEX(Stores!$G$2:$G$21,MATCH(B1174,Stores!$A$2:$A$21,0))</f>
        <v>22</v>
      </c>
      <c r="T1174" s="34">
        <f>IF(R1174="","",R1174/S1174)</f>
        <v>1</v>
      </c>
      <c r="U1174" s="34">
        <f>IF(E1174=1,T1174,"")</f>
        <v>1</v>
      </c>
      <c r="V1174" s="34">
        <f>IF(AND(E1174=1,L1174=0),T1174,"")</f>
        <v>1</v>
      </c>
      <c r="W1174" s="33">
        <f>IF(U1174="","",IF(U1174&lt;=Breakdowns!$C$5,1,IF(U1174&lt;=Breakdowns!$C$6,2,IF(U1174&lt;=Breakdowns!$C$7,3,4))))</f>
        <v>2</v>
      </c>
      <c r="X1174" s="33">
        <f>IF(V1174="","",IF(V1174&lt;=Breakdowns!$D$5,1,IF(V1174&lt;=Breakdowns!$D$6,2,IF(V1174&lt;=Breakdowns!$D$7,3,4))))</f>
        <v>3</v>
      </c>
      <c r="Y1174" s="34">
        <f>INDEX(Stores!$F$2:$F$21,MATCH(B1174,Stores!$A$2:$A$21,0))</f>
        <v>4.99</v>
      </c>
      <c r="Z1174" s="33">
        <f>IF(Y1174&gt;Store_Summary!$M$2,1,0)</f>
        <v>1</v>
      </c>
      <c r="AA1174" s="33">
        <f>INDEX(Stores!$C$2:$C$21,MATCH(B1174,Stores!$A$2:$A$21,0))</f>
        <v>851</v>
      </c>
      <c r="AB1174" s="33">
        <f>IF(AA1174&lt;180,1,0)</f>
        <v>0</v>
      </c>
      <c r="AC1174" s="32" t="str">
        <f>IF(Orders!D1171="","",INDEX(Riders!$C$2:$C$81,MATCH(Orders!D1171,Riders!$A$2:$A$81,0)))</f>
        <v>Bicycle</v>
      </c>
      <c r="AD1174" s="33">
        <f>IF(Orders!D1171="","",INDEX(Riders!$D$2:$D$81,MATCH(Orders!D1171,Riders!$A$2:$A$81,0)))</f>
        <v>44</v>
      </c>
      <c r="AE1174" s="33">
        <f>IF(Orders!D1171="","",IF(INDEX(Riders!$B$2:$B$81,MATCH(Orders!D1171,Riders!$A$2:$A$81,0))=B1174,1,0))</f>
        <v>0</v>
      </c>
      <c r="AF1174" s="34">
        <f>IF(E1174=1,Orders!L1171,"")</f>
        <v>0.5</v>
      </c>
      <c r="AG1174" s="34">
        <f>IF(E1174=1,Orders!P1171,"")</f>
        <v>10.3</v>
      </c>
      <c r="AH1174" s="34">
        <f>IF(E1174=1,Orders!Q1171,"")</f>
        <v>9.4</v>
      </c>
      <c r="AI1174" s="34">
        <f>IF(E1174=1,Orders!M1171,"")</f>
        <v>4</v>
      </c>
      <c r="AJ1174" s="34">
        <f>IF(E1174=1,Orders!N1171,"")</f>
        <v>3.8</v>
      </c>
      <c r="AK1174" s="34">
        <f>IF(E1174=1,Orders!O1171,"")</f>
        <v>1.6</v>
      </c>
      <c r="AL1174" s="33">
        <f>IF(E1174=1,IF(ROUND(ABS(AI1174+AJ1174+AK1174-AH1174),6)&lt;=0.1,1,0),"")</f>
        <v>1</v>
      </c>
      <c r="AM1174" s="36">
        <f>IF(E1174=1,AI1174/AH1174,"")</f>
        <v>0.425531914893617</v>
      </c>
      <c r="AN1174" s="36">
        <f>IF(E1174=1,AJ1174/AH1174,"")</f>
        <v>0.404255319148936</v>
      </c>
      <c r="AO1174" s="36">
        <f>IF(E1174=1,AK1174/AH1174,"")</f>
        <v>0.170212765957447</v>
      </c>
      <c r="AP1174" s="34">
        <f>IF(E1174=1,Orders!Y1171,"")</f>
        <v>0.52</v>
      </c>
      <c r="AQ1174" s="33">
        <f>IF(Orders!X1171,1,0)</f>
        <v>0</v>
      </c>
      <c r="AR1174" s="34" t="str">
        <f>IF(AND(E1174=1,L1174=1),AJ1174,"")</f>
        <v/>
      </c>
      <c r="AS1174" s="34">
        <f>IF(AND(E1174=1,L1174=0),AJ1174,"")</f>
        <v>3.8</v>
      </c>
      <c r="AT1174" s="34" t="str">
        <f>IF(AND(E1174=1,L1174=1),AI1174,"")</f>
        <v/>
      </c>
      <c r="AU1174" s="34">
        <f>IF(AND(E1174=1,L1174=0),AI1174,"")</f>
        <v>4</v>
      </c>
      <c r="AV1174" s="34" t="str">
        <f>IF(AND(E1174=1,L1174=1),AG1174,"")</f>
        <v/>
      </c>
      <c r="AW1174" s="34">
        <f>IF(AND(E1174=1,L1174=0),AG1174,"")</f>
        <v>10.3</v>
      </c>
      <c r="AX1174" s="34" t="str">
        <f>IF(AND(E1174=1,L1174=1),AH1174,"")</f>
        <v/>
      </c>
      <c r="AY1174" s="34">
        <f>IF(AND(E1174=1,L1174=0),AH1174,"")</f>
        <v>9.4</v>
      </c>
      <c r="AZ1174" s="34" t="str">
        <f>IF(G1174=1,F1174,"")</f>
        <v/>
      </c>
      <c r="BA1174" s="34" t="str">
        <f>IF(AND(G1174=1,L1174=1),F1174,"")</f>
        <v/>
      </c>
      <c r="BB1174" s="34" t="str">
        <f>IF(AND(G1174=1,L1174=0),F1174,"")</f>
        <v/>
      </c>
      <c r="BC1174" s="33">
        <f>IF(E1174=1,IF(Orders!R1171&gt;3,1,0),"")</f>
        <v>0</v>
      </c>
      <c r="BD1174" s="33">
        <f>IF(E1174=1,IF(Orders!R1171&gt;7,1,0),"")</f>
        <v>0</v>
      </c>
      <c r="BE1174" s="32" t="str">
        <f>IF(E1174=1,IF(Orders!L1171&lt;=1.5,"Up to 1.5 km",IF(Orders!L1171&lt;=3,"1.5–3 km","Over 3 km")),"")</f>
        <v>Up to 1.5 km</v>
      </c>
      <c r="BF1174" s="33">
        <f>IF(E1174=1,IF(ABS((Orders!G1171-Orders!F1171)*1440-Orders!R1171)&lt;0.06,1,0),"")</f>
        <v>1</v>
      </c>
      <c r="BG1174" s="33">
        <f>IF(ABS((Orders!F1171-Orders!E1171)*1440-Orders!P1171)&lt;0.06,1,0)</f>
        <v>1</v>
      </c>
      <c r="BH1174" s="33">
        <f>IF(E1174=1,IF(IF(Orders!S1171,1,0)=1-G1174,1,0),"")</f>
        <v>1</v>
      </c>
      <c r="BI1174" s="32" t="str">
        <f>INDEX(Stores!$B$2:$B$21,MATCH(B1174,Stores!$A$2:$A$21,0))</f>
        <v>Pune</v>
      </c>
    </row>
    <row r="1175">
      <c r="A1175" s="32" t="str">
        <f>Orders!A1172</f>
        <v>O01171</v>
      </c>
      <c r="B1175" s="32" t="str">
        <f>Orders!C1172</f>
        <v>S020</v>
      </c>
      <c r="C1175" s="32" t="str">
        <f>Orders!B1172</f>
        <v>C0156</v>
      </c>
      <c r="D1175" s="32" t="str">
        <f>Orders!H1172</f>
        <v>Delivered</v>
      </c>
      <c r="E1175" s="33">
        <f>IF(Orders!H1172="Delivered",1,0)</f>
        <v>1</v>
      </c>
      <c r="F1175" s="34">
        <f>IF(E1175=1,Orders!R1172,"")</f>
        <v>-0.7</v>
      </c>
      <c r="G1175" s="33">
        <f>IF(E1175=1,IF(Orders!R1172&gt;0,1,0),"")</f>
        <v>0</v>
      </c>
      <c r="H1175" s="33">
        <f>IF(E1175=1,IF(Orders!R1172&gt;5,1,0),"")</f>
        <v>0</v>
      </c>
      <c r="I1175" s="32" t="str">
        <f>IF(E1175=1,"",IF(OR(Orders!T1172="Rider unavailable",Orders!T1172="Item unavailable"),"Company-caused","Unresolved"))</f>
        <v/>
      </c>
      <c r="J1175" s="33">
        <f>IF(OR(E1175=1,I1175="Company-caused"),1,0)</f>
        <v>1</v>
      </c>
      <c r="K1175" s="32" t="str">
        <f>IF(E1175=0,IF(I1175="Company-caused",IF(Orders!T1172="Rider unavailable","C1 Rider unavailable","C2 Item unavailable"),"Outside root: unresolved"),IF(G1175=0,"A On time",IF(H1175=1,IF(L1175=1,"B2a Severe, peak","B2b Severe, off-peak"),IF(L1175=1,"B1a Slight, peak","B1b Slight, off-peak"))))</f>
        <v>A On time</v>
      </c>
      <c r="L1175" s="33">
        <f>IF(AND(Orders!U1172&gt;=19,Orders!U1172&lt;22),1,0)</f>
        <v>1</v>
      </c>
      <c r="M1175" s="33">
        <f>IF(L1175=IF(Orders!V1172,1,0),1,0)</f>
        <v>1</v>
      </c>
      <c r="N1175" s="32" t="str">
        <f>IF(Orders!W1172="","None",Orders!W1172)</f>
        <v>None</v>
      </c>
      <c r="O1175" s="35">
        <f>INT(Orders!E1172)</f>
        <v>46278.0</v>
      </c>
      <c r="P1175" s="33">
        <f>Orders!U1172</f>
        <v>21</v>
      </c>
      <c r="Q1175" s="33">
        <f>COUNTIFS(Demand!$A$2:$A$4481,B1175,Demand!$B$2:$B$4481,O1175,Demand!$C$2:$C$4481,P1175)</f>
        <v>1</v>
      </c>
      <c r="R1175" s="33">
        <f>IF(Q1175=1,SUMIFS(Demand!$E$2:$E$4481,Demand!$A$2:$A$4481,B1175,Demand!$B$2:$B$4481,O1175,Demand!$C$2:$C$4481,P1175),"")</f>
        <v>19</v>
      </c>
      <c r="S1175" s="33">
        <f>INDEX(Stores!$G$2:$G$21,MATCH(B1175,Stores!$A$2:$A$21,0))</f>
        <v>15</v>
      </c>
      <c r="T1175" s="34">
        <f>IF(R1175="","",R1175/S1175)</f>
        <v>1.26666666666667</v>
      </c>
      <c r="U1175" s="34">
        <f>IF(E1175=1,T1175,"")</f>
        <v>1.26666666666667</v>
      </c>
      <c r="V1175" s="34" t="str">
        <f>IF(AND(E1175=1,L1175=0),T1175,"")</f>
        <v/>
      </c>
      <c r="W1175" s="33">
        <f>IF(U1175="","",IF(U1175&lt;=Breakdowns!$C$5,1,IF(U1175&lt;=Breakdowns!$C$6,2,IF(U1175&lt;=Breakdowns!$C$7,3,4))))</f>
        <v>4</v>
      </c>
      <c r="X1175" s="33" t="str">
        <f>IF(V1175="","",IF(V1175&lt;=Breakdowns!$D$5,1,IF(V1175&lt;=Breakdowns!$D$6,2,IF(V1175&lt;=Breakdowns!$D$7,3,4))))</f>
        <v/>
      </c>
      <c r="Y1175" s="34">
        <f>INDEX(Stores!$F$2:$F$21,MATCH(B1175,Stores!$A$2:$A$21,0))</f>
        <v>5.74</v>
      </c>
      <c r="Z1175" s="33">
        <f>IF(Y1175&gt;Store_Summary!$M$2,1,0)</f>
        <v>1</v>
      </c>
      <c r="AA1175" s="33">
        <f>INDEX(Stores!$C$2:$C$21,MATCH(B1175,Stores!$A$2:$A$21,0))</f>
        <v>647</v>
      </c>
      <c r="AB1175" s="33">
        <f>IF(AA1175&lt;180,1,0)</f>
        <v>0</v>
      </c>
      <c r="AC1175" s="32" t="str">
        <f>IF(Orders!D1172="","",INDEX(Riders!$C$2:$C$81,MATCH(Orders!D1172,Riders!$A$2:$A$81,0)))</f>
        <v>EV scooter</v>
      </c>
      <c r="AD1175" s="33">
        <f>IF(Orders!D1172="","",INDEX(Riders!$D$2:$D$81,MATCH(Orders!D1172,Riders!$A$2:$A$81,0)))</f>
        <v>44</v>
      </c>
      <c r="AE1175" s="33">
        <f>IF(Orders!D1172="","",IF(INDEX(Riders!$B$2:$B$81,MATCH(Orders!D1172,Riders!$A$2:$A$81,0))=B1175,1,0))</f>
        <v>0</v>
      </c>
      <c r="AF1175" s="34">
        <f>IF(E1175=1,Orders!L1172,"")</f>
        <v>1.16</v>
      </c>
      <c r="AG1175" s="34">
        <f>IF(E1175=1,Orders!P1172,"")</f>
        <v>11.5</v>
      </c>
      <c r="AH1175" s="34">
        <f>IF(E1175=1,Orders!Q1172,"")</f>
        <v>10.8</v>
      </c>
      <c r="AI1175" s="34">
        <f>IF(E1175=1,Orders!M1172,"")</f>
        <v>4.1</v>
      </c>
      <c r="AJ1175" s="34">
        <f>IF(E1175=1,Orders!N1172,"")</f>
        <v>3.9</v>
      </c>
      <c r="AK1175" s="34">
        <f>IF(E1175=1,Orders!O1172,"")</f>
        <v>2.8</v>
      </c>
      <c r="AL1175" s="33">
        <f>IF(E1175=1,IF(ROUND(ABS(AI1175+AJ1175+AK1175-AH1175),6)&lt;=0.1,1,0),"")</f>
        <v>1</v>
      </c>
      <c r="AM1175" s="36">
        <f>IF(E1175=1,AI1175/AH1175,"")</f>
        <v>0.37962962962963</v>
      </c>
      <c r="AN1175" s="36">
        <f>IF(E1175=1,AJ1175/AH1175,"")</f>
        <v>0.361111111111111</v>
      </c>
      <c r="AO1175" s="36">
        <f>IF(E1175=1,AK1175/AH1175,"")</f>
        <v>0.259259259259259</v>
      </c>
      <c r="AP1175" s="34">
        <f>IF(E1175=1,Orders!Y1172,"")</f>
        <v>0.66</v>
      </c>
      <c r="AQ1175" s="33">
        <f>IF(Orders!X1172,1,0)</f>
        <v>0</v>
      </c>
      <c r="AR1175" s="34">
        <f>IF(AND(E1175=1,L1175=1),AJ1175,"")</f>
        <v>3.9</v>
      </c>
      <c r="AS1175" s="34" t="str">
        <f>IF(AND(E1175=1,L1175=0),AJ1175,"")</f>
        <v/>
      </c>
      <c r="AT1175" s="34">
        <f>IF(AND(E1175=1,L1175=1),AI1175,"")</f>
        <v>4.1</v>
      </c>
      <c r="AU1175" s="34" t="str">
        <f>IF(AND(E1175=1,L1175=0),AI1175,"")</f>
        <v/>
      </c>
      <c r="AV1175" s="34">
        <f>IF(AND(E1175=1,L1175=1),AG1175,"")</f>
        <v>11.5</v>
      </c>
      <c r="AW1175" s="34" t="str">
        <f>IF(AND(E1175=1,L1175=0),AG1175,"")</f>
        <v/>
      </c>
      <c r="AX1175" s="34">
        <f>IF(AND(E1175=1,L1175=1),AH1175,"")</f>
        <v>10.8</v>
      </c>
      <c r="AY1175" s="34" t="str">
        <f>IF(AND(E1175=1,L1175=0),AH1175,"")</f>
        <v/>
      </c>
      <c r="AZ1175" s="34" t="str">
        <f>IF(G1175=1,F1175,"")</f>
        <v/>
      </c>
      <c r="BA1175" s="34" t="str">
        <f>IF(AND(G1175=1,L1175=1),F1175,"")</f>
        <v/>
      </c>
      <c r="BB1175" s="34" t="str">
        <f>IF(AND(G1175=1,L1175=0),F1175,"")</f>
        <v/>
      </c>
      <c r="BC1175" s="33">
        <f>IF(E1175=1,IF(Orders!R1172&gt;3,1,0),"")</f>
        <v>0</v>
      </c>
      <c r="BD1175" s="33">
        <f>IF(E1175=1,IF(Orders!R1172&gt;7,1,0),"")</f>
        <v>0</v>
      </c>
      <c r="BE1175" s="32" t="str">
        <f>IF(E1175=1,IF(Orders!L1172&lt;=1.5,"Up to 1.5 km",IF(Orders!L1172&lt;=3,"1.5–3 km","Over 3 km")),"")</f>
        <v>Up to 1.5 km</v>
      </c>
      <c r="BF1175" s="33">
        <f>IF(E1175=1,IF(ABS((Orders!G1172-Orders!F1172)*1440-Orders!R1172)&lt;0.06,1,0),"")</f>
        <v>1</v>
      </c>
      <c r="BG1175" s="33">
        <f>IF(ABS((Orders!F1172-Orders!E1172)*1440-Orders!P1172)&lt;0.06,1,0)</f>
        <v>1</v>
      </c>
      <c r="BH1175" s="33">
        <f>IF(E1175=1,IF(IF(Orders!S1172,1,0)=1-G1175,1,0),"")</f>
        <v>1</v>
      </c>
      <c r="BI1175" s="32" t="str">
        <f>INDEX(Stores!$B$2:$B$21,MATCH(B1175,Stores!$A$2:$A$21,0))</f>
        <v>Delhi</v>
      </c>
    </row>
    <row r="1176">
      <c r="A1176" s="32" t="str">
        <f>Orders!A1173</f>
        <v>O01172</v>
      </c>
      <c r="B1176" s="32" t="str">
        <f>Orders!C1173</f>
        <v>S001</v>
      </c>
      <c r="C1176" s="32" t="str">
        <f>Orders!B1173</f>
        <v>C0050</v>
      </c>
      <c r="D1176" s="32" t="str">
        <f>Orders!H1173</f>
        <v>Delivered</v>
      </c>
      <c r="E1176" s="33">
        <f>IF(Orders!H1173="Delivered",1,0)</f>
        <v>1</v>
      </c>
      <c r="F1176" s="34">
        <f>IF(E1176=1,Orders!R1173,"")</f>
        <v>-1.2</v>
      </c>
      <c r="G1176" s="33">
        <f>IF(E1176=1,IF(Orders!R1173&gt;0,1,0),"")</f>
        <v>0</v>
      </c>
      <c r="H1176" s="33">
        <f>IF(E1176=1,IF(Orders!R1173&gt;5,1,0),"")</f>
        <v>0</v>
      </c>
      <c r="I1176" s="32" t="str">
        <f>IF(E1176=1,"",IF(OR(Orders!T1173="Rider unavailable",Orders!T1173="Item unavailable"),"Company-caused","Unresolved"))</f>
        <v/>
      </c>
      <c r="J1176" s="33">
        <f>IF(OR(E1176=1,I1176="Company-caused"),1,0)</f>
        <v>1</v>
      </c>
      <c r="K1176" s="32" t="str">
        <f>IF(E1176=0,IF(I1176="Company-caused",IF(Orders!T1173="Rider unavailable","C1 Rider unavailable","C2 Item unavailable"),"Outside root: unresolved"),IF(G1176=0,"A On time",IF(H1176=1,IF(L1176=1,"B2a Severe, peak","B2b Severe, off-peak"),IF(L1176=1,"B1a Slight, peak","B1b Slight, off-peak"))))</f>
        <v>A On time</v>
      </c>
      <c r="L1176" s="33">
        <f>IF(AND(Orders!U1173&gt;=19,Orders!U1173&lt;22),1,0)</f>
        <v>0</v>
      </c>
      <c r="M1176" s="33">
        <f>IF(L1176=IF(Orders!V1173,1,0),1,0)</f>
        <v>1</v>
      </c>
      <c r="N1176" s="32" t="str">
        <f>IF(Orders!W1173="","None",Orders!W1173)</f>
        <v>None</v>
      </c>
      <c r="O1176" s="35">
        <f>INT(Orders!E1173)</f>
        <v>46279.0</v>
      </c>
      <c r="P1176" s="33">
        <f>Orders!U1173</f>
        <v>15</v>
      </c>
      <c r="Q1176" s="33">
        <f>COUNTIFS(Demand!$A$2:$A$4481,B1176,Demand!$B$2:$B$4481,O1176,Demand!$C$2:$C$4481,P1176)</f>
        <v>1</v>
      </c>
      <c r="R1176" s="33">
        <f>IF(Q1176=1,SUMIFS(Demand!$E$2:$E$4481,Demand!$A$2:$A$4481,B1176,Demand!$B$2:$B$4481,O1176,Demand!$C$2:$C$4481,P1176),"")</f>
        <v>11</v>
      </c>
      <c r="S1176" s="33">
        <f>INDEX(Stores!$G$2:$G$21,MATCH(B1176,Stores!$A$2:$A$21,0))</f>
        <v>16</v>
      </c>
      <c r="T1176" s="34">
        <f>IF(R1176="","",R1176/S1176)</f>
        <v>0.6875</v>
      </c>
      <c r="U1176" s="34">
        <f>IF(E1176=1,T1176,"")</f>
        <v>0.6875</v>
      </c>
      <c r="V1176" s="34">
        <f>IF(AND(E1176=1,L1176=0),T1176,"")</f>
        <v>0.6875</v>
      </c>
      <c r="W1176" s="33">
        <f>IF(U1176="","",IF(U1176&lt;=Breakdowns!$C$5,1,IF(U1176&lt;=Breakdowns!$C$6,2,IF(U1176&lt;=Breakdowns!$C$7,3,4))))</f>
        <v>1</v>
      </c>
      <c r="X1176" s="33">
        <f>IF(V1176="","",IF(V1176&lt;=Breakdowns!$D$5,1,IF(V1176&lt;=Breakdowns!$D$6,2,IF(V1176&lt;=Breakdowns!$D$7,3,4))))</f>
        <v>1</v>
      </c>
      <c r="Y1176" s="34">
        <f>INDEX(Stores!$F$2:$F$21,MATCH(B1176,Stores!$A$2:$A$21,0))</f>
        <v>4.59</v>
      </c>
      <c r="Z1176" s="33">
        <f>IF(Y1176&gt;Store_Summary!$M$2,1,0)</f>
        <v>0</v>
      </c>
      <c r="AA1176" s="33">
        <f>INDEX(Stores!$C$2:$C$21,MATCH(B1176,Stores!$A$2:$A$21,0))</f>
        <v>362</v>
      </c>
      <c r="AB1176" s="33">
        <f>IF(AA1176&lt;180,1,0)</f>
        <v>0</v>
      </c>
      <c r="AC1176" s="32" t="str">
        <f>IF(Orders!D1173="","",INDEX(Riders!$C$2:$C$81,MATCH(Orders!D1173,Riders!$A$2:$A$81,0)))</f>
        <v>Petrol scooter</v>
      </c>
      <c r="AD1176" s="33">
        <f>IF(Orders!D1173="","",INDEX(Riders!$D$2:$D$81,MATCH(Orders!D1173,Riders!$A$2:$A$81,0)))</f>
        <v>48</v>
      </c>
      <c r="AE1176" s="33">
        <f>IF(Orders!D1173="","",IF(INDEX(Riders!$B$2:$B$81,MATCH(Orders!D1173,Riders!$A$2:$A$81,0))=B1176,1,0))</f>
        <v>1</v>
      </c>
      <c r="AF1176" s="34">
        <f>IF(E1176=1,Orders!L1173,"")</f>
        <v>2.12</v>
      </c>
      <c r="AG1176" s="34">
        <f>IF(E1176=1,Orders!P1173,"")</f>
        <v>11.3</v>
      </c>
      <c r="AH1176" s="34">
        <f>IF(E1176=1,Orders!Q1173,"")</f>
        <v>10.1</v>
      </c>
      <c r="AI1176" s="34">
        <f>IF(E1176=1,Orders!M1173,"")</f>
        <v>2.9</v>
      </c>
      <c r="AJ1176" s="34">
        <f>IF(E1176=1,Orders!N1173,"")</f>
        <v>3.5</v>
      </c>
      <c r="AK1176" s="34">
        <f>IF(E1176=1,Orders!O1173,"")</f>
        <v>3.7</v>
      </c>
      <c r="AL1176" s="33">
        <f>IF(E1176=1,IF(ROUND(ABS(AI1176+AJ1176+AK1176-AH1176),6)&lt;=0.1,1,0),"")</f>
        <v>1</v>
      </c>
      <c r="AM1176" s="36">
        <f>IF(E1176=1,AI1176/AH1176,"")</f>
        <v>0.287128712871287</v>
      </c>
      <c r="AN1176" s="36">
        <f>IF(E1176=1,AJ1176/AH1176,"")</f>
        <v>0.346534653465347</v>
      </c>
      <c r="AO1176" s="36">
        <f>IF(E1176=1,AK1176/AH1176,"")</f>
        <v>0.366336633663366</v>
      </c>
      <c r="AP1176" s="34">
        <f>IF(E1176=1,Orders!Y1173,"")</f>
        <v>0.32</v>
      </c>
      <c r="AQ1176" s="33">
        <f>IF(Orders!X1173,1,0)</f>
        <v>1</v>
      </c>
      <c r="AR1176" s="34" t="str">
        <f>IF(AND(E1176=1,L1176=1),AJ1176,"")</f>
        <v/>
      </c>
      <c r="AS1176" s="34">
        <f>IF(AND(E1176=1,L1176=0),AJ1176,"")</f>
        <v>3.5</v>
      </c>
      <c r="AT1176" s="34" t="str">
        <f>IF(AND(E1176=1,L1176=1),AI1176,"")</f>
        <v/>
      </c>
      <c r="AU1176" s="34">
        <f>IF(AND(E1176=1,L1176=0),AI1176,"")</f>
        <v>2.9</v>
      </c>
      <c r="AV1176" s="34" t="str">
        <f>IF(AND(E1176=1,L1176=1),AG1176,"")</f>
        <v/>
      </c>
      <c r="AW1176" s="34">
        <f>IF(AND(E1176=1,L1176=0),AG1176,"")</f>
        <v>11.3</v>
      </c>
      <c r="AX1176" s="34" t="str">
        <f>IF(AND(E1176=1,L1176=1),AH1176,"")</f>
        <v/>
      </c>
      <c r="AY1176" s="34">
        <f>IF(AND(E1176=1,L1176=0),AH1176,"")</f>
        <v>10.1</v>
      </c>
      <c r="AZ1176" s="34" t="str">
        <f>IF(G1176=1,F1176,"")</f>
        <v/>
      </c>
      <c r="BA1176" s="34" t="str">
        <f>IF(AND(G1176=1,L1176=1),F1176,"")</f>
        <v/>
      </c>
      <c r="BB1176" s="34" t="str">
        <f>IF(AND(G1176=1,L1176=0),F1176,"")</f>
        <v/>
      </c>
      <c r="BC1176" s="33">
        <f>IF(E1176=1,IF(Orders!R1173&gt;3,1,0),"")</f>
        <v>0</v>
      </c>
      <c r="BD1176" s="33">
        <f>IF(E1176=1,IF(Orders!R1173&gt;7,1,0),"")</f>
        <v>0</v>
      </c>
      <c r="BE1176" s="32" t="str">
        <f>IF(E1176=1,IF(Orders!L1173&lt;=1.5,"Up to 1.5 km",IF(Orders!L1173&lt;=3,"1.5–3 km","Over 3 km")),"")</f>
        <v>1.5–3 km</v>
      </c>
      <c r="BF1176" s="33">
        <f>IF(E1176=1,IF(ABS((Orders!G1173-Orders!F1173)*1440-Orders!R1173)&lt;0.06,1,0),"")</f>
        <v>1</v>
      </c>
      <c r="BG1176" s="33">
        <f>IF(ABS((Orders!F1173-Orders!E1173)*1440-Orders!P1173)&lt;0.06,1,0)</f>
        <v>1</v>
      </c>
      <c r="BH1176" s="33">
        <f>IF(E1176=1,IF(IF(Orders!S1173,1,0)=1-G1176,1,0),"")</f>
        <v>1</v>
      </c>
      <c r="BI1176" s="32" t="str">
        <f>INDEX(Stores!$B$2:$B$21,MATCH(B1176,Stores!$A$2:$A$21,0))</f>
        <v>Bengaluru</v>
      </c>
    </row>
    <row r="1177">
      <c r="A1177" s="32" t="str">
        <f>Orders!A1174</f>
        <v>O01173</v>
      </c>
      <c r="B1177" s="32" t="str">
        <f>Orders!C1174</f>
        <v>S019</v>
      </c>
      <c r="C1177" s="32" t="str">
        <f>Orders!B1174</f>
        <v>C0148</v>
      </c>
      <c r="D1177" s="32" t="str">
        <f>Orders!H1174</f>
        <v>Delivered</v>
      </c>
      <c r="E1177" s="33">
        <f>IF(Orders!H1174="Delivered",1,0)</f>
        <v>1</v>
      </c>
      <c r="F1177" s="34">
        <f>IF(E1177=1,Orders!R1174,"")</f>
        <v>-1.1</v>
      </c>
      <c r="G1177" s="33">
        <f>IF(E1177=1,IF(Orders!R1174&gt;0,1,0),"")</f>
        <v>0</v>
      </c>
      <c r="H1177" s="33">
        <f>IF(E1177=1,IF(Orders!R1174&gt;5,1,0),"")</f>
        <v>0</v>
      </c>
      <c r="I1177" s="32" t="str">
        <f>IF(E1177=1,"",IF(OR(Orders!T1174="Rider unavailable",Orders!T1174="Item unavailable"),"Company-caused","Unresolved"))</f>
        <v/>
      </c>
      <c r="J1177" s="33">
        <f>IF(OR(E1177=1,I1177="Company-caused"),1,0)</f>
        <v>1</v>
      </c>
      <c r="K1177" s="32" t="str">
        <f>IF(E1177=0,IF(I1177="Company-caused",IF(Orders!T1174="Rider unavailable","C1 Rider unavailable","C2 Item unavailable"),"Outside root: unresolved"),IF(G1177=0,"A On time",IF(H1177=1,IF(L1177=1,"B2a Severe, peak","B2b Severe, off-peak"),IF(L1177=1,"B1a Slight, peak","B1b Slight, off-peak"))))</f>
        <v>A On time</v>
      </c>
      <c r="L1177" s="33">
        <f>IF(AND(Orders!U1174&gt;=19,Orders!U1174&lt;22),1,0)</f>
        <v>0</v>
      </c>
      <c r="M1177" s="33">
        <f>IF(L1177=IF(Orders!V1174,1,0),1,0)</f>
        <v>1</v>
      </c>
      <c r="N1177" s="32" t="str">
        <f>IF(Orders!W1174="","None",Orders!W1174)</f>
        <v>None</v>
      </c>
      <c r="O1177" s="35">
        <f>INT(Orders!E1174)</f>
        <v>46268.0</v>
      </c>
      <c r="P1177" s="33">
        <f>Orders!U1174</f>
        <v>18</v>
      </c>
      <c r="Q1177" s="33">
        <f>COUNTIFS(Demand!$A$2:$A$4481,B1177,Demand!$B$2:$B$4481,O1177,Demand!$C$2:$C$4481,P1177)</f>
        <v>1</v>
      </c>
      <c r="R1177" s="33">
        <f>IF(Q1177=1,SUMIFS(Demand!$E$2:$E$4481,Demand!$A$2:$A$4481,B1177,Demand!$B$2:$B$4481,O1177,Demand!$C$2:$C$4481,P1177),"")</f>
        <v>28</v>
      </c>
      <c r="S1177" s="33">
        <f>INDEX(Stores!$G$2:$G$21,MATCH(B1177,Stores!$A$2:$A$21,0))</f>
        <v>22</v>
      </c>
      <c r="T1177" s="34">
        <f>IF(R1177="","",R1177/S1177)</f>
        <v>1.27272727272727</v>
      </c>
      <c r="U1177" s="34">
        <f>IF(E1177=1,T1177,"")</f>
        <v>1.27272727272727</v>
      </c>
      <c r="V1177" s="34">
        <f>IF(AND(E1177=1,L1177=0),T1177,"")</f>
        <v>1.27272727272727</v>
      </c>
      <c r="W1177" s="33">
        <f>IF(U1177="","",IF(U1177&lt;=Breakdowns!$C$5,1,IF(U1177&lt;=Breakdowns!$C$6,2,IF(U1177&lt;=Breakdowns!$C$7,3,4))))</f>
        <v>4</v>
      </c>
      <c r="X1177" s="33">
        <f>IF(V1177="","",IF(V1177&lt;=Breakdowns!$D$5,1,IF(V1177&lt;=Breakdowns!$D$6,2,IF(V1177&lt;=Breakdowns!$D$7,3,4))))</f>
        <v>4</v>
      </c>
      <c r="Y1177" s="34">
        <f>INDEX(Stores!$F$2:$F$21,MATCH(B1177,Stores!$A$2:$A$21,0))</f>
        <v>4.99</v>
      </c>
      <c r="Z1177" s="33">
        <f>IF(Y1177&gt;Store_Summary!$M$2,1,0)</f>
        <v>1</v>
      </c>
      <c r="AA1177" s="33">
        <f>INDEX(Stores!$C$2:$C$21,MATCH(B1177,Stores!$A$2:$A$21,0))</f>
        <v>851</v>
      </c>
      <c r="AB1177" s="33">
        <f>IF(AA1177&lt;180,1,0)</f>
        <v>0</v>
      </c>
      <c r="AC1177" s="32" t="str">
        <f>IF(Orders!D1174="","",INDEX(Riders!$C$2:$C$81,MATCH(Orders!D1174,Riders!$A$2:$A$81,0)))</f>
        <v>Petrol scooter</v>
      </c>
      <c r="AD1177" s="33">
        <f>IF(Orders!D1174="","",INDEX(Riders!$D$2:$D$81,MATCH(Orders!D1174,Riders!$A$2:$A$81,0)))</f>
        <v>15</v>
      </c>
      <c r="AE1177" s="33">
        <f>IF(Orders!D1174="","",IF(INDEX(Riders!$B$2:$B$81,MATCH(Orders!D1174,Riders!$A$2:$A$81,0))=B1177,1,0))</f>
        <v>0</v>
      </c>
      <c r="AF1177" s="34">
        <f>IF(E1177=1,Orders!L1174,"")</f>
        <v>2.5</v>
      </c>
      <c r="AG1177" s="34">
        <f>IF(E1177=1,Orders!P1174,"")</f>
        <v>9.9</v>
      </c>
      <c r="AH1177" s="34">
        <f>IF(E1177=1,Orders!Q1174,"")</f>
        <v>8.8</v>
      </c>
      <c r="AI1177" s="34">
        <f>IF(E1177=1,Orders!M1174,"")</f>
        <v>2.3</v>
      </c>
      <c r="AJ1177" s="34">
        <f>IF(E1177=1,Orders!N1174,"")</f>
        <v>3</v>
      </c>
      <c r="AK1177" s="34">
        <f>IF(E1177=1,Orders!O1174,"")</f>
        <v>3.5</v>
      </c>
      <c r="AL1177" s="33">
        <f>IF(E1177=1,IF(ROUND(ABS(AI1177+AJ1177+AK1177-AH1177),6)&lt;=0.1,1,0),"")</f>
        <v>1</v>
      </c>
      <c r="AM1177" s="36">
        <f>IF(E1177=1,AI1177/AH1177,"")</f>
        <v>0.261363636363636</v>
      </c>
      <c r="AN1177" s="36">
        <f>IF(E1177=1,AJ1177/AH1177,"")</f>
        <v>0.340909090909091</v>
      </c>
      <c r="AO1177" s="36">
        <f>IF(E1177=1,AK1177/AH1177,"")</f>
        <v>0.397727272727273</v>
      </c>
      <c r="AP1177" s="34">
        <f>IF(E1177=1,Orders!Y1174,"")</f>
        <v>0.86</v>
      </c>
      <c r="AQ1177" s="33">
        <f>IF(Orders!X1174,1,0)</f>
        <v>0</v>
      </c>
      <c r="AR1177" s="34" t="str">
        <f>IF(AND(E1177=1,L1177=1),AJ1177,"")</f>
        <v/>
      </c>
      <c r="AS1177" s="34">
        <f>IF(AND(E1177=1,L1177=0),AJ1177,"")</f>
        <v>3</v>
      </c>
      <c r="AT1177" s="34" t="str">
        <f>IF(AND(E1177=1,L1177=1),AI1177,"")</f>
        <v/>
      </c>
      <c r="AU1177" s="34">
        <f>IF(AND(E1177=1,L1177=0),AI1177,"")</f>
        <v>2.3</v>
      </c>
      <c r="AV1177" s="34" t="str">
        <f>IF(AND(E1177=1,L1177=1),AG1177,"")</f>
        <v/>
      </c>
      <c r="AW1177" s="34">
        <f>IF(AND(E1177=1,L1177=0),AG1177,"")</f>
        <v>9.9</v>
      </c>
      <c r="AX1177" s="34" t="str">
        <f>IF(AND(E1177=1,L1177=1),AH1177,"")</f>
        <v/>
      </c>
      <c r="AY1177" s="34">
        <f>IF(AND(E1177=1,L1177=0),AH1177,"")</f>
        <v>8.8</v>
      </c>
      <c r="AZ1177" s="34" t="str">
        <f>IF(G1177=1,F1177,"")</f>
        <v/>
      </c>
      <c r="BA1177" s="34" t="str">
        <f>IF(AND(G1177=1,L1177=1),F1177,"")</f>
        <v/>
      </c>
      <c r="BB1177" s="34" t="str">
        <f>IF(AND(G1177=1,L1177=0),F1177,"")</f>
        <v/>
      </c>
      <c r="BC1177" s="33">
        <f>IF(E1177=1,IF(Orders!R1174&gt;3,1,0),"")</f>
        <v>0</v>
      </c>
      <c r="BD1177" s="33">
        <f>IF(E1177=1,IF(Orders!R1174&gt;7,1,0),"")</f>
        <v>0</v>
      </c>
      <c r="BE1177" s="32" t="str">
        <f>IF(E1177=1,IF(Orders!L1174&lt;=1.5,"Up to 1.5 km",IF(Orders!L1174&lt;=3,"1.5–3 km","Over 3 km")),"")</f>
        <v>1.5–3 km</v>
      </c>
      <c r="BF1177" s="33">
        <f>IF(E1177=1,IF(ABS((Orders!G1174-Orders!F1174)*1440-Orders!R1174)&lt;0.06,1,0),"")</f>
        <v>1</v>
      </c>
      <c r="BG1177" s="33">
        <f>IF(ABS((Orders!F1174-Orders!E1174)*1440-Orders!P1174)&lt;0.06,1,0)</f>
        <v>1</v>
      </c>
      <c r="BH1177" s="33">
        <f>IF(E1177=1,IF(IF(Orders!S1174,1,0)=1-G1177,1,0),"")</f>
        <v>1</v>
      </c>
      <c r="BI1177" s="32" t="str">
        <f>INDEX(Stores!$B$2:$B$21,MATCH(B1177,Stores!$A$2:$A$21,0))</f>
        <v>Pune</v>
      </c>
    </row>
    <row r="1178">
      <c r="A1178" s="32" t="str">
        <f>Orders!A1175</f>
        <v>O01174</v>
      </c>
      <c r="B1178" s="32" t="str">
        <f>Orders!C1175</f>
        <v>S017</v>
      </c>
      <c r="C1178" s="32" t="str">
        <f>Orders!B1175</f>
        <v>C0248</v>
      </c>
      <c r="D1178" s="32" t="str">
        <f>Orders!H1175</f>
        <v>Delivered</v>
      </c>
      <c r="E1178" s="33">
        <f>IF(Orders!H1175="Delivered",1,0)</f>
        <v>1</v>
      </c>
      <c r="F1178" s="34">
        <f>IF(E1178=1,Orders!R1175,"")</f>
        <v>-1.7</v>
      </c>
      <c r="G1178" s="33">
        <f>IF(E1178=1,IF(Orders!R1175&gt;0,1,0),"")</f>
        <v>0</v>
      </c>
      <c r="H1178" s="33">
        <f>IF(E1178=1,IF(Orders!R1175&gt;5,1,0),"")</f>
        <v>0</v>
      </c>
      <c r="I1178" s="32" t="str">
        <f>IF(E1178=1,"",IF(OR(Orders!T1175="Rider unavailable",Orders!T1175="Item unavailable"),"Company-caused","Unresolved"))</f>
        <v/>
      </c>
      <c r="J1178" s="33">
        <f>IF(OR(E1178=1,I1178="Company-caused"),1,0)</f>
        <v>1</v>
      </c>
      <c r="K1178" s="32" t="str">
        <f>IF(E1178=0,IF(I1178="Company-caused",IF(Orders!T1175="Rider unavailable","C1 Rider unavailable","C2 Item unavailable"),"Outside root: unresolved"),IF(G1178=0,"A On time",IF(H1178=1,IF(L1178=1,"B2a Severe, peak","B2b Severe, off-peak"),IF(L1178=1,"B1a Slight, peak","B1b Slight, off-peak"))))</f>
        <v>A On time</v>
      </c>
      <c r="L1178" s="33">
        <f>IF(AND(Orders!U1175&gt;=19,Orders!U1175&lt;22),1,0)</f>
        <v>0</v>
      </c>
      <c r="M1178" s="33">
        <f>IF(L1178=IF(Orders!V1175,1,0),1,0)</f>
        <v>1</v>
      </c>
      <c r="N1178" s="32" t="str">
        <f>IF(Orders!W1175="","None",Orders!W1175)</f>
        <v>None</v>
      </c>
      <c r="O1178" s="35">
        <f>INT(Orders!E1175)</f>
        <v>46276.0</v>
      </c>
      <c r="P1178" s="33">
        <f>Orders!U1175</f>
        <v>22</v>
      </c>
      <c r="Q1178" s="33">
        <f>COUNTIFS(Demand!$A$2:$A$4481,B1178,Demand!$B$2:$B$4481,O1178,Demand!$C$2:$C$4481,P1178)</f>
        <v>1</v>
      </c>
      <c r="R1178" s="33">
        <f>IF(Q1178=1,SUMIFS(Demand!$E$2:$E$4481,Demand!$A$2:$A$4481,B1178,Demand!$B$2:$B$4481,O1178,Demand!$C$2:$C$4481,P1178),"")</f>
        <v>35</v>
      </c>
      <c r="S1178" s="33">
        <f>INDEX(Stores!$G$2:$G$21,MATCH(B1178,Stores!$A$2:$A$21,0))</f>
        <v>36</v>
      </c>
      <c r="T1178" s="34">
        <f>IF(R1178="","",R1178/S1178)</f>
        <v>0.972222222222222</v>
      </c>
      <c r="U1178" s="34">
        <f>IF(E1178=1,T1178,"")</f>
        <v>0.972222222222222</v>
      </c>
      <c r="V1178" s="34">
        <f>IF(AND(E1178=1,L1178=0),T1178,"")</f>
        <v>0.972222222222222</v>
      </c>
      <c r="W1178" s="33">
        <f>IF(U1178="","",IF(U1178&lt;=Breakdowns!$C$5,1,IF(U1178&lt;=Breakdowns!$C$6,2,IF(U1178&lt;=Breakdowns!$C$7,3,4))))</f>
        <v>2</v>
      </c>
      <c r="X1178" s="33">
        <f>IF(V1178="","",IF(V1178&lt;=Breakdowns!$D$5,1,IF(V1178&lt;=Breakdowns!$D$6,2,IF(V1178&lt;=Breakdowns!$D$7,3,4))))</f>
        <v>3</v>
      </c>
      <c r="Y1178" s="34">
        <f>INDEX(Stores!$F$2:$F$21,MATCH(B1178,Stores!$A$2:$A$21,0))</f>
        <v>2.16</v>
      </c>
      <c r="Z1178" s="33">
        <f>IF(Y1178&gt;Store_Summary!$M$2,1,0)</f>
        <v>0</v>
      </c>
      <c r="AA1178" s="33">
        <f>INDEX(Stores!$C$2:$C$21,MATCH(B1178,Stores!$A$2:$A$21,0))</f>
        <v>47</v>
      </c>
      <c r="AB1178" s="33">
        <f>IF(AA1178&lt;180,1,0)</f>
        <v>1</v>
      </c>
      <c r="AC1178" s="32" t="str">
        <f>IF(Orders!D1175="","",INDEX(Riders!$C$2:$C$81,MATCH(Orders!D1175,Riders!$A$2:$A$81,0)))</f>
        <v>EV scooter</v>
      </c>
      <c r="AD1178" s="33">
        <f>IF(Orders!D1175="","",INDEX(Riders!$D$2:$D$81,MATCH(Orders!D1175,Riders!$A$2:$A$81,0)))</f>
        <v>27</v>
      </c>
      <c r="AE1178" s="33">
        <f>IF(Orders!D1175="","",IF(INDEX(Riders!$B$2:$B$81,MATCH(Orders!D1175,Riders!$A$2:$A$81,0))=B1178,1,0))</f>
        <v>0</v>
      </c>
      <c r="AF1178" s="34">
        <f>IF(E1178=1,Orders!L1175,"")</f>
        <v>0.63</v>
      </c>
      <c r="AG1178" s="34">
        <f>IF(E1178=1,Orders!P1175,"")</f>
        <v>12.2</v>
      </c>
      <c r="AH1178" s="34">
        <f>IF(E1178=1,Orders!Q1175,"")</f>
        <v>10.5</v>
      </c>
      <c r="AI1178" s="34">
        <f>IF(E1178=1,Orders!M1175,"")</f>
        <v>1.9</v>
      </c>
      <c r="AJ1178" s="34">
        <f>IF(E1178=1,Orders!N1175,"")</f>
        <v>6.4</v>
      </c>
      <c r="AK1178" s="34">
        <f>IF(E1178=1,Orders!O1175,"")</f>
        <v>2.2</v>
      </c>
      <c r="AL1178" s="33">
        <f>IF(E1178=1,IF(ROUND(ABS(AI1178+AJ1178+AK1178-AH1178),6)&lt;=0.1,1,0),"")</f>
        <v>1</v>
      </c>
      <c r="AM1178" s="36">
        <f>IF(E1178=1,AI1178/AH1178,"")</f>
        <v>0.180952380952381</v>
      </c>
      <c r="AN1178" s="36">
        <f>IF(E1178=1,AJ1178/AH1178,"")</f>
        <v>0.60952380952381</v>
      </c>
      <c r="AO1178" s="36">
        <f>IF(E1178=1,AK1178/AH1178,"")</f>
        <v>0.20952380952381</v>
      </c>
      <c r="AP1178" s="34">
        <f>IF(E1178=1,Orders!Y1175,"")</f>
        <v>0.3</v>
      </c>
      <c r="AQ1178" s="33">
        <f>IF(Orders!X1175,1,0)</f>
        <v>0</v>
      </c>
      <c r="AR1178" s="34" t="str">
        <f>IF(AND(E1178=1,L1178=1),AJ1178,"")</f>
        <v/>
      </c>
      <c r="AS1178" s="34">
        <f>IF(AND(E1178=1,L1178=0),AJ1178,"")</f>
        <v>6.4</v>
      </c>
      <c r="AT1178" s="34" t="str">
        <f>IF(AND(E1178=1,L1178=1),AI1178,"")</f>
        <v/>
      </c>
      <c r="AU1178" s="34">
        <f>IF(AND(E1178=1,L1178=0),AI1178,"")</f>
        <v>1.9</v>
      </c>
      <c r="AV1178" s="34" t="str">
        <f>IF(AND(E1178=1,L1178=1),AG1178,"")</f>
        <v/>
      </c>
      <c r="AW1178" s="34">
        <f>IF(AND(E1178=1,L1178=0),AG1178,"")</f>
        <v>12.2</v>
      </c>
      <c r="AX1178" s="34" t="str">
        <f>IF(AND(E1178=1,L1178=1),AH1178,"")</f>
        <v/>
      </c>
      <c r="AY1178" s="34">
        <f>IF(AND(E1178=1,L1178=0),AH1178,"")</f>
        <v>10.5</v>
      </c>
      <c r="AZ1178" s="34" t="str">
        <f>IF(G1178=1,F1178,"")</f>
        <v/>
      </c>
      <c r="BA1178" s="34" t="str">
        <f>IF(AND(G1178=1,L1178=1),F1178,"")</f>
        <v/>
      </c>
      <c r="BB1178" s="34" t="str">
        <f>IF(AND(G1178=1,L1178=0),F1178,"")</f>
        <v/>
      </c>
      <c r="BC1178" s="33">
        <f>IF(E1178=1,IF(Orders!R1175&gt;3,1,0),"")</f>
        <v>0</v>
      </c>
      <c r="BD1178" s="33">
        <f>IF(E1178=1,IF(Orders!R1175&gt;7,1,0),"")</f>
        <v>0</v>
      </c>
      <c r="BE1178" s="32" t="str">
        <f>IF(E1178=1,IF(Orders!L1175&lt;=1.5,"Up to 1.5 km",IF(Orders!L1175&lt;=3,"1.5–3 km","Over 3 km")),"")</f>
        <v>Up to 1.5 km</v>
      </c>
      <c r="BF1178" s="33">
        <f>IF(E1178=1,IF(ABS((Orders!G1175-Orders!F1175)*1440-Orders!R1175)&lt;0.06,1,0),"")</f>
        <v>1</v>
      </c>
      <c r="BG1178" s="33">
        <f>IF(ABS((Orders!F1175-Orders!E1175)*1440-Orders!P1175)&lt;0.06,1,0)</f>
        <v>1</v>
      </c>
      <c r="BH1178" s="33">
        <f>IF(E1178=1,IF(IF(Orders!S1175,1,0)=1-G1178,1,0),"")</f>
        <v>1</v>
      </c>
      <c r="BI1178" s="32" t="str">
        <f>INDEX(Stores!$B$2:$B$21,MATCH(B1178,Stores!$A$2:$A$21,0))</f>
        <v>Hyderabad</v>
      </c>
    </row>
    <row r="1179">
      <c r="A1179" s="32" t="str">
        <f>Orders!A1176</f>
        <v>O01175</v>
      </c>
      <c r="B1179" s="32" t="str">
        <f>Orders!C1176</f>
        <v>S007</v>
      </c>
      <c r="C1179" s="32" t="str">
        <f>Orders!B1176</f>
        <v>C0175</v>
      </c>
      <c r="D1179" s="32" t="str">
        <f>Orders!H1176</f>
        <v>Delivered</v>
      </c>
      <c r="E1179" s="33">
        <f>IF(Orders!H1176="Delivered",1,0)</f>
        <v>1</v>
      </c>
      <c r="F1179" s="34">
        <f>IF(E1179=1,Orders!R1176,"")</f>
        <v>7.2</v>
      </c>
      <c r="G1179" s="33">
        <f>IF(E1179=1,IF(Orders!R1176&gt;0,1,0),"")</f>
        <v>1</v>
      </c>
      <c r="H1179" s="33">
        <f>IF(E1179=1,IF(Orders!R1176&gt;5,1,0),"")</f>
        <v>1</v>
      </c>
      <c r="I1179" s="32" t="str">
        <f>IF(E1179=1,"",IF(OR(Orders!T1176="Rider unavailable",Orders!T1176="Item unavailable"),"Company-caused","Unresolved"))</f>
        <v/>
      </c>
      <c r="J1179" s="33">
        <f>IF(OR(E1179=1,I1179="Company-caused"),1,0)</f>
        <v>1</v>
      </c>
      <c r="K1179" s="32" t="str">
        <f>IF(E1179=0,IF(I1179="Company-caused",IF(Orders!T1176="Rider unavailable","C1 Rider unavailable","C2 Item unavailable"),"Outside root: unresolved"),IF(G1179=0,"A On time",IF(H1179=1,IF(L1179=1,"B2a Severe, peak","B2b Severe, off-peak"),IF(L1179=1,"B1a Slight, peak","B1b Slight, off-peak"))))</f>
        <v>B2b Severe, off-peak</v>
      </c>
      <c r="L1179" s="33">
        <f>IF(AND(Orders!U1176&gt;=19,Orders!U1176&lt;22),1,0)</f>
        <v>0</v>
      </c>
      <c r="M1179" s="33">
        <f>IF(L1179=IF(Orders!V1176,1,0),1,0)</f>
        <v>1</v>
      </c>
      <c r="N1179" s="32" t="str">
        <f>IF(Orders!W1176="","None",Orders!W1176)</f>
        <v>None</v>
      </c>
      <c r="O1179" s="35">
        <f>INT(Orders!E1176)</f>
        <v>46278.0</v>
      </c>
      <c r="P1179" s="33">
        <f>Orders!U1176</f>
        <v>11</v>
      </c>
      <c r="Q1179" s="33">
        <f>COUNTIFS(Demand!$A$2:$A$4481,B1179,Demand!$B$2:$B$4481,O1179,Demand!$C$2:$C$4481,P1179)</f>
        <v>1</v>
      </c>
      <c r="R1179" s="33">
        <f>IF(Q1179=1,SUMIFS(Demand!$E$2:$E$4481,Demand!$A$2:$A$4481,B1179,Demand!$B$2:$B$4481,O1179,Demand!$C$2:$C$4481,P1179),"")</f>
        <v>44</v>
      </c>
      <c r="S1179" s="33">
        <f>INDEX(Stores!$G$2:$G$21,MATCH(B1179,Stores!$A$2:$A$21,0))</f>
        <v>37</v>
      </c>
      <c r="T1179" s="34">
        <f>IF(R1179="","",R1179/S1179)</f>
        <v>1.18918918918919</v>
      </c>
      <c r="U1179" s="34">
        <f>IF(E1179=1,T1179,"")</f>
        <v>1.18918918918919</v>
      </c>
      <c r="V1179" s="34">
        <f>IF(AND(E1179=1,L1179=0),T1179,"")</f>
        <v>1.18918918918919</v>
      </c>
      <c r="W1179" s="33">
        <f>IF(U1179="","",IF(U1179&lt;=Breakdowns!$C$5,1,IF(U1179&lt;=Breakdowns!$C$6,2,IF(U1179&lt;=Breakdowns!$C$7,3,4))))</f>
        <v>3</v>
      </c>
      <c r="X1179" s="33">
        <f>IF(V1179="","",IF(V1179&lt;=Breakdowns!$D$5,1,IF(V1179&lt;=Breakdowns!$D$6,2,IF(V1179&lt;=Breakdowns!$D$7,3,4))))</f>
        <v>4</v>
      </c>
      <c r="Y1179" s="34">
        <f>INDEX(Stores!$F$2:$F$21,MATCH(B1179,Stores!$A$2:$A$21,0))</f>
        <v>4.05</v>
      </c>
      <c r="Z1179" s="33">
        <f>IF(Y1179&gt;Store_Summary!$M$2,1,0)</f>
        <v>0</v>
      </c>
      <c r="AA1179" s="33">
        <f>INDEX(Stores!$C$2:$C$21,MATCH(B1179,Stores!$A$2:$A$21,0))</f>
        <v>661</v>
      </c>
      <c r="AB1179" s="33">
        <f>IF(AA1179&lt;180,1,0)</f>
        <v>0</v>
      </c>
      <c r="AC1179" s="32" t="str">
        <f>IF(Orders!D1176="","",INDEX(Riders!$C$2:$C$81,MATCH(Orders!D1176,Riders!$A$2:$A$81,0)))</f>
        <v>EV scooter</v>
      </c>
      <c r="AD1179" s="33">
        <f>IF(Orders!D1176="","",INDEX(Riders!$D$2:$D$81,MATCH(Orders!D1176,Riders!$A$2:$A$81,0)))</f>
        <v>10</v>
      </c>
      <c r="AE1179" s="33">
        <f>IF(Orders!D1176="","",IF(INDEX(Riders!$B$2:$B$81,MATCH(Orders!D1176,Riders!$A$2:$A$81,0))=B1179,1,0))</f>
        <v>0</v>
      </c>
      <c r="AF1179" s="34">
        <f>IF(E1179=1,Orders!L1176,"")</f>
        <v>1.8</v>
      </c>
      <c r="AG1179" s="34">
        <f>IF(E1179=1,Orders!P1176,"")</f>
        <v>10.6</v>
      </c>
      <c r="AH1179" s="34">
        <f>IF(E1179=1,Orders!Q1176,"")</f>
        <v>17.8</v>
      </c>
      <c r="AI1179" s="34">
        <f>IF(E1179=1,Orders!M1176,"")</f>
        <v>5.7</v>
      </c>
      <c r="AJ1179" s="34">
        <f>IF(E1179=1,Orders!N1176,"")</f>
        <v>6.4</v>
      </c>
      <c r="AK1179" s="34">
        <f>IF(E1179=1,Orders!O1176,"")</f>
        <v>5.6</v>
      </c>
      <c r="AL1179" s="33">
        <f>IF(E1179=1,IF(ROUND(ABS(AI1179+AJ1179+AK1179-AH1179),6)&lt;=0.1,1,0),"")</f>
        <v>1</v>
      </c>
      <c r="AM1179" s="36">
        <f>IF(E1179=1,AI1179/AH1179,"")</f>
        <v>0.320224719101124</v>
      </c>
      <c r="AN1179" s="36">
        <f>IF(E1179=1,AJ1179/AH1179,"")</f>
        <v>0.359550561797753</v>
      </c>
      <c r="AO1179" s="36">
        <f>IF(E1179=1,AK1179/AH1179,"")</f>
        <v>0.314606741573034</v>
      </c>
      <c r="AP1179" s="34">
        <f>IF(E1179=1,Orders!Y1176,"")</f>
        <v>0.38</v>
      </c>
      <c r="AQ1179" s="33">
        <f>IF(Orders!X1176,1,0)</f>
        <v>0</v>
      </c>
      <c r="AR1179" s="34" t="str">
        <f>IF(AND(E1179=1,L1179=1),AJ1179,"")</f>
        <v/>
      </c>
      <c r="AS1179" s="34">
        <f>IF(AND(E1179=1,L1179=0),AJ1179,"")</f>
        <v>6.4</v>
      </c>
      <c r="AT1179" s="34" t="str">
        <f>IF(AND(E1179=1,L1179=1),AI1179,"")</f>
        <v/>
      </c>
      <c r="AU1179" s="34">
        <f>IF(AND(E1179=1,L1179=0),AI1179,"")</f>
        <v>5.7</v>
      </c>
      <c r="AV1179" s="34" t="str">
        <f>IF(AND(E1179=1,L1179=1),AG1179,"")</f>
        <v/>
      </c>
      <c r="AW1179" s="34">
        <f>IF(AND(E1179=1,L1179=0),AG1179,"")</f>
        <v>10.6</v>
      </c>
      <c r="AX1179" s="34" t="str">
        <f>IF(AND(E1179=1,L1179=1),AH1179,"")</f>
        <v/>
      </c>
      <c r="AY1179" s="34">
        <f>IF(AND(E1179=1,L1179=0),AH1179,"")</f>
        <v>17.8</v>
      </c>
      <c r="AZ1179" s="34">
        <f>IF(G1179=1,F1179,"")</f>
        <v>7.2</v>
      </c>
      <c r="BA1179" s="34" t="str">
        <f>IF(AND(G1179=1,L1179=1),F1179,"")</f>
        <v/>
      </c>
      <c r="BB1179" s="34">
        <f>IF(AND(G1179=1,L1179=0),F1179,"")</f>
        <v>7.2</v>
      </c>
      <c r="BC1179" s="33">
        <f>IF(E1179=1,IF(Orders!R1176&gt;3,1,0),"")</f>
        <v>1</v>
      </c>
      <c r="BD1179" s="33">
        <f>IF(E1179=1,IF(Orders!R1176&gt;7,1,0),"")</f>
        <v>1</v>
      </c>
      <c r="BE1179" s="32" t="str">
        <f>IF(E1179=1,IF(Orders!L1176&lt;=1.5,"Up to 1.5 km",IF(Orders!L1176&lt;=3,"1.5–3 km","Over 3 km")),"")</f>
        <v>1.5–3 km</v>
      </c>
      <c r="BF1179" s="33">
        <f>IF(E1179=1,IF(ABS((Orders!G1176-Orders!F1176)*1440-Orders!R1176)&lt;0.06,1,0),"")</f>
        <v>1</v>
      </c>
      <c r="BG1179" s="33">
        <f>IF(ABS((Orders!F1176-Orders!E1176)*1440-Orders!P1176)&lt;0.06,1,0)</f>
        <v>1</v>
      </c>
      <c r="BH1179" s="33">
        <f>IF(E1179=1,IF(IF(Orders!S1176,1,0)=1-G1179,1,0),"")</f>
        <v>1</v>
      </c>
      <c r="BI1179" s="32" t="str">
        <f>INDEX(Stores!$B$2:$B$21,MATCH(B1179,Stores!$A$2:$A$21,0))</f>
        <v>Hyderabad</v>
      </c>
    </row>
    <row r="1180">
      <c r="A1180" s="32" t="str">
        <f>Orders!A1177</f>
        <v>O01176</v>
      </c>
      <c r="B1180" s="32" t="str">
        <f>Orders!C1177</f>
        <v>S007</v>
      </c>
      <c r="C1180" s="32" t="str">
        <f>Orders!B1177</f>
        <v>C0095</v>
      </c>
      <c r="D1180" s="32" t="str">
        <f>Orders!H1177</f>
        <v>Delivered</v>
      </c>
      <c r="E1180" s="33">
        <f>IF(Orders!H1177="Delivered",1,0)</f>
        <v>1</v>
      </c>
      <c r="F1180" s="34">
        <f>IF(E1180=1,Orders!R1177,"")</f>
        <v>-2.2</v>
      </c>
      <c r="G1180" s="33">
        <f>IF(E1180=1,IF(Orders!R1177&gt;0,1,0),"")</f>
        <v>0</v>
      </c>
      <c r="H1180" s="33">
        <f>IF(E1180=1,IF(Orders!R1177&gt;5,1,0),"")</f>
        <v>0</v>
      </c>
      <c r="I1180" s="32" t="str">
        <f>IF(E1180=1,"",IF(OR(Orders!T1177="Rider unavailable",Orders!T1177="Item unavailable"),"Company-caused","Unresolved"))</f>
        <v/>
      </c>
      <c r="J1180" s="33">
        <f>IF(OR(E1180=1,I1180="Company-caused"),1,0)</f>
        <v>1</v>
      </c>
      <c r="K1180" s="32" t="str">
        <f>IF(E1180=0,IF(I1180="Company-caused",IF(Orders!T1177="Rider unavailable","C1 Rider unavailable","C2 Item unavailable"),"Outside root: unresolved"),IF(G1180=0,"A On time",IF(H1180=1,IF(L1180=1,"B2a Severe, peak","B2b Severe, off-peak"),IF(L1180=1,"B1a Slight, peak","B1b Slight, off-peak"))))</f>
        <v>A On time</v>
      </c>
      <c r="L1180" s="33">
        <f>IF(AND(Orders!U1177&gt;=19,Orders!U1177&lt;22),1,0)</f>
        <v>0</v>
      </c>
      <c r="M1180" s="33">
        <f>IF(L1180=IF(Orders!V1177,1,0),1,0)</f>
        <v>1</v>
      </c>
      <c r="N1180" s="32" t="str">
        <f>IF(Orders!W1177="","None",Orders!W1177)</f>
        <v>None</v>
      </c>
      <c r="O1180" s="35">
        <f>INT(Orders!E1177)</f>
        <v>46271.0</v>
      </c>
      <c r="P1180" s="33">
        <f>Orders!U1177</f>
        <v>22</v>
      </c>
      <c r="Q1180" s="33">
        <f>COUNTIFS(Demand!$A$2:$A$4481,B1180,Demand!$B$2:$B$4481,O1180,Demand!$C$2:$C$4481,P1180)</f>
        <v>1</v>
      </c>
      <c r="R1180" s="33">
        <f>IF(Q1180=1,SUMIFS(Demand!$E$2:$E$4481,Demand!$A$2:$A$4481,B1180,Demand!$B$2:$B$4481,O1180,Demand!$C$2:$C$4481,P1180),"")</f>
        <v>31</v>
      </c>
      <c r="S1180" s="33">
        <f>INDEX(Stores!$G$2:$G$21,MATCH(B1180,Stores!$A$2:$A$21,0))</f>
        <v>37</v>
      </c>
      <c r="T1180" s="34">
        <f>IF(R1180="","",R1180/S1180)</f>
        <v>0.837837837837838</v>
      </c>
      <c r="U1180" s="34">
        <f>IF(E1180=1,T1180,"")</f>
        <v>0.837837837837838</v>
      </c>
      <c r="V1180" s="34">
        <f>IF(AND(E1180=1,L1180=0),T1180,"")</f>
        <v>0.837837837837838</v>
      </c>
      <c r="W1180" s="33">
        <f>IF(U1180="","",IF(U1180&lt;=Breakdowns!$C$5,1,IF(U1180&lt;=Breakdowns!$C$6,2,IF(U1180&lt;=Breakdowns!$C$7,3,4))))</f>
        <v>2</v>
      </c>
      <c r="X1180" s="33">
        <f>IF(V1180="","",IF(V1180&lt;=Breakdowns!$D$5,1,IF(V1180&lt;=Breakdowns!$D$6,2,IF(V1180&lt;=Breakdowns!$D$7,3,4))))</f>
        <v>2</v>
      </c>
      <c r="Y1180" s="34">
        <f>INDEX(Stores!$F$2:$F$21,MATCH(B1180,Stores!$A$2:$A$21,0))</f>
        <v>4.05</v>
      </c>
      <c r="Z1180" s="33">
        <f>IF(Y1180&gt;Store_Summary!$M$2,1,0)</f>
        <v>0</v>
      </c>
      <c r="AA1180" s="33">
        <f>INDEX(Stores!$C$2:$C$21,MATCH(B1180,Stores!$A$2:$A$21,0))</f>
        <v>661</v>
      </c>
      <c r="AB1180" s="33">
        <f>IF(AA1180&lt;180,1,0)</f>
        <v>0</v>
      </c>
      <c r="AC1180" s="32" t="str">
        <f>IF(Orders!D1177="","",INDEX(Riders!$C$2:$C$81,MATCH(Orders!D1177,Riders!$A$2:$A$81,0)))</f>
        <v>EV scooter</v>
      </c>
      <c r="AD1180" s="33">
        <f>IF(Orders!D1177="","",INDEX(Riders!$D$2:$D$81,MATCH(Orders!D1177,Riders!$A$2:$A$81,0)))</f>
        <v>46</v>
      </c>
      <c r="AE1180" s="33">
        <f>IF(Orders!D1177="","",IF(INDEX(Riders!$B$2:$B$81,MATCH(Orders!D1177,Riders!$A$2:$A$81,0))=B1180,1,0))</f>
        <v>1</v>
      </c>
      <c r="AF1180" s="34">
        <f>IF(E1180=1,Orders!L1177,"")</f>
        <v>0.99</v>
      </c>
      <c r="AG1180" s="34">
        <f>IF(E1180=1,Orders!P1177,"")</f>
        <v>12.6</v>
      </c>
      <c r="AH1180" s="34">
        <f>IF(E1180=1,Orders!Q1177,"")</f>
        <v>10.4</v>
      </c>
      <c r="AI1180" s="34">
        <f>IF(E1180=1,Orders!M1177,"")</f>
        <v>4.1</v>
      </c>
      <c r="AJ1180" s="34">
        <f>IF(E1180=1,Orders!N1177,"")</f>
        <v>3.4</v>
      </c>
      <c r="AK1180" s="34">
        <f>IF(E1180=1,Orders!O1177,"")</f>
        <v>2.9</v>
      </c>
      <c r="AL1180" s="33">
        <f>IF(E1180=1,IF(ROUND(ABS(AI1180+AJ1180+AK1180-AH1180),6)&lt;=0.1,1,0),"")</f>
        <v>1</v>
      </c>
      <c r="AM1180" s="36">
        <f>IF(E1180=1,AI1180/AH1180,"")</f>
        <v>0.394230769230769</v>
      </c>
      <c r="AN1180" s="36">
        <f>IF(E1180=1,AJ1180/AH1180,"")</f>
        <v>0.326923076923077</v>
      </c>
      <c r="AO1180" s="36">
        <f>IF(E1180=1,AK1180/AH1180,"")</f>
        <v>0.278846153846154</v>
      </c>
      <c r="AP1180" s="34">
        <f>IF(E1180=1,Orders!Y1177,"")</f>
        <v>0.4</v>
      </c>
      <c r="AQ1180" s="33">
        <f>IF(Orders!X1177,1,0)</f>
        <v>0</v>
      </c>
      <c r="AR1180" s="34" t="str">
        <f>IF(AND(E1180=1,L1180=1),AJ1180,"")</f>
        <v/>
      </c>
      <c r="AS1180" s="34">
        <f>IF(AND(E1180=1,L1180=0),AJ1180,"")</f>
        <v>3.4</v>
      </c>
      <c r="AT1180" s="34" t="str">
        <f>IF(AND(E1180=1,L1180=1),AI1180,"")</f>
        <v/>
      </c>
      <c r="AU1180" s="34">
        <f>IF(AND(E1180=1,L1180=0),AI1180,"")</f>
        <v>4.1</v>
      </c>
      <c r="AV1180" s="34" t="str">
        <f>IF(AND(E1180=1,L1180=1),AG1180,"")</f>
        <v/>
      </c>
      <c r="AW1180" s="34">
        <f>IF(AND(E1180=1,L1180=0),AG1180,"")</f>
        <v>12.6</v>
      </c>
      <c r="AX1180" s="34" t="str">
        <f>IF(AND(E1180=1,L1180=1),AH1180,"")</f>
        <v/>
      </c>
      <c r="AY1180" s="34">
        <f>IF(AND(E1180=1,L1180=0),AH1180,"")</f>
        <v>10.4</v>
      </c>
      <c r="AZ1180" s="34" t="str">
        <f>IF(G1180=1,F1180,"")</f>
        <v/>
      </c>
      <c r="BA1180" s="34" t="str">
        <f>IF(AND(G1180=1,L1180=1),F1180,"")</f>
        <v/>
      </c>
      <c r="BB1180" s="34" t="str">
        <f>IF(AND(G1180=1,L1180=0),F1180,"")</f>
        <v/>
      </c>
      <c r="BC1180" s="33">
        <f>IF(E1180=1,IF(Orders!R1177&gt;3,1,0),"")</f>
        <v>0</v>
      </c>
      <c r="BD1180" s="33">
        <f>IF(E1180=1,IF(Orders!R1177&gt;7,1,0),"")</f>
        <v>0</v>
      </c>
      <c r="BE1180" s="32" t="str">
        <f>IF(E1180=1,IF(Orders!L1177&lt;=1.5,"Up to 1.5 km",IF(Orders!L1177&lt;=3,"1.5–3 km","Over 3 km")),"")</f>
        <v>Up to 1.5 km</v>
      </c>
      <c r="BF1180" s="33">
        <f>IF(E1180=1,IF(ABS((Orders!G1177-Orders!F1177)*1440-Orders!R1177)&lt;0.06,1,0),"")</f>
        <v>1</v>
      </c>
      <c r="BG1180" s="33">
        <f>IF(ABS((Orders!F1177-Orders!E1177)*1440-Orders!P1177)&lt;0.06,1,0)</f>
        <v>1</v>
      </c>
      <c r="BH1180" s="33">
        <f>IF(E1180=1,IF(IF(Orders!S1177,1,0)=1-G1180,1,0),"")</f>
        <v>1</v>
      </c>
      <c r="BI1180" s="32" t="str">
        <f>INDEX(Stores!$B$2:$B$21,MATCH(B1180,Stores!$A$2:$A$21,0))</f>
        <v>Hyderabad</v>
      </c>
    </row>
    <row r="1181">
      <c r="A1181" s="32" t="str">
        <f>Orders!A1178</f>
        <v>O01177</v>
      </c>
      <c r="B1181" s="32" t="str">
        <f>Orders!C1178</f>
        <v>S010</v>
      </c>
      <c r="C1181" s="32" t="str">
        <f>Orders!B1178</f>
        <v>C0122</v>
      </c>
      <c r="D1181" s="32" t="str">
        <f>Orders!H1178</f>
        <v>Delivered</v>
      </c>
      <c r="E1181" s="33">
        <f>IF(Orders!H1178="Delivered",1,0)</f>
        <v>1</v>
      </c>
      <c r="F1181" s="34">
        <f>IF(E1181=1,Orders!R1178,"")</f>
        <v>-0.8</v>
      </c>
      <c r="G1181" s="33">
        <f>IF(E1181=1,IF(Orders!R1178&gt;0,1,0),"")</f>
        <v>0</v>
      </c>
      <c r="H1181" s="33">
        <f>IF(E1181=1,IF(Orders!R1178&gt;5,1,0),"")</f>
        <v>0</v>
      </c>
      <c r="I1181" s="32" t="str">
        <f>IF(E1181=1,"",IF(OR(Orders!T1178="Rider unavailable",Orders!T1178="Item unavailable"),"Company-caused","Unresolved"))</f>
        <v/>
      </c>
      <c r="J1181" s="33">
        <f>IF(OR(E1181=1,I1181="Company-caused"),1,0)</f>
        <v>1</v>
      </c>
      <c r="K1181" s="32" t="str">
        <f>IF(E1181=0,IF(I1181="Company-caused",IF(Orders!T1178="Rider unavailable","C1 Rider unavailable","C2 Item unavailable"),"Outside root: unresolved"),IF(G1181=0,"A On time",IF(H1181=1,IF(L1181=1,"B2a Severe, peak","B2b Severe, off-peak"),IF(L1181=1,"B1a Slight, peak","B1b Slight, off-peak"))))</f>
        <v>A On time</v>
      </c>
      <c r="L1181" s="33">
        <f>IF(AND(Orders!U1178&gt;=19,Orders!U1178&lt;22),1,0)</f>
        <v>1</v>
      </c>
      <c r="M1181" s="33">
        <f>IF(L1181=IF(Orders!V1178,1,0),1,0)</f>
        <v>1</v>
      </c>
      <c r="N1181" s="32" t="str">
        <f>IF(Orders!W1178="","None",Orders!W1178)</f>
        <v>None</v>
      </c>
      <c r="O1181" s="35">
        <f>INT(Orders!E1178)</f>
        <v>46267.0</v>
      </c>
      <c r="P1181" s="33">
        <f>Orders!U1178</f>
        <v>21</v>
      </c>
      <c r="Q1181" s="33">
        <f>COUNTIFS(Demand!$A$2:$A$4481,B1181,Demand!$B$2:$B$4481,O1181,Demand!$C$2:$C$4481,P1181)</f>
        <v>1</v>
      </c>
      <c r="R1181" s="33">
        <f>IF(Q1181=1,SUMIFS(Demand!$E$2:$E$4481,Demand!$A$2:$A$4481,B1181,Demand!$B$2:$B$4481,O1181,Demand!$C$2:$C$4481,P1181),"")</f>
        <v>30</v>
      </c>
      <c r="S1181" s="33">
        <f>INDEX(Stores!$G$2:$G$21,MATCH(B1181,Stores!$A$2:$A$21,0))</f>
        <v>22</v>
      </c>
      <c r="T1181" s="34">
        <f>IF(R1181="","",R1181/S1181)</f>
        <v>1.36363636363636</v>
      </c>
      <c r="U1181" s="34">
        <f>IF(E1181=1,T1181,"")</f>
        <v>1.36363636363636</v>
      </c>
      <c r="V1181" s="34" t="str">
        <f>IF(AND(E1181=1,L1181=0),T1181,"")</f>
        <v/>
      </c>
      <c r="W1181" s="33">
        <f>IF(U1181="","",IF(U1181&lt;=Breakdowns!$C$5,1,IF(U1181&lt;=Breakdowns!$C$6,2,IF(U1181&lt;=Breakdowns!$C$7,3,4))))</f>
        <v>4</v>
      </c>
      <c r="X1181" s="33" t="str">
        <f>IF(V1181="","",IF(V1181&lt;=Breakdowns!$D$5,1,IF(V1181&lt;=Breakdowns!$D$6,2,IF(V1181&lt;=Breakdowns!$D$7,3,4))))</f>
        <v/>
      </c>
      <c r="Y1181" s="34">
        <f>INDEX(Stores!$F$2:$F$21,MATCH(B1181,Stores!$A$2:$A$21,0))</f>
        <v>5.61</v>
      </c>
      <c r="Z1181" s="33">
        <f>IF(Y1181&gt;Store_Summary!$M$2,1,0)</f>
        <v>1</v>
      </c>
      <c r="AA1181" s="33">
        <f>INDEX(Stores!$C$2:$C$21,MATCH(B1181,Stores!$A$2:$A$21,0))</f>
        <v>744</v>
      </c>
      <c r="AB1181" s="33">
        <f>IF(AA1181&lt;180,1,0)</f>
        <v>0</v>
      </c>
      <c r="AC1181" s="32" t="str">
        <f>IF(Orders!D1178="","",INDEX(Riders!$C$2:$C$81,MATCH(Orders!D1178,Riders!$A$2:$A$81,0)))</f>
        <v>Bicycle</v>
      </c>
      <c r="AD1181" s="33">
        <f>IF(Orders!D1178="","",INDEX(Riders!$D$2:$D$81,MATCH(Orders!D1178,Riders!$A$2:$A$81,0)))</f>
        <v>2</v>
      </c>
      <c r="AE1181" s="33">
        <f>IF(Orders!D1178="","",IF(INDEX(Riders!$B$2:$B$81,MATCH(Orders!D1178,Riders!$A$2:$A$81,0))=B1181,1,0))</f>
        <v>0</v>
      </c>
      <c r="AF1181" s="34">
        <f>IF(E1181=1,Orders!L1178,"")</f>
        <v>4</v>
      </c>
      <c r="AG1181" s="34">
        <f>IF(E1181=1,Orders!P1178,"")</f>
        <v>11.7</v>
      </c>
      <c r="AH1181" s="34">
        <f>IF(E1181=1,Orders!Q1178,"")</f>
        <v>10.9</v>
      </c>
      <c r="AI1181" s="34">
        <f>IF(E1181=1,Orders!M1178,"")</f>
        <v>2</v>
      </c>
      <c r="AJ1181" s="34">
        <f>IF(E1181=1,Orders!N1178,"")</f>
        <v>4.4</v>
      </c>
      <c r="AK1181" s="34">
        <f>IF(E1181=1,Orders!O1178,"")</f>
        <v>4.5</v>
      </c>
      <c r="AL1181" s="33">
        <f>IF(E1181=1,IF(ROUND(ABS(AI1181+AJ1181+AK1181-AH1181),6)&lt;=0.1,1,0),"")</f>
        <v>1</v>
      </c>
      <c r="AM1181" s="36">
        <f>IF(E1181=1,AI1181/AH1181,"")</f>
        <v>0.18348623853211</v>
      </c>
      <c r="AN1181" s="36">
        <f>IF(E1181=1,AJ1181/AH1181,"")</f>
        <v>0.403669724770642</v>
      </c>
      <c r="AO1181" s="36">
        <f>IF(E1181=1,AK1181/AH1181,"")</f>
        <v>0.412844036697248</v>
      </c>
      <c r="AP1181" s="34">
        <f>IF(E1181=1,Orders!Y1178,"")</f>
        <v>0.67</v>
      </c>
      <c r="AQ1181" s="33">
        <f>IF(Orders!X1178,1,0)</f>
        <v>0</v>
      </c>
      <c r="AR1181" s="34">
        <f>IF(AND(E1181=1,L1181=1),AJ1181,"")</f>
        <v>4.4</v>
      </c>
      <c r="AS1181" s="34" t="str">
        <f>IF(AND(E1181=1,L1181=0),AJ1181,"")</f>
        <v/>
      </c>
      <c r="AT1181" s="34">
        <f>IF(AND(E1181=1,L1181=1),AI1181,"")</f>
        <v>2</v>
      </c>
      <c r="AU1181" s="34" t="str">
        <f>IF(AND(E1181=1,L1181=0),AI1181,"")</f>
        <v/>
      </c>
      <c r="AV1181" s="34">
        <f>IF(AND(E1181=1,L1181=1),AG1181,"")</f>
        <v>11.7</v>
      </c>
      <c r="AW1181" s="34" t="str">
        <f>IF(AND(E1181=1,L1181=0),AG1181,"")</f>
        <v/>
      </c>
      <c r="AX1181" s="34">
        <f>IF(AND(E1181=1,L1181=1),AH1181,"")</f>
        <v>10.9</v>
      </c>
      <c r="AY1181" s="34" t="str">
        <f>IF(AND(E1181=1,L1181=0),AH1181,"")</f>
        <v/>
      </c>
      <c r="AZ1181" s="34" t="str">
        <f>IF(G1181=1,F1181,"")</f>
        <v/>
      </c>
      <c r="BA1181" s="34" t="str">
        <f>IF(AND(G1181=1,L1181=1),F1181,"")</f>
        <v/>
      </c>
      <c r="BB1181" s="34" t="str">
        <f>IF(AND(G1181=1,L1181=0),F1181,"")</f>
        <v/>
      </c>
      <c r="BC1181" s="33">
        <f>IF(E1181=1,IF(Orders!R1178&gt;3,1,0),"")</f>
        <v>0</v>
      </c>
      <c r="BD1181" s="33">
        <f>IF(E1181=1,IF(Orders!R1178&gt;7,1,0),"")</f>
        <v>0</v>
      </c>
      <c r="BE1181" s="32" t="str">
        <f>IF(E1181=1,IF(Orders!L1178&lt;=1.5,"Up to 1.5 km",IF(Orders!L1178&lt;=3,"1.5–3 km","Over 3 km")),"")</f>
        <v>Over 3 km</v>
      </c>
      <c r="BF1181" s="33">
        <f>IF(E1181=1,IF(ABS((Orders!G1178-Orders!F1178)*1440-Orders!R1178)&lt;0.06,1,0),"")</f>
        <v>1</v>
      </c>
      <c r="BG1181" s="33">
        <f>IF(ABS((Orders!F1178-Orders!E1178)*1440-Orders!P1178)&lt;0.06,1,0)</f>
        <v>1</v>
      </c>
      <c r="BH1181" s="33">
        <f>IF(E1181=1,IF(IF(Orders!S1178,1,0)=1-G1181,1,0),"")</f>
        <v>1</v>
      </c>
      <c r="BI1181" s="32" t="str">
        <f>INDEX(Stores!$B$2:$B$21,MATCH(B1181,Stores!$A$2:$A$21,0))</f>
        <v>Delhi</v>
      </c>
    </row>
    <row r="1182">
      <c r="A1182" s="32" t="str">
        <f>Orders!A1179</f>
        <v>O01178</v>
      </c>
      <c r="B1182" s="32" t="str">
        <f>Orders!C1179</f>
        <v>S016</v>
      </c>
      <c r="C1182" s="32" t="str">
        <f>Orders!B1179</f>
        <v>C0151</v>
      </c>
      <c r="D1182" s="32" t="str">
        <f>Orders!H1179</f>
        <v>Delivered</v>
      </c>
      <c r="E1182" s="33">
        <f>IF(Orders!H1179="Delivered",1,0)</f>
        <v>1</v>
      </c>
      <c r="F1182" s="34">
        <f>IF(E1182=1,Orders!R1179,"")</f>
        <v>-0.7</v>
      </c>
      <c r="G1182" s="33">
        <f>IF(E1182=1,IF(Orders!R1179&gt;0,1,0),"")</f>
        <v>0</v>
      </c>
      <c r="H1182" s="33">
        <f>IF(E1182=1,IF(Orders!R1179&gt;5,1,0),"")</f>
        <v>0</v>
      </c>
      <c r="I1182" s="32" t="str">
        <f>IF(E1182=1,"",IF(OR(Orders!T1179="Rider unavailable",Orders!T1179="Item unavailable"),"Company-caused","Unresolved"))</f>
        <v/>
      </c>
      <c r="J1182" s="33">
        <f>IF(OR(E1182=1,I1182="Company-caused"),1,0)</f>
        <v>1</v>
      </c>
      <c r="K1182" s="32" t="str">
        <f>IF(E1182=0,IF(I1182="Company-caused",IF(Orders!T1179="Rider unavailable","C1 Rider unavailable","C2 Item unavailable"),"Outside root: unresolved"),IF(G1182=0,"A On time",IF(H1182=1,IF(L1182=1,"B2a Severe, peak","B2b Severe, off-peak"),IF(L1182=1,"B1a Slight, peak","B1b Slight, off-peak"))))</f>
        <v>A On time</v>
      </c>
      <c r="L1182" s="33">
        <f>IF(AND(Orders!U1179&gt;=19,Orders!U1179&lt;22),1,0)</f>
        <v>0</v>
      </c>
      <c r="M1182" s="33">
        <f>IF(L1182=IF(Orders!V1179,1,0),1,0)</f>
        <v>1</v>
      </c>
      <c r="N1182" s="32" t="str">
        <f>IF(Orders!W1179="","None",Orders!W1179)</f>
        <v>Light</v>
      </c>
      <c r="O1182" s="35">
        <f>INT(Orders!E1179)</f>
        <v>46270.0</v>
      </c>
      <c r="P1182" s="33">
        <f>Orders!U1179</f>
        <v>15</v>
      </c>
      <c r="Q1182" s="33">
        <f>COUNTIFS(Demand!$A$2:$A$4481,B1182,Demand!$B$2:$B$4481,O1182,Demand!$C$2:$C$4481,P1182)</f>
        <v>1</v>
      </c>
      <c r="R1182" s="33">
        <f>IF(Q1182=1,SUMIFS(Demand!$E$2:$E$4481,Demand!$A$2:$A$4481,B1182,Demand!$B$2:$B$4481,O1182,Demand!$C$2:$C$4481,P1182),"")</f>
        <v>28</v>
      </c>
      <c r="S1182" s="33">
        <f>INDEX(Stores!$G$2:$G$21,MATCH(B1182,Stores!$A$2:$A$21,0))</f>
        <v>25</v>
      </c>
      <c r="T1182" s="34">
        <f>IF(R1182="","",R1182/S1182)</f>
        <v>1.12</v>
      </c>
      <c r="U1182" s="34">
        <f>IF(E1182=1,T1182,"")</f>
        <v>1.12</v>
      </c>
      <c r="V1182" s="34">
        <f>IF(AND(E1182=1,L1182=0),T1182,"")</f>
        <v>1.12</v>
      </c>
      <c r="W1182" s="33">
        <f>IF(U1182="","",IF(U1182&lt;=Breakdowns!$C$5,1,IF(U1182&lt;=Breakdowns!$C$6,2,IF(U1182&lt;=Breakdowns!$C$7,3,4))))</f>
        <v>3</v>
      </c>
      <c r="X1182" s="33">
        <f>IF(V1182="","",IF(V1182&lt;=Breakdowns!$D$5,1,IF(V1182&lt;=Breakdowns!$D$6,2,IF(V1182&lt;=Breakdowns!$D$7,3,4))))</f>
        <v>4</v>
      </c>
      <c r="Y1182" s="34">
        <f>INDEX(Stores!$F$2:$F$21,MATCH(B1182,Stores!$A$2:$A$21,0))</f>
        <v>5.51</v>
      </c>
      <c r="Z1182" s="33">
        <f>IF(Y1182&gt;Store_Summary!$M$2,1,0)</f>
        <v>1</v>
      </c>
      <c r="AA1182" s="33">
        <f>INDEX(Stores!$C$2:$C$21,MATCH(B1182,Stores!$A$2:$A$21,0))</f>
        <v>792</v>
      </c>
      <c r="AB1182" s="33">
        <f>IF(AA1182&lt;180,1,0)</f>
        <v>0</v>
      </c>
      <c r="AC1182" s="32" t="str">
        <f>IF(Orders!D1179="","",INDEX(Riders!$C$2:$C$81,MATCH(Orders!D1179,Riders!$A$2:$A$81,0)))</f>
        <v>Petrol scooter</v>
      </c>
      <c r="AD1182" s="33">
        <f>IF(Orders!D1179="","",INDEX(Riders!$D$2:$D$81,MATCH(Orders!D1179,Riders!$A$2:$A$81,0)))</f>
        <v>4</v>
      </c>
      <c r="AE1182" s="33">
        <f>IF(Orders!D1179="","",IF(INDEX(Riders!$B$2:$B$81,MATCH(Orders!D1179,Riders!$A$2:$A$81,0))=B1182,1,0))</f>
        <v>0</v>
      </c>
      <c r="AF1182" s="34">
        <f>IF(E1182=1,Orders!L1179,"")</f>
        <v>2.6</v>
      </c>
      <c r="AG1182" s="34">
        <f>IF(E1182=1,Orders!P1179,"")</f>
        <v>10.8</v>
      </c>
      <c r="AH1182" s="34">
        <f>IF(E1182=1,Orders!Q1179,"")</f>
        <v>10.1</v>
      </c>
      <c r="AI1182" s="34">
        <f>IF(E1182=1,Orders!M1179,"")</f>
        <v>2.7</v>
      </c>
      <c r="AJ1182" s="34">
        <f>IF(E1182=1,Orders!N1179,"")</f>
        <v>4.4</v>
      </c>
      <c r="AK1182" s="34">
        <f>IF(E1182=1,Orders!O1179,"")</f>
        <v>3</v>
      </c>
      <c r="AL1182" s="33">
        <f>IF(E1182=1,IF(ROUND(ABS(AI1182+AJ1182+AK1182-AH1182),6)&lt;=0.1,1,0),"")</f>
        <v>1</v>
      </c>
      <c r="AM1182" s="36">
        <f>IF(E1182=1,AI1182/AH1182,"")</f>
        <v>0.267326732673267</v>
      </c>
      <c r="AN1182" s="36">
        <f>IF(E1182=1,AJ1182/AH1182,"")</f>
        <v>0.435643564356436</v>
      </c>
      <c r="AO1182" s="36">
        <f>IF(E1182=1,AK1182/AH1182,"")</f>
        <v>0.297029702970297</v>
      </c>
      <c r="AP1182" s="34">
        <f>IF(E1182=1,Orders!Y1179,"")</f>
        <v>0.58</v>
      </c>
      <c r="AQ1182" s="33">
        <f>IF(Orders!X1179,1,0)</f>
        <v>0</v>
      </c>
      <c r="AR1182" s="34" t="str">
        <f>IF(AND(E1182=1,L1182=1),AJ1182,"")</f>
        <v/>
      </c>
      <c r="AS1182" s="34">
        <f>IF(AND(E1182=1,L1182=0),AJ1182,"")</f>
        <v>4.4</v>
      </c>
      <c r="AT1182" s="34" t="str">
        <f>IF(AND(E1182=1,L1182=1),AI1182,"")</f>
        <v/>
      </c>
      <c r="AU1182" s="34">
        <f>IF(AND(E1182=1,L1182=0),AI1182,"")</f>
        <v>2.7</v>
      </c>
      <c r="AV1182" s="34" t="str">
        <f>IF(AND(E1182=1,L1182=1),AG1182,"")</f>
        <v/>
      </c>
      <c r="AW1182" s="34">
        <f>IF(AND(E1182=1,L1182=0),AG1182,"")</f>
        <v>10.8</v>
      </c>
      <c r="AX1182" s="34" t="str">
        <f>IF(AND(E1182=1,L1182=1),AH1182,"")</f>
        <v/>
      </c>
      <c r="AY1182" s="34">
        <f>IF(AND(E1182=1,L1182=0),AH1182,"")</f>
        <v>10.1</v>
      </c>
      <c r="AZ1182" s="34" t="str">
        <f>IF(G1182=1,F1182,"")</f>
        <v/>
      </c>
      <c r="BA1182" s="34" t="str">
        <f>IF(AND(G1182=1,L1182=1),F1182,"")</f>
        <v/>
      </c>
      <c r="BB1182" s="34" t="str">
        <f>IF(AND(G1182=1,L1182=0),F1182,"")</f>
        <v/>
      </c>
      <c r="BC1182" s="33">
        <f>IF(E1182=1,IF(Orders!R1179&gt;3,1,0),"")</f>
        <v>0</v>
      </c>
      <c r="BD1182" s="33">
        <f>IF(E1182=1,IF(Orders!R1179&gt;7,1,0),"")</f>
        <v>0</v>
      </c>
      <c r="BE1182" s="32" t="str">
        <f>IF(E1182=1,IF(Orders!L1179&lt;=1.5,"Up to 1.5 km",IF(Orders!L1179&lt;=3,"1.5–3 km","Over 3 km")),"")</f>
        <v>1.5–3 km</v>
      </c>
      <c r="BF1182" s="33">
        <f>IF(E1182=1,IF(ABS((Orders!G1179-Orders!F1179)*1440-Orders!R1179)&lt;0.06,1,0),"")</f>
        <v>1</v>
      </c>
      <c r="BG1182" s="33">
        <f>IF(ABS((Orders!F1179-Orders!E1179)*1440-Orders!P1179)&lt;0.06,1,0)</f>
        <v>1</v>
      </c>
      <c r="BH1182" s="33">
        <f>IF(E1182=1,IF(IF(Orders!S1179,1,0)=1-G1182,1,0),"")</f>
        <v>1</v>
      </c>
      <c r="BI1182" s="32" t="str">
        <f>INDEX(Stores!$B$2:$B$21,MATCH(B1182,Stores!$A$2:$A$21,0))</f>
        <v>Bengaluru</v>
      </c>
    </row>
    <row r="1183">
      <c r="A1183" s="32" t="str">
        <f>Orders!A1180</f>
        <v>O01179</v>
      </c>
      <c r="B1183" s="32" t="str">
        <f>Orders!C1180</f>
        <v>S019</v>
      </c>
      <c r="C1183" s="32" t="str">
        <f>Orders!B1180</f>
        <v>C0123</v>
      </c>
      <c r="D1183" s="32" t="str">
        <f>Orders!H1180</f>
        <v>Delivered</v>
      </c>
      <c r="E1183" s="33">
        <f>IF(Orders!H1180="Delivered",1,0)</f>
        <v>1</v>
      </c>
      <c r="F1183" s="34">
        <f>IF(E1183=1,Orders!R1180,"")</f>
        <v>-0.9</v>
      </c>
      <c r="G1183" s="33">
        <f>IF(E1183=1,IF(Orders!R1180&gt;0,1,0),"")</f>
        <v>0</v>
      </c>
      <c r="H1183" s="33">
        <f>IF(E1183=1,IF(Orders!R1180&gt;5,1,0),"")</f>
        <v>0</v>
      </c>
      <c r="I1183" s="32" t="str">
        <f>IF(E1183=1,"",IF(OR(Orders!T1180="Rider unavailable",Orders!T1180="Item unavailable"),"Company-caused","Unresolved"))</f>
        <v/>
      </c>
      <c r="J1183" s="33">
        <f>IF(OR(E1183=1,I1183="Company-caused"),1,0)</f>
        <v>1</v>
      </c>
      <c r="K1183" s="32" t="str">
        <f>IF(E1183=0,IF(I1183="Company-caused",IF(Orders!T1180="Rider unavailable","C1 Rider unavailable","C2 Item unavailable"),"Outside root: unresolved"),IF(G1183=0,"A On time",IF(H1183=1,IF(L1183=1,"B2a Severe, peak","B2b Severe, off-peak"),IF(L1183=1,"B1a Slight, peak","B1b Slight, off-peak"))))</f>
        <v>A On time</v>
      </c>
      <c r="L1183" s="33">
        <f>IF(AND(Orders!U1180&gt;=19,Orders!U1180&lt;22),1,0)</f>
        <v>0</v>
      </c>
      <c r="M1183" s="33">
        <f>IF(L1183=IF(Orders!V1180,1,0),1,0)</f>
        <v>1</v>
      </c>
      <c r="N1183" s="32" t="str">
        <f>IF(Orders!W1180="","None",Orders!W1180)</f>
        <v>None</v>
      </c>
      <c r="O1183" s="35">
        <f>INT(Orders!E1180)</f>
        <v>46271.0</v>
      </c>
      <c r="P1183" s="33">
        <f>Orders!U1180</f>
        <v>15</v>
      </c>
      <c r="Q1183" s="33">
        <f>COUNTIFS(Demand!$A$2:$A$4481,B1183,Demand!$B$2:$B$4481,O1183,Demand!$C$2:$C$4481,P1183)</f>
        <v>1</v>
      </c>
      <c r="R1183" s="33">
        <f>IF(Q1183=1,SUMIFS(Demand!$E$2:$E$4481,Demand!$A$2:$A$4481,B1183,Demand!$B$2:$B$4481,O1183,Demand!$C$2:$C$4481,P1183),"")</f>
        <v>13</v>
      </c>
      <c r="S1183" s="33">
        <f>INDEX(Stores!$G$2:$G$21,MATCH(B1183,Stores!$A$2:$A$21,0))</f>
        <v>22</v>
      </c>
      <c r="T1183" s="34">
        <f>IF(R1183="","",R1183/S1183)</f>
        <v>0.590909090909091</v>
      </c>
      <c r="U1183" s="34">
        <f>IF(E1183=1,T1183,"")</f>
        <v>0.590909090909091</v>
      </c>
      <c r="V1183" s="34">
        <f>IF(AND(E1183=1,L1183=0),T1183,"")</f>
        <v>0.590909090909091</v>
      </c>
      <c r="W1183" s="33">
        <f>IF(U1183="","",IF(U1183&lt;=Breakdowns!$C$5,1,IF(U1183&lt;=Breakdowns!$C$6,2,IF(U1183&lt;=Breakdowns!$C$7,3,4))))</f>
        <v>1</v>
      </c>
      <c r="X1183" s="33">
        <f>IF(V1183="","",IF(V1183&lt;=Breakdowns!$D$5,1,IF(V1183&lt;=Breakdowns!$D$6,2,IF(V1183&lt;=Breakdowns!$D$7,3,4))))</f>
        <v>1</v>
      </c>
      <c r="Y1183" s="34">
        <f>INDEX(Stores!$F$2:$F$21,MATCH(B1183,Stores!$A$2:$A$21,0))</f>
        <v>4.99</v>
      </c>
      <c r="Z1183" s="33">
        <f>IF(Y1183&gt;Store_Summary!$M$2,1,0)</f>
        <v>1</v>
      </c>
      <c r="AA1183" s="33">
        <f>INDEX(Stores!$C$2:$C$21,MATCH(B1183,Stores!$A$2:$A$21,0))</f>
        <v>851</v>
      </c>
      <c r="AB1183" s="33">
        <f>IF(AA1183&lt;180,1,0)</f>
        <v>0</v>
      </c>
      <c r="AC1183" s="32" t="str">
        <f>IF(Orders!D1180="","",INDEX(Riders!$C$2:$C$81,MATCH(Orders!D1180,Riders!$A$2:$A$81,0)))</f>
        <v>EV scooter</v>
      </c>
      <c r="AD1183" s="33">
        <f>IF(Orders!D1180="","",INDEX(Riders!$D$2:$D$81,MATCH(Orders!D1180,Riders!$A$2:$A$81,0)))</f>
        <v>11</v>
      </c>
      <c r="AE1183" s="33">
        <f>IF(Orders!D1180="","",IF(INDEX(Riders!$B$2:$B$81,MATCH(Orders!D1180,Riders!$A$2:$A$81,0))=B1183,1,0))</f>
        <v>0</v>
      </c>
      <c r="AF1183" s="34">
        <f>IF(E1183=1,Orders!L1180,"")</f>
        <v>1.29</v>
      </c>
      <c r="AG1183" s="34">
        <f>IF(E1183=1,Orders!P1180,"")</f>
        <v>8.6</v>
      </c>
      <c r="AH1183" s="34">
        <f>IF(E1183=1,Orders!Q1180,"")</f>
        <v>7.7</v>
      </c>
      <c r="AI1183" s="34">
        <f>IF(E1183=1,Orders!M1180,"")</f>
        <v>4.4</v>
      </c>
      <c r="AJ1183" s="34">
        <f>IF(E1183=1,Orders!N1180,"")</f>
        <v>0.1</v>
      </c>
      <c r="AK1183" s="34">
        <f>IF(E1183=1,Orders!O1180,"")</f>
        <v>3.2</v>
      </c>
      <c r="AL1183" s="33">
        <f>IF(E1183=1,IF(ROUND(ABS(AI1183+AJ1183+AK1183-AH1183),6)&lt;=0.1,1,0),"")</f>
        <v>1</v>
      </c>
      <c r="AM1183" s="36">
        <f>IF(E1183=1,AI1183/AH1183,"")</f>
        <v>0.571428571428572</v>
      </c>
      <c r="AN1183" s="36">
        <f>IF(E1183=1,AJ1183/AH1183,"")</f>
        <v>0.012987012987013</v>
      </c>
      <c r="AO1183" s="36">
        <f>IF(E1183=1,AK1183/AH1183,"")</f>
        <v>0.415584415584416</v>
      </c>
      <c r="AP1183" s="34">
        <f>IF(E1183=1,Orders!Y1180,"")</f>
        <v>0.52</v>
      </c>
      <c r="AQ1183" s="33">
        <f>IF(Orders!X1180,1,0)</f>
        <v>0</v>
      </c>
      <c r="AR1183" s="34" t="str">
        <f>IF(AND(E1183=1,L1183=1),AJ1183,"")</f>
        <v/>
      </c>
      <c r="AS1183" s="34">
        <f>IF(AND(E1183=1,L1183=0),AJ1183,"")</f>
        <v>0.1</v>
      </c>
      <c r="AT1183" s="34" t="str">
        <f>IF(AND(E1183=1,L1183=1),AI1183,"")</f>
        <v/>
      </c>
      <c r="AU1183" s="34">
        <f>IF(AND(E1183=1,L1183=0),AI1183,"")</f>
        <v>4.4</v>
      </c>
      <c r="AV1183" s="34" t="str">
        <f>IF(AND(E1183=1,L1183=1),AG1183,"")</f>
        <v/>
      </c>
      <c r="AW1183" s="34">
        <f>IF(AND(E1183=1,L1183=0),AG1183,"")</f>
        <v>8.6</v>
      </c>
      <c r="AX1183" s="34" t="str">
        <f>IF(AND(E1183=1,L1183=1),AH1183,"")</f>
        <v/>
      </c>
      <c r="AY1183" s="34">
        <f>IF(AND(E1183=1,L1183=0),AH1183,"")</f>
        <v>7.7</v>
      </c>
      <c r="AZ1183" s="34" t="str">
        <f>IF(G1183=1,F1183,"")</f>
        <v/>
      </c>
      <c r="BA1183" s="34" t="str">
        <f>IF(AND(G1183=1,L1183=1),F1183,"")</f>
        <v/>
      </c>
      <c r="BB1183" s="34" t="str">
        <f>IF(AND(G1183=1,L1183=0),F1183,"")</f>
        <v/>
      </c>
      <c r="BC1183" s="33">
        <f>IF(E1183=1,IF(Orders!R1180&gt;3,1,0),"")</f>
        <v>0</v>
      </c>
      <c r="BD1183" s="33">
        <f>IF(E1183=1,IF(Orders!R1180&gt;7,1,0),"")</f>
        <v>0</v>
      </c>
      <c r="BE1183" s="32" t="str">
        <f>IF(E1183=1,IF(Orders!L1180&lt;=1.5,"Up to 1.5 km",IF(Orders!L1180&lt;=3,"1.5–3 km","Over 3 km")),"")</f>
        <v>Up to 1.5 km</v>
      </c>
      <c r="BF1183" s="33">
        <f>IF(E1183=1,IF(ABS((Orders!G1180-Orders!F1180)*1440-Orders!R1180)&lt;0.06,1,0),"")</f>
        <v>1</v>
      </c>
      <c r="BG1183" s="33">
        <f>IF(ABS((Orders!F1180-Orders!E1180)*1440-Orders!P1180)&lt;0.06,1,0)</f>
        <v>1</v>
      </c>
      <c r="BH1183" s="33">
        <f>IF(E1183=1,IF(IF(Orders!S1180,1,0)=1-G1183,1,0),"")</f>
        <v>1</v>
      </c>
      <c r="BI1183" s="32" t="str">
        <f>INDEX(Stores!$B$2:$B$21,MATCH(B1183,Stores!$A$2:$A$21,0))</f>
        <v>Pune</v>
      </c>
    </row>
    <row r="1184">
      <c r="A1184" s="32" t="str">
        <f>Orders!A1181</f>
        <v>O01180</v>
      </c>
      <c r="B1184" s="32" t="str">
        <f>Orders!C1181</f>
        <v>S010</v>
      </c>
      <c r="C1184" s="32" t="str">
        <f>Orders!B1181</f>
        <v>C0199</v>
      </c>
      <c r="D1184" s="32" t="str">
        <f>Orders!H1181</f>
        <v>Delivered</v>
      </c>
      <c r="E1184" s="33">
        <f>IF(Orders!H1181="Delivered",1,0)</f>
        <v>1</v>
      </c>
      <c r="F1184" s="34">
        <f>IF(E1184=1,Orders!R1181,"")</f>
        <v>10</v>
      </c>
      <c r="G1184" s="33">
        <f>IF(E1184=1,IF(Orders!R1181&gt;0,1,0),"")</f>
        <v>1</v>
      </c>
      <c r="H1184" s="33">
        <f>IF(E1184=1,IF(Orders!R1181&gt;5,1,0),"")</f>
        <v>1</v>
      </c>
      <c r="I1184" s="32" t="str">
        <f>IF(E1184=1,"",IF(OR(Orders!T1181="Rider unavailable",Orders!T1181="Item unavailable"),"Company-caused","Unresolved"))</f>
        <v/>
      </c>
      <c r="J1184" s="33">
        <f>IF(OR(E1184=1,I1184="Company-caused"),1,0)</f>
        <v>1</v>
      </c>
      <c r="K1184" s="32" t="str">
        <f>IF(E1184=0,IF(I1184="Company-caused",IF(Orders!T1181="Rider unavailable","C1 Rider unavailable","C2 Item unavailable"),"Outside root: unresolved"),IF(G1184=0,"A On time",IF(H1184=1,IF(L1184=1,"B2a Severe, peak","B2b Severe, off-peak"),IF(L1184=1,"B1a Slight, peak","B1b Slight, off-peak"))))</f>
        <v>B2b Severe, off-peak</v>
      </c>
      <c r="L1184" s="33">
        <f>IF(AND(Orders!U1181&gt;=19,Orders!U1181&lt;22),1,0)</f>
        <v>0</v>
      </c>
      <c r="M1184" s="33">
        <f>IF(L1184=IF(Orders!V1181,1,0),1,0)</f>
        <v>1</v>
      </c>
      <c r="N1184" s="32" t="str">
        <f>IF(Orders!W1181="","None",Orders!W1181)</f>
        <v>None</v>
      </c>
      <c r="O1184" s="35">
        <f>INT(Orders!E1181)</f>
        <v>46272.0</v>
      </c>
      <c r="P1184" s="33">
        <f>Orders!U1181</f>
        <v>10</v>
      </c>
      <c r="Q1184" s="33">
        <f>COUNTIFS(Demand!$A$2:$A$4481,B1184,Demand!$B$2:$B$4481,O1184,Demand!$C$2:$C$4481,P1184)</f>
        <v>1</v>
      </c>
      <c r="R1184" s="33">
        <f>IF(Q1184=1,SUMIFS(Demand!$E$2:$E$4481,Demand!$A$2:$A$4481,B1184,Demand!$B$2:$B$4481,O1184,Demand!$C$2:$C$4481,P1184),"")</f>
        <v>13</v>
      </c>
      <c r="S1184" s="33">
        <f>INDEX(Stores!$G$2:$G$21,MATCH(B1184,Stores!$A$2:$A$21,0))</f>
        <v>22</v>
      </c>
      <c r="T1184" s="34">
        <f>IF(R1184="","",R1184/S1184)</f>
        <v>0.590909090909091</v>
      </c>
      <c r="U1184" s="34">
        <f>IF(E1184=1,T1184,"")</f>
        <v>0.590909090909091</v>
      </c>
      <c r="V1184" s="34">
        <f>IF(AND(E1184=1,L1184=0),T1184,"")</f>
        <v>0.590909090909091</v>
      </c>
      <c r="W1184" s="33">
        <f>IF(U1184="","",IF(U1184&lt;=Breakdowns!$C$5,1,IF(U1184&lt;=Breakdowns!$C$6,2,IF(U1184&lt;=Breakdowns!$C$7,3,4))))</f>
        <v>1</v>
      </c>
      <c r="X1184" s="33">
        <f>IF(V1184="","",IF(V1184&lt;=Breakdowns!$D$5,1,IF(V1184&lt;=Breakdowns!$D$6,2,IF(V1184&lt;=Breakdowns!$D$7,3,4))))</f>
        <v>1</v>
      </c>
      <c r="Y1184" s="34">
        <f>INDEX(Stores!$F$2:$F$21,MATCH(B1184,Stores!$A$2:$A$21,0))</f>
        <v>5.61</v>
      </c>
      <c r="Z1184" s="33">
        <f>IF(Y1184&gt;Store_Summary!$M$2,1,0)</f>
        <v>1</v>
      </c>
      <c r="AA1184" s="33">
        <f>INDEX(Stores!$C$2:$C$21,MATCH(B1184,Stores!$A$2:$A$21,0))</f>
        <v>744</v>
      </c>
      <c r="AB1184" s="33">
        <f>IF(AA1184&lt;180,1,0)</f>
        <v>0</v>
      </c>
      <c r="AC1184" s="32" t="str">
        <f>IF(Orders!D1181="","",INDEX(Riders!$C$2:$C$81,MATCH(Orders!D1181,Riders!$A$2:$A$81,0)))</f>
        <v>EV scooter</v>
      </c>
      <c r="AD1184" s="33">
        <f>IF(Orders!D1181="","",INDEX(Riders!$D$2:$D$81,MATCH(Orders!D1181,Riders!$A$2:$A$81,0)))</f>
        <v>38</v>
      </c>
      <c r="AE1184" s="33">
        <f>IF(Orders!D1181="","",IF(INDEX(Riders!$B$2:$B$81,MATCH(Orders!D1181,Riders!$A$2:$A$81,0))=B1184,1,0))</f>
        <v>0</v>
      </c>
      <c r="AF1184" s="34">
        <f>IF(E1184=1,Orders!L1181,"")</f>
        <v>0.8</v>
      </c>
      <c r="AG1184" s="34">
        <f>IF(E1184=1,Orders!P1181,"")</f>
        <v>7.6</v>
      </c>
      <c r="AH1184" s="34">
        <f>IF(E1184=1,Orders!Q1181,"")</f>
        <v>17.6</v>
      </c>
      <c r="AI1184" s="34">
        <f>IF(E1184=1,Orders!M1181,"")</f>
        <v>5.9</v>
      </c>
      <c r="AJ1184" s="34">
        <f>IF(E1184=1,Orders!N1181,"")</f>
        <v>8.7</v>
      </c>
      <c r="AK1184" s="34">
        <f>IF(E1184=1,Orders!O1181,"")</f>
        <v>2.9</v>
      </c>
      <c r="AL1184" s="33">
        <f>IF(E1184=1,IF(ROUND(ABS(AI1184+AJ1184+AK1184-AH1184),6)&lt;=0.1,1,0),"")</f>
        <v>1</v>
      </c>
      <c r="AM1184" s="36">
        <f>IF(E1184=1,AI1184/AH1184,"")</f>
        <v>0.335227272727273</v>
      </c>
      <c r="AN1184" s="36">
        <f>IF(E1184=1,AJ1184/AH1184,"")</f>
        <v>0.494318181818182</v>
      </c>
      <c r="AO1184" s="36">
        <f>IF(E1184=1,AK1184/AH1184,"")</f>
        <v>0.164772727272727</v>
      </c>
      <c r="AP1184" s="34">
        <f>IF(E1184=1,Orders!Y1181,"")</f>
        <v>0.39</v>
      </c>
      <c r="AQ1184" s="33">
        <f>IF(Orders!X1181,1,0)</f>
        <v>0</v>
      </c>
      <c r="AR1184" s="34" t="str">
        <f>IF(AND(E1184=1,L1184=1),AJ1184,"")</f>
        <v/>
      </c>
      <c r="AS1184" s="34">
        <f>IF(AND(E1184=1,L1184=0),AJ1184,"")</f>
        <v>8.7</v>
      </c>
      <c r="AT1184" s="34" t="str">
        <f>IF(AND(E1184=1,L1184=1),AI1184,"")</f>
        <v/>
      </c>
      <c r="AU1184" s="34">
        <f>IF(AND(E1184=1,L1184=0),AI1184,"")</f>
        <v>5.9</v>
      </c>
      <c r="AV1184" s="34" t="str">
        <f>IF(AND(E1184=1,L1184=1),AG1184,"")</f>
        <v/>
      </c>
      <c r="AW1184" s="34">
        <f>IF(AND(E1184=1,L1184=0),AG1184,"")</f>
        <v>7.6</v>
      </c>
      <c r="AX1184" s="34" t="str">
        <f>IF(AND(E1184=1,L1184=1),AH1184,"")</f>
        <v/>
      </c>
      <c r="AY1184" s="34">
        <f>IF(AND(E1184=1,L1184=0),AH1184,"")</f>
        <v>17.6</v>
      </c>
      <c r="AZ1184" s="34">
        <f>IF(G1184=1,F1184,"")</f>
        <v>10</v>
      </c>
      <c r="BA1184" s="34" t="str">
        <f>IF(AND(G1184=1,L1184=1),F1184,"")</f>
        <v/>
      </c>
      <c r="BB1184" s="34">
        <f>IF(AND(G1184=1,L1184=0),F1184,"")</f>
        <v>10</v>
      </c>
      <c r="BC1184" s="33">
        <f>IF(E1184=1,IF(Orders!R1181&gt;3,1,0),"")</f>
        <v>1</v>
      </c>
      <c r="BD1184" s="33">
        <f>IF(E1184=1,IF(Orders!R1181&gt;7,1,0),"")</f>
        <v>1</v>
      </c>
      <c r="BE1184" s="32" t="str">
        <f>IF(E1184=1,IF(Orders!L1181&lt;=1.5,"Up to 1.5 km",IF(Orders!L1181&lt;=3,"1.5–3 km","Over 3 km")),"")</f>
        <v>Up to 1.5 km</v>
      </c>
      <c r="BF1184" s="33">
        <f>IF(E1184=1,IF(ABS((Orders!G1181-Orders!F1181)*1440-Orders!R1181)&lt;0.06,1,0),"")</f>
        <v>1</v>
      </c>
      <c r="BG1184" s="33">
        <f>IF(ABS((Orders!F1181-Orders!E1181)*1440-Orders!P1181)&lt;0.06,1,0)</f>
        <v>1</v>
      </c>
      <c r="BH1184" s="33">
        <f>IF(E1184=1,IF(IF(Orders!S1181,1,0)=1-G1184,1,0),"")</f>
        <v>1</v>
      </c>
      <c r="BI1184" s="32" t="str">
        <f>INDEX(Stores!$B$2:$B$21,MATCH(B1184,Stores!$A$2:$A$21,0))</f>
        <v>Delhi</v>
      </c>
    </row>
    <row r="1185">
      <c r="A1185" s="32" t="str">
        <f>Orders!A1182</f>
        <v>O01181</v>
      </c>
      <c r="B1185" s="32" t="str">
        <f>Orders!C1182</f>
        <v>S007</v>
      </c>
      <c r="C1185" s="32" t="str">
        <f>Orders!B1182</f>
        <v>C0057</v>
      </c>
      <c r="D1185" s="32" t="str">
        <f>Orders!H1182</f>
        <v>Delivered</v>
      </c>
      <c r="E1185" s="33">
        <f>IF(Orders!H1182="Delivered",1,0)</f>
        <v>1</v>
      </c>
      <c r="F1185" s="34">
        <f>IF(E1185=1,Orders!R1182,"")</f>
        <v>7.8</v>
      </c>
      <c r="G1185" s="33">
        <f>IF(E1185=1,IF(Orders!R1182&gt;0,1,0),"")</f>
        <v>1</v>
      </c>
      <c r="H1185" s="33">
        <f>IF(E1185=1,IF(Orders!R1182&gt;5,1,0),"")</f>
        <v>1</v>
      </c>
      <c r="I1185" s="32" t="str">
        <f>IF(E1185=1,"",IF(OR(Orders!T1182="Rider unavailable",Orders!T1182="Item unavailable"),"Company-caused","Unresolved"))</f>
        <v/>
      </c>
      <c r="J1185" s="33">
        <f>IF(OR(E1185=1,I1185="Company-caused"),1,0)</f>
        <v>1</v>
      </c>
      <c r="K1185" s="32" t="str">
        <f>IF(E1185=0,IF(I1185="Company-caused",IF(Orders!T1182="Rider unavailable","C1 Rider unavailable","C2 Item unavailable"),"Outside root: unresolved"),IF(G1185=0,"A On time",IF(H1185=1,IF(L1185=1,"B2a Severe, peak","B2b Severe, off-peak"),IF(L1185=1,"B1a Slight, peak","B1b Slight, off-peak"))))</f>
        <v>B2a Severe, peak</v>
      </c>
      <c r="L1185" s="33">
        <f>IF(AND(Orders!U1182&gt;=19,Orders!U1182&lt;22),1,0)</f>
        <v>1</v>
      </c>
      <c r="M1185" s="33">
        <f>IF(L1185=IF(Orders!V1182,1,0),1,0)</f>
        <v>1</v>
      </c>
      <c r="N1185" s="32" t="str">
        <f>IF(Orders!W1182="","None",Orders!W1182)</f>
        <v>None</v>
      </c>
      <c r="O1185" s="35">
        <f>INT(Orders!E1182)</f>
        <v>46277.0</v>
      </c>
      <c r="P1185" s="33">
        <f>Orders!U1182</f>
        <v>20</v>
      </c>
      <c r="Q1185" s="33">
        <f>COUNTIFS(Demand!$A$2:$A$4481,B1185,Demand!$B$2:$B$4481,O1185,Demand!$C$2:$C$4481,P1185)</f>
        <v>1</v>
      </c>
      <c r="R1185" s="33">
        <f>IF(Q1185=1,SUMIFS(Demand!$E$2:$E$4481,Demand!$A$2:$A$4481,B1185,Demand!$B$2:$B$4481,O1185,Demand!$C$2:$C$4481,P1185),"")</f>
        <v>66</v>
      </c>
      <c r="S1185" s="33">
        <f>INDEX(Stores!$G$2:$G$21,MATCH(B1185,Stores!$A$2:$A$21,0))</f>
        <v>37</v>
      </c>
      <c r="T1185" s="34">
        <f>IF(R1185="","",R1185/S1185)</f>
        <v>1.78378378378378</v>
      </c>
      <c r="U1185" s="34">
        <f>IF(E1185=1,T1185,"")</f>
        <v>1.78378378378378</v>
      </c>
      <c r="V1185" s="34" t="str">
        <f>IF(AND(E1185=1,L1185=0),T1185,"")</f>
        <v/>
      </c>
      <c r="W1185" s="33">
        <f>IF(U1185="","",IF(U1185&lt;=Breakdowns!$C$5,1,IF(U1185&lt;=Breakdowns!$C$6,2,IF(U1185&lt;=Breakdowns!$C$7,3,4))))</f>
        <v>4</v>
      </c>
      <c r="X1185" s="33" t="str">
        <f>IF(V1185="","",IF(V1185&lt;=Breakdowns!$D$5,1,IF(V1185&lt;=Breakdowns!$D$6,2,IF(V1185&lt;=Breakdowns!$D$7,3,4))))</f>
        <v/>
      </c>
      <c r="Y1185" s="34">
        <f>INDEX(Stores!$F$2:$F$21,MATCH(B1185,Stores!$A$2:$A$21,0))</f>
        <v>4.05</v>
      </c>
      <c r="Z1185" s="33">
        <f>IF(Y1185&gt;Store_Summary!$M$2,1,0)</f>
        <v>0</v>
      </c>
      <c r="AA1185" s="33">
        <f>INDEX(Stores!$C$2:$C$21,MATCH(B1185,Stores!$A$2:$A$21,0))</f>
        <v>661</v>
      </c>
      <c r="AB1185" s="33">
        <f>IF(AA1185&lt;180,1,0)</f>
        <v>0</v>
      </c>
      <c r="AC1185" s="32" t="str">
        <f>IF(Orders!D1182="","",INDEX(Riders!$C$2:$C$81,MATCH(Orders!D1182,Riders!$A$2:$A$81,0)))</f>
        <v>EV scooter</v>
      </c>
      <c r="AD1185" s="33">
        <f>IF(Orders!D1182="","",INDEX(Riders!$D$2:$D$81,MATCH(Orders!D1182,Riders!$A$2:$A$81,0)))</f>
        <v>2</v>
      </c>
      <c r="AE1185" s="33">
        <f>IF(Orders!D1182="","",IF(INDEX(Riders!$B$2:$B$81,MATCH(Orders!D1182,Riders!$A$2:$A$81,0))=B1185,1,0))</f>
        <v>0</v>
      </c>
      <c r="AF1185" s="34">
        <f>IF(E1185=1,Orders!L1182,"")</f>
        <v>3.34</v>
      </c>
      <c r="AG1185" s="34">
        <f>IF(E1185=1,Orders!P1182,"")</f>
        <v>9.8</v>
      </c>
      <c r="AH1185" s="34">
        <f>IF(E1185=1,Orders!Q1182,"")</f>
        <v>17.6</v>
      </c>
      <c r="AI1185" s="34">
        <f>IF(E1185=1,Orders!M1182,"")</f>
        <v>3.3</v>
      </c>
      <c r="AJ1185" s="34">
        <f>IF(E1185=1,Orders!N1182,"")</f>
        <v>5.9</v>
      </c>
      <c r="AK1185" s="34">
        <f>IF(E1185=1,Orders!O1182,"")</f>
        <v>8.4</v>
      </c>
      <c r="AL1185" s="33">
        <f>IF(E1185=1,IF(ROUND(ABS(AI1185+AJ1185+AK1185-AH1185),6)&lt;=0.1,1,0),"")</f>
        <v>1</v>
      </c>
      <c r="AM1185" s="36">
        <f>IF(E1185=1,AI1185/AH1185,"")</f>
        <v>0.1875</v>
      </c>
      <c r="AN1185" s="36">
        <f>IF(E1185=1,AJ1185/AH1185,"")</f>
        <v>0.335227272727273</v>
      </c>
      <c r="AO1185" s="36">
        <f>IF(E1185=1,AK1185/AH1185,"")</f>
        <v>0.477272727272727</v>
      </c>
      <c r="AP1185" s="34">
        <f>IF(E1185=1,Orders!Y1182,"")</f>
        <v>0.57</v>
      </c>
      <c r="AQ1185" s="33">
        <f>IF(Orders!X1182,1,0)</f>
        <v>0</v>
      </c>
      <c r="AR1185" s="34">
        <f>IF(AND(E1185=1,L1185=1),AJ1185,"")</f>
        <v>5.9</v>
      </c>
      <c r="AS1185" s="34" t="str">
        <f>IF(AND(E1185=1,L1185=0),AJ1185,"")</f>
        <v/>
      </c>
      <c r="AT1185" s="34">
        <f>IF(AND(E1185=1,L1185=1),AI1185,"")</f>
        <v>3.3</v>
      </c>
      <c r="AU1185" s="34" t="str">
        <f>IF(AND(E1185=1,L1185=0),AI1185,"")</f>
        <v/>
      </c>
      <c r="AV1185" s="34">
        <f>IF(AND(E1185=1,L1185=1),AG1185,"")</f>
        <v>9.8</v>
      </c>
      <c r="AW1185" s="34" t="str">
        <f>IF(AND(E1185=1,L1185=0),AG1185,"")</f>
        <v/>
      </c>
      <c r="AX1185" s="34">
        <f>IF(AND(E1185=1,L1185=1),AH1185,"")</f>
        <v>17.6</v>
      </c>
      <c r="AY1185" s="34" t="str">
        <f>IF(AND(E1185=1,L1185=0),AH1185,"")</f>
        <v/>
      </c>
      <c r="AZ1185" s="34">
        <f>IF(G1185=1,F1185,"")</f>
        <v>7.8</v>
      </c>
      <c r="BA1185" s="34">
        <f>IF(AND(G1185=1,L1185=1),F1185,"")</f>
        <v>7.8</v>
      </c>
      <c r="BB1185" s="34" t="str">
        <f>IF(AND(G1185=1,L1185=0),F1185,"")</f>
        <v/>
      </c>
      <c r="BC1185" s="33">
        <f>IF(E1185=1,IF(Orders!R1182&gt;3,1,0),"")</f>
        <v>1</v>
      </c>
      <c r="BD1185" s="33">
        <f>IF(E1185=1,IF(Orders!R1182&gt;7,1,0),"")</f>
        <v>1</v>
      </c>
      <c r="BE1185" s="32" t="str">
        <f>IF(E1185=1,IF(Orders!L1182&lt;=1.5,"Up to 1.5 km",IF(Orders!L1182&lt;=3,"1.5–3 km","Over 3 km")),"")</f>
        <v>Over 3 km</v>
      </c>
      <c r="BF1185" s="33">
        <f>IF(E1185=1,IF(ABS((Orders!G1182-Orders!F1182)*1440-Orders!R1182)&lt;0.06,1,0),"")</f>
        <v>1</v>
      </c>
      <c r="BG1185" s="33">
        <f>IF(ABS((Orders!F1182-Orders!E1182)*1440-Orders!P1182)&lt;0.06,1,0)</f>
        <v>1</v>
      </c>
      <c r="BH1185" s="33">
        <f>IF(E1185=1,IF(IF(Orders!S1182,1,0)=1-G1185,1,0),"")</f>
        <v>1</v>
      </c>
      <c r="BI1185" s="32" t="str">
        <f>INDEX(Stores!$B$2:$B$21,MATCH(B1185,Stores!$A$2:$A$21,0))</f>
        <v>Hyderabad</v>
      </c>
    </row>
    <row r="1186">
      <c r="A1186" s="32" t="str">
        <f>Orders!A1183</f>
        <v>O01182</v>
      </c>
      <c r="B1186" s="32" t="str">
        <f>Orders!C1183</f>
        <v>S016</v>
      </c>
      <c r="C1186" s="32" t="str">
        <f>Orders!B1183</f>
        <v>C0108</v>
      </c>
      <c r="D1186" s="32" t="str">
        <f>Orders!H1183</f>
        <v>Delivered</v>
      </c>
      <c r="E1186" s="33">
        <f>IF(Orders!H1183="Delivered",1,0)</f>
        <v>1</v>
      </c>
      <c r="F1186" s="34">
        <f>IF(E1186=1,Orders!R1183,"")</f>
        <v>-1</v>
      </c>
      <c r="G1186" s="33">
        <f>IF(E1186=1,IF(Orders!R1183&gt;0,1,0),"")</f>
        <v>0</v>
      </c>
      <c r="H1186" s="33">
        <f>IF(E1186=1,IF(Orders!R1183&gt;5,1,0),"")</f>
        <v>0</v>
      </c>
      <c r="I1186" s="32" t="str">
        <f>IF(E1186=1,"",IF(OR(Orders!T1183="Rider unavailable",Orders!T1183="Item unavailable"),"Company-caused","Unresolved"))</f>
        <v/>
      </c>
      <c r="J1186" s="33">
        <f>IF(OR(E1186=1,I1186="Company-caused"),1,0)</f>
        <v>1</v>
      </c>
      <c r="K1186" s="32" t="str">
        <f>IF(E1186=0,IF(I1186="Company-caused",IF(Orders!T1183="Rider unavailable","C1 Rider unavailable","C2 Item unavailable"),"Outside root: unresolved"),IF(G1186=0,"A On time",IF(H1186=1,IF(L1186=1,"B2a Severe, peak","B2b Severe, off-peak"),IF(L1186=1,"B1a Slight, peak","B1b Slight, off-peak"))))</f>
        <v>A On time</v>
      </c>
      <c r="L1186" s="33">
        <f>IF(AND(Orders!U1183&gt;=19,Orders!U1183&lt;22),1,0)</f>
        <v>0</v>
      </c>
      <c r="M1186" s="33">
        <f>IF(L1186=IF(Orders!V1183,1,0),1,0)</f>
        <v>1</v>
      </c>
      <c r="N1186" s="32" t="str">
        <f>IF(Orders!W1183="","None",Orders!W1183)</f>
        <v>None</v>
      </c>
      <c r="O1186" s="35">
        <f>INT(Orders!E1183)</f>
        <v>46266.0</v>
      </c>
      <c r="P1186" s="33">
        <f>Orders!U1183</f>
        <v>13</v>
      </c>
      <c r="Q1186" s="33">
        <f>COUNTIFS(Demand!$A$2:$A$4481,B1186,Demand!$B$2:$B$4481,O1186,Demand!$C$2:$C$4481,P1186)</f>
        <v>1</v>
      </c>
      <c r="R1186" s="33">
        <f>IF(Q1186=1,SUMIFS(Demand!$E$2:$E$4481,Demand!$A$2:$A$4481,B1186,Demand!$B$2:$B$4481,O1186,Demand!$C$2:$C$4481,P1186),"")</f>
        <v>27</v>
      </c>
      <c r="S1186" s="33">
        <f>INDEX(Stores!$G$2:$G$21,MATCH(B1186,Stores!$A$2:$A$21,0))</f>
        <v>25</v>
      </c>
      <c r="T1186" s="34">
        <f>IF(R1186="","",R1186/S1186)</f>
        <v>1.08</v>
      </c>
      <c r="U1186" s="34">
        <f>IF(E1186=1,T1186,"")</f>
        <v>1.08</v>
      </c>
      <c r="V1186" s="34">
        <f>IF(AND(E1186=1,L1186=0),T1186,"")</f>
        <v>1.08</v>
      </c>
      <c r="W1186" s="33">
        <f>IF(U1186="","",IF(U1186&lt;=Breakdowns!$C$5,1,IF(U1186&lt;=Breakdowns!$C$6,2,IF(U1186&lt;=Breakdowns!$C$7,3,4))))</f>
        <v>3</v>
      </c>
      <c r="X1186" s="33">
        <f>IF(V1186="","",IF(V1186&lt;=Breakdowns!$D$5,1,IF(V1186&lt;=Breakdowns!$D$6,2,IF(V1186&lt;=Breakdowns!$D$7,3,4))))</f>
        <v>4</v>
      </c>
      <c r="Y1186" s="34">
        <f>INDEX(Stores!$F$2:$F$21,MATCH(B1186,Stores!$A$2:$A$21,0))</f>
        <v>5.51</v>
      </c>
      <c r="Z1186" s="33">
        <f>IF(Y1186&gt;Store_Summary!$M$2,1,0)</f>
        <v>1</v>
      </c>
      <c r="AA1186" s="33">
        <f>INDEX(Stores!$C$2:$C$21,MATCH(B1186,Stores!$A$2:$A$21,0))</f>
        <v>792</v>
      </c>
      <c r="AB1186" s="33">
        <f>IF(AA1186&lt;180,1,0)</f>
        <v>0</v>
      </c>
      <c r="AC1186" s="32" t="str">
        <f>IF(Orders!D1183="","",INDEX(Riders!$C$2:$C$81,MATCH(Orders!D1183,Riders!$A$2:$A$81,0)))</f>
        <v>EV scooter</v>
      </c>
      <c r="AD1186" s="33">
        <f>IF(Orders!D1183="","",INDEX(Riders!$D$2:$D$81,MATCH(Orders!D1183,Riders!$A$2:$A$81,0)))</f>
        <v>45</v>
      </c>
      <c r="AE1186" s="33">
        <f>IF(Orders!D1183="","",IF(INDEX(Riders!$B$2:$B$81,MATCH(Orders!D1183,Riders!$A$2:$A$81,0))=B1186,1,0))</f>
        <v>1</v>
      </c>
      <c r="AF1186" s="34">
        <f>IF(E1186=1,Orders!L1183,"")</f>
        <v>0.5</v>
      </c>
      <c r="AG1186" s="34">
        <f>IF(E1186=1,Orders!P1183,"")</f>
        <v>10.6</v>
      </c>
      <c r="AH1186" s="34">
        <f>IF(E1186=1,Orders!Q1183,"")</f>
        <v>9.6</v>
      </c>
      <c r="AI1186" s="34">
        <f>IF(E1186=1,Orders!M1183,"")</f>
        <v>3.6</v>
      </c>
      <c r="AJ1186" s="34">
        <f>IF(E1186=1,Orders!N1183,"")</f>
        <v>4.5</v>
      </c>
      <c r="AK1186" s="34">
        <f>IF(E1186=1,Orders!O1183,"")</f>
        <v>1.5</v>
      </c>
      <c r="AL1186" s="33">
        <f>IF(E1186=1,IF(ROUND(ABS(AI1186+AJ1186+AK1186-AH1186),6)&lt;=0.1,1,0),"")</f>
        <v>1</v>
      </c>
      <c r="AM1186" s="36">
        <f>IF(E1186=1,AI1186/AH1186,"")</f>
        <v>0.375</v>
      </c>
      <c r="AN1186" s="36">
        <f>IF(E1186=1,AJ1186/AH1186,"")</f>
        <v>0.46875</v>
      </c>
      <c r="AO1186" s="36">
        <f>IF(E1186=1,AK1186/AH1186,"")</f>
        <v>0.15625</v>
      </c>
      <c r="AP1186" s="34">
        <f>IF(E1186=1,Orders!Y1183,"")</f>
        <v>0.16</v>
      </c>
      <c r="AQ1186" s="33">
        <f>IF(Orders!X1183,1,0)</f>
        <v>0</v>
      </c>
      <c r="AR1186" s="34" t="str">
        <f>IF(AND(E1186=1,L1186=1),AJ1186,"")</f>
        <v/>
      </c>
      <c r="AS1186" s="34">
        <f>IF(AND(E1186=1,L1186=0),AJ1186,"")</f>
        <v>4.5</v>
      </c>
      <c r="AT1186" s="34" t="str">
        <f>IF(AND(E1186=1,L1186=1),AI1186,"")</f>
        <v/>
      </c>
      <c r="AU1186" s="34">
        <f>IF(AND(E1186=1,L1186=0),AI1186,"")</f>
        <v>3.6</v>
      </c>
      <c r="AV1186" s="34" t="str">
        <f>IF(AND(E1186=1,L1186=1),AG1186,"")</f>
        <v/>
      </c>
      <c r="AW1186" s="34">
        <f>IF(AND(E1186=1,L1186=0),AG1186,"")</f>
        <v>10.6</v>
      </c>
      <c r="AX1186" s="34" t="str">
        <f>IF(AND(E1186=1,L1186=1),AH1186,"")</f>
        <v/>
      </c>
      <c r="AY1186" s="34">
        <f>IF(AND(E1186=1,L1186=0),AH1186,"")</f>
        <v>9.6</v>
      </c>
      <c r="AZ1186" s="34" t="str">
        <f>IF(G1186=1,F1186,"")</f>
        <v/>
      </c>
      <c r="BA1186" s="34" t="str">
        <f>IF(AND(G1186=1,L1186=1),F1186,"")</f>
        <v/>
      </c>
      <c r="BB1186" s="34" t="str">
        <f>IF(AND(G1186=1,L1186=0),F1186,"")</f>
        <v/>
      </c>
      <c r="BC1186" s="33">
        <f>IF(E1186=1,IF(Orders!R1183&gt;3,1,0),"")</f>
        <v>0</v>
      </c>
      <c r="BD1186" s="33">
        <f>IF(E1186=1,IF(Orders!R1183&gt;7,1,0),"")</f>
        <v>0</v>
      </c>
      <c r="BE1186" s="32" t="str">
        <f>IF(E1186=1,IF(Orders!L1183&lt;=1.5,"Up to 1.5 km",IF(Orders!L1183&lt;=3,"1.5–3 km","Over 3 km")),"")</f>
        <v>Up to 1.5 km</v>
      </c>
      <c r="BF1186" s="33">
        <f>IF(E1186=1,IF(ABS((Orders!G1183-Orders!F1183)*1440-Orders!R1183)&lt;0.06,1,0),"")</f>
        <v>1</v>
      </c>
      <c r="BG1186" s="33">
        <f>IF(ABS((Orders!F1183-Orders!E1183)*1440-Orders!P1183)&lt;0.06,1,0)</f>
        <v>1</v>
      </c>
      <c r="BH1186" s="33">
        <f>IF(E1186=1,IF(IF(Orders!S1183,1,0)=1-G1186,1,0),"")</f>
        <v>1</v>
      </c>
      <c r="BI1186" s="32" t="str">
        <f>INDEX(Stores!$B$2:$B$21,MATCH(B1186,Stores!$A$2:$A$21,0))</f>
        <v>Bengaluru</v>
      </c>
    </row>
    <row r="1187">
      <c r="A1187" s="32" t="str">
        <f>Orders!A1184</f>
        <v>O01183</v>
      </c>
      <c r="B1187" s="32" t="str">
        <f>Orders!C1184</f>
        <v>S018</v>
      </c>
      <c r="C1187" s="32" t="str">
        <f>Orders!B1184</f>
        <v>C0172</v>
      </c>
      <c r="D1187" s="32" t="str">
        <f>Orders!H1184</f>
        <v>Delivered</v>
      </c>
      <c r="E1187" s="33">
        <f>IF(Orders!H1184="Delivered",1,0)</f>
        <v>1</v>
      </c>
      <c r="F1187" s="34">
        <f>IF(E1187=1,Orders!R1184,"")</f>
        <v>-0.2</v>
      </c>
      <c r="G1187" s="33">
        <f>IF(E1187=1,IF(Orders!R1184&gt;0,1,0),"")</f>
        <v>0</v>
      </c>
      <c r="H1187" s="33">
        <f>IF(E1187=1,IF(Orders!R1184&gt;5,1,0),"")</f>
        <v>0</v>
      </c>
      <c r="I1187" s="32" t="str">
        <f>IF(E1187=1,"",IF(OR(Orders!T1184="Rider unavailable",Orders!T1184="Item unavailable"),"Company-caused","Unresolved"))</f>
        <v/>
      </c>
      <c r="J1187" s="33">
        <f>IF(OR(E1187=1,I1187="Company-caused"),1,0)</f>
        <v>1</v>
      </c>
      <c r="K1187" s="32" t="str">
        <f>IF(E1187=0,IF(I1187="Company-caused",IF(Orders!T1184="Rider unavailable","C1 Rider unavailable","C2 Item unavailable"),"Outside root: unresolved"),IF(G1187=0,"A On time",IF(H1187=1,IF(L1187=1,"B2a Severe, peak","B2b Severe, off-peak"),IF(L1187=1,"B1a Slight, peak","B1b Slight, off-peak"))))</f>
        <v>A On time</v>
      </c>
      <c r="L1187" s="33">
        <f>IF(AND(Orders!U1184&gt;=19,Orders!U1184&lt;22),1,0)</f>
        <v>0</v>
      </c>
      <c r="M1187" s="33">
        <f>IF(L1187=IF(Orders!V1184,1,0),1,0)</f>
        <v>1</v>
      </c>
      <c r="N1187" s="32" t="str">
        <f>IF(Orders!W1184="","None",Orders!W1184)</f>
        <v>Light</v>
      </c>
      <c r="O1187" s="35">
        <f>INT(Orders!E1184)</f>
        <v>46277.0</v>
      </c>
      <c r="P1187" s="33">
        <f>Orders!U1184</f>
        <v>15</v>
      </c>
      <c r="Q1187" s="33">
        <f>COUNTIFS(Demand!$A$2:$A$4481,B1187,Demand!$B$2:$B$4481,O1187,Demand!$C$2:$C$4481,P1187)</f>
        <v>1</v>
      </c>
      <c r="R1187" s="33">
        <f>IF(Q1187=1,SUMIFS(Demand!$E$2:$E$4481,Demand!$A$2:$A$4481,B1187,Demand!$B$2:$B$4481,O1187,Demand!$C$2:$C$4481,P1187),"")</f>
        <v>21</v>
      </c>
      <c r="S1187" s="33">
        <f>INDEX(Stores!$G$2:$G$21,MATCH(B1187,Stores!$A$2:$A$21,0))</f>
        <v>20</v>
      </c>
      <c r="T1187" s="34">
        <f>IF(R1187="","",R1187/S1187)</f>
        <v>1.05</v>
      </c>
      <c r="U1187" s="34">
        <f>IF(E1187=1,T1187,"")</f>
        <v>1.05</v>
      </c>
      <c r="V1187" s="34">
        <f>IF(AND(E1187=1,L1187=0),T1187,"")</f>
        <v>1.05</v>
      </c>
      <c r="W1187" s="33">
        <f>IF(U1187="","",IF(U1187&lt;=Breakdowns!$C$5,1,IF(U1187&lt;=Breakdowns!$C$6,2,IF(U1187&lt;=Breakdowns!$C$7,3,4))))</f>
        <v>3</v>
      </c>
      <c r="X1187" s="33">
        <f>IF(V1187="","",IF(V1187&lt;=Breakdowns!$D$5,1,IF(V1187&lt;=Breakdowns!$D$6,2,IF(V1187&lt;=Breakdowns!$D$7,3,4))))</f>
        <v>3</v>
      </c>
      <c r="Y1187" s="34">
        <f>INDEX(Stores!$F$2:$F$21,MATCH(B1187,Stores!$A$2:$A$21,0))</f>
        <v>5.31</v>
      </c>
      <c r="Z1187" s="33">
        <f>IF(Y1187&gt;Store_Summary!$M$2,1,0)</f>
        <v>1</v>
      </c>
      <c r="AA1187" s="33">
        <f>INDEX(Stores!$C$2:$C$21,MATCH(B1187,Stores!$A$2:$A$21,0))</f>
        <v>214</v>
      </c>
      <c r="AB1187" s="33">
        <f>IF(AA1187&lt;180,1,0)</f>
        <v>0</v>
      </c>
      <c r="AC1187" s="32" t="str">
        <f>IF(Orders!D1184="","",INDEX(Riders!$C$2:$C$81,MATCH(Orders!D1184,Riders!$A$2:$A$81,0)))</f>
        <v>Petrol scooter</v>
      </c>
      <c r="AD1187" s="33">
        <f>IF(Orders!D1184="","",INDEX(Riders!$D$2:$D$81,MATCH(Orders!D1184,Riders!$A$2:$A$81,0)))</f>
        <v>6</v>
      </c>
      <c r="AE1187" s="33">
        <f>IF(Orders!D1184="","",IF(INDEX(Riders!$B$2:$B$81,MATCH(Orders!D1184,Riders!$A$2:$A$81,0))=B1187,1,0))</f>
        <v>0</v>
      </c>
      <c r="AF1187" s="34">
        <f>IF(E1187=1,Orders!L1184,"")</f>
        <v>0.5</v>
      </c>
      <c r="AG1187" s="34">
        <f>IF(E1187=1,Orders!P1184,"")</f>
        <v>9.6</v>
      </c>
      <c r="AH1187" s="34">
        <f>IF(E1187=1,Orders!Q1184,"")</f>
        <v>9.4</v>
      </c>
      <c r="AI1187" s="34">
        <f>IF(E1187=1,Orders!M1184,"")</f>
        <v>4.7</v>
      </c>
      <c r="AJ1187" s="34">
        <f>IF(E1187=1,Orders!N1184,"")</f>
        <v>1.6</v>
      </c>
      <c r="AK1187" s="34">
        <f>IF(E1187=1,Orders!O1184,"")</f>
        <v>3.1</v>
      </c>
      <c r="AL1187" s="33">
        <f>IF(E1187=1,IF(ROUND(ABS(AI1187+AJ1187+AK1187-AH1187),6)&lt;=0.1,1,0),"")</f>
        <v>1</v>
      </c>
      <c r="AM1187" s="36">
        <f>IF(E1187=1,AI1187/AH1187,"")</f>
        <v>0.5</v>
      </c>
      <c r="AN1187" s="36">
        <f>IF(E1187=1,AJ1187/AH1187,"")</f>
        <v>0.170212765957447</v>
      </c>
      <c r="AO1187" s="36">
        <f>IF(E1187=1,AK1187/AH1187,"")</f>
        <v>0.329787234042553</v>
      </c>
      <c r="AP1187" s="34">
        <f>IF(E1187=1,Orders!Y1184,"")</f>
        <v>0.36</v>
      </c>
      <c r="AQ1187" s="33">
        <f>IF(Orders!X1184,1,0)</f>
        <v>0</v>
      </c>
      <c r="AR1187" s="34" t="str">
        <f>IF(AND(E1187=1,L1187=1),AJ1187,"")</f>
        <v/>
      </c>
      <c r="AS1187" s="34">
        <f>IF(AND(E1187=1,L1187=0),AJ1187,"")</f>
        <v>1.6</v>
      </c>
      <c r="AT1187" s="34" t="str">
        <f>IF(AND(E1187=1,L1187=1),AI1187,"")</f>
        <v/>
      </c>
      <c r="AU1187" s="34">
        <f>IF(AND(E1187=1,L1187=0),AI1187,"")</f>
        <v>4.7</v>
      </c>
      <c r="AV1187" s="34" t="str">
        <f>IF(AND(E1187=1,L1187=1),AG1187,"")</f>
        <v/>
      </c>
      <c r="AW1187" s="34">
        <f>IF(AND(E1187=1,L1187=0),AG1187,"")</f>
        <v>9.6</v>
      </c>
      <c r="AX1187" s="34" t="str">
        <f>IF(AND(E1187=1,L1187=1),AH1187,"")</f>
        <v/>
      </c>
      <c r="AY1187" s="34">
        <f>IF(AND(E1187=1,L1187=0),AH1187,"")</f>
        <v>9.4</v>
      </c>
      <c r="AZ1187" s="34" t="str">
        <f>IF(G1187=1,F1187,"")</f>
        <v/>
      </c>
      <c r="BA1187" s="34" t="str">
        <f>IF(AND(G1187=1,L1187=1),F1187,"")</f>
        <v/>
      </c>
      <c r="BB1187" s="34" t="str">
        <f>IF(AND(G1187=1,L1187=0),F1187,"")</f>
        <v/>
      </c>
      <c r="BC1187" s="33">
        <f>IF(E1187=1,IF(Orders!R1184&gt;3,1,0),"")</f>
        <v>0</v>
      </c>
      <c r="BD1187" s="33">
        <f>IF(E1187=1,IF(Orders!R1184&gt;7,1,0),"")</f>
        <v>0</v>
      </c>
      <c r="BE1187" s="32" t="str">
        <f>IF(E1187=1,IF(Orders!L1184&lt;=1.5,"Up to 1.5 km",IF(Orders!L1184&lt;=3,"1.5–3 km","Over 3 km")),"")</f>
        <v>Up to 1.5 km</v>
      </c>
      <c r="BF1187" s="33">
        <f>IF(E1187=1,IF(ABS((Orders!G1184-Orders!F1184)*1440-Orders!R1184)&lt;0.06,1,0),"")</f>
        <v>1</v>
      </c>
      <c r="BG1187" s="33">
        <f>IF(ABS((Orders!F1184-Orders!E1184)*1440-Orders!P1184)&lt;0.06,1,0)</f>
        <v>1</v>
      </c>
      <c r="BH1187" s="33">
        <f>IF(E1187=1,IF(IF(Orders!S1184,1,0)=1-G1187,1,0),"")</f>
        <v>1</v>
      </c>
      <c r="BI1187" s="32" t="str">
        <f>INDEX(Stores!$B$2:$B$21,MATCH(B1187,Stores!$A$2:$A$21,0))</f>
        <v>Mumbai</v>
      </c>
    </row>
    <row r="1188">
      <c r="A1188" s="32" t="str">
        <f>Orders!A1185</f>
        <v>O01184</v>
      </c>
      <c r="B1188" s="32" t="str">
        <f>Orders!C1185</f>
        <v>S018</v>
      </c>
      <c r="C1188" s="32" t="str">
        <f>Orders!B1185</f>
        <v>C0073</v>
      </c>
      <c r="D1188" s="32" t="str">
        <f>Orders!H1185</f>
        <v>Delivered</v>
      </c>
      <c r="E1188" s="33">
        <f>IF(Orders!H1185="Delivered",1,0)</f>
        <v>1</v>
      </c>
      <c r="F1188" s="34">
        <f>IF(E1188=1,Orders!R1185,"")</f>
        <v>-0.6</v>
      </c>
      <c r="G1188" s="33">
        <f>IF(E1188=1,IF(Orders!R1185&gt;0,1,0),"")</f>
        <v>0</v>
      </c>
      <c r="H1188" s="33">
        <f>IF(E1188=1,IF(Orders!R1185&gt;5,1,0),"")</f>
        <v>0</v>
      </c>
      <c r="I1188" s="32" t="str">
        <f>IF(E1188=1,"",IF(OR(Orders!T1185="Rider unavailable",Orders!T1185="Item unavailable"),"Company-caused","Unresolved"))</f>
        <v/>
      </c>
      <c r="J1188" s="33">
        <f>IF(OR(E1188=1,I1188="Company-caused"),1,0)</f>
        <v>1</v>
      </c>
      <c r="K1188" s="32" t="str">
        <f>IF(E1188=0,IF(I1188="Company-caused",IF(Orders!T1185="Rider unavailable","C1 Rider unavailable","C2 Item unavailable"),"Outside root: unresolved"),IF(G1188=0,"A On time",IF(H1188=1,IF(L1188=1,"B2a Severe, peak","B2b Severe, off-peak"),IF(L1188=1,"B1a Slight, peak","B1b Slight, off-peak"))))</f>
        <v>A On time</v>
      </c>
      <c r="L1188" s="33">
        <f>IF(AND(Orders!U1185&gt;=19,Orders!U1185&lt;22),1,0)</f>
        <v>0</v>
      </c>
      <c r="M1188" s="33">
        <f>IF(L1188=IF(Orders!V1185,1,0),1,0)</f>
        <v>1</v>
      </c>
      <c r="N1188" s="32" t="str">
        <f>IF(Orders!W1185="","None",Orders!W1185)</f>
        <v>None</v>
      </c>
      <c r="O1188" s="35">
        <f>INT(Orders!E1185)</f>
        <v>46277.0</v>
      </c>
      <c r="P1188" s="33">
        <f>Orders!U1185</f>
        <v>17</v>
      </c>
      <c r="Q1188" s="33">
        <f>COUNTIFS(Demand!$A$2:$A$4481,B1188,Demand!$B$2:$B$4481,O1188,Demand!$C$2:$C$4481,P1188)</f>
        <v>1</v>
      </c>
      <c r="R1188" s="33">
        <f>IF(Q1188=1,SUMIFS(Demand!$E$2:$E$4481,Demand!$A$2:$A$4481,B1188,Demand!$B$2:$B$4481,O1188,Demand!$C$2:$C$4481,P1188),"")</f>
        <v>21</v>
      </c>
      <c r="S1188" s="33">
        <f>INDEX(Stores!$G$2:$G$21,MATCH(B1188,Stores!$A$2:$A$21,0))</f>
        <v>20</v>
      </c>
      <c r="T1188" s="34">
        <f>IF(R1188="","",R1188/S1188)</f>
        <v>1.05</v>
      </c>
      <c r="U1188" s="34">
        <f>IF(E1188=1,T1188,"")</f>
        <v>1.05</v>
      </c>
      <c r="V1188" s="34">
        <f>IF(AND(E1188=1,L1188=0),T1188,"")</f>
        <v>1.05</v>
      </c>
      <c r="W1188" s="33">
        <f>IF(U1188="","",IF(U1188&lt;=Breakdowns!$C$5,1,IF(U1188&lt;=Breakdowns!$C$6,2,IF(U1188&lt;=Breakdowns!$C$7,3,4))))</f>
        <v>3</v>
      </c>
      <c r="X1188" s="33">
        <f>IF(V1188="","",IF(V1188&lt;=Breakdowns!$D$5,1,IF(V1188&lt;=Breakdowns!$D$6,2,IF(V1188&lt;=Breakdowns!$D$7,3,4))))</f>
        <v>3</v>
      </c>
      <c r="Y1188" s="34">
        <f>INDEX(Stores!$F$2:$F$21,MATCH(B1188,Stores!$A$2:$A$21,0))</f>
        <v>5.31</v>
      </c>
      <c r="Z1188" s="33">
        <f>IF(Y1188&gt;Store_Summary!$M$2,1,0)</f>
        <v>1</v>
      </c>
      <c r="AA1188" s="33">
        <f>INDEX(Stores!$C$2:$C$21,MATCH(B1188,Stores!$A$2:$A$21,0))</f>
        <v>214</v>
      </c>
      <c r="AB1188" s="33">
        <f>IF(AA1188&lt;180,1,0)</f>
        <v>0</v>
      </c>
      <c r="AC1188" s="32" t="str">
        <f>IF(Orders!D1185="","",INDEX(Riders!$C$2:$C$81,MATCH(Orders!D1185,Riders!$A$2:$A$81,0)))</f>
        <v>EV scooter</v>
      </c>
      <c r="AD1188" s="33">
        <f>IF(Orders!D1185="","",INDEX(Riders!$D$2:$D$81,MATCH(Orders!D1185,Riders!$A$2:$A$81,0)))</f>
        <v>11</v>
      </c>
      <c r="AE1188" s="33">
        <f>IF(Orders!D1185="","",IF(INDEX(Riders!$B$2:$B$81,MATCH(Orders!D1185,Riders!$A$2:$A$81,0))=B1188,1,0))</f>
        <v>0</v>
      </c>
      <c r="AF1188" s="34">
        <f>IF(E1188=1,Orders!L1185,"")</f>
        <v>3.77</v>
      </c>
      <c r="AG1188" s="34">
        <f>IF(E1188=1,Orders!P1185,"")</f>
        <v>13.2</v>
      </c>
      <c r="AH1188" s="34">
        <f>IF(E1188=1,Orders!Q1185,"")</f>
        <v>12.6</v>
      </c>
      <c r="AI1188" s="34">
        <f>IF(E1188=1,Orders!M1185,"")</f>
        <v>3.8</v>
      </c>
      <c r="AJ1188" s="34">
        <f>IF(E1188=1,Orders!N1185,"")</f>
        <v>3.4</v>
      </c>
      <c r="AK1188" s="34">
        <f>IF(E1188=1,Orders!O1185,"")</f>
        <v>5.4</v>
      </c>
      <c r="AL1188" s="33">
        <f>IF(E1188=1,IF(ROUND(ABS(AI1188+AJ1188+AK1188-AH1188),6)&lt;=0.1,1,0),"")</f>
        <v>1</v>
      </c>
      <c r="AM1188" s="36">
        <f>IF(E1188=1,AI1188/AH1188,"")</f>
        <v>0.301587301587302</v>
      </c>
      <c r="AN1188" s="36">
        <f>IF(E1188=1,AJ1188/AH1188,"")</f>
        <v>0.26984126984127</v>
      </c>
      <c r="AO1188" s="36">
        <f>IF(E1188=1,AK1188/AH1188,"")</f>
        <v>0.428571428571429</v>
      </c>
      <c r="AP1188" s="34">
        <f>IF(E1188=1,Orders!Y1185,"")</f>
        <v>0.08</v>
      </c>
      <c r="AQ1188" s="33">
        <f>IF(Orders!X1185,1,0)</f>
        <v>0</v>
      </c>
      <c r="AR1188" s="34" t="str">
        <f>IF(AND(E1188=1,L1188=1),AJ1188,"")</f>
        <v/>
      </c>
      <c r="AS1188" s="34">
        <f>IF(AND(E1188=1,L1188=0),AJ1188,"")</f>
        <v>3.4</v>
      </c>
      <c r="AT1188" s="34" t="str">
        <f>IF(AND(E1188=1,L1188=1),AI1188,"")</f>
        <v/>
      </c>
      <c r="AU1188" s="34">
        <f>IF(AND(E1188=1,L1188=0),AI1188,"")</f>
        <v>3.8</v>
      </c>
      <c r="AV1188" s="34" t="str">
        <f>IF(AND(E1188=1,L1188=1),AG1188,"")</f>
        <v/>
      </c>
      <c r="AW1188" s="34">
        <f>IF(AND(E1188=1,L1188=0),AG1188,"")</f>
        <v>13.2</v>
      </c>
      <c r="AX1188" s="34" t="str">
        <f>IF(AND(E1188=1,L1188=1),AH1188,"")</f>
        <v/>
      </c>
      <c r="AY1188" s="34">
        <f>IF(AND(E1188=1,L1188=0),AH1188,"")</f>
        <v>12.6</v>
      </c>
      <c r="AZ1188" s="34" t="str">
        <f>IF(G1188=1,F1188,"")</f>
        <v/>
      </c>
      <c r="BA1188" s="34" t="str">
        <f>IF(AND(G1188=1,L1188=1),F1188,"")</f>
        <v/>
      </c>
      <c r="BB1188" s="34" t="str">
        <f>IF(AND(G1188=1,L1188=0),F1188,"")</f>
        <v/>
      </c>
      <c r="BC1188" s="33">
        <f>IF(E1188=1,IF(Orders!R1185&gt;3,1,0),"")</f>
        <v>0</v>
      </c>
      <c r="BD1188" s="33">
        <f>IF(E1188=1,IF(Orders!R1185&gt;7,1,0),"")</f>
        <v>0</v>
      </c>
      <c r="BE1188" s="32" t="str">
        <f>IF(E1188=1,IF(Orders!L1185&lt;=1.5,"Up to 1.5 km",IF(Orders!L1185&lt;=3,"1.5–3 km","Over 3 km")),"")</f>
        <v>Over 3 km</v>
      </c>
      <c r="BF1188" s="33">
        <f>IF(E1188=1,IF(ABS((Orders!G1185-Orders!F1185)*1440-Orders!R1185)&lt;0.06,1,0),"")</f>
        <v>1</v>
      </c>
      <c r="BG1188" s="33">
        <f>IF(ABS((Orders!F1185-Orders!E1185)*1440-Orders!P1185)&lt;0.06,1,0)</f>
        <v>1</v>
      </c>
      <c r="BH1188" s="33">
        <f>IF(E1188=1,IF(IF(Orders!S1185,1,0)=1-G1188,1,0),"")</f>
        <v>1</v>
      </c>
      <c r="BI1188" s="32" t="str">
        <f>INDEX(Stores!$B$2:$B$21,MATCH(B1188,Stores!$A$2:$A$21,0))</f>
        <v>Mumbai</v>
      </c>
    </row>
    <row r="1189">
      <c r="A1189" s="32" t="str">
        <f>Orders!A1186</f>
        <v>O01185</v>
      </c>
      <c r="B1189" s="32" t="str">
        <f>Orders!C1186</f>
        <v>S014</v>
      </c>
      <c r="C1189" s="32" t="str">
        <f>Orders!B1186</f>
        <v>C0135</v>
      </c>
      <c r="D1189" s="32" t="str">
        <f>Orders!H1186</f>
        <v>Delivered</v>
      </c>
      <c r="E1189" s="33">
        <f>IF(Orders!H1186="Delivered",1,0)</f>
        <v>1</v>
      </c>
      <c r="F1189" s="34">
        <f>IF(E1189=1,Orders!R1186,"")</f>
        <v>-0.6</v>
      </c>
      <c r="G1189" s="33">
        <f>IF(E1189=1,IF(Orders!R1186&gt;0,1,0),"")</f>
        <v>0</v>
      </c>
      <c r="H1189" s="33">
        <f>IF(E1189=1,IF(Orders!R1186&gt;5,1,0),"")</f>
        <v>0</v>
      </c>
      <c r="I1189" s="32" t="str">
        <f>IF(E1189=1,"",IF(OR(Orders!T1186="Rider unavailable",Orders!T1186="Item unavailable"),"Company-caused","Unresolved"))</f>
        <v/>
      </c>
      <c r="J1189" s="33">
        <f>IF(OR(E1189=1,I1189="Company-caused"),1,0)</f>
        <v>1</v>
      </c>
      <c r="K1189" s="32" t="str">
        <f>IF(E1189=0,IF(I1189="Company-caused",IF(Orders!T1186="Rider unavailable","C1 Rider unavailable","C2 Item unavailable"),"Outside root: unresolved"),IF(G1189=0,"A On time",IF(H1189=1,IF(L1189=1,"B2a Severe, peak","B2b Severe, off-peak"),IF(L1189=1,"B1a Slight, peak","B1b Slight, off-peak"))))</f>
        <v>A On time</v>
      </c>
      <c r="L1189" s="33">
        <f>IF(AND(Orders!U1186&gt;=19,Orders!U1186&lt;22),1,0)</f>
        <v>1</v>
      </c>
      <c r="M1189" s="33">
        <f>IF(L1189=IF(Orders!V1186,1,0),1,0)</f>
        <v>1</v>
      </c>
      <c r="N1189" s="32" t="str">
        <f>IF(Orders!W1186="","None",Orders!W1186)</f>
        <v>Light</v>
      </c>
      <c r="O1189" s="35">
        <f>INT(Orders!E1186)</f>
        <v>46277.0</v>
      </c>
      <c r="P1189" s="33">
        <f>Orders!U1186</f>
        <v>21</v>
      </c>
      <c r="Q1189" s="33">
        <f>COUNTIFS(Demand!$A$2:$A$4481,B1189,Demand!$B$2:$B$4481,O1189,Demand!$C$2:$C$4481,P1189)</f>
        <v>1</v>
      </c>
      <c r="R1189" s="33">
        <f>IF(Q1189=1,SUMIFS(Demand!$E$2:$E$4481,Demand!$A$2:$A$4481,B1189,Demand!$B$2:$B$4481,O1189,Demand!$C$2:$C$4481,P1189),"")</f>
        <v>65</v>
      </c>
      <c r="S1189" s="33">
        <f>INDEX(Stores!$G$2:$G$21,MATCH(B1189,Stores!$A$2:$A$21,0))</f>
        <v>37</v>
      </c>
      <c r="T1189" s="34">
        <f>IF(R1189="","",R1189/S1189)</f>
        <v>1.75675675675676</v>
      </c>
      <c r="U1189" s="34">
        <f>IF(E1189=1,T1189,"")</f>
        <v>1.75675675675676</v>
      </c>
      <c r="V1189" s="34" t="str">
        <f>IF(AND(E1189=1,L1189=0),T1189,"")</f>
        <v/>
      </c>
      <c r="W1189" s="33">
        <f>IF(U1189="","",IF(U1189&lt;=Breakdowns!$C$5,1,IF(U1189&lt;=Breakdowns!$C$6,2,IF(U1189&lt;=Breakdowns!$C$7,3,4))))</f>
        <v>4</v>
      </c>
      <c r="X1189" s="33" t="str">
        <f>IF(V1189="","",IF(V1189&lt;=Breakdowns!$D$5,1,IF(V1189&lt;=Breakdowns!$D$6,2,IF(V1189&lt;=Breakdowns!$D$7,3,4))))</f>
        <v/>
      </c>
      <c r="Y1189" s="34">
        <f>INDEX(Stores!$F$2:$F$21,MATCH(B1189,Stores!$A$2:$A$21,0))</f>
        <v>5.55</v>
      </c>
      <c r="Z1189" s="33">
        <f>IF(Y1189&gt;Store_Summary!$M$2,1,0)</f>
        <v>1</v>
      </c>
      <c r="AA1189" s="33">
        <f>INDEX(Stores!$C$2:$C$21,MATCH(B1189,Stores!$A$2:$A$21,0))</f>
        <v>241</v>
      </c>
      <c r="AB1189" s="33">
        <f>IF(AA1189&lt;180,1,0)</f>
        <v>0</v>
      </c>
      <c r="AC1189" s="32" t="str">
        <f>IF(Orders!D1186="","",INDEX(Riders!$C$2:$C$81,MATCH(Orders!D1186,Riders!$A$2:$A$81,0)))</f>
        <v>EV scooter</v>
      </c>
      <c r="AD1189" s="33">
        <f>IF(Orders!D1186="","",INDEX(Riders!$D$2:$D$81,MATCH(Orders!D1186,Riders!$A$2:$A$81,0)))</f>
        <v>36</v>
      </c>
      <c r="AE1189" s="33">
        <f>IF(Orders!D1186="","",IF(INDEX(Riders!$B$2:$B$81,MATCH(Orders!D1186,Riders!$A$2:$A$81,0))=B1189,1,0))</f>
        <v>0</v>
      </c>
      <c r="AF1189" s="34">
        <f>IF(E1189=1,Orders!L1186,"")</f>
        <v>1.14</v>
      </c>
      <c r="AG1189" s="34">
        <f>IF(E1189=1,Orders!P1186,"")</f>
        <v>9</v>
      </c>
      <c r="AH1189" s="34">
        <f>IF(E1189=1,Orders!Q1186,"")</f>
        <v>8.4</v>
      </c>
      <c r="AI1189" s="34">
        <f>IF(E1189=1,Orders!M1186,"")</f>
        <v>3.4</v>
      </c>
      <c r="AJ1189" s="34">
        <f>IF(E1189=1,Orders!N1186,"")</f>
        <v>2.4</v>
      </c>
      <c r="AK1189" s="34">
        <f>IF(E1189=1,Orders!O1186,"")</f>
        <v>2.6</v>
      </c>
      <c r="AL1189" s="33">
        <f>IF(E1189=1,IF(ROUND(ABS(AI1189+AJ1189+AK1189-AH1189),6)&lt;=0.1,1,0),"")</f>
        <v>1</v>
      </c>
      <c r="AM1189" s="36">
        <f>IF(E1189=1,AI1189/AH1189,"")</f>
        <v>0.404761904761905</v>
      </c>
      <c r="AN1189" s="36">
        <f>IF(E1189=1,AJ1189/AH1189,"")</f>
        <v>0.285714285714286</v>
      </c>
      <c r="AO1189" s="36">
        <f>IF(E1189=1,AK1189/AH1189,"")</f>
        <v>0.30952380952381</v>
      </c>
      <c r="AP1189" s="34">
        <f>IF(E1189=1,Orders!Y1186,"")</f>
        <v>0.65</v>
      </c>
      <c r="AQ1189" s="33">
        <f>IF(Orders!X1186,1,0)</f>
        <v>0</v>
      </c>
      <c r="AR1189" s="34">
        <f>IF(AND(E1189=1,L1189=1),AJ1189,"")</f>
        <v>2.4</v>
      </c>
      <c r="AS1189" s="34" t="str">
        <f>IF(AND(E1189=1,L1189=0),AJ1189,"")</f>
        <v/>
      </c>
      <c r="AT1189" s="34">
        <f>IF(AND(E1189=1,L1189=1),AI1189,"")</f>
        <v>3.4</v>
      </c>
      <c r="AU1189" s="34" t="str">
        <f>IF(AND(E1189=1,L1189=0),AI1189,"")</f>
        <v/>
      </c>
      <c r="AV1189" s="34">
        <f>IF(AND(E1189=1,L1189=1),AG1189,"")</f>
        <v>9</v>
      </c>
      <c r="AW1189" s="34" t="str">
        <f>IF(AND(E1189=1,L1189=0),AG1189,"")</f>
        <v/>
      </c>
      <c r="AX1189" s="34">
        <f>IF(AND(E1189=1,L1189=1),AH1189,"")</f>
        <v>8.4</v>
      </c>
      <c r="AY1189" s="34" t="str">
        <f>IF(AND(E1189=1,L1189=0),AH1189,"")</f>
        <v/>
      </c>
      <c r="AZ1189" s="34" t="str">
        <f>IF(G1189=1,F1189,"")</f>
        <v/>
      </c>
      <c r="BA1189" s="34" t="str">
        <f>IF(AND(G1189=1,L1189=1),F1189,"")</f>
        <v/>
      </c>
      <c r="BB1189" s="34" t="str">
        <f>IF(AND(G1189=1,L1189=0),F1189,"")</f>
        <v/>
      </c>
      <c r="BC1189" s="33">
        <f>IF(E1189=1,IF(Orders!R1186&gt;3,1,0),"")</f>
        <v>0</v>
      </c>
      <c r="BD1189" s="33">
        <f>IF(E1189=1,IF(Orders!R1186&gt;7,1,0),"")</f>
        <v>0</v>
      </c>
      <c r="BE1189" s="32" t="str">
        <f>IF(E1189=1,IF(Orders!L1186&lt;=1.5,"Up to 1.5 km",IF(Orders!L1186&lt;=3,"1.5–3 km","Over 3 km")),"")</f>
        <v>Up to 1.5 km</v>
      </c>
      <c r="BF1189" s="33">
        <f>IF(E1189=1,IF(ABS((Orders!G1186-Orders!F1186)*1440-Orders!R1186)&lt;0.06,1,0),"")</f>
        <v>1</v>
      </c>
      <c r="BG1189" s="33">
        <f>IF(ABS((Orders!F1186-Orders!E1186)*1440-Orders!P1186)&lt;0.06,1,0)</f>
        <v>1</v>
      </c>
      <c r="BH1189" s="33">
        <f>IF(E1189=1,IF(IF(Orders!S1186,1,0)=1-G1189,1,0),"")</f>
        <v>1</v>
      </c>
      <c r="BI1189" s="32" t="str">
        <f>INDEX(Stores!$B$2:$B$21,MATCH(B1189,Stores!$A$2:$A$21,0))</f>
        <v>Pune</v>
      </c>
    </row>
    <row r="1190">
      <c r="A1190" s="32" t="str">
        <f>Orders!A1187</f>
        <v>O01186</v>
      </c>
      <c r="B1190" s="32" t="str">
        <f>Orders!C1187</f>
        <v>S010</v>
      </c>
      <c r="C1190" s="32" t="str">
        <f>Orders!B1187</f>
        <v>C0106</v>
      </c>
      <c r="D1190" s="32" t="str">
        <f>Orders!H1187</f>
        <v>Delivered</v>
      </c>
      <c r="E1190" s="33">
        <f>IF(Orders!H1187="Delivered",1,0)</f>
        <v>1</v>
      </c>
      <c r="F1190" s="34">
        <f>IF(E1190=1,Orders!R1187,"")</f>
        <v>-1.1</v>
      </c>
      <c r="G1190" s="33">
        <f>IF(E1190=1,IF(Orders!R1187&gt;0,1,0),"")</f>
        <v>0</v>
      </c>
      <c r="H1190" s="33">
        <f>IF(E1190=1,IF(Orders!R1187&gt;5,1,0),"")</f>
        <v>0</v>
      </c>
      <c r="I1190" s="32" t="str">
        <f>IF(E1190=1,"",IF(OR(Orders!T1187="Rider unavailable",Orders!T1187="Item unavailable"),"Company-caused","Unresolved"))</f>
        <v/>
      </c>
      <c r="J1190" s="33">
        <f>IF(OR(E1190=1,I1190="Company-caused"),1,0)</f>
        <v>1</v>
      </c>
      <c r="K1190" s="32" t="str">
        <f>IF(E1190=0,IF(I1190="Company-caused",IF(Orders!T1187="Rider unavailable","C1 Rider unavailable","C2 Item unavailable"),"Outside root: unresolved"),IF(G1190=0,"A On time",IF(H1190=1,IF(L1190=1,"B2a Severe, peak","B2b Severe, off-peak"),IF(L1190=1,"B1a Slight, peak","B1b Slight, off-peak"))))</f>
        <v>A On time</v>
      </c>
      <c r="L1190" s="33">
        <f>IF(AND(Orders!U1187&gt;=19,Orders!U1187&lt;22),1,0)</f>
        <v>1</v>
      </c>
      <c r="M1190" s="33">
        <f>IF(L1190=IF(Orders!V1187,1,0),1,0)</f>
        <v>1</v>
      </c>
      <c r="N1190" s="32" t="str">
        <f>IF(Orders!W1187="","None",Orders!W1187)</f>
        <v>None</v>
      </c>
      <c r="O1190" s="35">
        <f>INT(Orders!E1187)</f>
        <v>46278.0</v>
      </c>
      <c r="P1190" s="33">
        <f>Orders!U1187</f>
        <v>19</v>
      </c>
      <c r="Q1190" s="33">
        <f>COUNTIFS(Demand!$A$2:$A$4481,B1190,Demand!$B$2:$B$4481,O1190,Demand!$C$2:$C$4481,P1190)</f>
        <v>1</v>
      </c>
      <c r="R1190" s="33">
        <f>IF(Q1190=1,SUMIFS(Demand!$E$2:$E$4481,Demand!$A$2:$A$4481,B1190,Demand!$B$2:$B$4481,O1190,Demand!$C$2:$C$4481,P1190),"")</f>
        <v>33</v>
      </c>
      <c r="S1190" s="33">
        <f>INDEX(Stores!$G$2:$G$21,MATCH(B1190,Stores!$A$2:$A$21,0))</f>
        <v>22</v>
      </c>
      <c r="T1190" s="34">
        <f>IF(R1190="","",R1190/S1190)</f>
        <v>1.5</v>
      </c>
      <c r="U1190" s="34">
        <f>IF(E1190=1,T1190,"")</f>
        <v>1.5</v>
      </c>
      <c r="V1190" s="34" t="str">
        <f>IF(AND(E1190=1,L1190=0),T1190,"")</f>
        <v/>
      </c>
      <c r="W1190" s="33">
        <f>IF(U1190="","",IF(U1190&lt;=Breakdowns!$C$5,1,IF(U1190&lt;=Breakdowns!$C$6,2,IF(U1190&lt;=Breakdowns!$C$7,3,4))))</f>
        <v>4</v>
      </c>
      <c r="X1190" s="33" t="str">
        <f>IF(V1190="","",IF(V1190&lt;=Breakdowns!$D$5,1,IF(V1190&lt;=Breakdowns!$D$6,2,IF(V1190&lt;=Breakdowns!$D$7,3,4))))</f>
        <v/>
      </c>
      <c r="Y1190" s="34">
        <f>INDEX(Stores!$F$2:$F$21,MATCH(B1190,Stores!$A$2:$A$21,0))</f>
        <v>5.61</v>
      </c>
      <c r="Z1190" s="33">
        <f>IF(Y1190&gt;Store_Summary!$M$2,1,0)</f>
        <v>1</v>
      </c>
      <c r="AA1190" s="33">
        <f>INDEX(Stores!$C$2:$C$21,MATCH(B1190,Stores!$A$2:$A$21,0))</f>
        <v>744</v>
      </c>
      <c r="AB1190" s="33">
        <f>IF(AA1190&lt;180,1,0)</f>
        <v>0</v>
      </c>
      <c r="AC1190" s="32" t="str">
        <f>IF(Orders!D1187="","",INDEX(Riders!$C$2:$C$81,MATCH(Orders!D1187,Riders!$A$2:$A$81,0)))</f>
        <v>EV scooter</v>
      </c>
      <c r="AD1190" s="33">
        <f>IF(Orders!D1187="","",INDEX(Riders!$D$2:$D$81,MATCH(Orders!D1187,Riders!$A$2:$A$81,0)))</f>
        <v>39</v>
      </c>
      <c r="AE1190" s="33">
        <f>IF(Orders!D1187="","",IF(INDEX(Riders!$B$2:$B$81,MATCH(Orders!D1187,Riders!$A$2:$A$81,0))=B1190,1,0))</f>
        <v>0</v>
      </c>
      <c r="AF1190" s="34">
        <f>IF(E1190=1,Orders!L1187,"")</f>
        <v>0.76</v>
      </c>
      <c r="AG1190" s="34">
        <f>IF(E1190=1,Orders!P1187,"")</f>
        <v>9</v>
      </c>
      <c r="AH1190" s="34">
        <f>IF(E1190=1,Orders!Q1187,"")</f>
        <v>7.9</v>
      </c>
      <c r="AI1190" s="34">
        <f>IF(E1190=1,Orders!M1187,"")</f>
        <v>3.3</v>
      </c>
      <c r="AJ1190" s="34">
        <f>IF(E1190=1,Orders!N1187,"")</f>
        <v>2.6</v>
      </c>
      <c r="AK1190" s="34">
        <f>IF(E1190=1,Orders!O1187,"")</f>
        <v>2</v>
      </c>
      <c r="AL1190" s="33">
        <f>IF(E1190=1,IF(ROUND(ABS(AI1190+AJ1190+AK1190-AH1190),6)&lt;=0.1,1,0),"")</f>
        <v>1</v>
      </c>
      <c r="AM1190" s="36">
        <f>IF(E1190=1,AI1190/AH1190,"")</f>
        <v>0.417721518987342</v>
      </c>
      <c r="AN1190" s="36">
        <f>IF(E1190=1,AJ1190/AH1190,"")</f>
        <v>0.329113924050633</v>
      </c>
      <c r="AO1190" s="36">
        <f>IF(E1190=1,AK1190/AH1190,"")</f>
        <v>0.253164556962025</v>
      </c>
      <c r="AP1190" s="34">
        <f>IF(E1190=1,Orders!Y1187,"")</f>
        <v>0.77</v>
      </c>
      <c r="AQ1190" s="33">
        <f>IF(Orders!X1187,1,0)</f>
        <v>0</v>
      </c>
      <c r="AR1190" s="34">
        <f>IF(AND(E1190=1,L1190=1),AJ1190,"")</f>
        <v>2.6</v>
      </c>
      <c r="AS1190" s="34" t="str">
        <f>IF(AND(E1190=1,L1190=0),AJ1190,"")</f>
        <v/>
      </c>
      <c r="AT1190" s="34">
        <f>IF(AND(E1190=1,L1190=1),AI1190,"")</f>
        <v>3.3</v>
      </c>
      <c r="AU1190" s="34" t="str">
        <f>IF(AND(E1190=1,L1190=0),AI1190,"")</f>
        <v/>
      </c>
      <c r="AV1190" s="34">
        <f>IF(AND(E1190=1,L1190=1),AG1190,"")</f>
        <v>9</v>
      </c>
      <c r="AW1190" s="34" t="str">
        <f>IF(AND(E1190=1,L1190=0),AG1190,"")</f>
        <v/>
      </c>
      <c r="AX1190" s="34">
        <f>IF(AND(E1190=1,L1190=1),AH1190,"")</f>
        <v>7.9</v>
      </c>
      <c r="AY1190" s="34" t="str">
        <f>IF(AND(E1190=1,L1190=0),AH1190,"")</f>
        <v/>
      </c>
      <c r="AZ1190" s="34" t="str">
        <f>IF(G1190=1,F1190,"")</f>
        <v/>
      </c>
      <c r="BA1190" s="34" t="str">
        <f>IF(AND(G1190=1,L1190=1),F1190,"")</f>
        <v/>
      </c>
      <c r="BB1190" s="34" t="str">
        <f>IF(AND(G1190=1,L1190=0),F1190,"")</f>
        <v/>
      </c>
      <c r="BC1190" s="33">
        <f>IF(E1190=1,IF(Orders!R1187&gt;3,1,0),"")</f>
        <v>0</v>
      </c>
      <c r="BD1190" s="33">
        <f>IF(E1190=1,IF(Orders!R1187&gt;7,1,0),"")</f>
        <v>0</v>
      </c>
      <c r="BE1190" s="32" t="str">
        <f>IF(E1190=1,IF(Orders!L1187&lt;=1.5,"Up to 1.5 km",IF(Orders!L1187&lt;=3,"1.5–3 km","Over 3 km")),"")</f>
        <v>Up to 1.5 km</v>
      </c>
      <c r="BF1190" s="33">
        <f>IF(E1190=1,IF(ABS((Orders!G1187-Orders!F1187)*1440-Orders!R1187)&lt;0.06,1,0),"")</f>
        <v>1</v>
      </c>
      <c r="BG1190" s="33">
        <f>IF(ABS((Orders!F1187-Orders!E1187)*1440-Orders!P1187)&lt;0.06,1,0)</f>
        <v>1</v>
      </c>
      <c r="BH1190" s="33">
        <f>IF(E1190=1,IF(IF(Orders!S1187,1,0)=1-G1190,1,0),"")</f>
        <v>1</v>
      </c>
      <c r="BI1190" s="32" t="str">
        <f>INDEX(Stores!$B$2:$B$21,MATCH(B1190,Stores!$A$2:$A$21,0))</f>
        <v>Delhi</v>
      </c>
    </row>
    <row r="1191">
      <c r="A1191" s="32" t="str">
        <f>Orders!A1188</f>
        <v>O01187</v>
      </c>
      <c r="B1191" s="32" t="str">
        <f>Orders!C1188</f>
        <v>S005</v>
      </c>
      <c r="C1191" s="32" t="str">
        <f>Orders!B1188</f>
        <v>C0198</v>
      </c>
      <c r="D1191" s="32" t="str">
        <f>Orders!H1188</f>
        <v>Delivered</v>
      </c>
      <c r="E1191" s="33">
        <f>IF(Orders!H1188="Delivered",1,0)</f>
        <v>1</v>
      </c>
      <c r="F1191" s="34">
        <f>IF(E1191=1,Orders!R1188,"")</f>
        <v>14.7</v>
      </c>
      <c r="G1191" s="33">
        <f>IF(E1191=1,IF(Orders!R1188&gt;0,1,0),"")</f>
        <v>1</v>
      </c>
      <c r="H1191" s="33">
        <f>IF(E1191=1,IF(Orders!R1188&gt;5,1,0),"")</f>
        <v>1</v>
      </c>
      <c r="I1191" s="32" t="str">
        <f>IF(E1191=1,"",IF(OR(Orders!T1188="Rider unavailable",Orders!T1188="Item unavailable"),"Company-caused","Unresolved"))</f>
        <v/>
      </c>
      <c r="J1191" s="33">
        <f>IF(OR(E1191=1,I1191="Company-caused"),1,0)</f>
        <v>1</v>
      </c>
      <c r="K1191" s="32" t="str">
        <f>IF(E1191=0,IF(I1191="Company-caused",IF(Orders!T1188="Rider unavailable","C1 Rider unavailable","C2 Item unavailable"),"Outside root: unresolved"),IF(G1191=0,"A On time",IF(H1191=1,IF(L1191=1,"B2a Severe, peak","B2b Severe, off-peak"),IF(L1191=1,"B1a Slight, peak","B1b Slight, off-peak"))))</f>
        <v>B2a Severe, peak</v>
      </c>
      <c r="L1191" s="33">
        <f>IF(AND(Orders!U1188&gt;=19,Orders!U1188&lt;22),1,0)</f>
        <v>1</v>
      </c>
      <c r="M1191" s="33">
        <f>IF(L1191=IF(Orders!V1188,1,0),1,0)</f>
        <v>1</v>
      </c>
      <c r="N1191" s="32" t="str">
        <f>IF(Orders!W1188="","None",Orders!W1188)</f>
        <v>None</v>
      </c>
      <c r="O1191" s="35">
        <f>INT(Orders!E1188)</f>
        <v>46277.0</v>
      </c>
      <c r="P1191" s="33">
        <f>Orders!U1188</f>
        <v>19</v>
      </c>
      <c r="Q1191" s="33">
        <f>COUNTIFS(Demand!$A$2:$A$4481,B1191,Demand!$B$2:$B$4481,O1191,Demand!$C$2:$C$4481,P1191)</f>
        <v>1</v>
      </c>
      <c r="R1191" s="33">
        <f>IF(Q1191=1,SUMIFS(Demand!$E$2:$E$4481,Demand!$A$2:$A$4481,B1191,Demand!$B$2:$B$4481,O1191,Demand!$C$2:$C$4481,P1191),"")</f>
        <v>24</v>
      </c>
      <c r="S1191" s="33">
        <f>INDEX(Stores!$G$2:$G$21,MATCH(B1191,Stores!$A$2:$A$21,0))</f>
        <v>14</v>
      </c>
      <c r="T1191" s="34">
        <f>IF(R1191="","",R1191/S1191)</f>
        <v>1.71428571428571</v>
      </c>
      <c r="U1191" s="34">
        <f>IF(E1191=1,T1191,"")</f>
        <v>1.71428571428571</v>
      </c>
      <c r="V1191" s="34" t="str">
        <f>IF(AND(E1191=1,L1191=0),T1191,"")</f>
        <v/>
      </c>
      <c r="W1191" s="33">
        <f>IF(U1191="","",IF(U1191&lt;=Breakdowns!$C$5,1,IF(U1191&lt;=Breakdowns!$C$6,2,IF(U1191&lt;=Breakdowns!$C$7,3,4))))</f>
        <v>4</v>
      </c>
      <c r="X1191" s="33" t="str">
        <f>IF(V1191="","",IF(V1191&lt;=Breakdowns!$D$5,1,IF(V1191&lt;=Breakdowns!$D$6,2,IF(V1191&lt;=Breakdowns!$D$7,3,4))))</f>
        <v/>
      </c>
      <c r="Y1191" s="34">
        <f>INDEX(Stores!$F$2:$F$21,MATCH(B1191,Stores!$A$2:$A$21,0))</f>
        <v>4.89</v>
      </c>
      <c r="Z1191" s="33">
        <f>IF(Y1191&gt;Store_Summary!$M$2,1,0)</f>
        <v>0</v>
      </c>
      <c r="AA1191" s="33">
        <f>INDEX(Stores!$C$2:$C$21,MATCH(B1191,Stores!$A$2:$A$21,0))</f>
        <v>138</v>
      </c>
      <c r="AB1191" s="33">
        <f>IF(AA1191&lt;180,1,0)</f>
        <v>1</v>
      </c>
      <c r="AC1191" s="32" t="str">
        <f>IF(Orders!D1188="","",INDEX(Riders!$C$2:$C$81,MATCH(Orders!D1188,Riders!$A$2:$A$81,0)))</f>
        <v>Petrol scooter</v>
      </c>
      <c r="AD1191" s="33">
        <f>IF(Orders!D1188="","",INDEX(Riders!$D$2:$D$81,MATCH(Orders!D1188,Riders!$A$2:$A$81,0)))</f>
        <v>24</v>
      </c>
      <c r="AE1191" s="33">
        <f>IF(Orders!D1188="","",IF(INDEX(Riders!$B$2:$B$81,MATCH(Orders!D1188,Riders!$A$2:$A$81,0))=B1191,1,0))</f>
        <v>0</v>
      </c>
      <c r="AF1191" s="34">
        <f>IF(E1191=1,Orders!L1188,"")</f>
        <v>4.17</v>
      </c>
      <c r="AG1191" s="34">
        <f>IF(E1191=1,Orders!P1188,"")</f>
        <v>10.3</v>
      </c>
      <c r="AH1191" s="34">
        <f>IF(E1191=1,Orders!Q1188,"")</f>
        <v>25</v>
      </c>
      <c r="AI1191" s="34">
        <f>IF(E1191=1,Orders!M1188,"")</f>
        <v>6.8</v>
      </c>
      <c r="AJ1191" s="34">
        <f>IF(E1191=1,Orders!N1188,"")</f>
        <v>6.9</v>
      </c>
      <c r="AK1191" s="34">
        <f>IF(E1191=1,Orders!O1188,"")</f>
        <v>11.4</v>
      </c>
      <c r="AL1191" s="33">
        <f>IF(E1191=1,IF(ROUND(ABS(AI1191+AJ1191+AK1191-AH1191),6)&lt;=0.1,1,0),"")</f>
        <v>1</v>
      </c>
      <c r="AM1191" s="36">
        <f>IF(E1191=1,AI1191/AH1191,"")</f>
        <v>0.272</v>
      </c>
      <c r="AN1191" s="36">
        <f>IF(E1191=1,AJ1191/AH1191,"")</f>
        <v>0.276</v>
      </c>
      <c r="AO1191" s="36">
        <f>IF(E1191=1,AK1191/AH1191,"")</f>
        <v>0.456</v>
      </c>
      <c r="AP1191" s="34">
        <f>IF(E1191=1,Orders!Y1188,"")</f>
        <v>0.62</v>
      </c>
      <c r="AQ1191" s="33">
        <f>IF(Orders!X1188,1,0)</f>
        <v>0</v>
      </c>
      <c r="AR1191" s="34">
        <f>IF(AND(E1191=1,L1191=1),AJ1191,"")</f>
        <v>6.9</v>
      </c>
      <c r="AS1191" s="34" t="str">
        <f>IF(AND(E1191=1,L1191=0),AJ1191,"")</f>
        <v/>
      </c>
      <c r="AT1191" s="34">
        <f>IF(AND(E1191=1,L1191=1),AI1191,"")</f>
        <v>6.8</v>
      </c>
      <c r="AU1191" s="34" t="str">
        <f>IF(AND(E1191=1,L1191=0),AI1191,"")</f>
        <v/>
      </c>
      <c r="AV1191" s="34">
        <f>IF(AND(E1191=1,L1191=1),AG1191,"")</f>
        <v>10.3</v>
      </c>
      <c r="AW1191" s="34" t="str">
        <f>IF(AND(E1191=1,L1191=0),AG1191,"")</f>
        <v/>
      </c>
      <c r="AX1191" s="34">
        <f>IF(AND(E1191=1,L1191=1),AH1191,"")</f>
        <v>25</v>
      </c>
      <c r="AY1191" s="34" t="str">
        <f>IF(AND(E1191=1,L1191=0),AH1191,"")</f>
        <v/>
      </c>
      <c r="AZ1191" s="34">
        <f>IF(G1191=1,F1191,"")</f>
        <v>14.7</v>
      </c>
      <c r="BA1191" s="34">
        <f>IF(AND(G1191=1,L1191=1),F1191,"")</f>
        <v>14.7</v>
      </c>
      <c r="BB1191" s="34" t="str">
        <f>IF(AND(G1191=1,L1191=0),F1191,"")</f>
        <v/>
      </c>
      <c r="BC1191" s="33">
        <f>IF(E1191=1,IF(Orders!R1188&gt;3,1,0),"")</f>
        <v>1</v>
      </c>
      <c r="BD1191" s="33">
        <f>IF(E1191=1,IF(Orders!R1188&gt;7,1,0),"")</f>
        <v>1</v>
      </c>
      <c r="BE1191" s="32" t="str">
        <f>IF(E1191=1,IF(Orders!L1188&lt;=1.5,"Up to 1.5 km",IF(Orders!L1188&lt;=3,"1.5–3 km","Over 3 km")),"")</f>
        <v>Over 3 km</v>
      </c>
      <c r="BF1191" s="33">
        <f>IF(E1191=1,IF(ABS((Orders!G1188-Orders!F1188)*1440-Orders!R1188)&lt;0.06,1,0),"")</f>
        <v>1</v>
      </c>
      <c r="BG1191" s="33">
        <f>IF(ABS((Orders!F1188-Orders!E1188)*1440-Orders!P1188)&lt;0.06,1,0)</f>
        <v>1</v>
      </c>
      <c r="BH1191" s="33">
        <f>IF(E1191=1,IF(IF(Orders!S1188,1,0)=1-G1191,1,0),"")</f>
        <v>1</v>
      </c>
      <c r="BI1191" s="32" t="str">
        <f>INDEX(Stores!$B$2:$B$21,MATCH(B1191,Stores!$A$2:$A$21,0))</f>
        <v>Delhi</v>
      </c>
    </row>
    <row r="1192">
      <c r="A1192" s="32" t="str">
        <f>Orders!A1189</f>
        <v>O01188</v>
      </c>
      <c r="B1192" s="32" t="str">
        <f>Orders!C1189</f>
        <v>S005</v>
      </c>
      <c r="C1192" s="32" t="str">
        <f>Orders!B1189</f>
        <v>C0111</v>
      </c>
      <c r="D1192" s="32" t="str">
        <f>Orders!H1189</f>
        <v>Delivered</v>
      </c>
      <c r="E1192" s="33">
        <f>IF(Orders!H1189="Delivered",1,0)</f>
        <v>1</v>
      </c>
      <c r="F1192" s="34">
        <f>IF(E1192=1,Orders!R1189,"")</f>
        <v>4.9</v>
      </c>
      <c r="G1192" s="33">
        <f>IF(E1192=1,IF(Orders!R1189&gt;0,1,0),"")</f>
        <v>1</v>
      </c>
      <c r="H1192" s="33">
        <f>IF(E1192=1,IF(Orders!R1189&gt;5,1,0),"")</f>
        <v>0</v>
      </c>
      <c r="I1192" s="32" t="str">
        <f>IF(E1192=1,"",IF(OR(Orders!T1189="Rider unavailable",Orders!T1189="Item unavailable"),"Company-caused","Unresolved"))</f>
        <v/>
      </c>
      <c r="J1192" s="33">
        <f>IF(OR(E1192=1,I1192="Company-caused"),1,0)</f>
        <v>1</v>
      </c>
      <c r="K1192" s="32" t="str">
        <f>IF(E1192=0,IF(I1192="Company-caused",IF(Orders!T1189="Rider unavailable","C1 Rider unavailable","C2 Item unavailable"),"Outside root: unresolved"),IF(G1192=0,"A On time",IF(H1192=1,IF(L1192=1,"B2a Severe, peak","B2b Severe, off-peak"),IF(L1192=1,"B1a Slight, peak","B1b Slight, off-peak"))))</f>
        <v>B1b Slight, off-peak</v>
      </c>
      <c r="L1192" s="33">
        <f>IF(AND(Orders!U1189&gt;=19,Orders!U1189&lt;22),1,0)</f>
        <v>0</v>
      </c>
      <c r="M1192" s="33">
        <f>IF(L1192=IF(Orders!V1189,1,0),1,0)</f>
        <v>1</v>
      </c>
      <c r="N1192" s="32" t="str">
        <f>IF(Orders!W1189="","None",Orders!W1189)</f>
        <v>None</v>
      </c>
      <c r="O1192" s="35">
        <f>INT(Orders!E1189)</f>
        <v>46266.0</v>
      </c>
      <c r="P1192" s="33">
        <f>Orders!U1189</f>
        <v>16</v>
      </c>
      <c r="Q1192" s="33">
        <f>COUNTIFS(Demand!$A$2:$A$4481,B1192,Demand!$B$2:$B$4481,O1192,Demand!$C$2:$C$4481,P1192)</f>
        <v>1</v>
      </c>
      <c r="R1192" s="33">
        <f>IF(Q1192=1,SUMIFS(Demand!$E$2:$E$4481,Demand!$A$2:$A$4481,B1192,Demand!$B$2:$B$4481,O1192,Demand!$C$2:$C$4481,P1192),"")</f>
        <v>12</v>
      </c>
      <c r="S1192" s="33">
        <f>INDEX(Stores!$G$2:$G$21,MATCH(B1192,Stores!$A$2:$A$21,0))</f>
        <v>14</v>
      </c>
      <c r="T1192" s="34">
        <f>IF(R1192="","",R1192/S1192)</f>
        <v>0.857142857142857</v>
      </c>
      <c r="U1192" s="34">
        <f>IF(E1192=1,T1192,"")</f>
        <v>0.857142857142857</v>
      </c>
      <c r="V1192" s="34">
        <f>IF(AND(E1192=1,L1192=0),T1192,"")</f>
        <v>0.857142857142857</v>
      </c>
      <c r="W1192" s="33">
        <f>IF(U1192="","",IF(U1192&lt;=Breakdowns!$C$5,1,IF(U1192&lt;=Breakdowns!$C$6,2,IF(U1192&lt;=Breakdowns!$C$7,3,4))))</f>
        <v>2</v>
      </c>
      <c r="X1192" s="33">
        <f>IF(V1192="","",IF(V1192&lt;=Breakdowns!$D$5,1,IF(V1192&lt;=Breakdowns!$D$6,2,IF(V1192&lt;=Breakdowns!$D$7,3,4))))</f>
        <v>2</v>
      </c>
      <c r="Y1192" s="34">
        <f>INDEX(Stores!$F$2:$F$21,MATCH(B1192,Stores!$A$2:$A$21,0))</f>
        <v>4.89</v>
      </c>
      <c r="Z1192" s="33">
        <f>IF(Y1192&gt;Store_Summary!$M$2,1,0)</f>
        <v>0</v>
      </c>
      <c r="AA1192" s="33">
        <f>INDEX(Stores!$C$2:$C$21,MATCH(B1192,Stores!$A$2:$A$21,0))</f>
        <v>138</v>
      </c>
      <c r="AB1192" s="33">
        <f>IF(AA1192&lt;180,1,0)</f>
        <v>1</v>
      </c>
      <c r="AC1192" s="32" t="str">
        <f>IF(Orders!D1189="","",INDEX(Riders!$C$2:$C$81,MATCH(Orders!D1189,Riders!$A$2:$A$81,0)))</f>
        <v>Petrol scooter</v>
      </c>
      <c r="AD1192" s="33">
        <f>IF(Orders!D1189="","",INDEX(Riders!$D$2:$D$81,MATCH(Orders!D1189,Riders!$A$2:$A$81,0)))</f>
        <v>24</v>
      </c>
      <c r="AE1192" s="33">
        <f>IF(Orders!D1189="","",IF(INDEX(Riders!$B$2:$B$81,MATCH(Orders!D1189,Riders!$A$2:$A$81,0))=B1192,1,0))</f>
        <v>0</v>
      </c>
      <c r="AF1192" s="34">
        <f>IF(E1192=1,Orders!L1189,"")</f>
        <v>1.44</v>
      </c>
      <c r="AG1192" s="34">
        <f>IF(E1192=1,Orders!P1189,"")</f>
        <v>11</v>
      </c>
      <c r="AH1192" s="34">
        <f>IF(E1192=1,Orders!Q1189,"")</f>
        <v>15.9</v>
      </c>
      <c r="AI1192" s="34">
        <f>IF(E1192=1,Orders!M1189,"")</f>
        <v>5.6</v>
      </c>
      <c r="AJ1192" s="34">
        <f>IF(E1192=1,Orders!N1189,"")</f>
        <v>5.4</v>
      </c>
      <c r="AK1192" s="34">
        <f>IF(E1192=1,Orders!O1189,"")</f>
        <v>5</v>
      </c>
      <c r="AL1192" s="33">
        <f>IF(E1192=1,IF(ROUND(ABS(AI1192+AJ1192+AK1192-AH1192),6)&lt;=0.1,1,0),"")</f>
        <v>1</v>
      </c>
      <c r="AM1192" s="36">
        <f>IF(E1192=1,AI1192/AH1192,"")</f>
        <v>0.352201257861635</v>
      </c>
      <c r="AN1192" s="36">
        <f>IF(E1192=1,AJ1192/AH1192,"")</f>
        <v>0.339622641509434</v>
      </c>
      <c r="AO1192" s="36">
        <f>IF(E1192=1,AK1192/AH1192,"")</f>
        <v>0.314465408805031</v>
      </c>
      <c r="AP1192" s="34">
        <f>IF(E1192=1,Orders!Y1189,"")</f>
        <v>0.56</v>
      </c>
      <c r="AQ1192" s="33">
        <f>IF(Orders!X1189,1,0)</f>
        <v>0</v>
      </c>
      <c r="AR1192" s="34" t="str">
        <f>IF(AND(E1192=1,L1192=1),AJ1192,"")</f>
        <v/>
      </c>
      <c r="AS1192" s="34">
        <f>IF(AND(E1192=1,L1192=0),AJ1192,"")</f>
        <v>5.4</v>
      </c>
      <c r="AT1192" s="34" t="str">
        <f>IF(AND(E1192=1,L1192=1),AI1192,"")</f>
        <v/>
      </c>
      <c r="AU1192" s="34">
        <f>IF(AND(E1192=1,L1192=0),AI1192,"")</f>
        <v>5.6</v>
      </c>
      <c r="AV1192" s="34" t="str">
        <f>IF(AND(E1192=1,L1192=1),AG1192,"")</f>
        <v/>
      </c>
      <c r="AW1192" s="34">
        <f>IF(AND(E1192=1,L1192=0),AG1192,"")</f>
        <v>11</v>
      </c>
      <c r="AX1192" s="34" t="str">
        <f>IF(AND(E1192=1,L1192=1),AH1192,"")</f>
        <v/>
      </c>
      <c r="AY1192" s="34">
        <f>IF(AND(E1192=1,L1192=0),AH1192,"")</f>
        <v>15.9</v>
      </c>
      <c r="AZ1192" s="34">
        <f>IF(G1192=1,F1192,"")</f>
        <v>4.9</v>
      </c>
      <c r="BA1192" s="34" t="str">
        <f>IF(AND(G1192=1,L1192=1),F1192,"")</f>
        <v/>
      </c>
      <c r="BB1192" s="34">
        <f>IF(AND(G1192=1,L1192=0),F1192,"")</f>
        <v>4.9</v>
      </c>
      <c r="BC1192" s="33">
        <f>IF(E1192=1,IF(Orders!R1189&gt;3,1,0),"")</f>
        <v>1</v>
      </c>
      <c r="BD1192" s="33">
        <f>IF(E1192=1,IF(Orders!R1189&gt;7,1,0),"")</f>
        <v>0</v>
      </c>
      <c r="BE1192" s="32" t="str">
        <f>IF(E1192=1,IF(Orders!L1189&lt;=1.5,"Up to 1.5 km",IF(Orders!L1189&lt;=3,"1.5–3 km","Over 3 km")),"")</f>
        <v>Up to 1.5 km</v>
      </c>
      <c r="BF1192" s="33">
        <f>IF(E1192=1,IF(ABS((Orders!G1189-Orders!F1189)*1440-Orders!R1189)&lt;0.06,1,0),"")</f>
        <v>1</v>
      </c>
      <c r="BG1192" s="33">
        <f>IF(ABS((Orders!F1189-Orders!E1189)*1440-Orders!P1189)&lt;0.06,1,0)</f>
        <v>1</v>
      </c>
      <c r="BH1192" s="33">
        <f>IF(E1192=1,IF(IF(Orders!S1189,1,0)=1-G1192,1,0),"")</f>
        <v>1</v>
      </c>
      <c r="BI1192" s="32" t="str">
        <f>INDEX(Stores!$B$2:$B$21,MATCH(B1192,Stores!$A$2:$A$21,0))</f>
        <v>Delhi</v>
      </c>
    </row>
    <row r="1193">
      <c r="A1193" s="32" t="str">
        <f>Orders!A1190</f>
        <v>O01189</v>
      </c>
      <c r="B1193" s="32" t="str">
        <f>Orders!C1190</f>
        <v>S010</v>
      </c>
      <c r="C1193" s="32" t="str">
        <f>Orders!B1190</f>
        <v>C0113</v>
      </c>
      <c r="D1193" s="32" t="str">
        <f>Orders!H1190</f>
        <v>Delivered</v>
      </c>
      <c r="E1193" s="33">
        <f>IF(Orders!H1190="Delivered",1,0)</f>
        <v>1</v>
      </c>
      <c r="F1193" s="34">
        <f>IF(E1193=1,Orders!R1190,"")</f>
        <v>-0.6</v>
      </c>
      <c r="G1193" s="33">
        <f>IF(E1193=1,IF(Orders!R1190&gt;0,1,0),"")</f>
        <v>0</v>
      </c>
      <c r="H1193" s="33">
        <f>IF(E1193=1,IF(Orders!R1190&gt;5,1,0),"")</f>
        <v>0</v>
      </c>
      <c r="I1193" s="32" t="str">
        <f>IF(E1193=1,"",IF(OR(Orders!T1190="Rider unavailable",Orders!T1190="Item unavailable"),"Company-caused","Unresolved"))</f>
        <v/>
      </c>
      <c r="J1193" s="33">
        <f>IF(OR(E1193=1,I1193="Company-caused"),1,0)</f>
        <v>1</v>
      </c>
      <c r="K1193" s="32" t="str">
        <f>IF(E1193=0,IF(I1193="Company-caused",IF(Orders!T1190="Rider unavailable","C1 Rider unavailable","C2 Item unavailable"),"Outside root: unresolved"),IF(G1193=0,"A On time",IF(H1193=1,IF(L1193=1,"B2a Severe, peak","B2b Severe, off-peak"),IF(L1193=1,"B1a Slight, peak","B1b Slight, off-peak"))))</f>
        <v>A On time</v>
      </c>
      <c r="L1193" s="33">
        <f>IF(AND(Orders!U1190&gt;=19,Orders!U1190&lt;22),1,0)</f>
        <v>0</v>
      </c>
      <c r="M1193" s="33">
        <f>IF(L1193=IF(Orders!V1190,1,0),1,0)</f>
        <v>1</v>
      </c>
      <c r="N1193" s="32" t="str">
        <f>IF(Orders!W1190="","None",Orders!W1190)</f>
        <v>None</v>
      </c>
      <c r="O1193" s="35">
        <f>INT(Orders!E1190)</f>
        <v>46270.0</v>
      </c>
      <c r="P1193" s="33">
        <f>Orders!U1190</f>
        <v>9</v>
      </c>
      <c r="Q1193" s="33">
        <f>COUNTIFS(Demand!$A$2:$A$4481,B1193,Demand!$B$2:$B$4481,O1193,Demand!$C$2:$C$4481,P1193)</f>
        <v>1</v>
      </c>
      <c r="R1193" s="33">
        <f>IF(Q1193=1,SUMIFS(Demand!$E$2:$E$4481,Demand!$A$2:$A$4481,B1193,Demand!$B$2:$B$4481,O1193,Demand!$C$2:$C$4481,P1193),"")</f>
        <v>15</v>
      </c>
      <c r="S1193" s="33">
        <f>INDEX(Stores!$G$2:$G$21,MATCH(B1193,Stores!$A$2:$A$21,0))</f>
        <v>22</v>
      </c>
      <c r="T1193" s="34">
        <f>IF(R1193="","",R1193/S1193)</f>
        <v>0.681818181818182</v>
      </c>
      <c r="U1193" s="34">
        <f>IF(E1193=1,T1193,"")</f>
        <v>0.681818181818182</v>
      </c>
      <c r="V1193" s="34">
        <f>IF(AND(E1193=1,L1193=0),T1193,"")</f>
        <v>0.681818181818182</v>
      </c>
      <c r="W1193" s="33">
        <f>IF(U1193="","",IF(U1193&lt;=Breakdowns!$C$5,1,IF(U1193&lt;=Breakdowns!$C$6,2,IF(U1193&lt;=Breakdowns!$C$7,3,4))))</f>
        <v>1</v>
      </c>
      <c r="X1193" s="33">
        <f>IF(V1193="","",IF(V1193&lt;=Breakdowns!$D$5,1,IF(V1193&lt;=Breakdowns!$D$6,2,IF(V1193&lt;=Breakdowns!$D$7,3,4))))</f>
        <v>1</v>
      </c>
      <c r="Y1193" s="34">
        <f>INDEX(Stores!$F$2:$F$21,MATCH(B1193,Stores!$A$2:$A$21,0))</f>
        <v>5.61</v>
      </c>
      <c r="Z1193" s="33">
        <f>IF(Y1193&gt;Store_Summary!$M$2,1,0)</f>
        <v>1</v>
      </c>
      <c r="AA1193" s="33">
        <f>INDEX(Stores!$C$2:$C$21,MATCH(B1193,Stores!$A$2:$A$21,0))</f>
        <v>744</v>
      </c>
      <c r="AB1193" s="33">
        <f>IF(AA1193&lt;180,1,0)</f>
        <v>0</v>
      </c>
      <c r="AC1193" s="32" t="str">
        <f>IF(Orders!D1190="","",INDEX(Riders!$C$2:$C$81,MATCH(Orders!D1190,Riders!$A$2:$A$81,0)))</f>
        <v>Petrol scooter</v>
      </c>
      <c r="AD1193" s="33">
        <f>IF(Orders!D1190="","",INDEX(Riders!$D$2:$D$81,MATCH(Orders!D1190,Riders!$A$2:$A$81,0)))</f>
        <v>19</v>
      </c>
      <c r="AE1193" s="33">
        <f>IF(Orders!D1190="","",IF(INDEX(Riders!$B$2:$B$81,MATCH(Orders!D1190,Riders!$A$2:$A$81,0))=B1193,1,0))</f>
        <v>0</v>
      </c>
      <c r="AF1193" s="34">
        <f>IF(E1193=1,Orders!L1190,"")</f>
        <v>0.56</v>
      </c>
      <c r="AG1193" s="34">
        <f>IF(E1193=1,Orders!P1190,"")</f>
        <v>8.1</v>
      </c>
      <c r="AH1193" s="34">
        <f>IF(E1193=1,Orders!Q1190,"")</f>
        <v>7.5</v>
      </c>
      <c r="AI1193" s="34">
        <f>IF(E1193=1,Orders!M1190,"")</f>
        <v>2.6</v>
      </c>
      <c r="AJ1193" s="34">
        <f>IF(E1193=1,Orders!N1190,"")</f>
        <v>4</v>
      </c>
      <c r="AK1193" s="34">
        <f>IF(E1193=1,Orders!O1190,"")</f>
        <v>0.9</v>
      </c>
      <c r="AL1193" s="33">
        <f>IF(E1193=1,IF(ROUND(ABS(AI1193+AJ1193+AK1193-AH1193),6)&lt;=0.1,1,0),"")</f>
        <v>1</v>
      </c>
      <c r="AM1193" s="36">
        <f>IF(E1193=1,AI1193/AH1193,"")</f>
        <v>0.346666666666667</v>
      </c>
      <c r="AN1193" s="36">
        <f>IF(E1193=1,AJ1193/AH1193,"")</f>
        <v>0.533333333333333</v>
      </c>
      <c r="AO1193" s="36">
        <f>IF(E1193=1,AK1193/AH1193,"")</f>
        <v>0.12</v>
      </c>
      <c r="AP1193" s="34">
        <f>IF(E1193=1,Orders!Y1190,"")</f>
        <v>0.12</v>
      </c>
      <c r="AQ1193" s="33">
        <f>IF(Orders!X1190,1,0)</f>
        <v>0</v>
      </c>
      <c r="AR1193" s="34" t="str">
        <f>IF(AND(E1193=1,L1193=1),AJ1193,"")</f>
        <v/>
      </c>
      <c r="AS1193" s="34">
        <f>IF(AND(E1193=1,L1193=0),AJ1193,"")</f>
        <v>4</v>
      </c>
      <c r="AT1193" s="34" t="str">
        <f>IF(AND(E1193=1,L1193=1),AI1193,"")</f>
        <v/>
      </c>
      <c r="AU1193" s="34">
        <f>IF(AND(E1193=1,L1193=0),AI1193,"")</f>
        <v>2.6</v>
      </c>
      <c r="AV1193" s="34" t="str">
        <f>IF(AND(E1193=1,L1193=1),AG1193,"")</f>
        <v/>
      </c>
      <c r="AW1193" s="34">
        <f>IF(AND(E1193=1,L1193=0),AG1193,"")</f>
        <v>8.1</v>
      </c>
      <c r="AX1193" s="34" t="str">
        <f>IF(AND(E1193=1,L1193=1),AH1193,"")</f>
        <v/>
      </c>
      <c r="AY1193" s="34">
        <f>IF(AND(E1193=1,L1193=0),AH1193,"")</f>
        <v>7.5</v>
      </c>
      <c r="AZ1193" s="34" t="str">
        <f>IF(G1193=1,F1193,"")</f>
        <v/>
      </c>
      <c r="BA1193" s="34" t="str">
        <f>IF(AND(G1193=1,L1193=1),F1193,"")</f>
        <v/>
      </c>
      <c r="BB1193" s="34" t="str">
        <f>IF(AND(G1193=1,L1193=0),F1193,"")</f>
        <v/>
      </c>
      <c r="BC1193" s="33">
        <f>IF(E1193=1,IF(Orders!R1190&gt;3,1,0),"")</f>
        <v>0</v>
      </c>
      <c r="BD1193" s="33">
        <f>IF(E1193=1,IF(Orders!R1190&gt;7,1,0),"")</f>
        <v>0</v>
      </c>
      <c r="BE1193" s="32" t="str">
        <f>IF(E1193=1,IF(Orders!L1190&lt;=1.5,"Up to 1.5 km",IF(Orders!L1190&lt;=3,"1.5–3 km","Over 3 km")),"")</f>
        <v>Up to 1.5 km</v>
      </c>
      <c r="BF1193" s="33">
        <f>IF(E1193=1,IF(ABS((Orders!G1190-Orders!F1190)*1440-Orders!R1190)&lt;0.06,1,0),"")</f>
        <v>1</v>
      </c>
      <c r="BG1193" s="33">
        <f>IF(ABS((Orders!F1190-Orders!E1190)*1440-Orders!P1190)&lt;0.06,1,0)</f>
        <v>1</v>
      </c>
      <c r="BH1193" s="33">
        <f>IF(E1193=1,IF(IF(Orders!S1190,1,0)=1-G1193,1,0),"")</f>
        <v>1</v>
      </c>
      <c r="BI1193" s="32" t="str">
        <f>INDEX(Stores!$B$2:$B$21,MATCH(B1193,Stores!$A$2:$A$21,0))</f>
        <v>Delhi</v>
      </c>
    </row>
    <row r="1194">
      <c r="A1194" s="32" t="str">
        <f>Orders!A1191</f>
        <v>O01190</v>
      </c>
      <c r="B1194" s="32" t="str">
        <f>Orders!C1191</f>
        <v>S003</v>
      </c>
      <c r="C1194" s="32" t="str">
        <f>Orders!B1191</f>
        <v>C0077</v>
      </c>
      <c r="D1194" s="32" t="str">
        <f>Orders!H1191</f>
        <v>Delivered</v>
      </c>
      <c r="E1194" s="33">
        <f>IF(Orders!H1191="Delivered",1,0)</f>
        <v>1</v>
      </c>
      <c r="F1194" s="34">
        <f>IF(E1194=1,Orders!R1191,"")</f>
        <v>-0.3</v>
      </c>
      <c r="G1194" s="33">
        <f>IF(E1194=1,IF(Orders!R1191&gt;0,1,0),"")</f>
        <v>0</v>
      </c>
      <c r="H1194" s="33">
        <f>IF(E1194=1,IF(Orders!R1191&gt;5,1,0),"")</f>
        <v>0</v>
      </c>
      <c r="I1194" s="32" t="str">
        <f>IF(E1194=1,"",IF(OR(Orders!T1191="Rider unavailable",Orders!T1191="Item unavailable"),"Company-caused","Unresolved"))</f>
        <v/>
      </c>
      <c r="J1194" s="33">
        <f>IF(OR(E1194=1,I1194="Company-caused"),1,0)</f>
        <v>1</v>
      </c>
      <c r="K1194" s="32" t="str">
        <f>IF(E1194=0,IF(I1194="Company-caused",IF(Orders!T1191="Rider unavailable","C1 Rider unavailable","C2 Item unavailable"),"Outside root: unresolved"),IF(G1194=0,"A On time",IF(H1194=1,IF(L1194=1,"B2a Severe, peak","B2b Severe, off-peak"),IF(L1194=1,"B1a Slight, peak","B1b Slight, off-peak"))))</f>
        <v>A On time</v>
      </c>
      <c r="L1194" s="33">
        <f>IF(AND(Orders!U1191&gt;=19,Orders!U1191&lt;22),1,0)</f>
        <v>1</v>
      </c>
      <c r="M1194" s="33">
        <f>IF(L1194=IF(Orders!V1191,1,0),1,0)</f>
        <v>1</v>
      </c>
      <c r="N1194" s="32" t="str">
        <f>IF(Orders!W1191="","None",Orders!W1191)</f>
        <v>None</v>
      </c>
      <c r="O1194" s="35">
        <f>INT(Orders!E1191)</f>
        <v>46278.0</v>
      </c>
      <c r="P1194" s="33">
        <f>Orders!U1191</f>
        <v>21</v>
      </c>
      <c r="Q1194" s="33">
        <f>COUNTIFS(Demand!$A$2:$A$4481,B1194,Demand!$B$2:$B$4481,O1194,Demand!$C$2:$C$4481,P1194)</f>
        <v>1</v>
      </c>
      <c r="R1194" s="33">
        <f>IF(Q1194=1,SUMIFS(Demand!$E$2:$E$4481,Demand!$A$2:$A$4481,B1194,Demand!$B$2:$B$4481,O1194,Demand!$C$2:$C$4481,P1194),"")</f>
        <v>68</v>
      </c>
      <c r="S1194" s="33">
        <f>INDEX(Stores!$G$2:$G$21,MATCH(B1194,Stores!$A$2:$A$21,0))</f>
        <v>41</v>
      </c>
      <c r="T1194" s="34">
        <f>IF(R1194="","",R1194/S1194)</f>
        <v>1.65853658536585</v>
      </c>
      <c r="U1194" s="34">
        <f>IF(E1194=1,T1194,"")</f>
        <v>1.65853658536585</v>
      </c>
      <c r="V1194" s="34" t="str">
        <f>IF(AND(E1194=1,L1194=0),T1194,"")</f>
        <v/>
      </c>
      <c r="W1194" s="33">
        <f>IF(U1194="","",IF(U1194&lt;=Breakdowns!$C$5,1,IF(U1194&lt;=Breakdowns!$C$6,2,IF(U1194&lt;=Breakdowns!$C$7,3,4))))</f>
        <v>4</v>
      </c>
      <c r="X1194" s="33" t="str">
        <f>IF(V1194="","",IF(V1194&lt;=Breakdowns!$D$5,1,IF(V1194&lt;=Breakdowns!$D$6,2,IF(V1194&lt;=Breakdowns!$D$7,3,4))))</f>
        <v/>
      </c>
      <c r="Y1194" s="34">
        <f>INDEX(Stores!$F$2:$F$21,MATCH(B1194,Stores!$A$2:$A$21,0))</f>
        <v>3.84</v>
      </c>
      <c r="Z1194" s="33">
        <f>IF(Y1194&gt;Store_Summary!$M$2,1,0)</f>
        <v>0</v>
      </c>
      <c r="AA1194" s="33">
        <f>INDEX(Stores!$C$2:$C$21,MATCH(B1194,Stores!$A$2:$A$21,0))</f>
        <v>426</v>
      </c>
      <c r="AB1194" s="33">
        <f>IF(AA1194&lt;180,1,0)</f>
        <v>0</v>
      </c>
      <c r="AC1194" s="32" t="str">
        <f>IF(Orders!D1191="","",INDEX(Riders!$C$2:$C$81,MATCH(Orders!D1191,Riders!$A$2:$A$81,0)))</f>
        <v>EV scooter</v>
      </c>
      <c r="AD1194" s="33">
        <f>IF(Orders!D1191="","",INDEX(Riders!$D$2:$D$81,MATCH(Orders!D1191,Riders!$A$2:$A$81,0)))</f>
        <v>3</v>
      </c>
      <c r="AE1194" s="33">
        <f>IF(Orders!D1191="","",IF(INDEX(Riders!$B$2:$B$81,MATCH(Orders!D1191,Riders!$A$2:$A$81,0))=B1194,1,0))</f>
        <v>0</v>
      </c>
      <c r="AF1194" s="34">
        <f>IF(E1194=1,Orders!L1191,"")</f>
        <v>1.09</v>
      </c>
      <c r="AG1194" s="34">
        <f>IF(E1194=1,Orders!P1191,"")</f>
        <v>9.9</v>
      </c>
      <c r="AH1194" s="34">
        <f>IF(E1194=1,Orders!Q1191,"")</f>
        <v>9.6</v>
      </c>
      <c r="AI1194" s="34">
        <f>IF(E1194=1,Orders!M1191,"")</f>
        <v>2</v>
      </c>
      <c r="AJ1194" s="34">
        <f>IF(E1194=1,Orders!N1191,"")</f>
        <v>5.5</v>
      </c>
      <c r="AK1194" s="34">
        <f>IF(E1194=1,Orders!O1191,"")</f>
        <v>2.1</v>
      </c>
      <c r="AL1194" s="33">
        <f>IF(E1194=1,IF(ROUND(ABS(AI1194+AJ1194+AK1194-AH1194),6)&lt;=0.1,1,0),"")</f>
        <v>1</v>
      </c>
      <c r="AM1194" s="36">
        <f>IF(E1194=1,AI1194/AH1194,"")</f>
        <v>0.208333333333333</v>
      </c>
      <c r="AN1194" s="36">
        <f>IF(E1194=1,AJ1194/AH1194,"")</f>
        <v>0.572916666666667</v>
      </c>
      <c r="AO1194" s="36">
        <f>IF(E1194=1,AK1194/AH1194,"")</f>
        <v>0.21875</v>
      </c>
      <c r="AP1194" s="34">
        <f>IF(E1194=1,Orders!Y1191,"")</f>
        <v>0.53</v>
      </c>
      <c r="AQ1194" s="33">
        <f>IF(Orders!X1191,1,0)</f>
        <v>0</v>
      </c>
      <c r="AR1194" s="34">
        <f>IF(AND(E1194=1,L1194=1),AJ1194,"")</f>
        <v>5.5</v>
      </c>
      <c r="AS1194" s="34" t="str">
        <f>IF(AND(E1194=1,L1194=0),AJ1194,"")</f>
        <v/>
      </c>
      <c r="AT1194" s="34">
        <f>IF(AND(E1194=1,L1194=1),AI1194,"")</f>
        <v>2</v>
      </c>
      <c r="AU1194" s="34" t="str">
        <f>IF(AND(E1194=1,L1194=0),AI1194,"")</f>
        <v/>
      </c>
      <c r="AV1194" s="34">
        <f>IF(AND(E1194=1,L1194=1),AG1194,"")</f>
        <v>9.9</v>
      </c>
      <c r="AW1194" s="34" t="str">
        <f>IF(AND(E1194=1,L1194=0),AG1194,"")</f>
        <v/>
      </c>
      <c r="AX1194" s="34">
        <f>IF(AND(E1194=1,L1194=1),AH1194,"")</f>
        <v>9.6</v>
      </c>
      <c r="AY1194" s="34" t="str">
        <f>IF(AND(E1194=1,L1194=0),AH1194,"")</f>
        <v/>
      </c>
      <c r="AZ1194" s="34" t="str">
        <f>IF(G1194=1,F1194,"")</f>
        <v/>
      </c>
      <c r="BA1194" s="34" t="str">
        <f>IF(AND(G1194=1,L1194=1),F1194,"")</f>
        <v/>
      </c>
      <c r="BB1194" s="34" t="str">
        <f>IF(AND(G1194=1,L1194=0),F1194,"")</f>
        <v/>
      </c>
      <c r="BC1194" s="33">
        <f>IF(E1194=1,IF(Orders!R1191&gt;3,1,0),"")</f>
        <v>0</v>
      </c>
      <c r="BD1194" s="33">
        <f>IF(E1194=1,IF(Orders!R1191&gt;7,1,0),"")</f>
        <v>0</v>
      </c>
      <c r="BE1194" s="32" t="str">
        <f>IF(E1194=1,IF(Orders!L1191&lt;=1.5,"Up to 1.5 km",IF(Orders!L1191&lt;=3,"1.5–3 km","Over 3 km")),"")</f>
        <v>Up to 1.5 km</v>
      </c>
      <c r="BF1194" s="33">
        <f>IF(E1194=1,IF(ABS((Orders!G1191-Orders!F1191)*1440-Orders!R1191)&lt;0.06,1,0),"")</f>
        <v>1</v>
      </c>
      <c r="BG1194" s="33">
        <f>IF(ABS((Orders!F1191-Orders!E1191)*1440-Orders!P1191)&lt;0.06,1,0)</f>
        <v>1</v>
      </c>
      <c r="BH1194" s="33">
        <f>IF(E1194=1,IF(IF(Orders!S1191,1,0)=1-G1194,1,0),"")</f>
        <v>1</v>
      </c>
      <c r="BI1194" s="32" t="str">
        <f>INDEX(Stores!$B$2:$B$21,MATCH(B1194,Stores!$A$2:$A$21,0))</f>
        <v>Mumbai</v>
      </c>
    </row>
    <row r="1195">
      <c r="A1195" s="32" t="str">
        <f>Orders!A1192</f>
        <v>O01191</v>
      </c>
      <c r="B1195" s="32" t="str">
        <f>Orders!C1192</f>
        <v>S019</v>
      </c>
      <c r="C1195" s="32" t="str">
        <f>Orders!B1192</f>
        <v>C0232</v>
      </c>
      <c r="D1195" s="32" t="str">
        <f>Orders!H1192</f>
        <v>Delivered</v>
      </c>
      <c r="E1195" s="33">
        <f>IF(Orders!H1192="Delivered",1,0)</f>
        <v>1</v>
      </c>
      <c r="F1195" s="34">
        <f>IF(E1195=1,Orders!R1192,"")</f>
        <v>3.4</v>
      </c>
      <c r="G1195" s="33">
        <f>IF(E1195=1,IF(Orders!R1192&gt;0,1,0),"")</f>
        <v>1</v>
      </c>
      <c r="H1195" s="33">
        <f>IF(E1195=1,IF(Orders!R1192&gt;5,1,0),"")</f>
        <v>0</v>
      </c>
      <c r="I1195" s="32" t="str">
        <f>IF(E1195=1,"",IF(OR(Orders!T1192="Rider unavailable",Orders!T1192="Item unavailable"),"Company-caused","Unresolved"))</f>
        <v/>
      </c>
      <c r="J1195" s="33">
        <f>IF(OR(E1195=1,I1195="Company-caused"),1,0)</f>
        <v>1</v>
      </c>
      <c r="K1195" s="32" t="str">
        <f>IF(E1195=0,IF(I1195="Company-caused",IF(Orders!T1192="Rider unavailable","C1 Rider unavailable","C2 Item unavailable"),"Outside root: unresolved"),IF(G1195=0,"A On time",IF(H1195=1,IF(L1195=1,"B2a Severe, peak","B2b Severe, off-peak"),IF(L1195=1,"B1a Slight, peak","B1b Slight, off-peak"))))</f>
        <v>B1b Slight, off-peak</v>
      </c>
      <c r="L1195" s="33">
        <f>IF(AND(Orders!U1192&gt;=19,Orders!U1192&lt;22),1,0)</f>
        <v>0</v>
      </c>
      <c r="M1195" s="33">
        <f>IF(L1195=IF(Orders!V1192,1,0),1,0)</f>
        <v>1</v>
      </c>
      <c r="N1195" s="32" t="str">
        <f>IF(Orders!W1192="","None",Orders!W1192)</f>
        <v>None</v>
      </c>
      <c r="O1195" s="35">
        <f>INT(Orders!E1192)</f>
        <v>46270.0</v>
      </c>
      <c r="P1195" s="33">
        <f>Orders!U1192</f>
        <v>13</v>
      </c>
      <c r="Q1195" s="33">
        <f>COUNTIFS(Demand!$A$2:$A$4481,B1195,Demand!$B$2:$B$4481,O1195,Demand!$C$2:$C$4481,P1195)</f>
        <v>1</v>
      </c>
      <c r="R1195" s="33">
        <f>IF(Q1195=1,SUMIFS(Demand!$E$2:$E$4481,Demand!$A$2:$A$4481,B1195,Demand!$B$2:$B$4481,O1195,Demand!$C$2:$C$4481,P1195),"")</f>
        <v>21</v>
      </c>
      <c r="S1195" s="33">
        <f>INDEX(Stores!$G$2:$G$21,MATCH(B1195,Stores!$A$2:$A$21,0))</f>
        <v>22</v>
      </c>
      <c r="T1195" s="34">
        <f>IF(R1195="","",R1195/S1195)</f>
        <v>0.954545454545455</v>
      </c>
      <c r="U1195" s="34">
        <f>IF(E1195=1,T1195,"")</f>
        <v>0.954545454545455</v>
      </c>
      <c r="V1195" s="34">
        <f>IF(AND(E1195=1,L1195=0),T1195,"")</f>
        <v>0.954545454545455</v>
      </c>
      <c r="W1195" s="33">
        <f>IF(U1195="","",IF(U1195&lt;=Breakdowns!$C$5,1,IF(U1195&lt;=Breakdowns!$C$6,2,IF(U1195&lt;=Breakdowns!$C$7,3,4))))</f>
        <v>2</v>
      </c>
      <c r="X1195" s="33">
        <f>IF(V1195="","",IF(V1195&lt;=Breakdowns!$D$5,1,IF(V1195&lt;=Breakdowns!$D$6,2,IF(V1195&lt;=Breakdowns!$D$7,3,4))))</f>
        <v>3</v>
      </c>
      <c r="Y1195" s="34">
        <f>INDEX(Stores!$F$2:$F$21,MATCH(B1195,Stores!$A$2:$A$21,0))</f>
        <v>4.99</v>
      </c>
      <c r="Z1195" s="33">
        <f>IF(Y1195&gt;Store_Summary!$M$2,1,0)</f>
        <v>1</v>
      </c>
      <c r="AA1195" s="33">
        <f>INDEX(Stores!$C$2:$C$21,MATCH(B1195,Stores!$A$2:$A$21,0))</f>
        <v>851</v>
      </c>
      <c r="AB1195" s="33">
        <f>IF(AA1195&lt;180,1,0)</f>
        <v>0</v>
      </c>
      <c r="AC1195" s="32" t="str">
        <f>IF(Orders!D1192="","",INDEX(Riders!$C$2:$C$81,MATCH(Orders!D1192,Riders!$A$2:$A$81,0)))</f>
        <v>EV scooter</v>
      </c>
      <c r="AD1195" s="33">
        <f>IF(Orders!D1192="","",INDEX(Riders!$D$2:$D$81,MATCH(Orders!D1192,Riders!$A$2:$A$81,0)))</f>
        <v>45</v>
      </c>
      <c r="AE1195" s="33">
        <f>IF(Orders!D1192="","",IF(INDEX(Riders!$B$2:$B$81,MATCH(Orders!D1192,Riders!$A$2:$A$81,0))=B1195,1,0))</f>
        <v>0</v>
      </c>
      <c r="AF1195" s="34">
        <f>IF(E1195=1,Orders!L1192,"")</f>
        <v>0.91</v>
      </c>
      <c r="AG1195" s="34">
        <f>IF(E1195=1,Orders!P1192,"")</f>
        <v>9.5</v>
      </c>
      <c r="AH1195" s="34">
        <f>IF(E1195=1,Orders!Q1192,"")</f>
        <v>12.9</v>
      </c>
      <c r="AI1195" s="34">
        <f>IF(E1195=1,Orders!M1192,"")</f>
        <v>4.6</v>
      </c>
      <c r="AJ1195" s="34">
        <f>IF(E1195=1,Orders!N1192,"")</f>
        <v>5.8</v>
      </c>
      <c r="AK1195" s="34">
        <f>IF(E1195=1,Orders!O1192,"")</f>
        <v>2.5</v>
      </c>
      <c r="AL1195" s="33">
        <f>IF(E1195=1,IF(ROUND(ABS(AI1195+AJ1195+AK1195-AH1195),6)&lt;=0.1,1,0),"")</f>
        <v>1</v>
      </c>
      <c r="AM1195" s="36">
        <f>IF(E1195=1,AI1195/AH1195,"")</f>
        <v>0.356589147286822</v>
      </c>
      <c r="AN1195" s="36">
        <f>IF(E1195=1,AJ1195/AH1195,"")</f>
        <v>0.449612403100775</v>
      </c>
      <c r="AO1195" s="36">
        <f>IF(E1195=1,AK1195/AH1195,"")</f>
        <v>0.193798449612403</v>
      </c>
      <c r="AP1195" s="34">
        <f>IF(E1195=1,Orders!Y1192,"")</f>
        <v>0.28</v>
      </c>
      <c r="AQ1195" s="33">
        <f>IF(Orders!X1192,1,0)</f>
        <v>0</v>
      </c>
      <c r="AR1195" s="34" t="str">
        <f>IF(AND(E1195=1,L1195=1),AJ1195,"")</f>
        <v/>
      </c>
      <c r="AS1195" s="34">
        <f>IF(AND(E1195=1,L1195=0),AJ1195,"")</f>
        <v>5.8</v>
      </c>
      <c r="AT1195" s="34" t="str">
        <f>IF(AND(E1195=1,L1195=1),AI1195,"")</f>
        <v/>
      </c>
      <c r="AU1195" s="34">
        <f>IF(AND(E1195=1,L1195=0),AI1195,"")</f>
        <v>4.6</v>
      </c>
      <c r="AV1195" s="34" t="str">
        <f>IF(AND(E1195=1,L1195=1),AG1195,"")</f>
        <v/>
      </c>
      <c r="AW1195" s="34">
        <f>IF(AND(E1195=1,L1195=0),AG1195,"")</f>
        <v>9.5</v>
      </c>
      <c r="AX1195" s="34" t="str">
        <f>IF(AND(E1195=1,L1195=1),AH1195,"")</f>
        <v/>
      </c>
      <c r="AY1195" s="34">
        <f>IF(AND(E1195=1,L1195=0),AH1195,"")</f>
        <v>12.9</v>
      </c>
      <c r="AZ1195" s="34">
        <f>IF(G1195=1,F1195,"")</f>
        <v>3.4</v>
      </c>
      <c r="BA1195" s="34" t="str">
        <f>IF(AND(G1195=1,L1195=1),F1195,"")</f>
        <v/>
      </c>
      <c r="BB1195" s="34">
        <f>IF(AND(G1195=1,L1195=0),F1195,"")</f>
        <v>3.4</v>
      </c>
      <c r="BC1195" s="33">
        <f>IF(E1195=1,IF(Orders!R1192&gt;3,1,0),"")</f>
        <v>1</v>
      </c>
      <c r="BD1195" s="33">
        <f>IF(E1195=1,IF(Orders!R1192&gt;7,1,0),"")</f>
        <v>0</v>
      </c>
      <c r="BE1195" s="32" t="str">
        <f>IF(E1195=1,IF(Orders!L1192&lt;=1.5,"Up to 1.5 km",IF(Orders!L1192&lt;=3,"1.5–3 km","Over 3 km")),"")</f>
        <v>Up to 1.5 km</v>
      </c>
      <c r="BF1195" s="33">
        <f>IF(E1195=1,IF(ABS((Orders!G1192-Orders!F1192)*1440-Orders!R1192)&lt;0.06,1,0),"")</f>
        <v>1</v>
      </c>
      <c r="BG1195" s="33">
        <f>IF(ABS((Orders!F1192-Orders!E1192)*1440-Orders!P1192)&lt;0.06,1,0)</f>
        <v>1</v>
      </c>
      <c r="BH1195" s="33">
        <f>IF(E1195=1,IF(IF(Orders!S1192,1,0)=1-G1195,1,0),"")</f>
        <v>1</v>
      </c>
      <c r="BI1195" s="32" t="str">
        <f>INDEX(Stores!$B$2:$B$21,MATCH(B1195,Stores!$A$2:$A$21,0))</f>
        <v>Pune</v>
      </c>
    </row>
    <row r="1196">
      <c r="A1196" s="32" t="str">
        <f>Orders!A1193</f>
        <v>O01192</v>
      </c>
      <c r="B1196" s="32" t="str">
        <f>Orders!C1193</f>
        <v>S004</v>
      </c>
      <c r="C1196" s="32" t="str">
        <f>Orders!B1193</f>
        <v>C0079</v>
      </c>
      <c r="D1196" s="32" t="str">
        <f>Orders!H1193</f>
        <v>Delivered</v>
      </c>
      <c r="E1196" s="33">
        <f>IF(Orders!H1193="Delivered",1,0)</f>
        <v>1</v>
      </c>
      <c r="F1196" s="34">
        <f>IF(E1196=1,Orders!R1193,"")</f>
        <v>-0.4</v>
      </c>
      <c r="G1196" s="33">
        <f>IF(E1196=1,IF(Orders!R1193&gt;0,1,0),"")</f>
        <v>0</v>
      </c>
      <c r="H1196" s="33">
        <f>IF(E1196=1,IF(Orders!R1193&gt;5,1,0),"")</f>
        <v>0</v>
      </c>
      <c r="I1196" s="32" t="str">
        <f>IF(E1196=1,"",IF(OR(Orders!T1193="Rider unavailable",Orders!T1193="Item unavailable"),"Company-caused","Unresolved"))</f>
        <v/>
      </c>
      <c r="J1196" s="33">
        <f>IF(OR(E1196=1,I1196="Company-caused"),1,0)</f>
        <v>1</v>
      </c>
      <c r="K1196" s="32" t="str">
        <f>IF(E1196=0,IF(I1196="Company-caused",IF(Orders!T1193="Rider unavailable","C1 Rider unavailable","C2 Item unavailable"),"Outside root: unresolved"),IF(G1196=0,"A On time",IF(H1196=1,IF(L1196=1,"B2a Severe, peak","B2b Severe, off-peak"),IF(L1196=1,"B1a Slight, peak","B1b Slight, off-peak"))))</f>
        <v>A On time</v>
      </c>
      <c r="L1196" s="33">
        <f>IF(AND(Orders!U1193&gt;=19,Orders!U1193&lt;22),1,0)</f>
        <v>0</v>
      </c>
      <c r="M1196" s="33">
        <f>IF(L1196=IF(Orders!V1193,1,0),1,0)</f>
        <v>1</v>
      </c>
      <c r="N1196" s="32" t="str">
        <f>IF(Orders!W1193="","None",Orders!W1193)</f>
        <v>None</v>
      </c>
      <c r="O1196" s="35">
        <f>INT(Orders!E1193)</f>
        <v>46279.0</v>
      </c>
      <c r="P1196" s="33">
        <f>Orders!U1193</f>
        <v>22</v>
      </c>
      <c r="Q1196" s="33">
        <f>COUNTIFS(Demand!$A$2:$A$4481,B1196,Demand!$B$2:$B$4481,O1196,Demand!$C$2:$C$4481,P1196)</f>
        <v>1</v>
      </c>
      <c r="R1196" s="33">
        <f>IF(Q1196=1,SUMIFS(Demand!$E$2:$E$4481,Demand!$A$2:$A$4481,B1196,Demand!$B$2:$B$4481,O1196,Demand!$C$2:$C$4481,P1196),"")</f>
        <v>28</v>
      </c>
      <c r="S1196" s="33">
        <f>INDEX(Stores!$G$2:$G$21,MATCH(B1196,Stores!$A$2:$A$21,0))</f>
        <v>42</v>
      </c>
      <c r="T1196" s="34">
        <f>IF(R1196="","",R1196/S1196)</f>
        <v>0.666666666666667</v>
      </c>
      <c r="U1196" s="34">
        <f>IF(E1196=1,T1196,"")</f>
        <v>0.666666666666667</v>
      </c>
      <c r="V1196" s="34">
        <f>IF(AND(E1196=1,L1196=0),T1196,"")</f>
        <v>0.666666666666667</v>
      </c>
      <c r="W1196" s="33">
        <f>IF(U1196="","",IF(U1196&lt;=Breakdowns!$C$5,1,IF(U1196&lt;=Breakdowns!$C$6,2,IF(U1196&lt;=Breakdowns!$C$7,3,4))))</f>
        <v>1</v>
      </c>
      <c r="X1196" s="33">
        <f>IF(V1196="","",IF(V1196&lt;=Breakdowns!$D$5,1,IF(V1196&lt;=Breakdowns!$D$6,2,IF(V1196&lt;=Breakdowns!$D$7,3,4))))</f>
        <v>1</v>
      </c>
      <c r="Y1196" s="34">
        <f>INDEX(Stores!$F$2:$F$21,MATCH(B1196,Stores!$A$2:$A$21,0))</f>
        <v>2.19</v>
      </c>
      <c r="Z1196" s="33">
        <f>IF(Y1196&gt;Store_Summary!$M$2,1,0)</f>
        <v>0</v>
      </c>
      <c r="AA1196" s="33">
        <f>INDEX(Stores!$C$2:$C$21,MATCH(B1196,Stores!$A$2:$A$21,0))</f>
        <v>850</v>
      </c>
      <c r="AB1196" s="33">
        <f>IF(AA1196&lt;180,1,0)</f>
        <v>0</v>
      </c>
      <c r="AC1196" s="32" t="str">
        <f>IF(Orders!D1193="","",INDEX(Riders!$C$2:$C$81,MATCH(Orders!D1193,Riders!$A$2:$A$81,0)))</f>
        <v>Petrol scooter</v>
      </c>
      <c r="AD1196" s="33">
        <f>IF(Orders!D1193="","",INDEX(Riders!$D$2:$D$81,MATCH(Orders!D1193,Riders!$A$2:$A$81,0)))</f>
        <v>44</v>
      </c>
      <c r="AE1196" s="33">
        <f>IF(Orders!D1193="","",IF(INDEX(Riders!$B$2:$B$81,MATCH(Orders!D1193,Riders!$A$2:$A$81,0))=B1196,1,0))</f>
        <v>0</v>
      </c>
      <c r="AF1196" s="34">
        <f>IF(E1196=1,Orders!L1193,"")</f>
        <v>0.99</v>
      </c>
      <c r="AG1196" s="34">
        <f>IF(E1196=1,Orders!P1193,"")</f>
        <v>10.4</v>
      </c>
      <c r="AH1196" s="34">
        <f>IF(E1196=1,Orders!Q1193,"")</f>
        <v>10</v>
      </c>
      <c r="AI1196" s="34">
        <f>IF(E1196=1,Orders!M1193,"")</f>
        <v>2.8</v>
      </c>
      <c r="AJ1196" s="34">
        <f>IF(E1196=1,Orders!N1193,"")</f>
        <v>3.9</v>
      </c>
      <c r="AK1196" s="34">
        <f>IF(E1196=1,Orders!O1193,"")</f>
        <v>3.3</v>
      </c>
      <c r="AL1196" s="33">
        <f>IF(E1196=1,IF(ROUND(ABS(AI1196+AJ1196+AK1196-AH1196),6)&lt;=0.1,1,0),"")</f>
        <v>1</v>
      </c>
      <c r="AM1196" s="36">
        <f>IF(E1196=1,AI1196/AH1196,"")</f>
        <v>0.28</v>
      </c>
      <c r="AN1196" s="36">
        <f>IF(E1196=1,AJ1196/AH1196,"")</f>
        <v>0.39</v>
      </c>
      <c r="AO1196" s="36">
        <f>IF(E1196=1,AK1196/AH1196,"")</f>
        <v>0.33</v>
      </c>
      <c r="AP1196" s="34">
        <f>IF(E1196=1,Orders!Y1193,"")</f>
        <v>0.59</v>
      </c>
      <c r="AQ1196" s="33">
        <f>IF(Orders!X1193,1,0)</f>
        <v>0</v>
      </c>
      <c r="AR1196" s="34" t="str">
        <f>IF(AND(E1196=1,L1196=1),AJ1196,"")</f>
        <v/>
      </c>
      <c r="AS1196" s="34">
        <f>IF(AND(E1196=1,L1196=0),AJ1196,"")</f>
        <v>3.9</v>
      </c>
      <c r="AT1196" s="34" t="str">
        <f>IF(AND(E1196=1,L1196=1),AI1196,"")</f>
        <v/>
      </c>
      <c r="AU1196" s="34">
        <f>IF(AND(E1196=1,L1196=0),AI1196,"")</f>
        <v>2.8</v>
      </c>
      <c r="AV1196" s="34" t="str">
        <f>IF(AND(E1196=1,L1196=1),AG1196,"")</f>
        <v/>
      </c>
      <c r="AW1196" s="34">
        <f>IF(AND(E1196=1,L1196=0),AG1196,"")</f>
        <v>10.4</v>
      </c>
      <c r="AX1196" s="34" t="str">
        <f>IF(AND(E1196=1,L1196=1),AH1196,"")</f>
        <v/>
      </c>
      <c r="AY1196" s="34">
        <f>IF(AND(E1196=1,L1196=0),AH1196,"")</f>
        <v>10</v>
      </c>
      <c r="AZ1196" s="34" t="str">
        <f>IF(G1196=1,F1196,"")</f>
        <v/>
      </c>
      <c r="BA1196" s="34" t="str">
        <f>IF(AND(G1196=1,L1196=1),F1196,"")</f>
        <v/>
      </c>
      <c r="BB1196" s="34" t="str">
        <f>IF(AND(G1196=1,L1196=0),F1196,"")</f>
        <v/>
      </c>
      <c r="BC1196" s="33">
        <f>IF(E1196=1,IF(Orders!R1193&gt;3,1,0),"")</f>
        <v>0</v>
      </c>
      <c r="BD1196" s="33">
        <f>IF(E1196=1,IF(Orders!R1193&gt;7,1,0),"")</f>
        <v>0</v>
      </c>
      <c r="BE1196" s="32" t="str">
        <f>IF(E1196=1,IF(Orders!L1193&lt;=1.5,"Up to 1.5 km",IF(Orders!L1193&lt;=3,"1.5–3 km","Over 3 km")),"")</f>
        <v>Up to 1.5 km</v>
      </c>
      <c r="BF1196" s="33">
        <f>IF(E1196=1,IF(ABS((Orders!G1193-Orders!F1193)*1440-Orders!R1193)&lt;0.06,1,0),"")</f>
        <v>1</v>
      </c>
      <c r="BG1196" s="33">
        <f>IF(ABS((Orders!F1193-Orders!E1193)*1440-Orders!P1193)&lt;0.06,1,0)</f>
        <v>1</v>
      </c>
      <c r="BH1196" s="33">
        <f>IF(E1196=1,IF(IF(Orders!S1193,1,0)=1-G1196,1,0),"")</f>
        <v>1</v>
      </c>
      <c r="BI1196" s="32" t="str">
        <f>INDEX(Stores!$B$2:$B$21,MATCH(B1196,Stores!$A$2:$A$21,0))</f>
        <v>Pune</v>
      </c>
    </row>
    <row r="1197">
      <c r="A1197" s="32" t="str">
        <f>Orders!A1194</f>
        <v>O01193</v>
      </c>
      <c r="B1197" s="32" t="str">
        <f>Orders!C1194</f>
        <v>S014</v>
      </c>
      <c r="C1197" s="32" t="str">
        <f>Orders!B1194</f>
        <v>C0148</v>
      </c>
      <c r="D1197" s="32" t="str">
        <f>Orders!H1194</f>
        <v>Delivered</v>
      </c>
      <c r="E1197" s="33">
        <f>IF(Orders!H1194="Delivered",1,0)</f>
        <v>1</v>
      </c>
      <c r="F1197" s="34">
        <f>IF(E1197=1,Orders!R1194,"")</f>
        <v>16</v>
      </c>
      <c r="G1197" s="33">
        <f>IF(E1197=1,IF(Orders!R1194&gt;0,1,0),"")</f>
        <v>1</v>
      </c>
      <c r="H1197" s="33">
        <f>IF(E1197=1,IF(Orders!R1194&gt;5,1,0),"")</f>
        <v>1</v>
      </c>
      <c r="I1197" s="32" t="str">
        <f>IF(E1197=1,"",IF(OR(Orders!T1194="Rider unavailable",Orders!T1194="Item unavailable"),"Company-caused","Unresolved"))</f>
        <v/>
      </c>
      <c r="J1197" s="33">
        <f>IF(OR(E1197=1,I1197="Company-caused"),1,0)</f>
        <v>1</v>
      </c>
      <c r="K1197" s="32" t="str">
        <f>IF(E1197=0,IF(I1197="Company-caused",IF(Orders!T1194="Rider unavailable","C1 Rider unavailable","C2 Item unavailable"),"Outside root: unresolved"),IF(G1197=0,"A On time",IF(H1197=1,IF(L1197=1,"B2a Severe, peak","B2b Severe, off-peak"),IF(L1197=1,"B1a Slight, peak","B1b Slight, off-peak"))))</f>
        <v>B2a Severe, peak</v>
      </c>
      <c r="L1197" s="33">
        <f>IF(AND(Orders!U1194&gt;=19,Orders!U1194&lt;22),1,0)</f>
        <v>1</v>
      </c>
      <c r="M1197" s="33">
        <f>IF(L1197=IF(Orders!V1194,1,0),1,0)</f>
        <v>1</v>
      </c>
      <c r="N1197" s="32" t="str">
        <f>IF(Orders!W1194="","None",Orders!W1194)</f>
        <v>Light</v>
      </c>
      <c r="O1197" s="35">
        <f>INT(Orders!E1194)</f>
        <v>46268.0</v>
      </c>
      <c r="P1197" s="33">
        <f>Orders!U1194</f>
        <v>20</v>
      </c>
      <c r="Q1197" s="33">
        <f>COUNTIFS(Demand!$A$2:$A$4481,B1197,Demand!$B$2:$B$4481,O1197,Demand!$C$2:$C$4481,P1197)</f>
        <v>1</v>
      </c>
      <c r="R1197" s="33">
        <f>IF(Q1197=1,SUMIFS(Demand!$E$2:$E$4481,Demand!$A$2:$A$4481,B1197,Demand!$B$2:$B$4481,O1197,Demand!$C$2:$C$4481,P1197),"")</f>
        <v>60</v>
      </c>
      <c r="S1197" s="33">
        <f>INDEX(Stores!$G$2:$G$21,MATCH(B1197,Stores!$A$2:$A$21,0))</f>
        <v>37</v>
      </c>
      <c r="T1197" s="34">
        <f>IF(R1197="","",R1197/S1197)</f>
        <v>1.62162162162162</v>
      </c>
      <c r="U1197" s="34">
        <f>IF(E1197=1,T1197,"")</f>
        <v>1.62162162162162</v>
      </c>
      <c r="V1197" s="34" t="str">
        <f>IF(AND(E1197=1,L1197=0),T1197,"")</f>
        <v/>
      </c>
      <c r="W1197" s="33">
        <f>IF(U1197="","",IF(U1197&lt;=Breakdowns!$C$5,1,IF(U1197&lt;=Breakdowns!$C$6,2,IF(U1197&lt;=Breakdowns!$C$7,3,4))))</f>
        <v>4</v>
      </c>
      <c r="X1197" s="33" t="str">
        <f>IF(V1197="","",IF(V1197&lt;=Breakdowns!$D$5,1,IF(V1197&lt;=Breakdowns!$D$6,2,IF(V1197&lt;=Breakdowns!$D$7,3,4))))</f>
        <v/>
      </c>
      <c r="Y1197" s="34">
        <f>INDEX(Stores!$F$2:$F$21,MATCH(B1197,Stores!$A$2:$A$21,0))</f>
        <v>5.55</v>
      </c>
      <c r="Z1197" s="33">
        <f>IF(Y1197&gt;Store_Summary!$M$2,1,0)</f>
        <v>1</v>
      </c>
      <c r="AA1197" s="33">
        <f>INDEX(Stores!$C$2:$C$21,MATCH(B1197,Stores!$A$2:$A$21,0))</f>
        <v>241</v>
      </c>
      <c r="AB1197" s="33">
        <f>IF(AA1197&lt;180,1,0)</f>
        <v>0</v>
      </c>
      <c r="AC1197" s="32" t="str">
        <f>IF(Orders!D1194="","",INDEX(Riders!$C$2:$C$81,MATCH(Orders!D1194,Riders!$A$2:$A$81,0)))</f>
        <v>Petrol scooter</v>
      </c>
      <c r="AD1197" s="33">
        <f>IF(Orders!D1194="","",INDEX(Riders!$D$2:$D$81,MATCH(Orders!D1194,Riders!$A$2:$A$81,0)))</f>
        <v>37</v>
      </c>
      <c r="AE1197" s="33">
        <f>IF(Orders!D1194="","",IF(INDEX(Riders!$B$2:$B$81,MATCH(Orders!D1194,Riders!$A$2:$A$81,0))=B1197,1,0))</f>
        <v>0</v>
      </c>
      <c r="AF1197" s="34">
        <f>IF(E1197=1,Orders!L1194,"")</f>
        <v>3.3</v>
      </c>
      <c r="AG1197" s="34">
        <f>IF(E1197=1,Orders!P1194,"")</f>
        <v>9.9</v>
      </c>
      <c r="AH1197" s="34">
        <f>IF(E1197=1,Orders!Q1194,"")</f>
        <v>25.9</v>
      </c>
      <c r="AI1197" s="34">
        <f>IF(E1197=1,Orders!M1194,"")</f>
        <v>6</v>
      </c>
      <c r="AJ1197" s="34">
        <f>IF(E1197=1,Orders!N1194,"")</f>
        <v>9.2</v>
      </c>
      <c r="AK1197" s="34">
        <f>IF(E1197=1,Orders!O1194,"")</f>
        <v>10.7</v>
      </c>
      <c r="AL1197" s="33">
        <f>IF(E1197=1,IF(ROUND(ABS(AI1197+AJ1197+AK1197-AH1197),6)&lt;=0.1,1,0),"")</f>
        <v>1</v>
      </c>
      <c r="AM1197" s="36">
        <f>IF(E1197=1,AI1197/AH1197,"")</f>
        <v>0.231660231660232</v>
      </c>
      <c r="AN1197" s="36">
        <f>IF(E1197=1,AJ1197/AH1197,"")</f>
        <v>0.355212355212355</v>
      </c>
      <c r="AO1197" s="36">
        <f>IF(E1197=1,AK1197/AH1197,"")</f>
        <v>0.413127413127413</v>
      </c>
      <c r="AP1197" s="34">
        <f>IF(E1197=1,Orders!Y1194,"")</f>
        <v>0.71</v>
      </c>
      <c r="AQ1197" s="33">
        <f>IF(Orders!X1194,1,0)</f>
        <v>0</v>
      </c>
      <c r="AR1197" s="34">
        <f>IF(AND(E1197=1,L1197=1),AJ1197,"")</f>
        <v>9.2</v>
      </c>
      <c r="AS1197" s="34" t="str">
        <f>IF(AND(E1197=1,L1197=0),AJ1197,"")</f>
        <v/>
      </c>
      <c r="AT1197" s="34">
        <f>IF(AND(E1197=1,L1197=1),AI1197,"")</f>
        <v>6</v>
      </c>
      <c r="AU1197" s="34" t="str">
        <f>IF(AND(E1197=1,L1197=0),AI1197,"")</f>
        <v/>
      </c>
      <c r="AV1197" s="34">
        <f>IF(AND(E1197=1,L1197=1),AG1197,"")</f>
        <v>9.9</v>
      </c>
      <c r="AW1197" s="34" t="str">
        <f>IF(AND(E1197=1,L1197=0),AG1197,"")</f>
        <v/>
      </c>
      <c r="AX1197" s="34">
        <f>IF(AND(E1197=1,L1197=1),AH1197,"")</f>
        <v>25.9</v>
      </c>
      <c r="AY1197" s="34" t="str">
        <f>IF(AND(E1197=1,L1197=0),AH1197,"")</f>
        <v/>
      </c>
      <c r="AZ1197" s="34">
        <f>IF(G1197=1,F1197,"")</f>
        <v>16</v>
      </c>
      <c r="BA1197" s="34">
        <f>IF(AND(G1197=1,L1197=1),F1197,"")</f>
        <v>16</v>
      </c>
      <c r="BB1197" s="34" t="str">
        <f>IF(AND(G1197=1,L1197=0),F1197,"")</f>
        <v/>
      </c>
      <c r="BC1197" s="33">
        <f>IF(E1197=1,IF(Orders!R1194&gt;3,1,0),"")</f>
        <v>1</v>
      </c>
      <c r="BD1197" s="33">
        <f>IF(E1197=1,IF(Orders!R1194&gt;7,1,0),"")</f>
        <v>1</v>
      </c>
      <c r="BE1197" s="32" t="str">
        <f>IF(E1197=1,IF(Orders!L1194&lt;=1.5,"Up to 1.5 km",IF(Orders!L1194&lt;=3,"1.5–3 km","Over 3 km")),"")</f>
        <v>Over 3 km</v>
      </c>
      <c r="BF1197" s="33">
        <f>IF(E1197=1,IF(ABS((Orders!G1194-Orders!F1194)*1440-Orders!R1194)&lt;0.06,1,0),"")</f>
        <v>1</v>
      </c>
      <c r="BG1197" s="33">
        <f>IF(ABS((Orders!F1194-Orders!E1194)*1440-Orders!P1194)&lt;0.06,1,0)</f>
        <v>1</v>
      </c>
      <c r="BH1197" s="33">
        <f>IF(E1197=1,IF(IF(Orders!S1194,1,0)=1-G1197,1,0),"")</f>
        <v>1</v>
      </c>
      <c r="BI1197" s="32" t="str">
        <f>INDEX(Stores!$B$2:$B$21,MATCH(B1197,Stores!$A$2:$A$21,0))</f>
        <v>Pune</v>
      </c>
    </row>
    <row r="1198">
      <c r="A1198" s="32" t="str">
        <f>Orders!A1195</f>
        <v>O01194</v>
      </c>
      <c r="B1198" s="32" t="str">
        <f>Orders!C1195</f>
        <v>S008</v>
      </c>
      <c r="C1198" s="32" t="str">
        <f>Orders!B1195</f>
        <v>C0085</v>
      </c>
      <c r="D1198" s="32" t="str">
        <f>Orders!H1195</f>
        <v>Delivered</v>
      </c>
      <c r="E1198" s="33">
        <f>IF(Orders!H1195="Delivered",1,0)</f>
        <v>1</v>
      </c>
      <c r="F1198" s="34">
        <f>IF(E1198=1,Orders!R1195,"")</f>
        <v>-1</v>
      </c>
      <c r="G1198" s="33">
        <f>IF(E1198=1,IF(Orders!R1195&gt;0,1,0),"")</f>
        <v>0</v>
      </c>
      <c r="H1198" s="33">
        <f>IF(E1198=1,IF(Orders!R1195&gt;5,1,0),"")</f>
        <v>0</v>
      </c>
      <c r="I1198" s="32" t="str">
        <f>IF(E1198=1,"",IF(OR(Orders!T1195="Rider unavailable",Orders!T1195="Item unavailable"),"Company-caused","Unresolved"))</f>
        <v/>
      </c>
      <c r="J1198" s="33">
        <f>IF(OR(E1198=1,I1198="Company-caused"),1,0)</f>
        <v>1</v>
      </c>
      <c r="K1198" s="32" t="str">
        <f>IF(E1198=0,IF(I1198="Company-caused",IF(Orders!T1195="Rider unavailable","C1 Rider unavailable","C2 Item unavailable"),"Outside root: unresolved"),IF(G1198=0,"A On time",IF(H1198=1,IF(L1198=1,"B2a Severe, peak","B2b Severe, off-peak"),IF(L1198=1,"B1a Slight, peak","B1b Slight, off-peak"))))</f>
        <v>A On time</v>
      </c>
      <c r="L1198" s="33">
        <f>IF(AND(Orders!U1195&gt;=19,Orders!U1195&lt;22),1,0)</f>
        <v>1</v>
      </c>
      <c r="M1198" s="33">
        <f>IF(L1198=IF(Orders!V1195,1,0),1,0)</f>
        <v>1</v>
      </c>
      <c r="N1198" s="32" t="str">
        <f>IF(Orders!W1195="","None",Orders!W1195)</f>
        <v>Light</v>
      </c>
      <c r="O1198" s="35">
        <f>INT(Orders!E1195)</f>
        <v>46274.0</v>
      </c>
      <c r="P1198" s="33">
        <f>Orders!U1195</f>
        <v>19</v>
      </c>
      <c r="Q1198" s="33">
        <f>COUNTIFS(Demand!$A$2:$A$4481,B1198,Demand!$B$2:$B$4481,O1198,Demand!$C$2:$C$4481,P1198)</f>
        <v>1</v>
      </c>
      <c r="R1198" s="33">
        <f>IF(Q1198=1,SUMIFS(Demand!$E$2:$E$4481,Demand!$A$2:$A$4481,B1198,Demand!$B$2:$B$4481,O1198,Demand!$C$2:$C$4481,P1198),"")</f>
        <v>41</v>
      </c>
      <c r="S1198" s="33">
        <f>INDEX(Stores!$G$2:$G$21,MATCH(B1198,Stores!$A$2:$A$21,0))</f>
        <v>23</v>
      </c>
      <c r="T1198" s="34">
        <f>IF(R1198="","",R1198/S1198)</f>
        <v>1.78260869565217</v>
      </c>
      <c r="U1198" s="34">
        <f>IF(E1198=1,T1198,"")</f>
        <v>1.78260869565217</v>
      </c>
      <c r="V1198" s="34" t="str">
        <f>IF(AND(E1198=1,L1198=0),T1198,"")</f>
        <v/>
      </c>
      <c r="W1198" s="33">
        <f>IF(U1198="","",IF(U1198&lt;=Breakdowns!$C$5,1,IF(U1198&lt;=Breakdowns!$C$6,2,IF(U1198&lt;=Breakdowns!$C$7,3,4))))</f>
        <v>4</v>
      </c>
      <c r="X1198" s="33" t="str">
        <f>IF(V1198="","",IF(V1198&lt;=Breakdowns!$D$5,1,IF(V1198&lt;=Breakdowns!$D$6,2,IF(V1198&lt;=Breakdowns!$D$7,3,4))))</f>
        <v/>
      </c>
      <c r="Y1198" s="34">
        <f>INDEX(Stores!$F$2:$F$21,MATCH(B1198,Stores!$A$2:$A$21,0))</f>
        <v>3.46</v>
      </c>
      <c r="Z1198" s="33">
        <f>IF(Y1198&gt;Store_Summary!$M$2,1,0)</f>
        <v>0</v>
      </c>
      <c r="AA1198" s="33">
        <f>INDEX(Stores!$C$2:$C$21,MATCH(B1198,Stores!$A$2:$A$21,0))</f>
        <v>825</v>
      </c>
      <c r="AB1198" s="33">
        <f>IF(AA1198&lt;180,1,0)</f>
        <v>0</v>
      </c>
      <c r="AC1198" s="32" t="str">
        <f>IF(Orders!D1195="","",INDEX(Riders!$C$2:$C$81,MATCH(Orders!D1195,Riders!$A$2:$A$81,0)))</f>
        <v>EV scooter</v>
      </c>
      <c r="AD1198" s="33">
        <f>IF(Orders!D1195="","",INDEX(Riders!$D$2:$D$81,MATCH(Orders!D1195,Riders!$A$2:$A$81,0)))</f>
        <v>33</v>
      </c>
      <c r="AE1198" s="33">
        <f>IF(Orders!D1195="","",IF(INDEX(Riders!$B$2:$B$81,MATCH(Orders!D1195,Riders!$A$2:$A$81,0))=B1198,1,0))</f>
        <v>0</v>
      </c>
      <c r="AF1198" s="34">
        <f>IF(E1198=1,Orders!L1195,"")</f>
        <v>1.68</v>
      </c>
      <c r="AG1198" s="34">
        <f>IF(E1198=1,Orders!P1195,"")</f>
        <v>8.8</v>
      </c>
      <c r="AH1198" s="34">
        <f>IF(E1198=1,Orders!Q1195,"")</f>
        <v>7.8</v>
      </c>
      <c r="AI1198" s="34">
        <f>IF(E1198=1,Orders!M1195,"")</f>
        <v>1.5</v>
      </c>
      <c r="AJ1198" s="34">
        <f>IF(E1198=1,Orders!N1195,"")</f>
        <v>3.4</v>
      </c>
      <c r="AK1198" s="34">
        <f>IF(E1198=1,Orders!O1195,"")</f>
        <v>2.9</v>
      </c>
      <c r="AL1198" s="33">
        <f>IF(E1198=1,IF(ROUND(ABS(AI1198+AJ1198+AK1198-AH1198),6)&lt;=0.1,1,0),"")</f>
        <v>1</v>
      </c>
      <c r="AM1198" s="36">
        <f>IF(E1198=1,AI1198/AH1198,"")</f>
        <v>0.192307692307692</v>
      </c>
      <c r="AN1198" s="36">
        <f>IF(E1198=1,AJ1198/AH1198,"")</f>
        <v>0.435897435897436</v>
      </c>
      <c r="AO1198" s="36">
        <f>IF(E1198=1,AK1198/AH1198,"")</f>
        <v>0.371794871794872</v>
      </c>
      <c r="AP1198" s="34">
        <f>IF(E1198=1,Orders!Y1195,"")</f>
        <v>0.57</v>
      </c>
      <c r="AQ1198" s="33">
        <f>IF(Orders!X1195,1,0)</f>
        <v>0</v>
      </c>
      <c r="AR1198" s="34">
        <f>IF(AND(E1198=1,L1198=1),AJ1198,"")</f>
        <v>3.4</v>
      </c>
      <c r="AS1198" s="34" t="str">
        <f>IF(AND(E1198=1,L1198=0),AJ1198,"")</f>
        <v/>
      </c>
      <c r="AT1198" s="34">
        <f>IF(AND(E1198=1,L1198=1),AI1198,"")</f>
        <v>1.5</v>
      </c>
      <c r="AU1198" s="34" t="str">
        <f>IF(AND(E1198=1,L1198=0),AI1198,"")</f>
        <v/>
      </c>
      <c r="AV1198" s="34">
        <f>IF(AND(E1198=1,L1198=1),AG1198,"")</f>
        <v>8.8</v>
      </c>
      <c r="AW1198" s="34" t="str">
        <f>IF(AND(E1198=1,L1198=0),AG1198,"")</f>
        <v/>
      </c>
      <c r="AX1198" s="34">
        <f>IF(AND(E1198=1,L1198=1),AH1198,"")</f>
        <v>7.8</v>
      </c>
      <c r="AY1198" s="34" t="str">
        <f>IF(AND(E1198=1,L1198=0),AH1198,"")</f>
        <v/>
      </c>
      <c r="AZ1198" s="34" t="str">
        <f>IF(G1198=1,F1198,"")</f>
        <v/>
      </c>
      <c r="BA1198" s="34" t="str">
        <f>IF(AND(G1198=1,L1198=1),F1198,"")</f>
        <v/>
      </c>
      <c r="BB1198" s="34" t="str">
        <f>IF(AND(G1198=1,L1198=0),F1198,"")</f>
        <v/>
      </c>
      <c r="BC1198" s="33">
        <f>IF(E1198=1,IF(Orders!R1195&gt;3,1,0),"")</f>
        <v>0</v>
      </c>
      <c r="BD1198" s="33">
        <f>IF(E1198=1,IF(Orders!R1195&gt;7,1,0),"")</f>
        <v>0</v>
      </c>
      <c r="BE1198" s="32" t="str">
        <f>IF(E1198=1,IF(Orders!L1195&lt;=1.5,"Up to 1.5 km",IF(Orders!L1195&lt;=3,"1.5–3 km","Over 3 km")),"")</f>
        <v>1.5–3 km</v>
      </c>
      <c r="BF1198" s="33">
        <f>IF(E1198=1,IF(ABS((Orders!G1195-Orders!F1195)*1440-Orders!R1195)&lt;0.06,1,0),"")</f>
        <v>1</v>
      </c>
      <c r="BG1198" s="33">
        <f>IF(ABS((Orders!F1195-Orders!E1195)*1440-Orders!P1195)&lt;0.06,1,0)</f>
        <v>1</v>
      </c>
      <c r="BH1198" s="33">
        <f>IF(E1198=1,IF(IF(Orders!S1195,1,0)=1-G1198,1,0),"")</f>
        <v>1</v>
      </c>
      <c r="BI1198" s="32" t="str">
        <f>INDEX(Stores!$B$2:$B$21,MATCH(B1198,Stores!$A$2:$A$21,0))</f>
        <v>Mumbai</v>
      </c>
    </row>
    <row r="1199">
      <c r="A1199" s="32" t="str">
        <f>Orders!A1196</f>
        <v>O01195</v>
      </c>
      <c r="B1199" s="32" t="str">
        <f>Orders!C1196</f>
        <v>S018</v>
      </c>
      <c r="C1199" s="32" t="str">
        <f>Orders!B1196</f>
        <v>C0169</v>
      </c>
      <c r="D1199" s="32" t="str">
        <f>Orders!H1196</f>
        <v>Delivered</v>
      </c>
      <c r="E1199" s="33">
        <f>IF(Orders!H1196="Delivered",1,0)</f>
        <v>1</v>
      </c>
      <c r="F1199" s="34">
        <f>IF(E1199=1,Orders!R1196,"")</f>
        <v>-0.5</v>
      </c>
      <c r="G1199" s="33">
        <f>IF(E1199=1,IF(Orders!R1196&gt;0,1,0),"")</f>
        <v>0</v>
      </c>
      <c r="H1199" s="33">
        <f>IF(E1199=1,IF(Orders!R1196&gt;5,1,0),"")</f>
        <v>0</v>
      </c>
      <c r="I1199" s="32" t="str">
        <f>IF(E1199=1,"",IF(OR(Orders!T1196="Rider unavailable",Orders!T1196="Item unavailable"),"Company-caused","Unresolved"))</f>
        <v/>
      </c>
      <c r="J1199" s="33">
        <f>IF(OR(E1199=1,I1199="Company-caused"),1,0)</f>
        <v>1</v>
      </c>
      <c r="K1199" s="32" t="str">
        <f>IF(E1199=0,IF(I1199="Company-caused",IF(Orders!T1196="Rider unavailable","C1 Rider unavailable","C2 Item unavailable"),"Outside root: unresolved"),IF(G1199=0,"A On time",IF(H1199=1,IF(L1199=1,"B2a Severe, peak","B2b Severe, off-peak"),IF(L1199=1,"B1a Slight, peak","B1b Slight, off-peak"))))</f>
        <v>A On time</v>
      </c>
      <c r="L1199" s="33">
        <f>IF(AND(Orders!U1196&gt;=19,Orders!U1196&lt;22),1,0)</f>
        <v>0</v>
      </c>
      <c r="M1199" s="33">
        <f>IF(L1199=IF(Orders!V1196,1,0),1,0)</f>
        <v>1</v>
      </c>
      <c r="N1199" s="32" t="str">
        <f>IF(Orders!W1196="","None",Orders!W1196)</f>
        <v>None</v>
      </c>
      <c r="O1199" s="35">
        <f>INT(Orders!E1196)</f>
        <v>46274.0</v>
      </c>
      <c r="P1199" s="33">
        <f>Orders!U1196</f>
        <v>17</v>
      </c>
      <c r="Q1199" s="33">
        <f>COUNTIFS(Demand!$A$2:$A$4481,B1199,Demand!$B$2:$B$4481,O1199,Demand!$C$2:$C$4481,P1199)</f>
        <v>1</v>
      </c>
      <c r="R1199" s="33">
        <f>IF(Q1199=1,SUMIFS(Demand!$E$2:$E$4481,Demand!$A$2:$A$4481,B1199,Demand!$B$2:$B$4481,O1199,Demand!$C$2:$C$4481,P1199),"")</f>
        <v>17</v>
      </c>
      <c r="S1199" s="33">
        <f>INDEX(Stores!$G$2:$G$21,MATCH(B1199,Stores!$A$2:$A$21,0))</f>
        <v>20</v>
      </c>
      <c r="T1199" s="34">
        <f>IF(R1199="","",R1199/S1199)</f>
        <v>0.85</v>
      </c>
      <c r="U1199" s="34">
        <f>IF(E1199=1,T1199,"")</f>
        <v>0.85</v>
      </c>
      <c r="V1199" s="34">
        <f>IF(AND(E1199=1,L1199=0),T1199,"")</f>
        <v>0.85</v>
      </c>
      <c r="W1199" s="33">
        <f>IF(U1199="","",IF(U1199&lt;=Breakdowns!$C$5,1,IF(U1199&lt;=Breakdowns!$C$6,2,IF(U1199&lt;=Breakdowns!$C$7,3,4))))</f>
        <v>2</v>
      </c>
      <c r="X1199" s="33">
        <f>IF(V1199="","",IF(V1199&lt;=Breakdowns!$D$5,1,IF(V1199&lt;=Breakdowns!$D$6,2,IF(V1199&lt;=Breakdowns!$D$7,3,4))))</f>
        <v>2</v>
      </c>
      <c r="Y1199" s="34">
        <f>INDEX(Stores!$F$2:$F$21,MATCH(B1199,Stores!$A$2:$A$21,0))</f>
        <v>5.31</v>
      </c>
      <c r="Z1199" s="33">
        <f>IF(Y1199&gt;Store_Summary!$M$2,1,0)</f>
        <v>1</v>
      </c>
      <c r="AA1199" s="33">
        <f>INDEX(Stores!$C$2:$C$21,MATCH(B1199,Stores!$A$2:$A$21,0))</f>
        <v>214</v>
      </c>
      <c r="AB1199" s="33">
        <f>IF(AA1199&lt;180,1,0)</f>
        <v>0</v>
      </c>
      <c r="AC1199" s="32" t="str">
        <f>IF(Orders!D1196="","",INDEX(Riders!$C$2:$C$81,MATCH(Orders!D1196,Riders!$A$2:$A$81,0)))</f>
        <v>Petrol scooter</v>
      </c>
      <c r="AD1199" s="33">
        <f>IF(Orders!D1196="","",INDEX(Riders!$D$2:$D$81,MATCH(Orders!D1196,Riders!$A$2:$A$81,0)))</f>
        <v>4</v>
      </c>
      <c r="AE1199" s="33">
        <f>IF(Orders!D1196="","",IF(INDEX(Riders!$B$2:$B$81,MATCH(Orders!D1196,Riders!$A$2:$A$81,0))=B1199,1,0))</f>
        <v>0</v>
      </c>
      <c r="AF1199" s="34">
        <f>IF(E1199=1,Orders!L1196,"")</f>
        <v>0.5</v>
      </c>
      <c r="AG1199" s="34">
        <f>IF(E1199=1,Orders!P1196,"")</f>
        <v>11.4</v>
      </c>
      <c r="AH1199" s="34">
        <f>IF(E1199=1,Orders!Q1196,"")</f>
        <v>10.9</v>
      </c>
      <c r="AI1199" s="34">
        <f>IF(E1199=1,Orders!M1196,"")</f>
        <v>2.8</v>
      </c>
      <c r="AJ1199" s="34">
        <f>IF(E1199=1,Orders!N1196,"")</f>
        <v>5.6</v>
      </c>
      <c r="AK1199" s="34">
        <f>IF(E1199=1,Orders!O1196,"")</f>
        <v>2.5</v>
      </c>
      <c r="AL1199" s="33">
        <f>IF(E1199=1,IF(ROUND(ABS(AI1199+AJ1199+AK1199-AH1199),6)&lt;=0.1,1,0),"")</f>
        <v>1</v>
      </c>
      <c r="AM1199" s="36">
        <f>IF(E1199=1,AI1199/AH1199,"")</f>
        <v>0.256880733944954</v>
      </c>
      <c r="AN1199" s="36">
        <f>IF(E1199=1,AJ1199/AH1199,"")</f>
        <v>0.513761467889908</v>
      </c>
      <c r="AO1199" s="36">
        <f>IF(E1199=1,AK1199/AH1199,"")</f>
        <v>0.229357798165138</v>
      </c>
      <c r="AP1199" s="34">
        <f>IF(E1199=1,Orders!Y1196,"")</f>
        <v>0.67</v>
      </c>
      <c r="AQ1199" s="33">
        <f>IF(Orders!X1196,1,0)</f>
        <v>0</v>
      </c>
      <c r="AR1199" s="34" t="str">
        <f>IF(AND(E1199=1,L1199=1),AJ1199,"")</f>
        <v/>
      </c>
      <c r="AS1199" s="34">
        <f>IF(AND(E1199=1,L1199=0),AJ1199,"")</f>
        <v>5.6</v>
      </c>
      <c r="AT1199" s="34" t="str">
        <f>IF(AND(E1199=1,L1199=1),AI1199,"")</f>
        <v/>
      </c>
      <c r="AU1199" s="34">
        <f>IF(AND(E1199=1,L1199=0),AI1199,"")</f>
        <v>2.8</v>
      </c>
      <c r="AV1199" s="34" t="str">
        <f>IF(AND(E1199=1,L1199=1),AG1199,"")</f>
        <v/>
      </c>
      <c r="AW1199" s="34">
        <f>IF(AND(E1199=1,L1199=0),AG1199,"")</f>
        <v>11.4</v>
      </c>
      <c r="AX1199" s="34" t="str">
        <f>IF(AND(E1199=1,L1199=1),AH1199,"")</f>
        <v/>
      </c>
      <c r="AY1199" s="34">
        <f>IF(AND(E1199=1,L1199=0),AH1199,"")</f>
        <v>10.9</v>
      </c>
      <c r="AZ1199" s="34" t="str">
        <f>IF(G1199=1,F1199,"")</f>
        <v/>
      </c>
      <c r="BA1199" s="34" t="str">
        <f>IF(AND(G1199=1,L1199=1),F1199,"")</f>
        <v/>
      </c>
      <c r="BB1199" s="34" t="str">
        <f>IF(AND(G1199=1,L1199=0),F1199,"")</f>
        <v/>
      </c>
      <c r="BC1199" s="33">
        <f>IF(E1199=1,IF(Orders!R1196&gt;3,1,0),"")</f>
        <v>0</v>
      </c>
      <c r="BD1199" s="33">
        <f>IF(E1199=1,IF(Orders!R1196&gt;7,1,0),"")</f>
        <v>0</v>
      </c>
      <c r="BE1199" s="32" t="str">
        <f>IF(E1199=1,IF(Orders!L1196&lt;=1.5,"Up to 1.5 km",IF(Orders!L1196&lt;=3,"1.5–3 km","Over 3 km")),"")</f>
        <v>Up to 1.5 km</v>
      </c>
      <c r="BF1199" s="33">
        <f>IF(E1199=1,IF(ABS((Orders!G1196-Orders!F1196)*1440-Orders!R1196)&lt;0.06,1,0),"")</f>
        <v>1</v>
      </c>
      <c r="BG1199" s="33">
        <f>IF(ABS((Orders!F1196-Orders!E1196)*1440-Orders!P1196)&lt;0.06,1,0)</f>
        <v>1</v>
      </c>
      <c r="BH1199" s="33">
        <f>IF(E1199=1,IF(IF(Orders!S1196,1,0)=1-G1199,1,0),"")</f>
        <v>1</v>
      </c>
      <c r="BI1199" s="32" t="str">
        <f>INDEX(Stores!$B$2:$B$21,MATCH(B1199,Stores!$A$2:$A$21,0))</f>
        <v>Mumbai</v>
      </c>
    </row>
    <row r="1200">
      <c r="A1200" s="32" t="str">
        <f>Orders!A1197</f>
        <v>O01196</v>
      </c>
      <c r="B1200" s="32" t="str">
        <f>Orders!C1197</f>
        <v>S019</v>
      </c>
      <c r="C1200" s="32" t="str">
        <f>Orders!B1197</f>
        <v>C0131</v>
      </c>
      <c r="D1200" s="32" t="str">
        <f>Orders!H1197</f>
        <v>Delivered</v>
      </c>
      <c r="E1200" s="33">
        <f>IF(Orders!H1197="Delivered",1,0)</f>
        <v>1</v>
      </c>
      <c r="F1200" s="34">
        <f>IF(E1200=1,Orders!R1197,"")</f>
        <v>-0.4</v>
      </c>
      <c r="G1200" s="33">
        <f>IF(E1200=1,IF(Orders!R1197&gt;0,1,0),"")</f>
        <v>0</v>
      </c>
      <c r="H1200" s="33">
        <f>IF(E1200=1,IF(Orders!R1197&gt;5,1,0),"")</f>
        <v>0</v>
      </c>
      <c r="I1200" s="32" t="str">
        <f>IF(E1200=1,"",IF(OR(Orders!T1197="Rider unavailable",Orders!T1197="Item unavailable"),"Company-caused","Unresolved"))</f>
        <v/>
      </c>
      <c r="J1200" s="33">
        <f>IF(OR(E1200=1,I1200="Company-caused"),1,0)</f>
        <v>1</v>
      </c>
      <c r="K1200" s="32" t="str">
        <f>IF(E1200=0,IF(I1200="Company-caused",IF(Orders!T1197="Rider unavailable","C1 Rider unavailable","C2 Item unavailable"),"Outside root: unresolved"),IF(G1200=0,"A On time",IF(H1200=1,IF(L1200=1,"B2a Severe, peak","B2b Severe, off-peak"),IF(L1200=1,"B1a Slight, peak","B1b Slight, off-peak"))))</f>
        <v>A On time</v>
      </c>
      <c r="L1200" s="33">
        <f>IF(AND(Orders!U1197&gt;=19,Orders!U1197&lt;22),1,0)</f>
        <v>1</v>
      </c>
      <c r="M1200" s="33">
        <f>IF(L1200=IF(Orders!V1197,1,0),1,0)</f>
        <v>1</v>
      </c>
      <c r="N1200" s="32" t="str">
        <f>IF(Orders!W1197="","None",Orders!W1197)</f>
        <v>None</v>
      </c>
      <c r="O1200" s="35">
        <f>INT(Orders!E1197)</f>
        <v>46279.0</v>
      </c>
      <c r="P1200" s="33">
        <f>Orders!U1197</f>
        <v>21</v>
      </c>
      <c r="Q1200" s="33">
        <f>COUNTIFS(Demand!$A$2:$A$4481,B1200,Demand!$B$2:$B$4481,O1200,Demand!$C$2:$C$4481,P1200)</f>
        <v>1</v>
      </c>
      <c r="R1200" s="33">
        <f>IF(Q1200=1,SUMIFS(Demand!$E$2:$E$4481,Demand!$A$2:$A$4481,B1200,Demand!$B$2:$B$4481,O1200,Demand!$C$2:$C$4481,P1200),"")</f>
        <v>28</v>
      </c>
      <c r="S1200" s="33">
        <f>INDEX(Stores!$G$2:$G$21,MATCH(B1200,Stores!$A$2:$A$21,0))</f>
        <v>22</v>
      </c>
      <c r="T1200" s="34">
        <f>IF(R1200="","",R1200/S1200)</f>
        <v>1.27272727272727</v>
      </c>
      <c r="U1200" s="34">
        <f>IF(E1200=1,T1200,"")</f>
        <v>1.27272727272727</v>
      </c>
      <c r="V1200" s="34" t="str">
        <f>IF(AND(E1200=1,L1200=0),T1200,"")</f>
        <v/>
      </c>
      <c r="W1200" s="33">
        <f>IF(U1200="","",IF(U1200&lt;=Breakdowns!$C$5,1,IF(U1200&lt;=Breakdowns!$C$6,2,IF(U1200&lt;=Breakdowns!$C$7,3,4))))</f>
        <v>4</v>
      </c>
      <c r="X1200" s="33" t="str">
        <f>IF(V1200="","",IF(V1200&lt;=Breakdowns!$D$5,1,IF(V1200&lt;=Breakdowns!$D$6,2,IF(V1200&lt;=Breakdowns!$D$7,3,4))))</f>
        <v/>
      </c>
      <c r="Y1200" s="34">
        <f>INDEX(Stores!$F$2:$F$21,MATCH(B1200,Stores!$A$2:$A$21,0))</f>
        <v>4.99</v>
      </c>
      <c r="Z1200" s="33">
        <f>IF(Y1200&gt;Store_Summary!$M$2,1,0)</f>
        <v>1</v>
      </c>
      <c r="AA1200" s="33">
        <f>INDEX(Stores!$C$2:$C$21,MATCH(B1200,Stores!$A$2:$A$21,0))</f>
        <v>851</v>
      </c>
      <c r="AB1200" s="33">
        <f>IF(AA1200&lt;180,1,0)</f>
        <v>0</v>
      </c>
      <c r="AC1200" s="32" t="str">
        <f>IF(Orders!D1197="","",INDEX(Riders!$C$2:$C$81,MATCH(Orders!D1197,Riders!$A$2:$A$81,0)))</f>
        <v>Petrol scooter</v>
      </c>
      <c r="AD1200" s="33">
        <f>IF(Orders!D1197="","",INDEX(Riders!$D$2:$D$81,MATCH(Orders!D1197,Riders!$A$2:$A$81,0)))</f>
        <v>11</v>
      </c>
      <c r="AE1200" s="33">
        <f>IF(Orders!D1197="","",IF(INDEX(Riders!$B$2:$B$81,MATCH(Orders!D1197,Riders!$A$2:$A$81,0))=B1200,1,0))</f>
        <v>0</v>
      </c>
      <c r="AF1200" s="34">
        <f>IF(E1200=1,Orders!L1197,"")</f>
        <v>2.21</v>
      </c>
      <c r="AG1200" s="34">
        <f>IF(E1200=1,Orders!P1197,"")</f>
        <v>8.5</v>
      </c>
      <c r="AH1200" s="34">
        <f>IF(E1200=1,Orders!Q1197,"")</f>
        <v>8.1</v>
      </c>
      <c r="AI1200" s="34">
        <f>IF(E1200=1,Orders!M1197,"")</f>
        <v>3</v>
      </c>
      <c r="AJ1200" s="34">
        <f>IF(E1200=1,Orders!N1197,"")</f>
        <v>1.1</v>
      </c>
      <c r="AK1200" s="34">
        <f>IF(E1200=1,Orders!O1197,"")</f>
        <v>4</v>
      </c>
      <c r="AL1200" s="33">
        <f>IF(E1200=1,IF(ROUND(ABS(AI1200+AJ1200+AK1200-AH1200),6)&lt;=0.1,1,0),"")</f>
        <v>1</v>
      </c>
      <c r="AM1200" s="36">
        <f>IF(E1200=1,AI1200/AH1200,"")</f>
        <v>0.37037037037037</v>
      </c>
      <c r="AN1200" s="36">
        <f>IF(E1200=1,AJ1200/AH1200,"")</f>
        <v>0.135802469135803</v>
      </c>
      <c r="AO1200" s="36">
        <f>IF(E1200=1,AK1200/AH1200,"")</f>
        <v>0.493827160493827</v>
      </c>
      <c r="AP1200" s="34">
        <f>IF(E1200=1,Orders!Y1197,"")</f>
        <v>0.72</v>
      </c>
      <c r="AQ1200" s="33">
        <f>IF(Orders!X1197,1,0)</f>
        <v>0</v>
      </c>
      <c r="AR1200" s="34">
        <f>IF(AND(E1200=1,L1200=1),AJ1200,"")</f>
        <v>1.1</v>
      </c>
      <c r="AS1200" s="34" t="str">
        <f>IF(AND(E1200=1,L1200=0),AJ1200,"")</f>
        <v/>
      </c>
      <c r="AT1200" s="34">
        <f>IF(AND(E1200=1,L1200=1),AI1200,"")</f>
        <v>3</v>
      </c>
      <c r="AU1200" s="34" t="str">
        <f>IF(AND(E1200=1,L1200=0),AI1200,"")</f>
        <v/>
      </c>
      <c r="AV1200" s="34">
        <f>IF(AND(E1200=1,L1200=1),AG1200,"")</f>
        <v>8.5</v>
      </c>
      <c r="AW1200" s="34" t="str">
        <f>IF(AND(E1200=1,L1200=0),AG1200,"")</f>
        <v/>
      </c>
      <c r="AX1200" s="34">
        <f>IF(AND(E1200=1,L1200=1),AH1200,"")</f>
        <v>8.1</v>
      </c>
      <c r="AY1200" s="34" t="str">
        <f>IF(AND(E1200=1,L1200=0),AH1200,"")</f>
        <v/>
      </c>
      <c r="AZ1200" s="34" t="str">
        <f>IF(G1200=1,F1200,"")</f>
        <v/>
      </c>
      <c r="BA1200" s="34" t="str">
        <f>IF(AND(G1200=1,L1200=1),F1200,"")</f>
        <v/>
      </c>
      <c r="BB1200" s="34" t="str">
        <f>IF(AND(G1200=1,L1200=0),F1200,"")</f>
        <v/>
      </c>
      <c r="BC1200" s="33">
        <f>IF(E1200=1,IF(Orders!R1197&gt;3,1,0),"")</f>
        <v>0</v>
      </c>
      <c r="BD1200" s="33">
        <f>IF(E1200=1,IF(Orders!R1197&gt;7,1,0),"")</f>
        <v>0</v>
      </c>
      <c r="BE1200" s="32" t="str">
        <f>IF(E1200=1,IF(Orders!L1197&lt;=1.5,"Up to 1.5 km",IF(Orders!L1197&lt;=3,"1.5–3 km","Over 3 km")),"")</f>
        <v>1.5–3 km</v>
      </c>
      <c r="BF1200" s="33">
        <f>IF(E1200=1,IF(ABS((Orders!G1197-Orders!F1197)*1440-Orders!R1197)&lt;0.06,1,0),"")</f>
        <v>1</v>
      </c>
      <c r="BG1200" s="33">
        <f>IF(ABS((Orders!F1197-Orders!E1197)*1440-Orders!P1197)&lt;0.06,1,0)</f>
        <v>1</v>
      </c>
      <c r="BH1200" s="33">
        <f>IF(E1200=1,IF(IF(Orders!S1197,1,0)=1-G1200,1,0),"")</f>
        <v>1</v>
      </c>
      <c r="BI1200" s="32" t="str">
        <f>INDEX(Stores!$B$2:$B$21,MATCH(B1200,Stores!$A$2:$A$21,0))</f>
        <v>Pune</v>
      </c>
    </row>
    <row r="1201">
      <c r="A1201" s="32" t="str">
        <f>Orders!A1198</f>
        <v>O01197</v>
      </c>
      <c r="B1201" s="32" t="str">
        <f>Orders!C1198</f>
        <v>S014</v>
      </c>
      <c r="C1201" s="32" t="str">
        <f>Orders!B1198</f>
        <v>C0112</v>
      </c>
      <c r="D1201" s="32" t="str">
        <f>Orders!H1198</f>
        <v>Delivered</v>
      </c>
      <c r="E1201" s="33">
        <f>IF(Orders!H1198="Delivered",1,0)</f>
        <v>1</v>
      </c>
      <c r="F1201" s="34">
        <f>IF(E1201=1,Orders!R1198,"")</f>
        <v>-0.2</v>
      </c>
      <c r="G1201" s="33">
        <f>IF(E1201=1,IF(Orders!R1198&gt;0,1,0),"")</f>
        <v>0</v>
      </c>
      <c r="H1201" s="33">
        <f>IF(E1201=1,IF(Orders!R1198&gt;5,1,0),"")</f>
        <v>0</v>
      </c>
      <c r="I1201" s="32" t="str">
        <f>IF(E1201=1,"",IF(OR(Orders!T1198="Rider unavailable",Orders!T1198="Item unavailable"),"Company-caused","Unresolved"))</f>
        <v/>
      </c>
      <c r="J1201" s="33">
        <f>IF(OR(E1201=1,I1201="Company-caused"),1,0)</f>
        <v>1</v>
      </c>
      <c r="K1201" s="32" t="str">
        <f>IF(E1201=0,IF(I1201="Company-caused",IF(Orders!T1198="Rider unavailable","C1 Rider unavailable","C2 Item unavailable"),"Outside root: unresolved"),IF(G1201=0,"A On time",IF(H1201=1,IF(L1201=1,"B2a Severe, peak","B2b Severe, off-peak"),IF(L1201=1,"B1a Slight, peak","B1b Slight, off-peak"))))</f>
        <v>A On time</v>
      </c>
      <c r="L1201" s="33">
        <f>IF(AND(Orders!U1198&gt;=19,Orders!U1198&lt;22),1,0)</f>
        <v>1</v>
      </c>
      <c r="M1201" s="33">
        <f>IF(L1201=IF(Orders!V1198,1,0),1,0)</f>
        <v>1</v>
      </c>
      <c r="N1201" s="32" t="str">
        <f>IF(Orders!W1198="","None",Orders!W1198)</f>
        <v>Light</v>
      </c>
      <c r="O1201" s="35">
        <f>INT(Orders!E1198)</f>
        <v>46269.0</v>
      </c>
      <c r="P1201" s="33">
        <f>Orders!U1198</f>
        <v>20</v>
      </c>
      <c r="Q1201" s="33">
        <f>COUNTIFS(Demand!$A$2:$A$4481,B1201,Demand!$B$2:$B$4481,O1201,Demand!$C$2:$C$4481,P1201)</f>
        <v>1</v>
      </c>
      <c r="R1201" s="33">
        <f>IF(Q1201=1,SUMIFS(Demand!$E$2:$E$4481,Demand!$A$2:$A$4481,B1201,Demand!$B$2:$B$4481,O1201,Demand!$C$2:$C$4481,P1201),"")</f>
        <v>53</v>
      </c>
      <c r="S1201" s="33">
        <f>INDEX(Stores!$G$2:$G$21,MATCH(B1201,Stores!$A$2:$A$21,0))</f>
        <v>37</v>
      </c>
      <c r="T1201" s="34">
        <f>IF(R1201="","",R1201/S1201)</f>
        <v>1.43243243243243</v>
      </c>
      <c r="U1201" s="34">
        <f>IF(E1201=1,T1201,"")</f>
        <v>1.43243243243243</v>
      </c>
      <c r="V1201" s="34" t="str">
        <f>IF(AND(E1201=1,L1201=0),T1201,"")</f>
        <v/>
      </c>
      <c r="W1201" s="33">
        <f>IF(U1201="","",IF(U1201&lt;=Breakdowns!$C$5,1,IF(U1201&lt;=Breakdowns!$C$6,2,IF(U1201&lt;=Breakdowns!$C$7,3,4))))</f>
        <v>4</v>
      </c>
      <c r="X1201" s="33" t="str">
        <f>IF(V1201="","",IF(V1201&lt;=Breakdowns!$D$5,1,IF(V1201&lt;=Breakdowns!$D$6,2,IF(V1201&lt;=Breakdowns!$D$7,3,4))))</f>
        <v/>
      </c>
      <c r="Y1201" s="34">
        <f>INDEX(Stores!$F$2:$F$21,MATCH(B1201,Stores!$A$2:$A$21,0))</f>
        <v>5.55</v>
      </c>
      <c r="Z1201" s="33">
        <f>IF(Y1201&gt;Store_Summary!$M$2,1,0)</f>
        <v>1</v>
      </c>
      <c r="AA1201" s="33">
        <f>INDEX(Stores!$C$2:$C$21,MATCH(B1201,Stores!$A$2:$A$21,0))</f>
        <v>241</v>
      </c>
      <c r="AB1201" s="33">
        <f>IF(AA1201&lt;180,1,0)</f>
        <v>0</v>
      </c>
      <c r="AC1201" s="32" t="str">
        <f>IF(Orders!D1198="","",INDEX(Riders!$C$2:$C$81,MATCH(Orders!D1198,Riders!$A$2:$A$81,0)))</f>
        <v>EV scooter</v>
      </c>
      <c r="AD1201" s="33">
        <f>IF(Orders!D1198="","",INDEX(Riders!$D$2:$D$81,MATCH(Orders!D1198,Riders!$A$2:$A$81,0)))</f>
        <v>32</v>
      </c>
      <c r="AE1201" s="33">
        <f>IF(Orders!D1198="","",IF(INDEX(Riders!$B$2:$B$81,MATCH(Orders!D1198,Riders!$A$2:$A$81,0))=B1201,1,0))</f>
        <v>0</v>
      </c>
      <c r="AF1201" s="34">
        <f>IF(E1201=1,Orders!L1198,"")</f>
        <v>2.84</v>
      </c>
      <c r="AG1201" s="34">
        <f>IF(E1201=1,Orders!P1198,"")</f>
        <v>10.2</v>
      </c>
      <c r="AH1201" s="34">
        <f>IF(E1201=1,Orders!Q1198,"")</f>
        <v>10</v>
      </c>
      <c r="AI1201" s="34">
        <f>IF(E1201=1,Orders!M1198,"")</f>
        <v>2.7</v>
      </c>
      <c r="AJ1201" s="34">
        <f>IF(E1201=1,Orders!N1198,"")</f>
        <v>2.7</v>
      </c>
      <c r="AK1201" s="34">
        <f>IF(E1201=1,Orders!O1198,"")</f>
        <v>4.6</v>
      </c>
      <c r="AL1201" s="33">
        <f>IF(E1201=1,IF(ROUND(ABS(AI1201+AJ1201+AK1201-AH1201),6)&lt;=0.1,1,0),"")</f>
        <v>1</v>
      </c>
      <c r="AM1201" s="36">
        <f>IF(E1201=1,AI1201/AH1201,"")</f>
        <v>0.27</v>
      </c>
      <c r="AN1201" s="36">
        <f>IF(E1201=1,AJ1201/AH1201,"")</f>
        <v>0.27</v>
      </c>
      <c r="AO1201" s="36">
        <f>IF(E1201=1,AK1201/AH1201,"")</f>
        <v>0.46</v>
      </c>
      <c r="AP1201" s="34">
        <f>IF(E1201=1,Orders!Y1198,"")</f>
        <v>0.78</v>
      </c>
      <c r="AQ1201" s="33">
        <f>IF(Orders!X1198,1,0)</f>
        <v>0</v>
      </c>
      <c r="AR1201" s="34">
        <f>IF(AND(E1201=1,L1201=1),AJ1201,"")</f>
        <v>2.7</v>
      </c>
      <c r="AS1201" s="34" t="str">
        <f>IF(AND(E1201=1,L1201=0),AJ1201,"")</f>
        <v/>
      </c>
      <c r="AT1201" s="34">
        <f>IF(AND(E1201=1,L1201=1),AI1201,"")</f>
        <v>2.7</v>
      </c>
      <c r="AU1201" s="34" t="str">
        <f>IF(AND(E1201=1,L1201=0),AI1201,"")</f>
        <v/>
      </c>
      <c r="AV1201" s="34">
        <f>IF(AND(E1201=1,L1201=1),AG1201,"")</f>
        <v>10.2</v>
      </c>
      <c r="AW1201" s="34" t="str">
        <f>IF(AND(E1201=1,L1201=0),AG1201,"")</f>
        <v/>
      </c>
      <c r="AX1201" s="34">
        <f>IF(AND(E1201=1,L1201=1),AH1201,"")</f>
        <v>10</v>
      </c>
      <c r="AY1201" s="34" t="str">
        <f>IF(AND(E1201=1,L1201=0),AH1201,"")</f>
        <v/>
      </c>
      <c r="AZ1201" s="34" t="str">
        <f>IF(G1201=1,F1201,"")</f>
        <v/>
      </c>
      <c r="BA1201" s="34" t="str">
        <f>IF(AND(G1201=1,L1201=1),F1201,"")</f>
        <v/>
      </c>
      <c r="BB1201" s="34" t="str">
        <f>IF(AND(G1201=1,L1201=0),F1201,"")</f>
        <v/>
      </c>
      <c r="BC1201" s="33">
        <f>IF(E1201=1,IF(Orders!R1198&gt;3,1,0),"")</f>
        <v>0</v>
      </c>
      <c r="BD1201" s="33">
        <f>IF(E1201=1,IF(Orders!R1198&gt;7,1,0),"")</f>
        <v>0</v>
      </c>
      <c r="BE1201" s="32" t="str">
        <f>IF(E1201=1,IF(Orders!L1198&lt;=1.5,"Up to 1.5 km",IF(Orders!L1198&lt;=3,"1.5–3 km","Over 3 km")),"")</f>
        <v>1.5–3 km</v>
      </c>
      <c r="BF1201" s="33">
        <f>IF(E1201=1,IF(ABS((Orders!G1198-Orders!F1198)*1440-Orders!R1198)&lt;0.06,1,0),"")</f>
        <v>1</v>
      </c>
      <c r="BG1201" s="33">
        <f>IF(ABS((Orders!F1198-Orders!E1198)*1440-Orders!P1198)&lt;0.06,1,0)</f>
        <v>1</v>
      </c>
      <c r="BH1201" s="33">
        <f>IF(E1201=1,IF(IF(Orders!S1198,1,0)=1-G1201,1,0),"")</f>
        <v>1</v>
      </c>
      <c r="BI1201" s="32" t="str">
        <f>INDEX(Stores!$B$2:$B$21,MATCH(B1201,Stores!$A$2:$A$21,0))</f>
        <v>Pune</v>
      </c>
    </row>
    <row r="1202">
      <c r="A1202" s="32" t="str">
        <f>Orders!A1199</f>
        <v>O01198</v>
      </c>
      <c r="B1202" s="32" t="str">
        <f>Orders!C1199</f>
        <v>S004</v>
      </c>
      <c r="C1202" s="32" t="str">
        <f>Orders!B1199</f>
        <v>C0123</v>
      </c>
      <c r="D1202" s="32" t="str">
        <f>Orders!H1199</f>
        <v>Delivered</v>
      </c>
      <c r="E1202" s="33">
        <f>IF(Orders!H1199="Delivered",1,0)</f>
        <v>1</v>
      </c>
      <c r="F1202" s="34">
        <f>IF(E1202=1,Orders!R1199,"")</f>
        <v>-2.4</v>
      </c>
      <c r="G1202" s="33">
        <f>IF(E1202=1,IF(Orders!R1199&gt;0,1,0),"")</f>
        <v>0</v>
      </c>
      <c r="H1202" s="33">
        <f>IF(E1202=1,IF(Orders!R1199&gt;5,1,0),"")</f>
        <v>0</v>
      </c>
      <c r="I1202" s="32" t="str">
        <f>IF(E1202=1,"",IF(OR(Orders!T1199="Rider unavailable",Orders!T1199="Item unavailable"),"Company-caused","Unresolved"))</f>
        <v/>
      </c>
      <c r="J1202" s="33">
        <f>IF(OR(E1202=1,I1202="Company-caused"),1,0)</f>
        <v>1</v>
      </c>
      <c r="K1202" s="32" t="str">
        <f>IF(E1202=0,IF(I1202="Company-caused",IF(Orders!T1199="Rider unavailable","C1 Rider unavailable","C2 Item unavailable"),"Outside root: unresolved"),IF(G1202=0,"A On time",IF(H1202=1,IF(L1202=1,"B2a Severe, peak","B2b Severe, off-peak"),IF(L1202=1,"B1a Slight, peak","B1b Slight, off-peak"))))</f>
        <v>A On time</v>
      </c>
      <c r="L1202" s="33">
        <f>IF(AND(Orders!U1199&gt;=19,Orders!U1199&lt;22),1,0)</f>
        <v>0</v>
      </c>
      <c r="M1202" s="33">
        <f>IF(L1202=IF(Orders!V1199,1,0),1,0)</f>
        <v>1</v>
      </c>
      <c r="N1202" s="32" t="str">
        <f>IF(Orders!W1199="","None",Orders!W1199)</f>
        <v>None</v>
      </c>
      <c r="O1202" s="35">
        <f>INT(Orders!E1199)</f>
        <v>46269.0</v>
      </c>
      <c r="P1202" s="33">
        <f>Orders!U1199</f>
        <v>9</v>
      </c>
      <c r="Q1202" s="33">
        <f>COUNTIFS(Demand!$A$2:$A$4481,B1202,Demand!$B$2:$B$4481,O1202,Demand!$C$2:$C$4481,P1202)</f>
        <v>1</v>
      </c>
      <c r="R1202" s="33">
        <f>IF(Q1202=1,SUMIFS(Demand!$E$2:$E$4481,Demand!$A$2:$A$4481,B1202,Demand!$B$2:$B$4481,O1202,Demand!$C$2:$C$4481,P1202),"")</f>
        <v>36</v>
      </c>
      <c r="S1202" s="33">
        <f>INDEX(Stores!$G$2:$G$21,MATCH(B1202,Stores!$A$2:$A$21,0))</f>
        <v>42</v>
      </c>
      <c r="T1202" s="34">
        <f>IF(R1202="","",R1202/S1202)</f>
        <v>0.857142857142857</v>
      </c>
      <c r="U1202" s="34">
        <f>IF(E1202=1,T1202,"")</f>
        <v>0.857142857142857</v>
      </c>
      <c r="V1202" s="34">
        <f>IF(AND(E1202=1,L1202=0),T1202,"")</f>
        <v>0.857142857142857</v>
      </c>
      <c r="W1202" s="33">
        <f>IF(U1202="","",IF(U1202&lt;=Breakdowns!$C$5,1,IF(U1202&lt;=Breakdowns!$C$6,2,IF(U1202&lt;=Breakdowns!$C$7,3,4))))</f>
        <v>2</v>
      </c>
      <c r="X1202" s="33">
        <f>IF(V1202="","",IF(V1202&lt;=Breakdowns!$D$5,1,IF(V1202&lt;=Breakdowns!$D$6,2,IF(V1202&lt;=Breakdowns!$D$7,3,4))))</f>
        <v>2</v>
      </c>
      <c r="Y1202" s="34">
        <f>INDEX(Stores!$F$2:$F$21,MATCH(B1202,Stores!$A$2:$A$21,0))</f>
        <v>2.19</v>
      </c>
      <c r="Z1202" s="33">
        <f>IF(Y1202&gt;Store_Summary!$M$2,1,0)</f>
        <v>0</v>
      </c>
      <c r="AA1202" s="33">
        <f>INDEX(Stores!$C$2:$C$21,MATCH(B1202,Stores!$A$2:$A$21,0))</f>
        <v>850</v>
      </c>
      <c r="AB1202" s="33">
        <f>IF(AA1202&lt;180,1,0)</f>
        <v>0</v>
      </c>
      <c r="AC1202" s="32" t="str">
        <f>IF(Orders!D1199="","",INDEX(Riders!$C$2:$C$81,MATCH(Orders!D1199,Riders!$A$2:$A$81,0)))</f>
        <v>EV scooter</v>
      </c>
      <c r="AD1202" s="33">
        <f>IF(Orders!D1199="","",INDEX(Riders!$D$2:$D$81,MATCH(Orders!D1199,Riders!$A$2:$A$81,0)))</f>
        <v>44</v>
      </c>
      <c r="AE1202" s="33">
        <f>IF(Orders!D1199="","",IF(INDEX(Riders!$B$2:$B$81,MATCH(Orders!D1199,Riders!$A$2:$A$81,0))=B1202,1,0))</f>
        <v>0</v>
      </c>
      <c r="AF1202" s="34">
        <f>IF(E1202=1,Orders!L1199,"")</f>
        <v>0.5</v>
      </c>
      <c r="AG1202" s="34">
        <f>IF(E1202=1,Orders!P1199,"")</f>
        <v>8.6</v>
      </c>
      <c r="AH1202" s="34">
        <f>IF(E1202=1,Orders!Q1199,"")</f>
        <v>6.2</v>
      </c>
      <c r="AI1202" s="34">
        <f>IF(E1202=1,Orders!M1199,"")</f>
        <v>2.5</v>
      </c>
      <c r="AJ1202" s="34">
        <f>IF(E1202=1,Orders!N1199,"")</f>
        <v>1.5</v>
      </c>
      <c r="AK1202" s="34">
        <f>IF(E1202=1,Orders!O1199,"")</f>
        <v>2.1</v>
      </c>
      <c r="AL1202" s="33">
        <f>IF(E1202=1,IF(ROUND(ABS(AI1202+AJ1202+AK1202-AH1202),6)&lt;=0.1,1,0),"")</f>
        <v>1</v>
      </c>
      <c r="AM1202" s="36">
        <f>IF(E1202=1,AI1202/AH1202,"")</f>
        <v>0.403225806451613</v>
      </c>
      <c r="AN1202" s="36">
        <f>IF(E1202=1,AJ1202/AH1202,"")</f>
        <v>0.241935483870968</v>
      </c>
      <c r="AO1202" s="36">
        <f>IF(E1202=1,AK1202/AH1202,"")</f>
        <v>0.338709677419355</v>
      </c>
      <c r="AP1202" s="34">
        <f>IF(E1202=1,Orders!Y1199,"")</f>
        <v>0.32</v>
      </c>
      <c r="AQ1202" s="33">
        <f>IF(Orders!X1199,1,0)</f>
        <v>0</v>
      </c>
      <c r="AR1202" s="34" t="str">
        <f>IF(AND(E1202=1,L1202=1),AJ1202,"")</f>
        <v/>
      </c>
      <c r="AS1202" s="34">
        <f>IF(AND(E1202=1,L1202=0),AJ1202,"")</f>
        <v>1.5</v>
      </c>
      <c r="AT1202" s="34" t="str">
        <f>IF(AND(E1202=1,L1202=1),AI1202,"")</f>
        <v/>
      </c>
      <c r="AU1202" s="34">
        <f>IF(AND(E1202=1,L1202=0),AI1202,"")</f>
        <v>2.5</v>
      </c>
      <c r="AV1202" s="34" t="str">
        <f>IF(AND(E1202=1,L1202=1),AG1202,"")</f>
        <v/>
      </c>
      <c r="AW1202" s="34">
        <f>IF(AND(E1202=1,L1202=0),AG1202,"")</f>
        <v>8.6</v>
      </c>
      <c r="AX1202" s="34" t="str">
        <f>IF(AND(E1202=1,L1202=1),AH1202,"")</f>
        <v/>
      </c>
      <c r="AY1202" s="34">
        <f>IF(AND(E1202=1,L1202=0),AH1202,"")</f>
        <v>6.2</v>
      </c>
      <c r="AZ1202" s="34" t="str">
        <f>IF(G1202=1,F1202,"")</f>
        <v/>
      </c>
      <c r="BA1202" s="34" t="str">
        <f>IF(AND(G1202=1,L1202=1),F1202,"")</f>
        <v/>
      </c>
      <c r="BB1202" s="34" t="str">
        <f>IF(AND(G1202=1,L1202=0),F1202,"")</f>
        <v/>
      </c>
      <c r="BC1202" s="33">
        <f>IF(E1202=1,IF(Orders!R1199&gt;3,1,0),"")</f>
        <v>0</v>
      </c>
      <c r="BD1202" s="33">
        <f>IF(E1202=1,IF(Orders!R1199&gt;7,1,0),"")</f>
        <v>0</v>
      </c>
      <c r="BE1202" s="32" t="str">
        <f>IF(E1202=1,IF(Orders!L1199&lt;=1.5,"Up to 1.5 km",IF(Orders!L1199&lt;=3,"1.5–3 km","Over 3 km")),"")</f>
        <v>Up to 1.5 km</v>
      </c>
      <c r="BF1202" s="33">
        <f>IF(E1202=1,IF(ABS((Orders!G1199-Orders!F1199)*1440-Orders!R1199)&lt;0.06,1,0),"")</f>
        <v>1</v>
      </c>
      <c r="BG1202" s="33">
        <f>IF(ABS((Orders!F1199-Orders!E1199)*1440-Orders!P1199)&lt;0.06,1,0)</f>
        <v>1</v>
      </c>
      <c r="BH1202" s="33">
        <f>IF(E1202=1,IF(IF(Orders!S1199,1,0)=1-G1202,1,0),"")</f>
        <v>1</v>
      </c>
      <c r="BI1202" s="32" t="str">
        <f>INDEX(Stores!$B$2:$B$21,MATCH(B1202,Stores!$A$2:$A$21,0))</f>
        <v>Pune</v>
      </c>
    </row>
    <row r="1203">
      <c r="A1203" s="32" t="str">
        <f>Orders!A1200</f>
        <v>O01199</v>
      </c>
      <c r="B1203" s="32" t="str">
        <f>Orders!C1200</f>
        <v>S015</v>
      </c>
      <c r="C1203" s="32" t="str">
        <f>Orders!B1200</f>
        <v>C0122</v>
      </c>
      <c r="D1203" s="32" t="str">
        <f>Orders!H1200</f>
        <v>Delivered</v>
      </c>
      <c r="E1203" s="33">
        <f>IF(Orders!H1200="Delivered",1,0)</f>
        <v>1</v>
      </c>
      <c r="F1203" s="34">
        <f>IF(E1203=1,Orders!R1200,"")</f>
        <v>-0.5</v>
      </c>
      <c r="G1203" s="33">
        <f>IF(E1203=1,IF(Orders!R1200&gt;0,1,0),"")</f>
        <v>0</v>
      </c>
      <c r="H1203" s="33">
        <f>IF(E1203=1,IF(Orders!R1200&gt;5,1,0),"")</f>
        <v>0</v>
      </c>
      <c r="I1203" s="32" t="str">
        <f>IF(E1203=1,"",IF(OR(Orders!T1200="Rider unavailable",Orders!T1200="Item unavailable"),"Company-caused","Unresolved"))</f>
        <v/>
      </c>
      <c r="J1203" s="33">
        <f>IF(OR(E1203=1,I1203="Company-caused"),1,0)</f>
        <v>1</v>
      </c>
      <c r="K1203" s="32" t="str">
        <f>IF(E1203=0,IF(I1203="Company-caused",IF(Orders!T1200="Rider unavailable","C1 Rider unavailable","C2 Item unavailable"),"Outside root: unresolved"),IF(G1203=0,"A On time",IF(H1203=1,IF(L1203=1,"B2a Severe, peak","B2b Severe, off-peak"),IF(L1203=1,"B1a Slight, peak","B1b Slight, off-peak"))))</f>
        <v>A On time</v>
      </c>
      <c r="L1203" s="33">
        <f>IF(AND(Orders!U1200&gt;=19,Orders!U1200&lt;22),1,0)</f>
        <v>0</v>
      </c>
      <c r="M1203" s="33">
        <f>IF(L1203=IF(Orders!V1200,1,0),1,0)</f>
        <v>1</v>
      </c>
      <c r="N1203" s="32" t="str">
        <f>IF(Orders!W1200="","None",Orders!W1200)</f>
        <v>None</v>
      </c>
      <c r="O1203" s="35">
        <f>INT(Orders!E1200)</f>
        <v>46275.0</v>
      </c>
      <c r="P1203" s="33">
        <f>Orders!U1200</f>
        <v>12</v>
      </c>
      <c r="Q1203" s="33">
        <f>COUNTIFS(Demand!$A$2:$A$4481,B1203,Demand!$B$2:$B$4481,O1203,Demand!$C$2:$C$4481,P1203)</f>
        <v>1</v>
      </c>
      <c r="R1203" s="33">
        <f>IF(Q1203=1,SUMIFS(Demand!$E$2:$E$4481,Demand!$A$2:$A$4481,B1203,Demand!$B$2:$B$4481,O1203,Demand!$C$2:$C$4481,P1203),"")</f>
        <v>22</v>
      </c>
      <c r="S1203" s="33">
        <f>INDEX(Stores!$G$2:$G$21,MATCH(B1203,Stores!$A$2:$A$21,0))</f>
        <v>23</v>
      </c>
      <c r="T1203" s="34">
        <f>IF(R1203="","",R1203/S1203)</f>
        <v>0.956521739130435</v>
      </c>
      <c r="U1203" s="34">
        <f>IF(E1203=1,T1203,"")</f>
        <v>0.956521739130435</v>
      </c>
      <c r="V1203" s="34">
        <f>IF(AND(E1203=1,L1203=0),T1203,"")</f>
        <v>0.956521739130435</v>
      </c>
      <c r="W1203" s="33">
        <f>IF(U1203="","",IF(U1203&lt;=Breakdowns!$C$5,1,IF(U1203&lt;=Breakdowns!$C$6,2,IF(U1203&lt;=Breakdowns!$C$7,3,4))))</f>
        <v>2</v>
      </c>
      <c r="X1203" s="33">
        <f>IF(V1203="","",IF(V1203&lt;=Breakdowns!$D$5,1,IF(V1203&lt;=Breakdowns!$D$6,2,IF(V1203&lt;=Breakdowns!$D$7,3,4))))</f>
        <v>3</v>
      </c>
      <c r="Y1203" s="34">
        <f>INDEX(Stores!$F$2:$F$21,MATCH(B1203,Stores!$A$2:$A$21,0))</f>
        <v>4.66</v>
      </c>
      <c r="Z1203" s="33">
        <f>IF(Y1203&gt;Store_Summary!$M$2,1,0)</f>
        <v>0</v>
      </c>
      <c r="AA1203" s="33">
        <f>INDEX(Stores!$C$2:$C$21,MATCH(B1203,Stores!$A$2:$A$21,0))</f>
        <v>204</v>
      </c>
      <c r="AB1203" s="33">
        <f>IF(AA1203&lt;180,1,0)</f>
        <v>0</v>
      </c>
      <c r="AC1203" s="32" t="str">
        <f>IF(Orders!D1200="","",INDEX(Riders!$C$2:$C$81,MATCH(Orders!D1200,Riders!$A$2:$A$81,0)))</f>
        <v>EV scooter</v>
      </c>
      <c r="AD1203" s="33">
        <f>IF(Orders!D1200="","",INDEX(Riders!$D$2:$D$81,MATCH(Orders!D1200,Riders!$A$2:$A$81,0)))</f>
        <v>27</v>
      </c>
      <c r="AE1203" s="33">
        <f>IF(Orders!D1200="","",IF(INDEX(Riders!$B$2:$B$81,MATCH(Orders!D1200,Riders!$A$2:$A$81,0))=B1203,1,0))</f>
        <v>0</v>
      </c>
      <c r="AF1203" s="34">
        <f>IF(E1203=1,Orders!L1200,"")</f>
        <v>1.4</v>
      </c>
      <c r="AG1203" s="34">
        <f>IF(E1203=1,Orders!P1200,"")</f>
        <v>11.5</v>
      </c>
      <c r="AH1203" s="34">
        <f>IF(E1203=1,Orders!Q1200,"")</f>
        <v>11</v>
      </c>
      <c r="AI1203" s="34">
        <f>IF(E1203=1,Orders!M1200,"")</f>
        <v>4</v>
      </c>
      <c r="AJ1203" s="34">
        <f>IF(E1203=1,Orders!N1200,"")</f>
        <v>4.6</v>
      </c>
      <c r="AK1203" s="34">
        <f>IF(E1203=1,Orders!O1200,"")</f>
        <v>2.4</v>
      </c>
      <c r="AL1203" s="33">
        <f>IF(E1203=1,IF(ROUND(ABS(AI1203+AJ1203+AK1203-AH1203),6)&lt;=0.1,1,0),"")</f>
        <v>1</v>
      </c>
      <c r="AM1203" s="36">
        <f>IF(E1203=1,AI1203/AH1203,"")</f>
        <v>0.363636363636364</v>
      </c>
      <c r="AN1203" s="36">
        <f>IF(E1203=1,AJ1203/AH1203,"")</f>
        <v>0.418181818181818</v>
      </c>
      <c r="AO1203" s="36">
        <f>IF(E1203=1,AK1203/AH1203,"")</f>
        <v>0.218181818181818</v>
      </c>
      <c r="AP1203" s="34">
        <f>IF(E1203=1,Orders!Y1200,"")</f>
        <v>0.28</v>
      </c>
      <c r="AQ1203" s="33">
        <f>IF(Orders!X1200,1,0)</f>
        <v>0</v>
      </c>
      <c r="AR1203" s="34" t="str">
        <f>IF(AND(E1203=1,L1203=1),AJ1203,"")</f>
        <v/>
      </c>
      <c r="AS1203" s="34">
        <f>IF(AND(E1203=1,L1203=0),AJ1203,"")</f>
        <v>4.6</v>
      </c>
      <c r="AT1203" s="34" t="str">
        <f>IF(AND(E1203=1,L1203=1),AI1203,"")</f>
        <v/>
      </c>
      <c r="AU1203" s="34">
        <f>IF(AND(E1203=1,L1203=0),AI1203,"")</f>
        <v>4</v>
      </c>
      <c r="AV1203" s="34" t="str">
        <f>IF(AND(E1203=1,L1203=1),AG1203,"")</f>
        <v/>
      </c>
      <c r="AW1203" s="34">
        <f>IF(AND(E1203=1,L1203=0),AG1203,"")</f>
        <v>11.5</v>
      </c>
      <c r="AX1203" s="34" t="str">
        <f>IF(AND(E1203=1,L1203=1),AH1203,"")</f>
        <v/>
      </c>
      <c r="AY1203" s="34">
        <f>IF(AND(E1203=1,L1203=0),AH1203,"")</f>
        <v>11</v>
      </c>
      <c r="AZ1203" s="34" t="str">
        <f>IF(G1203=1,F1203,"")</f>
        <v/>
      </c>
      <c r="BA1203" s="34" t="str">
        <f>IF(AND(G1203=1,L1203=1),F1203,"")</f>
        <v/>
      </c>
      <c r="BB1203" s="34" t="str">
        <f>IF(AND(G1203=1,L1203=0),F1203,"")</f>
        <v/>
      </c>
      <c r="BC1203" s="33">
        <f>IF(E1203=1,IF(Orders!R1200&gt;3,1,0),"")</f>
        <v>0</v>
      </c>
      <c r="BD1203" s="33">
        <f>IF(E1203=1,IF(Orders!R1200&gt;7,1,0),"")</f>
        <v>0</v>
      </c>
      <c r="BE1203" s="32" t="str">
        <f>IF(E1203=1,IF(Orders!L1200&lt;=1.5,"Up to 1.5 km",IF(Orders!L1200&lt;=3,"1.5–3 km","Over 3 km")),"")</f>
        <v>Up to 1.5 km</v>
      </c>
      <c r="BF1203" s="33">
        <f>IF(E1203=1,IF(ABS((Orders!G1200-Orders!F1200)*1440-Orders!R1200)&lt;0.06,1,0),"")</f>
        <v>1</v>
      </c>
      <c r="BG1203" s="33">
        <f>IF(ABS((Orders!F1200-Orders!E1200)*1440-Orders!P1200)&lt;0.06,1,0)</f>
        <v>1</v>
      </c>
      <c r="BH1203" s="33">
        <f>IF(E1203=1,IF(IF(Orders!S1200,1,0)=1-G1203,1,0),"")</f>
        <v>1</v>
      </c>
      <c r="BI1203" s="32" t="str">
        <f>INDEX(Stores!$B$2:$B$21,MATCH(B1203,Stores!$A$2:$A$21,0))</f>
        <v>Delhi</v>
      </c>
    </row>
    <row r="1204">
      <c r="A1204" s="32" t="str">
        <f>Orders!A1201</f>
        <v>O01200</v>
      </c>
      <c r="B1204" s="32" t="str">
        <f>Orders!C1201</f>
        <v>S001</v>
      </c>
      <c r="C1204" s="32" t="str">
        <f>Orders!B1201</f>
        <v>C0110</v>
      </c>
      <c r="D1204" s="32" t="str">
        <f>Orders!H1201</f>
        <v>Delivered</v>
      </c>
      <c r="E1204" s="33">
        <f>IF(Orders!H1201="Delivered",1,0)</f>
        <v>1</v>
      </c>
      <c r="F1204" s="34">
        <f>IF(E1204=1,Orders!R1201,"")</f>
        <v>-0.3</v>
      </c>
      <c r="G1204" s="33">
        <f>IF(E1204=1,IF(Orders!R1201&gt;0,1,0),"")</f>
        <v>0</v>
      </c>
      <c r="H1204" s="33">
        <f>IF(E1204=1,IF(Orders!R1201&gt;5,1,0),"")</f>
        <v>0</v>
      </c>
      <c r="I1204" s="32" t="str">
        <f>IF(E1204=1,"",IF(OR(Orders!T1201="Rider unavailable",Orders!T1201="Item unavailable"),"Company-caused","Unresolved"))</f>
        <v/>
      </c>
      <c r="J1204" s="33">
        <f>IF(OR(E1204=1,I1204="Company-caused"),1,0)</f>
        <v>1</v>
      </c>
      <c r="K1204" s="32" t="str">
        <f>IF(E1204=0,IF(I1204="Company-caused",IF(Orders!T1201="Rider unavailable","C1 Rider unavailable","C2 Item unavailable"),"Outside root: unresolved"),IF(G1204=0,"A On time",IF(H1204=1,IF(L1204=1,"B2a Severe, peak","B2b Severe, off-peak"),IF(L1204=1,"B1a Slight, peak","B1b Slight, off-peak"))))</f>
        <v>A On time</v>
      </c>
      <c r="L1204" s="33">
        <f>IF(AND(Orders!U1201&gt;=19,Orders!U1201&lt;22),1,0)</f>
        <v>0</v>
      </c>
      <c r="M1204" s="33">
        <f>IF(L1204=IF(Orders!V1201,1,0),1,0)</f>
        <v>1</v>
      </c>
      <c r="N1204" s="32" t="str">
        <f>IF(Orders!W1201="","None",Orders!W1201)</f>
        <v>None</v>
      </c>
      <c r="O1204" s="35">
        <f>INT(Orders!E1201)</f>
        <v>46274.0</v>
      </c>
      <c r="P1204" s="33">
        <f>Orders!U1201</f>
        <v>17</v>
      </c>
      <c r="Q1204" s="33">
        <f>COUNTIFS(Demand!$A$2:$A$4481,B1204,Demand!$B$2:$B$4481,O1204,Demand!$C$2:$C$4481,P1204)</f>
        <v>1</v>
      </c>
      <c r="R1204" s="33">
        <f>IF(Q1204=1,SUMIFS(Demand!$E$2:$E$4481,Demand!$A$2:$A$4481,B1204,Demand!$B$2:$B$4481,O1204,Demand!$C$2:$C$4481,P1204),"")</f>
        <v>16</v>
      </c>
      <c r="S1204" s="33">
        <f>INDEX(Stores!$G$2:$G$21,MATCH(B1204,Stores!$A$2:$A$21,0))</f>
        <v>16</v>
      </c>
      <c r="T1204" s="34">
        <f>IF(R1204="","",R1204/S1204)</f>
        <v>1</v>
      </c>
      <c r="U1204" s="34">
        <f>IF(E1204=1,T1204,"")</f>
        <v>1</v>
      </c>
      <c r="V1204" s="34">
        <f>IF(AND(E1204=1,L1204=0),T1204,"")</f>
        <v>1</v>
      </c>
      <c r="W1204" s="33">
        <f>IF(U1204="","",IF(U1204&lt;=Breakdowns!$C$5,1,IF(U1204&lt;=Breakdowns!$C$6,2,IF(U1204&lt;=Breakdowns!$C$7,3,4))))</f>
        <v>2</v>
      </c>
      <c r="X1204" s="33">
        <f>IF(V1204="","",IF(V1204&lt;=Breakdowns!$D$5,1,IF(V1204&lt;=Breakdowns!$D$6,2,IF(V1204&lt;=Breakdowns!$D$7,3,4))))</f>
        <v>3</v>
      </c>
      <c r="Y1204" s="34">
        <f>INDEX(Stores!$F$2:$F$21,MATCH(B1204,Stores!$A$2:$A$21,0))</f>
        <v>4.59</v>
      </c>
      <c r="Z1204" s="33">
        <f>IF(Y1204&gt;Store_Summary!$M$2,1,0)</f>
        <v>0</v>
      </c>
      <c r="AA1204" s="33">
        <f>INDEX(Stores!$C$2:$C$21,MATCH(B1204,Stores!$A$2:$A$21,0))</f>
        <v>362</v>
      </c>
      <c r="AB1204" s="33">
        <f>IF(AA1204&lt;180,1,0)</f>
        <v>0</v>
      </c>
      <c r="AC1204" s="32" t="str">
        <f>IF(Orders!D1201="","",INDEX(Riders!$C$2:$C$81,MATCH(Orders!D1201,Riders!$A$2:$A$81,0)))</f>
        <v>Petrol scooter</v>
      </c>
      <c r="AD1204" s="33">
        <f>IF(Orders!D1201="","",INDEX(Riders!$D$2:$D$81,MATCH(Orders!D1201,Riders!$A$2:$A$81,0)))</f>
        <v>10</v>
      </c>
      <c r="AE1204" s="33">
        <f>IF(Orders!D1201="","",IF(INDEX(Riders!$B$2:$B$81,MATCH(Orders!D1201,Riders!$A$2:$A$81,0))=B1204,1,0))</f>
        <v>0</v>
      </c>
      <c r="AF1204" s="34">
        <f>IF(E1204=1,Orders!L1201,"")</f>
        <v>1.83</v>
      </c>
      <c r="AG1204" s="34">
        <f>IF(E1204=1,Orders!P1201,"")</f>
        <v>12.2</v>
      </c>
      <c r="AH1204" s="34">
        <f>IF(E1204=1,Orders!Q1201,"")</f>
        <v>11.9</v>
      </c>
      <c r="AI1204" s="34">
        <f>IF(E1204=1,Orders!M1201,"")</f>
        <v>4.4</v>
      </c>
      <c r="AJ1204" s="34">
        <f>IF(E1204=1,Orders!N1201,"")</f>
        <v>4.3</v>
      </c>
      <c r="AK1204" s="34">
        <f>IF(E1204=1,Orders!O1201,"")</f>
        <v>3.2</v>
      </c>
      <c r="AL1204" s="33">
        <f>IF(E1204=1,IF(ROUND(ABS(AI1204+AJ1204+AK1204-AH1204),6)&lt;=0.1,1,0),"")</f>
        <v>1</v>
      </c>
      <c r="AM1204" s="36">
        <f>IF(E1204=1,AI1204/AH1204,"")</f>
        <v>0.369747899159664</v>
      </c>
      <c r="AN1204" s="36">
        <f>IF(E1204=1,AJ1204/AH1204,"")</f>
        <v>0.361344537815126</v>
      </c>
      <c r="AO1204" s="36">
        <f>IF(E1204=1,AK1204/AH1204,"")</f>
        <v>0.26890756302521</v>
      </c>
      <c r="AP1204" s="34">
        <f>IF(E1204=1,Orders!Y1201,"")</f>
        <v>0</v>
      </c>
      <c r="AQ1204" s="33">
        <f>IF(Orders!X1201,1,0)</f>
        <v>0</v>
      </c>
      <c r="AR1204" s="34" t="str">
        <f>IF(AND(E1204=1,L1204=1),AJ1204,"")</f>
        <v/>
      </c>
      <c r="AS1204" s="34">
        <f>IF(AND(E1204=1,L1204=0),AJ1204,"")</f>
        <v>4.3</v>
      </c>
      <c r="AT1204" s="34" t="str">
        <f>IF(AND(E1204=1,L1204=1),AI1204,"")</f>
        <v/>
      </c>
      <c r="AU1204" s="34">
        <f>IF(AND(E1204=1,L1204=0),AI1204,"")</f>
        <v>4.4</v>
      </c>
      <c r="AV1204" s="34" t="str">
        <f>IF(AND(E1204=1,L1204=1),AG1204,"")</f>
        <v/>
      </c>
      <c r="AW1204" s="34">
        <f>IF(AND(E1204=1,L1204=0),AG1204,"")</f>
        <v>12.2</v>
      </c>
      <c r="AX1204" s="34" t="str">
        <f>IF(AND(E1204=1,L1204=1),AH1204,"")</f>
        <v/>
      </c>
      <c r="AY1204" s="34">
        <f>IF(AND(E1204=1,L1204=0),AH1204,"")</f>
        <v>11.9</v>
      </c>
      <c r="AZ1204" s="34" t="str">
        <f>IF(G1204=1,F1204,"")</f>
        <v/>
      </c>
      <c r="BA1204" s="34" t="str">
        <f>IF(AND(G1204=1,L1204=1),F1204,"")</f>
        <v/>
      </c>
      <c r="BB1204" s="34" t="str">
        <f>IF(AND(G1204=1,L1204=0),F1204,"")</f>
        <v/>
      </c>
      <c r="BC1204" s="33">
        <f>IF(E1204=1,IF(Orders!R1201&gt;3,1,0),"")</f>
        <v>0</v>
      </c>
      <c r="BD1204" s="33">
        <f>IF(E1204=1,IF(Orders!R1201&gt;7,1,0),"")</f>
        <v>0</v>
      </c>
      <c r="BE1204" s="32" t="str">
        <f>IF(E1204=1,IF(Orders!L1201&lt;=1.5,"Up to 1.5 km",IF(Orders!L1201&lt;=3,"1.5–3 km","Over 3 km")),"")</f>
        <v>1.5–3 km</v>
      </c>
      <c r="BF1204" s="33">
        <f>IF(E1204=1,IF(ABS((Orders!G1201-Orders!F1201)*1440-Orders!R1201)&lt;0.06,1,0),"")</f>
        <v>1</v>
      </c>
      <c r="BG1204" s="33">
        <f>IF(ABS((Orders!F1201-Orders!E1201)*1440-Orders!P1201)&lt;0.06,1,0)</f>
        <v>1</v>
      </c>
      <c r="BH1204" s="33">
        <f>IF(E1204=1,IF(IF(Orders!S1201,1,0)=1-G1204,1,0),"")</f>
        <v>1</v>
      </c>
      <c r="BI1204" s="32" t="str">
        <f>INDEX(Stores!$B$2:$B$21,MATCH(B1204,Stores!$A$2:$A$21,0))</f>
        <v>Bengaluru</v>
      </c>
    </row>
    <row r="1205">
      <c r="A1205" s="32" t="str">
        <f>Orders!A1202</f>
        <v>O01201</v>
      </c>
      <c r="B1205" s="32" t="str">
        <f>Orders!C1202</f>
        <v>S017</v>
      </c>
      <c r="C1205" s="32" t="str">
        <f>Orders!B1202</f>
        <v>C0128</v>
      </c>
      <c r="D1205" s="32" t="str">
        <f>Orders!H1202</f>
        <v>Delivered</v>
      </c>
      <c r="E1205" s="33">
        <f>IF(Orders!H1202="Delivered",1,0)</f>
        <v>1</v>
      </c>
      <c r="F1205" s="34">
        <f>IF(E1205=1,Orders!R1202,"")</f>
        <v>-1.1</v>
      </c>
      <c r="G1205" s="33">
        <f>IF(E1205=1,IF(Orders!R1202&gt;0,1,0),"")</f>
        <v>0</v>
      </c>
      <c r="H1205" s="33">
        <f>IF(E1205=1,IF(Orders!R1202&gt;5,1,0),"")</f>
        <v>0</v>
      </c>
      <c r="I1205" s="32" t="str">
        <f>IF(E1205=1,"",IF(OR(Orders!T1202="Rider unavailable",Orders!T1202="Item unavailable"),"Company-caused","Unresolved"))</f>
        <v/>
      </c>
      <c r="J1205" s="33">
        <f>IF(OR(E1205=1,I1205="Company-caused"),1,0)</f>
        <v>1</v>
      </c>
      <c r="K1205" s="32" t="str">
        <f>IF(E1205=0,IF(I1205="Company-caused",IF(Orders!T1202="Rider unavailable","C1 Rider unavailable","C2 Item unavailable"),"Outside root: unresolved"),IF(G1205=0,"A On time",IF(H1205=1,IF(L1205=1,"B2a Severe, peak","B2b Severe, off-peak"),IF(L1205=1,"B1a Slight, peak","B1b Slight, off-peak"))))</f>
        <v>A On time</v>
      </c>
      <c r="L1205" s="33">
        <f>IF(AND(Orders!U1202&gt;=19,Orders!U1202&lt;22),1,0)</f>
        <v>0</v>
      </c>
      <c r="M1205" s="33">
        <f>IF(L1205=IF(Orders!V1202,1,0),1,0)</f>
        <v>1</v>
      </c>
      <c r="N1205" s="32" t="str">
        <f>IF(Orders!W1202="","None",Orders!W1202)</f>
        <v>None</v>
      </c>
      <c r="O1205" s="35">
        <f>INT(Orders!E1202)</f>
        <v>46270.0</v>
      </c>
      <c r="P1205" s="33">
        <f>Orders!U1202</f>
        <v>22</v>
      </c>
      <c r="Q1205" s="33">
        <f>COUNTIFS(Demand!$A$2:$A$4481,B1205,Demand!$B$2:$B$4481,O1205,Demand!$C$2:$C$4481,P1205)</f>
        <v>1</v>
      </c>
      <c r="R1205" s="33">
        <f>IF(Q1205=1,SUMIFS(Demand!$E$2:$E$4481,Demand!$A$2:$A$4481,B1205,Demand!$B$2:$B$4481,O1205,Demand!$C$2:$C$4481,P1205),"")</f>
        <v>42</v>
      </c>
      <c r="S1205" s="33">
        <f>INDEX(Stores!$G$2:$G$21,MATCH(B1205,Stores!$A$2:$A$21,0))</f>
        <v>36</v>
      </c>
      <c r="T1205" s="34">
        <f>IF(R1205="","",R1205/S1205)</f>
        <v>1.16666666666667</v>
      </c>
      <c r="U1205" s="34">
        <f>IF(E1205=1,T1205,"")</f>
        <v>1.16666666666667</v>
      </c>
      <c r="V1205" s="34">
        <f>IF(AND(E1205=1,L1205=0),T1205,"")</f>
        <v>1.16666666666667</v>
      </c>
      <c r="W1205" s="33">
        <f>IF(U1205="","",IF(U1205&lt;=Breakdowns!$C$5,1,IF(U1205&lt;=Breakdowns!$C$6,2,IF(U1205&lt;=Breakdowns!$C$7,3,4))))</f>
        <v>3</v>
      </c>
      <c r="X1205" s="33">
        <f>IF(V1205="","",IF(V1205&lt;=Breakdowns!$D$5,1,IF(V1205&lt;=Breakdowns!$D$6,2,IF(V1205&lt;=Breakdowns!$D$7,3,4))))</f>
        <v>4</v>
      </c>
      <c r="Y1205" s="34">
        <f>INDEX(Stores!$F$2:$F$21,MATCH(B1205,Stores!$A$2:$A$21,0))</f>
        <v>2.16</v>
      </c>
      <c r="Z1205" s="33">
        <f>IF(Y1205&gt;Store_Summary!$M$2,1,0)</f>
        <v>0</v>
      </c>
      <c r="AA1205" s="33">
        <f>INDEX(Stores!$C$2:$C$21,MATCH(B1205,Stores!$A$2:$A$21,0))</f>
        <v>47</v>
      </c>
      <c r="AB1205" s="33">
        <f>IF(AA1205&lt;180,1,0)</f>
        <v>1</v>
      </c>
      <c r="AC1205" s="32" t="str">
        <f>IF(Orders!D1202="","",INDEX(Riders!$C$2:$C$81,MATCH(Orders!D1202,Riders!$A$2:$A$81,0)))</f>
        <v>EV scooter</v>
      </c>
      <c r="AD1205" s="33">
        <f>IF(Orders!D1202="","",INDEX(Riders!$D$2:$D$81,MATCH(Orders!D1202,Riders!$A$2:$A$81,0)))</f>
        <v>37</v>
      </c>
      <c r="AE1205" s="33">
        <f>IF(Orders!D1202="","",IF(INDEX(Riders!$B$2:$B$81,MATCH(Orders!D1202,Riders!$A$2:$A$81,0))=B1205,1,0))</f>
        <v>0</v>
      </c>
      <c r="AF1205" s="34">
        <f>IF(E1205=1,Orders!L1202,"")</f>
        <v>1.08</v>
      </c>
      <c r="AG1205" s="34">
        <f>IF(E1205=1,Orders!P1202,"")</f>
        <v>9.4</v>
      </c>
      <c r="AH1205" s="34">
        <f>IF(E1205=1,Orders!Q1202,"")</f>
        <v>8.3</v>
      </c>
      <c r="AI1205" s="34">
        <f>IF(E1205=1,Orders!M1202,"")</f>
        <v>3</v>
      </c>
      <c r="AJ1205" s="34">
        <f>IF(E1205=1,Orders!N1202,"")</f>
        <v>1.7</v>
      </c>
      <c r="AK1205" s="34">
        <f>IF(E1205=1,Orders!O1202,"")</f>
        <v>3.6</v>
      </c>
      <c r="AL1205" s="33">
        <f>IF(E1205=1,IF(ROUND(ABS(AI1205+AJ1205+AK1205-AH1205),6)&lt;=0.1,1,0),"")</f>
        <v>1</v>
      </c>
      <c r="AM1205" s="36">
        <f>IF(E1205=1,AI1205/AH1205,"")</f>
        <v>0.36144578313253</v>
      </c>
      <c r="AN1205" s="36">
        <f>IF(E1205=1,AJ1205/AH1205,"")</f>
        <v>0.204819277108434</v>
      </c>
      <c r="AO1205" s="36">
        <f>IF(E1205=1,AK1205/AH1205,"")</f>
        <v>0.433734939759036</v>
      </c>
      <c r="AP1205" s="34">
        <f>IF(E1205=1,Orders!Y1202,"")</f>
        <v>0.53</v>
      </c>
      <c r="AQ1205" s="33">
        <f>IF(Orders!X1202,1,0)</f>
        <v>0</v>
      </c>
      <c r="AR1205" s="34" t="str">
        <f>IF(AND(E1205=1,L1205=1),AJ1205,"")</f>
        <v/>
      </c>
      <c r="AS1205" s="34">
        <f>IF(AND(E1205=1,L1205=0),AJ1205,"")</f>
        <v>1.7</v>
      </c>
      <c r="AT1205" s="34" t="str">
        <f>IF(AND(E1205=1,L1205=1),AI1205,"")</f>
        <v/>
      </c>
      <c r="AU1205" s="34">
        <f>IF(AND(E1205=1,L1205=0),AI1205,"")</f>
        <v>3</v>
      </c>
      <c r="AV1205" s="34" t="str">
        <f>IF(AND(E1205=1,L1205=1),AG1205,"")</f>
        <v/>
      </c>
      <c r="AW1205" s="34">
        <f>IF(AND(E1205=1,L1205=0),AG1205,"")</f>
        <v>9.4</v>
      </c>
      <c r="AX1205" s="34" t="str">
        <f>IF(AND(E1205=1,L1205=1),AH1205,"")</f>
        <v/>
      </c>
      <c r="AY1205" s="34">
        <f>IF(AND(E1205=1,L1205=0),AH1205,"")</f>
        <v>8.3</v>
      </c>
      <c r="AZ1205" s="34" t="str">
        <f>IF(G1205=1,F1205,"")</f>
        <v/>
      </c>
      <c r="BA1205" s="34" t="str">
        <f>IF(AND(G1205=1,L1205=1),F1205,"")</f>
        <v/>
      </c>
      <c r="BB1205" s="34" t="str">
        <f>IF(AND(G1205=1,L1205=0),F1205,"")</f>
        <v/>
      </c>
      <c r="BC1205" s="33">
        <f>IF(E1205=1,IF(Orders!R1202&gt;3,1,0),"")</f>
        <v>0</v>
      </c>
      <c r="BD1205" s="33">
        <f>IF(E1205=1,IF(Orders!R1202&gt;7,1,0),"")</f>
        <v>0</v>
      </c>
      <c r="BE1205" s="32" t="str">
        <f>IF(E1205=1,IF(Orders!L1202&lt;=1.5,"Up to 1.5 km",IF(Orders!L1202&lt;=3,"1.5–3 km","Over 3 km")),"")</f>
        <v>Up to 1.5 km</v>
      </c>
      <c r="BF1205" s="33">
        <f>IF(E1205=1,IF(ABS((Orders!G1202-Orders!F1202)*1440-Orders!R1202)&lt;0.06,1,0),"")</f>
        <v>1</v>
      </c>
      <c r="BG1205" s="33">
        <f>IF(ABS((Orders!F1202-Orders!E1202)*1440-Orders!P1202)&lt;0.06,1,0)</f>
        <v>1</v>
      </c>
      <c r="BH1205" s="33">
        <f>IF(E1205=1,IF(IF(Orders!S1202,1,0)=1-G1205,1,0),"")</f>
        <v>1</v>
      </c>
      <c r="BI1205" s="32" t="str">
        <f>INDEX(Stores!$B$2:$B$21,MATCH(B1205,Stores!$A$2:$A$21,0))</f>
        <v>Hyderabad</v>
      </c>
    </row>
    <row r="1206">
      <c r="A1206" s="32" t="str">
        <f>Orders!A1203</f>
        <v>O01202</v>
      </c>
      <c r="B1206" s="32" t="str">
        <f>Orders!C1203</f>
        <v>S007</v>
      </c>
      <c r="C1206" s="32" t="str">
        <f>Orders!B1203</f>
        <v>C0140</v>
      </c>
      <c r="D1206" s="32" t="str">
        <f>Orders!H1203</f>
        <v>Delivered</v>
      </c>
      <c r="E1206" s="33">
        <f>IF(Orders!H1203="Delivered",1,0)</f>
        <v>1</v>
      </c>
      <c r="F1206" s="34">
        <f>IF(E1206=1,Orders!R1203,"")</f>
        <v>-1.9</v>
      </c>
      <c r="G1206" s="33">
        <f>IF(E1206=1,IF(Orders!R1203&gt;0,1,0),"")</f>
        <v>0</v>
      </c>
      <c r="H1206" s="33">
        <f>IF(E1206=1,IF(Orders!R1203&gt;5,1,0),"")</f>
        <v>0</v>
      </c>
      <c r="I1206" s="32" t="str">
        <f>IF(E1206=1,"",IF(OR(Orders!T1203="Rider unavailable",Orders!T1203="Item unavailable"),"Company-caused","Unresolved"))</f>
        <v/>
      </c>
      <c r="J1206" s="33">
        <f>IF(OR(E1206=1,I1206="Company-caused"),1,0)</f>
        <v>1</v>
      </c>
      <c r="K1206" s="32" t="str">
        <f>IF(E1206=0,IF(I1206="Company-caused",IF(Orders!T1203="Rider unavailable","C1 Rider unavailable","C2 Item unavailable"),"Outside root: unresolved"),IF(G1206=0,"A On time",IF(H1206=1,IF(L1206=1,"B2a Severe, peak","B2b Severe, off-peak"),IF(L1206=1,"B1a Slight, peak","B1b Slight, off-peak"))))</f>
        <v>A On time</v>
      </c>
      <c r="L1206" s="33">
        <f>IF(AND(Orders!U1203&gt;=19,Orders!U1203&lt;22),1,0)</f>
        <v>0</v>
      </c>
      <c r="M1206" s="33">
        <f>IF(L1206=IF(Orders!V1203,1,0),1,0)</f>
        <v>1</v>
      </c>
      <c r="N1206" s="32" t="str">
        <f>IF(Orders!W1203="","None",Orders!W1203)</f>
        <v>None</v>
      </c>
      <c r="O1206" s="35">
        <f>INT(Orders!E1203)</f>
        <v>46273.0</v>
      </c>
      <c r="P1206" s="33">
        <f>Orders!U1203</f>
        <v>15</v>
      </c>
      <c r="Q1206" s="33">
        <f>COUNTIFS(Demand!$A$2:$A$4481,B1206,Demand!$B$2:$B$4481,O1206,Demand!$C$2:$C$4481,P1206)</f>
        <v>1</v>
      </c>
      <c r="R1206" s="33">
        <f>IF(Q1206=1,SUMIFS(Demand!$E$2:$E$4481,Demand!$A$2:$A$4481,B1206,Demand!$B$2:$B$4481,O1206,Demand!$C$2:$C$4481,P1206),"")</f>
        <v>20</v>
      </c>
      <c r="S1206" s="33">
        <f>INDEX(Stores!$G$2:$G$21,MATCH(B1206,Stores!$A$2:$A$21,0))</f>
        <v>37</v>
      </c>
      <c r="T1206" s="34">
        <f>IF(R1206="","",R1206/S1206)</f>
        <v>0.540540540540541</v>
      </c>
      <c r="U1206" s="34">
        <f>IF(E1206=1,T1206,"")</f>
        <v>0.540540540540541</v>
      </c>
      <c r="V1206" s="34">
        <f>IF(AND(E1206=1,L1206=0),T1206,"")</f>
        <v>0.540540540540541</v>
      </c>
      <c r="W1206" s="33">
        <f>IF(U1206="","",IF(U1206&lt;=Breakdowns!$C$5,1,IF(U1206&lt;=Breakdowns!$C$6,2,IF(U1206&lt;=Breakdowns!$C$7,3,4))))</f>
        <v>1</v>
      </c>
      <c r="X1206" s="33">
        <f>IF(V1206="","",IF(V1206&lt;=Breakdowns!$D$5,1,IF(V1206&lt;=Breakdowns!$D$6,2,IF(V1206&lt;=Breakdowns!$D$7,3,4))))</f>
        <v>1</v>
      </c>
      <c r="Y1206" s="34">
        <f>INDEX(Stores!$F$2:$F$21,MATCH(B1206,Stores!$A$2:$A$21,0))</f>
        <v>4.05</v>
      </c>
      <c r="Z1206" s="33">
        <f>IF(Y1206&gt;Store_Summary!$M$2,1,0)</f>
        <v>0</v>
      </c>
      <c r="AA1206" s="33">
        <f>INDEX(Stores!$C$2:$C$21,MATCH(B1206,Stores!$A$2:$A$21,0))</f>
        <v>661</v>
      </c>
      <c r="AB1206" s="33">
        <f>IF(AA1206&lt;180,1,0)</f>
        <v>0</v>
      </c>
      <c r="AC1206" s="32" t="str">
        <f>IF(Orders!D1203="","",INDEX(Riders!$C$2:$C$81,MATCH(Orders!D1203,Riders!$A$2:$A$81,0)))</f>
        <v>Bicycle</v>
      </c>
      <c r="AD1206" s="33">
        <f>IF(Orders!D1203="","",INDEX(Riders!$D$2:$D$81,MATCH(Orders!D1203,Riders!$A$2:$A$81,0)))</f>
        <v>40</v>
      </c>
      <c r="AE1206" s="33">
        <f>IF(Orders!D1203="","",IF(INDEX(Riders!$B$2:$B$81,MATCH(Orders!D1203,Riders!$A$2:$A$81,0))=B1206,1,0))</f>
        <v>0</v>
      </c>
      <c r="AF1206" s="34">
        <f>IF(E1206=1,Orders!L1203,"")</f>
        <v>0.88</v>
      </c>
      <c r="AG1206" s="34">
        <f>IF(E1206=1,Orders!P1203,"")</f>
        <v>9.6</v>
      </c>
      <c r="AH1206" s="34">
        <f>IF(E1206=1,Orders!Q1203,"")</f>
        <v>7.7</v>
      </c>
      <c r="AI1206" s="34">
        <f>IF(E1206=1,Orders!M1203,"")</f>
        <v>4.2</v>
      </c>
      <c r="AJ1206" s="34">
        <f>IF(E1206=1,Orders!N1203,"")</f>
        <v>0.8</v>
      </c>
      <c r="AK1206" s="34">
        <f>IF(E1206=1,Orders!O1203,"")</f>
        <v>2.7</v>
      </c>
      <c r="AL1206" s="33">
        <f>IF(E1206=1,IF(ROUND(ABS(AI1206+AJ1206+AK1206-AH1206),6)&lt;=0.1,1,0),"")</f>
        <v>1</v>
      </c>
      <c r="AM1206" s="36">
        <f>IF(E1206=1,AI1206/AH1206,"")</f>
        <v>0.545454545454545</v>
      </c>
      <c r="AN1206" s="36">
        <f>IF(E1206=1,AJ1206/AH1206,"")</f>
        <v>0.103896103896104</v>
      </c>
      <c r="AO1206" s="36">
        <f>IF(E1206=1,AK1206/AH1206,"")</f>
        <v>0.350649350649351</v>
      </c>
      <c r="AP1206" s="34">
        <f>IF(E1206=1,Orders!Y1203,"")</f>
        <v>0.29</v>
      </c>
      <c r="AQ1206" s="33">
        <f>IF(Orders!X1203,1,0)</f>
        <v>0</v>
      </c>
      <c r="AR1206" s="34" t="str">
        <f>IF(AND(E1206=1,L1206=1),AJ1206,"")</f>
        <v/>
      </c>
      <c r="AS1206" s="34">
        <f>IF(AND(E1206=1,L1206=0),AJ1206,"")</f>
        <v>0.8</v>
      </c>
      <c r="AT1206" s="34" t="str">
        <f>IF(AND(E1206=1,L1206=1),AI1206,"")</f>
        <v/>
      </c>
      <c r="AU1206" s="34">
        <f>IF(AND(E1206=1,L1206=0),AI1206,"")</f>
        <v>4.2</v>
      </c>
      <c r="AV1206" s="34" t="str">
        <f>IF(AND(E1206=1,L1206=1),AG1206,"")</f>
        <v/>
      </c>
      <c r="AW1206" s="34">
        <f>IF(AND(E1206=1,L1206=0),AG1206,"")</f>
        <v>9.6</v>
      </c>
      <c r="AX1206" s="34" t="str">
        <f>IF(AND(E1206=1,L1206=1),AH1206,"")</f>
        <v/>
      </c>
      <c r="AY1206" s="34">
        <f>IF(AND(E1206=1,L1206=0),AH1206,"")</f>
        <v>7.7</v>
      </c>
      <c r="AZ1206" s="34" t="str">
        <f>IF(G1206=1,F1206,"")</f>
        <v/>
      </c>
      <c r="BA1206" s="34" t="str">
        <f>IF(AND(G1206=1,L1206=1),F1206,"")</f>
        <v/>
      </c>
      <c r="BB1206" s="34" t="str">
        <f>IF(AND(G1206=1,L1206=0),F1206,"")</f>
        <v/>
      </c>
      <c r="BC1206" s="33">
        <f>IF(E1206=1,IF(Orders!R1203&gt;3,1,0),"")</f>
        <v>0</v>
      </c>
      <c r="BD1206" s="33">
        <f>IF(E1206=1,IF(Orders!R1203&gt;7,1,0),"")</f>
        <v>0</v>
      </c>
      <c r="BE1206" s="32" t="str">
        <f>IF(E1206=1,IF(Orders!L1203&lt;=1.5,"Up to 1.5 km",IF(Orders!L1203&lt;=3,"1.5–3 km","Over 3 km")),"")</f>
        <v>Up to 1.5 km</v>
      </c>
      <c r="BF1206" s="33">
        <f>IF(E1206=1,IF(ABS((Orders!G1203-Orders!F1203)*1440-Orders!R1203)&lt;0.06,1,0),"")</f>
        <v>1</v>
      </c>
      <c r="BG1206" s="33">
        <f>IF(ABS((Orders!F1203-Orders!E1203)*1440-Orders!P1203)&lt;0.06,1,0)</f>
        <v>1</v>
      </c>
      <c r="BH1206" s="33">
        <f>IF(E1206=1,IF(IF(Orders!S1203,1,0)=1-G1206,1,0),"")</f>
        <v>1</v>
      </c>
      <c r="BI1206" s="32" t="str">
        <f>INDEX(Stores!$B$2:$B$21,MATCH(B1206,Stores!$A$2:$A$21,0))</f>
        <v>Hyderabad</v>
      </c>
    </row>
    <row r="1207">
      <c r="A1207" s="32" t="str">
        <f>Orders!A1204</f>
        <v>O01203</v>
      </c>
      <c r="B1207" s="32" t="str">
        <f>Orders!C1204</f>
        <v>S004</v>
      </c>
      <c r="C1207" s="32" t="str">
        <f>Orders!B1204</f>
        <v>C0042</v>
      </c>
      <c r="D1207" s="32" t="str">
        <f>Orders!H1204</f>
        <v>Delivered</v>
      </c>
      <c r="E1207" s="33">
        <f>IF(Orders!H1204="Delivered",1,0)</f>
        <v>1</v>
      </c>
      <c r="F1207" s="34">
        <f>IF(E1207=1,Orders!R1204,"")</f>
        <v>-0.9</v>
      </c>
      <c r="G1207" s="33">
        <f>IF(E1207=1,IF(Orders!R1204&gt;0,1,0),"")</f>
        <v>0</v>
      </c>
      <c r="H1207" s="33">
        <f>IF(E1207=1,IF(Orders!R1204&gt;5,1,0),"")</f>
        <v>0</v>
      </c>
      <c r="I1207" s="32" t="str">
        <f>IF(E1207=1,"",IF(OR(Orders!T1204="Rider unavailable",Orders!T1204="Item unavailable"),"Company-caused","Unresolved"))</f>
        <v/>
      </c>
      <c r="J1207" s="33">
        <f>IF(OR(E1207=1,I1207="Company-caused"),1,0)</f>
        <v>1</v>
      </c>
      <c r="K1207" s="32" t="str">
        <f>IF(E1207=0,IF(I1207="Company-caused",IF(Orders!T1204="Rider unavailable","C1 Rider unavailable","C2 Item unavailable"),"Outside root: unresolved"),IF(G1207=0,"A On time",IF(H1207=1,IF(L1207=1,"B2a Severe, peak","B2b Severe, off-peak"),IF(L1207=1,"B1a Slight, peak","B1b Slight, off-peak"))))</f>
        <v>A On time</v>
      </c>
      <c r="L1207" s="33">
        <f>IF(AND(Orders!U1204&gt;=19,Orders!U1204&lt;22),1,0)</f>
        <v>0</v>
      </c>
      <c r="M1207" s="33">
        <f>IF(L1207=IF(Orders!V1204,1,0),1,0)</f>
        <v>1</v>
      </c>
      <c r="N1207" s="32" t="str">
        <f>IF(Orders!W1204="","None",Orders!W1204)</f>
        <v>Light</v>
      </c>
      <c r="O1207" s="35">
        <f>INT(Orders!E1204)</f>
        <v>46275.0</v>
      </c>
      <c r="P1207" s="33">
        <f>Orders!U1204</f>
        <v>14</v>
      </c>
      <c r="Q1207" s="33">
        <f>COUNTIFS(Demand!$A$2:$A$4481,B1207,Demand!$B$2:$B$4481,O1207,Demand!$C$2:$C$4481,P1207)</f>
        <v>1</v>
      </c>
      <c r="R1207" s="33">
        <f>IF(Q1207=1,SUMIFS(Demand!$E$2:$E$4481,Demand!$A$2:$A$4481,B1207,Demand!$B$2:$B$4481,O1207,Demand!$C$2:$C$4481,P1207),"")</f>
        <v>30</v>
      </c>
      <c r="S1207" s="33">
        <f>INDEX(Stores!$G$2:$G$21,MATCH(B1207,Stores!$A$2:$A$21,0))</f>
        <v>42</v>
      </c>
      <c r="T1207" s="34">
        <f>IF(R1207="","",R1207/S1207)</f>
        <v>0.714285714285714</v>
      </c>
      <c r="U1207" s="34">
        <f>IF(E1207=1,T1207,"")</f>
        <v>0.714285714285714</v>
      </c>
      <c r="V1207" s="34">
        <f>IF(AND(E1207=1,L1207=0),T1207,"")</f>
        <v>0.714285714285714</v>
      </c>
      <c r="W1207" s="33">
        <f>IF(U1207="","",IF(U1207&lt;=Breakdowns!$C$5,1,IF(U1207&lt;=Breakdowns!$C$6,2,IF(U1207&lt;=Breakdowns!$C$7,3,4))))</f>
        <v>1</v>
      </c>
      <c r="X1207" s="33">
        <f>IF(V1207="","",IF(V1207&lt;=Breakdowns!$D$5,1,IF(V1207&lt;=Breakdowns!$D$6,2,IF(V1207&lt;=Breakdowns!$D$7,3,4))))</f>
        <v>1</v>
      </c>
      <c r="Y1207" s="34">
        <f>INDEX(Stores!$F$2:$F$21,MATCH(B1207,Stores!$A$2:$A$21,0))</f>
        <v>2.19</v>
      </c>
      <c r="Z1207" s="33">
        <f>IF(Y1207&gt;Store_Summary!$M$2,1,0)</f>
        <v>0</v>
      </c>
      <c r="AA1207" s="33">
        <f>INDEX(Stores!$C$2:$C$21,MATCH(B1207,Stores!$A$2:$A$21,0))</f>
        <v>850</v>
      </c>
      <c r="AB1207" s="33">
        <f>IF(AA1207&lt;180,1,0)</f>
        <v>0</v>
      </c>
      <c r="AC1207" s="32" t="str">
        <f>IF(Orders!D1204="","",INDEX(Riders!$C$2:$C$81,MATCH(Orders!D1204,Riders!$A$2:$A$81,0)))</f>
        <v>EV scooter</v>
      </c>
      <c r="AD1207" s="33">
        <f>IF(Orders!D1204="","",INDEX(Riders!$D$2:$D$81,MATCH(Orders!D1204,Riders!$A$2:$A$81,0)))</f>
        <v>3</v>
      </c>
      <c r="AE1207" s="33">
        <f>IF(Orders!D1204="","",IF(INDEX(Riders!$B$2:$B$81,MATCH(Orders!D1204,Riders!$A$2:$A$81,0))=B1207,1,0))</f>
        <v>0</v>
      </c>
      <c r="AF1207" s="34">
        <f>IF(E1207=1,Orders!L1204,"")</f>
        <v>3.3</v>
      </c>
      <c r="AG1207" s="34">
        <f>IF(E1207=1,Orders!P1204,"")</f>
        <v>13.2</v>
      </c>
      <c r="AH1207" s="34">
        <f>IF(E1207=1,Orders!Q1204,"")</f>
        <v>12.3</v>
      </c>
      <c r="AI1207" s="34">
        <f>IF(E1207=1,Orders!M1204,"")</f>
        <v>2.3</v>
      </c>
      <c r="AJ1207" s="34">
        <f>IF(E1207=1,Orders!N1204,"")</f>
        <v>4.8</v>
      </c>
      <c r="AK1207" s="34">
        <f>IF(E1207=1,Orders!O1204,"")</f>
        <v>5.2</v>
      </c>
      <c r="AL1207" s="33">
        <f>IF(E1207=1,IF(ROUND(ABS(AI1207+AJ1207+AK1207-AH1207),6)&lt;=0.1,1,0),"")</f>
        <v>1</v>
      </c>
      <c r="AM1207" s="36">
        <f>IF(E1207=1,AI1207/AH1207,"")</f>
        <v>0.186991869918699</v>
      </c>
      <c r="AN1207" s="36">
        <f>IF(E1207=1,AJ1207/AH1207,"")</f>
        <v>0.390243902439024</v>
      </c>
      <c r="AO1207" s="36">
        <f>IF(E1207=1,AK1207/AH1207,"")</f>
        <v>0.422764227642276</v>
      </c>
      <c r="AP1207" s="34">
        <f>IF(E1207=1,Orders!Y1204,"")</f>
        <v>0.44</v>
      </c>
      <c r="AQ1207" s="33">
        <f>IF(Orders!X1204,1,0)</f>
        <v>0</v>
      </c>
      <c r="AR1207" s="34" t="str">
        <f>IF(AND(E1207=1,L1207=1),AJ1207,"")</f>
        <v/>
      </c>
      <c r="AS1207" s="34">
        <f>IF(AND(E1207=1,L1207=0),AJ1207,"")</f>
        <v>4.8</v>
      </c>
      <c r="AT1207" s="34" t="str">
        <f>IF(AND(E1207=1,L1207=1),AI1207,"")</f>
        <v/>
      </c>
      <c r="AU1207" s="34">
        <f>IF(AND(E1207=1,L1207=0),AI1207,"")</f>
        <v>2.3</v>
      </c>
      <c r="AV1207" s="34" t="str">
        <f>IF(AND(E1207=1,L1207=1),AG1207,"")</f>
        <v/>
      </c>
      <c r="AW1207" s="34">
        <f>IF(AND(E1207=1,L1207=0),AG1207,"")</f>
        <v>13.2</v>
      </c>
      <c r="AX1207" s="34" t="str">
        <f>IF(AND(E1207=1,L1207=1),AH1207,"")</f>
        <v/>
      </c>
      <c r="AY1207" s="34">
        <f>IF(AND(E1207=1,L1207=0),AH1207,"")</f>
        <v>12.3</v>
      </c>
      <c r="AZ1207" s="34" t="str">
        <f>IF(G1207=1,F1207,"")</f>
        <v/>
      </c>
      <c r="BA1207" s="34" t="str">
        <f>IF(AND(G1207=1,L1207=1),F1207,"")</f>
        <v/>
      </c>
      <c r="BB1207" s="34" t="str">
        <f>IF(AND(G1207=1,L1207=0),F1207,"")</f>
        <v/>
      </c>
      <c r="BC1207" s="33">
        <f>IF(E1207=1,IF(Orders!R1204&gt;3,1,0),"")</f>
        <v>0</v>
      </c>
      <c r="BD1207" s="33">
        <f>IF(E1207=1,IF(Orders!R1204&gt;7,1,0),"")</f>
        <v>0</v>
      </c>
      <c r="BE1207" s="32" t="str">
        <f>IF(E1207=1,IF(Orders!L1204&lt;=1.5,"Up to 1.5 km",IF(Orders!L1204&lt;=3,"1.5–3 km","Over 3 km")),"")</f>
        <v>Over 3 km</v>
      </c>
      <c r="BF1207" s="33">
        <f>IF(E1207=1,IF(ABS((Orders!G1204-Orders!F1204)*1440-Orders!R1204)&lt;0.06,1,0),"")</f>
        <v>1</v>
      </c>
      <c r="BG1207" s="33">
        <f>IF(ABS((Orders!F1204-Orders!E1204)*1440-Orders!P1204)&lt;0.06,1,0)</f>
        <v>1</v>
      </c>
      <c r="BH1207" s="33">
        <f>IF(E1207=1,IF(IF(Orders!S1204,1,0)=1-G1207,1,0),"")</f>
        <v>1</v>
      </c>
      <c r="BI1207" s="32" t="str">
        <f>INDEX(Stores!$B$2:$B$21,MATCH(B1207,Stores!$A$2:$A$21,0))</f>
        <v>Pune</v>
      </c>
    </row>
    <row r="1208">
      <c r="A1208" s="32" t="str">
        <f>Orders!A1205</f>
        <v>O01204</v>
      </c>
      <c r="B1208" s="32" t="str">
        <f>Orders!C1205</f>
        <v>S004</v>
      </c>
      <c r="C1208" s="32" t="str">
        <f>Orders!B1205</f>
        <v>C0042</v>
      </c>
      <c r="D1208" s="32" t="str">
        <f>Orders!H1205</f>
        <v>Delivered</v>
      </c>
      <c r="E1208" s="33">
        <f>IF(Orders!H1205="Delivered",1,0)</f>
        <v>1</v>
      </c>
      <c r="F1208" s="34">
        <f>IF(E1208=1,Orders!R1205,"")</f>
        <v>-0.5</v>
      </c>
      <c r="G1208" s="33">
        <f>IF(E1208=1,IF(Orders!R1205&gt;0,1,0),"")</f>
        <v>0</v>
      </c>
      <c r="H1208" s="33">
        <f>IF(E1208=1,IF(Orders!R1205&gt;5,1,0),"")</f>
        <v>0</v>
      </c>
      <c r="I1208" s="32" t="str">
        <f>IF(E1208=1,"",IF(OR(Orders!T1205="Rider unavailable",Orders!T1205="Item unavailable"),"Company-caused","Unresolved"))</f>
        <v/>
      </c>
      <c r="J1208" s="33">
        <f>IF(OR(E1208=1,I1208="Company-caused"),1,0)</f>
        <v>1</v>
      </c>
      <c r="K1208" s="32" t="str">
        <f>IF(E1208=0,IF(I1208="Company-caused",IF(Orders!T1205="Rider unavailable","C1 Rider unavailable","C2 Item unavailable"),"Outside root: unresolved"),IF(G1208=0,"A On time",IF(H1208=1,IF(L1208=1,"B2a Severe, peak","B2b Severe, off-peak"),IF(L1208=1,"B1a Slight, peak","B1b Slight, off-peak"))))</f>
        <v>A On time</v>
      </c>
      <c r="L1208" s="33">
        <f>IF(AND(Orders!U1205&gt;=19,Orders!U1205&lt;22),1,0)</f>
        <v>0</v>
      </c>
      <c r="M1208" s="33">
        <f>IF(L1208=IF(Orders!V1205,1,0),1,0)</f>
        <v>1</v>
      </c>
      <c r="N1208" s="32" t="str">
        <f>IF(Orders!W1205="","None",Orders!W1205)</f>
        <v>None</v>
      </c>
      <c r="O1208" s="35">
        <f>INT(Orders!E1205)</f>
        <v>46273.0</v>
      </c>
      <c r="P1208" s="33">
        <f>Orders!U1205</f>
        <v>22</v>
      </c>
      <c r="Q1208" s="33">
        <f>COUNTIFS(Demand!$A$2:$A$4481,B1208,Demand!$B$2:$B$4481,O1208,Demand!$C$2:$C$4481,P1208)</f>
        <v>1</v>
      </c>
      <c r="R1208" s="33">
        <f>IF(Q1208=1,SUMIFS(Demand!$E$2:$E$4481,Demand!$A$2:$A$4481,B1208,Demand!$B$2:$B$4481,O1208,Demand!$C$2:$C$4481,P1208),"")</f>
        <v>44</v>
      </c>
      <c r="S1208" s="33">
        <f>INDEX(Stores!$G$2:$G$21,MATCH(B1208,Stores!$A$2:$A$21,0))</f>
        <v>42</v>
      </c>
      <c r="T1208" s="34">
        <f>IF(R1208="","",R1208/S1208)</f>
        <v>1.04761904761905</v>
      </c>
      <c r="U1208" s="34">
        <f>IF(E1208=1,T1208,"")</f>
        <v>1.04761904761905</v>
      </c>
      <c r="V1208" s="34">
        <f>IF(AND(E1208=1,L1208=0),T1208,"")</f>
        <v>1.04761904761905</v>
      </c>
      <c r="W1208" s="33">
        <f>IF(U1208="","",IF(U1208&lt;=Breakdowns!$C$5,1,IF(U1208&lt;=Breakdowns!$C$6,2,IF(U1208&lt;=Breakdowns!$C$7,3,4))))</f>
        <v>3</v>
      </c>
      <c r="X1208" s="33">
        <f>IF(V1208="","",IF(V1208&lt;=Breakdowns!$D$5,1,IF(V1208&lt;=Breakdowns!$D$6,2,IF(V1208&lt;=Breakdowns!$D$7,3,4))))</f>
        <v>3</v>
      </c>
      <c r="Y1208" s="34">
        <f>INDEX(Stores!$F$2:$F$21,MATCH(B1208,Stores!$A$2:$A$21,0))</f>
        <v>2.19</v>
      </c>
      <c r="Z1208" s="33">
        <f>IF(Y1208&gt;Store_Summary!$M$2,1,0)</f>
        <v>0</v>
      </c>
      <c r="AA1208" s="33">
        <f>INDEX(Stores!$C$2:$C$21,MATCH(B1208,Stores!$A$2:$A$21,0))</f>
        <v>850</v>
      </c>
      <c r="AB1208" s="33">
        <f>IF(AA1208&lt;180,1,0)</f>
        <v>0</v>
      </c>
      <c r="AC1208" s="32" t="str">
        <f>IF(Orders!D1205="","",INDEX(Riders!$C$2:$C$81,MATCH(Orders!D1205,Riders!$A$2:$A$81,0)))</f>
        <v>EV scooter</v>
      </c>
      <c r="AD1208" s="33">
        <f>IF(Orders!D1205="","",INDEX(Riders!$D$2:$D$81,MATCH(Orders!D1205,Riders!$A$2:$A$81,0)))</f>
        <v>11</v>
      </c>
      <c r="AE1208" s="33">
        <f>IF(Orders!D1205="","",IF(INDEX(Riders!$B$2:$B$81,MATCH(Orders!D1205,Riders!$A$2:$A$81,0))=B1208,1,0))</f>
        <v>0</v>
      </c>
      <c r="AF1208" s="34">
        <f>IF(E1208=1,Orders!L1205,"")</f>
        <v>2.36</v>
      </c>
      <c r="AG1208" s="34">
        <f>IF(E1208=1,Orders!P1205,"")</f>
        <v>10.5</v>
      </c>
      <c r="AH1208" s="34">
        <f>IF(E1208=1,Orders!Q1205,"")</f>
        <v>10</v>
      </c>
      <c r="AI1208" s="34">
        <f>IF(E1208=1,Orders!M1205,"")</f>
        <v>2.2</v>
      </c>
      <c r="AJ1208" s="34">
        <f>IF(E1208=1,Orders!N1205,"")</f>
        <v>1.3</v>
      </c>
      <c r="AK1208" s="34">
        <f>IF(E1208=1,Orders!O1205,"")</f>
        <v>6.5</v>
      </c>
      <c r="AL1208" s="33">
        <f>IF(E1208=1,IF(ROUND(ABS(AI1208+AJ1208+AK1208-AH1208),6)&lt;=0.1,1,0),"")</f>
        <v>1</v>
      </c>
      <c r="AM1208" s="36">
        <f>IF(E1208=1,AI1208/AH1208,"")</f>
        <v>0.22</v>
      </c>
      <c r="AN1208" s="36">
        <f>IF(E1208=1,AJ1208/AH1208,"")</f>
        <v>0.13</v>
      </c>
      <c r="AO1208" s="36">
        <f>IF(E1208=1,AK1208/AH1208,"")</f>
        <v>0.65</v>
      </c>
      <c r="AP1208" s="34">
        <f>IF(E1208=1,Orders!Y1205,"")</f>
        <v>0.79</v>
      </c>
      <c r="AQ1208" s="33">
        <f>IF(Orders!X1205,1,0)</f>
        <v>0</v>
      </c>
      <c r="AR1208" s="34" t="str">
        <f>IF(AND(E1208=1,L1208=1),AJ1208,"")</f>
        <v/>
      </c>
      <c r="AS1208" s="34">
        <f>IF(AND(E1208=1,L1208=0),AJ1208,"")</f>
        <v>1.3</v>
      </c>
      <c r="AT1208" s="34" t="str">
        <f>IF(AND(E1208=1,L1208=1),AI1208,"")</f>
        <v/>
      </c>
      <c r="AU1208" s="34">
        <f>IF(AND(E1208=1,L1208=0),AI1208,"")</f>
        <v>2.2</v>
      </c>
      <c r="AV1208" s="34" t="str">
        <f>IF(AND(E1208=1,L1208=1),AG1208,"")</f>
        <v/>
      </c>
      <c r="AW1208" s="34">
        <f>IF(AND(E1208=1,L1208=0),AG1208,"")</f>
        <v>10.5</v>
      </c>
      <c r="AX1208" s="34" t="str">
        <f>IF(AND(E1208=1,L1208=1),AH1208,"")</f>
        <v/>
      </c>
      <c r="AY1208" s="34">
        <f>IF(AND(E1208=1,L1208=0),AH1208,"")</f>
        <v>10</v>
      </c>
      <c r="AZ1208" s="34" t="str">
        <f>IF(G1208=1,F1208,"")</f>
        <v/>
      </c>
      <c r="BA1208" s="34" t="str">
        <f>IF(AND(G1208=1,L1208=1),F1208,"")</f>
        <v/>
      </c>
      <c r="BB1208" s="34" t="str">
        <f>IF(AND(G1208=1,L1208=0),F1208,"")</f>
        <v/>
      </c>
      <c r="BC1208" s="33">
        <f>IF(E1208=1,IF(Orders!R1205&gt;3,1,0),"")</f>
        <v>0</v>
      </c>
      <c r="BD1208" s="33">
        <f>IF(E1208=1,IF(Orders!R1205&gt;7,1,0),"")</f>
        <v>0</v>
      </c>
      <c r="BE1208" s="32" t="str">
        <f>IF(E1208=1,IF(Orders!L1205&lt;=1.5,"Up to 1.5 km",IF(Orders!L1205&lt;=3,"1.5–3 km","Over 3 km")),"")</f>
        <v>1.5–3 km</v>
      </c>
      <c r="BF1208" s="33">
        <f>IF(E1208=1,IF(ABS((Orders!G1205-Orders!F1205)*1440-Orders!R1205)&lt;0.06,1,0),"")</f>
        <v>1</v>
      </c>
      <c r="BG1208" s="33">
        <f>IF(ABS((Orders!F1205-Orders!E1205)*1440-Orders!P1205)&lt;0.06,1,0)</f>
        <v>1</v>
      </c>
      <c r="BH1208" s="33">
        <f>IF(E1208=1,IF(IF(Orders!S1205,1,0)=1-G1208,1,0),"")</f>
        <v>1</v>
      </c>
      <c r="BI1208" s="32" t="str">
        <f>INDEX(Stores!$B$2:$B$21,MATCH(B1208,Stores!$A$2:$A$21,0))</f>
        <v>Pune</v>
      </c>
    </row>
    <row r="1209">
      <c r="A1209" s="32" t="str">
        <f>Orders!A1206</f>
        <v>O01205</v>
      </c>
      <c r="B1209" s="32" t="str">
        <f>Orders!C1206</f>
        <v>S010</v>
      </c>
      <c r="C1209" s="32" t="str">
        <f>Orders!B1206</f>
        <v>C0035</v>
      </c>
      <c r="D1209" s="32" t="str">
        <f>Orders!H1206</f>
        <v>Delivered</v>
      </c>
      <c r="E1209" s="33">
        <f>IF(Orders!H1206="Delivered",1,0)</f>
        <v>1</v>
      </c>
      <c r="F1209" s="34">
        <f>IF(E1209=1,Orders!R1206,"")</f>
        <v>-0.5</v>
      </c>
      <c r="G1209" s="33">
        <f>IF(E1209=1,IF(Orders!R1206&gt;0,1,0),"")</f>
        <v>0</v>
      </c>
      <c r="H1209" s="33">
        <f>IF(E1209=1,IF(Orders!R1206&gt;5,1,0),"")</f>
        <v>0</v>
      </c>
      <c r="I1209" s="32" t="str">
        <f>IF(E1209=1,"",IF(OR(Orders!T1206="Rider unavailable",Orders!T1206="Item unavailable"),"Company-caused","Unresolved"))</f>
        <v/>
      </c>
      <c r="J1209" s="33">
        <f>IF(OR(E1209=1,I1209="Company-caused"),1,0)</f>
        <v>1</v>
      </c>
      <c r="K1209" s="32" t="str">
        <f>IF(E1209=0,IF(I1209="Company-caused",IF(Orders!T1206="Rider unavailable","C1 Rider unavailable","C2 Item unavailable"),"Outside root: unresolved"),IF(G1209=0,"A On time",IF(H1209=1,IF(L1209=1,"B2a Severe, peak","B2b Severe, off-peak"),IF(L1209=1,"B1a Slight, peak","B1b Slight, off-peak"))))</f>
        <v>A On time</v>
      </c>
      <c r="L1209" s="33">
        <f>IF(AND(Orders!U1206&gt;=19,Orders!U1206&lt;22),1,0)</f>
        <v>1</v>
      </c>
      <c r="M1209" s="33">
        <f>IF(L1209=IF(Orders!V1206,1,0),1,0)</f>
        <v>1</v>
      </c>
      <c r="N1209" s="32" t="str">
        <f>IF(Orders!W1206="","None",Orders!W1206)</f>
        <v>Light</v>
      </c>
      <c r="O1209" s="35">
        <f>INT(Orders!E1206)</f>
        <v>46269.0</v>
      </c>
      <c r="P1209" s="33">
        <f>Orders!U1206</f>
        <v>19</v>
      </c>
      <c r="Q1209" s="33">
        <f>COUNTIFS(Demand!$A$2:$A$4481,B1209,Demand!$B$2:$B$4481,O1209,Demand!$C$2:$C$4481,P1209)</f>
        <v>1</v>
      </c>
      <c r="R1209" s="33">
        <f>IF(Q1209=1,SUMIFS(Demand!$E$2:$E$4481,Demand!$A$2:$A$4481,B1209,Demand!$B$2:$B$4481,O1209,Demand!$C$2:$C$4481,P1209),"")</f>
        <v>25</v>
      </c>
      <c r="S1209" s="33">
        <f>INDEX(Stores!$G$2:$G$21,MATCH(B1209,Stores!$A$2:$A$21,0))</f>
        <v>22</v>
      </c>
      <c r="T1209" s="34">
        <f>IF(R1209="","",R1209/S1209)</f>
        <v>1.13636363636364</v>
      </c>
      <c r="U1209" s="34">
        <f>IF(E1209=1,T1209,"")</f>
        <v>1.13636363636364</v>
      </c>
      <c r="V1209" s="34" t="str">
        <f>IF(AND(E1209=1,L1209=0),T1209,"")</f>
        <v/>
      </c>
      <c r="W1209" s="33">
        <f>IF(U1209="","",IF(U1209&lt;=Breakdowns!$C$5,1,IF(U1209&lt;=Breakdowns!$C$6,2,IF(U1209&lt;=Breakdowns!$C$7,3,4))))</f>
        <v>3</v>
      </c>
      <c r="X1209" s="33" t="str">
        <f>IF(V1209="","",IF(V1209&lt;=Breakdowns!$D$5,1,IF(V1209&lt;=Breakdowns!$D$6,2,IF(V1209&lt;=Breakdowns!$D$7,3,4))))</f>
        <v/>
      </c>
      <c r="Y1209" s="34">
        <f>INDEX(Stores!$F$2:$F$21,MATCH(B1209,Stores!$A$2:$A$21,0))</f>
        <v>5.61</v>
      </c>
      <c r="Z1209" s="33">
        <f>IF(Y1209&gt;Store_Summary!$M$2,1,0)</f>
        <v>1</v>
      </c>
      <c r="AA1209" s="33">
        <f>INDEX(Stores!$C$2:$C$21,MATCH(B1209,Stores!$A$2:$A$21,0))</f>
        <v>744</v>
      </c>
      <c r="AB1209" s="33">
        <f>IF(AA1209&lt;180,1,0)</f>
        <v>0</v>
      </c>
      <c r="AC1209" s="32" t="str">
        <f>IF(Orders!D1206="","",INDEX(Riders!$C$2:$C$81,MATCH(Orders!D1206,Riders!$A$2:$A$81,0)))</f>
        <v>Petrol scooter</v>
      </c>
      <c r="AD1209" s="33">
        <f>IF(Orders!D1206="","",INDEX(Riders!$D$2:$D$81,MATCH(Orders!D1206,Riders!$A$2:$A$81,0)))</f>
        <v>44</v>
      </c>
      <c r="AE1209" s="33">
        <f>IF(Orders!D1206="","",IF(INDEX(Riders!$B$2:$B$81,MATCH(Orders!D1206,Riders!$A$2:$A$81,0))=B1209,1,0))</f>
        <v>0</v>
      </c>
      <c r="AF1209" s="34">
        <f>IF(E1209=1,Orders!L1206,"")</f>
        <v>3.03</v>
      </c>
      <c r="AG1209" s="34">
        <f>IF(E1209=1,Orders!P1206,"")</f>
        <v>9.1</v>
      </c>
      <c r="AH1209" s="34">
        <f>IF(E1209=1,Orders!Q1206,"")</f>
        <v>8.6</v>
      </c>
      <c r="AI1209" s="34">
        <f>IF(E1209=1,Orders!M1206,"")</f>
        <v>2.1</v>
      </c>
      <c r="AJ1209" s="34">
        <f>IF(E1209=1,Orders!N1206,"")</f>
        <v>2.7</v>
      </c>
      <c r="AK1209" s="34">
        <f>IF(E1209=1,Orders!O1206,"")</f>
        <v>3.8</v>
      </c>
      <c r="AL1209" s="33">
        <f>IF(E1209=1,IF(ROUND(ABS(AI1209+AJ1209+AK1209-AH1209),6)&lt;=0.1,1,0),"")</f>
        <v>1</v>
      </c>
      <c r="AM1209" s="36">
        <f>IF(E1209=1,AI1209/AH1209,"")</f>
        <v>0.244186046511628</v>
      </c>
      <c r="AN1209" s="36">
        <f>IF(E1209=1,AJ1209/AH1209,"")</f>
        <v>0.313953488372093</v>
      </c>
      <c r="AO1209" s="36">
        <f>IF(E1209=1,AK1209/AH1209,"")</f>
        <v>0.441860465116279</v>
      </c>
      <c r="AP1209" s="34">
        <f>IF(E1209=1,Orders!Y1206,"")</f>
        <v>0.66</v>
      </c>
      <c r="AQ1209" s="33">
        <f>IF(Orders!X1206,1,0)</f>
        <v>0</v>
      </c>
      <c r="AR1209" s="34">
        <f>IF(AND(E1209=1,L1209=1),AJ1209,"")</f>
        <v>2.7</v>
      </c>
      <c r="AS1209" s="34" t="str">
        <f>IF(AND(E1209=1,L1209=0),AJ1209,"")</f>
        <v/>
      </c>
      <c r="AT1209" s="34">
        <f>IF(AND(E1209=1,L1209=1),AI1209,"")</f>
        <v>2.1</v>
      </c>
      <c r="AU1209" s="34" t="str">
        <f>IF(AND(E1209=1,L1209=0),AI1209,"")</f>
        <v/>
      </c>
      <c r="AV1209" s="34">
        <f>IF(AND(E1209=1,L1209=1),AG1209,"")</f>
        <v>9.1</v>
      </c>
      <c r="AW1209" s="34" t="str">
        <f>IF(AND(E1209=1,L1209=0),AG1209,"")</f>
        <v/>
      </c>
      <c r="AX1209" s="34">
        <f>IF(AND(E1209=1,L1209=1),AH1209,"")</f>
        <v>8.6</v>
      </c>
      <c r="AY1209" s="34" t="str">
        <f>IF(AND(E1209=1,L1209=0),AH1209,"")</f>
        <v/>
      </c>
      <c r="AZ1209" s="34" t="str">
        <f>IF(G1209=1,F1209,"")</f>
        <v/>
      </c>
      <c r="BA1209" s="34" t="str">
        <f>IF(AND(G1209=1,L1209=1),F1209,"")</f>
        <v/>
      </c>
      <c r="BB1209" s="34" t="str">
        <f>IF(AND(G1209=1,L1209=0),F1209,"")</f>
        <v/>
      </c>
      <c r="BC1209" s="33">
        <f>IF(E1209=1,IF(Orders!R1206&gt;3,1,0),"")</f>
        <v>0</v>
      </c>
      <c r="BD1209" s="33">
        <f>IF(E1209=1,IF(Orders!R1206&gt;7,1,0),"")</f>
        <v>0</v>
      </c>
      <c r="BE1209" s="32" t="str">
        <f>IF(E1209=1,IF(Orders!L1206&lt;=1.5,"Up to 1.5 km",IF(Orders!L1206&lt;=3,"1.5–3 km","Over 3 km")),"")</f>
        <v>Over 3 km</v>
      </c>
      <c r="BF1209" s="33">
        <f>IF(E1209=1,IF(ABS((Orders!G1206-Orders!F1206)*1440-Orders!R1206)&lt;0.06,1,0),"")</f>
        <v>1</v>
      </c>
      <c r="BG1209" s="33">
        <f>IF(ABS((Orders!F1206-Orders!E1206)*1440-Orders!P1206)&lt;0.06,1,0)</f>
        <v>1</v>
      </c>
      <c r="BH1209" s="33">
        <f>IF(E1209=1,IF(IF(Orders!S1206,1,0)=1-G1209,1,0),"")</f>
        <v>1</v>
      </c>
      <c r="BI1209" s="32" t="str">
        <f>INDEX(Stores!$B$2:$B$21,MATCH(B1209,Stores!$A$2:$A$21,0))</f>
        <v>Delhi</v>
      </c>
    </row>
    <row r="1210">
      <c r="A1210" s="32" t="str">
        <f>Orders!A1207</f>
        <v>O01206</v>
      </c>
      <c r="B1210" s="32" t="str">
        <f>Orders!C1207</f>
        <v>S020</v>
      </c>
      <c r="C1210" s="32" t="str">
        <f>Orders!B1207</f>
        <v>C0088</v>
      </c>
      <c r="D1210" s="32" t="str">
        <f>Orders!H1207</f>
        <v>Delivered</v>
      </c>
      <c r="E1210" s="33">
        <f>IF(Orders!H1207="Delivered",1,0)</f>
        <v>1</v>
      </c>
      <c r="F1210" s="34">
        <f>IF(E1210=1,Orders!R1207,"")</f>
        <v>-1.1</v>
      </c>
      <c r="G1210" s="33">
        <f>IF(E1210=1,IF(Orders!R1207&gt;0,1,0),"")</f>
        <v>0</v>
      </c>
      <c r="H1210" s="33">
        <f>IF(E1210=1,IF(Orders!R1207&gt;5,1,0),"")</f>
        <v>0</v>
      </c>
      <c r="I1210" s="32" t="str">
        <f>IF(E1210=1,"",IF(OR(Orders!T1207="Rider unavailable",Orders!T1207="Item unavailable"),"Company-caused","Unresolved"))</f>
        <v/>
      </c>
      <c r="J1210" s="33">
        <f>IF(OR(E1210=1,I1210="Company-caused"),1,0)</f>
        <v>1</v>
      </c>
      <c r="K1210" s="32" t="str">
        <f>IF(E1210=0,IF(I1210="Company-caused",IF(Orders!T1207="Rider unavailable","C1 Rider unavailable","C2 Item unavailable"),"Outside root: unresolved"),IF(G1210=0,"A On time",IF(H1210=1,IF(L1210=1,"B2a Severe, peak","B2b Severe, off-peak"),IF(L1210=1,"B1a Slight, peak","B1b Slight, off-peak"))))</f>
        <v>A On time</v>
      </c>
      <c r="L1210" s="33">
        <f>IF(AND(Orders!U1207&gt;=19,Orders!U1207&lt;22),1,0)</f>
        <v>0</v>
      </c>
      <c r="M1210" s="33">
        <f>IF(L1210=IF(Orders!V1207,1,0),1,0)</f>
        <v>1</v>
      </c>
      <c r="N1210" s="32" t="str">
        <f>IF(Orders!W1207="","None",Orders!W1207)</f>
        <v>Light</v>
      </c>
      <c r="O1210" s="35">
        <f>INT(Orders!E1207)</f>
        <v>46276.0</v>
      </c>
      <c r="P1210" s="33">
        <f>Orders!U1207</f>
        <v>23</v>
      </c>
      <c r="Q1210" s="33">
        <f>COUNTIFS(Demand!$A$2:$A$4481,B1210,Demand!$B$2:$B$4481,O1210,Demand!$C$2:$C$4481,P1210)</f>
        <v>1</v>
      </c>
      <c r="R1210" s="33">
        <f>IF(Q1210=1,SUMIFS(Demand!$E$2:$E$4481,Demand!$A$2:$A$4481,B1210,Demand!$B$2:$B$4481,O1210,Demand!$C$2:$C$4481,P1210),"")</f>
        <v>17</v>
      </c>
      <c r="S1210" s="33">
        <f>INDEX(Stores!$G$2:$G$21,MATCH(B1210,Stores!$A$2:$A$21,0))</f>
        <v>15</v>
      </c>
      <c r="T1210" s="34">
        <f>IF(R1210="","",R1210/S1210)</f>
        <v>1.13333333333333</v>
      </c>
      <c r="U1210" s="34">
        <f>IF(E1210=1,T1210,"")</f>
        <v>1.13333333333333</v>
      </c>
      <c r="V1210" s="34">
        <f>IF(AND(E1210=1,L1210=0),T1210,"")</f>
        <v>1.13333333333333</v>
      </c>
      <c r="W1210" s="33">
        <f>IF(U1210="","",IF(U1210&lt;=Breakdowns!$C$5,1,IF(U1210&lt;=Breakdowns!$C$6,2,IF(U1210&lt;=Breakdowns!$C$7,3,4))))</f>
        <v>3</v>
      </c>
      <c r="X1210" s="33">
        <f>IF(V1210="","",IF(V1210&lt;=Breakdowns!$D$5,1,IF(V1210&lt;=Breakdowns!$D$6,2,IF(V1210&lt;=Breakdowns!$D$7,3,4))))</f>
        <v>4</v>
      </c>
      <c r="Y1210" s="34">
        <f>INDEX(Stores!$F$2:$F$21,MATCH(B1210,Stores!$A$2:$A$21,0))</f>
        <v>5.74</v>
      </c>
      <c r="Z1210" s="33">
        <f>IF(Y1210&gt;Store_Summary!$M$2,1,0)</f>
        <v>1</v>
      </c>
      <c r="AA1210" s="33">
        <f>INDEX(Stores!$C$2:$C$21,MATCH(B1210,Stores!$A$2:$A$21,0))</f>
        <v>647</v>
      </c>
      <c r="AB1210" s="33">
        <f>IF(AA1210&lt;180,1,0)</f>
        <v>0</v>
      </c>
      <c r="AC1210" s="32" t="str">
        <f>IF(Orders!D1207="","",INDEX(Riders!$C$2:$C$81,MATCH(Orders!D1207,Riders!$A$2:$A$81,0)))</f>
        <v>EV scooter</v>
      </c>
      <c r="AD1210" s="33">
        <f>IF(Orders!D1207="","",INDEX(Riders!$D$2:$D$81,MATCH(Orders!D1207,Riders!$A$2:$A$81,0)))</f>
        <v>12</v>
      </c>
      <c r="AE1210" s="33">
        <f>IF(Orders!D1207="","",IF(INDEX(Riders!$B$2:$B$81,MATCH(Orders!D1207,Riders!$A$2:$A$81,0))=B1210,1,0))</f>
        <v>0</v>
      </c>
      <c r="AF1210" s="34">
        <f>IF(E1210=1,Orders!L1207,"")</f>
        <v>1.47</v>
      </c>
      <c r="AG1210" s="34">
        <f>IF(E1210=1,Orders!P1207,"")</f>
        <v>8.3</v>
      </c>
      <c r="AH1210" s="34">
        <f>IF(E1210=1,Orders!Q1207,"")</f>
        <v>7.2</v>
      </c>
      <c r="AI1210" s="34">
        <f>IF(E1210=1,Orders!M1207,"")</f>
        <v>2.7</v>
      </c>
      <c r="AJ1210" s="34">
        <f>IF(E1210=1,Orders!N1207,"")</f>
        <v>2.3</v>
      </c>
      <c r="AK1210" s="34">
        <f>IF(E1210=1,Orders!O1207,"")</f>
        <v>2.2</v>
      </c>
      <c r="AL1210" s="33">
        <f>IF(E1210=1,IF(ROUND(ABS(AI1210+AJ1210+AK1210-AH1210),6)&lt;=0.1,1,0),"")</f>
        <v>1</v>
      </c>
      <c r="AM1210" s="36">
        <f>IF(E1210=1,AI1210/AH1210,"")</f>
        <v>0.375</v>
      </c>
      <c r="AN1210" s="36">
        <f>IF(E1210=1,AJ1210/AH1210,"")</f>
        <v>0.319444444444444</v>
      </c>
      <c r="AO1210" s="36">
        <f>IF(E1210=1,AK1210/AH1210,"")</f>
        <v>0.305555555555556</v>
      </c>
      <c r="AP1210" s="34">
        <f>IF(E1210=1,Orders!Y1207,"")</f>
        <v>0.36</v>
      </c>
      <c r="AQ1210" s="33">
        <f>IF(Orders!X1207,1,0)</f>
        <v>0</v>
      </c>
      <c r="AR1210" s="34" t="str">
        <f>IF(AND(E1210=1,L1210=1),AJ1210,"")</f>
        <v/>
      </c>
      <c r="AS1210" s="34">
        <f>IF(AND(E1210=1,L1210=0),AJ1210,"")</f>
        <v>2.3</v>
      </c>
      <c r="AT1210" s="34" t="str">
        <f>IF(AND(E1210=1,L1210=1),AI1210,"")</f>
        <v/>
      </c>
      <c r="AU1210" s="34">
        <f>IF(AND(E1210=1,L1210=0),AI1210,"")</f>
        <v>2.7</v>
      </c>
      <c r="AV1210" s="34" t="str">
        <f>IF(AND(E1210=1,L1210=1),AG1210,"")</f>
        <v/>
      </c>
      <c r="AW1210" s="34">
        <f>IF(AND(E1210=1,L1210=0),AG1210,"")</f>
        <v>8.3</v>
      </c>
      <c r="AX1210" s="34" t="str">
        <f>IF(AND(E1210=1,L1210=1),AH1210,"")</f>
        <v/>
      </c>
      <c r="AY1210" s="34">
        <f>IF(AND(E1210=1,L1210=0),AH1210,"")</f>
        <v>7.2</v>
      </c>
      <c r="AZ1210" s="34" t="str">
        <f>IF(G1210=1,F1210,"")</f>
        <v/>
      </c>
      <c r="BA1210" s="34" t="str">
        <f>IF(AND(G1210=1,L1210=1),F1210,"")</f>
        <v/>
      </c>
      <c r="BB1210" s="34" t="str">
        <f>IF(AND(G1210=1,L1210=0),F1210,"")</f>
        <v/>
      </c>
      <c r="BC1210" s="33">
        <f>IF(E1210=1,IF(Orders!R1207&gt;3,1,0),"")</f>
        <v>0</v>
      </c>
      <c r="BD1210" s="33">
        <f>IF(E1210=1,IF(Orders!R1207&gt;7,1,0),"")</f>
        <v>0</v>
      </c>
      <c r="BE1210" s="32" t="str">
        <f>IF(E1210=1,IF(Orders!L1207&lt;=1.5,"Up to 1.5 km",IF(Orders!L1207&lt;=3,"1.5–3 km","Over 3 km")),"")</f>
        <v>Up to 1.5 km</v>
      </c>
      <c r="BF1210" s="33">
        <f>IF(E1210=1,IF(ABS((Orders!G1207-Orders!F1207)*1440-Orders!R1207)&lt;0.06,1,0),"")</f>
        <v>1</v>
      </c>
      <c r="BG1210" s="33">
        <f>IF(ABS((Orders!F1207-Orders!E1207)*1440-Orders!P1207)&lt;0.06,1,0)</f>
        <v>1</v>
      </c>
      <c r="BH1210" s="33">
        <f>IF(E1210=1,IF(IF(Orders!S1207,1,0)=1-G1210,1,0),"")</f>
        <v>1</v>
      </c>
      <c r="BI1210" s="32" t="str">
        <f>INDEX(Stores!$B$2:$B$21,MATCH(B1210,Stores!$A$2:$A$21,0))</f>
        <v>Delhi</v>
      </c>
    </row>
    <row r="1211">
      <c r="A1211" s="32" t="str">
        <f>Orders!A1208</f>
        <v>O01207</v>
      </c>
      <c r="B1211" s="32" t="str">
        <f>Orders!C1208</f>
        <v>S019</v>
      </c>
      <c r="C1211" s="32" t="str">
        <f>Orders!B1208</f>
        <v>C0116</v>
      </c>
      <c r="D1211" s="32" t="str">
        <f>Orders!H1208</f>
        <v>Delivered</v>
      </c>
      <c r="E1211" s="33">
        <f>IF(Orders!H1208="Delivered",1,0)</f>
        <v>1</v>
      </c>
      <c r="F1211" s="34">
        <f>IF(E1211=1,Orders!R1208,"")</f>
        <v>-0.9</v>
      </c>
      <c r="G1211" s="33">
        <f>IF(E1211=1,IF(Orders!R1208&gt;0,1,0),"")</f>
        <v>0</v>
      </c>
      <c r="H1211" s="33">
        <f>IF(E1211=1,IF(Orders!R1208&gt;5,1,0),"")</f>
        <v>0</v>
      </c>
      <c r="I1211" s="32" t="str">
        <f>IF(E1211=1,"",IF(OR(Orders!T1208="Rider unavailable",Orders!T1208="Item unavailable"),"Company-caused","Unresolved"))</f>
        <v/>
      </c>
      <c r="J1211" s="33">
        <f>IF(OR(E1211=1,I1211="Company-caused"),1,0)</f>
        <v>1</v>
      </c>
      <c r="K1211" s="32" t="str">
        <f>IF(E1211=0,IF(I1211="Company-caused",IF(Orders!T1208="Rider unavailable","C1 Rider unavailable","C2 Item unavailable"),"Outside root: unresolved"),IF(G1211=0,"A On time",IF(H1211=1,IF(L1211=1,"B2a Severe, peak","B2b Severe, off-peak"),IF(L1211=1,"B1a Slight, peak","B1b Slight, off-peak"))))</f>
        <v>A On time</v>
      </c>
      <c r="L1211" s="33">
        <f>IF(AND(Orders!U1208&gt;=19,Orders!U1208&lt;22),1,0)</f>
        <v>0</v>
      </c>
      <c r="M1211" s="33">
        <f>IF(L1211=IF(Orders!V1208,1,0),1,0)</f>
        <v>1</v>
      </c>
      <c r="N1211" s="32" t="str">
        <f>IF(Orders!W1208="","None",Orders!W1208)</f>
        <v>Light</v>
      </c>
      <c r="O1211" s="35">
        <f>INT(Orders!E1208)</f>
        <v>46275.0</v>
      </c>
      <c r="P1211" s="33">
        <f>Orders!U1208</f>
        <v>18</v>
      </c>
      <c r="Q1211" s="33">
        <f>COUNTIFS(Demand!$A$2:$A$4481,B1211,Demand!$B$2:$B$4481,O1211,Demand!$C$2:$C$4481,P1211)</f>
        <v>1</v>
      </c>
      <c r="R1211" s="33">
        <f>IF(Q1211=1,SUMIFS(Demand!$E$2:$E$4481,Demand!$A$2:$A$4481,B1211,Demand!$B$2:$B$4481,O1211,Demand!$C$2:$C$4481,P1211),"")</f>
        <v>21</v>
      </c>
      <c r="S1211" s="33">
        <f>INDEX(Stores!$G$2:$G$21,MATCH(B1211,Stores!$A$2:$A$21,0))</f>
        <v>22</v>
      </c>
      <c r="T1211" s="34">
        <f>IF(R1211="","",R1211/S1211)</f>
        <v>0.954545454545455</v>
      </c>
      <c r="U1211" s="34">
        <f>IF(E1211=1,T1211,"")</f>
        <v>0.954545454545455</v>
      </c>
      <c r="V1211" s="34">
        <f>IF(AND(E1211=1,L1211=0),T1211,"")</f>
        <v>0.954545454545455</v>
      </c>
      <c r="W1211" s="33">
        <f>IF(U1211="","",IF(U1211&lt;=Breakdowns!$C$5,1,IF(U1211&lt;=Breakdowns!$C$6,2,IF(U1211&lt;=Breakdowns!$C$7,3,4))))</f>
        <v>2</v>
      </c>
      <c r="X1211" s="33">
        <f>IF(V1211="","",IF(V1211&lt;=Breakdowns!$D$5,1,IF(V1211&lt;=Breakdowns!$D$6,2,IF(V1211&lt;=Breakdowns!$D$7,3,4))))</f>
        <v>3</v>
      </c>
      <c r="Y1211" s="34">
        <f>INDEX(Stores!$F$2:$F$21,MATCH(B1211,Stores!$A$2:$A$21,0))</f>
        <v>4.99</v>
      </c>
      <c r="Z1211" s="33">
        <f>IF(Y1211&gt;Store_Summary!$M$2,1,0)</f>
        <v>1</v>
      </c>
      <c r="AA1211" s="33">
        <f>INDEX(Stores!$C$2:$C$21,MATCH(B1211,Stores!$A$2:$A$21,0))</f>
        <v>851</v>
      </c>
      <c r="AB1211" s="33">
        <f>IF(AA1211&lt;180,1,0)</f>
        <v>0</v>
      </c>
      <c r="AC1211" s="32" t="str">
        <f>IF(Orders!D1208="","",INDEX(Riders!$C$2:$C$81,MATCH(Orders!D1208,Riders!$A$2:$A$81,0)))</f>
        <v>EV scooter</v>
      </c>
      <c r="AD1211" s="33">
        <f>IF(Orders!D1208="","",INDEX(Riders!$D$2:$D$81,MATCH(Orders!D1208,Riders!$A$2:$A$81,0)))</f>
        <v>3</v>
      </c>
      <c r="AE1211" s="33">
        <f>IF(Orders!D1208="","",IF(INDEX(Riders!$B$2:$B$81,MATCH(Orders!D1208,Riders!$A$2:$A$81,0))=B1211,1,0))</f>
        <v>0</v>
      </c>
      <c r="AF1211" s="34">
        <f>IF(E1211=1,Orders!L1208,"")</f>
        <v>0.95</v>
      </c>
      <c r="AG1211" s="34">
        <f>IF(E1211=1,Orders!P1208,"")</f>
        <v>9.8</v>
      </c>
      <c r="AH1211" s="34">
        <f>IF(E1211=1,Orders!Q1208,"")</f>
        <v>8.9</v>
      </c>
      <c r="AI1211" s="34">
        <f>IF(E1211=1,Orders!M1208,"")</f>
        <v>2.6</v>
      </c>
      <c r="AJ1211" s="34">
        <f>IF(E1211=1,Orders!N1208,"")</f>
        <v>4.4</v>
      </c>
      <c r="AK1211" s="34">
        <f>IF(E1211=1,Orders!O1208,"")</f>
        <v>1.9</v>
      </c>
      <c r="AL1211" s="33">
        <f>IF(E1211=1,IF(ROUND(ABS(AI1211+AJ1211+AK1211-AH1211),6)&lt;=0.1,1,0),"")</f>
        <v>1</v>
      </c>
      <c r="AM1211" s="36">
        <f>IF(E1211=1,AI1211/AH1211,"")</f>
        <v>0.292134831460674</v>
      </c>
      <c r="AN1211" s="36">
        <f>IF(E1211=1,AJ1211/AH1211,"")</f>
        <v>0.49438202247191</v>
      </c>
      <c r="AO1211" s="36">
        <f>IF(E1211=1,AK1211/AH1211,"")</f>
        <v>0.213483146067416</v>
      </c>
      <c r="AP1211" s="34">
        <f>IF(E1211=1,Orders!Y1208,"")</f>
        <v>0.26</v>
      </c>
      <c r="AQ1211" s="33">
        <f>IF(Orders!X1208,1,0)</f>
        <v>0</v>
      </c>
      <c r="AR1211" s="34" t="str">
        <f>IF(AND(E1211=1,L1211=1),AJ1211,"")</f>
        <v/>
      </c>
      <c r="AS1211" s="34">
        <f>IF(AND(E1211=1,L1211=0),AJ1211,"")</f>
        <v>4.4</v>
      </c>
      <c r="AT1211" s="34" t="str">
        <f>IF(AND(E1211=1,L1211=1),AI1211,"")</f>
        <v/>
      </c>
      <c r="AU1211" s="34">
        <f>IF(AND(E1211=1,L1211=0),AI1211,"")</f>
        <v>2.6</v>
      </c>
      <c r="AV1211" s="34" t="str">
        <f>IF(AND(E1211=1,L1211=1),AG1211,"")</f>
        <v/>
      </c>
      <c r="AW1211" s="34">
        <f>IF(AND(E1211=1,L1211=0),AG1211,"")</f>
        <v>9.8</v>
      </c>
      <c r="AX1211" s="34" t="str">
        <f>IF(AND(E1211=1,L1211=1),AH1211,"")</f>
        <v/>
      </c>
      <c r="AY1211" s="34">
        <f>IF(AND(E1211=1,L1211=0),AH1211,"")</f>
        <v>8.9</v>
      </c>
      <c r="AZ1211" s="34" t="str">
        <f>IF(G1211=1,F1211,"")</f>
        <v/>
      </c>
      <c r="BA1211" s="34" t="str">
        <f>IF(AND(G1211=1,L1211=1),F1211,"")</f>
        <v/>
      </c>
      <c r="BB1211" s="34" t="str">
        <f>IF(AND(G1211=1,L1211=0),F1211,"")</f>
        <v/>
      </c>
      <c r="BC1211" s="33">
        <f>IF(E1211=1,IF(Orders!R1208&gt;3,1,0),"")</f>
        <v>0</v>
      </c>
      <c r="BD1211" s="33">
        <f>IF(E1211=1,IF(Orders!R1208&gt;7,1,0),"")</f>
        <v>0</v>
      </c>
      <c r="BE1211" s="32" t="str">
        <f>IF(E1211=1,IF(Orders!L1208&lt;=1.5,"Up to 1.5 km",IF(Orders!L1208&lt;=3,"1.5–3 km","Over 3 km")),"")</f>
        <v>Up to 1.5 km</v>
      </c>
      <c r="BF1211" s="33">
        <f>IF(E1211=1,IF(ABS((Orders!G1208-Orders!F1208)*1440-Orders!R1208)&lt;0.06,1,0),"")</f>
        <v>1</v>
      </c>
      <c r="BG1211" s="33">
        <f>IF(ABS((Orders!F1208-Orders!E1208)*1440-Orders!P1208)&lt;0.06,1,0)</f>
        <v>1</v>
      </c>
      <c r="BH1211" s="33">
        <f>IF(E1211=1,IF(IF(Orders!S1208,1,0)=1-G1211,1,0),"")</f>
        <v>1</v>
      </c>
      <c r="BI1211" s="32" t="str">
        <f>INDEX(Stores!$B$2:$B$21,MATCH(B1211,Stores!$A$2:$A$21,0))</f>
        <v>Pune</v>
      </c>
    </row>
    <row r="1212">
      <c r="A1212" s="32" t="str">
        <f>Orders!A1209</f>
        <v>O01208</v>
      </c>
      <c r="B1212" s="32" t="str">
        <f>Orders!C1209</f>
        <v>S011</v>
      </c>
      <c r="C1212" s="32" t="str">
        <f>Orders!B1209</f>
        <v>C0058</v>
      </c>
      <c r="D1212" s="32" t="str">
        <f>Orders!H1209</f>
        <v>Delivered</v>
      </c>
      <c r="E1212" s="33">
        <f>IF(Orders!H1209="Delivered",1,0)</f>
        <v>1</v>
      </c>
      <c r="F1212" s="34">
        <f>IF(E1212=1,Orders!R1209,"")</f>
        <v>-0.9</v>
      </c>
      <c r="G1212" s="33">
        <f>IF(E1212=1,IF(Orders!R1209&gt;0,1,0),"")</f>
        <v>0</v>
      </c>
      <c r="H1212" s="33">
        <f>IF(E1212=1,IF(Orders!R1209&gt;5,1,0),"")</f>
        <v>0</v>
      </c>
      <c r="I1212" s="32" t="str">
        <f>IF(E1212=1,"",IF(OR(Orders!T1209="Rider unavailable",Orders!T1209="Item unavailable"),"Company-caused","Unresolved"))</f>
        <v/>
      </c>
      <c r="J1212" s="33">
        <f>IF(OR(E1212=1,I1212="Company-caused"),1,0)</f>
        <v>1</v>
      </c>
      <c r="K1212" s="32" t="str">
        <f>IF(E1212=0,IF(I1212="Company-caused",IF(Orders!T1209="Rider unavailable","C1 Rider unavailable","C2 Item unavailable"),"Outside root: unresolved"),IF(G1212=0,"A On time",IF(H1212=1,IF(L1212=1,"B2a Severe, peak","B2b Severe, off-peak"),IF(L1212=1,"B1a Slight, peak","B1b Slight, off-peak"))))</f>
        <v>A On time</v>
      </c>
      <c r="L1212" s="33">
        <f>IF(AND(Orders!U1209&gt;=19,Orders!U1209&lt;22),1,0)</f>
        <v>0</v>
      </c>
      <c r="M1212" s="33">
        <f>IF(L1212=IF(Orders!V1209,1,0),1,0)</f>
        <v>1</v>
      </c>
      <c r="N1212" s="32" t="str">
        <f>IF(Orders!W1209="","None",Orders!W1209)</f>
        <v>Light</v>
      </c>
      <c r="O1212" s="35">
        <f>INT(Orders!E1209)</f>
        <v>46269.0</v>
      </c>
      <c r="P1212" s="33">
        <f>Orders!U1209</f>
        <v>14</v>
      </c>
      <c r="Q1212" s="33">
        <f>COUNTIFS(Demand!$A$2:$A$4481,B1212,Demand!$B$2:$B$4481,O1212,Demand!$C$2:$C$4481,P1212)</f>
        <v>1</v>
      </c>
      <c r="R1212" s="33">
        <f>IF(Q1212=1,SUMIFS(Demand!$E$2:$E$4481,Demand!$A$2:$A$4481,B1212,Demand!$B$2:$B$4481,O1212,Demand!$C$2:$C$4481,P1212),"")</f>
        <v>24</v>
      </c>
      <c r="S1212" s="33">
        <f>INDEX(Stores!$G$2:$G$21,MATCH(B1212,Stores!$A$2:$A$21,0))</f>
        <v>31</v>
      </c>
      <c r="T1212" s="34">
        <f>IF(R1212="","",R1212/S1212)</f>
        <v>0.774193548387097</v>
      </c>
      <c r="U1212" s="34">
        <f>IF(E1212=1,T1212,"")</f>
        <v>0.774193548387097</v>
      </c>
      <c r="V1212" s="34">
        <f>IF(AND(E1212=1,L1212=0),T1212,"")</f>
        <v>0.774193548387097</v>
      </c>
      <c r="W1212" s="33">
        <f>IF(U1212="","",IF(U1212&lt;=Breakdowns!$C$5,1,IF(U1212&lt;=Breakdowns!$C$6,2,IF(U1212&lt;=Breakdowns!$C$7,3,4))))</f>
        <v>1</v>
      </c>
      <c r="X1212" s="33">
        <f>IF(V1212="","",IF(V1212&lt;=Breakdowns!$D$5,1,IF(V1212&lt;=Breakdowns!$D$6,2,IF(V1212&lt;=Breakdowns!$D$7,3,4))))</f>
        <v>2</v>
      </c>
      <c r="Y1212" s="34">
        <f>INDEX(Stores!$F$2:$F$21,MATCH(B1212,Stores!$A$2:$A$21,0))</f>
        <v>5.67</v>
      </c>
      <c r="Z1212" s="33">
        <f>IF(Y1212&gt;Store_Summary!$M$2,1,0)</f>
        <v>1</v>
      </c>
      <c r="AA1212" s="33">
        <f>INDEX(Stores!$C$2:$C$21,MATCH(B1212,Stores!$A$2:$A$21,0))</f>
        <v>732</v>
      </c>
      <c r="AB1212" s="33">
        <f>IF(AA1212&lt;180,1,0)</f>
        <v>0</v>
      </c>
      <c r="AC1212" s="32" t="str">
        <f>IF(Orders!D1209="","",INDEX(Riders!$C$2:$C$81,MATCH(Orders!D1209,Riders!$A$2:$A$81,0)))</f>
        <v>EV scooter</v>
      </c>
      <c r="AD1212" s="33">
        <f>IF(Orders!D1209="","",INDEX(Riders!$D$2:$D$81,MATCH(Orders!D1209,Riders!$A$2:$A$81,0)))</f>
        <v>30</v>
      </c>
      <c r="AE1212" s="33">
        <f>IF(Orders!D1209="","",IF(INDEX(Riders!$B$2:$B$81,MATCH(Orders!D1209,Riders!$A$2:$A$81,0))=B1212,1,0))</f>
        <v>0</v>
      </c>
      <c r="AF1212" s="34">
        <f>IF(E1212=1,Orders!L1209,"")</f>
        <v>0.92</v>
      </c>
      <c r="AG1212" s="34">
        <f>IF(E1212=1,Orders!P1209,"")</f>
        <v>9.8</v>
      </c>
      <c r="AH1212" s="34">
        <f>IF(E1212=1,Orders!Q1209,"")</f>
        <v>8.9</v>
      </c>
      <c r="AI1212" s="34">
        <f>IF(E1212=1,Orders!M1209,"")</f>
        <v>3</v>
      </c>
      <c r="AJ1212" s="34">
        <f>IF(E1212=1,Orders!N1209,"")</f>
        <v>3.9</v>
      </c>
      <c r="AK1212" s="34">
        <f>IF(E1212=1,Orders!O1209,"")</f>
        <v>2</v>
      </c>
      <c r="AL1212" s="33">
        <f>IF(E1212=1,IF(ROUND(ABS(AI1212+AJ1212+AK1212-AH1212),6)&lt;=0.1,1,0),"")</f>
        <v>1</v>
      </c>
      <c r="AM1212" s="36">
        <f>IF(E1212=1,AI1212/AH1212,"")</f>
        <v>0.337078651685393</v>
      </c>
      <c r="AN1212" s="36">
        <f>IF(E1212=1,AJ1212/AH1212,"")</f>
        <v>0.438202247191011</v>
      </c>
      <c r="AO1212" s="36">
        <f>IF(E1212=1,AK1212/AH1212,"")</f>
        <v>0.224719101123596</v>
      </c>
      <c r="AP1212" s="34">
        <f>IF(E1212=1,Orders!Y1209,"")</f>
        <v>0.63</v>
      </c>
      <c r="AQ1212" s="33">
        <f>IF(Orders!X1209,1,0)</f>
        <v>0</v>
      </c>
      <c r="AR1212" s="34" t="str">
        <f>IF(AND(E1212=1,L1212=1),AJ1212,"")</f>
        <v/>
      </c>
      <c r="AS1212" s="34">
        <f>IF(AND(E1212=1,L1212=0),AJ1212,"")</f>
        <v>3.9</v>
      </c>
      <c r="AT1212" s="34" t="str">
        <f>IF(AND(E1212=1,L1212=1),AI1212,"")</f>
        <v/>
      </c>
      <c r="AU1212" s="34">
        <f>IF(AND(E1212=1,L1212=0),AI1212,"")</f>
        <v>3</v>
      </c>
      <c r="AV1212" s="34" t="str">
        <f>IF(AND(E1212=1,L1212=1),AG1212,"")</f>
        <v/>
      </c>
      <c r="AW1212" s="34">
        <f>IF(AND(E1212=1,L1212=0),AG1212,"")</f>
        <v>9.8</v>
      </c>
      <c r="AX1212" s="34" t="str">
        <f>IF(AND(E1212=1,L1212=1),AH1212,"")</f>
        <v/>
      </c>
      <c r="AY1212" s="34">
        <f>IF(AND(E1212=1,L1212=0),AH1212,"")</f>
        <v>8.9</v>
      </c>
      <c r="AZ1212" s="34" t="str">
        <f>IF(G1212=1,F1212,"")</f>
        <v/>
      </c>
      <c r="BA1212" s="34" t="str">
        <f>IF(AND(G1212=1,L1212=1),F1212,"")</f>
        <v/>
      </c>
      <c r="BB1212" s="34" t="str">
        <f>IF(AND(G1212=1,L1212=0),F1212,"")</f>
        <v/>
      </c>
      <c r="BC1212" s="33">
        <f>IF(E1212=1,IF(Orders!R1209&gt;3,1,0),"")</f>
        <v>0</v>
      </c>
      <c r="BD1212" s="33">
        <f>IF(E1212=1,IF(Orders!R1209&gt;7,1,0),"")</f>
        <v>0</v>
      </c>
      <c r="BE1212" s="32" t="str">
        <f>IF(E1212=1,IF(Orders!L1209&lt;=1.5,"Up to 1.5 km",IF(Orders!L1209&lt;=3,"1.5–3 km","Over 3 km")),"")</f>
        <v>Up to 1.5 km</v>
      </c>
      <c r="BF1212" s="33">
        <f>IF(E1212=1,IF(ABS((Orders!G1209-Orders!F1209)*1440-Orders!R1209)&lt;0.06,1,0),"")</f>
        <v>1</v>
      </c>
      <c r="BG1212" s="33">
        <f>IF(ABS((Orders!F1209-Orders!E1209)*1440-Orders!P1209)&lt;0.06,1,0)</f>
        <v>1</v>
      </c>
      <c r="BH1212" s="33">
        <f>IF(E1212=1,IF(IF(Orders!S1209,1,0)=1-G1212,1,0),"")</f>
        <v>1</v>
      </c>
      <c r="BI1212" s="32" t="str">
        <f>INDEX(Stores!$B$2:$B$21,MATCH(B1212,Stores!$A$2:$A$21,0))</f>
        <v>Bengaluru</v>
      </c>
    </row>
    <row r="1213">
      <c r="A1213" s="32" t="str">
        <f>Orders!A1210</f>
        <v>O01209</v>
      </c>
      <c r="B1213" s="32" t="str">
        <f>Orders!C1210</f>
        <v>S002</v>
      </c>
      <c r="C1213" s="32" t="str">
        <f>Orders!B1210</f>
        <v>C0248</v>
      </c>
      <c r="D1213" s="32" t="str">
        <f>Orders!H1210</f>
        <v>Delivered</v>
      </c>
      <c r="E1213" s="33">
        <f>IF(Orders!H1210="Delivered",1,0)</f>
        <v>1</v>
      </c>
      <c r="F1213" s="34">
        <f>IF(E1213=1,Orders!R1210,"")</f>
        <v>-1</v>
      </c>
      <c r="G1213" s="33">
        <f>IF(E1213=1,IF(Orders!R1210&gt;0,1,0),"")</f>
        <v>0</v>
      </c>
      <c r="H1213" s="33">
        <f>IF(E1213=1,IF(Orders!R1210&gt;5,1,0),"")</f>
        <v>0</v>
      </c>
      <c r="I1213" s="32" t="str">
        <f>IF(E1213=1,"",IF(OR(Orders!T1210="Rider unavailable",Orders!T1210="Item unavailable"),"Company-caused","Unresolved"))</f>
        <v/>
      </c>
      <c r="J1213" s="33">
        <f>IF(OR(E1213=1,I1213="Company-caused"),1,0)</f>
        <v>1</v>
      </c>
      <c r="K1213" s="32" t="str">
        <f>IF(E1213=0,IF(I1213="Company-caused",IF(Orders!T1210="Rider unavailable","C1 Rider unavailable","C2 Item unavailable"),"Outside root: unresolved"),IF(G1213=0,"A On time",IF(H1213=1,IF(L1213=1,"B2a Severe, peak","B2b Severe, off-peak"),IF(L1213=1,"B1a Slight, peak","B1b Slight, off-peak"))))</f>
        <v>A On time</v>
      </c>
      <c r="L1213" s="33">
        <f>IF(AND(Orders!U1210&gt;=19,Orders!U1210&lt;22),1,0)</f>
        <v>0</v>
      </c>
      <c r="M1213" s="33">
        <f>IF(L1213=IF(Orders!V1210,1,0),1,0)</f>
        <v>1</v>
      </c>
      <c r="N1213" s="32" t="str">
        <f>IF(Orders!W1210="","None",Orders!W1210)</f>
        <v>None</v>
      </c>
      <c r="O1213" s="35">
        <f>INT(Orders!E1210)</f>
        <v>46271.0</v>
      </c>
      <c r="P1213" s="33">
        <f>Orders!U1210</f>
        <v>17</v>
      </c>
      <c r="Q1213" s="33">
        <f>COUNTIFS(Demand!$A$2:$A$4481,B1213,Demand!$B$2:$B$4481,O1213,Demand!$C$2:$C$4481,P1213)</f>
        <v>1</v>
      </c>
      <c r="R1213" s="33">
        <f>IF(Q1213=1,SUMIFS(Demand!$E$2:$E$4481,Demand!$A$2:$A$4481,B1213,Demand!$B$2:$B$4481,O1213,Demand!$C$2:$C$4481,P1213),"")</f>
        <v>38</v>
      </c>
      <c r="S1213" s="33">
        <f>INDEX(Stores!$G$2:$G$21,MATCH(B1213,Stores!$A$2:$A$21,0))</f>
        <v>33</v>
      </c>
      <c r="T1213" s="34">
        <f>IF(R1213="","",R1213/S1213)</f>
        <v>1.15151515151515</v>
      </c>
      <c r="U1213" s="34">
        <f>IF(E1213=1,T1213,"")</f>
        <v>1.15151515151515</v>
      </c>
      <c r="V1213" s="34">
        <f>IF(AND(E1213=1,L1213=0),T1213,"")</f>
        <v>1.15151515151515</v>
      </c>
      <c r="W1213" s="33">
        <f>IF(U1213="","",IF(U1213&lt;=Breakdowns!$C$5,1,IF(U1213&lt;=Breakdowns!$C$6,2,IF(U1213&lt;=Breakdowns!$C$7,3,4))))</f>
        <v>3</v>
      </c>
      <c r="X1213" s="33">
        <f>IF(V1213="","",IF(V1213&lt;=Breakdowns!$D$5,1,IF(V1213&lt;=Breakdowns!$D$6,2,IF(V1213&lt;=Breakdowns!$D$7,3,4))))</f>
        <v>4</v>
      </c>
      <c r="Y1213" s="34">
        <f>INDEX(Stores!$F$2:$F$21,MATCH(B1213,Stores!$A$2:$A$21,0))</f>
        <v>2.39</v>
      </c>
      <c r="Z1213" s="33">
        <f>IF(Y1213&gt;Store_Summary!$M$2,1,0)</f>
        <v>0</v>
      </c>
      <c r="AA1213" s="33">
        <f>INDEX(Stores!$C$2:$C$21,MATCH(B1213,Stores!$A$2:$A$21,0))</f>
        <v>470</v>
      </c>
      <c r="AB1213" s="33">
        <f>IF(AA1213&lt;180,1,0)</f>
        <v>0</v>
      </c>
      <c r="AC1213" s="32" t="str">
        <f>IF(Orders!D1210="","",INDEX(Riders!$C$2:$C$81,MATCH(Orders!D1210,Riders!$A$2:$A$81,0)))</f>
        <v>Petrol scooter</v>
      </c>
      <c r="AD1213" s="33">
        <f>IF(Orders!D1210="","",INDEX(Riders!$D$2:$D$81,MATCH(Orders!D1210,Riders!$A$2:$A$81,0)))</f>
        <v>37</v>
      </c>
      <c r="AE1213" s="33">
        <f>IF(Orders!D1210="","",IF(INDEX(Riders!$B$2:$B$81,MATCH(Orders!D1210,Riders!$A$2:$A$81,0))=B1213,1,0))</f>
        <v>0</v>
      </c>
      <c r="AF1213" s="34">
        <f>IF(E1213=1,Orders!L1210,"")</f>
        <v>2.81</v>
      </c>
      <c r="AG1213" s="34">
        <f>IF(E1213=1,Orders!P1210,"")</f>
        <v>10.4</v>
      </c>
      <c r="AH1213" s="34">
        <f>IF(E1213=1,Orders!Q1210,"")</f>
        <v>9.4</v>
      </c>
      <c r="AI1213" s="34">
        <f>IF(E1213=1,Orders!M1210,"")</f>
        <v>2.3</v>
      </c>
      <c r="AJ1213" s="34">
        <f>IF(E1213=1,Orders!N1210,"")</f>
        <v>2.4</v>
      </c>
      <c r="AK1213" s="34">
        <f>IF(E1213=1,Orders!O1210,"")</f>
        <v>4.7</v>
      </c>
      <c r="AL1213" s="33">
        <f>IF(E1213=1,IF(ROUND(ABS(AI1213+AJ1213+AK1213-AH1213),6)&lt;=0.1,1,0),"")</f>
        <v>1</v>
      </c>
      <c r="AM1213" s="36">
        <f>IF(E1213=1,AI1213/AH1213,"")</f>
        <v>0.24468085106383</v>
      </c>
      <c r="AN1213" s="36">
        <f>IF(E1213=1,AJ1213/AH1213,"")</f>
        <v>0.25531914893617</v>
      </c>
      <c r="AO1213" s="36">
        <f>IF(E1213=1,AK1213/AH1213,"")</f>
        <v>0.5</v>
      </c>
      <c r="AP1213" s="34">
        <f>IF(E1213=1,Orders!Y1210,"")</f>
        <v>0.55</v>
      </c>
      <c r="AQ1213" s="33">
        <f>IF(Orders!X1210,1,0)</f>
        <v>0</v>
      </c>
      <c r="AR1213" s="34" t="str">
        <f>IF(AND(E1213=1,L1213=1),AJ1213,"")</f>
        <v/>
      </c>
      <c r="AS1213" s="34">
        <f>IF(AND(E1213=1,L1213=0),AJ1213,"")</f>
        <v>2.4</v>
      </c>
      <c r="AT1213" s="34" t="str">
        <f>IF(AND(E1213=1,L1213=1),AI1213,"")</f>
        <v/>
      </c>
      <c r="AU1213" s="34">
        <f>IF(AND(E1213=1,L1213=0),AI1213,"")</f>
        <v>2.3</v>
      </c>
      <c r="AV1213" s="34" t="str">
        <f>IF(AND(E1213=1,L1213=1),AG1213,"")</f>
        <v/>
      </c>
      <c r="AW1213" s="34">
        <f>IF(AND(E1213=1,L1213=0),AG1213,"")</f>
        <v>10.4</v>
      </c>
      <c r="AX1213" s="34" t="str">
        <f>IF(AND(E1213=1,L1213=1),AH1213,"")</f>
        <v/>
      </c>
      <c r="AY1213" s="34">
        <f>IF(AND(E1213=1,L1213=0),AH1213,"")</f>
        <v>9.4</v>
      </c>
      <c r="AZ1213" s="34" t="str">
        <f>IF(G1213=1,F1213,"")</f>
        <v/>
      </c>
      <c r="BA1213" s="34" t="str">
        <f>IF(AND(G1213=1,L1213=1),F1213,"")</f>
        <v/>
      </c>
      <c r="BB1213" s="34" t="str">
        <f>IF(AND(G1213=1,L1213=0),F1213,"")</f>
        <v/>
      </c>
      <c r="BC1213" s="33">
        <f>IF(E1213=1,IF(Orders!R1210&gt;3,1,0),"")</f>
        <v>0</v>
      </c>
      <c r="BD1213" s="33">
        <f>IF(E1213=1,IF(Orders!R1210&gt;7,1,0),"")</f>
        <v>0</v>
      </c>
      <c r="BE1213" s="32" t="str">
        <f>IF(E1213=1,IF(Orders!L1210&lt;=1.5,"Up to 1.5 km",IF(Orders!L1210&lt;=3,"1.5–3 km","Over 3 km")),"")</f>
        <v>1.5–3 km</v>
      </c>
      <c r="BF1213" s="33">
        <f>IF(E1213=1,IF(ABS((Orders!G1210-Orders!F1210)*1440-Orders!R1210)&lt;0.06,1,0),"")</f>
        <v>1</v>
      </c>
      <c r="BG1213" s="33">
        <f>IF(ABS((Orders!F1210-Orders!E1210)*1440-Orders!P1210)&lt;0.06,1,0)</f>
        <v>1</v>
      </c>
      <c r="BH1213" s="33">
        <f>IF(E1213=1,IF(IF(Orders!S1210,1,0)=1-G1213,1,0),"")</f>
        <v>1</v>
      </c>
      <c r="BI1213" s="32" t="str">
        <f>INDEX(Stores!$B$2:$B$21,MATCH(B1213,Stores!$A$2:$A$21,0))</f>
        <v>Hyderabad</v>
      </c>
    </row>
    <row r="1214">
      <c r="A1214" s="32" t="str">
        <f>Orders!A1211</f>
        <v>O01210</v>
      </c>
      <c r="B1214" s="32" t="str">
        <f>Orders!C1211</f>
        <v>S004</v>
      </c>
      <c r="C1214" s="32" t="str">
        <f>Orders!B1211</f>
        <v>C0064</v>
      </c>
      <c r="D1214" s="32" t="str">
        <f>Orders!H1211</f>
        <v>Delivered</v>
      </c>
      <c r="E1214" s="33">
        <f>IF(Orders!H1211="Delivered",1,0)</f>
        <v>1</v>
      </c>
      <c r="F1214" s="34">
        <f>IF(E1214=1,Orders!R1211,"")</f>
        <v>-0.5</v>
      </c>
      <c r="G1214" s="33">
        <f>IF(E1214=1,IF(Orders!R1211&gt;0,1,0),"")</f>
        <v>0</v>
      </c>
      <c r="H1214" s="33">
        <f>IF(E1214=1,IF(Orders!R1211&gt;5,1,0),"")</f>
        <v>0</v>
      </c>
      <c r="I1214" s="32" t="str">
        <f>IF(E1214=1,"",IF(OR(Orders!T1211="Rider unavailable",Orders!T1211="Item unavailable"),"Company-caused","Unresolved"))</f>
        <v/>
      </c>
      <c r="J1214" s="33">
        <f>IF(OR(E1214=1,I1214="Company-caused"),1,0)</f>
        <v>1</v>
      </c>
      <c r="K1214" s="32" t="str">
        <f>IF(E1214=0,IF(I1214="Company-caused",IF(Orders!T1211="Rider unavailable","C1 Rider unavailable","C2 Item unavailable"),"Outside root: unresolved"),IF(G1214=0,"A On time",IF(H1214=1,IF(L1214=1,"B2a Severe, peak","B2b Severe, off-peak"),IF(L1214=1,"B1a Slight, peak","B1b Slight, off-peak"))))</f>
        <v>A On time</v>
      </c>
      <c r="L1214" s="33">
        <f>IF(AND(Orders!U1211&gt;=19,Orders!U1211&lt;22),1,0)</f>
        <v>0</v>
      </c>
      <c r="M1214" s="33">
        <f>IF(L1214=IF(Orders!V1211,1,0),1,0)</f>
        <v>1</v>
      </c>
      <c r="N1214" s="32" t="str">
        <f>IF(Orders!W1211="","None",Orders!W1211)</f>
        <v>Heavy</v>
      </c>
      <c r="O1214" s="35">
        <f>INT(Orders!E1211)</f>
        <v>46278.0</v>
      </c>
      <c r="P1214" s="33">
        <f>Orders!U1211</f>
        <v>16</v>
      </c>
      <c r="Q1214" s="33">
        <f>COUNTIFS(Demand!$A$2:$A$4481,B1214,Demand!$B$2:$B$4481,O1214,Demand!$C$2:$C$4481,P1214)</f>
        <v>1</v>
      </c>
      <c r="R1214" s="33">
        <f>IF(Q1214=1,SUMIFS(Demand!$E$2:$E$4481,Demand!$A$2:$A$4481,B1214,Demand!$B$2:$B$4481,O1214,Demand!$C$2:$C$4481,P1214),"")</f>
        <v>44</v>
      </c>
      <c r="S1214" s="33">
        <f>INDEX(Stores!$G$2:$G$21,MATCH(B1214,Stores!$A$2:$A$21,0))</f>
        <v>42</v>
      </c>
      <c r="T1214" s="34">
        <f>IF(R1214="","",R1214/S1214)</f>
        <v>1.04761904761905</v>
      </c>
      <c r="U1214" s="34">
        <f>IF(E1214=1,T1214,"")</f>
        <v>1.04761904761905</v>
      </c>
      <c r="V1214" s="34">
        <f>IF(AND(E1214=1,L1214=0),T1214,"")</f>
        <v>1.04761904761905</v>
      </c>
      <c r="W1214" s="33">
        <f>IF(U1214="","",IF(U1214&lt;=Breakdowns!$C$5,1,IF(U1214&lt;=Breakdowns!$C$6,2,IF(U1214&lt;=Breakdowns!$C$7,3,4))))</f>
        <v>3</v>
      </c>
      <c r="X1214" s="33">
        <f>IF(V1214="","",IF(V1214&lt;=Breakdowns!$D$5,1,IF(V1214&lt;=Breakdowns!$D$6,2,IF(V1214&lt;=Breakdowns!$D$7,3,4))))</f>
        <v>3</v>
      </c>
      <c r="Y1214" s="34">
        <f>INDEX(Stores!$F$2:$F$21,MATCH(B1214,Stores!$A$2:$A$21,0))</f>
        <v>2.19</v>
      </c>
      <c r="Z1214" s="33">
        <f>IF(Y1214&gt;Store_Summary!$M$2,1,0)</f>
        <v>0</v>
      </c>
      <c r="AA1214" s="33">
        <f>INDEX(Stores!$C$2:$C$21,MATCH(B1214,Stores!$A$2:$A$21,0))</f>
        <v>850</v>
      </c>
      <c r="AB1214" s="33">
        <f>IF(AA1214&lt;180,1,0)</f>
        <v>0</v>
      </c>
      <c r="AC1214" s="32" t="str">
        <f>IF(Orders!D1211="","",INDEX(Riders!$C$2:$C$81,MATCH(Orders!D1211,Riders!$A$2:$A$81,0)))</f>
        <v>EV scooter</v>
      </c>
      <c r="AD1214" s="33">
        <f>IF(Orders!D1211="","",INDEX(Riders!$D$2:$D$81,MATCH(Orders!D1211,Riders!$A$2:$A$81,0)))</f>
        <v>2</v>
      </c>
      <c r="AE1214" s="33">
        <f>IF(Orders!D1211="","",IF(INDEX(Riders!$B$2:$B$81,MATCH(Orders!D1211,Riders!$A$2:$A$81,0))=B1214,1,0))</f>
        <v>0</v>
      </c>
      <c r="AF1214" s="34">
        <f>IF(E1214=1,Orders!L1211,"")</f>
        <v>2.06</v>
      </c>
      <c r="AG1214" s="34">
        <f>IF(E1214=1,Orders!P1211,"")</f>
        <v>13.9</v>
      </c>
      <c r="AH1214" s="34">
        <f>IF(E1214=1,Orders!Q1211,"")</f>
        <v>13.4</v>
      </c>
      <c r="AI1214" s="34">
        <f>IF(E1214=1,Orders!M1211,"")</f>
        <v>3.3</v>
      </c>
      <c r="AJ1214" s="34">
        <f>IF(E1214=1,Orders!N1211,"")</f>
        <v>4.3</v>
      </c>
      <c r="AK1214" s="34">
        <f>IF(E1214=1,Orders!O1211,"")</f>
        <v>5.8</v>
      </c>
      <c r="AL1214" s="33">
        <f>IF(E1214=1,IF(ROUND(ABS(AI1214+AJ1214+AK1214-AH1214),6)&lt;=0.1,1,0),"")</f>
        <v>1</v>
      </c>
      <c r="AM1214" s="36">
        <f>IF(E1214=1,AI1214/AH1214,"")</f>
        <v>0.246268656716418</v>
      </c>
      <c r="AN1214" s="36">
        <f>IF(E1214=1,AJ1214/AH1214,"")</f>
        <v>0.32089552238806</v>
      </c>
      <c r="AO1214" s="36">
        <f>IF(E1214=1,AK1214/AH1214,"")</f>
        <v>0.432835820895522</v>
      </c>
      <c r="AP1214" s="34">
        <f>IF(E1214=1,Orders!Y1211,"")</f>
        <v>0.31</v>
      </c>
      <c r="AQ1214" s="33">
        <f>IF(Orders!X1211,1,0)</f>
        <v>0</v>
      </c>
      <c r="AR1214" s="34" t="str">
        <f>IF(AND(E1214=1,L1214=1),AJ1214,"")</f>
        <v/>
      </c>
      <c r="AS1214" s="34">
        <f>IF(AND(E1214=1,L1214=0),AJ1214,"")</f>
        <v>4.3</v>
      </c>
      <c r="AT1214" s="34" t="str">
        <f>IF(AND(E1214=1,L1214=1),AI1214,"")</f>
        <v/>
      </c>
      <c r="AU1214" s="34">
        <f>IF(AND(E1214=1,L1214=0),AI1214,"")</f>
        <v>3.3</v>
      </c>
      <c r="AV1214" s="34" t="str">
        <f>IF(AND(E1214=1,L1214=1),AG1214,"")</f>
        <v/>
      </c>
      <c r="AW1214" s="34">
        <f>IF(AND(E1214=1,L1214=0),AG1214,"")</f>
        <v>13.9</v>
      </c>
      <c r="AX1214" s="34" t="str">
        <f>IF(AND(E1214=1,L1214=1),AH1214,"")</f>
        <v/>
      </c>
      <c r="AY1214" s="34">
        <f>IF(AND(E1214=1,L1214=0),AH1214,"")</f>
        <v>13.4</v>
      </c>
      <c r="AZ1214" s="34" t="str">
        <f>IF(G1214=1,F1214,"")</f>
        <v/>
      </c>
      <c r="BA1214" s="34" t="str">
        <f>IF(AND(G1214=1,L1214=1),F1214,"")</f>
        <v/>
      </c>
      <c r="BB1214" s="34" t="str">
        <f>IF(AND(G1214=1,L1214=0),F1214,"")</f>
        <v/>
      </c>
      <c r="BC1214" s="33">
        <f>IF(E1214=1,IF(Orders!R1211&gt;3,1,0),"")</f>
        <v>0</v>
      </c>
      <c r="BD1214" s="33">
        <f>IF(E1214=1,IF(Orders!R1211&gt;7,1,0),"")</f>
        <v>0</v>
      </c>
      <c r="BE1214" s="32" t="str">
        <f>IF(E1214=1,IF(Orders!L1211&lt;=1.5,"Up to 1.5 km",IF(Orders!L1211&lt;=3,"1.5–3 km","Over 3 km")),"")</f>
        <v>1.5–3 km</v>
      </c>
      <c r="BF1214" s="33">
        <f>IF(E1214=1,IF(ABS((Orders!G1211-Orders!F1211)*1440-Orders!R1211)&lt;0.06,1,0),"")</f>
        <v>1</v>
      </c>
      <c r="BG1214" s="33">
        <f>IF(ABS((Orders!F1211-Orders!E1211)*1440-Orders!P1211)&lt;0.06,1,0)</f>
        <v>1</v>
      </c>
      <c r="BH1214" s="33">
        <f>IF(E1214=1,IF(IF(Orders!S1211,1,0)=1-G1214,1,0),"")</f>
        <v>1</v>
      </c>
      <c r="BI1214" s="32" t="str">
        <f>INDEX(Stores!$B$2:$B$21,MATCH(B1214,Stores!$A$2:$A$21,0))</f>
        <v>Pune</v>
      </c>
    </row>
    <row r="1215">
      <c r="A1215" s="32" t="str">
        <f>Orders!A1212</f>
        <v>O01211</v>
      </c>
      <c r="B1215" s="32" t="str">
        <f>Orders!C1212</f>
        <v>S003</v>
      </c>
      <c r="C1215" s="32" t="str">
        <f>Orders!B1212</f>
        <v>C0059</v>
      </c>
      <c r="D1215" s="32" t="str">
        <f>Orders!H1212</f>
        <v>Delivered</v>
      </c>
      <c r="E1215" s="33">
        <f>IF(Orders!H1212="Delivered",1,0)</f>
        <v>1</v>
      </c>
      <c r="F1215" s="34">
        <f>IF(E1215=1,Orders!R1212,"")</f>
        <v>3.7</v>
      </c>
      <c r="G1215" s="33">
        <f>IF(E1215=1,IF(Orders!R1212&gt;0,1,0),"")</f>
        <v>1</v>
      </c>
      <c r="H1215" s="33">
        <f>IF(E1215=1,IF(Orders!R1212&gt;5,1,0),"")</f>
        <v>0</v>
      </c>
      <c r="I1215" s="32" t="str">
        <f>IF(E1215=1,"",IF(OR(Orders!T1212="Rider unavailable",Orders!T1212="Item unavailable"),"Company-caused","Unresolved"))</f>
        <v/>
      </c>
      <c r="J1215" s="33">
        <f>IF(OR(E1215=1,I1215="Company-caused"),1,0)</f>
        <v>1</v>
      </c>
      <c r="K1215" s="32" t="str">
        <f>IF(E1215=0,IF(I1215="Company-caused",IF(Orders!T1212="Rider unavailable","C1 Rider unavailable","C2 Item unavailable"),"Outside root: unresolved"),IF(G1215=0,"A On time",IF(H1215=1,IF(L1215=1,"B2a Severe, peak","B2b Severe, off-peak"),IF(L1215=1,"B1a Slight, peak","B1b Slight, off-peak"))))</f>
        <v>B1b Slight, off-peak</v>
      </c>
      <c r="L1215" s="33">
        <f>IF(AND(Orders!U1212&gt;=19,Orders!U1212&lt;22),1,0)</f>
        <v>0</v>
      </c>
      <c r="M1215" s="33">
        <f>IF(L1215=IF(Orders!V1212,1,0),1,0)</f>
        <v>1</v>
      </c>
      <c r="N1215" s="32" t="str">
        <f>IF(Orders!W1212="","None",Orders!W1212)</f>
        <v>None</v>
      </c>
      <c r="O1215" s="35">
        <f>INT(Orders!E1212)</f>
        <v>46269.0</v>
      </c>
      <c r="P1215" s="33">
        <f>Orders!U1212</f>
        <v>10</v>
      </c>
      <c r="Q1215" s="33">
        <f>COUNTIFS(Demand!$A$2:$A$4481,B1215,Demand!$B$2:$B$4481,O1215,Demand!$C$2:$C$4481,P1215)</f>
        <v>1</v>
      </c>
      <c r="R1215" s="33">
        <f>IF(Q1215=1,SUMIFS(Demand!$E$2:$E$4481,Demand!$A$2:$A$4481,B1215,Demand!$B$2:$B$4481,O1215,Demand!$C$2:$C$4481,P1215),"")</f>
        <v>41</v>
      </c>
      <c r="S1215" s="33">
        <f>INDEX(Stores!$G$2:$G$21,MATCH(B1215,Stores!$A$2:$A$21,0))</f>
        <v>41</v>
      </c>
      <c r="T1215" s="34">
        <f>IF(R1215="","",R1215/S1215)</f>
        <v>1</v>
      </c>
      <c r="U1215" s="34">
        <f>IF(E1215=1,T1215,"")</f>
        <v>1</v>
      </c>
      <c r="V1215" s="34">
        <f>IF(AND(E1215=1,L1215=0),T1215,"")</f>
        <v>1</v>
      </c>
      <c r="W1215" s="33">
        <f>IF(U1215="","",IF(U1215&lt;=Breakdowns!$C$5,1,IF(U1215&lt;=Breakdowns!$C$6,2,IF(U1215&lt;=Breakdowns!$C$7,3,4))))</f>
        <v>2</v>
      </c>
      <c r="X1215" s="33">
        <f>IF(V1215="","",IF(V1215&lt;=Breakdowns!$D$5,1,IF(V1215&lt;=Breakdowns!$D$6,2,IF(V1215&lt;=Breakdowns!$D$7,3,4))))</f>
        <v>3</v>
      </c>
      <c r="Y1215" s="34">
        <f>INDEX(Stores!$F$2:$F$21,MATCH(B1215,Stores!$A$2:$A$21,0))</f>
        <v>3.84</v>
      </c>
      <c r="Z1215" s="33">
        <f>IF(Y1215&gt;Store_Summary!$M$2,1,0)</f>
        <v>0</v>
      </c>
      <c r="AA1215" s="33">
        <f>INDEX(Stores!$C$2:$C$21,MATCH(B1215,Stores!$A$2:$A$21,0))</f>
        <v>426</v>
      </c>
      <c r="AB1215" s="33">
        <f>IF(AA1215&lt;180,1,0)</f>
        <v>0</v>
      </c>
      <c r="AC1215" s="32" t="str">
        <f>IF(Orders!D1212="","",INDEX(Riders!$C$2:$C$81,MATCH(Orders!D1212,Riders!$A$2:$A$81,0)))</f>
        <v>Petrol scooter</v>
      </c>
      <c r="AD1215" s="33">
        <f>IF(Orders!D1212="","",INDEX(Riders!$D$2:$D$81,MATCH(Orders!D1212,Riders!$A$2:$A$81,0)))</f>
        <v>40</v>
      </c>
      <c r="AE1215" s="33">
        <f>IF(Orders!D1212="","",IF(INDEX(Riders!$B$2:$B$81,MATCH(Orders!D1212,Riders!$A$2:$A$81,0))=B1215,1,0))</f>
        <v>0</v>
      </c>
      <c r="AF1215" s="34">
        <f>IF(E1215=1,Orders!L1212,"")</f>
        <v>2.1</v>
      </c>
      <c r="AG1215" s="34">
        <f>IF(E1215=1,Orders!P1212,"")</f>
        <v>11.6</v>
      </c>
      <c r="AH1215" s="34">
        <f>IF(E1215=1,Orders!Q1212,"")</f>
        <v>15.3</v>
      </c>
      <c r="AI1215" s="34">
        <f>IF(E1215=1,Orders!M1212,"")</f>
        <v>4.6</v>
      </c>
      <c r="AJ1215" s="34">
        <f>IF(E1215=1,Orders!N1212,"")</f>
        <v>5</v>
      </c>
      <c r="AK1215" s="34">
        <f>IF(E1215=1,Orders!O1212,"")</f>
        <v>5.8</v>
      </c>
      <c r="AL1215" s="33">
        <f>IF(E1215=1,IF(ROUND(ABS(AI1215+AJ1215+AK1215-AH1215),6)&lt;=0.1,1,0),"")</f>
        <v>1</v>
      </c>
      <c r="AM1215" s="36">
        <f>IF(E1215=1,AI1215/AH1215,"")</f>
        <v>0.300653594771242</v>
      </c>
      <c r="AN1215" s="36">
        <f>IF(E1215=1,AJ1215/AH1215,"")</f>
        <v>0.326797385620915</v>
      </c>
      <c r="AO1215" s="36">
        <f>IF(E1215=1,AK1215/AH1215,"")</f>
        <v>0.379084967320261</v>
      </c>
      <c r="AP1215" s="34">
        <f>IF(E1215=1,Orders!Y1212,"")</f>
        <v>0.51</v>
      </c>
      <c r="AQ1215" s="33">
        <f>IF(Orders!X1212,1,0)</f>
        <v>0</v>
      </c>
      <c r="AR1215" s="34" t="str">
        <f>IF(AND(E1215=1,L1215=1),AJ1215,"")</f>
        <v/>
      </c>
      <c r="AS1215" s="34">
        <f>IF(AND(E1215=1,L1215=0),AJ1215,"")</f>
        <v>5</v>
      </c>
      <c r="AT1215" s="34" t="str">
        <f>IF(AND(E1215=1,L1215=1),AI1215,"")</f>
        <v/>
      </c>
      <c r="AU1215" s="34">
        <f>IF(AND(E1215=1,L1215=0),AI1215,"")</f>
        <v>4.6</v>
      </c>
      <c r="AV1215" s="34" t="str">
        <f>IF(AND(E1215=1,L1215=1),AG1215,"")</f>
        <v/>
      </c>
      <c r="AW1215" s="34">
        <f>IF(AND(E1215=1,L1215=0),AG1215,"")</f>
        <v>11.6</v>
      </c>
      <c r="AX1215" s="34" t="str">
        <f>IF(AND(E1215=1,L1215=1),AH1215,"")</f>
        <v/>
      </c>
      <c r="AY1215" s="34">
        <f>IF(AND(E1215=1,L1215=0),AH1215,"")</f>
        <v>15.3</v>
      </c>
      <c r="AZ1215" s="34">
        <f>IF(G1215=1,F1215,"")</f>
        <v>3.7</v>
      </c>
      <c r="BA1215" s="34" t="str">
        <f>IF(AND(G1215=1,L1215=1),F1215,"")</f>
        <v/>
      </c>
      <c r="BB1215" s="34">
        <f>IF(AND(G1215=1,L1215=0),F1215,"")</f>
        <v>3.7</v>
      </c>
      <c r="BC1215" s="33">
        <f>IF(E1215=1,IF(Orders!R1212&gt;3,1,0),"")</f>
        <v>1</v>
      </c>
      <c r="BD1215" s="33">
        <f>IF(E1215=1,IF(Orders!R1212&gt;7,1,0),"")</f>
        <v>0</v>
      </c>
      <c r="BE1215" s="32" t="str">
        <f>IF(E1215=1,IF(Orders!L1212&lt;=1.5,"Up to 1.5 km",IF(Orders!L1212&lt;=3,"1.5–3 km","Over 3 km")),"")</f>
        <v>1.5–3 km</v>
      </c>
      <c r="BF1215" s="33">
        <f>IF(E1215=1,IF(ABS((Orders!G1212-Orders!F1212)*1440-Orders!R1212)&lt;0.06,1,0),"")</f>
        <v>1</v>
      </c>
      <c r="BG1215" s="33">
        <f>IF(ABS((Orders!F1212-Orders!E1212)*1440-Orders!P1212)&lt;0.06,1,0)</f>
        <v>1</v>
      </c>
      <c r="BH1215" s="33">
        <f>IF(E1215=1,IF(IF(Orders!S1212,1,0)=1-G1215,1,0),"")</f>
        <v>1</v>
      </c>
      <c r="BI1215" s="32" t="str">
        <f>INDEX(Stores!$B$2:$B$21,MATCH(B1215,Stores!$A$2:$A$21,0))</f>
        <v>Mumbai</v>
      </c>
    </row>
    <row r="1216">
      <c r="A1216" s="32" t="str">
        <f>Orders!A1213</f>
        <v>O01212</v>
      </c>
      <c r="B1216" s="32" t="str">
        <f>Orders!C1213</f>
        <v>S001</v>
      </c>
      <c r="C1216" s="32" t="str">
        <f>Orders!B1213</f>
        <v>C0196</v>
      </c>
      <c r="D1216" s="32" t="str">
        <f>Orders!H1213</f>
        <v>Delivered</v>
      </c>
      <c r="E1216" s="33">
        <f>IF(Orders!H1213="Delivered",1,0)</f>
        <v>1</v>
      </c>
      <c r="F1216" s="34">
        <f>IF(E1216=1,Orders!R1213,"")</f>
        <v>8.1</v>
      </c>
      <c r="G1216" s="33">
        <f>IF(E1216=1,IF(Orders!R1213&gt;0,1,0),"")</f>
        <v>1</v>
      </c>
      <c r="H1216" s="33">
        <f>IF(E1216=1,IF(Orders!R1213&gt;5,1,0),"")</f>
        <v>1</v>
      </c>
      <c r="I1216" s="32" t="str">
        <f>IF(E1216=1,"",IF(OR(Orders!T1213="Rider unavailable",Orders!T1213="Item unavailable"),"Company-caused","Unresolved"))</f>
        <v/>
      </c>
      <c r="J1216" s="33">
        <f>IF(OR(E1216=1,I1216="Company-caused"),1,0)</f>
        <v>1</v>
      </c>
      <c r="K1216" s="32" t="str">
        <f>IF(E1216=0,IF(I1216="Company-caused",IF(Orders!T1213="Rider unavailable","C1 Rider unavailable","C2 Item unavailable"),"Outside root: unresolved"),IF(G1216=0,"A On time",IF(H1216=1,IF(L1216=1,"B2a Severe, peak","B2b Severe, off-peak"),IF(L1216=1,"B1a Slight, peak","B1b Slight, off-peak"))))</f>
        <v>B2b Severe, off-peak</v>
      </c>
      <c r="L1216" s="33">
        <f>IF(AND(Orders!U1213&gt;=19,Orders!U1213&lt;22),1,0)</f>
        <v>0</v>
      </c>
      <c r="M1216" s="33">
        <f>IF(L1216=IF(Orders!V1213,1,0),1,0)</f>
        <v>1</v>
      </c>
      <c r="N1216" s="32" t="str">
        <f>IF(Orders!W1213="","None",Orders!W1213)</f>
        <v>None</v>
      </c>
      <c r="O1216" s="35">
        <f>INT(Orders!E1213)</f>
        <v>46278.0</v>
      </c>
      <c r="P1216" s="33">
        <f>Orders!U1213</f>
        <v>13</v>
      </c>
      <c r="Q1216" s="33">
        <f>COUNTIFS(Demand!$A$2:$A$4481,B1216,Demand!$B$2:$B$4481,O1216,Demand!$C$2:$C$4481,P1216)</f>
        <v>1</v>
      </c>
      <c r="R1216" s="33">
        <f>IF(Q1216=1,SUMIFS(Demand!$E$2:$E$4481,Demand!$A$2:$A$4481,B1216,Demand!$B$2:$B$4481,O1216,Demand!$C$2:$C$4481,P1216),"")</f>
        <v>13</v>
      </c>
      <c r="S1216" s="33">
        <f>INDEX(Stores!$G$2:$G$21,MATCH(B1216,Stores!$A$2:$A$21,0))</f>
        <v>16</v>
      </c>
      <c r="T1216" s="34">
        <f>IF(R1216="","",R1216/S1216)</f>
        <v>0.8125</v>
      </c>
      <c r="U1216" s="34">
        <f>IF(E1216=1,T1216,"")</f>
        <v>0.8125</v>
      </c>
      <c r="V1216" s="34">
        <f>IF(AND(E1216=1,L1216=0),T1216,"")</f>
        <v>0.8125</v>
      </c>
      <c r="W1216" s="33">
        <f>IF(U1216="","",IF(U1216&lt;=Breakdowns!$C$5,1,IF(U1216&lt;=Breakdowns!$C$6,2,IF(U1216&lt;=Breakdowns!$C$7,3,4))))</f>
        <v>2</v>
      </c>
      <c r="X1216" s="33">
        <f>IF(V1216="","",IF(V1216&lt;=Breakdowns!$D$5,1,IF(V1216&lt;=Breakdowns!$D$6,2,IF(V1216&lt;=Breakdowns!$D$7,3,4))))</f>
        <v>2</v>
      </c>
      <c r="Y1216" s="34">
        <f>INDEX(Stores!$F$2:$F$21,MATCH(B1216,Stores!$A$2:$A$21,0))</f>
        <v>4.59</v>
      </c>
      <c r="Z1216" s="33">
        <f>IF(Y1216&gt;Store_Summary!$M$2,1,0)</f>
        <v>0</v>
      </c>
      <c r="AA1216" s="33">
        <f>INDEX(Stores!$C$2:$C$21,MATCH(B1216,Stores!$A$2:$A$21,0))</f>
        <v>362</v>
      </c>
      <c r="AB1216" s="33">
        <f>IF(AA1216&lt;180,1,0)</f>
        <v>0</v>
      </c>
      <c r="AC1216" s="32" t="str">
        <f>IF(Orders!D1213="","",INDEX(Riders!$C$2:$C$81,MATCH(Orders!D1213,Riders!$A$2:$A$81,0)))</f>
        <v>EV scooter</v>
      </c>
      <c r="AD1216" s="33">
        <f>IF(Orders!D1213="","",INDEX(Riders!$D$2:$D$81,MATCH(Orders!D1213,Riders!$A$2:$A$81,0)))</f>
        <v>45</v>
      </c>
      <c r="AE1216" s="33">
        <f>IF(Orders!D1213="","",IF(INDEX(Riders!$B$2:$B$81,MATCH(Orders!D1213,Riders!$A$2:$A$81,0))=B1216,1,0))</f>
        <v>0</v>
      </c>
      <c r="AF1216" s="34">
        <f>IF(E1216=1,Orders!L1213,"")</f>
        <v>1.6</v>
      </c>
      <c r="AG1216" s="34">
        <f>IF(E1216=1,Orders!P1213,"")</f>
        <v>8.7</v>
      </c>
      <c r="AH1216" s="34">
        <f>IF(E1216=1,Orders!Q1213,"")</f>
        <v>16.8</v>
      </c>
      <c r="AI1216" s="34">
        <f>IF(E1216=1,Orders!M1213,"")</f>
        <v>3.9</v>
      </c>
      <c r="AJ1216" s="34">
        <f>IF(E1216=1,Orders!N1213,"")</f>
        <v>6.4</v>
      </c>
      <c r="AK1216" s="34">
        <f>IF(E1216=1,Orders!O1213,"")</f>
        <v>6.5</v>
      </c>
      <c r="AL1216" s="33">
        <f>IF(E1216=1,IF(ROUND(ABS(AI1216+AJ1216+AK1216-AH1216),6)&lt;=0.1,1,0),"")</f>
        <v>1</v>
      </c>
      <c r="AM1216" s="36">
        <f>IF(E1216=1,AI1216/AH1216,"")</f>
        <v>0.232142857142857</v>
      </c>
      <c r="AN1216" s="36">
        <f>IF(E1216=1,AJ1216/AH1216,"")</f>
        <v>0.380952380952381</v>
      </c>
      <c r="AO1216" s="36">
        <f>IF(E1216=1,AK1216/AH1216,"")</f>
        <v>0.386904761904762</v>
      </c>
      <c r="AP1216" s="34">
        <f>IF(E1216=1,Orders!Y1213,"")</f>
        <v>0.95</v>
      </c>
      <c r="AQ1216" s="33">
        <f>IF(Orders!X1213,1,0)</f>
        <v>0</v>
      </c>
      <c r="AR1216" s="34" t="str">
        <f>IF(AND(E1216=1,L1216=1),AJ1216,"")</f>
        <v/>
      </c>
      <c r="AS1216" s="34">
        <f>IF(AND(E1216=1,L1216=0),AJ1216,"")</f>
        <v>6.4</v>
      </c>
      <c r="AT1216" s="34" t="str">
        <f>IF(AND(E1216=1,L1216=1),AI1216,"")</f>
        <v/>
      </c>
      <c r="AU1216" s="34">
        <f>IF(AND(E1216=1,L1216=0),AI1216,"")</f>
        <v>3.9</v>
      </c>
      <c r="AV1216" s="34" t="str">
        <f>IF(AND(E1216=1,L1216=1),AG1216,"")</f>
        <v/>
      </c>
      <c r="AW1216" s="34">
        <f>IF(AND(E1216=1,L1216=0),AG1216,"")</f>
        <v>8.7</v>
      </c>
      <c r="AX1216" s="34" t="str">
        <f>IF(AND(E1216=1,L1216=1),AH1216,"")</f>
        <v/>
      </c>
      <c r="AY1216" s="34">
        <f>IF(AND(E1216=1,L1216=0),AH1216,"")</f>
        <v>16.8</v>
      </c>
      <c r="AZ1216" s="34">
        <f>IF(G1216=1,F1216,"")</f>
        <v>8.1</v>
      </c>
      <c r="BA1216" s="34" t="str">
        <f>IF(AND(G1216=1,L1216=1),F1216,"")</f>
        <v/>
      </c>
      <c r="BB1216" s="34">
        <f>IF(AND(G1216=1,L1216=0),F1216,"")</f>
        <v>8.1</v>
      </c>
      <c r="BC1216" s="33">
        <f>IF(E1216=1,IF(Orders!R1213&gt;3,1,0),"")</f>
        <v>1</v>
      </c>
      <c r="BD1216" s="33">
        <f>IF(E1216=1,IF(Orders!R1213&gt;7,1,0),"")</f>
        <v>1</v>
      </c>
      <c r="BE1216" s="32" t="str">
        <f>IF(E1216=1,IF(Orders!L1213&lt;=1.5,"Up to 1.5 km",IF(Orders!L1213&lt;=3,"1.5–3 km","Over 3 km")),"")</f>
        <v>1.5–3 km</v>
      </c>
      <c r="BF1216" s="33">
        <f>IF(E1216=1,IF(ABS((Orders!G1213-Orders!F1213)*1440-Orders!R1213)&lt;0.06,1,0),"")</f>
        <v>1</v>
      </c>
      <c r="BG1216" s="33">
        <f>IF(ABS((Orders!F1213-Orders!E1213)*1440-Orders!P1213)&lt;0.06,1,0)</f>
        <v>1</v>
      </c>
      <c r="BH1216" s="33">
        <f>IF(E1216=1,IF(IF(Orders!S1213,1,0)=1-G1216,1,0),"")</f>
        <v>1</v>
      </c>
      <c r="BI1216" s="32" t="str">
        <f>INDEX(Stores!$B$2:$B$21,MATCH(B1216,Stores!$A$2:$A$21,0))</f>
        <v>Bengaluru</v>
      </c>
    </row>
    <row r="1217">
      <c r="A1217" s="32" t="str">
        <f>Orders!A1214</f>
        <v>O01213</v>
      </c>
      <c r="B1217" s="32" t="str">
        <f>Orders!C1214</f>
        <v>S007</v>
      </c>
      <c r="C1217" s="32" t="str">
        <f>Orders!B1214</f>
        <v>C0095</v>
      </c>
      <c r="D1217" s="32" t="str">
        <f>Orders!H1214</f>
        <v>Delivered</v>
      </c>
      <c r="E1217" s="33">
        <f>IF(Orders!H1214="Delivered",1,0)</f>
        <v>1</v>
      </c>
      <c r="F1217" s="34">
        <f>IF(E1217=1,Orders!R1214,"")</f>
        <v>-0.7</v>
      </c>
      <c r="G1217" s="33">
        <f>IF(E1217=1,IF(Orders!R1214&gt;0,1,0),"")</f>
        <v>0</v>
      </c>
      <c r="H1217" s="33">
        <f>IF(E1217=1,IF(Orders!R1214&gt;5,1,0),"")</f>
        <v>0</v>
      </c>
      <c r="I1217" s="32" t="str">
        <f>IF(E1217=1,"",IF(OR(Orders!T1214="Rider unavailable",Orders!T1214="Item unavailable"),"Company-caused","Unresolved"))</f>
        <v/>
      </c>
      <c r="J1217" s="33">
        <f>IF(OR(E1217=1,I1217="Company-caused"),1,0)</f>
        <v>1</v>
      </c>
      <c r="K1217" s="32" t="str">
        <f>IF(E1217=0,IF(I1217="Company-caused",IF(Orders!T1214="Rider unavailable","C1 Rider unavailable","C2 Item unavailable"),"Outside root: unresolved"),IF(G1217=0,"A On time",IF(H1217=1,IF(L1217=1,"B2a Severe, peak","B2b Severe, off-peak"),IF(L1217=1,"B1a Slight, peak","B1b Slight, off-peak"))))</f>
        <v>A On time</v>
      </c>
      <c r="L1217" s="33">
        <f>IF(AND(Orders!U1214&gt;=19,Orders!U1214&lt;22),1,0)</f>
        <v>0</v>
      </c>
      <c r="M1217" s="33">
        <f>IF(L1217=IF(Orders!V1214,1,0),1,0)</f>
        <v>1</v>
      </c>
      <c r="N1217" s="32" t="str">
        <f>IF(Orders!W1214="","None",Orders!W1214)</f>
        <v>None</v>
      </c>
      <c r="O1217" s="35">
        <f>INT(Orders!E1214)</f>
        <v>46273.0</v>
      </c>
      <c r="P1217" s="33">
        <f>Orders!U1214</f>
        <v>11</v>
      </c>
      <c r="Q1217" s="33">
        <f>COUNTIFS(Demand!$A$2:$A$4481,B1217,Demand!$B$2:$B$4481,O1217,Demand!$C$2:$C$4481,P1217)</f>
        <v>1</v>
      </c>
      <c r="R1217" s="33">
        <f>IF(Q1217=1,SUMIFS(Demand!$E$2:$E$4481,Demand!$A$2:$A$4481,B1217,Demand!$B$2:$B$4481,O1217,Demand!$C$2:$C$4481,P1217),"")</f>
        <v>38</v>
      </c>
      <c r="S1217" s="33">
        <f>INDEX(Stores!$G$2:$G$21,MATCH(B1217,Stores!$A$2:$A$21,0))</f>
        <v>37</v>
      </c>
      <c r="T1217" s="34">
        <f>IF(R1217="","",R1217/S1217)</f>
        <v>1.02702702702703</v>
      </c>
      <c r="U1217" s="34">
        <f>IF(E1217=1,T1217,"")</f>
        <v>1.02702702702703</v>
      </c>
      <c r="V1217" s="34">
        <f>IF(AND(E1217=1,L1217=0),T1217,"")</f>
        <v>1.02702702702703</v>
      </c>
      <c r="W1217" s="33">
        <f>IF(U1217="","",IF(U1217&lt;=Breakdowns!$C$5,1,IF(U1217&lt;=Breakdowns!$C$6,2,IF(U1217&lt;=Breakdowns!$C$7,3,4))))</f>
        <v>3</v>
      </c>
      <c r="X1217" s="33">
        <f>IF(V1217="","",IF(V1217&lt;=Breakdowns!$D$5,1,IF(V1217&lt;=Breakdowns!$D$6,2,IF(V1217&lt;=Breakdowns!$D$7,3,4))))</f>
        <v>3</v>
      </c>
      <c r="Y1217" s="34">
        <f>INDEX(Stores!$F$2:$F$21,MATCH(B1217,Stores!$A$2:$A$21,0))</f>
        <v>4.05</v>
      </c>
      <c r="Z1217" s="33">
        <f>IF(Y1217&gt;Store_Summary!$M$2,1,0)</f>
        <v>0</v>
      </c>
      <c r="AA1217" s="33">
        <f>INDEX(Stores!$C$2:$C$21,MATCH(B1217,Stores!$A$2:$A$21,0))</f>
        <v>661</v>
      </c>
      <c r="AB1217" s="33">
        <f>IF(AA1217&lt;180,1,0)</f>
        <v>0</v>
      </c>
      <c r="AC1217" s="32" t="str">
        <f>IF(Orders!D1214="","",INDEX(Riders!$C$2:$C$81,MATCH(Orders!D1214,Riders!$A$2:$A$81,0)))</f>
        <v>EV scooter</v>
      </c>
      <c r="AD1217" s="33">
        <f>IF(Orders!D1214="","",INDEX(Riders!$D$2:$D$81,MATCH(Orders!D1214,Riders!$A$2:$A$81,0)))</f>
        <v>41</v>
      </c>
      <c r="AE1217" s="33">
        <f>IF(Orders!D1214="","",IF(INDEX(Riders!$B$2:$B$81,MATCH(Orders!D1214,Riders!$A$2:$A$81,0))=B1217,1,0))</f>
        <v>0</v>
      </c>
      <c r="AF1217" s="34">
        <f>IF(E1217=1,Orders!L1214,"")</f>
        <v>1.67</v>
      </c>
      <c r="AG1217" s="34">
        <f>IF(E1217=1,Orders!P1214,"")</f>
        <v>8.8</v>
      </c>
      <c r="AH1217" s="34">
        <f>IF(E1217=1,Orders!Q1214,"")</f>
        <v>8.1</v>
      </c>
      <c r="AI1217" s="34">
        <f>IF(E1217=1,Orders!M1214,"")</f>
        <v>3</v>
      </c>
      <c r="AJ1217" s="34">
        <f>IF(E1217=1,Orders!N1214,"")</f>
        <v>1.3</v>
      </c>
      <c r="AK1217" s="34">
        <f>IF(E1217=1,Orders!O1214,"")</f>
        <v>3.8</v>
      </c>
      <c r="AL1217" s="33">
        <f>IF(E1217=1,IF(ROUND(ABS(AI1217+AJ1217+AK1217-AH1217),6)&lt;=0.1,1,0),"")</f>
        <v>1</v>
      </c>
      <c r="AM1217" s="36">
        <f>IF(E1217=1,AI1217/AH1217,"")</f>
        <v>0.37037037037037</v>
      </c>
      <c r="AN1217" s="36">
        <f>IF(E1217=1,AJ1217/AH1217,"")</f>
        <v>0.160493827160494</v>
      </c>
      <c r="AO1217" s="36">
        <f>IF(E1217=1,AK1217/AH1217,"")</f>
        <v>0.469135802469136</v>
      </c>
      <c r="AP1217" s="34">
        <f>IF(E1217=1,Orders!Y1214,"")</f>
        <v>0.28</v>
      </c>
      <c r="AQ1217" s="33">
        <f>IF(Orders!X1214,1,0)</f>
        <v>0</v>
      </c>
      <c r="AR1217" s="34" t="str">
        <f>IF(AND(E1217=1,L1217=1),AJ1217,"")</f>
        <v/>
      </c>
      <c r="AS1217" s="34">
        <f>IF(AND(E1217=1,L1217=0),AJ1217,"")</f>
        <v>1.3</v>
      </c>
      <c r="AT1217" s="34" t="str">
        <f>IF(AND(E1217=1,L1217=1),AI1217,"")</f>
        <v/>
      </c>
      <c r="AU1217" s="34">
        <f>IF(AND(E1217=1,L1217=0),AI1217,"")</f>
        <v>3</v>
      </c>
      <c r="AV1217" s="34" t="str">
        <f>IF(AND(E1217=1,L1217=1),AG1217,"")</f>
        <v/>
      </c>
      <c r="AW1217" s="34">
        <f>IF(AND(E1217=1,L1217=0),AG1217,"")</f>
        <v>8.8</v>
      </c>
      <c r="AX1217" s="34" t="str">
        <f>IF(AND(E1217=1,L1217=1),AH1217,"")</f>
        <v/>
      </c>
      <c r="AY1217" s="34">
        <f>IF(AND(E1217=1,L1217=0),AH1217,"")</f>
        <v>8.1</v>
      </c>
      <c r="AZ1217" s="34" t="str">
        <f>IF(G1217=1,F1217,"")</f>
        <v/>
      </c>
      <c r="BA1217" s="34" t="str">
        <f>IF(AND(G1217=1,L1217=1),F1217,"")</f>
        <v/>
      </c>
      <c r="BB1217" s="34" t="str">
        <f>IF(AND(G1217=1,L1217=0),F1217,"")</f>
        <v/>
      </c>
      <c r="BC1217" s="33">
        <f>IF(E1217=1,IF(Orders!R1214&gt;3,1,0),"")</f>
        <v>0</v>
      </c>
      <c r="BD1217" s="33">
        <f>IF(E1217=1,IF(Orders!R1214&gt;7,1,0),"")</f>
        <v>0</v>
      </c>
      <c r="BE1217" s="32" t="str">
        <f>IF(E1217=1,IF(Orders!L1214&lt;=1.5,"Up to 1.5 km",IF(Orders!L1214&lt;=3,"1.5–3 km","Over 3 km")),"")</f>
        <v>1.5–3 km</v>
      </c>
      <c r="BF1217" s="33">
        <f>IF(E1217=1,IF(ABS((Orders!G1214-Orders!F1214)*1440-Orders!R1214)&lt;0.06,1,0),"")</f>
        <v>1</v>
      </c>
      <c r="BG1217" s="33">
        <f>IF(ABS((Orders!F1214-Orders!E1214)*1440-Orders!P1214)&lt;0.06,1,0)</f>
        <v>1</v>
      </c>
      <c r="BH1217" s="33">
        <f>IF(E1217=1,IF(IF(Orders!S1214,1,0)=1-G1217,1,0),"")</f>
        <v>1</v>
      </c>
      <c r="BI1217" s="32" t="str">
        <f>INDEX(Stores!$B$2:$B$21,MATCH(B1217,Stores!$A$2:$A$21,0))</f>
        <v>Hyderabad</v>
      </c>
    </row>
    <row r="1218">
      <c r="A1218" s="32" t="str">
        <f>Orders!A1215</f>
        <v>O01214</v>
      </c>
      <c r="B1218" s="32" t="str">
        <f>Orders!C1215</f>
        <v>S014</v>
      </c>
      <c r="C1218" s="32" t="str">
        <f>Orders!B1215</f>
        <v>C0210</v>
      </c>
      <c r="D1218" s="32" t="str">
        <f>Orders!H1215</f>
        <v>Delivered</v>
      </c>
      <c r="E1218" s="33">
        <f>IF(Orders!H1215="Delivered",1,0)</f>
        <v>1</v>
      </c>
      <c r="F1218" s="34">
        <f>IF(E1218=1,Orders!R1215,"")</f>
        <v>-0.3</v>
      </c>
      <c r="G1218" s="33">
        <f>IF(E1218=1,IF(Orders!R1215&gt;0,1,0),"")</f>
        <v>0</v>
      </c>
      <c r="H1218" s="33">
        <f>IF(E1218=1,IF(Orders!R1215&gt;5,1,0),"")</f>
        <v>0</v>
      </c>
      <c r="I1218" s="32" t="str">
        <f>IF(E1218=1,"",IF(OR(Orders!T1215="Rider unavailable",Orders!T1215="Item unavailable"),"Company-caused","Unresolved"))</f>
        <v/>
      </c>
      <c r="J1218" s="33">
        <f>IF(OR(E1218=1,I1218="Company-caused"),1,0)</f>
        <v>1</v>
      </c>
      <c r="K1218" s="32" t="str">
        <f>IF(E1218=0,IF(I1218="Company-caused",IF(Orders!T1215="Rider unavailable","C1 Rider unavailable","C2 Item unavailable"),"Outside root: unresolved"),IF(G1218=0,"A On time",IF(H1218=1,IF(L1218=1,"B2a Severe, peak","B2b Severe, off-peak"),IF(L1218=1,"B1a Slight, peak","B1b Slight, off-peak"))))</f>
        <v>A On time</v>
      </c>
      <c r="L1218" s="33">
        <f>IF(AND(Orders!U1215&gt;=19,Orders!U1215&lt;22),1,0)</f>
        <v>0</v>
      </c>
      <c r="M1218" s="33">
        <f>IF(L1218=IF(Orders!V1215,1,0),1,0)</f>
        <v>1</v>
      </c>
      <c r="N1218" s="32" t="str">
        <f>IF(Orders!W1215="","None",Orders!W1215)</f>
        <v>None</v>
      </c>
      <c r="O1218" s="35">
        <f>INT(Orders!E1215)</f>
        <v>46272.0</v>
      </c>
      <c r="P1218" s="33">
        <f>Orders!U1215</f>
        <v>13</v>
      </c>
      <c r="Q1218" s="33">
        <f>COUNTIFS(Demand!$A$2:$A$4481,B1218,Demand!$B$2:$B$4481,O1218,Demand!$C$2:$C$4481,P1218)</f>
        <v>1</v>
      </c>
      <c r="R1218" s="33">
        <f>IF(Q1218=1,SUMIFS(Demand!$E$2:$E$4481,Demand!$A$2:$A$4481,B1218,Demand!$B$2:$B$4481,O1218,Demand!$C$2:$C$4481,P1218),"")</f>
        <v>41</v>
      </c>
      <c r="S1218" s="33">
        <f>INDEX(Stores!$G$2:$G$21,MATCH(B1218,Stores!$A$2:$A$21,0))</f>
        <v>37</v>
      </c>
      <c r="T1218" s="34">
        <f>IF(R1218="","",R1218/S1218)</f>
        <v>1.10810810810811</v>
      </c>
      <c r="U1218" s="34">
        <f>IF(E1218=1,T1218,"")</f>
        <v>1.10810810810811</v>
      </c>
      <c r="V1218" s="34">
        <f>IF(AND(E1218=1,L1218=0),T1218,"")</f>
        <v>1.10810810810811</v>
      </c>
      <c r="W1218" s="33">
        <f>IF(U1218="","",IF(U1218&lt;=Breakdowns!$C$5,1,IF(U1218&lt;=Breakdowns!$C$6,2,IF(U1218&lt;=Breakdowns!$C$7,3,4))))</f>
        <v>3</v>
      </c>
      <c r="X1218" s="33">
        <f>IF(V1218="","",IF(V1218&lt;=Breakdowns!$D$5,1,IF(V1218&lt;=Breakdowns!$D$6,2,IF(V1218&lt;=Breakdowns!$D$7,3,4))))</f>
        <v>4</v>
      </c>
      <c r="Y1218" s="34">
        <f>INDEX(Stores!$F$2:$F$21,MATCH(B1218,Stores!$A$2:$A$21,0))</f>
        <v>5.55</v>
      </c>
      <c r="Z1218" s="33">
        <f>IF(Y1218&gt;Store_Summary!$M$2,1,0)</f>
        <v>1</v>
      </c>
      <c r="AA1218" s="33">
        <f>INDEX(Stores!$C$2:$C$21,MATCH(B1218,Stores!$A$2:$A$21,0))</f>
        <v>241</v>
      </c>
      <c r="AB1218" s="33">
        <f>IF(AA1218&lt;180,1,0)</f>
        <v>0</v>
      </c>
      <c r="AC1218" s="32" t="str">
        <f>IF(Orders!D1215="","",INDEX(Riders!$C$2:$C$81,MATCH(Orders!D1215,Riders!$A$2:$A$81,0)))</f>
        <v>EV scooter</v>
      </c>
      <c r="AD1218" s="33">
        <f>IF(Orders!D1215="","",INDEX(Riders!$D$2:$D$81,MATCH(Orders!D1215,Riders!$A$2:$A$81,0)))</f>
        <v>33</v>
      </c>
      <c r="AE1218" s="33">
        <f>IF(Orders!D1215="","",IF(INDEX(Riders!$B$2:$B$81,MATCH(Orders!D1215,Riders!$A$2:$A$81,0))=B1218,1,0))</f>
        <v>0</v>
      </c>
      <c r="AF1218" s="34">
        <f>IF(E1218=1,Orders!L1215,"")</f>
        <v>3.3</v>
      </c>
      <c r="AG1218" s="34">
        <f>IF(E1218=1,Orders!P1215,"")</f>
        <v>10.3</v>
      </c>
      <c r="AH1218" s="34">
        <f>IF(E1218=1,Orders!Q1215,"")</f>
        <v>10</v>
      </c>
      <c r="AI1218" s="34">
        <f>IF(E1218=1,Orders!M1215,"")</f>
        <v>2.9</v>
      </c>
      <c r="AJ1218" s="34">
        <f>IF(E1218=1,Orders!N1215,"")</f>
        <v>2.2</v>
      </c>
      <c r="AK1218" s="34">
        <f>IF(E1218=1,Orders!O1215,"")</f>
        <v>4.9</v>
      </c>
      <c r="AL1218" s="33">
        <f>IF(E1218=1,IF(ROUND(ABS(AI1218+AJ1218+AK1218-AH1218),6)&lt;=0.1,1,0),"")</f>
        <v>1</v>
      </c>
      <c r="AM1218" s="36">
        <f>IF(E1218=1,AI1218/AH1218,"")</f>
        <v>0.29</v>
      </c>
      <c r="AN1218" s="36">
        <f>IF(E1218=1,AJ1218/AH1218,"")</f>
        <v>0.22</v>
      </c>
      <c r="AO1218" s="36">
        <f>IF(E1218=1,AK1218/AH1218,"")</f>
        <v>0.49</v>
      </c>
      <c r="AP1218" s="34">
        <f>IF(E1218=1,Orders!Y1215,"")</f>
        <v>0.51</v>
      </c>
      <c r="AQ1218" s="33">
        <f>IF(Orders!X1215,1,0)</f>
        <v>0</v>
      </c>
      <c r="AR1218" s="34" t="str">
        <f>IF(AND(E1218=1,L1218=1),AJ1218,"")</f>
        <v/>
      </c>
      <c r="AS1218" s="34">
        <f>IF(AND(E1218=1,L1218=0),AJ1218,"")</f>
        <v>2.2</v>
      </c>
      <c r="AT1218" s="34" t="str">
        <f>IF(AND(E1218=1,L1218=1),AI1218,"")</f>
        <v/>
      </c>
      <c r="AU1218" s="34">
        <f>IF(AND(E1218=1,L1218=0),AI1218,"")</f>
        <v>2.9</v>
      </c>
      <c r="AV1218" s="34" t="str">
        <f>IF(AND(E1218=1,L1218=1),AG1218,"")</f>
        <v/>
      </c>
      <c r="AW1218" s="34">
        <f>IF(AND(E1218=1,L1218=0),AG1218,"")</f>
        <v>10.3</v>
      </c>
      <c r="AX1218" s="34" t="str">
        <f>IF(AND(E1218=1,L1218=1),AH1218,"")</f>
        <v/>
      </c>
      <c r="AY1218" s="34">
        <f>IF(AND(E1218=1,L1218=0),AH1218,"")</f>
        <v>10</v>
      </c>
      <c r="AZ1218" s="34" t="str">
        <f>IF(G1218=1,F1218,"")</f>
        <v/>
      </c>
      <c r="BA1218" s="34" t="str">
        <f>IF(AND(G1218=1,L1218=1),F1218,"")</f>
        <v/>
      </c>
      <c r="BB1218" s="34" t="str">
        <f>IF(AND(G1218=1,L1218=0),F1218,"")</f>
        <v/>
      </c>
      <c r="BC1218" s="33">
        <f>IF(E1218=1,IF(Orders!R1215&gt;3,1,0),"")</f>
        <v>0</v>
      </c>
      <c r="BD1218" s="33">
        <f>IF(E1218=1,IF(Orders!R1215&gt;7,1,0),"")</f>
        <v>0</v>
      </c>
      <c r="BE1218" s="32" t="str">
        <f>IF(E1218=1,IF(Orders!L1215&lt;=1.5,"Up to 1.5 km",IF(Orders!L1215&lt;=3,"1.5–3 km","Over 3 km")),"")</f>
        <v>Over 3 km</v>
      </c>
      <c r="BF1218" s="33">
        <f>IF(E1218=1,IF(ABS((Orders!G1215-Orders!F1215)*1440-Orders!R1215)&lt;0.06,1,0),"")</f>
        <v>1</v>
      </c>
      <c r="BG1218" s="33">
        <f>IF(ABS((Orders!F1215-Orders!E1215)*1440-Orders!P1215)&lt;0.06,1,0)</f>
        <v>1</v>
      </c>
      <c r="BH1218" s="33">
        <f>IF(E1218=1,IF(IF(Orders!S1215,1,0)=1-G1218,1,0),"")</f>
        <v>1</v>
      </c>
      <c r="BI1218" s="32" t="str">
        <f>INDEX(Stores!$B$2:$B$21,MATCH(B1218,Stores!$A$2:$A$21,0))</f>
        <v>Pune</v>
      </c>
    </row>
    <row r="1219">
      <c r="A1219" s="32" t="str">
        <f>Orders!A1216</f>
        <v>O01215</v>
      </c>
      <c r="B1219" s="32" t="str">
        <f>Orders!C1216</f>
        <v>S020</v>
      </c>
      <c r="C1219" s="32" t="str">
        <f>Orders!B1216</f>
        <v>C0111</v>
      </c>
      <c r="D1219" s="32" t="str">
        <f>Orders!H1216</f>
        <v>Delivered</v>
      </c>
      <c r="E1219" s="33">
        <f>IF(Orders!H1216="Delivered",1,0)</f>
        <v>1</v>
      </c>
      <c r="F1219" s="34">
        <f>IF(E1219=1,Orders!R1216,"")</f>
        <v>-0.5</v>
      </c>
      <c r="G1219" s="33">
        <f>IF(E1219=1,IF(Orders!R1216&gt;0,1,0),"")</f>
        <v>0</v>
      </c>
      <c r="H1219" s="33">
        <f>IF(E1219=1,IF(Orders!R1216&gt;5,1,0),"")</f>
        <v>0</v>
      </c>
      <c r="I1219" s="32" t="str">
        <f>IF(E1219=1,"",IF(OR(Orders!T1216="Rider unavailable",Orders!T1216="Item unavailable"),"Company-caused","Unresolved"))</f>
        <v/>
      </c>
      <c r="J1219" s="33">
        <f>IF(OR(E1219=1,I1219="Company-caused"),1,0)</f>
        <v>1</v>
      </c>
      <c r="K1219" s="32" t="str">
        <f>IF(E1219=0,IF(I1219="Company-caused",IF(Orders!T1216="Rider unavailable","C1 Rider unavailable","C2 Item unavailable"),"Outside root: unresolved"),IF(G1219=0,"A On time",IF(H1219=1,IF(L1219=1,"B2a Severe, peak","B2b Severe, off-peak"),IF(L1219=1,"B1a Slight, peak","B1b Slight, off-peak"))))</f>
        <v>A On time</v>
      </c>
      <c r="L1219" s="33">
        <f>IF(AND(Orders!U1216&gt;=19,Orders!U1216&lt;22),1,0)</f>
        <v>1</v>
      </c>
      <c r="M1219" s="33">
        <f>IF(L1219=IF(Orders!V1216,1,0),1,0)</f>
        <v>1</v>
      </c>
      <c r="N1219" s="32" t="str">
        <f>IF(Orders!W1216="","None",Orders!W1216)</f>
        <v>None</v>
      </c>
      <c r="O1219" s="35">
        <f>INT(Orders!E1216)</f>
        <v>46267.0</v>
      </c>
      <c r="P1219" s="33">
        <f>Orders!U1216</f>
        <v>21</v>
      </c>
      <c r="Q1219" s="33">
        <f>COUNTIFS(Demand!$A$2:$A$4481,B1219,Demand!$B$2:$B$4481,O1219,Demand!$C$2:$C$4481,P1219)</f>
        <v>1</v>
      </c>
      <c r="R1219" s="33">
        <f>IF(Q1219=1,SUMIFS(Demand!$E$2:$E$4481,Demand!$A$2:$A$4481,B1219,Demand!$B$2:$B$4481,O1219,Demand!$C$2:$C$4481,P1219),"")</f>
        <v>25</v>
      </c>
      <c r="S1219" s="33">
        <f>INDEX(Stores!$G$2:$G$21,MATCH(B1219,Stores!$A$2:$A$21,0))</f>
        <v>15</v>
      </c>
      <c r="T1219" s="34">
        <f>IF(R1219="","",R1219/S1219)</f>
        <v>1.66666666666667</v>
      </c>
      <c r="U1219" s="34">
        <f>IF(E1219=1,T1219,"")</f>
        <v>1.66666666666667</v>
      </c>
      <c r="V1219" s="34" t="str">
        <f>IF(AND(E1219=1,L1219=0),T1219,"")</f>
        <v/>
      </c>
      <c r="W1219" s="33">
        <f>IF(U1219="","",IF(U1219&lt;=Breakdowns!$C$5,1,IF(U1219&lt;=Breakdowns!$C$6,2,IF(U1219&lt;=Breakdowns!$C$7,3,4))))</f>
        <v>4</v>
      </c>
      <c r="X1219" s="33" t="str">
        <f>IF(V1219="","",IF(V1219&lt;=Breakdowns!$D$5,1,IF(V1219&lt;=Breakdowns!$D$6,2,IF(V1219&lt;=Breakdowns!$D$7,3,4))))</f>
        <v/>
      </c>
      <c r="Y1219" s="34">
        <f>INDEX(Stores!$F$2:$F$21,MATCH(B1219,Stores!$A$2:$A$21,0))</f>
        <v>5.74</v>
      </c>
      <c r="Z1219" s="33">
        <f>IF(Y1219&gt;Store_Summary!$M$2,1,0)</f>
        <v>1</v>
      </c>
      <c r="AA1219" s="33">
        <f>INDEX(Stores!$C$2:$C$21,MATCH(B1219,Stores!$A$2:$A$21,0))</f>
        <v>647</v>
      </c>
      <c r="AB1219" s="33">
        <f>IF(AA1219&lt;180,1,0)</f>
        <v>0</v>
      </c>
      <c r="AC1219" s="32" t="str">
        <f>IF(Orders!D1216="","",INDEX(Riders!$C$2:$C$81,MATCH(Orders!D1216,Riders!$A$2:$A$81,0)))</f>
        <v>EV scooter</v>
      </c>
      <c r="AD1219" s="33">
        <f>IF(Orders!D1216="","",INDEX(Riders!$D$2:$D$81,MATCH(Orders!D1216,Riders!$A$2:$A$81,0)))</f>
        <v>27</v>
      </c>
      <c r="AE1219" s="33">
        <f>IF(Orders!D1216="","",IF(INDEX(Riders!$B$2:$B$81,MATCH(Orders!D1216,Riders!$A$2:$A$81,0))=B1219,1,0))</f>
        <v>0</v>
      </c>
      <c r="AF1219" s="34">
        <f>IF(E1219=1,Orders!L1216,"")</f>
        <v>1.22</v>
      </c>
      <c r="AG1219" s="34">
        <f>IF(E1219=1,Orders!P1216,"")</f>
        <v>10.2</v>
      </c>
      <c r="AH1219" s="34">
        <f>IF(E1219=1,Orders!Q1216,"")</f>
        <v>9.7</v>
      </c>
      <c r="AI1219" s="34">
        <f>IF(E1219=1,Orders!M1216,"")</f>
        <v>3.3</v>
      </c>
      <c r="AJ1219" s="34">
        <f>IF(E1219=1,Orders!N1216,"")</f>
        <v>4.1</v>
      </c>
      <c r="AK1219" s="34">
        <f>IF(E1219=1,Orders!O1216,"")</f>
        <v>2.3</v>
      </c>
      <c r="AL1219" s="33">
        <f>IF(E1219=1,IF(ROUND(ABS(AI1219+AJ1219+AK1219-AH1219),6)&lt;=0.1,1,0),"")</f>
        <v>1</v>
      </c>
      <c r="AM1219" s="36">
        <f>IF(E1219=1,AI1219/AH1219,"")</f>
        <v>0.34020618556701</v>
      </c>
      <c r="AN1219" s="36">
        <f>IF(E1219=1,AJ1219/AH1219,"")</f>
        <v>0.422680412371134</v>
      </c>
      <c r="AO1219" s="36">
        <f>IF(E1219=1,AK1219/AH1219,"")</f>
        <v>0.237113402061856</v>
      </c>
      <c r="AP1219" s="34">
        <f>IF(E1219=1,Orders!Y1216,"")</f>
        <v>0.53</v>
      </c>
      <c r="AQ1219" s="33">
        <f>IF(Orders!X1216,1,0)</f>
        <v>0</v>
      </c>
      <c r="AR1219" s="34">
        <f>IF(AND(E1219=1,L1219=1),AJ1219,"")</f>
        <v>4.1</v>
      </c>
      <c r="AS1219" s="34" t="str">
        <f>IF(AND(E1219=1,L1219=0),AJ1219,"")</f>
        <v/>
      </c>
      <c r="AT1219" s="34">
        <f>IF(AND(E1219=1,L1219=1),AI1219,"")</f>
        <v>3.3</v>
      </c>
      <c r="AU1219" s="34" t="str">
        <f>IF(AND(E1219=1,L1219=0),AI1219,"")</f>
        <v/>
      </c>
      <c r="AV1219" s="34">
        <f>IF(AND(E1219=1,L1219=1),AG1219,"")</f>
        <v>10.2</v>
      </c>
      <c r="AW1219" s="34" t="str">
        <f>IF(AND(E1219=1,L1219=0),AG1219,"")</f>
        <v/>
      </c>
      <c r="AX1219" s="34">
        <f>IF(AND(E1219=1,L1219=1),AH1219,"")</f>
        <v>9.7</v>
      </c>
      <c r="AY1219" s="34" t="str">
        <f>IF(AND(E1219=1,L1219=0),AH1219,"")</f>
        <v/>
      </c>
      <c r="AZ1219" s="34" t="str">
        <f>IF(G1219=1,F1219,"")</f>
        <v/>
      </c>
      <c r="BA1219" s="34" t="str">
        <f>IF(AND(G1219=1,L1219=1),F1219,"")</f>
        <v/>
      </c>
      <c r="BB1219" s="34" t="str">
        <f>IF(AND(G1219=1,L1219=0),F1219,"")</f>
        <v/>
      </c>
      <c r="BC1219" s="33">
        <f>IF(E1219=1,IF(Orders!R1216&gt;3,1,0),"")</f>
        <v>0</v>
      </c>
      <c r="BD1219" s="33">
        <f>IF(E1219=1,IF(Orders!R1216&gt;7,1,0),"")</f>
        <v>0</v>
      </c>
      <c r="BE1219" s="32" t="str">
        <f>IF(E1219=1,IF(Orders!L1216&lt;=1.5,"Up to 1.5 km",IF(Orders!L1216&lt;=3,"1.5–3 km","Over 3 km")),"")</f>
        <v>Up to 1.5 km</v>
      </c>
      <c r="BF1219" s="33">
        <f>IF(E1219=1,IF(ABS((Orders!G1216-Orders!F1216)*1440-Orders!R1216)&lt;0.06,1,0),"")</f>
        <v>1</v>
      </c>
      <c r="BG1219" s="33">
        <f>IF(ABS((Orders!F1216-Orders!E1216)*1440-Orders!P1216)&lt;0.06,1,0)</f>
        <v>1</v>
      </c>
      <c r="BH1219" s="33">
        <f>IF(E1219=1,IF(IF(Orders!S1216,1,0)=1-G1219,1,0),"")</f>
        <v>1</v>
      </c>
      <c r="BI1219" s="32" t="str">
        <f>INDEX(Stores!$B$2:$B$21,MATCH(B1219,Stores!$A$2:$A$21,0))</f>
        <v>Delhi</v>
      </c>
    </row>
    <row r="1220">
      <c r="A1220" s="32" t="str">
        <f>Orders!A1217</f>
        <v>O01216</v>
      </c>
      <c r="B1220" s="32" t="str">
        <f>Orders!C1217</f>
        <v>S017</v>
      </c>
      <c r="C1220" s="32" t="str">
        <f>Orders!B1217</f>
        <v>C0178</v>
      </c>
      <c r="D1220" s="32" t="str">
        <f>Orders!H1217</f>
        <v>Delivered</v>
      </c>
      <c r="E1220" s="33">
        <f>IF(Orders!H1217="Delivered",1,0)</f>
        <v>1</v>
      </c>
      <c r="F1220" s="34">
        <f>IF(E1220=1,Orders!R1217,"")</f>
        <v>-0.8</v>
      </c>
      <c r="G1220" s="33">
        <f>IF(E1220=1,IF(Orders!R1217&gt;0,1,0),"")</f>
        <v>0</v>
      </c>
      <c r="H1220" s="33">
        <f>IF(E1220=1,IF(Orders!R1217&gt;5,1,0),"")</f>
        <v>0</v>
      </c>
      <c r="I1220" s="32" t="str">
        <f>IF(E1220=1,"",IF(OR(Orders!T1217="Rider unavailable",Orders!T1217="Item unavailable"),"Company-caused","Unresolved"))</f>
        <v/>
      </c>
      <c r="J1220" s="33">
        <f>IF(OR(E1220=1,I1220="Company-caused"),1,0)</f>
        <v>1</v>
      </c>
      <c r="K1220" s="32" t="str">
        <f>IF(E1220=0,IF(I1220="Company-caused",IF(Orders!T1217="Rider unavailable","C1 Rider unavailable","C2 Item unavailable"),"Outside root: unresolved"),IF(G1220=0,"A On time",IF(H1220=1,IF(L1220=1,"B2a Severe, peak","B2b Severe, off-peak"),IF(L1220=1,"B1a Slight, peak","B1b Slight, off-peak"))))</f>
        <v>A On time</v>
      </c>
      <c r="L1220" s="33">
        <f>IF(AND(Orders!U1217&gt;=19,Orders!U1217&lt;22),1,0)</f>
        <v>0</v>
      </c>
      <c r="M1220" s="33">
        <f>IF(L1220=IF(Orders!V1217,1,0),1,0)</f>
        <v>1</v>
      </c>
      <c r="N1220" s="32" t="str">
        <f>IF(Orders!W1217="","None",Orders!W1217)</f>
        <v>Light</v>
      </c>
      <c r="O1220" s="35">
        <f>INT(Orders!E1217)</f>
        <v>46272.0</v>
      </c>
      <c r="P1220" s="33">
        <f>Orders!U1217</f>
        <v>12</v>
      </c>
      <c r="Q1220" s="33">
        <f>COUNTIFS(Demand!$A$2:$A$4481,B1220,Demand!$B$2:$B$4481,O1220,Demand!$C$2:$C$4481,P1220)</f>
        <v>1</v>
      </c>
      <c r="R1220" s="33">
        <f>IF(Q1220=1,SUMIFS(Demand!$E$2:$E$4481,Demand!$A$2:$A$4481,B1220,Demand!$B$2:$B$4481,O1220,Demand!$C$2:$C$4481,P1220),"")</f>
        <v>39</v>
      </c>
      <c r="S1220" s="33">
        <f>INDEX(Stores!$G$2:$G$21,MATCH(B1220,Stores!$A$2:$A$21,0))</f>
        <v>36</v>
      </c>
      <c r="T1220" s="34">
        <f>IF(R1220="","",R1220/S1220)</f>
        <v>1.08333333333333</v>
      </c>
      <c r="U1220" s="34">
        <f>IF(E1220=1,T1220,"")</f>
        <v>1.08333333333333</v>
      </c>
      <c r="V1220" s="34">
        <f>IF(AND(E1220=1,L1220=0),T1220,"")</f>
        <v>1.08333333333333</v>
      </c>
      <c r="W1220" s="33">
        <f>IF(U1220="","",IF(U1220&lt;=Breakdowns!$C$5,1,IF(U1220&lt;=Breakdowns!$C$6,2,IF(U1220&lt;=Breakdowns!$C$7,3,4))))</f>
        <v>3</v>
      </c>
      <c r="X1220" s="33">
        <f>IF(V1220="","",IF(V1220&lt;=Breakdowns!$D$5,1,IF(V1220&lt;=Breakdowns!$D$6,2,IF(V1220&lt;=Breakdowns!$D$7,3,4))))</f>
        <v>4</v>
      </c>
      <c r="Y1220" s="34">
        <f>INDEX(Stores!$F$2:$F$21,MATCH(B1220,Stores!$A$2:$A$21,0))</f>
        <v>2.16</v>
      </c>
      <c r="Z1220" s="33">
        <f>IF(Y1220&gt;Store_Summary!$M$2,1,0)</f>
        <v>0</v>
      </c>
      <c r="AA1220" s="33">
        <f>INDEX(Stores!$C$2:$C$21,MATCH(B1220,Stores!$A$2:$A$21,0))</f>
        <v>47</v>
      </c>
      <c r="AB1220" s="33">
        <f>IF(AA1220&lt;180,1,0)</f>
        <v>1</v>
      </c>
      <c r="AC1220" s="32" t="str">
        <f>IF(Orders!D1217="","",INDEX(Riders!$C$2:$C$81,MATCH(Orders!D1217,Riders!$A$2:$A$81,0)))</f>
        <v>EV scooter</v>
      </c>
      <c r="AD1220" s="33">
        <f>IF(Orders!D1217="","",INDEX(Riders!$D$2:$D$81,MATCH(Orders!D1217,Riders!$A$2:$A$81,0)))</f>
        <v>45</v>
      </c>
      <c r="AE1220" s="33">
        <f>IF(Orders!D1217="","",IF(INDEX(Riders!$B$2:$B$81,MATCH(Orders!D1217,Riders!$A$2:$A$81,0))=B1220,1,0))</f>
        <v>0</v>
      </c>
      <c r="AF1220" s="34">
        <f>IF(E1220=1,Orders!L1217,"")</f>
        <v>2.57</v>
      </c>
      <c r="AG1220" s="34">
        <f>IF(E1220=1,Orders!P1217,"")</f>
        <v>9.2</v>
      </c>
      <c r="AH1220" s="34">
        <f>IF(E1220=1,Orders!Q1217,"")</f>
        <v>8.4</v>
      </c>
      <c r="AI1220" s="34">
        <f>IF(E1220=1,Orders!M1217,"")</f>
        <v>1.9</v>
      </c>
      <c r="AJ1220" s="34">
        <f>IF(E1220=1,Orders!N1217,"")</f>
        <v>2.6</v>
      </c>
      <c r="AK1220" s="34">
        <f>IF(E1220=1,Orders!O1217,"")</f>
        <v>3.9</v>
      </c>
      <c r="AL1220" s="33">
        <f>IF(E1220=1,IF(ROUND(ABS(AI1220+AJ1220+AK1220-AH1220),6)&lt;=0.1,1,0),"")</f>
        <v>1</v>
      </c>
      <c r="AM1220" s="36">
        <f>IF(E1220=1,AI1220/AH1220,"")</f>
        <v>0.226190476190476</v>
      </c>
      <c r="AN1220" s="36">
        <f>IF(E1220=1,AJ1220/AH1220,"")</f>
        <v>0.30952380952381</v>
      </c>
      <c r="AO1220" s="36">
        <f>IF(E1220=1,AK1220/AH1220,"")</f>
        <v>0.464285714285714</v>
      </c>
      <c r="AP1220" s="34">
        <f>IF(E1220=1,Orders!Y1217,"")</f>
        <v>0.37</v>
      </c>
      <c r="AQ1220" s="33">
        <f>IF(Orders!X1217,1,0)</f>
        <v>0</v>
      </c>
      <c r="AR1220" s="34" t="str">
        <f>IF(AND(E1220=1,L1220=1),AJ1220,"")</f>
        <v/>
      </c>
      <c r="AS1220" s="34">
        <f>IF(AND(E1220=1,L1220=0),AJ1220,"")</f>
        <v>2.6</v>
      </c>
      <c r="AT1220" s="34" t="str">
        <f>IF(AND(E1220=1,L1220=1),AI1220,"")</f>
        <v/>
      </c>
      <c r="AU1220" s="34">
        <f>IF(AND(E1220=1,L1220=0),AI1220,"")</f>
        <v>1.9</v>
      </c>
      <c r="AV1220" s="34" t="str">
        <f>IF(AND(E1220=1,L1220=1),AG1220,"")</f>
        <v/>
      </c>
      <c r="AW1220" s="34">
        <f>IF(AND(E1220=1,L1220=0),AG1220,"")</f>
        <v>9.2</v>
      </c>
      <c r="AX1220" s="34" t="str">
        <f>IF(AND(E1220=1,L1220=1),AH1220,"")</f>
        <v/>
      </c>
      <c r="AY1220" s="34">
        <f>IF(AND(E1220=1,L1220=0),AH1220,"")</f>
        <v>8.4</v>
      </c>
      <c r="AZ1220" s="34" t="str">
        <f>IF(G1220=1,F1220,"")</f>
        <v/>
      </c>
      <c r="BA1220" s="34" t="str">
        <f>IF(AND(G1220=1,L1220=1),F1220,"")</f>
        <v/>
      </c>
      <c r="BB1220" s="34" t="str">
        <f>IF(AND(G1220=1,L1220=0),F1220,"")</f>
        <v/>
      </c>
      <c r="BC1220" s="33">
        <f>IF(E1220=1,IF(Orders!R1217&gt;3,1,0),"")</f>
        <v>0</v>
      </c>
      <c r="BD1220" s="33">
        <f>IF(E1220=1,IF(Orders!R1217&gt;7,1,0),"")</f>
        <v>0</v>
      </c>
      <c r="BE1220" s="32" t="str">
        <f>IF(E1220=1,IF(Orders!L1217&lt;=1.5,"Up to 1.5 km",IF(Orders!L1217&lt;=3,"1.5–3 km","Over 3 km")),"")</f>
        <v>1.5–3 km</v>
      </c>
      <c r="BF1220" s="33">
        <f>IF(E1220=1,IF(ABS((Orders!G1217-Orders!F1217)*1440-Orders!R1217)&lt;0.06,1,0),"")</f>
        <v>1</v>
      </c>
      <c r="BG1220" s="33">
        <f>IF(ABS((Orders!F1217-Orders!E1217)*1440-Orders!P1217)&lt;0.06,1,0)</f>
        <v>1</v>
      </c>
      <c r="BH1220" s="33">
        <f>IF(E1220=1,IF(IF(Orders!S1217,1,0)=1-G1220,1,0),"")</f>
        <v>1</v>
      </c>
      <c r="BI1220" s="32" t="str">
        <f>INDEX(Stores!$B$2:$B$21,MATCH(B1220,Stores!$A$2:$A$21,0))</f>
        <v>Hyderabad</v>
      </c>
    </row>
    <row r="1221">
      <c r="A1221" s="32" t="str">
        <f>Orders!A1218</f>
        <v>O01217</v>
      </c>
      <c r="B1221" s="32" t="str">
        <f>Orders!C1218</f>
        <v>S018</v>
      </c>
      <c r="C1221" s="32" t="str">
        <f>Orders!B1218</f>
        <v>C0250</v>
      </c>
      <c r="D1221" s="32" t="str">
        <f>Orders!H1218</f>
        <v>Delivered</v>
      </c>
      <c r="E1221" s="33">
        <f>IF(Orders!H1218="Delivered",1,0)</f>
        <v>1</v>
      </c>
      <c r="F1221" s="34">
        <f>IF(E1221=1,Orders!R1218,"")</f>
        <v>-0.8</v>
      </c>
      <c r="G1221" s="33">
        <f>IF(E1221=1,IF(Orders!R1218&gt;0,1,0),"")</f>
        <v>0</v>
      </c>
      <c r="H1221" s="33">
        <f>IF(E1221=1,IF(Orders!R1218&gt;5,1,0),"")</f>
        <v>0</v>
      </c>
      <c r="I1221" s="32" t="str">
        <f>IF(E1221=1,"",IF(OR(Orders!T1218="Rider unavailable",Orders!T1218="Item unavailable"),"Company-caused","Unresolved"))</f>
        <v/>
      </c>
      <c r="J1221" s="33">
        <f>IF(OR(E1221=1,I1221="Company-caused"),1,0)</f>
        <v>1</v>
      </c>
      <c r="K1221" s="32" t="str">
        <f>IF(E1221=0,IF(I1221="Company-caused",IF(Orders!T1218="Rider unavailable","C1 Rider unavailable","C2 Item unavailable"),"Outside root: unresolved"),IF(G1221=0,"A On time",IF(H1221=1,IF(L1221=1,"B2a Severe, peak","B2b Severe, off-peak"),IF(L1221=1,"B1a Slight, peak","B1b Slight, off-peak"))))</f>
        <v>A On time</v>
      </c>
      <c r="L1221" s="33">
        <f>IF(AND(Orders!U1218&gt;=19,Orders!U1218&lt;22),1,0)</f>
        <v>0</v>
      </c>
      <c r="M1221" s="33">
        <f>IF(L1221=IF(Orders!V1218,1,0),1,0)</f>
        <v>1</v>
      </c>
      <c r="N1221" s="32" t="str">
        <f>IF(Orders!W1218="","None",Orders!W1218)</f>
        <v>Light</v>
      </c>
      <c r="O1221" s="35">
        <f>INT(Orders!E1218)</f>
        <v>46268.0</v>
      </c>
      <c r="P1221" s="33">
        <f>Orders!U1218</f>
        <v>13</v>
      </c>
      <c r="Q1221" s="33">
        <f>COUNTIFS(Demand!$A$2:$A$4481,B1221,Demand!$B$2:$B$4481,O1221,Demand!$C$2:$C$4481,P1221)</f>
        <v>1</v>
      </c>
      <c r="R1221" s="33">
        <f>IF(Q1221=1,SUMIFS(Demand!$E$2:$E$4481,Demand!$A$2:$A$4481,B1221,Demand!$B$2:$B$4481,O1221,Demand!$C$2:$C$4481,P1221),"")</f>
        <v>15</v>
      </c>
      <c r="S1221" s="33">
        <f>INDEX(Stores!$G$2:$G$21,MATCH(B1221,Stores!$A$2:$A$21,0))</f>
        <v>20</v>
      </c>
      <c r="T1221" s="34">
        <f>IF(R1221="","",R1221/S1221)</f>
        <v>0.75</v>
      </c>
      <c r="U1221" s="34">
        <f>IF(E1221=1,T1221,"")</f>
        <v>0.75</v>
      </c>
      <c r="V1221" s="34">
        <f>IF(AND(E1221=1,L1221=0),T1221,"")</f>
        <v>0.75</v>
      </c>
      <c r="W1221" s="33">
        <f>IF(U1221="","",IF(U1221&lt;=Breakdowns!$C$5,1,IF(U1221&lt;=Breakdowns!$C$6,2,IF(U1221&lt;=Breakdowns!$C$7,3,4))))</f>
        <v>1</v>
      </c>
      <c r="X1221" s="33">
        <f>IF(V1221="","",IF(V1221&lt;=Breakdowns!$D$5,1,IF(V1221&lt;=Breakdowns!$D$6,2,IF(V1221&lt;=Breakdowns!$D$7,3,4))))</f>
        <v>1</v>
      </c>
      <c r="Y1221" s="34">
        <f>INDEX(Stores!$F$2:$F$21,MATCH(B1221,Stores!$A$2:$A$21,0))</f>
        <v>5.31</v>
      </c>
      <c r="Z1221" s="33">
        <f>IF(Y1221&gt;Store_Summary!$M$2,1,0)</f>
        <v>1</v>
      </c>
      <c r="AA1221" s="33">
        <f>INDEX(Stores!$C$2:$C$21,MATCH(B1221,Stores!$A$2:$A$21,0))</f>
        <v>214</v>
      </c>
      <c r="AB1221" s="33">
        <f>IF(AA1221&lt;180,1,0)</f>
        <v>0</v>
      </c>
      <c r="AC1221" s="32" t="str">
        <f>IF(Orders!D1218="","",INDEX(Riders!$C$2:$C$81,MATCH(Orders!D1218,Riders!$A$2:$A$81,0)))</f>
        <v>EV scooter</v>
      </c>
      <c r="AD1221" s="33">
        <f>IF(Orders!D1218="","",INDEX(Riders!$D$2:$D$81,MATCH(Orders!D1218,Riders!$A$2:$A$81,0)))</f>
        <v>1</v>
      </c>
      <c r="AE1221" s="33">
        <f>IF(Orders!D1218="","",IF(INDEX(Riders!$B$2:$B$81,MATCH(Orders!D1218,Riders!$A$2:$A$81,0))=B1221,1,0))</f>
        <v>0</v>
      </c>
      <c r="AF1221" s="34">
        <f>IF(E1221=1,Orders!L1218,"")</f>
        <v>0.8</v>
      </c>
      <c r="AG1221" s="34">
        <f>IF(E1221=1,Orders!P1218,"")</f>
        <v>10</v>
      </c>
      <c r="AH1221" s="34">
        <f>IF(E1221=1,Orders!Q1218,"")</f>
        <v>9.2</v>
      </c>
      <c r="AI1221" s="34">
        <f>IF(E1221=1,Orders!M1218,"")</f>
        <v>3.7</v>
      </c>
      <c r="AJ1221" s="34">
        <f>IF(E1221=1,Orders!N1218,"")</f>
        <v>3.1</v>
      </c>
      <c r="AK1221" s="34">
        <f>IF(E1221=1,Orders!O1218,"")</f>
        <v>2.4</v>
      </c>
      <c r="AL1221" s="33">
        <f>IF(E1221=1,IF(ROUND(ABS(AI1221+AJ1221+AK1221-AH1221),6)&lt;=0.1,1,0),"")</f>
        <v>1</v>
      </c>
      <c r="AM1221" s="36">
        <f>IF(E1221=1,AI1221/AH1221,"")</f>
        <v>0.402173913043478</v>
      </c>
      <c r="AN1221" s="36">
        <f>IF(E1221=1,AJ1221/AH1221,"")</f>
        <v>0.336956521739131</v>
      </c>
      <c r="AO1221" s="36">
        <f>IF(E1221=1,AK1221/AH1221,"")</f>
        <v>0.260869565217391</v>
      </c>
      <c r="AP1221" s="34">
        <f>IF(E1221=1,Orders!Y1218,"")</f>
        <v>0.14</v>
      </c>
      <c r="AQ1221" s="33">
        <f>IF(Orders!X1218,1,0)</f>
        <v>0</v>
      </c>
      <c r="AR1221" s="34" t="str">
        <f>IF(AND(E1221=1,L1221=1),AJ1221,"")</f>
        <v/>
      </c>
      <c r="AS1221" s="34">
        <f>IF(AND(E1221=1,L1221=0),AJ1221,"")</f>
        <v>3.1</v>
      </c>
      <c r="AT1221" s="34" t="str">
        <f>IF(AND(E1221=1,L1221=1),AI1221,"")</f>
        <v/>
      </c>
      <c r="AU1221" s="34">
        <f>IF(AND(E1221=1,L1221=0),AI1221,"")</f>
        <v>3.7</v>
      </c>
      <c r="AV1221" s="34" t="str">
        <f>IF(AND(E1221=1,L1221=1),AG1221,"")</f>
        <v/>
      </c>
      <c r="AW1221" s="34">
        <f>IF(AND(E1221=1,L1221=0),AG1221,"")</f>
        <v>10</v>
      </c>
      <c r="AX1221" s="34" t="str">
        <f>IF(AND(E1221=1,L1221=1),AH1221,"")</f>
        <v/>
      </c>
      <c r="AY1221" s="34">
        <f>IF(AND(E1221=1,L1221=0),AH1221,"")</f>
        <v>9.2</v>
      </c>
      <c r="AZ1221" s="34" t="str">
        <f>IF(G1221=1,F1221,"")</f>
        <v/>
      </c>
      <c r="BA1221" s="34" t="str">
        <f>IF(AND(G1221=1,L1221=1),F1221,"")</f>
        <v/>
      </c>
      <c r="BB1221" s="34" t="str">
        <f>IF(AND(G1221=1,L1221=0),F1221,"")</f>
        <v/>
      </c>
      <c r="BC1221" s="33">
        <f>IF(E1221=1,IF(Orders!R1218&gt;3,1,0),"")</f>
        <v>0</v>
      </c>
      <c r="BD1221" s="33">
        <f>IF(E1221=1,IF(Orders!R1218&gt;7,1,0),"")</f>
        <v>0</v>
      </c>
      <c r="BE1221" s="32" t="str">
        <f>IF(E1221=1,IF(Orders!L1218&lt;=1.5,"Up to 1.5 km",IF(Orders!L1218&lt;=3,"1.5–3 km","Over 3 km")),"")</f>
        <v>Up to 1.5 km</v>
      </c>
      <c r="BF1221" s="33">
        <f>IF(E1221=1,IF(ABS((Orders!G1218-Orders!F1218)*1440-Orders!R1218)&lt;0.06,1,0),"")</f>
        <v>1</v>
      </c>
      <c r="BG1221" s="33">
        <f>IF(ABS((Orders!F1218-Orders!E1218)*1440-Orders!P1218)&lt;0.06,1,0)</f>
        <v>1</v>
      </c>
      <c r="BH1221" s="33">
        <f>IF(E1221=1,IF(IF(Orders!S1218,1,0)=1-G1221,1,0),"")</f>
        <v>1</v>
      </c>
      <c r="BI1221" s="32" t="str">
        <f>INDEX(Stores!$B$2:$B$21,MATCH(B1221,Stores!$A$2:$A$21,0))</f>
        <v>Mumbai</v>
      </c>
    </row>
    <row r="1222">
      <c r="A1222" s="32" t="str">
        <f>Orders!A1219</f>
        <v>O01218</v>
      </c>
      <c r="B1222" s="32" t="str">
        <f>Orders!C1219</f>
        <v>S016</v>
      </c>
      <c r="C1222" s="32" t="str">
        <f>Orders!B1219</f>
        <v>C0081</v>
      </c>
      <c r="D1222" s="32" t="str">
        <f>Orders!H1219</f>
        <v>Delivered</v>
      </c>
      <c r="E1222" s="33">
        <f>IF(Orders!H1219="Delivered",1,0)</f>
        <v>1</v>
      </c>
      <c r="F1222" s="34">
        <f>IF(E1222=1,Orders!R1219,"")</f>
        <v>5.3</v>
      </c>
      <c r="G1222" s="33">
        <f>IF(E1222=1,IF(Orders!R1219&gt;0,1,0),"")</f>
        <v>1</v>
      </c>
      <c r="H1222" s="33">
        <f>IF(E1222=1,IF(Orders!R1219&gt;5,1,0),"")</f>
        <v>1</v>
      </c>
      <c r="I1222" s="32" t="str">
        <f>IF(E1222=1,"",IF(OR(Orders!T1219="Rider unavailable",Orders!T1219="Item unavailable"),"Company-caused","Unresolved"))</f>
        <v/>
      </c>
      <c r="J1222" s="33">
        <f>IF(OR(E1222=1,I1222="Company-caused"),1,0)</f>
        <v>1</v>
      </c>
      <c r="K1222" s="32" t="str">
        <f>IF(E1222=0,IF(I1222="Company-caused",IF(Orders!T1219="Rider unavailable","C1 Rider unavailable","C2 Item unavailable"),"Outside root: unresolved"),IF(G1222=0,"A On time",IF(H1222=1,IF(L1222=1,"B2a Severe, peak","B2b Severe, off-peak"),IF(L1222=1,"B1a Slight, peak","B1b Slight, off-peak"))))</f>
        <v>B2b Severe, off-peak</v>
      </c>
      <c r="L1222" s="33">
        <f>IF(AND(Orders!U1219&gt;=19,Orders!U1219&lt;22),1,0)</f>
        <v>0</v>
      </c>
      <c r="M1222" s="33">
        <f>IF(L1222=IF(Orders!V1219,1,0),1,0)</f>
        <v>1</v>
      </c>
      <c r="N1222" s="32" t="str">
        <f>IF(Orders!W1219="","None",Orders!W1219)</f>
        <v>None</v>
      </c>
      <c r="O1222" s="35">
        <f>INT(Orders!E1219)</f>
        <v>46272.0</v>
      </c>
      <c r="P1222" s="33">
        <f>Orders!U1219</f>
        <v>11</v>
      </c>
      <c r="Q1222" s="33">
        <f>COUNTIFS(Demand!$A$2:$A$4481,B1222,Demand!$B$2:$B$4481,O1222,Demand!$C$2:$C$4481,P1222)</f>
        <v>1</v>
      </c>
      <c r="R1222" s="33">
        <f>IF(Q1222=1,SUMIFS(Demand!$E$2:$E$4481,Demand!$A$2:$A$4481,B1222,Demand!$B$2:$B$4481,O1222,Demand!$C$2:$C$4481,P1222),"")</f>
        <v>33</v>
      </c>
      <c r="S1222" s="33">
        <f>INDEX(Stores!$G$2:$G$21,MATCH(B1222,Stores!$A$2:$A$21,0))</f>
        <v>25</v>
      </c>
      <c r="T1222" s="34">
        <f>IF(R1222="","",R1222/S1222)</f>
        <v>1.32</v>
      </c>
      <c r="U1222" s="34">
        <f>IF(E1222=1,T1222,"")</f>
        <v>1.32</v>
      </c>
      <c r="V1222" s="34">
        <f>IF(AND(E1222=1,L1222=0),T1222,"")</f>
        <v>1.32</v>
      </c>
      <c r="W1222" s="33">
        <f>IF(U1222="","",IF(U1222&lt;=Breakdowns!$C$5,1,IF(U1222&lt;=Breakdowns!$C$6,2,IF(U1222&lt;=Breakdowns!$C$7,3,4))))</f>
        <v>4</v>
      </c>
      <c r="X1222" s="33">
        <f>IF(V1222="","",IF(V1222&lt;=Breakdowns!$D$5,1,IF(V1222&lt;=Breakdowns!$D$6,2,IF(V1222&lt;=Breakdowns!$D$7,3,4))))</f>
        <v>4</v>
      </c>
      <c r="Y1222" s="34">
        <f>INDEX(Stores!$F$2:$F$21,MATCH(B1222,Stores!$A$2:$A$21,0))</f>
        <v>5.51</v>
      </c>
      <c r="Z1222" s="33">
        <f>IF(Y1222&gt;Store_Summary!$M$2,1,0)</f>
        <v>1</v>
      </c>
      <c r="AA1222" s="33">
        <f>INDEX(Stores!$C$2:$C$21,MATCH(B1222,Stores!$A$2:$A$21,0))</f>
        <v>792</v>
      </c>
      <c r="AB1222" s="33">
        <f>IF(AA1222&lt;180,1,0)</f>
        <v>0</v>
      </c>
      <c r="AC1222" s="32" t="str">
        <f>IF(Orders!D1219="","",INDEX(Riders!$C$2:$C$81,MATCH(Orders!D1219,Riders!$A$2:$A$81,0)))</f>
        <v>Petrol scooter</v>
      </c>
      <c r="AD1222" s="33">
        <f>IF(Orders!D1219="","",INDEX(Riders!$D$2:$D$81,MATCH(Orders!D1219,Riders!$A$2:$A$81,0)))</f>
        <v>29</v>
      </c>
      <c r="AE1222" s="33">
        <f>IF(Orders!D1219="","",IF(INDEX(Riders!$B$2:$B$81,MATCH(Orders!D1219,Riders!$A$2:$A$81,0))=B1222,1,0))</f>
        <v>0</v>
      </c>
      <c r="AF1222" s="34">
        <f>IF(E1222=1,Orders!L1219,"")</f>
        <v>2.6</v>
      </c>
      <c r="AG1222" s="34">
        <f>IF(E1222=1,Orders!P1219,"")</f>
        <v>12.3</v>
      </c>
      <c r="AH1222" s="34">
        <f>IF(E1222=1,Orders!Q1219,"")</f>
        <v>17.6</v>
      </c>
      <c r="AI1222" s="34">
        <f>IF(E1222=1,Orders!M1219,"")</f>
        <v>4.8</v>
      </c>
      <c r="AJ1222" s="34">
        <f>IF(E1222=1,Orders!N1219,"")</f>
        <v>6</v>
      </c>
      <c r="AK1222" s="34">
        <f>IF(E1222=1,Orders!O1219,"")</f>
        <v>6.9</v>
      </c>
      <c r="AL1222" s="33">
        <f>IF(E1222=1,IF(ROUND(ABS(AI1222+AJ1222+AK1222-AH1222),6)&lt;=0.1,1,0),"")</f>
        <v>1</v>
      </c>
      <c r="AM1222" s="36">
        <f>IF(E1222=1,AI1222/AH1222,"")</f>
        <v>0.272727272727273</v>
      </c>
      <c r="AN1222" s="36">
        <f>IF(E1222=1,AJ1222/AH1222,"")</f>
        <v>0.340909090909091</v>
      </c>
      <c r="AO1222" s="36">
        <f>IF(E1222=1,AK1222/AH1222,"")</f>
        <v>0.392045454545455</v>
      </c>
      <c r="AP1222" s="34">
        <f>IF(E1222=1,Orders!Y1219,"")</f>
        <v>0.56</v>
      </c>
      <c r="AQ1222" s="33">
        <f>IF(Orders!X1219,1,0)</f>
        <v>0</v>
      </c>
      <c r="AR1222" s="34" t="str">
        <f>IF(AND(E1222=1,L1222=1),AJ1222,"")</f>
        <v/>
      </c>
      <c r="AS1222" s="34">
        <f>IF(AND(E1222=1,L1222=0),AJ1222,"")</f>
        <v>6</v>
      </c>
      <c r="AT1222" s="34" t="str">
        <f>IF(AND(E1222=1,L1222=1),AI1222,"")</f>
        <v/>
      </c>
      <c r="AU1222" s="34">
        <f>IF(AND(E1222=1,L1222=0),AI1222,"")</f>
        <v>4.8</v>
      </c>
      <c r="AV1222" s="34" t="str">
        <f>IF(AND(E1222=1,L1222=1),AG1222,"")</f>
        <v/>
      </c>
      <c r="AW1222" s="34">
        <f>IF(AND(E1222=1,L1222=0),AG1222,"")</f>
        <v>12.3</v>
      </c>
      <c r="AX1222" s="34" t="str">
        <f>IF(AND(E1222=1,L1222=1),AH1222,"")</f>
        <v/>
      </c>
      <c r="AY1222" s="34">
        <f>IF(AND(E1222=1,L1222=0),AH1222,"")</f>
        <v>17.6</v>
      </c>
      <c r="AZ1222" s="34">
        <f>IF(G1222=1,F1222,"")</f>
        <v>5.3</v>
      </c>
      <c r="BA1222" s="34" t="str">
        <f>IF(AND(G1222=1,L1222=1),F1222,"")</f>
        <v/>
      </c>
      <c r="BB1222" s="34">
        <f>IF(AND(G1222=1,L1222=0),F1222,"")</f>
        <v>5.3</v>
      </c>
      <c r="BC1222" s="33">
        <f>IF(E1222=1,IF(Orders!R1219&gt;3,1,0),"")</f>
        <v>1</v>
      </c>
      <c r="BD1222" s="33">
        <f>IF(E1222=1,IF(Orders!R1219&gt;7,1,0),"")</f>
        <v>0</v>
      </c>
      <c r="BE1222" s="32" t="str">
        <f>IF(E1222=1,IF(Orders!L1219&lt;=1.5,"Up to 1.5 km",IF(Orders!L1219&lt;=3,"1.5–3 km","Over 3 km")),"")</f>
        <v>1.5–3 km</v>
      </c>
      <c r="BF1222" s="33">
        <f>IF(E1222=1,IF(ABS((Orders!G1219-Orders!F1219)*1440-Orders!R1219)&lt;0.06,1,0),"")</f>
        <v>1</v>
      </c>
      <c r="BG1222" s="33">
        <f>IF(ABS((Orders!F1219-Orders!E1219)*1440-Orders!P1219)&lt;0.06,1,0)</f>
        <v>1</v>
      </c>
      <c r="BH1222" s="33">
        <f>IF(E1222=1,IF(IF(Orders!S1219,1,0)=1-G1222,1,0),"")</f>
        <v>1</v>
      </c>
      <c r="BI1222" s="32" t="str">
        <f>INDEX(Stores!$B$2:$B$21,MATCH(B1222,Stores!$A$2:$A$21,0))</f>
        <v>Bengaluru</v>
      </c>
    </row>
    <row r="1223">
      <c r="A1223" s="32" t="str">
        <f>Orders!A1220</f>
        <v>O01219</v>
      </c>
      <c r="B1223" s="32" t="str">
        <f>Orders!C1220</f>
        <v>S004</v>
      </c>
      <c r="C1223" s="32" t="str">
        <f>Orders!B1220</f>
        <v>C0210</v>
      </c>
      <c r="D1223" s="32" t="str">
        <f>Orders!H1220</f>
        <v>Delivered</v>
      </c>
      <c r="E1223" s="33">
        <f>IF(Orders!H1220="Delivered",1,0)</f>
        <v>1</v>
      </c>
      <c r="F1223" s="34">
        <f>IF(E1223=1,Orders!R1220,"")</f>
        <v>-1</v>
      </c>
      <c r="G1223" s="33">
        <f>IF(E1223=1,IF(Orders!R1220&gt;0,1,0),"")</f>
        <v>0</v>
      </c>
      <c r="H1223" s="33">
        <f>IF(E1223=1,IF(Orders!R1220&gt;5,1,0),"")</f>
        <v>0</v>
      </c>
      <c r="I1223" s="32" t="str">
        <f>IF(E1223=1,"",IF(OR(Orders!T1220="Rider unavailable",Orders!T1220="Item unavailable"),"Company-caused","Unresolved"))</f>
        <v/>
      </c>
      <c r="J1223" s="33">
        <f>IF(OR(E1223=1,I1223="Company-caused"),1,0)</f>
        <v>1</v>
      </c>
      <c r="K1223" s="32" t="str">
        <f>IF(E1223=0,IF(I1223="Company-caused",IF(Orders!T1220="Rider unavailable","C1 Rider unavailable","C2 Item unavailable"),"Outside root: unresolved"),IF(G1223=0,"A On time",IF(H1223=1,IF(L1223=1,"B2a Severe, peak","B2b Severe, off-peak"),IF(L1223=1,"B1a Slight, peak","B1b Slight, off-peak"))))</f>
        <v>A On time</v>
      </c>
      <c r="L1223" s="33">
        <f>IF(AND(Orders!U1220&gt;=19,Orders!U1220&lt;22),1,0)</f>
        <v>0</v>
      </c>
      <c r="M1223" s="33">
        <f>IF(L1223=IF(Orders!V1220,1,0),1,0)</f>
        <v>1</v>
      </c>
      <c r="N1223" s="32" t="str">
        <f>IF(Orders!W1220="","None",Orders!W1220)</f>
        <v>None</v>
      </c>
      <c r="O1223" s="35">
        <f>INT(Orders!E1220)</f>
        <v>46266.0</v>
      </c>
      <c r="P1223" s="33">
        <f>Orders!U1220</f>
        <v>13</v>
      </c>
      <c r="Q1223" s="33">
        <f>COUNTIFS(Demand!$A$2:$A$4481,B1223,Demand!$B$2:$B$4481,O1223,Demand!$C$2:$C$4481,P1223)</f>
        <v>1</v>
      </c>
      <c r="R1223" s="33">
        <f>IF(Q1223=1,SUMIFS(Demand!$E$2:$E$4481,Demand!$A$2:$A$4481,B1223,Demand!$B$2:$B$4481,O1223,Demand!$C$2:$C$4481,P1223),"")</f>
        <v>43</v>
      </c>
      <c r="S1223" s="33">
        <f>INDEX(Stores!$G$2:$G$21,MATCH(B1223,Stores!$A$2:$A$21,0))</f>
        <v>42</v>
      </c>
      <c r="T1223" s="34">
        <f>IF(R1223="","",R1223/S1223)</f>
        <v>1.02380952380952</v>
      </c>
      <c r="U1223" s="34">
        <f>IF(E1223=1,T1223,"")</f>
        <v>1.02380952380952</v>
      </c>
      <c r="V1223" s="34">
        <f>IF(AND(E1223=1,L1223=0),T1223,"")</f>
        <v>1.02380952380952</v>
      </c>
      <c r="W1223" s="33">
        <f>IF(U1223="","",IF(U1223&lt;=Breakdowns!$C$5,1,IF(U1223&lt;=Breakdowns!$C$6,2,IF(U1223&lt;=Breakdowns!$C$7,3,4))))</f>
        <v>3</v>
      </c>
      <c r="X1223" s="33">
        <f>IF(V1223="","",IF(V1223&lt;=Breakdowns!$D$5,1,IF(V1223&lt;=Breakdowns!$D$6,2,IF(V1223&lt;=Breakdowns!$D$7,3,4))))</f>
        <v>3</v>
      </c>
      <c r="Y1223" s="34">
        <f>INDEX(Stores!$F$2:$F$21,MATCH(B1223,Stores!$A$2:$A$21,0))</f>
        <v>2.19</v>
      </c>
      <c r="Z1223" s="33">
        <f>IF(Y1223&gt;Store_Summary!$M$2,1,0)</f>
        <v>0</v>
      </c>
      <c r="AA1223" s="33">
        <f>INDEX(Stores!$C$2:$C$21,MATCH(B1223,Stores!$A$2:$A$21,0))</f>
        <v>850</v>
      </c>
      <c r="AB1223" s="33">
        <f>IF(AA1223&lt;180,1,0)</f>
        <v>0</v>
      </c>
      <c r="AC1223" s="32" t="str">
        <f>IF(Orders!D1220="","",INDEX(Riders!$C$2:$C$81,MATCH(Orders!D1220,Riders!$A$2:$A$81,0)))</f>
        <v>Petrol scooter</v>
      </c>
      <c r="AD1223" s="33">
        <f>IF(Orders!D1220="","",INDEX(Riders!$D$2:$D$81,MATCH(Orders!D1220,Riders!$A$2:$A$81,0)))</f>
        <v>48</v>
      </c>
      <c r="AE1223" s="33">
        <f>IF(Orders!D1220="","",IF(INDEX(Riders!$B$2:$B$81,MATCH(Orders!D1220,Riders!$A$2:$A$81,0))=B1223,1,0))</f>
        <v>0</v>
      </c>
      <c r="AF1223" s="34">
        <f>IF(E1223=1,Orders!L1220,"")</f>
        <v>2.33</v>
      </c>
      <c r="AG1223" s="34">
        <f>IF(E1223=1,Orders!P1220,"")</f>
        <v>11.2</v>
      </c>
      <c r="AH1223" s="34">
        <f>IF(E1223=1,Orders!Q1220,"")</f>
        <v>10.2</v>
      </c>
      <c r="AI1223" s="34">
        <f>IF(E1223=1,Orders!M1220,"")</f>
        <v>1.4</v>
      </c>
      <c r="AJ1223" s="34">
        <f>IF(E1223=1,Orders!N1220,"")</f>
        <v>2.9</v>
      </c>
      <c r="AK1223" s="34">
        <f>IF(E1223=1,Orders!O1220,"")</f>
        <v>5.9</v>
      </c>
      <c r="AL1223" s="33">
        <f>IF(E1223=1,IF(ROUND(ABS(AI1223+AJ1223+AK1223-AH1223),6)&lt;=0.1,1,0),"")</f>
        <v>1</v>
      </c>
      <c r="AM1223" s="36">
        <f>IF(E1223=1,AI1223/AH1223,"")</f>
        <v>0.137254901960784</v>
      </c>
      <c r="AN1223" s="36">
        <f>IF(E1223=1,AJ1223/AH1223,"")</f>
        <v>0.284313725490196</v>
      </c>
      <c r="AO1223" s="36">
        <f>IF(E1223=1,AK1223/AH1223,"")</f>
        <v>0.57843137254902</v>
      </c>
      <c r="AP1223" s="34">
        <f>IF(E1223=1,Orders!Y1220,"")</f>
        <v>0.81</v>
      </c>
      <c r="AQ1223" s="33">
        <f>IF(Orders!X1220,1,0)</f>
        <v>0</v>
      </c>
      <c r="AR1223" s="34" t="str">
        <f>IF(AND(E1223=1,L1223=1),AJ1223,"")</f>
        <v/>
      </c>
      <c r="AS1223" s="34">
        <f>IF(AND(E1223=1,L1223=0),AJ1223,"")</f>
        <v>2.9</v>
      </c>
      <c r="AT1223" s="34" t="str">
        <f>IF(AND(E1223=1,L1223=1),AI1223,"")</f>
        <v/>
      </c>
      <c r="AU1223" s="34">
        <f>IF(AND(E1223=1,L1223=0),AI1223,"")</f>
        <v>1.4</v>
      </c>
      <c r="AV1223" s="34" t="str">
        <f>IF(AND(E1223=1,L1223=1),AG1223,"")</f>
        <v/>
      </c>
      <c r="AW1223" s="34">
        <f>IF(AND(E1223=1,L1223=0),AG1223,"")</f>
        <v>11.2</v>
      </c>
      <c r="AX1223" s="34" t="str">
        <f>IF(AND(E1223=1,L1223=1),AH1223,"")</f>
        <v/>
      </c>
      <c r="AY1223" s="34">
        <f>IF(AND(E1223=1,L1223=0),AH1223,"")</f>
        <v>10.2</v>
      </c>
      <c r="AZ1223" s="34" t="str">
        <f>IF(G1223=1,F1223,"")</f>
        <v/>
      </c>
      <c r="BA1223" s="34" t="str">
        <f>IF(AND(G1223=1,L1223=1),F1223,"")</f>
        <v/>
      </c>
      <c r="BB1223" s="34" t="str">
        <f>IF(AND(G1223=1,L1223=0),F1223,"")</f>
        <v/>
      </c>
      <c r="BC1223" s="33">
        <f>IF(E1223=1,IF(Orders!R1220&gt;3,1,0),"")</f>
        <v>0</v>
      </c>
      <c r="BD1223" s="33">
        <f>IF(E1223=1,IF(Orders!R1220&gt;7,1,0),"")</f>
        <v>0</v>
      </c>
      <c r="BE1223" s="32" t="str">
        <f>IF(E1223=1,IF(Orders!L1220&lt;=1.5,"Up to 1.5 km",IF(Orders!L1220&lt;=3,"1.5–3 km","Over 3 km")),"")</f>
        <v>1.5–3 km</v>
      </c>
      <c r="BF1223" s="33">
        <f>IF(E1223=1,IF(ABS((Orders!G1220-Orders!F1220)*1440-Orders!R1220)&lt;0.06,1,0),"")</f>
        <v>1</v>
      </c>
      <c r="BG1223" s="33">
        <f>IF(ABS((Orders!F1220-Orders!E1220)*1440-Orders!P1220)&lt;0.06,1,0)</f>
        <v>1</v>
      </c>
      <c r="BH1223" s="33">
        <f>IF(E1223=1,IF(IF(Orders!S1220,1,0)=1-G1223,1,0),"")</f>
        <v>1</v>
      </c>
      <c r="BI1223" s="32" t="str">
        <f>INDEX(Stores!$B$2:$B$21,MATCH(B1223,Stores!$A$2:$A$21,0))</f>
        <v>Pune</v>
      </c>
    </row>
    <row r="1224">
      <c r="A1224" s="32" t="str">
        <f>Orders!A1221</f>
        <v>O01220</v>
      </c>
      <c r="B1224" s="32" t="str">
        <f>Orders!C1221</f>
        <v>S020</v>
      </c>
      <c r="C1224" s="32" t="str">
        <f>Orders!B1221</f>
        <v>C0150</v>
      </c>
      <c r="D1224" s="32" t="str">
        <f>Orders!H1221</f>
        <v>Delivered</v>
      </c>
      <c r="E1224" s="33">
        <f>IF(Orders!H1221="Delivered",1,0)</f>
        <v>1</v>
      </c>
      <c r="F1224" s="34">
        <f>IF(E1224=1,Orders!R1221,"")</f>
        <v>-0.7</v>
      </c>
      <c r="G1224" s="33">
        <f>IF(E1224=1,IF(Orders!R1221&gt;0,1,0),"")</f>
        <v>0</v>
      </c>
      <c r="H1224" s="33">
        <f>IF(E1224=1,IF(Orders!R1221&gt;5,1,0),"")</f>
        <v>0</v>
      </c>
      <c r="I1224" s="32" t="str">
        <f>IF(E1224=1,"",IF(OR(Orders!T1221="Rider unavailable",Orders!T1221="Item unavailable"),"Company-caused","Unresolved"))</f>
        <v/>
      </c>
      <c r="J1224" s="33">
        <f>IF(OR(E1224=1,I1224="Company-caused"),1,0)</f>
        <v>1</v>
      </c>
      <c r="K1224" s="32" t="str">
        <f>IF(E1224=0,IF(I1224="Company-caused",IF(Orders!T1221="Rider unavailable","C1 Rider unavailable","C2 Item unavailable"),"Outside root: unresolved"),IF(G1224=0,"A On time",IF(H1224=1,IF(L1224=1,"B2a Severe, peak","B2b Severe, off-peak"),IF(L1224=1,"B1a Slight, peak","B1b Slight, off-peak"))))</f>
        <v>A On time</v>
      </c>
      <c r="L1224" s="33">
        <f>IF(AND(Orders!U1221&gt;=19,Orders!U1221&lt;22),1,0)</f>
        <v>0</v>
      </c>
      <c r="M1224" s="33">
        <f>IF(L1224=IF(Orders!V1221,1,0),1,0)</f>
        <v>1</v>
      </c>
      <c r="N1224" s="32" t="str">
        <f>IF(Orders!W1221="","None",Orders!W1221)</f>
        <v>None</v>
      </c>
      <c r="O1224" s="35">
        <f>INT(Orders!E1221)</f>
        <v>46268.0</v>
      </c>
      <c r="P1224" s="33">
        <f>Orders!U1221</f>
        <v>15</v>
      </c>
      <c r="Q1224" s="33">
        <f>COUNTIFS(Demand!$A$2:$A$4481,B1224,Demand!$B$2:$B$4481,O1224,Demand!$C$2:$C$4481,P1224)</f>
        <v>1</v>
      </c>
      <c r="R1224" s="33">
        <f>IF(Q1224=1,SUMIFS(Demand!$E$2:$E$4481,Demand!$A$2:$A$4481,B1224,Demand!$B$2:$B$4481,O1224,Demand!$C$2:$C$4481,P1224),"")</f>
        <v>11</v>
      </c>
      <c r="S1224" s="33">
        <f>INDEX(Stores!$G$2:$G$21,MATCH(B1224,Stores!$A$2:$A$21,0))</f>
        <v>15</v>
      </c>
      <c r="T1224" s="34">
        <f>IF(R1224="","",R1224/S1224)</f>
        <v>0.733333333333333</v>
      </c>
      <c r="U1224" s="34">
        <f>IF(E1224=1,T1224,"")</f>
        <v>0.733333333333333</v>
      </c>
      <c r="V1224" s="34">
        <f>IF(AND(E1224=1,L1224=0),T1224,"")</f>
        <v>0.733333333333333</v>
      </c>
      <c r="W1224" s="33">
        <f>IF(U1224="","",IF(U1224&lt;=Breakdowns!$C$5,1,IF(U1224&lt;=Breakdowns!$C$6,2,IF(U1224&lt;=Breakdowns!$C$7,3,4))))</f>
        <v>1</v>
      </c>
      <c r="X1224" s="33">
        <f>IF(V1224="","",IF(V1224&lt;=Breakdowns!$D$5,1,IF(V1224&lt;=Breakdowns!$D$6,2,IF(V1224&lt;=Breakdowns!$D$7,3,4))))</f>
        <v>1</v>
      </c>
      <c r="Y1224" s="34">
        <f>INDEX(Stores!$F$2:$F$21,MATCH(B1224,Stores!$A$2:$A$21,0))</f>
        <v>5.74</v>
      </c>
      <c r="Z1224" s="33">
        <f>IF(Y1224&gt;Store_Summary!$M$2,1,0)</f>
        <v>1</v>
      </c>
      <c r="AA1224" s="33">
        <f>INDEX(Stores!$C$2:$C$21,MATCH(B1224,Stores!$A$2:$A$21,0))</f>
        <v>647</v>
      </c>
      <c r="AB1224" s="33">
        <f>IF(AA1224&lt;180,1,0)</f>
        <v>0</v>
      </c>
      <c r="AC1224" s="32" t="str">
        <f>IF(Orders!D1221="","",INDEX(Riders!$C$2:$C$81,MATCH(Orders!D1221,Riders!$A$2:$A$81,0)))</f>
        <v>Petrol scooter</v>
      </c>
      <c r="AD1224" s="33">
        <f>IF(Orders!D1221="","",INDEX(Riders!$D$2:$D$81,MATCH(Orders!D1221,Riders!$A$2:$A$81,0)))</f>
        <v>6</v>
      </c>
      <c r="AE1224" s="33">
        <f>IF(Orders!D1221="","",IF(INDEX(Riders!$B$2:$B$81,MATCH(Orders!D1221,Riders!$A$2:$A$81,0))=B1224,1,0))</f>
        <v>0</v>
      </c>
      <c r="AF1224" s="34">
        <f>IF(E1224=1,Orders!L1221,"")</f>
        <v>2.39</v>
      </c>
      <c r="AG1224" s="34">
        <f>IF(E1224=1,Orders!P1221,"")</f>
        <v>11.4</v>
      </c>
      <c r="AH1224" s="34">
        <f>IF(E1224=1,Orders!Q1221,"")</f>
        <v>10.7</v>
      </c>
      <c r="AI1224" s="34">
        <f>IF(E1224=1,Orders!M1221,"")</f>
        <v>4.3</v>
      </c>
      <c r="AJ1224" s="34">
        <f>IF(E1224=1,Orders!N1221,"")</f>
        <v>2.1</v>
      </c>
      <c r="AK1224" s="34">
        <f>IF(E1224=1,Orders!O1221,"")</f>
        <v>4.3</v>
      </c>
      <c r="AL1224" s="33">
        <f>IF(E1224=1,IF(ROUND(ABS(AI1224+AJ1224+AK1224-AH1224),6)&lt;=0.1,1,0),"")</f>
        <v>1</v>
      </c>
      <c r="AM1224" s="36">
        <f>IF(E1224=1,AI1224/AH1224,"")</f>
        <v>0.401869158878505</v>
      </c>
      <c r="AN1224" s="36">
        <f>IF(E1224=1,AJ1224/AH1224,"")</f>
        <v>0.196261682242991</v>
      </c>
      <c r="AO1224" s="36">
        <f>IF(E1224=1,AK1224/AH1224,"")</f>
        <v>0.401869158878505</v>
      </c>
      <c r="AP1224" s="34">
        <f>IF(E1224=1,Orders!Y1221,"")</f>
        <v>0.42</v>
      </c>
      <c r="AQ1224" s="33">
        <f>IF(Orders!X1221,1,0)</f>
        <v>0</v>
      </c>
      <c r="AR1224" s="34" t="str">
        <f>IF(AND(E1224=1,L1224=1),AJ1224,"")</f>
        <v/>
      </c>
      <c r="AS1224" s="34">
        <f>IF(AND(E1224=1,L1224=0),AJ1224,"")</f>
        <v>2.1</v>
      </c>
      <c r="AT1224" s="34" t="str">
        <f>IF(AND(E1224=1,L1224=1),AI1224,"")</f>
        <v/>
      </c>
      <c r="AU1224" s="34">
        <f>IF(AND(E1224=1,L1224=0),AI1224,"")</f>
        <v>4.3</v>
      </c>
      <c r="AV1224" s="34" t="str">
        <f>IF(AND(E1224=1,L1224=1),AG1224,"")</f>
        <v/>
      </c>
      <c r="AW1224" s="34">
        <f>IF(AND(E1224=1,L1224=0),AG1224,"")</f>
        <v>11.4</v>
      </c>
      <c r="AX1224" s="34" t="str">
        <f>IF(AND(E1224=1,L1224=1),AH1224,"")</f>
        <v/>
      </c>
      <c r="AY1224" s="34">
        <f>IF(AND(E1224=1,L1224=0),AH1224,"")</f>
        <v>10.7</v>
      </c>
      <c r="AZ1224" s="34" t="str">
        <f>IF(G1224=1,F1224,"")</f>
        <v/>
      </c>
      <c r="BA1224" s="34" t="str">
        <f>IF(AND(G1224=1,L1224=1),F1224,"")</f>
        <v/>
      </c>
      <c r="BB1224" s="34" t="str">
        <f>IF(AND(G1224=1,L1224=0),F1224,"")</f>
        <v/>
      </c>
      <c r="BC1224" s="33">
        <f>IF(E1224=1,IF(Orders!R1221&gt;3,1,0),"")</f>
        <v>0</v>
      </c>
      <c r="BD1224" s="33">
        <f>IF(E1224=1,IF(Orders!R1221&gt;7,1,0),"")</f>
        <v>0</v>
      </c>
      <c r="BE1224" s="32" t="str">
        <f>IF(E1224=1,IF(Orders!L1221&lt;=1.5,"Up to 1.5 km",IF(Orders!L1221&lt;=3,"1.5–3 km","Over 3 km")),"")</f>
        <v>1.5–3 km</v>
      </c>
      <c r="BF1224" s="33">
        <f>IF(E1224=1,IF(ABS((Orders!G1221-Orders!F1221)*1440-Orders!R1221)&lt;0.06,1,0),"")</f>
        <v>1</v>
      </c>
      <c r="BG1224" s="33">
        <f>IF(ABS((Orders!F1221-Orders!E1221)*1440-Orders!P1221)&lt;0.06,1,0)</f>
        <v>1</v>
      </c>
      <c r="BH1224" s="33">
        <f>IF(E1224=1,IF(IF(Orders!S1221,1,0)=1-G1224,1,0),"")</f>
        <v>1</v>
      </c>
      <c r="BI1224" s="32" t="str">
        <f>INDEX(Stores!$B$2:$B$21,MATCH(B1224,Stores!$A$2:$A$21,0))</f>
        <v>Delhi</v>
      </c>
    </row>
    <row r="1225">
      <c r="A1225" s="32" t="str">
        <f>Orders!A1222</f>
        <v>O01221</v>
      </c>
      <c r="B1225" s="32" t="str">
        <f>Orders!C1222</f>
        <v>S015</v>
      </c>
      <c r="C1225" s="32" t="str">
        <f>Orders!B1222</f>
        <v>C0181</v>
      </c>
      <c r="D1225" s="32" t="str">
        <f>Orders!H1222</f>
        <v>Delivered</v>
      </c>
      <c r="E1225" s="33">
        <f>IF(Orders!H1222="Delivered",1,0)</f>
        <v>1</v>
      </c>
      <c r="F1225" s="34">
        <f>IF(E1225=1,Orders!R1222,"")</f>
        <v>9.5</v>
      </c>
      <c r="G1225" s="33">
        <f>IF(E1225=1,IF(Orders!R1222&gt;0,1,0),"")</f>
        <v>1</v>
      </c>
      <c r="H1225" s="33">
        <f>IF(E1225=1,IF(Orders!R1222&gt;5,1,0),"")</f>
        <v>1</v>
      </c>
      <c r="I1225" s="32" t="str">
        <f>IF(E1225=1,"",IF(OR(Orders!T1222="Rider unavailable",Orders!T1222="Item unavailable"),"Company-caused","Unresolved"))</f>
        <v/>
      </c>
      <c r="J1225" s="33">
        <f>IF(OR(E1225=1,I1225="Company-caused"),1,0)</f>
        <v>1</v>
      </c>
      <c r="K1225" s="32" t="str">
        <f>IF(E1225=0,IF(I1225="Company-caused",IF(Orders!T1222="Rider unavailable","C1 Rider unavailable","C2 Item unavailable"),"Outside root: unresolved"),IF(G1225=0,"A On time",IF(H1225=1,IF(L1225=1,"B2a Severe, peak","B2b Severe, off-peak"),IF(L1225=1,"B1a Slight, peak","B1b Slight, off-peak"))))</f>
        <v>B2a Severe, peak</v>
      </c>
      <c r="L1225" s="33">
        <f>IF(AND(Orders!U1222&gt;=19,Orders!U1222&lt;22),1,0)</f>
        <v>1</v>
      </c>
      <c r="M1225" s="33">
        <f>IF(L1225=IF(Orders!V1222,1,0),1,0)</f>
        <v>1</v>
      </c>
      <c r="N1225" s="32" t="str">
        <f>IF(Orders!W1222="","None",Orders!W1222)</f>
        <v>None</v>
      </c>
      <c r="O1225" s="35">
        <f>INT(Orders!E1222)</f>
        <v>46274.0</v>
      </c>
      <c r="P1225" s="33">
        <f>Orders!U1222</f>
        <v>20</v>
      </c>
      <c r="Q1225" s="33">
        <f>COUNTIFS(Demand!$A$2:$A$4481,B1225,Demand!$B$2:$B$4481,O1225,Demand!$C$2:$C$4481,P1225)</f>
        <v>1</v>
      </c>
      <c r="R1225" s="33">
        <f>IF(Q1225=1,SUMIFS(Demand!$E$2:$E$4481,Demand!$A$2:$A$4481,B1225,Demand!$B$2:$B$4481,O1225,Demand!$C$2:$C$4481,P1225),"")</f>
        <v>38</v>
      </c>
      <c r="S1225" s="33">
        <f>INDEX(Stores!$G$2:$G$21,MATCH(B1225,Stores!$A$2:$A$21,0))</f>
        <v>23</v>
      </c>
      <c r="T1225" s="34">
        <f>IF(R1225="","",R1225/S1225)</f>
        <v>1.65217391304348</v>
      </c>
      <c r="U1225" s="34">
        <f>IF(E1225=1,T1225,"")</f>
        <v>1.65217391304348</v>
      </c>
      <c r="V1225" s="34" t="str">
        <f>IF(AND(E1225=1,L1225=0),T1225,"")</f>
        <v/>
      </c>
      <c r="W1225" s="33">
        <f>IF(U1225="","",IF(U1225&lt;=Breakdowns!$C$5,1,IF(U1225&lt;=Breakdowns!$C$6,2,IF(U1225&lt;=Breakdowns!$C$7,3,4))))</f>
        <v>4</v>
      </c>
      <c r="X1225" s="33" t="str">
        <f>IF(V1225="","",IF(V1225&lt;=Breakdowns!$D$5,1,IF(V1225&lt;=Breakdowns!$D$6,2,IF(V1225&lt;=Breakdowns!$D$7,3,4))))</f>
        <v/>
      </c>
      <c r="Y1225" s="34">
        <f>INDEX(Stores!$F$2:$F$21,MATCH(B1225,Stores!$A$2:$A$21,0))</f>
        <v>4.66</v>
      </c>
      <c r="Z1225" s="33">
        <f>IF(Y1225&gt;Store_Summary!$M$2,1,0)</f>
        <v>0</v>
      </c>
      <c r="AA1225" s="33">
        <f>INDEX(Stores!$C$2:$C$21,MATCH(B1225,Stores!$A$2:$A$21,0))</f>
        <v>204</v>
      </c>
      <c r="AB1225" s="33">
        <f>IF(AA1225&lt;180,1,0)</f>
        <v>0</v>
      </c>
      <c r="AC1225" s="32" t="str">
        <f>IF(Orders!D1222="","",INDEX(Riders!$C$2:$C$81,MATCH(Orders!D1222,Riders!$A$2:$A$81,0)))</f>
        <v>EV scooter</v>
      </c>
      <c r="AD1225" s="33">
        <f>IF(Orders!D1222="","",INDEX(Riders!$D$2:$D$81,MATCH(Orders!D1222,Riders!$A$2:$A$81,0)))</f>
        <v>1</v>
      </c>
      <c r="AE1225" s="33">
        <f>IF(Orders!D1222="","",IF(INDEX(Riders!$B$2:$B$81,MATCH(Orders!D1222,Riders!$A$2:$A$81,0))=B1225,1,0))</f>
        <v>0</v>
      </c>
      <c r="AF1225" s="34">
        <f>IF(E1225=1,Orders!L1222,"")</f>
        <v>1.08</v>
      </c>
      <c r="AG1225" s="34">
        <f>IF(E1225=1,Orders!P1222,"")</f>
        <v>8.7</v>
      </c>
      <c r="AH1225" s="34">
        <f>IF(E1225=1,Orders!Q1222,"")</f>
        <v>18.2</v>
      </c>
      <c r="AI1225" s="34">
        <f>IF(E1225=1,Orders!M1222,"")</f>
        <v>5.6</v>
      </c>
      <c r="AJ1225" s="34">
        <f>IF(E1225=1,Orders!N1222,"")</f>
        <v>8.3</v>
      </c>
      <c r="AK1225" s="34">
        <f>IF(E1225=1,Orders!O1222,"")</f>
        <v>4.4</v>
      </c>
      <c r="AL1225" s="33">
        <f>IF(E1225=1,IF(ROUND(ABS(AI1225+AJ1225+AK1225-AH1225),6)&lt;=0.1,1,0),"")</f>
        <v>1</v>
      </c>
      <c r="AM1225" s="36">
        <f>IF(E1225=1,AI1225/AH1225,"")</f>
        <v>0.307692307692308</v>
      </c>
      <c r="AN1225" s="36">
        <f>IF(E1225=1,AJ1225/AH1225,"")</f>
        <v>0.456043956043956</v>
      </c>
      <c r="AO1225" s="36">
        <f>IF(E1225=1,AK1225/AH1225,"")</f>
        <v>0.241758241758242</v>
      </c>
      <c r="AP1225" s="34">
        <f>IF(E1225=1,Orders!Y1222,"")</f>
        <v>0.71</v>
      </c>
      <c r="AQ1225" s="33">
        <f>IF(Orders!X1222,1,0)</f>
        <v>0</v>
      </c>
      <c r="AR1225" s="34">
        <f>IF(AND(E1225=1,L1225=1),AJ1225,"")</f>
        <v>8.3</v>
      </c>
      <c r="AS1225" s="34" t="str">
        <f>IF(AND(E1225=1,L1225=0),AJ1225,"")</f>
        <v/>
      </c>
      <c r="AT1225" s="34">
        <f>IF(AND(E1225=1,L1225=1),AI1225,"")</f>
        <v>5.6</v>
      </c>
      <c r="AU1225" s="34" t="str">
        <f>IF(AND(E1225=1,L1225=0),AI1225,"")</f>
        <v/>
      </c>
      <c r="AV1225" s="34">
        <f>IF(AND(E1225=1,L1225=1),AG1225,"")</f>
        <v>8.7</v>
      </c>
      <c r="AW1225" s="34" t="str">
        <f>IF(AND(E1225=1,L1225=0),AG1225,"")</f>
        <v/>
      </c>
      <c r="AX1225" s="34">
        <f>IF(AND(E1225=1,L1225=1),AH1225,"")</f>
        <v>18.2</v>
      </c>
      <c r="AY1225" s="34" t="str">
        <f>IF(AND(E1225=1,L1225=0),AH1225,"")</f>
        <v/>
      </c>
      <c r="AZ1225" s="34">
        <f>IF(G1225=1,F1225,"")</f>
        <v>9.5</v>
      </c>
      <c r="BA1225" s="34">
        <f>IF(AND(G1225=1,L1225=1),F1225,"")</f>
        <v>9.5</v>
      </c>
      <c r="BB1225" s="34" t="str">
        <f>IF(AND(G1225=1,L1225=0),F1225,"")</f>
        <v/>
      </c>
      <c r="BC1225" s="33">
        <f>IF(E1225=1,IF(Orders!R1222&gt;3,1,0),"")</f>
        <v>1</v>
      </c>
      <c r="BD1225" s="33">
        <f>IF(E1225=1,IF(Orders!R1222&gt;7,1,0),"")</f>
        <v>1</v>
      </c>
      <c r="BE1225" s="32" t="str">
        <f>IF(E1225=1,IF(Orders!L1222&lt;=1.5,"Up to 1.5 km",IF(Orders!L1222&lt;=3,"1.5–3 km","Over 3 km")),"")</f>
        <v>Up to 1.5 km</v>
      </c>
      <c r="BF1225" s="33">
        <f>IF(E1225=1,IF(ABS((Orders!G1222-Orders!F1222)*1440-Orders!R1222)&lt;0.06,1,0),"")</f>
        <v>1</v>
      </c>
      <c r="BG1225" s="33">
        <f>IF(ABS((Orders!F1222-Orders!E1222)*1440-Orders!P1222)&lt;0.06,1,0)</f>
        <v>1</v>
      </c>
      <c r="BH1225" s="33">
        <f>IF(E1225=1,IF(IF(Orders!S1222,1,0)=1-G1225,1,0),"")</f>
        <v>1</v>
      </c>
      <c r="BI1225" s="32" t="str">
        <f>INDEX(Stores!$B$2:$B$21,MATCH(B1225,Stores!$A$2:$A$21,0))</f>
        <v>Delhi</v>
      </c>
    </row>
    <row r="1226">
      <c r="A1226" s="32" t="str">
        <f>Orders!A1223</f>
        <v>O01222</v>
      </c>
      <c r="B1226" s="32" t="str">
        <f>Orders!C1223</f>
        <v>S010</v>
      </c>
      <c r="C1226" s="32" t="str">
        <f>Orders!B1223</f>
        <v>C0245</v>
      </c>
      <c r="D1226" s="32" t="str">
        <f>Orders!H1223</f>
        <v>Delivered</v>
      </c>
      <c r="E1226" s="33">
        <f>IF(Orders!H1223="Delivered",1,0)</f>
        <v>1</v>
      </c>
      <c r="F1226" s="34">
        <f>IF(E1226=1,Orders!R1223,"")</f>
        <v>-1</v>
      </c>
      <c r="G1226" s="33">
        <f>IF(E1226=1,IF(Orders!R1223&gt;0,1,0),"")</f>
        <v>0</v>
      </c>
      <c r="H1226" s="33">
        <f>IF(E1226=1,IF(Orders!R1223&gt;5,1,0),"")</f>
        <v>0</v>
      </c>
      <c r="I1226" s="32" t="str">
        <f>IF(E1226=1,"",IF(OR(Orders!T1223="Rider unavailable",Orders!T1223="Item unavailable"),"Company-caused","Unresolved"))</f>
        <v/>
      </c>
      <c r="J1226" s="33">
        <f>IF(OR(E1226=1,I1226="Company-caused"),1,0)</f>
        <v>1</v>
      </c>
      <c r="K1226" s="32" t="str">
        <f>IF(E1226=0,IF(I1226="Company-caused",IF(Orders!T1223="Rider unavailable","C1 Rider unavailable","C2 Item unavailable"),"Outside root: unresolved"),IF(G1226=0,"A On time",IF(H1226=1,IF(L1226=1,"B2a Severe, peak","B2b Severe, off-peak"),IF(L1226=1,"B1a Slight, peak","B1b Slight, off-peak"))))</f>
        <v>A On time</v>
      </c>
      <c r="L1226" s="33">
        <f>IF(AND(Orders!U1223&gt;=19,Orders!U1223&lt;22),1,0)</f>
        <v>0</v>
      </c>
      <c r="M1226" s="33">
        <f>IF(L1226=IF(Orders!V1223,1,0),1,0)</f>
        <v>1</v>
      </c>
      <c r="N1226" s="32" t="str">
        <f>IF(Orders!W1223="","None",Orders!W1223)</f>
        <v>Light</v>
      </c>
      <c r="O1226" s="35">
        <f>INT(Orders!E1223)</f>
        <v>46273.0</v>
      </c>
      <c r="P1226" s="33">
        <f>Orders!U1223</f>
        <v>11</v>
      </c>
      <c r="Q1226" s="33">
        <f>COUNTIFS(Demand!$A$2:$A$4481,B1226,Demand!$B$2:$B$4481,O1226,Demand!$C$2:$C$4481,P1226)</f>
        <v>1</v>
      </c>
      <c r="R1226" s="33">
        <f>IF(Q1226=1,SUMIFS(Demand!$E$2:$E$4481,Demand!$A$2:$A$4481,B1226,Demand!$B$2:$B$4481,O1226,Demand!$C$2:$C$4481,P1226),"")</f>
        <v>22</v>
      </c>
      <c r="S1226" s="33">
        <f>INDEX(Stores!$G$2:$G$21,MATCH(B1226,Stores!$A$2:$A$21,0))</f>
        <v>22</v>
      </c>
      <c r="T1226" s="34">
        <f>IF(R1226="","",R1226/S1226)</f>
        <v>1</v>
      </c>
      <c r="U1226" s="34">
        <f>IF(E1226=1,T1226,"")</f>
        <v>1</v>
      </c>
      <c r="V1226" s="34">
        <f>IF(AND(E1226=1,L1226=0),T1226,"")</f>
        <v>1</v>
      </c>
      <c r="W1226" s="33">
        <f>IF(U1226="","",IF(U1226&lt;=Breakdowns!$C$5,1,IF(U1226&lt;=Breakdowns!$C$6,2,IF(U1226&lt;=Breakdowns!$C$7,3,4))))</f>
        <v>2</v>
      </c>
      <c r="X1226" s="33">
        <f>IF(V1226="","",IF(V1226&lt;=Breakdowns!$D$5,1,IF(V1226&lt;=Breakdowns!$D$6,2,IF(V1226&lt;=Breakdowns!$D$7,3,4))))</f>
        <v>3</v>
      </c>
      <c r="Y1226" s="34">
        <f>INDEX(Stores!$F$2:$F$21,MATCH(B1226,Stores!$A$2:$A$21,0))</f>
        <v>5.61</v>
      </c>
      <c r="Z1226" s="33">
        <f>IF(Y1226&gt;Store_Summary!$M$2,1,0)</f>
        <v>1</v>
      </c>
      <c r="AA1226" s="33">
        <f>INDEX(Stores!$C$2:$C$21,MATCH(B1226,Stores!$A$2:$A$21,0))</f>
        <v>744</v>
      </c>
      <c r="AB1226" s="33">
        <f>IF(AA1226&lt;180,1,0)</f>
        <v>0</v>
      </c>
      <c r="AC1226" s="32" t="str">
        <f>IF(Orders!D1223="","",INDEX(Riders!$C$2:$C$81,MATCH(Orders!D1223,Riders!$A$2:$A$81,0)))</f>
        <v>Petrol scooter</v>
      </c>
      <c r="AD1226" s="33">
        <f>IF(Orders!D1223="","",INDEX(Riders!$D$2:$D$81,MATCH(Orders!D1223,Riders!$A$2:$A$81,0)))</f>
        <v>6</v>
      </c>
      <c r="AE1226" s="33">
        <f>IF(Orders!D1223="","",IF(INDEX(Riders!$B$2:$B$81,MATCH(Orders!D1223,Riders!$A$2:$A$81,0))=B1226,1,0))</f>
        <v>0</v>
      </c>
      <c r="AF1226" s="34">
        <f>IF(E1226=1,Orders!L1223,"")</f>
        <v>1.83</v>
      </c>
      <c r="AG1226" s="34">
        <f>IF(E1226=1,Orders!P1223,"")</f>
        <v>9.8</v>
      </c>
      <c r="AH1226" s="34">
        <f>IF(E1226=1,Orders!Q1223,"")</f>
        <v>8.8</v>
      </c>
      <c r="AI1226" s="34">
        <f>IF(E1226=1,Orders!M1223,"")</f>
        <v>4.2</v>
      </c>
      <c r="AJ1226" s="34">
        <f>IF(E1226=1,Orders!N1223,"")</f>
        <v>1</v>
      </c>
      <c r="AK1226" s="34">
        <f>IF(E1226=1,Orders!O1223,"")</f>
        <v>3.6</v>
      </c>
      <c r="AL1226" s="33">
        <f>IF(E1226=1,IF(ROUND(ABS(AI1226+AJ1226+AK1226-AH1226),6)&lt;=0.1,1,0),"")</f>
        <v>1</v>
      </c>
      <c r="AM1226" s="36">
        <f>IF(E1226=1,AI1226/AH1226,"")</f>
        <v>0.477272727272727</v>
      </c>
      <c r="AN1226" s="36">
        <f>IF(E1226=1,AJ1226/AH1226,"")</f>
        <v>0.113636363636364</v>
      </c>
      <c r="AO1226" s="36">
        <f>IF(E1226=1,AK1226/AH1226,"")</f>
        <v>0.409090909090909</v>
      </c>
      <c r="AP1226" s="34">
        <f>IF(E1226=1,Orders!Y1223,"")</f>
        <v>0.5</v>
      </c>
      <c r="AQ1226" s="33">
        <f>IF(Orders!X1223,1,0)</f>
        <v>0</v>
      </c>
      <c r="AR1226" s="34" t="str">
        <f>IF(AND(E1226=1,L1226=1),AJ1226,"")</f>
        <v/>
      </c>
      <c r="AS1226" s="34">
        <f>IF(AND(E1226=1,L1226=0),AJ1226,"")</f>
        <v>1</v>
      </c>
      <c r="AT1226" s="34" t="str">
        <f>IF(AND(E1226=1,L1226=1),AI1226,"")</f>
        <v/>
      </c>
      <c r="AU1226" s="34">
        <f>IF(AND(E1226=1,L1226=0),AI1226,"")</f>
        <v>4.2</v>
      </c>
      <c r="AV1226" s="34" t="str">
        <f>IF(AND(E1226=1,L1226=1),AG1226,"")</f>
        <v/>
      </c>
      <c r="AW1226" s="34">
        <f>IF(AND(E1226=1,L1226=0),AG1226,"")</f>
        <v>9.8</v>
      </c>
      <c r="AX1226" s="34" t="str">
        <f>IF(AND(E1226=1,L1226=1),AH1226,"")</f>
        <v/>
      </c>
      <c r="AY1226" s="34">
        <f>IF(AND(E1226=1,L1226=0),AH1226,"")</f>
        <v>8.8</v>
      </c>
      <c r="AZ1226" s="34" t="str">
        <f>IF(G1226=1,F1226,"")</f>
        <v/>
      </c>
      <c r="BA1226" s="34" t="str">
        <f>IF(AND(G1226=1,L1226=1),F1226,"")</f>
        <v/>
      </c>
      <c r="BB1226" s="34" t="str">
        <f>IF(AND(G1226=1,L1226=0),F1226,"")</f>
        <v/>
      </c>
      <c r="BC1226" s="33">
        <f>IF(E1226=1,IF(Orders!R1223&gt;3,1,0),"")</f>
        <v>0</v>
      </c>
      <c r="BD1226" s="33">
        <f>IF(E1226=1,IF(Orders!R1223&gt;7,1,0),"")</f>
        <v>0</v>
      </c>
      <c r="BE1226" s="32" t="str">
        <f>IF(E1226=1,IF(Orders!L1223&lt;=1.5,"Up to 1.5 km",IF(Orders!L1223&lt;=3,"1.5–3 km","Over 3 km")),"")</f>
        <v>1.5–3 km</v>
      </c>
      <c r="BF1226" s="33">
        <f>IF(E1226=1,IF(ABS((Orders!G1223-Orders!F1223)*1440-Orders!R1223)&lt;0.06,1,0),"")</f>
        <v>1</v>
      </c>
      <c r="BG1226" s="33">
        <f>IF(ABS((Orders!F1223-Orders!E1223)*1440-Orders!P1223)&lt;0.06,1,0)</f>
        <v>1</v>
      </c>
      <c r="BH1226" s="33">
        <f>IF(E1226=1,IF(IF(Orders!S1223,1,0)=1-G1226,1,0),"")</f>
        <v>1</v>
      </c>
      <c r="BI1226" s="32" t="str">
        <f>INDEX(Stores!$B$2:$B$21,MATCH(B1226,Stores!$A$2:$A$21,0))</f>
        <v>Delhi</v>
      </c>
    </row>
    <row r="1227">
      <c r="A1227" s="32" t="str">
        <f>Orders!A1224</f>
        <v>O01223</v>
      </c>
      <c r="B1227" s="32" t="str">
        <f>Orders!C1224</f>
        <v>S013</v>
      </c>
      <c r="C1227" s="32" t="str">
        <f>Orders!B1224</f>
        <v>C0149</v>
      </c>
      <c r="D1227" s="32" t="str">
        <f>Orders!H1224</f>
        <v>Delivered</v>
      </c>
      <c r="E1227" s="33">
        <f>IF(Orders!H1224="Delivered",1,0)</f>
        <v>1</v>
      </c>
      <c r="F1227" s="34">
        <f>IF(E1227=1,Orders!R1224,"")</f>
        <v>-1.1</v>
      </c>
      <c r="G1227" s="33">
        <f>IF(E1227=1,IF(Orders!R1224&gt;0,1,0),"")</f>
        <v>0</v>
      </c>
      <c r="H1227" s="33">
        <f>IF(E1227=1,IF(Orders!R1224&gt;5,1,0),"")</f>
        <v>0</v>
      </c>
      <c r="I1227" s="32" t="str">
        <f>IF(E1227=1,"",IF(OR(Orders!T1224="Rider unavailable",Orders!T1224="Item unavailable"),"Company-caused","Unresolved"))</f>
        <v/>
      </c>
      <c r="J1227" s="33">
        <f>IF(OR(E1227=1,I1227="Company-caused"),1,0)</f>
        <v>1</v>
      </c>
      <c r="K1227" s="32" t="str">
        <f>IF(E1227=0,IF(I1227="Company-caused",IF(Orders!T1224="Rider unavailable","C1 Rider unavailable","C2 Item unavailable"),"Outside root: unresolved"),IF(G1227=0,"A On time",IF(H1227=1,IF(L1227=1,"B2a Severe, peak","B2b Severe, off-peak"),IF(L1227=1,"B1a Slight, peak","B1b Slight, off-peak"))))</f>
        <v>A On time</v>
      </c>
      <c r="L1227" s="33">
        <f>IF(AND(Orders!U1224&gt;=19,Orders!U1224&lt;22),1,0)</f>
        <v>0</v>
      </c>
      <c r="M1227" s="33">
        <f>IF(L1227=IF(Orders!V1224,1,0),1,0)</f>
        <v>1</v>
      </c>
      <c r="N1227" s="32" t="str">
        <f>IF(Orders!W1224="","None",Orders!W1224)</f>
        <v>None</v>
      </c>
      <c r="O1227" s="35">
        <f>INT(Orders!E1224)</f>
        <v>46266.0</v>
      </c>
      <c r="P1227" s="33">
        <f>Orders!U1224</f>
        <v>9</v>
      </c>
      <c r="Q1227" s="33">
        <f>COUNTIFS(Demand!$A$2:$A$4481,B1227,Demand!$B$2:$B$4481,O1227,Demand!$C$2:$C$4481,P1227)</f>
        <v>1</v>
      </c>
      <c r="R1227" s="33">
        <f>IF(Q1227=1,SUMIFS(Demand!$E$2:$E$4481,Demand!$A$2:$A$4481,B1227,Demand!$B$2:$B$4481,O1227,Demand!$C$2:$C$4481,P1227),"")</f>
        <v>39</v>
      </c>
      <c r="S1227" s="33">
        <f>INDEX(Stores!$G$2:$G$21,MATCH(B1227,Stores!$A$2:$A$21,0))</f>
        <v>49</v>
      </c>
      <c r="T1227" s="34">
        <f>IF(R1227="","",R1227/S1227)</f>
        <v>0.795918367346939</v>
      </c>
      <c r="U1227" s="34">
        <f>IF(E1227=1,T1227,"")</f>
        <v>0.795918367346939</v>
      </c>
      <c r="V1227" s="34">
        <f>IF(AND(E1227=1,L1227=0),T1227,"")</f>
        <v>0.795918367346939</v>
      </c>
      <c r="W1227" s="33">
        <f>IF(U1227="","",IF(U1227&lt;=Breakdowns!$C$5,1,IF(U1227&lt;=Breakdowns!$C$6,2,IF(U1227&lt;=Breakdowns!$C$7,3,4))))</f>
        <v>2</v>
      </c>
      <c r="X1227" s="33">
        <f>IF(V1227="","",IF(V1227&lt;=Breakdowns!$D$5,1,IF(V1227&lt;=Breakdowns!$D$6,2,IF(V1227&lt;=Breakdowns!$D$7,3,4))))</f>
        <v>2</v>
      </c>
      <c r="Y1227" s="34">
        <f>INDEX(Stores!$F$2:$F$21,MATCH(B1227,Stores!$A$2:$A$21,0))</f>
        <v>5.82</v>
      </c>
      <c r="Z1227" s="33">
        <f>IF(Y1227&gt;Store_Summary!$M$2,1,0)</f>
        <v>1</v>
      </c>
      <c r="AA1227" s="33">
        <f>INDEX(Stores!$C$2:$C$21,MATCH(B1227,Stores!$A$2:$A$21,0))</f>
        <v>705</v>
      </c>
      <c r="AB1227" s="33">
        <f>IF(AA1227&lt;180,1,0)</f>
        <v>0</v>
      </c>
      <c r="AC1227" s="32" t="str">
        <f>IF(Orders!D1224="","",INDEX(Riders!$C$2:$C$81,MATCH(Orders!D1224,Riders!$A$2:$A$81,0)))</f>
        <v>Petrol scooter</v>
      </c>
      <c r="AD1227" s="33">
        <f>IF(Orders!D1224="","",INDEX(Riders!$D$2:$D$81,MATCH(Orders!D1224,Riders!$A$2:$A$81,0)))</f>
        <v>24</v>
      </c>
      <c r="AE1227" s="33">
        <f>IF(Orders!D1224="","",IF(INDEX(Riders!$B$2:$B$81,MATCH(Orders!D1224,Riders!$A$2:$A$81,0))=B1227,1,0))</f>
        <v>0</v>
      </c>
      <c r="AF1227" s="34">
        <f>IF(E1227=1,Orders!L1224,"")</f>
        <v>2.2</v>
      </c>
      <c r="AG1227" s="34">
        <f>IF(E1227=1,Orders!P1224,"")</f>
        <v>9.2</v>
      </c>
      <c r="AH1227" s="34">
        <f>IF(E1227=1,Orders!Q1224,"")</f>
        <v>8.1</v>
      </c>
      <c r="AI1227" s="34">
        <f>IF(E1227=1,Orders!M1224,"")</f>
        <v>3.7</v>
      </c>
      <c r="AJ1227" s="34">
        <f>IF(E1227=1,Orders!N1224,"")</f>
        <v>1.1</v>
      </c>
      <c r="AK1227" s="34">
        <f>IF(E1227=1,Orders!O1224,"")</f>
        <v>3.3</v>
      </c>
      <c r="AL1227" s="33">
        <f>IF(E1227=1,IF(ROUND(ABS(AI1227+AJ1227+AK1227-AH1227),6)&lt;=0.1,1,0),"")</f>
        <v>1</v>
      </c>
      <c r="AM1227" s="36">
        <f>IF(E1227=1,AI1227/AH1227,"")</f>
        <v>0.45679012345679</v>
      </c>
      <c r="AN1227" s="36">
        <f>IF(E1227=1,AJ1227/AH1227,"")</f>
        <v>0.135802469135803</v>
      </c>
      <c r="AO1227" s="36">
        <f>IF(E1227=1,AK1227/AH1227,"")</f>
        <v>0.407407407407407</v>
      </c>
      <c r="AP1227" s="34">
        <f>IF(E1227=1,Orders!Y1224,"")</f>
        <v>0.48</v>
      </c>
      <c r="AQ1227" s="33">
        <f>IF(Orders!X1224,1,0)</f>
        <v>0</v>
      </c>
      <c r="AR1227" s="34" t="str">
        <f>IF(AND(E1227=1,L1227=1),AJ1227,"")</f>
        <v/>
      </c>
      <c r="AS1227" s="34">
        <f>IF(AND(E1227=1,L1227=0),AJ1227,"")</f>
        <v>1.1</v>
      </c>
      <c r="AT1227" s="34" t="str">
        <f>IF(AND(E1227=1,L1227=1),AI1227,"")</f>
        <v/>
      </c>
      <c r="AU1227" s="34">
        <f>IF(AND(E1227=1,L1227=0),AI1227,"")</f>
        <v>3.7</v>
      </c>
      <c r="AV1227" s="34" t="str">
        <f>IF(AND(E1227=1,L1227=1),AG1227,"")</f>
        <v/>
      </c>
      <c r="AW1227" s="34">
        <f>IF(AND(E1227=1,L1227=0),AG1227,"")</f>
        <v>9.2</v>
      </c>
      <c r="AX1227" s="34" t="str">
        <f>IF(AND(E1227=1,L1227=1),AH1227,"")</f>
        <v/>
      </c>
      <c r="AY1227" s="34">
        <f>IF(AND(E1227=1,L1227=0),AH1227,"")</f>
        <v>8.1</v>
      </c>
      <c r="AZ1227" s="34" t="str">
        <f>IF(G1227=1,F1227,"")</f>
        <v/>
      </c>
      <c r="BA1227" s="34" t="str">
        <f>IF(AND(G1227=1,L1227=1),F1227,"")</f>
        <v/>
      </c>
      <c r="BB1227" s="34" t="str">
        <f>IF(AND(G1227=1,L1227=0),F1227,"")</f>
        <v/>
      </c>
      <c r="BC1227" s="33">
        <f>IF(E1227=1,IF(Orders!R1224&gt;3,1,0),"")</f>
        <v>0</v>
      </c>
      <c r="BD1227" s="33">
        <f>IF(E1227=1,IF(Orders!R1224&gt;7,1,0),"")</f>
        <v>0</v>
      </c>
      <c r="BE1227" s="32" t="str">
        <f>IF(E1227=1,IF(Orders!L1224&lt;=1.5,"Up to 1.5 km",IF(Orders!L1224&lt;=3,"1.5–3 km","Over 3 km")),"")</f>
        <v>1.5–3 km</v>
      </c>
      <c r="BF1227" s="33">
        <f>IF(E1227=1,IF(ABS((Orders!G1224-Orders!F1224)*1440-Orders!R1224)&lt;0.06,1,0),"")</f>
        <v>1</v>
      </c>
      <c r="BG1227" s="33">
        <f>IF(ABS((Orders!F1224-Orders!E1224)*1440-Orders!P1224)&lt;0.06,1,0)</f>
        <v>1</v>
      </c>
      <c r="BH1227" s="33">
        <f>IF(E1227=1,IF(IF(Orders!S1224,1,0)=1-G1227,1,0),"")</f>
        <v>1</v>
      </c>
      <c r="BI1227" s="32" t="str">
        <f>INDEX(Stores!$B$2:$B$21,MATCH(B1227,Stores!$A$2:$A$21,0))</f>
        <v>Mumbai</v>
      </c>
    </row>
    <row r="1228">
      <c r="A1228" s="32" t="str">
        <f>Orders!A1225</f>
        <v>O01224</v>
      </c>
      <c r="B1228" s="32" t="str">
        <f>Orders!C1225</f>
        <v>S007</v>
      </c>
      <c r="C1228" s="32" t="str">
        <f>Orders!B1225</f>
        <v>C0200</v>
      </c>
      <c r="D1228" s="32" t="str">
        <f>Orders!H1225</f>
        <v>Delivered</v>
      </c>
      <c r="E1228" s="33">
        <f>IF(Orders!H1225="Delivered",1,0)</f>
        <v>1</v>
      </c>
      <c r="F1228" s="34">
        <f>IF(E1228=1,Orders!R1225,"")</f>
        <v>-0.2</v>
      </c>
      <c r="G1228" s="33">
        <f>IF(E1228=1,IF(Orders!R1225&gt;0,1,0),"")</f>
        <v>0</v>
      </c>
      <c r="H1228" s="33">
        <f>IF(E1228=1,IF(Orders!R1225&gt;5,1,0),"")</f>
        <v>0</v>
      </c>
      <c r="I1228" s="32" t="str">
        <f>IF(E1228=1,"",IF(OR(Orders!T1225="Rider unavailable",Orders!T1225="Item unavailable"),"Company-caused","Unresolved"))</f>
        <v/>
      </c>
      <c r="J1228" s="33">
        <f>IF(OR(E1228=1,I1228="Company-caused"),1,0)</f>
        <v>1</v>
      </c>
      <c r="K1228" s="32" t="str">
        <f>IF(E1228=0,IF(I1228="Company-caused",IF(Orders!T1225="Rider unavailable","C1 Rider unavailable","C2 Item unavailable"),"Outside root: unresolved"),IF(G1228=0,"A On time",IF(H1228=1,IF(L1228=1,"B2a Severe, peak","B2b Severe, off-peak"),IF(L1228=1,"B1a Slight, peak","B1b Slight, off-peak"))))</f>
        <v>A On time</v>
      </c>
      <c r="L1228" s="33">
        <f>IF(AND(Orders!U1225&gt;=19,Orders!U1225&lt;22),1,0)</f>
        <v>0</v>
      </c>
      <c r="M1228" s="33">
        <f>IF(L1228=IF(Orders!V1225,1,0),1,0)</f>
        <v>1</v>
      </c>
      <c r="N1228" s="32" t="str">
        <f>IF(Orders!W1225="","None",Orders!W1225)</f>
        <v>Light</v>
      </c>
      <c r="O1228" s="35">
        <f>INT(Orders!E1225)</f>
        <v>46268.0</v>
      </c>
      <c r="P1228" s="33">
        <f>Orders!U1225</f>
        <v>16</v>
      </c>
      <c r="Q1228" s="33">
        <f>COUNTIFS(Demand!$A$2:$A$4481,B1228,Demand!$B$2:$B$4481,O1228,Demand!$C$2:$C$4481,P1228)</f>
        <v>1</v>
      </c>
      <c r="R1228" s="33">
        <f>IF(Q1228=1,SUMIFS(Demand!$E$2:$E$4481,Demand!$A$2:$A$4481,B1228,Demand!$B$2:$B$4481,O1228,Demand!$C$2:$C$4481,P1228),"")</f>
        <v>33</v>
      </c>
      <c r="S1228" s="33">
        <f>INDEX(Stores!$G$2:$G$21,MATCH(B1228,Stores!$A$2:$A$21,0))</f>
        <v>37</v>
      </c>
      <c r="T1228" s="34">
        <f>IF(R1228="","",R1228/S1228)</f>
        <v>0.891891891891892</v>
      </c>
      <c r="U1228" s="34">
        <f>IF(E1228=1,T1228,"")</f>
        <v>0.891891891891892</v>
      </c>
      <c r="V1228" s="34">
        <f>IF(AND(E1228=1,L1228=0),T1228,"")</f>
        <v>0.891891891891892</v>
      </c>
      <c r="W1228" s="33">
        <f>IF(U1228="","",IF(U1228&lt;=Breakdowns!$C$5,1,IF(U1228&lt;=Breakdowns!$C$6,2,IF(U1228&lt;=Breakdowns!$C$7,3,4))))</f>
        <v>2</v>
      </c>
      <c r="X1228" s="33">
        <f>IF(V1228="","",IF(V1228&lt;=Breakdowns!$D$5,1,IF(V1228&lt;=Breakdowns!$D$6,2,IF(V1228&lt;=Breakdowns!$D$7,3,4))))</f>
        <v>2</v>
      </c>
      <c r="Y1228" s="34">
        <f>INDEX(Stores!$F$2:$F$21,MATCH(B1228,Stores!$A$2:$A$21,0))</f>
        <v>4.05</v>
      </c>
      <c r="Z1228" s="33">
        <f>IF(Y1228&gt;Store_Summary!$M$2,1,0)</f>
        <v>0</v>
      </c>
      <c r="AA1228" s="33">
        <f>INDEX(Stores!$C$2:$C$21,MATCH(B1228,Stores!$A$2:$A$21,0))</f>
        <v>661</v>
      </c>
      <c r="AB1228" s="33">
        <f>IF(AA1228&lt;180,1,0)</f>
        <v>0</v>
      </c>
      <c r="AC1228" s="32" t="str">
        <f>IF(Orders!D1225="","",INDEX(Riders!$C$2:$C$81,MATCH(Orders!D1225,Riders!$A$2:$A$81,0)))</f>
        <v>Bicycle</v>
      </c>
      <c r="AD1228" s="33">
        <f>IF(Orders!D1225="","",INDEX(Riders!$D$2:$D$81,MATCH(Orders!D1225,Riders!$A$2:$A$81,0)))</f>
        <v>14</v>
      </c>
      <c r="AE1228" s="33">
        <f>IF(Orders!D1225="","",IF(INDEX(Riders!$B$2:$B$81,MATCH(Orders!D1225,Riders!$A$2:$A$81,0))=B1228,1,0))</f>
        <v>0</v>
      </c>
      <c r="AF1228" s="34">
        <f>IF(E1228=1,Orders!L1225,"")</f>
        <v>1.84</v>
      </c>
      <c r="AG1228" s="34">
        <f>IF(E1228=1,Orders!P1225,"")</f>
        <v>9.1</v>
      </c>
      <c r="AH1228" s="34">
        <f>IF(E1228=1,Orders!Q1225,"")</f>
        <v>8.9</v>
      </c>
      <c r="AI1228" s="34">
        <f>IF(E1228=1,Orders!M1225,"")</f>
        <v>3.4</v>
      </c>
      <c r="AJ1228" s="34">
        <f>IF(E1228=1,Orders!N1225,"")</f>
        <v>1.5</v>
      </c>
      <c r="AK1228" s="34">
        <f>IF(E1228=1,Orders!O1225,"")</f>
        <v>4</v>
      </c>
      <c r="AL1228" s="33">
        <f>IF(E1228=1,IF(ROUND(ABS(AI1228+AJ1228+AK1228-AH1228),6)&lt;=0.1,1,0),"")</f>
        <v>1</v>
      </c>
      <c r="AM1228" s="36">
        <f>IF(E1228=1,AI1228/AH1228,"")</f>
        <v>0.382022471910112</v>
      </c>
      <c r="AN1228" s="36">
        <f>IF(E1228=1,AJ1228/AH1228,"")</f>
        <v>0.168539325842697</v>
      </c>
      <c r="AO1228" s="36">
        <f>IF(E1228=1,AK1228/AH1228,"")</f>
        <v>0.449438202247191</v>
      </c>
      <c r="AP1228" s="34">
        <f>IF(E1228=1,Orders!Y1225,"")</f>
        <v>0.29</v>
      </c>
      <c r="AQ1228" s="33">
        <f>IF(Orders!X1225,1,0)</f>
        <v>1</v>
      </c>
      <c r="AR1228" s="34" t="str">
        <f>IF(AND(E1228=1,L1228=1),AJ1228,"")</f>
        <v/>
      </c>
      <c r="AS1228" s="34">
        <f>IF(AND(E1228=1,L1228=0),AJ1228,"")</f>
        <v>1.5</v>
      </c>
      <c r="AT1228" s="34" t="str">
        <f>IF(AND(E1228=1,L1228=1),AI1228,"")</f>
        <v/>
      </c>
      <c r="AU1228" s="34">
        <f>IF(AND(E1228=1,L1228=0),AI1228,"")</f>
        <v>3.4</v>
      </c>
      <c r="AV1228" s="34" t="str">
        <f>IF(AND(E1228=1,L1228=1),AG1228,"")</f>
        <v/>
      </c>
      <c r="AW1228" s="34">
        <f>IF(AND(E1228=1,L1228=0),AG1228,"")</f>
        <v>9.1</v>
      </c>
      <c r="AX1228" s="34" t="str">
        <f>IF(AND(E1228=1,L1228=1),AH1228,"")</f>
        <v/>
      </c>
      <c r="AY1228" s="34">
        <f>IF(AND(E1228=1,L1228=0),AH1228,"")</f>
        <v>8.9</v>
      </c>
      <c r="AZ1228" s="34" t="str">
        <f>IF(G1228=1,F1228,"")</f>
        <v/>
      </c>
      <c r="BA1228" s="34" t="str">
        <f>IF(AND(G1228=1,L1228=1),F1228,"")</f>
        <v/>
      </c>
      <c r="BB1228" s="34" t="str">
        <f>IF(AND(G1228=1,L1228=0),F1228,"")</f>
        <v/>
      </c>
      <c r="BC1228" s="33">
        <f>IF(E1228=1,IF(Orders!R1225&gt;3,1,0),"")</f>
        <v>0</v>
      </c>
      <c r="BD1228" s="33">
        <f>IF(E1228=1,IF(Orders!R1225&gt;7,1,0),"")</f>
        <v>0</v>
      </c>
      <c r="BE1228" s="32" t="str">
        <f>IF(E1228=1,IF(Orders!L1225&lt;=1.5,"Up to 1.5 km",IF(Orders!L1225&lt;=3,"1.5–3 km","Over 3 km")),"")</f>
        <v>1.5–3 km</v>
      </c>
      <c r="BF1228" s="33">
        <f>IF(E1228=1,IF(ABS((Orders!G1225-Orders!F1225)*1440-Orders!R1225)&lt;0.06,1,0),"")</f>
        <v>1</v>
      </c>
      <c r="BG1228" s="33">
        <f>IF(ABS((Orders!F1225-Orders!E1225)*1440-Orders!P1225)&lt;0.06,1,0)</f>
        <v>1</v>
      </c>
      <c r="BH1228" s="33">
        <f>IF(E1228=1,IF(IF(Orders!S1225,1,0)=1-G1228,1,0),"")</f>
        <v>1</v>
      </c>
      <c r="BI1228" s="32" t="str">
        <f>INDEX(Stores!$B$2:$B$21,MATCH(B1228,Stores!$A$2:$A$21,0))</f>
        <v>Hyderabad</v>
      </c>
    </row>
    <row r="1229">
      <c r="A1229" s="32" t="str">
        <f>Orders!A1226</f>
        <v>O01225</v>
      </c>
      <c r="B1229" s="32" t="str">
        <f>Orders!C1226</f>
        <v>S010</v>
      </c>
      <c r="C1229" s="32" t="str">
        <f>Orders!B1226</f>
        <v>C0185</v>
      </c>
      <c r="D1229" s="32" t="str">
        <f>Orders!H1226</f>
        <v>Delivered</v>
      </c>
      <c r="E1229" s="33">
        <f>IF(Orders!H1226="Delivered",1,0)</f>
        <v>1</v>
      </c>
      <c r="F1229" s="34">
        <f>IF(E1229=1,Orders!R1226,"")</f>
        <v>-0.2</v>
      </c>
      <c r="G1229" s="33">
        <f>IF(E1229=1,IF(Orders!R1226&gt;0,1,0),"")</f>
        <v>0</v>
      </c>
      <c r="H1229" s="33">
        <f>IF(E1229=1,IF(Orders!R1226&gt;5,1,0),"")</f>
        <v>0</v>
      </c>
      <c r="I1229" s="32" t="str">
        <f>IF(E1229=1,"",IF(OR(Orders!T1226="Rider unavailable",Orders!T1226="Item unavailable"),"Company-caused","Unresolved"))</f>
        <v/>
      </c>
      <c r="J1229" s="33">
        <f>IF(OR(E1229=1,I1229="Company-caused"),1,0)</f>
        <v>1</v>
      </c>
      <c r="K1229" s="32" t="str">
        <f>IF(E1229=0,IF(I1229="Company-caused",IF(Orders!T1226="Rider unavailable","C1 Rider unavailable","C2 Item unavailable"),"Outside root: unresolved"),IF(G1229=0,"A On time",IF(H1229=1,IF(L1229=1,"B2a Severe, peak","B2b Severe, off-peak"),IF(L1229=1,"B1a Slight, peak","B1b Slight, off-peak"))))</f>
        <v>A On time</v>
      </c>
      <c r="L1229" s="33">
        <f>IF(AND(Orders!U1226&gt;=19,Orders!U1226&lt;22),1,0)</f>
        <v>0</v>
      </c>
      <c r="M1229" s="33">
        <f>IF(L1229=IF(Orders!V1226,1,0),1,0)</f>
        <v>1</v>
      </c>
      <c r="N1229" s="32" t="str">
        <f>IF(Orders!W1226="","None",Orders!W1226)</f>
        <v>None</v>
      </c>
      <c r="O1229" s="35">
        <f>INT(Orders!E1226)</f>
        <v>46268.0</v>
      </c>
      <c r="P1229" s="33">
        <f>Orders!U1226</f>
        <v>10</v>
      </c>
      <c r="Q1229" s="33">
        <f>COUNTIFS(Demand!$A$2:$A$4481,B1229,Demand!$B$2:$B$4481,O1229,Demand!$C$2:$C$4481,P1229)</f>
        <v>1</v>
      </c>
      <c r="R1229" s="33">
        <f>IF(Q1229=1,SUMIFS(Demand!$E$2:$E$4481,Demand!$A$2:$A$4481,B1229,Demand!$B$2:$B$4481,O1229,Demand!$C$2:$C$4481,P1229),"")</f>
        <v>23</v>
      </c>
      <c r="S1229" s="33">
        <f>INDEX(Stores!$G$2:$G$21,MATCH(B1229,Stores!$A$2:$A$21,0))</f>
        <v>22</v>
      </c>
      <c r="T1229" s="34">
        <f>IF(R1229="","",R1229/S1229)</f>
        <v>1.04545454545455</v>
      </c>
      <c r="U1229" s="34">
        <f>IF(E1229=1,T1229,"")</f>
        <v>1.04545454545455</v>
      </c>
      <c r="V1229" s="34">
        <f>IF(AND(E1229=1,L1229=0),T1229,"")</f>
        <v>1.04545454545455</v>
      </c>
      <c r="W1229" s="33">
        <f>IF(U1229="","",IF(U1229&lt;=Breakdowns!$C$5,1,IF(U1229&lt;=Breakdowns!$C$6,2,IF(U1229&lt;=Breakdowns!$C$7,3,4))))</f>
        <v>3</v>
      </c>
      <c r="X1229" s="33">
        <f>IF(V1229="","",IF(V1229&lt;=Breakdowns!$D$5,1,IF(V1229&lt;=Breakdowns!$D$6,2,IF(V1229&lt;=Breakdowns!$D$7,3,4))))</f>
        <v>3</v>
      </c>
      <c r="Y1229" s="34">
        <f>INDEX(Stores!$F$2:$F$21,MATCH(B1229,Stores!$A$2:$A$21,0))</f>
        <v>5.61</v>
      </c>
      <c r="Z1229" s="33">
        <f>IF(Y1229&gt;Store_Summary!$M$2,1,0)</f>
        <v>1</v>
      </c>
      <c r="AA1229" s="33">
        <f>INDEX(Stores!$C$2:$C$21,MATCH(B1229,Stores!$A$2:$A$21,0))</f>
        <v>744</v>
      </c>
      <c r="AB1229" s="33">
        <f>IF(AA1229&lt;180,1,0)</f>
        <v>0</v>
      </c>
      <c r="AC1229" s="32" t="str">
        <f>IF(Orders!D1226="","",INDEX(Riders!$C$2:$C$81,MATCH(Orders!D1226,Riders!$A$2:$A$81,0)))</f>
        <v>Petrol scooter</v>
      </c>
      <c r="AD1229" s="33">
        <f>IF(Orders!D1226="","",INDEX(Riders!$D$2:$D$81,MATCH(Orders!D1226,Riders!$A$2:$A$81,0)))</f>
        <v>43</v>
      </c>
      <c r="AE1229" s="33">
        <f>IF(Orders!D1226="","",IF(INDEX(Riders!$B$2:$B$81,MATCH(Orders!D1226,Riders!$A$2:$A$81,0))=B1229,1,0))</f>
        <v>0</v>
      </c>
      <c r="AF1229" s="34">
        <f>IF(E1229=1,Orders!L1226,"")</f>
        <v>2.55</v>
      </c>
      <c r="AG1229" s="34">
        <f>IF(E1229=1,Orders!P1226,"")</f>
        <v>10.6</v>
      </c>
      <c r="AH1229" s="34">
        <f>IF(E1229=1,Orders!Q1226,"")</f>
        <v>10.4</v>
      </c>
      <c r="AI1229" s="34">
        <f>IF(E1229=1,Orders!M1226,"")</f>
        <v>5.4</v>
      </c>
      <c r="AJ1229" s="34">
        <f>IF(E1229=1,Orders!N1226,"")</f>
        <v>0.7</v>
      </c>
      <c r="AK1229" s="34">
        <f>IF(E1229=1,Orders!O1226,"")</f>
        <v>4.3</v>
      </c>
      <c r="AL1229" s="33">
        <f>IF(E1229=1,IF(ROUND(ABS(AI1229+AJ1229+AK1229-AH1229),6)&lt;=0.1,1,0),"")</f>
        <v>1</v>
      </c>
      <c r="AM1229" s="36">
        <f>IF(E1229=1,AI1229/AH1229,"")</f>
        <v>0.519230769230769</v>
      </c>
      <c r="AN1229" s="36">
        <f>IF(E1229=1,AJ1229/AH1229,"")</f>
        <v>0.0673076923076923</v>
      </c>
      <c r="AO1229" s="36">
        <f>IF(E1229=1,AK1229/AH1229,"")</f>
        <v>0.413461538461538</v>
      </c>
      <c r="AP1229" s="34">
        <f>IF(E1229=1,Orders!Y1226,"")</f>
        <v>0.17</v>
      </c>
      <c r="AQ1229" s="33">
        <f>IF(Orders!X1226,1,0)</f>
        <v>0</v>
      </c>
      <c r="AR1229" s="34" t="str">
        <f>IF(AND(E1229=1,L1229=1),AJ1229,"")</f>
        <v/>
      </c>
      <c r="AS1229" s="34">
        <f>IF(AND(E1229=1,L1229=0),AJ1229,"")</f>
        <v>0.7</v>
      </c>
      <c r="AT1229" s="34" t="str">
        <f>IF(AND(E1229=1,L1229=1),AI1229,"")</f>
        <v/>
      </c>
      <c r="AU1229" s="34">
        <f>IF(AND(E1229=1,L1229=0),AI1229,"")</f>
        <v>5.4</v>
      </c>
      <c r="AV1229" s="34" t="str">
        <f>IF(AND(E1229=1,L1229=1),AG1229,"")</f>
        <v/>
      </c>
      <c r="AW1229" s="34">
        <f>IF(AND(E1229=1,L1229=0),AG1229,"")</f>
        <v>10.6</v>
      </c>
      <c r="AX1229" s="34" t="str">
        <f>IF(AND(E1229=1,L1229=1),AH1229,"")</f>
        <v/>
      </c>
      <c r="AY1229" s="34">
        <f>IF(AND(E1229=1,L1229=0),AH1229,"")</f>
        <v>10.4</v>
      </c>
      <c r="AZ1229" s="34" t="str">
        <f>IF(G1229=1,F1229,"")</f>
        <v/>
      </c>
      <c r="BA1229" s="34" t="str">
        <f>IF(AND(G1229=1,L1229=1),F1229,"")</f>
        <v/>
      </c>
      <c r="BB1229" s="34" t="str">
        <f>IF(AND(G1229=1,L1229=0),F1229,"")</f>
        <v/>
      </c>
      <c r="BC1229" s="33">
        <f>IF(E1229=1,IF(Orders!R1226&gt;3,1,0),"")</f>
        <v>0</v>
      </c>
      <c r="BD1229" s="33">
        <f>IF(E1229=1,IF(Orders!R1226&gt;7,1,0),"")</f>
        <v>0</v>
      </c>
      <c r="BE1229" s="32" t="str">
        <f>IF(E1229=1,IF(Orders!L1226&lt;=1.5,"Up to 1.5 km",IF(Orders!L1226&lt;=3,"1.5–3 km","Over 3 km")),"")</f>
        <v>1.5–3 km</v>
      </c>
      <c r="BF1229" s="33">
        <f>IF(E1229=1,IF(ABS((Orders!G1226-Orders!F1226)*1440-Orders!R1226)&lt;0.06,1,0),"")</f>
        <v>1</v>
      </c>
      <c r="BG1229" s="33">
        <f>IF(ABS((Orders!F1226-Orders!E1226)*1440-Orders!P1226)&lt;0.06,1,0)</f>
        <v>1</v>
      </c>
      <c r="BH1229" s="33">
        <f>IF(E1229=1,IF(IF(Orders!S1226,1,0)=1-G1229,1,0),"")</f>
        <v>1</v>
      </c>
      <c r="BI1229" s="32" t="str">
        <f>INDEX(Stores!$B$2:$B$21,MATCH(B1229,Stores!$A$2:$A$21,0))</f>
        <v>Delhi</v>
      </c>
    </row>
    <row r="1230">
      <c r="A1230" s="32" t="str">
        <f>Orders!A1227</f>
        <v>O01226</v>
      </c>
      <c r="B1230" s="32" t="str">
        <f>Orders!C1227</f>
        <v>S008</v>
      </c>
      <c r="C1230" s="32" t="str">
        <f>Orders!B1227</f>
        <v>C0193</v>
      </c>
      <c r="D1230" s="32" t="str">
        <f>Orders!H1227</f>
        <v>Delivered</v>
      </c>
      <c r="E1230" s="33">
        <f>IF(Orders!H1227="Delivered",1,0)</f>
        <v>1</v>
      </c>
      <c r="F1230" s="34">
        <f>IF(E1230=1,Orders!R1227,"")</f>
        <v>1.2</v>
      </c>
      <c r="G1230" s="33">
        <f>IF(E1230=1,IF(Orders!R1227&gt;0,1,0),"")</f>
        <v>1</v>
      </c>
      <c r="H1230" s="33">
        <f>IF(E1230=1,IF(Orders!R1227&gt;5,1,0),"")</f>
        <v>0</v>
      </c>
      <c r="I1230" s="32" t="str">
        <f>IF(E1230=1,"",IF(OR(Orders!T1227="Rider unavailable",Orders!T1227="Item unavailable"),"Company-caused","Unresolved"))</f>
        <v/>
      </c>
      <c r="J1230" s="33">
        <f>IF(OR(E1230=1,I1230="Company-caused"),1,0)</f>
        <v>1</v>
      </c>
      <c r="K1230" s="32" t="str">
        <f>IF(E1230=0,IF(I1230="Company-caused",IF(Orders!T1227="Rider unavailable","C1 Rider unavailable","C2 Item unavailable"),"Outside root: unresolved"),IF(G1230=0,"A On time",IF(H1230=1,IF(L1230=1,"B2a Severe, peak","B2b Severe, off-peak"),IF(L1230=1,"B1a Slight, peak","B1b Slight, off-peak"))))</f>
        <v>B1b Slight, off-peak</v>
      </c>
      <c r="L1230" s="33">
        <f>IF(AND(Orders!U1227&gt;=19,Orders!U1227&lt;22),1,0)</f>
        <v>0</v>
      </c>
      <c r="M1230" s="33">
        <f>IF(L1230=IF(Orders!V1227,1,0),1,0)</f>
        <v>1</v>
      </c>
      <c r="N1230" s="32" t="str">
        <f>IF(Orders!W1227="","None",Orders!W1227)</f>
        <v>None</v>
      </c>
      <c r="O1230" s="35">
        <f>INT(Orders!E1227)</f>
        <v>46277.0</v>
      </c>
      <c r="P1230" s="33">
        <f>Orders!U1227</f>
        <v>17</v>
      </c>
      <c r="Q1230" s="33">
        <f>COUNTIFS(Demand!$A$2:$A$4481,B1230,Demand!$B$2:$B$4481,O1230,Demand!$C$2:$C$4481,P1230)</f>
        <v>1</v>
      </c>
      <c r="R1230" s="33">
        <f>IF(Q1230=1,SUMIFS(Demand!$E$2:$E$4481,Demand!$A$2:$A$4481,B1230,Demand!$B$2:$B$4481,O1230,Demand!$C$2:$C$4481,P1230),"")</f>
        <v>34</v>
      </c>
      <c r="S1230" s="33">
        <f>INDEX(Stores!$G$2:$G$21,MATCH(B1230,Stores!$A$2:$A$21,0))</f>
        <v>23</v>
      </c>
      <c r="T1230" s="34">
        <f>IF(R1230="","",R1230/S1230)</f>
        <v>1.47826086956522</v>
      </c>
      <c r="U1230" s="34">
        <f>IF(E1230=1,T1230,"")</f>
        <v>1.47826086956522</v>
      </c>
      <c r="V1230" s="34">
        <f>IF(AND(E1230=1,L1230=0),T1230,"")</f>
        <v>1.47826086956522</v>
      </c>
      <c r="W1230" s="33">
        <f>IF(U1230="","",IF(U1230&lt;=Breakdowns!$C$5,1,IF(U1230&lt;=Breakdowns!$C$6,2,IF(U1230&lt;=Breakdowns!$C$7,3,4))))</f>
        <v>4</v>
      </c>
      <c r="X1230" s="33">
        <f>IF(V1230="","",IF(V1230&lt;=Breakdowns!$D$5,1,IF(V1230&lt;=Breakdowns!$D$6,2,IF(V1230&lt;=Breakdowns!$D$7,3,4))))</f>
        <v>4</v>
      </c>
      <c r="Y1230" s="34">
        <f>INDEX(Stores!$F$2:$F$21,MATCH(B1230,Stores!$A$2:$A$21,0))</f>
        <v>3.46</v>
      </c>
      <c r="Z1230" s="33">
        <f>IF(Y1230&gt;Store_Summary!$M$2,1,0)</f>
        <v>0</v>
      </c>
      <c r="AA1230" s="33">
        <f>INDEX(Stores!$C$2:$C$21,MATCH(B1230,Stores!$A$2:$A$21,0))</f>
        <v>825</v>
      </c>
      <c r="AB1230" s="33">
        <f>IF(AA1230&lt;180,1,0)</f>
        <v>0</v>
      </c>
      <c r="AC1230" s="32" t="str">
        <f>IF(Orders!D1227="","",INDEX(Riders!$C$2:$C$81,MATCH(Orders!D1227,Riders!$A$2:$A$81,0)))</f>
        <v>EV scooter</v>
      </c>
      <c r="AD1230" s="33">
        <f>IF(Orders!D1227="","",INDEX(Riders!$D$2:$D$81,MATCH(Orders!D1227,Riders!$A$2:$A$81,0)))</f>
        <v>24</v>
      </c>
      <c r="AE1230" s="33">
        <f>IF(Orders!D1227="","",IF(INDEX(Riders!$B$2:$B$81,MATCH(Orders!D1227,Riders!$A$2:$A$81,0))=B1230,1,0))</f>
        <v>0</v>
      </c>
      <c r="AF1230" s="34">
        <f>IF(E1230=1,Orders!L1227,"")</f>
        <v>2.01</v>
      </c>
      <c r="AG1230" s="34">
        <f>IF(E1230=1,Orders!P1227,"")</f>
        <v>10.5</v>
      </c>
      <c r="AH1230" s="34">
        <f>IF(E1230=1,Orders!Q1227,"")</f>
        <v>11.7</v>
      </c>
      <c r="AI1230" s="34">
        <f>IF(E1230=1,Orders!M1227,"")</f>
        <v>4.7</v>
      </c>
      <c r="AJ1230" s="34">
        <f>IF(E1230=1,Orders!N1227,"")</f>
        <v>0</v>
      </c>
      <c r="AK1230" s="34">
        <f>IF(E1230=1,Orders!O1227,"")</f>
        <v>7</v>
      </c>
      <c r="AL1230" s="33">
        <f>IF(E1230=1,IF(ROUND(ABS(AI1230+AJ1230+AK1230-AH1230),6)&lt;=0.1,1,0),"")</f>
        <v>1</v>
      </c>
      <c r="AM1230" s="36">
        <f>IF(E1230=1,AI1230/AH1230,"")</f>
        <v>0.401709401709402</v>
      </c>
      <c r="AN1230" s="36">
        <f>IF(E1230=1,AJ1230/AH1230,"")</f>
        <v>0</v>
      </c>
      <c r="AO1230" s="36">
        <f>IF(E1230=1,AK1230/AH1230,"")</f>
        <v>0.598290598290598</v>
      </c>
      <c r="AP1230" s="34">
        <f>IF(E1230=1,Orders!Y1227,"")</f>
        <v>0.67</v>
      </c>
      <c r="AQ1230" s="33">
        <f>IF(Orders!X1227,1,0)</f>
        <v>0</v>
      </c>
      <c r="AR1230" s="34" t="str">
        <f>IF(AND(E1230=1,L1230=1),AJ1230,"")</f>
        <v/>
      </c>
      <c r="AS1230" s="34">
        <f>IF(AND(E1230=1,L1230=0),AJ1230,"")</f>
        <v>0</v>
      </c>
      <c r="AT1230" s="34" t="str">
        <f>IF(AND(E1230=1,L1230=1),AI1230,"")</f>
        <v/>
      </c>
      <c r="AU1230" s="34">
        <f>IF(AND(E1230=1,L1230=0),AI1230,"")</f>
        <v>4.7</v>
      </c>
      <c r="AV1230" s="34" t="str">
        <f>IF(AND(E1230=1,L1230=1),AG1230,"")</f>
        <v/>
      </c>
      <c r="AW1230" s="34">
        <f>IF(AND(E1230=1,L1230=0),AG1230,"")</f>
        <v>10.5</v>
      </c>
      <c r="AX1230" s="34" t="str">
        <f>IF(AND(E1230=1,L1230=1),AH1230,"")</f>
        <v/>
      </c>
      <c r="AY1230" s="34">
        <f>IF(AND(E1230=1,L1230=0),AH1230,"")</f>
        <v>11.7</v>
      </c>
      <c r="AZ1230" s="34">
        <f>IF(G1230=1,F1230,"")</f>
        <v>1.2</v>
      </c>
      <c r="BA1230" s="34" t="str">
        <f>IF(AND(G1230=1,L1230=1),F1230,"")</f>
        <v/>
      </c>
      <c r="BB1230" s="34">
        <f>IF(AND(G1230=1,L1230=0),F1230,"")</f>
        <v>1.2</v>
      </c>
      <c r="BC1230" s="33">
        <f>IF(E1230=1,IF(Orders!R1227&gt;3,1,0),"")</f>
        <v>0</v>
      </c>
      <c r="BD1230" s="33">
        <f>IF(E1230=1,IF(Orders!R1227&gt;7,1,0),"")</f>
        <v>0</v>
      </c>
      <c r="BE1230" s="32" t="str">
        <f>IF(E1230=1,IF(Orders!L1227&lt;=1.5,"Up to 1.5 km",IF(Orders!L1227&lt;=3,"1.5–3 km","Over 3 km")),"")</f>
        <v>1.5–3 km</v>
      </c>
      <c r="BF1230" s="33">
        <f>IF(E1230=1,IF(ABS((Orders!G1227-Orders!F1227)*1440-Orders!R1227)&lt;0.06,1,0),"")</f>
        <v>1</v>
      </c>
      <c r="BG1230" s="33">
        <f>IF(ABS((Orders!F1227-Orders!E1227)*1440-Orders!P1227)&lt;0.06,1,0)</f>
        <v>1</v>
      </c>
      <c r="BH1230" s="33">
        <f>IF(E1230=1,IF(IF(Orders!S1227,1,0)=1-G1230,1,0),"")</f>
        <v>1</v>
      </c>
      <c r="BI1230" s="32" t="str">
        <f>INDEX(Stores!$B$2:$B$21,MATCH(B1230,Stores!$A$2:$A$21,0))</f>
        <v>Mumbai</v>
      </c>
    </row>
    <row r="1231">
      <c r="A1231" s="32" t="str">
        <f>Orders!A1228</f>
        <v>O01227</v>
      </c>
      <c r="B1231" s="32" t="str">
        <f>Orders!C1228</f>
        <v>S014</v>
      </c>
      <c r="C1231" s="32" t="str">
        <f>Orders!B1228</f>
        <v>C0097</v>
      </c>
      <c r="D1231" s="32" t="str">
        <f>Orders!H1228</f>
        <v>Delivered</v>
      </c>
      <c r="E1231" s="33">
        <f>IF(Orders!H1228="Delivered",1,0)</f>
        <v>1</v>
      </c>
      <c r="F1231" s="34">
        <f>IF(E1231=1,Orders!R1228,"")</f>
        <v>-0.6</v>
      </c>
      <c r="G1231" s="33">
        <f>IF(E1231=1,IF(Orders!R1228&gt;0,1,0),"")</f>
        <v>0</v>
      </c>
      <c r="H1231" s="33">
        <f>IF(E1231=1,IF(Orders!R1228&gt;5,1,0),"")</f>
        <v>0</v>
      </c>
      <c r="I1231" s="32" t="str">
        <f>IF(E1231=1,"",IF(OR(Orders!T1228="Rider unavailable",Orders!T1228="Item unavailable"),"Company-caused","Unresolved"))</f>
        <v/>
      </c>
      <c r="J1231" s="33">
        <f>IF(OR(E1231=1,I1231="Company-caused"),1,0)</f>
        <v>1</v>
      </c>
      <c r="K1231" s="32" t="str">
        <f>IF(E1231=0,IF(I1231="Company-caused",IF(Orders!T1228="Rider unavailable","C1 Rider unavailable","C2 Item unavailable"),"Outside root: unresolved"),IF(G1231=0,"A On time",IF(H1231=1,IF(L1231=1,"B2a Severe, peak","B2b Severe, off-peak"),IF(L1231=1,"B1a Slight, peak","B1b Slight, off-peak"))))</f>
        <v>A On time</v>
      </c>
      <c r="L1231" s="33">
        <f>IF(AND(Orders!U1228&gt;=19,Orders!U1228&lt;22),1,0)</f>
        <v>0</v>
      </c>
      <c r="M1231" s="33">
        <f>IF(L1231=IF(Orders!V1228,1,0),1,0)</f>
        <v>1</v>
      </c>
      <c r="N1231" s="32" t="str">
        <f>IF(Orders!W1228="","None",Orders!W1228)</f>
        <v>None</v>
      </c>
      <c r="O1231" s="35">
        <f>INT(Orders!E1228)</f>
        <v>46277.0</v>
      </c>
      <c r="P1231" s="33">
        <f>Orders!U1228</f>
        <v>16</v>
      </c>
      <c r="Q1231" s="33">
        <f>COUNTIFS(Demand!$A$2:$A$4481,B1231,Demand!$B$2:$B$4481,O1231,Demand!$C$2:$C$4481,P1231)</f>
        <v>1</v>
      </c>
      <c r="R1231" s="33">
        <f>IF(Q1231=1,SUMIFS(Demand!$E$2:$E$4481,Demand!$A$2:$A$4481,B1231,Demand!$B$2:$B$4481,O1231,Demand!$C$2:$C$4481,P1231),"")</f>
        <v>36</v>
      </c>
      <c r="S1231" s="33">
        <f>INDEX(Stores!$G$2:$G$21,MATCH(B1231,Stores!$A$2:$A$21,0))</f>
        <v>37</v>
      </c>
      <c r="T1231" s="34">
        <f>IF(R1231="","",R1231/S1231)</f>
        <v>0.972972972972973</v>
      </c>
      <c r="U1231" s="34">
        <f>IF(E1231=1,T1231,"")</f>
        <v>0.972972972972973</v>
      </c>
      <c r="V1231" s="34">
        <f>IF(AND(E1231=1,L1231=0),T1231,"")</f>
        <v>0.972972972972973</v>
      </c>
      <c r="W1231" s="33">
        <f>IF(U1231="","",IF(U1231&lt;=Breakdowns!$C$5,1,IF(U1231&lt;=Breakdowns!$C$6,2,IF(U1231&lt;=Breakdowns!$C$7,3,4))))</f>
        <v>2</v>
      </c>
      <c r="X1231" s="33">
        <f>IF(V1231="","",IF(V1231&lt;=Breakdowns!$D$5,1,IF(V1231&lt;=Breakdowns!$D$6,2,IF(V1231&lt;=Breakdowns!$D$7,3,4))))</f>
        <v>3</v>
      </c>
      <c r="Y1231" s="34">
        <f>INDEX(Stores!$F$2:$F$21,MATCH(B1231,Stores!$A$2:$A$21,0))</f>
        <v>5.55</v>
      </c>
      <c r="Z1231" s="33">
        <f>IF(Y1231&gt;Store_Summary!$M$2,1,0)</f>
        <v>1</v>
      </c>
      <c r="AA1231" s="33">
        <f>INDEX(Stores!$C$2:$C$21,MATCH(B1231,Stores!$A$2:$A$21,0))</f>
        <v>241</v>
      </c>
      <c r="AB1231" s="33">
        <f>IF(AA1231&lt;180,1,0)</f>
        <v>0</v>
      </c>
      <c r="AC1231" s="32" t="str">
        <f>IF(Orders!D1228="","",INDEX(Riders!$C$2:$C$81,MATCH(Orders!D1228,Riders!$A$2:$A$81,0)))</f>
        <v>Petrol scooter</v>
      </c>
      <c r="AD1231" s="33">
        <f>IF(Orders!D1228="","",INDEX(Riders!$D$2:$D$81,MATCH(Orders!D1228,Riders!$A$2:$A$81,0)))</f>
        <v>13</v>
      </c>
      <c r="AE1231" s="33">
        <f>IF(Orders!D1228="","",IF(INDEX(Riders!$B$2:$B$81,MATCH(Orders!D1228,Riders!$A$2:$A$81,0))=B1231,1,0))</f>
        <v>0</v>
      </c>
      <c r="AF1231" s="34">
        <f>IF(E1231=1,Orders!L1228,"")</f>
        <v>0.83</v>
      </c>
      <c r="AG1231" s="34">
        <f>IF(E1231=1,Orders!P1228,"")</f>
        <v>10.1</v>
      </c>
      <c r="AH1231" s="34">
        <f>IF(E1231=1,Orders!Q1228,"")</f>
        <v>9.5</v>
      </c>
      <c r="AI1231" s="34">
        <f>IF(E1231=1,Orders!M1228,"")</f>
        <v>3</v>
      </c>
      <c r="AJ1231" s="34">
        <f>IF(E1231=1,Orders!N1228,"")</f>
        <v>5.1</v>
      </c>
      <c r="AK1231" s="34">
        <f>IF(E1231=1,Orders!O1228,"")</f>
        <v>1.4</v>
      </c>
      <c r="AL1231" s="33">
        <f>IF(E1231=1,IF(ROUND(ABS(AI1231+AJ1231+AK1231-AH1231),6)&lt;=0.1,1,0),"")</f>
        <v>1</v>
      </c>
      <c r="AM1231" s="36">
        <f>IF(E1231=1,AI1231/AH1231,"")</f>
        <v>0.315789473684211</v>
      </c>
      <c r="AN1231" s="36">
        <f>IF(E1231=1,AJ1231/AH1231,"")</f>
        <v>0.536842105263158</v>
      </c>
      <c r="AO1231" s="36">
        <f>IF(E1231=1,AK1231/AH1231,"")</f>
        <v>0.147368421052632</v>
      </c>
      <c r="AP1231" s="34">
        <f>IF(E1231=1,Orders!Y1228,"")</f>
        <v>0.24</v>
      </c>
      <c r="AQ1231" s="33">
        <f>IF(Orders!X1228,1,0)</f>
        <v>0</v>
      </c>
      <c r="AR1231" s="34" t="str">
        <f>IF(AND(E1231=1,L1231=1),AJ1231,"")</f>
        <v/>
      </c>
      <c r="AS1231" s="34">
        <f>IF(AND(E1231=1,L1231=0),AJ1231,"")</f>
        <v>5.1</v>
      </c>
      <c r="AT1231" s="34" t="str">
        <f>IF(AND(E1231=1,L1231=1),AI1231,"")</f>
        <v/>
      </c>
      <c r="AU1231" s="34">
        <f>IF(AND(E1231=1,L1231=0),AI1231,"")</f>
        <v>3</v>
      </c>
      <c r="AV1231" s="34" t="str">
        <f>IF(AND(E1231=1,L1231=1),AG1231,"")</f>
        <v/>
      </c>
      <c r="AW1231" s="34">
        <f>IF(AND(E1231=1,L1231=0),AG1231,"")</f>
        <v>10.1</v>
      </c>
      <c r="AX1231" s="34" t="str">
        <f>IF(AND(E1231=1,L1231=1),AH1231,"")</f>
        <v/>
      </c>
      <c r="AY1231" s="34">
        <f>IF(AND(E1231=1,L1231=0),AH1231,"")</f>
        <v>9.5</v>
      </c>
      <c r="AZ1231" s="34" t="str">
        <f>IF(G1231=1,F1231,"")</f>
        <v/>
      </c>
      <c r="BA1231" s="34" t="str">
        <f>IF(AND(G1231=1,L1231=1),F1231,"")</f>
        <v/>
      </c>
      <c r="BB1231" s="34" t="str">
        <f>IF(AND(G1231=1,L1231=0),F1231,"")</f>
        <v/>
      </c>
      <c r="BC1231" s="33">
        <f>IF(E1231=1,IF(Orders!R1228&gt;3,1,0),"")</f>
        <v>0</v>
      </c>
      <c r="BD1231" s="33">
        <f>IF(E1231=1,IF(Orders!R1228&gt;7,1,0),"")</f>
        <v>0</v>
      </c>
      <c r="BE1231" s="32" t="str">
        <f>IF(E1231=1,IF(Orders!L1228&lt;=1.5,"Up to 1.5 km",IF(Orders!L1228&lt;=3,"1.5–3 km","Over 3 km")),"")</f>
        <v>Up to 1.5 km</v>
      </c>
      <c r="BF1231" s="33">
        <f>IF(E1231=1,IF(ABS((Orders!G1228-Orders!F1228)*1440-Orders!R1228)&lt;0.06,1,0),"")</f>
        <v>1</v>
      </c>
      <c r="BG1231" s="33">
        <f>IF(ABS((Orders!F1228-Orders!E1228)*1440-Orders!P1228)&lt;0.06,1,0)</f>
        <v>1</v>
      </c>
      <c r="BH1231" s="33">
        <f>IF(E1231=1,IF(IF(Orders!S1228,1,0)=1-G1231,1,0),"")</f>
        <v>1</v>
      </c>
      <c r="BI1231" s="32" t="str">
        <f>INDEX(Stores!$B$2:$B$21,MATCH(B1231,Stores!$A$2:$A$21,0))</f>
        <v>Pune</v>
      </c>
    </row>
    <row r="1232">
      <c r="A1232" s="32" t="str">
        <f>Orders!A1229</f>
        <v>O01228</v>
      </c>
      <c r="B1232" s="32" t="str">
        <f>Orders!C1229</f>
        <v>S015</v>
      </c>
      <c r="C1232" s="32" t="str">
        <f>Orders!B1229</f>
        <v>C0188</v>
      </c>
      <c r="D1232" s="32" t="str">
        <f>Orders!H1229</f>
        <v>Delivered</v>
      </c>
      <c r="E1232" s="33">
        <f>IF(Orders!H1229="Delivered",1,0)</f>
        <v>1</v>
      </c>
      <c r="F1232" s="34">
        <f>IF(E1232=1,Orders!R1229,"")</f>
        <v>3.2</v>
      </c>
      <c r="G1232" s="33">
        <f>IF(E1232=1,IF(Orders!R1229&gt;0,1,0),"")</f>
        <v>1</v>
      </c>
      <c r="H1232" s="33">
        <f>IF(E1232=1,IF(Orders!R1229&gt;5,1,0),"")</f>
        <v>0</v>
      </c>
      <c r="I1232" s="32" t="str">
        <f>IF(E1232=1,"",IF(OR(Orders!T1229="Rider unavailable",Orders!T1229="Item unavailable"),"Company-caused","Unresolved"))</f>
        <v/>
      </c>
      <c r="J1232" s="33">
        <f>IF(OR(E1232=1,I1232="Company-caused"),1,0)</f>
        <v>1</v>
      </c>
      <c r="K1232" s="32" t="str">
        <f>IF(E1232=0,IF(I1232="Company-caused",IF(Orders!T1229="Rider unavailable","C1 Rider unavailable","C2 Item unavailable"),"Outside root: unresolved"),IF(G1232=0,"A On time",IF(H1232=1,IF(L1232=1,"B2a Severe, peak","B2b Severe, off-peak"),IF(L1232=1,"B1a Slight, peak","B1b Slight, off-peak"))))</f>
        <v>B1b Slight, off-peak</v>
      </c>
      <c r="L1232" s="33">
        <f>IF(AND(Orders!U1229&gt;=19,Orders!U1229&lt;22),1,0)</f>
        <v>0</v>
      </c>
      <c r="M1232" s="33">
        <f>IF(L1232=IF(Orders!V1229,1,0),1,0)</f>
        <v>1</v>
      </c>
      <c r="N1232" s="32" t="str">
        <f>IF(Orders!W1229="","None",Orders!W1229)</f>
        <v>None</v>
      </c>
      <c r="O1232" s="35">
        <f>INT(Orders!E1229)</f>
        <v>46272.0</v>
      </c>
      <c r="P1232" s="33">
        <f>Orders!U1229</f>
        <v>9</v>
      </c>
      <c r="Q1232" s="33">
        <f>COUNTIFS(Demand!$A$2:$A$4481,B1232,Demand!$B$2:$B$4481,O1232,Demand!$C$2:$C$4481,P1232)</f>
        <v>1</v>
      </c>
      <c r="R1232" s="33">
        <f>IF(Q1232=1,SUMIFS(Demand!$E$2:$E$4481,Demand!$A$2:$A$4481,B1232,Demand!$B$2:$B$4481,O1232,Demand!$C$2:$C$4481,P1232),"")</f>
        <v>10</v>
      </c>
      <c r="S1232" s="33">
        <f>INDEX(Stores!$G$2:$G$21,MATCH(B1232,Stores!$A$2:$A$21,0))</f>
        <v>23</v>
      </c>
      <c r="T1232" s="34">
        <f>IF(R1232="","",R1232/S1232)</f>
        <v>0.434782608695652</v>
      </c>
      <c r="U1232" s="34">
        <f>IF(E1232=1,T1232,"")</f>
        <v>0.434782608695652</v>
      </c>
      <c r="V1232" s="34">
        <f>IF(AND(E1232=1,L1232=0),T1232,"")</f>
        <v>0.434782608695652</v>
      </c>
      <c r="W1232" s="33">
        <f>IF(U1232="","",IF(U1232&lt;=Breakdowns!$C$5,1,IF(U1232&lt;=Breakdowns!$C$6,2,IF(U1232&lt;=Breakdowns!$C$7,3,4))))</f>
        <v>1</v>
      </c>
      <c r="X1232" s="33">
        <f>IF(V1232="","",IF(V1232&lt;=Breakdowns!$D$5,1,IF(V1232&lt;=Breakdowns!$D$6,2,IF(V1232&lt;=Breakdowns!$D$7,3,4))))</f>
        <v>1</v>
      </c>
      <c r="Y1232" s="34">
        <f>INDEX(Stores!$F$2:$F$21,MATCH(B1232,Stores!$A$2:$A$21,0))</f>
        <v>4.66</v>
      </c>
      <c r="Z1232" s="33">
        <f>IF(Y1232&gt;Store_Summary!$M$2,1,0)</f>
        <v>0</v>
      </c>
      <c r="AA1232" s="33">
        <f>INDEX(Stores!$C$2:$C$21,MATCH(B1232,Stores!$A$2:$A$21,0))</f>
        <v>204</v>
      </c>
      <c r="AB1232" s="33">
        <f>IF(AA1232&lt;180,1,0)</f>
        <v>0</v>
      </c>
      <c r="AC1232" s="32" t="str">
        <f>IF(Orders!D1229="","",INDEX(Riders!$C$2:$C$81,MATCH(Orders!D1229,Riders!$A$2:$A$81,0)))</f>
        <v>EV scooter</v>
      </c>
      <c r="AD1232" s="33">
        <f>IF(Orders!D1229="","",INDEX(Riders!$D$2:$D$81,MATCH(Orders!D1229,Riders!$A$2:$A$81,0)))</f>
        <v>11</v>
      </c>
      <c r="AE1232" s="33">
        <f>IF(Orders!D1229="","",IF(INDEX(Riders!$B$2:$B$81,MATCH(Orders!D1229,Riders!$A$2:$A$81,0))=B1232,1,0))</f>
        <v>1</v>
      </c>
      <c r="AF1232" s="34">
        <f>IF(E1232=1,Orders!L1229,"")</f>
        <v>2.86</v>
      </c>
      <c r="AG1232" s="34">
        <f>IF(E1232=1,Orders!P1229,"")</f>
        <v>11.6</v>
      </c>
      <c r="AH1232" s="34">
        <f>IF(E1232=1,Orders!Q1229,"")</f>
        <v>14.8</v>
      </c>
      <c r="AI1232" s="34">
        <f>IF(E1232=1,Orders!M1229,"")</f>
        <v>6.9</v>
      </c>
      <c r="AJ1232" s="34">
        <f>IF(E1232=1,Orders!N1229,"")</f>
        <v>1.6</v>
      </c>
      <c r="AK1232" s="34">
        <f>IF(E1232=1,Orders!O1229,"")</f>
        <v>6.3</v>
      </c>
      <c r="AL1232" s="33">
        <f>IF(E1232=1,IF(ROUND(ABS(AI1232+AJ1232+AK1232-AH1232),6)&lt;=0.1,1,0),"")</f>
        <v>1</v>
      </c>
      <c r="AM1232" s="36">
        <f>IF(E1232=1,AI1232/AH1232,"")</f>
        <v>0.466216216216216</v>
      </c>
      <c r="AN1232" s="36">
        <f>IF(E1232=1,AJ1232/AH1232,"")</f>
        <v>0.108108108108108</v>
      </c>
      <c r="AO1232" s="36">
        <f>IF(E1232=1,AK1232/AH1232,"")</f>
        <v>0.425675675675676</v>
      </c>
      <c r="AP1232" s="34">
        <f>IF(E1232=1,Orders!Y1229,"")</f>
        <v>0.34</v>
      </c>
      <c r="AQ1232" s="33">
        <f>IF(Orders!X1229,1,0)</f>
        <v>0</v>
      </c>
      <c r="AR1232" s="34" t="str">
        <f>IF(AND(E1232=1,L1232=1),AJ1232,"")</f>
        <v/>
      </c>
      <c r="AS1232" s="34">
        <f>IF(AND(E1232=1,L1232=0),AJ1232,"")</f>
        <v>1.6</v>
      </c>
      <c r="AT1232" s="34" t="str">
        <f>IF(AND(E1232=1,L1232=1),AI1232,"")</f>
        <v/>
      </c>
      <c r="AU1232" s="34">
        <f>IF(AND(E1232=1,L1232=0),AI1232,"")</f>
        <v>6.9</v>
      </c>
      <c r="AV1232" s="34" t="str">
        <f>IF(AND(E1232=1,L1232=1),AG1232,"")</f>
        <v/>
      </c>
      <c r="AW1232" s="34">
        <f>IF(AND(E1232=1,L1232=0),AG1232,"")</f>
        <v>11.6</v>
      </c>
      <c r="AX1232" s="34" t="str">
        <f>IF(AND(E1232=1,L1232=1),AH1232,"")</f>
        <v/>
      </c>
      <c r="AY1232" s="34">
        <f>IF(AND(E1232=1,L1232=0),AH1232,"")</f>
        <v>14.8</v>
      </c>
      <c r="AZ1232" s="34">
        <f>IF(G1232=1,F1232,"")</f>
        <v>3.2</v>
      </c>
      <c r="BA1232" s="34" t="str">
        <f>IF(AND(G1232=1,L1232=1),F1232,"")</f>
        <v/>
      </c>
      <c r="BB1232" s="34">
        <f>IF(AND(G1232=1,L1232=0),F1232,"")</f>
        <v>3.2</v>
      </c>
      <c r="BC1232" s="33">
        <f>IF(E1232=1,IF(Orders!R1229&gt;3,1,0),"")</f>
        <v>1</v>
      </c>
      <c r="BD1232" s="33">
        <f>IF(E1232=1,IF(Orders!R1229&gt;7,1,0),"")</f>
        <v>0</v>
      </c>
      <c r="BE1232" s="32" t="str">
        <f>IF(E1232=1,IF(Orders!L1229&lt;=1.5,"Up to 1.5 km",IF(Orders!L1229&lt;=3,"1.5–3 km","Over 3 km")),"")</f>
        <v>1.5–3 km</v>
      </c>
      <c r="BF1232" s="33">
        <f>IF(E1232=1,IF(ABS((Orders!G1229-Orders!F1229)*1440-Orders!R1229)&lt;0.06,1,0),"")</f>
        <v>1</v>
      </c>
      <c r="BG1232" s="33">
        <f>IF(ABS((Orders!F1229-Orders!E1229)*1440-Orders!P1229)&lt;0.06,1,0)</f>
        <v>1</v>
      </c>
      <c r="BH1232" s="33">
        <f>IF(E1232=1,IF(IF(Orders!S1229,1,0)=1-G1232,1,0),"")</f>
        <v>1</v>
      </c>
      <c r="BI1232" s="32" t="str">
        <f>INDEX(Stores!$B$2:$B$21,MATCH(B1232,Stores!$A$2:$A$21,0))</f>
        <v>Delhi</v>
      </c>
    </row>
    <row r="1233">
      <c r="A1233" s="32" t="str">
        <f>Orders!A1230</f>
        <v>O01229</v>
      </c>
      <c r="B1233" s="32" t="str">
        <f>Orders!C1230</f>
        <v>S016</v>
      </c>
      <c r="C1233" s="32" t="str">
        <f>Orders!B1230</f>
        <v>C0197</v>
      </c>
      <c r="D1233" s="32" t="str">
        <f>Orders!H1230</f>
        <v>Delivered</v>
      </c>
      <c r="E1233" s="33">
        <f>IF(Orders!H1230="Delivered",1,0)</f>
        <v>1</v>
      </c>
      <c r="F1233" s="34">
        <f>IF(E1233=1,Orders!R1230,"")</f>
        <v>-1.2</v>
      </c>
      <c r="G1233" s="33">
        <f>IF(E1233=1,IF(Orders!R1230&gt;0,1,0),"")</f>
        <v>0</v>
      </c>
      <c r="H1233" s="33">
        <f>IF(E1233=1,IF(Orders!R1230&gt;5,1,0),"")</f>
        <v>0</v>
      </c>
      <c r="I1233" s="32" t="str">
        <f>IF(E1233=1,"",IF(OR(Orders!T1230="Rider unavailable",Orders!T1230="Item unavailable"),"Company-caused","Unresolved"))</f>
        <v/>
      </c>
      <c r="J1233" s="33">
        <f>IF(OR(E1233=1,I1233="Company-caused"),1,0)</f>
        <v>1</v>
      </c>
      <c r="K1233" s="32" t="str">
        <f>IF(E1233=0,IF(I1233="Company-caused",IF(Orders!T1230="Rider unavailable","C1 Rider unavailable","C2 Item unavailable"),"Outside root: unresolved"),IF(G1233=0,"A On time",IF(H1233=1,IF(L1233=1,"B2a Severe, peak","B2b Severe, off-peak"),IF(L1233=1,"B1a Slight, peak","B1b Slight, off-peak"))))</f>
        <v>A On time</v>
      </c>
      <c r="L1233" s="33">
        <f>IF(AND(Orders!U1230&gt;=19,Orders!U1230&lt;22),1,0)</f>
        <v>0</v>
      </c>
      <c r="M1233" s="33">
        <f>IF(L1233=IF(Orders!V1230,1,0),1,0)</f>
        <v>1</v>
      </c>
      <c r="N1233" s="32" t="str">
        <f>IF(Orders!W1230="","None",Orders!W1230)</f>
        <v>None</v>
      </c>
      <c r="O1233" s="35">
        <f>INT(Orders!E1230)</f>
        <v>46273.0</v>
      </c>
      <c r="P1233" s="33">
        <f>Orders!U1230</f>
        <v>13</v>
      </c>
      <c r="Q1233" s="33">
        <f>COUNTIFS(Demand!$A$2:$A$4481,B1233,Demand!$B$2:$B$4481,O1233,Demand!$C$2:$C$4481,P1233)</f>
        <v>1</v>
      </c>
      <c r="R1233" s="33">
        <f>IF(Q1233=1,SUMIFS(Demand!$E$2:$E$4481,Demand!$A$2:$A$4481,B1233,Demand!$B$2:$B$4481,O1233,Demand!$C$2:$C$4481,P1233),"")</f>
        <v>29</v>
      </c>
      <c r="S1233" s="33">
        <f>INDEX(Stores!$G$2:$G$21,MATCH(B1233,Stores!$A$2:$A$21,0))</f>
        <v>25</v>
      </c>
      <c r="T1233" s="34">
        <f>IF(R1233="","",R1233/S1233)</f>
        <v>1.16</v>
      </c>
      <c r="U1233" s="34">
        <f>IF(E1233=1,T1233,"")</f>
        <v>1.16</v>
      </c>
      <c r="V1233" s="34">
        <f>IF(AND(E1233=1,L1233=0),T1233,"")</f>
        <v>1.16</v>
      </c>
      <c r="W1233" s="33">
        <f>IF(U1233="","",IF(U1233&lt;=Breakdowns!$C$5,1,IF(U1233&lt;=Breakdowns!$C$6,2,IF(U1233&lt;=Breakdowns!$C$7,3,4))))</f>
        <v>3</v>
      </c>
      <c r="X1233" s="33">
        <f>IF(V1233="","",IF(V1233&lt;=Breakdowns!$D$5,1,IF(V1233&lt;=Breakdowns!$D$6,2,IF(V1233&lt;=Breakdowns!$D$7,3,4))))</f>
        <v>4</v>
      </c>
      <c r="Y1233" s="34">
        <f>INDEX(Stores!$F$2:$F$21,MATCH(B1233,Stores!$A$2:$A$21,0))</f>
        <v>5.51</v>
      </c>
      <c r="Z1233" s="33">
        <f>IF(Y1233&gt;Store_Summary!$M$2,1,0)</f>
        <v>1</v>
      </c>
      <c r="AA1233" s="33">
        <f>INDEX(Stores!$C$2:$C$21,MATCH(B1233,Stores!$A$2:$A$21,0))</f>
        <v>792</v>
      </c>
      <c r="AB1233" s="33">
        <f>IF(AA1233&lt;180,1,0)</f>
        <v>0</v>
      </c>
      <c r="AC1233" s="32" t="str">
        <f>IF(Orders!D1230="","",INDEX(Riders!$C$2:$C$81,MATCH(Orders!D1230,Riders!$A$2:$A$81,0)))</f>
        <v>Petrol scooter</v>
      </c>
      <c r="AD1233" s="33">
        <f>IF(Orders!D1230="","",INDEX(Riders!$D$2:$D$81,MATCH(Orders!D1230,Riders!$A$2:$A$81,0)))</f>
        <v>32</v>
      </c>
      <c r="AE1233" s="33">
        <f>IF(Orders!D1230="","",IF(INDEX(Riders!$B$2:$B$81,MATCH(Orders!D1230,Riders!$A$2:$A$81,0))=B1233,1,0))</f>
        <v>0</v>
      </c>
      <c r="AF1233" s="34">
        <f>IF(E1233=1,Orders!L1230,"")</f>
        <v>2.6</v>
      </c>
      <c r="AG1233" s="34">
        <f>IF(E1233=1,Orders!P1230,"")</f>
        <v>11.1</v>
      </c>
      <c r="AH1233" s="34">
        <f>IF(E1233=1,Orders!Q1230,"")</f>
        <v>9.9</v>
      </c>
      <c r="AI1233" s="34">
        <f>IF(E1233=1,Orders!M1230,"")</f>
        <v>3.4</v>
      </c>
      <c r="AJ1233" s="34">
        <f>IF(E1233=1,Orders!N1230,"")</f>
        <v>3.1</v>
      </c>
      <c r="AK1233" s="34">
        <f>IF(E1233=1,Orders!O1230,"")</f>
        <v>3.4</v>
      </c>
      <c r="AL1233" s="33">
        <f>IF(E1233=1,IF(ROUND(ABS(AI1233+AJ1233+AK1233-AH1233),6)&lt;=0.1,1,0),"")</f>
        <v>1</v>
      </c>
      <c r="AM1233" s="36">
        <f>IF(E1233=1,AI1233/AH1233,"")</f>
        <v>0.343434343434343</v>
      </c>
      <c r="AN1233" s="36">
        <f>IF(E1233=1,AJ1233/AH1233,"")</f>
        <v>0.313131313131313</v>
      </c>
      <c r="AO1233" s="36">
        <f>IF(E1233=1,AK1233/AH1233,"")</f>
        <v>0.343434343434343</v>
      </c>
      <c r="AP1233" s="34">
        <f>IF(E1233=1,Orders!Y1230,"")</f>
        <v>0.37</v>
      </c>
      <c r="AQ1233" s="33">
        <f>IF(Orders!X1230,1,0)</f>
        <v>0</v>
      </c>
      <c r="AR1233" s="34" t="str">
        <f>IF(AND(E1233=1,L1233=1),AJ1233,"")</f>
        <v/>
      </c>
      <c r="AS1233" s="34">
        <f>IF(AND(E1233=1,L1233=0),AJ1233,"")</f>
        <v>3.1</v>
      </c>
      <c r="AT1233" s="34" t="str">
        <f>IF(AND(E1233=1,L1233=1),AI1233,"")</f>
        <v/>
      </c>
      <c r="AU1233" s="34">
        <f>IF(AND(E1233=1,L1233=0),AI1233,"")</f>
        <v>3.4</v>
      </c>
      <c r="AV1233" s="34" t="str">
        <f>IF(AND(E1233=1,L1233=1),AG1233,"")</f>
        <v/>
      </c>
      <c r="AW1233" s="34">
        <f>IF(AND(E1233=1,L1233=0),AG1233,"")</f>
        <v>11.1</v>
      </c>
      <c r="AX1233" s="34" t="str">
        <f>IF(AND(E1233=1,L1233=1),AH1233,"")</f>
        <v/>
      </c>
      <c r="AY1233" s="34">
        <f>IF(AND(E1233=1,L1233=0),AH1233,"")</f>
        <v>9.9</v>
      </c>
      <c r="AZ1233" s="34" t="str">
        <f>IF(G1233=1,F1233,"")</f>
        <v/>
      </c>
      <c r="BA1233" s="34" t="str">
        <f>IF(AND(G1233=1,L1233=1),F1233,"")</f>
        <v/>
      </c>
      <c r="BB1233" s="34" t="str">
        <f>IF(AND(G1233=1,L1233=0),F1233,"")</f>
        <v/>
      </c>
      <c r="BC1233" s="33">
        <f>IF(E1233=1,IF(Orders!R1230&gt;3,1,0),"")</f>
        <v>0</v>
      </c>
      <c r="BD1233" s="33">
        <f>IF(E1233=1,IF(Orders!R1230&gt;7,1,0),"")</f>
        <v>0</v>
      </c>
      <c r="BE1233" s="32" t="str">
        <f>IF(E1233=1,IF(Orders!L1230&lt;=1.5,"Up to 1.5 km",IF(Orders!L1230&lt;=3,"1.5–3 km","Over 3 km")),"")</f>
        <v>1.5–3 km</v>
      </c>
      <c r="BF1233" s="33">
        <f>IF(E1233=1,IF(ABS((Orders!G1230-Orders!F1230)*1440-Orders!R1230)&lt;0.06,1,0),"")</f>
        <v>1</v>
      </c>
      <c r="BG1233" s="33">
        <f>IF(ABS((Orders!F1230-Orders!E1230)*1440-Orders!P1230)&lt;0.06,1,0)</f>
        <v>1</v>
      </c>
      <c r="BH1233" s="33">
        <f>IF(E1233=1,IF(IF(Orders!S1230,1,0)=1-G1233,1,0),"")</f>
        <v>1</v>
      </c>
      <c r="BI1233" s="32" t="str">
        <f>INDEX(Stores!$B$2:$B$21,MATCH(B1233,Stores!$A$2:$A$21,0))</f>
        <v>Bengaluru</v>
      </c>
    </row>
    <row r="1234">
      <c r="A1234" s="32" t="str">
        <f>Orders!A1231</f>
        <v>O01230</v>
      </c>
      <c r="B1234" s="32" t="str">
        <f>Orders!C1231</f>
        <v>S006</v>
      </c>
      <c r="C1234" s="32" t="str">
        <f>Orders!B1231</f>
        <v>C0040</v>
      </c>
      <c r="D1234" s="32" t="str">
        <f>Orders!H1231</f>
        <v>Delivered</v>
      </c>
      <c r="E1234" s="33">
        <f>IF(Orders!H1231="Delivered",1,0)</f>
        <v>1</v>
      </c>
      <c r="F1234" s="34">
        <f>IF(E1234=1,Orders!R1231,"")</f>
        <v>-0.6</v>
      </c>
      <c r="G1234" s="33">
        <f>IF(E1234=1,IF(Orders!R1231&gt;0,1,0),"")</f>
        <v>0</v>
      </c>
      <c r="H1234" s="33">
        <f>IF(E1234=1,IF(Orders!R1231&gt;5,1,0),"")</f>
        <v>0</v>
      </c>
      <c r="I1234" s="32" t="str">
        <f>IF(E1234=1,"",IF(OR(Orders!T1231="Rider unavailable",Orders!T1231="Item unavailable"),"Company-caused","Unresolved"))</f>
        <v/>
      </c>
      <c r="J1234" s="33">
        <f>IF(OR(E1234=1,I1234="Company-caused"),1,0)</f>
        <v>1</v>
      </c>
      <c r="K1234" s="32" t="str">
        <f>IF(E1234=0,IF(I1234="Company-caused",IF(Orders!T1231="Rider unavailable","C1 Rider unavailable","C2 Item unavailable"),"Outside root: unresolved"),IF(G1234=0,"A On time",IF(H1234=1,IF(L1234=1,"B2a Severe, peak","B2b Severe, off-peak"),IF(L1234=1,"B1a Slight, peak","B1b Slight, off-peak"))))</f>
        <v>A On time</v>
      </c>
      <c r="L1234" s="33">
        <f>IF(AND(Orders!U1231&gt;=19,Orders!U1231&lt;22),1,0)</f>
        <v>0</v>
      </c>
      <c r="M1234" s="33">
        <f>IF(L1234=IF(Orders!V1231,1,0),1,0)</f>
        <v>1</v>
      </c>
      <c r="N1234" s="32" t="str">
        <f>IF(Orders!W1231="","None",Orders!W1231)</f>
        <v>None</v>
      </c>
      <c r="O1234" s="35">
        <f>INT(Orders!E1231)</f>
        <v>46267.0</v>
      </c>
      <c r="P1234" s="33">
        <f>Orders!U1231</f>
        <v>23</v>
      </c>
      <c r="Q1234" s="33">
        <f>COUNTIFS(Demand!$A$2:$A$4481,B1234,Demand!$B$2:$B$4481,O1234,Demand!$C$2:$C$4481,P1234)</f>
        <v>1</v>
      </c>
      <c r="R1234" s="33">
        <f>IF(Q1234=1,SUMIFS(Demand!$E$2:$E$4481,Demand!$A$2:$A$4481,B1234,Demand!$B$2:$B$4481,O1234,Demand!$C$2:$C$4481,P1234),"")</f>
        <v>35</v>
      </c>
      <c r="S1234" s="33">
        <f>INDEX(Stores!$G$2:$G$21,MATCH(B1234,Stores!$A$2:$A$21,0))</f>
        <v>26</v>
      </c>
      <c r="T1234" s="34">
        <f>IF(R1234="","",R1234/S1234)</f>
        <v>1.34615384615385</v>
      </c>
      <c r="U1234" s="34">
        <f>IF(E1234=1,T1234,"")</f>
        <v>1.34615384615385</v>
      </c>
      <c r="V1234" s="34">
        <f>IF(AND(E1234=1,L1234=0),T1234,"")</f>
        <v>1.34615384615385</v>
      </c>
      <c r="W1234" s="33">
        <f>IF(U1234="","",IF(U1234&lt;=Breakdowns!$C$5,1,IF(U1234&lt;=Breakdowns!$C$6,2,IF(U1234&lt;=Breakdowns!$C$7,3,4))))</f>
        <v>4</v>
      </c>
      <c r="X1234" s="33">
        <f>IF(V1234="","",IF(V1234&lt;=Breakdowns!$D$5,1,IF(V1234&lt;=Breakdowns!$D$6,2,IF(V1234&lt;=Breakdowns!$D$7,3,4))))</f>
        <v>4</v>
      </c>
      <c r="Y1234" s="34">
        <f>INDEX(Stores!$F$2:$F$21,MATCH(B1234,Stores!$A$2:$A$21,0))</f>
        <v>5.22</v>
      </c>
      <c r="Z1234" s="33">
        <f>IF(Y1234&gt;Store_Summary!$M$2,1,0)</f>
        <v>1</v>
      </c>
      <c r="AA1234" s="33">
        <f>INDEX(Stores!$C$2:$C$21,MATCH(B1234,Stores!$A$2:$A$21,0))</f>
        <v>412</v>
      </c>
      <c r="AB1234" s="33">
        <f>IF(AA1234&lt;180,1,0)</f>
        <v>0</v>
      </c>
      <c r="AC1234" s="32" t="str">
        <f>IF(Orders!D1231="","",INDEX(Riders!$C$2:$C$81,MATCH(Orders!D1231,Riders!$A$2:$A$81,0)))</f>
        <v>Petrol scooter</v>
      </c>
      <c r="AD1234" s="33">
        <f>IF(Orders!D1231="","",INDEX(Riders!$D$2:$D$81,MATCH(Orders!D1231,Riders!$A$2:$A$81,0)))</f>
        <v>48</v>
      </c>
      <c r="AE1234" s="33">
        <f>IF(Orders!D1231="","",IF(INDEX(Riders!$B$2:$B$81,MATCH(Orders!D1231,Riders!$A$2:$A$81,0))=B1234,1,0))</f>
        <v>0</v>
      </c>
      <c r="AF1234" s="34">
        <f>IF(E1234=1,Orders!L1231,"")</f>
        <v>1.04</v>
      </c>
      <c r="AG1234" s="34">
        <f>IF(E1234=1,Orders!P1231,"")</f>
        <v>10.6</v>
      </c>
      <c r="AH1234" s="34">
        <f>IF(E1234=1,Orders!Q1231,"")</f>
        <v>10</v>
      </c>
      <c r="AI1234" s="34">
        <f>IF(E1234=1,Orders!M1231,"")</f>
        <v>4.5</v>
      </c>
      <c r="AJ1234" s="34">
        <f>IF(E1234=1,Orders!N1231,"")</f>
        <v>3.3</v>
      </c>
      <c r="AK1234" s="34">
        <f>IF(E1234=1,Orders!O1231,"")</f>
        <v>2.2</v>
      </c>
      <c r="AL1234" s="33">
        <f>IF(E1234=1,IF(ROUND(ABS(AI1234+AJ1234+AK1234-AH1234),6)&lt;=0.1,1,0),"")</f>
        <v>1</v>
      </c>
      <c r="AM1234" s="36">
        <f>IF(E1234=1,AI1234/AH1234,"")</f>
        <v>0.45</v>
      </c>
      <c r="AN1234" s="36">
        <f>IF(E1234=1,AJ1234/AH1234,"")</f>
        <v>0.33</v>
      </c>
      <c r="AO1234" s="36">
        <f>IF(E1234=1,AK1234/AH1234,"")</f>
        <v>0.22</v>
      </c>
      <c r="AP1234" s="34">
        <f>IF(E1234=1,Orders!Y1231,"")</f>
        <v>0.43</v>
      </c>
      <c r="AQ1234" s="33">
        <f>IF(Orders!X1231,1,0)</f>
        <v>0</v>
      </c>
      <c r="AR1234" s="34" t="str">
        <f>IF(AND(E1234=1,L1234=1),AJ1234,"")</f>
        <v/>
      </c>
      <c r="AS1234" s="34">
        <f>IF(AND(E1234=1,L1234=0),AJ1234,"")</f>
        <v>3.3</v>
      </c>
      <c r="AT1234" s="34" t="str">
        <f>IF(AND(E1234=1,L1234=1),AI1234,"")</f>
        <v/>
      </c>
      <c r="AU1234" s="34">
        <f>IF(AND(E1234=1,L1234=0),AI1234,"")</f>
        <v>4.5</v>
      </c>
      <c r="AV1234" s="34" t="str">
        <f>IF(AND(E1234=1,L1234=1),AG1234,"")</f>
        <v/>
      </c>
      <c r="AW1234" s="34">
        <f>IF(AND(E1234=1,L1234=0),AG1234,"")</f>
        <v>10.6</v>
      </c>
      <c r="AX1234" s="34" t="str">
        <f>IF(AND(E1234=1,L1234=1),AH1234,"")</f>
        <v/>
      </c>
      <c r="AY1234" s="34">
        <f>IF(AND(E1234=1,L1234=0),AH1234,"")</f>
        <v>10</v>
      </c>
      <c r="AZ1234" s="34" t="str">
        <f>IF(G1234=1,F1234,"")</f>
        <v/>
      </c>
      <c r="BA1234" s="34" t="str">
        <f>IF(AND(G1234=1,L1234=1),F1234,"")</f>
        <v/>
      </c>
      <c r="BB1234" s="34" t="str">
        <f>IF(AND(G1234=1,L1234=0),F1234,"")</f>
        <v/>
      </c>
      <c r="BC1234" s="33">
        <f>IF(E1234=1,IF(Orders!R1231&gt;3,1,0),"")</f>
        <v>0</v>
      </c>
      <c r="BD1234" s="33">
        <f>IF(E1234=1,IF(Orders!R1231&gt;7,1,0),"")</f>
        <v>0</v>
      </c>
      <c r="BE1234" s="32" t="str">
        <f>IF(E1234=1,IF(Orders!L1231&lt;=1.5,"Up to 1.5 km",IF(Orders!L1231&lt;=3,"1.5–3 km","Over 3 km")),"")</f>
        <v>Up to 1.5 km</v>
      </c>
      <c r="BF1234" s="33">
        <f>IF(E1234=1,IF(ABS((Orders!G1231-Orders!F1231)*1440-Orders!R1231)&lt;0.06,1,0),"")</f>
        <v>1</v>
      </c>
      <c r="BG1234" s="33">
        <f>IF(ABS((Orders!F1231-Orders!E1231)*1440-Orders!P1231)&lt;0.06,1,0)</f>
        <v>1</v>
      </c>
      <c r="BH1234" s="33">
        <f>IF(E1234=1,IF(IF(Orders!S1231,1,0)=1-G1234,1,0),"")</f>
        <v>1</v>
      </c>
      <c r="BI1234" s="32" t="str">
        <f>INDEX(Stores!$B$2:$B$21,MATCH(B1234,Stores!$A$2:$A$21,0))</f>
        <v>Bengaluru</v>
      </c>
    </row>
    <row r="1235">
      <c r="A1235" s="32" t="str">
        <f>Orders!A1232</f>
        <v>O01231</v>
      </c>
      <c r="B1235" s="32" t="str">
        <f>Orders!C1232</f>
        <v>S011</v>
      </c>
      <c r="C1235" s="32" t="str">
        <f>Orders!B1232</f>
        <v>C0013</v>
      </c>
      <c r="D1235" s="32" t="str">
        <f>Orders!H1232</f>
        <v>Delivered</v>
      </c>
      <c r="E1235" s="33">
        <f>IF(Orders!H1232="Delivered",1,0)</f>
        <v>1</v>
      </c>
      <c r="F1235" s="34">
        <f>IF(E1235=1,Orders!R1232,"")</f>
        <v>7</v>
      </c>
      <c r="G1235" s="33">
        <f>IF(E1235=1,IF(Orders!R1232&gt;0,1,0),"")</f>
        <v>1</v>
      </c>
      <c r="H1235" s="33">
        <f>IF(E1235=1,IF(Orders!R1232&gt;5,1,0),"")</f>
        <v>1</v>
      </c>
      <c r="I1235" s="32" t="str">
        <f>IF(E1235=1,"",IF(OR(Orders!T1232="Rider unavailable",Orders!T1232="Item unavailable"),"Company-caused","Unresolved"))</f>
        <v/>
      </c>
      <c r="J1235" s="33">
        <f>IF(OR(E1235=1,I1235="Company-caused"),1,0)</f>
        <v>1</v>
      </c>
      <c r="K1235" s="32" t="str">
        <f>IF(E1235=0,IF(I1235="Company-caused",IF(Orders!T1232="Rider unavailable","C1 Rider unavailable","C2 Item unavailable"),"Outside root: unresolved"),IF(G1235=0,"A On time",IF(H1235=1,IF(L1235=1,"B2a Severe, peak","B2b Severe, off-peak"),IF(L1235=1,"B1a Slight, peak","B1b Slight, off-peak"))))</f>
        <v>B2b Severe, off-peak</v>
      </c>
      <c r="L1235" s="33">
        <f>IF(AND(Orders!U1232&gt;=19,Orders!U1232&lt;22),1,0)</f>
        <v>0</v>
      </c>
      <c r="M1235" s="33">
        <f>IF(L1235=IF(Orders!V1232,1,0),1,0)</f>
        <v>1</v>
      </c>
      <c r="N1235" s="32" t="str">
        <f>IF(Orders!W1232="","None",Orders!W1232)</f>
        <v>None</v>
      </c>
      <c r="O1235" s="35">
        <f>INT(Orders!E1232)</f>
        <v>46272.0</v>
      </c>
      <c r="P1235" s="33">
        <f>Orders!U1232</f>
        <v>12</v>
      </c>
      <c r="Q1235" s="33">
        <f>COUNTIFS(Demand!$A$2:$A$4481,B1235,Demand!$B$2:$B$4481,O1235,Demand!$C$2:$C$4481,P1235)</f>
        <v>1</v>
      </c>
      <c r="R1235" s="33">
        <f>IF(Q1235=1,SUMIFS(Demand!$E$2:$E$4481,Demand!$A$2:$A$4481,B1235,Demand!$B$2:$B$4481,O1235,Demand!$C$2:$C$4481,P1235),"")</f>
        <v>29</v>
      </c>
      <c r="S1235" s="33">
        <f>INDEX(Stores!$G$2:$G$21,MATCH(B1235,Stores!$A$2:$A$21,0))</f>
        <v>31</v>
      </c>
      <c r="T1235" s="34">
        <f>IF(R1235="","",R1235/S1235)</f>
        <v>0.935483870967742</v>
      </c>
      <c r="U1235" s="34">
        <f>IF(E1235=1,T1235,"")</f>
        <v>0.935483870967742</v>
      </c>
      <c r="V1235" s="34">
        <f>IF(AND(E1235=1,L1235=0),T1235,"")</f>
        <v>0.935483870967742</v>
      </c>
      <c r="W1235" s="33">
        <f>IF(U1235="","",IF(U1235&lt;=Breakdowns!$C$5,1,IF(U1235&lt;=Breakdowns!$C$6,2,IF(U1235&lt;=Breakdowns!$C$7,3,4))))</f>
        <v>2</v>
      </c>
      <c r="X1235" s="33">
        <f>IF(V1235="","",IF(V1235&lt;=Breakdowns!$D$5,1,IF(V1235&lt;=Breakdowns!$D$6,2,IF(V1235&lt;=Breakdowns!$D$7,3,4))))</f>
        <v>3</v>
      </c>
      <c r="Y1235" s="34">
        <f>INDEX(Stores!$F$2:$F$21,MATCH(B1235,Stores!$A$2:$A$21,0))</f>
        <v>5.67</v>
      </c>
      <c r="Z1235" s="33">
        <f>IF(Y1235&gt;Store_Summary!$M$2,1,0)</f>
        <v>1</v>
      </c>
      <c r="AA1235" s="33">
        <f>INDEX(Stores!$C$2:$C$21,MATCH(B1235,Stores!$A$2:$A$21,0))</f>
        <v>732</v>
      </c>
      <c r="AB1235" s="33">
        <f>IF(AA1235&lt;180,1,0)</f>
        <v>0</v>
      </c>
      <c r="AC1235" s="32" t="str">
        <f>IF(Orders!D1232="","",INDEX(Riders!$C$2:$C$81,MATCH(Orders!D1232,Riders!$A$2:$A$81,0)))</f>
        <v>EV scooter</v>
      </c>
      <c r="AD1235" s="33">
        <f>IF(Orders!D1232="","",INDEX(Riders!$D$2:$D$81,MATCH(Orders!D1232,Riders!$A$2:$A$81,0)))</f>
        <v>27</v>
      </c>
      <c r="AE1235" s="33">
        <f>IF(Orders!D1232="","",IF(INDEX(Riders!$B$2:$B$81,MATCH(Orders!D1232,Riders!$A$2:$A$81,0))=B1235,1,0))</f>
        <v>0</v>
      </c>
      <c r="AF1235" s="34">
        <f>IF(E1235=1,Orders!L1232,"")</f>
        <v>3.3</v>
      </c>
      <c r="AG1235" s="34">
        <f>IF(E1235=1,Orders!P1232,"")</f>
        <v>12.2</v>
      </c>
      <c r="AH1235" s="34">
        <f>IF(E1235=1,Orders!Q1232,"")</f>
        <v>19.2</v>
      </c>
      <c r="AI1235" s="34">
        <f>IF(E1235=1,Orders!M1232,"")</f>
        <v>6.5</v>
      </c>
      <c r="AJ1235" s="34">
        <f>IF(E1235=1,Orders!N1232,"")</f>
        <v>3.9</v>
      </c>
      <c r="AK1235" s="34">
        <f>IF(E1235=1,Orders!O1232,"")</f>
        <v>8.9</v>
      </c>
      <c r="AL1235" s="33">
        <f>IF(E1235=1,IF(ROUND(ABS(AI1235+AJ1235+AK1235-AH1235),6)&lt;=0.1,1,0),"")</f>
        <v>1</v>
      </c>
      <c r="AM1235" s="36">
        <f>IF(E1235=1,AI1235/AH1235,"")</f>
        <v>0.338541666666667</v>
      </c>
      <c r="AN1235" s="36">
        <f>IF(E1235=1,AJ1235/AH1235,"")</f>
        <v>0.203125</v>
      </c>
      <c r="AO1235" s="36">
        <f>IF(E1235=1,AK1235/AH1235,"")</f>
        <v>0.463541666666667</v>
      </c>
      <c r="AP1235" s="34">
        <f>IF(E1235=1,Orders!Y1232,"")</f>
        <v>0.6</v>
      </c>
      <c r="AQ1235" s="33">
        <f>IF(Orders!X1232,1,0)</f>
        <v>0</v>
      </c>
      <c r="AR1235" s="34" t="str">
        <f>IF(AND(E1235=1,L1235=1),AJ1235,"")</f>
        <v/>
      </c>
      <c r="AS1235" s="34">
        <f>IF(AND(E1235=1,L1235=0),AJ1235,"")</f>
        <v>3.9</v>
      </c>
      <c r="AT1235" s="34" t="str">
        <f>IF(AND(E1235=1,L1235=1),AI1235,"")</f>
        <v/>
      </c>
      <c r="AU1235" s="34">
        <f>IF(AND(E1235=1,L1235=0),AI1235,"")</f>
        <v>6.5</v>
      </c>
      <c r="AV1235" s="34" t="str">
        <f>IF(AND(E1235=1,L1235=1),AG1235,"")</f>
        <v/>
      </c>
      <c r="AW1235" s="34">
        <f>IF(AND(E1235=1,L1235=0),AG1235,"")</f>
        <v>12.2</v>
      </c>
      <c r="AX1235" s="34" t="str">
        <f>IF(AND(E1235=1,L1235=1),AH1235,"")</f>
        <v/>
      </c>
      <c r="AY1235" s="34">
        <f>IF(AND(E1235=1,L1235=0),AH1235,"")</f>
        <v>19.2</v>
      </c>
      <c r="AZ1235" s="34">
        <f>IF(G1235=1,F1235,"")</f>
        <v>7</v>
      </c>
      <c r="BA1235" s="34" t="str">
        <f>IF(AND(G1235=1,L1235=1),F1235,"")</f>
        <v/>
      </c>
      <c r="BB1235" s="34">
        <f>IF(AND(G1235=1,L1235=0),F1235,"")</f>
        <v>7</v>
      </c>
      <c r="BC1235" s="33">
        <f>IF(E1235=1,IF(Orders!R1232&gt;3,1,0),"")</f>
        <v>1</v>
      </c>
      <c r="BD1235" s="33">
        <f>IF(E1235=1,IF(Orders!R1232&gt;7,1,0),"")</f>
        <v>0</v>
      </c>
      <c r="BE1235" s="32" t="str">
        <f>IF(E1235=1,IF(Orders!L1232&lt;=1.5,"Up to 1.5 km",IF(Orders!L1232&lt;=3,"1.5–3 km","Over 3 km")),"")</f>
        <v>Over 3 km</v>
      </c>
      <c r="BF1235" s="33">
        <f>IF(E1235=1,IF(ABS((Orders!G1232-Orders!F1232)*1440-Orders!R1232)&lt;0.06,1,0),"")</f>
        <v>1</v>
      </c>
      <c r="BG1235" s="33">
        <f>IF(ABS((Orders!F1232-Orders!E1232)*1440-Orders!P1232)&lt;0.06,1,0)</f>
        <v>1</v>
      </c>
      <c r="BH1235" s="33">
        <f>IF(E1235=1,IF(IF(Orders!S1232,1,0)=1-G1235,1,0),"")</f>
        <v>1</v>
      </c>
      <c r="BI1235" s="32" t="str">
        <f>INDEX(Stores!$B$2:$B$21,MATCH(B1235,Stores!$A$2:$A$21,0))</f>
        <v>Bengaluru</v>
      </c>
    </row>
    <row r="1236">
      <c r="A1236" s="32" t="str">
        <f>Orders!A1233</f>
        <v>O01232</v>
      </c>
      <c r="B1236" s="32" t="str">
        <f>Orders!C1233</f>
        <v>S005</v>
      </c>
      <c r="C1236" s="32" t="str">
        <f>Orders!B1233</f>
        <v>C0147</v>
      </c>
      <c r="D1236" s="32" t="str">
        <f>Orders!H1233</f>
        <v>Delivered</v>
      </c>
      <c r="E1236" s="33">
        <f>IF(Orders!H1233="Delivered",1,0)</f>
        <v>1</v>
      </c>
      <c r="F1236" s="34">
        <f>IF(E1236=1,Orders!R1233,"")</f>
        <v>-1</v>
      </c>
      <c r="G1236" s="33">
        <f>IF(E1236=1,IF(Orders!R1233&gt;0,1,0),"")</f>
        <v>0</v>
      </c>
      <c r="H1236" s="33">
        <f>IF(E1236=1,IF(Orders!R1233&gt;5,1,0),"")</f>
        <v>0</v>
      </c>
      <c r="I1236" s="32" t="str">
        <f>IF(E1236=1,"",IF(OR(Orders!T1233="Rider unavailable",Orders!T1233="Item unavailable"),"Company-caused","Unresolved"))</f>
        <v/>
      </c>
      <c r="J1236" s="33">
        <f>IF(OR(E1236=1,I1236="Company-caused"),1,0)</f>
        <v>1</v>
      </c>
      <c r="K1236" s="32" t="str">
        <f>IF(E1236=0,IF(I1236="Company-caused",IF(Orders!T1233="Rider unavailable","C1 Rider unavailable","C2 Item unavailable"),"Outside root: unresolved"),IF(G1236=0,"A On time",IF(H1236=1,IF(L1236=1,"B2a Severe, peak","B2b Severe, off-peak"),IF(L1236=1,"B1a Slight, peak","B1b Slight, off-peak"))))</f>
        <v>A On time</v>
      </c>
      <c r="L1236" s="33">
        <f>IF(AND(Orders!U1233&gt;=19,Orders!U1233&lt;22),1,0)</f>
        <v>0</v>
      </c>
      <c r="M1236" s="33">
        <f>IF(L1236=IF(Orders!V1233,1,0),1,0)</f>
        <v>1</v>
      </c>
      <c r="N1236" s="32" t="str">
        <f>IF(Orders!W1233="","None",Orders!W1233)</f>
        <v>None</v>
      </c>
      <c r="O1236" s="35">
        <f>INT(Orders!E1233)</f>
        <v>46267.0</v>
      </c>
      <c r="P1236" s="33">
        <f>Orders!U1233</f>
        <v>17</v>
      </c>
      <c r="Q1236" s="33">
        <f>COUNTIFS(Demand!$A$2:$A$4481,B1236,Demand!$B$2:$B$4481,O1236,Demand!$C$2:$C$4481,P1236)</f>
        <v>1</v>
      </c>
      <c r="R1236" s="33">
        <f>IF(Q1236=1,SUMIFS(Demand!$E$2:$E$4481,Demand!$A$2:$A$4481,B1236,Demand!$B$2:$B$4481,O1236,Demand!$C$2:$C$4481,P1236),"")</f>
        <v>16</v>
      </c>
      <c r="S1236" s="33">
        <f>INDEX(Stores!$G$2:$G$21,MATCH(B1236,Stores!$A$2:$A$21,0))</f>
        <v>14</v>
      </c>
      <c r="T1236" s="34">
        <f>IF(R1236="","",R1236/S1236)</f>
        <v>1.14285714285714</v>
      </c>
      <c r="U1236" s="34">
        <f>IF(E1236=1,T1236,"")</f>
        <v>1.14285714285714</v>
      </c>
      <c r="V1236" s="34">
        <f>IF(AND(E1236=1,L1236=0),T1236,"")</f>
        <v>1.14285714285714</v>
      </c>
      <c r="W1236" s="33">
        <f>IF(U1236="","",IF(U1236&lt;=Breakdowns!$C$5,1,IF(U1236&lt;=Breakdowns!$C$6,2,IF(U1236&lt;=Breakdowns!$C$7,3,4))))</f>
        <v>3</v>
      </c>
      <c r="X1236" s="33">
        <f>IF(V1236="","",IF(V1236&lt;=Breakdowns!$D$5,1,IF(V1236&lt;=Breakdowns!$D$6,2,IF(V1236&lt;=Breakdowns!$D$7,3,4))))</f>
        <v>4</v>
      </c>
      <c r="Y1236" s="34">
        <f>INDEX(Stores!$F$2:$F$21,MATCH(B1236,Stores!$A$2:$A$21,0))</f>
        <v>4.89</v>
      </c>
      <c r="Z1236" s="33">
        <f>IF(Y1236&gt;Store_Summary!$M$2,1,0)</f>
        <v>0</v>
      </c>
      <c r="AA1236" s="33">
        <f>INDEX(Stores!$C$2:$C$21,MATCH(B1236,Stores!$A$2:$A$21,0))</f>
        <v>138</v>
      </c>
      <c r="AB1236" s="33">
        <f>IF(AA1236&lt;180,1,0)</f>
        <v>1</v>
      </c>
      <c r="AC1236" s="32" t="str">
        <f>IF(Orders!D1233="","",INDEX(Riders!$C$2:$C$81,MATCH(Orders!D1233,Riders!$A$2:$A$81,0)))</f>
        <v>Petrol scooter</v>
      </c>
      <c r="AD1236" s="33">
        <f>IF(Orders!D1233="","",INDEX(Riders!$D$2:$D$81,MATCH(Orders!D1233,Riders!$A$2:$A$81,0)))</f>
        <v>2</v>
      </c>
      <c r="AE1236" s="33">
        <f>IF(Orders!D1233="","",IF(INDEX(Riders!$B$2:$B$81,MATCH(Orders!D1233,Riders!$A$2:$A$81,0))=B1236,1,0))</f>
        <v>0</v>
      </c>
      <c r="AF1236" s="34">
        <f>IF(E1236=1,Orders!L1233,"")</f>
        <v>2.67</v>
      </c>
      <c r="AG1236" s="34">
        <f>IF(E1236=1,Orders!P1233,"")</f>
        <v>11.9</v>
      </c>
      <c r="AH1236" s="34">
        <f>IF(E1236=1,Orders!Q1233,"")</f>
        <v>10.9</v>
      </c>
      <c r="AI1236" s="34">
        <f>IF(E1236=1,Orders!M1233,"")</f>
        <v>3.2</v>
      </c>
      <c r="AJ1236" s="34">
        <f>IF(E1236=1,Orders!N1233,"")</f>
        <v>3.1</v>
      </c>
      <c r="AK1236" s="34">
        <f>IF(E1236=1,Orders!O1233,"")</f>
        <v>4.6</v>
      </c>
      <c r="AL1236" s="33">
        <f>IF(E1236=1,IF(ROUND(ABS(AI1236+AJ1236+AK1236-AH1236),6)&lt;=0.1,1,0),"")</f>
        <v>1</v>
      </c>
      <c r="AM1236" s="36">
        <f>IF(E1236=1,AI1236/AH1236,"")</f>
        <v>0.293577981651376</v>
      </c>
      <c r="AN1236" s="36">
        <f>IF(E1236=1,AJ1236/AH1236,"")</f>
        <v>0.284403669724771</v>
      </c>
      <c r="AO1236" s="36">
        <f>IF(E1236=1,AK1236/AH1236,"")</f>
        <v>0.422018348623853</v>
      </c>
      <c r="AP1236" s="34">
        <f>IF(E1236=1,Orders!Y1233,"")</f>
        <v>0.89</v>
      </c>
      <c r="AQ1236" s="33">
        <f>IF(Orders!X1233,1,0)</f>
        <v>1</v>
      </c>
      <c r="AR1236" s="34" t="str">
        <f>IF(AND(E1236=1,L1236=1),AJ1236,"")</f>
        <v/>
      </c>
      <c r="AS1236" s="34">
        <f>IF(AND(E1236=1,L1236=0),AJ1236,"")</f>
        <v>3.1</v>
      </c>
      <c r="AT1236" s="34" t="str">
        <f>IF(AND(E1236=1,L1236=1),AI1236,"")</f>
        <v/>
      </c>
      <c r="AU1236" s="34">
        <f>IF(AND(E1236=1,L1236=0),AI1236,"")</f>
        <v>3.2</v>
      </c>
      <c r="AV1236" s="34" t="str">
        <f>IF(AND(E1236=1,L1236=1),AG1236,"")</f>
        <v/>
      </c>
      <c r="AW1236" s="34">
        <f>IF(AND(E1236=1,L1236=0),AG1236,"")</f>
        <v>11.9</v>
      </c>
      <c r="AX1236" s="34" t="str">
        <f>IF(AND(E1236=1,L1236=1),AH1236,"")</f>
        <v/>
      </c>
      <c r="AY1236" s="34">
        <f>IF(AND(E1236=1,L1236=0),AH1236,"")</f>
        <v>10.9</v>
      </c>
      <c r="AZ1236" s="34" t="str">
        <f>IF(G1236=1,F1236,"")</f>
        <v/>
      </c>
      <c r="BA1236" s="34" t="str">
        <f>IF(AND(G1236=1,L1236=1),F1236,"")</f>
        <v/>
      </c>
      <c r="BB1236" s="34" t="str">
        <f>IF(AND(G1236=1,L1236=0),F1236,"")</f>
        <v/>
      </c>
      <c r="BC1236" s="33">
        <f>IF(E1236=1,IF(Orders!R1233&gt;3,1,0),"")</f>
        <v>0</v>
      </c>
      <c r="BD1236" s="33">
        <f>IF(E1236=1,IF(Orders!R1233&gt;7,1,0),"")</f>
        <v>0</v>
      </c>
      <c r="BE1236" s="32" t="str">
        <f>IF(E1236=1,IF(Orders!L1233&lt;=1.5,"Up to 1.5 km",IF(Orders!L1233&lt;=3,"1.5–3 km","Over 3 km")),"")</f>
        <v>1.5–3 km</v>
      </c>
      <c r="BF1236" s="33">
        <f>IF(E1236=1,IF(ABS((Orders!G1233-Orders!F1233)*1440-Orders!R1233)&lt;0.06,1,0),"")</f>
        <v>1</v>
      </c>
      <c r="BG1236" s="33">
        <f>IF(ABS((Orders!F1233-Orders!E1233)*1440-Orders!P1233)&lt;0.06,1,0)</f>
        <v>1</v>
      </c>
      <c r="BH1236" s="33">
        <f>IF(E1236=1,IF(IF(Orders!S1233,1,0)=1-G1236,1,0),"")</f>
        <v>1</v>
      </c>
      <c r="BI1236" s="32" t="str">
        <f>INDEX(Stores!$B$2:$B$21,MATCH(B1236,Stores!$A$2:$A$21,0))</f>
        <v>Delhi</v>
      </c>
    </row>
    <row r="1237">
      <c r="A1237" s="32" t="str">
        <f>Orders!A1234</f>
        <v>O01233</v>
      </c>
      <c r="B1237" s="32" t="str">
        <f>Orders!C1234</f>
        <v>S006</v>
      </c>
      <c r="C1237" s="32" t="str">
        <f>Orders!B1234</f>
        <v>C0196</v>
      </c>
      <c r="D1237" s="32" t="str">
        <f>Orders!H1234</f>
        <v>Delivered</v>
      </c>
      <c r="E1237" s="33">
        <f>IF(Orders!H1234="Delivered",1,0)</f>
        <v>1</v>
      </c>
      <c r="F1237" s="34">
        <f>IF(E1237=1,Orders!R1234,"")</f>
        <v>-0.3</v>
      </c>
      <c r="G1237" s="33">
        <f>IF(E1237=1,IF(Orders!R1234&gt;0,1,0),"")</f>
        <v>0</v>
      </c>
      <c r="H1237" s="33">
        <f>IF(E1237=1,IF(Orders!R1234&gt;5,1,0),"")</f>
        <v>0</v>
      </c>
      <c r="I1237" s="32" t="str">
        <f>IF(E1237=1,"",IF(OR(Orders!T1234="Rider unavailable",Orders!T1234="Item unavailable"),"Company-caused","Unresolved"))</f>
        <v/>
      </c>
      <c r="J1237" s="33">
        <f>IF(OR(E1237=1,I1237="Company-caused"),1,0)</f>
        <v>1</v>
      </c>
      <c r="K1237" s="32" t="str">
        <f>IF(E1237=0,IF(I1237="Company-caused",IF(Orders!T1234="Rider unavailable","C1 Rider unavailable","C2 Item unavailable"),"Outside root: unresolved"),IF(G1237=0,"A On time",IF(H1237=1,IF(L1237=1,"B2a Severe, peak","B2b Severe, off-peak"),IF(L1237=1,"B1a Slight, peak","B1b Slight, off-peak"))))</f>
        <v>A On time</v>
      </c>
      <c r="L1237" s="33">
        <f>IF(AND(Orders!U1234&gt;=19,Orders!U1234&lt;22),1,0)</f>
        <v>0</v>
      </c>
      <c r="M1237" s="33">
        <f>IF(L1237=IF(Orders!V1234,1,0),1,0)</f>
        <v>1</v>
      </c>
      <c r="N1237" s="32" t="str">
        <f>IF(Orders!W1234="","None",Orders!W1234)</f>
        <v>None</v>
      </c>
      <c r="O1237" s="35">
        <f>INT(Orders!E1234)</f>
        <v>46273.0</v>
      </c>
      <c r="P1237" s="33">
        <f>Orders!U1234</f>
        <v>23</v>
      </c>
      <c r="Q1237" s="33">
        <f>COUNTIFS(Demand!$A$2:$A$4481,B1237,Demand!$B$2:$B$4481,O1237,Demand!$C$2:$C$4481,P1237)</f>
        <v>1</v>
      </c>
      <c r="R1237" s="33">
        <f>IF(Q1237=1,SUMIFS(Demand!$E$2:$E$4481,Demand!$A$2:$A$4481,B1237,Demand!$B$2:$B$4481,O1237,Demand!$C$2:$C$4481,P1237),"")</f>
        <v>33</v>
      </c>
      <c r="S1237" s="33">
        <f>INDEX(Stores!$G$2:$G$21,MATCH(B1237,Stores!$A$2:$A$21,0))</f>
        <v>26</v>
      </c>
      <c r="T1237" s="34">
        <f>IF(R1237="","",R1237/S1237)</f>
        <v>1.26923076923077</v>
      </c>
      <c r="U1237" s="34">
        <f>IF(E1237=1,T1237,"")</f>
        <v>1.26923076923077</v>
      </c>
      <c r="V1237" s="34">
        <f>IF(AND(E1237=1,L1237=0),T1237,"")</f>
        <v>1.26923076923077</v>
      </c>
      <c r="W1237" s="33">
        <f>IF(U1237="","",IF(U1237&lt;=Breakdowns!$C$5,1,IF(U1237&lt;=Breakdowns!$C$6,2,IF(U1237&lt;=Breakdowns!$C$7,3,4))))</f>
        <v>4</v>
      </c>
      <c r="X1237" s="33">
        <f>IF(V1237="","",IF(V1237&lt;=Breakdowns!$D$5,1,IF(V1237&lt;=Breakdowns!$D$6,2,IF(V1237&lt;=Breakdowns!$D$7,3,4))))</f>
        <v>4</v>
      </c>
      <c r="Y1237" s="34">
        <f>INDEX(Stores!$F$2:$F$21,MATCH(B1237,Stores!$A$2:$A$21,0))</f>
        <v>5.22</v>
      </c>
      <c r="Z1237" s="33">
        <f>IF(Y1237&gt;Store_Summary!$M$2,1,0)</f>
        <v>1</v>
      </c>
      <c r="AA1237" s="33">
        <f>INDEX(Stores!$C$2:$C$21,MATCH(B1237,Stores!$A$2:$A$21,0))</f>
        <v>412</v>
      </c>
      <c r="AB1237" s="33">
        <f>IF(AA1237&lt;180,1,0)</f>
        <v>0</v>
      </c>
      <c r="AC1237" s="32" t="str">
        <f>IF(Orders!D1234="","",INDEX(Riders!$C$2:$C$81,MATCH(Orders!D1234,Riders!$A$2:$A$81,0)))</f>
        <v>Petrol scooter</v>
      </c>
      <c r="AD1237" s="33">
        <f>IF(Orders!D1234="","",INDEX(Riders!$D$2:$D$81,MATCH(Orders!D1234,Riders!$A$2:$A$81,0)))</f>
        <v>11</v>
      </c>
      <c r="AE1237" s="33">
        <f>IF(Orders!D1234="","",IF(INDEX(Riders!$B$2:$B$81,MATCH(Orders!D1234,Riders!$A$2:$A$81,0))=B1237,1,0))</f>
        <v>0</v>
      </c>
      <c r="AF1237" s="34">
        <f>IF(E1237=1,Orders!L1234,"")</f>
        <v>3.24</v>
      </c>
      <c r="AG1237" s="34">
        <f>IF(E1237=1,Orders!P1234,"")</f>
        <v>13.5</v>
      </c>
      <c r="AH1237" s="34">
        <f>IF(E1237=1,Orders!Q1234,"")</f>
        <v>13.2</v>
      </c>
      <c r="AI1237" s="34">
        <f>IF(E1237=1,Orders!M1234,"")</f>
        <v>4.2</v>
      </c>
      <c r="AJ1237" s="34">
        <f>IF(E1237=1,Orders!N1234,"")</f>
        <v>1.3</v>
      </c>
      <c r="AK1237" s="34">
        <f>IF(E1237=1,Orders!O1234,"")</f>
        <v>7.7</v>
      </c>
      <c r="AL1237" s="33">
        <f>IF(E1237=1,IF(ROUND(ABS(AI1237+AJ1237+AK1237-AH1237),6)&lt;=0.1,1,0),"")</f>
        <v>1</v>
      </c>
      <c r="AM1237" s="36">
        <f>IF(E1237=1,AI1237/AH1237,"")</f>
        <v>0.318181818181818</v>
      </c>
      <c r="AN1237" s="36">
        <f>IF(E1237=1,AJ1237/AH1237,"")</f>
        <v>0.0984848484848485</v>
      </c>
      <c r="AO1237" s="36">
        <f>IF(E1237=1,AK1237/AH1237,"")</f>
        <v>0.583333333333333</v>
      </c>
      <c r="AP1237" s="34">
        <f>IF(E1237=1,Orders!Y1234,"")</f>
        <v>0.59</v>
      </c>
      <c r="AQ1237" s="33">
        <f>IF(Orders!X1234,1,0)</f>
        <v>0</v>
      </c>
      <c r="AR1237" s="34" t="str">
        <f>IF(AND(E1237=1,L1237=1),AJ1237,"")</f>
        <v/>
      </c>
      <c r="AS1237" s="34">
        <f>IF(AND(E1237=1,L1237=0),AJ1237,"")</f>
        <v>1.3</v>
      </c>
      <c r="AT1237" s="34" t="str">
        <f>IF(AND(E1237=1,L1237=1),AI1237,"")</f>
        <v/>
      </c>
      <c r="AU1237" s="34">
        <f>IF(AND(E1237=1,L1237=0),AI1237,"")</f>
        <v>4.2</v>
      </c>
      <c r="AV1237" s="34" t="str">
        <f>IF(AND(E1237=1,L1237=1),AG1237,"")</f>
        <v/>
      </c>
      <c r="AW1237" s="34">
        <f>IF(AND(E1237=1,L1237=0),AG1237,"")</f>
        <v>13.5</v>
      </c>
      <c r="AX1237" s="34" t="str">
        <f>IF(AND(E1237=1,L1237=1),AH1237,"")</f>
        <v/>
      </c>
      <c r="AY1237" s="34">
        <f>IF(AND(E1237=1,L1237=0),AH1237,"")</f>
        <v>13.2</v>
      </c>
      <c r="AZ1237" s="34" t="str">
        <f>IF(G1237=1,F1237,"")</f>
        <v/>
      </c>
      <c r="BA1237" s="34" t="str">
        <f>IF(AND(G1237=1,L1237=1),F1237,"")</f>
        <v/>
      </c>
      <c r="BB1237" s="34" t="str">
        <f>IF(AND(G1237=1,L1237=0),F1237,"")</f>
        <v/>
      </c>
      <c r="BC1237" s="33">
        <f>IF(E1237=1,IF(Orders!R1234&gt;3,1,0),"")</f>
        <v>0</v>
      </c>
      <c r="BD1237" s="33">
        <f>IF(E1237=1,IF(Orders!R1234&gt;7,1,0),"")</f>
        <v>0</v>
      </c>
      <c r="BE1237" s="32" t="str">
        <f>IF(E1237=1,IF(Orders!L1234&lt;=1.5,"Up to 1.5 km",IF(Orders!L1234&lt;=3,"1.5–3 km","Over 3 km")),"")</f>
        <v>Over 3 km</v>
      </c>
      <c r="BF1237" s="33">
        <f>IF(E1237=1,IF(ABS((Orders!G1234-Orders!F1234)*1440-Orders!R1234)&lt;0.06,1,0),"")</f>
        <v>1</v>
      </c>
      <c r="BG1237" s="33">
        <f>IF(ABS((Orders!F1234-Orders!E1234)*1440-Orders!P1234)&lt;0.06,1,0)</f>
        <v>1</v>
      </c>
      <c r="BH1237" s="33">
        <f>IF(E1237=1,IF(IF(Orders!S1234,1,0)=1-G1237,1,0),"")</f>
        <v>1</v>
      </c>
      <c r="BI1237" s="32" t="str">
        <f>INDEX(Stores!$B$2:$B$21,MATCH(B1237,Stores!$A$2:$A$21,0))</f>
        <v>Bengaluru</v>
      </c>
    </row>
    <row r="1238">
      <c r="A1238" s="32" t="str">
        <f>Orders!A1235</f>
        <v>O01234</v>
      </c>
      <c r="B1238" s="32" t="str">
        <f>Orders!C1235</f>
        <v>S012</v>
      </c>
      <c r="C1238" s="32" t="str">
        <f>Orders!B1235</f>
        <v>C0233</v>
      </c>
      <c r="D1238" s="32" t="str">
        <f>Orders!H1235</f>
        <v>Delivered</v>
      </c>
      <c r="E1238" s="33">
        <f>IF(Orders!H1235="Delivered",1,0)</f>
        <v>1</v>
      </c>
      <c r="F1238" s="34">
        <f>IF(E1238=1,Orders!R1235,"")</f>
        <v>-0.6</v>
      </c>
      <c r="G1238" s="33">
        <f>IF(E1238=1,IF(Orders!R1235&gt;0,1,0),"")</f>
        <v>0</v>
      </c>
      <c r="H1238" s="33">
        <f>IF(E1238=1,IF(Orders!R1235&gt;5,1,0),"")</f>
        <v>0</v>
      </c>
      <c r="I1238" s="32" t="str">
        <f>IF(E1238=1,"",IF(OR(Orders!T1235="Rider unavailable",Orders!T1235="Item unavailable"),"Company-caused","Unresolved"))</f>
        <v/>
      </c>
      <c r="J1238" s="33">
        <f>IF(OR(E1238=1,I1238="Company-caused"),1,0)</f>
        <v>1</v>
      </c>
      <c r="K1238" s="32" t="str">
        <f>IF(E1238=0,IF(I1238="Company-caused",IF(Orders!T1235="Rider unavailable","C1 Rider unavailable","C2 Item unavailable"),"Outside root: unresolved"),IF(G1238=0,"A On time",IF(H1238=1,IF(L1238=1,"B2a Severe, peak","B2b Severe, off-peak"),IF(L1238=1,"B1a Slight, peak","B1b Slight, off-peak"))))</f>
        <v>A On time</v>
      </c>
      <c r="L1238" s="33">
        <f>IF(AND(Orders!U1235&gt;=19,Orders!U1235&lt;22),1,0)</f>
        <v>0</v>
      </c>
      <c r="M1238" s="33">
        <f>IF(L1238=IF(Orders!V1235,1,0),1,0)</f>
        <v>1</v>
      </c>
      <c r="N1238" s="32" t="str">
        <f>IF(Orders!W1235="","None",Orders!W1235)</f>
        <v>None</v>
      </c>
      <c r="O1238" s="35">
        <f>INT(Orders!E1235)</f>
        <v>46275.0</v>
      </c>
      <c r="P1238" s="33">
        <f>Orders!U1235</f>
        <v>16</v>
      </c>
      <c r="Q1238" s="33">
        <f>COUNTIFS(Demand!$A$2:$A$4481,B1238,Demand!$B$2:$B$4481,O1238,Demand!$C$2:$C$4481,P1238)</f>
        <v>1</v>
      </c>
      <c r="R1238" s="33">
        <f>IF(Q1238=1,SUMIFS(Demand!$E$2:$E$4481,Demand!$A$2:$A$4481,B1238,Demand!$B$2:$B$4481,O1238,Demand!$C$2:$C$4481,P1238),"")</f>
        <v>21</v>
      </c>
      <c r="S1238" s="33">
        <f>INDEX(Stores!$G$2:$G$21,MATCH(B1238,Stores!$A$2:$A$21,0))</f>
        <v>15</v>
      </c>
      <c r="T1238" s="34">
        <f>IF(R1238="","",R1238/S1238)</f>
        <v>1.4</v>
      </c>
      <c r="U1238" s="34">
        <f>IF(E1238=1,T1238,"")</f>
        <v>1.4</v>
      </c>
      <c r="V1238" s="34">
        <f>IF(AND(E1238=1,L1238=0),T1238,"")</f>
        <v>1.4</v>
      </c>
      <c r="W1238" s="33">
        <f>IF(U1238="","",IF(U1238&lt;=Breakdowns!$C$5,1,IF(U1238&lt;=Breakdowns!$C$6,2,IF(U1238&lt;=Breakdowns!$C$7,3,4))))</f>
        <v>4</v>
      </c>
      <c r="X1238" s="33">
        <f>IF(V1238="","",IF(V1238&lt;=Breakdowns!$D$5,1,IF(V1238&lt;=Breakdowns!$D$6,2,IF(V1238&lt;=Breakdowns!$D$7,3,4))))</f>
        <v>4</v>
      </c>
      <c r="Y1238" s="34">
        <f>INDEX(Stores!$F$2:$F$21,MATCH(B1238,Stores!$A$2:$A$21,0))</f>
        <v>5.23</v>
      </c>
      <c r="Z1238" s="33">
        <f>IF(Y1238&gt;Store_Summary!$M$2,1,0)</f>
        <v>1</v>
      </c>
      <c r="AA1238" s="33">
        <f>INDEX(Stores!$C$2:$C$21,MATCH(B1238,Stores!$A$2:$A$21,0))</f>
        <v>300</v>
      </c>
      <c r="AB1238" s="33">
        <f>IF(AA1238&lt;180,1,0)</f>
        <v>0</v>
      </c>
      <c r="AC1238" s="32" t="str">
        <f>IF(Orders!D1235="","",INDEX(Riders!$C$2:$C$81,MATCH(Orders!D1235,Riders!$A$2:$A$81,0)))</f>
        <v>EV scooter</v>
      </c>
      <c r="AD1238" s="33">
        <f>IF(Orders!D1235="","",INDEX(Riders!$D$2:$D$81,MATCH(Orders!D1235,Riders!$A$2:$A$81,0)))</f>
        <v>45</v>
      </c>
      <c r="AE1238" s="33">
        <f>IF(Orders!D1235="","",IF(INDEX(Riders!$B$2:$B$81,MATCH(Orders!D1235,Riders!$A$2:$A$81,0))=B1238,1,0))</f>
        <v>0</v>
      </c>
      <c r="AF1238" s="34">
        <f>IF(E1238=1,Orders!L1235,"")</f>
        <v>0.98</v>
      </c>
      <c r="AG1238" s="34">
        <f>IF(E1238=1,Orders!P1235,"")</f>
        <v>10.6</v>
      </c>
      <c r="AH1238" s="34">
        <f>IF(E1238=1,Orders!Q1235,"")</f>
        <v>10</v>
      </c>
      <c r="AI1238" s="34">
        <f>IF(E1238=1,Orders!M1235,"")</f>
        <v>3.5</v>
      </c>
      <c r="AJ1238" s="34">
        <f>IF(E1238=1,Orders!N1235,"")</f>
        <v>4.2</v>
      </c>
      <c r="AK1238" s="34">
        <f>IF(E1238=1,Orders!O1235,"")</f>
        <v>2.3</v>
      </c>
      <c r="AL1238" s="33">
        <f>IF(E1238=1,IF(ROUND(ABS(AI1238+AJ1238+AK1238-AH1238),6)&lt;=0.1,1,0),"")</f>
        <v>1</v>
      </c>
      <c r="AM1238" s="36">
        <f>IF(E1238=1,AI1238/AH1238,"")</f>
        <v>0.35</v>
      </c>
      <c r="AN1238" s="36">
        <f>IF(E1238=1,AJ1238/AH1238,"")</f>
        <v>0.42</v>
      </c>
      <c r="AO1238" s="36">
        <f>IF(E1238=1,AK1238/AH1238,"")</f>
        <v>0.23</v>
      </c>
      <c r="AP1238" s="34">
        <f>IF(E1238=1,Orders!Y1235,"")</f>
        <v>0.41</v>
      </c>
      <c r="AQ1238" s="33">
        <f>IF(Orders!X1235,1,0)</f>
        <v>0</v>
      </c>
      <c r="AR1238" s="34" t="str">
        <f>IF(AND(E1238=1,L1238=1),AJ1238,"")</f>
        <v/>
      </c>
      <c r="AS1238" s="34">
        <f>IF(AND(E1238=1,L1238=0),AJ1238,"")</f>
        <v>4.2</v>
      </c>
      <c r="AT1238" s="34" t="str">
        <f>IF(AND(E1238=1,L1238=1),AI1238,"")</f>
        <v/>
      </c>
      <c r="AU1238" s="34">
        <f>IF(AND(E1238=1,L1238=0),AI1238,"")</f>
        <v>3.5</v>
      </c>
      <c r="AV1238" s="34" t="str">
        <f>IF(AND(E1238=1,L1238=1),AG1238,"")</f>
        <v/>
      </c>
      <c r="AW1238" s="34">
        <f>IF(AND(E1238=1,L1238=0),AG1238,"")</f>
        <v>10.6</v>
      </c>
      <c r="AX1238" s="34" t="str">
        <f>IF(AND(E1238=1,L1238=1),AH1238,"")</f>
        <v/>
      </c>
      <c r="AY1238" s="34">
        <f>IF(AND(E1238=1,L1238=0),AH1238,"")</f>
        <v>10</v>
      </c>
      <c r="AZ1238" s="34" t="str">
        <f>IF(G1238=1,F1238,"")</f>
        <v/>
      </c>
      <c r="BA1238" s="34" t="str">
        <f>IF(AND(G1238=1,L1238=1),F1238,"")</f>
        <v/>
      </c>
      <c r="BB1238" s="34" t="str">
        <f>IF(AND(G1238=1,L1238=0),F1238,"")</f>
        <v/>
      </c>
      <c r="BC1238" s="33">
        <f>IF(E1238=1,IF(Orders!R1235&gt;3,1,0),"")</f>
        <v>0</v>
      </c>
      <c r="BD1238" s="33">
        <f>IF(E1238=1,IF(Orders!R1235&gt;7,1,0),"")</f>
        <v>0</v>
      </c>
      <c r="BE1238" s="32" t="str">
        <f>IF(E1238=1,IF(Orders!L1235&lt;=1.5,"Up to 1.5 km",IF(Orders!L1235&lt;=3,"1.5–3 km","Over 3 km")),"")</f>
        <v>Up to 1.5 km</v>
      </c>
      <c r="BF1238" s="33">
        <f>IF(E1238=1,IF(ABS((Orders!G1235-Orders!F1235)*1440-Orders!R1235)&lt;0.06,1,0),"")</f>
        <v>1</v>
      </c>
      <c r="BG1238" s="33">
        <f>IF(ABS((Orders!F1235-Orders!E1235)*1440-Orders!P1235)&lt;0.06,1,0)</f>
        <v>1</v>
      </c>
      <c r="BH1238" s="33">
        <f>IF(E1238=1,IF(IF(Orders!S1235,1,0)=1-G1238,1,0),"")</f>
        <v>1</v>
      </c>
      <c r="BI1238" s="32" t="str">
        <f>INDEX(Stores!$B$2:$B$21,MATCH(B1238,Stores!$A$2:$A$21,0))</f>
        <v>Hyderabad</v>
      </c>
    </row>
    <row r="1239">
      <c r="A1239" s="32" t="str">
        <f>Orders!A1236</f>
        <v>O01235</v>
      </c>
      <c r="B1239" s="32" t="str">
        <f>Orders!C1236</f>
        <v>S017</v>
      </c>
      <c r="C1239" s="32" t="str">
        <f>Orders!B1236</f>
        <v>C0002</v>
      </c>
      <c r="D1239" s="32" t="str">
        <f>Orders!H1236</f>
        <v>Delivered</v>
      </c>
      <c r="E1239" s="33">
        <f>IF(Orders!H1236="Delivered",1,0)</f>
        <v>1</v>
      </c>
      <c r="F1239" s="34">
        <f>IF(E1239=1,Orders!R1236,"")</f>
        <v>-1.4</v>
      </c>
      <c r="G1239" s="33">
        <f>IF(E1239=1,IF(Orders!R1236&gt;0,1,0),"")</f>
        <v>0</v>
      </c>
      <c r="H1239" s="33">
        <f>IF(E1239=1,IF(Orders!R1236&gt;5,1,0),"")</f>
        <v>0</v>
      </c>
      <c r="I1239" s="32" t="str">
        <f>IF(E1239=1,"",IF(OR(Orders!T1236="Rider unavailable",Orders!T1236="Item unavailable"),"Company-caused","Unresolved"))</f>
        <v/>
      </c>
      <c r="J1239" s="33">
        <f>IF(OR(E1239=1,I1239="Company-caused"),1,0)</f>
        <v>1</v>
      </c>
      <c r="K1239" s="32" t="str">
        <f>IF(E1239=0,IF(I1239="Company-caused",IF(Orders!T1236="Rider unavailable","C1 Rider unavailable","C2 Item unavailable"),"Outside root: unresolved"),IF(G1239=0,"A On time",IF(H1239=1,IF(L1239=1,"B2a Severe, peak","B2b Severe, off-peak"),IF(L1239=1,"B1a Slight, peak","B1b Slight, off-peak"))))</f>
        <v>A On time</v>
      </c>
      <c r="L1239" s="33">
        <f>IF(AND(Orders!U1236&gt;=19,Orders!U1236&lt;22),1,0)</f>
        <v>0</v>
      </c>
      <c r="M1239" s="33">
        <f>IF(L1239=IF(Orders!V1236,1,0),1,0)</f>
        <v>1</v>
      </c>
      <c r="N1239" s="32" t="str">
        <f>IF(Orders!W1236="","None",Orders!W1236)</f>
        <v>Light</v>
      </c>
      <c r="O1239" s="35">
        <f>INT(Orders!E1236)</f>
        <v>46273.0</v>
      </c>
      <c r="P1239" s="33">
        <f>Orders!U1236</f>
        <v>12</v>
      </c>
      <c r="Q1239" s="33">
        <f>COUNTIFS(Demand!$A$2:$A$4481,B1239,Demand!$B$2:$B$4481,O1239,Demand!$C$2:$C$4481,P1239)</f>
        <v>1</v>
      </c>
      <c r="R1239" s="33">
        <f>IF(Q1239=1,SUMIFS(Demand!$E$2:$E$4481,Demand!$A$2:$A$4481,B1239,Demand!$B$2:$B$4481,O1239,Demand!$C$2:$C$4481,P1239),"")</f>
        <v>36</v>
      </c>
      <c r="S1239" s="33">
        <f>INDEX(Stores!$G$2:$G$21,MATCH(B1239,Stores!$A$2:$A$21,0))</f>
        <v>36</v>
      </c>
      <c r="T1239" s="34">
        <f>IF(R1239="","",R1239/S1239)</f>
        <v>1</v>
      </c>
      <c r="U1239" s="34">
        <f>IF(E1239=1,T1239,"")</f>
        <v>1</v>
      </c>
      <c r="V1239" s="34">
        <f>IF(AND(E1239=1,L1239=0),T1239,"")</f>
        <v>1</v>
      </c>
      <c r="W1239" s="33">
        <f>IF(U1239="","",IF(U1239&lt;=Breakdowns!$C$5,1,IF(U1239&lt;=Breakdowns!$C$6,2,IF(U1239&lt;=Breakdowns!$C$7,3,4))))</f>
        <v>2</v>
      </c>
      <c r="X1239" s="33">
        <f>IF(V1239="","",IF(V1239&lt;=Breakdowns!$D$5,1,IF(V1239&lt;=Breakdowns!$D$6,2,IF(V1239&lt;=Breakdowns!$D$7,3,4))))</f>
        <v>3</v>
      </c>
      <c r="Y1239" s="34">
        <f>INDEX(Stores!$F$2:$F$21,MATCH(B1239,Stores!$A$2:$A$21,0))</f>
        <v>2.16</v>
      </c>
      <c r="Z1239" s="33">
        <f>IF(Y1239&gt;Store_Summary!$M$2,1,0)</f>
        <v>0</v>
      </c>
      <c r="AA1239" s="33">
        <f>INDEX(Stores!$C$2:$C$21,MATCH(B1239,Stores!$A$2:$A$21,0))</f>
        <v>47</v>
      </c>
      <c r="AB1239" s="33">
        <f>IF(AA1239&lt;180,1,0)</f>
        <v>1</v>
      </c>
      <c r="AC1239" s="32" t="str">
        <f>IF(Orders!D1236="","",INDEX(Riders!$C$2:$C$81,MATCH(Orders!D1236,Riders!$A$2:$A$81,0)))</f>
        <v>EV scooter</v>
      </c>
      <c r="AD1239" s="33">
        <f>IF(Orders!D1236="","",INDEX(Riders!$D$2:$D$81,MATCH(Orders!D1236,Riders!$A$2:$A$81,0)))</f>
        <v>32</v>
      </c>
      <c r="AE1239" s="33">
        <f>IF(Orders!D1236="","",IF(INDEX(Riders!$B$2:$B$81,MATCH(Orders!D1236,Riders!$A$2:$A$81,0))=B1239,1,0))</f>
        <v>1</v>
      </c>
      <c r="AF1239" s="34">
        <f>IF(E1239=1,Orders!L1236,"")</f>
        <v>1.9</v>
      </c>
      <c r="AG1239" s="34">
        <f>IF(E1239=1,Orders!P1236,"")</f>
        <v>13.6</v>
      </c>
      <c r="AH1239" s="34">
        <f>IF(E1239=1,Orders!Q1236,"")</f>
        <v>12.2</v>
      </c>
      <c r="AI1239" s="34">
        <f>IF(E1239=1,Orders!M1236,"")</f>
        <v>2.7</v>
      </c>
      <c r="AJ1239" s="34">
        <f>IF(E1239=1,Orders!N1236,"")</f>
        <v>2.1</v>
      </c>
      <c r="AK1239" s="34">
        <f>IF(E1239=1,Orders!O1236,"")</f>
        <v>7.4</v>
      </c>
      <c r="AL1239" s="33">
        <f>IF(E1239=1,IF(ROUND(ABS(AI1239+AJ1239+AK1239-AH1239),6)&lt;=0.1,1,0),"")</f>
        <v>1</v>
      </c>
      <c r="AM1239" s="36">
        <f>IF(E1239=1,AI1239/AH1239,"")</f>
        <v>0.221311475409836</v>
      </c>
      <c r="AN1239" s="36">
        <f>IF(E1239=1,AJ1239/AH1239,"")</f>
        <v>0.172131147540984</v>
      </c>
      <c r="AO1239" s="36">
        <f>IF(E1239=1,AK1239/AH1239,"")</f>
        <v>0.60655737704918</v>
      </c>
      <c r="AP1239" s="34">
        <f>IF(E1239=1,Orders!Y1236,"")</f>
        <v>0.61</v>
      </c>
      <c r="AQ1239" s="33">
        <f>IF(Orders!X1236,1,0)</f>
        <v>0</v>
      </c>
      <c r="AR1239" s="34" t="str">
        <f>IF(AND(E1239=1,L1239=1),AJ1239,"")</f>
        <v/>
      </c>
      <c r="AS1239" s="34">
        <f>IF(AND(E1239=1,L1239=0),AJ1239,"")</f>
        <v>2.1</v>
      </c>
      <c r="AT1239" s="34" t="str">
        <f>IF(AND(E1239=1,L1239=1),AI1239,"")</f>
        <v/>
      </c>
      <c r="AU1239" s="34">
        <f>IF(AND(E1239=1,L1239=0),AI1239,"")</f>
        <v>2.7</v>
      </c>
      <c r="AV1239" s="34" t="str">
        <f>IF(AND(E1239=1,L1239=1),AG1239,"")</f>
        <v/>
      </c>
      <c r="AW1239" s="34">
        <f>IF(AND(E1239=1,L1239=0),AG1239,"")</f>
        <v>13.6</v>
      </c>
      <c r="AX1239" s="34" t="str">
        <f>IF(AND(E1239=1,L1239=1),AH1239,"")</f>
        <v/>
      </c>
      <c r="AY1239" s="34">
        <f>IF(AND(E1239=1,L1239=0),AH1239,"")</f>
        <v>12.2</v>
      </c>
      <c r="AZ1239" s="34" t="str">
        <f>IF(G1239=1,F1239,"")</f>
        <v/>
      </c>
      <c r="BA1239" s="34" t="str">
        <f>IF(AND(G1239=1,L1239=1),F1239,"")</f>
        <v/>
      </c>
      <c r="BB1239" s="34" t="str">
        <f>IF(AND(G1239=1,L1239=0),F1239,"")</f>
        <v/>
      </c>
      <c r="BC1239" s="33">
        <f>IF(E1239=1,IF(Orders!R1236&gt;3,1,0),"")</f>
        <v>0</v>
      </c>
      <c r="BD1239" s="33">
        <f>IF(E1239=1,IF(Orders!R1236&gt;7,1,0),"")</f>
        <v>0</v>
      </c>
      <c r="BE1239" s="32" t="str">
        <f>IF(E1239=1,IF(Orders!L1236&lt;=1.5,"Up to 1.5 km",IF(Orders!L1236&lt;=3,"1.5–3 km","Over 3 km")),"")</f>
        <v>1.5–3 km</v>
      </c>
      <c r="BF1239" s="33">
        <f>IF(E1239=1,IF(ABS((Orders!G1236-Orders!F1236)*1440-Orders!R1236)&lt;0.06,1,0),"")</f>
        <v>1</v>
      </c>
      <c r="BG1239" s="33">
        <f>IF(ABS((Orders!F1236-Orders!E1236)*1440-Orders!P1236)&lt;0.06,1,0)</f>
        <v>1</v>
      </c>
      <c r="BH1239" s="33">
        <f>IF(E1239=1,IF(IF(Orders!S1236,1,0)=1-G1239,1,0),"")</f>
        <v>1</v>
      </c>
      <c r="BI1239" s="32" t="str">
        <f>INDEX(Stores!$B$2:$B$21,MATCH(B1239,Stores!$A$2:$A$21,0))</f>
        <v>Hyderabad</v>
      </c>
    </row>
    <row r="1240">
      <c r="A1240" s="32" t="str">
        <f>Orders!A1237</f>
        <v>O01236</v>
      </c>
      <c r="B1240" s="32" t="str">
        <f>Orders!C1237</f>
        <v>S003</v>
      </c>
      <c r="C1240" s="32" t="str">
        <f>Orders!B1237</f>
        <v>C0201</v>
      </c>
      <c r="D1240" s="32" t="str">
        <f>Orders!H1237</f>
        <v>Delivered</v>
      </c>
      <c r="E1240" s="33">
        <f>IF(Orders!H1237="Delivered",1,0)</f>
        <v>1</v>
      </c>
      <c r="F1240" s="34">
        <f>IF(E1240=1,Orders!R1237,"")</f>
        <v>-0.9</v>
      </c>
      <c r="G1240" s="33">
        <f>IF(E1240=1,IF(Orders!R1237&gt;0,1,0),"")</f>
        <v>0</v>
      </c>
      <c r="H1240" s="33">
        <f>IF(E1240=1,IF(Orders!R1237&gt;5,1,0),"")</f>
        <v>0</v>
      </c>
      <c r="I1240" s="32" t="str">
        <f>IF(E1240=1,"",IF(OR(Orders!T1237="Rider unavailable",Orders!T1237="Item unavailable"),"Company-caused","Unresolved"))</f>
        <v/>
      </c>
      <c r="J1240" s="33">
        <f>IF(OR(E1240=1,I1240="Company-caused"),1,0)</f>
        <v>1</v>
      </c>
      <c r="K1240" s="32" t="str">
        <f>IF(E1240=0,IF(I1240="Company-caused",IF(Orders!T1237="Rider unavailable","C1 Rider unavailable","C2 Item unavailable"),"Outside root: unresolved"),IF(G1240=0,"A On time",IF(H1240=1,IF(L1240=1,"B2a Severe, peak","B2b Severe, off-peak"),IF(L1240=1,"B1a Slight, peak","B1b Slight, off-peak"))))</f>
        <v>A On time</v>
      </c>
      <c r="L1240" s="33">
        <f>IF(AND(Orders!U1237&gt;=19,Orders!U1237&lt;22),1,0)</f>
        <v>0</v>
      </c>
      <c r="M1240" s="33">
        <f>IF(L1240=IF(Orders!V1237,1,0),1,0)</f>
        <v>1</v>
      </c>
      <c r="N1240" s="32" t="str">
        <f>IF(Orders!W1237="","None",Orders!W1237)</f>
        <v>None</v>
      </c>
      <c r="O1240" s="35">
        <f>INT(Orders!E1237)</f>
        <v>46273.0</v>
      </c>
      <c r="P1240" s="33">
        <f>Orders!U1237</f>
        <v>18</v>
      </c>
      <c r="Q1240" s="33">
        <f>COUNTIFS(Demand!$A$2:$A$4481,B1240,Demand!$B$2:$B$4481,O1240,Demand!$C$2:$C$4481,P1240)</f>
        <v>1</v>
      </c>
      <c r="R1240" s="33">
        <f>IF(Q1240=1,SUMIFS(Demand!$E$2:$E$4481,Demand!$A$2:$A$4481,B1240,Demand!$B$2:$B$4481,O1240,Demand!$C$2:$C$4481,P1240),"")</f>
        <v>40</v>
      </c>
      <c r="S1240" s="33">
        <f>INDEX(Stores!$G$2:$G$21,MATCH(B1240,Stores!$A$2:$A$21,0))</f>
        <v>41</v>
      </c>
      <c r="T1240" s="34">
        <f>IF(R1240="","",R1240/S1240)</f>
        <v>0.975609756097561</v>
      </c>
      <c r="U1240" s="34">
        <f>IF(E1240=1,T1240,"")</f>
        <v>0.975609756097561</v>
      </c>
      <c r="V1240" s="34">
        <f>IF(AND(E1240=1,L1240=0),T1240,"")</f>
        <v>0.975609756097561</v>
      </c>
      <c r="W1240" s="33">
        <f>IF(U1240="","",IF(U1240&lt;=Breakdowns!$C$5,1,IF(U1240&lt;=Breakdowns!$C$6,2,IF(U1240&lt;=Breakdowns!$C$7,3,4))))</f>
        <v>2</v>
      </c>
      <c r="X1240" s="33">
        <f>IF(V1240="","",IF(V1240&lt;=Breakdowns!$D$5,1,IF(V1240&lt;=Breakdowns!$D$6,2,IF(V1240&lt;=Breakdowns!$D$7,3,4))))</f>
        <v>3</v>
      </c>
      <c r="Y1240" s="34">
        <f>INDEX(Stores!$F$2:$F$21,MATCH(B1240,Stores!$A$2:$A$21,0))</f>
        <v>3.84</v>
      </c>
      <c r="Z1240" s="33">
        <f>IF(Y1240&gt;Store_Summary!$M$2,1,0)</f>
        <v>0</v>
      </c>
      <c r="AA1240" s="33">
        <f>INDEX(Stores!$C$2:$C$21,MATCH(B1240,Stores!$A$2:$A$21,0))</f>
        <v>426</v>
      </c>
      <c r="AB1240" s="33">
        <f>IF(AA1240&lt;180,1,0)</f>
        <v>0</v>
      </c>
      <c r="AC1240" s="32" t="str">
        <f>IF(Orders!D1237="","",INDEX(Riders!$C$2:$C$81,MATCH(Orders!D1237,Riders!$A$2:$A$81,0)))</f>
        <v>EV scooter</v>
      </c>
      <c r="AD1240" s="33">
        <f>IF(Orders!D1237="","",INDEX(Riders!$D$2:$D$81,MATCH(Orders!D1237,Riders!$A$2:$A$81,0)))</f>
        <v>11</v>
      </c>
      <c r="AE1240" s="33">
        <f>IF(Orders!D1237="","",IF(INDEX(Riders!$B$2:$B$81,MATCH(Orders!D1237,Riders!$A$2:$A$81,0))=B1240,1,0))</f>
        <v>0</v>
      </c>
      <c r="AF1240" s="34">
        <f>IF(E1240=1,Orders!L1237,"")</f>
        <v>1.26</v>
      </c>
      <c r="AG1240" s="34">
        <f>IF(E1240=1,Orders!P1237,"")</f>
        <v>8.6</v>
      </c>
      <c r="AH1240" s="34">
        <f>IF(E1240=1,Orders!Q1237,"")</f>
        <v>7.7</v>
      </c>
      <c r="AI1240" s="34">
        <f>IF(E1240=1,Orders!M1237,"")</f>
        <v>3</v>
      </c>
      <c r="AJ1240" s="34">
        <f>IF(E1240=1,Orders!N1237,"")</f>
        <v>2.1</v>
      </c>
      <c r="AK1240" s="34">
        <f>IF(E1240=1,Orders!O1237,"")</f>
        <v>2.6</v>
      </c>
      <c r="AL1240" s="33">
        <f>IF(E1240=1,IF(ROUND(ABS(AI1240+AJ1240+AK1240-AH1240),6)&lt;=0.1,1,0),"")</f>
        <v>1</v>
      </c>
      <c r="AM1240" s="36">
        <f>IF(E1240=1,AI1240/AH1240,"")</f>
        <v>0.38961038961039</v>
      </c>
      <c r="AN1240" s="36">
        <f>IF(E1240=1,AJ1240/AH1240,"")</f>
        <v>0.272727272727273</v>
      </c>
      <c r="AO1240" s="36">
        <f>IF(E1240=1,AK1240/AH1240,"")</f>
        <v>0.337662337662338</v>
      </c>
      <c r="AP1240" s="34">
        <f>IF(E1240=1,Orders!Y1237,"")</f>
        <v>0.41</v>
      </c>
      <c r="AQ1240" s="33">
        <f>IF(Orders!X1237,1,0)</f>
        <v>1</v>
      </c>
      <c r="AR1240" s="34" t="str">
        <f>IF(AND(E1240=1,L1240=1),AJ1240,"")</f>
        <v/>
      </c>
      <c r="AS1240" s="34">
        <f>IF(AND(E1240=1,L1240=0),AJ1240,"")</f>
        <v>2.1</v>
      </c>
      <c r="AT1240" s="34" t="str">
        <f>IF(AND(E1240=1,L1240=1),AI1240,"")</f>
        <v/>
      </c>
      <c r="AU1240" s="34">
        <f>IF(AND(E1240=1,L1240=0),AI1240,"")</f>
        <v>3</v>
      </c>
      <c r="AV1240" s="34" t="str">
        <f>IF(AND(E1240=1,L1240=1),AG1240,"")</f>
        <v/>
      </c>
      <c r="AW1240" s="34">
        <f>IF(AND(E1240=1,L1240=0),AG1240,"")</f>
        <v>8.6</v>
      </c>
      <c r="AX1240" s="34" t="str">
        <f>IF(AND(E1240=1,L1240=1),AH1240,"")</f>
        <v/>
      </c>
      <c r="AY1240" s="34">
        <f>IF(AND(E1240=1,L1240=0),AH1240,"")</f>
        <v>7.7</v>
      </c>
      <c r="AZ1240" s="34" t="str">
        <f>IF(G1240=1,F1240,"")</f>
        <v/>
      </c>
      <c r="BA1240" s="34" t="str">
        <f>IF(AND(G1240=1,L1240=1),F1240,"")</f>
        <v/>
      </c>
      <c r="BB1240" s="34" t="str">
        <f>IF(AND(G1240=1,L1240=0),F1240,"")</f>
        <v/>
      </c>
      <c r="BC1240" s="33">
        <f>IF(E1240=1,IF(Orders!R1237&gt;3,1,0),"")</f>
        <v>0</v>
      </c>
      <c r="BD1240" s="33">
        <f>IF(E1240=1,IF(Orders!R1237&gt;7,1,0),"")</f>
        <v>0</v>
      </c>
      <c r="BE1240" s="32" t="str">
        <f>IF(E1240=1,IF(Orders!L1237&lt;=1.5,"Up to 1.5 km",IF(Orders!L1237&lt;=3,"1.5–3 km","Over 3 km")),"")</f>
        <v>Up to 1.5 km</v>
      </c>
      <c r="BF1240" s="33">
        <f>IF(E1240=1,IF(ABS((Orders!G1237-Orders!F1237)*1440-Orders!R1237)&lt;0.06,1,0),"")</f>
        <v>1</v>
      </c>
      <c r="BG1240" s="33">
        <f>IF(ABS((Orders!F1237-Orders!E1237)*1440-Orders!P1237)&lt;0.06,1,0)</f>
        <v>1</v>
      </c>
      <c r="BH1240" s="33">
        <f>IF(E1240=1,IF(IF(Orders!S1237,1,0)=1-G1240,1,0),"")</f>
        <v>1</v>
      </c>
      <c r="BI1240" s="32" t="str">
        <f>INDEX(Stores!$B$2:$B$21,MATCH(B1240,Stores!$A$2:$A$21,0))</f>
        <v>Mumbai</v>
      </c>
    </row>
    <row r="1241">
      <c r="A1241" s="32" t="str">
        <f>Orders!A1238</f>
        <v>O01237</v>
      </c>
      <c r="B1241" s="32" t="str">
        <f>Orders!C1238</f>
        <v>S019</v>
      </c>
      <c r="C1241" s="32" t="str">
        <f>Orders!B1238</f>
        <v>C0121</v>
      </c>
      <c r="D1241" s="32" t="str">
        <f>Orders!H1238</f>
        <v>Delivered</v>
      </c>
      <c r="E1241" s="33">
        <f>IF(Orders!H1238="Delivered",1,0)</f>
        <v>1</v>
      </c>
      <c r="F1241" s="34">
        <f>IF(E1241=1,Orders!R1238,"")</f>
        <v>-0.3</v>
      </c>
      <c r="G1241" s="33">
        <f>IF(E1241=1,IF(Orders!R1238&gt;0,1,0),"")</f>
        <v>0</v>
      </c>
      <c r="H1241" s="33">
        <f>IF(E1241=1,IF(Orders!R1238&gt;5,1,0),"")</f>
        <v>0</v>
      </c>
      <c r="I1241" s="32" t="str">
        <f>IF(E1241=1,"",IF(OR(Orders!T1238="Rider unavailable",Orders!T1238="Item unavailable"),"Company-caused","Unresolved"))</f>
        <v/>
      </c>
      <c r="J1241" s="33">
        <f>IF(OR(E1241=1,I1241="Company-caused"),1,0)</f>
        <v>1</v>
      </c>
      <c r="K1241" s="32" t="str">
        <f>IF(E1241=0,IF(I1241="Company-caused",IF(Orders!T1238="Rider unavailable","C1 Rider unavailable","C2 Item unavailable"),"Outside root: unresolved"),IF(G1241=0,"A On time",IF(H1241=1,IF(L1241=1,"B2a Severe, peak","B2b Severe, off-peak"),IF(L1241=1,"B1a Slight, peak","B1b Slight, off-peak"))))</f>
        <v>A On time</v>
      </c>
      <c r="L1241" s="33">
        <f>IF(AND(Orders!U1238&gt;=19,Orders!U1238&lt;22),1,0)</f>
        <v>0</v>
      </c>
      <c r="M1241" s="33">
        <f>IF(L1241=IF(Orders!V1238,1,0),1,0)</f>
        <v>1</v>
      </c>
      <c r="N1241" s="32" t="str">
        <f>IF(Orders!W1238="","None",Orders!W1238)</f>
        <v>None</v>
      </c>
      <c r="O1241" s="35">
        <f>INT(Orders!E1238)</f>
        <v>46274.0</v>
      </c>
      <c r="P1241" s="33">
        <f>Orders!U1238</f>
        <v>16</v>
      </c>
      <c r="Q1241" s="33">
        <f>COUNTIFS(Demand!$A$2:$A$4481,B1241,Demand!$B$2:$B$4481,O1241,Demand!$C$2:$C$4481,P1241)</f>
        <v>1</v>
      </c>
      <c r="R1241" s="33">
        <f>IF(Q1241=1,SUMIFS(Demand!$E$2:$E$4481,Demand!$A$2:$A$4481,B1241,Demand!$B$2:$B$4481,O1241,Demand!$C$2:$C$4481,P1241),"")</f>
        <v>17</v>
      </c>
      <c r="S1241" s="33">
        <f>INDEX(Stores!$G$2:$G$21,MATCH(B1241,Stores!$A$2:$A$21,0))</f>
        <v>22</v>
      </c>
      <c r="T1241" s="34">
        <f>IF(R1241="","",R1241/S1241)</f>
        <v>0.772727272727273</v>
      </c>
      <c r="U1241" s="34">
        <f>IF(E1241=1,T1241,"")</f>
        <v>0.772727272727273</v>
      </c>
      <c r="V1241" s="34">
        <f>IF(AND(E1241=1,L1241=0),T1241,"")</f>
        <v>0.772727272727273</v>
      </c>
      <c r="W1241" s="33">
        <f>IF(U1241="","",IF(U1241&lt;=Breakdowns!$C$5,1,IF(U1241&lt;=Breakdowns!$C$6,2,IF(U1241&lt;=Breakdowns!$C$7,3,4))))</f>
        <v>1</v>
      </c>
      <c r="X1241" s="33">
        <f>IF(V1241="","",IF(V1241&lt;=Breakdowns!$D$5,1,IF(V1241&lt;=Breakdowns!$D$6,2,IF(V1241&lt;=Breakdowns!$D$7,3,4))))</f>
        <v>2</v>
      </c>
      <c r="Y1241" s="34">
        <f>INDEX(Stores!$F$2:$F$21,MATCH(B1241,Stores!$A$2:$A$21,0))</f>
        <v>4.99</v>
      </c>
      <c r="Z1241" s="33">
        <f>IF(Y1241&gt;Store_Summary!$M$2,1,0)</f>
        <v>1</v>
      </c>
      <c r="AA1241" s="33">
        <f>INDEX(Stores!$C$2:$C$21,MATCH(B1241,Stores!$A$2:$A$21,0))</f>
        <v>851</v>
      </c>
      <c r="AB1241" s="33">
        <f>IF(AA1241&lt;180,1,0)</f>
        <v>0</v>
      </c>
      <c r="AC1241" s="32" t="str">
        <f>IF(Orders!D1238="","",INDEX(Riders!$C$2:$C$81,MATCH(Orders!D1238,Riders!$A$2:$A$81,0)))</f>
        <v>EV scooter</v>
      </c>
      <c r="AD1241" s="33">
        <f>IF(Orders!D1238="","",INDEX(Riders!$D$2:$D$81,MATCH(Orders!D1238,Riders!$A$2:$A$81,0)))</f>
        <v>12</v>
      </c>
      <c r="AE1241" s="33">
        <f>IF(Orders!D1238="","",IF(INDEX(Riders!$B$2:$B$81,MATCH(Orders!D1238,Riders!$A$2:$A$81,0))=B1241,1,0))</f>
        <v>0</v>
      </c>
      <c r="AF1241" s="34">
        <f>IF(E1241=1,Orders!L1238,"")</f>
        <v>2.5</v>
      </c>
      <c r="AG1241" s="34">
        <f>IF(E1241=1,Orders!P1238,"")</f>
        <v>11.4</v>
      </c>
      <c r="AH1241" s="34">
        <f>IF(E1241=1,Orders!Q1238,"")</f>
        <v>11.1</v>
      </c>
      <c r="AI1241" s="34">
        <f>IF(E1241=1,Orders!M1238,"")</f>
        <v>3.6</v>
      </c>
      <c r="AJ1241" s="34">
        <f>IF(E1241=1,Orders!N1238,"")</f>
        <v>3.1</v>
      </c>
      <c r="AK1241" s="34">
        <f>IF(E1241=1,Orders!O1238,"")</f>
        <v>4.4</v>
      </c>
      <c r="AL1241" s="33">
        <f>IF(E1241=1,IF(ROUND(ABS(AI1241+AJ1241+AK1241-AH1241),6)&lt;=0.1,1,0),"")</f>
        <v>1</v>
      </c>
      <c r="AM1241" s="36">
        <f>IF(E1241=1,AI1241/AH1241,"")</f>
        <v>0.324324324324324</v>
      </c>
      <c r="AN1241" s="36">
        <f>IF(E1241=1,AJ1241/AH1241,"")</f>
        <v>0.279279279279279</v>
      </c>
      <c r="AO1241" s="36">
        <f>IF(E1241=1,AK1241/AH1241,"")</f>
        <v>0.396396396396396</v>
      </c>
      <c r="AP1241" s="34">
        <f>IF(E1241=1,Orders!Y1238,"")</f>
        <v>0.26</v>
      </c>
      <c r="AQ1241" s="33">
        <f>IF(Orders!X1238,1,0)</f>
        <v>0</v>
      </c>
      <c r="AR1241" s="34" t="str">
        <f>IF(AND(E1241=1,L1241=1),AJ1241,"")</f>
        <v/>
      </c>
      <c r="AS1241" s="34">
        <f>IF(AND(E1241=1,L1241=0),AJ1241,"")</f>
        <v>3.1</v>
      </c>
      <c r="AT1241" s="34" t="str">
        <f>IF(AND(E1241=1,L1241=1),AI1241,"")</f>
        <v/>
      </c>
      <c r="AU1241" s="34">
        <f>IF(AND(E1241=1,L1241=0),AI1241,"")</f>
        <v>3.6</v>
      </c>
      <c r="AV1241" s="34" t="str">
        <f>IF(AND(E1241=1,L1241=1),AG1241,"")</f>
        <v/>
      </c>
      <c r="AW1241" s="34">
        <f>IF(AND(E1241=1,L1241=0),AG1241,"")</f>
        <v>11.4</v>
      </c>
      <c r="AX1241" s="34" t="str">
        <f>IF(AND(E1241=1,L1241=1),AH1241,"")</f>
        <v/>
      </c>
      <c r="AY1241" s="34">
        <f>IF(AND(E1241=1,L1241=0),AH1241,"")</f>
        <v>11.1</v>
      </c>
      <c r="AZ1241" s="34" t="str">
        <f>IF(G1241=1,F1241,"")</f>
        <v/>
      </c>
      <c r="BA1241" s="34" t="str">
        <f>IF(AND(G1241=1,L1241=1),F1241,"")</f>
        <v/>
      </c>
      <c r="BB1241" s="34" t="str">
        <f>IF(AND(G1241=1,L1241=0),F1241,"")</f>
        <v/>
      </c>
      <c r="BC1241" s="33">
        <f>IF(E1241=1,IF(Orders!R1238&gt;3,1,0),"")</f>
        <v>0</v>
      </c>
      <c r="BD1241" s="33">
        <f>IF(E1241=1,IF(Orders!R1238&gt;7,1,0),"")</f>
        <v>0</v>
      </c>
      <c r="BE1241" s="32" t="str">
        <f>IF(E1241=1,IF(Orders!L1238&lt;=1.5,"Up to 1.5 km",IF(Orders!L1238&lt;=3,"1.5–3 km","Over 3 km")),"")</f>
        <v>1.5–3 km</v>
      </c>
      <c r="BF1241" s="33">
        <f>IF(E1241=1,IF(ABS((Orders!G1238-Orders!F1238)*1440-Orders!R1238)&lt;0.06,1,0),"")</f>
        <v>1</v>
      </c>
      <c r="BG1241" s="33">
        <f>IF(ABS((Orders!F1238-Orders!E1238)*1440-Orders!P1238)&lt;0.06,1,0)</f>
        <v>1</v>
      </c>
      <c r="BH1241" s="33">
        <f>IF(E1241=1,IF(IF(Orders!S1238,1,0)=1-G1241,1,0),"")</f>
        <v>1</v>
      </c>
      <c r="BI1241" s="32" t="str">
        <f>INDEX(Stores!$B$2:$B$21,MATCH(B1241,Stores!$A$2:$A$21,0))</f>
        <v>Pune</v>
      </c>
    </row>
    <row r="1242">
      <c r="A1242" s="32" t="str">
        <f>Orders!A1239</f>
        <v>O01238</v>
      </c>
      <c r="B1242" s="32" t="str">
        <f>Orders!C1239</f>
        <v>S014</v>
      </c>
      <c r="C1242" s="32" t="str">
        <f>Orders!B1239</f>
        <v>C0202</v>
      </c>
      <c r="D1242" s="32" t="str">
        <f>Orders!H1239</f>
        <v>Delivered</v>
      </c>
      <c r="E1242" s="33">
        <f>IF(Orders!H1239="Delivered",1,0)</f>
        <v>1</v>
      </c>
      <c r="F1242" s="34">
        <f>IF(E1242=1,Orders!R1239,"")</f>
        <v>-0.4</v>
      </c>
      <c r="G1242" s="33">
        <f>IF(E1242=1,IF(Orders!R1239&gt;0,1,0),"")</f>
        <v>0</v>
      </c>
      <c r="H1242" s="33">
        <f>IF(E1242=1,IF(Orders!R1239&gt;5,1,0),"")</f>
        <v>0</v>
      </c>
      <c r="I1242" s="32" t="str">
        <f>IF(E1242=1,"",IF(OR(Orders!T1239="Rider unavailable",Orders!T1239="Item unavailable"),"Company-caused","Unresolved"))</f>
        <v/>
      </c>
      <c r="J1242" s="33">
        <f>IF(OR(E1242=1,I1242="Company-caused"),1,0)</f>
        <v>1</v>
      </c>
      <c r="K1242" s="32" t="str">
        <f>IF(E1242=0,IF(I1242="Company-caused",IF(Orders!T1239="Rider unavailable","C1 Rider unavailable","C2 Item unavailable"),"Outside root: unresolved"),IF(G1242=0,"A On time",IF(H1242=1,IF(L1242=1,"B2a Severe, peak","B2b Severe, off-peak"),IF(L1242=1,"B1a Slight, peak","B1b Slight, off-peak"))))</f>
        <v>A On time</v>
      </c>
      <c r="L1242" s="33">
        <f>IF(AND(Orders!U1239&gt;=19,Orders!U1239&lt;22),1,0)</f>
        <v>0</v>
      </c>
      <c r="M1242" s="33">
        <f>IF(L1242=IF(Orders!V1239,1,0),1,0)</f>
        <v>1</v>
      </c>
      <c r="N1242" s="32" t="str">
        <f>IF(Orders!W1239="","None",Orders!W1239)</f>
        <v>Light</v>
      </c>
      <c r="O1242" s="35">
        <f>INT(Orders!E1239)</f>
        <v>46274.0</v>
      </c>
      <c r="P1242" s="33">
        <f>Orders!U1239</f>
        <v>12</v>
      </c>
      <c r="Q1242" s="33">
        <f>COUNTIFS(Demand!$A$2:$A$4481,B1242,Demand!$B$2:$B$4481,O1242,Demand!$C$2:$C$4481,P1242)</f>
        <v>1</v>
      </c>
      <c r="R1242" s="33">
        <f>IF(Q1242=1,SUMIFS(Demand!$E$2:$E$4481,Demand!$A$2:$A$4481,B1242,Demand!$B$2:$B$4481,O1242,Demand!$C$2:$C$4481,P1242),"")</f>
        <v>44</v>
      </c>
      <c r="S1242" s="33">
        <f>INDEX(Stores!$G$2:$G$21,MATCH(B1242,Stores!$A$2:$A$21,0))</f>
        <v>37</v>
      </c>
      <c r="T1242" s="34">
        <f>IF(R1242="","",R1242/S1242)</f>
        <v>1.18918918918919</v>
      </c>
      <c r="U1242" s="34">
        <f>IF(E1242=1,T1242,"")</f>
        <v>1.18918918918919</v>
      </c>
      <c r="V1242" s="34">
        <f>IF(AND(E1242=1,L1242=0),T1242,"")</f>
        <v>1.18918918918919</v>
      </c>
      <c r="W1242" s="33">
        <f>IF(U1242="","",IF(U1242&lt;=Breakdowns!$C$5,1,IF(U1242&lt;=Breakdowns!$C$6,2,IF(U1242&lt;=Breakdowns!$C$7,3,4))))</f>
        <v>3</v>
      </c>
      <c r="X1242" s="33">
        <f>IF(V1242="","",IF(V1242&lt;=Breakdowns!$D$5,1,IF(V1242&lt;=Breakdowns!$D$6,2,IF(V1242&lt;=Breakdowns!$D$7,3,4))))</f>
        <v>4</v>
      </c>
      <c r="Y1242" s="34">
        <f>INDEX(Stores!$F$2:$F$21,MATCH(B1242,Stores!$A$2:$A$21,0))</f>
        <v>5.55</v>
      </c>
      <c r="Z1242" s="33">
        <f>IF(Y1242&gt;Store_Summary!$M$2,1,0)</f>
        <v>1</v>
      </c>
      <c r="AA1242" s="33">
        <f>INDEX(Stores!$C$2:$C$21,MATCH(B1242,Stores!$A$2:$A$21,0))</f>
        <v>241</v>
      </c>
      <c r="AB1242" s="33">
        <f>IF(AA1242&lt;180,1,0)</f>
        <v>0</v>
      </c>
      <c r="AC1242" s="32" t="str">
        <f>IF(Orders!D1239="","",INDEX(Riders!$C$2:$C$81,MATCH(Orders!D1239,Riders!$A$2:$A$81,0)))</f>
        <v>EV scooter</v>
      </c>
      <c r="AD1242" s="33">
        <f>IF(Orders!D1239="","",INDEX(Riders!$D$2:$D$81,MATCH(Orders!D1239,Riders!$A$2:$A$81,0)))</f>
        <v>4</v>
      </c>
      <c r="AE1242" s="33">
        <f>IF(Orders!D1239="","",IF(INDEX(Riders!$B$2:$B$81,MATCH(Orders!D1239,Riders!$A$2:$A$81,0))=B1242,1,0))</f>
        <v>0</v>
      </c>
      <c r="AF1242" s="34">
        <f>IF(E1242=1,Orders!L1239,"")</f>
        <v>1.53</v>
      </c>
      <c r="AG1242" s="34">
        <f>IF(E1242=1,Orders!P1239,"")</f>
        <v>12.8</v>
      </c>
      <c r="AH1242" s="34">
        <f>IF(E1242=1,Orders!Q1239,"")</f>
        <v>12.4</v>
      </c>
      <c r="AI1242" s="34">
        <f>IF(E1242=1,Orders!M1239,"")</f>
        <v>4.2</v>
      </c>
      <c r="AJ1242" s="34">
        <f>IF(E1242=1,Orders!N1239,"")</f>
        <v>4.3</v>
      </c>
      <c r="AK1242" s="34">
        <f>IF(E1242=1,Orders!O1239,"")</f>
        <v>3.9</v>
      </c>
      <c r="AL1242" s="33">
        <f>IF(E1242=1,IF(ROUND(ABS(AI1242+AJ1242+AK1242-AH1242),6)&lt;=0.1,1,0),"")</f>
        <v>1</v>
      </c>
      <c r="AM1242" s="36">
        <f>IF(E1242=1,AI1242/AH1242,"")</f>
        <v>0.338709677419355</v>
      </c>
      <c r="AN1242" s="36">
        <f>IF(E1242=1,AJ1242/AH1242,"")</f>
        <v>0.346774193548387</v>
      </c>
      <c r="AO1242" s="36">
        <f>IF(E1242=1,AK1242/AH1242,"")</f>
        <v>0.314516129032258</v>
      </c>
      <c r="AP1242" s="34">
        <f>IF(E1242=1,Orders!Y1239,"")</f>
        <v>0.44</v>
      </c>
      <c r="AQ1242" s="33">
        <f>IF(Orders!X1239,1,0)</f>
        <v>0</v>
      </c>
      <c r="AR1242" s="34" t="str">
        <f>IF(AND(E1242=1,L1242=1),AJ1242,"")</f>
        <v/>
      </c>
      <c r="AS1242" s="34">
        <f>IF(AND(E1242=1,L1242=0),AJ1242,"")</f>
        <v>4.3</v>
      </c>
      <c r="AT1242" s="34" t="str">
        <f>IF(AND(E1242=1,L1242=1),AI1242,"")</f>
        <v/>
      </c>
      <c r="AU1242" s="34">
        <f>IF(AND(E1242=1,L1242=0),AI1242,"")</f>
        <v>4.2</v>
      </c>
      <c r="AV1242" s="34" t="str">
        <f>IF(AND(E1242=1,L1242=1),AG1242,"")</f>
        <v/>
      </c>
      <c r="AW1242" s="34">
        <f>IF(AND(E1242=1,L1242=0),AG1242,"")</f>
        <v>12.8</v>
      </c>
      <c r="AX1242" s="34" t="str">
        <f>IF(AND(E1242=1,L1242=1),AH1242,"")</f>
        <v/>
      </c>
      <c r="AY1242" s="34">
        <f>IF(AND(E1242=1,L1242=0),AH1242,"")</f>
        <v>12.4</v>
      </c>
      <c r="AZ1242" s="34" t="str">
        <f>IF(G1242=1,F1242,"")</f>
        <v/>
      </c>
      <c r="BA1242" s="34" t="str">
        <f>IF(AND(G1242=1,L1242=1),F1242,"")</f>
        <v/>
      </c>
      <c r="BB1242" s="34" t="str">
        <f>IF(AND(G1242=1,L1242=0),F1242,"")</f>
        <v/>
      </c>
      <c r="BC1242" s="33">
        <f>IF(E1242=1,IF(Orders!R1239&gt;3,1,0),"")</f>
        <v>0</v>
      </c>
      <c r="BD1242" s="33">
        <f>IF(E1242=1,IF(Orders!R1239&gt;7,1,0),"")</f>
        <v>0</v>
      </c>
      <c r="BE1242" s="32" t="str">
        <f>IF(E1242=1,IF(Orders!L1239&lt;=1.5,"Up to 1.5 km",IF(Orders!L1239&lt;=3,"1.5–3 km","Over 3 km")),"")</f>
        <v>1.5–3 km</v>
      </c>
      <c r="BF1242" s="33">
        <f>IF(E1242=1,IF(ABS((Orders!G1239-Orders!F1239)*1440-Orders!R1239)&lt;0.06,1,0),"")</f>
        <v>1</v>
      </c>
      <c r="BG1242" s="33">
        <f>IF(ABS((Orders!F1239-Orders!E1239)*1440-Orders!P1239)&lt;0.06,1,0)</f>
        <v>1</v>
      </c>
      <c r="BH1242" s="33">
        <f>IF(E1242=1,IF(IF(Orders!S1239,1,0)=1-G1242,1,0),"")</f>
        <v>1</v>
      </c>
      <c r="BI1242" s="32" t="str">
        <f>INDEX(Stores!$B$2:$B$21,MATCH(B1242,Stores!$A$2:$A$21,0))</f>
        <v>Pune</v>
      </c>
    </row>
    <row r="1243">
      <c r="A1243" s="32" t="str">
        <f>Orders!A1240</f>
        <v>O01239</v>
      </c>
      <c r="B1243" s="32" t="str">
        <f>Orders!C1240</f>
        <v>S015</v>
      </c>
      <c r="C1243" s="32" t="str">
        <f>Orders!B1240</f>
        <v>C0199</v>
      </c>
      <c r="D1243" s="32" t="str">
        <f>Orders!H1240</f>
        <v>Delivered</v>
      </c>
      <c r="E1243" s="33">
        <f>IF(Orders!H1240="Delivered",1,0)</f>
        <v>1</v>
      </c>
      <c r="F1243" s="34">
        <f>IF(E1243=1,Orders!R1240,"")</f>
        <v>-1</v>
      </c>
      <c r="G1243" s="33">
        <f>IF(E1243=1,IF(Orders!R1240&gt;0,1,0),"")</f>
        <v>0</v>
      </c>
      <c r="H1243" s="33">
        <f>IF(E1243=1,IF(Orders!R1240&gt;5,1,0),"")</f>
        <v>0</v>
      </c>
      <c r="I1243" s="32" t="str">
        <f>IF(E1243=1,"",IF(OR(Orders!T1240="Rider unavailable",Orders!T1240="Item unavailable"),"Company-caused","Unresolved"))</f>
        <v/>
      </c>
      <c r="J1243" s="33">
        <f>IF(OR(E1243=1,I1243="Company-caused"),1,0)</f>
        <v>1</v>
      </c>
      <c r="K1243" s="32" t="str">
        <f>IF(E1243=0,IF(I1243="Company-caused",IF(Orders!T1240="Rider unavailable","C1 Rider unavailable","C2 Item unavailable"),"Outside root: unresolved"),IF(G1243=0,"A On time",IF(H1243=1,IF(L1243=1,"B2a Severe, peak","B2b Severe, off-peak"),IF(L1243=1,"B1a Slight, peak","B1b Slight, off-peak"))))</f>
        <v>A On time</v>
      </c>
      <c r="L1243" s="33">
        <f>IF(AND(Orders!U1240&gt;=19,Orders!U1240&lt;22),1,0)</f>
        <v>0</v>
      </c>
      <c r="M1243" s="33">
        <f>IF(L1243=IF(Orders!V1240,1,0),1,0)</f>
        <v>1</v>
      </c>
      <c r="N1243" s="32" t="str">
        <f>IF(Orders!W1240="","None",Orders!W1240)</f>
        <v>None</v>
      </c>
      <c r="O1243" s="35">
        <f>INT(Orders!E1240)</f>
        <v>46277.0</v>
      </c>
      <c r="P1243" s="33">
        <f>Orders!U1240</f>
        <v>23</v>
      </c>
      <c r="Q1243" s="33">
        <f>COUNTIFS(Demand!$A$2:$A$4481,B1243,Demand!$B$2:$B$4481,O1243,Demand!$C$2:$C$4481,P1243)</f>
        <v>1</v>
      </c>
      <c r="R1243" s="33">
        <f>IF(Q1243=1,SUMIFS(Demand!$E$2:$E$4481,Demand!$A$2:$A$4481,B1243,Demand!$B$2:$B$4481,O1243,Demand!$C$2:$C$4481,P1243),"")</f>
        <v>20</v>
      </c>
      <c r="S1243" s="33">
        <f>INDEX(Stores!$G$2:$G$21,MATCH(B1243,Stores!$A$2:$A$21,0))</f>
        <v>23</v>
      </c>
      <c r="T1243" s="34">
        <f>IF(R1243="","",R1243/S1243)</f>
        <v>0.869565217391304</v>
      </c>
      <c r="U1243" s="34">
        <f>IF(E1243=1,T1243,"")</f>
        <v>0.869565217391304</v>
      </c>
      <c r="V1243" s="34">
        <f>IF(AND(E1243=1,L1243=0),T1243,"")</f>
        <v>0.869565217391304</v>
      </c>
      <c r="W1243" s="33">
        <f>IF(U1243="","",IF(U1243&lt;=Breakdowns!$C$5,1,IF(U1243&lt;=Breakdowns!$C$6,2,IF(U1243&lt;=Breakdowns!$C$7,3,4))))</f>
        <v>2</v>
      </c>
      <c r="X1243" s="33">
        <f>IF(V1243="","",IF(V1243&lt;=Breakdowns!$D$5,1,IF(V1243&lt;=Breakdowns!$D$6,2,IF(V1243&lt;=Breakdowns!$D$7,3,4))))</f>
        <v>2</v>
      </c>
      <c r="Y1243" s="34">
        <f>INDEX(Stores!$F$2:$F$21,MATCH(B1243,Stores!$A$2:$A$21,0))</f>
        <v>4.66</v>
      </c>
      <c r="Z1243" s="33">
        <f>IF(Y1243&gt;Store_Summary!$M$2,1,0)</f>
        <v>0</v>
      </c>
      <c r="AA1243" s="33">
        <f>INDEX(Stores!$C$2:$C$21,MATCH(B1243,Stores!$A$2:$A$21,0))</f>
        <v>204</v>
      </c>
      <c r="AB1243" s="33">
        <f>IF(AA1243&lt;180,1,0)</f>
        <v>0</v>
      </c>
      <c r="AC1243" s="32" t="str">
        <f>IF(Orders!D1240="","",INDEX(Riders!$C$2:$C$81,MATCH(Orders!D1240,Riders!$A$2:$A$81,0)))</f>
        <v>Petrol scooter</v>
      </c>
      <c r="AD1243" s="33">
        <f>IF(Orders!D1240="","",INDEX(Riders!$D$2:$D$81,MATCH(Orders!D1240,Riders!$A$2:$A$81,0)))</f>
        <v>48</v>
      </c>
      <c r="AE1243" s="33">
        <f>IF(Orders!D1240="","",IF(INDEX(Riders!$B$2:$B$81,MATCH(Orders!D1240,Riders!$A$2:$A$81,0))=B1243,1,0))</f>
        <v>0</v>
      </c>
      <c r="AF1243" s="34">
        <f>IF(E1243=1,Orders!L1240,"")</f>
        <v>0.5</v>
      </c>
      <c r="AG1243" s="34">
        <f>IF(E1243=1,Orders!P1240,"")</f>
        <v>10.3</v>
      </c>
      <c r="AH1243" s="34">
        <f>IF(E1243=1,Orders!Q1240,"")</f>
        <v>9.3</v>
      </c>
      <c r="AI1243" s="34">
        <f>IF(E1243=1,Orders!M1240,"")</f>
        <v>5.3</v>
      </c>
      <c r="AJ1243" s="34">
        <f>IF(E1243=1,Orders!N1240,"")</f>
        <v>2.1</v>
      </c>
      <c r="AK1243" s="34">
        <f>IF(E1243=1,Orders!O1240,"")</f>
        <v>1.9</v>
      </c>
      <c r="AL1243" s="33">
        <f>IF(E1243=1,IF(ROUND(ABS(AI1243+AJ1243+AK1243-AH1243),6)&lt;=0.1,1,0),"")</f>
        <v>1</v>
      </c>
      <c r="AM1243" s="36">
        <f>IF(E1243=1,AI1243/AH1243,"")</f>
        <v>0.56989247311828</v>
      </c>
      <c r="AN1243" s="36">
        <f>IF(E1243=1,AJ1243/AH1243,"")</f>
        <v>0.225806451612903</v>
      </c>
      <c r="AO1243" s="36">
        <f>IF(E1243=1,AK1243/AH1243,"")</f>
        <v>0.204301075268817</v>
      </c>
      <c r="AP1243" s="34">
        <f>IF(E1243=1,Orders!Y1240,"")</f>
        <v>0.44</v>
      </c>
      <c r="AQ1243" s="33">
        <f>IF(Orders!X1240,1,0)</f>
        <v>0</v>
      </c>
      <c r="AR1243" s="34" t="str">
        <f>IF(AND(E1243=1,L1243=1),AJ1243,"")</f>
        <v/>
      </c>
      <c r="AS1243" s="34">
        <f>IF(AND(E1243=1,L1243=0),AJ1243,"")</f>
        <v>2.1</v>
      </c>
      <c r="AT1243" s="34" t="str">
        <f>IF(AND(E1243=1,L1243=1),AI1243,"")</f>
        <v/>
      </c>
      <c r="AU1243" s="34">
        <f>IF(AND(E1243=1,L1243=0),AI1243,"")</f>
        <v>5.3</v>
      </c>
      <c r="AV1243" s="34" t="str">
        <f>IF(AND(E1243=1,L1243=1),AG1243,"")</f>
        <v/>
      </c>
      <c r="AW1243" s="34">
        <f>IF(AND(E1243=1,L1243=0),AG1243,"")</f>
        <v>10.3</v>
      </c>
      <c r="AX1243" s="34" t="str">
        <f>IF(AND(E1243=1,L1243=1),AH1243,"")</f>
        <v/>
      </c>
      <c r="AY1243" s="34">
        <f>IF(AND(E1243=1,L1243=0),AH1243,"")</f>
        <v>9.3</v>
      </c>
      <c r="AZ1243" s="34" t="str">
        <f>IF(G1243=1,F1243,"")</f>
        <v/>
      </c>
      <c r="BA1243" s="34" t="str">
        <f>IF(AND(G1243=1,L1243=1),F1243,"")</f>
        <v/>
      </c>
      <c r="BB1243" s="34" t="str">
        <f>IF(AND(G1243=1,L1243=0),F1243,"")</f>
        <v/>
      </c>
      <c r="BC1243" s="33">
        <f>IF(E1243=1,IF(Orders!R1240&gt;3,1,0),"")</f>
        <v>0</v>
      </c>
      <c r="BD1243" s="33">
        <f>IF(E1243=1,IF(Orders!R1240&gt;7,1,0),"")</f>
        <v>0</v>
      </c>
      <c r="BE1243" s="32" t="str">
        <f>IF(E1243=1,IF(Orders!L1240&lt;=1.5,"Up to 1.5 km",IF(Orders!L1240&lt;=3,"1.5–3 km","Over 3 km")),"")</f>
        <v>Up to 1.5 km</v>
      </c>
      <c r="BF1243" s="33">
        <f>IF(E1243=1,IF(ABS((Orders!G1240-Orders!F1240)*1440-Orders!R1240)&lt;0.06,1,0),"")</f>
        <v>1</v>
      </c>
      <c r="BG1243" s="33">
        <f>IF(ABS((Orders!F1240-Orders!E1240)*1440-Orders!P1240)&lt;0.06,1,0)</f>
        <v>1</v>
      </c>
      <c r="BH1243" s="33">
        <f>IF(E1243=1,IF(IF(Orders!S1240,1,0)=1-G1243,1,0),"")</f>
        <v>1</v>
      </c>
      <c r="BI1243" s="32" t="str">
        <f>INDEX(Stores!$B$2:$B$21,MATCH(B1243,Stores!$A$2:$A$21,0))</f>
        <v>Delhi</v>
      </c>
    </row>
    <row r="1244">
      <c r="A1244" s="32" t="str">
        <f>Orders!A1241</f>
        <v>O01240</v>
      </c>
      <c r="B1244" s="32" t="str">
        <f>Orders!C1241</f>
        <v>S003</v>
      </c>
      <c r="C1244" s="32" t="str">
        <f>Orders!B1241</f>
        <v>C0183</v>
      </c>
      <c r="D1244" s="32" t="str">
        <f>Orders!H1241</f>
        <v>Delivered</v>
      </c>
      <c r="E1244" s="33">
        <f>IF(Orders!H1241="Delivered",1,0)</f>
        <v>1</v>
      </c>
      <c r="F1244" s="34">
        <f>IF(E1244=1,Orders!R1241,"")</f>
        <v>-1.2</v>
      </c>
      <c r="G1244" s="33">
        <f>IF(E1244=1,IF(Orders!R1241&gt;0,1,0),"")</f>
        <v>0</v>
      </c>
      <c r="H1244" s="33">
        <f>IF(E1244=1,IF(Orders!R1241&gt;5,1,0),"")</f>
        <v>0</v>
      </c>
      <c r="I1244" s="32" t="str">
        <f>IF(E1244=1,"",IF(OR(Orders!T1241="Rider unavailable",Orders!T1241="Item unavailable"),"Company-caused","Unresolved"))</f>
        <v/>
      </c>
      <c r="J1244" s="33">
        <f>IF(OR(E1244=1,I1244="Company-caused"),1,0)</f>
        <v>1</v>
      </c>
      <c r="K1244" s="32" t="str">
        <f>IF(E1244=0,IF(I1244="Company-caused",IF(Orders!T1241="Rider unavailable","C1 Rider unavailable","C2 Item unavailable"),"Outside root: unresolved"),IF(G1244=0,"A On time",IF(H1244=1,IF(L1244=1,"B2a Severe, peak","B2b Severe, off-peak"),IF(L1244=1,"B1a Slight, peak","B1b Slight, off-peak"))))</f>
        <v>A On time</v>
      </c>
      <c r="L1244" s="33">
        <f>IF(AND(Orders!U1241&gt;=19,Orders!U1241&lt;22),1,0)</f>
        <v>0</v>
      </c>
      <c r="M1244" s="33">
        <f>IF(L1244=IF(Orders!V1241,1,0),1,0)</f>
        <v>1</v>
      </c>
      <c r="N1244" s="32" t="str">
        <f>IF(Orders!W1241="","None",Orders!W1241)</f>
        <v>Light</v>
      </c>
      <c r="O1244" s="35">
        <f>INT(Orders!E1241)</f>
        <v>46266.0</v>
      </c>
      <c r="P1244" s="33">
        <f>Orders!U1241</f>
        <v>14</v>
      </c>
      <c r="Q1244" s="33">
        <f>COUNTIFS(Demand!$A$2:$A$4481,B1244,Demand!$B$2:$B$4481,O1244,Demand!$C$2:$C$4481,P1244)</f>
        <v>1</v>
      </c>
      <c r="R1244" s="33">
        <f>IF(Q1244=1,SUMIFS(Demand!$E$2:$E$4481,Demand!$A$2:$A$4481,B1244,Demand!$B$2:$B$4481,O1244,Demand!$C$2:$C$4481,P1244),"")</f>
        <v>34</v>
      </c>
      <c r="S1244" s="33">
        <f>INDEX(Stores!$G$2:$G$21,MATCH(B1244,Stores!$A$2:$A$21,0))</f>
        <v>41</v>
      </c>
      <c r="T1244" s="34">
        <f>IF(R1244="","",R1244/S1244)</f>
        <v>0.829268292682927</v>
      </c>
      <c r="U1244" s="34">
        <f>IF(E1244=1,T1244,"")</f>
        <v>0.829268292682927</v>
      </c>
      <c r="V1244" s="34">
        <f>IF(AND(E1244=1,L1244=0),T1244,"")</f>
        <v>0.829268292682927</v>
      </c>
      <c r="W1244" s="33">
        <f>IF(U1244="","",IF(U1244&lt;=Breakdowns!$C$5,1,IF(U1244&lt;=Breakdowns!$C$6,2,IF(U1244&lt;=Breakdowns!$C$7,3,4))))</f>
        <v>2</v>
      </c>
      <c r="X1244" s="33">
        <f>IF(V1244="","",IF(V1244&lt;=Breakdowns!$D$5,1,IF(V1244&lt;=Breakdowns!$D$6,2,IF(V1244&lt;=Breakdowns!$D$7,3,4))))</f>
        <v>2</v>
      </c>
      <c r="Y1244" s="34">
        <f>INDEX(Stores!$F$2:$F$21,MATCH(B1244,Stores!$A$2:$A$21,0))</f>
        <v>3.84</v>
      </c>
      <c r="Z1244" s="33">
        <f>IF(Y1244&gt;Store_Summary!$M$2,1,0)</f>
        <v>0</v>
      </c>
      <c r="AA1244" s="33">
        <f>INDEX(Stores!$C$2:$C$21,MATCH(B1244,Stores!$A$2:$A$21,0))</f>
        <v>426</v>
      </c>
      <c r="AB1244" s="33">
        <f>IF(AA1244&lt;180,1,0)</f>
        <v>0</v>
      </c>
      <c r="AC1244" s="32" t="str">
        <f>IF(Orders!D1241="","",INDEX(Riders!$C$2:$C$81,MATCH(Orders!D1241,Riders!$A$2:$A$81,0)))</f>
        <v>EV scooter</v>
      </c>
      <c r="AD1244" s="33">
        <f>IF(Orders!D1241="","",INDEX(Riders!$D$2:$D$81,MATCH(Orders!D1241,Riders!$A$2:$A$81,0)))</f>
        <v>3</v>
      </c>
      <c r="AE1244" s="33">
        <f>IF(Orders!D1241="","",IF(INDEX(Riders!$B$2:$B$81,MATCH(Orders!D1241,Riders!$A$2:$A$81,0))=B1244,1,0))</f>
        <v>0</v>
      </c>
      <c r="AF1244" s="34">
        <f>IF(E1244=1,Orders!L1241,"")</f>
        <v>2.1</v>
      </c>
      <c r="AG1244" s="34">
        <f>IF(E1244=1,Orders!P1241,"")</f>
        <v>9.5</v>
      </c>
      <c r="AH1244" s="34">
        <f>IF(E1244=1,Orders!Q1241,"")</f>
        <v>8.3</v>
      </c>
      <c r="AI1244" s="34">
        <f>IF(E1244=1,Orders!M1241,"")</f>
        <v>2.1</v>
      </c>
      <c r="AJ1244" s="34">
        <f>IF(E1244=1,Orders!N1241,"")</f>
        <v>3.6</v>
      </c>
      <c r="AK1244" s="34">
        <f>IF(E1244=1,Orders!O1241,"")</f>
        <v>2.6</v>
      </c>
      <c r="AL1244" s="33">
        <f>IF(E1244=1,IF(ROUND(ABS(AI1244+AJ1244+AK1244-AH1244),6)&lt;=0.1,1,0),"")</f>
        <v>1</v>
      </c>
      <c r="AM1244" s="36">
        <f>IF(E1244=1,AI1244/AH1244,"")</f>
        <v>0.253012048192771</v>
      </c>
      <c r="AN1244" s="36">
        <f>IF(E1244=1,AJ1244/AH1244,"")</f>
        <v>0.433734939759036</v>
      </c>
      <c r="AO1244" s="36">
        <f>IF(E1244=1,AK1244/AH1244,"")</f>
        <v>0.313253012048193</v>
      </c>
      <c r="AP1244" s="34">
        <f>IF(E1244=1,Orders!Y1241,"")</f>
        <v>0.68</v>
      </c>
      <c r="AQ1244" s="33">
        <f>IF(Orders!X1241,1,0)</f>
        <v>0</v>
      </c>
      <c r="AR1244" s="34" t="str">
        <f>IF(AND(E1244=1,L1244=1),AJ1244,"")</f>
        <v/>
      </c>
      <c r="AS1244" s="34">
        <f>IF(AND(E1244=1,L1244=0),AJ1244,"")</f>
        <v>3.6</v>
      </c>
      <c r="AT1244" s="34" t="str">
        <f>IF(AND(E1244=1,L1244=1),AI1244,"")</f>
        <v/>
      </c>
      <c r="AU1244" s="34">
        <f>IF(AND(E1244=1,L1244=0),AI1244,"")</f>
        <v>2.1</v>
      </c>
      <c r="AV1244" s="34" t="str">
        <f>IF(AND(E1244=1,L1244=1),AG1244,"")</f>
        <v/>
      </c>
      <c r="AW1244" s="34">
        <f>IF(AND(E1244=1,L1244=0),AG1244,"")</f>
        <v>9.5</v>
      </c>
      <c r="AX1244" s="34" t="str">
        <f>IF(AND(E1244=1,L1244=1),AH1244,"")</f>
        <v/>
      </c>
      <c r="AY1244" s="34">
        <f>IF(AND(E1244=1,L1244=0),AH1244,"")</f>
        <v>8.3</v>
      </c>
      <c r="AZ1244" s="34" t="str">
        <f>IF(G1244=1,F1244,"")</f>
        <v/>
      </c>
      <c r="BA1244" s="34" t="str">
        <f>IF(AND(G1244=1,L1244=1),F1244,"")</f>
        <v/>
      </c>
      <c r="BB1244" s="34" t="str">
        <f>IF(AND(G1244=1,L1244=0),F1244,"")</f>
        <v/>
      </c>
      <c r="BC1244" s="33">
        <f>IF(E1244=1,IF(Orders!R1241&gt;3,1,0),"")</f>
        <v>0</v>
      </c>
      <c r="BD1244" s="33">
        <f>IF(E1244=1,IF(Orders!R1241&gt;7,1,0),"")</f>
        <v>0</v>
      </c>
      <c r="BE1244" s="32" t="str">
        <f>IF(E1244=1,IF(Orders!L1241&lt;=1.5,"Up to 1.5 km",IF(Orders!L1241&lt;=3,"1.5–3 km","Over 3 km")),"")</f>
        <v>1.5–3 km</v>
      </c>
      <c r="BF1244" s="33">
        <f>IF(E1244=1,IF(ABS((Orders!G1241-Orders!F1241)*1440-Orders!R1241)&lt;0.06,1,0),"")</f>
        <v>1</v>
      </c>
      <c r="BG1244" s="33">
        <f>IF(ABS((Orders!F1241-Orders!E1241)*1440-Orders!P1241)&lt;0.06,1,0)</f>
        <v>1</v>
      </c>
      <c r="BH1244" s="33">
        <f>IF(E1244=1,IF(IF(Orders!S1241,1,0)=1-G1244,1,0),"")</f>
        <v>1</v>
      </c>
      <c r="BI1244" s="32" t="str">
        <f>INDEX(Stores!$B$2:$B$21,MATCH(B1244,Stores!$A$2:$A$21,0))</f>
        <v>Mumbai</v>
      </c>
    </row>
    <row r="1245">
      <c r="A1245" s="32" t="str">
        <f>Orders!A1242</f>
        <v>O01241</v>
      </c>
      <c r="B1245" s="32" t="str">
        <f>Orders!C1242</f>
        <v>S013</v>
      </c>
      <c r="C1245" s="32" t="str">
        <f>Orders!B1242</f>
        <v>C0247</v>
      </c>
      <c r="D1245" s="32" t="str">
        <f>Orders!H1242</f>
        <v>Delivered</v>
      </c>
      <c r="E1245" s="33">
        <f>IF(Orders!H1242="Delivered",1,0)</f>
        <v>1</v>
      </c>
      <c r="F1245" s="34">
        <f>IF(E1245=1,Orders!R1242,"")</f>
        <v>-0.4</v>
      </c>
      <c r="G1245" s="33">
        <f>IF(E1245=1,IF(Orders!R1242&gt;0,1,0),"")</f>
        <v>0</v>
      </c>
      <c r="H1245" s="33">
        <f>IF(E1245=1,IF(Orders!R1242&gt;5,1,0),"")</f>
        <v>0</v>
      </c>
      <c r="I1245" s="32" t="str">
        <f>IF(E1245=1,"",IF(OR(Orders!T1242="Rider unavailable",Orders!T1242="Item unavailable"),"Company-caused","Unresolved"))</f>
        <v/>
      </c>
      <c r="J1245" s="33">
        <f>IF(OR(E1245=1,I1245="Company-caused"),1,0)</f>
        <v>1</v>
      </c>
      <c r="K1245" s="32" t="str">
        <f>IF(E1245=0,IF(I1245="Company-caused",IF(Orders!T1242="Rider unavailable","C1 Rider unavailable","C2 Item unavailable"),"Outside root: unresolved"),IF(G1245=0,"A On time",IF(H1245=1,IF(L1245=1,"B2a Severe, peak","B2b Severe, off-peak"),IF(L1245=1,"B1a Slight, peak","B1b Slight, off-peak"))))</f>
        <v>A On time</v>
      </c>
      <c r="L1245" s="33">
        <f>IF(AND(Orders!U1242&gt;=19,Orders!U1242&lt;22),1,0)</f>
        <v>0</v>
      </c>
      <c r="M1245" s="33">
        <f>IF(L1245=IF(Orders!V1242,1,0),1,0)</f>
        <v>1</v>
      </c>
      <c r="N1245" s="32" t="str">
        <f>IF(Orders!W1242="","None",Orders!W1242)</f>
        <v>Light</v>
      </c>
      <c r="O1245" s="35">
        <f>INT(Orders!E1242)</f>
        <v>46266.0</v>
      </c>
      <c r="P1245" s="33">
        <f>Orders!U1242</f>
        <v>15</v>
      </c>
      <c r="Q1245" s="33">
        <f>COUNTIFS(Demand!$A$2:$A$4481,B1245,Demand!$B$2:$B$4481,O1245,Demand!$C$2:$C$4481,P1245)</f>
        <v>1</v>
      </c>
      <c r="R1245" s="33">
        <f>IF(Q1245=1,SUMIFS(Demand!$E$2:$E$4481,Demand!$A$2:$A$4481,B1245,Demand!$B$2:$B$4481,O1245,Demand!$C$2:$C$4481,P1245),"")</f>
        <v>32</v>
      </c>
      <c r="S1245" s="33">
        <f>INDEX(Stores!$G$2:$G$21,MATCH(B1245,Stores!$A$2:$A$21,0))</f>
        <v>49</v>
      </c>
      <c r="T1245" s="34">
        <f>IF(R1245="","",R1245/S1245)</f>
        <v>0.653061224489796</v>
      </c>
      <c r="U1245" s="34">
        <f>IF(E1245=1,T1245,"")</f>
        <v>0.653061224489796</v>
      </c>
      <c r="V1245" s="34">
        <f>IF(AND(E1245=1,L1245=0),T1245,"")</f>
        <v>0.653061224489796</v>
      </c>
      <c r="W1245" s="33">
        <f>IF(U1245="","",IF(U1245&lt;=Breakdowns!$C$5,1,IF(U1245&lt;=Breakdowns!$C$6,2,IF(U1245&lt;=Breakdowns!$C$7,3,4))))</f>
        <v>1</v>
      </c>
      <c r="X1245" s="33">
        <f>IF(V1245="","",IF(V1245&lt;=Breakdowns!$D$5,1,IF(V1245&lt;=Breakdowns!$D$6,2,IF(V1245&lt;=Breakdowns!$D$7,3,4))))</f>
        <v>1</v>
      </c>
      <c r="Y1245" s="34">
        <f>INDEX(Stores!$F$2:$F$21,MATCH(B1245,Stores!$A$2:$A$21,0))</f>
        <v>5.82</v>
      </c>
      <c r="Z1245" s="33">
        <f>IF(Y1245&gt;Store_Summary!$M$2,1,0)</f>
        <v>1</v>
      </c>
      <c r="AA1245" s="33">
        <f>INDEX(Stores!$C$2:$C$21,MATCH(B1245,Stores!$A$2:$A$21,0))</f>
        <v>705</v>
      </c>
      <c r="AB1245" s="33">
        <f>IF(AA1245&lt;180,1,0)</f>
        <v>0</v>
      </c>
      <c r="AC1245" s="32" t="str">
        <f>IF(Orders!D1242="","",INDEX(Riders!$C$2:$C$81,MATCH(Orders!D1242,Riders!$A$2:$A$81,0)))</f>
        <v>EV scooter</v>
      </c>
      <c r="AD1245" s="33">
        <f>IF(Orders!D1242="","",INDEX(Riders!$D$2:$D$81,MATCH(Orders!D1242,Riders!$A$2:$A$81,0)))</f>
        <v>21</v>
      </c>
      <c r="AE1245" s="33">
        <f>IF(Orders!D1242="","",IF(INDEX(Riders!$B$2:$B$81,MATCH(Orders!D1242,Riders!$A$2:$A$81,0))=B1245,1,0))</f>
        <v>0</v>
      </c>
      <c r="AF1245" s="34">
        <f>IF(E1245=1,Orders!L1242,"")</f>
        <v>0.91</v>
      </c>
      <c r="AG1245" s="34">
        <f>IF(E1245=1,Orders!P1242,"")</f>
        <v>8.1</v>
      </c>
      <c r="AH1245" s="34">
        <f>IF(E1245=1,Orders!Q1242,"")</f>
        <v>7.7</v>
      </c>
      <c r="AI1245" s="34">
        <f>IF(E1245=1,Orders!M1242,"")</f>
        <v>2.9</v>
      </c>
      <c r="AJ1245" s="34">
        <f>IF(E1245=1,Orders!N1242,"")</f>
        <v>2.7</v>
      </c>
      <c r="AK1245" s="34">
        <f>IF(E1245=1,Orders!O1242,"")</f>
        <v>2.1</v>
      </c>
      <c r="AL1245" s="33">
        <f>IF(E1245=1,IF(ROUND(ABS(AI1245+AJ1245+AK1245-AH1245),6)&lt;=0.1,1,0),"")</f>
        <v>1</v>
      </c>
      <c r="AM1245" s="36">
        <f>IF(E1245=1,AI1245/AH1245,"")</f>
        <v>0.376623376623377</v>
      </c>
      <c r="AN1245" s="36">
        <f>IF(E1245=1,AJ1245/AH1245,"")</f>
        <v>0.350649350649351</v>
      </c>
      <c r="AO1245" s="36">
        <f>IF(E1245=1,AK1245/AH1245,"")</f>
        <v>0.272727272727273</v>
      </c>
      <c r="AP1245" s="34">
        <f>IF(E1245=1,Orders!Y1242,"")</f>
        <v>0.86</v>
      </c>
      <c r="AQ1245" s="33">
        <f>IF(Orders!X1242,1,0)</f>
        <v>0</v>
      </c>
      <c r="AR1245" s="34" t="str">
        <f>IF(AND(E1245=1,L1245=1),AJ1245,"")</f>
        <v/>
      </c>
      <c r="AS1245" s="34">
        <f>IF(AND(E1245=1,L1245=0),AJ1245,"")</f>
        <v>2.7</v>
      </c>
      <c r="AT1245" s="34" t="str">
        <f>IF(AND(E1245=1,L1245=1),AI1245,"")</f>
        <v/>
      </c>
      <c r="AU1245" s="34">
        <f>IF(AND(E1245=1,L1245=0),AI1245,"")</f>
        <v>2.9</v>
      </c>
      <c r="AV1245" s="34" t="str">
        <f>IF(AND(E1245=1,L1245=1),AG1245,"")</f>
        <v/>
      </c>
      <c r="AW1245" s="34">
        <f>IF(AND(E1245=1,L1245=0),AG1245,"")</f>
        <v>8.1</v>
      </c>
      <c r="AX1245" s="34" t="str">
        <f>IF(AND(E1245=1,L1245=1),AH1245,"")</f>
        <v/>
      </c>
      <c r="AY1245" s="34">
        <f>IF(AND(E1245=1,L1245=0),AH1245,"")</f>
        <v>7.7</v>
      </c>
      <c r="AZ1245" s="34" t="str">
        <f>IF(G1245=1,F1245,"")</f>
        <v/>
      </c>
      <c r="BA1245" s="34" t="str">
        <f>IF(AND(G1245=1,L1245=1),F1245,"")</f>
        <v/>
      </c>
      <c r="BB1245" s="34" t="str">
        <f>IF(AND(G1245=1,L1245=0),F1245,"")</f>
        <v/>
      </c>
      <c r="BC1245" s="33">
        <f>IF(E1245=1,IF(Orders!R1242&gt;3,1,0),"")</f>
        <v>0</v>
      </c>
      <c r="BD1245" s="33">
        <f>IF(E1245=1,IF(Orders!R1242&gt;7,1,0),"")</f>
        <v>0</v>
      </c>
      <c r="BE1245" s="32" t="str">
        <f>IF(E1245=1,IF(Orders!L1242&lt;=1.5,"Up to 1.5 km",IF(Orders!L1242&lt;=3,"1.5–3 km","Over 3 km")),"")</f>
        <v>Up to 1.5 km</v>
      </c>
      <c r="BF1245" s="33">
        <f>IF(E1245=1,IF(ABS((Orders!G1242-Orders!F1242)*1440-Orders!R1242)&lt;0.06,1,0),"")</f>
        <v>1</v>
      </c>
      <c r="BG1245" s="33">
        <f>IF(ABS((Orders!F1242-Orders!E1242)*1440-Orders!P1242)&lt;0.06,1,0)</f>
        <v>1</v>
      </c>
      <c r="BH1245" s="33">
        <f>IF(E1245=1,IF(IF(Orders!S1242,1,0)=1-G1245,1,0),"")</f>
        <v>1</v>
      </c>
      <c r="BI1245" s="32" t="str">
        <f>INDEX(Stores!$B$2:$B$21,MATCH(B1245,Stores!$A$2:$A$21,0))</f>
        <v>Mumbai</v>
      </c>
    </row>
    <row r="1246">
      <c r="A1246" s="32" t="str">
        <f>Orders!A1243</f>
        <v>O01242</v>
      </c>
      <c r="B1246" s="32" t="str">
        <f>Orders!C1243</f>
        <v>S019</v>
      </c>
      <c r="C1246" s="32" t="str">
        <f>Orders!B1243</f>
        <v>C0025</v>
      </c>
      <c r="D1246" s="32" t="str">
        <f>Orders!H1243</f>
        <v>Delivered</v>
      </c>
      <c r="E1246" s="33">
        <f>IF(Orders!H1243="Delivered",1,0)</f>
        <v>1</v>
      </c>
      <c r="F1246" s="34">
        <f>IF(E1246=1,Orders!R1243,"")</f>
        <v>-1</v>
      </c>
      <c r="G1246" s="33">
        <f>IF(E1246=1,IF(Orders!R1243&gt;0,1,0),"")</f>
        <v>0</v>
      </c>
      <c r="H1246" s="33">
        <f>IF(E1246=1,IF(Orders!R1243&gt;5,1,0),"")</f>
        <v>0</v>
      </c>
      <c r="I1246" s="32" t="str">
        <f>IF(E1246=1,"",IF(OR(Orders!T1243="Rider unavailable",Orders!T1243="Item unavailable"),"Company-caused","Unresolved"))</f>
        <v/>
      </c>
      <c r="J1246" s="33">
        <f>IF(OR(E1246=1,I1246="Company-caused"),1,0)</f>
        <v>1</v>
      </c>
      <c r="K1246" s="32" t="str">
        <f>IF(E1246=0,IF(I1246="Company-caused",IF(Orders!T1243="Rider unavailable","C1 Rider unavailable","C2 Item unavailable"),"Outside root: unresolved"),IF(G1246=0,"A On time",IF(H1246=1,IF(L1246=1,"B2a Severe, peak","B2b Severe, off-peak"),IF(L1246=1,"B1a Slight, peak","B1b Slight, off-peak"))))</f>
        <v>A On time</v>
      </c>
      <c r="L1246" s="33">
        <f>IF(AND(Orders!U1243&gt;=19,Orders!U1243&lt;22),1,0)</f>
        <v>0</v>
      </c>
      <c r="M1246" s="33">
        <f>IF(L1246=IF(Orders!V1243,1,0),1,0)</f>
        <v>1</v>
      </c>
      <c r="N1246" s="32" t="str">
        <f>IF(Orders!W1243="","None",Orders!W1243)</f>
        <v>None</v>
      </c>
      <c r="O1246" s="35">
        <f>INT(Orders!E1243)</f>
        <v>46277.0</v>
      </c>
      <c r="P1246" s="33">
        <f>Orders!U1243</f>
        <v>14</v>
      </c>
      <c r="Q1246" s="33">
        <f>COUNTIFS(Demand!$A$2:$A$4481,B1246,Demand!$B$2:$B$4481,O1246,Demand!$C$2:$C$4481,P1246)</f>
        <v>1</v>
      </c>
      <c r="R1246" s="33">
        <f>IF(Q1246=1,SUMIFS(Demand!$E$2:$E$4481,Demand!$A$2:$A$4481,B1246,Demand!$B$2:$B$4481,O1246,Demand!$C$2:$C$4481,P1246),"")</f>
        <v>17</v>
      </c>
      <c r="S1246" s="33">
        <f>INDEX(Stores!$G$2:$G$21,MATCH(B1246,Stores!$A$2:$A$21,0))</f>
        <v>22</v>
      </c>
      <c r="T1246" s="34">
        <f>IF(R1246="","",R1246/S1246)</f>
        <v>0.772727272727273</v>
      </c>
      <c r="U1246" s="34">
        <f>IF(E1246=1,T1246,"")</f>
        <v>0.772727272727273</v>
      </c>
      <c r="V1246" s="34">
        <f>IF(AND(E1246=1,L1246=0),T1246,"")</f>
        <v>0.772727272727273</v>
      </c>
      <c r="W1246" s="33">
        <f>IF(U1246="","",IF(U1246&lt;=Breakdowns!$C$5,1,IF(U1246&lt;=Breakdowns!$C$6,2,IF(U1246&lt;=Breakdowns!$C$7,3,4))))</f>
        <v>1</v>
      </c>
      <c r="X1246" s="33">
        <f>IF(V1246="","",IF(V1246&lt;=Breakdowns!$D$5,1,IF(V1246&lt;=Breakdowns!$D$6,2,IF(V1246&lt;=Breakdowns!$D$7,3,4))))</f>
        <v>2</v>
      </c>
      <c r="Y1246" s="34">
        <f>INDEX(Stores!$F$2:$F$21,MATCH(B1246,Stores!$A$2:$A$21,0))</f>
        <v>4.99</v>
      </c>
      <c r="Z1246" s="33">
        <f>IF(Y1246&gt;Store_Summary!$M$2,1,0)</f>
        <v>1</v>
      </c>
      <c r="AA1246" s="33">
        <f>INDEX(Stores!$C$2:$C$21,MATCH(B1246,Stores!$A$2:$A$21,0))</f>
        <v>851</v>
      </c>
      <c r="AB1246" s="33">
        <f>IF(AA1246&lt;180,1,0)</f>
        <v>0</v>
      </c>
      <c r="AC1246" s="32" t="str">
        <f>IF(Orders!D1243="","",INDEX(Riders!$C$2:$C$81,MATCH(Orders!D1243,Riders!$A$2:$A$81,0)))</f>
        <v>EV scooter</v>
      </c>
      <c r="AD1246" s="33">
        <f>IF(Orders!D1243="","",INDEX(Riders!$D$2:$D$81,MATCH(Orders!D1243,Riders!$A$2:$A$81,0)))</f>
        <v>36</v>
      </c>
      <c r="AE1246" s="33">
        <f>IF(Orders!D1243="","",IF(INDEX(Riders!$B$2:$B$81,MATCH(Orders!D1243,Riders!$A$2:$A$81,0))=B1246,1,0))</f>
        <v>0</v>
      </c>
      <c r="AF1246" s="34">
        <f>IF(E1246=1,Orders!L1243,"")</f>
        <v>1.29</v>
      </c>
      <c r="AG1246" s="34">
        <f>IF(E1246=1,Orders!P1243,"")</f>
        <v>9</v>
      </c>
      <c r="AH1246" s="34">
        <f>IF(E1246=1,Orders!Q1243,"")</f>
        <v>8</v>
      </c>
      <c r="AI1246" s="34">
        <f>IF(E1246=1,Orders!M1243,"")</f>
        <v>3</v>
      </c>
      <c r="AJ1246" s="34">
        <f>IF(E1246=1,Orders!N1243,"")</f>
        <v>2.7</v>
      </c>
      <c r="AK1246" s="34">
        <f>IF(E1246=1,Orders!O1243,"")</f>
        <v>2.3</v>
      </c>
      <c r="AL1246" s="33">
        <f>IF(E1246=1,IF(ROUND(ABS(AI1246+AJ1246+AK1246-AH1246),6)&lt;=0.1,1,0),"")</f>
        <v>1</v>
      </c>
      <c r="AM1246" s="36">
        <f>IF(E1246=1,AI1246/AH1246,"")</f>
        <v>0.375</v>
      </c>
      <c r="AN1246" s="36">
        <f>IF(E1246=1,AJ1246/AH1246,"")</f>
        <v>0.3375</v>
      </c>
      <c r="AO1246" s="36">
        <f>IF(E1246=1,AK1246/AH1246,"")</f>
        <v>0.2875</v>
      </c>
      <c r="AP1246" s="34">
        <f>IF(E1246=1,Orders!Y1243,"")</f>
        <v>0.6</v>
      </c>
      <c r="AQ1246" s="33">
        <f>IF(Orders!X1243,1,0)</f>
        <v>0</v>
      </c>
      <c r="AR1246" s="34" t="str">
        <f>IF(AND(E1246=1,L1246=1),AJ1246,"")</f>
        <v/>
      </c>
      <c r="AS1246" s="34">
        <f>IF(AND(E1246=1,L1246=0),AJ1246,"")</f>
        <v>2.7</v>
      </c>
      <c r="AT1246" s="34" t="str">
        <f>IF(AND(E1246=1,L1246=1),AI1246,"")</f>
        <v/>
      </c>
      <c r="AU1246" s="34">
        <f>IF(AND(E1246=1,L1246=0),AI1246,"")</f>
        <v>3</v>
      </c>
      <c r="AV1246" s="34" t="str">
        <f>IF(AND(E1246=1,L1246=1),AG1246,"")</f>
        <v/>
      </c>
      <c r="AW1246" s="34">
        <f>IF(AND(E1246=1,L1246=0),AG1246,"")</f>
        <v>9</v>
      </c>
      <c r="AX1246" s="34" t="str">
        <f>IF(AND(E1246=1,L1246=1),AH1246,"")</f>
        <v/>
      </c>
      <c r="AY1246" s="34">
        <f>IF(AND(E1246=1,L1246=0),AH1246,"")</f>
        <v>8</v>
      </c>
      <c r="AZ1246" s="34" t="str">
        <f>IF(G1246=1,F1246,"")</f>
        <v/>
      </c>
      <c r="BA1246" s="34" t="str">
        <f>IF(AND(G1246=1,L1246=1),F1246,"")</f>
        <v/>
      </c>
      <c r="BB1246" s="34" t="str">
        <f>IF(AND(G1246=1,L1246=0),F1246,"")</f>
        <v/>
      </c>
      <c r="BC1246" s="33">
        <f>IF(E1246=1,IF(Orders!R1243&gt;3,1,0),"")</f>
        <v>0</v>
      </c>
      <c r="BD1246" s="33">
        <f>IF(E1246=1,IF(Orders!R1243&gt;7,1,0),"")</f>
        <v>0</v>
      </c>
      <c r="BE1246" s="32" t="str">
        <f>IF(E1246=1,IF(Orders!L1243&lt;=1.5,"Up to 1.5 km",IF(Orders!L1243&lt;=3,"1.5–3 km","Over 3 km")),"")</f>
        <v>Up to 1.5 km</v>
      </c>
      <c r="BF1246" s="33">
        <f>IF(E1246=1,IF(ABS((Orders!G1243-Orders!F1243)*1440-Orders!R1243)&lt;0.06,1,0),"")</f>
        <v>1</v>
      </c>
      <c r="BG1246" s="33">
        <f>IF(ABS((Orders!F1243-Orders!E1243)*1440-Orders!P1243)&lt;0.06,1,0)</f>
        <v>1</v>
      </c>
      <c r="BH1246" s="33">
        <f>IF(E1246=1,IF(IF(Orders!S1243,1,0)=1-G1246,1,0),"")</f>
        <v>1</v>
      </c>
      <c r="BI1246" s="32" t="str">
        <f>INDEX(Stores!$B$2:$B$21,MATCH(B1246,Stores!$A$2:$A$21,0))</f>
        <v>Pune</v>
      </c>
    </row>
    <row r="1247">
      <c r="A1247" s="32" t="str">
        <f>Orders!A1244</f>
        <v>O01243</v>
      </c>
      <c r="B1247" s="32" t="str">
        <f>Orders!C1244</f>
        <v>S012</v>
      </c>
      <c r="C1247" s="32" t="str">
        <f>Orders!B1244</f>
        <v>C0092</v>
      </c>
      <c r="D1247" s="32" t="str">
        <f>Orders!H1244</f>
        <v>Delivered</v>
      </c>
      <c r="E1247" s="33">
        <f>IF(Orders!H1244="Delivered",1,0)</f>
        <v>1</v>
      </c>
      <c r="F1247" s="34">
        <f>IF(E1247=1,Orders!R1244,"")</f>
        <v>-0.8</v>
      </c>
      <c r="G1247" s="33">
        <f>IF(E1247=1,IF(Orders!R1244&gt;0,1,0),"")</f>
        <v>0</v>
      </c>
      <c r="H1247" s="33">
        <f>IF(E1247=1,IF(Orders!R1244&gt;5,1,0),"")</f>
        <v>0</v>
      </c>
      <c r="I1247" s="32" t="str">
        <f>IF(E1247=1,"",IF(OR(Orders!T1244="Rider unavailable",Orders!T1244="Item unavailable"),"Company-caused","Unresolved"))</f>
        <v/>
      </c>
      <c r="J1247" s="33">
        <f>IF(OR(E1247=1,I1247="Company-caused"),1,0)</f>
        <v>1</v>
      </c>
      <c r="K1247" s="32" t="str">
        <f>IF(E1247=0,IF(I1247="Company-caused",IF(Orders!T1244="Rider unavailable","C1 Rider unavailable","C2 Item unavailable"),"Outside root: unresolved"),IF(G1247=0,"A On time",IF(H1247=1,IF(L1247=1,"B2a Severe, peak","B2b Severe, off-peak"),IF(L1247=1,"B1a Slight, peak","B1b Slight, off-peak"))))</f>
        <v>A On time</v>
      </c>
      <c r="L1247" s="33">
        <f>IF(AND(Orders!U1244&gt;=19,Orders!U1244&lt;22),1,0)</f>
        <v>0</v>
      </c>
      <c r="M1247" s="33">
        <f>IF(L1247=IF(Orders!V1244,1,0),1,0)</f>
        <v>1</v>
      </c>
      <c r="N1247" s="32" t="str">
        <f>IF(Orders!W1244="","None",Orders!W1244)</f>
        <v>Light</v>
      </c>
      <c r="O1247" s="35">
        <f>INT(Orders!E1244)</f>
        <v>46271.0</v>
      </c>
      <c r="P1247" s="33">
        <f>Orders!U1244</f>
        <v>16</v>
      </c>
      <c r="Q1247" s="33">
        <f>COUNTIFS(Demand!$A$2:$A$4481,B1247,Demand!$B$2:$B$4481,O1247,Demand!$C$2:$C$4481,P1247)</f>
        <v>1</v>
      </c>
      <c r="R1247" s="33">
        <f>IF(Q1247=1,SUMIFS(Demand!$E$2:$E$4481,Demand!$A$2:$A$4481,B1247,Demand!$B$2:$B$4481,O1247,Demand!$C$2:$C$4481,P1247),"")</f>
        <v>13</v>
      </c>
      <c r="S1247" s="33">
        <f>INDEX(Stores!$G$2:$G$21,MATCH(B1247,Stores!$A$2:$A$21,0))</f>
        <v>15</v>
      </c>
      <c r="T1247" s="34">
        <f>IF(R1247="","",R1247/S1247)</f>
        <v>0.866666666666667</v>
      </c>
      <c r="U1247" s="34">
        <f>IF(E1247=1,T1247,"")</f>
        <v>0.866666666666667</v>
      </c>
      <c r="V1247" s="34">
        <f>IF(AND(E1247=1,L1247=0),T1247,"")</f>
        <v>0.866666666666667</v>
      </c>
      <c r="W1247" s="33">
        <f>IF(U1247="","",IF(U1247&lt;=Breakdowns!$C$5,1,IF(U1247&lt;=Breakdowns!$C$6,2,IF(U1247&lt;=Breakdowns!$C$7,3,4))))</f>
        <v>2</v>
      </c>
      <c r="X1247" s="33">
        <f>IF(V1247="","",IF(V1247&lt;=Breakdowns!$D$5,1,IF(V1247&lt;=Breakdowns!$D$6,2,IF(V1247&lt;=Breakdowns!$D$7,3,4))))</f>
        <v>2</v>
      </c>
      <c r="Y1247" s="34">
        <f>INDEX(Stores!$F$2:$F$21,MATCH(B1247,Stores!$A$2:$A$21,0))</f>
        <v>5.23</v>
      </c>
      <c r="Z1247" s="33">
        <f>IF(Y1247&gt;Store_Summary!$M$2,1,0)</f>
        <v>1</v>
      </c>
      <c r="AA1247" s="33">
        <f>INDEX(Stores!$C$2:$C$21,MATCH(B1247,Stores!$A$2:$A$21,0))</f>
        <v>300</v>
      </c>
      <c r="AB1247" s="33">
        <f>IF(AA1247&lt;180,1,0)</f>
        <v>0</v>
      </c>
      <c r="AC1247" s="32" t="str">
        <f>IF(Orders!D1244="","",INDEX(Riders!$C$2:$C$81,MATCH(Orders!D1244,Riders!$A$2:$A$81,0)))</f>
        <v>EV scooter</v>
      </c>
      <c r="AD1247" s="33">
        <f>IF(Orders!D1244="","",INDEX(Riders!$D$2:$D$81,MATCH(Orders!D1244,Riders!$A$2:$A$81,0)))</f>
        <v>38</v>
      </c>
      <c r="AE1247" s="33">
        <f>IF(Orders!D1244="","",IF(INDEX(Riders!$B$2:$B$81,MATCH(Orders!D1244,Riders!$A$2:$A$81,0))=B1247,1,0))</f>
        <v>0</v>
      </c>
      <c r="AF1247" s="34">
        <f>IF(E1247=1,Orders!L1244,"")</f>
        <v>0.5</v>
      </c>
      <c r="AG1247" s="34">
        <f>IF(E1247=1,Orders!P1244,"")</f>
        <v>12.6</v>
      </c>
      <c r="AH1247" s="34">
        <f>IF(E1247=1,Orders!Q1244,"")</f>
        <v>11.8</v>
      </c>
      <c r="AI1247" s="34">
        <f>IF(E1247=1,Orders!M1244,"")</f>
        <v>4.3</v>
      </c>
      <c r="AJ1247" s="34">
        <f>IF(E1247=1,Orders!N1244,"")</f>
        <v>5.4</v>
      </c>
      <c r="AK1247" s="34">
        <f>IF(E1247=1,Orders!O1244,"")</f>
        <v>2.1</v>
      </c>
      <c r="AL1247" s="33">
        <f>IF(E1247=1,IF(ROUND(ABS(AI1247+AJ1247+AK1247-AH1247),6)&lt;=0.1,1,0),"")</f>
        <v>1</v>
      </c>
      <c r="AM1247" s="36">
        <f>IF(E1247=1,AI1247/AH1247,"")</f>
        <v>0.364406779661017</v>
      </c>
      <c r="AN1247" s="36">
        <f>IF(E1247=1,AJ1247/AH1247,"")</f>
        <v>0.457627118644068</v>
      </c>
      <c r="AO1247" s="36">
        <f>IF(E1247=1,AK1247/AH1247,"")</f>
        <v>0.177966101694915</v>
      </c>
      <c r="AP1247" s="34">
        <f>IF(E1247=1,Orders!Y1244,"")</f>
        <v>0.43</v>
      </c>
      <c r="AQ1247" s="33">
        <f>IF(Orders!X1244,1,0)</f>
        <v>0</v>
      </c>
      <c r="AR1247" s="34" t="str">
        <f>IF(AND(E1247=1,L1247=1),AJ1247,"")</f>
        <v/>
      </c>
      <c r="AS1247" s="34">
        <f>IF(AND(E1247=1,L1247=0),AJ1247,"")</f>
        <v>5.4</v>
      </c>
      <c r="AT1247" s="34" t="str">
        <f>IF(AND(E1247=1,L1247=1),AI1247,"")</f>
        <v/>
      </c>
      <c r="AU1247" s="34">
        <f>IF(AND(E1247=1,L1247=0),AI1247,"")</f>
        <v>4.3</v>
      </c>
      <c r="AV1247" s="34" t="str">
        <f>IF(AND(E1247=1,L1247=1),AG1247,"")</f>
        <v/>
      </c>
      <c r="AW1247" s="34">
        <f>IF(AND(E1247=1,L1247=0),AG1247,"")</f>
        <v>12.6</v>
      </c>
      <c r="AX1247" s="34" t="str">
        <f>IF(AND(E1247=1,L1247=1),AH1247,"")</f>
        <v/>
      </c>
      <c r="AY1247" s="34">
        <f>IF(AND(E1247=1,L1247=0),AH1247,"")</f>
        <v>11.8</v>
      </c>
      <c r="AZ1247" s="34" t="str">
        <f>IF(G1247=1,F1247,"")</f>
        <v/>
      </c>
      <c r="BA1247" s="34" t="str">
        <f>IF(AND(G1247=1,L1247=1),F1247,"")</f>
        <v/>
      </c>
      <c r="BB1247" s="34" t="str">
        <f>IF(AND(G1247=1,L1247=0),F1247,"")</f>
        <v/>
      </c>
      <c r="BC1247" s="33">
        <f>IF(E1247=1,IF(Orders!R1244&gt;3,1,0),"")</f>
        <v>0</v>
      </c>
      <c r="BD1247" s="33">
        <f>IF(E1247=1,IF(Orders!R1244&gt;7,1,0),"")</f>
        <v>0</v>
      </c>
      <c r="BE1247" s="32" t="str">
        <f>IF(E1247=1,IF(Orders!L1244&lt;=1.5,"Up to 1.5 km",IF(Orders!L1244&lt;=3,"1.5–3 km","Over 3 km")),"")</f>
        <v>Up to 1.5 km</v>
      </c>
      <c r="BF1247" s="33">
        <f>IF(E1247=1,IF(ABS((Orders!G1244-Orders!F1244)*1440-Orders!R1244)&lt;0.06,1,0),"")</f>
        <v>1</v>
      </c>
      <c r="BG1247" s="33">
        <f>IF(ABS((Orders!F1244-Orders!E1244)*1440-Orders!P1244)&lt;0.06,1,0)</f>
        <v>1</v>
      </c>
      <c r="BH1247" s="33">
        <f>IF(E1247=1,IF(IF(Orders!S1244,1,0)=1-G1247,1,0),"")</f>
        <v>1</v>
      </c>
      <c r="BI1247" s="32" t="str">
        <f>INDEX(Stores!$B$2:$B$21,MATCH(B1247,Stores!$A$2:$A$21,0))</f>
        <v>Hyderabad</v>
      </c>
    </row>
    <row r="1248">
      <c r="A1248" s="32" t="str">
        <f>Orders!A1245</f>
        <v>O01244</v>
      </c>
      <c r="B1248" s="32" t="str">
        <f>Orders!C1245</f>
        <v>S003</v>
      </c>
      <c r="C1248" s="32" t="str">
        <f>Orders!B1245</f>
        <v>C0085</v>
      </c>
      <c r="D1248" s="32" t="str">
        <f>Orders!H1245</f>
        <v>Delivered</v>
      </c>
      <c r="E1248" s="33">
        <f>IF(Orders!H1245="Delivered",1,0)</f>
        <v>1</v>
      </c>
      <c r="F1248" s="34">
        <f>IF(E1248=1,Orders!R1245,"")</f>
        <v>-0.2</v>
      </c>
      <c r="G1248" s="33">
        <f>IF(E1248=1,IF(Orders!R1245&gt;0,1,0),"")</f>
        <v>0</v>
      </c>
      <c r="H1248" s="33">
        <f>IF(E1248=1,IF(Orders!R1245&gt;5,1,0),"")</f>
        <v>0</v>
      </c>
      <c r="I1248" s="32" t="str">
        <f>IF(E1248=1,"",IF(OR(Orders!T1245="Rider unavailable",Orders!T1245="Item unavailable"),"Company-caused","Unresolved"))</f>
        <v/>
      </c>
      <c r="J1248" s="33">
        <f>IF(OR(E1248=1,I1248="Company-caused"),1,0)</f>
        <v>1</v>
      </c>
      <c r="K1248" s="32" t="str">
        <f>IF(E1248=0,IF(I1248="Company-caused",IF(Orders!T1245="Rider unavailable","C1 Rider unavailable","C2 Item unavailable"),"Outside root: unresolved"),IF(G1248=0,"A On time",IF(H1248=1,IF(L1248=1,"B2a Severe, peak","B2b Severe, off-peak"),IF(L1248=1,"B1a Slight, peak","B1b Slight, off-peak"))))</f>
        <v>A On time</v>
      </c>
      <c r="L1248" s="33">
        <f>IF(AND(Orders!U1245&gt;=19,Orders!U1245&lt;22),1,0)</f>
        <v>1</v>
      </c>
      <c r="M1248" s="33">
        <f>IF(L1248=IF(Orders!V1245,1,0),1,0)</f>
        <v>1</v>
      </c>
      <c r="N1248" s="32" t="str">
        <f>IF(Orders!W1245="","None",Orders!W1245)</f>
        <v>Light</v>
      </c>
      <c r="O1248" s="35">
        <f>INT(Orders!E1245)</f>
        <v>46279.0</v>
      </c>
      <c r="P1248" s="33">
        <f>Orders!U1245</f>
        <v>21</v>
      </c>
      <c r="Q1248" s="33">
        <f>COUNTIFS(Demand!$A$2:$A$4481,B1248,Demand!$B$2:$B$4481,O1248,Demand!$C$2:$C$4481,P1248)</f>
        <v>1</v>
      </c>
      <c r="R1248" s="33">
        <f>IF(Q1248=1,SUMIFS(Demand!$E$2:$E$4481,Demand!$A$2:$A$4481,B1248,Demand!$B$2:$B$4481,O1248,Demand!$C$2:$C$4481,P1248),"")</f>
        <v>49</v>
      </c>
      <c r="S1248" s="33">
        <f>INDEX(Stores!$G$2:$G$21,MATCH(B1248,Stores!$A$2:$A$21,0))</f>
        <v>41</v>
      </c>
      <c r="T1248" s="34">
        <f>IF(R1248="","",R1248/S1248)</f>
        <v>1.19512195121951</v>
      </c>
      <c r="U1248" s="34">
        <f>IF(E1248=1,T1248,"")</f>
        <v>1.19512195121951</v>
      </c>
      <c r="V1248" s="34" t="str">
        <f>IF(AND(E1248=1,L1248=0),T1248,"")</f>
        <v/>
      </c>
      <c r="W1248" s="33">
        <f>IF(U1248="","",IF(U1248&lt;=Breakdowns!$C$5,1,IF(U1248&lt;=Breakdowns!$C$6,2,IF(U1248&lt;=Breakdowns!$C$7,3,4))))</f>
        <v>3</v>
      </c>
      <c r="X1248" s="33" t="str">
        <f>IF(V1248="","",IF(V1248&lt;=Breakdowns!$D$5,1,IF(V1248&lt;=Breakdowns!$D$6,2,IF(V1248&lt;=Breakdowns!$D$7,3,4))))</f>
        <v/>
      </c>
      <c r="Y1248" s="34">
        <f>INDEX(Stores!$F$2:$F$21,MATCH(B1248,Stores!$A$2:$A$21,0))</f>
        <v>3.84</v>
      </c>
      <c r="Z1248" s="33">
        <f>IF(Y1248&gt;Store_Summary!$M$2,1,0)</f>
        <v>0</v>
      </c>
      <c r="AA1248" s="33">
        <f>INDEX(Stores!$C$2:$C$21,MATCH(B1248,Stores!$A$2:$A$21,0))</f>
        <v>426</v>
      </c>
      <c r="AB1248" s="33">
        <f>IF(AA1248&lt;180,1,0)</f>
        <v>0</v>
      </c>
      <c r="AC1248" s="32" t="str">
        <f>IF(Orders!D1245="","",INDEX(Riders!$C$2:$C$81,MATCH(Orders!D1245,Riders!$A$2:$A$81,0)))</f>
        <v>EV scooter</v>
      </c>
      <c r="AD1248" s="33">
        <f>IF(Orders!D1245="","",INDEX(Riders!$D$2:$D$81,MATCH(Orders!D1245,Riders!$A$2:$A$81,0)))</f>
        <v>12</v>
      </c>
      <c r="AE1248" s="33">
        <f>IF(Orders!D1245="","",IF(INDEX(Riders!$B$2:$B$81,MATCH(Orders!D1245,Riders!$A$2:$A$81,0))=B1248,1,0))</f>
        <v>0</v>
      </c>
      <c r="AF1248" s="34">
        <f>IF(E1248=1,Orders!L1245,"")</f>
        <v>1.18</v>
      </c>
      <c r="AG1248" s="34">
        <f>IF(E1248=1,Orders!P1245,"")</f>
        <v>10.4</v>
      </c>
      <c r="AH1248" s="34">
        <f>IF(E1248=1,Orders!Q1245,"")</f>
        <v>10.2</v>
      </c>
      <c r="AI1248" s="34">
        <f>IF(E1248=1,Orders!M1245,"")</f>
        <v>2.2</v>
      </c>
      <c r="AJ1248" s="34">
        <f>IF(E1248=1,Orders!N1245,"")</f>
        <v>4.5</v>
      </c>
      <c r="AK1248" s="34">
        <f>IF(E1248=1,Orders!O1245,"")</f>
        <v>3.5</v>
      </c>
      <c r="AL1248" s="33">
        <f>IF(E1248=1,IF(ROUND(ABS(AI1248+AJ1248+AK1248-AH1248),6)&lt;=0.1,1,0),"")</f>
        <v>1</v>
      </c>
      <c r="AM1248" s="36">
        <f>IF(E1248=1,AI1248/AH1248,"")</f>
        <v>0.215686274509804</v>
      </c>
      <c r="AN1248" s="36">
        <f>IF(E1248=1,AJ1248/AH1248,"")</f>
        <v>0.441176470588235</v>
      </c>
      <c r="AO1248" s="36">
        <f>IF(E1248=1,AK1248/AH1248,"")</f>
        <v>0.343137254901961</v>
      </c>
      <c r="AP1248" s="34">
        <f>IF(E1248=1,Orders!Y1245,"")</f>
        <v>0.45</v>
      </c>
      <c r="AQ1248" s="33">
        <f>IF(Orders!X1245,1,0)</f>
        <v>0</v>
      </c>
      <c r="AR1248" s="34">
        <f>IF(AND(E1248=1,L1248=1),AJ1248,"")</f>
        <v>4.5</v>
      </c>
      <c r="AS1248" s="34" t="str">
        <f>IF(AND(E1248=1,L1248=0),AJ1248,"")</f>
        <v/>
      </c>
      <c r="AT1248" s="34">
        <f>IF(AND(E1248=1,L1248=1),AI1248,"")</f>
        <v>2.2</v>
      </c>
      <c r="AU1248" s="34" t="str">
        <f>IF(AND(E1248=1,L1248=0),AI1248,"")</f>
        <v/>
      </c>
      <c r="AV1248" s="34">
        <f>IF(AND(E1248=1,L1248=1),AG1248,"")</f>
        <v>10.4</v>
      </c>
      <c r="AW1248" s="34" t="str">
        <f>IF(AND(E1248=1,L1248=0),AG1248,"")</f>
        <v/>
      </c>
      <c r="AX1248" s="34">
        <f>IF(AND(E1248=1,L1248=1),AH1248,"")</f>
        <v>10.2</v>
      </c>
      <c r="AY1248" s="34" t="str">
        <f>IF(AND(E1248=1,L1248=0),AH1248,"")</f>
        <v/>
      </c>
      <c r="AZ1248" s="34" t="str">
        <f>IF(G1248=1,F1248,"")</f>
        <v/>
      </c>
      <c r="BA1248" s="34" t="str">
        <f>IF(AND(G1248=1,L1248=1),F1248,"")</f>
        <v/>
      </c>
      <c r="BB1248" s="34" t="str">
        <f>IF(AND(G1248=1,L1248=0),F1248,"")</f>
        <v/>
      </c>
      <c r="BC1248" s="33">
        <f>IF(E1248=1,IF(Orders!R1245&gt;3,1,0),"")</f>
        <v>0</v>
      </c>
      <c r="BD1248" s="33">
        <f>IF(E1248=1,IF(Orders!R1245&gt;7,1,0),"")</f>
        <v>0</v>
      </c>
      <c r="BE1248" s="32" t="str">
        <f>IF(E1248=1,IF(Orders!L1245&lt;=1.5,"Up to 1.5 km",IF(Orders!L1245&lt;=3,"1.5–3 km","Over 3 km")),"")</f>
        <v>Up to 1.5 km</v>
      </c>
      <c r="BF1248" s="33">
        <f>IF(E1248=1,IF(ABS((Orders!G1245-Orders!F1245)*1440-Orders!R1245)&lt;0.06,1,0),"")</f>
        <v>1</v>
      </c>
      <c r="BG1248" s="33">
        <f>IF(ABS((Orders!F1245-Orders!E1245)*1440-Orders!P1245)&lt;0.06,1,0)</f>
        <v>1</v>
      </c>
      <c r="BH1248" s="33">
        <f>IF(E1248=1,IF(IF(Orders!S1245,1,0)=1-G1248,1,0),"")</f>
        <v>1</v>
      </c>
      <c r="BI1248" s="32" t="str">
        <f>INDEX(Stores!$B$2:$B$21,MATCH(B1248,Stores!$A$2:$A$21,0))</f>
        <v>Mumbai</v>
      </c>
    </row>
    <row r="1249">
      <c r="A1249" s="32" t="str">
        <f>Orders!A1246</f>
        <v>O01245</v>
      </c>
      <c r="B1249" s="32" t="str">
        <f>Orders!C1246</f>
        <v>S018</v>
      </c>
      <c r="C1249" s="32" t="str">
        <f>Orders!B1246</f>
        <v>C0145</v>
      </c>
      <c r="D1249" s="32" t="str">
        <f>Orders!H1246</f>
        <v>Delivered</v>
      </c>
      <c r="E1249" s="33">
        <f>IF(Orders!H1246="Delivered",1,0)</f>
        <v>1</v>
      </c>
      <c r="F1249" s="34">
        <f>IF(E1249=1,Orders!R1246,"")</f>
        <v>-0.2</v>
      </c>
      <c r="G1249" s="33">
        <f>IF(E1249=1,IF(Orders!R1246&gt;0,1,0),"")</f>
        <v>0</v>
      </c>
      <c r="H1249" s="33">
        <f>IF(E1249=1,IF(Orders!R1246&gt;5,1,0),"")</f>
        <v>0</v>
      </c>
      <c r="I1249" s="32" t="str">
        <f>IF(E1249=1,"",IF(OR(Orders!T1246="Rider unavailable",Orders!T1246="Item unavailable"),"Company-caused","Unresolved"))</f>
        <v/>
      </c>
      <c r="J1249" s="33">
        <f>IF(OR(E1249=1,I1249="Company-caused"),1,0)</f>
        <v>1</v>
      </c>
      <c r="K1249" s="32" t="str">
        <f>IF(E1249=0,IF(I1249="Company-caused",IF(Orders!T1246="Rider unavailable","C1 Rider unavailable","C2 Item unavailable"),"Outside root: unresolved"),IF(G1249=0,"A On time",IF(H1249=1,IF(L1249=1,"B2a Severe, peak","B2b Severe, off-peak"),IF(L1249=1,"B1a Slight, peak","B1b Slight, off-peak"))))</f>
        <v>A On time</v>
      </c>
      <c r="L1249" s="33">
        <f>IF(AND(Orders!U1246&gt;=19,Orders!U1246&lt;22),1,0)</f>
        <v>0</v>
      </c>
      <c r="M1249" s="33">
        <f>IF(L1249=IF(Orders!V1246,1,0),1,0)</f>
        <v>1</v>
      </c>
      <c r="N1249" s="32" t="str">
        <f>IF(Orders!W1246="","None",Orders!W1246)</f>
        <v>None</v>
      </c>
      <c r="O1249" s="35">
        <f>INT(Orders!E1246)</f>
        <v>46269.0</v>
      </c>
      <c r="P1249" s="33">
        <f>Orders!U1246</f>
        <v>22</v>
      </c>
      <c r="Q1249" s="33">
        <f>COUNTIFS(Demand!$A$2:$A$4481,B1249,Demand!$B$2:$B$4481,O1249,Demand!$C$2:$C$4481,P1249)</f>
        <v>1</v>
      </c>
      <c r="R1249" s="33">
        <f>IF(Q1249=1,SUMIFS(Demand!$E$2:$E$4481,Demand!$A$2:$A$4481,B1249,Demand!$B$2:$B$4481,O1249,Demand!$C$2:$C$4481,P1249),"")</f>
        <v>20</v>
      </c>
      <c r="S1249" s="33">
        <f>INDEX(Stores!$G$2:$G$21,MATCH(B1249,Stores!$A$2:$A$21,0))</f>
        <v>20</v>
      </c>
      <c r="T1249" s="34">
        <f>IF(R1249="","",R1249/S1249)</f>
        <v>1</v>
      </c>
      <c r="U1249" s="34">
        <f>IF(E1249=1,T1249,"")</f>
        <v>1</v>
      </c>
      <c r="V1249" s="34">
        <f>IF(AND(E1249=1,L1249=0),T1249,"")</f>
        <v>1</v>
      </c>
      <c r="W1249" s="33">
        <f>IF(U1249="","",IF(U1249&lt;=Breakdowns!$C$5,1,IF(U1249&lt;=Breakdowns!$C$6,2,IF(U1249&lt;=Breakdowns!$C$7,3,4))))</f>
        <v>2</v>
      </c>
      <c r="X1249" s="33">
        <f>IF(V1249="","",IF(V1249&lt;=Breakdowns!$D$5,1,IF(V1249&lt;=Breakdowns!$D$6,2,IF(V1249&lt;=Breakdowns!$D$7,3,4))))</f>
        <v>3</v>
      </c>
      <c r="Y1249" s="34">
        <f>INDEX(Stores!$F$2:$F$21,MATCH(B1249,Stores!$A$2:$A$21,0))</f>
        <v>5.31</v>
      </c>
      <c r="Z1249" s="33">
        <f>IF(Y1249&gt;Store_Summary!$M$2,1,0)</f>
        <v>1</v>
      </c>
      <c r="AA1249" s="33">
        <f>INDEX(Stores!$C$2:$C$21,MATCH(B1249,Stores!$A$2:$A$21,0))</f>
        <v>214</v>
      </c>
      <c r="AB1249" s="33">
        <f>IF(AA1249&lt;180,1,0)</f>
        <v>0</v>
      </c>
      <c r="AC1249" s="32" t="str">
        <f>IF(Orders!D1246="","",INDEX(Riders!$C$2:$C$81,MATCH(Orders!D1246,Riders!$A$2:$A$81,0)))</f>
        <v>EV scooter</v>
      </c>
      <c r="AD1249" s="33">
        <f>IF(Orders!D1246="","",INDEX(Riders!$D$2:$D$81,MATCH(Orders!D1246,Riders!$A$2:$A$81,0)))</f>
        <v>44</v>
      </c>
      <c r="AE1249" s="33">
        <f>IF(Orders!D1246="","",IF(INDEX(Riders!$B$2:$B$81,MATCH(Orders!D1246,Riders!$A$2:$A$81,0))=B1249,1,0))</f>
        <v>1</v>
      </c>
      <c r="AF1249" s="34">
        <f>IF(E1249=1,Orders!L1246,"")</f>
        <v>1.33</v>
      </c>
      <c r="AG1249" s="34">
        <f>IF(E1249=1,Orders!P1246,"")</f>
        <v>10.3</v>
      </c>
      <c r="AH1249" s="34">
        <f>IF(E1249=1,Orders!Q1246,"")</f>
        <v>10.1</v>
      </c>
      <c r="AI1249" s="34">
        <f>IF(E1249=1,Orders!M1246,"")</f>
        <v>4.3</v>
      </c>
      <c r="AJ1249" s="34">
        <f>IF(E1249=1,Orders!N1246,"")</f>
        <v>0.8</v>
      </c>
      <c r="AK1249" s="34">
        <f>IF(E1249=1,Orders!O1246,"")</f>
        <v>5</v>
      </c>
      <c r="AL1249" s="33">
        <f>IF(E1249=1,IF(ROUND(ABS(AI1249+AJ1249+AK1249-AH1249),6)&lt;=0.1,1,0),"")</f>
        <v>1</v>
      </c>
      <c r="AM1249" s="36">
        <f>IF(E1249=1,AI1249/AH1249,"")</f>
        <v>0.425742574257426</v>
      </c>
      <c r="AN1249" s="36">
        <f>IF(E1249=1,AJ1249/AH1249,"")</f>
        <v>0.0792079207920792</v>
      </c>
      <c r="AO1249" s="36">
        <f>IF(E1249=1,AK1249/AH1249,"")</f>
        <v>0.495049504950495</v>
      </c>
      <c r="AP1249" s="34">
        <f>IF(E1249=1,Orders!Y1246,"")</f>
        <v>0.71</v>
      </c>
      <c r="AQ1249" s="33">
        <f>IF(Orders!X1246,1,0)</f>
        <v>0</v>
      </c>
      <c r="AR1249" s="34" t="str">
        <f>IF(AND(E1249=1,L1249=1),AJ1249,"")</f>
        <v/>
      </c>
      <c r="AS1249" s="34">
        <f>IF(AND(E1249=1,L1249=0),AJ1249,"")</f>
        <v>0.8</v>
      </c>
      <c r="AT1249" s="34" t="str">
        <f>IF(AND(E1249=1,L1249=1),AI1249,"")</f>
        <v/>
      </c>
      <c r="AU1249" s="34">
        <f>IF(AND(E1249=1,L1249=0),AI1249,"")</f>
        <v>4.3</v>
      </c>
      <c r="AV1249" s="34" t="str">
        <f>IF(AND(E1249=1,L1249=1),AG1249,"")</f>
        <v/>
      </c>
      <c r="AW1249" s="34">
        <f>IF(AND(E1249=1,L1249=0),AG1249,"")</f>
        <v>10.3</v>
      </c>
      <c r="AX1249" s="34" t="str">
        <f>IF(AND(E1249=1,L1249=1),AH1249,"")</f>
        <v/>
      </c>
      <c r="AY1249" s="34">
        <f>IF(AND(E1249=1,L1249=0),AH1249,"")</f>
        <v>10.1</v>
      </c>
      <c r="AZ1249" s="34" t="str">
        <f>IF(G1249=1,F1249,"")</f>
        <v/>
      </c>
      <c r="BA1249" s="34" t="str">
        <f>IF(AND(G1249=1,L1249=1),F1249,"")</f>
        <v/>
      </c>
      <c r="BB1249" s="34" t="str">
        <f>IF(AND(G1249=1,L1249=0),F1249,"")</f>
        <v/>
      </c>
      <c r="BC1249" s="33">
        <f>IF(E1249=1,IF(Orders!R1246&gt;3,1,0),"")</f>
        <v>0</v>
      </c>
      <c r="BD1249" s="33">
        <f>IF(E1249=1,IF(Orders!R1246&gt;7,1,0),"")</f>
        <v>0</v>
      </c>
      <c r="BE1249" s="32" t="str">
        <f>IF(E1249=1,IF(Orders!L1246&lt;=1.5,"Up to 1.5 km",IF(Orders!L1246&lt;=3,"1.5–3 km","Over 3 km")),"")</f>
        <v>Up to 1.5 km</v>
      </c>
      <c r="BF1249" s="33">
        <f>IF(E1249=1,IF(ABS((Orders!G1246-Orders!F1246)*1440-Orders!R1246)&lt;0.06,1,0),"")</f>
        <v>1</v>
      </c>
      <c r="BG1249" s="33">
        <f>IF(ABS((Orders!F1246-Orders!E1246)*1440-Orders!P1246)&lt;0.06,1,0)</f>
        <v>1</v>
      </c>
      <c r="BH1249" s="33">
        <f>IF(E1249=1,IF(IF(Orders!S1246,1,0)=1-G1249,1,0),"")</f>
        <v>1</v>
      </c>
      <c r="BI1249" s="32" t="str">
        <f>INDEX(Stores!$B$2:$B$21,MATCH(B1249,Stores!$A$2:$A$21,0))</f>
        <v>Mumbai</v>
      </c>
    </row>
    <row r="1250">
      <c r="A1250" s="32" t="str">
        <f>Orders!A1247</f>
        <v>O01246</v>
      </c>
      <c r="B1250" s="32" t="str">
        <f>Orders!C1247</f>
        <v>S011</v>
      </c>
      <c r="C1250" s="32" t="str">
        <f>Orders!B1247</f>
        <v>C0142</v>
      </c>
      <c r="D1250" s="32" t="str">
        <f>Orders!H1247</f>
        <v>Delivered</v>
      </c>
      <c r="E1250" s="33">
        <f>IF(Orders!H1247="Delivered",1,0)</f>
        <v>1</v>
      </c>
      <c r="F1250" s="34">
        <f>IF(E1250=1,Orders!R1247,"")</f>
        <v>-0.9</v>
      </c>
      <c r="G1250" s="33">
        <f>IF(E1250=1,IF(Orders!R1247&gt;0,1,0),"")</f>
        <v>0</v>
      </c>
      <c r="H1250" s="33">
        <f>IF(E1250=1,IF(Orders!R1247&gt;5,1,0),"")</f>
        <v>0</v>
      </c>
      <c r="I1250" s="32" t="str">
        <f>IF(E1250=1,"",IF(OR(Orders!T1247="Rider unavailable",Orders!T1247="Item unavailable"),"Company-caused","Unresolved"))</f>
        <v/>
      </c>
      <c r="J1250" s="33">
        <f>IF(OR(E1250=1,I1250="Company-caused"),1,0)</f>
        <v>1</v>
      </c>
      <c r="K1250" s="32" t="str">
        <f>IF(E1250=0,IF(I1250="Company-caused",IF(Orders!T1247="Rider unavailable","C1 Rider unavailable","C2 Item unavailable"),"Outside root: unresolved"),IF(G1250=0,"A On time",IF(H1250=1,IF(L1250=1,"B2a Severe, peak","B2b Severe, off-peak"),IF(L1250=1,"B1a Slight, peak","B1b Slight, off-peak"))))</f>
        <v>A On time</v>
      </c>
      <c r="L1250" s="33">
        <f>IF(AND(Orders!U1247&gt;=19,Orders!U1247&lt;22),1,0)</f>
        <v>1</v>
      </c>
      <c r="M1250" s="33">
        <f>IF(L1250=IF(Orders!V1247,1,0),1,0)</f>
        <v>1</v>
      </c>
      <c r="N1250" s="32" t="str">
        <f>IF(Orders!W1247="","None",Orders!W1247)</f>
        <v>None</v>
      </c>
      <c r="O1250" s="35">
        <f>INT(Orders!E1247)</f>
        <v>46267.0</v>
      </c>
      <c r="P1250" s="33">
        <f>Orders!U1247</f>
        <v>21</v>
      </c>
      <c r="Q1250" s="33">
        <f>COUNTIFS(Demand!$A$2:$A$4481,B1250,Demand!$B$2:$B$4481,O1250,Demand!$C$2:$C$4481,P1250)</f>
        <v>1</v>
      </c>
      <c r="R1250" s="33">
        <f>IF(Q1250=1,SUMIFS(Demand!$E$2:$E$4481,Demand!$A$2:$A$4481,B1250,Demand!$B$2:$B$4481,O1250,Demand!$C$2:$C$4481,P1250),"")</f>
        <v>50</v>
      </c>
      <c r="S1250" s="33">
        <f>INDEX(Stores!$G$2:$G$21,MATCH(B1250,Stores!$A$2:$A$21,0))</f>
        <v>31</v>
      </c>
      <c r="T1250" s="34">
        <f>IF(R1250="","",R1250/S1250)</f>
        <v>1.61290322580645</v>
      </c>
      <c r="U1250" s="34">
        <f>IF(E1250=1,T1250,"")</f>
        <v>1.61290322580645</v>
      </c>
      <c r="V1250" s="34" t="str">
        <f>IF(AND(E1250=1,L1250=0),T1250,"")</f>
        <v/>
      </c>
      <c r="W1250" s="33">
        <f>IF(U1250="","",IF(U1250&lt;=Breakdowns!$C$5,1,IF(U1250&lt;=Breakdowns!$C$6,2,IF(U1250&lt;=Breakdowns!$C$7,3,4))))</f>
        <v>4</v>
      </c>
      <c r="X1250" s="33" t="str">
        <f>IF(V1250="","",IF(V1250&lt;=Breakdowns!$D$5,1,IF(V1250&lt;=Breakdowns!$D$6,2,IF(V1250&lt;=Breakdowns!$D$7,3,4))))</f>
        <v/>
      </c>
      <c r="Y1250" s="34">
        <f>INDEX(Stores!$F$2:$F$21,MATCH(B1250,Stores!$A$2:$A$21,0))</f>
        <v>5.67</v>
      </c>
      <c r="Z1250" s="33">
        <f>IF(Y1250&gt;Store_Summary!$M$2,1,0)</f>
        <v>1</v>
      </c>
      <c r="AA1250" s="33">
        <f>INDEX(Stores!$C$2:$C$21,MATCH(B1250,Stores!$A$2:$A$21,0))</f>
        <v>732</v>
      </c>
      <c r="AB1250" s="33">
        <f>IF(AA1250&lt;180,1,0)</f>
        <v>0</v>
      </c>
      <c r="AC1250" s="32" t="str">
        <f>IF(Orders!D1247="","",INDEX(Riders!$C$2:$C$81,MATCH(Orders!D1247,Riders!$A$2:$A$81,0)))</f>
        <v>EV scooter</v>
      </c>
      <c r="AD1250" s="33">
        <f>IF(Orders!D1247="","",INDEX(Riders!$D$2:$D$81,MATCH(Orders!D1247,Riders!$A$2:$A$81,0)))</f>
        <v>41</v>
      </c>
      <c r="AE1250" s="33">
        <f>IF(Orders!D1247="","",IF(INDEX(Riders!$B$2:$B$81,MATCH(Orders!D1247,Riders!$A$2:$A$81,0))=B1250,1,0))</f>
        <v>0</v>
      </c>
      <c r="AF1250" s="34">
        <f>IF(E1250=1,Orders!L1247,"")</f>
        <v>3.3</v>
      </c>
      <c r="AG1250" s="34">
        <f>IF(E1250=1,Orders!P1247,"")</f>
        <v>10.6</v>
      </c>
      <c r="AH1250" s="34">
        <f>IF(E1250=1,Orders!Q1247,"")</f>
        <v>9.7</v>
      </c>
      <c r="AI1250" s="34">
        <f>IF(E1250=1,Orders!M1247,"")</f>
        <v>3.1</v>
      </c>
      <c r="AJ1250" s="34">
        <f>IF(E1250=1,Orders!N1247,"")</f>
        <v>1.5</v>
      </c>
      <c r="AK1250" s="34">
        <f>IF(E1250=1,Orders!O1247,"")</f>
        <v>5.1</v>
      </c>
      <c r="AL1250" s="33">
        <f>IF(E1250=1,IF(ROUND(ABS(AI1250+AJ1250+AK1250-AH1250),6)&lt;=0.1,1,0),"")</f>
        <v>1</v>
      </c>
      <c r="AM1250" s="36">
        <f>IF(E1250=1,AI1250/AH1250,"")</f>
        <v>0.319587628865979</v>
      </c>
      <c r="AN1250" s="36">
        <f>IF(E1250=1,AJ1250/AH1250,"")</f>
        <v>0.154639175257732</v>
      </c>
      <c r="AO1250" s="36">
        <f>IF(E1250=1,AK1250/AH1250,"")</f>
        <v>0.525773195876289</v>
      </c>
      <c r="AP1250" s="34">
        <f>IF(E1250=1,Orders!Y1247,"")</f>
        <v>0.71</v>
      </c>
      <c r="AQ1250" s="33">
        <f>IF(Orders!X1247,1,0)</f>
        <v>0</v>
      </c>
      <c r="AR1250" s="34">
        <f>IF(AND(E1250=1,L1250=1),AJ1250,"")</f>
        <v>1.5</v>
      </c>
      <c r="AS1250" s="34" t="str">
        <f>IF(AND(E1250=1,L1250=0),AJ1250,"")</f>
        <v/>
      </c>
      <c r="AT1250" s="34">
        <f>IF(AND(E1250=1,L1250=1),AI1250,"")</f>
        <v>3.1</v>
      </c>
      <c r="AU1250" s="34" t="str">
        <f>IF(AND(E1250=1,L1250=0),AI1250,"")</f>
        <v/>
      </c>
      <c r="AV1250" s="34">
        <f>IF(AND(E1250=1,L1250=1),AG1250,"")</f>
        <v>10.6</v>
      </c>
      <c r="AW1250" s="34" t="str">
        <f>IF(AND(E1250=1,L1250=0),AG1250,"")</f>
        <v/>
      </c>
      <c r="AX1250" s="34">
        <f>IF(AND(E1250=1,L1250=1),AH1250,"")</f>
        <v>9.7</v>
      </c>
      <c r="AY1250" s="34" t="str">
        <f>IF(AND(E1250=1,L1250=0),AH1250,"")</f>
        <v/>
      </c>
      <c r="AZ1250" s="34" t="str">
        <f>IF(G1250=1,F1250,"")</f>
        <v/>
      </c>
      <c r="BA1250" s="34" t="str">
        <f>IF(AND(G1250=1,L1250=1),F1250,"")</f>
        <v/>
      </c>
      <c r="BB1250" s="34" t="str">
        <f>IF(AND(G1250=1,L1250=0),F1250,"")</f>
        <v/>
      </c>
      <c r="BC1250" s="33">
        <f>IF(E1250=1,IF(Orders!R1247&gt;3,1,0),"")</f>
        <v>0</v>
      </c>
      <c r="BD1250" s="33">
        <f>IF(E1250=1,IF(Orders!R1247&gt;7,1,0),"")</f>
        <v>0</v>
      </c>
      <c r="BE1250" s="32" t="str">
        <f>IF(E1250=1,IF(Orders!L1247&lt;=1.5,"Up to 1.5 km",IF(Orders!L1247&lt;=3,"1.5–3 km","Over 3 km")),"")</f>
        <v>Over 3 km</v>
      </c>
      <c r="BF1250" s="33">
        <f>IF(E1250=1,IF(ABS((Orders!G1247-Orders!F1247)*1440-Orders!R1247)&lt;0.06,1,0),"")</f>
        <v>1</v>
      </c>
      <c r="BG1250" s="33">
        <f>IF(ABS((Orders!F1247-Orders!E1247)*1440-Orders!P1247)&lt;0.06,1,0)</f>
        <v>1</v>
      </c>
      <c r="BH1250" s="33">
        <f>IF(E1250=1,IF(IF(Orders!S1247,1,0)=1-G1250,1,0),"")</f>
        <v>1</v>
      </c>
      <c r="BI1250" s="32" t="str">
        <f>INDEX(Stores!$B$2:$B$21,MATCH(B1250,Stores!$A$2:$A$21,0))</f>
        <v>Bengaluru</v>
      </c>
    </row>
    <row r="1251">
      <c r="A1251" s="32" t="str">
        <f>Orders!A1248</f>
        <v>O01247</v>
      </c>
      <c r="B1251" s="32" t="str">
        <f>Orders!C1248</f>
        <v>S007</v>
      </c>
      <c r="C1251" s="32" t="str">
        <f>Orders!B1248</f>
        <v>C0099</v>
      </c>
      <c r="D1251" s="32" t="str">
        <f>Orders!H1248</f>
        <v>Delivered</v>
      </c>
      <c r="E1251" s="33">
        <f>IF(Orders!H1248="Delivered",1,0)</f>
        <v>1</v>
      </c>
      <c r="F1251" s="34">
        <f>IF(E1251=1,Orders!R1248,"")</f>
        <v>4.5</v>
      </c>
      <c r="G1251" s="33">
        <f>IF(E1251=1,IF(Orders!R1248&gt;0,1,0),"")</f>
        <v>1</v>
      </c>
      <c r="H1251" s="33">
        <f>IF(E1251=1,IF(Orders!R1248&gt;5,1,0),"")</f>
        <v>0</v>
      </c>
      <c r="I1251" s="32" t="str">
        <f>IF(E1251=1,"",IF(OR(Orders!T1248="Rider unavailable",Orders!T1248="Item unavailable"),"Company-caused","Unresolved"))</f>
        <v/>
      </c>
      <c r="J1251" s="33">
        <f>IF(OR(E1251=1,I1251="Company-caused"),1,0)</f>
        <v>1</v>
      </c>
      <c r="K1251" s="32" t="str">
        <f>IF(E1251=0,IF(I1251="Company-caused",IF(Orders!T1248="Rider unavailable","C1 Rider unavailable","C2 Item unavailable"),"Outside root: unresolved"),IF(G1251=0,"A On time",IF(H1251=1,IF(L1251=1,"B2a Severe, peak","B2b Severe, off-peak"),IF(L1251=1,"B1a Slight, peak","B1b Slight, off-peak"))))</f>
        <v>B1b Slight, off-peak</v>
      </c>
      <c r="L1251" s="33">
        <f>IF(AND(Orders!U1248&gt;=19,Orders!U1248&lt;22),1,0)</f>
        <v>0</v>
      </c>
      <c r="M1251" s="33">
        <f>IF(L1251=IF(Orders!V1248,1,0),1,0)</f>
        <v>1</v>
      </c>
      <c r="N1251" s="32" t="str">
        <f>IF(Orders!W1248="","None",Orders!W1248)</f>
        <v>Light</v>
      </c>
      <c r="O1251" s="35">
        <f>INT(Orders!E1248)</f>
        <v>46274.0</v>
      </c>
      <c r="P1251" s="33">
        <f>Orders!U1248</f>
        <v>23</v>
      </c>
      <c r="Q1251" s="33">
        <f>COUNTIFS(Demand!$A$2:$A$4481,B1251,Demand!$B$2:$B$4481,O1251,Demand!$C$2:$C$4481,P1251)</f>
        <v>1</v>
      </c>
      <c r="R1251" s="33">
        <f>IF(Q1251=1,SUMIFS(Demand!$E$2:$E$4481,Demand!$A$2:$A$4481,B1251,Demand!$B$2:$B$4481,O1251,Demand!$C$2:$C$4481,P1251),"")</f>
        <v>41</v>
      </c>
      <c r="S1251" s="33">
        <f>INDEX(Stores!$G$2:$G$21,MATCH(B1251,Stores!$A$2:$A$21,0))</f>
        <v>37</v>
      </c>
      <c r="T1251" s="34">
        <f>IF(R1251="","",R1251/S1251)</f>
        <v>1.10810810810811</v>
      </c>
      <c r="U1251" s="34">
        <f>IF(E1251=1,T1251,"")</f>
        <v>1.10810810810811</v>
      </c>
      <c r="V1251" s="34">
        <f>IF(AND(E1251=1,L1251=0),T1251,"")</f>
        <v>1.10810810810811</v>
      </c>
      <c r="W1251" s="33">
        <f>IF(U1251="","",IF(U1251&lt;=Breakdowns!$C$5,1,IF(U1251&lt;=Breakdowns!$C$6,2,IF(U1251&lt;=Breakdowns!$C$7,3,4))))</f>
        <v>3</v>
      </c>
      <c r="X1251" s="33">
        <f>IF(V1251="","",IF(V1251&lt;=Breakdowns!$D$5,1,IF(V1251&lt;=Breakdowns!$D$6,2,IF(V1251&lt;=Breakdowns!$D$7,3,4))))</f>
        <v>4</v>
      </c>
      <c r="Y1251" s="34">
        <f>INDEX(Stores!$F$2:$F$21,MATCH(B1251,Stores!$A$2:$A$21,0))</f>
        <v>4.05</v>
      </c>
      <c r="Z1251" s="33">
        <f>IF(Y1251&gt;Store_Summary!$M$2,1,0)</f>
        <v>0</v>
      </c>
      <c r="AA1251" s="33">
        <f>INDEX(Stores!$C$2:$C$21,MATCH(B1251,Stores!$A$2:$A$21,0))</f>
        <v>661</v>
      </c>
      <c r="AB1251" s="33">
        <f>IF(AA1251&lt;180,1,0)</f>
        <v>0</v>
      </c>
      <c r="AC1251" s="32" t="str">
        <f>IF(Orders!D1248="","",INDEX(Riders!$C$2:$C$81,MATCH(Orders!D1248,Riders!$A$2:$A$81,0)))</f>
        <v>EV scooter</v>
      </c>
      <c r="AD1251" s="33">
        <f>IF(Orders!D1248="","",INDEX(Riders!$D$2:$D$81,MATCH(Orders!D1248,Riders!$A$2:$A$81,0)))</f>
        <v>45</v>
      </c>
      <c r="AE1251" s="33">
        <f>IF(Orders!D1248="","",IF(INDEX(Riders!$B$2:$B$81,MATCH(Orders!D1248,Riders!$A$2:$A$81,0))=B1251,1,0))</f>
        <v>0</v>
      </c>
      <c r="AF1251" s="34">
        <f>IF(E1251=1,Orders!L1248,"")</f>
        <v>0.9</v>
      </c>
      <c r="AG1251" s="34">
        <f>IF(E1251=1,Orders!P1248,"")</f>
        <v>9.9</v>
      </c>
      <c r="AH1251" s="34">
        <f>IF(E1251=1,Orders!Q1248,"")</f>
        <v>14.4</v>
      </c>
      <c r="AI1251" s="34">
        <f>IF(E1251=1,Orders!M1248,"")</f>
        <v>5</v>
      </c>
      <c r="AJ1251" s="34">
        <f>IF(E1251=1,Orders!N1248,"")</f>
        <v>5.2</v>
      </c>
      <c r="AK1251" s="34">
        <f>IF(E1251=1,Orders!O1248,"")</f>
        <v>4.2</v>
      </c>
      <c r="AL1251" s="33">
        <f>IF(E1251=1,IF(ROUND(ABS(AI1251+AJ1251+AK1251-AH1251),6)&lt;=0.1,1,0),"")</f>
        <v>1</v>
      </c>
      <c r="AM1251" s="36">
        <f>IF(E1251=1,AI1251/AH1251,"")</f>
        <v>0.347222222222222</v>
      </c>
      <c r="AN1251" s="36">
        <f>IF(E1251=1,AJ1251/AH1251,"")</f>
        <v>0.361111111111111</v>
      </c>
      <c r="AO1251" s="36">
        <f>IF(E1251=1,AK1251/AH1251,"")</f>
        <v>0.291666666666667</v>
      </c>
      <c r="AP1251" s="34">
        <f>IF(E1251=1,Orders!Y1248,"")</f>
        <v>0.54</v>
      </c>
      <c r="AQ1251" s="33">
        <f>IF(Orders!X1248,1,0)</f>
        <v>0</v>
      </c>
      <c r="AR1251" s="34" t="str">
        <f>IF(AND(E1251=1,L1251=1),AJ1251,"")</f>
        <v/>
      </c>
      <c r="AS1251" s="34">
        <f>IF(AND(E1251=1,L1251=0),AJ1251,"")</f>
        <v>5.2</v>
      </c>
      <c r="AT1251" s="34" t="str">
        <f>IF(AND(E1251=1,L1251=1),AI1251,"")</f>
        <v/>
      </c>
      <c r="AU1251" s="34">
        <f>IF(AND(E1251=1,L1251=0),AI1251,"")</f>
        <v>5</v>
      </c>
      <c r="AV1251" s="34" t="str">
        <f>IF(AND(E1251=1,L1251=1),AG1251,"")</f>
        <v/>
      </c>
      <c r="AW1251" s="34">
        <f>IF(AND(E1251=1,L1251=0),AG1251,"")</f>
        <v>9.9</v>
      </c>
      <c r="AX1251" s="34" t="str">
        <f>IF(AND(E1251=1,L1251=1),AH1251,"")</f>
        <v/>
      </c>
      <c r="AY1251" s="34">
        <f>IF(AND(E1251=1,L1251=0),AH1251,"")</f>
        <v>14.4</v>
      </c>
      <c r="AZ1251" s="34">
        <f>IF(G1251=1,F1251,"")</f>
        <v>4.5</v>
      </c>
      <c r="BA1251" s="34" t="str">
        <f>IF(AND(G1251=1,L1251=1),F1251,"")</f>
        <v/>
      </c>
      <c r="BB1251" s="34">
        <f>IF(AND(G1251=1,L1251=0),F1251,"")</f>
        <v>4.5</v>
      </c>
      <c r="BC1251" s="33">
        <f>IF(E1251=1,IF(Orders!R1248&gt;3,1,0),"")</f>
        <v>1</v>
      </c>
      <c r="BD1251" s="33">
        <f>IF(E1251=1,IF(Orders!R1248&gt;7,1,0),"")</f>
        <v>0</v>
      </c>
      <c r="BE1251" s="32" t="str">
        <f>IF(E1251=1,IF(Orders!L1248&lt;=1.5,"Up to 1.5 km",IF(Orders!L1248&lt;=3,"1.5–3 km","Over 3 km")),"")</f>
        <v>Up to 1.5 km</v>
      </c>
      <c r="BF1251" s="33">
        <f>IF(E1251=1,IF(ABS((Orders!G1248-Orders!F1248)*1440-Orders!R1248)&lt;0.06,1,0),"")</f>
        <v>1</v>
      </c>
      <c r="BG1251" s="33">
        <f>IF(ABS((Orders!F1248-Orders!E1248)*1440-Orders!P1248)&lt;0.06,1,0)</f>
        <v>1</v>
      </c>
      <c r="BH1251" s="33">
        <f>IF(E1251=1,IF(IF(Orders!S1248,1,0)=1-G1251,1,0),"")</f>
        <v>1</v>
      </c>
      <c r="BI1251" s="32" t="str">
        <f>INDEX(Stores!$B$2:$B$21,MATCH(B1251,Stores!$A$2:$A$21,0))</f>
        <v>Hyderabad</v>
      </c>
    </row>
    <row r="1252">
      <c r="A1252" s="32" t="str">
        <f>Orders!A1249</f>
        <v>O01248</v>
      </c>
      <c r="B1252" s="32" t="str">
        <f>Orders!C1249</f>
        <v>S003</v>
      </c>
      <c r="C1252" s="32" t="str">
        <f>Orders!B1249</f>
        <v>C0073</v>
      </c>
      <c r="D1252" s="32" t="str">
        <f>Orders!H1249</f>
        <v>Delivered</v>
      </c>
      <c r="E1252" s="33">
        <f>IF(Orders!H1249="Delivered",1,0)</f>
        <v>1</v>
      </c>
      <c r="F1252" s="34">
        <f>IF(E1252=1,Orders!R1249,"")</f>
        <v>7.4</v>
      </c>
      <c r="G1252" s="33">
        <f>IF(E1252=1,IF(Orders!R1249&gt;0,1,0),"")</f>
        <v>1</v>
      </c>
      <c r="H1252" s="33">
        <f>IF(E1252=1,IF(Orders!R1249&gt;5,1,0),"")</f>
        <v>1</v>
      </c>
      <c r="I1252" s="32" t="str">
        <f>IF(E1252=1,"",IF(OR(Orders!T1249="Rider unavailable",Orders!T1249="Item unavailable"),"Company-caused","Unresolved"))</f>
        <v/>
      </c>
      <c r="J1252" s="33">
        <f>IF(OR(E1252=1,I1252="Company-caused"),1,0)</f>
        <v>1</v>
      </c>
      <c r="K1252" s="32" t="str">
        <f>IF(E1252=0,IF(I1252="Company-caused",IF(Orders!T1249="Rider unavailable","C1 Rider unavailable","C2 Item unavailable"),"Outside root: unresolved"),IF(G1252=0,"A On time",IF(H1252=1,IF(L1252=1,"B2a Severe, peak","B2b Severe, off-peak"),IF(L1252=1,"B1a Slight, peak","B1b Slight, off-peak"))))</f>
        <v>B2b Severe, off-peak</v>
      </c>
      <c r="L1252" s="33">
        <f>IF(AND(Orders!U1249&gt;=19,Orders!U1249&lt;22),1,0)</f>
        <v>0</v>
      </c>
      <c r="M1252" s="33">
        <f>IF(L1252=IF(Orders!V1249,1,0),1,0)</f>
        <v>1</v>
      </c>
      <c r="N1252" s="32" t="str">
        <f>IF(Orders!W1249="","None",Orders!W1249)</f>
        <v>None</v>
      </c>
      <c r="O1252" s="35">
        <f>INT(Orders!E1249)</f>
        <v>46273.0</v>
      </c>
      <c r="P1252" s="33">
        <f>Orders!U1249</f>
        <v>11</v>
      </c>
      <c r="Q1252" s="33">
        <f>COUNTIFS(Demand!$A$2:$A$4481,B1252,Demand!$B$2:$B$4481,O1252,Demand!$C$2:$C$4481,P1252)</f>
        <v>1</v>
      </c>
      <c r="R1252" s="33">
        <f>IF(Q1252=1,SUMIFS(Demand!$E$2:$E$4481,Demand!$A$2:$A$4481,B1252,Demand!$B$2:$B$4481,O1252,Demand!$C$2:$C$4481,P1252),"")</f>
        <v>34</v>
      </c>
      <c r="S1252" s="33">
        <f>INDEX(Stores!$G$2:$G$21,MATCH(B1252,Stores!$A$2:$A$21,0))</f>
        <v>41</v>
      </c>
      <c r="T1252" s="34">
        <f>IF(R1252="","",R1252/S1252)</f>
        <v>0.829268292682927</v>
      </c>
      <c r="U1252" s="34">
        <f>IF(E1252=1,T1252,"")</f>
        <v>0.829268292682927</v>
      </c>
      <c r="V1252" s="34">
        <f>IF(AND(E1252=1,L1252=0),T1252,"")</f>
        <v>0.829268292682927</v>
      </c>
      <c r="W1252" s="33">
        <f>IF(U1252="","",IF(U1252&lt;=Breakdowns!$C$5,1,IF(U1252&lt;=Breakdowns!$C$6,2,IF(U1252&lt;=Breakdowns!$C$7,3,4))))</f>
        <v>2</v>
      </c>
      <c r="X1252" s="33">
        <f>IF(V1252="","",IF(V1252&lt;=Breakdowns!$D$5,1,IF(V1252&lt;=Breakdowns!$D$6,2,IF(V1252&lt;=Breakdowns!$D$7,3,4))))</f>
        <v>2</v>
      </c>
      <c r="Y1252" s="34">
        <f>INDEX(Stores!$F$2:$F$21,MATCH(B1252,Stores!$A$2:$A$21,0))</f>
        <v>3.84</v>
      </c>
      <c r="Z1252" s="33">
        <f>IF(Y1252&gt;Store_Summary!$M$2,1,0)</f>
        <v>0</v>
      </c>
      <c r="AA1252" s="33">
        <f>INDEX(Stores!$C$2:$C$21,MATCH(B1252,Stores!$A$2:$A$21,0))</f>
        <v>426</v>
      </c>
      <c r="AB1252" s="33">
        <f>IF(AA1252&lt;180,1,0)</f>
        <v>0</v>
      </c>
      <c r="AC1252" s="32" t="str">
        <f>IF(Orders!D1249="","",INDEX(Riders!$C$2:$C$81,MATCH(Orders!D1249,Riders!$A$2:$A$81,0)))</f>
        <v>Petrol scooter</v>
      </c>
      <c r="AD1252" s="33">
        <f>IF(Orders!D1249="","",INDEX(Riders!$D$2:$D$81,MATCH(Orders!D1249,Riders!$A$2:$A$81,0)))</f>
        <v>48</v>
      </c>
      <c r="AE1252" s="33">
        <f>IF(Orders!D1249="","",IF(INDEX(Riders!$B$2:$B$81,MATCH(Orders!D1249,Riders!$A$2:$A$81,0))=B1252,1,0))</f>
        <v>0</v>
      </c>
      <c r="AF1252" s="34">
        <f>IF(E1252=1,Orders!L1249,"")</f>
        <v>2.1</v>
      </c>
      <c r="AG1252" s="34">
        <f>IF(E1252=1,Orders!P1249,"")</f>
        <v>9</v>
      </c>
      <c r="AH1252" s="34">
        <f>IF(E1252=1,Orders!Q1249,"")</f>
        <v>16.4</v>
      </c>
      <c r="AI1252" s="34">
        <f>IF(E1252=1,Orders!M1249,"")</f>
        <v>4.3</v>
      </c>
      <c r="AJ1252" s="34">
        <f>IF(E1252=1,Orders!N1249,"")</f>
        <v>7.8</v>
      </c>
      <c r="AK1252" s="34">
        <f>IF(E1252=1,Orders!O1249,"")</f>
        <v>4.3</v>
      </c>
      <c r="AL1252" s="33">
        <f>IF(E1252=1,IF(ROUND(ABS(AI1252+AJ1252+AK1252-AH1252),6)&lt;=0.1,1,0),"")</f>
        <v>1</v>
      </c>
      <c r="AM1252" s="36">
        <f>IF(E1252=1,AI1252/AH1252,"")</f>
        <v>0.26219512195122</v>
      </c>
      <c r="AN1252" s="36">
        <f>IF(E1252=1,AJ1252/AH1252,"")</f>
        <v>0.475609756097561</v>
      </c>
      <c r="AO1252" s="36">
        <f>IF(E1252=1,AK1252/AH1252,"")</f>
        <v>0.26219512195122</v>
      </c>
      <c r="AP1252" s="34">
        <f>IF(E1252=1,Orders!Y1249,"")</f>
        <v>0.21</v>
      </c>
      <c r="AQ1252" s="33">
        <f>IF(Orders!X1249,1,0)</f>
        <v>0</v>
      </c>
      <c r="AR1252" s="34" t="str">
        <f>IF(AND(E1252=1,L1252=1),AJ1252,"")</f>
        <v/>
      </c>
      <c r="AS1252" s="34">
        <f>IF(AND(E1252=1,L1252=0),AJ1252,"")</f>
        <v>7.8</v>
      </c>
      <c r="AT1252" s="34" t="str">
        <f>IF(AND(E1252=1,L1252=1),AI1252,"")</f>
        <v/>
      </c>
      <c r="AU1252" s="34">
        <f>IF(AND(E1252=1,L1252=0),AI1252,"")</f>
        <v>4.3</v>
      </c>
      <c r="AV1252" s="34" t="str">
        <f>IF(AND(E1252=1,L1252=1),AG1252,"")</f>
        <v/>
      </c>
      <c r="AW1252" s="34">
        <f>IF(AND(E1252=1,L1252=0),AG1252,"")</f>
        <v>9</v>
      </c>
      <c r="AX1252" s="34" t="str">
        <f>IF(AND(E1252=1,L1252=1),AH1252,"")</f>
        <v/>
      </c>
      <c r="AY1252" s="34">
        <f>IF(AND(E1252=1,L1252=0),AH1252,"")</f>
        <v>16.4</v>
      </c>
      <c r="AZ1252" s="34">
        <f>IF(G1252=1,F1252,"")</f>
        <v>7.4</v>
      </c>
      <c r="BA1252" s="34" t="str">
        <f>IF(AND(G1252=1,L1252=1),F1252,"")</f>
        <v/>
      </c>
      <c r="BB1252" s="34">
        <f>IF(AND(G1252=1,L1252=0),F1252,"")</f>
        <v>7.4</v>
      </c>
      <c r="BC1252" s="33">
        <f>IF(E1252=1,IF(Orders!R1249&gt;3,1,0),"")</f>
        <v>1</v>
      </c>
      <c r="BD1252" s="33">
        <f>IF(E1252=1,IF(Orders!R1249&gt;7,1,0),"")</f>
        <v>1</v>
      </c>
      <c r="BE1252" s="32" t="str">
        <f>IF(E1252=1,IF(Orders!L1249&lt;=1.5,"Up to 1.5 km",IF(Orders!L1249&lt;=3,"1.5–3 km","Over 3 km")),"")</f>
        <v>1.5–3 km</v>
      </c>
      <c r="BF1252" s="33">
        <f>IF(E1252=1,IF(ABS((Orders!G1249-Orders!F1249)*1440-Orders!R1249)&lt;0.06,1,0),"")</f>
        <v>1</v>
      </c>
      <c r="BG1252" s="33">
        <f>IF(ABS((Orders!F1249-Orders!E1249)*1440-Orders!P1249)&lt;0.06,1,0)</f>
        <v>1</v>
      </c>
      <c r="BH1252" s="33">
        <f>IF(E1252=1,IF(IF(Orders!S1249,1,0)=1-G1252,1,0),"")</f>
        <v>1</v>
      </c>
      <c r="BI1252" s="32" t="str">
        <f>INDEX(Stores!$B$2:$B$21,MATCH(B1252,Stores!$A$2:$A$21,0))</f>
        <v>Mumbai</v>
      </c>
    </row>
    <row r="1253">
      <c r="A1253" s="32" t="str">
        <f>Orders!A1250</f>
        <v>O01249</v>
      </c>
      <c r="B1253" s="32" t="str">
        <f>Orders!C1250</f>
        <v>S017</v>
      </c>
      <c r="C1253" s="32" t="str">
        <f>Orders!B1250</f>
        <v>C0177</v>
      </c>
      <c r="D1253" s="32" t="str">
        <f>Orders!H1250</f>
        <v>Delivered</v>
      </c>
      <c r="E1253" s="33">
        <f>IF(Orders!H1250="Delivered",1,0)</f>
        <v>1</v>
      </c>
      <c r="F1253" s="34">
        <f>IF(E1253=1,Orders!R1250,"")</f>
        <v>-0.8</v>
      </c>
      <c r="G1253" s="33">
        <f>IF(E1253=1,IF(Orders!R1250&gt;0,1,0),"")</f>
        <v>0</v>
      </c>
      <c r="H1253" s="33">
        <f>IF(E1253=1,IF(Orders!R1250&gt;5,1,0),"")</f>
        <v>0</v>
      </c>
      <c r="I1253" s="32" t="str">
        <f>IF(E1253=1,"",IF(OR(Orders!T1250="Rider unavailable",Orders!T1250="Item unavailable"),"Company-caused","Unresolved"))</f>
        <v/>
      </c>
      <c r="J1253" s="33">
        <f>IF(OR(E1253=1,I1253="Company-caused"),1,0)</f>
        <v>1</v>
      </c>
      <c r="K1253" s="32" t="str">
        <f>IF(E1253=0,IF(I1253="Company-caused",IF(Orders!T1250="Rider unavailable","C1 Rider unavailable","C2 Item unavailable"),"Outside root: unresolved"),IF(G1253=0,"A On time",IF(H1253=1,IF(L1253=1,"B2a Severe, peak","B2b Severe, off-peak"),IF(L1253=1,"B1a Slight, peak","B1b Slight, off-peak"))))</f>
        <v>A On time</v>
      </c>
      <c r="L1253" s="33">
        <f>IF(AND(Orders!U1250&gt;=19,Orders!U1250&lt;22),1,0)</f>
        <v>0</v>
      </c>
      <c r="M1253" s="33">
        <f>IF(L1253=IF(Orders!V1250,1,0),1,0)</f>
        <v>1</v>
      </c>
      <c r="N1253" s="32" t="str">
        <f>IF(Orders!W1250="","None",Orders!W1250)</f>
        <v>None</v>
      </c>
      <c r="O1253" s="35">
        <f>INT(Orders!E1250)</f>
        <v>46268.0</v>
      </c>
      <c r="P1253" s="33">
        <f>Orders!U1250</f>
        <v>9</v>
      </c>
      <c r="Q1253" s="33">
        <f>COUNTIFS(Demand!$A$2:$A$4481,B1253,Demand!$B$2:$B$4481,O1253,Demand!$C$2:$C$4481,P1253)</f>
        <v>1</v>
      </c>
      <c r="R1253" s="33">
        <f>IF(Q1253=1,SUMIFS(Demand!$E$2:$E$4481,Demand!$A$2:$A$4481,B1253,Demand!$B$2:$B$4481,O1253,Demand!$C$2:$C$4481,P1253),"")</f>
        <v>23</v>
      </c>
      <c r="S1253" s="33">
        <f>INDEX(Stores!$G$2:$G$21,MATCH(B1253,Stores!$A$2:$A$21,0))</f>
        <v>36</v>
      </c>
      <c r="T1253" s="34">
        <f>IF(R1253="","",R1253/S1253)</f>
        <v>0.638888888888889</v>
      </c>
      <c r="U1253" s="34">
        <f>IF(E1253=1,T1253,"")</f>
        <v>0.638888888888889</v>
      </c>
      <c r="V1253" s="34">
        <f>IF(AND(E1253=1,L1253=0),T1253,"")</f>
        <v>0.638888888888889</v>
      </c>
      <c r="W1253" s="33">
        <f>IF(U1253="","",IF(U1253&lt;=Breakdowns!$C$5,1,IF(U1253&lt;=Breakdowns!$C$6,2,IF(U1253&lt;=Breakdowns!$C$7,3,4))))</f>
        <v>1</v>
      </c>
      <c r="X1253" s="33">
        <f>IF(V1253="","",IF(V1253&lt;=Breakdowns!$D$5,1,IF(V1253&lt;=Breakdowns!$D$6,2,IF(V1253&lt;=Breakdowns!$D$7,3,4))))</f>
        <v>1</v>
      </c>
      <c r="Y1253" s="34">
        <f>INDEX(Stores!$F$2:$F$21,MATCH(B1253,Stores!$A$2:$A$21,0))</f>
        <v>2.16</v>
      </c>
      <c r="Z1253" s="33">
        <f>IF(Y1253&gt;Store_Summary!$M$2,1,0)</f>
        <v>0</v>
      </c>
      <c r="AA1253" s="33">
        <f>INDEX(Stores!$C$2:$C$21,MATCH(B1253,Stores!$A$2:$A$21,0))</f>
        <v>47</v>
      </c>
      <c r="AB1253" s="33">
        <f>IF(AA1253&lt;180,1,0)</f>
        <v>1</v>
      </c>
      <c r="AC1253" s="32" t="str">
        <f>IF(Orders!D1250="","",INDEX(Riders!$C$2:$C$81,MATCH(Orders!D1250,Riders!$A$2:$A$81,0)))</f>
        <v>Petrol scooter</v>
      </c>
      <c r="AD1253" s="33">
        <f>IF(Orders!D1250="","",INDEX(Riders!$D$2:$D$81,MATCH(Orders!D1250,Riders!$A$2:$A$81,0)))</f>
        <v>29</v>
      </c>
      <c r="AE1253" s="33">
        <f>IF(Orders!D1250="","",IF(INDEX(Riders!$B$2:$B$81,MATCH(Orders!D1250,Riders!$A$2:$A$81,0))=B1253,1,0))</f>
        <v>0</v>
      </c>
      <c r="AF1253" s="34">
        <f>IF(E1253=1,Orders!L1250,"")</f>
        <v>2.68</v>
      </c>
      <c r="AG1253" s="34">
        <f>IF(E1253=1,Orders!P1250,"")</f>
        <v>10.8</v>
      </c>
      <c r="AH1253" s="34">
        <f>IF(E1253=1,Orders!Q1250,"")</f>
        <v>10</v>
      </c>
      <c r="AI1253" s="34">
        <f>IF(E1253=1,Orders!M1250,"")</f>
        <v>1.4</v>
      </c>
      <c r="AJ1253" s="34">
        <f>IF(E1253=1,Orders!N1250,"")</f>
        <v>4.4</v>
      </c>
      <c r="AK1253" s="34">
        <f>IF(E1253=1,Orders!O1250,"")</f>
        <v>4.2</v>
      </c>
      <c r="AL1253" s="33">
        <f>IF(E1253=1,IF(ROUND(ABS(AI1253+AJ1253+AK1253-AH1253),6)&lt;=0.1,1,0),"")</f>
        <v>1</v>
      </c>
      <c r="AM1253" s="36">
        <f>IF(E1253=1,AI1253/AH1253,"")</f>
        <v>0.14</v>
      </c>
      <c r="AN1253" s="36">
        <f>IF(E1253=1,AJ1253/AH1253,"")</f>
        <v>0.44</v>
      </c>
      <c r="AO1253" s="36">
        <f>IF(E1253=1,AK1253/AH1253,"")</f>
        <v>0.42</v>
      </c>
      <c r="AP1253" s="34">
        <f>IF(E1253=1,Orders!Y1250,"")</f>
        <v>0.44</v>
      </c>
      <c r="AQ1253" s="33">
        <f>IF(Orders!X1250,1,0)</f>
        <v>0</v>
      </c>
      <c r="AR1253" s="34" t="str">
        <f>IF(AND(E1253=1,L1253=1),AJ1253,"")</f>
        <v/>
      </c>
      <c r="AS1253" s="34">
        <f>IF(AND(E1253=1,L1253=0),AJ1253,"")</f>
        <v>4.4</v>
      </c>
      <c r="AT1253" s="34" t="str">
        <f>IF(AND(E1253=1,L1253=1),AI1253,"")</f>
        <v/>
      </c>
      <c r="AU1253" s="34">
        <f>IF(AND(E1253=1,L1253=0),AI1253,"")</f>
        <v>1.4</v>
      </c>
      <c r="AV1253" s="34" t="str">
        <f>IF(AND(E1253=1,L1253=1),AG1253,"")</f>
        <v/>
      </c>
      <c r="AW1253" s="34">
        <f>IF(AND(E1253=1,L1253=0),AG1253,"")</f>
        <v>10.8</v>
      </c>
      <c r="AX1253" s="34" t="str">
        <f>IF(AND(E1253=1,L1253=1),AH1253,"")</f>
        <v/>
      </c>
      <c r="AY1253" s="34">
        <f>IF(AND(E1253=1,L1253=0),AH1253,"")</f>
        <v>10</v>
      </c>
      <c r="AZ1253" s="34" t="str">
        <f>IF(G1253=1,F1253,"")</f>
        <v/>
      </c>
      <c r="BA1253" s="34" t="str">
        <f>IF(AND(G1253=1,L1253=1),F1253,"")</f>
        <v/>
      </c>
      <c r="BB1253" s="34" t="str">
        <f>IF(AND(G1253=1,L1253=0),F1253,"")</f>
        <v/>
      </c>
      <c r="BC1253" s="33">
        <f>IF(E1253=1,IF(Orders!R1250&gt;3,1,0),"")</f>
        <v>0</v>
      </c>
      <c r="BD1253" s="33">
        <f>IF(E1253=1,IF(Orders!R1250&gt;7,1,0),"")</f>
        <v>0</v>
      </c>
      <c r="BE1253" s="32" t="str">
        <f>IF(E1253=1,IF(Orders!L1250&lt;=1.5,"Up to 1.5 km",IF(Orders!L1250&lt;=3,"1.5–3 km","Over 3 km")),"")</f>
        <v>1.5–3 km</v>
      </c>
      <c r="BF1253" s="33">
        <f>IF(E1253=1,IF(ABS((Orders!G1250-Orders!F1250)*1440-Orders!R1250)&lt;0.06,1,0),"")</f>
        <v>1</v>
      </c>
      <c r="BG1253" s="33">
        <f>IF(ABS((Orders!F1250-Orders!E1250)*1440-Orders!P1250)&lt;0.06,1,0)</f>
        <v>1</v>
      </c>
      <c r="BH1253" s="33">
        <f>IF(E1253=1,IF(IF(Orders!S1250,1,0)=1-G1253,1,0),"")</f>
        <v>1</v>
      </c>
      <c r="BI1253" s="32" t="str">
        <f>INDEX(Stores!$B$2:$B$21,MATCH(B1253,Stores!$A$2:$A$21,0))</f>
        <v>Hyderabad</v>
      </c>
    </row>
    <row r="1254">
      <c r="A1254" s="32" t="str">
        <f>Orders!A1251</f>
        <v>O01250</v>
      </c>
      <c r="B1254" s="32" t="str">
        <f>Orders!C1251</f>
        <v>S006</v>
      </c>
      <c r="C1254" s="32" t="str">
        <f>Orders!B1251</f>
        <v>C0009</v>
      </c>
      <c r="D1254" s="32" t="str">
        <f>Orders!H1251</f>
        <v>Delivered</v>
      </c>
      <c r="E1254" s="33">
        <f>IF(Orders!H1251="Delivered",1,0)</f>
        <v>1</v>
      </c>
      <c r="F1254" s="34">
        <f>IF(E1254=1,Orders!R1251,"")</f>
        <v>-1.1</v>
      </c>
      <c r="G1254" s="33">
        <f>IF(E1254=1,IF(Orders!R1251&gt;0,1,0),"")</f>
        <v>0</v>
      </c>
      <c r="H1254" s="33">
        <f>IF(E1254=1,IF(Orders!R1251&gt;5,1,0),"")</f>
        <v>0</v>
      </c>
      <c r="I1254" s="32" t="str">
        <f>IF(E1254=1,"",IF(OR(Orders!T1251="Rider unavailable",Orders!T1251="Item unavailable"),"Company-caused","Unresolved"))</f>
        <v/>
      </c>
      <c r="J1254" s="33">
        <f>IF(OR(E1254=1,I1254="Company-caused"),1,0)</f>
        <v>1</v>
      </c>
      <c r="K1254" s="32" t="str">
        <f>IF(E1254=0,IF(I1254="Company-caused",IF(Orders!T1251="Rider unavailable","C1 Rider unavailable","C2 Item unavailable"),"Outside root: unresolved"),IF(G1254=0,"A On time",IF(H1254=1,IF(L1254=1,"B2a Severe, peak","B2b Severe, off-peak"),IF(L1254=1,"B1a Slight, peak","B1b Slight, off-peak"))))</f>
        <v>A On time</v>
      </c>
      <c r="L1254" s="33">
        <f>IF(AND(Orders!U1251&gt;=19,Orders!U1251&lt;22),1,0)</f>
        <v>0</v>
      </c>
      <c r="M1254" s="33">
        <f>IF(L1254=IF(Orders!V1251,1,0),1,0)</f>
        <v>1</v>
      </c>
      <c r="N1254" s="32" t="str">
        <f>IF(Orders!W1251="","None",Orders!W1251)</f>
        <v>None</v>
      </c>
      <c r="O1254" s="35">
        <f>INT(Orders!E1251)</f>
        <v>46279.0</v>
      </c>
      <c r="P1254" s="33">
        <f>Orders!U1251</f>
        <v>12</v>
      </c>
      <c r="Q1254" s="33">
        <f>COUNTIFS(Demand!$A$2:$A$4481,B1254,Demand!$B$2:$B$4481,O1254,Demand!$C$2:$C$4481,P1254)</f>
        <v>1</v>
      </c>
      <c r="R1254" s="33">
        <f>IF(Q1254=1,SUMIFS(Demand!$E$2:$E$4481,Demand!$A$2:$A$4481,B1254,Demand!$B$2:$B$4481,O1254,Demand!$C$2:$C$4481,P1254),"")</f>
        <v>25</v>
      </c>
      <c r="S1254" s="33">
        <f>INDEX(Stores!$G$2:$G$21,MATCH(B1254,Stores!$A$2:$A$21,0))</f>
        <v>26</v>
      </c>
      <c r="T1254" s="34">
        <f>IF(R1254="","",R1254/S1254)</f>
        <v>0.961538461538462</v>
      </c>
      <c r="U1254" s="34">
        <f>IF(E1254=1,T1254,"")</f>
        <v>0.961538461538462</v>
      </c>
      <c r="V1254" s="34">
        <f>IF(AND(E1254=1,L1254=0),T1254,"")</f>
        <v>0.961538461538462</v>
      </c>
      <c r="W1254" s="33">
        <f>IF(U1254="","",IF(U1254&lt;=Breakdowns!$C$5,1,IF(U1254&lt;=Breakdowns!$C$6,2,IF(U1254&lt;=Breakdowns!$C$7,3,4))))</f>
        <v>2</v>
      </c>
      <c r="X1254" s="33">
        <f>IF(V1254="","",IF(V1254&lt;=Breakdowns!$D$5,1,IF(V1254&lt;=Breakdowns!$D$6,2,IF(V1254&lt;=Breakdowns!$D$7,3,4))))</f>
        <v>3</v>
      </c>
      <c r="Y1254" s="34">
        <f>INDEX(Stores!$F$2:$F$21,MATCH(B1254,Stores!$A$2:$A$21,0))</f>
        <v>5.22</v>
      </c>
      <c r="Z1254" s="33">
        <f>IF(Y1254&gt;Store_Summary!$M$2,1,0)</f>
        <v>1</v>
      </c>
      <c r="AA1254" s="33">
        <f>INDEX(Stores!$C$2:$C$21,MATCH(B1254,Stores!$A$2:$A$21,0))</f>
        <v>412</v>
      </c>
      <c r="AB1254" s="33">
        <f>IF(AA1254&lt;180,1,0)</f>
        <v>0</v>
      </c>
      <c r="AC1254" s="32" t="str">
        <f>IF(Orders!D1251="","",INDEX(Riders!$C$2:$C$81,MATCH(Orders!D1251,Riders!$A$2:$A$81,0)))</f>
        <v>EV scooter</v>
      </c>
      <c r="AD1254" s="33">
        <f>IF(Orders!D1251="","",INDEX(Riders!$D$2:$D$81,MATCH(Orders!D1251,Riders!$A$2:$A$81,0)))</f>
        <v>40</v>
      </c>
      <c r="AE1254" s="33">
        <f>IF(Orders!D1251="","",IF(INDEX(Riders!$B$2:$B$81,MATCH(Orders!D1251,Riders!$A$2:$A$81,0))=B1254,1,0))</f>
        <v>0</v>
      </c>
      <c r="AF1254" s="34">
        <f>IF(E1254=1,Orders!L1251,"")</f>
        <v>1.89</v>
      </c>
      <c r="AG1254" s="34">
        <f>IF(E1254=1,Orders!P1251,"")</f>
        <v>11.9</v>
      </c>
      <c r="AH1254" s="34">
        <f>IF(E1254=1,Orders!Q1251,"")</f>
        <v>10.8</v>
      </c>
      <c r="AI1254" s="34">
        <f>IF(E1254=1,Orders!M1251,"")</f>
        <v>4.5</v>
      </c>
      <c r="AJ1254" s="34">
        <f>IF(E1254=1,Orders!N1251,"")</f>
        <v>2.5</v>
      </c>
      <c r="AK1254" s="34">
        <f>IF(E1254=1,Orders!O1251,"")</f>
        <v>3.8</v>
      </c>
      <c r="AL1254" s="33">
        <f>IF(E1254=1,IF(ROUND(ABS(AI1254+AJ1254+AK1254-AH1254),6)&lt;=0.1,1,0),"")</f>
        <v>1</v>
      </c>
      <c r="AM1254" s="36">
        <f>IF(E1254=1,AI1254/AH1254,"")</f>
        <v>0.416666666666667</v>
      </c>
      <c r="AN1254" s="36">
        <f>IF(E1254=1,AJ1254/AH1254,"")</f>
        <v>0.231481481481481</v>
      </c>
      <c r="AO1254" s="36">
        <f>IF(E1254=1,AK1254/AH1254,"")</f>
        <v>0.351851851851852</v>
      </c>
      <c r="AP1254" s="34">
        <f>IF(E1254=1,Orders!Y1251,"")</f>
        <v>0.9</v>
      </c>
      <c r="AQ1254" s="33">
        <f>IF(Orders!X1251,1,0)</f>
        <v>0</v>
      </c>
      <c r="AR1254" s="34" t="str">
        <f>IF(AND(E1254=1,L1254=1),AJ1254,"")</f>
        <v/>
      </c>
      <c r="AS1254" s="34">
        <f>IF(AND(E1254=1,L1254=0),AJ1254,"")</f>
        <v>2.5</v>
      </c>
      <c r="AT1254" s="34" t="str">
        <f>IF(AND(E1254=1,L1254=1),AI1254,"")</f>
        <v/>
      </c>
      <c r="AU1254" s="34">
        <f>IF(AND(E1254=1,L1254=0),AI1254,"")</f>
        <v>4.5</v>
      </c>
      <c r="AV1254" s="34" t="str">
        <f>IF(AND(E1254=1,L1254=1),AG1254,"")</f>
        <v/>
      </c>
      <c r="AW1254" s="34">
        <f>IF(AND(E1254=1,L1254=0),AG1254,"")</f>
        <v>11.9</v>
      </c>
      <c r="AX1254" s="34" t="str">
        <f>IF(AND(E1254=1,L1254=1),AH1254,"")</f>
        <v/>
      </c>
      <c r="AY1254" s="34">
        <f>IF(AND(E1254=1,L1254=0),AH1254,"")</f>
        <v>10.8</v>
      </c>
      <c r="AZ1254" s="34" t="str">
        <f>IF(G1254=1,F1254,"")</f>
        <v/>
      </c>
      <c r="BA1254" s="34" t="str">
        <f>IF(AND(G1254=1,L1254=1),F1254,"")</f>
        <v/>
      </c>
      <c r="BB1254" s="34" t="str">
        <f>IF(AND(G1254=1,L1254=0),F1254,"")</f>
        <v/>
      </c>
      <c r="BC1254" s="33">
        <f>IF(E1254=1,IF(Orders!R1251&gt;3,1,0),"")</f>
        <v>0</v>
      </c>
      <c r="BD1254" s="33">
        <f>IF(E1254=1,IF(Orders!R1251&gt;7,1,0),"")</f>
        <v>0</v>
      </c>
      <c r="BE1254" s="32" t="str">
        <f>IF(E1254=1,IF(Orders!L1251&lt;=1.5,"Up to 1.5 km",IF(Orders!L1251&lt;=3,"1.5–3 km","Over 3 km")),"")</f>
        <v>1.5–3 km</v>
      </c>
      <c r="BF1254" s="33">
        <f>IF(E1254=1,IF(ABS((Orders!G1251-Orders!F1251)*1440-Orders!R1251)&lt;0.06,1,0),"")</f>
        <v>1</v>
      </c>
      <c r="BG1254" s="33">
        <f>IF(ABS((Orders!F1251-Orders!E1251)*1440-Orders!P1251)&lt;0.06,1,0)</f>
        <v>1</v>
      </c>
      <c r="BH1254" s="33">
        <f>IF(E1254=1,IF(IF(Orders!S1251,1,0)=1-G1254,1,0),"")</f>
        <v>1</v>
      </c>
      <c r="BI1254" s="32" t="str">
        <f>INDEX(Stores!$B$2:$B$21,MATCH(B1254,Stores!$A$2:$A$21,0))</f>
        <v>Bengaluru</v>
      </c>
    </row>
    <row r="1255">
      <c r="A1255" s="32" t="str">
        <f>Orders!A1252</f>
        <v>O01251</v>
      </c>
      <c r="B1255" s="32" t="str">
        <f>Orders!C1252</f>
        <v>S015</v>
      </c>
      <c r="C1255" s="32" t="str">
        <f>Orders!B1252</f>
        <v>C0006</v>
      </c>
      <c r="D1255" s="32" t="str">
        <f>Orders!H1252</f>
        <v>Delivered</v>
      </c>
      <c r="E1255" s="33">
        <f>IF(Orders!H1252="Delivered",1,0)</f>
        <v>1</v>
      </c>
      <c r="F1255" s="34">
        <f>IF(E1255=1,Orders!R1252,"")</f>
        <v>-1</v>
      </c>
      <c r="G1255" s="33">
        <f>IF(E1255=1,IF(Orders!R1252&gt;0,1,0),"")</f>
        <v>0</v>
      </c>
      <c r="H1255" s="33">
        <f>IF(E1255=1,IF(Orders!R1252&gt;5,1,0),"")</f>
        <v>0</v>
      </c>
      <c r="I1255" s="32" t="str">
        <f>IF(E1255=1,"",IF(OR(Orders!T1252="Rider unavailable",Orders!T1252="Item unavailable"),"Company-caused","Unresolved"))</f>
        <v/>
      </c>
      <c r="J1255" s="33">
        <f>IF(OR(E1255=1,I1255="Company-caused"),1,0)</f>
        <v>1</v>
      </c>
      <c r="K1255" s="32" t="str">
        <f>IF(E1255=0,IF(I1255="Company-caused",IF(Orders!T1252="Rider unavailable","C1 Rider unavailable","C2 Item unavailable"),"Outside root: unresolved"),IF(G1255=0,"A On time",IF(H1255=1,IF(L1255=1,"B2a Severe, peak","B2b Severe, off-peak"),IF(L1255=1,"B1a Slight, peak","B1b Slight, off-peak"))))</f>
        <v>A On time</v>
      </c>
      <c r="L1255" s="33">
        <f>IF(AND(Orders!U1252&gt;=19,Orders!U1252&lt;22),1,0)</f>
        <v>0</v>
      </c>
      <c r="M1255" s="33">
        <f>IF(L1255=IF(Orders!V1252,1,0),1,0)</f>
        <v>1</v>
      </c>
      <c r="N1255" s="32" t="str">
        <f>IF(Orders!W1252="","None",Orders!W1252)</f>
        <v>None</v>
      </c>
      <c r="O1255" s="35">
        <f>INT(Orders!E1252)</f>
        <v>46266.0</v>
      </c>
      <c r="P1255" s="33">
        <f>Orders!U1252</f>
        <v>15</v>
      </c>
      <c r="Q1255" s="33">
        <f>COUNTIFS(Demand!$A$2:$A$4481,B1255,Demand!$B$2:$B$4481,O1255,Demand!$C$2:$C$4481,P1255)</f>
        <v>1</v>
      </c>
      <c r="R1255" s="33">
        <f>IF(Q1255=1,SUMIFS(Demand!$E$2:$E$4481,Demand!$A$2:$A$4481,B1255,Demand!$B$2:$B$4481,O1255,Demand!$C$2:$C$4481,P1255),"")</f>
        <v>17</v>
      </c>
      <c r="S1255" s="33">
        <f>INDEX(Stores!$G$2:$G$21,MATCH(B1255,Stores!$A$2:$A$21,0))</f>
        <v>23</v>
      </c>
      <c r="T1255" s="34">
        <f>IF(R1255="","",R1255/S1255)</f>
        <v>0.739130434782609</v>
      </c>
      <c r="U1255" s="34">
        <f>IF(E1255=1,T1255,"")</f>
        <v>0.739130434782609</v>
      </c>
      <c r="V1255" s="34">
        <f>IF(AND(E1255=1,L1255=0),T1255,"")</f>
        <v>0.739130434782609</v>
      </c>
      <c r="W1255" s="33">
        <f>IF(U1255="","",IF(U1255&lt;=Breakdowns!$C$5,1,IF(U1255&lt;=Breakdowns!$C$6,2,IF(U1255&lt;=Breakdowns!$C$7,3,4))))</f>
        <v>1</v>
      </c>
      <c r="X1255" s="33">
        <f>IF(V1255="","",IF(V1255&lt;=Breakdowns!$D$5,1,IF(V1255&lt;=Breakdowns!$D$6,2,IF(V1255&lt;=Breakdowns!$D$7,3,4))))</f>
        <v>1</v>
      </c>
      <c r="Y1255" s="34">
        <f>INDEX(Stores!$F$2:$F$21,MATCH(B1255,Stores!$A$2:$A$21,0))</f>
        <v>4.66</v>
      </c>
      <c r="Z1255" s="33">
        <f>IF(Y1255&gt;Store_Summary!$M$2,1,0)</f>
        <v>0</v>
      </c>
      <c r="AA1255" s="33">
        <f>INDEX(Stores!$C$2:$C$21,MATCH(B1255,Stores!$A$2:$A$21,0))</f>
        <v>204</v>
      </c>
      <c r="AB1255" s="33">
        <f>IF(AA1255&lt;180,1,0)</f>
        <v>0</v>
      </c>
      <c r="AC1255" s="32" t="str">
        <f>IF(Orders!D1252="","",INDEX(Riders!$C$2:$C$81,MATCH(Orders!D1252,Riders!$A$2:$A$81,0)))</f>
        <v>Petrol scooter</v>
      </c>
      <c r="AD1255" s="33">
        <f>IF(Orders!D1252="","",INDEX(Riders!$D$2:$D$81,MATCH(Orders!D1252,Riders!$A$2:$A$81,0)))</f>
        <v>29</v>
      </c>
      <c r="AE1255" s="33">
        <f>IF(Orders!D1252="","",IF(INDEX(Riders!$B$2:$B$81,MATCH(Orders!D1252,Riders!$A$2:$A$81,0))=B1255,1,0))</f>
        <v>0</v>
      </c>
      <c r="AF1255" s="34">
        <f>IF(E1255=1,Orders!L1252,"")</f>
        <v>2.85</v>
      </c>
      <c r="AG1255" s="34">
        <f>IF(E1255=1,Orders!P1252,"")</f>
        <v>11.2</v>
      </c>
      <c r="AH1255" s="34">
        <f>IF(E1255=1,Orders!Q1252,"")</f>
        <v>10.2</v>
      </c>
      <c r="AI1255" s="34">
        <f>IF(E1255=1,Orders!M1252,"")</f>
        <v>3.9</v>
      </c>
      <c r="AJ1255" s="34">
        <f>IF(E1255=1,Orders!N1252,"")</f>
        <v>1.8</v>
      </c>
      <c r="AK1255" s="34">
        <f>IF(E1255=1,Orders!O1252,"")</f>
        <v>4.5</v>
      </c>
      <c r="AL1255" s="33">
        <f>IF(E1255=1,IF(ROUND(ABS(AI1255+AJ1255+AK1255-AH1255),6)&lt;=0.1,1,0),"")</f>
        <v>1</v>
      </c>
      <c r="AM1255" s="36">
        <f>IF(E1255=1,AI1255/AH1255,"")</f>
        <v>0.382352941176471</v>
      </c>
      <c r="AN1255" s="36">
        <f>IF(E1255=1,AJ1255/AH1255,"")</f>
        <v>0.176470588235294</v>
      </c>
      <c r="AO1255" s="36">
        <f>IF(E1255=1,AK1255/AH1255,"")</f>
        <v>0.441176470588235</v>
      </c>
      <c r="AP1255" s="34">
        <f>IF(E1255=1,Orders!Y1252,"")</f>
        <v>0.41</v>
      </c>
      <c r="AQ1255" s="33">
        <f>IF(Orders!X1252,1,0)</f>
        <v>0</v>
      </c>
      <c r="AR1255" s="34" t="str">
        <f>IF(AND(E1255=1,L1255=1),AJ1255,"")</f>
        <v/>
      </c>
      <c r="AS1255" s="34">
        <f>IF(AND(E1255=1,L1255=0),AJ1255,"")</f>
        <v>1.8</v>
      </c>
      <c r="AT1255" s="34" t="str">
        <f>IF(AND(E1255=1,L1255=1),AI1255,"")</f>
        <v/>
      </c>
      <c r="AU1255" s="34">
        <f>IF(AND(E1255=1,L1255=0),AI1255,"")</f>
        <v>3.9</v>
      </c>
      <c r="AV1255" s="34" t="str">
        <f>IF(AND(E1255=1,L1255=1),AG1255,"")</f>
        <v/>
      </c>
      <c r="AW1255" s="34">
        <f>IF(AND(E1255=1,L1255=0),AG1255,"")</f>
        <v>11.2</v>
      </c>
      <c r="AX1255" s="34" t="str">
        <f>IF(AND(E1255=1,L1255=1),AH1255,"")</f>
        <v/>
      </c>
      <c r="AY1255" s="34">
        <f>IF(AND(E1255=1,L1255=0),AH1255,"")</f>
        <v>10.2</v>
      </c>
      <c r="AZ1255" s="34" t="str">
        <f>IF(G1255=1,F1255,"")</f>
        <v/>
      </c>
      <c r="BA1255" s="34" t="str">
        <f>IF(AND(G1255=1,L1255=1),F1255,"")</f>
        <v/>
      </c>
      <c r="BB1255" s="34" t="str">
        <f>IF(AND(G1255=1,L1255=0),F1255,"")</f>
        <v/>
      </c>
      <c r="BC1255" s="33">
        <f>IF(E1255=1,IF(Orders!R1252&gt;3,1,0),"")</f>
        <v>0</v>
      </c>
      <c r="BD1255" s="33">
        <f>IF(E1255=1,IF(Orders!R1252&gt;7,1,0),"")</f>
        <v>0</v>
      </c>
      <c r="BE1255" s="32" t="str">
        <f>IF(E1255=1,IF(Orders!L1252&lt;=1.5,"Up to 1.5 km",IF(Orders!L1252&lt;=3,"1.5–3 km","Over 3 km")),"")</f>
        <v>1.5–3 km</v>
      </c>
      <c r="BF1255" s="33">
        <f>IF(E1255=1,IF(ABS((Orders!G1252-Orders!F1252)*1440-Orders!R1252)&lt;0.06,1,0),"")</f>
        <v>1</v>
      </c>
      <c r="BG1255" s="33">
        <f>IF(ABS((Orders!F1252-Orders!E1252)*1440-Orders!P1252)&lt;0.06,1,0)</f>
        <v>1</v>
      </c>
      <c r="BH1255" s="33">
        <f>IF(E1255=1,IF(IF(Orders!S1252,1,0)=1-G1255,1,0),"")</f>
        <v>1</v>
      </c>
      <c r="BI1255" s="32" t="str">
        <f>INDEX(Stores!$B$2:$B$21,MATCH(B1255,Stores!$A$2:$A$21,0))</f>
        <v>Delhi</v>
      </c>
    </row>
    <row r="1256">
      <c r="A1256" s="32" t="str">
        <f>Orders!A1253</f>
        <v>O01252</v>
      </c>
      <c r="B1256" s="32" t="str">
        <f>Orders!C1253</f>
        <v>S011</v>
      </c>
      <c r="C1256" s="32" t="str">
        <f>Orders!B1253</f>
        <v>C0027</v>
      </c>
      <c r="D1256" s="32" t="str">
        <f>Orders!H1253</f>
        <v>Delivered</v>
      </c>
      <c r="E1256" s="33">
        <f>IF(Orders!H1253="Delivered",1,0)</f>
        <v>1</v>
      </c>
      <c r="F1256" s="34">
        <f>IF(E1256=1,Orders!R1253,"")</f>
        <v>6.9</v>
      </c>
      <c r="G1256" s="33">
        <f>IF(E1256=1,IF(Orders!R1253&gt;0,1,0),"")</f>
        <v>1</v>
      </c>
      <c r="H1256" s="33">
        <f>IF(E1256=1,IF(Orders!R1253&gt;5,1,0),"")</f>
        <v>1</v>
      </c>
      <c r="I1256" s="32" t="str">
        <f>IF(E1256=1,"",IF(OR(Orders!T1253="Rider unavailable",Orders!T1253="Item unavailable"),"Company-caused","Unresolved"))</f>
        <v/>
      </c>
      <c r="J1256" s="33">
        <f>IF(OR(E1256=1,I1256="Company-caused"),1,0)</f>
        <v>1</v>
      </c>
      <c r="K1256" s="32" t="str">
        <f>IF(E1256=0,IF(I1256="Company-caused",IF(Orders!T1253="Rider unavailable","C1 Rider unavailable","C2 Item unavailable"),"Outside root: unresolved"),IF(G1256=0,"A On time",IF(H1256=1,IF(L1256=1,"B2a Severe, peak","B2b Severe, off-peak"),IF(L1256=1,"B1a Slight, peak","B1b Slight, off-peak"))))</f>
        <v>B2b Severe, off-peak</v>
      </c>
      <c r="L1256" s="33">
        <f>IF(AND(Orders!U1253&gt;=19,Orders!U1253&lt;22),1,0)</f>
        <v>0</v>
      </c>
      <c r="M1256" s="33">
        <f>IF(L1256=IF(Orders!V1253,1,0),1,0)</f>
        <v>1</v>
      </c>
      <c r="N1256" s="32" t="str">
        <f>IF(Orders!W1253="","None",Orders!W1253)</f>
        <v>None</v>
      </c>
      <c r="O1256" s="35">
        <f>INT(Orders!E1253)</f>
        <v>46268.0</v>
      </c>
      <c r="P1256" s="33">
        <f>Orders!U1253</f>
        <v>9</v>
      </c>
      <c r="Q1256" s="33">
        <f>COUNTIFS(Demand!$A$2:$A$4481,B1256,Demand!$B$2:$B$4481,O1256,Demand!$C$2:$C$4481,P1256)</f>
        <v>1</v>
      </c>
      <c r="R1256" s="33">
        <f>IF(Q1256=1,SUMIFS(Demand!$E$2:$E$4481,Demand!$A$2:$A$4481,B1256,Demand!$B$2:$B$4481,O1256,Demand!$C$2:$C$4481,P1256),"")</f>
        <v>16</v>
      </c>
      <c r="S1256" s="33">
        <f>INDEX(Stores!$G$2:$G$21,MATCH(B1256,Stores!$A$2:$A$21,0))</f>
        <v>31</v>
      </c>
      <c r="T1256" s="34">
        <f>IF(R1256="","",R1256/S1256)</f>
        <v>0.516129032258065</v>
      </c>
      <c r="U1256" s="34">
        <f>IF(E1256=1,T1256,"")</f>
        <v>0.516129032258065</v>
      </c>
      <c r="V1256" s="34">
        <f>IF(AND(E1256=1,L1256=0),T1256,"")</f>
        <v>0.516129032258065</v>
      </c>
      <c r="W1256" s="33">
        <f>IF(U1256="","",IF(U1256&lt;=Breakdowns!$C$5,1,IF(U1256&lt;=Breakdowns!$C$6,2,IF(U1256&lt;=Breakdowns!$C$7,3,4))))</f>
        <v>1</v>
      </c>
      <c r="X1256" s="33">
        <f>IF(V1256="","",IF(V1256&lt;=Breakdowns!$D$5,1,IF(V1256&lt;=Breakdowns!$D$6,2,IF(V1256&lt;=Breakdowns!$D$7,3,4))))</f>
        <v>1</v>
      </c>
      <c r="Y1256" s="34">
        <f>INDEX(Stores!$F$2:$F$21,MATCH(B1256,Stores!$A$2:$A$21,0))</f>
        <v>5.67</v>
      </c>
      <c r="Z1256" s="33">
        <f>IF(Y1256&gt;Store_Summary!$M$2,1,0)</f>
        <v>1</v>
      </c>
      <c r="AA1256" s="33">
        <f>INDEX(Stores!$C$2:$C$21,MATCH(B1256,Stores!$A$2:$A$21,0))</f>
        <v>732</v>
      </c>
      <c r="AB1256" s="33">
        <f>IF(AA1256&lt;180,1,0)</f>
        <v>0</v>
      </c>
      <c r="AC1256" s="32" t="str">
        <f>IF(Orders!D1253="","",INDEX(Riders!$C$2:$C$81,MATCH(Orders!D1253,Riders!$A$2:$A$81,0)))</f>
        <v>Petrol scooter</v>
      </c>
      <c r="AD1256" s="33">
        <f>IF(Orders!D1253="","",INDEX(Riders!$D$2:$D$81,MATCH(Orders!D1253,Riders!$A$2:$A$81,0)))</f>
        <v>29</v>
      </c>
      <c r="AE1256" s="33">
        <f>IF(Orders!D1253="","",IF(INDEX(Riders!$B$2:$B$81,MATCH(Orders!D1253,Riders!$A$2:$A$81,0))=B1256,1,0))</f>
        <v>0</v>
      </c>
      <c r="AF1256" s="34">
        <f>IF(E1256=1,Orders!L1253,"")</f>
        <v>1.95</v>
      </c>
      <c r="AG1256" s="34">
        <f>IF(E1256=1,Orders!P1253,"")</f>
        <v>11.4</v>
      </c>
      <c r="AH1256" s="34">
        <f>IF(E1256=1,Orders!Q1253,"")</f>
        <v>18.3</v>
      </c>
      <c r="AI1256" s="34">
        <f>IF(E1256=1,Orders!M1253,"")</f>
        <v>6.8</v>
      </c>
      <c r="AJ1256" s="34">
        <f>IF(E1256=1,Orders!N1253,"")</f>
        <v>6.1</v>
      </c>
      <c r="AK1256" s="34">
        <f>IF(E1256=1,Orders!O1253,"")</f>
        <v>5.4</v>
      </c>
      <c r="AL1256" s="33">
        <f>IF(E1256=1,IF(ROUND(ABS(AI1256+AJ1256+AK1256-AH1256),6)&lt;=0.1,1,0),"")</f>
        <v>1</v>
      </c>
      <c r="AM1256" s="36">
        <f>IF(E1256=1,AI1256/AH1256,"")</f>
        <v>0.371584699453552</v>
      </c>
      <c r="AN1256" s="36">
        <f>IF(E1256=1,AJ1256/AH1256,"")</f>
        <v>0.333333333333333</v>
      </c>
      <c r="AO1256" s="36">
        <f>IF(E1256=1,AK1256/AH1256,"")</f>
        <v>0.295081967213115</v>
      </c>
      <c r="AP1256" s="34">
        <f>IF(E1256=1,Orders!Y1253,"")</f>
        <v>0.45</v>
      </c>
      <c r="AQ1256" s="33">
        <f>IF(Orders!X1253,1,0)</f>
        <v>0</v>
      </c>
      <c r="AR1256" s="34" t="str">
        <f>IF(AND(E1256=1,L1256=1),AJ1256,"")</f>
        <v/>
      </c>
      <c r="AS1256" s="34">
        <f>IF(AND(E1256=1,L1256=0),AJ1256,"")</f>
        <v>6.1</v>
      </c>
      <c r="AT1256" s="34" t="str">
        <f>IF(AND(E1256=1,L1256=1),AI1256,"")</f>
        <v/>
      </c>
      <c r="AU1256" s="34">
        <f>IF(AND(E1256=1,L1256=0),AI1256,"")</f>
        <v>6.8</v>
      </c>
      <c r="AV1256" s="34" t="str">
        <f>IF(AND(E1256=1,L1256=1),AG1256,"")</f>
        <v/>
      </c>
      <c r="AW1256" s="34">
        <f>IF(AND(E1256=1,L1256=0),AG1256,"")</f>
        <v>11.4</v>
      </c>
      <c r="AX1256" s="34" t="str">
        <f>IF(AND(E1256=1,L1256=1),AH1256,"")</f>
        <v/>
      </c>
      <c r="AY1256" s="34">
        <f>IF(AND(E1256=1,L1256=0),AH1256,"")</f>
        <v>18.3</v>
      </c>
      <c r="AZ1256" s="34">
        <f>IF(G1256=1,F1256,"")</f>
        <v>6.9</v>
      </c>
      <c r="BA1256" s="34" t="str">
        <f>IF(AND(G1256=1,L1256=1),F1256,"")</f>
        <v/>
      </c>
      <c r="BB1256" s="34">
        <f>IF(AND(G1256=1,L1256=0),F1256,"")</f>
        <v>6.9</v>
      </c>
      <c r="BC1256" s="33">
        <f>IF(E1256=1,IF(Orders!R1253&gt;3,1,0),"")</f>
        <v>1</v>
      </c>
      <c r="BD1256" s="33">
        <f>IF(E1256=1,IF(Orders!R1253&gt;7,1,0),"")</f>
        <v>0</v>
      </c>
      <c r="BE1256" s="32" t="str">
        <f>IF(E1256=1,IF(Orders!L1253&lt;=1.5,"Up to 1.5 km",IF(Orders!L1253&lt;=3,"1.5–3 km","Over 3 km")),"")</f>
        <v>1.5–3 km</v>
      </c>
      <c r="BF1256" s="33">
        <f>IF(E1256=1,IF(ABS((Orders!G1253-Orders!F1253)*1440-Orders!R1253)&lt;0.06,1,0),"")</f>
        <v>1</v>
      </c>
      <c r="BG1256" s="33">
        <f>IF(ABS((Orders!F1253-Orders!E1253)*1440-Orders!P1253)&lt;0.06,1,0)</f>
        <v>1</v>
      </c>
      <c r="BH1256" s="33">
        <f>IF(E1256=1,IF(IF(Orders!S1253,1,0)=1-G1256,1,0),"")</f>
        <v>1</v>
      </c>
      <c r="BI1256" s="32" t="str">
        <f>INDEX(Stores!$B$2:$B$21,MATCH(B1256,Stores!$A$2:$A$21,0))</f>
        <v>Bengaluru</v>
      </c>
    </row>
    <row r="1257">
      <c r="A1257" s="32" t="str">
        <f>Orders!A1254</f>
        <v>O01253</v>
      </c>
      <c r="B1257" s="32" t="str">
        <f>Orders!C1254</f>
        <v>S009</v>
      </c>
      <c r="C1257" s="32" t="str">
        <f>Orders!B1254</f>
        <v>C0097</v>
      </c>
      <c r="D1257" s="32" t="str">
        <f>Orders!H1254</f>
        <v>Delivered</v>
      </c>
      <c r="E1257" s="33">
        <f>IF(Orders!H1254="Delivered",1,0)</f>
        <v>1</v>
      </c>
      <c r="F1257" s="34">
        <f>IF(E1257=1,Orders!R1254,"")</f>
        <v>-0.3</v>
      </c>
      <c r="G1257" s="33">
        <f>IF(E1257=1,IF(Orders!R1254&gt;0,1,0),"")</f>
        <v>0</v>
      </c>
      <c r="H1257" s="33">
        <f>IF(E1257=1,IF(Orders!R1254&gt;5,1,0),"")</f>
        <v>0</v>
      </c>
      <c r="I1257" s="32" t="str">
        <f>IF(E1257=1,"",IF(OR(Orders!T1254="Rider unavailable",Orders!T1254="Item unavailable"),"Company-caused","Unresolved"))</f>
        <v/>
      </c>
      <c r="J1257" s="33">
        <f>IF(OR(E1257=1,I1257="Company-caused"),1,0)</f>
        <v>1</v>
      </c>
      <c r="K1257" s="32" t="str">
        <f>IF(E1257=0,IF(I1257="Company-caused",IF(Orders!T1254="Rider unavailable","C1 Rider unavailable","C2 Item unavailable"),"Outside root: unresolved"),IF(G1257=0,"A On time",IF(H1257=1,IF(L1257=1,"B2a Severe, peak","B2b Severe, off-peak"),IF(L1257=1,"B1a Slight, peak","B1b Slight, off-peak"))))</f>
        <v>A On time</v>
      </c>
      <c r="L1257" s="33">
        <f>IF(AND(Orders!U1254&gt;=19,Orders!U1254&lt;22),1,0)</f>
        <v>0</v>
      </c>
      <c r="M1257" s="33">
        <f>IF(L1257=IF(Orders!V1254,1,0),1,0)</f>
        <v>1</v>
      </c>
      <c r="N1257" s="32" t="str">
        <f>IF(Orders!W1254="","None",Orders!W1254)</f>
        <v>Light</v>
      </c>
      <c r="O1257" s="35">
        <f>INT(Orders!E1254)</f>
        <v>46276.0</v>
      </c>
      <c r="P1257" s="33">
        <f>Orders!U1254</f>
        <v>11</v>
      </c>
      <c r="Q1257" s="33">
        <f>COUNTIFS(Demand!$A$2:$A$4481,B1257,Demand!$B$2:$B$4481,O1257,Demand!$C$2:$C$4481,P1257)</f>
        <v>1</v>
      </c>
      <c r="R1257" s="33">
        <f>IF(Q1257=1,SUMIFS(Demand!$E$2:$E$4481,Demand!$A$2:$A$4481,B1257,Demand!$B$2:$B$4481,O1257,Demand!$C$2:$C$4481,P1257),"")</f>
        <v>33</v>
      </c>
      <c r="S1257" s="33">
        <f>INDEX(Stores!$G$2:$G$21,MATCH(B1257,Stores!$A$2:$A$21,0))</f>
        <v>29</v>
      </c>
      <c r="T1257" s="34">
        <f>IF(R1257="","",R1257/S1257)</f>
        <v>1.13793103448276</v>
      </c>
      <c r="U1257" s="34">
        <f>IF(E1257=1,T1257,"")</f>
        <v>1.13793103448276</v>
      </c>
      <c r="V1257" s="34">
        <f>IF(AND(E1257=1,L1257=0),T1257,"")</f>
        <v>1.13793103448276</v>
      </c>
      <c r="W1257" s="33">
        <f>IF(U1257="","",IF(U1257&lt;=Breakdowns!$C$5,1,IF(U1257&lt;=Breakdowns!$C$6,2,IF(U1257&lt;=Breakdowns!$C$7,3,4))))</f>
        <v>3</v>
      </c>
      <c r="X1257" s="33">
        <f>IF(V1257="","",IF(V1257&lt;=Breakdowns!$D$5,1,IF(V1257&lt;=Breakdowns!$D$6,2,IF(V1257&lt;=Breakdowns!$D$7,3,4))))</f>
        <v>4</v>
      </c>
      <c r="Y1257" s="34">
        <f>INDEX(Stores!$F$2:$F$21,MATCH(B1257,Stores!$A$2:$A$21,0))</f>
        <v>2.66</v>
      </c>
      <c r="Z1257" s="33">
        <f>IF(Y1257&gt;Store_Summary!$M$2,1,0)</f>
        <v>0</v>
      </c>
      <c r="AA1257" s="33">
        <f>INDEX(Stores!$C$2:$C$21,MATCH(B1257,Stores!$A$2:$A$21,0))</f>
        <v>645</v>
      </c>
      <c r="AB1257" s="33">
        <f>IF(AA1257&lt;180,1,0)</f>
        <v>0</v>
      </c>
      <c r="AC1257" s="32" t="str">
        <f>IF(Orders!D1254="","",INDEX(Riders!$C$2:$C$81,MATCH(Orders!D1254,Riders!$A$2:$A$81,0)))</f>
        <v>Petrol scooter</v>
      </c>
      <c r="AD1257" s="33">
        <f>IF(Orders!D1254="","",INDEX(Riders!$D$2:$D$81,MATCH(Orders!D1254,Riders!$A$2:$A$81,0)))</f>
        <v>40</v>
      </c>
      <c r="AE1257" s="33">
        <f>IF(Orders!D1254="","",IF(INDEX(Riders!$B$2:$B$81,MATCH(Orders!D1254,Riders!$A$2:$A$81,0))=B1257,1,0))</f>
        <v>0</v>
      </c>
      <c r="AF1257" s="34">
        <f>IF(E1257=1,Orders!L1254,"")</f>
        <v>2.8</v>
      </c>
      <c r="AG1257" s="34">
        <f>IF(E1257=1,Orders!P1254,"")</f>
        <v>7.3</v>
      </c>
      <c r="AH1257" s="34">
        <f>IF(E1257=1,Orders!Q1254,"")</f>
        <v>7</v>
      </c>
      <c r="AI1257" s="34">
        <f>IF(E1257=1,Orders!M1254,"")</f>
        <v>1.3</v>
      </c>
      <c r="AJ1257" s="34">
        <f>IF(E1257=1,Orders!N1254,"")</f>
        <v>2.3</v>
      </c>
      <c r="AK1257" s="34">
        <f>IF(E1257=1,Orders!O1254,"")</f>
        <v>3.4</v>
      </c>
      <c r="AL1257" s="33">
        <f>IF(E1257=1,IF(ROUND(ABS(AI1257+AJ1257+AK1257-AH1257),6)&lt;=0.1,1,0),"")</f>
        <v>1</v>
      </c>
      <c r="AM1257" s="36">
        <f>IF(E1257=1,AI1257/AH1257,"")</f>
        <v>0.185714285714286</v>
      </c>
      <c r="AN1257" s="36">
        <f>IF(E1257=1,AJ1257/AH1257,"")</f>
        <v>0.328571428571429</v>
      </c>
      <c r="AO1257" s="36">
        <f>IF(E1257=1,AK1257/AH1257,"")</f>
        <v>0.485714285714286</v>
      </c>
      <c r="AP1257" s="34">
        <f>IF(E1257=1,Orders!Y1254,"")</f>
        <v>0.38</v>
      </c>
      <c r="AQ1257" s="33">
        <f>IF(Orders!X1254,1,0)</f>
        <v>0</v>
      </c>
      <c r="AR1257" s="34" t="str">
        <f>IF(AND(E1257=1,L1257=1),AJ1257,"")</f>
        <v/>
      </c>
      <c r="AS1257" s="34">
        <f>IF(AND(E1257=1,L1257=0),AJ1257,"")</f>
        <v>2.3</v>
      </c>
      <c r="AT1257" s="34" t="str">
        <f>IF(AND(E1257=1,L1257=1),AI1257,"")</f>
        <v/>
      </c>
      <c r="AU1257" s="34">
        <f>IF(AND(E1257=1,L1257=0),AI1257,"")</f>
        <v>1.3</v>
      </c>
      <c r="AV1257" s="34" t="str">
        <f>IF(AND(E1257=1,L1257=1),AG1257,"")</f>
        <v/>
      </c>
      <c r="AW1257" s="34">
        <f>IF(AND(E1257=1,L1257=0),AG1257,"")</f>
        <v>7.3</v>
      </c>
      <c r="AX1257" s="34" t="str">
        <f>IF(AND(E1257=1,L1257=1),AH1257,"")</f>
        <v/>
      </c>
      <c r="AY1257" s="34">
        <f>IF(AND(E1257=1,L1257=0),AH1257,"")</f>
        <v>7</v>
      </c>
      <c r="AZ1257" s="34" t="str">
        <f>IF(G1257=1,F1257,"")</f>
        <v/>
      </c>
      <c r="BA1257" s="34" t="str">
        <f>IF(AND(G1257=1,L1257=1),F1257,"")</f>
        <v/>
      </c>
      <c r="BB1257" s="34" t="str">
        <f>IF(AND(G1257=1,L1257=0),F1257,"")</f>
        <v/>
      </c>
      <c r="BC1257" s="33">
        <f>IF(E1257=1,IF(Orders!R1254&gt;3,1,0),"")</f>
        <v>0</v>
      </c>
      <c r="BD1257" s="33">
        <f>IF(E1257=1,IF(Orders!R1254&gt;7,1,0),"")</f>
        <v>0</v>
      </c>
      <c r="BE1257" s="32" t="str">
        <f>IF(E1257=1,IF(Orders!L1254&lt;=1.5,"Up to 1.5 km",IF(Orders!L1254&lt;=3,"1.5–3 km","Over 3 km")),"")</f>
        <v>1.5–3 km</v>
      </c>
      <c r="BF1257" s="33">
        <f>IF(E1257=1,IF(ABS((Orders!G1254-Orders!F1254)*1440-Orders!R1254)&lt;0.06,1,0),"")</f>
        <v>1</v>
      </c>
      <c r="BG1257" s="33">
        <f>IF(ABS((Orders!F1254-Orders!E1254)*1440-Orders!P1254)&lt;0.06,1,0)</f>
        <v>1</v>
      </c>
      <c r="BH1257" s="33">
        <f>IF(E1257=1,IF(IF(Orders!S1254,1,0)=1-G1257,1,0),"")</f>
        <v>1</v>
      </c>
      <c r="BI1257" s="32" t="str">
        <f>INDEX(Stores!$B$2:$B$21,MATCH(B1257,Stores!$A$2:$A$21,0))</f>
        <v>Pune</v>
      </c>
    </row>
    <row r="1258">
      <c r="A1258" s="32" t="str">
        <f>Orders!A1255</f>
        <v>O01254</v>
      </c>
      <c r="B1258" s="32" t="str">
        <f>Orders!C1255</f>
        <v>S004</v>
      </c>
      <c r="C1258" s="32" t="str">
        <f>Orders!B1255</f>
        <v>C0224</v>
      </c>
      <c r="D1258" s="32" t="str">
        <f>Orders!H1255</f>
        <v>Delivered</v>
      </c>
      <c r="E1258" s="33">
        <f>IF(Orders!H1255="Delivered",1,0)</f>
        <v>1</v>
      </c>
      <c r="F1258" s="34">
        <f>IF(E1258=1,Orders!R1255,"")</f>
        <v>-0.3</v>
      </c>
      <c r="G1258" s="33">
        <f>IF(E1258=1,IF(Orders!R1255&gt;0,1,0),"")</f>
        <v>0</v>
      </c>
      <c r="H1258" s="33">
        <f>IF(E1258=1,IF(Orders!R1255&gt;5,1,0),"")</f>
        <v>0</v>
      </c>
      <c r="I1258" s="32" t="str">
        <f>IF(E1258=1,"",IF(OR(Orders!T1255="Rider unavailable",Orders!T1255="Item unavailable"),"Company-caused","Unresolved"))</f>
        <v/>
      </c>
      <c r="J1258" s="33">
        <f>IF(OR(E1258=1,I1258="Company-caused"),1,0)</f>
        <v>1</v>
      </c>
      <c r="K1258" s="32" t="str">
        <f>IF(E1258=0,IF(I1258="Company-caused",IF(Orders!T1255="Rider unavailable","C1 Rider unavailable","C2 Item unavailable"),"Outside root: unresolved"),IF(G1258=0,"A On time",IF(H1258=1,IF(L1258=1,"B2a Severe, peak","B2b Severe, off-peak"),IF(L1258=1,"B1a Slight, peak","B1b Slight, off-peak"))))</f>
        <v>A On time</v>
      </c>
      <c r="L1258" s="33">
        <f>IF(AND(Orders!U1255&gt;=19,Orders!U1255&lt;22),1,0)</f>
        <v>0</v>
      </c>
      <c r="M1258" s="33">
        <f>IF(L1258=IF(Orders!V1255,1,0),1,0)</f>
        <v>1</v>
      </c>
      <c r="N1258" s="32" t="str">
        <f>IF(Orders!W1255="","None",Orders!W1255)</f>
        <v>None</v>
      </c>
      <c r="O1258" s="35">
        <f>INT(Orders!E1255)</f>
        <v>46268.0</v>
      </c>
      <c r="P1258" s="33">
        <f>Orders!U1255</f>
        <v>10</v>
      </c>
      <c r="Q1258" s="33">
        <f>COUNTIFS(Demand!$A$2:$A$4481,B1258,Demand!$B$2:$B$4481,O1258,Demand!$C$2:$C$4481,P1258)</f>
        <v>1</v>
      </c>
      <c r="R1258" s="33">
        <f>IF(Q1258=1,SUMIFS(Demand!$E$2:$E$4481,Demand!$A$2:$A$4481,B1258,Demand!$B$2:$B$4481,O1258,Demand!$C$2:$C$4481,P1258),"")</f>
        <v>31</v>
      </c>
      <c r="S1258" s="33">
        <f>INDEX(Stores!$G$2:$G$21,MATCH(B1258,Stores!$A$2:$A$21,0))</f>
        <v>42</v>
      </c>
      <c r="T1258" s="34">
        <f>IF(R1258="","",R1258/S1258)</f>
        <v>0.738095238095238</v>
      </c>
      <c r="U1258" s="34">
        <f>IF(E1258=1,T1258,"")</f>
        <v>0.738095238095238</v>
      </c>
      <c r="V1258" s="34">
        <f>IF(AND(E1258=1,L1258=0),T1258,"")</f>
        <v>0.738095238095238</v>
      </c>
      <c r="W1258" s="33">
        <f>IF(U1258="","",IF(U1258&lt;=Breakdowns!$C$5,1,IF(U1258&lt;=Breakdowns!$C$6,2,IF(U1258&lt;=Breakdowns!$C$7,3,4))))</f>
        <v>1</v>
      </c>
      <c r="X1258" s="33">
        <f>IF(V1258="","",IF(V1258&lt;=Breakdowns!$D$5,1,IF(V1258&lt;=Breakdowns!$D$6,2,IF(V1258&lt;=Breakdowns!$D$7,3,4))))</f>
        <v>1</v>
      </c>
      <c r="Y1258" s="34">
        <f>INDEX(Stores!$F$2:$F$21,MATCH(B1258,Stores!$A$2:$A$21,0))</f>
        <v>2.19</v>
      </c>
      <c r="Z1258" s="33">
        <f>IF(Y1258&gt;Store_Summary!$M$2,1,0)</f>
        <v>0</v>
      </c>
      <c r="AA1258" s="33">
        <f>INDEX(Stores!$C$2:$C$21,MATCH(B1258,Stores!$A$2:$A$21,0))</f>
        <v>850</v>
      </c>
      <c r="AB1258" s="33">
        <f>IF(AA1258&lt;180,1,0)</f>
        <v>0</v>
      </c>
      <c r="AC1258" s="32" t="str">
        <f>IF(Orders!D1255="","",INDEX(Riders!$C$2:$C$81,MATCH(Orders!D1255,Riders!$A$2:$A$81,0)))</f>
        <v>Petrol scooter</v>
      </c>
      <c r="AD1258" s="33">
        <f>IF(Orders!D1255="","",INDEX(Riders!$D$2:$D$81,MATCH(Orders!D1255,Riders!$A$2:$A$81,0)))</f>
        <v>15</v>
      </c>
      <c r="AE1258" s="33">
        <f>IF(Orders!D1255="","",IF(INDEX(Riders!$B$2:$B$81,MATCH(Orders!D1255,Riders!$A$2:$A$81,0))=B1258,1,0))</f>
        <v>0</v>
      </c>
      <c r="AF1258" s="34">
        <f>IF(E1258=1,Orders!L1255,"")</f>
        <v>0.56</v>
      </c>
      <c r="AG1258" s="34">
        <f>IF(E1258=1,Orders!P1255,"")</f>
        <v>10.5</v>
      </c>
      <c r="AH1258" s="34">
        <f>IF(E1258=1,Orders!Q1255,"")</f>
        <v>10.2</v>
      </c>
      <c r="AI1258" s="34">
        <f>IF(E1258=1,Orders!M1255,"")</f>
        <v>1.6</v>
      </c>
      <c r="AJ1258" s="34">
        <f>IF(E1258=1,Orders!N1255,"")</f>
        <v>5.2</v>
      </c>
      <c r="AK1258" s="34">
        <f>IF(E1258=1,Orders!O1255,"")</f>
        <v>3.3</v>
      </c>
      <c r="AL1258" s="33">
        <f>IF(E1258=1,IF(ROUND(ABS(AI1258+AJ1258+AK1258-AH1258),6)&lt;=0.1,1,0),"")</f>
        <v>1</v>
      </c>
      <c r="AM1258" s="36">
        <f>IF(E1258=1,AI1258/AH1258,"")</f>
        <v>0.156862745098039</v>
      </c>
      <c r="AN1258" s="36">
        <f>IF(E1258=1,AJ1258/AH1258,"")</f>
        <v>0.509803921568628</v>
      </c>
      <c r="AO1258" s="36">
        <f>IF(E1258=1,AK1258/AH1258,"")</f>
        <v>0.323529411764706</v>
      </c>
      <c r="AP1258" s="34">
        <f>IF(E1258=1,Orders!Y1255,"")</f>
        <v>0.63</v>
      </c>
      <c r="AQ1258" s="33">
        <f>IF(Orders!X1255,1,0)</f>
        <v>0</v>
      </c>
      <c r="AR1258" s="34" t="str">
        <f>IF(AND(E1258=1,L1258=1),AJ1258,"")</f>
        <v/>
      </c>
      <c r="AS1258" s="34">
        <f>IF(AND(E1258=1,L1258=0),AJ1258,"")</f>
        <v>5.2</v>
      </c>
      <c r="AT1258" s="34" t="str">
        <f>IF(AND(E1258=1,L1258=1),AI1258,"")</f>
        <v/>
      </c>
      <c r="AU1258" s="34">
        <f>IF(AND(E1258=1,L1258=0),AI1258,"")</f>
        <v>1.6</v>
      </c>
      <c r="AV1258" s="34" t="str">
        <f>IF(AND(E1258=1,L1258=1),AG1258,"")</f>
        <v/>
      </c>
      <c r="AW1258" s="34">
        <f>IF(AND(E1258=1,L1258=0),AG1258,"")</f>
        <v>10.5</v>
      </c>
      <c r="AX1258" s="34" t="str">
        <f>IF(AND(E1258=1,L1258=1),AH1258,"")</f>
        <v/>
      </c>
      <c r="AY1258" s="34">
        <f>IF(AND(E1258=1,L1258=0),AH1258,"")</f>
        <v>10.2</v>
      </c>
      <c r="AZ1258" s="34" t="str">
        <f>IF(G1258=1,F1258,"")</f>
        <v/>
      </c>
      <c r="BA1258" s="34" t="str">
        <f>IF(AND(G1258=1,L1258=1),F1258,"")</f>
        <v/>
      </c>
      <c r="BB1258" s="34" t="str">
        <f>IF(AND(G1258=1,L1258=0),F1258,"")</f>
        <v/>
      </c>
      <c r="BC1258" s="33">
        <f>IF(E1258=1,IF(Orders!R1255&gt;3,1,0),"")</f>
        <v>0</v>
      </c>
      <c r="BD1258" s="33">
        <f>IF(E1258=1,IF(Orders!R1255&gt;7,1,0),"")</f>
        <v>0</v>
      </c>
      <c r="BE1258" s="32" t="str">
        <f>IF(E1258=1,IF(Orders!L1255&lt;=1.5,"Up to 1.5 km",IF(Orders!L1255&lt;=3,"1.5–3 km","Over 3 km")),"")</f>
        <v>Up to 1.5 km</v>
      </c>
      <c r="BF1258" s="33">
        <f>IF(E1258=1,IF(ABS((Orders!G1255-Orders!F1255)*1440-Orders!R1255)&lt;0.06,1,0),"")</f>
        <v>1</v>
      </c>
      <c r="BG1258" s="33">
        <f>IF(ABS((Orders!F1255-Orders!E1255)*1440-Orders!P1255)&lt;0.06,1,0)</f>
        <v>1</v>
      </c>
      <c r="BH1258" s="33">
        <f>IF(E1258=1,IF(IF(Orders!S1255,1,0)=1-G1258,1,0),"")</f>
        <v>1</v>
      </c>
      <c r="BI1258" s="32" t="str">
        <f>INDEX(Stores!$B$2:$B$21,MATCH(B1258,Stores!$A$2:$A$21,0))</f>
        <v>Pune</v>
      </c>
    </row>
    <row r="1259">
      <c r="A1259" s="32" t="str">
        <f>Orders!A1256</f>
        <v>O01255</v>
      </c>
      <c r="B1259" s="32" t="str">
        <f>Orders!C1256</f>
        <v>S004</v>
      </c>
      <c r="C1259" s="32" t="str">
        <f>Orders!B1256</f>
        <v>C0018</v>
      </c>
      <c r="D1259" s="32" t="str">
        <f>Orders!H1256</f>
        <v>Delivered</v>
      </c>
      <c r="E1259" s="33">
        <f>IF(Orders!H1256="Delivered",1,0)</f>
        <v>1</v>
      </c>
      <c r="F1259" s="34">
        <f>IF(E1259=1,Orders!R1256,"")</f>
        <v>-1</v>
      </c>
      <c r="G1259" s="33">
        <f>IF(E1259=1,IF(Orders!R1256&gt;0,1,0),"")</f>
        <v>0</v>
      </c>
      <c r="H1259" s="33">
        <f>IF(E1259=1,IF(Orders!R1256&gt;5,1,0),"")</f>
        <v>0</v>
      </c>
      <c r="I1259" s="32" t="str">
        <f>IF(E1259=1,"",IF(OR(Orders!T1256="Rider unavailable",Orders!T1256="Item unavailable"),"Company-caused","Unresolved"))</f>
        <v/>
      </c>
      <c r="J1259" s="33">
        <f>IF(OR(E1259=1,I1259="Company-caused"),1,0)</f>
        <v>1</v>
      </c>
      <c r="K1259" s="32" t="str">
        <f>IF(E1259=0,IF(I1259="Company-caused",IF(Orders!T1256="Rider unavailable","C1 Rider unavailable","C2 Item unavailable"),"Outside root: unresolved"),IF(G1259=0,"A On time",IF(H1259=1,IF(L1259=1,"B2a Severe, peak","B2b Severe, off-peak"),IF(L1259=1,"B1a Slight, peak","B1b Slight, off-peak"))))</f>
        <v>A On time</v>
      </c>
      <c r="L1259" s="33">
        <f>IF(AND(Orders!U1256&gt;=19,Orders!U1256&lt;22),1,0)</f>
        <v>0</v>
      </c>
      <c r="M1259" s="33">
        <f>IF(L1259=IF(Orders!V1256,1,0),1,0)</f>
        <v>1</v>
      </c>
      <c r="N1259" s="32" t="str">
        <f>IF(Orders!W1256="","None",Orders!W1256)</f>
        <v>Light</v>
      </c>
      <c r="O1259" s="35">
        <f>INT(Orders!E1256)</f>
        <v>46272.0</v>
      </c>
      <c r="P1259" s="33">
        <f>Orders!U1256</f>
        <v>9</v>
      </c>
      <c r="Q1259" s="33">
        <f>COUNTIFS(Demand!$A$2:$A$4481,B1259,Demand!$B$2:$B$4481,O1259,Demand!$C$2:$C$4481,P1259)</f>
        <v>1</v>
      </c>
      <c r="R1259" s="33">
        <f>IF(Q1259=1,SUMIFS(Demand!$E$2:$E$4481,Demand!$A$2:$A$4481,B1259,Demand!$B$2:$B$4481,O1259,Demand!$C$2:$C$4481,P1259),"")</f>
        <v>22</v>
      </c>
      <c r="S1259" s="33">
        <f>INDEX(Stores!$G$2:$G$21,MATCH(B1259,Stores!$A$2:$A$21,0))</f>
        <v>42</v>
      </c>
      <c r="T1259" s="34">
        <f>IF(R1259="","",R1259/S1259)</f>
        <v>0.523809523809524</v>
      </c>
      <c r="U1259" s="34">
        <f>IF(E1259=1,T1259,"")</f>
        <v>0.523809523809524</v>
      </c>
      <c r="V1259" s="34">
        <f>IF(AND(E1259=1,L1259=0),T1259,"")</f>
        <v>0.523809523809524</v>
      </c>
      <c r="W1259" s="33">
        <f>IF(U1259="","",IF(U1259&lt;=Breakdowns!$C$5,1,IF(U1259&lt;=Breakdowns!$C$6,2,IF(U1259&lt;=Breakdowns!$C$7,3,4))))</f>
        <v>1</v>
      </c>
      <c r="X1259" s="33">
        <f>IF(V1259="","",IF(V1259&lt;=Breakdowns!$D$5,1,IF(V1259&lt;=Breakdowns!$D$6,2,IF(V1259&lt;=Breakdowns!$D$7,3,4))))</f>
        <v>1</v>
      </c>
      <c r="Y1259" s="34">
        <f>INDEX(Stores!$F$2:$F$21,MATCH(B1259,Stores!$A$2:$A$21,0))</f>
        <v>2.19</v>
      </c>
      <c r="Z1259" s="33">
        <f>IF(Y1259&gt;Store_Summary!$M$2,1,0)</f>
        <v>0</v>
      </c>
      <c r="AA1259" s="33">
        <f>INDEX(Stores!$C$2:$C$21,MATCH(B1259,Stores!$A$2:$A$21,0))</f>
        <v>850</v>
      </c>
      <c r="AB1259" s="33">
        <f>IF(AA1259&lt;180,1,0)</f>
        <v>0</v>
      </c>
      <c r="AC1259" s="32" t="str">
        <f>IF(Orders!D1256="","",INDEX(Riders!$C$2:$C$81,MATCH(Orders!D1256,Riders!$A$2:$A$81,0)))</f>
        <v>EV scooter</v>
      </c>
      <c r="AD1259" s="33">
        <f>IF(Orders!D1256="","",INDEX(Riders!$D$2:$D$81,MATCH(Orders!D1256,Riders!$A$2:$A$81,0)))</f>
        <v>37</v>
      </c>
      <c r="AE1259" s="33">
        <f>IF(Orders!D1256="","",IF(INDEX(Riders!$B$2:$B$81,MATCH(Orders!D1256,Riders!$A$2:$A$81,0))=B1259,1,0))</f>
        <v>0</v>
      </c>
      <c r="AF1259" s="34">
        <f>IF(E1259=1,Orders!L1256,"")</f>
        <v>1.89</v>
      </c>
      <c r="AG1259" s="34">
        <f>IF(E1259=1,Orders!P1256,"")</f>
        <v>10.5</v>
      </c>
      <c r="AH1259" s="34">
        <f>IF(E1259=1,Orders!Q1256,"")</f>
        <v>9.5</v>
      </c>
      <c r="AI1259" s="34">
        <f>IF(E1259=1,Orders!M1256,"")</f>
        <v>2.3</v>
      </c>
      <c r="AJ1259" s="34">
        <f>IF(E1259=1,Orders!N1256,"")</f>
        <v>1.7</v>
      </c>
      <c r="AK1259" s="34">
        <f>IF(E1259=1,Orders!O1256,"")</f>
        <v>5.5</v>
      </c>
      <c r="AL1259" s="33">
        <f>IF(E1259=1,IF(ROUND(ABS(AI1259+AJ1259+AK1259-AH1259),6)&lt;=0.1,1,0),"")</f>
        <v>1</v>
      </c>
      <c r="AM1259" s="36">
        <f>IF(E1259=1,AI1259/AH1259,"")</f>
        <v>0.242105263157895</v>
      </c>
      <c r="AN1259" s="36">
        <f>IF(E1259=1,AJ1259/AH1259,"")</f>
        <v>0.178947368421053</v>
      </c>
      <c r="AO1259" s="36">
        <f>IF(E1259=1,AK1259/AH1259,"")</f>
        <v>0.578947368421053</v>
      </c>
      <c r="AP1259" s="34">
        <f>IF(E1259=1,Orders!Y1256,"")</f>
        <v>0.24</v>
      </c>
      <c r="AQ1259" s="33">
        <f>IF(Orders!X1256,1,0)</f>
        <v>1</v>
      </c>
      <c r="AR1259" s="34" t="str">
        <f>IF(AND(E1259=1,L1259=1),AJ1259,"")</f>
        <v/>
      </c>
      <c r="AS1259" s="34">
        <f>IF(AND(E1259=1,L1259=0),AJ1259,"")</f>
        <v>1.7</v>
      </c>
      <c r="AT1259" s="34" t="str">
        <f>IF(AND(E1259=1,L1259=1),AI1259,"")</f>
        <v/>
      </c>
      <c r="AU1259" s="34">
        <f>IF(AND(E1259=1,L1259=0),AI1259,"")</f>
        <v>2.3</v>
      </c>
      <c r="AV1259" s="34" t="str">
        <f>IF(AND(E1259=1,L1259=1),AG1259,"")</f>
        <v/>
      </c>
      <c r="AW1259" s="34">
        <f>IF(AND(E1259=1,L1259=0),AG1259,"")</f>
        <v>10.5</v>
      </c>
      <c r="AX1259" s="34" t="str">
        <f>IF(AND(E1259=1,L1259=1),AH1259,"")</f>
        <v/>
      </c>
      <c r="AY1259" s="34">
        <f>IF(AND(E1259=1,L1259=0),AH1259,"")</f>
        <v>9.5</v>
      </c>
      <c r="AZ1259" s="34" t="str">
        <f>IF(G1259=1,F1259,"")</f>
        <v/>
      </c>
      <c r="BA1259" s="34" t="str">
        <f>IF(AND(G1259=1,L1259=1),F1259,"")</f>
        <v/>
      </c>
      <c r="BB1259" s="34" t="str">
        <f>IF(AND(G1259=1,L1259=0),F1259,"")</f>
        <v/>
      </c>
      <c r="BC1259" s="33">
        <f>IF(E1259=1,IF(Orders!R1256&gt;3,1,0),"")</f>
        <v>0</v>
      </c>
      <c r="BD1259" s="33">
        <f>IF(E1259=1,IF(Orders!R1256&gt;7,1,0),"")</f>
        <v>0</v>
      </c>
      <c r="BE1259" s="32" t="str">
        <f>IF(E1259=1,IF(Orders!L1256&lt;=1.5,"Up to 1.5 km",IF(Orders!L1256&lt;=3,"1.5–3 km","Over 3 km")),"")</f>
        <v>1.5–3 km</v>
      </c>
      <c r="BF1259" s="33">
        <f>IF(E1259=1,IF(ABS((Orders!G1256-Orders!F1256)*1440-Orders!R1256)&lt;0.06,1,0),"")</f>
        <v>1</v>
      </c>
      <c r="BG1259" s="33">
        <f>IF(ABS((Orders!F1256-Orders!E1256)*1440-Orders!P1256)&lt;0.06,1,0)</f>
        <v>1</v>
      </c>
      <c r="BH1259" s="33">
        <f>IF(E1259=1,IF(IF(Orders!S1256,1,0)=1-G1259,1,0),"")</f>
        <v>1</v>
      </c>
      <c r="BI1259" s="32" t="str">
        <f>INDEX(Stores!$B$2:$B$21,MATCH(B1259,Stores!$A$2:$A$21,0))</f>
        <v>Pune</v>
      </c>
    </row>
    <row r="1260">
      <c r="A1260" s="32" t="str">
        <f>Orders!A1257</f>
        <v>O01256</v>
      </c>
      <c r="B1260" s="32" t="str">
        <f>Orders!C1257</f>
        <v>S018</v>
      </c>
      <c r="C1260" s="32" t="str">
        <f>Orders!B1257</f>
        <v>C0038</v>
      </c>
      <c r="D1260" s="32" t="str">
        <f>Orders!H1257</f>
        <v>Delivered</v>
      </c>
      <c r="E1260" s="33">
        <f>IF(Orders!H1257="Delivered",1,0)</f>
        <v>1</v>
      </c>
      <c r="F1260" s="34">
        <f>IF(E1260=1,Orders!R1257,"")</f>
        <v>-0.7</v>
      </c>
      <c r="G1260" s="33">
        <f>IF(E1260=1,IF(Orders!R1257&gt;0,1,0),"")</f>
        <v>0</v>
      </c>
      <c r="H1260" s="33">
        <f>IF(E1260=1,IF(Orders!R1257&gt;5,1,0),"")</f>
        <v>0</v>
      </c>
      <c r="I1260" s="32" t="str">
        <f>IF(E1260=1,"",IF(OR(Orders!T1257="Rider unavailable",Orders!T1257="Item unavailable"),"Company-caused","Unresolved"))</f>
        <v/>
      </c>
      <c r="J1260" s="33">
        <f>IF(OR(E1260=1,I1260="Company-caused"),1,0)</f>
        <v>1</v>
      </c>
      <c r="K1260" s="32" t="str">
        <f>IF(E1260=0,IF(I1260="Company-caused",IF(Orders!T1257="Rider unavailable","C1 Rider unavailable","C2 Item unavailable"),"Outside root: unresolved"),IF(G1260=0,"A On time",IF(H1260=1,IF(L1260=1,"B2a Severe, peak","B2b Severe, off-peak"),IF(L1260=1,"B1a Slight, peak","B1b Slight, off-peak"))))</f>
        <v>A On time</v>
      </c>
      <c r="L1260" s="33">
        <f>IF(AND(Orders!U1257&gt;=19,Orders!U1257&lt;22),1,0)</f>
        <v>0</v>
      </c>
      <c r="M1260" s="33">
        <f>IF(L1260=IF(Orders!V1257,1,0),1,0)</f>
        <v>1</v>
      </c>
      <c r="N1260" s="32" t="str">
        <f>IF(Orders!W1257="","None",Orders!W1257)</f>
        <v>None</v>
      </c>
      <c r="O1260" s="35">
        <f>INT(Orders!E1257)</f>
        <v>46279.0</v>
      </c>
      <c r="P1260" s="33">
        <f>Orders!U1257</f>
        <v>9</v>
      </c>
      <c r="Q1260" s="33">
        <f>COUNTIFS(Demand!$A$2:$A$4481,B1260,Demand!$B$2:$B$4481,O1260,Demand!$C$2:$C$4481,P1260)</f>
        <v>1</v>
      </c>
      <c r="R1260" s="33">
        <f>IF(Q1260=1,SUMIFS(Demand!$E$2:$E$4481,Demand!$A$2:$A$4481,B1260,Demand!$B$2:$B$4481,O1260,Demand!$C$2:$C$4481,P1260),"")</f>
        <v>17</v>
      </c>
      <c r="S1260" s="33">
        <f>INDEX(Stores!$G$2:$G$21,MATCH(B1260,Stores!$A$2:$A$21,0))</f>
        <v>20</v>
      </c>
      <c r="T1260" s="34">
        <f>IF(R1260="","",R1260/S1260)</f>
        <v>0.85</v>
      </c>
      <c r="U1260" s="34">
        <f>IF(E1260=1,T1260,"")</f>
        <v>0.85</v>
      </c>
      <c r="V1260" s="34">
        <f>IF(AND(E1260=1,L1260=0),T1260,"")</f>
        <v>0.85</v>
      </c>
      <c r="W1260" s="33">
        <f>IF(U1260="","",IF(U1260&lt;=Breakdowns!$C$5,1,IF(U1260&lt;=Breakdowns!$C$6,2,IF(U1260&lt;=Breakdowns!$C$7,3,4))))</f>
        <v>2</v>
      </c>
      <c r="X1260" s="33">
        <f>IF(V1260="","",IF(V1260&lt;=Breakdowns!$D$5,1,IF(V1260&lt;=Breakdowns!$D$6,2,IF(V1260&lt;=Breakdowns!$D$7,3,4))))</f>
        <v>2</v>
      </c>
      <c r="Y1260" s="34">
        <f>INDEX(Stores!$F$2:$F$21,MATCH(B1260,Stores!$A$2:$A$21,0))</f>
        <v>5.31</v>
      </c>
      <c r="Z1260" s="33">
        <f>IF(Y1260&gt;Store_Summary!$M$2,1,0)</f>
        <v>1</v>
      </c>
      <c r="AA1260" s="33">
        <f>INDEX(Stores!$C$2:$C$21,MATCH(B1260,Stores!$A$2:$A$21,0))</f>
        <v>214</v>
      </c>
      <c r="AB1260" s="33">
        <f>IF(AA1260&lt;180,1,0)</f>
        <v>0</v>
      </c>
      <c r="AC1260" s="32" t="str">
        <f>IF(Orders!D1257="","",INDEX(Riders!$C$2:$C$81,MATCH(Orders!D1257,Riders!$A$2:$A$81,0)))</f>
        <v>Bicycle</v>
      </c>
      <c r="AD1260" s="33">
        <f>IF(Orders!D1257="","",INDEX(Riders!$D$2:$D$81,MATCH(Orders!D1257,Riders!$A$2:$A$81,0)))</f>
        <v>44</v>
      </c>
      <c r="AE1260" s="33">
        <f>IF(Orders!D1257="","",IF(INDEX(Riders!$B$2:$B$81,MATCH(Orders!D1257,Riders!$A$2:$A$81,0))=B1260,1,0))</f>
        <v>0</v>
      </c>
      <c r="AF1260" s="34">
        <f>IF(E1260=1,Orders!L1257,"")</f>
        <v>1.1</v>
      </c>
      <c r="AG1260" s="34">
        <f>IF(E1260=1,Orders!P1257,"")</f>
        <v>9.9</v>
      </c>
      <c r="AH1260" s="34">
        <f>IF(E1260=1,Orders!Q1257,"")</f>
        <v>9.2</v>
      </c>
      <c r="AI1260" s="34">
        <f>IF(E1260=1,Orders!M1257,"")</f>
        <v>3.2</v>
      </c>
      <c r="AJ1260" s="34">
        <f>IF(E1260=1,Orders!N1257,"")</f>
        <v>4.4</v>
      </c>
      <c r="AK1260" s="34">
        <f>IF(E1260=1,Orders!O1257,"")</f>
        <v>1.6</v>
      </c>
      <c r="AL1260" s="33">
        <f>IF(E1260=1,IF(ROUND(ABS(AI1260+AJ1260+AK1260-AH1260),6)&lt;=0.1,1,0),"")</f>
        <v>1</v>
      </c>
      <c r="AM1260" s="36">
        <f>IF(E1260=1,AI1260/AH1260,"")</f>
        <v>0.347826086956522</v>
      </c>
      <c r="AN1260" s="36">
        <f>IF(E1260=1,AJ1260/AH1260,"")</f>
        <v>0.478260869565217</v>
      </c>
      <c r="AO1260" s="36">
        <f>IF(E1260=1,AK1260/AH1260,"")</f>
        <v>0.173913043478261</v>
      </c>
      <c r="AP1260" s="34">
        <f>IF(E1260=1,Orders!Y1257,"")</f>
        <v>0.26</v>
      </c>
      <c r="AQ1260" s="33">
        <f>IF(Orders!X1257,1,0)</f>
        <v>0</v>
      </c>
      <c r="AR1260" s="34" t="str">
        <f>IF(AND(E1260=1,L1260=1),AJ1260,"")</f>
        <v/>
      </c>
      <c r="AS1260" s="34">
        <f>IF(AND(E1260=1,L1260=0),AJ1260,"")</f>
        <v>4.4</v>
      </c>
      <c r="AT1260" s="34" t="str">
        <f>IF(AND(E1260=1,L1260=1),AI1260,"")</f>
        <v/>
      </c>
      <c r="AU1260" s="34">
        <f>IF(AND(E1260=1,L1260=0),AI1260,"")</f>
        <v>3.2</v>
      </c>
      <c r="AV1260" s="34" t="str">
        <f>IF(AND(E1260=1,L1260=1),AG1260,"")</f>
        <v/>
      </c>
      <c r="AW1260" s="34">
        <f>IF(AND(E1260=1,L1260=0),AG1260,"")</f>
        <v>9.9</v>
      </c>
      <c r="AX1260" s="34" t="str">
        <f>IF(AND(E1260=1,L1260=1),AH1260,"")</f>
        <v/>
      </c>
      <c r="AY1260" s="34">
        <f>IF(AND(E1260=1,L1260=0),AH1260,"")</f>
        <v>9.2</v>
      </c>
      <c r="AZ1260" s="34" t="str">
        <f>IF(G1260=1,F1260,"")</f>
        <v/>
      </c>
      <c r="BA1260" s="34" t="str">
        <f>IF(AND(G1260=1,L1260=1),F1260,"")</f>
        <v/>
      </c>
      <c r="BB1260" s="34" t="str">
        <f>IF(AND(G1260=1,L1260=0),F1260,"")</f>
        <v/>
      </c>
      <c r="BC1260" s="33">
        <f>IF(E1260=1,IF(Orders!R1257&gt;3,1,0),"")</f>
        <v>0</v>
      </c>
      <c r="BD1260" s="33">
        <f>IF(E1260=1,IF(Orders!R1257&gt;7,1,0),"")</f>
        <v>0</v>
      </c>
      <c r="BE1260" s="32" t="str">
        <f>IF(E1260=1,IF(Orders!L1257&lt;=1.5,"Up to 1.5 km",IF(Orders!L1257&lt;=3,"1.5–3 km","Over 3 km")),"")</f>
        <v>Up to 1.5 km</v>
      </c>
      <c r="BF1260" s="33">
        <f>IF(E1260=1,IF(ABS((Orders!G1257-Orders!F1257)*1440-Orders!R1257)&lt;0.06,1,0),"")</f>
        <v>1</v>
      </c>
      <c r="BG1260" s="33">
        <f>IF(ABS((Orders!F1257-Orders!E1257)*1440-Orders!P1257)&lt;0.06,1,0)</f>
        <v>1</v>
      </c>
      <c r="BH1260" s="33">
        <f>IF(E1260=1,IF(IF(Orders!S1257,1,0)=1-G1260,1,0),"")</f>
        <v>1</v>
      </c>
      <c r="BI1260" s="32" t="str">
        <f>INDEX(Stores!$B$2:$B$21,MATCH(B1260,Stores!$A$2:$A$21,0))</f>
        <v>Mumbai</v>
      </c>
    </row>
    <row r="1261">
      <c r="A1261" s="32" t="str">
        <f>Orders!A1258</f>
        <v>O01257</v>
      </c>
      <c r="B1261" s="32" t="str">
        <f>Orders!C1258</f>
        <v>S007</v>
      </c>
      <c r="C1261" s="32" t="str">
        <f>Orders!B1258</f>
        <v>C0034</v>
      </c>
      <c r="D1261" s="32" t="str">
        <f>Orders!H1258</f>
        <v>Delivered</v>
      </c>
      <c r="E1261" s="33">
        <f>IF(Orders!H1258="Delivered",1,0)</f>
        <v>1</v>
      </c>
      <c r="F1261" s="34">
        <f>IF(E1261=1,Orders!R1258,"")</f>
        <v>-0.6</v>
      </c>
      <c r="G1261" s="33">
        <f>IF(E1261=1,IF(Orders!R1258&gt;0,1,0),"")</f>
        <v>0</v>
      </c>
      <c r="H1261" s="33">
        <f>IF(E1261=1,IF(Orders!R1258&gt;5,1,0),"")</f>
        <v>0</v>
      </c>
      <c r="I1261" s="32" t="str">
        <f>IF(E1261=1,"",IF(OR(Orders!T1258="Rider unavailable",Orders!T1258="Item unavailable"),"Company-caused","Unresolved"))</f>
        <v/>
      </c>
      <c r="J1261" s="33">
        <f>IF(OR(E1261=1,I1261="Company-caused"),1,0)</f>
        <v>1</v>
      </c>
      <c r="K1261" s="32" t="str">
        <f>IF(E1261=0,IF(I1261="Company-caused",IF(Orders!T1258="Rider unavailable","C1 Rider unavailable","C2 Item unavailable"),"Outside root: unresolved"),IF(G1261=0,"A On time",IF(H1261=1,IF(L1261=1,"B2a Severe, peak","B2b Severe, off-peak"),IF(L1261=1,"B1a Slight, peak","B1b Slight, off-peak"))))</f>
        <v>A On time</v>
      </c>
      <c r="L1261" s="33">
        <f>IF(AND(Orders!U1258&gt;=19,Orders!U1258&lt;22),1,0)</f>
        <v>0</v>
      </c>
      <c r="M1261" s="33">
        <f>IF(L1261=IF(Orders!V1258,1,0),1,0)</f>
        <v>1</v>
      </c>
      <c r="N1261" s="32" t="str">
        <f>IF(Orders!W1258="","None",Orders!W1258)</f>
        <v>None</v>
      </c>
      <c r="O1261" s="35">
        <f>INT(Orders!E1258)</f>
        <v>46269.0</v>
      </c>
      <c r="P1261" s="33">
        <f>Orders!U1258</f>
        <v>23</v>
      </c>
      <c r="Q1261" s="33">
        <f>COUNTIFS(Demand!$A$2:$A$4481,B1261,Demand!$B$2:$B$4481,O1261,Demand!$C$2:$C$4481,P1261)</f>
        <v>1</v>
      </c>
      <c r="R1261" s="33">
        <f>IF(Q1261=1,SUMIFS(Demand!$E$2:$E$4481,Demand!$A$2:$A$4481,B1261,Demand!$B$2:$B$4481,O1261,Demand!$C$2:$C$4481,P1261),"")</f>
        <v>38</v>
      </c>
      <c r="S1261" s="33">
        <f>INDEX(Stores!$G$2:$G$21,MATCH(B1261,Stores!$A$2:$A$21,0))</f>
        <v>37</v>
      </c>
      <c r="T1261" s="34">
        <f>IF(R1261="","",R1261/S1261)</f>
        <v>1.02702702702703</v>
      </c>
      <c r="U1261" s="34">
        <f>IF(E1261=1,T1261,"")</f>
        <v>1.02702702702703</v>
      </c>
      <c r="V1261" s="34">
        <f>IF(AND(E1261=1,L1261=0),T1261,"")</f>
        <v>1.02702702702703</v>
      </c>
      <c r="W1261" s="33">
        <f>IF(U1261="","",IF(U1261&lt;=Breakdowns!$C$5,1,IF(U1261&lt;=Breakdowns!$C$6,2,IF(U1261&lt;=Breakdowns!$C$7,3,4))))</f>
        <v>3</v>
      </c>
      <c r="X1261" s="33">
        <f>IF(V1261="","",IF(V1261&lt;=Breakdowns!$D$5,1,IF(V1261&lt;=Breakdowns!$D$6,2,IF(V1261&lt;=Breakdowns!$D$7,3,4))))</f>
        <v>3</v>
      </c>
      <c r="Y1261" s="34">
        <f>INDEX(Stores!$F$2:$F$21,MATCH(B1261,Stores!$A$2:$A$21,0))</f>
        <v>4.05</v>
      </c>
      <c r="Z1261" s="33">
        <f>IF(Y1261&gt;Store_Summary!$M$2,1,0)</f>
        <v>0</v>
      </c>
      <c r="AA1261" s="33">
        <f>INDEX(Stores!$C$2:$C$21,MATCH(B1261,Stores!$A$2:$A$21,0))</f>
        <v>661</v>
      </c>
      <c r="AB1261" s="33">
        <f>IF(AA1261&lt;180,1,0)</f>
        <v>0</v>
      </c>
      <c r="AC1261" s="32" t="str">
        <f>IF(Orders!D1258="","",INDEX(Riders!$C$2:$C$81,MATCH(Orders!D1258,Riders!$A$2:$A$81,0)))</f>
        <v>EV scooter</v>
      </c>
      <c r="AD1261" s="33">
        <f>IF(Orders!D1258="","",INDEX(Riders!$D$2:$D$81,MATCH(Orders!D1258,Riders!$A$2:$A$81,0)))</f>
        <v>24</v>
      </c>
      <c r="AE1261" s="33">
        <f>IF(Orders!D1258="","",IF(INDEX(Riders!$B$2:$B$81,MATCH(Orders!D1258,Riders!$A$2:$A$81,0))=B1261,1,0))</f>
        <v>0</v>
      </c>
      <c r="AF1261" s="34">
        <f>IF(E1261=1,Orders!L1258,"")</f>
        <v>1.82</v>
      </c>
      <c r="AG1261" s="34">
        <f>IF(E1261=1,Orders!P1258,"")</f>
        <v>9.7</v>
      </c>
      <c r="AH1261" s="34">
        <f>IF(E1261=1,Orders!Q1258,"")</f>
        <v>9.1</v>
      </c>
      <c r="AI1261" s="34">
        <f>IF(E1261=1,Orders!M1258,"")</f>
        <v>3.2</v>
      </c>
      <c r="AJ1261" s="34">
        <f>IF(E1261=1,Orders!N1258,"")</f>
        <v>2.9</v>
      </c>
      <c r="AK1261" s="34">
        <f>IF(E1261=1,Orders!O1258,"")</f>
        <v>3</v>
      </c>
      <c r="AL1261" s="33">
        <f>IF(E1261=1,IF(ROUND(ABS(AI1261+AJ1261+AK1261-AH1261),6)&lt;=0.1,1,0),"")</f>
        <v>1</v>
      </c>
      <c r="AM1261" s="36">
        <f>IF(E1261=1,AI1261/AH1261,"")</f>
        <v>0.351648351648352</v>
      </c>
      <c r="AN1261" s="36">
        <f>IF(E1261=1,AJ1261/AH1261,"")</f>
        <v>0.318681318681319</v>
      </c>
      <c r="AO1261" s="36">
        <f>IF(E1261=1,AK1261/AH1261,"")</f>
        <v>0.32967032967033</v>
      </c>
      <c r="AP1261" s="34">
        <f>IF(E1261=1,Orders!Y1258,"")</f>
        <v>0.36</v>
      </c>
      <c r="AQ1261" s="33">
        <f>IF(Orders!X1258,1,0)</f>
        <v>0</v>
      </c>
      <c r="AR1261" s="34" t="str">
        <f>IF(AND(E1261=1,L1261=1),AJ1261,"")</f>
        <v/>
      </c>
      <c r="AS1261" s="34">
        <f>IF(AND(E1261=1,L1261=0),AJ1261,"")</f>
        <v>2.9</v>
      </c>
      <c r="AT1261" s="34" t="str">
        <f>IF(AND(E1261=1,L1261=1),AI1261,"")</f>
        <v/>
      </c>
      <c r="AU1261" s="34">
        <f>IF(AND(E1261=1,L1261=0),AI1261,"")</f>
        <v>3.2</v>
      </c>
      <c r="AV1261" s="34" t="str">
        <f>IF(AND(E1261=1,L1261=1),AG1261,"")</f>
        <v/>
      </c>
      <c r="AW1261" s="34">
        <f>IF(AND(E1261=1,L1261=0),AG1261,"")</f>
        <v>9.7</v>
      </c>
      <c r="AX1261" s="34" t="str">
        <f>IF(AND(E1261=1,L1261=1),AH1261,"")</f>
        <v/>
      </c>
      <c r="AY1261" s="34">
        <f>IF(AND(E1261=1,L1261=0),AH1261,"")</f>
        <v>9.1</v>
      </c>
      <c r="AZ1261" s="34" t="str">
        <f>IF(G1261=1,F1261,"")</f>
        <v/>
      </c>
      <c r="BA1261" s="34" t="str">
        <f>IF(AND(G1261=1,L1261=1),F1261,"")</f>
        <v/>
      </c>
      <c r="BB1261" s="34" t="str">
        <f>IF(AND(G1261=1,L1261=0),F1261,"")</f>
        <v/>
      </c>
      <c r="BC1261" s="33">
        <f>IF(E1261=1,IF(Orders!R1258&gt;3,1,0),"")</f>
        <v>0</v>
      </c>
      <c r="BD1261" s="33">
        <f>IF(E1261=1,IF(Orders!R1258&gt;7,1,0),"")</f>
        <v>0</v>
      </c>
      <c r="BE1261" s="32" t="str">
        <f>IF(E1261=1,IF(Orders!L1258&lt;=1.5,"Up to 1.5 km",IF(Orders!L1258&lt;=3,"1.5–3 km","Over 3 km")),"")</f>
        <v>1.5–3 km</v>
      </c>
      <c r="BF1261" s="33">
        <f>IF(E1261=1,IF(ABS((Orders!G1258-Orders!F1258)*1440-Orders!R1258)&lt;0.06,1,0),"")</f>
        <v>1</v>
      </c>
      <c r="BG1261" s="33">
        <f>IF(ABS((Orders!F1258-Orders!E1258)*1440-Orders!P1258)&lt;0.06,1,0)</f>
        <v>1</v>
      </c>
      <c r="BH1261" s="33">
        <f>IF(E1261=1,IF(IF(Orders!S1258,1,0)=1-G1261,1,0),"")</f>
        <v>1</v>
      </c>
      <c r="BI1261" s="32" t="str">
        <f>INDEX(Stores!$B$2:$B$21,MATCH(B1261,Stores!$A$2:$A$21,0))</f>
        <v>Hyderabad</v>
      </c>
    </row>
    <row r="1262">
      <c r="A1262" s="32" t="str">
        <f>Orders!A1259</f>
        <v>O01258</v>
      </c>
      <c r="B1262" s="32" t="str">
        <f>Orders!C1259</f>
        <v>S006</v>
      </c>
      <c r="C1262" s="32" t="str">
        <f>Orders!B1259</f>
        <v>C0109</v>
      </c>
      <c r="D1262" s="32" t="str">
        <f>Orders!H1259</f>
        <v>Delivered</v>
      </c>
      <c r="E1262" s="33">
        <f>IF(Orders!H1259="Delivered",1,0)</f>
        <v>1</v>
      </c>
      <c r="F1262" s="34">
        <f>IF(E1262=1,Orders!R1259,"")</f>
        <v>-1</v>
      </c>
      <c r="G1262" s="33">
        <f>IF(E1262=1,IF(Orders!R1259&gt;0,1,0),"")</f>
        <v>0</v>
      </c>
      <c r="H1262" s="33">
        <f>IF(E1262=1,IF(Orders!R1259&gt;5,1,0),"")</f>
        <v>0</v>
      </c>
      <c r="I1262" s="32" t="str">
        <f>IF(E1262=1,"",IF(OR(Orders!T1259="Rider unavailable",Orders!T1259="Item unavailable"),"Company-caused","Unresolved"))</f>
        <v/>
      </c>
      <c r="J1262" s="33">
        <f>IF(OR(E1262=1,I1262="Company-caused"),1,0)</f>
        <v>1</v>
      </c>
      <c r="K1262" s="32" t="str">
        <f>IF(E1262=0,IF(I1262="Company-caused",IF(Orders!T1259="Rider unavailable","C1 Rider unavailable","C2 Item unavailable"),"Outside root: unresolved"),IF(G1262=0,"A On time",IF(H1262=1,IF(L1262=1,"B2a Severe, peak","B2b Severe, off-peak"),IF(L1262=1,"B1a Slight, peak","B1b Slight, off-peak"))))</f>
        <v>A On time</v>
      </c>
      <c r="L1262" s="33">
        <f>IF(AND(Orders!U1259&gt;=19,Orders!U1259&lt;22),1,0)</f>
        <v>0</v>
      </c>
      <c r="M1262" s="33">
        <f>IF(L1262=IF(Orders!V1259,1,0),1,0)</f>
        <v>1</v>
      </c>
      <c r="N1262" s="32" t="str">
        <f>IF(Orders!W1259="","None",Orders!W1259)</f>
        <v>None</v>
      </c>
      <c r="O1262" s="35">
        <f>INT(Orders!E1259)</f>
        <v>46267.0</v>
      </c>
      <c r="P1262" s="33">
        <f>Orders!U1259</f>
        <v>10</v>
      </c>
      <c r="Q1262" s="33">
        <f>COUNTIFS(Demand!$A$2:$A$4481,B1262,Demand!$B$2:$B$4481,O1262,Demand!$C$2:$C$4481,P1262)</f>
        <v>1</v>
      </c>
      <c r="R1262" s="33">
        <f>IF(Q1262=1,SUMIFS(Demand!$E$2:$E$4481,Demand!$A$2:$A$4481,B1262,Demand!$B$2:$B$4481,O1262,Demand!$C$2:$C$4481,P1262),"")</f>
        <v>15</v>
      </c>
      <c r="S1262" s="33">
        <f>INDEX(Stores!$G$2:$G$21,MATCH(B1262,Stores!$A$2:$A$21,0))</f>
        <v>26</v>
      </c>
      <c r="T1262" s="34">
        <f>IF(R1262="","",R1262/S1262)</f>
        <v>0.576923076923077</v>
      </c>
      <c r="U1262" s="34">
        <f>IF(E1262=1,T1262,"")</f>
        <v>0.576923076923077</v>
      </c>
      <c r="V1262" s="34">
        <f>IF(AND(E1262=1,L1262=0),T1262,"")</f>
        <v>0.576923076923077</v>
      </c>
      <c r="W1262" s="33">
        <f>IF(U1262="","",IF(U1262&lt;=Breakdowns!$C$5,1,IF(U1262&lt;=Breakdowns!$C$6,2,IF(U1262&lt;=Breakdowns!$C$7,3,4))))</f>
        <v>1</v>
      </c>
      <c r="X1262" s="33">
        <f>IF(V1262="","",IF(V1262&lt;=Breakdowns!$D$5,1,IF(V1262&lt;=Breakdowns!$D$6,2,IF(V1262&lt;=Breakdowns!$D$7,3,4))))</f>
        <v>1</v>
      </c>
      <c r="Y1262" s="34">
        <f>INDEX(Stores!$F$2:$F$21,MATCH(B1262,Stores!$A$2:$A$21,0))</f>
        <v>5.22</v>
      </c>
      <c r="Z1262" s="33">
        <f>IF(Y1262&gt;Store_Summary!$M$2,1,0)</f>
        <v>1</v>
      </c>
      <c r="AA1262" s="33">
        <f>INDEX(Stores!$C$2:$C$21,MATCH(B1262,Stores!$A$2:$A$21,0))</f>
        <v>412</v>
      </c>
      <c r="AB1262" s="33">
        <f>IF(AA1262&lt;180,1,0)</f>
        <v>0</v>
      </c>
      <c r="AC1262" s="32" t="str">
        <f>IF(Orders!D1259="","",INDEX(Riders!$C$2:$C$81,MATCH(Orders!D1259,Riders!$A$2:$A$81,0)))</f>
        <v>Petrol scooter</v>
      </c>
      <c r="AD1262" s="33">
        <f>IF(Orders!D1259="","",INDEX(Riders!$D$2:$D$81,MATCH(Orders!D1259,Riders!$A$2:$A$81,0)))</f>
        <v>4</v>
      </c>
      <c r="AE1262" s="33">
        <f>IF(Orders!D1259="","",IF(INDEX(Riders!$B$2:$B$81,MATCH(Orders!D1259,Riders!$A$2:$A$81,0))=B1262,1,0))</f>
        <v>0</v>
      </c>
      <c r="AF1262" s="34">
        <f>IF(E1262=1,Orders!L1259,"")</f>
        <v>0.87</v>
      </c>
      <c r="AG1262" s="34">
        <f>IF(E1262=1,Orders!P1259,"")</f>
        <v>9.1</v>
      </c>
      <c r="AH1262" s="34">
        <f>IF(E1262=1,Orders!Q1259,"")</f>
        <v>8.1</v>
      </c>
      <c r="AI1262" s="34">
        <f>IF(E1262=1,Orders!M1259,"")</f>
        <v>2.6</v>
      </c>
      <c r="AJ1262" s="34">
        <f>IF(E1262=1,Orders!N1259,"")</f>
        <v>4</v>
      </c>
      <c r="AK1262" s="34">
        <f>IF(E1262=1,Orders!O1259,"")</f>
        <v>1.5</v>
      </c>
      <c r="AL1262" s="33">
        <f>IF(E1262=1,IF(ROUND(ABS(AI1262+AJ1262+AK1262-AH1262),6)&lt;=0.1,1,0),"")</f>
        <v>1</v>
      </c>
      <c r="AM1262" s="36">
        <f>IF(E1262=1,AI1262/AH1262,"")</f>
        <v>0.320987654320988</v>
      </c>
      <c r="AN1262" s="36">
        <f>IF(E1262=1,AJ1262/AH1262,"")</f>
        <v>0.493827160493827</v>
      </c>
      <c r="AO1262" s="36">
        <f>IF(E1262=1,AK1262/AH1262,"")</f>
        <v>0.185185185185185</v>
      </c>
      <c r="AP1262" s="34">
        <f>IF(E1262=1,Orders!Y1259,"")</f>
        <v>0.48</v>
      </c>
      <c r="AQ1262" s="33">
        <f>IF(Orders!X1259,1,0)</f>
        <v>0</v>
      </c>
      <c r="AR1262" s="34" t="str">
        <f>IF(AND(E1262=1,L1262=1),AJ1262,"")</f>
        <v/>
      </c>
      <c r="AS1262" s="34">
        <f>IF(AND(E1262=1,L1262=0),AJ1262,"")</f>
        <v>4</v>
      </c>
      <c r="AT1262" s="34" t="str">
        <f>IF(AND(E1262=1,L1262=1),AI1262,"")</f>
        <v/>
      </c>
      <c r="AU1262" s="34">
        <f>IF(AND(E1262=1,L1262=0),AI1262,"")</f>
        <v>2.6</v>
      </c>
      <c r="AV1262" s="34" t="str">
        <f>IF(AND(E1262=1,L1262=1),AG1262,"")</f>
        <v/>
      </c>
      <c r="AW1262" s="34">
        <f>IF(AND(E1262=1,L1262=0),AG1262,"")</f>
        <v>9.1</v>
      </c>
      <c r="AX1262" s="34" t="str">
        <f>IF(AND(E1262=1,L1262=1),AH1262,"")</f>
        <v/>
      </c>
      <c r="AY1262" s="34">
        <f>IF(AND(E1262=1,L1262=0),AH1262,"")</f>
        <v>8.1</v>
      </c>
      <c r="AZ1262" s="34" t="str">
        <f>IF(G1262=1,F1262,"")</f>
        <v/>
      </c>
      <c r="BA1262" s="34" t="str">
        <f>IF(AND(G1262=1,L1262=1),F1262,"")</f>
        <v/>
      </c>
      <c r="BB1262" s="34" t="str">
        <f>IF(AND(G1262=1,L1262=0),F1262,"")</f>
        <v/>
      </c>
      <c r="BC1262" s="33">
        <f>IF(E1262=1,IF(Orders!R1259&gt;3,1,0),"")</f>
        <v>0</v>
      </c>
      <c r="BD1262" s="33">
        <f>IF(E1262=1,IF(Orders!R1259&gt;7,1,0),"")</f>
        <v>0</v>
      </c>
      <c r="BE1262" s="32" t="str">
        <f>IF(E1262=1,IF(Orders!L1259&lt;=1.5,"Up to 1.5 km",IF(Orders!L1259&lt;=3,"1.5–3 km","Over 3 km")),"")</f>
        <v>Up to 1.5 km</v>
      </c>
      <c r="BF1262" s="33">
        <f>IF(E1262=1,IF(ABS((Orders!G1259-Orders!F1259)*1440-Orders!R1259)&lt;0.06,1,0),"")</f>
        <v>1</v>
      </c>
      <c r="BG1262" s="33">
        <f>IF(ABS((Orders!F1259-Orders!E1259)*1440-Orders!P1259)&lt;0.06,1,0)</f>
        <v>1</v>
      </c>
      <c r="BH1262" s="33">
        <f>IF(E1262=1,IF(IF(Orders!S1259,1,0)=1-G1262,1,0),"")</f>
        <v>1</v>
      </c>
      <c r="BI1262" s="32" t="str">
        <f>INDEX(Stores!$B$2:$B$21,MATCH(B1262,Stores!$A$2:$A$21,0))</f>
        <v>Bengaluru</v>
      </c>
    </row>
    <row r="1263">
      <c r="A1263" s="32" t="str">
        <f>Orders!A1260</f>
        <v>O01259</v>
      </c>
      <c r="B1263" s="32" t="str">
        <f>Orders!C1260</f>
        <v>S015</v>
      </c>
      <c r="C1263" s="32" t="str">
        <f>Orders!B1260</f>
        <v>C0102</v>
      </c>
      <c r="D1263" s="32" t="str">
        <f>Orders!H1260</f>
        <v>Delivered</v>
      </c>
      <c r="E1263" s="33">
        <f>IF(Orders!H1260="Delivered",1,0)</f>
        <v>1</v>
      </c>
      <c r="F1263" s="34">
        <f>IF(E1263=1,Orders!R1260,"")</f>
        <v>-0.4</v>
      </c>
      <c r="G1263" s="33">
        <f>IF(E1263=1,IF(Orders!R1260&gt;0,1,0),"")</f>
        <v>0</v>
      </c>
      <c r="H1263" s="33">
        <f>IF(E1263=1,IF(Orders!R1260&gt;5,1,0),"")</f>
        <v>0</v>
      </c>
      <c r="I1263" s="32" t="str">
        <f>IF(E1263=1,"",IF(OR(Orders!T1260="Rider unavailable",Orders!T1260="Item unavailable"),"Company-caused","Unresolved"))</f>
        <v/>
      </c>
      <c r="J1263" s="33">
        <f>IF(OR(E1263=1,I1263="Company-caused"),1,0)</f>
        <v>1</v>
      </c>
      <c r="K1263" s="32" t="str">
        <f>IF(E1263=0,IF(I1263="Company-caused",IF(Orders!T1260="Rider unavailable","C1 Rider unavailable","C2 Item unavailable"),"Outside root: unresolved"),IF(G1263=0,"A On time",IF(H1263=1,IF(L1263=1,"B2a Severe, peak","B2b Severe, off-peak"),IF(L1263=1,"B1a Slight, peak","B1b Slight, off-peak"))))</f>
        <v>A On time</v>
      </c>
      <c r="L1263" s="33">
        <f>IF(AND(Orders!U1260&gt;=19,Orders!U1260&lt;22),1,0)</f>
        <v>0</v>
      </c>
      <c r="M1263" s="33">
        <f>IF(L1263=IF(Orders!V1260,1,0),1,0)</f>
        <v>1</v>
      </c>
      <c r="N1263" s="32" t="str">
        <f>IF(Orders!W1260="","None",Orders!W1260)</f>
        <v>None</v>
      </c>
      <c r="O1263" s="35">
        <f>INT(Orders!E1260)</f>
        <v>46270.0</v>
      </c>
      <c r="P1263" s="33">
        <f>Orders!U1260</f>
        <v>8</v>
      </c>
      <c r="Q1263" s="33">
        <f>COUNTIFS(Demand!$A$2:$A$4481,B1263,Demand!$B$2:$B$4481,O1263,Demand!$C$2:$C$4481,P1263)</f>
        <v>1</v>
      </c>
      <c r="R1263" s="33">
        <f>IF(Q1263=1,SUMIFS(Demand!$E$2:$E$4481,Demand!$A$2:$A$4481,B1263,Demand!$B$2:$B$4481,O1263,Demand!$C$2:$C$4481,P1263),"")</f>
        <v>16</v>
      </c>
      <c r="S1263" s="33">
        <f>INDEX(Stores!$G$2:$G$21,MATCH(B1263,Stores!$A$2:$A$21,0))</f>
        <v>23</v>
      </c>
      <c r="T1263" s="34">
        <f>IF(R1263="","",R1263/S1263)</f>
        <v>0.695652173913044</v>
      </c>
      <c r="U1263" s="34">
        <f>IF(E1263=1,T1263,"")</f>
        <v>0.695652173913044</v>
      </c>
      <c r="V1263" s="34">
        <f>IF(AND(E1263=1,L1263=0),T1263,"")</f>
        <v>0.695652173913044</v>
      </c>
      <c r="W1263" s="33">
        <f>IF(U1263="","",IF(U1263&lt;=Breakdowns!$C$5,1,IF(U1263&lt;=Breakdowns!$C$6,2,IF(U1263&lt;=Breakdowns!$C$7,3,4))))</f>
        <v>1</v>
      </c>
      <c r="X1263" s="33">
        <f>IF(V1263="","",IF(V1263&lt;=Breakdowns!$D$5,1,IF(V1263&lt;=Breakdowns!$D$6,2,IF(V1263&lt;=Breakdowns!$D$7,3,4))))</f>
        <v>1</v>
      </c>
      <c r="Y1263" s="34">
        <f>INDEX(Stores!$F$2:$F$21,MATCH(B1263,Stores!$A$2:$A$21,0))</f>
        <v>4.66</v>
      </c>
      <c r="Z1263" s="33">
        <f>IF(Y1263&gt;Store_Summary!$M$2,1,0)</f>
        <v>0</v>
      </c>
      <c r="AA1263" s="33">
        <f>INDEX(Stores!$C$2:$C$21,MATCH(B1263,Stores!$A$2:$A$21,0))</f>
        <v>204</v>
      </c>
      <c r="AB1263" s="33">
        <f>IF(AA1263&lt;180,1,0)</f>
        <v>0</v>
      </c>
      <c r="AC1263" s="32" t="str">
        <f>IF(Orders!D1260="","",INDEX(Riders!$C$2:$C$81,MATCH(Orders!D1260,Riders!$A$2:$A$81,0)))</f>
        <v>EV scooter</v>
      </c>
      <c r="AD1263" s="33">
        <f>IF(Orders!D1260="","",INDEX(Riders!$D$2:$D$81,MATCH(Orders!D1260,Riders!$A$2:$A$81,0)))</f>
        <v>1</v>
      </c>
      <c r="AE1263" s="33">
        <f>IF(Orders!D1260="","",IF(INDEX(Riders!$B$2:$B$81,MATCH(Orders!D1260,Riders!$A$2:$A$81,0))=B1263,1,0))</f>
        <v>0</v>
      </c>
      <c r="AF1263" s="34">
        <f>IF(E1263=1,Orders!L1260,"")</f>
        <v>2.31</v>
      </c>
      <c r="AG1263" s="34">
        <f>IF(E1263=1,Orders!P1260,"")</f>
        <v>10.4</v>
      </c>
      <c r="AH1263" s="34">
        <f>IF(E1263=1,Orders!Q1260,"")</f>
        <v>10</v>
      </c>
      <c r="AI1263" s="34">
        <f>IF(E1263=1,Orders!M1260,"")</f>
        <v>3</v>
      </c>
      <c r="AJ1263" s="34">
        <f>IF(E1263=1,Orders!N1260,"")</f>
        <v>3.4</v>
      </c>
      <c r="AK1263" s="34">
        <f>IF(E1263=1,Orders!O1260,"")</f>
        <v>3.6</v>
      </c>
      <c r="AL1263" s="33">
        <f>IF(E1263=1,IF(ROUND(ABS(AI1263+AJ1263+AK1263-AH1263),6)&lt;=0.1,1,0),"")</f>
        <v>1</v>
      </c>
      <c r="AM1263" s="36">
        <f>IF(E1263=1,AI1263/AH1263,"")</f>
        <v>0.3</v>
      </c>
      <c r="AN1263" s="36">
        <f>IF(E1263=1,AJ1263/AH1263,"")</f>
        <v>0.34</v>
      </c>
      <c r="AO1263" s="36">
        <f>IF(E1263=1,AK1263/AH1263,"")</f>
        <v>0.36</v>
      </c>
      <c r="AP1263" s="34">
        <f>IF(E1263=1,Orders!Y1260,"")</f>
        <v>0.36</v>
      </c>
      <c r="AQ1263" s="33">
        <f>IF(Orders!X1260,1,0)</f>
        <v>0</v>
      </c>
      <c r="AR1263" s="34" t="str">
        <f>IF(AND(E1263=1,L1263=1),AJ1263,"")</f>
        <v/>
      </c>
      <c r="AS1263" s="34">
        <f>IF(AND(E1263=1,L1263=0),AJ1263,"")</f>
        <v>3.4</v>
      </c>
      <c r="AT1263" s="34" t="str">
        <f>IF(AND(E1263=1,L1263=1),AI1263,"")</f>
        <v/>
      </c>
      <c r="AU1263" s="34">
        <f>IF(AND(E1263=1,L1263=0),AI1263,"")</f>
        <v>3</v>
      </c>
      <c r="AV1263" s="34" t="str">
        <f>IF(AND(E1263=1,L1263=1),AG1263,"")</f>
        <v/>
      </c>
      <c r="AW1263" s="34">
        <f>IF(AND(E1263=1,L1263=0),AG1263,"")</f>
        <v>10.4</v>
      </c>
      <c r="AX1263" s="34" t="str">
        <f>IF(AND(E1263=1,L1263=1),AH1263,"")</f>
        <v/>
      </c>
      <c r="AY1263" s="34">
        <f>IF(AND(E1263=1,L1263=0),AH1263,"")</f>
        <v>10</v>
      </c>
      <c r="AZ1263" s="34" t="str">
        <f>IF(G1263=1,F1263,"")</f>
        <v/>
      </c>
      <c r="BA1263" s="34" t="str">
        <f>IF(AND(G1263=1,L1263=1),F1263,"")</f>
        <v/>
      </c>
      <c r="BB1263" s="34" t="str">
        <f>IF(AND(G1263=1,L1263=0),F1263,"")</f>
        <v/>
      </c>
      <c r="BC1263" s="33">
        <f>IF(E1263=1,IF(Orders!R1260&gt;3,1,0),"")</f>
        <v>0</v>
      </c>
      <c r="BD1263" s="33">
        <f>IF(E1263=1,IF(Orders!R1260&gt;7,1,0),"")</f>
        <v>0</v>
      </c>
      <c r="BE1263" s="32" t="str">
        <f>IF(E1263=1,IF(Orders!L1260&lt;=1.5,"Up to 1.5 km",IF(Orders!L1260&lt;=3,"1.5–3 km","Over 3 km")),"")</f>
        <v>1.5–3 km</v>
      </c>
      <c r="BF1263" s="33">
        <f>IF(E1263=1,IF(ABS((Orders!G1260-Orders!F1260)*1440-Orders!R1260)&lt;0.06,1,0),"")</f>
        <v>1</v>
      </c>
      <c r="BG1263" s="33">
        <f>IF(ABS((Orders!F1260-Orders!E1260)*1440-Orders!P1260)&lt;0.06,1,0)</f>
        <v>1</v>
      </c>
      <c r="BH1263" s="33">
        <f>IF(E1263=1,IF(IF(Orders!S1260,1,0)=1-G1263,1,0),"")</f>
        <v>1</v>
      </c>
      <c r="BI1263" s="32" t="str">
        <f>INDEX(Stores!$B$2:$B$21,MATCH(B1263,Stores!$A$2:$A$21,0))</f>
        <v>Delhi</v>
      </c>
    </row>
    <row r="1264">
      <c r="A1264" s="32" t="str">
        <f>Orders!A1261</f>
        <v>O01260</v>
      </c>
      <c r="B1264" s="32" t="str">
        <f>Orders!C1261</f>
        <v>S018</v>
      </c>
      <c r="C1264" s="32" t="str">
        <f>Orders!B1261</f>
        <v>C0169</v>
      </c>
      <c r="D1264" s="32" t="str">
        <f>Orders!H1261</f>
        <v>Delivered</v>
      </c>
      <c r="E1264" s="33">
        <f>IF(Orders!H1261="Delivered",1,0)</f>
        <v>1</v>
      </c>
      <c r="F1264" s="34">
        <f>IF(E1264=1,Orders!R1261,"")</f>
        <v>-0.5</v>
      </c>
      <c r="G1264" s="33">
        <f>IF(E1264=1,IF(Orders!R1261&gt;0,1,0),"")</f>
        <v>0</v>
      </c>
      <c r="H1264" s="33">
        <f>IF(E1264=1,IF(Orders!R1261&gt;5,1,0),"")</f>
        <v>0</v>
      </c>
      <c r="I1264" s="32" t="str">
        <f>IF(E1264=1,"",IF(OR(Orders!T1261="Rider unavailable",Orders!T1261="Item unavailable"),"Company-caused","Unresolved"))</f>
        <v/>
      </c>
      <c r="J1264" s="33">
        <f>IF(OR(E1264=1,I1264="Company-caused"),1,0)</f>
        <v>1</v>
      </c>
      <c r="K1264" s="32" t="str">
        <f>IF(E1264=0,IF(I1264="Company-caused",IF(Orders!T1261="Rider unavailable","C1 Rider unavailable","C2 Item unavailable"),"Outside root: unresolved"),IF(G1264=0,"A On time",IF(H1264=1,IF(L1264=1,"B2a Severe, peak","B2b Severe, off-peak"),IF(L1264=1,"B1a Slight, peak","B1b Slight, off-peak"))))</f>
        <v>A On time</v>
      </c>
      <c r="L1264" s="33">
        <f>IF(AND(Orders!U1261&gt;=19,Orders!U1261&lt;22),1,0)</f>
        <v>0</v>
      </c>
      <c r="M1264" s="33">
        <f>IF(L1264=IF(Orders!V1261,1,0),1,0)</f>
        <v>1</v>
      </c>
      <c r="N1264" s="32" t="str">
        <f>IF(Orders!W1261="","None",Orders!W1261)</f>
        <v>None</v>
      </c>
      <c r="O1264" s="35">
        <f>INT(Orders!E1261)</f>
        <v>46278.0</v>
      </c>
      <c r="P1264" s="33">
        <f>Orders!U1261</f>
        <v>12</v>
      </c>
      <c r="Q1264" s="33">
        <f>COUNTIFS(Demand!$A$2:$A$4481,B1264,Demand!$B$2:$B$4481,O1264,Demand!$C$2:$C$4481,P1264)</f>
        <v>1</v>
      </c>
      <c r="R1264" s="33">
        <f>IF(Q1264=1,SUMIFS(Demand!$E$2:$E$4481,Demand!$A$2:$A$4481,B1264,Demand!$B$2:$B$4481,O1264,Demand!$C$2:$C$4481,P1264),"")</f>
        <v>17</v>
      </c>
      <c r="S1264" s="33">
        <f>INDEX(Stores!$G$2:$G$21,MATCH(B1264,Stores!$A$2:$A$21,0))</f>
        <v>20</v>
      </c>
      <c r="T1264" s="34">
        <f>IF(R1264="","",R1264/S1264)</f>
        <v>0.85</v>
      </c>
      <c r="U1264" s="34">
        <f>IF(E1264=1,T1264,"")</f>
        <v>0.85</v>
      </c>
      <c r="V1264" s="34">
        <f>IF(AND(E1264=1,L1264=0),T1264,"")</f>
        <v>0.85</v>
      </c>
      <c r="W1264" s="33">
        <f>IF(U1264="","",IF(U1264&lt;=Breakdowns!$C$5,1,IF(U1264&lt;=Breakdowns!$C$6,2,IF(U1264&lt;=Breakdowns!$C$7,3,4))))</f>
        <v>2</v>
      </c>
      <c r="X1264" s="33">
        <f>IF(V1264="","",IF(V1264&lt;=Breakdowns!$D$5,1,IF(V1264&lt;=Breakdowns!$D$6,2,IF(V1264&lt;=Breakdowns!$D$7,3,4))))</f>
        <v>2</v>
      </c>
      <c r="Y1264" s="34">
        <f>INDEX(Stores!$F$2:$F$21,MATCH(B1264,Stores!$A$2:$A$21,0))</f>
        <v>5.31</v>
      </c>
      <c r="Z1264" s="33">
        <f>IF(Y1264&gt;Store_Summary!$M$2,1,0)</f>
        <v>1</v>
      </c>
      <c r="AA1264" s="33">
        <f>INDEX(Stores!$C$2:$C$21,MATCH(B1264,Stores!$A$2:$A$21,0))</f>
        <v>214</v>
      </c>
      <c r="AB1264" s="33">
        <f>IF(AA1264&lt;180,1,0)</f>
        <v>0</v>
      </c>
      <c r="AC1264" s="32" t="str">
        <f>IF(Orders!D1261="","",INDEX(Riders!$C$2:$C$81,MATCH(Orders!D1261,Riders!$A$2:$A$81,0)))</f>
        <v>Petrol scooter</v>
      </c>
      <c r="AD1264" s="33">
        <f>IF(Orders!D1261="","",INDEX(Riders!$D$2:$D$81,MATCH(Orders!D1261,Riders!$A$2:$A$81,0)))</f>
        <v>15</v>
      </c>
      <c r="AE1264" s="33">
        <f>IF(Orders!D1261="","",IF(INDEX(Riders!$B$2:$B$81,MATCH(Orders!D1261,Riders!$A$2:$A$81,0))=B1264,1,0))</f>
        <v>0</v>
      </c>
      <c r="AF1264" s="34">
        <f>IF(E1264=1,Orders!L1261,"")</f>
        <v>2.21</v>
      </c>
      <c r="AG1264" s="34">
        <f>IF(E1264=1,Orders!P1261,"")</f>
        <v>10.9</v>
      </c>
      <c r="AH1264" s="34">
        <f>IF(E1264=1,Orders!Q1261,"")</f>
        <v>10.4</v>
      </c>
      <c r="AI1264" s="34">
        <f>IF(E1264=1,Orders!M1261,"")</f>
        <v>3.6</v>
      </c>
      <c r="AJ1264" s="34">
        <f>IF(E1264=1,Orders!N1261,"")</f>
        <v>2.3</v>
      </c>
      <c r="AK1264" s="34">
        <f>IF(E1264=1,Orders!O1261,"")</f>
        <v>4.5</v>
      </c>
      <c r="AL1264" s="33">
        <f>IF(E1264=1,IF(ROUND(ABS(AI1264+AJ1264+AK1264-AH1264),6)&lt;=0.1,1,0),"")</f>
        <v>1</v>
      </c>
      <c r="AM1264" s="36">
        <f>IF(E1264=1,AI1264/AH1264,"")</f>
        <v>0.346153846153846</v>
      </c>
      <c r="AN1264" s="36">
        <f>IF(E1264=1,AJ1264/AH1264,"")</f>
        <v>0.221153846153846</v>
      </c>
      <c r="AO1264" s="36">
        <f>IF(E1264=1,AK1264/AH1264,"")</f>
        <v>0.432692307692308</v>
      </c>
      <c r="AP1264" s="34">
        <f>IF(E1264=1,Orders!Y1261,"")</f>
        <v>0.27</v>
      </c>
      <c r="AQ1264" s="33">
        <f>IF(Orders!X1261,1,0)</f>
        <v>1</v>
      </c>
      <c r="AR1264" s="34" t="str">
        <f>IF(AND(E1264=1,L1264=1),AJ1264,"")</f>
        <v/>
      </c>
      <c r="AS1264" s="34">
        <f>IF(AND(E1264=1,L1264=0),AJ1264,"")</f>
        <v>2.3</v>
      </c>
      <c r="AT1264" s="34" t="str">
        <f>IF(AND(E1264=1,L1264=1),AI1264,"")</f>
        <v/>
      </c>
      <c r="AU1264" s="34">
        <f>IF(AND(E1264=1,L1264=0),AI1264,"")</f>
        <v>3.6</v>
      </c>
      <c r="AV1264" s="34" t="str">
        <f>IF(AND(E1264=1,L1264=1),AG1264,"")</f>
        <v/>
      </c>
      <c r="AW1264" s="34">
        <f>IF(AND(E1264=1,L1264=0),AG1264,"")</f>
        <v>10.9</v>
      </c>
      <c r="AX1264" s="34" t="str">
        <f>IF(AND(E1264=1,L1264=1),AH1264,"")</f>
        <v/>
      </c>
      <c r="AY1264" s="34">
        <f>IF(AND(E1264=1,L1264=0),AH1264,"")</f>
        <v>10.4</v>
      </c>
      <c r="AZ1264" s="34" t="str">
        <f>IF(G1264=1,F1264,"")</f>
        <v/>
      </c>
      <c r="BA1264" s="34" t="str">
        <f>IF(AND(G1264=1,L1264=1),F1264,"")</f>
        <v/>
      </c>
      <c r="BB1264" s="34" t="str">
        <f>IF(AND(G1264=1,L1264=0),F1264,"")</f>
        <v/>
      </c>
      <c r="BC1264" s="33">
        <f>IF(E1264=1,IF(Orders!R1261&gt;3,1,0),"")</f>
        <v>0</v>
      </c>
      <c r="BD1264" s="33">
        <f>IF(E1264=1,IF(Orders!R1261&gt;7,1,0),"")</f>
        <v>0</v>
      </c>
      <c r="BE1264" s="32" t="str">
        <f>IF(E1264=1,IF(Orders!L1261&lt;=1.5,"Up to 1.5 km",IF(Orders!L1261&lt;=3,"1.5–3 km","Over 3 km")),"")</f>
        <v>1.5–3 km</v>
      </c>
      <c r="BF1264" s="33">
        <f>IF(E1264=1,IF(ABS((Orders!G1261-Orders!F1261)*1440-Orders!R1261)&lt;0.06,1,0),"")</f>
        <v>1</v>
      </c>
      <c r="BG1264" s="33">
        <f>IF(ABS((Orders!F1261-Orders!E1261)*1440-Orders!P1261)&lt;0.06,1,0)</f>
        <v>1</v>
      </c>
      <c r="BH1264" s="33">
        <f>IF(E1264=1,IF(IF(Orders!S1261,1,0)=1-G1264,1,0),"")</f>
        <v>1</v>
      </c>
      <c r="BI1264" s="32" t="str">
        <f>INDEX(Stores!$B$2:$B$21,MATCH(B1264,Stores!$A$2:$A$21,0))</f>
        <v>Mumbai</v>
      </c>
    </row>
    <row r="1265">
      <c r="A1265" s="32" t="str">
        <f>Orders!A1262</f>
        <v>O01261</v>
      </c>
      <c r="B1265" s="32" t="str">
        <f>Orders!C1262</f>
        <v>S019</v>
      </c>
      <c r="C1265" s="32" t="str">
        <f>Orders!B1262</f>
        <v>C0132</v>
      </c>
      <c r="D1265" s="32" t="str">
        <f>Orders!H1262</f>
        <v>Delivered</v>
      </c>
      <c r="E1265" s="33">
        <f>IF(Orders!H1262="Delivered",1,0)</f>
        <v>1</v>
      </c>
      <c r="F1265" s="34">
        <f>IF(E1265=1,Orders!R1262,"")</f>
        <v>-0.9</v>
      </c>
      <c r="G1265" s="33">
        <f>IF(E1265=1,IF(Orders!R1262&gt;0,1,0),"")</f>
        <v>0</v>
      </c>
      <c r="H1265" s="33">
        <f>IF(E1265=1,IF(Orders!R1262&gt;5,1,0),"")</f>
        <v>0</v>
      </c>
      <c r="I1265" s="32" t="str">
        <f>IF(E1265=1,"",IF(OR(Orders!T1262="Rider unavailable",Orders!T1262="Item unavailable"),"Company-caused","Unresolved"))</f>
        <v/>
      </c>
      <c r="J1265" s="33">
        <f>IF(OR(E1265=1,I1265="Company-caused"),1,0)</f>
        <v>1</v>
      </c>
      <c r="K1265" s="32" t="str">
        <f>IF(E1265=0,IF(I1265="Company-caused",IF(Orders!T1262="Rider unavailable","C1 Rider unavailable","C2 Item unavailable"),"Outside root: unresolved"),IF(G1265=0,"A On time",IF(H1265=1,IF(L1265=1,"B2a Severe, peak","B2b Severe, off-peak"),IF(L1265=1,"B1a Slight, peak","B1b Slight, off-peak"))))</f>
        <v>A On time</v>
      </c>
      <c r="L1265" s="33">
        <f>IF(AND(Orders!U1262&gt;=19,Orders!U1262&lt;22),1,0)</f>
        <v>0</v>
      </c>
      <c r="M1265" s="33">
        <f>IF(L1265=IF(Orders!V1262,1,0),1,0)</f>
        <v>1</v>
      </c>
      <c r="N1265" s="32" t="str">
        <f>IF(Orders!W1262="","None",Orders!W1262)</f>
        <v>None</v>
      </c>
      <c r="O1265" s="35">
        <f>INT(Orders!E1262)</f>
        <v>46271.0</v>
      </c>
      <c r="P1265" s="33">
        <f>Orders!U1262</f>
        <v>23</v>
      </c>
      <c r="Q1265" s="33">
        <f>COUNTIFS(Demand!$A$2:$A$4481,B1265,Demand!$B$2:$B$4481,O1265,Demand!$C$2:$C$4481,P1265)</f>
        <v>1</v>
      </c>
      <c r="R1265" s="33">
        <f>IF(Q1265=1,SUMIFS(Demand!$E$2:$E$4481,Demand!$A$2:$A$4481,B1265,Demand!$B$2:$B$4481,O1265,Demand!$C$2:$C$4481,P1265),"")</f>
        <v>20</v>
      </c>
      <c r="S1265" s="33">
        <f>INDEX(Stores!$G$2:$G$21,MATCH(B1265,Stores!$A$2:$A$21,0))</f>
        <v>22</v>
      </c>
      <c r="T1265" s="34">
        <f>IF(R1265="","",R1265/S1265)</f>
        <v>0.909090909090909</v>
      </c>
      <c r="U1265" s="34">
        <f>IF(E1265=1,T1265,"")</f>
        <v>0.909090909090909</v>
      </c>
      <c r="V1265" s="34">
        <f>IF(AND(E1265=1,L1265=0),T1265,"")</f>
        <v>0.909090909090909</v>
      </c>
      <c r="W1265" s="33">
        <f>IF(U1265="","",IF(U1265&lt;=Breakdowns!$C$5,1,IF(U1265&lt;=Breakdowns!$C$6,2,IF(U1265&lt;=Breakdowns!$C$7,3,4))))</f>
        <v>2</v>
      </c>
      <c r="X1265" s="33">
        <f>IF(V1265="","",IF(V1265&lt;=Breakdowns!$D$5,1,IF(V1265&lt;=Breakdowns!$D$6,2,IF(V1265&lt;=Breakdowns!$D$7,3,4))))</f>
        <v>2</v>
      </c>
      <c r="Y1265" s="34">
        <f>INDEX(Stores!$F$2:$F$21,MATCH(B1265,Stores!$A$2:$A$21,0))</f>
        <v>4.99</v>
      </c>
      <c r="Z1265" s="33">
        <f>IF(Y1265&gt;Store_Summary!$M$2,1,0)</f>
        <v>1</v>
      </c>
      <c r="AA1265" s="33">
        <f>INDEX(Stores!$C$2:$C$21,MATCH(B1265,Stores!$A$2:$A$21,0))</f>
        <v>851</v>
      </c>
      <c r="AB1265" s="33">
        <f>IF(AA1265&lt;180,1,0)</f>
        <v>0</v>
      </c>
      <c r="AC1265" s="32" t="str">
        <f>IF(Orders!D1262="","",INDEX(Riders!$C$2:$C$81,MATCH(Orders!D1262,Riders!$A$2:$A$81,0)))</f>
        <v>Petrol scooter</v>
      </c>
      <c r="AD1265" s="33">
        <f>IF(Orders!D1262="","",INDEX(Riders!$D$2:$D$81,MATCH(Orders!D1262,Riders!$A$2:$A$81,0)))</f>
        <v>48</v>
      </c>
      <c r="AE1265" s="33">
        <f>IF(Orders!D1262="","",IF(INDEX(Riders!$B$2:$B$81,MATCH(Orders!D1262,Riders!$A$2:$A$81,0))=B1265,1,0))</f>
        <v>0</v>
      </c>
      <c r="AF1265" s="34">
        <f>IF(E1265=1,Orders!L1262,"")</f>
        <v>2.39</v>
      </c>
      <c r="AG1265" s="34">
        <f>IF(E1265=1,Orders!P1262,"")</f>
        <v>12.1</v>
      </c>
      <c r="AH1265" s="34">
        <f>IF(E1265=1,Orders!Q1262,"")</f>
        <v>11.2</v>
      </c>
      <c r="AI1265" s="34">
        <f>IF(E1265=1,Orders!M1262,"")</f>
        <v>3.3</v>
      </c>
      <c r="AJ1265" s="34">
        <f>IF(E1265=1,Orders!N1262,"")</f>
        <v>3.9</v>
      </c>
      <c r="AK1265" s="34">
        <f>IF(E1265=1,Orders!O1262,"")</f>
        <v>4</v>
      </c>
      <c r="AL1265" s="33">
        <f>IF(E1265=1,IF(ROUND(ABS(AI1265+AJ1265+AK1265-AH1265),6)&lt;=0.1,1,0),"")</f>
        <v>1</v>
      </c>
      <c r="AM1265" s="36">
        <f>IF(E1265=1,AI1265/AH1265,"")</f>
        <v>0.294642857142857</v>
      </c>
      <c r="AN1265" s="36">
        <f>IF(E1265=1,AJ1265/AH1265,"")</f>
        <v>0.348214285714286</v>
      </c>
      <c r="AO1265" s="36">
        <f>IF(E1265=1,AK1265/AH1265,"")</f>
        <v>0.357142857142857</v>
      </c>
      <c r="AP1265" s="34">
        <f>IF(E1265=1,Orders!Y1262,"")</f>
        <v>0.45</v>
      </c>
      <c r="AQ1265" s="33">
        <f>IF(Orders!X1262,1,0)</f>
        <v>0</v>
      </c>
      <c r="AR1265" s="34" t="str">
        <f>IF(AND(E1265=1,L1265=1),AJ1265,"")</f>
        <v/>
      </c>
      <c r="AS1265" s="34">
        <f>IF(AND(E1265=1,L1265=0),AJ1265,"")</f>
        <v>3.9</v>
      </c>
      <c r="AT1265" s="34" t="str">
        <f>IF(AND(E1265=1,L1265=1),AI1265,"")</f>
        <v/>
      </c>
      <c r="AU1265" s="34">
        <f>IF(AND(E1265=1,L1265=0),AI1265,"")</f>
        <v>3.3</v>
      </c>
      <c r="AV1265" s="34" t="str">
        <f>IF(AND(E1265=1,L1265=1),AG1265,"")</f>
        <v/>
      </c>
      <c r="AW1265" s="34">
        <f>IF(AND(E1265=1,L1265=0),AG1265,"")</f>
        <v>12.1</v>
      </c>
      <c r="AX1265" s="34" t="str">
        <f>IF(AND(E1265=1,L1265=1),AH1265,"")</f>
        <v/>
      </c>
      <c r="AY1265" s="34">
        <f>IF(AND(E1265=1,L1265=0),AH1265,"")</f>
        <v>11.2</v>
      </c>
      <c r="AZ1265" s="34" t="str">
        <f>IF(G1265=1,F1265,"")</f>
        <v/>
      </c>
      <c r="BA1265" s="34" t="str">
        <f>IF(AND(G1265=1,L1265=1),F1265,"")</f>
        <v/>
      </c>
      <c r="BB1265" s="34" t="str">
        <f>IF(AND(G1265=1,L1265=0),F1265,"")</f>
        <v/>
      </c>
      <c r="BC1265" s="33">
        <f>IF(E1265=1,IF(Orders!R1262&gt;3,1,0),"")</f>
        <v>0</v>
      </c>
      <c r="BD1265" s="33">
        <f>IF(E1265=1,IF(Orders!R1262&gt;7,1,0),"")</f>
        <v>0</v>
      </c>
      <c r="BE1265" s="32" t="str">
        <f>IF(E1265=1,IF(Orders!L1262&lt;=1.5,"Up to 1.5 km",IF(Orders!L1262&lt;=3,"1.5–3 km","Over 3 km")),"")</f>
        <v>1.5–3 km</v>
      </c>
      <c r="BF1265" s="33">
        <f>IF(E1265=1,IF(ABS((Orders!G1262-Orders!F1262)*1440-Orders!R1262)&lt;0.06,1,0),"")</f>
        <v>1</v>
      </c>
      <c r="BG1265" s="33">
        <f>IF(ABS((Orders!F1262-Orders!E1262)*1440-Orders!P1262)&lt;0.06,1,0)</f>
        <v>1</v>
      </c>
      <c r="BH1265" s="33">
        <f>IF(E1265=1,IF(IF(Orders!S1262,1,0)=1-G1265,1,0),"")</f>
        <v>1</v>
      </c>
      <c r="BI1265" s="32" t="str">
        <f>INDEX(Stores!$B$2:$B$21,MATCH(B1265,Stores!$A$2:$A$21,0))</f>
        <v>Pune</v>
      </c>
    </row>
    <row r="1266">
      <c r="A1266" s="32" t="str">
        <f>Orders!A1263</f>
        <v>O01262</v>
      </c>
      <c r="B1266" s="32" t="str">
        <f>Orders!C1263</f>
        <v>S014</v>
      </c>
      <c r="C1266" s="32" t="str">
        <f>Orders!B1263</f>
        <v>C0124</v>
      </c>
      <c r="D1266" s="32" t="str">
        <f>Orders!H1263</f>
        <v>Delivered</v>
      </c>
      <c r="E1266" s="33">
        <f>IF(Orders!H1263="Delivered",1,0)</f>
        <v>1</v>
      </c>
      <c r="F1266" s="34">
        <f>IF(E1266=1,Orders!R1263,"")</f>
        <v>10.3</v>
      </c>
      <c r="G1266" s="33">
        <f>IF(E1266=1,IF(Orders!R1263&gt;0,1,0),"")</f>
        <v>1</v>
      </c>
      <c r="H1266" s="33">
        <f>IF(E1266=1,IF(Orders!R1263&gt;5,1,0),"")</f>
        <v>1</v>
      </c>
      <c r="I1266" s="32" t="str">
        <f>IF(E1266=1,"",IF(OR(Orders!T1263="Rider unavailable",Orders!T1263="Item unavailable"),"Company-caused","Unresolved"))</f>
        <v/>
      </c>
      <c r="J1266" s="33">
        <f>IF(OR(E1266=1,I1266="Company-caused"),1,0)</f>
        <v>1</v>
      </c>
      <c r="K1266" s="32" t="str">
        <f>IF(E1266=0,IF(I1266="Company-caused",IF(Orders!T1263="Rider unavailable","C1 Rider unavailable","C2 Item unavailable"),"Outside root: unresolved"),IF(G1266=0,"A On time",IF(H1266=1,IF(L1266=1,"B2a Severe, peak","B2b Severe, off-peak"),IF(L1266=1,"B1a Slight, peak","B1b Slight, off-peak"))))</f>
        <v>B2b Severe, off-peak</v>
      </c>
      <c r="L1266" s="33">
        <f>IF(AND(Orders!U1263&gt;=19,Orders!U1263&lt;22),1,0)</f>
        <v>0</v>
      </c>
      <c r="M1266" s="33">
        <f>IF(L1266=IF(Orders!V1263,1,0),1,0)</f>
        <v>1</v>
      </c>
      <c r="N1266" s="32" t="str">
        <f>IF(Orders!W1263="","None",Orders!W1263)</f>
        <v>None</v>
      </c>
      <c r="O1266" s="35">
        <f>INT(Orders!E1263)</f>
        <v>46271.0</v>
      </c>
      <c r="P1266" s="33">
        <f>Orders!U1263</f>
        <v>16</v>
      </c>
      <c r="Q1266" s="33">
        <f>COUNTIFS(Demand!$A$2:$A$4481,B1266,Demand!$B$2:$B$4481,O1266,Demand!$C$2:$C$4481,P1266)</f>
        <v>1</v>
      </c>
      <c r="R1266" s="33">
        <f>IF(Q1266=1,SUMIFS(Demand!$E$2:$E$4481,Demand!$A$2:$A$4481,B1266,Demand!$B$2:$B$4481,O1266,Demand!$C$2:$C$4481,P1266),"")</f>
        <v>40</v>
      </c>
      <c r="S1266" s="33">
        <f>INDEX(Stores!$G$2:$G$21,MATCH(B1266,Stores!$A$2:$A$21,0))</f>
        <v>37</v>
      </c>
      <c r="T1266" s="34">
        <f>IF(R1266="","",R1266/S1266)</f>
        <v>1.08108108108108</v>
      </c>
      <c r="U1266" s="34">
        <f>IF(E1266=1,T1266,"")</f>
        <v>1.08108108108108</v>
      </c>
      <c r="V1266" s="34">
        <f>IF(AND(E1266=1,L1266=0),T1266,"")</f>
        <v>1.08108108108108</v>
      </c>
      <c r="W1266" s="33">
        <f>IF(U1266="","",IF(U1266&lt;=Breakdowns!$C$5,1,IF(U1266&lt;=Breakdowns!$C$6,2,IF(U1266&lt;=Breakdowns!$C$7,3,4))))</f>
        <v>3</v>
      </c>
      <c r="X1266" s="33">
        <f>IF(V1266="","",IF(V1266&lt;=Breakdowns!$D$5,1,IF(V1266&lt;=Breakdowns!$D$6,2,IF(V1266&lt;=Breakdowns!$D$7,3,4))))</f>
        <v>4</v>
      </c>
      <c r="Y1266" s="34">
        <f>INDEX(Stores!$F$2:$F$21,MATCH(B1266,Stores!$A$2:$A$21,0))</f>
        <v>5.55</v>
      </c>
      <c r="Z1266" s="33">
        <f>IF(Y1266&gt;Store_Summary!$M$2,1,0)</f>
        <v>1</v>
      </c>
      <c r="AA1266" s="33">
        <f>INDEX(Stores!$C$2:$C$21,MATCH(B1266,Stores!$A$2:$A$21,0))</f>
        <v>241</v>
      </c>
      <c r="AB1266" s="33">
        <f>IF(AA1266&lt;180,1,0)</f>
        <v>0</v>
      </c>
      <c r="AC1266" s="32" t="str">
        <f>IF(Orders!D1263="","",INDEX(Riders!$C$2:$C$81,MATCH(Orders!D1263,Riders!$A$2:$A$81,0)))</f>
        <v>EV scooter</v>
      </c>
      <c r="AD1266" s="33">
        <f>IF(Orders!D1263="","",INDEX(Riders!$D$2:$D$81,MATCH(Orders!D1263,Riders!$A$2:$A$81,0)))</f>
        <v>41</v>
      </c>
      <c r="AE1266" s="33">
        <f>IF(Orders!D1263="","",IF(INDEX(Riders!$B$2:$B$81,MATCH(Orders!D1263,Riders!$A$2:$A$81,0))=B1266,1,0))</f>
        <v>0</v>
      </c>
      <c r="AF1266" s="34">
        <f>IF(E1266=1,Orders!L1263,"")</f>
        <v>0.64</v>
      </c>
      <c r="AG1266" s="34">
        <f>IF(E1266=1,Orders!P1263,"")</f>
        <v>9</v>
      </c>
      <c r="AH1266" s="34">
        <f>IF(E1266=1,Orders!Q1263,"")</f>
        <v>19.3</v>
      </c>
      <c r="AI1266" s="34">
        <f>IF(E1266=1,Orders!M1263,"")</f>
        <v>6.3</v>
      </c>
      <c r="AJ1266" s="34">
        <f>IF(E1266=1,Orders!N1263,"")</f>
        <v>10</v>
      </c>
      <c r="AK1266" s="34">
        <f>IF(E1266=1,Orders!O1263,"")</f>
        <v>3.1</v>
      </c>
      <c r="AL1266" s="33">
        <f>IF(E1266=1,IF(ROUND(ABS(AI1266+AJ1266+AK1266-AH1266),6)&lt;=0.1,1,0),"")</f>
        <v>1</v>
      </c>
      <c r="AM1266" s="36">
        <f>IF(E1266=1,AI1266/AH1266,"")</f>
        <v>0.326424870466321</v>
      </c>
      <c r="AN1266" s="36">
        <f>IF(E1266=1,AJ1266/AH1266,"")</f>
        <v>0.518134715025907</v>
      </c>
      <c r="AO1266" s="36">
        <f>IF(E1266=1,AK1266/AH1266,"")</f>
        <v>0.160621761658031</v>
      </c>
      <c r="AP1266" s="34">
        <f>IF(E1266=1,Orders!Y1263,"")</f>
        <v>0.5</v>
      </c>
      <c r="AQ1266" s="33">
        <f>IF(Orders!X1263,1,0)</f>
        <v>0</v>
      </c>
      <c r="AR1266" s="34" t="str">
        <f>IF(AND(E1266=1,L1266=1),AJ1266,"")</f>
        <v/>
      </c>
      <c r="AS1266" s="34">
        <f>IF(AND(E1266=1,L1266=0),AJ1266,"")</f>
        <v>10</v>
      </c>
      <c r="AT1266" s="34" t="str">
        <f>IF(AND(E1266=1,L1266=1),AI1266,"")</f>
        <v/>
      </c>
      <c r="AU1266" s="34">
        <f>IF(AND(E1266=1,L1266=0),AI1266,"")</f>
        <v>6.3</v>
      </c>
      <c r="AV1266" s="34" t="str">
        <f>IF(AND(E1266=1,L1266=1),AG1266,"")</f>
        <v/>
      </c>
      <c r="AW1266" s="34">
        <f>IF(AND(E1266=1,L1266=0),AG1266,"")</f>
        <v>9</v>
      </c>
      <c r="AX1266" s="34" t="str">
        <f>IF(AND(E1266=1,L1266=1),AH1266,"")</f>
        <v/>
      </c>
      <c r="AY1266" s="34">
        <f>IF(AND(E1266=1,L1266=0),AH1266,"")</f>
        <v>19.3</v>
      </c>
      <c r="AZ1266" s="34">
        <f>IF(G1266=1,F1266,"")</f>
        <v>10.3</v>
      </c>
      <c r="BA1266" s="34" t="str">
        <f>IF(AND(G1266=1,L1266=1),F1266,"")</f>
        <v/>
      </c>
      <c r="BB1266" s="34">
        <f>IF(AND(G1266=1,L1266=0),F1266,"")</f>
        <v>10.3</v>
      </c>
      <c r="BC1266" s="33">
        <f>IF(E1266=1,IF(Orders!R1263&gt;3,1,0),"")</f>
        <v>1</v>
      </c>
      <c r="BD1266" s="33">
        <f>IF(E1266=1,IF(Orders!R1263&gt;7,1,0),"")</f>
        <v>1</v>
      </c>
      <c r="BE1266" s="32" t="str">
        <f>IF(E1266=1,IF(Orders!L1263&lt;=1.5,"Up to 1.5 km",IF(Orders!L1263&lt;=3,"1.5–3 km","Over 3 km")),"")</f>
        <v>Up to 1.5 km</v>
      </c>
      <c r="BF1266" s="33">
        <f>IF(E1266=1,IF(ABS((Orders!G1263-Orders!F1263)*1440-Orders!R1263)&lt;0.06,1,0),"")</f>
        <v>1</v>
      </c>
      <c r="BG1266" s="33">
        <f>IF(ABS((Orders!F1263-Orders!E1263)*1440-Orders!P1263)&lt;0.06,1,0)</f>
        <v>1</v>
      </c>
      <c r="BH1266" s="33">
        <f>IF(E1266=1,IF(IF(Orders!S1263,1,0)=1-G1266,1,0),"")</f>
        <v>1</v>
      </c>
      <c r="BI1266" s="32" t="str">
        <f>INDEX(Stores!$B$2:$B$21,MATCH(B1266,Stores!$A$2:$A$21,0))</f>
        <v>Pune</v>
      </c>
    </row>
    <row r="1267">
      <c r="A1267" s="32" t="str">
        <f>Orders!A1264</f>
        <v>O01263</v>
      </c>
      <c r="B1267" s="32" t="str">
        <f>Orders!C1264</f>
        <v>S001</v>
      </c>
      <c r="C1267" s="32" t="str">
        <f>Orders!B1264</f>
        <v>C0196</v>
      </c>
      <c r="D1267" s="32" t="str">
        <f>Orders!H1264</f>
        <v>Delivered</v>
      </c>
      <c r="E1267" s="33">
        <f>IF(Orders!H1264="Delivered",1,0)</f>
        <v>1</v>
      </c>
      <c r="F1267" s="34">
        <f>IF(E1267=1,Orders!R1264,"")</f>
        <v>-0.8</v>
      </c>
      <c r="G1267" s="33">
        <f>IF(E1267=1,IF(Orders!R1264&gt;0,1,0),"")</f>
        <v>0</v>
      </c>
      <c r="H1267" s="33">
        <f>IF(E1267=1,IF(Orders!R1264&gt;5,1,0),"")</f>
        <v>0</v>
      </c>
      <c r="I1267" s="32" t="str">
        <f>IF(E1267=1,"",IF(OR(Orders!T1264="Rider unavailable",Orders!T1264="Item unavailable"),"Company-caused","Unresolved"))</f>
        <v/>
      </c>
      <c r="J1267" s="33">
        <f>IF(OR(E1267=1,I1267="Company-caused"),1,0)</f>
        <v>1</v>
      </c>
      <c r="K1267" s="32" t="str">
        <f>IF(E1267=0,IF(I1267="Company-caused",IF(Orders!T1264="Rider unavailable","C1 Rider unavailable","C2 Item unavailable"),"Outside root: unresolved"),IF(G1267=0,"A On time",IF(H1267=1,IF(L1267=1,"B2a Severe, peak","B2b Severe, off-peak"),IF(L1267=1,"B1a Slight, peak","B1b Slight, off-peak"))))</f>
        <v>A On time</v>
      </c>
      <c r="L1267" s="33">
        <f>IF(AND(Orders!U1264&gt;=19,Orders!U1264&lt;22),1,0)</f>
        <v>0</v>
      </c>
      <c r="M1267" s="33">
        <f>IF(L1267=IF(Orders!V1264,1,0),1,0)</f>
        <v>1</v>
      </c>
      <c r="N1267" s="32" t="str">
        <f>IF(Orders!W1264="","None",Orders!W1264)</f>
        <v>None</v>
      </c>
      <c r="O1267" s="35">
        <f>INT(Orders!E1264)</f>
        <v>46276.0</v>
      </c>
      <c r="P1267" s="33">
        <f>Orders!U1264</f>
        <v>23</v>
      </c>
      <c r="Q1267" s="33">
        <f>COUNTIFS(Demand!$A$2:$A$4481,B1267,Demand!$B$2:$B$4481,O1267,Demand!$C$2:$C$4481,P1267)</f>
        <v>1</v>
      </c>
      <c r="R1267" s="33">
        <f>IF(Q1267=1,SUMIFS(Demand!$E$2:$E$4481,Demand!$A$2:$A$4481,B1267,Demand!$B$2:$B$4481,O1267,Demand!$C$2:$C$4481,P1267),"")</f>
        <v>15</v>
      </c>
      <c r="S1267" s="33">
        <f>INDEX(Stores!$G$2:$G$21,MATCH(B1267,Stores!$A$2:$A$21,0))</f>
        <v>16</v>
      </c>
      <c r="T1267" s="34">
        <f>IF(R1267="","",R1267/S1267)</f>
        <v>0.9375</v>
      </c>
      <c r="U1267" s="34">
        <f>IF(E1267=1,T1267,"")</f>
        <v>0.9375</v>
      </c>
      <c r="V1267" s="34">
        <f>IF(AND(E1267=1,L1267=0),T1267,"")</f>
        <v>0.9375</v>
      </c>
      <c r="W1267" s="33">
        <f>IF(U1267="","",IF(U1267&lt;=Breakdowns!$C$5,1,IF(U1267&lt;=Breakdowns!$C$6,2,IF(U1267&lt;=Breakdowns!$C$7,3,4))))</f>
        <v>2</v>
      </c>
      <c r="X1267" s="33">
        <f>IF(V1267="","",IF(V1267&lt;=Breakdowns!$D$5,1,IF(V1267&lt;=Breakdowns!$D$6,2,IF(V1267&lt;=Breakdowns!$D$7,3,4))))</f>
        <v>3</v>
      </c>
      <c r="Y1267" s="34">
        <f>INDEX(Stores!$F$2:$F$21,MATCH(B1267,Stores!$A$2:$A$21,0))</f>
        <v>4.59</v>
      </c>
      <c r="Z1267" s="33">
        <f>IF(Y1267&gt;Store_Summary!$M$2,1,0)</f>
        <v>0</v>
      </c>
      <c r="AA1267" s="33">
        <f>INDEX(Stores!$C$2:$C$21,MATCH(B1267,Stores!$A$2:$A$21,0))</f>
        <v>362</v>
      </c>
      <c r="AB1267" s="33">
        <f>IF(AA1267&lt;180,1,0)</f>
        <v>0</v>
      </c>
      <c r="AC1267" s="32" t="str">
        <f>IF(Orders!D1264="","",INDEX(Riders!$C$2:$C$81,MATCH(Orders!D1264,Riders!$A$2:$A$81,0)))</f>
        <v>Petrol scooter</v>
      </c>
      <c r="AD1267" s="33">
        <f>IF(Orders!D1264="","",INDEX(Riders!$D$2:$D$81,MATCH(Orders!D1264,Riders!$A$2:$A$81,0)))</f>
        <v>32</v>
      </c>
      <c r="AE1267" s="33">
        <f>IF(Orders!D1264="","",IF(INDEX(Riders!$B$2:$B$81,MATCH(Orders!D1264,Riders!$A$2:$A$81,0))=B1267,1,0))</f>
        <v>0</v>
      </c>
      <c r="AF1267" s="34">
        <f>IF(E1267=1,Orders!L1264,"")</f>
        <v>2.95</v>
      </c>
      <c r="AG1267" s="34">
        <f>IF(E1267=1,Orders!P1264,"")</f>
        <v>9.9</v>
      </c>
      <c r="AH1267" s="34">
        <f>IF(E1267=1,Orders!Q1264,"")</f>
        <v>9.1</v>
      </c>
      <c r="AI1267" s="34">
        <f>IF(E1267=1,Orders!M1264,"")</f>
        <v>2.9</v>
      </c>
      <c r="AJ1267" s="34">
        <f>IF(E1267=1,Orders!N1264,"")</f>
        <v>3.4</v>
      </c>
      <c r="AK1267" s="34">
        <f>IF(E1267=1,Orders!O1264,"")</f>
        <v>2.8</v>
      </c>
      <c r="AL1267" s="33">
        <f>IF(E1267=1,IF(ROUND(ABS(AI1267+AJ1267+AK1267-AH1267),6)&lt;=0.1,1,0),"")</f>
        <v>1</v>
      </c>
      <c r="AM1267" s="36">
        <f>IF(E1267=1,AI1267/AH1267,"")</f>
        <v>0.318681318681319</v>
      </c>
      <c r="AN1267" s="36">
        <f>IF(E1267=1,AJ1267/AH1267,"")</f>
        <v>0.373626373626374</v>
      </c>
      <c r="AO1267" s="36">
        <f>IF(E1267=1,AK1267/AH1267,"")</f>
        <v>0.307692307692308</v>
      </c>
      <c r="AP1267" s="34">
        <f>IF(E1267=1,Orders!Y1264,"")</f>
        <v>0.21</v>
      </c>
      <c r="AQ1267" s="33">
        <f>IF(Orders!X1264,1,0)</f>
        <v>0</v>
      </c>
      <c r="AR1267" s="34" t="str">
        <f>IF(AND(E1267=1,L1267=1),AJ1267,"")</f>
        <v/>
      </c>
      <c r="AS1267" s="34">
        <f>IF(AND(E1267=1,L1267=0),AJ1267,"")</f>
        <v>3.4</v>
      </c>
      <c r="AT1267" s="34" t="str">
        <f>IF(AND(E1267=1,L1267=1),AI1267,"")</f>
        <v/>
      </c>
      <c r="AU1267" s="34">
        <f>IF(AND(E1267=1,L1267=0),AI1267,"")</f>
        <v>2.9</v>
      </c>
      <c r="AV1267" s="34" t="str">
        <f>IF(AND(E1267=1,L1267=1),AG1267,"")</f>
        <v/>
      </c>
      <c r="AW1267" s="34">
        <f>IF(AND(E1267=1,L1267=0),AG1267,"")</f>
        <v>9.9</v>
      </c>
      <c r="AX1267" s="34" t="str">
        <f>IF(AND(E1267=1,L1267=1),AH1267,"")</f>
        <v/>
      </c>
      <c r="AY1267" s="34">
        <f>IF(AND(E1267=1,L1267=0),AH1267,"")</f>
        <v>9.1</v>
      </c>
      <c r="AZ1267" s="34" t="str">
        <f>IF(G1267=1,F1267,"")</f>
        <v/>
      </c>
      <c r="BA1267" s="34" t="str">
        <f>IF(AND(G1267=1,L1267=1),F1267,"")</f>
        <v/>
      </c>
      <c r="BB1267" s="34" t="str">
        <f>IF(AND(G1267=1,L1267=0),F1267,"")</f>
        <v/>
      </c>
      <c r="BC1267" s="33">
        <f>IF(E1267=1,IF(Orders!R1264&gt;3,1,0),"")</f>
        <v>0</v>
      </c>
      <c r="BD1267" s="33">
        <f>IF(E1267=1,IF(Orders!R1264&gt;7,1,0),"")</f>
        <v>0</v>
      </c>
      <c r="BE1267" s="32" t="str">
        <f>IF(E1267=1,IF(Orders!L1264&lt;=1.5,"Up to 1.5 km",IF(Orders!L1264&lt;=3,"1.5–3 km","Over 3 km")),"")</f>
        <v>1.5–3 km</v>
      </c>
      <c r="BF1267" s="33">
        <f>IF(E1267=1,IF(ABS((Orders!G1264-Orders!F1264)*1440-Orders!R1264)&lt;0.06,1,0),"")</f>
        <v>1</v>
      </c>
      <c r="BG1267" s="33">
        <f>IF(ABS((Orders!F1264-Orders!E1264)*1440-Orders!P1264)&lt;0.06,1,0)</f>
        <v>1</v>
      </c>
      <c r="BH1267" s="33">
        <f>IF(E1267=1,IF(IF(Orders!S1264,1,0)=1-G1267,1,0),"")</f>
        <v>1</v>
      </c>
      <c r="BI1267" s="32" t="str">
        <f>INDEX(Stores!$B$2:$B$21,MATCH(B1267,Stores!$A$2:$A$21,0))</f>
        <v>Bengaluru</v>
      </c>
    </row>
    <row r="1268">
      <c r="A1268" s="32" t="str">
        <f>Orders!A1265</f>
        <v>O01264</v>
      </c>
      <c r="B1268" s="32" t="str">
        <f>Orders!C1265</f>
        <v>S013</v>
      </c>
      <c r="C1268" s="32" t="str">
        <f>Orders!B1265</f>
        <v>C0195</v>
      </c>
      <c r="D1268" s="32" t="str">
        <f>Orders!H1265</f>
        <v>Delivered</v>
      </c>
      <c r="E1268" s="33">
        <f>IF(Orders!H1265="Delivered",1,0)</f>
        <v>1</v>
      </c>
      <c r="F1268" s="34">
        <f>IF(E1268=1,Orders!R1265,"")</f>
        <v>11.2</v>
      </c>
      <c r="G1268" s="33">
        <f>IF(E1268=1,IF(Orders!R1265&gt;0,1,0),"")</f>
        <v>1</v>
      </c>
      <c r="H1268" s="33">
        <f>IF(E1268=1,IF(Orders!R1265&gt;5,1,0),"")</f>
        <v>1</v>
      </c>
      <c r="I1268" s="32" t="str">
        <f>IF(E1268=1,"",IF(OR(Orders!T1265="Rider unavailable",Orders!T1265="Item unavailable"),"Company-caused","Unresolved"))</f>
        <v/>
      </c>
      <c r="J1268" s="33">
        <f>IF(OR(E1268=1,I1268="Company-caused"),1,0)</f>
        <v>1</v>
      </c>
      <c r="K1268" s="32" t="str">
        <f>IF(E1268=0,IF(I1268="Company-caused",IF(Orders!T1265="Rider unavailable","C1 Rider unavailable","C2 Item unavailable"),"Outside root: unresolved"),IF(G1268=0,"A On time",IF(H1268=1,IF(L1268=1,"B2a Severe, peak","B2b Severe, off-peak"),IF(L1268=1,"B1a Slight, peak","B1b Slight, off-peak"))))</f>
        <v>B2b Severe, off-peak</v>
      </c>
      <c r="L1268" s="33">
        <f>IF(AND(Orders!U1265&gt;=19,Orders!U1265&lt;22),1,0)</f>
        <v>0</v>
      </c>
      <c r="M1268" s="33">
        <f>IF(L1268=IF(Orders!V1265,1,0),1,0)</f>
        <v>1</v>
      </c>
      <c r="N1268" s="32" t="str">
        <f>IF(Orders!W1265="","None",Orders!W1265)</f>
        <v>None</v>
      </c>
      <c r="O1268" s="35">
        <f>INT(Orders!E1265)</f>
        <v>46274.0</v>
      </c>
      <c r="P1268" s="33">
        <f>Orders!U1265</f>
        <v>16</v>
      </c>
      <c r="Q1268" s="33">
        <f>COUNTIFS(Demand!$A$2:$A$4481,B1268,Demand!$B$2:$B$4481,O1268,Demand!$C$2:$C$4481,P1268)</f>
        <v>1</v>
      </c>
      <c r="R1268" s="33">
        <f>IF(Q1268=1,SUMIFS(Demand!$E$2:$E$4481,Demand!$A$2:$A$4481,B1268,Demand!$B$2:$B$4481,O1268,Demand!$C$2:$C$4481,P1268),"")</f>
        <v>55</v>
      </c>
      <c r="S1268" s="33">
        <f>INDEX(Stores!$G$2:$G$21,MATCH(B1268,Stores!$A$2:$A$21,0))</f>
        <v>49</v>
      </c>
      <c r="T1268" s="34">
        <f>IF(R1268="","",R1268/S1268)</f>
        <v>1.12244897959184</v>
      </c>
      <c r="U1268" s="34">
        <f>IF(E1268=1,T1268,"")</f>
        <v>1.12244897959184</v>
      </c>
      <c r="V1268" s="34">
        <f>IF(AND(E1268=1,L1268=0),T1268,"")</f>
        <v>1.12244897959184</v>
      </c>
      <c r="W1268" s="33">
        <f>IF(U1268="","",IF(U1268&lt;=Breakdowns!$C$5,1,IF(U1268&lt;=Breakdowns!$C$6,2,IF(U1268&lt;=Breakdowns!$C$7,3,4))))</f>
        <v>3</v>
      </c>
      <c r="X1268" s="33">
        <f>IF(V1268="","",IF(V1268&lt;=Breakdowns!$D$5,1,IF(V1268&lt;=Breakdowns!$D$6,2,IF(V1268&lt;=Breakdowns!$D$7,3,4))))</f>
        <v>4</v>
      </c>
      <c r="Y1268" s="34">
        <f>INDEX(Stores!$F$2:$F$21,MATCH(B1268,Stores!$A$2:$A$21,0))</f>
        <v>5.82</v>
      </c>
      <c r="Z1268" s="33">
        <f>IF(Y1268&gt;Store_Summary!$M$2,1,0)</f>
        <v>1</v>
      </c>
      <c r="AA1268" s="33">
        <f>INDEX(Stores!$C$2:$C$21,MATCH(B1268,Stores!$A$2:$A$21,0))</f>
        <v>705</v>
      </c>
      <c r="AB1268" s="33">
        <f>IF(AA1268&lt;180,1,0)</f>
        <v>0</v>
      </c>
      <c r="AC1268" s="32" t="str">
        <f>IF(Orders!D1265="","",INDEX(Riders!$C$2:$C$81,MATCH(Orders!D1265,Riders!$A$2:$A$81,0)))</f>
        <v>EV scooter</v>
      </c>
      <c r="AD1268" s="33">
        <f>IF(Orders!D1265="","",INDEX(Riders!$D$2:$D$81,MATCH(Orders!D1265,Riders!$A$2:$A$81,0)))</f>
        <v>30</v>
      </c>
      <c r="AE1268" s="33">
        <f>IF(Orders!D1265="","",IF(INDEX(Riders!$B$2:$B$81,MATCH(Orders!D1265,Riders!$A$2:$A$81,0))=B1268,1,0))</f>
        <v>0</v>
      </c>
      <c r="AF1268" s="34">
        <f>IF(E1268=1,Orders!L1265,"")</f>
        <v>1.16</v>
      </c>
      <c r="AG1268" s="34">
        <f>IF(E1268=1,Orders!P1265,"")</f>
        <v>8.9</v>
      </c>
      <c r="AH1268" s="34">
        <f>IF(E1268=1,Orders!Q1265,"")</f>
        <v>20.1</v>
      </c>
      <c r="AI1268" s="34">
        <f>IF(E1268=1,Orders!M1265,"")</f>
        <v>6.6</v>
      </c>
      <c r="AJ1268" s="34">
        <f>IF(E1268=1,Orders!N1265,"")</f>
        <v>9.5</v>
      </c>
      <c r="AK1268" s="34">
        <f>IF(E1268=1,Orders!O1265,"")</f>
        <v>3.9</v>
      </c>
      <c r="AL1268" s="33">
        <f>IF(E1268=1,IF(ROUND(ABS(AI1268+AJ1268+AK1268-AH1268),6)&lt;=0.1,1,0),"")</f>
        <v>1</v>
      </c>
      <c r="AM1268" s="36">
        <f>IF(E1268=1,AI1268/AH1268,"")</f>
        <v>0.328358208955224</v>
      </c>
      <c r="AN1268" s="36">
        <f>IF(E1268=1,AJ1268/AH1268,"")</f>
        <v>0.472636815920398</v>
      </c>
      <c r="AO1268" s="36">
        <f>IF(E1268=1,AK1268/AH1268,"")</f>
        <v>0.194029850746269</v>
      </c>
      <c r="AP1268" s="34">
        <f>IF(E1268=1,Orders!Y1265,"")</f>
        <v>0.41</v>
      </c>
      <c r="AQ1268" s="33">
        <f>IF(Orders!X1265,1,0)</f>
        <v>0</v>
      </c>
      <c r="AR1268" s="34" t="str">
        <f>IF(AND(E1268=1,L1268=1),AJ1268,"")</f>
        <v/>
      </c>
      <c r="AS1268" s="34">
        <f>IF(AND(E1268=1,L1268=0),AJ1268,"")</f>
        <v>9.5</v>
      </c>
      <c r="AT1268" s="34" t="str">
        <f>IF(AND(E1268=1,L1268=1),AI1268,"")</f>
        <v/>
      </c>
      <c r="AU1268" s="34">
        <f>IF(AND(E1268=1,L1268=0),AI1268,"")</f>
        <v>6.6</v>
      </c>
      <c r="AV1268" s="34" t="str">
        <f>IF(AND(E1268=1,L1268=1),AG1268,"")</f>
        <v/>
      </c>
      <c r="AW1268" s="34">
        <f>IF(AND(E1268=1,L1268=0),AG1268,"")</f>
        <v>8.9</v>
      </c>
      <c r="AX1268" s="34" t="str">
        <f>IF(AND(E1268=1,L1268=1),AH1268,"")</f>
        <v/>
      </c>
      <c r="AY1268" s="34">
        <f>IF(AND(E1268=1,L1268=0),AH1268,"")</f>
        <v>20.1</v>
      </c>
      <c r="AZ1268" s="34">
        <f>IF(G1268=1,F1268,"")</f>
        <v>11.2</v>
      </c>
      <c r="BA1268" s="34" t="str">
        <f>IF(AND(G1268=1,L1268=1),F1268,"")</f>
        <v/>
      </c>
      <c r="BB1268" s="34">
        <f>IF(AND(G1268=1,L1268=0),F1268,"")</f>
        <v>11.2</v>
      </c>
      <c r="BC1268" s="33">
        <f>IF(E1268=1,IF(Orders!R1265&gt;3,1,0),"")</f>
        <v>1</v>
      </c>
      <c r="BD1268" s="33">
        <f>IF(E1268=1,IF(Orders!R1265&gt;7,1,0),"")</f>
        <v>1</v>
      </c>
      <c r="BE1268" s="32" t="str">
        <f>IF(E1268=1,IF(Orders!L1265&lt;=1.5,"Up to 1.5 km",IF(Orders!L1265&lt;=3,"1.5–3 km","Over 3 km")),"")</f>
        <v>Up to 1.5 km</v>
      </c>
      <c r="BF1268" s="33">
        <f>IF(E1268=1,IF(ABS((Orders!G1265-Orders!F1265)*1440-Orders!R1265)&lt;0.06,1,0),"")</f>
        <v>1</v>
      </c>
      <c r="BG1268" s="33">
        <f>IF(ABS((Orders!F1265-Orders!E1265)*1440-Orders!P1265)&lt;0.06,1,0)</f>
        <v>1</v>
      </c>
      <c r="BH1268" s="33">
        <f>IF(E1268=1,IF(IF(Orders!S1265,1,0)=1-G1268,1,0),"")</f>
        <v>1</v>
      </c>
      <c r="BI1268" s="32" t="str">
        <f>INDEX(Stores!$B$2:$B$21,MATCH(B1268,Stores!$A$2:$A$21,0))</f>
        <v>Mumbai</v>
      </c>
    </row>
    <row r="1269">
      <c r="A1269" s="32" t="str">
        <f>Orders!A1266</f>
        <v>O01265</v>
      </c>
      <c r="B1269" s="32" t="str">
        <f>Orders!C1266</f>
        <v>S004</v>
      </c>
      <c r="C1269" s="32" t="str">
        <f>Orders!B1266</f>
        <v>C0098</v>
      </c>
      <c r="D1269" s="32" t="str">
        <f>Orders!H1266</f>
        <v>Delivered</v>
      </c>
      <c r="E1269" s="33">
        <f>IF(Orders!H1266="Delivered",1,0)</f>
        <v>1</v>
      </c>
      <c r="F1269" s="34">
        <f>IF(E1269=1,Orders!R1266,"")</f>
        <v>-0.5</v>
      </c>
      <c r="G1269" s="33">
        <f>IF(E1269=1,IF(Orders!R1266&gt;0,1,0),"")</f>
        <v>0</v>
      </c>
      <c r="H1269" s="33">
        <f>IF(E1269=1,IF(Orders!R1266&gt;5,1,0),"")</f>
        <v>0</v>
      </c>
      <c r="I1269" s="32" t="str">
        <f>IF(E1269=1,"",IF(OR(Orders!T1266="Rider unavailable",Orders!T1266="Item unavailable"),"Company-caused","Unresolved"))</f>
        <v/>
      </c>
      <c r="J1269" s="33">
        <f>IF(OR(E1269=1,I1269="Company-caused"),1,0)</f>
        <v>1</v>
      </c>
      <c r="K1269" s="32" t="str">
        <f>IF(E1269=0,IF(I1269="Company-caused",IF(Orders!T1266="Rider unavailable","C1 Rider unavailable","C2 Item unavailable"),"Outside root: unresolved"),IF(G1269=0,"A On time",IF(H1269=1,IF(L1269=1,"B2a Severe, peak","B2b Severe, off-peak"),IF(L1269=1,"B1a Slight, peak","B1b Slight, off-peak"))))</f>
        <v>A On time</v>
      </c>
      <c r="L1269" s="33">
        <f>IF(AND(Orders!U1266&gt;=19,Orders!U1266&lt;22),1,0)</f>
        <v>0</v>
      </c>
      <c r="M1269" s="33">
        <f>IF(L1269=IF(Orders!V1266,1,0),1,0)</f>
        <v>1</v>
      </c>
      <c r="N1269" s="32" t="str">
        <f>IF(Orders!W1266="","None",Orders!W1266)</f>
        <v>None</v>
      </c>
      <c r="O1269" s="35">
        <f>INT(Orders!E1266)</f>
        <v>46272.0</v>
      </c>
      <c r="P1269" s="33">
        <f>Orders!U1266</f>
        <v>8</v>
      </c>
      <c r="Q1269" s="33">
        <f>COUNTIFS(Demand!$A$2:$A$4481,B1269,Demand!$B$2:$B$4481,O1269,Demand!$C$2:$C$4481,P1269)</f>
        <v>1</v>
      </c>
      <c r="R1269" s="33">
        <f>IF(Q1269=1,SUMIFS(Demand!$E$2:$E$4481,Demand!$A$2:$A$4481,B1269,Demand!$B$2:$B$4481,O1269,Demand!$C$2:$C$4481,P1269),"")</f>
        <v>32</v>
      </c>
      <c r="S1269" s="33">
        <f>INDEX(Stores!$G$2:$G$21,MATCH(B1269,Stores!$A$2:$A$21,0))</f>
        <v>42</v>
      </c>
      <c r="T1269" s="34">
        <f>IF(R1269="","",R1269/S1269)</f>
        <v>0.761904761904762</v>
      </c>
      <c r="U1269" s="34">
        <f>IF(E1269=1,T1269,"")</f>
        <v>0.761904761904762</v>
      </c>
      <c r="V1269" s="34">
        <f>IF(AND(E1269=1,L1269=0),T1269,"")</f>
        <v>0.761904761904762</v>
      </c>
      <c r="W1269" s="33">
        <f>IF(U1269="","",IF(U1269&lt;=Breakdowns!$C$5,1,IF(U1269&lt;=Breakdowns!$C$6,2,IF(U1269&lt;=Breakdowns!$C$7,3,4))))</f>
        <v>1</v>
      </c>
      <c r="X1269" s="33">
        <f>IF(V1269="","",IF(V1269&lt;=Breakdowns!$D$5,1,IF(V1269&lt;=Breakdowns!$D$6,2,IF(V1269&lt;=Breakdowns!$D$7,3,4))))</f>
        <v>2</v>
      </c>
      <c r="Y1269" s="34">
        <f>INDEX(Stores!$F$2:$F$21,MATCH(B1269,Stores!$A$2:$A$21,0))</f>
        <v>2.19</v>
      </c>
      <c r="Z1269" s="33">
        <f>IF(Y1269&gt;Store_Summary!$M$2,1,0)</f>
        <v>0</v>
      </c>
      <c r="AA1269" s="33">
        <f>INDEX(Stores!$C$2:$C$21,MATCH(B1269,Stores!$A$2:$A$21,0))</f>
        <v>850</v>
      </c>
      <c r="AB1269" s="33">
        <f>IF(AA1269&lt;180,1,0)</f>
        <v>0</v>
      </c>
      <c r="AC1269" s="32" t="str">
        <f>IF(Orders!D1266="","",INDEX(Riders!$C$2:$C$81,MATCH(Orders!D1266,Riders!$A$2:$A$81,0)))</f>
        <v>EV scooter</v>
      </c>
      <c r="AD1269" s="33">
        <f>IF(Orders!D1266="","",INDEX(Riders!$D$2:$D$81,MATCH(Orders!D1266,Riders!$A$2:$A$81,0)))</f>
        <v>45</v>
      </c>
      <c r="AE1269" s="33">
        <f>IF(Orders!D1266="","",IF(INDEX(Riders!$B$2:$B$81,MATCH(Orders!D1266,Riders!$A$2:$A$81,0))=B1269,1,0))</f>
        <v>0</v>
      </c>
      <c r="AF1269" s="34">
        <f>IF(E1269=1,Orders!L1266,"")</f>
        <v>1.66</v>
      </c>
      <c r="AG1269" s="34">
        <f>IF(E1269=1,Orders!P1266,"")</f>
        <v>9.7</v>
      </c>
      <c r="AH1269" s="34">
        <f>IF(E1269=1,Orders!Q1266,"")</f>
        <v>9.2</v>
      </c>
      <c r="AI1269" s="34">
        <f>IF(E1269=1,Orders!M1266,"")</f>
        <v>2.1</v>
      </c>
      <c r="AJ1269" s="34">
        <f>IF(E1269=1,Orders!N1266,"")</f>
        <v>4.4</v>
      </c>
      <c r="AK1269" s="34">
        <f>IF(E1269=1,Orders!O1266,"")</f>
        <v>2.7</v>
      </c>
      <c r="AL1269" s="33">
        <f>IF(E1269=1,IF(ROUND(ABS(AI1269+AJ1269+AK1269-AH1269),6)&lt;=0.1,1,0),"")</f>
        <v>1</v>
      </c>
      <c r="AM1269" s="36">
        <f>IF(E1269=1,AI1269/AH1269,"")</f>
        <v>0.228260869565217</v>
      </c>
      <c r="AN1269" s="36">
        <f>IF(E1269=1,AJ1269/AH1269,"")</f>
        <v>0.478260869565217</v>
      </c>
      <c r="AO1269" s="36">
        <f>IF(E1269=1,AK1269/AH1269,"")</f>
        <v>0.293478260869565</v>
      </c>
      <c r="AP1269" s="34">
        <f>IF(E1269=1,Orders!Y1266,"")</f>
        <v>0.09</v>
      </c>
      <c r="AQ1269" s="33">
        <f>IF(Orders!X1266,1,0)</f>
        <v>0</v>
      </c>
      <c r="AR1269" s="34" t="str">
        <f>IF(AND(E1269=1,L1269=1),AJ1269,"")</f>
        <v/>
      </c>
      <c r="AS1269" s="34">
        <f>IF(AND(E1269=1,L1269=0),AJ1269,"")</f>
        <v>4.4</v>
      </c>
      <c r="AT1269" s="34" t="str">
        <f>IF(AND(E1269=1,L1269=1),AI1269,"")</f>
        <v/>
      </c>
      <c r="AU1269" s="34">
        <f>IF(AND(E1269=1,L1269=0),AI1269,"")</f>
        <v>2.1</v>
      </c>
      <c r="AV1269" s="34" t="str">
        <f>IF(AND(E1269=1,L1269=1),AG1269,"")</f>
        <v/>
      </c>
      <c r="AW1269" s="34">
        <f>IF(AND(E1269=1,L1269=0),AG1269,"")</f>
        <v>9.7</v>
      </c>
      <c r="AX1269" s="34" t="str">
        <f>IF(AND(E1269=1,L1269=1),AH1269,"")</f>
        <v/>
      </c>
      <c r="AY1269" s="34">
        <f>IF(AND(E1269=1,L1269=0),AH1269,"")</f>
        <v>9.2</v>
      </c>
      <c r="AZ1269" s="34" t="str">
        <f>IF(G1269=1,F1269,"")</f>
        <v/>
      </c>
      <c r="BA1269" s="34" t="str">
        <f>IF(AND(G1269=1,L1269=1),F1269,"")</f>
        <v/>
      </c>
      <c r="BB1269" s="34" t="str">
        <f>IF(AND(G1269=1,L1269=0),F1269,"")</f>
        <v/>
      </c>
      <c r="BC1269" s="33">
        <f>IF(E1269=1,IF(Orders!R1266&gt;3,1,0),"")</f>
        <v>0</v>
      </c>
      <c r="BD1269" s="33">
        <f>IF(E1269=1,IF(Orders!R1266&gt;7,1,0),"")</f>
        <v>0</v>
      </c>
      <c r="BE1269" s="32" t="str">
        <f>IF(E1269=1,IF(Orders!L1266&lt;=1.5,"Up to 1.5 km",IF(Orders!L1266&lt;=3,"1.5–3 km","Over 3 km")),"")</f>
        <v>1.5–3 km</v>
      </c>
      <c r="BF1269" s="33">
        <f>IF(E1269=1,IF(ABS((Orders!G1266-Orders!F1266)*1440-Orders!R1266)&lt;0.06,1,0),"")</f>
        <v>1</v>
      </c>
      <c r="BG1269" s="33">
        <f>IF(ABS((Orders!F1266-Orders!E1266)*1440-Orders!P1266)&lt;0.06,1,0)</f>
        <v>1</v>
      </c>
      <c r="BH1269" s="33">
        <f>IF(E1269=1,IF(IF(Orders!S1266,1,0)=1-G1269,1,0),"")</f>
        <v>1</v>
      </c>
      <c r="BI1269" s="32" t="str">
        <f>INDEX(Stores!$B$2:$B$21,MATCH(B1269,Stores!$A$2:$A$21,0))</f>
        <v>Pune</v>
      </c>
    </row>
    <row r="1270">
      <c r="A1270" s="32" t="str">
        <f>Orders!A1267</f>
        <v>O01266</v>
      </c>
      <c r="B1270" s="32" t="str">
        <f>Orders!C1267</f>
        <v>S015</v>
      </c>
      <c r="C1270" s="32" t="str">
        <f>Orders!B1267</f>
        <v>C0212</v>
      </c>
      <c r="D1270" s="32" t="str">
        <f>Orders!H1267</f>
        <v>Delivered</v>
      </c>
      <c r="E1270" s="33">
        <f>IF(Orders!H1267="Delivered",1,0)</f>
        <v>1</v>
      </c>
      <c r="F1270" s="34">
        <f>IF(E1270=1,Orders!R1267,"")</f>
        <v>-1.2</v>
      </c>
      <c r="G1270" s="33">
        <f>IF(E1270=1,IF(Orders!R1267&gt;0,1,0),"")</f>
        <v>0</v>
      </c>
      <c r="H1270" s="33">
        <f>IF(E1270=1,IF(Orders!R1267&gt;5,1,0),"")</f>
        <v>0</v>
      </c>
      <c r="I1270" s="32" t="str">
        <f>IF(E1270=1,"",IF(OR(Orders!T1267="Rider unavailable",Orders!T1267="Item unavailable"),"Company-caused","Unresolved"))</f>
        <v/>
      </c>
      <c r="J1270" s="33">
        <f>IF(OR(E1270=1,I1270="Company-caused"),1,0)</f>
        <v>1</v>
      </c>
      <c r="K1270" s="32" t="str">
        <f>IF(E1270=0,IF(I1270="Company-caused",IF(Orders!T1267="Rider unavailable","C1 Rider unavailable","C2 Item unavailable"),"Outside root: unresolved"),IF(G1270=0,"A On time",IF(H1270=1,IF(L1270=1,"B2a Severe, peak","B2b Severe, off-peak"),IF(L1270=1,"B1a Slight, peak","B1b Slight, off-peak"))))</f>
        <v>A On time</v>
      </c>
      <c r="L1270" s="33">
        <f>IF(AND(Orders!U1267&gt;=19,Orders!U1267&lt;22),1,0)</f>
        <v>0</v>
      </c>
      <c r="M1270" s="33">
        <f>IF(L1270=IF(Orders!V1267,1,0),1,0)</f>
        <v>1</v>
      </c>
      <c r="N1270" s="32" t="str">
        <f>IF(Orders!W1267="","None",Orders!W1267)</f>
        <v>None</v>
      </c>
      <c r="O1270" s="35">
        <f>INT(Orders!E1267)</f>
        <v>46268.0</v>
      </c>
      <c r="P1270" s="33">
        <f>Orders!U1267</f>
        <v>23</v>
      </c>
      <c r="Q1270" s="33">
        <f>COUNTIFS(Demand!$A$2:$A$4481,B1270,Demand!$B$2:$B$4481,O1270,Demand!$C$2:$C$4481,P1270)</f>
        <v>1</v>
      </c>
      <c r="R1270" s="33">
        <f>IF(Q1270=1,SUMIFS(Demand!$E$2:$E$4481,Demand!$A$2:$A$4481,B1270,Demand!$B$2:$B$4481,O1270,Demand!$C$2:$C$4481,P1270),"")</f>
        <v>20</v>
      </c>
      <c r="S1270" s="33">
        <f>INDEX(Stores!$G$2:$G$21,MATCH(B1270,Stores!$A$2:$A$21,0))</f>
        <v>23</v>
      </c>
      <c r="T1270" s="34">
        <f>IF(R1270="","",R1270/S1270)</f>
        <v>0.869565217391304</v>
      </c>
      <c r="U1270" s="34">
        <f>IF(E1270=1,T1270,"")</f>
        <v>0.869565217391304</v>
      </c>
      <c r="V1270" s="34">
        <f>IF(AND(E1270=1,L1270=0),T1270,"")</f>
        <v>0.869565217391304</v>
      </c>
      <c r="W1270" s="33">
        <f>IF(U1270="","",IF(U1270&lt;=Breakdowns!$C$5,1,IF(U1270&lt;=Breakdowns!$C$6,2,IF(U1270&lt;=Breakdowns!$C$7,3,4))))</f>
        <v>2</v>
      </c>
      <c r="X1270" s="33">
        <f>IF(V1270="","",IF(V1270&lt;=Breakdowns!$D$5,1,IF(V1270&lt;=Breakdowns!$D$6,2,IF(V1270&lt;=Breakdowns!$D$7,3,4))))</f>
        <v>2</v>
      </c>
      <c r="Y1270" s="34">
        <f>INDEX(Stores!$F$2:$F$21,MATCH(B1270,Stores!$A$2:$A$21,0))</f>
        <v>4.66</v>
      </c>
      <c r="Z1270" s="33">
        <f>IF(Y1270&gt;Store_Summary!$M$2,1,0)</f>
        <v>0</v>
      </c>
      <c r="AA1270" s="33">
        <f>INDEX(Stores!$C$2:$C$21,MATCH(B1270,Stores!$A$2:$A$21,0))</f>
        <v>204</v>
      </c>
      <c r="AB1270" s="33">
        <f>IF(AA1270&lt;180,1,0)</f>
        <v>0</v>
      </c>
      <c r="AC1270" s="32" t="str">
        <f>IF(Orders!D1267="","",INDEX(Riders!$C$2:$C$81,MATCH(Orders!D1267,Riders!$A$2:$A$81,0)))</f>
        <v>Petrol scooter</v>
      </c>
      <c r="AD1270" s="33">
        <f>IF(Orders!D1267="","",INDEX(Riders!$D$2:$D$81,MATCH(Orders!D1267,Riders!$A$2:$A$81,0)))</f>
        <v>6</v>
      </c>
      <c r="AE1270" s="33">
        <f>IF(Orders!D1267="","",IF(INDEX(Riders!$B$2:$B$81,MATCH(Orders!D1267,Riders!$A$2:$A$81,0))=B1270,1,0))</f>
        <v>0</v>
      </c>
      <c r="AF1270" s="34">
        <f>IF(E1270=1,Orders!L1267,"")</f>
        <v>3.6</v>
      </c>
      <c r="AG1270" s="34">
        <f>IF(E1270=1,Orders!P1267,"")</f>
        <v>10.5</v>
      </c>
      <c r="AH1270" s="34">
        <f>IF(E1270=1,Orders!Q1267,"")</f>
        <v>9.3</v>
      </c>
      <c r="AI1270" s="34">
        <f>IF(E1270=1,Orders!M1267,"")</f>
        <v>3.4</v>
      </c>
      <c r="AJ1270" s="34">
        <f>IF(E1270=1,Orders!N1267,"")</f>
        <v>1.1</v>
      </c>
      <c r="AK1270" s="34">
        <f>IF(E1270=1,Orders!O1267,"")</f>
        <v>4.8</v>
      </c>
      <c r="AL1270" s="33">
        <f>IF(E1270=1,IF(ROUND(ABS(AI1270+AJ1270+AK1270-AH1270),6)&lt;=0.1,1,0),"")</f>
        <v>1</v>
      </c>
      <c r="AM1270" s="36">
        <f>IF(E1270=1,AI1270/AH1270,"")</f>
        <v>0.365591397849462</v>
      </c>
      <c r="AN1270" s="36">
        <f>IF(E1270=1,AJ1270/AH1270,"")</f>
        <v>0.118279569892473</v>
      </c>
      <c r="AO1270" s="36">
        <f>IF(E1270=1,AK1270/AH1270,"")</f>
        <v>0.516129032258065</v>
      </c>
      <c r="AP1270" s="34">
        <f>IF(E1270=1,Orders!Y1267,"")</f>
        <v>0.3</v>
      </c>
      <c r="AQ1270" s="33">
        <f>IF(Orders!X1267,1,0)</f>
        <v>0</v>
      </c>
      <c r="AR1270" s="34" t="str">
        <f>IF(AND(E1270=1,L1270=1),AJ1270,"")</f>
        <v/>
      </c>
      <c r="AS1270" s="34">
        <f>IF(AND(E1270=1,L1270=0),AJ1270,"")</f>
        <v>1.1</v>
      </c>
      <c r="AT1270" s="34" t="str">
        <f>IF(AND(E1270=1,L1270=1),AI1270,"")</f>
        <v/>
      </c>
      <c r="AU1270" s="34">
        <f>IF(AND(E1270=1,L1270=0),AI1270,"")</f>
        <v>3.4</v>
      </c>
      <c r="AV1270" s="34" t="str">
        <f>IF(AND(E1270=1,L1270=1),AG1270,"")</f>
        <v/>
      </c>
      <c r="AW1270" s="34">
        <f>IF(AND(E1270=1,L1270=0),AG1270,"")</f>
        <v>10.5</v>
      </c>
      <c r="AX1270" s="34" t="str">
        <f>IF(AND(E1270=1,L1270=1),AH1270,"")</f>
        <v/>
      </c>
      <c r="AY1270" s="34">
        <f>IF(AND(E1270=1,L1270=0),AH1270,"")</f>
        <v>9.3</v>
      </c>
      <c r="AZ1270" s="34" t="str">
        <f>IF(G1270=1,F1270,"")</f>
        <v/>
      </c>
      <c r="BA1270" s="34" t="str">
        <f>IF(AND(G1270=1,L1270=1),F1270,"")</f>
        <v/>
      </c>
      <c r="BB1270" s="34" t="str">
        <f>IF(AND(G1270=1,L1270=0),F1270,"")</f>
        <v/>
      </c>
      <c r="BC1270" s="33">
        <f>IF(E1270=1,IF(Orders!R1267&gt;3,1,0),"")</f>
        <v>0</v>
      </c>
      <c r="BD1270" s="33">
        <f>IF(E1270=1,IF(Orders!R1267&gt;7,1,0),"")</f>
        <v>0</v>
      </c>
      <c r="BE1270" s="32" t="str">
        <f>IF(E1270=1,IF(Orders!L1267&lt;=1.5,"Up to 1.5 km",IF(Orders!L1267&lt;=3,"1.5–3 km","Over 3 km")),"")</f>
        <v>Over 3 km</v>
      </c>
      <c r="BF1270" s="33">
        <f>IF(E1270=1,IF(ABS((Orders!G1267-Orders!F1267)*1440-Orders!R1267)&lt;0.06,1,0),"")</f>
        <v>1</v>
      </c>
      <c r="BG1270" s="33">
        <f>IF(ABS((Orders!F1267-Orders!E1267)*1440-Orders!P1267)&lt;0.06,1,0)</f>
        <v>1</v>
      </c>
      <c r="BH1270" s="33">
        <f>IF(E1270=1,IF(IF(Orders!S1267,1,0)=1-G1270,1,0),"")</f>
        <v>1</v>
      </c>
      <c r="BI1270" s="32" t="str">
        <f>INDEX(Stores!$B$2:$B$21,MATCH(B1270,Stores!$A$2:$A$21,0))</f>
        <v>Delhi</v>
      </c>
    </row>
    <row r="1271">
      <c r="A1271" s="32" t="str">
        <f>Orders!A1268</f>
        <v>O01267</v>
      </c>
      <c r="B1271" s="32" t="str">
        <f>Orders!C1268</f>
        <v>S008</v>
      </c>
      <c r="C1271" s="32" t="str">
        <f>Orders!B1268</f>
        <v>C0172</v>
      </c>
      <c r="D1271" s="32" t="str">
        <f>Orders!H1268</f>
        <v>Delivered</v>
      </c>
      <c r="E1271" s="33">
        <f>IF(Orders!H1268="Delivered",1,0)</f>
        <v>1</v>
      </c>
      <c r="F1271" s="34">
        <f>IF(E1271=1,Orders!R1268,"")</f>
        <v>7.9</v>
      </c>
      <c r="G1271" s="33">
        <f>IF(E1271=1,IF(Orders!R1268&gt;0,1,0),"")</f>
        <v>1</v>
      </c>
      <c r="H1271" s="33">
        <f>IF(E1271=1,IF(Orders!R1268&gt;5,1,0),"")</f>
        <v>1</v>
      </c>
      <c r="I1271" s="32" t="str">
        <f>IF(E1271=1,"",IF(OR(Orders!T1268="Rider unavailable",Orders!T1268="Item unavailable"),"Company-caused","Unresolved"))</f>
        <v/>
      </c>
      <c r="J1271" s="33">
        <f>IF(OR(E1271=1,I1271="Company-caused"),1,0)</f>
        <v>1</v>
      </c>
      <c r="K1271" s="32" t="str">
        <f>IF(E1271=0,IF(I1271="Company-caused",IF(Orders!T1268="Rider unavailable","C1 Rider unavailable","C2 Item unavailable"),"Outside root: unresolved"),IF(G1271=0,"A On time",IF(H1271=1,IF(L1271=1,"B2a Severe, peak","B2b Severe, off-peak"),IF(L1271=1,"B1a Slight, peak","B1b Slight, off-peak"))))</f>
        <v>B2b Severe, off-peak</v>
      </c>
      <c r="L1271" s="33">
        <f>IF(AND(Orders!U1268&gt;=19,Orders!U1268&lt;22),1,0)</f>
        <v>0</v>
      </c>
      <c r="M1271" s="33">
        <f>IF(L1271=IF(Orders!V1268,1,0),1,0)</f>
        <v>1</v>
      </c>
      <c r="N1271" s="32" t="str">
        <f>IF(Orders!W1268="","None",Orders!W1268)</f>
        <v>Light</v>
      </c>
      <c r="O1271" s="35">
        <f>INT(Orders!E1268)</f>
        <v>46270.0</v>
      </c>
      <c r="P1271" s="33">
        <f>Orders!U1268</f>
        <v>18</v>
      </c>
      <c r="Q1271" s="33">
        <f>COUNTIFS(Demand!$A$2:$A$4481,B1271,Demand!$B$2:$B$4481,O1271,Demand!$C$2:$C$4481,P1271)</f>
        <v>1</v>
      </c>
      <c r="R1271" s="33">
        <f>IF(Q1271=1,SUMIFS(Demand!$E$2:$E$4481,Demand!$A$2:$A$4481,B1271,Demand!$B$2:$B$4481,O1271,Demand!$C$2:$C$4481,P1271),"")</f>
        <v>21</v>
      </c>
      <c r="S1271" s="33">
        <f>INDEX(Stores!$G$2:$G$21,MATCH(B1271,Stores!$A$2:$A$21,0))</f>
        <v>23</v>
      </c>
      <c r="T1271" s="34">
        <f>IF(R1271="","",R1271/S1271)</f>
        <v>0.91304347826087</v>
      </c>
      <c r="U1271" s="34">
        <f>IF(E1271=1,T1271,"")</f>
        <v>0.91304347826087</v>
      </c>
      <c r="V1271" s="34">
        <f>IF(AND(E1271=1,L1271=0),T1271,"")</f>
        <v>0.91304347826087</v>
      </c>
      <c r="W1271" s="33">
        <f>IF(U1271="","",IF(U1271&lt;=Breakdowns!$C$5,1,IF(U1271&lt;=Breakdowns!$C$6,2,IF(U1271&lt;=Breakdowns!$C$7,3,4))))</f>
        <v>2</v>
      </c>
      <c r="X1271" s="33">
        <f>IF(V1271="","",IF(V1271&lt;=Breakdowns!$D$5,1,IF(V1271&lt;=Breakdowns!$D$6,2,IF(V1271&lt;=Breakdowns!$D$7,3,4))))</f>
        <v>2</v>
      </c>
      <c r="Y1271" s="34">
        <f>INDEX(Stores!$F$2:$F$21,MATCH(B1271,Stores!$A$2:$A$21,0))</f>
        <v>3.46</v>
      </c>
      <c r="Z1271" s="33">
        <f>IF(Y1271&gt;Store_Summary!$M$2,1,0)</f>
        <v>0</v>
      </c>
      <c r="AA1271" s="33">
        <f>INDEX(Stores!$C$2:$C$21,MATCH(B1271,Stores!$A$2:$A$21,0))</f>
        <v>825</v>
      </c>
      <c r="AB1271" s="33">
        <f>IF(AA1271&lt;180,1,0)</f>
        <v>0</v>
      </c>
      <c r="AC1271" s="32" t="str">
        <f>IF(Orders!D1268="","",INDEX(Riders!$C$2:$C$81,MATCH(Orders!D1268,Riders!$A$2:$A$81,0)))</f>
        <v>EV scooter</v>
      </c>
      <c r="AD1271" s="33">
        <f>IF(Orders!D1268="","",INDEX(Riders!$D$2:$D$81,MATCH(Orders!D1268,Riders!$A$2:$A$81,0)))</f>
        <v>21</v>
      </c>
      <c r="AE1271" s="33">
        <f>IF(Orders!D1268="","",IF(INDEX(Riders!$B$2:$B$81,MATCH(Orders!D1268,Riders!$A$2:$A$81,0))=B1271,1,0))</f>
        <v>0</v>
      </c>
      <c r="AF1271" s="34">
        <f>IF(E1271=1,Orders!L1268,"")</f>
        <v>2.65</v>
      </c>
      <c r="AG1271" s="34">
        <f>IF(E1271=1,Orders!P1268,"")</f>
        <v>9.8</v>
      </c>
      <c r="AH1271" s="34">
        <f>IF(E1271=1,Orders!Q1268,"")</f>
        <v>17.7</v>
      </c>
      <c r="AI1271" s="34">
        <f>IF(E1271=1,Orders!M1268,"")</f>
        <v>3.6</v>
      </c>
      <c r="AJ1271" s="34">
        <f>IF(E1271=1,Orders!N1268,"")</f>
        <v>6.6</v>
      </c>
      <c r="AK1271" s="34">
        <f>IF(E1271=1,Orders!O1268,"")</f>
        <v>7.5</v>
      </c>
      <c r="AL1271" s="33">
        <f>IF(E1271=1,IF(ROUND(ABS(AI1271+AJ1271+AK1271-AH1271),6)&lt;=0.1,1,0),"")</f>
        <v>1</v>
      </c>
      <c r="AM1271" s="36">
        <f>IF(E1271=1,AI1271/AH1271,"")</f>
        <v>0.203389830508475</v>
      </c>
      <c r="AN1271" s="36">
        <f>IF(E1271=1,AJ1271/AH1271,"")</f>
        <v>0.372881355932203</v>
      </c>
      <c r="AO1271" s="36">
        <f>IF(E1271=1,AK1271/AH1271,"")</f>
        <v>0.423728813559322</v>
      </c>
      <c r="AP1271" s="34">
        <f>IF(E1271=1,Orders!Y1268,"")</f>
        <v>0.38</v>
      </c>
      <c r="AQ1271" s="33">
        <f>IF(Orders!X1268,1,0)</f>
        <v>0</v>
      </c>
      <c r="AR1271" s="34" t="str">
        <f>IF(AND(E1271=1,L1271=1),AJ1271,"")</f>
        <v/>
      </c>
      <c r="AS1271" s="34">
        <f>IF(AND(E1271=1,L1271=0),AJ1271,"")</f>
        <v>6.6</v>
      </c>
      <c r="AT1271" s="34" t="str">
        <f>IF(AND(E1271=1,L1271=1),AI1271,"")</f>
        <v/>
      </c>
      <c r="AU1271" s="34">
        <f>IF(AND(E1271=1,L1271=0),AI1271,"")</f>
        <v>3.6</v>
      </c>
      <c r="AV1271" s="34" t="str">
        <f>IF(AND(E1271=1,L1271=1),AG1271,"")</f>
        <v/>
      </c>
      <c r="AW1271" s="34">
        <f>IF(AND(E1271=1,L1271=0),AG1271,"")</f>
        <v>9.8</v>
      </c>
      <c r="AX1271" s="34" t="str">
        <f>IF(AND(E1271=1,L1271=1),AH1271,"")</f>
        <v/>
      </c>
      <c r="AY1271" s="34">
        <f>IF(AND(E1271=1,L1271=0),AH1271,"")</f>
        <v>17.7</v>
      </c>
      <c r="AZ1271" s="34">
        <f>IF(G1271=1,F1271,"")</f>
        <v>7.9</v>
      </c>
      <c r="BA1271" s="34" t="str">
        <f>IF(AND(G1271=1,L1271=1),F1271,"")</f>
        <v/>
      </c>
      <c r="BB1271" s="34">
        <f>IF(AND(G1271=1,L1271=0),F1271,"")</f>
        <v>7.9</v>
      </c>
      <c r="BC1271" s="33">
        <f>IF(E1271=1,IF(Orders!R1268&gt;3,1,0),"")</f>
        <v>1</v>
      </c>
      <c r="BD1271" s="33">
        <f>IF(E1271=1,IF(Orders!R1268&gt;7,1,0),"")</f>
        <v>1</v>
      </c>
      <c r="BE1271" s="32" t="str">
        <f>IF(E1271=1,IF(Orders!L1268&lt;=1.5,"Up to 1.5 km",IF(Orders!L1268&lt;=3,"1.5–3 km","Over 3 km")),"")</f>
        <v>1.5–3 km</v>
      </c>
      <c r="BF1271" s="33">
        <f>IF(E1271=1,IF(ABS((Orders!G1268-Orders!F1268)*1440-Orders!R1268)&lt;0.06,1,0),"")</f>
        <v>1</v>
      </c>
      <c r="BG1271" s="33">
        <f>IF(ABS((Orders!F1268-Orders!E1268)*1440-Orders!P1268)&lt;0.06,1,0)</f>
        <v>1</v>
      </c>
      <c r="BH1271" s="33">
        <f>IF(E1271=1,IF(IF(Orders!S1268,1,0)=1-G1271,1,0),"")</f>
        <v>1</v>
      </c>
      <c r="BI1271" s="32" t="str">
        <f>INDEX(Stores!$B$2:$B$21,MATCH(B1271,Stores!$A$2:$A$21,0))</f>
        <v>Mumbai</v>
      </c>
    </row>
    <row r="1272">
      <c r="A1272" s="32" t="str">
        <f>Orders!A1269</f>
        <v>O01268</v>
      </c>
      <c r="B1272" s="32" t="str">
        <f>Orders!C1269</f>
        <v>S005</v>
      </c>
      <c r="C1272" s="32" t="str">
        <f>Orders!B1269</f>
        <v>C0188</v>
      </c>
      <c r="D1272" s="32" t="str">
        <f>Orders!H1269</f>
        <v>Delivered</v>
      </c>
      <c r="E1272" s="33">
        <f>IF(Orders!H1269="Delivered",1,0)</f>
        <v>1</v>
      </c>
      <c r="F1272" s="34">
        <f>IF(E1272=1,Orders!R1269,"")</f>
        <v>10.6</v>
      </c>
      <c r="G1272" s="33">
        <f>IF(E1272=1,IF(Orders!R1269&gt;0,1,0),"")</f>
        <v>1</v>
      </c>
      <c r="H1272" s="33">
        <f>IF(E1272=1,IF(Orders!R1269&gt;5,1,0),"")</f>
        <v>1</v>
      </c>
      <c r="I1272" s="32" t="str">
        <f>IF(E1272=1,"",IF(OR(Orders!T1269="Rider unavailable",Orders!T1269="Item unavailable"),"Company-caused","Unresolved"))</f>
        <v/>
      </c>
      <c r="J1272" s="33">
        <f>IF(OR(E1272=1,I1272="Company-caused"),1,0)</f>
        <v>1</v>
      </c>
      <c r="K1272" s="32" t="str">
        <f>IF(E1272=0,IF(I1272="Company-caused",IF(Orders!T1269="Rider unavailable","C1 Rider unavailable","C2 Item unavailable"),"Outside root: unresolved"),IF(G1272=0,"A On time",IF(H1272=1,IF(L1272=1,"B2a Severe, peak","B2b Severe, off-peak"),IF(L1272=1,"B1a Slight, peak","B1b Slight, off-peak"))))</f>
        <v>B2a Severe, peak</v>
      </c>
      <c r="L1272" s="33">
        <f>IF(AND(Orders!U1269&gt;=19,Orders!U1269&lt;22),1,0)</f>
        <v>1</v>
      </c>
      <c r="M1272" s="33">
        <f>IF(L1272=IF(Orders!V1269,1,0),1,0)</f>
        <v>1</v>
      </c>
      <c r="N1272" s="32" t="str">
        <f>IF(Orders!W1269="","None",Orders!W1269)</f>
        <v>None</v>
      </c>
      <c r="O1272" s="35">
        <f>INT(Orders!E1269)</f>
        <v>46273.0</v>
      </c>
      <c r="P1272" s="33">
        <f>Orders!U1269</f>
        <v>19</v>
      </c>
      <c r="Q1272" s="33">
        <f>COUNTIFS(Demand!$A$2:$A$4481,B1272,Demand!$B$2:$B$4481,O1272,Demand!$C$2:$C$4481,P1272)</f>
        <v>1</v>
      </c>
      <c r="R1272" s="33">
        <f>IF(Q1272=1,SUMIFS(Demand!$E$2:$E$4481,Demand!$A$2:$A$4481,B1272,Demand!$B$2:$B$4481,O1272,Demand!$C$2:$C$4481,P1272),"")</f>
        <v>15</v>
      </c>
      <c r="S1272" s="33">
        <f>INDEX(Stores!$G$2:$G$21,MATCH(B1272,Stores!$A$2:$A$21,0))</f>
        <v>14</v>
      </c>
      <c r="T1272" s="34">
        <f>IF(R1272="","",R1272/S1272)</f>
        <v>1.07142857142857</v>
      </c>
      <c r="U1272" s="34">
        <f>IF(E1272=1,T1272,"")</f>
        <v>1.07142857142857</v>
      </c>
      <c r="V1272" s="34" t="str">
        <f>IF(AND(E1272=1,L1272=0),T1272,"")</f>
        <v/>
      </c>
      <c r="W1272" s="33">
        <f>IF(U1272="","",IF(U1272&lt;=Breakdowns!$C$5,1,IF(U1272&lt;=Breakdowns!$C$6,2,IF(U1272&lt;=Breakdowns!$C$7,3,4))))</f>
        <v>3</v>
      </c>
      <c r="X1272" s="33" t="str">
        <f>IF(V1272="","",IF(V1272&lt;=Breakdowns!$D$5,1,IF(V1272&lt;=Breakdowns!$D$6,2,IF(V1272&lt;=Breakdowns!$D$7,3,4))))</f>
        <v/>
      </c>
      <c r="Y1272" s="34">
        <f>INDEX(Stores!$F$2:$F$21,MATCH(B1272,Stores!$A$2:$A$21,0))</f>
        <v>4.89</v>
      </c>
      <c r="Z1272" s="33">
        <f>IF(Y1272&gt;Store_Summary!$M$2,1,0)</f>
        <v>0</v>
      </c>
      <c r="AA1272" s="33">
        <f>INDEX(Stores!$C$2:$C$21,MATCH(B1272,Stores!$A$2:$A$21,0))</f>
        <v>138</v>
      </c>
      <c r="AB1272" s="33">
        <f>IF(AA1272&lt;180,1,0)</f>
        <v>1</v>
      </c>
      <c r="AC1272" s="32" t="str">
        <f>IF(Orders!D1269="","",INDEX(Riders!$C$2:$C$81,MATCH(Orders!D1269,Riders!$A$2:$A$81,0)))</f>
        <v>EV scooter</v>
      </c>
      <c r="AD1272" s="33">
        <f>IF(Orders!D1269="","",INDEX(Riders!$D$2:$D$81,MATCH(Orders!D1269,Riders!$A$2:$A$81,0)))</f>
        <v>1</v>
      </c>
      <c r="AE1272" s="33">
        <f>IF(Orders!D1269="","",IF(INDEX(Riders!$B$2:$B$81,MATCH(Orders!D1269,Riders!$A$2:$A$81,0))=B1272,1,0))</f>
        <v>0</v>
      </c>
      <c r="AF1272" s="34">
        <f>IF(E1272=1,Orders!L1269,"")</f>
        <v>2.37</v>
      </c>
      <c r="AG1272" s="34">
        <f>IF(E1272=1,Orders!P1269,"")</f>
        <v>8.1</v>
      </c>
      <c r="AH1272" s="34">
        <f>IF(E1272=1,Orders!Q1269,"")</f>
        <v>18.7</v>
      </c>
      <c r="AI1272" s="34">
        <f>IF(E1272=1,Orders!M1269,"")</f>
        <v>3.3</v>
      </c>
      <c r="AJ1272" s="34">
        <f>IF(E1272=1,Orders!N1269,"")</f>
        <v>8</v>
      </c>
      <c r="AK1272" s="34">
        <f>IF(E1272=1,Orders!O1269,"")</f>
        <v>7.5</v>
      </c>
      <c r="AL1272" s="33">
        <f>IF(E1272=1,IF(ROUND(ABS(AI1272+AJ1272+AK1272-AH1272),6)&lt;=0.1,1,0),"")</f>
        <v>1</v>
      </c>
      <c r="AM1272" s="36">
        <f>IF(E1272=1,AI1272/AH1272,"")</f>
        <v>0.176470588235294</v>
      </c>
      <c r="AN1272" s="36">
        <f>IF(E1272=1,AJ1272/AH1272,"")</f>
        <v>0.427807486631016</v>
      </c>
      <c r="AO1272" s="36">
        <f>IF(E1272=1,AK1272/AH1272,"")</f>
        <v>0.401069518716578</v>
      </c>
      <c r="AP1272" s="34">
        <f>IF(E1272=1,Orders!Y1269,"")</f>
        <v>0.8</v>
      </c>
      <c r="AQ1272" s="33">
        <f>IF(Orders!X1269,1,0)</f>
        <v>0</v>
      </c>
      <c r="AR1272" s="34">
        <f>IF(AND(E1272=1,L1272=1),AJ1272,"")</f>
        <v>8</v>
      </c>
      <c r="AS1272" s="34" t="str">
        <f>IF(AND(E1272=1,L1272=0),AJ1272,"")</f>
        <v/>
      </c>
      <c r="AT1272" s="34">
        <f>IF(AND(E1272=1,L1272=1),AI1272,"")</f>
        <v>3.3</v>
      </c>
      <c r="AU1272" s="34" t="str">
        <f>IF(AND(E1272=1,L1272=0),AI1272,"")</f>
        <v/>
      </c>
      <c r="AV1272" s="34">
        <f>IF(AND(E1272=1,L1272=1),AG1272,"")</f>
        <v>8.1</v>
      </c>
      <c r="AW1272" s="34" t="str">
        <f>IF(AND(E1272=1,L1272=0),AG1272,"")</f>
        <v/>
      </c>
      <c r="AX1272" s="34">
        <f>IF(AND(E1272=1,L1272=1),AH1272,"")</f>
        <v>18.7</v>
      </c>
      <c r="AY1272" s="34" t="str">
        <f>IF(AND(E1272=1,L1272=0),AH1272,"")</f>
        <v/>
      </c>
      <c r="AZ1272" s="34">
        <f>IF(G1272=1,F1272,"")</f>
        <v>10.6</v>
      </c>
      <c r="BA1272" s="34">
        <f>IF(AND(G1272=1,L1272=1),F1272,"")</f>
        <v>10.6</v>
      </c>
      <c r="BB1272" s="34" t="str">
        <f>IF(AND(G1272=1,L1272=0),F1272,"")</f>
        <v/>
      </c>
      <c r="BC1272" s="33">
        <f>IF(E1272=1,IF(Orders!R1269&gt;3,1,0),"")</f>
        <v>1</v>
      </c>
      <c r="BD1272" s="33">
        <f>IF(E1272=1,IF(Orders!R1269&gt;7,1,0),"")</f>
        <v>1</v>
      </c>
      <c r="BE1272" s="32" t="str">
        <f>IF(E1272=1,IF(Orders!L1269&lt;=1.5,"Up to 1.5 km",IF(Orders!L1269&lt;=3,"1.5–3 km","Over 3 km")),"")</f>
        <v>1.5–3 km</v>
      </c>
      <c r="BF1272" s="33">
        <f>IF(E1272=1,IF(ABS((Orders!G1269-Orders!F1269)*1440-Orders!R1269)&lt;0.06,1,0),"")</f>
        <v>1</v>
      </c>
      <c r="BG1272" s="33">
        <f>IF(ABS((Orders!F1269-Orders!E1269)*1440-Orders!P1269)&lt;0.06,1,0)</f>
        <v>1</v>
      </c>
      <c r="BH1272" s="33">
        <f>IF(E1272=1,IF(IF(Orders!S1269,1,0)=1-G1272,1,0),"")</f>
        <v>1</v>
      </c>
      <c r="BI1272" s="32" t="str">
        <f>INDEX(Stores!$B$2:$B$21,MATCH(B1272,Stores!$A$2:$A$21,0))</f>
        <v>Delhi</v>
      </c>
    </row>
    <row r="1273">
      <c r="A1273" s="32" t="str">
        <f>Orders!A1270</f>
        <v>O01269</v>
      </c>
      <c r="B1273" s="32" t="str">
        <f>Orders!C1270</f>
        <v>S003</v>
      </c>
      <c r="C1273" s="32" t="str">
        <f>Orders!B1270</f>
        <v>C0201</v>
      </c>
      <c r="D1273" s="32" t="str">
        <f>Orders!H1270</f>
        <v>Delivered</v>
      </c>
      <c r="E1273" s="33">
        <f>IF(Orders!H1270="Delivered",1,0)</f>
        <v>1</v>
      </c>
      <c r="F1273" s="34">
        <f>IF(E1273=1,Orders!R1270,"")</f>
        <v>-1</v>
      </c>
      <c r="G1273" s="33">
        <f>IF(E1273=1,IF(Orders!R1270&gt;0,1,0),"")</f>
        <v>0</v>
      </c>
      <c r="H1273" s="33">
        <f>IF(E1273=1,IF(Orders!R1270&gt;5,1,0),"")</f>
        <v>0</v>
      </c>
      <c r="I1273" s="32" t="str">
        <f>IF(E1273=1,"",IF(OR(Orders!T1270="Rider unavailable",Orders!T1270="Item unavailable"),"Company-caused","Unresolved"))</f>
        <v/>
      </c>
      <c r="J1273" s="33">
        <f>IF(OR(E1273=1,I1273="Company-caused"),1,0)</f>
        <v>1</v>
      </c>
      <c r="K1273" s="32" t="str">
        <f>IF(E1273=0,IF(I1273="Company-caused",IF(Orders!T1270="Rider unavailable","C1 Rider unavailable","C2 Item unavailable"),"Outside root: unresolved"),IF(G1273=0,"A On time",IF(H1273=1,IF(L1273=1,"B2a Severe, peak","B2b Severe, off-peak"),IF(L1273=1,"B1a Slight, peak","B1b Slight, off-peak"))))</f>
        <v>A On time</v>
      </c>
      <c r="L1273" s="33">
        <f>IF(AND(Orders!U1270&gt;=19,Orders!U1270&lt;22),1,0)</f>
        <v>1</v>
      </c>
      <c r="M1273" s="33">
        <f>IF(L1273=IF(Orders!V1270,1,0),1,0)</f>
        <v>1</v>
      </c>
      <c r="N1273" s="32" t="str">
        <f>IF(Orders!W1270="","None",Orders!W1270)</f>
        <v>None</v>
      </c>
      <c r="O1273" s="35">
        <f>INT(Orders!E1270)</f>
        <v>46269.0</v>
      </c>
      <c r="P1273" s="33">
        <f>Orders!U1270</f>
        <v>20</v>
      </c>
      <c r="Q1273" s="33">
        <f>COUNTIFS(Demand!$A$2:$A$4481,B1273,Demand!$B$2:$B$4481,O1273,Demand!$C$2:$C$4481,P1273)</f>
        <v>1</v>
      </c>
      <c r="R1273" s="33">
        <f>IF(Q1273=1,SUMIFS(Demand!$E$2:$E$4481,Demand!$A$2:$A$4481,B1273,Demand!$B$2:$B$4481,O1273,Demand!$C$2:$C$4481,P1273),"")</f>
        <v>79</v>
      </c>
      <c r="S1273" s="33">
        <f>INDEX(Stores!$G$2:$G$21,MATCH(B1273,Stores!$A$2:$A$21,0))</f>
        <v>41</v>
      </c>
      <c r="T1273" s="34">
        <f>IF(R1273="","",R1273/S1273)</f>
        <v>1.92682926829268</v>
      </c>
      <c r="U1273" s="34">
        <f>IF(E1273=1,T1273,"")</f>
        <v>1.92682926829268</v>
      </c>
      <c r="V1273" s="34" t="str">
        <f>IF(AND(E1273=1,L1273=0),T1273,"")</f>
        <v/>
      </c>
      <c r="W1273" s="33">
        <f>IF(U1273="","",IF(U1273&lt;=Breakdowns!$C$5,1,IF(U1273&lt;=Breakdowns!$C$6,2,IF(U1273&lt;=Breakdowns!$C$7,3,4))))</f>
        <v>4</v>
      </c>
      <c r="X1273" s="33" t="str">
        <f>IF(V1273="","",IF(V1273&lt;=Breakdowns!$D$5,1,IF(V1273&lt;=Breakdowns!$D$6,2,IF(V1273&lt;=Breakdowns!$D$7,3,4))))</f>
        <v/>
      </c>
      <c r="Y1273" s="34">
        <f>INDEX(Stores!$F$2:$F$21,MATCH(B1273,Stores!$A$2:$A$21,0))</f>
        <v>3.84</v>
      </c>
      <c r="Z1273" s="33">
        <f>IF(Y1273&gt;Store_Summary!$M$2,1,0)</f>
        <v>0</v>
      </c>
      <c r="AA1273" s="33">
        <f>INDEX(Stores!$C$2:$C$21,MATCH(B1273,Stores!$A$2:$A$21,0))</f>
        <v>426</v>
      </c>
      <c r="AB1273" s="33">
        <f>IF(AA1273&lt;180,1,0)</f>
        <v>0</v>
      </c>
      <c r="AC1273" s="32" t="str">
        <f>IF(Orders!D1270="","",INDEX(Riders!$C$2:$C$81,MATCH(Orders!D1270,Riders!$A$2:$A$81,0)))</f>
        <v>Bicycle</v>
      </c>
      <c r="AD1273" s="33">
        <f>IF(Orders!D1270="","",INDEX(Riders!$D$2:$D$81,MATCH(Orders!D1270,Riders!$A$2:$A$81,0)))</f>
        <v>40</v>
      </c>
      <c r="AE1273" s="33">
        <f>IF(Orders!D1270="","",IF(INDEX(Riders!$B$2:$B$81,MATCH(Orders!D1270,Riders!$A$2:$A$81,0))=B1273,1,0))</f>
        <v>0</v>
      </c>
      <c r="AF1273" s="34">
        <f>IF(E1273=1,Orders!L1270,"")</f>
        <v>1.7</v>
      </c>
      <c r="AG1273" s="34">
        <f>IF(E1273=1,Orders!P1270,"")</f>
        <v>10.6</v>
      </c>
      <c r="AH1273" s="34">
        <f>IF(E1273=1,Orders!Q1270,"")</f>
        <v>9.6</v>
      </c>
      <c r="AI1273" s="34">
        <f>IF(E1273=1,Orders!M1270,"")</f>
        <v>2</v>
      </c>
      <c r="AJ1273" s="34">
        <f>IF(E1273=1,Orders!N1270,"")</f>
        <v>2.7</v>
      </c>
      <c r="AK1273" s="34">
        <f>IF(E1273=1,Orders!O1270,"")</f>
        <v>4.9</v>
      </c>
      <c r="AL1273" s="33">
        <f>IF(E1273=1,IF(ROUND(ABS(AI1273+AJ1273+AK1273-AH1273),6)&lt;=0.1,1,0),"")</f>
        <v>1</v>
      </c>
      <c r="AM1273" s="36">
        <f>IF(E1273=1,AI1273/AH1273,"")</f>
        <v>0.208333333333333</v>
      </c>
      <c r="AN1273" s="36">
        <f>IF(E1273=1,AJ1273/AH1273,"")</f>
        <v>0.28125</v>
      </c>
      <c r="AO1273" s="36">
        <f>IF(E1273=1,AK1273/AH1273,"")</f>
        <v>0.510416666666667</v>
      </c>
      <c r="AP1273" s="34">
        <f>IF(E1273=1,Orders!Y1270,"")</f>
        <v>0.75</v>
      </c>
      <c r="AQ1273" s="33">
        <f>IF(Orders!X1270,1,0)</f>
        <v>0</v>
      </c>
      <c r="AR1273" s="34">
        <f>IF(AND(E1273=1,L1273=1),AJ1273,"")</f>
        <v>2.7</v>
      </c>
      <c r="AS1273" s="34" t="str">
        <f>IF(AND(E1273=1,L1273=0),AJ1273,"")</f>
        <v/>
      </c>
      <c r="AT1273" s="34">
        <f>IF(AND(E1273=1,L1273=1),AI1273,"")</f>
        <v>2</v>
      </c>
      <c r="AU1273" s="34" t="str">
        <f>IF(AND(E1273=1,L1273=0),AI1273,"")</f>
        <v/>
      </c>
      <c r="AV1273" s="34">
        <f>IF(AND(E1273=1,L1273=1),AG1273,"")</f>
        <v>10.6</v>
      </c>
      <c r="AW1273" s="34" t="str">
        <f>IF(AND(E1273=1,L1273=0),AG1273,"")</f>
        <v/>
      </c>
      <c r="AX1273" s="34">
        <f>IF(AND(E1273=1,L1273=1),AH1273,"")</f>
        <v>9.6</v>
      </c>
      <c r="AY1273" s="34" t="str">
        <f>IF(AND(E1273=1,L1273=0),AH1273,"")</f>
        <v/>
      </c>
      <c r="AZ1273" s="34" t="str">
        <f>IF(G1273=1,F1273,"")</f>
        <v/>
      </c>
      <c r="BA1273" s="34" t="str">
        <f>IF(AND(G1273=1,L1273=1),F1273,"")</f>
        <v/>
      </c>
      <c r="BB1273" s="34" t="str">
        <f>IF(AND(G1273=1,L1273=0),F1273,"")</f>
        <v/>
      </c>
      <c r="BC1273" s="33">
        <f>IF(E1273=1,IF(Orders!R1270&gt;3,1,0),"")</f>
        <v>0</v>
      </c>
      <c r="BD1273" s="33">
        <f>IF(E1273=1,IF(Orders!R1270&gt;7,1,0),"")</f>
        <v>0</v>
      </c>
      <c r="BE1273" s="32" t="str">
        <f>IF(E1273=1,IF(Orders!L1270&lt;=1.5,"Up to 1.5 km",IF(Orders!L1270&lt;=3,"1.5–3 km","Over 3 km")),"")</f>
        <v>1.5–3 km</v>
      </c>
      <c r="BF1273" s="33">
        <f>IF(E1273=1,IF(ABS((Orders!G1270-Orders!F1270)*1440-Orders!R1270)&lt;0.06,1,0),"")</f>
        <v>1</v>
      </c>
      <c r="BG1273" s="33">
        <f>IF(ABS((Orders!F1270-Orders!E1270)*1440-Orders!P1270)&lt;0.06,1,0)</f>
        <v>1</v>
      </c>
      <c r="BH1273" s="33">
        <f>IF(E1273=1,IF(IF(Orders!S1270,1,0)=1-G1273,1,0),"")</f>
        <v>1</v>
      </c>
      <c r="BI1273" s="32" t="str">
        <f>INDEX(Stores!$B$2:$B$21,MATCH(B1273,Stores!$A$2:$A$21,0))</f>
        <v>Mumbai</v>
      </c>
    </row>
    <row r="1274">
      <c r="A1274" s="32" t="str">
        <f>Orders!A1271</f>
        <v>O01270</v>
      </c>
      <c r="B1274" s="32" t="str">
        <f>Orders!C1271</f>
        <v>S007</v>
      </c>
      <c r="C1274" s="32" t="str">
        <f>Orders!B1271</f>
        <v>C0214</v>
      </c>
      <c r="D1274" s="32" t="str">
        <f>Orders!H1271</f>
        <v>Delivered</v>
      </c>
      <c r="E1274" s="33">
        <f>IF(Orders!H1271="Delivered",1,0)</f>
        <v>1</v>
      </c>
      <c r="F1274" s="34">
        <f>IF(E1274=1,Orders!R1271,"")</f>
        <v>-0.5</v>
      </c>
      <c r="G1274" s="33">
        <f>IF(E1274=1,IF(Orders!R1271&gt;0,1,0),"")</f>
        <v>0</v>
      </c>
      <c r="H1274" s="33">
        <f>IF(E1274=1,IF(Orders!R1271&gt;5,1,0),"")</f>
        <v>0</v>
      </c>
      <c r="I1274" s="32" t="str">
        <f>IF(E1274=1,"",IF(OR(Orders!T1271="Rider unavailable",Orders!T1271="Item unavailable"),"Company-caused","Unresolved"))</f>
        <v/>
      </c>
      <c r="J1274" s="33">
        <f>IF(OR(E1274=1,I1274="Company-caused"),1,0)</f>
        <v>1</v>
      </c>
      <c r="K1274" s="32" t="str">
        <f>IF(E1274=0,IF(I1274="Company-caused",IF(Orders!T1271="Rider unavailable","C1 Rider unavailable","C2 Item unavailable"),"Outside root: unresolved"),IF(G1274=0,"A On time",IF(H1274=1,IF(L1274=1,"B2a Severe, peak","B2b Severe, off-peak"),IF(L1274=1,"B1a Slight, peak","B1b Slight, off-peak"))))</f>
        <v>A On time</v>
      </c>
      <c r="L1274" s="33">
        <f>IF(AND(Orders!U1271&gt;=19,Orders!U1271&lt;22),1,0)</f>
        <v>1</v>
      </c>
      <c r="M1274" s="33">
        <f>IF(L1274=IF(Orders!V1271,1,0),1,0)</f>
        <v>1</v>
      </c>
      <c r="N1274" s="32" t="str">
        <f>IF(Orders!W1271="","None",Orders!W1271)</f>
        <v>None</v>
      </c>
      <c r="O1274" s="35">
        <f>INT(Orders!E1271)</f>
        <v>46275.0</v>
      </c>
      <c r="P1274" s="33">
        <f>Orders!U1271</f>
        <v>21</v>
      </c>
      <c r="Q1274" s="33">
        <f>COUNTIFS(Demand!$A$2:$A$4481,B1274,Demand!$B$2:$B$4481,O1274,Demand!$C$2:$C$4481,P1274)</f>
        <v>1</v>
      </c>
      <c r="R1274" s="33">
        <f>IF(Q1274=1,SUMIFS(Demand!$E$2:$E$4481,Demand!$A$2:$A$4481,B1274,Demand!$B$2:$B$4481,O1274,Demand!$C$2:$C$4481,P1274),"")</f>
        <v>59</v>
      </c>
      <c r="S1274" s="33">
        <f>INDEX(Stores!$G$2:$G$21,MATCH(B1274,Stores!$A$2:$A$21,0))</f>
        <v>37</v>
      </c>
      <c r="T1274" s="34">
        <f>IF(R1274="","",R1274/S1274)</f>
        <v>1.59459459459459</v>
      </c>
      <c r="U1274" s="34">
        <f>IF(E1274=1,T1274,"")</f>
        <v>1.59459459459459</v>
      </c>
      <c r="V1274" s="34" t="str">
        <f>IF(AND(E1274=1,L1274=0),T1274,"")</f>
        <v/>
      </c>
      <c r="W1274" s="33">
        <f>IF(U1274="","",IF(U1274&lt;=Breakdowns!$C$5,1,IF(U1274&lt;=Breakdowns!$C$6,2,IF(U1274&lt;=Breakdowns!$C$7,3,4))))</f>
        <v>4</v>
      </c>
      <c r="X1274" s="33" t="str">
        <f>IF(V1274="","",IF(V1274&lt;=Breakdowns!$D$5,1,IF(V1274&lt;=Breakdowns!$D$6,2,IF(V1274&lt;=Breakdowns!$D$7,3,4))))</f>
        <v/>
      </c>
      <c r="Y1274" s="34">
        <f>INDEX(Stores!$F$2:$F$21,MATCH(B1274,Stores!$A$2:$A$21,0))</f>
        <v>4.05</v>
      </c>
      <c r="Z1274" s="33">
        <f>IF(Y1274&gt;Store_Summary!$M$2,1,0)</f>
        <v>0</v>
      </c>
      <c r="AA1274" s="33">
        <f>INDEX(Stores!$C$2:$C$21,MATCH(B1274,Stores!$A$2:$A$21,0))</f>
        <v>661</v>
      </c>
      <c r="AB1274" s="33">
        <f>IF(AA1274&lt;180,1,0)</f>
        <v>0</v>
      </c>
      <c r="AC1274" s="32" t="str">
        <f>IF(Orders!D1271="","",INDEX(Riders!$C$2:$C$81,MATCH(Orders!D1271,Riders!$A$2:$A$81,0)))</f>
        <v>EV scooter</v>
      </c>
      <c r="AD1274" s="33">
        <f>IF(Orders!D1271="","",INDEX(Riders!$D$2:$D$81,MATCH(Orders!D1271,Riders!$A$2:$A$81,0)))</f>
        <v>9</v>
      </c>
      <c r="AE1274" s="33">
        <f>IF(Orders!D1271="","",IF(INDEX(Riders!$B$2:$B$81,MATCH(Orders!D1271,Riders!$A$2:$A$81,0))=B1274,1,0))</f>
        <v>0</v>
      </c>
      <c r="AF1274" s="34">
        <f>IF(E1274=1,Orders!L1271,"")</f>
        <v>3.66</v>
      </c>
      <c r="AG1274" s="34">
        <f>IF(E1274=1,Orders!P1271,"")</f>
        <v>8</v>
      </c>
      <c r="AH1274" s="34">
        <f>IF(E1274=1,Orders!Q1271,"")</f>
        <v>7.5</v>
      </c>
      <c r="AI1274" s="34">
        <f>IF(E1274=1,Orders!M1271,"")</f>
        <v>1.9</v>
      </c>
      <c r="AJ1274" s="34">
        <f>IF(E1274=1,Orders!N1271,"")</f>
        <v>2.4</v>
      </c>
      <c r="AK1274" s="34">
        <f>IF(E1274=1,Orders!O1271,"")</f>
        <v>3.2</v>
      </c>
      <c r="AL1274" s="33">
        <f>IF(E1274=1,IF(ROUND(ABS(AI1274+AJ1274+AK1274-AH1274),6)&lt;=0.1,1,0),"")</f>
        <v>1</v>
      </c>
      <c r="AM1274" s="36">
        <f>IF(E1274=1,AI1274/AH1274,"")</f>
        <v>0.253333333333333</v>
      </c>
      <c r="AN1274" s="36">
        <f>IF(E1274=1,AJ1274/AH1274,"")</f>
        <v>0.32</v>
      </c>
      <c r="AO1274" s="36">
        <f>IF(E1274=1,AK1274/AH1274,"")</f>
        <v>0.426666666666667</v>
      </c>
      <c r="AP1274" s="34">
        <f>IF(E1274=1,Orders!Y1271,"")</f>
        <v>0.65</v>
      </c>
      <c r="AQ1274" s="33">
        <f>IF(Orders!X1271,1,0)</f>
        <v>0</v>
      </c>
      <c r="AR1274" s="34">
        <f>IF(AND(E1274=1,L1274=1),AJ1274,"")</f>
        <v>2.4</v>
      </c>
      <c r="AS1274" s="34" t="str">
        <f>IF(AND(E1274=1,L1274=0),AJ1274,"")</f>
        <v/>
      </c>
      <c r="AT1274" s="34">
        <f>IF(AND(E1274=1,L1274=1),AI1274,"")</f>
        <v>1.9</v>
      </c>
      <c r="AU1274" s="34" t="str">
        <f>IF(AND(E1274=1,L1274=0),AI1274,"")</f>
        <v/>
      </c>
      <c r="AV1274" s="34">
        <f>IF(AND(E1274=1,L1274=1),AG1274,"")</f>
        <v>8</v>
      </c>
      <c r="AW1274" s="34" t="str">
        <f>IF(AND(E1274=1,L1274=0),AG1274,"")</f>
        <v/>
      </c>
      <c r="AX1274" s="34">
        <f>IF(AND(E1274=1,L1274=1),AH1274,"")</f>
        <v>7.5</v>
      </c>
      <c r="AY1274" s="34" t="str">
        <f>IF(AND(E1274=1,L1274=0),AH1274,"")</f>
        <v/>
      </c>
      <c r="AZ1274" s="34" t="str">
        <f>IF(G1274=1,F1274,"")</f>
        <v/>
      </c>
      <c r="BA1274" s="34" t="str">
        <f>IF(AND(G1274=1,L1274=1),F1274,"")</f>
        <v/>
      </c>
      <c r="BB1274" s="34" t="str">
        <f>IF(AND(G1274=1,L1274=0),F1274,"")</f>
        <v/>
      </c>
      <c r="BC1274" s="33">
        <f>IF(E1274=1,IF(Orders!R1271&gt;3,1,0),"")</f>
        <v>0</v>
      </c>
      <c r="BD1274" s="33">
        <f>IF(E1274=1,IF(Orders!R1271&gt;7,1,0),"")</f>
        <v>0</v>
      </c>
      <c r="BE1274" s="32" t="str">
        <f>IF(E1274=1,IF(Orders!L1271&lt;=1.5,"Up to 1.5 km",IF(Orders!L1271&lt;=3,"1.5–3 km","Over 3 km")),"")</f>
        <v>Over 3 km</v>
      </c>
      <c r="BF1274" s="33">
        <f>IF(E1274=1,IF(ABS((Orders!G1271-Orders!F1271)*1440-Orders!R1271)&lt;0.06,1,0),"")</f>
        <v>1</v>
      </c>
      <c r="BG1274" s="33">
        <f>IF(ABS((Orders!F1271-Orders!E1271)*1440-Orders!P1271)&lt;0.06,1,0)</f>
        <v>1</v>
      </c>
      <c r="BH1274" s="33">
        <f>IF(E1274=1,IF(IF(Orders!S1271,1,0)=1-G1274,1,0),"")</f>
        <v>1</v>
      </c>
      <c r="BI1274" s="32" t="str">
        <f>INDEX(Stores!$B$2:$B$21,MATCH(B1274,Stores!$A$2:$A$21,0))</f>
        <v>Hyderabad</v>
      </c>
    </row>
    <row r="1275">
      <c r="A1275" s="32" t="str">
        <f>Orders!A1272</f>
        <v>O01271</v>
      </c>
      <c r="B1275" s="32" t="str">
        <f>Orders!C1272</f>
        <v>S015</v>
      </c>
      <c r="C1275" s="32" t="str">
        <f>Orders!B1272</f>
        <v>C0035</v>
      </c>
      <c r="D1275" s="32" t="str">
        <f>Orders!H1272</f>
        <v>Delivered</v>
      </c>
      <c r="E1275" s="33">
        <f>IF(Orders!H1272="Delivered",1,0)</f>
        <v>1</v>
      </c>
      <c r="F1275" s="34">
        <f>IF(E1275=1,Orders!R1272,"")</f>
        <v>-1.1</v>
      </c>
      <c r="G1275" s="33">
        <f>IF(E1275=1,IF(Orders!R1272&gt;0,1,0),"")</f>
        <v>0</v>
      </c>
      <c r="H1275" s="33">
        <f>IF(E1275=1,IF(Orders!R1272&gt;5,1,0),"")</f>
        <v>0</v>
      </c>
      <c r="I1275" s="32" t="str">
        <f>IF(E1275=1,"",IF(OR(Orders!T1272="Rider unavailable",Orders!T1272="Item unavailable"),"Company-caused","Unresolved"))</f>
        <v/>
      </c>
      <c r="J1275" s="33">
        <f>IF(OR(E1275=1,I1275="Company-caused"),1,0)</f>
        <v>1</v>
      </c>
      <c r="K1275" s="32" t="str">
        <f>IF(E1275=0,IF(I1275="Company-caused",IF(Orders!T1272="Rider unavailable","C1 Rider unavailable","C2 Item unavailable"),"Outside root: unresolved"),IF(G1275=0,"A On time",IF(H1275=1,IF(L1275=1,"B2a Severe, peak","B2b Severe, off-peak"),IF(L1275=1,"B1a Slight, peak","B1b Slight, off-peak"))))</f>
        <v>A On time</v>
      </c>
      <c r="L1275" s="33">
        <f>IF(AND(Orders!U1272&gt;=19,Orders!U1272&lt;22),1,0)</f>
        <v>1</v>
      </c>
      <c r="M1275" s="33">
        <f>IF(L1275=IF(Orders!V1272,1,0),1,0)</f>
        <v>1</v>
      </c>
      <c r="N1275" s="32" t="str">
        <f>IF(Orders!W1272="","None",Orders!W1272)</f>
        <v>None</v>
      </c>
      <c r="O1275" s="35">
        <f>INT(Orders!E1272)</f>
        <v>46268.0</v>
      </c>
      <c r="P1275" s="33">
        <f>Orders!U1272</f>
        <v>21</v>
      </c>
      <c r="Q1275" s="33">
        <f>COUNTIFS(Demand!$A$2:$A$4481,B1275,Demand!$B$2:$B$4481,O1275,Demand!$C$2:$C$4481,P1275)</f>
        <v>1</v>
      </c>
      <c r="R1275" s="33">
        <f>IF(Q1275=1,SUMIFS(Demand!$E$2:$E$4481,Demand!$A$2:$A$4481,B1275,Demand!$B$2:$B$4481,O1275,Demand!$C$2:$C$4481,P1275),"")</f>
        <v>44</v>
      </c>
      <c r="S1275" s="33">
        <f>INDEX(Stores!$G$2:$G$21,MATCH(B1275,Stores!$A$2:$A$21,0))</f>
        <v>23</v>
      </c>
      <c r="T1275" s="34">
        <f>IF(R1275="","",R1275/S1275)</f>
        <v>1.91304347826087</v>
      </c>
      <c r="U1275" s="34">
        <f>IF(E1275=1,T1275,"")</f>
        <v>1.91304347826087</v>
      </c>
      <c r="V1275" s="34" t="str">
        <f>IF(AND(E1275=1,L1275=0),T1275,"")</f>
        <v/>
      </c>
      <c r="W1275" s="33">
        <f>IF(U1275="","",IF(U1275&lt;=Breakdowns!$C$5,1,IF(U1275&lt;=Breakdowns!$C$6,2,IF(U1275&lt;=Breakdowns!$C$7,3,4))))</f>
        <v>4</v>
      </c>
      <c r="X1275" s="33" t="str">
        <f>IF(V1275="","",IF(V1275&lt;=Breakdowns!$D$5,1,IF(V1275&lt;=Breakdowns!$D$6,2,IF(V1275&lt;=Breakdowns!$D$7,3,4))))</f>
        <v/>
      </c>
      <c r="Y1275" s="34">
        <f>INDEX(Stores!$F$2:$F$21,MATCH(B1275,Stores!$A$2:$A$21,0))</f>
        <v>4.66</v>
      </c>
      <c r="Z1275" s="33">
        <f>IF(Y1275&gt;Store_Summary!$M$2,1,0)</f>
        <v>0</v>
      </c>
      <c r="AA1275" s="33">
        <f>INDEX(Stores!$C$2:$C$21,MATCH(B1275,Stores!$A$2:$A$21,0))</f>
        <v>204</v>
      </c>
      <c r="AB1275" s="33">
        <f>IF(AA1275&lt;180,1,0)</f>
        <v>0</v>
      </c>
      <c r="AC1275" s="32" t="str">
        <f>IF(Orders!D1272="","",INDEX(Riders!$C$2:$C$81,MATCH(Orders!D1272,Riders!$A$2:$A$81,0)))</f>
        <v>EV scooter</v>
      </c>
      <c r="AD1275" s="33">
        <f>IF(Orders!D1272="","",INDEX(Riders!$D$2:$D$81,MATCH(Orders!D1272,Riders!$A$2:$A$81,0)))</f>
        <v>32</v>
      </c>
      <c r="AE1275" s="33">
        <f>IF(Orders!D1272="","",IF(INDEX(Riders!$B$2:$B$81,MATCH(Orders!D1272,Riders!$A$2:$A$81,0))=B1275,1,0))</f>
        <v>0</v>
      </c>
      <c r="AF1275" s="34">
        <f>IF(E1275=1,Orders!L1272,"")</f>
        <v>0.53</v>
      </c>
      <c r="AG1275" s="34">
        <f>IF(E1275=1,Orders!P1272,"")</f>
        <v>9.3</v>
      </c>
      <c r="AH1275" s="34">
        <f>IF(E1275=1,Orders!Q1272,"")</f>
        <v>8.2</v>
      </c>
      <c r="AI1275" s="34">
        <f>IF(E1275=1,Orders!M1272,"")</f>
        <v>2.5</v>
      </c>
      <c r="AJ1275" s="34">
        <f>IF(E1275=1,Orders!N1272,"")</f>
        <v>3.7</v>
      </c>
      <c r="AK1275" s="34">
        <f>IF(E1275=1,Orders!O1272,"")</f>
        <v>2</v>
      </c>
      <c r="AL1275" s="33">
        <f>IF(E1275=1,IF(ROUND(ABS(AI1275+AJ1275+AK1275-AH1275),6)&lt;=0.1,1,0),"")</f>
        <v>1</v>
      </c>
      <c r="AM1275" s="36">
        <f>IF(E1275=1,AI1275/AH1275,"")</f>
        <v>0.304878048780488</v>
      </c>
      <c r="AN1275" s="36">
        <f>IF(E1275=1,AJ1275/AH1275,"")</f>
        <v>0.451219512195122</v>
      </c>
      <c r="AO1275" s="36">
        <f>IF(E1275=1,AK1275/AH1275,"")</f>
        <v>0.24390243902439</v>
      </c>
      <c r="AP1275" s="34">
        <f>IF(E1275=1,Orders!Y1272,"")</f>
        <v>0.99</v>
      </c>
      <c r="AQ1275" s="33">
        <f>IF(Orders!X1272,1,0)</f>
        <v>0</v>
      </c>
      <c r="AR1275" s="34">
        <f>IF(AND(E1275=1,L1275=1),AJ1275,"")</f>
        <v>3.7</v>
      </c>
      <c r="AS1275" s="34" t="str">
        <f>IF(AND(E1275=1,L1275=0),AJ1275,"")</f>
        <v/>
      </c>
      <c r="AT1275" s="34">
        <f>IF(AND(E1275=1,L1275=1),AI1275,"")</f>
        <v>2.5</v>
      </c>
      <c r="AU1275" s="34" t="str">
        <f>IF(AND(E1275=1,L1275=0),AI1275,"")</f>
        <v/>
      </c>
      <c r="AV1275" s="34">
        <f>IF(AND(E1275=1,L1275=1),AG1275,"")</f>
        <v>9.3</v>
      </c>
      <c r="AW1275" s="34" t="str">
        <f>IF(AND(E1275=1,L1275=0),AG1275,"")</f>
        <v/>
      </c>
      <c r="AX1275" s="34">
        <f>IF(AND(E1275=1,L1275=1),AH1275,"")</f>
        <v>8.2</v>
      </c>
      <c r="AY1275" s="34" t="str">
        <f>IF(AND(E1275=1,L1275=0),AH1275,"")</f>
        <v/>
      </c>
      <c r="AZ1275" s="34" t="str">
        <f>IF(G1275=1,F1275,"")</f>
        <v/>
      </c>
      <c r="BA1275" s="34" t="str">
        <f>IF(AND(G1275=1,L1275=1),F1275,"")</f>
        <v/>
      </c>
      <c r="BB1275" s="34" t="str">
        <f>IF(AND(G1275=1,L1275=0),F1275,"")</f>
        <v/>
      </c>
      <c r="BC1275" s="33">
        <f>IF(E1275=1,IF(Orders!R1272&gt;3,1,0),"")</f>
        <v>0</v>
      </c>
      <c r="BD1275" s="33">
        <f>IF(E1275=1,IF(Orders!R1272&gt;7,1,0),"")</f>
        <v>0</v>
      </c>
      <c r="BE1275" s="32" t="str">
        <f>IF(E1275=1,IF(Orders!L1272&lt;=1.5,"Up to 1.5 km",IF(Orders!L1272&lt;=3,"1.5–3 km","Over 3 km")),"")</f>
        <v>Up to 1.5 km</v>
      </c>
      <c r="BF1275" s="33">
        <f>IF(E1275=1,IF(ABS((Orders!G1272-Orders!F1272)*1440-Orders!R1272)&lt;0.06,1,0),"")</f>
        <v>1</v>
      </c>
      <c r="BG1275" s="33">
        <f>IF(ABS((Orders!F1272-Orders!E1272)*1440-Orders!P1272)&lt;0.06,1,0)</f>
        <v>1</v>
      </c>
      <c r="BH1275" s="33">
        <f>IF(E1275=1,IF(IF(Orders!S1272,1,0)=1-G1275,1,0),"")</f>
        <v>1</v>
      </c>
      <c r="BI1275" s="32" t="str">
        <f>INDEX(Stores!$B$2:$B$21,MATCH(B1275,Stores!$A$2:$A$21,0))</f>
        <v>Delhi</v>
      </c>
    </row>
    <row r="1276">
      <c r="A1276" s="32" t="str">
        <f>Orders!A1273</f>
        <v>O01272</v>
      </c>
      <c r="B1276" s="32" t="str">
        <f>Orders!C1273</f>
        <v>S011</v>
      </c>
      <c r="C1276" s="32" t="str">
        <f>Orders!B1273</f>
        <v>C0120</v>
      </c>
      <c r="D1276" s="32" t="str">
        <f>Orders!H1273</f>
        <v>Delivered</v>
      </c>
      <c r="E1276" s="33">
        <f>IF(Orders!H1273="Delivered",1,0)</f>
        <v>1</v>
      </c>
      <c r="F1276" s="34">
        <f>IF(E1276=1,Orders!R1273,"")</f>
        <v>7.8</v>
      </c>
      <c r="G1276" s="33">
        <f>IF(E1276=1,IF(Orders!R1273&gt;0,1,0),"")</f>
        <v>1</v>
      </c>
      <c r="H1276" s="33">
        <f>IF(E1276=1,IF(Orders!R1273&gt;5,1,0),"")</f>
        <v>1</v>
      </c>
      <c r="I1276" s="32" t="str">
        <f>IF(E1276=1,"",IF(OR(Orders!T1273="Rider unavailable",Orders!T1273="Item unavailable"),"Company-caused","Unresolved"))</f>
        <v/>
      </c>
      <c r="J1276" s="33">
        <f>IF(OR(E1276=1,I1276="Company-caused"),1,0)</f>
        <v>1</v>
      </c>
      <c r="K1276" s="32" t="str">
        <f>IF(E1276=0,IF(I1276="Company-caused",IF(Orders!T1273="Rider unavailable","C1 Rider unavailable","C2 Item unavailable"),"Outside root: unresolved"),IF(G1276=0,"A On time",IF(H1276=1,IF(L1276=1,"B2a Severe, peak","B2b Severe, off-peak"),IF(L1276=1,"B1a Slight, peak","B1b Slight, off-peak"))))</f>
        <v>B2b Severe, off-peak</v>
      </c>
      <c r="L1276" s="33">
        <f>IF(AND(Orders!U1273&gt;=19,Orders!U1273&lt;22),1,0)</f>
        <v>0</v>
      </c>
      <c r="M1276" s="33">
        <f>IF(L1276=IF(Orders!V1273,1,0),1,0)</f>
        <v>1</v>
      </c>
      <c r="N1276" s="32" t="str">
        <f>IF(Orders!W1273="","None",Orders!W1273)</f>
        <v>None</v>
      </c>
      <c r="O1276" s="35">
        <f>INT(Orders!E1273)</f>
        <v>46270.0</v>
      </c>
      <c r="P1276" s="33">
        <f>Orders!U1273</f>
        <v>12</v>
      </c>
      <c r="Q1276" s="33">
        <f>COUNTIFS(Demand!$A$2:$A$4481,B1276,Demand!$B$2:$B$4481,O1276,Demand!$C$2:$C$4481,P1276)</f>
        <v>1</v>
      </c>
      <c r="R1276" s="33">
        <f>IF(Q1276=1,SUMIFS(Demand!$E$2:$E$4481,Demand!$A$2:$A$4481,B1276,Demand!$B$2:$B$4481,O1276,Demand!$C$2:$C$4481,P1276),"")</f>
        <v>33</v>
      </c>
      <c r="S1276" s="33">
        <f>INDEX(Stores!$G$2:$G$21,MATCH(B1276,Stores!$A$2:$A$21,0))</f>
        <v>31</v>
      </c>
      <c r="T1276" s="34">
        <f>IF(R1276="","",R1276/S1276)</f>
        <v>1.06451612903226</v>
      </c>
      <c r="U1276" s="34">
        <f>IF(E1276=1,T1276,"")</f>
        <v>1.06451612903226</v>
      </c>
      <c r="V1276" s="34">
        <f>IF(AND(E1276=1,L1276=0),T1276,"")</f>
        <v>1.06451612903226</v>
      </c>
      <c r="W1276" s="33">
        <f>IF(U1276="","",IF(U1276&lt;=Breakdowns!$C$5,1,IF(U1276&lt;=Breakdowns!$C$6,2,IF(U1276&lt;=Breakdowns!$C$7,3,4))))</f>
        <v>3</v>
      </c>
      <c r="X1276" s="33">
        <f>IF(V1276="","",IF(V1276&lt;=Breakdowns!$D$5,1,IF(V1276&lt;=Breakdowns!$D$6,2,IF(V1276&lt;=Breakdowns!$D$7,3,4))))</f>
        <v>3</v>
      </c>
      <c r="Y1276" s="34">
        <f>INDEX(Stores!$F$2:$F$21,MATCH(B1276,Stores!$A$2:$A$21,0))</f>
        <v>5.67</v>
      </c>
      <c r="Z1276" s="33">
        <f>IF(Y1276&gt;Store_Summary!$M$2,1,0)</f>
        <v>1</v>
      </c>
      <c r="AA1276" s="33">
        <f>INDEX(Stores!$C$2:$C$21,MATCH(B1276,Stores!$A$2:$A$21,0))</f>
        <v>732</v>
      </c>
      <c r="AB1276" s="33">
        <f>IF(AA1276&lt;180,1,0)</f>
        <v>0</v>
      </c>
      <c r="AC1276" s="32" t="str">
        <f>IF(Orders!D1273="","",INDEX(Riders!$C$2:$C$81,MATCH(Orders!D1273,Riders!$A$2:$A$81,0)))</f>
        <v>Petrol scooter</v>
      </c>
      <c r="AD1276" s="33">
        <f>IF(Orders!D1273="","",INDEX(Riders!$D$2:$D$81,MATCH(Orders!D1273,Riders!$A$2:$A$81,0)))</f>
        <v>48</v>
      </c>
      <c r="AE1276" s="33">
        <f>IF(Orders!D1273="","",IF(INDEX(Riders!$B$2:$B$81,MATCH(Orders!D1273,Riders!$A$2:$A$81,0))=B1276,1,0))</f>
        <v>0</v>
      </c>
      <c r="AF1276" s="34">
        <f>IF(E1276=1,Orders!L1273,"")</f>
        <v>2.42</v>
      </c>
      <c r="AG1276" s="34">
        <f>IF(E1276=1,Orders!P1273,"")</f>
        <v>12</v>
      </c>
      <c r="AH1276" s="34">
        <f>IF(E1276=1,Orders!Q1273,"")</f>
        <v>19.8</v>
      </c>
      <c r="AI1276" s="34">
        <f>IF(E1276=1,Orders!M1273,"")</f>
        <v>6.1</v>
      </c>
      <c r="AJ1276" s="34">
        <f>IF(E1276=1,Orders!N1273,"")</f>
        <v>6.9</v>
      </c>
      <c r="AK1276" s="34">
        <f>IF(E1276=1,Orders!O1273,"")</f>
        <v>6.8</v>
      </c>
      <c r="AL1276" s="33">
        <f>IF(E1276=1,IF(ROUND(ABS(AI1276+AJ1276+AK1276-AH1276),6)&lt;=0.1,1,0),"")</f>
        <v>1</v>
      </c>
      <c r="AM1276" s="36">
        <f>IF(E1276=1,AI1276/AH1276,"")</f>
        <v>0.308080808080808</v>
      </c>
      <c r="AN1276" s="36">
        <f>IF(E1276=1,AJ1276/AH1276,"")</f>
        <v>0.348484848484849</v>
      </c>
      <c r="AO1276" s="36">
        <f>IF(E1276=1,AK1276/AH1276,"")</f>
        <v>0.343434343434343</v>
      </c>
      <c r="AP1276" s="34">
        <f>IF(E1276=1,Orders!Y1273,"")</f>
        <v>0.42</v>
      </c>
      <c r="AQ1276" s="33">
        <f>IF(Orders!X1273,1,0)</f>
        <v>0</v>
      </c>
      <c r="AR1276" s="34" t="str">
        <f>IF(AND(E1276=1,L1276=1),AJ1276,"")</f>
        <v/>
      </c>
      <c r="AS1276" s="34">
        <f>IF(AND(E1276=1,L1276=0),AJ1276,"")</f>
        <v>6.9</v>
      </c>
      <c r="AT1276" s="34" t="str">
        <f>IF(AND(E1276=1,L1276=1),AI1276,"")</f>
        <v/>
      </c>
      <c r="AU1276" s="34">
        <f>IF(AND(E1276=1,L1276=0),AI1276,"")</f>
        <v>6.1</v>
      </c>
      <c r="AV1276" s="34" t="str">
        <f>IF(AND(E1276=1,L1276=1),AG1276,"")</f>
        <v/>
      </c>
      <c r="AW1276" s="34">
        <f>IF(AND(E1276=1,L1276=0),AG1276,"")</f>
        <v>12</v>
      </c>
      <c r="AX1276" s="34" t="str">
        <f>IF(AND(E1276=1,L1276=1),AH1276,"")</f>
        <v/>
      </c>
      <c r="AY1276" s="34">
        <f>IF(AND(E1276=1,L1276=0),AH1276,"")</f>
        <v>19.8</v>
      </c>
      <c r="AZ1276" s="34">
        <f>IF(G1276=1,F1276,"")</f>
        <v>7.8</v>
      </c>
      <c r="BA1276" s="34" t="str">
        <f>IF(AND(G1276=1,L1276=1),F1276,"")</f>
        <v/>
      </c>
      <c r="BB1276" s="34">
        <f>IF(AND(G1276=1,L1276=0),F1276,"")</f>
        <v>7.8</v>
      </c>
      <c r="BC1276" s="33">
        <f>IF(E1276=1,IF(Orders!R1273&gt;3,1,0),"")</f>
        <v>1</v>
      </c>
      <c r="BD1276" s="33">
        <f>IF(E1276=1,IF(Orders!R1273&gt;7,1,0),"")</f>
        <v>1</v>
      </c>
      <c r="BE1276" s="32" t="str">
        <f>IF(E1276=1,IF(Orders!L1273&lt;=1.5,"Up to 1.5 km",IF(Orders!L1273&lt;=3,"1.5–3 km","Over 3 km")),"")</f>
        <v>1.5–3 km</v>
      </c>
      <c r="BF1276" s="33">
        <f>IF(E1276=1,IF(ABS((Orders!G1273-Orders!F1273)*1440-Orders!R1273)&lt;0.06,1,0),"")</f>
        <v>1</v>
      </c>
      <c r="BG1276" s="33">
        <f>IF(ABS((Orders!F1273-Orders!E1273)*1440-Orders!P1273)&lt;0.06,1,0)</f>
        <v>1</v>
      </c>
      <c r="BH1276" s="33">
        <f>IF(E1276=1,IF(IF(Orders!S1273,1,0)=1-G1276,1,0),"")</f>
        <v>1</v>
      </c>
      <c r="BI1276" s="32" t="str">
        <f>INDEX(Stores!$B$2:$B$21,MATCH(B1276,Stores!$A$2:$A$21,0))</f>
        <v>Bengaluru</v>
      </c>
    </row>
    <row r="1277">
      <c r="A1277" s="32" t="str">
        <f>Orders!A1274</f>
        <v>O01273</v>
      </c>
      <c r="B1277" s="32" t="str">
        <f>Orders!C1274</f>
        <v>S015</v>
      </c>
      <c r="C1277" s="32" t="str">
        <f>Orders!B1274</f>
        <v>C0088</v>
      </c>
      <c r="D1277" s="32" t="str">
        <f>Orders!H1274</f>
        <v>Delivered</v>
      </c>
      <c r="E1277" s="33">
        <f>IF(Orders!H1274="Delivered",1,0)</f>
        <v>1</v>
      </c>
      <c r="F1277" s="34">
        <f>IF(E1277=1,Orders!R1274,"")</f>
        <v>-0.9</v>
      </c>
      <c r="G1277" s="33">
        <f>IF(E1277=1,IF(Orders!R1274&gt;0,1,0),"")</f>
        <v>0</v>
      </c>
      <c r="H1277" s="33">
        <f>IF(E1277=1,IF(Orders!R1274&gt;5,1,0),"")</f>
        <v>0</v>
      </c>
      <c r="I1277" s="32" t="str">
        <f>IF(E1277=1,"",IF(OR(Orders!T1274="Rider unavailable",Orders!T1274="Item unavailable"),"Company-caused","Unresolved"))</f>
        <v/>
      </c>
      <c r="J1277" s="33">
        <f>IF(OR(E1277=1,I1277="Company-caused"),1,0)</f>
        <v>1</v>
      </c>
      <c r="K1277" s="32" t="str">
        <f>IF(E1277=0,IF(I1277="Company-caused",IF(Orders!T1274="Rider unavailable","C1 Rider unavailable","C2 Item unavailable"),"Outside root: unresolved"),IF(G1277=0,"A On time",IF(H1277=1,IF(L1277=1,"B2a Severe, peak","B2b Severe, off-peak"),IF(L1277=1,"B1a Slight, peak","B1b Slight, off-peak"))))</f>
        <v>A On time</v>
      </c>
      <c r="L1277" s="33">
        <f>IF(AND(Orders!U1274&gt;=19,Orders!U1274&lt;22),1,0)</f>
        <v>0</v>
      </c>
      <c r="M1277" s="33">
        <f>IF(L1277=IF(Orders!V1274,1,0),1,0)</f>
        <v>1</v>
      </c>
      <c r="N1277" s="32" t="str">
        <f>IF(Orders!W1274="","None",Orders!W1274)</f>
        <v>Light</v>
      </c>
      <c r="O1277" s="35">
        <f>INT(Orders!E1274)</f>
        <v>46272.0</v>
      </c>
      <c r="P1277" s="33">
        <f>Orders!U1274</f>
        <v>18</v>
      </c>
      <c r="Q1277" s="33">
        <f>COUNTIFS(Demand!$A$2:$A$4481,B1277,Demand!$B$2:$B$4481,O1277,Demand!$C$2:$C$4481,P1277)</f>
        <v>1</v>
      </c>
      <c r="R1277" s="33">
        <f>IF(Q1277=1,SUMIFS(Demand!$E$2:$E$4481,Demand!$A$2:$A$4481,B1277,Demand!$B$2:$B$4481,O1277,Demand!$C$2:$C$4481,P1277),"")</f>
        <v>19</v>
      </c>
      <c r="S1277" s="33">
        <f>INDEX(Stores!$G$2:$G$21,MATCH(B1277,Stores!$A$2:$A$21,0))</f>
        <v>23</v>
      </c>
      <c r="T1277" s="34">
        <f>IF(R1277="","",R1277/S1277)</f>
        <v>0.826086956521739</v>
      </c>
      <c r="U1277" s="34">
        <f>IF(E1277=1,T1277,"")</f>
        <v>0.826086956521739</v>
      </c>
      <c r="V1277" s="34">
        <f>IF(AND(E1277=1,L1277=0),T1277,"")</f>
        <v>0.826086956521739</v>
      </c>
      <c r="W1277" s="33">
        <f>IF(U1277="","",IF(U1277&lt;=Breakdowns!$C$5,1,IF(U1277&lt;=Breakdowns!$C$6,2,IF(U1277&lt;=Breakdowns!$C$7,3,4))))</f>
        <v>2</v>
      </c>
      <c r="X1277" s="33">
        <f>IF(V1277="","",IF(V1277&lt;=Breakdowns!$D$5,1,IF(V1277&lt;=Breakdowns!$D$6,2,IF(V1277&lt;=Breakdowns!$D$7,3,4))))</f>
        <v>2</v>
      </c>
      <c r="Y1277" s="34">
        <f>INDEX(Stores!$F$2:$F$21,MATCH(B1277,Stores!$A$2:$A$21,0))</f>
        <v>4.66</v>
      </c>
      <c r="Z1277" s="33">
        <f>IF(Y1277&gt;Store_Summary!$M$2,1,0)</f>
        <v>0</v>
      </c>
      <c r="AA1277" s="33">
        <f>INDEX(Stores!$C$2:$C$21,MATCH(B1277,Stores!$A$2:$A$21,0))</f>
        <v>204</v>
      </c>
      <c r="AB1277" s="33">
        <f>IF(AA1277&lt;180,1,0)</f>
        <v>0</v>
      </c>
      <c r="AC1277" s="32" t="str">
        <f>IF(Orders!D1274="","",INDEX(Riders!$C$2:$C$81,MATCH(Orders!D1274,Riders!$A$2:$A$81,0)))</f>
        <v>EV scooter</v>
      </c>
      <c r="AD1277" s="33">
        <f>IF(Orders!D1274="","",INDEX(Riders!$D$2:$D$81,MATCH(Orders!D1274,Riders!$A$2:$A$81,0)))</f>
        <v>30</v>
      </c>
      <c r="AE1277" s="33">
        <f>IF(Orders!D1274="","",IF(INDEX(Riders!$B$2:$B$81,MATCH(Orders!D1274,Riders!$A$2:$A$81,0))=B1277,1,0))</f>
        <v>0</v>
      </c>
      <c r="AF1277" s="34">
        <f>IF(E1277=1,Orders!L1274,"")</f>
        <v>3.03</v>
      </c>
      <c r="AG1277" s="34">
        <f>IF(E1277=1,Orders!P1274,"")</f>
        <v>12.2</v>
      </c>
      <c r="AH1277" s="34">
        <f>IF(E1277=1,Orders!Q1274,"")</f>
        <v>11.3</v>
      </c>
      <c r="AI1277" s="34">
        <f>IF(E1277=1,Orders!M1274,"")</f>
        <v>2.1</v>
      </c>
      <c r="AJ1277" s="34">
        <f>IF(E1277=1,Orders!N1274,"")</f>
        <v>5.1</v>
      </c>
      <c r="AK1277" s="34">
        <f>IF(E1277=1,Orders!O1274,"")</f>
        <v>4.1</v>
      </c>
      <c r="AL1277" s="33">
        <f>IF(E1277=1,IF(ROUND(ABS(AI1277+AJ1277+AK1277-AH1277),6)&lt;=0.1,1,0),"")</f>
        <v>1</v>
      </c>
      <c r="AM1277" s="36">
        <f>IF(E1277=1,AI1277/AH1277,"")</f>
        <v>0.185840707964602</v>
      </c>
      <c r="AN1277" s="36">
        <f>IF(E1277=1,AJ1277/AH1277,"")</f>
        <v>0.451327433628319</v>
      </c>
      <c r="AO1277" s="36">
        <f>IF(E1277=1,AK1277/AH1277,"")</f>
        <v>0.36283185840708</v>
      </c>
      <c r="AP1277" s="34">
        <f>IF(E1277=1,Orders!Y1274,"")</f>
        <v>0.08</v>
      </c>
      <c r="AQ1277" s="33">
        <f>IF(Orders!X1274,1,0)</f>
        <v>0</v>
      </c>
      <c r="AR1277" s="34" t="str">
        <f>IF(AND(E1277=1,L1277=1),AJ1277,"")</f>
        <v/>
      </c>
      <c r="AS1277" s="34">
        <f>IF(AND(E1277=1,L1277=0),AJ1277,"")</f>
        <v>5.1</v>
      </c>
      <c r="AT1277" s="34" t="str">
        <f>IF(AND(E1277=1,L1277=1),AI1277,"")</f>
        <v/>
      </c>
      <c r="AU1277" s="34">
        <f>IF(AND(E1277=1,L1277=0),AI1277,"")</f>
        <v>2.1</v>
      </c>
      <c r="AV1277" s="34" t="str">
        <f>IF(AND(E1277=1,L1277=1),AG1277,"")</f>
        <v/>
      </c>
      <c r="AW1277" s="34">
        <f>IF(AND(E1277=1,L1277=0),AG1277,"")</f>
        <v>12.2</v>
      </c>
      <c r="AX1277" s="34" t="str">
        <f>IF(AND(E1277=1,L1277=1),AH1277,"")</f>
        <v/>
      </c>
      <c r="AY1277" s="34">
        <f>IF(AND(E1277=1,L1277=0),AH1277,"")</f>
        <v>11.3</v>
      </c>
      <c r="AZ1277" s="34" t="str">
        <f>IF(G1277=1,F1277,"")</f>
        <v/>
      </c>
      <c r="BA1277" s="34" t="str">
        <f>IF(AND(G1277=1,L1277=1),F1277,"")</f>
        <v/>
      </c>
      <c r="BB1277" s="34" t="str">
        <f>IF(AND(G1277=1,L1277=0),F1277,"")</f>
        <v/>
      </c>
      <c r="BC1277" s="33">
        <f>IF(E1277=1,IF(Orders!R1274&gt;3,1,0),"")</f>
        <v>0</v>
      </c>
      <c r="BD1277" s="33">
        <f>IF(E1277=1,IF(Orders!R1274&gt;7,1,0),"")</f>
        <v>0</v>
      </c>
      <c r="BE1277" s="32" t="str">
        <f>IF(E1277=1,IF(Orders!L1274&lt;=1.5,"Up to 1.5 km",IF(Orders!L1274&lt;=3,"1.5–3 km","Over 3 km")),"")</f>
        <v>Over 3 km</v>
      </c>
      <c r="BF1277" s="33">
        <f>IF(E1277=1,IF(ABS((Orders!G1274-Orders!F1274)*1440-Orders!R1274)&lt;0.06,1,0),"")</f>
        <v>1</v>
      </c>
      <c r="BG1277" s="33">
        <f>IF(ABS((Orders!F1274-Orders!E1274)*1440-Orders!P1274)&lt;0.06,1,0)</f>
        <v>1</v>
      </c>
      <c r="BH1277" s="33">
        <f>IF(E1277=1,IF(IF(Orders!S1274,1,0)=1-G1277,1,0),"")</f>
        <v>1</v>
      </c>
      <c r="BI1277" s="32" t="str">
        <f>INDEX(Stores!$B$2:$B$21,MATCH(B1277,Stores!$A$2:$A$21,0))</f>
        <v>Delhi</v>
      </c>
    </row>
    <row r="1278">
      <c r="A1278" s="32" t="str">
        <f>Orders!A1275</f>
        <v>O01274</v>
      </c>
      <c r="B1278" s="32" t="str">
        <f>Orders!C1275</f>
        <v>S013</v>
      </c>
      <c r="C1278" s="32" t="str">
        <f>Orders!B1275</f>
        <v>C0139</v>
      </c>
      <c r="D1278" s="32" t="str">
        <f>Orders!H1275</f>
        <v>Delivered</v>
      </c>
      <c r="E1278" s="33">
        <f>IF(Orders!H1275="Delivered",1,0)</f>
        <v>1</v>
      </c>
      <c r="F1278" s="34">
        <f>IF(E1278=1,Orders!R1275,"")</f>
        <v>-1.2</v>
      </c>
      <c r="G1278" s="33">
        <f>IF(E1278=1,IF(Orders!R1275&gt;0,1,0),"")</f>
        <v>0</v>
      </c>
      <c r="H1278" s="33">
        <f>IF(E1278=1,IF(Orders!R1275&gt;5,1,0),"")</f>
        <v>0</v>
      </c>
      <c r="I1278" s="32" t="str">
        <f>IF(E1278=1,"",IF(OR(Orders!T1275="Rider unavailable",Orders!T1275="Item unavailable"),"Company-caused","Unresolved"))</f>
        <v/>
      </c>
      <c r="J1278" s="33">
        <f>IF(OR(E1278=1,I1278="Company-caused"),1,0)</f>
        <v>1</v>
      </c>
      <c r="K1278" s="32" t="str">
        <f>IF(E1278=0,IF(I1278="Company-caused",IF(Orders!T1275="Rider unavailable","C1 Rider unavailable","C2 Item unavailable"),"Outside root: unresolved"),IF(G1278=0,"A On time",IF(H1278=1,IF(L1278=1,"B2a Severe, peak","B2b Severe, off-peak"),IF(L1278=1,"B1a Slight, peak","B1b Slight, off-peak"))))</f>
        <v>A On time</v>
      </c>
      <c r="L1278" s="33">
        <f>IF(AND(Orders!U1275&gt;=19,Orders!U1275&lt;22),1,0)</f>
        <v>1</v>
      </c>
      <c r="M1278" s="33">
        <f>IF(L1278=IF(Orders!V1275,1,0),1,0)</f>
        <v>1</v>
      </c>
      <c r="N1278" s="32" t="str">
        <f>IF(Orders!W1275="","None",Orders!W1275)</f>
        <v>None</v>
      </c>
      <c r="O1278" s="35">
        <f>INT(Orders!E1275)</f>
        <v>46273.0</v>
      </c>
      <c r="P1278" s="33">
        <f>Orders!U1275</f>
        <v>19</v>
      </c>
      <c r="Q1278" s="33">
        <f>COUNTIFS(Demand!$A$2:$A$4481,B1278,Demand!$B$2:$B$4481,O1278,Demand!$C$2:$C$4481,P1278)</f>
        <v>1</v>
      </c>
      <c r="R1278" s="33">
        <f>IF(Q1278=1,SUMIFS(Demand!$E$2:$E$4481,Demand!$A$2:$A$4481,B1278,Demand!$B$2:$B$4481,O1278,Demand!$C$2:$C$4481,P1278),"")</f>
        <v>80</v>
      </c>
      <c r="S1278" s="33">
        <f>INDEX(Stores!$G$2:$G$21,MATCH(B1278,Stores!$A$2:$A$21,0))</f>
        <v>49</v>
      </c>
      <c r="T1278" s="34">
        <f>IF(R1278="","",R1278/S1278)</f>
        <v>1.63265306122449</v>
      </c>
      <c r="U1278" s="34">
        <f>IF(E1278=1,T1278,"")</f>
        <v>1.63265306122449</v>
      </c>
      <c r="V1278" s="34" t="str">
        <f>IF(AND(E1278=1,L1278=0),T1278,"")</f>
        <v/>
      </c>
      <c r="W1278" s="33">
        <f>IF(U1278="","",IF(U1278&lt;=Breakdowns!$C$5,1,IF(U1278&lt;=Breakdowns!$C$6,2,IF(U1278&lt;=Breakdowns!$C$7,3,4))))</f>
        <v>4</v>
      </c>
      <c r="X1278" s="33" t="str">
        <f>IF(V1278="","",IF(V1278&lt;=Breakdowns!$D$5,1,IF(V1278&lt;=Breakdowns!$D$6,2,IF(V1278&lt;=Breakdowns!$D$7,3,4))))</f>
        <v/>
      </c>
      <c r="Y1278" s="34">
        <f>INDEX(Stores!$F$2:$F$21,MATCH(B1278,Stores!$A$2:$A$21,0))</f>
        <v>5.82</v>
      </c>
      <c r="Z1278" s="33">
        <f>IF(Y1278&gt;Store_Summary!$M$2,1,0)</f>
        <v>1</v>
      </c>
      <c r="AA1278" s="33">
        <f>INDEX(Stores!$C$2:$C$21,MATCH(B1278,Stores!$A$2:$A$21,0))</f>
        <v>705</v>
      </c>
      <c r="AB1278" s="33">
        <f>IF(AA1278&lt;180,1,0)</f>
        <v>0</v>
      </c>
      <c r="AC1278" s="32" t="str">
        <f>IF(Orders!D1275="","",INDEX(Riders!$C$2:$C$81,MATCH(Orders!D1275,Riders!$A$2:$A$81,0)))</f>
        <v>EV scooter</v>
      </c>
      <c r="AD1278" s="33">
        <f>IF(Orders!D1275="","",INDEX(Riders!$D$2:$D$81,MATCH(Orders!D1275,Riders!$A$2:$A$81,0)))</f>
        <v>46</v>
      </c>
      <c r="AE1278" s="33">
        <f>IF(Orders!D1275="","",IF(INDEX(Riders!$B$2:$B$81,MATCH(Orders!D1275,Riders!$A$2:$A$81,0))=B1278,1,0))</f>
        <v>0</v>
      </c>
      <c r="AF1278" s="34">
        <f>IF(E1278=1,Orders!L1275,"")</f>
        <v>2.82</v>
      </c>
      <c r="AG1278" s="34">
        <f>IF(E1278=1,Orders!P1275,"")</f>
        <v>10.6</v>
      </c>
      <c r="AH1278" s="34">
        <f>IF(E1278=1,Orders!Q1275,"")</f>
        <v>9.4</v>
      </c>
      <c r="AI1278" s="34">
        <f>IF(E1278=1,Orders!M1275,"")</f>
        <v>2.9</v>
      </c>
      <c r="AJ1278" s="34">
        <f>IF(E1278=1,Orders!N1275,"")</f>
        <v>2.4</v>
      </c>
      <c r="AK1278" s="34">
        <f>IF(E1278=1,Orders!O1275,"")</f>
        <v>4.1</v>
      </c>
      <c r="AL1278" s="33">
        <f>IF(E1278=1,IF(ROUND(ABS(AI1278+AJ1278+AK1278-AH1278),6)&lt;=0.1,1,0),"")</f>
        <v>1</v>
      </c>
      <c r="AM1278" s="36">
        <f>IF(E1278=1,AI1278/AH1278,"")</f>
        <v>0.308510638297872</v>
      </c>
      <c r="AN1278" s="36">
        <f>IF(E1278=1,AJ1278/AH1278,"")</f>
        <v>0.25531914893617</v>
      </c>
      <c r="AO1278" s="36">
        <f>IF(E1278=1,AK1278/AH1278,"")</f>
        <v>0.436170212765957</v>
      </c>
      <c r="AP1278" s="34">
        <f>IF(E1278=1,Orders!Y1275,"")</f>
        <v>0.56</v>
      </c>
      <c r="AQ1278" s="33">
        <f>IF(Orders!X1275,1,0)</f>
        <v>0</v>
      </c>
      <c r="AR1278" s="34">
        <f>IF(AND(E1278=1,L1278=1),AJ1278,"")</f>
        <v>2.4</v>
      </c>
      <c r="AS1278" s="34" t="str">
        <f>IF(AND(E1278=1,L1278=0),AJ1278,"")</f>
        <v/>
      </c>
      <c r="AT1278" s="34">
        <f>IF(AND(E1278=1,L1278=1),AI1278,"")</f>
        <v>2.9</v>
      </c>
      <c r="AU1278" s="34" t="str">
        <f>IF(AND(E1278=1,L1278=0),AI1278,"")</f>
        <v/>
      </c>
      <c r="AV1278" s="34">
        <f>IF(AND(E1278=1,L1278=1),AG1278,"")</f>
        <v>10.6</v>
      </c>
      <c r="AW1278" s="34" t="str">
        <f>IF(AND(E1278=1,L1278=0),AG1278,"")</f>
        <v/>
      </c>
      <c r="AX1278" s="34">
        <f>IF(AND(E1278=1,L1278=1),AH1278,"")</f>
        <v>9.4</v>
      </c>
      <c r="AY1278" s="34" t="str">
        <f>IF(AND(E1278=1,L1278=0),AH1278,"")</f>
        <v/>
      </c>
      <c r="AZ1278" s="34" t="str">
        <f>IF(G1278=1,F1278,"")</f>
        <v/>
      </c>
      <c r="BA1278" s="34" t="str">
        <f>IF(AND(G1278=1,L1278=1),F1278,"")</f>
        <v/>
      </c>
      <c r="BB1278" s="34" t="str">
        <f>IF(AND(G1278=1,L1278=0),F1278,"")</f>
        <v/>
      </c>
      <c r="BC1278" s="33">
        <f>IF(E1278=1,IF(Orders!R1275&gt;3,1,0),"")</f>
        <v>0</v>
      </c>
      <c r="BD1278" s="33">
        <f>IF(E1278=1,IF(Orders!R1275&gt;7,1,0),"")</f>
        <v>0</v>
      </c>
      <c r="BE1278" s="32" t="str">
        <f>IF(E1278=1,IF(Orders!L1275&lt;=1.5,"Up to 1.5 km",IF(Orders!L1275&lt;=3,"1.5–3 km","Over 3 km")),"")</f>
        <v>1.5–3 km</v>
      </c>
      <c r="BF1278" s="33">
        <f>IF(E1278=1,IF(ABS((Orders!G1275-Orders!F1275)*1440-Orders!R1275)&lt;0.06,1,0),"")</f>
        <v>1</v>
      </c>
      <c r="BG1278" s="33">
        <f>IF(ABS((Orders!F1275-Orders!E1275)*1440-Orders!P1275)&lt;0.06,1,0)</f>
        <v>1</v>
      </c>
      <c r="BH1278" s="33">
        <f>IF(E1278=1,IF(IF(Orders!S1275,1,0)=1-G1278,1,0),"")</f>
        <v>1</v>
      </c>
      <c r="BI1278" s="32" t="str">
        <f>INDEX(Stores!$B$2:$B$21,MATCH(B1278,Stores!$A$2:$A$21,0))</f>
        <v>Mumbai</v>
      </c>
    </row>
    <row r="1279">
      <c r="A1279" s="32" t="str">
        <f>Orders!A1276</f>
        <v>O01275</v>
      </c>
      <c r="B1279" s="32" t="str">
        <f>Orders!C1276</f>
        <v>S002</v>
      </c>
      <c r="C1279" s="32" t="str">
        <f>Orders!B1276</f>
        <v>C0223</v>
      </c>
      <c r="D1279" s="32" t="str">
        <f>Orders!H1276</f>
        <v>Delivered</v>
      </c>
      <c r="E1279" s="33">
        <f>IF(Orders!H1276="Delivered",1,0)</f>
        <v>1</v>
      </c>
      <c r="F1279" s="34">
        <f>IF(E1279=1,Orders!R1276,"")</f>
        <v>-1.3</v>
      </c>
      <c r="G1279" s="33">
        <f>IF(E1279=1,IF(Orders!R1276&gt;0,1,0),"")</f>
        <v>0</v>
      </c>
      <c r="H1279" s="33">
        <f>IF(E1279=1,IF(Orders!R1276&gt;5,1,0),"")</f>
        <v>0</v>
      </c>
      <c r="I1279" s="32" t="str">
        <f>IF(E1279=1,"",IF(OR(Orders!T1276="Rider unavailable",Orders!T1276="Item unavailable"),"Company-caused","Unresolved"))</f>
        <v/>
      </c>
      <c r="J1279" s="33">
        <f>IF(OR(E1279=1,I1279="Company-caused"),1,0)</f>
        <v>1</v>
      </c>
      <c r="K1279" s="32" t="str">
        <f>IF(E1279=0,IF(I1279="Company-caused",IF(Orders!T1276="Rider unavailable","C1 Rider unavailable","C2 Item unavailable"),"Outside root: unresolved"),IF(G1279=0,"A On time",IF(H1279=1,IF(L1279=1,"B2a Severe, peak","B2b Severe, off-peak"),IF(L1279=1,"B1a Slight, peak","B1b Slight, off-peak"))))</f>
        <v>A On time</v>
      </c>
      <c r="L1279" s="33">
        <f>IF(AND(Orders!U1276&gt;=19,Orders!U1276&lt;22),1,0)</f>
        <v>0</v>
      </c>
      <c r="M1279" s="33">
        <f>IF(L1279=IF(Orders!V1276,1,0),1,0)</f>
        <v>1</v>
      </c>
      <c r="N1279" s="32" t="str">
        <f>IF(Orders!W1276="","None",Orders!W1276)</f>
        <v>None</v>
      </c>
      <c r="O1279" s="35">
        <f>INT(Orders!E1276)</f>
        <v>46269.0</v>
      </c>
      <c r="P1279" s="33">
        <f>Orders!U1276</f>
        <v>10</v>
      </c>
      <c r="Q1279" s="33">
        <f>COUNTIFS(Demand!$A$2:$A$4481,B1279,Demand!$B$2:$B$4481,O1279,Demand!$C$2:$C$4481,P1279)</f>
        <v>1</v>
      </c>
      <c r="R1279" s="33">
        <f>IF(Q1279=1,SUMIFS(Demand!$E$2:$E$4481,Demand!$A$2:$A$4481,B1279,Demand!$B$2:$B$4481,O1279,Demand!$C$2:$C$4481,P1279),"")</f>
        <v>15</v>
      </c>
      <c r="S1279" s="33">
        <f>INDEX(Stores!$G$2:$G$21,MATCH(B1279,Stores!$A$2:$A$21,0))</f>
        <v>33</v>
      </c>
      <c r="T1279" s="34">
        <f>IF(R1279="","",R1279/S1279)</f>
        <v>0.454545454545455</v>
      </c>
      <c r="U1279" s="34">
        <f>IF(E1279=1,T1279,"")</f>
        <v>0.454545454545455</v>
      </c>
      <c r="V1279" s="34">
        <f>IF(AND(E1279=1,L1279=0),T1279,"")</f>
        <v>0.454545454545455</v>
      </c>
      <c r="W1279" s="33">
        <f>IF(U1279="","",IF(U1279&lt;=Breakdowns!$C$5,1,IF(U1279&lt;=Breakdowns!$C$6,2,IF(U1279&lt;=Breakdowns!$C$7,3,4))))</f>
        <v>1</v>
      </c>
      <c r="X1279" s="33">
        <f>IF(V1279="","",IF(V1279&lt;=Breakdowns!$D$5,1,IF(V1279&lt;=Breakdowns!$D$6,2,IF(V1279&lt;=Breakdowns!$D$7,3,4))))</f>
        <v>1</v>
      </c>
      <c r="Y1279" s="34">
        <f>INDEX(Stores!$F$2:$F$21,MATCH(B1279,Stores!$A$2:$A$21,0))</f>
        <v>2.39</v>
      </c>
      <c r="Z1279" s="33">
        <f>IF(Y1279&gt;Store_Summary!$M$2,1,0)</f>
        <v>0</v>
      </c>
      <c r="AA1279" s="33">
        <f>INDEX(Stores!$C$2:$C$21,MATCH(B1279,Stores!$A$2:$A$21,0))</f>
        <v>470</v>
      </c>
      <c r="AB1279" s="33">
        <f>IF(AA1279&lt;180,1,0)</f>
        <v>0</v>
      </c>
      <c r="AC1279" s="32" t="str">
        <f>IF(Orders!D1276="","",INDEX(Riders!$C$2:$C$81,MATCH(Orders!D1276,Riders!$A$2:$A$81,0)))</f>
        <v>Petrol scooter</v>
      </c>
      <c r="AD1279" s="33">
        <f>IF(Orders!D1276="","",INDEX(Riders!$D$2:$D$81,MATCH(Orders!D1276,Riders!$A$2:$A$81,0)))</f>
        <v>43</v>
      </c>
      <c r="AE1279" s="33">
        <f>IF(Orders!D1276="","",IF(INDEX(Riders!$B$2:$B$81,MATCH(Orders!D1276,Riders!$A$2:$A$81,0))=B1279,1,0))</f>
        <v>0</v>
      </c>
      <c r="AF1279" s="34">
        <f>IF(E1279=1,Orders!L1276,"")</f>
        <v>2.07</v>
      </c>
      <c r="AG1279" s="34">
        <f>IF(E1279=1,Orders!P1276,"")</f>
        <v>10.9</v>
      </c>
      <c r="AH1279" s="34">
        <f>IF(E1279=1,Orders!Q1276,"")</f>
        <v>9.6</v>
      </c>
      <c r="AI1279" s="34">
        <f>IF(E1279=1,Orders!M1276,"")</f>
        <v>2.6</v>
      </c>
      <c r="AJ1279" s="34">
        <f>IF(E1279=1,Orders!N1276,"")</f>
        <v>0.4</v>
      </c>
      <c r="AK1279" s="34">
        <f>IF(E1279=1,Orders!O1276,"")</f>
        <v>6.6</v>
      </c>
      <c r="AL1279" s="33">
        <f>IF(E1279=1,IF(ROUND(ABS(AI1279+AJ1279+AK1279-AH1279),6)&lt;=0.1,1,0),"")</f>
        <v>1</v>
      </c>
      <c r="AM1279" s="36">
        <f>IF(E1279=1,AI1279/AH1279,"")</f>
        <v>0.270833333333333</v>
      </c>
      <c r="AN1279" s="36">
        <f>IF(E1279=1,AJ1279/AH1279,"")</f>
        <v>0.0416666666666667</v>
      </c>
      <c r="AO1279" s="36">
        <f>IF(E1279=1,AK1279/AH1279,"")</f>
        <v>0.6875</v>
      </c>
      <c r="AP1279" s="34">
        <f>IF(E1279=1,Orders!Y1276,"")</f>
        <v>0.53</v>
      </c>
      <c r="AQ1279" s="33">
        <f>IF(Orders!X1276,1,0)</f>
        <v>0</v>
      </c>
      <c r="AR1279" s="34" t="str">
        <f>IF(AND(E1279=1,L1279=1),AJ1279,"")</f>
        <v/>
      </c>
      <c r="AS1279" s="34">
        <f>IF(AND(E1279=1,L1279=0),AJ1279,"")</f>
        <v>0.4</v>
      </c>
      <c r="AT1279" s="34" t="str">
        <f>IF(AND(E1279=1,L1279=1),AI1279,"")</f>
        <v/>
      </c>
      <c r="AU1279" s="34">
        <f>IF(AND(E1279=1,L1279=0),AI1279,"")</f>
        <v>2.6</v>
      </c>
      <c r="AV1279" s="34" t="str">
        <f>IF(AND(E1279=1,L1279=1),AG1279,"")</f>
        <v/>
      </c>
      <c r="AW1279" s="34">
        <f>IF(AND(E1279=1,L1279=0),AG1279,"")</f>
        <v>10.9</v>
      </c>
      <c r="AX1279" s="34" t="str">
        <f>IF(AND(E1279=1,L1279=1),AH1279,"")</f>
        <v/>
      </c>
      <c r="AY1279" s="34">
        <f>IF(AND(E1279=1,L1279=0),AH1279,"")</f>
        <v>9.6</v>
      </c>
      <c r="AZ1279" s="34" t="str">
        <f>IF(G1279=1,F1279,"")</f>
        <v/>
      </c>
      <c r="BA1279" s="34" t="str">
        <f>IF(AND(G1279=1,L1279=1),F1279,"")</f>
        <v/>
      </c>
      <c r="BB1279" s="34" t="str">
        <f>IF(AND(G1279=1,L1279=0),F1279,"")</f>
        <v/>
      </c>
      <c r="BC1279" s="33">
        <f>IF(E1279=1,IF(Orders!R1276&gt;3,1,0),"")</f>
        <v>0</v>
      </c>
      <c r="BD1279" s="33">
        <f>IF(E1279=1,IF(Orders!R1276&gt;7,1,0),"")</f>
        <v>0</v>
      </c>
      <c r="BE1279" s="32" t="str">
        <f>IF(E1279=1,IF(Orders!L1276&lt;=1.5,"Up to 1.5 km",IF(Orders!L1276&lt;=3,"1.5–3 km","Over 3 km")),"")</f>
        <v>1.5–3 km</v>
      </c>
      <c r="BF1279" s="33">
        <f>IF(E1279=1,IF(ABS((Orders!G1276-Orders!F1276)*1440-Orders!R1276)&lt;0.06,1,0),"")</f>
        <v>1</v>
      </c>
      <c r="BG1279" s="33">
        <f>IF(ABS((Orders!F1276-Orders!E1276)*1440-Orders!P1276)&lt;0.06,1,0)</f>
        <v>1</v>
      </c>
      <c r="BH1279" s="33">
        <f>IF(E1279=1,IF(IF(Orders!S1276,1,0)=1-G1279,1,0),"")</f>
        <v>1</v>
      </c>
      <c r="BI1279" s="32" t="str">
        <f>INDEX(Stores!$B$2:$B$21,MATCH(B1279,Stores!$A$2:$A$21,0))</f>
        <v>Hyderabad</v>
      </c>
    </row>
    <row r="1280">
      <c r="A1280" s="32" t="str">
        <f>Orders!A1277</f>
        <v>O01276</v>
      </c>
      <c r="B1280" s="32" t="str">
        <f>Orders!C1277</f>
        <v>S020</v>
      </c>
      <c r="C1280" s="32" t="str">
        <f>Orders!B1277</f>
        <v>C0106</v>
      </c>
      <c r="D1280" s="32" t="str">
        <f>Orders!H1277</f>
        <v>Delivered</v>
      </c>
      <c r="E1280" s="33">
        <f>IF(Orders!H1277="Delivered",1,0)</f>
        <v>1</v>
      </c>
      <c r="F1280" s="34">
        <f>IF(E1280=1,Orders!R1277,"")</f>
        <v>-0.5</v>
      </c>
      <c r="G1280" s="33">
        <f>IF(E1280=1,IF(Orders!R1277&gt;0,1,0),"")</f>
        <v>0</v>
      </c>
      <c r="H1280" s="33">
        <f>IF(E1280=1,IF(Orders!R1277&gt;5,1,0),"")</f>
        <v>0</v>
      </c>
      <c r="I1280" s="32" t="str">
        <f>IF(E1280=1,"",IF(OR(Orders!T1277="Rider unavailable",Orders!T1277="Item unavailable"),"Company-caused","Unresolved"))</f>
        <v/>
      </c>
      <c r="J1280" s="33">
        <f>IF(OR(E1280=1,I1280="Company-caused"),1,0)</f>
        <v>1</v>
      </c>
      <c r="K1280" s="32" t="str">
        <f>IF(E1280=0,IF(I1280="Company-caused",IF(Orders!T1277="Rider unavailable","C1 Rider unavailable","C2 Item unavailable"),"Outside root: unresolved"),IF(G1280=0,"A On time",IF(H1280=1,IF(L1280=1,"B2a Severe, peak","B2b Severe, off-peak"),IF(L1280=1,"B1a Slight, peak","B1b Slight, off-peak"))))</f>
        <v>A On time</v>
      </c>
      <c r="L1280" s="33">
        <f>IF(AND(Orders!U1277&gt;=19,Orders!U1277&lt;22),1,0)</f>
        <v>0</v>
      </c>
      <c r="M1280" s="33">
        <f>IF(L1280=IF(Orders!V1277,1,0),1,0)</f>
        <v>1</v>
      </c>
      <c r="N1280" s="32" t="str">
        <f>IF(Orders!W1277="","None",Orders!W1277)</f>
        <v>None</v>
      </c>
      <c r="O1280" s="35">
        <f>INT(Orders!E1277)</f>
        <v>46276.0</v>
      </c>
      <c r="P1280" s="33">
        <f>Orders!U1277</f>
        <v>10</v>
      </c>
      <c r="Q1280" s="33">
        <f>COUNTIFS(Demand!$A$2:$A$4481,B1280,Demand!$B$2:$B$4481,O1280,Demand!$C$2:$C$4481,P1280)</f>
        <v>1</v>
      </c>
      <c r="R1280" s="33">
        <f>IF(Q1280=1,SUMIFS(Demand!$E$2:$E$4481,Demand!$A$2:$A$4481,B1280,Demand!$B$2:$B$4481,O1280,Demand!$C$2:$C$4481,P1280),"")</f>
        <v>13</v>
      </c>
      <c r="S1280" s="33">
        <f>INDEX(Stores!$G$2:$G$21,MATCH(B1280,Stores!$A$2:$A$21,0))</f>
        <v>15</v>
      </c>
      <c r="T1280" s="34">
        <f>IF(R1280="","",R1280/S1280)</f>
        <v>0.866666666666667</v>
      </c>
      <c r="U1280" s="34">
        <f>IF(E1280=1,T1280,"")</f>
        <v>0.866666666666667</v>
      </c>
      <c r="V1280" s="34">
        <f>IF(AND(E1280=1,L1280=0),T1280,"")</f>
        <v>0.866666666666667</v>
      </c>
      <c r="W1280" s="33">
        <f>IF(U1280="","",IF(U1280&lt;=Breakdowns!$C$5,1,IF(U1280&lt;=Breakdowns!$C$6,2,IF(U1280&lt;=Breakdowns!$C$7,3,4))))</f>
        <v>2</v>
      </c>
      <c r="X1280" s="33">
        <f>IF(V1280="","",IF(V1280&lt;=Breakdowns!$D$5,1,IF(V1280&lt;=Breakdowns!$D$6,2,IF(V1280&lt;=Breakdowns!$D$7,3,4))))</f>
        <v>2</v>
      </c>
      <c r="Y1280" s="34">
        <f>INDEX(Stores!$F$2:$F$21,MATCH(B1280,Stores!$A$2:$A$21,0))</f>
        <v>5.74</v>
      </c>
      <c r="Z1280" s="33">
        <f>IF(Y1280&gt;Store_Summary!$M$2,1,0)</f>
        <v>1</v>
      </c>
      <c r="AA1280" s="33">
        <f>INDEX(Stores!$C$2:$C$21,MATCH(B1280,Stores!$A$2:$A$21,0))</f>
        <v>647</v>
      </c>
      <c r="AB1280" s="33">
        <f>IF(AA1280&lt;180,1,0)</f>
        <v>0</v>
      </c>
      <c r="AC1280" s="32" t="str">
        <f>IF(Orders!D1277="","",INDEX(Riders!$C$2:$C$81,MATCH(Orders!D1277,Riders!$A$2:$A$81,0)))</f>
        <v>EV scooter</v>
      </c>
      <c r="AD1280" s="33">
        <f>IF(Orders!D1277="","",INDEX(Riders!$D$2:$D$81,MATCH(Orders!D1277,Riders!$A$2:$A$81,0)))</f>
        <v>39</v>
      </c>
      <c r="AE1280" s="33">
        <f>IF(Orders!D1277="","",IF(INDEX(Riders!$B$2:$B$81,MATCH(Orders!D1277,Riders!$A$2:$A$81,0))=B1280,1,0))</f>
        <v>0</v>
      </c>
      <c r="AF1280" s="34">
        <f>IF(E1280=1,Orders!L1277,"")</f>
        <v>0.9</v>
      </c>
      <c r="AG1280" s="34">
        <f>IF(E1280=1,Orders!P1277,"")</f>
        <v>9.5</v>
      </c>
      <c r="AH1280" s="34">
        <f>IF(E1280=1,Orders!Q1277,"")</f>
        <v>9</v>
      </c>
      <c r="AI1280" s="34">
        <f>IF(E1280=1,Orders!M1277,"")</f>
        <v>4.3</v>
      </c>
      <c r="AJ1280" s="34">
        <f>IF(E1280=1,Orders!N1277,"")</f>
        <v>2.5</v>
      </c>
      <c r="AK1280" s="34">
        <f>IF(E1280=1,Orders!O1277,"")</f>
        <v>2.2</v>
      </c>
      <c r="AL1280" s="33">
        <f>IF(E1280=1,IF(ROUND(ABS(AI1280+AJ1280+AK1280-AH1280),6)&lt;=0.1,1,0),"")</f>
        <v>1</v>
      </c>
      <c r="AM1280" s="36">
        <f>IF(E1280=1,AI1280/AH1280,"")</f>
        <v>0.477777777777778</v>
      </c>
      <c r="AN1280" s="36">
        <f>IF(E1280=1,AJ1280/AH1280,"")</f>
        <v>0.277777777777778</v>
      </c>
      <c r="AO1280" s="36">
        <f>IF(E1280=1,AK1280/AH1280,"")</f>
        <v>0.244444444444444</v>
      </c>
      <c r="AP1280" s="34">
        <f>IF(E1280=1,Orders!Y1277,"")</f>
        <v>0.65</v>
      </c>
      <c r="AQ1280" s="33">
        <f>IF(Orders!X1277,1,0)</f>
        <v>0</v>
      </c>
      <c r="AR1280" s="34" t="str">
        <f>IF(AND(E1280=1,L1280=1),AJ1280,"")</f>
        <v/>
      </c>
      <c r="AS1280" s="34">
        <f>IF(AND(E1280=1,L1280=0),AJ1280,"")</f>
        <v>2.5</v>
      </c>
      <c r="AT1280" s="34" t="str">
        <f>IF(AND(E1280=1,L1280=1),AI1280,"")</f>
        <v/>
      </c>
      <c r="AU1280" s="34">
        <f>IF(AND(E1280=1,L1280=0),AI1280,"")</f>
        <v>4.3</v>
      </c>
      <c r="AV1280" s="34" t="str">
        <f>IF(AND(E1280=1,L1280=1),AG1280,"")</f>
        <v/>
      </c>
      <c r="AW1280" s="34">
        <f>IF(AND(E1280=1,L1280=0),AG1280,"")</f>
        <v>9.5</v>
      </c>
      <c r="AX1280" s="34" t="str">
        <f>IF(AND(E1280=1,L1280=1),AH1280,"")</f>
        <v/>
      </c>
      <c r="AY1280" s="34">
        <f>IF(AND(E1280=1,L1280=0),AH1280,"")</f>
        <v>9</v>
      </c>
      <c r="AZ1280" s="34" t="str">
        <f>IF(G1280=1,F1280,"")</f>
        <v/>
      </c>
      <c r="BA1280" s="34" t="str">
        <f>IF(AND(G1280=1,L1280=1),F1280,"")</f>
        <v/>
      </c>
      <c r="BB1280" s="34" t="str">
        <f>IF(AND(G1280=1,L1280=0),F1280,"")</f>
        <v/>
      </c>
      <c r="BC1280" s="33">
        <f>IF(E1280=1,IF(Orders!R1277&gt;3,1,0),"")</f>
        <v>0</v>
      </c>
      <c r="BD1280" s="33">
        <f>IF(E1280=1,IF(Orders!R1277&gt;7,1,0),"")</f>
        <v>0</v>
      </c>
      <c r="BE1280" s="32" t="str">
        <f>IF(E1280=1,IF(Orders!L1277&lt;=1.5,"Up to 1.5 km",IF(Orders!L1277&lt;=3,"1.5–3 km","Over 3 km")),"")</f>
        <v>Up to 1.5 km</v>
      </c>
      <c r="BF1280" s="33">
        <f>IF(E1280=1,IF(ABS((Orders!G1277-Orders!F1277)*1440-Orders!R1277)&lt;0.06,1,0),"")</f>
        <v>1</v>
      </c>
      <c r="BG1280" s="33">
        <f>IF(ABS((Orders!F1277-Orders!E1277)*1440-Orders!P1277)&lt;0.06,1,0)</f>
        <v>1</v>
      </c>
      <c r="BH1280" s="33">
        <f>IF(E1280=1,IF(IF(Orders!S1277,1,0)=1-G1280,1,0),"")</f>
        <v>1</v>
      </c>
      <c r="BI1280" s="32" t="str">
        <f>INDEX(Stores!$B$2:$B$21,MATCH(B1280,Stores!$A$2:$A$21,0))</f>
        <v>Delhi</v>
      </c>
    </row>
    <row r="1281">
      <c r="A1281" s="32" t="str">
        <f>Orders!A1278</f>
        <v>O01277</v>
      </c>
      <c r="B1281" s="32" t="str">
        <f>Orders!C1278</f>
        <v>S020</v>
      </c>
      <c r="C1281" s="32" t="str">
        <f>Orders!B1278</f>
        <v>C0111</v>
      </c>
      <c r="D1281" s="32" t="str">
        <f>Orders!H1278</f>
        <v>Delivered</v>
      </c>
      <c r="E1281" s="33">
        <f>IF(Orders!H1278="Delivered",1,0)</f>
        <v>1</v>
      </c>
      <c r="F1281" s="34">
        <f>IF(E1281=1,Orders!R1278,"")</f>
        <v>-0.6</v>
      </c>
      <c r="G1281" s="33">
        <f>IF(E1281=1,IF(Orders!R1278&gt;0,1,0),"")</f>
        <v>0</v>
      </c>
      <c r="H1281" s="33">
        <f>IF(E1281=1,IF(Orders!R1278&gt;5,1,0),"")</f>
        <v>0</v>
      </c>
      <c r="I1281" s="32" t="str">
        <f>IF(E1281=1,"",IF(OR(Orders!T1278="Rider unavailable",Orders!T1278="Item unavailable"),"Company-caused","Unresolved"))</f>
        <v/>
      </c>
      <c r="J1281" s="33">
        <f>IF(OR(E1281=1,I1281="Company-caused"),1,0)</f>
        <v>1</v>
      </c>
      <c r="K1281" s="32" t="str">
        <f>IF(E1281=0,IF(I1281="Company-caused",IF(Orders!T1278="Rider unavailable","C1 Rider unavailable","C2 Item unavailable"),"Outside root: unresolved"),IF(G1281=0,"A On time",IF(H1281=1,IF(L1281=1,"B2a Severe, peak","B2b Severe, off-peak"),IF(L1281=1,"B1a Slight, peak","B1b Slight, off-peak"))))</f>
        <v>A On time</v>
      </c>
      <c r="L1281" s="33">
        <f>IF(AND(Orders!U1278&gt;=19,Orders!U1278&lt;22),1,0)</f>
        <v>1</v>
      </c>
      <c r="M1281" s="33">
        <f>IF(L1281=IF(Orders!V1278,1,0),1,0)</f>
        <v>1</v>
      </c>
      <c r="N1281" s="32" t="str">
        <f>IF(Orders!W1278="","None",Orders!W1278)</f>
        <v>None</v>
      </c>
      <c r="O1281" s="35">
        <f>INT(Orders!E1278)</f>
        <v>46274.0</v>
      </c>
      <c r="P1281" s="33">
        <f>Orders!U1278</f>
        <v>20</v>
      </c>
      <c r="Q1281" s="33">
        <f>COUNTIFS(Demand!$A$2:$A$4481,B1281,Demand!$B$2:$B$4481,O1281,Demand!$C$2:$C$4481,P1281)</f>
        <v>1</v>
      </c>
      <c r="R1281" s="33">
        <f>IF(Q1281=1,SUMIFS(Demand!$E$2:$E$4481,Demand!$A$2:$A$4481,B1281,Demand!$B$2:$B$4481,O1281,Demand!$C$2:$C$4481,P1281),"")</f>
        <v>24</v>
      </c>
      <c r="S1281" s="33">
        <f>INDEX(Stores!$G$2:$G$21,MATCH(B1281,Stores!$A$2:$A$21,0))</f>
        <v>15</v>
      </c>
      <c r="T1281" s="34">
        <f>IF(R1281="","",R1281/S1281)</f>
        <v>1.6</v>
      </c>
      <c r="U1281" s="34">
        <f>IF(E1281=1,T1281,"")</f>
        <v>1.6</v>
      </c>
      <c r="V1281" s="34" t="str">
        <f>IF(AND(E1281=1,L1281=0),T1281,"")</f>
        <v/>
      </c>
      <c r="W1281" s="33">
        <f>IF(U1281="","",IF(U1281&lt;=Breakdowns!$C$5,1,IF(U1281&lt;=Breakdowns!$C$6,2,IF(U1281&lt;=Breakdowns!$C$7,3,4))))</f>
        <v>4</v>
      </c>
      <c r="X1281" s="33" t="str">
        <f>IF(V1281="","",IF(V1281&lt;=Breakdowns!$D$5,1,IF(V1281&lt;=Breakdowns!$D$6,2,IF(V1281&lt;=Breakdowns!$D$7,3,4))))</f>
        <v/>
      </c>
      <c r="Y1281" s="34">
        <f>INDEX(Stores!$F$2:$F$21,MATCH(B1281,Stores!$A$2:$A$21,0))</f>
        <v>5.74</v>
      </c>
      <c r="Z1281" s="33">
        <f>IF(Y1281&gt;Store_Summary!$M$2,1,0)</f>
        <v>1</v>
      </c>
      <c r="AA1281" s="33">
        <f>INDEX(Stores!$C$2:$C$21,MATCH(B1281,Stores!$A$2:$A$21,0))</f>
        <v>647</v>
      </c>
      <c r="AB1281" s="33">
        <f>IF(AA1281&lt;180,1,0)</f>
        <v>0</v>
      </c>
      <c r="AC1281" s="32" t="str">
        <f>IF(Orders!D1278="","",INDEX(Riders!$C$2:$C$81,MATCH(Orders!D1278,Riders!$A$2:$A$81,0)))</f>
        <v>EV scooter</v>
      </c>
      <c r="AD1281" s="33">
        <f>IF(Orders!D1278="","",INDEX(Riders!$D$2:$D$81,MATCH(Orders!D1278,Riders!$A$2:$A$81,0)))</f>
        <v>33</v>
      </c>
      <c r="AE1281" s="33">
        <f>IF(Orders!D1278="","",IF(INDEX(Riders!$B$2:$B$81,MATCH(Orders!D1278,Riders!$A$2:$A$81,0))=B1281,1,0))</f>
        <v>0</v>
      </c>
      <c r="AF1281" s="34">
        <f>IF(E1281=1,Orders!L1278,"")</f>
        <v>0.66</v>
      </c>
      <c r="AG1281" s="34">
        <f>IF(E1281=1,Orders!P1278,"")</f>
        <v>9.6</v>
      </c>
      <c r="AH1281" s="34">
        <f>IF(E1281=1,Orders!Q1278,"")</f>
        <v>9</v>
      </c>
      <c r="AI1281" s="34">
        <f>IF(E1281=1,Orders!M1278,"")</f>
        <v>3</v>
      </c>
      <c r="AJ1281" s="34">
        <f>IF(E1281=1,Orders!N1278,"")</f>
        <v>4.7</v>
      </c>
      <c r="AK1281" s="34">
        <f>IF(E1281=1,Orders!O1278,"")</f>
        <v>1.3</v>
      </c>
      <c r="AL1281" s="33">
        <f>IF(E1281=1,IF(ROUND(ABS(AI1281+AJ1281+AK1281-AH1281),6)&lt;=0.1,1,0),"")</f>
        <v>1</v>
      </c>
      <c r="AM1281" s="36">
        <f>IF(E1281=1,AI1281/AH1281,"")</f>
        <v>0.333333333333333</v>
      </c>
      <c r="AN1281" s="36">
        <f>IF(E1281=1,AJ1281/AH1281,"")</f>
        <v>0.522222222222222</v>
      </c>
      <c r="AO1281" s="36">
        <f>IF(E1281=1,AK1281/AH1281,"")</f>
        <v>0.144444444444444</v>
      </c>
      <c r="AP1281" s="34">
        <f>IF(E1281=1,Orders!Y1278,"")</f>
        <v>0.57</v>
      </c>
      <c r="AQ1281" s="33">
        <f>IF(Orders!X1278,1,0)</f>
        <v>0</v>
      </c>
      <c r="AR1281" s="34">
        <f>IF(AND(E1281=1,L1281=1),AJ1281,"")</f>
        <v>4.7</v>
      </c>
      <c r="AS1281" s="34" t="str">
        <f>IF(AND(E1281=1,L1281=0),AJ1281,"")</f>
        <v/>
      </c>
      <c r="AT1281" s="34">
        <f>IF(AND(E1281=1,L1281=1),AI1281,"")</f>
        <v>3</v>
      </c>
      <c r="AU1281" s="34" t="str">
        <f>IF(AND(E1281=1,L1281=0),AI1281,"")</f>
        <v/>
      </c>
      <c r="AV1281" s="34">
        <f>IF(AND(E1281=1,L1281=1),AG1281,"")</f>
        <v>9.6</v>
      </c>
      <c r="AW1281" s="34" t="str">
        <f>IF(AND(E1281=1,L1281=0),AG1281,"")</f>
        <v/>
      </c>
      <c r="AX1281" s="34">
        <f>IF(AND(E1281=1,L1281=1),AH1281,"")</f>
        <v>9</v>
      </c>
      <c r="AY1281" s="34" t="str">
        <f>IF(AND(E1281=1,L1281=0),AH1281,"")</f>
        <v/>
      </c>
      <c r="AZ1281" s="34" t="str">
        <f>IF(G1281=1,F1281,"")</f>
        <v/>
      </c>
      <c r="BA1281" s="34" t="str">
        <f>IF(AND(G1281=1,L1281=1),F1281,"")</f>
        <v/>
      </c>
      <c r="BB1281" s="34" t="str">
        <f>IF(AND(G1281=1,L1281=0),F1281,"")</f>
        <v/>
      </c>
      <c r="BC1281" s="33">
        <f>IF(E1281=1,IF(Orders!R1278&gt;3,1,0),"")</f>
        <v>0</v>
      </c>
      <c r="BD1281" s="33">
        <f>IF(E1281=1,IF(Orders!R1278&gt;7,1,0),"")</f>
        <v>0</v>
      </c>
      <c r="BE1281" s="32" t="str">
        <f>IF(E1281=1,IF(Orders!L1278&lt;=1.5,"Up to 1.5 km",IF(Orders!L1278&lt;=3,"1.5–3 km","Over 3 km")),"")</f>
        <v>Up to 1.5 km</v>
      </c>
      <c r="BF1281" s="33">
        <f>IF(E1281=1,IF(ABS((Orders!G1278-Orders!F1278)*1440-Orders!R1278)&lt;0.06,1,0),"")</f>
        <v>1</v>
      </c>
      <c r="BG1281" s="33">
        <f>IF(ABS((Orders!F1278-Orders!E1278)*1440-Orders!P1278)&lt;0.06,1,0)</f>
        <v>1</v>
      </c>
      <c r="BH1281" s="33">
        <f>IF(E1281=1,IF(IF(Orders!S1278,1,0)=1-G1281,1,0),"")</f>
        <v>1</v>
      </c>
      <c r="BI1281" s="32" t="str">
        <f>INDEX(Stores!$B$2:$B$21,MATCH(B1281,Stores!$A$2:$A$21,0))</f>
        <v>Delhi</v>
      </c>
    </row>
    <row r="1282">
      <c r="A1282" s="32" t="str">
        <f>Orders!A1279</f>
        <v>O01278</v>
      </c>
      <c r="B1282" s="32" t="str">
        <f>Orders!C1279</f>
        <v>S008</v>
      </c>
      <c r="C1282" s="32" t="str">
        <f>Orders!B1279</f>
        <v>C0167</v>
      </c>
      <c r="D1282" s="32" t="str">
        <f>Orders!H1279</f>
        <v>Delivered</v>
      </c>
      <c r="E1282" s="33">
        <f>IF(Orders!H1279="Delivered",1,0)</f>
        <v>1</v>
      </c>
      <c r="F1282" s="34">
        <f>IF(E1282=1,Orders!R1279,"")</f>
        <v>-1</v>
      </c>
      <c r="G1282" s="33">
        <f>IF(E1282=1,IF(Orders!R1279&gt;0,1,0),"")</f>
        <v>0</v>
      </c>
      <c r="H1282" s="33">
        <f>IF(E1282=1,IF(Orders!R1279&gt;5,1,0),"")</f>
        <v>0</v>
      </c>
      <c r="I1282" s="32" t="str">
        <f>IF(E1282=1,"",IF(OR(Orders!T1279="Rider unavailable",Orders!T1279="Item unavailable"),"Company-caused","Unresolved"))</f>
        <v/>
      </c>
      <c r="J1282" s="33">
        <f>IF(OR(E1282=1,I1282="Company-caused"),1,0)</f>
        <v>1</v>
      </c>
      <c r="K1282" s="32" t="str">
        <f>IF(E1282=0,IF(I1282="Company-caused",IF(Orders!T1279="Rider unavailable","C1 Rider unavailable","C2 Item unavailable"),"Outside root: unresolved"),IF(G1282=0,"A On time",IF(H1282=1,IF(L1282=1,"B2a Severe, peak","B2b Severe, off-peak"),IF(L1282=1,"B1a Slight, peak","B1b Slight, off-peak"))))</f>
        <v>A On time</v>
      </c>
      <c r="L1282" s="33">
        <f>IF(AND(Orders!U1279&gt;=19,Orders!U1279&lt;22),1,0)</f>
        <v>0</v>
      </c>
      <c r="M1282" s="33">
        <f>IF(L1282=IF(Orders!V1279,1,0),1,0)</f>
        <v>1</v>
      </c>
      <c r="N1282" s="32" t="str">
        <f>IF(Orders!W1279="","None",Orders!W1279)</f>
        <v>None</v>
      </c>
      <c r="O1282" s="35">
        <f>INT(Orders!E1279)</f>
        <v>46272.0</v>
      </c>
      <c r="P1282" s="33">
        <f>Orders!U1279</f>
        <v>22</v>
      </c>
      <c r="Q1282" s="33">
        <f>COUNTIFS(Demand!$A$2:$A$4481,B1282,Demand!$B$2:$B$4481,O1282,Demand!$C$2:$C$4481,P1282)</f>
        <v>1</v>
      </c>
      <c r="R1282" s="33">
        <f>IF(Q1282=1,SUMIFS(Demand!$E$2:$E$4481,Demand!$A$2:$A$4481,B1282,Demand!$B$2:$B$4481,O1282,Demand!$C$2:$C$4481,P1282),"")</f>
        <v>22</v>
      </c>
      <c r="S1282" s="33">
        <f>INDEX(Stores!$G$2:$G$21,MATCH(B1282,Stores!$A$2:$A$21,0))</f>
        <v>23</v>
      </c>
      <c r="T1282" s="34">
        <f>IF(R1282="","",R1282/S1282)</f>
        <v>0.956521739130435</v>
      </c>
      <c r="U1282" s="34">
        <f>IF(E1282=1,T1282,"")</f>
        <v>0.956521739130435</v>
      </c>
      <c r="V1282" s="34">
        <f>IF(AND(E1282=1,L1282=0),T1282,"")</f>
        <v>0.956521739130435</v>
      </c>
      <c r="W1282" s="33">
        <f>IF(U1282="","",IF(U1282&lt;=Breakdowns!$C$5,1,IF(U1282&lt;=Breakdowns!$C$6,2,IF(U1282&lt;=Breakdowns!$C$7,3,4))))</f>
        <v>2</v>
      </c>
      <c r="X1282" s="33">
        <f>IF(V1282="","",IF(V1282&lt;=Breakdowns!$D$5,1,IF(V1282&lt;=Breakdowns!$D$6,2,IF(V1282&lt;=Breakdowns!$D$7,3,4))))</f>
        <v>3</v>
      </c>
      <c r="Y1282" s="34">
        <f>INDEX(Stores!$F$2:$F$21,MATCH(B1282,Stores!$A$2:$A$21,0))</f>
        <v>3.46</v>
      </c>
      <c r="Z1282" s="33">
        <f>IF(Y1282&gt;Store_Summary!$M$2,1,0)</f>
        <v>0</v>
      </c>
      <c r="AA1282" s="33">
        <f>INDEX(Stores!$C$2:$C$21,MATCH(B1282,Stores!$A$2:$A$21,0))</f>
        <v>825</v>
      </c>
      <c r="AB1282" s="33">
        <f>IF(AA1282&lt;180,1,0)</f>
        <v>0</v>
      </c>
      <c r="AC1282" s="32" t="str">
        <f>IF(Orders!D1279="","",INDEX(Riders!$C$2:$C$81,MATCH(Orders!D1279,Riders!$A$2:$A$81,0)))</f>
        <v>EV scooter</v>
      </c>
      <c r="AD1282" s="33">
        <f>IF(Orders!D1279="","",INDEX(Riders!$D$2:$D$81,MATCH(Orders!D1279,Riders!$A$2:$A$81,0)))</f>
        <v>33</v>
      </c>
      <c r="AE1282" s="33">
        <f>IF(Orders!D1279="","",IF(INDEX(Riders!$B$2:$B$81,MATCH(Orders!D1279,Riders!$A$2:$A$81,0))=B1282,1,0))</f>
        <v>0</v>
      </c>
      <c r="AF1282" s="34">
        <f>IF(E1282=1,Orders!L1279,"")</f>
        <v>4.38</v>
      </c>
      <c r="AG1282" s="34">
        <f>IF(E1282=1,Orders!P1279,"")</f>
        <v>13.6</v>
      </c>
      <c r="AH1282" s="34">
        <f>IF(E1282=1,Orders!Q1279,"")</f>
        <v>12.6</v>
      </c>
      <c r="AI1282" s="34">
        <f>IF(E1282=1,Orders!M1279,"")</f>
        <v>2.2</v>
      </c>
      <c r="AJ1282" s="34">
        <f>IF(E1282=1,Orders!N1279,"")</f>
        <v>5</v>
      </c>
      <c r="AK1282" s="34">
        <f>IF(E1282=1,Orders!O1279,"")</f>
        <v>5.4</v>
      </c>
      <c r="AL1282" s="33">
        <f>IF(E1282=1,IF(ROUND(ABS(AI1282+AJ1282+AK1282-AH1282),6)&lt;=0.1,1,0),"")</f>
        <v>1</v>
      </c>
      <c r="AM1282" s="36">
        <f>IF(E1282=1,AI1282/AH1282,"")</f>
        <v>0.174603174603175</v>
      </c>
      <c r="AN1282" s="36">
        <f>IF(E1282=1,AJ1282/AH1282,"")</f>
        <v>0.396825396825397</v>
      </c>
      <c r="AO1282" s="36">
        <f>IF(E1282=1,AK1282/AH1282,"")</f>
        <v>0.428571428571429</v>
      </c>
      <c r="AP1282" s="34">
        <f>IF(E1282=1,Orders!Y1279,"")</f>
        <v>0.66</v>
      </c>
      <c r="AQ1282" s="33">
        <f>IF(Orders!X1279,1,0)</f>
        <v>0</v>
      </c>
      <c r="AR1282" s="34" t="str">
        <f>IF(AND(E1282=1,L1282=1),AJ1282,"")</f>
        <v/>
      </c>
      <c r="AS1282" s="34">
        <f>IF(AND(E1282=1,L1282=0),AJ1282,"")</f>
        <v>5</v>
      </c>
      <c r="AT1282" s="34" t="str">
        <f>IF(AND(E1282=1,L1282=1),AI1282,"")</f>
        <v/>
      </c>
      <c r="AU1282" s="34">
        <f>IF(AND(E1282=1,L1282=0),AI1282,"")</f>
        <v>2.2</v>
      </c>
      <c r="AV1282" s="34" t="str">
        <f>IF(AND(E1282=1,L1282=1),AG1282,"")</f>
        <v/>
      </c>
      <c r="AW1282" s="34">
        <f>IF(AND(E1282=1,L1282=0),AG1282,"")</f>
        <v>13.6</v>
      </c>
      <c r="AX1282" s="34" t="str">
        <f>IF(AND(E1282=1,L1282=1),AH1282,"")</f>
        <v/>
      </c>
      <c r="AY1282" s="34">
        <f>IF(AND(E1282=1,L1282=0),AH1282,"")</f>
        <v>12.6</v>
      </c>
      <c r="AZ1282" s="34" t="str">
        <f>IF(G1282=1,F1282,"")</f>
        <v/>
      </c>
      <c r="BA1282" s="34" t="str">
        <f>IF(AND(G1282=1,L1282=1),F1282,"")</f>
        <v/>
      </c>
      <c r="BB1282" s="34" t="str">
        <f>IF(AND(G1282=1,L1282=0),F1282,"")</f>
        <v/>
      </c>
      <c r="BC1282" s="33">
        <f>IF(E1282=1,IF(Orders!R1279&gt;3,1,0),"")</f>
        <v>0</v>
      </c>
      <c r="BD1282" s="33">
        <f>IF(E1282=1,IF(Orders!R1279&gt;7,1,0),"")</f>
        <v>0</v>
      </c>
      <c r="BE1282" s="32" t="str">
        <f>IF(E1282=1,IF(Orders!L1279&lt;=1.5,"Up to 1.5 km",IF(Orders!L1279&lt;=3,"1.5–3 km","Over 3 km")),"")</f>
        <v>Over 3 km</v>
      </c>
      <c r="BF1282" s="33">
        <f>IF(E1282=1,IF(ABS((Orders!G1279-Orders!F1279)*1440-Orders!R1279)&lt;0.06,1,0),"")</f>
        <v>1</v>
      </c>
      <c r="BG1282" s="33">
        <f>IF(ABS((Orders!F1279-Orders!E1279)*1440-Orders!P1279)&lt;0.06,1,0)</f>
        <v>1</v>
      </c>
      <c r="BH1282" s="33">
        <f>IF(E1282=1,IF(IF(Orders!S1279,1,0)=1-G1282,1,0),"")</f>
        <v>1</v>
      </c>
      <c r="BI1282" s="32" t="str">
        <f>INDEX(Stores!$B$2:$B$21,MATCH(B1282,Stores!$A$2:$A$21,0))</f>
        <v>Mumbai</v>
      </c>
    </row>
    <row r="1283">
      <c r="A1283" s="32" t="str">
        <f>Orders!A1280</f>
        <v>O01279</v>
      </c>
      <c r="B1283" s="32" t="str">
        <f>Orders!C1280</f>
        <v>S005</v>
      </c>
      <c r="C1283" s="32" t="str">
        <f>Orders!B1280</f>
        <v>C0015</v>
      </c>
      <c r="D1283" s="32" t="str">
        <f>Orders!H1280</f>
        <v>Delivered</v>
      </c>
      <c r="E1283" s="33">
        <f>IF(Orders!H1280="Delivered",1,0)</f>
        <v>1</v>
      </c>
      <c r="F1283" s="34">
        <f>IF(E1283=1,Orders!R1280,"")</f>
        <v>-0.6</v>
      </c>
      <c r="G1283" s="33">
        <f>IF(E1283=1,IF(Orders!R1280&gt;0,1,0),"")</f>
        <v>0</v>
      </c>
      <c r="H1283" s="33">
        <f>IF(E1283=1,IF(Orders!R1280&gt;5,1,0),"")</f>
        <v>0</v>
      </c>
      <c r="I1283" s="32" t="str">
        <f>IF(E1283=1,"",IF(OR(Orders!T1280="Rider unavailable",Orders!T1280="Item unavailable"),"Company-caused","Unresolved"))</f>
        <v/>
      </c>
      <c r="J1283" s="33">
        <f>IF(OR(E1283=1,I1283="Company-caused"),1,0)</f>
        <v>1</v>
      </c>
      <c r="K1283" s="32" t="str">
        <f>IF(E1283=0,IF(I1283="Company-caused",IF(Orders!T1280="Rider unavailable","C1 Rider unavailable","C2 Item unavailable"),"Outside root: unresolved"),IF(G1283=0,"A On time",IF(H1283=1,IF(L1283=1,"B2a Severe, peak","B2b Severe, off-peak"),IF(L1283=1,"B1a Slight, peak","B1b Slight, off-peak"))))</f>
        <v>A On time</v>
      </c>
      <c r="L1283" s="33">
        <f>IF(AND(Orders!U1280&gt;=19,Orders!U1280&lt;22),1,0)</f>
        <v>1</v>
      </c>
      <c r="M1283" s="33">
        <f>IF(L1283=IF(Orders!V1280,1,0),1,0)</f>
        <v>1</v>
      </c>
      <c r="N1283" s="32" t="str">
        <f>IF(Orders!W1280="","None",Orders!W1280)</f>
        <v>None</v>
      </c>
      <c r="O1283" s="35">
        <f>INT(Orders!E1280)</f>
        <v>46269.0</v>
      </c>
      <c r="P1283" s="33">
        <f>Orders!U1280</f>
        <v>21</v>
      </c>
      <c r="Q1283" s="33">
        <f>COUNTIFS(Demand!$A$2:$A$4481,B1283,Demand!$B$2:$B$4481,O1283,Demand!$C$2:$C$4481,P1283)</f>
        <v>1</v>
      </c>
      <c r="R1283" s="33">
        <f>IF(Q1283=1,SUMIFS(Demand!$E$2:$E$4481,Demand!$A$2:$A$4481,B1283,Demand!$B$2:$B$4481,O1283,Demand!$C$2:$C$4481,P1283),"")</f>
        <v>26</v>
      </c>
      <c r="S1283" s="33">
        <f>INDEX(Stores!$G$2:$G$21,MATCH(B1283,Stores!$A$2:$A$21,0))</f>
        <v>14</v>
      </c>
      <c r="T1283" s="34">
        <f>IF(R1283="","",R1283/S1283)</f>
        <v>1.85714285714286</v>
      </c>
      <c r="U1283" s="34">
        <f>IF(E1283=1,T1283,"")</f>
        <v>1.85714285714286</v>
      </c>
      <c r="V1283" s="34" t="str">
        <f>IF(AND(E1283=1,L1283=0),T1283,"")</f>
        <v/>
      </c>
      <c r="W1283" s="33">
        <f>IF(U1283="","",IF(U1283&lt;=Breakdowns!$C$5,1,IF(U1283&lt;=Breakdowns!$C$6,2,IF(U1283&lt;=Breakdowns!$C$7,3,4))))</f>
        <v>4</v>
      </c>
      <c r="X1283" s="33" t="str">
        <f>IF(V1283="","",IF(V1283&lt;=Breakdowns!$D$5,1,IF(V1283&lt;=Breakdowns!$D$6,2,IF(V1283&lt;=Breakdowns!$D$7,3,4))))</f>
        <v/>
      </c>
      <c r="Y1283" s="34">
        <f>INDEX(Stores!$F$2:$F$21,MATCH(B1283,Stores!$A$2:$A$21,0))</f>
        <v>4.89</v>
      </c>
      <c r="Z1283" s="33">
        <f>IF(Y1283&gt;Store_Summary!$M$2,1,0)</f>
        <v>0</v>
      </c>
      <c r="AA1283" s="33">
        <f>INDEX(Stores!$C$2:$C$21,MATCH(B1283,Stores!$A$2:$A$21,0))</f>
        <v>138</v>
      </c>
      <c r="AB1283" s="33">
        <f>IF(AA1283&lt;180,1,0)</f>
        <v>1</v>
      </c>
      <c r="AC1283" s="32" t="str">
        <f>IF(Orders!D1280="","",INDEX(Riders!$C$2:$C$81,MATCH(Orders!D1280,Riders!$A$2:$A$81,0)))</f>
        <v>Petrol scooter</v>
      </c>
      <c r="AD1283" s="33">
        <f>IF(Orders!D1280="","",INDEX(Riders!$D$2:$D$81,MATCH(Orders!D1280,Riders!$A$2:$A$81,0)))</f>
        <v>13</v>
      </c>
      <c r="AE1283" s="33">
        <f>IF(Orders!D1280="","",IF(INDEX(Riders!$B$2:$B$81,MATCH(Orders!D1280,Riders!$A$2:$A$81,0))=B1283,1,0))</f>
        <v>0</v>
      </c>
      <c r="AF1283" s="34">
        <f>IF(E1283=1,Orders!L1280,"")</f>
        <v>2.72</v>
      </c>
      <c r="AG1283" s="34">
        <f>IF(E1283=1,Orders!P1280,"")</f>
        <v>9.9</v>
      </c>
      <c r="AH1283" s="34">
        <f>IF(E1283=1,Orders!Q1280,"")</f>
        <v>9.3</v>
      </c>
      <c r="AI1283" s="34">
        <f>IF(E1283=1,Orders!M1280,"")</f>
        <v>2.3</v>
      </c>
      <c r="AJ1283" s="34">
        <f>IF(E1283=1,Orders!N1280,"")</f>
        <v>3.7</v>
      </c>
      <c r="AK1283" s="34">
        <f>IF(E1283=1,Orders!O1280,"")</f>
        <v>3.3</v>
      </c>
      <c r="AL1283" s="33">
        <f>IF(E1283=1,IF(ROUND(ABS(AI1283+AJ1283+AK1283-AH1283),6)&lt;=0.1,1,0),"")</f>
        <v>1</v>
      </c>
      <c r="AM1283" s="36">
        <f>IF(E1283=1,AI1283/AH1283,"")</f>
        <v>0.247311827956989</v>
      </c>
      <c r="AN1283" s="36">
        <f>IF(E1283=1,AJ1283/AH1283,"")</f>
        <v>0.397849462365591</v>
      </c>
      <c r="AO1283" s="36">
        <f>IF(E1283=1,AK1283/AH1283,"")</f>
        <v>0.354838709677419</v>
      </c>
      <c r="AP1283" s="34">
        <f>IF(E1283=1,Orders!Y1280,"")</f>
        <v>0.66</v>
      </c>
      <c r="AQ1283" s="33">
        <f>IF(Orders!X1280,1,0)</f>
        <v>0</v>
      </c>
      <c r="AR1283" s="34">
        <f>IF(AND(E1283=1,L1283=1),AJ1283,"")</f>
        <v>3.7</v>
      </c>
      <c r="AS1283" s="34" t="str">
        <f>IF(AND(E1283=1,L1283=0),AJ1283,"")</f>
        <v/>
      </c>
      <c r="AT1283" s="34">
        <f>IF(AND(E1283=1,L1283=1),AI1283,"")</f>
        <v>2.3</v>
      </c>
      <c r="AU1283" s="34" t="str">
        <f>IF(AND(E1283=1,L1283=0),AI1283,"")</f>
        <v/>
      </c>
      <c r="AV1283" s="34">
        <f>IF(AND(E1283=1,L1283=1),AG1283,"")</f>
        <v>9.9</v>
      </c>
      <c r="AW1283" s="34" t="str">
        <f>IF(AND(E1283=1,L1283=0),AG1283,"")</f>
        <v/>
      </c>
      <c r="AX1283" s="34">
        <f>IF(AND(E1283=1,L1283=1),AH1283,"")</f>
        <v>9.3</v>
      </c>
      <c r="AY1283" s="34" t="str">
        <f>IF(AND(E1283=1,L1283=0),AH1283,"")</f>
        <v/>
      </c>
      <c r="AZ1283" s="34" t="str">
        <f>IF(G1283=1,F1283,"")</f>
        <v/>
      </c>
      <c r="BA1283" s="34" t="str">
        <f>IF(AND(G1283=1,L1283=1),F1283,"")</f>
        <v/>
      </c>
      <c r="BB1283" s="34" t="str">
        <f>IF(AND(G1283=1,L1283=0),F1283,"")</f>
        <v/>
      </c>
      <c r="BC1283" s="33">
        <f>IF(E1283=1,IF(Orders!R1280&gt;3,1,0),"")</f>
        <v>0</v>
      </c>
      <c r="BD1283" s="33">
        <f>IF(E1283=1,IF(Orders!R1280&gt;7,1,0),"")</f>
        <v>0</v>
      </c>
      <c r="BE1283" s="32" t="str">
        <f>IF(E1283=1,IF(Orders!L1280&lt;=1.5,"Up to 1.5 km",IF(Orders!L1280&lt;=3,"1.5–3 km","Over 3 km")),"")</f>
        <v>1.5–3 km</v>
      </c>
      <c r="BF1283" s="33">
        <f>IF(E1283=1,IF(ABS((Orders!G1280-Orders!F1280)*1440-Orders!R1280)&lt;0.06,1,0),"")</f>
        <v>1</v>
      </c>
      <c r="BG1283" s="33">
        <f>IF(ABS((Orders!F1280-Orders!E1280)*1440-Orders!P1280)&lt;0.06,1,0)</f>
        <v>1</v>
      </c>
      <c r="BH1283" s="33">
        <f>IF(E1283=1,IF(IF(Orders!S1280,1,0)=1-G1283,1,0),"")</f>
        <v>1</v>
      </c>
      <c r="BI1283" s="32" t="str">
        <f>INDEX(Stores!$B$2:$B$21,MATCH(B1283,Stores!$A$2:$A$21,0))</f>
        <v>Delhi</v>
      </c>
    </row>
    <row r="1284">
      <c r="A1284" s="32" t="str">
        <f>Orders!A1281</f>
        <v>O01280</v>
      </c>
      <c r="B1284" s="32" t="str">
        <f>Orders!C1281</f>
        <v>S002</v>
      </c>
      <c r="C1284" s="32" t="str">
        <f>Orders!B1281</f>
        <v>C0055</v>
      </c>
      <c r="D1284" s="32" t="str">
        <f>Orders!H1281</f>
        <v>Delivered</v>
      </c>
      <c r="E1284" s="33">
        <f>IF(Orders!H1281="Delivered",1,0)</f>
        <v>1</v>
      </c>
      <c r="F1284" s="34">
        <f>IF(E1284=1,Orders!R1281,"")</f>
        <v>-0.2</v>
      </c>
      <c r="G1284" s="33">
        <f>IF(E1284=1,IF(Orders!R1281&gt;0,1,0),"")</f>
        <v>0</v>
      </c>
      <c r="H1284" s="33">
        <f>IF(E1284=1,IF(Orders!R1281&gt;5,1,0),"")</f>
        <v>0</v>
      </c>
      <c r="I1284" s="32" t="str">
        <f>IF(E1284=1,"",IF(OR(Orders!T1281="Rider unavailable",Orders!T1281="Item unavailable"),"Company-caused","Unresolved"))</f>
        <v/>
      </c>
      <c r="J1284" s="33">
        <f>IF(OR(E1284=1,I1284="Company-caused"),1,0)</f>
        <v>1</v>
      </c>
      <c r="K1284" s="32" t="str">
        <f>IF(E1284=0,IF(I1284="Company-caused",IF(Orders!T1281="Rider unavailable","C1 Rider unavailable","C2 Item unavailable"),"Outside root: unresolved"),IF(G1284=0,"A On time",IF(H1284=1,IF(L1284=1,"B2a Severe, peak","B2b Severe, off-peak"),IF(L1284=1,"B1a Slight, peak","B1b Slight, off-peak"))))</f>
        <v>A On time</v>
      </c>
      <c r="L1284" s="33">
        <f>IF(AND(Orders!U1281&gt;=19,Orders!U1281&lt;22),1,0)</f>
        <v>0</v>
      </c>
      <c r="M1284" s="33">
        <f>IF(L1284=IF(Orders!V1281,1,0),1,0)</f>
        <v>1</v>
      </c>
      <c r="N1284" s="32" t="str">
        <f>IF(Orders!W1281="","None",Orders!W1281)</f>
        <v>None</v>
      </c>
      <c r="O1284" s="35">
        <f>INT(Orders!E1281)</f>
        <v>46279.0</v>
      </c>
      <c r="P1284" s="33">
        <f>Orders!U1281</f>
        <v>13</v>
      </c>
      <c r="Q1284" s="33">
        <f>COUNTIFS(Demand!$A$2:$A$4481,B1284,Demand!$B$2:$B$4481,O1284,Demand!$C$2:$C$4481,P1284)</f>
        <v>1</v>
      </c>
      <c r="R1284" s="33">
        <f>IF(Q1284=1,SUMIFS(Demand!$E$2:$E$4481,Demand!$A$2:$A$4481,B1284,Demand!$B$2:$B$4481,O1284,Demand!$C$2:$C$4481,P1284),"")</f>
        <v>26</v>
      </c>
      <c r="S1284" s="33">
        <f>INDEX(Stores!$G$2:$G$21,MATCH(B1284,Stores!$A$2:$A$21,0))</f>
        <v>33</v>
      </c>
      <c r="T1284" s="34">
        <f>IF(R1284="","",R1284/S1284)</f>
        <v>0.787878787878788</v>
      </c>
      <c r="U1284" s="34">
        <f>IF(E1284=1,T1284,"")</f>
        <v>0.787878787878788</v>
      </c>
      <c r="V1284" s="34">
        <f>IF(AND(E1284=1,L1284=0),T1284,"")</f>
        <v>0.787878787878788</v>
      </c>
      <c r="W1284" s="33">
        <f>IF(U1284="","",IF(U1284&lt;=Breakdowns!$C$5,1,IF(U1284&lt;=Breakdowns!$C$6,2,IF(U1284&lt;=Breakdowns!$C$7,3,4))))</f>
        <v>2</v>
      </c>
      <c r="X1284" s="33">
        <f>IF(V1284="","",IF(V1284&lt;=Breakdowns!$D$5,1,IF(V1284&lt;=Breakdowns!$D$6,2,IF(V1284&lt;=Breakdowns!$D$7,3,4))))</f>
        <v>2</v>
      </c>
      <c r="Y1284" s="34">
        <f>INDEX(Stores!$F$2:$F$21,MATCH(B1284,Stores!$A$2:$A$21,0))</f>
        <v>2.39</v>
      </c>
      <c r="Z1284" s="33">
        <f>IF(Y1284&gt;Store_Summary!$M$2,1,0)</f>
        <v>0</v>
      </c>
      <c r="AA1284" s="33">
        <f>INDEX(Stores!$C$2:$C$21,MATCH(B1284,Stores!$A$2:$A$21,0))</f>
        <v>470</v>
      </c>
      <c r="AB1284" s="33">
        <f>IF(AA1284&lt;180,1,0)</f>
        <v>0</v>
      </c>
      <c r="AC1284" s="32" t="str">
        <f>IF(Orders!D1281="","",INDEX(Riders!$C$2:$C$81,MATCH(Orders!D1281,Riders!$A$2:$A$81,0)))</f>
        <v>EV scooter</v>
      </c>
      <c r="AD1284" s="33">
        <f>IF(Orders!D1281="","",INDEX(Riders!$D$2:$D$81,MATCH(Orders!D1281,Riders!$A$2:$A$81,0)))</f>
        <v>4</v>
      </c>
      <c r="AE1284" s="33">
        <f>IF(Orders!D1281="","",IF(INDEX(Riders!$B$2:$B$81,MATCH(Orders!D1281,Riders!$A$2:$A$81,0))=B1284,1,0))</f>
        <v>0</v>
      </c>
      <c r="AF1284" s="34">
        <f>IF(E1284=1,Orders!L1281,"")</f>
        <v>1.11</v>
      </c>
      <c r="AG1284" s="34">
        <f>IF(E1284=1,Orders!P1281,"")</f>
        <v>9.6</v>
      </c>
      <c r="AH1284" s="34">
        <f>IF(E1284=1,Orders!Q1281,"")</f>
        <v>9.4</v>
      </c>
      <c r="AI1284" s="34">
        <f>IF(E1284=1,Orders!M1281,"")</f>
        <v>2.8</v>
      </c>
      <c r="AJ1284" s="34">
        <f>IF(E1284=1,Orders!N1281,"")</f>
        <v>3</v>
      </c>
      <c r="AK1284" s="34">
        <f>IF(E1284=1,Orders!O1281,"")</f>
        <v>3.6</v>
      </c>
      <c r="AL1284" s="33">
        <f>IF(E1284=1,IF(ROUND(ABS(AI1284+AJ1284+AK1284-AH1284),6)&lt;=0.1,1,0),"")</f>
        <v>1</v>
      </c>
      <c r="AM1284" s="36">
        <f>IF(E1284=1,AI1284/AH1284,"")</f>
        <v>0.297872340425532</v>
      </c>
      <c r="AN1284" s="36">
        <f>IF(E1284=1,AJ1284/AH1284,"")</f>
        <v>0.319148936170213</v>
      </c>
      <c r="AO1284" s="36">
        <f>IF(E1284=1,AK1284/AH1284,"")</f>
        <v>0.382978723404255</v>
      </c>
      <c r="AP1284" s="34">
        <f>IF(E1284=1,Orders!Y1281,"")</f>
        <v>0.61</v>
      </c>
      <c r="AQ1284" s="33">
        <f>IF(Orders!X1281,1,0)</f>
        <v>0</v>
      </c>
      <c r="AR1284" s="34" t="str">
        <f>IF(AND(E1284=1,L1284=1),AJ1284,"")</f>
        <v/>
      </c>
      <c r="AS1284" s="34">
        <f>IF(AND(E1284=1,L1284=0),AJ1284,"")</f>
        <v>3</v>
      </c>
      <c r="AT1284" s="34" t="str">
        <f>IF(AND(E1284=1,L1284=1),AI1284,"")</f>
        <v/>
      </c>
      <c r="AU1284" s="34">
        <f>IF(AND(E1284=1,L1284=0),AI1284,"")</f>
        <v>2.8</v>
      </c>
      <c r="AV1284" s="34" t="str">
        <f>IF(AND(E1284=1,L1284=1),AG1284,"")</f>
        <v/>
      </c>
      <c r="AW1284" s="34">
        <f>IF(AND(E1284=1,L1284=0),AG1284,"")</f>
        <v>9.6</v>
      </c>
      <c r="AX1284" s="34" t="str">
        <f>IF(AND(E1284=1,L1284=1),AH1284,"")</f>
        <v/>
      </c>
      <c r="AY1284" s="34">
        <f>IF(AND(E1284=1,L1284=0),AH1284,"")</f>
        <v>9.4</v>
      </c>
      <c r="AZ1284" s="34" t="str">
        <f>IF(G1284=1,F1284,"")</f>
        <v/>
      </c>
      <c r="BA1284" s="34" t="str">
        <f>IF(AND(G1284=1,L1284=1),F1284,"")</f>
        <v/>
      </c>
      <c r="BB1284" s="34" t="str">
        <f>IF(AND(G1284=1,L1284=0),F1284,"")</f>
        <v/>
      </c>
      <c r="BC1284" s="33">
        <f>IF(E1284=1,IF(Orders!R1281&gt;3,1,0),"")</f>
        <v>0</v>
      </c>
      <c r="BD1284" s="33">
        <f>IF(E1284=1,IF(Orders!R1281&gt;7,1,0),"")</f>
        <v>0</v>
      </c>
      <c r="BE1284" s="32" t="str">
        <f>IF(E1284=1,IF(Orders!L1281&lt;=1.5,"Up to 1.5 km",IF(Orders!L1281&lt;=3,"1.5–3 km","Over 3 km")),"")</f>
        <v>Up to 1.5 km</v>
      </c>
      <c r="BF1284" s="33">
        <f>IF(E1284=1,IF(ABS((Orders!G1281-Orders!F1281)*1440-Orders!R1281)&lt;0.06,1,0),"")</f>
        <v>1</v>
      </c>
      <c r="BG1284" s="33">
        <f>IF(ABS((Orders!F1281-Orders!E1281)*1440-Orders!P1281)&lt;0.06,1,0)</f>
        <v>1</v>
      </c>
      <c r="BH1284" s="33">
        <f>IF(E1284=1,IF(IF(Orders!S1281,1,0)=1-G1284,1,0),"")</f>
        <v>1</v>
      </c>
      <c r="BI1284" s="32" t="str">
        <f>INDEX(Stores!$B$2:$B$21,MATCH(B1284,Stores!$A$2:$A$21,0))</f>
        <v>Hyderabad</v>
      </c>
    </row>
    <row r="1285">
      <c r="A1285" s="32" t="str">
        <f>Orders!A1282</f>
        <v>O01281</v>
      </c>
      <c r="B1285" s="32" t="str">
        <f>Orders!C1282</f>
        <v>S012</v>
      </c>
      <c r="C1285" s="32" t="str">
        <f>Orders!B1282</f>
        <v>C0030</v>
      </c>
      <c r="D1285" s="32" t="str">
        <f>Orders!H1282</f>
        <v>Delivered</v>
      </c>
      <c r="E1285" s="33">
        <f>IF(Orders!H1282="Delivered",1,0)</f>
        <v>1</v>
      </c>
      <c r="F1285" s="34">
        <f>IF(E1285=1,Orders!R1282,"")</f>
        <v>5.3</v>
      </c>
      <c r="G1285" s="33">
        <f>IF(E1285=1,IF(Orders!R1282&gt;0,1,0),"")</f>
        <v>1</v>
      </c>
      <c r="H1285" s="33">
        <f>IF(E1285=1,IF(Orders!R1282&gt;5,1,0),"")</f>
        <v>1</v>
      </c>
      <c r="I1285" s="32" t="str">
        <f>IF(E1285=1,"",IF(OR(Orders!T1282="Rider unavailable",Orders!T1282="Item unavailable"),"Company-caused","Unresolved"))</f>
        <v/>
      </c>
      <c r="J1285" s="33">
        <f>IF(OR(E1285=1,I1285="Company-caused"),1,0)</f>
        <v>1</v>
      </c>
      <c r="K1285" s="32" t="str">
        <f>IF(E1285=0,IF(I1285="Company-caused",IF(Orders!T1282="Rider unavailable","C1 Rider unavailable","C2 Item unavailable"),"Outside root: unresolved"),IF(G1285=0,"A On time",IF(H1285=1,IF(L1285=1,"B2a Severe, peak","B2b Severe, off-peak"),IF(L1285=1,"B1a Slight, peak","B1b Slight, off-peak"))))</f>
        <v>B2b Severe, off-peak</v>
      </c>
      <c r="L1285" s="33">
        <f>IF(AND(Orders!U1282&gt;=19,Orders!U1282&lt;22),1,0)</f>
        <v>0</v>
      </c>
      <c r="M1285" s="33">
        <f>IF(L1285=IF(Orders!V1282,1,0),1,0)</f>
        <v>1</v>
      </c>
      <c r="N1285" s="32" t="str">
        <f>IF(Orders!W1282="","None",Orders!W1282)</f>
        <v>None</v>
      </c>
      <c r="O1285" s="35">
        <f>INT(Orders!E1282)</f>
        <v>46276.0</v>
      </c>
      <c r="P1285" s="33">
        <f>Orders!U1282</f>
        <v>18</v>
      </c>
      <c r="Q1285" s="33">
        <f>COUNTIFS(Demand!$A$2:$A$4481,B1285,Demand!$B$2:$B$4481,O1285,Demand!$C$2:$C$4481,P1285)</f>
        <v>1</v>
      </c>
      <c r="R1285" s="33">
        <f>IF(Q1285=1,SUMIFS(Demand!$E$2:$E$4481,Demand!$A$2:$A$4481,B1285,Demand!$B$2:$B$4481,O1285,Demand!$C$2:$C$4481,P1285),"")</f>
        <v>12</v>
      </c>
      <c r="S1285" s="33">
        <f>INDEX(Stores!$G$2:$G$21,MATCH(B1285,Stores!$A$2:$A$21,0))</f>
        <v>15</v>
      </c>
      <c r="T1285" s="34">
        <f>IF(R1285="","",R1285/S1285)</f>
        <v>0.8</v>
      </c>
      <c r="U1285" s="34">
        <f>IF(E1285=1,T1285,"")</f>
        <v>0.8</v>
      </c>
      <c r="V1285" s="34">
        <f>IF(AND(E1285=1,L1285=0),T1285,"")</f>
        <v>0.8</v>
      </c>
      <c r="W1285" s="33">
        <f>IF(U1285="","",IF(U1285&lt;=Breakdowns!$C$5,1,IF(U1285&lt;=Breakdowns!$C$6,2,IF(U1285&lt;=Breakdowns!$C$7,3,4))))</f>
        <v>2</v>
      </c>
      <c r="X1285" s="33">
        <f>IF(V1285="","",IF(V1285&lt;=Breakdowns!$D$5,1,IF(V1285&lt;=Breakdowns!$D$6,2,IF(V1285&lt;=Breakdowns!$D$7,3,4))))</f>
        <v>2</v>
      </c>
      <c r="Y1285" s="34">
        <f>INDEX(Stores!$F$2:$F$21,MATCH(B1285,Stores!$A$2:$A$21,0))</f>
        <v>5.23</v>
      </c>
      <c r="Z1285" s="33">
        <f>IF(Y1285&gt;Store_Summary!$M$2,1,0)</f>
        <v>1</v>
      </c>
      <c r="AA1285" s="33">
        <f>INDEX(Stores!$C$2:$C$21,MATCH(B1285,Stores!$A$2:$A$21,0))</f>
        <v>300</v>
      </c>
      <c r="AB1285" s="33">
        <f>IF(AA1285&lt;180,1,0)</f>
        <v>0</v>
      </c>
      <c r="AC1285" s="32" t="str">
        <f>IF(Orders!D1282="","",INDEX(Riders!$C$2:$C$81,MATCH(Orders!D1282,Riders!$A$2:$A$81,0)))</f>
        <v>EV scooter</v>
      </c>
      <c r="AD1285" s="33">
        <f>IF(Orders!D1282="","",INDEX(Riders!$D$2:$D$81,MATCH(Orders!D1282,Riders!$A$2:$A$81,0)))</f>
        <v>46</v>
      </c>
      <c r="AE1285" s="33">
        <f>IF(Orders!D1282="","",IF(INDEX(Riders!$B$2:$B$81,MATCH(Orders!D1282,Riders!$A$2:$A$81,0))=B1285,1,0))</f>
        <v>0</v>
      </c>
      <c r="AF1285" s="34">
        <f>IF(E1285=1,Orders!L1282,"")</f>
        <v>1.32</v>
      </c>
      <c r="AG1285" s="34">
        <f>IF(E1285=1,Orders!P1282,"")</f>
        <v>8.1</v>
      </c>
      <c r="AH1285" s="34">
        <f>IF(E1285=1,Orders!Q1282,"")</f>
        <v>13.4</v>
      </c>
      <c r="AI1285" s="34">
        <f>IF(E1285=1,Orders!M1282,"")</f>
        <v>6.5</v>
      </c>
      <c r="AJ1285" s="34">
        <f>IF(E1285=1,Orders!N1282,"")</f>
        <v>1.9</v>
      </c>
      <c r="AK1285" s="34">
        <f>IF(E1285=1,Orders!O1282,"")</f>
        <v>5</v>
      </c>
      <c r="AL1285" s="33">
        <f>IF(E1285=1,IF(ROUND(ABS(AI1285+AJ1285+AK1285-AH1285),6)&lt;=0.1,1,0),"")</f>
        <v>1</v>
      </c>
      <c r="AM1285" s="36">
        <f>IF(E1285=1,AI1285/AH1285,"")</f>
        <v>0.485074626865672</v>
      </c>
      <c r="AN1285" s="36">
        <f>IF(E1285=1,AJ1285/AH1285,"")</f>
        <v>0.141791044776119</v>
      </c>
      <c r="AO1285" s="36">
        <f>IF(E1285=1,AK1285/AH1285,"")</f>
        <v>0.373134328358209</v>
      </c>
      <c r="AP1285" s="34">
        <f>IF(E1285=1,Orders!Y1282,"")</f>
        <v>0.71</v>
      </c>
      <c r="AQ1285" s="33">
        <f>IF(Orders!X1282,1,0)</f>
        <v>0</v>
      </c>
      <c r="AR1285" s="34" t="str">
        <f>IF(AND(E1285=1,L1285=1),AJ1285,"")</f>
        <v/>
      </c>
      <c r="AS1285" s="34">
        <f>IF(AND(E1285=1,L1285=0),AJ1285,"")</f>
        <v>1.9</v>
      </c>
      <c r="AT1285" s="34" t="str">
        <f>IF(AND(E1285=1,L1285=1),AI1285,"")</f>
        <v/>
      </c>
      <c r="AU1285" s="34">
        <f>IF(AND(E1285=1,L1285=0),AI1285,"")</f>
        <v>6.5</v>
      </c>
      <c r="AV1285" s="34" t="str">
        <f>IF(AND(E1285=1,L1285=1),AG1285,"")</f>
        <v/>
      </c>
      <c r="AW1285" s="34">
        <f>IF(AND(E1285=1,L1285=0),AG1285,"")</f>
        <v>8.1</v>
      </c>
      <c r="AX1285" s="34" t="str">
        <f>IF(AND(E1285=1,L1285=1),AH1285,"")</f>
        <v/>
      </c>
      <c r="AY1285" s="34">
        <f>IF(AND(E1285=1,L1285=0),AH1285,"")</f>
        <v>13.4</v>
      </c>
      <c r="AZ1285" s="34">
        <f>IF(G1285=1,F1285,"")</f>
        <v>5.3</v>
      </c>
      <c r="BA1285" s="34" t="str">
        <f>IF(AND(G1285=1,L1285=1),F1285,"")</f>
        <v/>
      </c>
      <c r="BB1285" s="34">
        <f>IF(AND(G1285=1,L1285=0),F1285,"")</f>
        <v>5.3</v>
      </c>
      <c r="BC1285" s="33">
        <f>IF(E1285=1,IF(Orders!R1282&gt;3,1,0),"")</f>
        <v>1</v>
      </c>
      <c r="BD1285" s="33">
        <f>IF(E1285=1,IF(Orders!R1282&gt;7,1,0),"")</f>
        <v>0</v>
      </c>
      <c r="BE1285" s="32" t="str">
        <f>IF(E1285=1,IF(Orders!L1282&lt;=1.5,"Up to 1.5 km",IF(Orders!L1282&lt;=3,"1.5–3 km","Over 3 km")),"")</f>
        <v>Up to 1.5 km</v>
      </c>
      <c r="BF1285" s="33">
        <f>IF(E1285=1,IF(ABS((Orders!G1282-Orders!F1282)*1440-Orders!R1282)&lt;0.06,1,0),"")</f>
        <v>1</v>
      </c>
      <c r="BG1285" s="33">
        <f>IF(ABS((Orders!F1282-Orders!E1282)*1440-Orders!P1282)&lt;0.06,1,0)</f>
        <v>1</v>
      </c>
      <c r="BH1285" s="33">
        <f>IF(E1285=1,IF(IF(Orders!S1282,1,0)=1-G1285,1,0),"")</f>
        <v>1</v>
      </c>
      <c r="BI1285" s="32" t="str">
        <f>INDEX(Stores!$B$2:$B$21,MATCH(B1285,Stores!$A$2:$A$21,0))</f>
        <v>Hyderabad</v>
      </c>
    </row>
    <row r="1286">
      <c r="A1286" s="32" t="str">
        <f>Orders!A1283</f>
        <v>O01282</v>
      </c>
      <c r="B1286" s="32" t="str">
        <f>Orders!C1283</f>
        <v>S003</v>
      </c>
      <c r="C1286" s="32" t="str">
        <f>Orders!B1283</f>
        <v>C0089</v>
      </c>
      <c r="D1286" s="32" t="str">
        <f>Orders!H1283</f>
        <v>Delivered</v>
      </c>
      <c r="E1286" s="33">
        <f>IF(Orders!H1283="Delivered",1,0)</f>
        <v>1</v>
      </c>
      <c r="F1286" s="34">
        <f>IF(E1286=1,Orders!R1283,"")</f>
        <v>-1.1</v>
      </c>
      <c r="G1286" s="33">
        <f>IF(E1286=1,IF(Orders!R1283&gt;0,1,0),"")</f>
        <v>0</v>
      </c>
      <c r="H1286" s="33">
        <f>IF(E1286=1,IF(Orders!R1283&gt;5,1,0),"")</f>
        <v>0</v>
      </c>
      <c r="I1286" s="32" t="str">
        <f>IF(E1286=1,"",IF(OR(Orders!T1283="Rider unavailable",Orders!T1283="Item unavailable"),"Company-caused","Unresolved"))</f>
        <v/>
      </c>
      <c r="J1286" s="33">
        <f>IF(OR(E1286=1,I1286="Company-caused"),1,0)</f>
        <v>1</v>
      </c>
      <c r="K1286" s="32" t="str">
        <f>IF(E1286=0,IF(I1286="Company-caused",IF(Orders!T1283="Rider unavailable","C1 Rider unavailable","C2 Item unavailable"),"Outside root: unresolved"),IF(G1286=0,"A On time",IF(H1286=1,IF(L1286=1,"B2a Severe, peak","B2b Severe, off-peak"),IF(L1286=1,"B1a Slight, peak","B1b Slight, off-peak"))))</f>
        <v>A On time</v>
      </c>
      <c r="L1286" s="33">
        <f>IF(AND(Orders!U1283&gt;=19,Orders!U1283&lt;22),1,0)</f>
        <v>0</v>
      </c>
      <c r="M1286" s="33">
        <f>IF(L1286=IF(Orders!V1283,1,0),1,0)</f>
        <v>1</v>
      </c>
      <c r="N1286" s="32" t="str">
        <f>IF(Orders!W1283="","None",Orders!W1283)</f>
        <v>None</v>
      </c>
      <c r="O1286" s="35">
        <f>INT(Orders!E1283)</f>
        <v>46270.0</v>
      </c>
      <c r="P1286" s="33">
        <f>Orders!U1283</f>
        <v>13</v>
      </c>
      <c r="Q1286" s="33">
        <f>COUNTIFS(Demand!$A$2:$A$4481,B1286,Demand!$B$2:$B$4481,O1286,Demand!$C$2:$C$4481,P1286)</f>
        <v>1</v>
      </c>
      <c r="R1286" s="33">
        <f>IF(Q1286=1,SUMIFS(Demand!$E$2:$E$4481,Demand!$A$2:$A$4481,B1286,Demand!$B$2:$B$4481,O1286,Demand!$C$2:$C$4481,P1286),"")</f>
        <v>36</v>
      </c>
      <c r="S1286" s="33">
        <f>INDEX(Stores!$G$2:$G$21,MATCH(B1286,Stores!$A$2:$A$21,0))</f>
        <v>41</v>
      </c>
      <c r="T1286" s="34">
        <f>IF(R1286="","",R1286/S1286)</f>
        <v>0.878048780487805</v>
      </c>
      <c r="U1286" s="34">
        <f>IF(E1286=1,T1286,"")</f>
        <v>0.878048780487805</v>
      </c>
      <c r="V1286" s="34">
        <f>IF(AND(E1286=1,L1286=0),T1286,"")</f>
        <v>0.878048780487805</v>
      </c>
      <c r="W1286" s="33">
        <f>IF(U1286="","",IF(U1286&lt;=Breakdowns!$C$5,1,IF(U1286&lt;=Breakdowns!$C$6,2,IF(U1286&lt;=Breakdowns!$C$7,3,4))))</f>
        <v>2</v>
      </c>
      <c r="X1286" s="33">
        <f>IF(V1286="","",IF(V1286&lt;=Breakdowns!$D$5,1,IF(V1286&lt;=Breakdowns!$D$6,2,IF(V1286&lt;=Breakdowns!$D$7,3,4))))</f>
        <v>2</v>
      </c>
      <c r="Y1286" s="34">
        <f>INDEX(Stores!$F$2:$F$21,MATCH(B1286,Stores!$A$2:$A$21,0))</f>
        <v>3.84</v>
      </c>
      <c r="Z1286" s="33">
        <f>IF(Y1286&gt;Store_Summary!$M$2,1,0)</f>
        <v>0</v>
      </c>
      <c r="AA1286" s="33">
        <f>INDEX(Stores!$C$2:$C$21,MATCH(B1286,Stores!$A$2:$A$21,0))</f>
        <v>426</v>
      </c>
      <c r="AB1286" s="33">
        <f>IF(AA1286&lt;180,1,0)</f>
        <v>0</v>
      </c>
      <c r="AC1286" s="32" t="str">
        <f>IF(Orders!D1283="","",INDEX(Riders!$C$2:$C$81,MATCH(Orders!D1283,Riders!$A$2:$A$81,0)))</f>
        <v>Petrol scooter</v>
      </c>
      <c r="AD1286" s="33">
        <f>IF(Orders!D1283="","",INDEX(Riders!$D$2:$D$81,MATCH(Orders!D1283,Riders!$A$2:$A$81,0)))</f>
        <v>10</v>
      </c>
      <c r="AE1286" s="33">
        <f>IF(Orders!D1283="","",IF(INDEX(Riders!$B$2:$B$81,MATCH(Orders!D1283,Riders!$A$2:$A$81,0))=B1286,1,0))</f>
        <v>0</v>
      </c>
      <c r="AF1286" s="34">
        <f>IF(E1286=1,Orders!L1283,"")</f>
        <v>1.6</v>
      </c>
      <c r="AG1286" s="34">
        <f>IF(E1286=1,Orders!P1283,"")</f>
        <v>10.5</v>
      </c>
      <c r="AH1286" s="34">
        <f>IF(E1286=1,Orders!Q1283,"")</f>
        <v>9.4</v>
      </c>
      <c r="AI1286" s="34">
        <f>IF(E1286=1,Orders!M1283,"")</f>
        <v>3.5</v>
      </c>
      <c r="AJ1286" s="34">
        <f>IF(E1286=1,Orders!N1283,"")</f>
        <v>1.2</v>
      </c>
      <c r="AK1286" s="34">
        <f>IF(E1286=1,Orders!O1283,"")</f>
        <v>4.7</v>
      </c>
      <c r="AL1286" s="33">
        <f>IF(E1286=1,IF(ROUND(ABS(AI1286+AJ1286+AK1286-AH1286),6)&lt;=0.1,1,0),"")</f>
        <v>1</v>
      </c>
      <c r="AM1286" s="36">
        <f>IF(E1286=1,AI1286/AH1286,"")</f>
        <v>0.372340425531915</v>
      </c>
      <c r="AN1286" s="36">
        <f>IF(E1286=1,AJ1286/AH1286,"")</f>
        <v>0.127659574468085</v>
      </c>
      <c r="AO1286" s="36">
        <f>IF(E1286=1,AK1286/AH1286,"")</f>
        <v>0.5</v>
      </c>
      <c r="AP1286" s="34">
        <f>IF(E1286=1,Orders!Y1283,"")</f>
        <v>0.71</v>
      </c>
      <c r="AQ1286" s="33">
        <f>IF(Orders!X1283,1,0)</f>
        <v>0</v>
      </c>
      <c r="AR1286" s="34" t="str">
        <f>IF(AND(E1286=1,L1286=1),AJ1286,"")</f>
        <v/>
      </c>
      <c r="AS1286" s="34">
        <f>IF(AND(E1286=1,L1286=0),AJ1286,"")</f>
        <v>1.2</v>
      </c>
      <c r="AT1286" s="34" t="str">
        <f>IF(AND(E1286=1,L1286=1),AI1286,"")</f>
        <v/>
      </c>
      <c r="AU1286" s="34">
        <f>IF(AND(E1286=1,L1286=0),AI1286,"")</f>
        <v>3.5</v>
      </c>
      <c r="AV1286" s="34" t="str">
        <f>IF(AND(E1286=1,L1286=1),AG1286,"")</f>
        <v/>
      </c>
      <c r="AW1286" s="34">
        <f>IF(AND(E1286=1,L1286=0),AG1286,"")</f>
        <v>10.5</v>
      </c>
      <c r="AX1286" s="34" t="str">
        <f>IF(AND(E1286=1,L1286=1),AH1286,"")</f>
        <v/>
      </c>
      <c r="AY1286" s="34">
        <f>IF(AND(E1286=1,L1286=0),AH1286,"")</f>
        <v>9.4</v>
      </c>
      <c r="AZ1286" s="34" t="str">
        <f>IF(G1286=1,F1286,"")</f>
        <v/>
      </c>
      <c r="BA1286" s="34" t="str">
        <f>IF(AND(G1286=1,L1286=1),F1286,"")</f>
        <v/>
      </c>
      <c r="BB1286" s="34" t="str">
        <f>IF(AND(G1286=1,L1286=0),F1286,"")</f>
        <v/>
      </c>
      <c r="BC1286" s="33">
        <f>IF(E1286=1,IF(Orders!R1283&gt;3,1,0),"")</f>
        <v>0</v>
      </c>
      <c r="BD1286" s="33">
        <f>IF(E1286=1,IF(Orders!R1283&gt;7,1,0),"")</f>
        <v>0</v>
      </c>
      <c r="BE1286" s="32" t="str">
        <f>IF(E1286=1,IF(Orders!L1283&lt;=1.5,"Up to 1.5 km",IF(Orders!L1283&lt;=3,"1.5–3 km","Over 3 km")),"")</f>
        <v>1.5–3 km</v>
      </c>
      <c r="BF1286" s="33">
        <f>IF(E1286=1,IF(ABS((Orders!G1283-Orders!F1283)*1440-Orders!R1283)&lt;0.06,1,0),"")</f>
        <v>1</v>
      </c>
      <c r="BG1286" s="33">
        <f>IF(ABS((Orders!F1283-Orders!E1283)*1440-Orders!P1283)&lt;0.06,1,0)</f>
        <v>1</v>
      </c>
      <c r="BH1286" s="33">
        <f>IF(E1286=1,IF(IF(Orders!S1283,1,0)=1-G1286,1,0),"")</f>
        <v>1</v>
      </c>
      <c r="BI1286" s="32" t="str">
        <f>INDEX(Stores!$B$2:$B$21,MATCH(B1286,Stores!$A$2:$A$21,0))</f>
        <v>Mumbai</v>
      </c>
    </row>
    <row r="1287">
      <c r="A1287" s="32" t="str">
        <f>Orders!A1284</f>
        <v>O01283</v>
      </c>
      <c r="B1287" s="32" t="str">
        <f>Orders!C1284</f>
        <v>S020</v>
      </c>
      <c r="C1287" s="32" t="str">
        <f>Orders!B1284</f>
        <v>C0176</v>
      </c>
      <c r="D1287" s="32" t="str">
        <f>Orders!H1284</f>
        <v>Delivered</v>
      </c>
      <c r="E1287" s="33">
        <f>IF(Orders!H1284="Delivered",1,0)</f>
        <v>1</v>
      </c>
      <c r="F1287" s="34">
        <f>IF(E1287=1,Orders!R1284,"")</f>
        <v>-1</v>
      </c>
      <c r="G1287" s="33">
        <f>IF(E1287=1,IF(Orders!R1284&gt;0,1,0),"")</f>
        <v>0</v>
      </c>
      <c r="H1287" s="33">
        <f>IF(E1287=1,IF(Orders!R1284&gt;5,1,0),"")</f>
        <v>0</v>
      </c>
      <c r="I1287" s="32" t="str">
        <f>IF(E1287=1,"",IF(OR(Orders!T1284="Rider unavailable",Orders!T1284="Item unavailable"),"Company-caused","Unresolved"))</f>
        <v/>
      </c>
      <c r="J1287" s="33">
        <f>IF(OR(E1287=1,I1287="Company-caused"),1,0)</f>
        <v>1</v>
      </c>
      <c r="K1287" s="32" t="str">
        <f>IF(E1287=0,IF(I1287="Company-caused",IF(Orders!T1284="Rider unavailable","C1 Rider unavailable","C2 Item unavailable"),"Outside root: unresolved"),IF(G1287=0,"A On time",IF(H1287=1,IF(L1287=1,"B2a Severe, peak","B2b Severe, off-peak"),IF(L1287=1,"B1a Slight, peak","B1b Slight, off-peak"))))</f>
        <v>A On time</v>
      </c>
      <c r="L1287" s="33">
        <f>IF(AND(Orders!U1284&gt;=19,Orders!U1284&lt;22),1,0)</f>
        <v>0</v>
      </c>
      <c r="M1287" s="33">
        <f>IF(L1287=IF(Orders!V1284,1,0),1,0)</f>
        <v>1</v>
      </c>
      <c r="N1287" s="32" t="str">
        <f>IF(Orders!W1284="","None",Orders!W1284)</f>
        <v>None</v>
      </c>
      <c r="O1287" s="35">
        <f>INT(Orders!E1284)</f>
        <v>46271.0</v>
      </c>
      <c r="P1287" s="33">
        <f>Orders!U1284</f>
        <v>9</v>
      </c>
      <c r="Q1287" s="33">
        <f>COUNTIFS(Demand!$A$2:$A$4481,B1287,Demand!$B$2:$B$4481,O1287,Demand!$C$2:$C$4481,P1287)</f>
        <v>1</v>
      </c>
      <c r="R1287" s="33">
        <f>IF(Q1287=1,SUMIFS(Demand!$E$2:$E$4481,Demand!$A$2:$A$4481,B1287,Demand!$B$2:$B$4481,O1287,Demand!$C$2:$C$4481,P1287),"")</f>
        <v>14</v>
      </c>
      <c r="S1287" s="33">
        <f>INDEX(Stores!$G$2:$G$21,MATCH(B1287,Stores!$A$2:$A$21,0))</f>
        <v>15</v>
      </c>
      <c r="T1287" s="34">
        <f>IF(R1287="","",R1287/S1287)</f>
        <v>0.933333333333333</v>
      </c>
      <c r="U1287" s="34">
        <f>IF(E1287=1,T1287,"")</f>
        <v>0.933333333333333</v>
      </c>
      <c r="V1287" s="34">
        <f>IF(AND(E1287=1,L1287=0),T1287,"")</f>
        <v>0.933333333333333</v>
      </c>
      <c r="W1287" s="33">
        <f>IF(U1287="","",IF(U1287&lt;=Breakdowns!$C$5,1,IF(U1287&lt;=Breakdowns!$C$6,2,IF(U1287&lt;=Breakdowns!$C$7,3,4))))</f>
        <v>2</v>
      </c>
      <c r="X1287" s="33">
        <f>IF(V1287="","",IF(V1287&lt;=Breakdowns!$D$5,1,IF(V1287&lt;=Breakdowns!$D$6,2,IF(V1287&lt;=Breakdowns!$D$7,3,4))))</f>
        <v>3</v>
      </c>
      <c r="Y1287" s="34">
        <f>INDEX(Stores!$F$2:$F$21,MATCH(B1287,Stores!$A$2:$A$21,0))</f>
        <v>5.74</v>
      </c>
      <c r="Z1287" s="33">
        <f>IF(Y1287&gt;Store_Summary!$M$2,1,0)</f>
        <v>1</v>
      </c>
      <c r="AA1287" s="33">
        <f>INDEX(Stores!$C$2:$C$21,MATCH(B1287,Stores!$A$2:$A$21,0))</f>
        <v>647</v>
      </c>
      <c r="AB1287" s="33">
        <f>IF(AA1287&lt;180,1,0)</f>
        <v>0</v>
      </c>
      <c r="AC1287" s="32" t="str">
        <f>IF(Orders!D1284="","",INDEX(Riders!$C$2:$C$81,MATCH(Orders!D1284,Riders!$A$2:$A$81,0)))</f>
        <v>EV scooter</v>
      </c>
      <c r="AD1287" s="33">
        <f>IF(Orders!D1284="","",INDEX(Riders!$D$2:$D$81,MATCH(Orders!D1284,Riders!$A$2:$A$81,0)))</f>
        <v>27</v>
      </c>
      <c r="AE1287" s="33">
        <f>IF(Orders!D1284="","",IF(INDEX(Riders!$B$2:$B$81,MATCH(Orders!D1284,Riders!$A$2:$A$81,0))=B1287,1,0))</f>
        <v>0</v>
      </c>
      <c r="AF1287" s="34">
        <f>IF(E1287=1,Orders!L1284,"")</f>
        <v>2.6</v>
      </c>
      <c r="AG1287" s="34">
        <f>IF(E1287=1,Orders!P1284,"")</f>
        <v>11</v>
      </c>
      <c r="AH1287" s="34">
        <f>IF(E1287=1,Orders!Q1284,"")</f>
        <v>10</v>
      </c>
      <c r="AI1287" s="34">
        <f>IF(E1287=1,Orders!M1284,"")</f>
        <v>4.2</v>
      </c>
      <c r="AJ1287" s="34">
        <f>IF(E1287=1,Orders!N1284,"")</f>
        <v>2.2</v>
      </c>
      <c r="AK1287" s="34">
        <f>IF(E1287=1,Orders!O1284,"")</f>
        <v>3.6</v>
      </c>
      <c r="AL1287" s="33">
        <f>IF(E1287=1,IF(ROUND(ABS(AI1287+AJ1287+AK1287-AH1287),6)&lt;=0.1,1,0),"")</f>
        <v>1</v>
      </c>
      <c r="AM1287" s="36">
        <f>IF(E1287=1,AI1287/AH1287,"")</f>
        <v>0.42</v>
      </c>
      <c r="AN1287" s="36">
        <f>IF(E1287=1,AJ1287/AH1287,"")</f>
        <v>0.22</v>
      </c>
      <c r="AO1287" s="36">
        <f>IF(E1287=1,AK1287/AH1287,"")</f>
        <v>0.36</v>
      </c>
      <c r="AP1287" s="34">
        <f>IF(E1287=1,Orders!Y1284,"")</f>
        <v>0.4</v>
      </c>
      <c r="AQ1287" s="33">
        <f>IF(Orders!X1284,1,0)</f>
        <v>0</v>
      </c>
      <c r="AR1287" s="34" t="str">
        <f>IF(AND(E1287=1,L1287=1),AJ1287,"")</f>
        <v/>
      </c>
      <c r="AS1287" s="34">
        <f>IF(AND(E1287=1,L1287=0),AJ1287,"")</f>
        <v>2.2</v>
      </c>
      <c r="AT1287" s="34" t="str">
        <f>IF(AND(E1287=1,L1287=1),AI1287,"")</f>
        <v/>
      </c>
      <c r="AU1287" s="34">
        <f>IF(AND(E1287=1,L1287=0),AI1287,"")</f>
        <v>4.2</v>
      </c>
      <c r="AV1287" s="34" t="str">
        <f>IF(AND(E1287=1,L1287=1),AG1287,"")</f>
        <v/>
      </c>
      <c r="AW1287" s="34">
        <f>IF(AND(E1287=1,L1287=0),AG1287,"")</f>
        <v>11</v>
      </c>
      <c r="AX1287" s="34" t="str">
        <f>IF(AND(E1287=1,L1287=1),AH1287,"")</f>
        <v/>
      </c>
      <c r="AY1287" s="34">
        <f>IF(AND(E1287=1,L1287=0),AH1287,"")</f>
        <v>10</v>
      </c>
      <c r="AZ1287" s="34" t="str">
        <f>IF(G1287=1,F1287,"")</f>
        <v/>
      </c>
      <c r="BA1287" s="34" t="str">
        <f>IF(AND(G1287=1,L1287=1),F1287,"")</f>
        <v/>
      </c>
      <c r="BB1287" s="34" t="str">
        <f>IF(AND(G1287=1,L1287=0),F1287,"")</f>
        <v/>
      </c>
      <c r="BC1287" s="33">
        <f>IF(E1287=1,IF(Orders!R1284&gt;3,1,0),"")</f>
        <v>0</v>
      </c>
      <c r="BD1287" s="33">
        <f>IF(E1287=1,IF(Orders!R1284&gt;7,1,0),"")</f>
        <v>0</v>
      </c>
      <c r="BE1287" s="32" t="str">
        <f>IF(E1287=1,IF(Orders!L1284&lt;=1.5,"Up to 1.5 km",IF(Orders!L1284&lt;=3,"1.5–3 km","Over 3 km")),"")</f>
        <v>1.5–3 km</v>
      </c>
      <c r="BF1287" s="33">
        <f>IF(E1287=1,IF(ABS((Orders!G1284-Orders!F1284)*1440-Orders!R1284)&lt;0.06,1,0),"")</f>
        <v>1</v>
      </c>
      <c r="BG1287" s="33">
        <f>IF(ABS((Orders!F1284-Orders!E1284)*1440-Orders!P1284)&lt;0.06,1,0)</f>
        <v>1</v>
      </c>
      <c r="BH1287" s="33">
        <f>IF(E1287=1,IF(IF(Orders!S1284,1,0)=1-G1287,1,0),"")</f>
        <v>1</v>
      </c>
      <c r="BI1287" s="32" t="str">
        <f>INDEX(Stores!$B$2:$B$21,MATCH(B1287,Stores!$A$2:$A$21,0))</f>
        <v>Delhi</v>
      </c>
    </row>
    <row r="1288">
      <c r="A1288" s="32" t="str">
        <f>Orders!A1285</f>
        <v>O01284</v>
      </c>
      <c r="B1288" s="32" t="str">
        <f>Orders!C1285</f>
        <v>S017</v>
      </c>
      <c r="C1288" s="32" t="str">
        <f>Orders!B1285</f>
        <v>C0209</v>
      </c>
      <c r="D1288" s="32" t="str">
        <f>Orders!H1285</f>
        <v>Delivered</v>
      </c>
      <c r="E1288" s="33">
        <f>IF(Orders!H1285="Delivered",1,0)</f>
        <v>1</v>
      </c>
      <c r="F1288" s="34">
        <f>IF(E1288=1,Orders!R1285,"")</f>
        <v>-0.1</v>
      </c>
      <c r="G1288" s="33">
        <f>IF(E1288=1,IF(Orders!R1285&gt;0,1,0),"")</f>
        <v>0</v>
      </c>
      <c r="H1288" s="33">
        <f>IF(E1288=1,IF(Orders!R1285&gt;5,1,0),"")</f>
        <v>0</v>
      </c>
      <c r="I1288" s="32" t="str">
        <f>IF(E1288=1,"",IF(OR(Orders!T1285="Rider unavailable",Orders!T1285="Item unavailable"),"Company-caused","Unresolved"))</f>
        <v/>
      </c>
      <c r="J1288" s="33">
        <f>IF(OR(E1288=1,I1288="Company-caused"),1,0)</f>
        <v>1</v>
      </c>
      <c r="K1288" s="32" t="str">
        <f>IF(E1288=0,IF(I1288="Company-caused",IF(Orders!T1285="Rider unavailable","C1 Rider unavailable","C2 Item unavailable"),"Outside root: unresolved"),IF(G1288=0,"A On time",IF(H1288=1,IF(L1288=1,"B2a Severe, peak","B2b Severe, off-peak"),IF(L1288=1,"B1a Slight, peak","B1b Slight, off-peak"))))</f>
        <v>A On time</v>
      </c>
      <c r="L1288" s="33">
        <f>IF(AND(Orders!U1285&gt;=19,Orders!U1285&lt;22),1,0)</f>
        <v>0</v>
      </c>
      <c r="M1288" s="33">
        <f>IF(L1288=IF(Orders!V1285,1,0),1,0)</f>
        <v>1</v>
      </c>
      <c r="N1288" s="32" t="str">
        <f>IF(Orders!W1285="","None",Orders!W1285)</f>
        <v>None</v>
      </c>
      <c r="O1288" s="35">
        <f>INT(Orders!E1285)</f>
        <v>46276.0</v>
      </c>
      <c r="P1288" s="33">
        <f>Orders!U1285</f>
        <v>14</v>
      </c>
      <c r="Q1288" s="33">
        <f>COUNTIFS(Demand!$A$2:$A$4481,B1288,Demand!$B$2:$B$4481,O1288,Demand!$C$2:$C$4481,P1288)</f>
        <v>1</v>
      </c>
      <c r="R1288" s="33">
        <f>IF(Q1288=1,SUMIFS(Demand!$E$2:$E$4481,Demand!$A$2:$A$4481,B1288,Demand!$B$2:$B$4481,O1288,Demand!$C$2:$C$4481,P1288),"")</f>
        <v>28</v>
      </c>
      <c r="S1288" s="33">
        <f>INDEX(Stores!$G$2:$G$21,MATCH(B1288,Stores!$A$2:$A$21,0))</f>
        <v>36</v>
      </c>
      <c r="T1288" s="34">
        <f>IF(R1288="","",R1288/S1288)</f>
        <v>0.777777777777778</v>
      </c>
      <c r="U1288" s="34">
        <f>IF(E1288=1,T1288,"")</f>
        <v>0.777777777777778</v>
      </c>
      <c r="V1288" s="34">
        <f>IF(AND(E1288=1,L1288=0),T1288,"")</f>
        <v>0.777777777777778</v>
      </c>
      <c r="W1288" s="33">
        <f>IF(U1288="","",IF(U1288&lt;=Breakdowns!$C$5,1,IF(U1288&lt;=Breakdowns!$C$6,2,IF(U1288&lt;=Breakdowns!$C$7,3,4))))</f>
        <v>1</v>
      </c>
      <c r="X1288" s="33">
        <f>IF(V1288="","",IF(V1288&lt;=Breakdowns!$D$5,1,IF(V1288&lt;=Breakdowns!$D$6,2,IF(V1288&lt;=Breakdowns!$D$7,3,4))))</f>
        <v>2</v>
      </c>
      <c r="Y1288" s="34">
        <f>INDEX(Stores!$F$2:$F$21,MATCH(B1288,Stores!$A$2:$A$21,0))</f>
        <v>2.16</v>
      </c>
      <c r="Z1288" s="33">
        <f>IF(Y1288&gt;Store_Summary!$M$2,1,0)</f>
        <v>0</v>
      </c>
      <c r="AA1288" s="33">
        <f>INDEX(Stores!$C$2:$C$21,MATCH(B1288,Stores!$A$2:$A$21,0))</f>
        <v>47</v>
      </c>
      <c r="AB1288" s="33">
        <f>IF(AA1288&lt;180,1,0)</f>
        <v>1</v>
      </c>
      <c r="AC1288" s="32" t="str">
        <f>IF(Orders!D1285="","",INDEX(Riders!$C$2:$C$81,MATCH(Orders!D1285,Riders!$A$2:$A$81,0)))</f>
        <v>EV scooter</v>
      </c>
      <c r="AD1288" s="33">
        <f>IF(Orders!D1285="","",INDEX(Riders!$D$2:$D$81,MATCH(Orders!D1285,Riders!$A$2:$A$81,0)))</f>
        <v>46</v>
      </c>
      <c r="AE1288" s="33">
        <f>IF(Orders!D1285="","",IF(INDEX(Riders!$B$2:$B$81,MATCH(Orders!D1285,Riders!$A$2:$A$81,0))=B1288,1,0))</f>
        <v>0</v>
      </c>
      <c r="AF1288" s="34">
        <f>IF(E1288=1,Orders!L1285,"")</f>
        <v>0.5</v>
      </c>
      <c r="AG1288" s="34">
        <f>IF(E1288=1,Orders!P1285,"")</f>
        <v>8.3</v>
      </c>
      <c r="AH1288" s="34">
        <f>IF(E1288=1,Orders!Q1285,"")</f>
        <v>8.2</v>
      </c>
      <c r="AI1288" s="34">
        <f>IF(E1288=1,Orders!M1285,"")</f>
        <v>3.3</v>
      </c>
      <c r="AJ1288" s="34">
        <f>IF(E1288=1,Orders!N1285,"")</f>
        <v>2.5</v>
      </c>
      <c r="AK1288" s="34">
        <f>IF(E1288=1,Orders!O1285,"")</f>
        <v>2.4</v>
      </c>
      <c r="AL1288" s="33">
        <f>IF(E1288=1,IF(ROUND(ABS(AI1288+AJ1288+AK1288-AH1288),6)&lt;=0.1,1,0),"")</f>
        <v>1</v>
      </c>
      <c r="AM1288" s="36">
        <f>IF(E1288=1,AI1288/AH1288,"")</f>
        <v>0.402439024390244</v>
      </c>
      <c r="AN1288" s="36">
        <f>IF(E1288=1,AJ1288/AH1288,"")</f>
        <v>0.304878048780488</v>
      </c>
      <c r="AO1288" s="36">
        <f>IF(E1288=1,AK1288/AH1288,"")</f>
        <v>0.292682926829268</v>
      </c>
      <c r="AP1288" s="34">
        <f>IF(E1288=1,Orders!Y1285,"")</f>
        <v>0.48</v>
      </c>
      <c r="AQ1288" s="33">
        <f>IF(Orders!X1285,1,0)</f>
        <v>0</v>
      </c>
      <c r="AR1288" s="34" t="str">
        <f>IF(AND(E1288=1,L1288=1),AJ1288,"")</f>
        <v/>
      </c>
      <c r="AS1288" s="34">
        <f>IF(AND(E1288=1,L1288=0),AJ1288,"")</f>
        <v>2.5</v>
      </c>
      <c r="AT1288" s="34" t="str">
        <f>IF(AND(E1288=1,L1288=1),AI1288,"")</f>
        <v/>
      </c>
      <c r="AU1288" s="34">
        <f>IF(AND(E1288=1,L1288=0),AI1288,"")</f>
        <v>3.3</v>
      </c>
      <c r="AV1288" s="34" t="str">
        <f>IF(AND(E1288=1,L1288=1),AG1288,"")</f>
        <v/>
      </c>
      <c r="AW1288" s="34">
        <f>IF(AND(E1288=1,L1288=0),AG1288,"")</f>
        <v>8.3</v>
      </c>
      <c r="AX1288" s="34" t="str">
        <f>IF(AND(E1288=1,L1288=1),AH1288,"")</f>
        <v/>
      </c>
      <c r="AY1288" s="34">
        <f>IF(AND(E1288=1,L1288=0),AH1288,"")</f>
        <v>8.2</v>
      </c>
      <c r="AZ1288" s="34" t="str">
        <f>IF(G1288=1,F1288,"")</f>
        <v/>
      </c>
      <c r="BA1288" s="34" t="str">
        <f>IF(AND(G1288=1,L1288=1),F1288,"")</f>
        <v/>
      </c>
      <c r="BB1288" s="34" t="str">
        <f>IF(AND(G1288=1,L1288=0),F1288,"")</f>
        <v/>
      </c>
      <c r="BC1288" s="33">
        <f>IF(E1288=1,IF(Orders!R1285&gt;3,1,0),"")</f>
        <v>0</v>
      </c>
      <c r="BD1288" s="33">
        <f>IF(E1288=1,IF(Orders!R1285&gt;7,1,0),"")</f>
        <v>0</v>
      </c>
      <c r="BE1288" s="32" t="str">
        <f>IF(E1288=1,IF(Orders!L1285&lt;=1.5,"Up to 1.5 km",IF(Orders!L1285&lt;=3,"1.5–3 km","Over 3 km")),"")</f>
        <v>Up to 1.5 km</v>
      </c>
      <c r="BF1288" s="33">
        <f>IF(E1288=1,IF(ABS((Orders!G1285-Orders!F1285)*1440-Orders!R1285)&lt;0.06,1,0),"")</f>
        <v>1</v>
      </c>
      <c r="BG1288" s="33">
        <f>IF(ABS((Orders!F1285-Orders!E1285)*1440-Orders!P1285)&lt;0.06,1,0)</f>
        <v>1</v>
      </c>
      <c r="BH1288" s="33">
        <f>IF(E1288=1,IF(IF(Orders!S1285,1,0)=1-G1288,1,0),"")</f>
        <v>1</v>
      </c>
      <c r="BI1288" s="32" t="str">
        <f>INDEX(Stores!$B$2:$B$21,MATCH(B1288,Stores!$A$2:$A$21,0))</f>
        <v>Hyderabad</v>
      </c>
    </row>
    <row r="1289">
      <c r="A1289" s="32" t="str">
        <f>Orders!A1286</f>
        <v>O01285</v>
      </c>
      <c r="B1289" s="32" t="str">
        <f>Orders!C1286</f>
        <v>S001</v>
      </c>
      <c r="C1289" s="32" t="str">
        <f>Orders!B1286</f>
        <v>C0120</v>
      </c>
      <c r="D1289" s="32" t="str">
        <f>Orders!H1286</f>
        <v>Delivered</v>
      </c>
      <c r="E1289" s="33">
        <f>IF(Orders!H1286="Delivered",1,0)</f>
        <v>1</v>
      </c>
      <c r="F1289" s="34">
        <f>IF(E1289=1,Orders!R1286,"")</f>
        <v>-0.9</v>
      </c>
      <c r="G1289" s="33">
        <f>IF(E1289=1,IF(Orders!R1286&gt;0,1,0),"")</f>
        <v>0</v>
      </c>
      <c r="H1289" s="33">
        <f>IF(E1289=1,IF(Orders!R1286&gt;5,1,0),"")</f>
        <v>0</v>
      </c>
      <c r="I1289" s="32" t="str">
        <f>IF(E1289=1,"",IF(OR(Orders!T1286="Rider unavailable",Orders!T1286="Item unavailable"),"Company-caused","Unresolved"))</f>
        <v/>
      </c>
      <c r="J1289" s="33">
        <f>IF(OR(E1289=1,I1289="Company-caused"),1,0)</f>
        <v>1</v>
      </c>
      <c r="K1289" s="32" t="str">
        <f>IF(E1289=0,IF(I1289="Company-caused",IF(Orders!T1286="Rider unavailable","C1 Rider unavailable","C2 Item unavailable"),"Outside root: unresolved"),IF(G1289=0,"A On time",IF(H1289=1,IF(L1289=1,"B2a Severe, peak","B2b Severe, off-peak"),IF(L1289=1,"B1a Slight, peak","B1b Slight, off-peak"))))</f>
        <v>A On time</v>
      </c>
      <c r="L1289" s="33">
        <f>IF(AND(Orders!U1286&gt;=19,Orders!U1286&lt;22),1,0)</f>
        <v>0</v>
      </c>
      <c r="M1289" s="33">
        <f>IF(L1289=IF(Orders!V1286,1,0),1,0)</f>
        <v>1</v>
      </c>
      <c r="N1289" s="32" t="str">
        <f>IF(Orders!W1286="","None",Orders!W1286)</f>
        <v>None</v>
      </c>
      <c r="O1289" s="35">
        <f>INT(Orders!E1286)</f>
        <v>46272.0</v>
      </c>
      <c r="P1289" s="33">
        <f>Orders!U1286</f>
        <v>17</v>
      </c>
      <c r="Q1289" s="33">
        <f>COUNTIFS(Demand!$A$2:$A$4481,B1289,Demand!$B$2:$B$4481,O1289,Demand!$C$2:$C$4481,P1289)</f>
        <v>1</v>
      </c>
      <c r="R1289" s="33">
        <f>IF(Q1289=1,SUMIFS(Demand!$E$2:$E$4481,Demand!$A$2:$A$4481,B1289,Demand!$B$2:$B$4481,O1289,Demand!$C$2:$C$4481,P1289),"")</f>
        <v>15</v>
      </c>
      <c r="S1289" s="33">
        <f>INDEX(Stores!$G$2:$G$21,MATCH(B1289,Stores!$A$2:$A$21,0))</f>
        <v>16</v>
      </c>
      <c r="T1289" s="34">
        <f>IF(R1289="","",R1289/S1289)</f>
        <v>0.9375</v>
      </c>
      <c r="U1289" s="34">
        <f>IF(E1289=1,T1289,"")</f>
        <v>0.9375</v>
      </c>
      <c r="V1289" s="34">
        <f>IF(AND(E1289=1,L1289=0),T1289,"")</f>
        <v>0.9375</v>
      </c>
      <c r="W1289" s="33">
        <f>IF(U1289="","",IF(U1289&lt;=Breakdowns!$C$5,1,IF(U1289&lt;=Breakdowns!$C$6,2,IF(U1289&lt;=Breakdowns!$C$7,3,4))))</f>
        <v>2</v>
      </c>
      <c r="X1289" s="33">
        <f>IF(V1289="","",IF(V1289&lt;=Breakdowns!$D$5,1,IF(V1289&lt;=Breakdowns!$D$6,2,IF(V1289&lt;=Breakdowns!$D$7,3,4))))</f>
        <v>3</v>
      </c>
      <c r="Y1289" s="34">
        <f>INDEX(Stores!$F$2:$F$21,MATCH(B1289,Stores!$A$2:$A$21,0))</f>
        <v>4.59</v>
      </c>
      <c r="Z1289" s="33">
        <f>IF(Y1289&gt;Store_Summary!$M$2,1,0)</f>
        <v>0</v>
      </c>
      <c r="AA1289" s="33">
        <f>INDEX(Stores!$C$2:$C$21,MATCH(B1289,Stores!$A$2:$A$21,0))</f>
        <v>362</v>
      </c>
      <c r="AB1289" s="33">
        <f>IF(AA1289&lt;180,1,0)</f>
        <v>0</v>
      </c>
      <c r="AC1289" s="32" t="str">
        <f>IF(Orders!D1286="","",INDEX(Riders!$C$2:$C$81,MATCH(Orders!D1286,Riders!$A$2:$A$81,0)))</f>
        <v>Petrol scooter</v>
      </c>
      <c r="AD1289" s="33">
        <f>IF(Orders!D1286="","",INDEX(Riders!$D$2:$D$81,MATCH(Orders!D1286,Riders!$A$2:$A$81,0)))</f>
        <v>19</v>
      </c>
      <c r="AE1289" s="33">
        <f>IF(Orders!D1286="","",IF(INDEX(Riders!$B$2:$B$81,MATCH(Orders!D1286,Riders!$A$2:$A$81,0))=B1289,1,0))</f>
        <v>0</v>
      </c>
      <c r="AF1289" s="34">
        <f>IF(E1289=1,Orders!L1286,"")</f>
        <v>2.16</v>
      </c>
      <c r="AG1289" s="34">
        <f>IF(E1289=1,Orders!P1286,"")</f>
        <v>8.7</v>
      </c>
      <c r="AH1289" s="34">
        <f>IF(E1289=1,Orders!Q1286,"")</f>
        <v>7.8</v>
      </c>
      <c r="AI1289" s="34">
        <f>IF(E1289=1,Orders!M1286,"")</f>
        <v>2.4</v>
      </c>
      <c r="AJ1289" s="34">
        <f>IF(E1289=1,Orders!N1286,"")</f>
        <v>3</v>
      </c>
      <c r="AK1289" s="34">
        <f>IF(E1289=1,Orders!O1286,"")</f>
        <v>2.4</v>
      </c>
      <c r="AL1289" s="33">
        <f>IF(E1289=1,IF(ROUND(ABS(AI1289+AJ1289+AK1289-AH1289),6)&lt;=0.1,1,0),"")</f>
        <v>1</v>
      </c>
      <c r="AM1289" s="36">
        <f>IF(E1289=1,AI1289/AH1289,"")</f>
        <v>0.307692307692308</v>
      </c>
      <c r="AN1289" s="36">
        <f>IF(E1289=1,AJ1289/AH1289,"")</f>
        <v>0.384615384615385</v>
      </c>
      <c r="AO1289" s="36">
        <f>IF(E1289=1,AK1289/AH1289,"")</f>
        <v>0.307692307692308</v>
      </c>
      <c r="AP1289" s="34">
        <f>IF(E1289=1,Orders!Y1286,"")</f>
        <v>0.39</v>
      </c>
      <c r="AQ1289" s="33">
        <f>IF(Orders!X1286,1,0)</f>
        <v>0</v>
      </c>
      <c r="AR1289" s="34" t="str">
        <f>IF(AND(E1289=1,L1289=1),AJ1289,"")</f>
        <v/>
      </c>
      <c r="AS1289" s="34">
        <f>IF(AND(E1289=1,L1289=0),AJ1289,"")</f>
        <v>3</v>
      </c>
      <c r="AT1289" s="34" t="str">
        <f>IF(AND(E1289=1,L1289=1),AI1289,"")</f>
        <v/>
      </c>
      <c r="AU1289" s="34">
        <f>IF(AND(E1289=1,L1289=0),AI1289,"")</f>
        <v>2.4</v>
      </c>
      <c r="AV1289" s="34" t="str">
        <f>IF(AND(E1289=1,L1289=1),AG1289,"")</f>
        <v/>
      </c>
      <c r="AW1289" s="34">
        <f>IF(AND(E1289=1,L1289=0),AG1289,"")</f>
        <v>8.7</v>
      </c>
      <c r="AX1289" s="34" t="str">
        <f>IF(AND(E1289=1,L1289=1),AH1289,"")</f>
        <v/>
      </c>
      <c r="AY1289" s="34">
        <f>IF(AND(E1289=1,L1289=0),AH1289,"")</f>
        <v>7.8</v>
      </c>
      <c r="AZ1289" s="34" t="str">
        <f>IF(G1289=1,F1289,"")</f>
        <v/>
      </c>
      <c r="BA1289" s="34" t="str">
        <f>IF(AND(G1289=1,L1289=1),F1289,"")</f>
        <v/>
      </c>
      <c r="BB1289" s="34" t="str">
        <f>IF(AND(G1289=1,L1289=0),F1289,"")</f>
        <v/>
      </c>
      <c r="BC1289" s="33">
        <f>IF(E1289=1,IF(Orders!R1286&gt;3,1,0),"")</f>
        <v>0</v>
      </c>
      <c r="BD1289" s="33">
        <f>IF(E1289=1,IF(Orders!R1286&gt;7,1,0),"")</f>
        <v>0</v>
      </c>
      <c r="BE1289" s="32" t="str">
        <f>IF(E1289=1,IF(Orders!L1286&lt;=1.5,"Up to 1.5 km",IF(Orders!L1286&lt;=3,"1.5–3 km","Over 3 km")),"")</f>
        <v>1.5–3 km</v>
      </c>
      <c r="BF1289" s="33">
        <f>IF(E1289=1,IF(ABS((Orders!G1286-Orders!F1286)*1440-Orders!R1286)&lt;0.06,1,0),"")</f>
        <v>1</v>
      </c>
      <c r="BG1289" s="33">
        <f>IF(ABS((Orders!F1286-Orders!E1286)*1440-Orders!P1286)&lt;0.06,1,0)</f>
        <v>1</v>
      </c>
      <c r="BH1289" s="33">
        <f>IF(E1289=1,IF(IF(Orders!S1286,1,0)=1-G1289,1,0),"")</f>
        <v>1</v>
      </c>
      <c r="BI1289" s="32" t="str">
        <f>INDEX(Stores!$B$2:$B$21,MATCH(B1289,Stores!$A$2:$A$21,0))</f>
        <v>Bengaluru</v>
      </c>
    </row>
    <row r="1290">
      <c r="A1290" s="32" t="str">
        <f>Orders!A1287</f>
        <v>O01286</v>
      </c>
      <c r="B1290" s="32" t="str">
        <f>Orders!C1287</f>
        <v>S008</v>
      </c>
      <c r="C1290" s="32" t="str">
        <f>Orders!B1287</f>
        <v>C0190</v>
      </c>
      <c r="D1290" s="32" t="str">
        <f>Orders!H1287</f>
        <v>Delivered</v>
      </c>
      <c r="E1290" s="33">
        <f>IF(Orders!H1287="Delivered",1,0)</f>
        <v>1</v>
      </c>
      <c r="F1290" s="34">
        <f>IF(E1290=1,Orders!R1287,"")</f>
        <v>-0.6</v>
      </c>
      <c r="G1290" s="33">
        <f>IF(E1290=1,IF(Orders!R1287&gt;0,1,0),"")</f>
        <v>0</v>
      </c>
      <c r="H1290" s="33">
        <f>IF(E1290=1,IF(Orders!R1287&gt;5,1,0),"")</f>
        <v>0</v>
      </c>
      <c r="I1290" s="32" t="str">
        <f>IF(E1290=1,"",IF(OR(Orders!T1287="Rider unavailable",Orders!T1287="Item unavailable"),"Company-caused","Unresolved"))</f>
        <v/>
      </c>
      <c r="J1290" s="33">
        <f>IF(OR(E1290=1,I1290="Company-caused"),1,0)</f>
        <v>1</v>
      </c>
      <c r="K1290" s="32" t="str">
        <f>IF(E1290=0,IF(I1290="Company-caused",IF(Orders!T1287="Rider unavailable","C1 Rider unavailable","C2 Item unavailable"),"Outside root: unresolved"),IF(G1290=0,"A On time",IF(H1290=1,IF(L1290=1,"B2a Severe, peak","B2b Severe, off-peak"),IF(L1290=1,"B1a Slight, peak","B1b Slight, off-peak"))))</f>
        <v>A On time</v>
      </c>
      <c r="L1290" s="33">
        <f>IF(AND(Orders!U1287&gt;=19,Orders!U1287&lt;22),1,0)</f>
        <v>1</v>
      </c>
      <c r="M1290" s="33">
        <f>IF(L1290=IF(Orders!V1287,1,0),1,0)</f>
        <v>1</v>
      </c>
      <c r="N1290" s="32" t="str">
        <f>IF(Orders!W1287="","None",Orders!W1287)</f>
        <v>Light</v>
      </c>
      <c r="O1290" s="35">
        <f>INT(Orders!E1287)</f>
        <v>46277.0</v>
      </c>
      <c r="P1290" s="33">
        <f>Orders!U1287</f>
        <v>20</v>
      </c>
      <c r="Q1290" s="33">
        <f>COUNTIFS(Demand!$A$2:$A$4481,B1290,Demand!$B$2:$B$4481,O1290,Demand!$C$2:$C$4481,P1290)</f>
        <v>1</v>
      </c>
      <c r="R1290" s="33">
        <f>IF(Q1290=1,SUMIFS(Demand!$E$2:$E$4481,Demand!$A$2:$A$4481,B1290,Demand!$B$2:$B$4481,O1290,Demand!$C$2:$C$4481,P1290),"")</f>
        <v>36</v>
      </c>
      <c r="S1290" s="33">
        <f>INDEX(Stores!$G$2:$G$21,MATCH(B1290,Stores!$A$2:$A$21,0))</f>
        <v>23</v>
      </c>
      <c r="T1290" s="34">
        <f>IF(R1290="","",R1290/S1290)</f>
        <v>1.56521739130435</v>
      </c>
      <c r="U1290" s="34">
        <f>IF(E1290=1,T1290,"")</f>
        <v>1.56521739130435</v>
      </c>
      <c r="V1290" s="34" t="str">
        <f>IF(AND(E1290=1,L1290=0),T1290,"")</f>
        <v/>
      </c>
      <c r="W1290" s="33">
        <f>IF(U1290="","",IF(U1290&lt;=Breakdowns!$C$5,1,IF(U1290&lt;=Breakdowns!$C$6,2,IF(U1290&lt;=Breakdowns!$C$7,3,4))))</f>
        <v>4</v>
      </c>
      <c r="X1290" s="33" t="str">
        <f>IF(V1290="","",IF(V1290&lt;=Breakdowns!$D$5,1,IF(V1290&lt;=Breakdowns!$D$6,2,IF(V1290&lt;=Breakdowns!$D$7,3,4))))</f>
        <v/>
      </c>
      <c r="Y1290" s="34">
        <f>INDEX(Stores!$F$2:$F$21,MATCH(B1290,Stores!$A$2:$A$21,0))</f>
        <v>3.46</v>
      </c>
      <c r="Z1290" s="33">
        <f>IF(Y1290&gt;Store_Summary!$M$2,1,0)</f>
        <v>0</v>
      </c>
      <c r="AA1290" s="33">
        <f>INDEX(Stores!$C$2:$C$21,MATCH(B1290,Stores!$A$2:$A$21,0))</f>
        <v>825</v>
      </c>
      <c r="AB1290" s="33">
        <f>IF(AA1290&lt;180,1,0)</f>
        <v>0</v>
      </c>
      <c r="AC1290" s="32" t="str">
        <f>IF(Orders!D1287="","",INDEX(Riders!$C$2:$C$81,MATCH(Orders!D1287,Riders!$A$2:$A$81,0)))</f>
        <v>Petrol scooter</v>
      </c>
      <c r="AD1290" s="33">
        <f>IF(Orders!D1287="","",INDEX(Riders!$D$2:$D$81,MATCH(Orders!D1287,Riders!$A$2:$A$81,0)))</f>
        <v>15</v>
      </c>
      <c r="AE1290" s="33">
        <f>IF(Orders!D1287="","",IF(INDEX(Riders!$B$2:$B$81,MATCH(Orders!D1287,Riders!$A$2:$A$81,0))=B1290,1,0))</f>
        <v>0</v>
      </c>
      <c r="AF1290" s="34">
        <f>IF(E1290=1,Orders!L1287,"")</f>
        <v>0.5</v>
      </c>
      <c r="AG1290" s="34">
        <f>IF(E1290=1,Orders!P1287,"")</f>
        <v>8.1</v>
      </c>
      <c r="AH1290" s="34">
        <f>IF(E1290=1,Orders!Q1287,"")</f>
        <v>7.5</v>
      </c>
      <c r="AI1290" s="34">
        <f>IF(E1290=1,Orders!M1287,"")</f>
        <v>1.8</v>
      </c>
      <c r="AJ1290" s="34">
        <f>IF(E1290=1,Orders!N1287,"")</f>
        <v>3.8</v>
      </c>
      <c r="AK1290" s="34">
        <f>IF(E1290=1,Orders!O1287,"")</f>
        <v>1.9</v>
      </c>
      <c r="AL1290" s="33">
        <f>IF(E1290=1,IF(ROUND(ABS(AI1290+AJ1290+AK1290-AH1290),6)&lt;=0.1,1,0),"")</f>
        <v>1</v>
      </c>
      <c r="AM1290" s="36">
        <f>IF(E1290=1,AI1290/AH1290,"")</f>
        <v>0.24</v>
      </c>
      <c r="AN1290" s="36">
        <f>IF(E1290=1,AJ1290/AH1290,"")</f>
        <v>0.506666666666667</v>
      </c>
      <c r="AO1290" s="36">
        <f>IF(E1290=1,AK1290/AH1290,"")</f>
        <v>0.253333333333333</v>
      </c>
      <c r="AP1290" s="34">
        <f>IF(E1290=1,Orders!Y1287,"")</f>
        <v>0.36</v>
      </c>
      <c r="AQ1290" s="33">
        <f>IF(Orders!X1287,1,0)</f>
        <v>0</v>
      </c>
      <c r="AR1290" s="34">
        <f>IF(AND(E1290=1,L1290=1),AJ1290,"")</f>
        <v>3.8</v>
      </c>
      <c r="AS1290" s="34" t="str">
        <f>IF(AND(E1290=1,L1290=0),AJ1290,"")</f>
        <v/>
      </c>
      <c r="AT1290" s="34">
        <f>IF(AND(E1290=1,L1290=1),AI1290,"")</f>
        <v>1.8</v>
      </c>
      <c r="AU1290" s="34" t="str">
        <f>IF(AND(E1290=1,L1290=0),AI1290,"")</f>
        <v/>
      </c>
      <c r="AV1290" s="34">
        <f>IF(AND(E1290=1,L1290=1),AG1290,"")</f>
        <v>8.1</v>
      </c>
      <c r="AW1290" s="34" t="str">
        <f>IF(AND(E1290=1,L1290=0),AG1290,"")</f>
        <v/>
      </c>
      <c r="AX1290" s="34">
        <f>IF(AND(E1290=1,L1290=1),AH1290,"")</f>
        <v>7.5</v>
      </c>
      <c r="AY1290" s="34" t="str">
        <f>IF(AND(E1290=1,L1290=0),AH1290,"")</f>
        <v/>
      </c>
      <c r="AZ1290" s="34" t="str">
        <f>IF(G1290=1,F1290,"")</f>
        <v/>
      </c>
      <c r="BA1290" s="34" t="str">
        <f>IF(AND(G1290=1,L1290=1),F1290,"")</f>
        <v/>
      </c>
      <c r="BB1290" s="34" t="str">
        <f>IF(AND(G1290=1,L1290=0),F1290,"")</f>
        <v/>
      </c>
      <c r="BC1290" s="33">
        <f>IF(E1290=1,IF(Orders!R1287&gt;3,1,0),"")</f>
        <v>0</v>
      </c>
      <c r="BD1290" s="33">
        <f>IF(E1290=1,IF(Orders!R1287&gt;7,1,0),"")</f>
        <v>0</v>
      </c>
      <c r="BE1290" s="32" t="str">
        <f>IF(E1290=1,IF(Orders!L1287&lt;=1.5,"Up to 1.5 km",IF(Orders!L1287&lt;=3,"1.5–3 km","Over 3 km")),"")</f>
        <v>Up to 1.5 km</v>
      </c>
      <c r="BF1290" s="33">
        <f>IF(E1290=1,IF(ABS((Orders!G1287-Orders!F1287)*1440-Orders!R1287)&lt;0.06,1,0),"")</f>
        <v>1</v>
      </c>
      <c r="BG1290" s="33">
        <f>IF(ABS((Orders!F1287-Orders!E1287)*1440-Orders!P1287)&lt;0.06,1,0)</f>
        <v>1</v>
      </c>
      <c r="BH1290" s="33">
        <f>IF(E1290=1,IF(IF(Orders!S1287,1,0)=1-G1290,1,0),"")</f>
        <v>1</v>
      </c>
      <c r="BI1290" s="32" t="str">
        <f>INDEX(Stores!$B$2:$B$21,MATCH(B1290,Stores!$A$2:$A$21,0))</f>
        <v>Mumbai</v>
      </c>
    </row>
    <row r="1291">
      <c r="A1291" s="32" t="str">
        <f>Orders!A1288</f>
        <v>O01287</v>
      </c>
      <c r="B1291" s="32" t="str">
        <f>Orders!C1288</f>
        <v>S005</v>
      </c>
      <c r="C1291" s="32" t="str">
        <f>Orders!B1288</f>
        <v>C0093</v>
      </c>
      <c r="D1291" s="32" t="str">
        <f>Orders!H1288</f>
        <v>Delivered</v>
      </c>
      <c r="E1291" s="33">
        <f>IF(Orders!H1288="Delivered",1,0)</f>
        <v>1</v>
      </c>
      <c r="F1291" s="34">
        <f>IF(E1291=1,Orders!R1288,"")</f>
        <v>12.1</v>
      </c>
      <c r="G1291" s="33">
        <f>IF(E1291=1,IF(Orders!R1288&gt;0,1,0),"")</f>
        <v>1</v>
      </c>
      <c r="H1291" s="33">
        <f>IF(E1291=1,IF(Orders!R1288&gt;5,1,0),"")</f>
        <v>1</v>
      </c>
      <c r="I1291" s="32" t="str">
        <f>IF(E1291=1,"",IF(OR(Orders!T1288="Rider unavailable",Orders!T1288="Item unavailable"),"Company-caused","Unresolved"))</f>
        <v/>
      </c>
      <c r="J1291" s="33">
        <f>IF(OR(E1291=1,I1291="Company-caused"),1,0)</f>
        <v>1</v>
      </c>
      <c r="K1291" s="32" t="str">
        <f>IF(E1291=0,IF(I1291="Company-caused",IF(Orders!T1288="Rider unavailable","C1 Rider unavailable","C2 Item unavailable"),"Outside root: unresolved"),IF(G1291=0,"A On time",IF(H1291=1,IF(L1291=1,"B2a Severe, peak","B2b Severe, off-peak"),IF(L1291=1,"B1a Slight, peak","B1b Slight, off-peak"))))</f>
        <v>B2b Severe, off-peak</v>
      </c>
      <c r="L1291" s="33">
        <f>IF(AND(Orders!U1288&gt;=19,Orders!U1288&lt;22),1,0)</f>
        <v>0</v>
      </c>
      <c r="M1291" s="33">
        <f>IF(L1291=IF(Orders!V1288,1,0),1,0)</f>
        <v>1</v>
      </c>
      <c r="N1291" s="32" t="str">
        <f>IF(Orders!W1288="","None",Orders!W1288)</f>
        <v>Light</v>
      </c>
      <c r="O1291" s="35">
        <f>INT(Orders!E1288)</f>
        <v>46276.0</v>
      </c>
      <c r="P1291" s="33">
        <f>Orders!U1288</f>
        <v>14</v>
      </c>
      <c r="Q1291" s="33">
        <f>COUNTIFS(Demand!$A$2:$A$4481,B1291,Demand!$B$2:$B$4481,O1291,Demand!$C$2:$C$4481,P1291)</f>
        <v>1</v>
      </c>
      <c r="R1291" s="33">
        <f>IF(Q1291=1,SUMIFS(Demand!$E$2:$E$4481,Demand!$A$2:$A$4481,B1291,Demand!$B$2:$B$4481,O1291,Demand!$C$2:$C$4481,P1291),"")</f>
        <v>9</v>
      </c>
      <c r="S1291" s="33">
        <f>INDEX(Stores!$G$2:$G$21,MATCH(B1291,Stores!$A$2:$A$21,0))</f>
        <v>14</v>
      </c>
      <c r="T1291" s="34">
        <f>IF(R1291="","",R1291/S1291)</f>
        <v>0.642857142857143</v>
      </c>
      <c r="U1291" s="34">
        <f>IF(E1291=1,T1291,"")</f>
        <v>0.642857142857143</v>
      </c>
      <c r="V1291" s="34">
        <f>IF(AND(E1291=1,L1291=0),T1291,"")</f>
        <v>0.642857142857143</v>
      </c>
      <c r="W1291" s="33">
        <f>IF(U1291="","",IF(U1291&lt;=Breakdowns!$C$5,1,IF(U1291&lt;=Breakdowns!$C$6,2,IF(U1291&lt;=Breakdowns!$C$7,3,4))))</f>
        <v>1</v>
      </c>
      <c r="X1291" s="33">
        <f>IF(V1291="","",IF(V1291&lt;=Breakdowns!$D$5,1,IF(V1291&lt;=Breakdowns!$D$6,2,IF(V1291&lt;=Breakdowns!$D$7,3,4))))</f>
        <v>1</v>
      </c>
      <c r="Y1291" s="34">
        <f>INDEX(Stores!$F$2:$F$21,MATCH(B1291,Stores!$A$2:$A$21,0))</f>
        <v>4.89</v>
      </c>
      <c r="Z1291" s="33">
        <f>IF(Y1291&gt;Store_Summary!$M$2,1,0)</f>
        <v>0</v>
      </c>
      <c r="AA1291" s="33">
        <f>INDEX(Stores!$C$2:$C$21,MATCH(B1291,Stores!$A$2:$A$21,0))</f>
        <v>138</v>
      </c>
      <c r="AB1291" s="33">
        <f>IF(AA1291&lt;180,1,0)</f>
        <v>1</v>
      </c>
      <c r="AC1291" s="32" t="str">
        <f>IF(Orders!D1288="","",INDEX(Riders!$C$2:$C$81,MATCH(Orders!D1288,Riders!$A$2:$A$81,0)))</f>
        <v>EV scooter</v>
      </c>
      <c r="AD1291" s="33">
        <f>IF(Orders!D1288="","",INDEX(Riders!$D$2:$D$81,MATCH(Orders!D1288,Riders!$A$2:$A$81,0)))</f>
        <v>11</v>
      </c>
      <c r="AE1291" s="33">
        <f>IF(Orders!D1288="","",IF(INDEX(Riders!$B$2:$B$81,MATCH(Orders!D1288,Riders!$A$2:$A$81,0))=B1291,1,0))</f>
        <v>0</v>
      </c>
      <c r="AF1291" s="34">
        <f>IF(E1291=1,Orders!L1288,"")</f>
        <v>4.9</v>
      </c>
      <c r="AG1291" s="34">
        <f>IF(E1291=1,Orders!P1288,"")</f>
        <v>8.5</v>
      </c>
      <c r="AH1291" s="34">
        <f>IF(E1291=1,Orders!Q1288,"")</f>
        <v>20.6</v>
      </c>
      <c r="AI1291" s="34">
        <f>IF(E1291=1,Orders!M1288,"")</f>
        <v>5.4</v>
      </c>
      <c r="AJ1291" s="34">
        <f>IF(E1291=1,Orders!N1288,"")</f>
        <v>4.3</v>
      </c>
      <c r="AK1291" s="34">
        <f>IF(E1291=1,Orders!O1288,"")</f>
        <v>11</v>
      </c>
      <c r="AL1291" s="33">
        <f>IF(E1291=1,IF(ROUND(ABS(AI1291+AJ1291+AK1291-AH1291),6)&lt;=0.1,1,0),"")</f>
        <v>1</v>
      </c>
      <c r="AM1291" s="36">
        <f>IF(E1291=1,AI1291/AH1291,"")</f>
        <v>0.262135922330097</v>
      </c>
      <c r="AN1291" s="36">
        <f>IF(E1291=1,AJ1291/AH1291,"")</f>
        <v>0.20873786407767</v>
      </c>
      <c r="AO1291" s="36">
        <f>IF(E1291=1,AK1291/AH1291,"")</f>
        <v>0.533980582524272</v>
      </c>
      <c r="AP1291" s="34">
        <f>IF(E1291=1,Orders!Y1288,"")</f>
        <v>0.34</v>
      </c>
      <c r="AQ1291" s="33">
        <f>IF(Orders!X1288,1,0)</f>
        <v>0</v>
      </c>
      <c r="AR1291" s="34" t="str">
        <f>IF(AND(E1291=1,L1291=1),AJ1291,"")</f>
        <v/>
      </c>
      <c r="AS1291" s="34">
        <f>IF(AND(E1291=1,L1291=0),AJ1291,"")</f>
        <v>4.3</v>
      </c>
      <c r="AT1291" s="34" t="str">
        <f>IF(AND(E1291=1,L1291=1),AI1291,"")</f>
        <v/>
      </c>
      <c r="AU1291" s="34">
        <f>IF(AND(E1291=1,L1291=0),AI1291,"")</f>
        <v>5.4</v>
      </c>
      <c r="AV1291" s="34" t="str">
        <f>IF(AND(E1291=1,L1291=1),AG1291,"")</f>
        <v/>
      </c>
      <c r="AW1291" s="34">
        <f>IF(AND(E1291=1,L1291=0),AG1291,"")</f>
        <v>8.5</v>
      </c>
      <c r="AX1291" s="34" t="str">
        <f>IF(AND(E1291=1,L1291=1),AH1291,"")</f>
        <v/>
      </c>
      <c r="AY1291" s="34">
        <f>IF(AND(E1291=1,L1291=0),AH1291,"")</f>
        <v>20.6</v>
      </c>
      <c r="AZ1291" s="34">
        <f>IF(G1291=1,F1291,"")</f>
        <v>12.1</v>
      </c>
      <c r="BA1291" s="34" t="str">
        <f>IF(AND(G1291=1,L1291=1),F1291,"")</f>
        <v/>
      </c>
      <c r="BB1291" s="34">
        <f>IF(AND(G1291=1,L1291=0),F1291,"")</f>
        <v>12.1</v>
      </c>
      <c r="BC1291" s="33">
        <f>IF(E1291=1,IF(Orders!R1288&gt;3,1,0),"")</f>
        <v>1</v>
      </c>
      <c r="BD1291" s="33">
        <f>IF(E1291=1,IF(Orders!R1288&gt;7,1,0),"")</f>
        <v>1</v>
      </c>
      <c r="BE1291" s="32" t="str">
        <f>IF(E1291=1,IF(Orders!L1288&lt;=1.5,"Up to 1.5 km",IF(Orders!L1288&lt;=3,"1.5–3 km","Over 3 km")),"")</f>
        <v>Over 3 km</v>
      </c>
      <c r="BF1291" s="33">
        <f>IF(E1291=1,IF(ABS((Orders!G1288-Orders!F1288)*1440-Orders!R1288)&lt;0.06,1,0),"")</f>
        <v>1</v>
      </c>
      <c r="BG1291" s="33">
        <f>IF(ABS((Orders!F1288-Orders!E1288)*1440-Orders!P1288)&lt;0.06,1,0)</f>
        <v>1</v>
      </c>
      <c r="BH1291" s="33">
        <f>IF(E1291=1,IF(IF(Orders!S1288,1,0)=1-G1291,1,0),"")</f>
        <v>1</v>
      </c>
      <c r="BI1291" s="32" t="str">
        <f>INDEX(Stores!$B$2:$B$21,MATCH(B1291,Stores!$A$2:$A$21,0))</f>
        <v>Delhi</v>
      </c>
    </row>
    <row r="1292">
      <c r="A1292" s="32" t="str">
        <f>Orders!A1289</f>
        <v>O01288</v>
      </c>
      <c r="B1292" s="32" t="str">
        <f>Orders!C1289</f>
        <v>S012</v>
      </c>
      <c r="C1292" s="32" t="str">
        <f>Orders!B1289</f>
        <v>C0209</v>
      </c>
      <c r="D1292" s="32" t="str">
        <f>Orders!H1289</f>
        <v>Delivered</v>
      </c>
      <c r="E1292" s="33">
        <f>IF(Orders!H1289="Delivered",1,0)</f>
        <v>1</v>
      </c>
      <c r="F1292" s="34">
        <f>IF(E1292=1,Orders!R1289,"")</f>
        <v>1.8</v>
      </c>
      <c r="G1292" s="33">
        <f>IF(E1292=1,IF(Orders!R1289&gt;0,1,0),"")</f>
        <v>1</v>
      </c>
      <c r="H1292" s="33">
        <f>IF(E1292=1,IF(Orders!R1289&gt;5,1,0),"")</f>
        <v>0</v>
      </c>
      <c r="I1292" s="32" t="str">
        <f>IF(E1292=1,"",IF(OR(Orders!T1289="Rider unavailable",Orders!T1289="Item unavailable"),"Company-caused","Unresolved"))</f>
        <v/>
      </c>
      <c r="J1292" s="33">
        <f>IF(OR(E1292=1,I1292="Company-caused"),1,0)</f>
        <v>1</v>
      </c>
      <c r="K1292" s="32" t="str">
        <f>IF(E1292=0,IF(I1292="Company-caused",IF(Orders!T1289="Rider unavailable","C1 Rider unavailable","C2 Item unavailable"),"Outside root: unresolved"),IF(G1292=0,"A On time",IF(H1292=1,IF(L1292=1,"B2a Severe, peak","B2b Severe, off-peak"),IF(L1292=1,"B1a Slight, peak","B1b Slight, off-peak"))))</f>
        <v>B1b Slight, off-peak</v>
      </c>
      <c r="L1292" s="33">
        <f>IF(AND(Orders!U1289&gt;=19,Orders!U1289&lt;22),1,0)</f>
        <v>0</v>
      </c>
      <c r="M1292" s="33">
        <f>IF(L1292=IF(Orders!V1289,1,0),1,0)</f>
        <v>1</v>
      </c>
      <c r="N1292" s="32" t="str">
        <f>IF(Orders!W1289="","None",Orders!W1289)</f>
        <v>None</v>
      </c>
      <c r="O1292" s="35">
        <f>INT(Orders!E1289)</f>
        <v>46277.0</v>
      </c>
      <c r="P1292" s="33">
        <f>Orders!U1289</f>
        <v>8</v>
      </c>
      <c r="Q1292" s="33">
        <f>COUNTIFS(Demand!$A$2:$A$4481,B1292,Demand!$B$2:$B$4481,O1292,Demand!$C$2:$C$4481,P1292)</f>
        <v>1</v>
      </c>
      <c r="R1292" s="33">
        <f>IF(Q1292=1,SUMIFS(Demand!$E$2:$E$4481,Demand!$A$2:$A$4481,B1292,Demand!$B$2:$B$4481,O1292,Demand!$C$2:$C$4481,P1292),"")</f>
        <v>19</v>
      </c>
      <c r="S1292" s="33">
        <f>INDEX(Stores!$G$2:$G$21,MATCH(B1292,Stores!$A$2:$A$21,0))</f>
        <v>15</v>
      </c>
      <c r="T1292" s="34">
        <f>IF(R1292="","",R1292/S1292)</f>
        <v>1.26666666666667</v>
      </c>
      <c r="U1292" s="34">
        <f>IF(E1292=1,T1292,"")</f>
        <v>1.26666666666667</v>
      </c>
      <c r="V1292" s="34">
        <f>IF(AND(E1292=1,L1292=0),T1292,"")</f>
        <v>1.26666666666667</v>
      </c>
      <c r="W1292" s="33">
        <f>IF(U1292="","",IF(U1292&lt;=Breakdowns!$C$5,1,IF(U1292&lt;=Breakdowns!$C$6,2,IF(U1292&lt;=Breakdowns!$C$7,3,4))))</f>
        <v>4</v>
      </c>
      <c r="X1292" s="33">
        <f>IF(V1292="","",IF(V1292&lt;=Breakdowns!$D$5,1,IF(V1292&lt;=Breakdowns!$D$6,2,IF(V1292&lt;=Breakdowns!$D$7,3,4))))</f>
        <v>4</v>
      </c>
      <c r="Y1292" s="34">
        <f>INDEX(Stores!$F$2:$F$21,MATCH(B1292,Stores!$A$2:$A$21,0))</f>
        <v>5.23</v>
      </c>
      <c r="Z1292" s="33">
        <f>IF(Y1292&gt;Store_Summary!$M$2,1,0)</f>
        <v>1</v>
      </c>
      <c r="AA1292" s="33">
        <f>INDEX(Stores!$C$2:$C$21,MATCH(B1292,Stores!$A$2:$A$21,0))</f>
        <v>300</v>
      </c>
      <c r="AB1292" s="33">
        <f>IF(AA1292&lt;180,1,0)</f>
        <v>0</v>
      </c>
      <c r="AC1292" s="32" t="str">
        <f>IF(Orders!D1289="","",INDEX(Riders!$C$2:$C$81,MATCH(Orders!D1289,Riders!$A$2:$A$81,0)))</f>
        <v>Petrol scooter</v>
      </c>
      <c r="AD1292" s="33">
        <f>IF(Orders!D1289="","",INDEX(Riders!$D$2:$D$81,MATCH(Orders!D1289,Riders!$A$2:$A$81,0)))</f>
        <v>30</v>
      </c>
      <c r="AE1292" s="33">
        <f>IF(Orders!D1289="","",IF(INDEX(Riders!$B$2:$B$81,MATCH(Orders!D1289,Riders!$A$2:$A$81,0))=B1292,1,0))</f>
        <v>0</v>
      </c>
      <c r="AF1292" s="34">
        <f>IF(E1292=1,Orders!L1289,"")</f>
        <v>1.44</v>
      </c>
      <c r="AG1292" s="34">
        <f>IF(E1292=1,Orders!P1289,"")</f>
        <v>9.3</v>
      </c>
      <c r="AH1292" s="34">
        <f>IF(E1292=1,Orders!Q1289,"")</f>
        <v>11.1</v>
      </c>
      <c r="AI1292" s="34">
        <f>IF(E1292=1,Orders!M1289,"")</f>
        <v>4.4</v>
      </c>
      <c r="AJ1292" s="34">
        <f>IF(E1292=1,Orders!N1289,"")</f>
        <v>2.3</v>
      </c>
      <c r="AK1292" s="34">
        <f>IF(E1292=1,Orders!O1289,"")</f>
        <v>4.4</v>
      </c>
      <c r="AL1292" s="33">
        <f>IF(E1292=1,IF(ROUND(ABS(AI1292+AJ1292+AK1292-AH1292),6)&lt;=0.1,1,0),"")</f>
        <v>1</v>
      </c>
      <c r="AM1292" s="36">
        <f>IF(E1292=1,AI1292/AH1292,"")</f>
        <v>0.396396396396396</v>
      </c>
      <c r="AN1292" s="36">
        <f>IF(E1292=1,AJ1292/AH1292,"")</f>
        <v>0.207207207207207</v>
      </c>
      <c r="AO1292" s="36">
        <f>IF(E1292=1,AK1292/AH1292,"")</f>
        <v>0.396396396396396</v>
      </c>
      <c r="AP1292" s="34">
        <f>IF(E1292=1,Orders!Y1289,"")</f>
        <v>0.51</v>
      </c>
      <c r="AQ1292" s="33">
        <f>IF(Orders!X1289,1,0)</f>
        <v>0</v>
      </c>
      <c r="AR1292" s="34" t="str">
        <f>IF(AND(E1292=1,L1292=1),AJ1292,"")</f>
        <v/>
      </c>
      <c r="AS1292" s="34">
        <f>IF(AND(E1292=1,L1292=0),AJ1292,"")</f>
        <v>2.3</v>
      </c>
      <c r="AT1292" s="34" t="str">
        <f>IF(AND(E1292=1,L1292=1),AI1292,"")</f>
        <v/>
      </c>
      <c r="AU1292" s="34">
        <f>IF(AND(E1292=1,L1292=0),AI1292,"")</f>
        <v>4.4</v>
      </c>
      <c r="AV1292" s="34" t="str">
        <f>IF(AND(E1292=1,L1292=1),AG1292,"")</f>
        <v/>
      </c>
      <c r="AW1292" s="34">
        <f>IF(AND(E1292=1,L1292=0),AG1292,"")</f>
        <v>9.3</v>
      </c>
      <c r="AX1292" s="34" t="str">
        <f>IF(AND(E1292=1,L1292=1),AH1292,"")</f>
        <v/>
      </c>
      <c r="AY1292" s="34">
        <f>IF(AND(E1292=1,L1292=0),AH1292,"")</f>
        <v>11.1</v>
      </c>
      <c r="AZ1292" s="34">
        <f>IF(G1292=1,F1292,"")</f>
        <v>1.8</v>
      </c>
      <c r="BA1292" s="34" t="str">
        <f>IF(AND(G1292=1,L1292=1),F1292,"")</f>
        <v/>
      </c>
      <c r="BB1292" s="34">
        <f>IF(AND(G1292=1,L1292=0),F1292,"")</f>
        <v>1.8</v>
      </c>
      <c r="BC1292" s="33">
        <f>IF(E1292=1,IF(Orders!R1289&gt;3,1,0),"")</f>
        <v>0</v>
      </c>
      <c r="BD1292" s="33">
        <f>IF(E1292=1,IF(Orders!R1289&gt;7,1,0),"")</f>
        <v>0</v>
      </c>
      <c r="BE1292" s="32" t="str">
        <f>IF(E1292=1,IF(Orders!L1289&lt;=1.5,"Up to 1.5 km",IF(Orders!L1289&lt;=3,"1.5–3 km","Over 3 km")),"")</f>
        <v>Up to 1.5 km</v>
      </c>
      <c r="BF1292" s="33">
        <f>IF(E1292=1,IF(ABS((Orders!G1289-Orders!F1289)*1440-Orders!R1289)&lt;0.06,1,0),"")</f>
        <v>1</v>
      </c>
      <c r="BG1292" s="33">
        <f>IF(ABS((Orders!F1289-Orders!E1289)*1440-Orders!P1289)&lt;0.06,1,0)</f>
        <v>1</v>
      </c>
      <c r="BH1292" s="33">
        <f>IF(E1292=1,IF(IF(Orders!S1289,1,0)=1-G1292,1,0),"")</f>
        <v>1</v>
      </c>
      <c r="BI1292" s="32" t="str">
        <f>INDEX(Stores!$B$2:$B$21,MATCH(B1292,Stores!$A$2:$A$21,0))</f>
        <v>Hyderabad</v>
      </c>
    </row>
    <row r="1293">
      <c r="A1293" s="32" t="str">
        <f>Orders!A1290</f>
        <v>O01289</v>
      </c>
      <c r="B1293" s="32" t="str">
        <f>Orders!C1290</f>
        <v>S008</v>
      </c>
      <c r="C1293" s="32" t="str">
        <f>Orders!B1290</f>
        <v>C0190</v>
      </c>
      <c r="D1293" s="32" t="str">
        <f>Orders!H1290</f>
        <v>Delivered</v>
      </c>
      <c r="E1293" s="33">
        <f>IF(Orders!H1290="Delivered",1,0)</f>
        <v>1</v>
      </c>
      <c r="F1293" s="34">
        <f>IF(E1293=1,Orders!R1290,"")</f>
        <v>5.2</v>
      </c>
      <c r="G1293" s="33">
        <f>IF(E1293=1,IF(Orders!R1290&gt;0,1,0),"")</f>
        <v>1</v>
      </c>
      <c r="H1293" s="33">
        <f>IF(E1293=1,IF(Orders!R1290&gt;5,1,0),"")</f>
        <v>1</v>
      </c>
      <c r="I1293" s="32" t="str">
        <f>IF(E1293=1,"",IF(OR(Orders!T1290="Rider unavailable",Orders!T1290="Item unavailable"),"Company-caused","Unresolved"))</f>
        <v/>
      </c>
      <c r="J1293" s="33">
        <f>IF(OR(E1293=1,I1293="Company-caused"),1,0)</f>
        <v>1</v>
      </c>
      <c r="K1293" s="32" t="str">
        <f>IF(E1293=0,IF(I1293="Company-caused",IF(Orders!T1290="Rider unavailable","C1 Rider unavailable","C2 Item unavailable"),"Outside root: unresolved"),IF(G1293=0,"A On time",IF(H1293=1,IF(L1293=1,"B2a Severe, peak","B2b Severe, off-peak"),IF(L1293=1,"B1a Slight, peak","B1b Slight, off-peak"))))</f>
        <v>B2b Severe, off-peak</v>
      </c>
      <c r="L1293" s="33">
        <f>IF(AND(Orders!U1290&gt;=19,Orders!U1290&lt;22),1,0)</f>
        <v>0</v>
      </c>
      <c r="M1293" s="33">
        <f>IF(L1293=IF(Orders!V1290,1,0),1,0)</f>
        <v>1</v>
      </c>
      <c r="N1293" s="32" t="str">
        <f>IF(Orders!W1290="","None",Orders!W1290)</f>
        <v>None</v>
      </c>
      <c r="O1293" s="35">
        <f>INT(Orders!E1290)</f>
        <v>46270.0</v>
      </c>
      <c r="P1293" s="33">
        <f>Orders!U1290</f>
        <v>13</v>
      </c>
      <c r="Q1293" s="33">
        <f>COUNTIFS(Demand!$A$2:$A$4481,B1293,Demand!$B$2:$B$4481,O1293,Demand!$C$2:$C$4481,P1293)</f>
        <v>1</v>
      </c>
      <c r="R1293" s="33">
        <f>IF(Q1293=1,SUMIFS(Demand!$E$2:$E$4481,Demand!$A$2:$A$4481,B1293,Demand!$B$2:$B$4481,O1293,Demand!$C$2:$C$4481,P1293),"")</f>
        <v>24</v>
      </c>
      <c r="S1293" s="33">
        <f>INDEX(Stores!$G$2:$G$21,MATCH(B1293,Stores!$A$2:$A$21,0))</f>
        <v>23</v>
      </c>
      <c r="T1293" s="34">
        <f>IF(R1293="","",R1293/S1293)</f>
        <v>1.04347826086957</v>
      </c>
      <c r="U1293" s="34">
        <f>IF(E1293=1,T1293,"")</f>
        <v>1.04347826086957</v>
      </c>
      <c r="V1293" s="34">
        <f>IF(AND(E1293=1,L1293=0),T1293,"")</f>
        <v>1.04347826086957</v>
      </c>
      <c r="W1293" s="33">
        <f>IF(U1293="","",IF(U1293&lt;=Breakdowns!$C$5,1,IF(U1293&lt;=Breakdowns!$C$6,2,IF(U1293&lt;=Breakdowns!$C$7,3,4))))</f>
        <v>3</v>
      </c>
      <c r="X1293" s="33">
        <f>IF(V1293="","",IF(V1293&lt;=Breakdowns!$D$5,1,IF(V1293&lt;=Breakdowns!$D$6,2,IF(V1293&lt;=Breakdowns!$D$7,3,4))))</f>
        <v>3</v>
      </c>
      <c r="Y1293" s="34">
        <f>INDEX(Stores!$F$2:$F$21,MATCH(B1293,Stores!$A$2:$A$21,0))</f>
        <v>3.46</v>
      </c>
      <c r="Z1293" s="33">
        <f>IF(Y1293&gt;Store_Summary!$M$2,1,0)</f>
        <v>0</v>
      </c>
      <c r="AA1293" s="33">
        <f>INDEX(Stores!$C$2:$C$21,MATCH(B1293,Stores!$A$2:$A$21,0))</f>
        <v>825</v>
      </c>
      <c r="AB1293" s="33">
        <f>IF(AA1293&lt;180,1,0)</f>
        <v>0</v>
      </c>
      <c r="AC1293" s="32" t="str">
        <f>IF(Orders!D1290="","",INDEX(Riders!$C$2:$C$81,MATCH(Orders!D1290,Riders!$A$2:$A$81,0)))</f>
        <v>Bicycle</v>
      </c>
      <c r="AD1293" s="33">
        <f>IF(Orders!D1290="","",INDEX(Riders!$D$2:$D$81,MATCH(Orders!D1290,Riders!$A$2:$A$81,0)))</f>
        <v>2</v>
      </c>
      <c r="AE1293" s="33">
        <f>IF(Orders!D1290="","",IF(INDEX(Riders!$B$2:$B$81,MATCH(Orders!D1290,Riders!$A$2:$A$81,0))=B1293,1,0))</f>
        <v>0</v>
      </c>
      <c r="AF1293" s="34">
        <f>IF(E1293=1,Orders!L1290,"")</f>
        <v>3.71</v>
      </c>
      <c r="AG1293" s="34">
        <f>IF(E1293=1,Orders!P1290,"")</f>
        <v>12.3</v>
      </c>
      <c r="AH1293" s="34">
        <f>IF(E1293=1,Orders!Q1290,"")</f>
        <v>17.5</v>
      </c>
      <c r="AI1293" s="34">
        <f>IF(E1293=1,Orders!M1290,"")</f>
        <v>3.4</v>
      </c>
      <c r="AJ1293" s="34">
        <f>IF(E1293=1,Orders!N1290,"")</f>
        <v>5.1</v>
      </c>
      <c r="AK1293" s="34">
        <f>IF(E1293=1,Orders!O1290,"")</f>
        <v>9</v>
      </c>
      <c r="AL1293" s="33">
        <f>IF(E1293=1,IF(ROUND(ABS(AI1293+AJ1293+AK1293-AH1293),6)&lt;=0.1,1,0),"")</f>
        <v>1</v>
      </c>
      <c r="AM1293" s="36">
        <f>IF(E1293=1,AI1293/AH1293,"")</f>
        <v>0.194285714285714</v>
      </c>
      <c r="AN1293" s="36">
        <f>IF(E1293=1,AJ1293/AH1293,"")</f>
        <v>0.291428571428571</v>
      </c>
      <c r="AO1293" s="36">
        <f>IF(E1293=1,AK1293/AH1293,"")</f>
        <v>0.514285714285714</v>
      </c>
      <c r="AP1293" s="34">
        <f>IF(E1293=1,Orders!Y1290,"")</f>
        <v>0.57</v>
      </c>
      <c r="AQ1293" s="33">
        <f>IF(Orders!X1290,1,0)</f>
        <v>0</v>
      </c>
      <c r="AR1293" s="34" t="str">
        <f>IF(AND(E1293=1,L1293=1),AJ1293,"")</f>
        <v/>
      </c>
      <c r="AS1293" s="34">
        <f>IF(AND(E1293=1,L1293=0),AJ1293,"")</f>
        <v>5.1</v>
      </c>
      <c r="AT1293" s="34" t="str">
        <f>IF(AND(E1293=1,L1293=1),AI1293,"")</f>
        <v/>
      </c>
      <c r="AU1293" s="34">
        <f>IF(AND(E1293=1,L1293=0),AI1293,"")</f>
        <v>3.4</v>
      </c>
      <c r="AV1293" s="34" t="str">
        <f>IF(AND(E1293=1,L1293=1),AG1293,"")</f>
        <v/>
      </c>
      <c r="AW1293" s="34">
        <f>IF(AND(E1293=1,L1293=0),AG1293,"")</f>
        <v>12.3</v>
      </c>
      <c r="AX1293" s="34" t="str">
        <f>IF(AND(E1293=1,L1293=1),AH1293,"")</f>
        <v/>
      </c>
      <c r="AY1293" s="34">
        <f>IF(AND(E1293=1,L1293=0),AH1293,"")</f>
        <v>17.5</v>
      </c>
      <c r="AZ1293" s="34">
        <f>IF(G1293=1,F1293,"")</f>
        <v>5.2</v>
      </c>
      <c r="BA1293" s="34" t="str">
        <f>IF(AND(G1293=1,L1293=1),F1293,"")</f>
        <v/>
      </c>
      <c r="BB1293" s="34">
        <f>IF(AND(G1293=1,L1293=0),F1293,"")</f>
        <v>5.2</v>
      </c>
      <c r="BC1293" s="33">
        <f>IF(E1293=1,IF(Orders!R1290&gt;3,1,0),"")</f>
        <v>1</v>
      </c>
      <c r="BD1293" s="33">
        <f>IF(E1293=1,IF(Orders!R1290&gt;7,1,0),"")</f>
        <v>0</v>
      </c>
      <c r="BE1293" s="32" t="str">
        <f>IF(E1293=1,IF(Orders!L1290&lt;=1.5,"Up to 1.5 km",IF(Orders!L1290&lt;=3,"1.5–3 km","Over 3 km")),"")</f>
        <v>Over 3 km</v>
      </c>
      <c r="BF1293" s="33">
        <f>IF(E1293=1,IF(ABS((Orders!G1290-Orders!F1290)*1440-Orders!R1290)&lt;0.06,1,0),"")</f>
        <v>1</v>
      </c>
      <c r="BG1293" s="33">
        <f>IF(ABS((Orders!F1290-Orders!E1290)*1440-Orders!P1290)&lt;0.06,1,0)</f>
        <v>1</v>
      </c>
      <c r="BH1293" s="33">
        <f>IF(E1293=1,IF(IF(Orders!S1290,1,0)=1-G1293,1,0),"")</f>
        <v>1</v>
      </c>
      <c r="BI1293" s="32" t="str">
        <f>INDEX(Stores!$B$2:$B$21,MATCH(B1293,Stores!$A$2:$A$21,0))</f>
        <v>Mumbai</v>
      </c>
    </row>
    <row r="1294">
      <c r="A1294" s="32" t="str">
        <f>Orders!A1291</f>
        <v>O01290</v>
      </c>
      <c r="B1294" s="32" t="str">
        <f>Orders!C1291</f>
        <v>S002</v>
      </c>
      <c r="C1294" s="32" t="str">
        <f>Orders!B1291</f>
        <v>C0128</v>
      </c>
      <c r="D1294" s="32" t="str">
        <f>Orders!H1291</f>
        <v>Delivered</v>
      </c>
      <c r="E1294" s="33">
        <f>IF(Orders!H1291="Delivered",1,0)</f>
        <v>1</v>
      </c>
      <c r="F1294" s="34">
        <f>IF(E1294=1,Orders!R1291,"")</f>
        <v>-2.5</v>
      </c>
      <c r="G1294" s="33">
        <f>IF(E1294=1,IF(Orders!R1291&gt;0,1,0),"")</f>
        <v>0</v>
      </c>
      <c r="H1294" s="33">
        <f>IF(E1294=1,IF(Orders!R1291&gt;5,1,0),"")</f>
        <v>0</v>
      </c>
      <c r="I1294" s="32" t="str">
        <f>IF(E1294=1,"",IF(OR(Orders!T1291="Rider unavailable",Orders!T1291="Item unavailable"),"Company-caused","Unresolved"))</f>
        <v/>
      </c>
      <c r="J1294" s="33">
        <f>IF(OR(E1294=1,I1294="Company-caused"),1,0)</f>
        <v>1</v>
      </c>
      <c r="K1294" s="32" t="str">
        <f>IF(E1294=0,IF(I1294="Company-caused",IF(Orders!T1291="Rider unavailable","C1 Rider unavailable","C2 Item unavailable"),"Outside root: unresolved"),IF(G1294=0,"A On time",IF(H1294=1,IF(L1294=1,"B2a Severe, peak","B2b Severe, off-peak"),IF(L1294=1,"B1a Slight, peak","B1b Slight, off-peak"))))</f>
        <v>A On time</v>
      </c>
      <c r="L1294" s="33">
        <f>IF(AND(Orders!U1291&gt;=19,Orders!U1291&lt;22),1,0)</f>
        <v>0</v>
      </c>
      <c r="M1294" s="33">
        <f>IF(L1294=IF(Orders!V1291,1,0),1,0)</f>
        <v>1</v>
      </c>
      <c r="N1294" s="32" t="str">
        <f>IF(Orders!W1291="","None",Orders!W1291)</f>
        <v>None</v>
      </c>
      <c r="O1294" s="35">
        <f>INT(Orders!E1291)</f>
        <v>46269.0</v>
      </c>
      <c r="P1294" s="33">
        <f>Orders!U1291</f>
        <v>14</v>
      </c>
      <c r="Q1294" s="33">
        <f>COUNTIFS(Demand!$A$2:$A$4481,B1294,Demand!$B$2:$B$4481,O1294,Demand!$C$2:$C$4481,P1294)</f>
        <v>1</v>
      </c>
      <c r="R1294" s="33">
        <f>IF(Q1294=1,SUMIFS(Demand!$E$2:$E$4481,Demand!$A$2:$A$4481,B1294,Demand!$B$2:$B$4481,O1294,Demand!$C$2:$C$4481,P1294),"")</f>
        <v>26</v>
      </c>
      <c r="S1294" s="33">
        <f>INDEX(Stores!$G$2:$G$21,MATCH(B1294,Stores!$A$2:$A$21,0))</f>
        <v>33</v>
      </c>
      <c r="T1294" s="34">
        <f>IF(R1294="","",R1294/S1294)</f>
        <v>0.787878787878788</v>
      </c>
      <c r="U1294" s="34">
        <f>IF(E1294=1,T1294,"")</f>
        <v>0.787878787878788</v>
      </c>
      <c r="V1294" s="34">
        <f>IF(AND(E1294=1,L1294=0),T1294,"")</f>
        <v>0.787878787878788</v>
      </c>
      <c r="W1294" s="33">
        <f>IF(U1294="","",IF(U1294&lt;=Breakdowns!$C$5,1,IF(U1294&lt;=Breakdowns!$C$6,2,IF(U1294&lt;=Breakdowns!$C$7,3,4))))</f>
        <v>2</v>
      </c>
      <c r="X1294" s="33">
        <f>IF(V1294="","",IF(V1294&lt;=Breakdowns!$D$5,1,IF(V1294&lt;=Breakdowns!$D$6,2,IF(V1294&lt;=Breakdowns!$D$7,3,4))))</f>
        <v>2</v>
      </c>
      <c r="Y1294" s="34">
        <f>INDEX(Stores!$F$2:$F$21,MATCH(B1294,Stores!$A$2:$A$21,0))</f>
        <v>2.39</v>
      </c>
      <c r="Z1294" s="33">
        <f>IF(Y1294&gt;Store_Summary!$M$2,1,0)</f>
        <v>0</v>
      </c>
      <c r="AA1294" s="33">
        <f>INDEX(Stores!$C$2:$C$21,MATCH(B1294,Stores!$A$2:$A$21,0))</f>
        <v>470</v>
      </c>
      <c r="AB1294" s="33">
        <f>IF(AA1294&lt;180,1,0)</f>
        <v>0</v>
      </c>
      <c r="AC1294" s="32" t="str">
        <f>IF(Orders!D1291="","",INDEX(Riders!$C$2:$C$81,MATCH(Orders!D1291,Riders!$A$2:$A$81,0)))</f>
        <v>EV scooter</v>
      </c>
      <c r="AD1294" s="33">
        <f>IF(Orders!D1291="","",INDEX(Riders!$D$2:$D$81,MATCH(Orders!D1291,Riders!$A$2:$A$81,0)))</f>
        <v>24</v>
      </c>
      <c r="AE1294" s="33">
        <f>IF(Orders!D1291="","",IF(INDEX(Riders!$B$2:$B$81,MATCH(Orders!D1291,Riders!$A$2:$A$81,0))=B1294,1,0))</f>
        <v>0</v>
      </c>
      <c r="AF1294" s="34">
        <f>IF(E1294=1,Orders!L1291,"")</f>
        <v>0.93</v>
      </c>
      <c r="AG1294" s="34">
        <f>IF(E1294=1,Orders!P1291,"")</f>
        <v>10.5</v>
      </c>
      <c r="AH1294" s="34">
        <f>IF(E1294=1,Orders!Q1291,"")</f>
        <v>8</v>
      </c>
      <c r="AI1294" s="34">
        <f>IF(E1294=1,Orders!M1291,"")</f>
        <v>3</v>
      </c>
      <c r="AJ1294" s="34">
        <f>IF(E1294=1,Orders!N1291,"")</f>
        <v>2.2</v>
      </c>
      <c r="AK1294" s="34">
        <f>IF(E1294=1,Orders!O1291,"")</f>
        <v>2.8</v>
      </c>
      <c r="AL1294" s="33">
        <f>IF(E1294=1,IF(ROUND(ABS(AI1294+AJ1294+AK1294-AH1294),6)&lt;=0.1,1,0),"")</f>
        <v>1</v>
      </c>
      <c r="AM1294" s="36">
        <f>IF(E1294=1,AI1294/AH1294,"")</f>
        <v>0.375</v>
      </c>
      <c r="AN1294" s="36">
        <f>IF(E1294=1,AJ1294/AH1294,"")</f>
        <v>0.275</v>
      </c>
      <c r="AO1294" s="36">
        <f>IF(E1294=1,AK1294/AH1294,"")</f>
        <v>0.35</v>
      </c>
      <c r="AP1294" s="34">
        <f>IF(E1294=1,Orders!Y1291,"")</f>
        <v>0.2</v>
      </c>
      <c r="AQ1294" s="33">
        <f>IF(Orders!X1291,1,0)</f>
        <v>0</v>
      </c>
      <c r="AR1294" s="34" t="str">
        <f>IF(AND(E1294=1,L1294=1),AJ1294,"")</f>
        <v/>
      </c>
      <c r="AS1294" s="34">
        <f>IF(AND(E1294=1,L1294=0),AJ1294,"")</f>
        <v>2.2</v>
      </c>
      <c r="AT1294" s="34" t="str">
        <f>IF(AND(E1294=1,L1294=1),AI1294,"")</f>
        <v/>
      </c>
      <c r="AU1294" s="34">
        <f>IF(AND(E1294=1,L1294=0),AI1294,"")</f>
        <v>3</v>
      </c>
      <c r="AV1294" s="34" t="str">
        <f>IF(AND(E1294=1,L1294=1),AG1294,"")</f>
        <v/>
      </c>
      <c r="AW1294" s="34">
        <f>IF(AND(E1294=1,L1294=0),AG1294,"")</f>
        <v>10.5</v>
      </c>
      <c r="AX1294" s="34" t="str">
        <f>IF(AND(E1294=1,L1294=1),AH1294,"")</f>
        <v/>
      </c>
      <c r="AY1294" s="34">
        <f>IF(AND(E1294=1,L1294=0),AH1294,"")</f>
        <v>8</v>
      </c>
      <c r="AZ1294" s="34" t="str">
        <f>IF(G1294=1,F1294,"")</f>
        <v/>
      </c>
      <c r="BA1294" s="34" t="str">
        <f>IF(AND(G1294=1,L1294=1),F1294,"")</f>
        <v/>
      </c>
      <c r="BB1294" s="34" t="str">
        <f>IF(AND(G1294=1,L1294=0),F1294,"")</f>
        <v/>
      </c>
      <c r="BC1294" s="33">
        <f>IF(E1294=1,IF(Orders!R1291&gt;3,1,0),"")</f>
        <v>0</v>
      </c>
      <c r="BD1294" s="33">
        <f>IF(E1294=1,IF(Orders!R1291&gt;7,1,0),"")</f>
        <v>0</v>
      </c>
      <c r="BE1294" s="32" t="str">
        <f>IF(E1294=1,IF(Orders!L1291&lt;=1.5,"Up to 1.5 km",IF(Orders!L1291&lt;=3,"1.5–3 km","Over 3 km")),"")</f>
        <v>Up to 1.5 km</v>
      </c>
      <c r="BF1294" s="33">
        <f>IF(E1294=1,IF(ABS((Orders!G1291-Orders!F1291)*1440-Orders!R1291)&lt;0.06,1,0),"")</f>
        <v>1</v>
      </c>
      <c r="BG1294" s="33">
        <f>IF(ABS((Orders!F1291-Orders!E1291)*1440-Orders!P1291)&lt;0.06,1,0)</f>
        <v>1</v>
      </c>
      <c r="BH1294" s="33">
        <f>IF(E1294=1,IF(IF(Orders!S1291,1,0)=1-G1294,1,0),"")</f>
        <v>1</v>
      </c>
      <c r="BI1294" s="32" t="str">
        <f>INDEX(Stores!$B$2:$B$21,MATCH(B1294,Stores!$A$2:$A$21,0))</f>
        <v>Hyderabad</v>
      </c>
    </row>
    <row r="1295">
      <c r="A1295" s="32" t="str">
        <f>Orders!A1292</f>
        <v>O01291</v>
      </c>
      <c r="B1295" s="32" t="str">
        <f>Orders!C1292</f>
        <v>S006</v>
      </c>
      <c r="C1295" s="32" t="str">
        <f>Orders!B1292</f>
        <v>C0142</v>
      </c>
      <c r="D1295" s="32" t="str">
        <f>Orders!H1292</f>
        <v>Delivered</v>
      </c>
      <c r="E1295" s="33">
        <f>IF(Orders!H1292="Delivered",1,0)</f>
        <v>1</v>
      </c>
      <c r="F1295" s="34">
        <f>IF(E1295=1,Orders!R1292,"")</f>
        <v>-1.1</v>
      </c>
      <c r="G1295" s="33">
        <f>IF(E1295=1,IF(Orders!R1292&gt;0,1,0),"")</f>
        <v>0</v>
      </c>
      <c r="H1295" s="33">
        <f>IF(E1295=1,IF(Orders!R1292&gt;5,1,0),"")</f>
        <v>0</v>
      </c>
      <c r="I1295" s="32" t="str">
        <f>IF(E1295=1,"",IF(OR(Orders!T1292="Rider unavailable",Orders!T1292="Item unavailable"),"Company-caused","Unresolved"))</f>
        <v/>
      </c>
      <c r="J1295" s="33">
        <f>IF(OR(E1295=1,I1295="Company-caused"),1,0)</f>
        <v>1</v>
      </c>
      <c r="K1295" s="32" t="str">
        <f>IF(E1295=0,IF(I1295="Company-caused",IF(Orders!T1292="Rider unavailable","C1 Rider unavailable","C2 Item unavailable"),"Outside root: unresolved"),IF(G1295=0,"A On time",IF(H1295=1,IF(L1295=1,"B2a Severe, peak","B2b Severe, off-peak"),IF(L1295=1,"B1a Slight, peak","B1b Slight, off-peak"))))</f>
        <v>A On time</v>
      </c>
      <c r="L1295" s="33">
        <f>IF(AND(Orders!U1292&gt;=19,Orders!U1292&lt;22),1,0)</f>
        <v>0</v>
      </c>
      <c r="M1295" s="33">
        <f>IF(L1295=IF(Orders!V1292,1,0),1,0)</f>
        <v>1</v>
      </c>
      <c r="N1295" s="32" t="str">
        <f>IF(Orders!W1292="","None",Orders!W1292)</f>
        <v>None</v>
      </c>
      <c r="O1295" s="35">
        <f>INT(Orders!E1292)</f>
        <v>46267.0</v>
      </c>
      <c r="P1295" s="33">
        <f>Orders!U1292</f>
        <v>23</v>
      </c>
      <c r="Q1295" s="33">
        <f>COUNTIFS(Demand!$A$2:$A$4481,B1295,Demand!$B$2:$B$4481,O1295,Demand!$C$2:$C$4481,P1295)</f>
        <v>1</v>
      </c>
      <c r="R1295" s="33">
        <f>IF(Q1295=1,SUMIFS(Demand!$E$2:$E$4481,Demand!$A$2:$A$4481,B1295,Demand!$B$2:$B$4481,O1295,Demand!$C$2:$C$4481,P1295),"")</f>
        <v>35</v>
      </c>
      <c r="S1295" s="33">
        <f>INDEX(Stores!$G$2:$G$21,MATCH(B1295,Stores!$A$2:$A$21,0))</f>
        <v>26</v>
      </c>
      <c r="T1295" s="34">
        <f>IF(R1295="","",R1295/S1295)</f>
        <v>1.34615384615385</v>
      </c>
      <c r="U1295" s="34">
        <f>IF(E1295=1,T1295,"")</f>
        <v>1.34615384615385</v>
      </c>
      <c r="V1295" s="34">
        <f>IF(AND(E1295=1,L1295=0),T1295,"")</f>
        <v>1.34615384615385</v>
      </c>
      <c r="W1295" s="33">
        <f>IF(U1295="","",IF(U1295&lt;=Breakdowns!$C$5,1,IF(U1295&lt;=Breakdowns!$C$6,2,IF(U1295&lt;=Breakdowns!$C$7,3,4))))</f>
        <v>4</v>
      </c>
      <c r="X1295" s="33">
        <f>IF(V1295="","",IF(V1295&lt;=Breakdowns!$D$5,1,IF(V1295&lt;=Breakdowns!$D$6,2,IF(V1295&lt;=Breakdowns!$D$7,3,4))))</f>
        <v>4</v>
      </c>
      <c r="Y1295" s="34">
        <f>INDEX(Stores!$F$2:$F$21,MATCH(B1295,Stores!$A$2:$A$21,0))</f>
        <v>5.22</v>
      </c>
      <c r="Z1295" s="33">
        <f>IF(Y1295&gt;Store_Summary!$M$2,1,0)</f>
        <v>1</v>
      </c>
      <c r="AA1295" s="33">
        <f>INDEX(Stores!$C$2:$C$21,MATCH(B1295,Stores!$A$2:$A$21,0))</f>
        <v>412</v>
      </c>
      <c r="AB1295" s="33">
        <f>IF(AA1295&lt;180,1,0)</f>
        <v>0</v>
      </c>
      <c r="AC1295" s="32" t="str">
        <f>IF(Orders!D1292="","",INDEX(Riders!$C$2:$C$81,MATCH(Orders!D1292,Riders!$A$2:$A$81,0)))</f>
        <v>EV scooter</v>
      </c>
      <c r="AD1295" s="33">
        <f>IF(Orders!D1292="","",INDEX(Riders!$D$2:$D$81,MATCH(Orders!D1292,Riders!$A$2:$A$81,0)))</f>
        <v>11</v>
      </c>
      <c r="AE1295" s="33">
        <f>IF(Orders!D1292="","",IF(INDEX(Riders!$B$2:$B$81,MATCH(Orders!D1292,Riders!$A$2:$A$81,0))=B1295,1,0))</f>
        <v>0</v>
      </c>
      <c r="AF1295" s="34">
        <f>IF(E1295=1,Orders!L1292,"")</f>
        <v>1.14</v>
      </c>
      <c r="AG1295" s="34">
        <f>IF(E1295=1,Orders!P1292,"")</f>
        <v>11.4</v>
      </c>
      <c r="AH1295" s="34">
        <f>IF(E1295=1,Orders!Q1292,"")</f>
        <v>10.3</v>
      </c>
      <c r="AI1295" s="34">
        <f>IF(E1295=1,Orders!M1292,"")</f>
        <v>3.9</v>
      </c>
      <c r="AJ1295" s="34">
        <f>IF(E1295=1,Orders!N1292,"")</f>
        <v>4.1</v>
      </c>
      <c r="AK1295" s="34">
        <f>IF(E1295=1,Orders!O1292,"")</f>
        <v>2.3</v>
      </c>
      <c r="AL1295" s="33">
        <f>IF(E1295=1,IF(ROUND(ABS(AI1295+AJ1295+AK1295-AH1295),6)&lt;=0.1,1,0),"")</f>
        <v>1</v>
      </c>
      <c r="AM1295" s="36">
        <f>IF(E1295=1,AI1295/AH1295,"")</f>
        <v>0.378640776699029</v>
      </c>
      <c r="AN1295" s="36">
        <f>IF(E1295=1,AJ1295/AH1295,"")</f>
        <v>0.398058252427184</v>
      </c>
      <c r="AO1295" s="36">
        <f>IF(E1295=1,AK1295/AH1295,"")</f>
        <v>0.223300970873786</v>
      </c>
      <c r="AP1295" s="34">
        <f>IF(E1295=1,Orders!Y1292,"")</f>
        <v>0.32</v>
      </c>
      <c r="AQ1295" s="33">
        <f>IF(Orders!X1292,1,0)</f>
        <v>0</v>
      </c>
      <c r="AR1295" s="34" t="str">
        <f>IF(AND(E1295=1,L1295=1),AJ1295,"")</f>
        <v/>
      </c>
      <c r="AS1295" s="34">
        <f>IF(AND(E1295=1,L1295=0),AJ1295,"")</f>
        <v>4.1</v>
      </c>
      <c r="AT1295" s="34" t="str">
        <f>IF(AND(E1295=1,L1295=1),AI1295,"")</f>
        <v/>
      </c>
      <c r="AU1295" s="34">
        <f>IF(AND(E1295=1,L1295=0),AI1295,"")</f>
        <v>3.9</v>
      </c>
      <c r="AV1295" s="34" t="str">
        <f>IF(AND(E1295=1,L1295=1),AG1295,"")</f>
        <v/>
      </c>
      <c r="AW1295" s="34">
        <f>IF(AND(E1295=1,L1295=0),AG1295,"")</f>
        <v>11.4</v>
      </c>
      <c r="AX1295" s="34" t="str">
        <f>IF(AND(E1295=1,L1295=1),AH1295,"")</f>
        <v/>
      </c>
      <c r="AY1295" s="34">
        <f>IF(AND(E1295=1,L1295=0),AH1295,"")</f>
        <v>10.3</v>
      </c>
      <c r="AZ1295" s="34" t="str">
        <f>IF(G1295=1,F1295,"")</f>
        <v/>
      </c>
      <c r="BA1295" s="34" t="str">
        <f>IF(AND(G1295=1,L1295=1),F1295,"")</f>
        <v/>
      </c>
      <c r="BB1295" s="34" t="str">
        <f>IF(AND(G1295=1,L1295=0),F1295,"")</f>
        <v/>
      </c>
      <c r="BC1295" s="33">
        <f>IF(E1295=1,IF(Orders!R1292&gt;3,1,0),"")</f>
        <v>0</v>
      </c>
      <c r="BD1295" s="33">
        <f>IF(E1295=1,IF(Orders!R1292&gt;7,1,0),"")</f>
        <v>0</v>
      </c>
      <c r="BE1295" s="32" t="str">
        <f>IF(E1295=1,IF(Orders!L1292&lt;=1.5,"Up to 1.5 km",IF(Orders!L1292&lt;=3,"1.5–3 km","Over 3 km")),"")</f>
        <v>Up to 1.5 km</v>
      </c>
      <c r="BF1295" s="33">
        <f>IF(E1295=1,IF(ABS((Orders!G1292-Orders!F1292)*1440-Orders!R1292)&lt;0.06,1,0),"")</f>
        <v>1</v>
      </c>
      <c r="BG1295" s="33">
        <f>IF(ABS((Orders!F1292-Orders!E1292)*1440-Orders!P1292)&lt;0.06,1,0)</f>
        <v>1</v>
      </c>
      <c r="BH1295" s="33">
        <f>IF(E1295=1,IF(IF(Orders!S1292,1,0)=1-G1295,1,0),"")</f>
        <v>1</v>
      </c>
      <c r="BI1295" s="32" t="str">
        <f>INDEX(Stores!$B$2:$B$21,MATCH(B1295,Stores!$A$2:$A$21,0))</f>
        <v>Bengaluru</v>
      </c>
    </row>
    <row r="1296">
      <c r="A1296" s="32" t="str">
        <f>Orders!A1293</f>
        <v>O01292</v>
      </c>
      <c r="B1296" s="32" t="str">
        <f>Orders!C1293</f>
        <v>S020</v>
      </c>
      <c r="C1296" s="32" t="str">
        <f>Orders!B1293</f>
        <v>C0168</v>
      </c>
      <c r="D1296" s="32" t="str">
        <f>Orders!H1293</f>
        <v>Delivered</v>
      </c>
      <c r="E1296" s="33">
        <f>IF(Orders!H1293="Delivered",1,0)</f>
        <v>1</v>
      </c>
      <c r="F1296" s="34">
        <f>IF(E1296=1,Orders!R1293,"")</f>
        <v>12.3</v>
      </c>
      <c r="G1296" s="33">
        <f>IF(E1296=1,IF(Orders!R1293&gt;0,1,0),"")</f>
        <v>1</v>
      </c>
      <c r="H1296" s="33">
        <f>IF(E1296=1,IF(Orders!R1293&gt;5,1,0),"")</f>
        <v>1</v>
      </c>
      <c r="I1296" s="32" t="str">
        <f>IF(E1296=1,"",IF(OR(Orders!T1293="Rider unavailable",Orders!T1293="Item unavailable"),"Company-caused","Unresolved"))</f>
        <v/>
      </c>
      <c r="J1296" s="33">
        <f>IF(OR(E1296=1,I1296="Company-caused"),1,0)</f>
        <v>1</v>
      </c>
      <c r="K1296" s="32" t="str">
        <f>IF(E1296=0,IF(I1296="Company-caused",IF(Orders!T1293="Rider unavailable","C1 Rider unavailable","C2 Item unavailable"),"Outside root: unresolved"),IF(G1296=0,"A On time",IF(H1296=1,IF(L1296=1,"B2a Severe, peak","B2b Severe, off-peak"),IF(L1296=1,"B1a Slight, peak","B1b Slight, off-peak"))))</f>
        <v>B2b Severe, off-peak</v>
      </c>
      <c r="L1296" s="33">
        <f>IF(AND(Orders!U1293&gt;=19,Orders!U1293&lt;22),1,0)</f>
        <v>0</v>
      </c>
      <c r="M1296" s="33">
        <f>IF(L1296=IF(Orders!V1293,1,0),1,0)</f>
        <v>1</v>
      </c>
      <c r="N1296" s="32" t="str">
        <f>IF(Orders!W1293="","None",Orders!W1293)</f>
        <v>Heavy</v>
      </c>
      <c r="O1296" s="35">
        <f>INT(Orders!E1293)</f>
        <v>46275.0</v>
      </c>
      <c r="P1296" s="33">
        <f>Orders!U1293</f>
        <v>15</v>
      </c>
      <c r="Q1296" s="33">
        <f>COUNTIFS(Demand!$A$2:$A$4481,B1296,Demand!$B$2:$B$4481,O1296,Demand!$C$2:$C$4481,P1296)</f>
        <v>1</v>
      </c>
      <c r="R1296" s="33">
        <f>IF(Q1296=1,SUMIFS(Demand!$E$2:$E$4481,Demand!$A$2:$A$4481,B1296,Demand!$B$2:$B$4481,O1296,Demand!$C$2:$C$4481,P1296),"")</f>
        <v>15</v>
      </c>
      <c r="S1296" s="33">
        <f>INDEX(Stores!$G$2:$G$21,MATCH(B1296,Stores!$A$2:$A$21,0))</f>
        <v>15</v>
      </c>
      <c r="T1296" s="34">
        <f>IF(R1296="","",R1296/S1296)</f>
        <v>1</v>
      </c>
      <c r="U1296" s="34">
        <f>IF(E1296=1,T1296,"")</f>
        <v>1</v>
      </c>
      <c r="V1296" s="34">
        <f>IF(AND(E1296=1,L1296=0),T1296,"")</f>
        <v>1</v>
      </c>
      <c r="W1296" s="33">
        <f>IF(U1296="","",IF(U1296&lt;=Breakdowns!$C$5,1,IF(U1296&lt;=Breakdowns!$C$6,2,IF(U1296&lt;=Breakdowns!$C$7,3,4))))</f>
        <v>2</v>
      </c>
      <c r="X1296" s="33">
        <f>IF(V1296="","",IF(V1296&lt;=Breakdowns!$D$5,1,IF(V1296&lt;=Breakdowns!$D$6,2,IF(V1296&lt;=Breakdowns!$D$7,3,4))))</f>
        <v>3</v>
      </c>
      <c r="Y1296" s="34">
        <f>INDEX(Stores!$F$2:$F$21,MATCH(B1296,Stores!$A$2:$A$21,0))</f>
        <v>5.74</v>
      </c>
      <c r="Z1296" s="33">
        <f>IF(Y1296&gt;Store_Summary!$M$2,1,0)</f>
        <v>1</v>
      </c>
      <c r="AA1296" s="33">
        <f>INDEX(Stores!$C$2:$C$21,MATCH(B1296,Stores!$A$2:$A$21,0))</f>
        <v>647</v>
      </c>
      <c r="AB1296" s="33">
        <f>IF(AA1296&lt;180,1,0)</f>
        <v>0</v>
      </c>
      <c r="AC1296" s="32" t="str">
        <f>IF(Orders!D1293="","",INDEX(Riders!$C$2:$C$81,MATCH(Orders!D1293,Riders!$A$2:$A$81,0)))</f>
        <v>EV scooter</v>
      </c>
      <c r="AD1296" s="33">
        <f>IF(Orders!D1293="","",INDEX(Riders!$D$2:$D$81,MATCH(Orders!D1293,Riders!$A$2:$A$81,0)))</f>
        <v>21</v>
      </c>
      <c r="AE1296" s="33">
        <f>IF(Orders!D1293="","",IF(INDEX(Riders!$B$2:$B$81,MATCH(Orders!D1293,Riders!$A$2:$A$81,0))=B1296,1,0))</f>
        <v>0</v>
      </c>
      <c r="AF1296" s="34">
        <f>IF(E1296=1,Orders!L1293,"")</f>
        <v>3.11</v>
      </c>
      <c r="AG1296" s="34">
        <f>IF(E1296=1,Orders!P1293,"")</f>
        <v>9.7</v>
      </c>
      <c r="AH1296" s="34">
        <f>IF(E1296=1,Orders!Q1293,"")</f>
        <v>22</v>
      </c>
      <c r="AI1296" s="34">
        <f>IF(E1296=1,Orders!M1293,"")</f>
        <v>5.8</v>
      </c>
      <c r="AJ1296" s="34">
        <f>IF(E1296=1,Orders!N1293,"")</f>
        <v>6.9</v>
      </c>
      <c r="AK1296" s="34">
        <f>IF(E1296=1,Orders!O1293,"")</f>
        <v>9.3</v>
      </c>
      <c r="AL1296" s="33">
        <f>IF(E1296=1,IF(ROUND(ABS(AI1296+AJ1296+AK1296-AH1296),6)&lt;=0.1,1,0),"")</f>
        <v>1</v>
      </c>
      <c r="AM1296" s="36">
        <f>IF(E1296=1,AI1296/AH1296,"")</f>
        <v>0.263636363636364</v>
      </c>
      <c r="AN1296" s="36">
        <f>IF(E1296=1,AJ1296/AH1296,"")</f>
        <v>0.313636363636364</v>
      </c>
      <c r="AO1296" s="36">
        <f>IF(E1296=1,AK1296/AH1296,"")</f>
        <v>0.422727272727273</v>
      </c>
      <c r="AP1296" s="34">
        <f>IF(E1296=1,Orders!Y1293,"")</f>
        <v>0.26</v>
      </c>
      <c r="AQ1296" s="33">
        <f>IF(Orders!X1293,1,0)</f>
        <v>0</v>
      </c>
      <c r="AR1296" s="34" t="str">
        <f>IF(AND(E1296=1,L1296=1),AJ1296,"")</f>
        <v/>
      </c>
      <c r="AS1296" s="34">
        <f>IF(AND(E1296=1,L1296=0),AJ1296,"")</f>
        <v>6.9</v>
      </c>
      <c r="AT1296" s="34" t="str">
        <f>IF(AND(E1296=1,L1296=1),AI1296,"")</f>
        <v/>
      </c>
      <c r="AU1296" s="34">
        <f>IF(AND(E1296=1,L1296=0),AI1296,"")</f>
        <v>5.8</v>
      </c>
      <c r="AV1296" s="34" t="str">
        <f>IF(AND(E1296=1,L1296=1),AG1296,"")</f>
        <v/>
      </c>
      <c r="AW1296" s="34">
        <f>IF(AND(E1296=1,L1296=0),AG1296,"")</f>
        <v>9.7</v>
      </c>
      <c r="AX1296" s="34" t="str">
        <f>IF(AND(E1296=1,L1296=1),AH1296,"")</f>
        <v/>
      </c>
      <c r="AY1296" s="34">
        <f>IF(AND(E1296=1,L1296=0),AH1296,"")</f>
        <v>22</v>
      </c>
      <c r="AZ1296" s="34">
        <f>IF(G1296=1,F1296,"")</f>
        <v>12.3</v>
      </c>
      <c r="BA1296" s="34" t="str">
        <f>IF(AND(G1296=1,L1296=1),F1296,"")</f>
        <v/>
      </c>
      <c r="BB1296" s="34">
        <f>IF(AND(G1296=1,L1296=0),F1296,"")</f>
        <v>12.3</v>
      </c>
      <c r="BC1296" s="33">
        <f>IF(E1296=1,IF(Orders!R1293&gt;3,1,0),"")</f>
        <v>1</v>
      </c>
      <c r="BD1296" s="33">
        <f>IF(E1296=1,IF(Orders!R1293&gt;7,1,0),"")</f>
        <v>1</v>
      </c>
      <c r="BE1296" s="32" t="str">
        <f>IF(E1296=1,IF(Orders!L1293&lt;=1.5,"Up to 1.5 km",IF(Orders!L1293&lt;=3,"1.5–3 km","Over 3 km")),"")</f>
        <v>Over 3 km</v>
      </c>
      <c r="BF1296" s="33">
        <f>IF(E1296=1,IF(ABS((Orders!G1293-Orders!F1293)*1440-Orders!R1293)&lt;0.06,1,0),"")</f>
        <v>1</v>
      </c>
      <c r="BG1296" s="33">
        <f>IF(ABS((Orders!F1293-Orders!E1293)*1440-Orders!P1293)&lt;0.06,1,0)</f>
        <v>1</v>
      </c>
      <c r="BH1296" s="33">
        <f>IF(E1296=1,IF(IF(Orders!S1293,1,0)=1-G1296,1,0),"")</f>
        <v>1</v>
      </c>
      <c r="BI1296" s="32" t="str">
        <f>INDEX(Stores!$B$2:$B$21,MATCH(B1296,Stores!$A$2:$A$21,0))</f>
        <v>Delhi</v>
      </c>
    </row>
    <row r="1297">
      <c r="A1297" s="32" t="str">
        <f>Orders!A1294</f>
        <v>O01293</v>
      </c>
      <c r="B1297" s="32" t="str">
        <f>Orders!C1294</f>
        <v>S007</v>
      </c>
      <c r="C1297" s="32" t="str">
        <f>Orders!B1294</f>
        <v>C0200</v>
      </c>
      <c r="D1297" s="32" t="str">
        <f>Orders!H1294</f>
        <v>Delivered</v>
      </c>
      <c r="E1297" s="33">
        <f>IF(Orders!H1294="Delivered",1,0)</f>
        <v>1</v>
      </c>
      <c r="F1297" s="34">
        <f>IF(E1297=1,Orders!R1294,"")</f>
        <v>6.2</v>
      </c>
      <c r="G1297" s="33">
        <f>IF(E1297=1,IF(Orders!R1294&gt;0,1,0),"")</f>
        <v>1</v>
      </c>
      <c r="H1297" s="33">
        <f>IF(E1297=1,IF(Orders!R1294&gt;5,1,0),"")</f>
        <v>1</v>
      </c>
      <c r="I1297" s="32" t="str">
        <f>IF(E1297=1,"",IF(OR(Orders!T1294="Rider unavailable",Orders!T1294="Item unavailable"),"Company-caused","Unresolved"))</f>
        <v/>
      </c>
      <c r="J1297" s="33">
        <f>IF(OR(E1297=1,I1297="Company-caused"),1,0)</f>
        <v>1</v>
      </c>
      <c r="K1297" s="32" t="str">
        <f>IF(E1297=0,IF(I1297="Company-caused",IF(Orders!T1294="Rider unavailable","C1 Rider unavailable","C2 Item unavailable"),"Outside root: unresolved"),IF(G1297=0,"A On time",IF(H1297=1,IF(L1297=1,"B2a Severe, peak","B2b Severe, off-peak"),IF(L1297=1,"B1a Slight, peak","B1b Slight, off-peak"))))</f>
        <v>B2b Severe, off-peak</v>
      </c>
      <c r="L1297" s="33">
        <f>IF(AND(Orders!U1294&gt;=19,Orders!U1294&lt;22),1,0)</f>
        <v>0</v>
      </c>
      <c r="M1297" s="33">
        <f>IF(L1297=IF(Orders!V1294,1,0),1,0)</f>
        <v>1</v>
      </c>
      <c r="N1297" s="32" t="str">
        <f>IF(Orders!W1294="","None",Orders!W1294)</f>
        <v>None</v>
      </c>
      <c r="O1297" s="35">
        <f>INT(Orders!E1294)</f>
        <v>46278.0</v>
      </c>
      <c r="P1297" s="33">
        <f>Orders!U1294</f>
        <v>9</v>
      </c>
      <c r="Q1297" s="33">
        <f>COUNTIFS(Demand!$A$2:$A$4481,B1297,Demand!$B$2:$B$4481,O1297,Demand!$C$2:$C$4481,P1297)</f>
        <v>1</v>
      </c>
      <c r="R1297" s="33">
        <f>IF(Q1297=1,SUMIFS(Demand!$E$2:$E$4481,Demand!$A$2:$A$4481,B1297,Demand!$B$2:$B$4481,O1297,Demand!$C$2:$C$4481,P1297),"")</f>
        <v>30</v>
      </c>
      <c r="S1297" s="33">
        <f>INDEX(Stores!$G$2:$G$21,MATCH(B1297,Stores!$A$2:$A$21,0))</f>
        <v>37</v>
      </c>
      <c r="T1297" s="34">
        <f>IF(R1297="","",R1297/S1297)</f>
        <v>0.810810810810811</v>
      </c>
      <c r="U1297" s="34">
        <f>IF(E1297=1,T1297,"")</f>
        <v>0.810810810810811</v>
      </c>
      <c r="V1297" s="34">
        <f>IF(AND(E1297=1,L1297=0),T1297,"")</f>
        <v>0.810810810810811</v>
      </c>
      <c r="W1297" s="33">
        <f>IF(U1297="","",IF(U1297&lt;=Breakdowns!$C$5,1,IF(U1297&lt;=Breakdowns!$C$6,2,IF(U1297&lt;=Breakdowns!$C$7,3,4))))</f>
        <v>2</v>
      </c>
      <c r="X1297" s="33">
        <f>IF(V1297="","",IF(V1297&lt;=Breakdowns!$D$5,1,IF(V1297&lt;=Breakdowns!$D$6,2,IF(V1297&lt;=Breakdowns!$D$7,3,4))))</f>
        <v>2</v>
      </c>
      <c r="Y1297" s="34">
        <f>INDEX(Stores!$F$2:$F$21,MATCH(B1297,Stores!$A$2:$A$21,0))</f>
        <v>4.05</v>
      </c>
      <c r="Z1297" s="33">
        <f>IF(Y1297&gt;Store_Summary!$M$2,1,0)</f>
        <v>0</v>
      </c>
      <c r="AA1297" s="33">
        <f>INDEX(Stores!$C$2:$C$21,MATCH(B1297,Stores!$A$2:$A$21,0))</f>
        <v>661</v>
      </c>
      <c r="AB1297" s="33">
        <f>IF(AA1297&lt;180,1,0)</f>
        <v>0</v>
      </c>
      <c r="AC1297" s="32" t="str">
        <f>IF(Orders!D1294="","",INDEX(Riders!$C$2:$C$81,MATCH(Orders!D1294,Riders!$A$2:$A$81,0)))</f>
        <v>Petrol scooter</v>
      </c>
      <c r="AD1297" s="33">
        <f>IF(Orders!D1294="","",INDEX(Riders!$D$2:$D$81,MATCH(Orders!D1294,Riders!$A$2:$A$81,0)))</f>
        <v>10</v>
      </c>
      <c r="AE1297" s="33">
        <f>IF(Orders!D1294="","",IF(INDEX(Riders!$B$2:$B$81,MATCH(Orders!D1294,Riders!$A$2:$A$81,0))=B1297,1,0))</f>
        <v>0</v>
      </c>
      <c r="AF1297" s="34">
        <f>IF(E1297=1,Orders!L1294,"")</f>
        <v>4.4</v>
      </c>
      <c r="AG1297" s="34">
        <f>IF(E1297=1,Orders!P1294,"")</f>
        <v>11.1</v>
      </c>
      <c r="AH1297" s="34">
        <f>IF(E1297=1,Orders!Q1294,"")</f>
        <v>17.3</v>
      </c>
      <c r="AI1297" s="34">
        <f>IF(E1297=1,Orders!M1294,"")</f>
        <v>4.5</v>
      </c>
      <c r="AJ1297" s="34">
        <f>IF(E1297=1,Orders!N1294,"")</f>
        <v>3.8</v>
      </c>
      <c r="AK1297" s="34">
        <f>IF(E1297=1,Orders!O1294,"")</f>
        <v>9</v>
      </c>
      <c r="AL1297" s="33">
        <f>IF(E1297=1,IF(ROUND(ABS(AI1297+AJ1297+AK1297-AH1297),6)&lt;=0.1,1,0),"")</f>
        <v>1</v>
      </c>
      <c r="AM1297" s="36">
        <f>IF(E1297=1,AI1297/AH1297,"")</f>
        <v>0.260115606936416</v>
      </c>
      <c r="AN1297" s="36">
        <f>IF(E1297=1,AJ1297/AH1297,"")</f>
        <v>0.219653179190751</v>
      </c>
      <c r="AO1297" s="36">
        <f>IF(E1297=1,AK1297/AH1297,"")</f>
        <v>0.520231213872832</v>
      </c>
      <c r="AP1297" s="34">
        <f>IF(E1297=1,Orders!Y1294,"")</f>
        <v>0.3</v>
      </c>
      <c r="AQ1297" s="33">
        <f>IF(Orders!X1294,1,0)</f>
        <v>0</v>
      </c>
      <c r="AR1297" s="34" t="str">
        <f>IF(AND(E1297=1,L1297=1),AJ1297,"")</f>
        <v/>
      </c>
      <c r="AS1297" s="34">
        <f>IF(AND(E1297=1,L1297=0),AJ1297,"")</f>
        <v>3.8</v>
      </c>
      <c r="AT1297" s="34" t="str">
        <f>IF(AND(E1297=1,L1297=1),AI1297,"")</f>
        <v/>
      </c>
      <c r="AU1297" s="34">
        <f>IF(AND(E1297=1,L1297=0),AI1297,"")</f>
        <v>4.5</v>
      </c>
      <c r="AV1297" s="34" t="str">
        <f>IF(AND(E1297=1,L1297=1),AG1297,"")</f>
        <v/>
      </c>
      <c r="AW1297" s="34">
        <f>IF(AND(E1297=1,L1297=0),AG1297,"")</f>
        <v>11.1</v>
      </c>
      <c r="AX1297" s="34" t="str">
        <f>IF(AND(E1297=1,L1297=1),AH1297,"")</f>
        <v/>
      </c>
      <c r="AY1297" s="34">
        <f>IF(AND(E1297=1,L1297=0),AH1297,"")</f>
        <v>17.3</v>
      </c>
      <c r="AZ1297" s="34">
        <f>IF(G1297=1,F1297,"")</f>
        <v>6.2</v>
      </c>
      <c r="BA1297" s="34" t="str">
        <f>IF(AND(G1297=1,L1297=1),F1297,"")</f>
        <v/>
      </c>
      <c r="BB1297" s="34">
        <f>IF(AND(G1297=1,L1297=0),F1297,"")</f>
        <v>6.2</v>
      </c>
      <c r="BC1297" s="33">
        <f>IF(E1297=1,IF(Orders!R1294&gt;3,1,0),"")</f>
        <v>1</v>
      </c>
      <c r="BD1297" s="33">
        <f>IF(E1297=1,IF(Orders!R1294&gt;7,1,0),"")</f>
        <v>0</v>
      </c>
      <c r="BE1297" s="32" t="str">
        <f>IF(E1297=1,IF(Orders!L1294&lt;=1.5,"Up to 1.5 km",IF(Orders!L1294&lt;=3,"1.5–3 km","Over 3 km")),"")</f>
        <v>Over 3 km</v>
      </c>
      <c r="BF1297" s="33">
        <f>IF(E1297=1,IF(ABS((Orders!G1294-Orders!F1294)*1440-Orders!R1294)&lt;0.06,1,0),"")</f>
        <v>1</v>
      </c>
      <c r="BG1297" s="33">
        <f>IF(ABS((Orders!F1294-Orders!E1294)*1440-Orders!P1294)&lt;0.06,1,0)</f>
        <v>1</v>
      </c>
      <c r="BH1297" s="33">
        <f>IF(E1297=1,IF(IF(Orders!S1294,1,0)=1-G1297,1,0),"")</f>
        <v>1</v>
      </c>
      <c r="BI1297" s="32" t="str">
        <f>INDEX(Stores!$B$2:$B$21,MATCH(B1297,Stores!$A$2:$A$21,0))</f>
        <v>Hyderabad</v>
      </c>
    </row>
    <row r="1298">
      <c r="A1298" s="32" t="str">
        <f>Orders!A1295</f>
        <v>O01294</v>
      </c>
      <c r="B1298" s="32" t="str">
        <f>Orders!C1295</f>
        <v>S003</v>
      </c>
      <c r="C1298" s="32" t="str">
        <f>Orders!B1295</f>
        <v>C0065</v>
      </c>
      <c r="D1298" s="32" t="str">
        <f>Orders!H1295</f>
        <v>Delivered</v>
      </c>
      <c r="E1298" s="33">
        <f>IF(Orders!H1295="Delivered",1,0)</f>
        <v>1</v>
      </c>
      <c r="F1298" s="34">
        <f>IF(E1298=1,Orders!R1295,"")</f>
        <v>-0.9</v>
      </c>
      <c r="G1298" s="33">
        <f>IF(E1298=1,IF(Orders!R1295&gt;0,1,0),"")</f>
        <v>0</v>
      </c>
      <c r="H1298" s="33">
        <f>IF(E1298=1,IF(Orders!R1295&gt;5,1,0),"")</f>
        <v>0</v>
      </c>
      <c r="I1298" s="32" t="str">
        <f>IF(E1298=1,"",IF(OR(Orders!T1295="Rider unavailable",Orders!T1295="Item unavailable"),"Company-caused","Unresolved"))</f>
        <v/>
      </c>
      <c r="J1298" s="33">
        <f>IF(OR(E1298=1,I1298="Company-caused"),1,0)</f>
        <v>1</v>
      </c>
      <c r="K1298" s="32" t="str">
        <f>IF(E1298=0,IF(I1298="Company-caused",IF(Orders!T1295="Rider unavailable","C1 Rider unavailable","C2 Item unavailable"),"Outside root: unresolved"),IF(G1298=0,"A On time",IF(H1298=1,IF(L1298=1,"B2a Severe, peak","B2b Severe, off-peak"),IF(L1298=1,"B1a Slight, peak","B1b Slight, off-peak"))))</f>
        <v>A On time</v>
      </c>
      <c r="L1298" s="33">
        <f>IF(AND(Orders!U1295&gt;=19,Orders!U1295&lt;22),1,0)</f>
        <v>1</v>
      </c>
      <c r="M1298" s="33">
        <f>IF(L1298=IF(Orders!V1295,1,0),1,0)</f>
        <v>1</v>
      </c>
      <c r="N1298" s="32" t="str">
        <f>IF(Orders!W1295="","None",Orders!W1295)</f>
        <v>None</v>
      </c>
      <c r="O1298" s="35">
        <f>INT(Orders!E1295)</f>
        <v>46273.0</v>
      </c>
      <c r="P1298" s="33">
        <f>Orders!U1295</f>
        <v>21</v>
      </c>
      <c r="Q1298" s="33">
        <f>COUNTIFS(Demand!$A$2:$A$4481,B1298,Demand!$B$2:$B$4481,O1298,Demand!$C$2:$C$4481,P1298)</f>
        <v>1</v>
      </c>
      <c r="R1298" s="33">
        <f>IF(Q1298=1,SUMIFS(Demand!$E$2:$E$4481,Demand!$A$2:$A$4481,B1298,Demand!$B$2:$B$4481,O1298,Demand!$C$2:$C$4481,P1298),"")</f>
        <v>64</v>
      </c>
      <c r="S1298" s="33">
        <f>INDEX(Stores!$G$2:$G$21,MATCH(B1298,Stores!$A$2:$A$21,0))</f>
        <v>41</v>
      </c>
      <c r="T1298" s="34">
        <f>IF(R1298="","",R1298/S1298)</f>
        <v>1.5609756097561</v>
      </c>
      <c r="U1298" s="34">
        <f>IF(E1298=1,T1298,"")</f>
        <v>1.5609756097561</v>
      </c>
      <c r="V1298" s="34" t="str">
        <f>IF(AND(E1298=1,L1298=0),T1298,"")</f>
        <v/>
      </c>
      <c r="W1298" s="33">
        <f>IF(U1298="","",IF(U1298&lt;=Breakdowns!$C$5,1,IF(U1298&lt;=Breakdowns!$C$6,2,IF(U1298&lt;=Breakdowns!$C$7,3,4))))</f>
        <v>4</v>
      </c>
      <c r="X1298" s="33" t="str">
        <f>IF(V1298="","",IF(V1298&lt;=Breakdowns!$D$5,1,IF(V1298&lt;=Breakdowns!$D$6,2,IF(V1298&lt;=Breakdowns!$D$7,3,4))))</f>
        <v/>
      </c>
      <c r="Y1298" s="34">
        <f>INDEX(Stores!$F$2:$F$21,MATCH(B1298,Stores!$A$2:$A$21,0))</f>
        <v>3.84</v>
      </c>
      <c r="Z1298" s="33">
        <f>IF(Y1298&gt;Store_Summary!$M$2,1,0)</f>
        <v>0</v>
      </c>
      <c r="AA1298" s="33">
        <f>INDEX(Stores!$C$2:$C$21,MATCH(B1298,Stores!$A$2:$A$21,0))</f>
        <v>426</v>
      </c>
      <c r="AB1298" s="33">
        <f>IF(AA1298&lt;180,1,0)</f>
        <v>0</v>
      </c>
      <c r="AC1298" s="32" t="str">
        <f>IF(Orders!D1295="","",INDEX(Riders!$C$2:$C$81,MATCH(Orders!D1295,Riders!$A$2:$A$81,0)))</f>
        <v>Bicycle</v>
      </c>
      <c r="AD1298" s="33">
        <f>IF(Orders!D1295="","",INDEX(Riders!$D$2:$D$81,MATCH(Orders!D1295,Riders!$A$2:$A$81,0)))</f>
        <v>2</v>
      </c>
      <c r="AE1298" s="33">
        <f>IF(Orders!D1295="","",IF(INDEX(Riders!$B$2:$B$81,MATCH(Orders!D1295,Riders!$A$2:$A$81,0))=B1298,1,0))</f>
        <v>0</v>
      </c>
      <c r="AF1298" s="34">
        <f>IF(E1298=1,Orders!L1295,"")</f>
        <v>2.1</v>
      </c>
      <c r="AG1298" s="34">
        <f>IF(E1298=1,Orders!P1295,"")</f>
        <v>8.7</v>
      </c>
      <c r="AH1298" s="34">
        <f>IF(E1298=1,Orders!Q1295,"")</f>
        <v>7.8</v>
      </c>
      <c r="AI1298" s="34">
        <f>IF(E1298=1,Orders!M1295,"")</f>
        <v>2.3</v>
      </c>
      <c r="AJ1298" s="34">
        <f>IF(E1298=1,Orders!N1295,"")</f>
        <v>2.5</v>
      </c>
      <c r="AK1298" s="34">
        <f>IF(E1298=1,Orders!O1295,"")</f>
        <v>3</v>
      </c>
      <c r="AL1298" s="33">
        <f>IF(E1298=1,IF(ROUND(ABS(AI1298+AJ1298+AK1298-AH1298),6)&lt;=0.1,1,0),"")</f>
        <v>1</v>
      </c>
      <c r="AM1298" s="36">
        <f>IF(E1298=1,AI1298/AH1298,"")</f>
        <v>0.294871794871795</v>
      </c>
      <c r="AN1298" s="36">
        <f>IF(E1298=1,AJ1298/AH1298,"")</f>
        <v>0.320512820512821</v>
      </c>
      <c r="AO1298" s="36">
        <f>IF(E1298=1,AK1298/AH1298,"")</f>
        <v>0.384615384615385</v>
      </c>
      <c r="AP1298" s="34">
        <f>IF(E1298=1,Orders!Y1295,"")</f>
        <v>0.58</v>
      </c>
      <c r="AQ1298" s="33">
        <f>IF(Orders!X1295,1,0)</f>
        <v>0</v>
      </c>
      <c r="AR1298" s="34">
        <f>IF(AND(E1298=1,L1298=1),AJ1298,"")</f>
        <v>2.5</v>
      </c>
      <c r="AS1298" s="34" t="str">
        <f>IF(AND(E1298=1,L1298=0),AJ1298,"")</f>
        <v/>
      </c>
      <c r="AT1298" s="34">
        <f>IF(AND(E1298=1,L1298=1),AI1298,"")</f>
        <v>2.3</v>
      </c>
      <c r="AU1298" s="34" t="str">
        <f>IF(AND(E1298=1,L1298=0),AI1298,"")</f>
        <v/>
      </c>
      <c r="AV1298" s="34">
        <f>IF(AND(E1298=1,L1298=1),AG1298,"")</f>
        <v>8.7</v>
      </c>
      <c r="AW1298" s="34" t="str">
        <f>IF(AND(E1298=1,L1298=0),AG1298,"")</f>
        <v/>
      </c>
      <c r="AX1298" s="34">
        <f>IF(AND(E1298=1,L1298=1),AH1298,"")</f>
        <v>7.8</v>
      </c>
      <c r="AY1298" s="34" t="str">
        <f>IF(AND(E1298=1,L1298=0),AH1298,"")</f>
        <v/>
      </c>
      <c r="AZ1298" s="34" t="str">
        <f>IF(G1298=1,F1298,"")</f>
        <v/>
      </c>
      <c r="BA1298" s="34" t="str">
        <f>IF(AND(G1298=1,L1298=1),F1298,"")</f>
        <v/>
      </c>
      <c r="BB1298" s="34" t="str">
        <f>IF(AND(G1298=1,L1298=0),F1298,"")</f>
        <v/>
      </c>
      <c r="BC1298" s="33">
        <f>IF(E1298=1,IF(Orders!R1295&gt;3,1,0),"")</f>
        <v>0</v>
      </c>
      <c r="BD1298" s="33">
        <f>IF(E1298=1,IF(Orders!R1295&gt;7,1,0),"")</f>
        <v>0</v>
      </c>
      <c r="BE1298" s="32" t="str">
        <f>IF(E1298=1,IF(Orders!L1295&lt;=1.5,"Up to 1.5 km",IF(Orders!L1295&lt;=3,"1.5–3 km","Over 3 km")),"")</f>
        <v>1.5–3 km</v>
      </c>
      <c r="BF1298" s="33">
        <f>IF(E1298=1,IF(ABS((Orders!G1295-Orders!F1295)*1440-Orders!R1295)&lt;0.06,1,0),"")</f>
        <v>1</v>
      </c>
      <c r="BG1298" s="33">
        <f>IF(ABS((Orders!F1295-Orders!E1295)*1440-Orders!P1295)&lt;0.06,1,0)</f>
        <v>1</v>
      </c>
      <c r="BH1298" s="33">
        <f>IF(E1298=1,IF(IF(Orders!S1295,1,0)=1-G1298,1,0),"")</f>
        <v>1</v>
      </c>
      <c r="BI1298" s="32" t="str">
        <f>INDEX(Stores!$B$2:$B$21,MATCH(B1298,Stores!$A$2:$A$21,0))</f>
        <v>Mumbai</v>
      </c>
    </row>
    <row r="1299">
      <c r="A1299" s="32" t="str">
        <f>Orders!A1296</f>
        <v>O01295</v>
      </c>
      <c r="B1299" s="32" t="str">
        <f>Orders!C1296</f>
        <v>S001</v>
      </c>
      <c r="C1299" s="32" t="str">
        <f>Orders!B1296</f>
        <v>C0083</v>
      </c>
      <c r="D1299" s="32" t="str">
        <f>Orders!H1296</f>
        <v>Delivered</v>
      </c>
      <c r="E1299" s="33">
        <f>IF(Orders!H1296="Delivered",1,0)</f>
        <v>1</v>
      </c>
      <c r="F1299" s="34">
        <f>IF(E1299=1,Orders!R1296,"")</f>
        <v>8.7</v>
      </c>
      <c r="G1299" s="33">
        <f>IF(E1299=1,IF(Orders!R1296&gt;0,1,0),"")</f>
        <v>1</v>
      </c>
      <c r="H1299" s="33">
        <f>IF(E1299=1,IF(Orders!R1296&gt;5,1,0),"")</f>
        <v>1</v>
      </c>
      <c r="I1299" s="32" t="str">
        <f>IF(E1299=1,"",IF(OR(Orders!T1296="Rider unavailable",Orders!T1296="Item unavailable"),"Company-caused","Unresolved"))</f>
        <v/>
      </c>
      <c r="J1299" s="33">
        <f>IF(OR(E1299=1,I1299="Company-caused"),1,0)</f>
        <v>1</v>
      </c>
      <c r="K1299" s="32" t="str">
        <f>IF(E1299=0,IF(I1299="Company-caused",IF(Orders!T1296="Rider unavailable","C1 Rider unavailable","C2 Item unavailable"),"Outside root: unresolved"),IF(G1299=0,"A On time",IF(H1299=1,IF(L1299=1,"B2a Severe, peak","B2b Severe, off-peak"),IF(L1299=1,"B1a Slight, peak","B1b Slight, off-peak"))))</f>
        <v>B2b Severe, off-peak</v>
      </c>
      <c r="L1299" s="33">
        <f>IF(AND(Orders!U1296&gt;=19,Orders!U1296&lt;22),1,0)</f>
        <v>0</v>
      </c>
      <c r="M1299" s="33">
        <f>IF(L1299=IF(Orders!V1296,1,0),1,0)</f>
        <v>1</v>
      </c>
      <c r="N1299" s="32" t="str">
        <f>IF(Orders!W1296="","None",Orders!W1296)</f>
        <v>None</v>
      </c>
      <c r="O1299" s="35">
        <f>INT(Orders!E1296)</f>
        <v>46279.0</v>
      </c>
      <c r="P1299" s="33">
        <f>Orders!U1296</f>
        <v>23</v>
      </c>
      <c r="Q1299" s="33">
        <f>COUNTIFS(Demand!$A$2:$A$4481,B1299,Demand!$B$2:$B$4481,O1299,Demand!$C$2:$C$4481,P1299)</f>
        <v>1</v>
      </c>
      <c r="R1299" s="33">
        <f>IF(Q1299=1,SUMIFS(Demand!$E$2:$E$4481,Demand!$A$2:$A$4481,B1299,Demand!$B$2:$B$4481,O1299,Demand!$C$2:$C$4481,P1299),"")</f>
        <v>11</v>
      </c>
      <c r="S1299" s="33">
        <f>INDEX(Stores!$G$2:$G$21,MATCH(B1299,Stores!$A$2:$A$21,0))</f>
        <v>16</v>
      </c>
      <c r="T1299" s="34">
        <f>IF(R1299="","",R1299/S1299)</f>
        <v>0.6875</v>
      </c>
      <c r="U1299" s="34">
        <f>IF(E1299=1,T1299,"")</f>
        <v>0.6875</v>
      </c>
      <c r="V1299" s="34">
        <f>IF(AND(E1299=1,L1299=0),T1299,"")</f>
        <v>0.6875</v>
      </c>
      <c r="W1299" s="33">
        <f>IF(U1299="","",IF(U1299&lt;=Breakdowns!$C$5,1,IF(U1299&lt;=Breakdowns!$C$6,2,IF(U1299&lt;=Breakdowns!$C$7,3,4))))</f>
        <v>1</v>
      </c>
      <c r="X1299" s="33">
        <f>IF(V1299="","",IF(V1299&lt;=Breakdowns!$D$5,1,IF(V1299&lt;=Breakdowns!$D$6,2,IF(V1299&lt;=Breakdowns!$D$7,3,4))))</f>
        <v>1</v>
      </c>
      <c r="Y1299" s="34">
        <f>INDEX(Stores!$F$2:$F$21,MATCH(B1299,Stores!$A$2:$A$21,0))</f>
        <v>4.59</v>
      </c>
      <c r="Z1299" s="33">
        <f>IF(Y1299&gt;Store_Summary!$M$2,1,0)</f>
        <v>0</v>
      </c>
      <c r="AA1299" s="33">
        <f>INDEX(Stores!$C$2:$C$21,MATCH(B1299,Stores!$A$2:$A$21,0))</f>
        <v>362</v>
      </c>
      <c r="AB1299" s="33">
        <f>IF(AA1299&lt;180,1,0)</f>
        <v>0</v>
      </c>
      <c r="AC1299" s="32" t="str">
        <f>IF(Orders!D1296="","",INDEX(Riders!$C$2:$C$81,MATCH(Orders!D1296,Riders!$A$2:$A$81,0)))</f>
        <v>EV scooter</v>
      </c>
      <c r="AD1299" s="33">
        <f>IF(Orders!D1296="","",INDEX(Riders!$D$2:$D$81,MATCH(Orders!D1296,Riders!$A$2:$A$81,0)))</f>
        <v>11</v>
      </c>
      <c r="AE1299" s="33">
        <f>IF(Orders!D1296="","",IF(INDEX(Riders!$B$2:$B$81,MATCH(Orders!D1296,Riders!$A$2:$A$81,0))=B1299,1,0))</f>
        <v>0</v>
      </c>
      <c r="AF1299" s="34">
        <f>IF(E1299=1,Orders!L1296,"")</f>
        <v>4.04</v>
      </c>
      <c r="AG1299" s="34">
        <f>IF(E1299=1,Orders!P1296,"")</f>
        <v>10.6</v>
      </c>
      <c r="AH1299" s="34">
        <f>IF(E1299=1,Orders!Q1296,"")</f>
        <v>19.3</v>
      </c>
      <c r="AI1299" s="34">
        <f>IF(E1299=1,Orders!M1296,"")</f>
        <v>5</v>
      </c>
      <c r="AJ1299" s="34">
        <f>IF(E1299=1,Orders!N1296,"")</f>
        <v>2.8</v>
      </c>
      <c r="AK1299" s="34">
        <f>IF(E1299=1,Orders!O1296,"")</f>
        <v>11.5</v>
      </c>
      <c r="AL1299" s="33">
        <f>IF(E1299=1,IF(ROUND(ABS(AI1299+AJ1299+AK1299-AH1299),6)&lt;=0.1,1,0),"")</f>
        <v>1</v>
      </c>
      <c r="AM1299" s="36">
        <f>IF(E1299=1,AI1299/AH1299,"")</f>
        <v>0.259067357512953</v>
      </c>
      <c r="AN1299" s="36">
        <f>IF(E1299=1,AJ1299/AH1299,"")</f>
        <v>0.145077720207254</v>
      </c>
      <c r="AO1299" s="36">
        <f>IF(E1299=1,AK1299/AH1299,"")</f>
        <v>0.595854922279793</v>
      </c>
      <c r="AP1299" s="34">
        <f>IF(E1299=1,Orders!Y1296,"")</f>
        <v>0.61</v>
      </c>
      <c r="AQ1299" s="33">
        <f>IF(Orders!X1296,1,0)</f>
        <v>0</v>
      </c>
      <c r="AR1299" s="34" t="str">
        <f>IF(AND(E1299=1,L1299=1),AJ1299,"")</f>
        <v/>
      </c>
      <c r="AS1299" s="34">
        <f>IF(AND(E1299=1,L1299=0),AJ1299,"")</f>
        <v>2.8</v>
      </c>
      <c r="AT1299" s="34" t="str">
        <f>IF(AND(E1299=1,L1299=1),AI1299,"")</f>
        <v/>
      </c>
      <c r="AU1299" s="34">
        <f>IF(AND(E1299=1,L1299=0),AI1299,"")</f>
        <v>5</v>
      </c>
      <c r="AV1299" s="34" t="str">
        <f>IF(AND(E1299=1,L1299=1),AG1299,"")</f>
        <v/>
      </c>
      <c r="AW1299" s="34">
        <f>IF(AND(E1299=1,L1299=0),AG1299,"")</f>
        <v>10.6</v>
      </c>
      <c r="AX1299" s="34" t="str">
        <f>IF(AND(E1299=1,L1299=1),AH1299,"")</f>
        <v/>
      </c>
      <c r="AY1299" s="34">
        <f>IF(AND(E1299=1,L1299=0),AH1299,"")</f>
        <v>19.3</v>
      </c>
      <c r="AZ1299" s="34">
        <f>IF(G1299=1,F1299,"")</f>
        <v>8.7</v>
      </c>
      <c r="BA1299" s="34" t="str">
        <f>IF(AND(G1299=1,L1299=1),F1299,"")</f>
        <v/>
      </c>
      <c r="BB1299" s="34">
        <f>IF(AND(G1299=1,L1299=0),F1299,"")</f>
        <v>8.7</v>
      </c>
      <c r="BC1299" s="33">
        <f>IF(E1299=1,IF(Orders!R1296&gt;3,1,0),"")</f>
        <v>1</v>
      </c>
      <c r="BD1299" s="33">
        <f>IF(E1299=1,IF(Orders!R1296&gt;7,1,0),"")</f>
        <v>1</v>
      </c>
      <c r="BE1299" s="32" t="str">
        <f>IF(E1299=1,IF(Orders!L1296&lt;=1.5,"Up to 1.5 km",IF(Orders!L1296&lt;=3,"1.5–3 km","Over 3 km")),"")</f>
        <v>Over 3 km</v>
      </c>
      <c r="BF1299" s="33">
        <f>IF(E1299=1,IF(ABS((Orders!G1296-Orders!F1296)*1440-Orders!R1296)&lt;0.06,1,0),"")</f>
        <v>1</v>
      </c>
      <c r="BG1299" s="33">
        <f>IF(ABS((Orders!F1296-Orders!E1296)*1440-Orders!P1296)&lt;0.06,1,0)</f>
        <v>1</v>
      </c>
      <c r="BH1299" s="33">
        <f>IF(E1299=1,IF(IF(Orders!S1296,1,0)=1-G1299,1,0),"")</f>
        <v>1</v>
      </c>
      <c r="BI1299" s="32" t="str">
        <f>INDEX(Stores!$B$2:$B$21,MATCH(B1299,Stores!$A$2:$A$21,0))</f>
        <v>Bengaluru</v>
      </c>
    </row>
    <row r="1300">
      <c r="A1300" s="32" t="str">
        <f>Orders!A1297</f>
        <v>O01296</v>
      </c>
      <c r="B1300" s="32" t="str">
        <f>Orders!C1297</f>
        <v>S012</v>
      </c>
      <c r="C1300" s="32" t="str">
        <f>Orders!B1297</f>
        <v>C0095</v>
      </c>
      <c r="D1300" s="32" t="str">
        <f>Orders!H1297</f>
        <v>Delivered</v>
      </c>
      <c r="E1300" s="33">
        <f>IF(Orders!H1297="Delivered",1,0)</f>
        <v>1</v>
      </c>
      <c r="F1300" s="34">
        <f>IF(E1300=1,Orders!R1297,"")</f>
        <v>-1.2</v>
      </c>
      <c r="G1300" s="33">
        <f>IF(E1300=1,IF(Orders!R1297&gt;0,1,0),"")</f>
        <v>0</v>
      </c>
      <c r="H1300" s="33">
        <f>IF(E1300=1,IF(Orders!R1297&gt;5,1,0),"")</f>
        <v>0</v>
      </c>
      <c r="I1300" s="32" t="str">
        <f>IF(E1300=1,"",IF(OR(Orders!T1297="Rider unavailable",Orders!T1297="Item unavailable"),"Company-caused","Unresolved"))</f>
        <v/>
      </c>
      <c r="J1300" s="33">
        <f>IF(OR(E1300=1,I1300="Company-caused"),1,0)</f>
        <v>1</v>
      </c>
      <c r="K1300" s="32" t="str">
        <f>IF(E1300=0,IF(I1300="Company-caused",IF(Orders!T1297="Rider unavailable","C1 Rider unavailable","C2 Item unavailable"),"Outside root: unresolved"),IF(G1300=0,"A On time",IF(H1300=1,IF(L1300=1,"B2a Severe, peak","B2b Severe, off-peak"),IF(L1300=1,"B1a Slight, peak","B1b Slight, off-peak"))))</f>
        <v>A On time</v>
      </c>
      <c r="L1300" s="33">
        <f>IF(AND(Orders!U1297&gt;=19,Orders!U1297&lt;22),1,0)</f>
        <v>0</v>
      </c>
      <c r="M1300" s="33">
        <f>IF(L1300=IF(Orders!V1297,1,0),1,0)</f>
        <v>1</v>
      </c>
      <c r="N1300" s="32" t="str">
        <f>IF(Orders!W1297="","None",Orders!W1297)</f>
        <v>None</v>
      </c>
      <c r="O1300" s="35">
        <f>INT(Orders!E1297)</f>
        <v>46278.0</v>
      </c>
      <c r="P1300" s="33">
        <f>Orders!U1297</f>
        <v>16</v>
      </c>
      <c r="Q1300" s="33">
        <f>COUNTIFS(Demand!$A$2:$A$4481,B1300,Demand!$B$2:$B$4481,O1300,Demand!$C$2:$C$4481,P1300)</f>
        <v>1</v>
      </c>
      <c r="R1300" s="33">
        <f>IF(Q1300=1,SUMIFS(Demand!$E$2:$E$4481,Demand!$A$2:$A$4481,B1300,Demand!$B$2:$B$4481,O1300,Demand!$C$2:$C$4481,P1300),"")</f>
        <v>14</v>
      </c>
      <c r="S1300" s="33">
        <f>INDEX(Stores!$G$2:$G$21,MATCH(B1300,Stores!$A$2:$A$21,0))</f>
        <v>15</v>
      </c>
      <c r="T1300" s="34">
        <f>IF(R1300="","",R1300/S1300)</f>
        <v>0.933333333333333</v>
      </c>
      <c r="U1300" s="34">
        <f>IF(E1300=1,T1300,"")</f>
        <v>0.933333333333333</v>
      </c>
      <c r="V1300" s="34">
        <f>IF(AND(E1300=1,L1300=0),T1300,"")</f>
        <v>0.933333333333333</v>
      </c>
      <c r="W1300" s="33">
        <f>IF(U1300="","",IF(U1300&lt;=Breakdowns!$C$5,1,IF(U1300&lt;=Breakdowns!$C$6,2,IF(U1300&lt;=Breakdowns!$C$7,3,4))))</f>
        <v>2</v>
      </c>
      <c r="X1300" s="33">
        <f>IF(V1300="","",IF(V1300&lt;=Breakdowns!$D$5,1,IF(V1300&lt;=Breakdowns!$D$6,2,IF(V1300&lt;=Breakdowns!$D$7,3,4))))</f>
        <v>3</v>
      </c>
      <c r="Y1300" s="34">
        <f>INDEX(Stores!$F$2:$F$21,MATCH(B1300,Stores!$A$2:$A$21,0))</f>
        <v>5.23</v>
      </c>
      <c r="Z1300" s="33">
        <f>IF(Y1300&gt;Store_Summary!$M$2,1,0)</f>
        <v>1</v>
      </c>
      <c r="AA1300" s="33">
        <f>INDEX(Stores!$C$2:$C$21,MATCH(B1300,Stores!$A$2:$A$21,0))</f>
        <v>300</v>
      </c>
      <c r="AB1300" s="33">
        <f>IF(AA1300&lt;180,1,0)</f>
        <v>0</v>
      </c>
      <c r="AC1300" s="32" t="str">
        <f>IF(Orders!D1297="","",INDEX(Riders!$C$2:$C$81,MATCH(Orders!D1297,Riders!$A$2:$A$81,0)))</f>
        <v>Petrol scooter</v>
      </c>
      <c r="AD1300" s="33">
        <f>IF(Orders!D1297="","",INDEX(Riders!$D$2:$D$81,MATCH(Orders!D1297,Riders!$A$2:$A$81,0)))</f>
        <v>4</v>
      </c>
      <c r="AE1300" s="33">
        <f>IF(Orders!D1297="","",IF(INDEX(Riders!$B$2:$B$81,MATCH(Orders!D1297,Riders!$A$2:$A$81,0))=B1300,1,0))</f>
        <v>0</v>
      </c>
      <c r="AF1300" s="34">
        <f>IF(E1300=1,Orders!L1297,"")</f>
        <v>0.92</v>
      </c>
      <c r="AG1300" s="34">
        <f>IF(E1300=1,Orders!P1297,"")</f>
        <v>10.8</v>
      </c>
      <c r="AH1300" s="34">
        <f>IF(E1300=1,Orders!Q1297,"")</f>
        <v>9.6</v>
      </c>
      <c r="AI1300" s="34">
        <f>IF(E1300=1,Orders!M1297,"")</f>
        <v>2.6</v>
      </c>
      <c r="AJ1300" s="34">
        <f>IF(E1300=1,Orders!N1297,"")</f>
        <v>4.9</v>
      </c>
      <c r="AK1300" s="34">
        <f>IF(E1300=1,Orders!O1297,"")</f>
        <v>2.1</v>
      </c>
      <c r="AL1300" s="33">
        <f>IF(E1300=1,IF(ROUND(ABS(AI1300+AJ1300+AK1300-AH1300),6)&lt;=0.1,1,0),"")</f>
        <v>1</v>
      </c>
      <c r="AM1300" s="36">
        <f>IF(E1300=1,AI1300/AH1300,"")</f>
        <v>0.270833333333333</v>
      </c>
      <c r="AN1300" s="36">
        <f>IF(E1300=1,AJ1300/AH1300,"")</f>
        <v>0.510416666666667</v>
      </c>
      <c r="AO1300" s="36">
        <f>IF(E1300=1,AK1300/AH1300,"")</f>
        <v>0.21875</v>
      </c>
      <c r="AP1300" s="34">
        <f>IF(E1300=1,Orders!Y1297,"")</f>
        <v>0.51</v>
      </c>
      <c r="AQ1300" s="33">
        <f>IF(Orders!X1297,1,0)</f>
        <v>0</v>
      </c>
      <c r="AR1300" s="34" t="str">
        <f>IF(AND(E1300=1,L1300=1),AJ1300,"")</f>
        <v/>
      </c>
      <c r="AS1300" s="34">
        <f>IF(AND(E1300=1,L1300=0),AJ1300,"")</f>
        <v>4.9</v>
      </c>
      <c r="AT1300" s="34" t="str">
        <f>IF(AND(E1300=1,L1300=1),AI1300,"")</f>
        <v/>
      </c>
      <c r="AU1300" s="34">
        <f>IF(AND(E1300=1,L1300=0),AI1300,"")</f>
        <v>2.6</v>
      </c>
      <c r="AV1300" s="34" t="str">
        <f>IF(AND(E1300=1,L1300=1),AG1300,"")</f>
        <v/>
      </c>
      <c r="AW1300" s="34">
        <f>IF(AND(E1300=1,L1300=0),AG1300,"")</f>
        <v>10.8</v>
      </c>
      <c r="AX1300" s="34" t="str">
        <f>IF(AND(E1300=1,L1300=1),AH1300,"")</f>
        <v/>
      </c>
      <c r="AY1300" s="34">
        <f>IF(AND(E1300=1,L1300=0),AH1300,"")</f>
        <v>9.6</v>
      </c>
      <c r="AZ1300" s="34" t="str">
        <f>IF(G1300=1,F1300,"")</f>
        <v/>
      </c>
      <c r="BA1300" s="34" t="str">
        <f>IF(AND(G1300=1,L1300=1),F1300,"")</f>
        <v/>
      </c>
      <c r="BB1300" s="34" t="str">
        <f>IF(AND(G1300=1,L1300=0),F1300,"")</f>
        <v/>
      </c>
      <c r="BC1300" s="33">
        <f>IF(E1300=1,IF(Orders!R1297&gt;3,1,0),"")</f>
        <v>0</v>
      </c>
      <c r="BD1300" s="33">
        <f>IF(E1300=1,IF(Orders!R1297&gt;7,1,0),"")</f>
        <v>0</v>
      </c>
      <c r="BE1300" s="32" t="str">
        <f>IF(E1300=1,IF(Orders!L1297&lt;=1.5,"Up to 1.5 km",IF(Orders!L1297&lt;=3,"1.5–3 km","Over 3 km")),"")</f>
        <v>Up to 1.5 km</v>
      </c>
      <c r="BF1300" s="33">
        <f>IF(E1300=1,IF(ABS((Orders!G1297-Orders!F1297)*1440-Orders!R1297)&lt;0.06,1,0),"")</f>
        <v>1</v>
      </c>
      <c r="BG1300" s="33">
        <f>IF(ABS((Orders!F1297-Orders!E1297)*1440-Orders!P1297)&lt;0.06,1,0)</f>
        <v>1</v>
      </c>
      <c r="BH1300" s="33">
        <f>IF(E1300=1,IF(IF(Orders!S1297,1,0)=1-G1300,1,0),"")</f>
        <v>1</v>
      </c>
      <c r="BI1300" s="32" t="str">
        <f>INDEX(Stores!$B$2:$B$21,MATCH(B1300,Stores!$A$2:$A$21,0))</f>
        <v>Hyderabad</v>
      </c>
    </row>
    <row r="1301">
      <c r="A1301" s="32" t="str">
        <f>Orders!A1298</f>
        <v>O01297</v>
      </c>
      <c r="B1301" s="32" t="str">
        <f>Orders!C1298</f>
        <v>S014</v>
      </c>
      <c r="C1301" s="32" t="str">
        <f>Orders!B1298</f>
        <v>C0115</v>
      </c>
      <c r="D1301" s="32" t="str">
        <f>Orders!H1298</f>
        <v>Delivered</v>
      </c>
      <c r="E1301" s="33">
        <f>IF(Orders!H1298="Delivered",1,0)</f>
        <v>1</v>
      </c>
      <c r="F1301" s="34">
        <f>IF(E1301=1,Orders!R1298,"")</f>
        <v>-1</v>
      </c>
      <c r="G1301" s="33">
        <f>IF(E1301=1,IF(Orders!R1298&gt;0,1,0),"")</f>
        <v>0</v>
      </c>
      <c r="H1301" s="33">
        <f>IF(E1301=1,IF(Orders!R1298&gt;5,1,0),"")</f>
        <v>0</v>
      </c>
      <c r="I1301" s="32" t="str">
        <f>IF(E1301=1,"",IF(OR(Orders!T1298="Rider unavailable",Orders!T1298="Item unavailable"),"Company-caused","Unresolved"))</f>
        <v/>
      </c>
      <c r="J1301" s="33">
        <f>IF(OR(E1301=1,I1301="Company-caused"),1,0)</f>
        <v>1</v>
      </c>
      <c r="K1301" s="32" t="str">
        <f>IF(E1301=0,IF(I1301="Company-caused",IF(Orders!T1298="Rider unavailable","C1 Rider unavailable","C2 Item unavailable"),"Outside root: unresolved"),IF(G1301=0,"A On time",IF(H1301=1,IF(L1301=1,"B2a Severe, peak","B2b Severe, off-peak"),IF(L1301=1,"B1a Slight, peak","B1b Slight, off-peak"))))</f>
        <v>A On time</v>
      </c>
      <c r="L1301" s="33">
        <f>IF(AND(Orders!U1298&gt;=19,Orders!U1298&lt;22),1,0)</f>
        <v>0</v>
      </c>
      <c r="M1301" s="33">
        <f>IF(L1301=IF(Orders!V1298,1,0),1,0)</f>
        <v>1</v>
      </c>
      <c r="N1301" s="32" t="str">
        <f>IF(Orders!W1298="","None",Orders!W1298)</f>
        <v>Light</v>
      </c>
      <c r="O1301" s="35">
        <f>INT(Orders!E1298)</f>
        <v>46270.0</v>
      </c>
      <c r="P1301" s="33">
        <f>Orders!U1298</f>
        <v>22</v>
      </c>
      <c r="Q1301" s="33">
        <f>COUNTIFS(Demand!$A$2:$A$4481,B1301,Demand!$B$2:$B$4481,O1301,Demand!$C$2:$C$4481,P1301)</f>
        <v>1</v>
      </c>
      <c r="R1301" s="33">
        <f>IF(Q1301=1,SUMIFS(Demand!$E$2:$E$4481,Demand!$A$2:$A$4481,B1301,Demand!$B$2:$B$4481,O1301,Demand!$C$2:$C$4481,P1301),"")</f>
        <v>38</v>
      </c>
      <c r="S1301" s="33">
        <f>INDEX(Stores!$G$2:$G$21,MATCH(B1301,Stores!$A$2:$A$21,0))</f>
        <v>37</v>
      </c>
      <c r="T1301" s="34">
        <f>IF(R1301="","",R1301/S1301)</f>
        <v>1.02702702702703</v>
      </c>
      <c r="U1301" s="34">
        <f>IF(E1301=1,T1301,"")</f>
        <v>1.02702702702703</v>
      </c>
      <c r="V1301" s="34">
        <f>IF(AND(E1301=1,L1301=0),T1301,"")</f>
        <v>1.02702702702703</v>
      </c>
      <c r="W1301" s="33">
        <f>IF(U1301="","",IF(U1301&lt;=Breakdowns!$C$5,1,IF(U1301&lt;=Breakdowns!$C$6,2,IF(U1301&lt;=Breakdowns!$C$7,3,4))))</f>
        <v>3</v>
      </c>
      <c r="X1301" s="33">
        <f>IF(V1301="","",IF(V1301&lt;=Breakdowns!$D$5,1,IF(V1301&lt;=Breakdowns!$D$6,2,IF(V1301&lt;=Breakdowns!$D$7,3,4))))</f>
        <v>3</v>
      </c>
      <c r="Y1301" s="34">
        <f>INDEX(Stores!$F$2:$F$21,MATCH(B1301,Stores!$A$2:$A$21,0))</f>
        <v>5.55</v>
      </c>
      <c r="Z1301" s="33">
        <f>IF(Y1301&gt;Store_Summary!$M$2,1,0)</f>
        <v>1</v>
      </c>
      <c r="AA1301" s="33">
        <f>INDEX(Stores!$C$2:$C$21,MATCH(B1301,Stores!$A$2:$A$21,0))</f>
        <v>241</v>
      </c>
      <c r="AB1301" s="33">
        <f>IF(AA1301&lt;180,1,0)</f>
        <v>0</v>
      </c>
      <c r="AC1301" s="32" t="str">
        <f>IF(Orders!D1298="","",INDEX(Riders!$C$2:$C$81,MATCH(Orders!D1298,Riders!$A$2:$A$81,0)))</f>
        <v>EV scooter</v>
      </c>
      <c r="AD1301" s="33">
        <f>IF(Orders!D1298="","",INDEX(Riders!$D$2:$D$81,MATCH(Orders!D1298,Riders!$A$2:$A$81,0)))</f>
        <v>26</v>
      </c>
      <c r="AE1301" s="33">
        <f>IF(Orders!D1298="","",IF(INDEX(Riders!$B$2:$B$81,MATCH(Orders!D1298,Riders!$A$2:$A$81,0))=B1301,1,0))</f>
        <v>1</v>
      </c>
      <c r="AF1301" s="34">
        <f>IF(E1301=1,Orders!L1298,"")</f>
        <v>0.57</v>
      </c>
      <c r="AG1301" s="34">
        <f>IF(E1301=1,Orders!P1298,"")</f>
        <v>9.8</v>
      </c>
      <c r="AH1301" s="34">
        <f>IF(E1301=1,Orders!Q1298,"")</f>
        <v>8.8</v>
      </c>
      <c r="AI1301" s="34">
        <f>IF(E1301=1,Orders!M1298,"")</f>
        <v>3.7</v>
      </c>
      <c r="AJ1301" s="34">
        <f>IF(E1301=1,Orders!N1298,"")</f>
        <v>3.9</v>
      </c>
      <c r="AK1301" s="34">
        <f>IF(E1301=1,Orders!O1298,"")</f>
        <v>1.2</v>
      </c>
      <c r="AL1301" s="33">
        <f>IF(E1301=1,IF(ROUND(ABS(AI1301+AJ1301+AK1301-AH1301),6)&lt;=0.1,1,0),"")</f>
        <v>1</v>
      </c>
      <c r="AM1301" s="36">
        <f>IF(E1301=1,AI1301/AH1301,"")</f>
        <v>0.420454545454545</v>
      </c>
      <c r="AN1301" s="36">
        <f>IF(E1301=1,AJ1301/AH1301,"")</f>
        <v>0.443181818181818</v>
      </c>
      <c r="AO1301" s="36">
        <f>IF(E1301=1,AK1301/AH1301,"")</f>
        <v>0.136363636363636</v>
      </c>
      <c r="AP1301" s="34">
        <f>IF(E1301=1,Orders!Y1298,"")</f>
        <v>0.31</v>
      </c>
      <c r="AQ1301" s="33">
        <f>IF(Orders!X1298,1,0)</f>
        <v>0</v>
      </c>
      <c r="AR1301" s="34" t="str">
        <f>IF(AND(E1301=1,L1301=1),AJ1301,"")</f>
        <v/>
      </c>
      <c r="AS1301" s="34">
        <f>IF(AND(E1301=1,L1301=0),AJ1301,"")</f>
        <v>3.9</v>
      </c>
      <c r="AT1301" s="34" t="str">
        <f>IF(AND(E1301=1,L1301=1),AI1301,"")</f>
        <v/>
      </c>
      <c r="AU1301" s="34">
        <f>IF(AND(E1301=1,L1301=0),AI1301,"")</f>
        <v>3.7</v>
      </c>
      <c r="AV1301" s="34" t="str">
        <f>IF(AND(E1301=1,L1301=1),AG1301,"")</f>
        <v/>
      </c>
      <c r="AW1301" s="34">
        <f>IF(AND(E1301=1,L1301=0),AG1301,"")</f>
        <v>9.8</v>
      </c>
      <c r="AX1301" s="34" t="str">
        <f>IF(AND(E1301=1,L1301=1),AH1301,"")</f>
        <v/>
      </c>
      <c r="AY1301" s="34">
        <f>IF(AND(E1301=1,L1301=0),AH1301,"")</f>
        <v>8.8</v>
      </c>
      <c r="AZ1301" s="34" t="str">
        <f>IF(G1301=1,F1301,"")</f>
        <v/>
      </c>
      <c r="BA1301" s="34" t="str">
        <f>IF(AND(G1301=1,L1301=1),F1301,"")</f>
        <v/>
      </c>
      <c r="BB1301" s="34" t="str">
        <f>IF(AND(G1301=1,L1301=0),F1301,"")</f>
        <v/>
      </c>
      <c r="BC1301" s="33">
        <f>IF(E1301=1,IF(Orders!R1298&gt;3,1,0),"")</f>
        <v>0</v>
      </c>
      <c r="BD1301" s="33">
        <f>IF(E1301=1,IF(Orders!R1298&gt;7,1,0),"")</f>
        <v>0</v>
      </c>
      <c r="BE1301" s="32" t="str">
        <f>IF(E1301=1,IF(Orders!L1298&lt;=1.5,"Up to 1.5 km",IF(Orders!L1298&lt;=3,"1.5–3 km","Over 3 km")),"")</f>
        <v>Up to 1.5 km</v>
      </c>
      <c r="BF1301" s="33">
        <f>IF(E1301=1,IF(ABS((Orders!G1298-Orders!F1298)*1440-Orders!R1298)&lt;0.06,1,0),"")</f>
        <v>1</v>
      </c>
      <c r="BG1301" s="33">
        <f>IF(ABS((Orders!F1298-Orders!E1298)*1440-Orders!P1298)&lt;0.06,1,0)</f>
        <v>1</v>
      </c>
      <c r="BH1301" s="33">
        <f>IF(E1301=1,IF(IF(Orders!S1298,1,0)=1-G1301,1,0),"")</f>
        <v>1</v>
      </c>
      <c r="BI1301" s="32" t="str">
        <f>INDEX(Stores!$B$2:$B$21,MATCH(B1301,Stores!$A$2:$A$21,0))</f>
        <v>Pune</v>
      </c>
    </row>
    <row r="1302">
      <c r="A1302" s="32" t="str">
        <f>Orders!A1299</f>
        <v>O01298</v>
      </c>
      <c r="B1302" s="32" t="str">
        <f>Orders!C1299</f>
        <v>S017</v>
      </c>
      <c r="C1302" s="32" t="str">
        <f>Orders!B1299</f>
        <v>C0209</v>
      </c>
      <c r="D1302" s="32" t="str">
        <f>Orders!H1299</f>
        <v>Delivered</v>
      </c>
      <c r="E1302" s="33">
        <f>IF(Orders!H1299="Delivered",1,0)</f>
        <v>1</v>
      </c>
      <c r="F1302" s="34">
        <f>IF(E1302=1,Orders!R1299,"")</f>
        <v>7.4</v>
      </c>
      <c r="G1302" s="33">
        <f>IF(E1302=1,IF(Orders!R1299&gt;0,1,0),"")</f>
        <v>1</v>
      </c>
      <c r="H1302" s="33">
        <f>IF(E1302=1,IF(Orders!R1299&gt;5,1,0),"")</f>
        <v>1</v>
      </c>
      <c r="I1302" s="32" t="str">
        <f>IF(E1302=1,"",IF(OR(Orders!T1299="Rider unavailable",Orders!T1299="Item unavailable"),"Company-caused","Unresolved"))</f>
        <v/>
      </c>
      <c r="J1302" s="33">
        <f>IF(OR(E1302=1,I1302="Company-caused"),1,0)</f>
        <v>1</v>
      </c>
      <c r="K1302" s="32" t="str">
        <f>IF(E1302=0,IF(I1302="Company-caused",IF(Orders!T1299="Rider unavailable","C1 Rider unavailable","C2 Item unavailable"),"Outside root: unresolved"),IF(G1302=0,"A On time",IF(H1302=1,IF(L1302=1,"B2a Severe, peak","B2b Severe, off-peak"),IF(L1302=1,"B1a Slight, peak","B1b Slight, off-peak"))))</f>
        <v>B2a Severe, peak</v>
      </c>
      <c r="L1302" s="33">
        <f>IF(AND(Orders!U1299&gt;=19,Orders!U1299&lt;22),1,0)</f>
        <v>1</v>
      </c>
      <c r="M1302" s="33">
        <f>IF(L1302=IF(Orders!V1299,1,0),1,0)</f>
        <v>1</v>
      </c>
      <c r="N1302" s="32" t="str">
        <f>IF(Orders!W1299="","None",Orders!W1299)</f>
        <v>None</v>
      </c>
      <c r="O1302" s="35">
        <f>INT(Orders!E1299)</f>
        <v>46272.0</v>
      </c>
      <c r="P1302" s="33">
        <f>Orders!U1299</f>
        <v>19</v>
      </c>
      <c r="Q1302" s="33">
        <f>COUNTIFS(Demand!$A$2:$A$4481,B1302,Demand!$B$2:$B$4481,O1302,Demand!$C$2:$C$4481,P1302)</f>
        <v>1</v>
      </c>
      <c r="R1302" s="33">
        <f>IF(Q1302=1,SUMIFS(Demand!$E$2:$E$4481,Demand!$A$2:$A$4481,B1302,Demand!$B$2:$B$4481,O1302,Demand!$C$2:$C$4481,P1302),"")</f>
        <v>61</v>
      </c>
      <c r="S1302" s="33">
        <f>INDEX(Stores!$G$2:$G$21,MATCH(B1302,Stores!$A$2:$A$21,0))</f>
        <v>36</v>
      </c>
      <c r="T1302" s="34">
        <f>IF(R1302="","",R1302/S1302)</f>
        <v>1.69444444444444</v>
      </c>
      <c r="U1302" s="34">
        <f>IF(E1302=1,T1302,"")</f>
        <v>1.69444444444444</v>
      </c>
      <c r="V1302" s="34" t="str">
        <f>IF(AND(E1302=1,L1302=0),T1302,"")</f>
        <v/>
      </c>
      <c r="W1302" s="33">
        <f>IF(U1302="","",IF(U1302&lt;=Breakdowns!$C$5,1,IF(U1302&lt;=Breakdowns!$C$6,2,IF(U1302&lt;=Breakdowns!$C$7,3,4))))</f>
        <v>4</v>
      </c>
      <c r="X1302" s="33" t="str">
        <f>IF(V1302="","",IF(V1302&lt;=Breakdowns!$D$5,1,IF(V1302&lt;=Breakdowns!$D$6,2,IF(V1302&lt;=Breakdowns!$D$7,3,4))))</f>
        <v/>
      </c>
      <c r="Y1302" s="34">
        <f>INDEX(Stores!$F$2:$F$21,MATCH(B1302,Stores!$A$2:$A$21,0))</f>
        <v>2.16</v>
      </c>
      <c r="Z1302" s="33">
        <f>IF(Y1302&gt;Store_Summary!$M$2,1,0)</f>
        <v>0</v>
      </c>
      <c r="AA1302" s="33">
        <f>INDEX(Stores!$C$2:$C$21,MATCH(B1302,Stores!$A$2:$A$21,0))</f>
        <v>47</v>
      </c>
      <c r="AB1302" s="33">
        <f>IF(AA1302&lt;180,1,0)</f>
        <v>1</v>
      </c>
      <c r="AC1302" s="32" t="str">
        <f>IF(Orders!D1299="","",INDEX(Riders!$C$2:$C$81,MATCH(Orders!D1299,Riders!$A$2:$A$81,0)))</f>
        <v>EV scooter</v>
      </c>
      <c r="AD1302" s="33">
        <f>IF(Orders!D1299="","",INDEX(Riders!$D$2:$D$81,MATCH(Orders!D1299,Riders!$A$2:$A$81,0)))</f>
        <v>32</v>
      </c>
      <c r="AE1302" s="33">
        <f>IF(Orders!D1299="","",IF(INDEX(Riders!$B$2:$B$81,MATCH(Orders!D1299,Riders!$A$2:$A$81,0))=B1302,1,0))</f>
        <v>0</v>
      </c>
      <c r="AF1302" s="34">
        <f>IF(E1302=1,Orders!L1299,"")</f>
        <v>3.66</v>
      </c>
      <c r="AG1302" s="34">
        <f>IF(E1302=1,Orders!P1299,"")</f>
        <v>10.9</v>
      </c>
      <c r="AH1302" s="34">
        <f>IF(E1302=1,Orders!Q1299,"")</f>
        <v>18.3</v>
      </c>
      <c r="AI1302" s="34">
        <f>IF(E1302=1,Orders!M1299,"")</f>
        <v>2</v>
      </c>
      <c r="AJ1302" s="34">
        <f>IF(E1302=1,Orders!N1299,"")</f>
        <v>7.1</v>
      </c>
      <c r="AK1302" s="34">
        <f>IF(E1302=1,Orders!O1299,"")</f>
        <v>9.2</v>
      </c>
      <c r="AL1302" s="33">
        <f>IF(E1302=1,IF(ROUND(ABS(AI1302+AJ1302+AK1302-AH1302),6)&lt;=0.1,1,0),"")</f>
        <v>1</v>
      </c>
      <c r="AM1302" s="36">
        <f>IF(E1302=1,AI1302/AH1302,"")</f>
        <v>0.109289617486339</v>
      </c>
      <c r="AN1302" s="36">
        <f>IF(E1302=1,AJ1302/AH1302,"")</f>
        <v>0.387978142076503</v>
      </c>
      <c r="AO1302" s="36">
        <f>IF(E1302=1,AK1302/AH1302,"")</f>
        <v>0.502732240437158</v>
      </c>
      <c r="AP1302" s="34">
        <f>IF(E1302=1,Orders!Y1299,"")</f>
        <v>0.77</v>
      </c>
      <c r="AQ1302" s="33">
        <f>IF(Orders!X1299,1,0)</f>
        <v>0</v>
      </c>
      <c r="AR1302" s="34">
        <f>IF(AND(E1302=1,L1302=1),AJ1302,"")</f>
        <v>7.1</v>
      </c>
      <c r="AS1302" s="34" t="str">
        <f>IF(AND(E1302=1,L1302=0),AJ1302,"")</f>
        <v/>
      </c>
      <c r="AT1302" s="34">
        <f>IF(AND(E1302=1,L1302=1),AI1302,"")</f>
        <v>2</v>
      </c>
      <c r="AU1302" s="34" t="str">
        <f>IF(AND(E1302=1,L1302=0),AI1302,"")</f>
        <v/>
      </c>
      <c r="AV1302" s="34">
        <f>IF(AND(E1302=1,L1302=1),AG1302,"")</f>
        <v>10.9</v>
      </c>
      <c r="AW1302" s="34" t="str">
        <f>IF(AND(E1302=1,L1302=0),AG1302,"")</f>
        <v/>
      </c>
      <c r="AX1302" s="34">
        <f>IF(AND(E1302=1,L1302=1),AH1302,"")</f>
        <v>18.3</v>
      </c>
      <c r="AY1302" s="34" t="str">
        <f>IF(AND(E1302=1,L1302=0),AH1302,"")</f>
        <v/>
      </c>
      <c r="AZ1302" s="34">
        <f>IF(G1302=1,F1302,"")</f>
        <v>7.4</v>
      </c>
      <c r="BA1302" s="34">
        <f>IF(AND(G1302=1,L1302=1),F1302,"")</f>
        <v>7.4</v>
      </c>
      <c r="BB1302" s="34" t="str">
        <f>IF(AND(G1302=1,L1302=0),F1302,"")</f>
        <v/>
      </c>
      <c r="BC1302" s="33">
        <f>IF(E1302=1,IF(Orders!R1299&gt;3,1,0),"")</f>
        <v>1</v>
      </c>
      <c r="BD1302" s="33">
        <f>IF(E1302=1,IF(Orders!R1299&gt;7,1,0),"")</f>
        <v>1</v>
      </c>
      <c r="BE1302" s="32" t="str">
        <f>IF(E1302=1,IF(Orders!L1299&lt;=1.5,"Up to 1.5 km",IF(Orders!L1299&lt;=3,"1.5–3 km","Over 3 km")),"")</f>
        <v>Over 3 km</v>
      </c>
      <c r="BF1302" s="33">
        <f>IF(E1302=1,IF(ABS((Orders!G1299-Orders!F1299)*1440-Orders!R1299)&lt;0.06,1,0),"")</f>
        <v>1</v>
      </c>
      <c r="BG1302" s="33">
        <f>IF(ABS((Orders!F1299-Orders!E1299)*1440-Orders!P1299)&lt;0.06,1,0)</f>
        <v>1</v>
      </c>
      <c r="BH1302" s="33">
        <f>IF(E1302=1,IF(IF(Orders!S1299,1,0)=1-G1302,1,0),"")</f>
        <v>1</v>
      </c>
      <c r="BI1302" s="32" t="str">
        <f>INDEX(Stores!$B$2:$B$21,MATCH(B1302,Stores!$A$2:$A$21,0))</f>
        <v>Hyderabad</v>
      </c>
    </row>
    <row r="1303">
      <c r="A1303" s="32" t="str">
        <f>Orders!A1300</f>
        <v>O01299</v>
      </c>
      <c r="B1303" s="32" t="str">
        <f>Orders!C1300</f>
        <v>S005</v>
      </c>
      <c r="C1303" s="32" t="str">
        <f>Orders!B1300</f>
        <v>C0181</v>
      </c>
      <c r="D1303" s="32" t="str">
        <f>Orders!H1300</f>
        <v>Delivered</v>
      </c>
      <c r="E1303" s="33">
        <f>IF(Orders!H1300="Delivered",1,0)</f>
        <v>1</v>
      </c>
      <c r="F1303" s="34">
        <f>IF(E1303=1,Orders!R1300,"")</f>
        <v>5.9</v>
      </c>
      <c r="G1303" s="33">
        <f>IF(E1303=1,IF(Orders!R1300&gt;0,1,0),"")</f>
        <v>1</v>
      </c>
      <c r="H1303" s="33">
        <f>IF(E1303=1,IF(Orders!R1300&gt;5,1,0),"")</f>
        <v>1</v>
      </c>
      <c r="I1303" s="32" t="str">
        <f>IF(E1303=1,"",IF(OR(Orders!T1300="Rider unavailable",Orders!T1300="Item unavailable"),"Company-caused","Unresolved"))</f>
        <v/>
      </c>
      <c r="J1303" s="33">
        <f>IF(OR(E1303=1,I1303="Company-caused"),1,0)</f>
        <v>1</v>
      </c>
      <c r="K1303" s="32" t="str">
        <f>IF(E1303=0,IF(I1303="Company-caused",IF(Orders!T1300="Rider unavailable","C1 Rider unavailable","C2 Item unavailable"),"Outside root: unresolved"),IF(G1303=0,"A On time",IF(H1303=1,IF(L1303=1,"B2a Severe, peak","B2b Severe, off-peak"),IF(L1303=1,"B1a Slight, peak","B1b Slight, off-peak"))))</f>
        <v>B2b Severe, off-peak</v>
      </c>
      <c r="L1303" s="33">
        <f>IF(AND(Orders!U1300&gt;=19,Orders!U1300&lt;22),1,0)</f>
        <v>0</v>
      </c>
      <c r="M1303" s="33">
        <f>IF(L1303=IF(Orders!V1300,1,0),1,0)</f>
        <v>1</v>
      </c>
      <c r="N1303" s="32" t="str">
        <f>IF(Orders!W1300="","None",Orders!W1300)</f>
        <v>None</v>
      </c>
      <c r="O1303" s="35">
        <f>INT(Orders!E1300)</f>
        <v>46271.0</v>
      </c>
      <c r="P1303" s="33">
        <f>Orders!U1300</f>
        <v>11</v>
      </c>
      <c r="Q1303" s="33">
        <f>COUNTIFS(Demand!$A$2:$A$4481,B1303,Demand!$B$2:$B$4481,O1303,Demand!$C$2:$C$4481,P1303)</f>
        <v>1</v>
      </c>
      <c r="R1303" s="33">
        <f>IF(Q1303=1,SUMIFS(Demand!$E$2:$E$4481,Demand!$A$2:$A$4481,B1303,Demand!$B$2:$B$4481,O1303,Demand!$C$2:$C$4481,P1303),"")</f>
        <v>20</v>
      </c>
      <c r="S1303" s="33">
        <f>INDEX(Stores!$G$2:$G$21,MATCH(B1303,Stores!$A$2:$A$21,0))</f>
        <v>14</v>
      </c>
      <c r="T1303" s="34">
        <f>IF(R1303="","",R1303/S1303)</f>
        <v>1.42857142857143</v>
      </c>
      <c r="U1303" s="34">
        <f>IF(E1303=1,T1303,"")</f>
        <v>1.42857142857143</v>
      </c>
      <c r="V1303" s="34">
        <f>IF(AND(E1303=1,L1303=0),T1303,"")</f>
        <v>1.42857142857143</v>
      </c>
      <c r="W1303" s="33">
        <f>IF(U1303="","",IF(U1303&lt;=Breakdowns!$C$5,1,IF(U1303&lt;=Breakdowns!$C$6,2,IF(U1303&lt;=Breakdowns!$C$7,3,4))))</f>
        <v>4</v>
      </c>
      <c r="X1303" s="33">
        <f>IF(V1303="","",IF(V1303&lt;=Breakdowns!$D$5,1,IF(V1303&lt;=Breakdowns!$D$6,2,IF(V1303&lt;=Breakdowns!$D$7,3,4))))</f>
        <v>4</v>
      </c>
      <c r="Y1303" s="34">
        <f>INDEX(Stores!$F$2:$F$21,MATCH(B1303,Stores!$A$2:$A$21,0))</f>
        <v>4.89</v>
      </c>
      <c r="Z1303" s="33">
        <f>IF(Y1303&gt;Store_Summary!$M$2,1,0)</f>
        <v>0</v>
      </c>
      <c r="AA1303" s="33">
        <f>INDEX(Stores!$C$2:$C$21,MATCH(B1303,Stores!$A$2:$A$21,0))</f>
        <v>138</v>
      </c>
      <c r="AB1303" s="33">
        <f>IF(AA1303&lt;180,1,0)</f>
        <v>1</v>
      </c>
      <c r="AC1303" s="32" t="str">
        <f>IF(Orders!D1300="","",INDEX(Riders!$C$2:$C$81,MATCH(Orders!D1300,Riders!$A$2:$A$81,0)))</f>
        <v>EV scooter</v>
      </c>
      <c r="AD1303" s="33">
        <f>IF(Orders!D1300="","",INDEX(Riders!$D$2:$D$81,MATCH(Orders!D1300,Riders!$A$2:$A$81,0)))</f>
        <v>1</v>
      </c>
      <c r="AE1303" s="33">
        <f>IF(Orders!D1300="","",IF(INDEX(Riders!$B$2:$B$81,MATCH(Orders!D1300,Riders!$A$2:$A$81,0))=B1303,1,0))</f>
        <v>0</v>
      </c>
      <c r="AF1303" s="34">
        <f>IF(E1303=1,Orders!L1300,"")</f>
        <v>0.66</v>
      </c>
      <c r="AG1303" s="34">
        <f>IF(E1303=1,Orders!P1300,"")</f>
        <v>10.1</v>
      </c>
      <c r="AH1303" s="34">
        <f>IF(E1303=1,Orders!Q1300,"")</f>
        <v>16</v>
      </c>
      <c r="AI1303" s="34">
        <f>IF(E1303=1,Orders!M1300,"")</f>
        <v>4.3</v>
      </c>
      <c r="AJ1303" s="34">
        <f>IF(E1303=1,Orders!N1300,"")</f>
        <v>8.5</v>
      </c>
      <c r="AK1303" s="34">
        <f>IF(E1303=1,Orders!O1300,"")</f>
        <v>3.2</v>
      </c>
      <c r="AL1303" s="33">
        <f>IF(E1303=1,IF(ROUND(ABS(AI1303+AJ1303+AK1303-AH1303),6)&lt;=0.1,1,0),"")</f>
        <v>1</v>
      </c>
      <c r="AM1303" s="36">
        <f>IF(E1303=1,AI1303/AH1303,"")</f>
        <v>0.26875</v>
      </c>
      <c r="AN1303" s="36">
        <f>IF(E1303=1,AJ1303/AH1303,"")</f>
        <v>0.53125</v>
      </c>
      <c r="AO1303" s="36">
        <f>IF(E1303=1,AK1303/AH1303,"")</f>
        <v>0.2</v>
      </c>
      <c r="AP1303" s="34">
        <f>IF(E1303=1,Orders!Y1300,"")</f>
        <v>0.63</v>
      </c>
      <c r="AQ1303" s="33">
        <f>IF(Orders!X1300,1,0)</f>
        <v>0</v>
      </c>
      <c r="AR1303" s="34" t="str">
        <f>IF(AND(E1303=1,L1303=1),AJ1303,"")</f>
        <v/>
      </c>
      <c r="AS1303" s="34">
        <f>IF(AND(E1303=1,L1303=0),AJ1303,"")</f>
        <v>8.5</v>
      </c>
      <c r="AT1303" s="34" t="str">
        <f>IF(AND(E1303=1,L1303=1),AI1303,"")</f>
        <v/>
      </c>
      <c r="AU1303" s="34">
        <f>IF(AND(E1303=1,L1303=0),AI1303,"")</f>
        <v>4.3</v>
      </c>
      <c r="AV1303" s="34" t="str">
        <f>IF(AND(E1303=1,L1303=1),AG1303,"")</f>
        <v/>
      </c>
      <c r="AW1303" s="34">
        <f>IF(AND(E1303=1,L1303=0),AG1303,"")</f>
        <v>10.1</v>
      </c>
      <c r="AX1303" s="34" t="str">
        <f>IF(AND(E1303=1,L1303=1),AH1303,"")</f>
        <v/>
      </c>
      <c r="AY1303" s="34">
        <f>IF(AND(E1303=1,L1303=0),AH1303,"")</f>
        <v>16</v>
      </c>
      <c r="AZ1303" s="34">
        <f>IF(G1303=1,F1303,"")</f>
        <v>5.9</v>
      </c>
      <c r="BA1303" s="34" t="str">
        <f>IF(AND(G1303=1,L1303=1),F1303,"")</f>
        <v/>
      </c>
      <c r="BB1303" s="34">
        <f>IF(AND(G1303=1,L1303=0),F1303,"")</f>
        <v>5.9</v>
      </c>
      <c r="BC1303" s="33">
        <f>IF(E1303=1,IF(Orders!R1300&gt;3,1,0),"")</f>
        <v>1</v>
      </c>
      <c r="BD1303" s="33">
        <f>IF(E1303=1,IF(Orders!R1300&gt;7,1,0),"")</f>
        <v>0</v>
      </c>
      <c r="BE1303" s="32" t="str">
        <f>IF(E1303=1,IF(Orders!L1300&lt;=1.5,"Up to 1.5 km",IF(Orders!L1300&lt;=3,"1.5–3 km","Over 3 km")),"")</f>
        <v>Up to 1.5 km</v>
      </c>
      <c r="BF1303" s="33">
        <f>IF(E1303=1,IF(ABS((Orders!G1300-Orders!F1300)*1440-Orders!R1300)&lt;0.06,1,0),"")</f>
        <v>1</v>
      </c>
      <c r="BG1303" s="33">
        <f>IF(ABS((Orders!F1300-Orders!E1300)*1440-Orders!P1300)&lt;0.06,1,0)</f>
        <v>1</v>
      </c>
      <c r="BH1303" s="33">
        <f>IF(E1303=1,IF(IF(Orders!S1300,1,0)=1-G1303,1,0),"")</f>
        <v>1</v>
      </c>
      <c r="BI1303" s="32" t="str">
        <f>INDEX(Stores!$B$2:$B$21,MATCH(B1303,Stores!$A$2:$A$21,0))</f>
        <v>Delhi</v>
      </c>
    </row>
    <row r="1304">
      <c r="A1304" s="32" t="str">
        <f>Orders!A1301</f>
        <v>O01300</v>
      </c>
      <c r="B1304" s="32" t="str">
        <f>Orders!C1301</f>
        <v>S014</v>
      </c>
      <c r="C1304" s="32" t="str">
        <f>Orders!B1301</f>
        <v>C0112</v>
      </c>
      <c r="D1304" s="32" t="str">
        <f>Orders!H1301</f>
        <v>Delivered</v>
      </c>
      <c r="E1304" s="33">
        <f>IF(Orders!H1301="Delivered",1,0)</f>
        <v>1</v>
      </c>
      <c r="F1304" s="34">
        <f>IF(E1304=1,Orders!R1301,"")</f>
        <v>13.4</v>
      </c>
      <c r="G1304" s="33">
        <f>IF(E1304=1,IF(Orders!R1301&gt;0,1,0),"")</f>
        <v>1</v>
      </c>
      <c r="H1304" s="33">
        <f>IF(E1304=1,IF(Orders!R1301&gt;5,1,0),"")</f>
        <v>1</v>
      </c>
      <c r="I1304" s="32" t="str">
        <f>IF(E1304=1,"",IF(OR(Orders!T1301="Rider unavailable",Orders!T1301="Item unavailable"),"Company-caused","Unresolved"))</f>
        <v/>
      </c>
      <c r="J1304" s="33">
        <f>IF(OR(E1304=1,I1304="Company-caused"),1,0)</f>
        <v>1</v>
      </c>
      <c r="K1304" s="32" t="str">
        <f>IF(E1304=0,IF(I1304="Company-caused",IF(Orders!T1301="Rider unavailable","C1 Rider unavailable","C2 Item unavailable"),"Outside root: unresolved"),IF(G1304=0,"A On time",IF(H1304=1,IF(L1304=1,"B2a Severe, peak","B2b Severe, off-peak"),IF(L1304=1,"B1a Slight, peak","B1b Slight, off-peak"))))</f>
        <v>B2a Severe, peak</v>
      </c>
      <c r="L1304" s="33">
        <f>IF(AND(Orders!U1301&gt;=19,Orders!U1301&lt;22),1,0)</f>
        <v>1</v>
      </c>
      <c r="M1304" s="33">
        <f>IF(L1304=IF(Orders!V1301,1,0),1,0)</f>
        <v>1</v>
      </c>
      <c r="N1304" s="32" t="str">
        <f>IF(Orders!W1301="","None",Orders!W1301)</f>
        <v>None</v>
      </c>
      <c r="O1304" s="35">
        <f>INT(Orders!E1301)</f>
        <v>46276.0</v>
      </c>
      <c r="P1304" s="33">
        <f>Orders!U1301</f>
        <v>21</v>
      </c>
      <c r="Q1304" s="33">
        <f>COUNTIFS(Demand!$A$2:$A$4481,B1304,Demand!$B$2:$B$4481,O1304,Demand!$C$2:$C$4481,P1304)</f>
        <v>1</v>
      </c>
      <c r="R1304" s="33">
        <f>IF(Q1304=1,SUMIFS(Demand!$E$2:$E$4481,Demand!$A$2:$A$4481,B1304,Demand!$B$2:$B$4481,O1304,Demand!$C$2:$C$4481,P1304),"")</f>
        <v>49</v>
      </c>
      <c r="S1304" s="33">
        <f>INDEX(Stores!$G$2:$G$21,MATCH(B1304,Stores!$A$2:$A$21,0))</f>
        <v>37</v>
      </c>
      <c r="T1304" s="34">
        <f>IF(R1304="","",R1304/S1304)</f>
        <v>1.32432432432432</v>
      </c>
      <c r="U1304" s="34">
        <f>IF(E1304=1,T1304,"")</f>
        <v>1.32432432432432</v>
      </c>
      <c r="V1304" s="34" t="str">
        <f>IF(AND(E1304=1,L1304=0),T1304,"")</f>
        <v/>
      </c>
      <c r="W1304" s="33">
        <f>IF(U1304="","",IF(U1304&lt;=Breakdowns!$C$5,1,IF(U1304&lt;=Breakdowns!$C$6,2,IF(U1304&lt;=Breakdowns!$C$7,3,4))))</f>
        <v>4</v>
      </c>
      <c r="X1304" s="33" t="str">
        <f>IF(V1304="","",IF(V1304&lt;=Breakdowns!$D$5,1,IF(V1304&lt;=Breakdowns!$D$6,2,IF(V1304&lt;=Breakdowns!$D$7,3,4))))</f>
        <v/>
      </c>
      <c r="Y1304" s="34">
        <f>INDEX(Stores!$F$2:$F$21,MATCH(B1304,Stores!$A$2:$A$21,0))</f>
        <v>5.55</v>
      </c>
      <c r="Z1304" s="33">
        <f>IF(Y1304&gt;Store_Summary!$M$2,1,0)</f>
        <v>1</v>
      </c>
      <c r="AA1304" s="33">
        <f>INDEX(Stores!$C$2:$C$21,MATCH(B1304,Stores!$A$2:$A$21,0))</f>
        <v>241</v>
      </c>
      <c r="AB1304" s="33">
        <f>IF(AA1304&lt;180,1,0)</f>
        <v>0</v>
      </c>
      <c r="AC1304" s="32" t="str">
        <f>IF(Orders!D1301="","",INDEX(Riders!$C$2:$C$81,MATCH(Orders!D1301,Riders!$A$2:$A$81,0)))</f>
        <v>Petrol scooter</v>
      </c>
      <c r="AD1304" s="33">
        <f>IF(Orders!D1301="","",INDEX(Riders!$D$2:$D$81,MATCH(Orders!D1301,Riders!$A$2:$A$81,0)))</f>
        <v>20</v>
      </c>
      <c r="AE1304" s="33">
        <f>IF(Orders!D1301="","",IF(INDEX(Riders!$B$2:$B$81,MATCH(Orders!D1301,Riders!$A$2:$A$81,0))=B1304,1,0))</f>
        <v>0</v>
      </c>
      <c r="AF1304" s="34">
        <f>IF(E1304=1,Orders!L1301,"")</f>
        <v>2.78</v>
      </c>
      <c r="AG1304" s="34">
        <f>IF(E1304=1,Orders!P1301,"")</f>
        <v>10.3</v>
      </c>
      <c r="AH1304" s="34">
        <f>IF(E1304=1,Orders!Q1301,"")</f>
        <v>23.7</v>
      </c>
      <c r="AI1304" s="34">
        <f>IF(E1304=1,Orders!M1301,"")</f>
        <v>6.5</v>
      </c>
      <c r="AJ1304" s="34">
        <f>IF(E1304=1,Orders!N1301,"")</f>
        <v>9.1</v>
      </c>
      <c r="AK1304" s="34">
        <f>IF(E1304=1,Orders!O1301,"")</f>
        <v>8.1</v>
      </c>
      <c r="AL1304" s="33">
        <f>IF(E1304=1,IF(ROUND(ABS(AI1304+AJ1304+AK1304-AH1304),6)&lt;=0.1,1,0),"")</f>
        <v>1</v>
      </c>
      <c r="AM1304" s="36">
        <f>IF(E1304=1,AI1304/AH1304,"")</f>
        <v>0.274261603375527</v>
      </c>
      <c r="AN1304" s="36">
        <f>IF(E1304=1,AJ1304/AH1304,"")</f>
        <v>0.383966244725738</v>
      </c>
      <c r="AO1304" s="36">
        <f>IF(E1304=1,AK1304/AH1304,"")</f>
        <v>0.341772151898734</v>
      </c>
      <c r="AP1304" s="34">
        <f>IF(E1304=1,Orders!Y1301,"")</f>
        <v>0.63</v>
      </c>
      <c r="AQ1304" s="33">
        <f>IF(Orders!X1301,1,0)</f>
        <v>0</v>
      </c>
      <c r="AR1304" s="34">
        <f>IF(AND(E1304=1,L1304=1),AJ1304,"")</f>
        <v>9.1</v>
      </c>
      <c r="AS1304" s="34" t="str">
        <f>IF(AND(E1304=1,L1304=0),AJ1304,"")</f>
        <v/>
      </c>
      <c r="AT1304" s="34">
        <f>IF(AND(E1304=1,L1304=1),AI1304,"")</f>
        <v>6.5</v>
      </c>
      <c r="AU1304" s="34" t="str">
        <f>IF(AND(E1304=1,L1304=0),AI1304,"")</f>
        <v/>
      </c>
      <c r="AV1304" s="34">
        <f>IF(AND(E1304=1,L1304=1),AG1304,"")</f>
        <v>10.3</v>
      </c>
      <c r="AW1304" s="34" t="str">
        <f>IF(AND(E1304=1,L1304=0),AG1304,"")</f>
        <v/>
      </c>
      <c r="AX1304" s="34">
        <f>IF(AND(E1304=1,L1304=1),AH1304,"")</f>
        <v>23.7</v>
      </c>
      <c r="AY1304" s="34" t="str">
        <f>IF(AND(E1304=1,L1304=0),AH1304,"")</f>
        <v/>
      </c>
      <c r="AZ1304" s="34">
        <f>IF(G1304=1,F1304,"")</f>
        <v>13.4</v>
      </c>
      <c r="BA1304" s="34">
        <f>IF(AND(G1304=1,L1304=1),F1304,"")</f>
        <v>13.4</v>
      </c>
      <c r="BB1304" s="34" t="str">
        <f>IF(AND(G1304=1,L1304=0),F1304,"")</f>
        <v/>
      </c>
      <c r="BC1304" s="33">
        <f>IF(E1304=1,IF(Orders!R1301&gt;3,1,0),"")</f>
        <v>1</v>
      </c>
      <c r="BD1304" s="33">
        <f>IF(E1304=1,IF(Orders!R1301&gt;7,1,0),"")</f>
        <v>1</v>
      </c>
      <c r="BE1304" s="32" t="str">
        <f>IF(E1304=1,IF(Orders!L1301&lt;=1.5,"Up to 1.5 km",IF(Orders!L1301&lt;=3,"1.5–3 km","Over 3 km")),"")</f>
        <v>1.5–3 km</v>
      </c>
      <c r="BF1304" s="33">
        <f>IF(E1304=1,IF(ABS((Orders!G1301-Orders!F1301)*1440-Orders!R1301)&lt;0.06,1,0),"")</f>
        <v>1</v>
      </c>
      <c r="BG1304" s="33">
        <f>IF(ABS((Orders!F1301-Orders!E1301)*1440-Orders!P1301)&lt;0.06,1,0)</f>
        <v>1</v>
      </c>
      <c r="BH1304" s="33">
        <f>IF(E1304=1,IF(IF(Orders!S1301,1,0)=1-G1304,1,0),"")</f>
        <v>1</v>
      </c>
      <c r="BI1304" s="32" t="str">
        <f>INDEX(Stores!$B$2:$B$21,MATCH(B1304,Stores!$A$2:$A$21,0))</f>
        <v>Pune</v>
      </c>
    </row>
    <row r="1305">
      <c r="A1305" s="32" t="str">
        <f>Orders!A1302</f>
        <v>O01301</v>
      </c>
      <c r="B1305" s="32" t="str">
        <f>Orders!C1302</f>
        <v>S002</v>
      </c>
      <c r="C1305" s="32" t="str">
        <f>Orders!B1302</f>
        <v>C0053</v>
      </c>
      <c r="D1305" s="32" t="str">
        <f>Orders!H1302</f>
        <v>Delivered</v>
      </c>
      <c r="E1305" s="33">
        <f>IF(Orders!H1302="Delivered",1,0)</f>
        <v>1</v>
      </c>
      <c r="F1305" s="34">
        <f>IF(E1305=1,Orders!R1302,"")</f>
        <v>-3.5</v>
      </c>
      <c r="G1305" s="33">
        <f>IF(E1305=1,IF(Orders!R1302&gt;0,1,0),"")</f>
        <v>0</v>
      </c>
      <c r="H1305" s="33">
        <f>IF(E1305=1,IF(Orders!R1302&gt;5,1,0),"")</f>
        <v>0</v>
      </c>
      <c r="I1305" s="32" t="str">
        <f>IF(E1305=1,"",IF(OR(Orders!T1302="Rider unavailable",Orders!T1302="Item unavailable"),"Company-caused","Unresolved"))</f>
        <v/>
      </c>
      <c r="J1305" s="33">
        <f>IF(OR(E1305=1,I1305="Company-caused"),1,0)</f>
        <v>1</v>
      </c>
      <c r="K1305" s="32" t="str">
        <f>IF(E1305=0,IF(I1305="Company-caused",IF(Orders!T1302="Rider unavailable","C1 Rider unavailable","C2 Item unavailable"),"Outside root: unresolved"),IF(G1305=0,"A On time",IF(H1305=1,IF(L1305=1,"B2a Severe, peak","B2b Severe, off-peak"),IF(L1305=1,"B1a Slight, peak","B1b Slight, off-peak"))))</f>
        <v>A On time</v>
      </c>
      <c r="L1305" s="33">
        <f>IF(AND(Orders!U1302&gt;=19,Orders!U1302&lt;22),1,0)</f>
        <v>0</v>
      </c>
      <c r="M1305" s="33">
        <f>IF(L1305=IF(Orders!V1302,1,0),1,0)</f>
        <v>1</v>
      </c>
      <c r="N1305" s="32" t="str">
        <f>IF(Orders!W1302="","None",Orders!W1302)</f>
        <v>None</v>
      </c>
      <c r="O1305" s="35">
        <f>INT(Orders!E1302)</f>
        <v>46270.0</v>
      </c>
      <c r="P1305" s="33">
        <f>Orders!U1302</f>
        <v>10</v>
      </c>
      <c r="Q1305" s="33">
        <f>COUNTIFS(Demand!$A$2:$A$4481,B1305,Demand!$B$2:$B$4481,O1305,Demand!$C$2:$C$4481,P1305)</f>
        <v>1</v>
      </c>
      <c r="R1305" s="33">
        <f>IF(Q1305=1,SUMIFS(Demand!$E$2:$E$4481,Demand!$A$2:$A$4481,B1305,Demand!$B$2:$B$4481,O1305,Demand!$C$2:$C$4481,P1305),"")</f>
        <v>29</v>
      </c>
      <c r="S1305" s="33">
        <f>INDEX(Stores!$G$2:$G$21,MATCH(B1305,Stores!$A$2:$A$21,0))</f>
        <v>33</v>
      </c>
      <c r="T1305" s="34">
        <f>IF(R1305="","",R1305/S1305)</f>
        <v>0.878787878787879</v>
      </c>
      <c r="U1305" s="34">
        <f>IF(E1305=1,T1305,"")</f>
        <v>0.878787878787879</v>
      </c>
      <c r="V1305" s="34">
        <f>IF(AND(E1305=1,L1305=0),T1305,"")</f>
        <v>0.878787878787879</v>
      </c>
      <c r="W1305" s="33">
        <f>IF(U1305="","",IF(U1305&lt;=Breakdowns!$C$5,1,IF(U1305&lt;=Breakdowns!$C$6,2,IF(U1305&lt;=Breakdowns!$C$7,3,4))))</f>
        <v>2</v>
      </c>
      <c r="X1305" s="33">
        <f>IF(V1305="","",IF(V1305&lt;=Breakdowns!$D$5,1,IF(V1305&lt;=Breakdowns!$D$6,2,IF(V1305&lt;=Breakdowns!$D$7,3,4))))</f>
        <v>2</v>
      </c>
      <c r="Y1305" s="34">
        <f>INDEX(Stores!$F$2:$F$21,MATCH(B1305,Stores!$A$2:$A$21,0))</f>
        <v>2.39</v>
      </c>
      <c r="Z1305" s="33">
        <f>IF(Y1305&gt;Store_Summary!$M$2,1,0)</f>
        <v>0</v>
      </c>
      <c r="AA1305" s="33">
        <f>INDEX(Stores!$C$2:$C$21,MATCH(B1305,Stores!$A$2:$A$21,0))</f>
        <v>470</v>
      </c>
      <c r="AB1305" s="33">
        <f>IF(AA1305&lt;180,1,0)</f>
        <v>0</v>
      </c>
      <c r="AC1305" s="32" t="str">
        <f>IF(Orders!D1302="","",INDEX(Riders!$C$2:$C$81,MATCH(Orders!D1302,Riders!$A$2:$A$81,0)))</f>
        <v>EV scooter</v>
      </c>
      <c r="AD1305" s="33">
        <f>IF(Orders!D1302="","",INDEX(Riders!$D$2:$D$81,MATCH(Orders!D1302,Riders!$A$2:$A$81,0)))</f>
        <v>2</v>
      </c>
      <c r="AE1305" s="33">
        <f>IF(Orders!D1302="","",IF(INDEX(Riders!$B$2:$B$81,MATCH(Orders!D1302,Riders!$A$2:$A$81,0))=B1305,1,0))</f>
        <v>0</v>
      </c>
      <c r="AF1305" s="34">
        <f>IF(E1305=1,Orders!L1302,"")</f>
        <v>0.82</v>
      </c>
      <c r="AG1305" s="34">
        <f>IF(E1305=1,Orders!P1302,"")</f>
        <v>9.7</v>
      </c>
      <c r="AH1305" s="34">
        <f>IF(E1305=1,Orders!Q1302,"")</f>
        <v>6.2</v>
      </c>
      <c r="AI1305" s="34">
        <f>IF(E1305=1,Orders!M1302,"")</f>
        <v>1</v>
      </c>
      <c r="AJ1305" s="34">
        <f>IF(E1305=1,Orders!N1302,"")</f>
        <v>2.2</v>
      </c>
      <c r="AK1305" s="34">
        <f>IF(E1305=1,Orders!O1302,"")</f>
        <v>3</v>
      </c>
      <c r="AL1305" s="33">
        <f>IF(E1305=1,IF(ROUND(ABS(AI1305+AJ1305+AK1305-AH1305),6)&lt;=0.1,1,0),"")</f>
        <v>1</v>
      </c>
      <c r="AM1305" s="36">
        <f>IF(E1305=1,AI1305/AH1305,"")</f>
        <v>0.161290322580645</v>
      </c>
      <c r="AN1305" s="36">
        <f>IF(E1305=1,AJ1305/AH1305,"")</f>
        <v>0.354838709677419</v>
      </c>
      <c r="AO1305" s="36">
        <f>IF(E1305=1,AK1305/AH1305,"")</f>
        <v>0.483870967741935</v>
      </c>
      <c r="AP1305" s="34">
        <f>IF(E1305=1,Orders!Y1302,"")</f>
        <v>0.35</v>
      </c>
      <c r="AQ1305" s="33">
        <f>IF(Orders!X1302,1,0)</f>
        <v>0</v>
      </c>
      <c r="AR1305" s="34" t="str">
        <f>IF(AND(E1305=1,L1305=1),AJ1305,"")</f>
        <v/>
      </c>
      <c r="AS1305" s="34">
        <f>IF(AND(E1305=1,L1305=0),AJ1305,"")</f>
        <v>2.2</v>
      </c>
      <c r="AT1305" s="34" t="str">
        <f>IF(AND(E1305=1,L1305=1),AI1305,"")</f>
        <v/>
      </c>
      <c r="AU1305" s="34">
        <f>IF(AND(E1305=1,L1305=0),AI1305,"")</f>
        <v>1</v>
      </c>
      <c r="AV1305" s="34" t="str">
        <f>IF(AND(E1305=1,L1305=1),AG1305,"")</f>
        <v/>
      </c>
      <c r="AW1305" s="34">
        <f>IF(AND(E1305=1,L1305=0),AG1305,"")</f>
        <v>9.7</v>
      </c>
      <c r="AX1305" s="34" t="str">
        <f>IF(AND(E1305=1,L1305=1),AH1305,"")</f>
        <v/>
      </c>
      <c r="AY1305" s="34">
        <f>IF(AND(E1305=1,L1305=0),AH1305,"")</f>
        <v>6.2</v>
      </c>
      <c r="AZ1305" s="34" t="str">
        <f>IF(G1305=1,F1305,"")</f>
        <v/>
      </c>
      <c r="BA1305" s="34" t="str">
        <f>IF(AND(G1305=1,L1305=1),F1305,"")</f>
        <v/>
      </c>
      <c r="BB1305" s="34" t="str">
        <f>IF(AND(G1305=1,L1305=0),F1305,"")</f>
        <v/>
      </c>
      <c r="BC1305" s="33">
        <f>IF(E1305=1,IF(Orders!R1302&gt;3,1,0),"")</f>
        <v>0</v>
      </c>
      <c r="BD1305" s="33">
        <f>IF(E1305=1,IF(Orders!R1302&gt;7,1,0),"")</f>
        <v>0</v>
      </c>
      <c r="BE1305" s="32" t="str">
        <f>IF(E1305=1,IF(Orders!L1302&lt;=1.5,"Up to 1.5 km",IF(Orders!L1302&lt;=3,"1.5–3 km","Over 3 km")),"")</f>
        <v>Up to 1.5 km</v>
      </c>
      <c r="BF1305" s="33">
        <f>IF(E1305=1,IF(ABS((Orders!G1302-Orders!F1302)*1440-Orders!R1302)&lt;0.06,1,0),"")</f>
        <v>1</v>
      </c>
      <c r="BG1305" s="33">
        <f>IF(ABS((Orders!F1302-Orders!E1302)*1440-Orders!P1302)&lt;0.06,1,0)</f>
        <v>1</v>
      </c>
      <c r="BH1305" s="33">
        <f>IF(E1305=1,IF(IF(Orders!S1302,1,0)=1-G1305,1,0),"")</f>
        <v>1</v>
      </c>
      <c r="BI1305" s="32" t="str">
        <f>INDEX(Stores!$B$2:$B$21,MATCH(B1305,Stores!$A$2:$A$21,0))</f>
        <v>Hyderabad</v>
      </c>
    </row>
    <row r="1306">
      <c r="A1306" s="32" t="str">
        <f>Orders!A1303</f>
        <v>O01302</v>
      </c>
      <c r="B1306" s="32" t="str">
        <f>Orders!C1303</f>
        <v>S011</v>
      </c>
      <c r="C1306" s="32" t="str">
        <f>Orders!B1303</f>
        <v>C0180</v>
      </c>
      <c r="D1306" s="32" t="str">
        <f>Orders!H1303</f>
        <v>Delivered</v>
      </c>
      <c r="E1306" s="33">
        <f>IF(Orders!H1303="Delivered",1,0)</f>
        <v>1</v>
      </c>
      <c r="F1306" s="34">
        <f>IF(E1306=1,Orders!R1303,"")</f>
        <v>-0.7</v>
      </c>
      <c r="G1306" s="33">
        <f>IF(E1306=1,IF(Orders!R1303&gt;0,1,0),"")</f>
        <v>0</v>
      </c>
      <c r="H1306" s="33">
        <f>IF(E1306=1,IF(Orders!R1303&gt;5,1,0),"")</f>
        <v>0</v>
      </c>
      <c r="I1306" s="32" t="str">
        <f>IF(E1306=1,"",IF(OR(Orders!T1303="Rider unavailable",Orders!T1303="Item unavailable"),"Company-caused","Unresolved"))</f>
        <v/>
      </c>
      <c r="J1306" s="33">
        <f>IF(OR(E1306=1,I1306="Company-caused"),1,0)</f>
        <v>1</v>
      </c>
      <c r="K1306" s="32" t="str">
        <f>IF(E1306=0,IF(I1306="Company-caused",IF(Orders!T1303="Rider unavailable","C1 Rider unavailable","C2 Item unavailable"),"Outside root: unresolved"),IF(G1306=0,"A On time",IF(H1306=1,IF(L1306=1,"B2a Severe, peak","B2b Severe, off-peak"),IF(L1306=1,"B1a Slight, peak","B1b Slight, off-peak"))))</f>
        <v>A On time</v>
      </c>
      <c r="L1306" s="33">
        <f>IF(AND(Orders!U1303&gt;=19,Orders!U1303&lt;22),1,0)</f>
        <v>0</v>
      </c>
      <c r="M1306" s="33">
        <f>IF(L1306=IF(Orders!V1303,1,0),1,0)</f>
        <v>1</v>
      </c>
      <c r="N1306" s="32" t="str">
        <f>IF(Orders!W1303="","None",Orders!W1303)</f>
        <v>None</v>
      </c>
      <c r="O1306" s="35">
        <f>INT(Orders!E1303)</f>
        <v>46279.0</v>
      </c>
      <c r="P1306" s="33">
        <f>Orders!U1303</f>
        <v>13</v>
      </c>
      <c r="Q1306" s="33">
        <f>COUNTIFS(Demand!$A$2:$A$4481,B1306,Demand!$B$2:$B$4481,O1306,Demand!$C$2:$C$4481,P1306)</f>
        <v>1</v>
      </c>
      <c r="R1306" s="33">
        <f>IF(Q1306=1,SUMIFS(Demand!$E$2:$E$4481,Demand!$A$2:$A$4481,B1306,Demand!$B$2:$B$4481,O1306,Demand!$C$2:$C$4481,P1306),"")</f>
        <v>28</v>
      </c>
      <c r="S1306" s="33">
        <f>INDEX(Stores!$G$2:$G$21,MATCH(B1306,Stores!$A$2:$A$21,0))</f>
        <v>31</v>
      </c>
      <c r="T1306" s="34">
        <f>IF(R1306="","",R1306/S1306)</f>
        <v>0.903225806451613</v>
      </c>
      <c r="U1306" s="34">
        <f>IF(E1306=1,T1306,"")</f>
        <v>0.903225806451613</v>
      </c>
      <c r="V1306" s="34">
        <f>IF(AND(E1306=1,L1306=0),T1306,"")</f>
        <v>0.903225806451613</v>
      </c>
      <c r="W1306" s="33">
        <f>IF(U1306="","",IF(U1306&lt;=Breakdowns!$C$5,1,IF(U1306&lt;=Breakdowns!$C$6,2,IF(U1306&lt;=Breakdowns!$C$7,3,4))))</f>
        <v>2</v>
      </c>
      <c r="X1306" s="33">
        <f>IF(V1306="","",IF(V1306&lt;=Breakdowns!$D$5,1,IF(V1306&lt;=Breakdowns!$D$6,2,IF(V1306&lt;=Breakdowns!$D$7,3,4))))</f>
        <v>2</v>
      </c>
      <c r="Y1306" s="34">
        <f>INDEX(Stores!$F$2:$F$21,MATCH(B1306,Stores!$A$2:$A$21,0))</f>
        <v>5.67</v>
      </c>
      <c r="Z1306" s="33">
        <f>IF(Y1306&gt;Store_Summary!$M$2,1,0)</f>
        <v>1</v>
      </c>
      <c r="AA1306" s="33">
        <f>INDEX(Stores!$C$2:$C$21,MATCH(B1306,Stores!$A$2:$A$21,0))</f>
        <v>732</v>
      </c>
      <c r="AB1306" s="33">
        <f>IF(AA1306&lt;180,1,0)</f>
        <v>0</v>
      </c>
      <c r="AC1306" s="32" t="str">
        <f>IF(Orders!D1303="","",INDEX(Riders!$C$2:$C$81,MATCH(Orders!D1303,Riders!$A$2:$A$81,0)))</f>
        <v>Bicycle</v>
      </c>
      <c r="AD1306" s="33">
        <f>IF(Orders!D1303="","",INDEX(Riders!$D$2:$D$81,MATCH(Orders!D1303,Riders!$A$2:$A$81,0)))</f>
        <v>44</v>
      </c>
      <c r="AE1306" s="33">
        <f>IF(Orders!D1303="","",IF(INDEX(Riders!$B$2:$B$81,MATCH(Orders!D1303,Riders!$A$2:$A$81,0))=B1306,1,0))</f>
        <v>0</v>
      </c>
      <c r="AF1306" s="34">
        <f>IF(E1306=1,Orders!L1303,"")</f>
        <v>2.33</v>
      </c>
      <c r="AG1306" s="34">
        <f>IF(E1306=1,Orders!P1303,"")</f>
        <v>10.4</v>
      </c>
      <c r="AH1306" s="34">
        <f>IF(E1306=1,Orders!Q1303,"")</f>
        <v>9.7</v>
      </c>
      <c r="AI1306" s="34">
        <f>IF(E1306=1,Orders!M1303,"")</f>
        <v>3</v>
      </c>
      <c r="AJ1306" s="34">
        <f>IF(E1306=1,Orders!N1303,"")</f>
        <v>4.1</v>
      </c>
      <c r="AK1306" s="34">
        <f>IF(E1306=1,Orders!O1303,"")</f>
        <v>2.6</v>
      </c>
      <c r="AL1306" s="33">
        <f>IF(E1306=1,IF(ROUND(ABS(AI1306+AJ1306+AK1306-AH1306),6)&lt;=0.1,1,0),"")</f>
        <v>1</v>
      </c>
      <c r="AM1306" s="36">
        <f>IF(E1306=1,AI1306/AH1306,"")</f>
        <v>0.309278350515464</v>
      </c>
      <c r="AN1306" s="36">
        <f>IF(E1306=1,AJ1306/AH1306,"")</f>
        <v>0.422680412371134</v>
      </c>
      <c r="AO1306" s="36">
        <f>IF(E1306=1,AK1306/AH1306,"")</f>
        <v>0.268041237113402</v>
      </c>
      <c r="AP1306" s="34">
        <f>IF(E1306=1,Orders!Y1303,"")</f>
        <v>0.25</v>
      </c>
      <c r="AQ1306" s="33">
        <f>IF(Orders!X1303,1,0)</f>
        <v>0</v>
      </c>
      <c r="AR1306" s="34" t="str">
        <f>IF(AND(E1306=1,L1306=1),AJ1306,"")</f>
        <v/>
      </c>
      <c r="AS1306" s="34">
        <f>IF(AND(E1306=1,L1306=0),AJ1306,"")</f>
        <v>4.1</v>
      </c>
      <c r="AT1306" s="34" t="str">
        <f>IF(AND(E1306=1,L1306=1),AI1306,"")</f>
        <v/>
      </c>
      <c r="AU1306" s="34">
        <f>IF(AND(E1306=1,L1306=0),AI1306,"")</f>
        <v>3</v>
      </c>
      <c r="AV1306" s="34" t="str">
        <f>IF(AND(E1306=1,L1306=1),AG1306,"")</f>
        <v/>
      </c>
      <c r="AW1306" s="34">
        <f>IF(AND(E1306=1,L1306=0),AG1306,"")</f>
        <v>10.4</v>
      </c>
      <c r="AX1306" s="34" t="str">
        <f>IF(AND(E1306=1,L1306=1),AH1306,"")</f>
        <v/>
      </c>
      <c r="AY1306" s="34">
        <f>IF(AND(E1306=1,L1306=0),AH1306,"")</f>
        <v>9.7</v>
      </c>
      <c r="AZ1306" s="34" t="str">
        <f>IF(G1306=1,F1306,"")</f>
        <v/>
      </c>
      <c r="BA1306" s="34" t="str">
        <f>IF(AND(G1306=1,L1306=1),F1306,"")</f>
        <v/>
      </c>
      <c r="BB1306" s="34" t="str">
        <f>IF(AND(G1306=1,L1306=0),F1306,"")</f>
        <v/>
      </c>
      <c r="BC1306" s="33">
        <f>IF(E1306=1,IF(Orders!R1303&gt;3,1,0),"")</f>
        <v>0</v>
      </c>
      <c r="BD1306" s="33">
        <f>IF(E1306=1,IF(Orders!R1303&gt;7,1,0),"")</f>
        <v>0</v>
      </c>
      <c r="BE1306" s="32" t="str">
        <f>IF(E1306=1,IF(Orders!L1303&lt;=1.5,"Up to 1.5 km",IF(Orders!L1303&lt;=3,"1.5–3 km","Over 3 km")),"")</f>
        <v>1.5–3 km</v>
      </c>
      <c r="BF1306" s="33">
        <f>IF(E1306=1,IF(ABS((Orders!G1303-Orders!F1303)*1440-Orders!R1303)&lt;0.06,1,0),"")</f>
        <v>1</v>
      </c>
      <c r="BG1306" s="33">
        <f>IF(ABS((Orders!F1303-Orders!E1303)*1440-Orders!P1303)&lt;0.06,1,0)</f>
        <v>1</v>
      </c>
      <c r="BH1306" s="33">
        <f>IF(E1306=1,IF(IF(Orders!S1303,1,0)=1-G1306,1,0),"")</f>
        <v>1</v>
      </c>
      <c r="BI1306" s="32" t="str">
        <f>INDEX(Stores!$B$2:$B$21,MATCH(B1306,Stores!$A$2:$A$21,0))</f>
        <v>Bengaluru</v>
      </c>
    </row>
    <row r="1307">
      <c r="A1307" s="32" t="str">
        <f>Orders!A1304</f>
        <v>O01303</v>
      </c>
      <c r="B1307" s="32" t="str">
        <f>Orders!C1304</f>
        <v>S004</v>
      </c>
      <c r="C1307" s="32" t="str">
        <f>Orders!B1304</f>
        <v>C0191</v>
      </c>
      <c r="D1307" s="32" t="str">
        <f>Orders!H1304</f>
        <v>Delivered</v>
      </c>
      <c r="E1307" s="33">
        <f>IF(Orders!H1304="Delivered",1,0)</f>
        <v>1</v>
      </c>
      <c r="F1307" s="34">
        <f>IF(E1307=1,Orders!R1304,"")</f>
        <v>-0.6</v>
      </c>
      <c r="G1307" s="33">
        <f>IF(E1307=1,IF(Orders!R1304&gt;0,1,0),"")</f>
        <v>0</v>
      </c>
      <c r="H1307" s="33">
        <f>IF(E1307=1,IF(Orders!R1304&gt;5,1,0),"")</f>
        <v>0</v>
      </c>
      <c r="I1307" s="32" t="str">
        <f>IF(E1307=1,"",IF(OR(Orders!T1304="Rider unavailable",Orders!T1304="Item unavailable"),"Company-caused","Unresolved"))</f>
        <v/>
      </c>
      <c r="J1307" s="33">
        <f>IF(OR(E1307=1,I1307="Company-caused"),1,0)</f>
        <v>1</v>
      </c>
      <c r="K1307" s="32" t="str">
        <f>IF(E1307=0,IF(I1307="Company-caused",IF(Orders!T1304="Rider unavailable","C1 Rider unavailable","C2 Item unavailable"),"Outside root: unresolved"),IF(G1307=0,"A On time",IF(H1307=1,IF(L1307=1,"B2a Severe, peak","B2b Severe, off-peak"),IF(L1307=1,"B1a Slight, peak","B1b Slight, off-peak"))))</f>
        <v>A On time</v>
      </c>
      <c r="L1307" s="33">
        <f>IF(AND(Orders!U1304&gt;=19,Orders!U1304&lt;22),1,0)</f>
        <v>0</v>
      </c>
      <c r="M1307" s="33">
        <f>IF(L1307=IF(Orders!V1304,1,0),1,0)</f>
        <v>1</v>
      </c>
      <c r="N1307" s="32" t="str">
        <f>IF(Orders!W1304="","None",Orders!W1304)</f>
        <v>None</v>
      </c>
      <c r="O1307" s="35">
        <f>INT(Orders!E1304)</f>
        <v>46268.0</v>
      </c>
      <c r="P1307" s="33">
        <f>Orders!U1304</f>
        <v>14</v>
      </c>
      <c r="Q1307" s="33">
        <f>COUNTIFS(Demand!$A$2:$A$4481,B1307,Demand!$B$2:$B$4481,O1307,Demand!$C$2:$C$4481,P1307)</f>
        <v>1</v>
      </c>
      <c r="R1307" s="33">
        <f>IF(Q1307=1,SUMIFS(Demand!$E$2:$E$4481,Demand!$A$2:$A$4481,B1307,Demand!$B$2:$B$4481,O1307,Demand!$C$2:$C$4481,P1307),"")</f>
        <v>34</v>
      </c>
      <c r="S1307" s="33">
        <f>INDEX(Stores!$G$2:$G$21,MATCH(B1307,Stores!$A$2:$A$21,0))</f>
        <v>42</v>
      </c>
      <c r="T1307" s="34">
        <f>IF(R1307="","",R1307/S1307)</f>
        <v>0.80952380952381</v>
      </c>
      <c r="U1307" s="34">
        <f>IF(E1307=1,T1307,"")</f>
        <v>0.80952380952381</v>
      </c>
      <c r="V1307" s="34">
        <f>IF(AND(E1307=1,L1307=0),T1307,"")</f>
        <v>0.80952380952381</v>
      </c>
      <c r="W1307" s="33">
        <f>IF(U1307="","",IF(U1307&lt;=Breakdowns!$C$5,1,IF(U1307&lt;=Breakdowns!$C$6,2,IF(U1307&lt;=Breakdowns!$C$7,3,4))))</f>
        <v>2</v>
      </c>
      <c r="X1307" s="33">
        <f>IF(V1307="","",IF(V1307&lt;=Breakdowns!$D$5,1,IF(V1307&lt;=Breakdowns!$D$6,2,IF(V1307&lt;=Breakdowns!$D$7,3,4))))</f>
        <v>2</v>
      </c>
      <c r="Y1307" s="34">
        <f>INDEX(Stores!$F$2:$F$21,MATCH(B1307,Stores!$A$2:$A$21,0))</f>
        <v>2.19</v>
      </c>
      <c r="Z1307" s="33">
        <f>IF(Y1307&gt;Store_Summary!$M$2,1,0)</f>
        <v>0</v>
      </c>
      <c r="AA1307" s="33">
        <f>INDEX(Stores!$C$2:$C$21,MATCH(B1307,Stores!$A$2:$A$21,0))</f>
        <v>850</v>
      </c>
      <c r="AB1307" s="33">
        <f>IF(AA1307&lt;180,1,0)</f>
        <v>0</v>
      </c>
      <c r="AC1307" s="32" t="str">
        <f>IF(Orders!D1304="","",INDEX(Riders!$C$2:$C$81,MATCH(Orders!D1304,Riders!$A$2:$A$81,0)))</f>
        <v>Petrol scooter</v>
      </c>
      <c r="AD1307" s="33">
        <f>IF(Orders!D1304="","",INDEX(Riders!$D$2:$D$81,MATCH(Orders!D1304,Riders!$A$2:$A$81,0)))</f>
        <v>19</v>
      </c>
      <c r="AE1307" s="33">
        <f>IF(Orders!D1304="","",IF(INDEX(Riders!$B$2:$B$81,MATCH(Orders!D1304,Riders!$A$2:$A$81,0))=B1307,1,0))</f>
        <v>0</v>
      </c>
      <c r="AF1307" s="34">
        <f>IF(E1307=1,Orders!L1304,"")</f>
        <v>1.22</v>
      </c>
      <c r="AG1307" s="34">
        <f>IF(E1307=1,Orders!P1304,"")</f>
        <v>8.3</v>
      </c>
      <c r="AH1307" s="34">
        <f>IF(E1307=1,Orders!Q1304,"")</f>
        <v>7.7</v>
      </c>
      <c r="AI1307" s="34">
        <f>IF(E1307=1,Orders!M1304,"")</f>
        <v>2.3</v>
      </c>
      <c r="AJ1307" s="34">
        <f>IF(E1307=1,Orders!N1304,"")</f>
        <v>2.9</v>
      </c>
      <c r="AK1307" s="34">
        <f>IF(E1307=1,Orders!O1304,"")</f>
        <v>2.5</v>
      </c>
      <c r="AL1307" s="33">
        <f>IF(E1307=1,IF(ROUND(ABS(AI1307+AJ1307+AK1307-AH1307),6)&lt;=0.1,1,0),"")</f>
        <v>1</v>
      </c>
      <c r="AM1307" s="36">
        <f>IF(E1307=1,AI1307/AH1307,"")</f>
        <v>0.298701298701299</v>
      </c>
      <c r="AN1307" s="36">
        <f>IF(E1307=1,AJ1307/AH1307,"")</f>
        <v>0.376623376623377</v>
      </c>
      <c r="AO1307" s="36">
        <f>IF(E1307=1,AK1307/AH1307,"")</f>
        <v>0.324675324675325</v>
      </c>
      <c r="AP1307" s="34">
        <f>IF(E1307=1,Orders!Y1304,"")</f>
        <v>0.45</v>
      </c>
      <c r="AQ1307" s="33">
        <f>IF(Orders!X1304,1,0)</f>
        <v>0</v>
      </c>
      <c r="AR1307" s="34" t="str">
        <f>IF(AND(E1307=1,L1307=1),AJ1307,"")</f>
        <v/>
      </c>
      <c r="AS1307" s="34">
        <f>IF(AND(E1307=1,L1307=0),AJ1307,"")</f>
        <v>2.9</v>
      </c>
      <c r="AT1307" s="34" t="str">
        <f>IF(AND(E1307=1,L1307=1),AI1307,"")</f>
        <v/>
      </c>
      <c r="AU1307" s="34">
        <f>IF(AND(E1307=1,L1307=0),AI1307,"")</f>
        <v>2.3</v>
      </c>
      <c r="AV1307" s="34" t="str">
        <f>IF(AND(E1307=1,L1307=1),AG1307,"")</f>
        <v/>
      </c>
      <c r="AW1307" s="34">
        <f>IF(AND(E1307=1,L1307=0),AG1307,"")</f>
        <v>8.3</v>
      </c>
      <c r="AX1307" s="34" t="str">
        <f>IF(AND(E1307=1,L1307=1),AH1307,"")</f>
        <v/>
      </c>
      <c r="AY1307" s="34">
        <f>IF(AND(E1307=1,L1307=0),AH1307,"")</f>
        <v>7.7</v>
      </c>
      <c r="AZ1307" s="34" t="str">
        <f>IF(G1307=1,F1307,"")</f>
        <v/>
      </c>
      <c r="BA1307" s="34" t="str">
        <f>IF(AND(G1307=1,L1307=1),F1307,"")</f>
        <v/>
      </c>
      <c r="BB1307" s="34" t="str">
        <f>IF(AND(G1307=1,L1307=0),F1307,"")</f>
        <v/>
      </c>
      <c r="BC1307" s="33">
        <f>IF(E1307=1,IF(Orders!R1304&gt;3,1,0),"")</f>
        <v>0</v>
      </c>
      <c r="BD1307" s="33">
        <f>IF(E1307=1,IF(Orders!R1304&gt;7,1,0),"")</f>
        <v>0</v>
      </c>
      <c r="BE1307" s="32" t="str">
        <f>IF(E1307=1,IF(Orders!L1304&lt;=1.5,"Up to 1.5 km",IF(Orders!L1304&lt;=3,"1.5–3 km","Over 3 km")),"")</f>
        <v>Up to 1.5 km</v>
      </c>
      <c r="BF1307" s="33">
        <f>IF(E1307=1,IF(ABS((Orders!G1304-Orders!F1304)*1440-Orders!R1304)&lt;0.06,1,0),"")</f>
        <v>1</v>
      </c>
      <c r="BG1307" s="33">
        <f>IF(ABS((Orders!F1304-Orders!E1304)*1440-Orders!P1304)&lt;0.06,1,0)</f>
        <v>1</v>
      </c>
      <c r="BH1307" s="33">
        <f>IF(E1307=1,IF(IF(Orders!S1304,1,0)=1-G1307,1,0),"")</f>
        <v>1</v>
      </c>
      <c r="BI1307" s="32" t="str">
        <f>INDEX(Stores!$B$2:$B$21,MATCH(B1307,Stores!$A$2:$A$21,0))</f>
        <v>Pune</v>
      </c>
    </row>
    <row r="1308">
      <c r="A1308" s="32" t="str">
        <f>Orders!A1305</f>
        <v>O01304</v>
      </c>
      <c r="B1308" s="32" t="str">
        <f>Orders!C1305</f>
        <v>S015</v>
      </c>
      <c r="C1308" s="32" t="str">
        <f>Orders!B1305</f>
        <v>C0026</v>
      </c>
      <c r="D1308" s="32" t="str">
        <f>Orders!H1305</f>
        <v>Delivered</v>
      </c>
      <c r="E1308" s="33">
        <f>IF(Orders!H1305="Delivered",1,0)</f>
        <v>1</v>
      </c>
      <c r="F1308" s="34">
        <f>IF(E1308=1,Orders!R1305,"")</f>
        <v>-0.5</v>
      </c>
      <c r="G1308" s="33">
        <f>IF(E1308=1,IF(Orders!R1305&gt;0,1,0),"")</f>
        <v>0</v>
      </c>
      <c r="H1308" s="33">
        <f>IF(E1308=1,IF(Orders!R1305&gt;5,1,0),"")</f>
        <v>0</v>
      </c>
      <c r="I1308" s="32" t="str">
        <f>IF(E1308=1,"",IF(OR(Orders!T1305="Rider unavailable",Orders!T1305="Item unavailable"),"Company-caused","Unresolved"))</f>
        <v/>
      </c>
      <c r="J1308" s="33">
        <f>IF(OR(E1308=1,I1308="Company-caused"),1,0)</f>
        <v>1</v>
      </c>
      <c r="K1308" s="32" t="str">
        <f>IF(E1308=0,IF(I1308="Company-caused",IF(Orders!T1305="Rider unavailable","C1 Rider unavailable","C2 Item unavailable"),"Outside root: unresolved"),IF(G1308=0,"A On time",IF(H1308=1,IF(L1308=1,"B2a Severe, peak","B2b Severe, off-peak"),IF(L1308=1,"B1a Slight, peak","B1b Slight, off-peak"))))</f>
        <v>A On time</v>
      </c>
      <c r="L1308" s="33">
        <f>IF(AND(Orders!U1305&gt;=19,Orders!U1305&lt;22),1,0)</f>
        <v>0</v>
      </c>
      <c r="M1308" s="33">
        <f>IF(L1308=IF(Orders!V1305,1,0),1,0)</f>
        <v>1</v>
      </c>
      <c r="N1308" s="32" t="str">
        <f>IF(Orders!W1305="","None",Orders!W1305)</f>
        <v>None</v>
      </c>
      <c r="O1308" s="35">
        <f>INT(Orders!E1305)</f>
        <v>46269.0</v>
      </c>
      <c r="P1308" s="33">
        <f>Orders!U1305</f>
        <v>13</v>
      </c>
      <c r="Q1308" s="33">
        <f>COUNTIFS(Demand!$A$2:$A$4481,B1308,Demand!$B$2:$B$4481,O1308,Demand!$C$2:$C$4481,P1308)</f>
        <v>1</v>
      </c>
      <c r="R1308" s="33">
        <f>IF(Q1308=1,SUMIFS(Demand!$E$2:$E$4481,Demand!$A$2:$A$4481,B1308,Demand!$B$2:$B$4481,O1308,Demand!$C$2:$C$4481,P1308),"")</f>
        <v>26</v>
      </c>
      <c r="S1308" s="33">
        <f>INDEX(Stores!$G$2:$G$21,MATCH(B1308,Stores!$A$2:$A$21,0))</f>
        <v>23</v>
      </c>
      <c r="T1308" s="34">
        <f>IF(R1308="","",R1308/S1308)</f>
        <v>1.1304347826087</v>
      </c>
      <c r="U1308" s="34">
        <f>IF(E1308=1,T1308,"")</f>
        <v>1.1304347826087</v>
      </c>
      <c r="V1308" s="34">
        <f>IF(AND(E1308=1,L1308=0),T1308,"")</f>
        <v>1.1304347826087</v>
      </c>
      <c r="W1308" s="33">
        <f>IF(U1308="","",IF(U1308&lt;=Breakdowns!$C$5,1,IF(U1308&lt;=Breakdowns!$C$6,2,IF(U1308&lt;=Breakdowns!$C$7,3,4))))</f>
        <v>3</v>
      </c>
      <c r="X1308" s="33">
        <f>IF(V1308="","",IF(V1308&lt;=Breakdowns!$D$5,1,IF(V1308&lt;=Breakdowns!$D$6,2,IF(V1308&lt;=Breakdowns!$D$7,3,4))))</f>
        <v>4</v>
      </c>
      <c r="Y1308" s="34">
        <f>INDEX(Stores!$F$2:$F$21,MATCH(B1308,Stores!$A$2:$A$21,0))</f>
        <v>4.66</v>
      </c>
      <c r="Z1308" s="33">
        <f>IF(Y1308&gt;Store_Summary!$M$2,1,0)</f>
        <v>0</v>
      </c>
      <c r="AA1308" s="33">
        <f>INDEX(Stores!$C$2:$C$21,MATCH(B1308,Stores!$A$2:$A$21,0))</f>
        <v>204</v>
      </c>
      <c r="AB1308" s="33">
        <f>IF(AA1308&lt;180,1,0)</f>
        <v>0</v>
      </c>
      <c r="AC1308" s="32" t="str">
        <f>IF(Orders!D1305="","",INDEX(Riders!$C$2:$C$81,MATCH(Orders!D1305,Riders!$A$2:$A$81,0)))</f>
        <v>EV scooter</v>
      </c>
      <c r="AD1308" s="33">
        <f>IF(Orders!D1305="","",INDEX(Riders!$D$2:$D$81,MATCH(Orders!D1305,Riders!$A$2:$A$81,0)))</f>
        <v>38</v>
      </c>
      <c r="AE1308" s="33">
        <f>IF(Orders!D1305="","",IF(INDEX(Riders!$B$2:$B$81,MATCH(Orders!D1305,Riders!$A$2:$A$81,0))=B1308,1,0))</f>
        <v>0</v>
      </c>
      <c r="AF1308" s="34">
        <f>IF(E1308=1,Orders!L1305,"")</f>
        <v>2.21</v>
      </c>
      <c r="AG1308" s="34">
        <f>IF(E1308=1,Orders!P1305,"")</f>
        <v>11.3</v>
      </c>
      <c r="AH1308" s="34">
        <f>IF(E1308=1,Orders!Q1305,"")</f>
        <v>10.8</v>
      </c>
      <c r="AI1308" s="34">
        <f>IF(E1308=1,Orders!M1305,"")</f>
        <v>2.8</v>
      </c>
      <c r="AJ1308" s="34">
        <f>IF(E1308=1,Orders!N1305,"")</f>
        <v>3.8</v>
      </c>
      <c r="AK1308" s="34">
        <f>IF(E1308=1,Orders!O1305,"")</f>
        <v>4.2</v>
      </c>
      <c r="AL1308" s="33">
        <f>IF(E1308=1,IF(ROUND(ABS(AI1308+AJ1308+AK1308-AH1308),6)&lt;=0.1,1,0),"")</f>
        <v>1</v>
      </c>
      <c r="AM1308" s="36">
        <f>IF(E1308=1,AI1308/AH1308,"")</f>
        <v>0.259259259259259</v>
      </c>
      <c r="AN1308" s="36">
        <f>IF(E1308=1,AJ1308/AH1308,"")</f>
        <v>0.351851851851852</v>
      </c>
      <c r="AO1308" s="36">
        <f>IF(E1308=1,AK1308/AH1308,"")</f>
        <v>0.388888888888889</v>
      </c>
      <c r="AP1308" s="34">
        <f>IF(E1308=1,Orders!Y1305,"")</f>
        <v>0.87</v>
      </c>
      <c r="AQ1308" s="33">
        <f>IF(Orders!X1305,1,0)</f>
        <v>0</v>
      </c>
      <c r="AR1308" s="34" t="str">
        <f>IF(AND(E1308=1,L1308=1),AJ1308,"")</f>
        <v/>
      </c>
      <c r="AS1308" s="34">
        <f>IF(AND(E1308=1,L1308=0),AJ1308,"")</f>
        <v>3.8</v>
      </c>
      <c r="AT1308" s="34" t="str">
        <f>IF(AND(E1308=1,L1308=1),AI1308,"")</f>
        <v/>
      </c>
      <c r="AU1308" s="34">
        <f>IF(AND(E1308=1,L1308=0),AI1308,"")</f>
        <v>2.8</v>
      </c>
      <c r="AV1308" s="34" t="str">
        <f>IF(AND(E1308=1,L1308=1),AG1308,"")</f>
        <v/>
      </c>
      <c r="AW1308" s="34">
        <f>IF(AND(E1308=1,L1308=0),AG1308,"")</f>
        <v>11.3</v>
      </c>
      <c r="AX1308" s="34" t="str">
        <f>IF(AND(E1308=1,L1308=1),AH1308,"")</f>
        <v/>
      </c>
      <c r="AY1308" s="34">
        <f>IF(AND(E1308=1,L1308=0),AH1308,"")</f>
        <v>10.8</v>
      </c>
      <c r="AZ1308" s="34" t="str">
        <f>IF(G1308=1,F1308,"")</f>
        <v/>
      </c>
      <c r="BA1308" s="34" t="str">
        <f>IF(AND(G1308=1,L1308=1),F1308,"")</f>
        <v/>
      </c>
      <c r="BB1308" s="34" t="str">
        <f>IF(AND(G1308=1,L1308=0),F1308,"")</f>
        <v/>
      </c>
      <c r="BC1308" s="33">
        <f>IF(E1308=1,IF(Orders!R1305&gt;3,1,0),"")</f>
        <v>0</v>
      </c>
      <c r="BD1308" s="33">
        <f>IF(E1308=1,IF(Orders!R1305&gt;7,1,0),"")</f>
        <v>0</v>
      </c>
      <c r="BE1308" s="32" t="str">
        <f>IF(E1308=1,IF(Orders!L1305&lt;=1.5,"Up to 1.5 km",IF(Orders!L1305&lt;=3,"1.5–3 km","Over 3 km")),"")</f>
        <v>1.5–3 km</v>
      </c>
      <c r="BF1308" s="33">
        <f>IF(E1308=1,IF(ABS((Orders!G1305-Orders!F1305)*1440-Orders!R1305)&lt;0.06,1,0),"")</f>
        <v>1</v>
      </c>
      <c r="BG1308" s="33">
        <f>IF(ABS((Orders!F1305-Orders!E1305)*1440-Orders!P1305)&lt;0.06,1,0)</f>
        <v>1</v>
      </c>
      <c r="BH1308" s="33">
        <f>IF(E1308=1,IF(IF(Orders!S1305,1,0)=1-G1308,1,0),"")</f>
        <v>1</v>
      </c>
      <c r="BI1308" s="32" t="str">
        <f>INDEX(Stores!$B$2:$B$21,MATCH(B1308,Stores!$A$2:$A$21,0))</f>
        <v>Delhi</v>
      </c>
    </row>
    <row r="1309">
      <c r="A1309" s="32" t="str">
        <f>Orders!A1306</f>
        <v>O01305</v>
      </c>
      <c r="B1309" s="32" t="str">
        <f>Orders!C1306</f>
        <v>S004</v>
      </c>
      <c r="C1309" s="32" t="str">
        <f>Orders!B1306</f>
        <v>C0066</v>
      </c>
      <c r="D1309" s="32" t="str">
        <f>Orders!H1306</f>
        <v>Delivered</v>
      </c>
      <c r="E1309" s="33">
        <f>IF(Orders!H1306="Delivered",1,0)</f>
        <v>1</v>
      </c>
      <c r="F1309" s="34">
        <f>IF(E1309=1,Orders!R1306,"")</f>
        <v>-0.4</v>
      </c>
      <c r="G1309" s="33">
        <f>IF(E1309=1,IF(Orders!R1306&gt;0,1,0),"")</f>
        <v>0</v>
      </c>
      <c r="H1309" s="33">
        <f>IF(E1309=1,IF(Orders!R1306&gt;5,1,0),"")</f>
        <v>0</v>
      </c>
      <c r="I1309" s="32" t="str">
        <f>IF(E1309=1,"",IF(OR(Orders!T1306="Rider unavailable",Orders!T1306="Item unavailable"),"Company-caused","Unresolved"))</f>
        <v/>
      </c>
      <c r="J1309" s="33">
        <f>IF(OR(E1309=1,I1309="Company-caused"),1,0)</f>
        <v>1</v>
      </c>
      <c r="K1309" s="32" t="str">
        <f>IF(E1309=0,IF(I1309="Company-caused",IF(Orders!T1306="Rider unavailable","C1 Rider unavailable","C2 Item unavailable"),"Outside root: unresolved"),IF(G1309=0,"A On time",IF(H1309=1,IF(L1309=1,"B2a Severe, peak","B2b Severe, off-peak"),IF(L1309=1,"B1a Slight, peak","B1b Slight, off-peak"))))</f>
        <v>A On time</v>
      </c>
      <c r="L1309" s="33">
        <f>IF(AND(Orders!U1306&gt;=19,Orders!U1306&lt;22),1,0)</f>
        <v>0</v>
      </c>
      <c r="M1309" s="33">
        <f>IF(L1309=IF(Orders!V1306,1,0),1,0)</f>
        <v>1</v>
      </c>
      <c r="N1309" s="32" t="str">
        <f>IF(Orders!W1306="","None",Orders!W1306)</f>
        <v>None</v>
      </c>
      <c r="O1309" s="35">
        <f>INT(Orders!E1306)</f>
        <v>46278.0</v>
      </c>
      <c r="P1309" s="33">
        <f>Orders!U1306</f>
        <v>15</v>
      </c>
      <c r="Q1309" s="33">
        <f>COUNTIFS(Demand!$A$2:$A$4481,B1309,Demand!$B$2:$B$4481,O1309,Demand!$C$2:$C$4481,P1309)</f>
        <v>1</v>
      </c>
      <c r="R1309" s="33">
        <f>IF(Q1309=1,SUMIFS(Demand!$E$2:$E$4481,Demand!$A$2:$A$4481,B1309,Demand!$B$2:$B$4481,O1309,Demand!$C$2:$C$4481,P1309),"")</f>
        <v>38</v>
      </c>
      <c r="S1309" s="33">
        <f>INDEX(Stores!$G$2:$G$21,MATCH(B1309,Stores!$A$2:$A$21,0))</f>
        <v>42</v>
      </c>
      <c r="T1309" s="34">
        <f>IF(R1309="","",R1309/S1309)</f>
        <v>0.904761904761905</v>
      </c>
      <c r="U1309" s="34">
        <f>IF(E1309=1,T1309,"")</f>
        <v>0.904761904761905</v>
      </c>
      <c r="V1309" s="34">
        <f>IF(AND(E1309=1,L1309=0),T1309,"")</f>
        <v>0.904761904761905</v>
      </c>
      <c r="W1309" s="33">
        <f>IF(U1309="","",IF(U1309&lt;=Breakdowns!$C$5,1,IF(U1309&lt;=Breakdowns!$C$6,2,IF(U1309&lt;=Breakdowns!$C$7,3,4))))</f>
        <v>2</v>
      </c>
      <c r="X1309" s="33">
        <f>IF(V1309="","",IF(V1309&lt;=Breakdowns!$D$5,1,IF(V1309&lt;=Breakdowns!$D$6,2,IF(V1309&lt;=Breakdowns!$D$7,3,4))))</f>
        <v>2</v>
      </c>
      <c r="Y1309" s="34">
        <f>INDEX(Stores!$F$2:$F$21,MATCH(B1309,Stores!$A$2:$A$21,0))</f>
        <v>2.19</v>
      </c>
      <c r="Z1309" s="33">
        <f>IF(Y1309&gt;Store_Summary!$M$2,1,0)</f>
        <v>0</v>
      </c>
      <c r="AA1309" s="33">
        <f>INDEX(Stores!$C$2:$C$21,MATCH(B1309,Stores!$A$2:$A$21,0))</f>
        <v>850</v>
      </c>
      <c r="AB1309" s="33">
        <f>IF(AA1309&lt;180,1,0)</f>
        <v>0</v>
      </c>
      <c r="AC1309" s="32" t="str">
        <f>IF(Orders!D1306="","",INDEX(Riders!$C$2:$C$81,MATCH(Orders!D1306,Riders!$A$2:$A$81,0)))</f>
        <v>EV scooter</v>
      </c>
      <c r="AD1309" s="33">
        <f>IF(Orders!D1306="","",INDEX(Riders!$D$2:$D$81,MATCH(Orders!D1306,Riders!$A$2:$A$81,0)))</f>
        <v>36</v>
      </c>
      <c r="AE1309" s="33">
        <f>IF(Orders!D1306="","",IF(INDEX(Riders!$B$2:$B$81,MATCH(Orders!D1306,Riders!$A$2:$A$81,0))=B1309,1,0))</f>
        <v>0</v>
      </c>
      <c r="AF1309" s="34">
        <f>IF(E1309=1,Orders!L1306,"")</f>
        <v>3.3</v>
      </c>
      <c r="AG1309" s="34">
        <f>IF(E1309=1,Orders!P1306,"")</f>
        <v>11.6</v>
      </c>
      <c r="AH1309" s="34">
        <f>IF(E1309=1,Orders!Q1306,"")</f>
        <v>11.2</v>
      </c>
      <c r="AI1309" s="34">
        <f>IF(E1309=1,Orders!M1306,"")</f>
        <v>2.4</v>
      </c>
      <c r="AJ1309" s="34">
        <f>IF(E1309=1,Orders!N1306,"")</f>
        <v>2.9</v>
      </c>
      <c r="AK1309" s="34">
        <f>IF(E1309=1,Orders!O1306,"")</f>
        <v>5.9</v>
      </c>
      <c r="AL1309" s="33">
        <f>IF(E1309=1,IF(ROUND(ABS(AI1309+AJ1309+AK1309-AH1309),6)&lt;=0.1,1,0),"")</f>
        <v>1</v>
      </c>
      <c r="AM1309" s="36">
        <f>IF(E1309=1,AI1309/AH1309,"")</f>
        <v>0.214285714285714</v>
      </c>
      <c r="AN1309" s="36">
        <f>IF(E1309=1,AJ1309/AH1309,"")</f>
        <v>0.258928571428571</v>
      </c>
      <c r="AO1309" s="36">
        <f>IF(E1309=1,AK1309/AH1309,"")</f>
        <v>0.526785714285714</v>
      </c>
      <c r="AP1309" s="34">
        <f>IF(E1309=1,Orders!Y1306,"")</f>
        <v>0.34</v>
      </c>
      <c r="AQ1309" s="33">
        <f>IF(Orders!X1306,1,0)</f>
        <v>0</v>
      </c>
      <c r="AR1309" s="34" t="str">
        <f>IF(AND(E1309=1,L1309=1),AJ1309,"")</f>
        <v/>
      </c>
      <c r="AS1309" s="34">
        <f>IF(AND(E1309=1,L1309=0),AJ1309,"")</f>
        <v>2.9</v>
      </c>
      <c r="AT1309" s="34" t="str">
        <f>IF(AND(E1309=1,L1309=1),AI1309,"")</f>
        <v/>
      </c>
      <c r="AU1309" s="34">
        <f>IF(AND(E1309=1,L1309=0),AI1309,"")</f>
        <v>2.4</v>
      </c>
      <c r="AV1309" s="34" t="str">
        <f>IF(AND(E1309=1,L1309=1),AG1309,"")</f>
        <v/>
      </c>
      <c r="AW1309" s="34">
        <f>IF(AND(E1309=1,L1309=0),AG1309,"")</f>
        <v>11.6</v>
      </c>
      <c r="AX1309" s="34" t="str">
        <f>IF(AND(E1309=1,L1309=1),AH1309,"")</f>
        <v/>
      </c>
      <c r="AY1309" s="34">
        <f>IF(AND(E1309=1,L1309=0),AH1309,"")</f>
        <v>11.2</v>
      </c>
      <c r="AZ1309" s="34" t="str">
        <f>IF(G1309=1,F1309,"")</f>
        <v/>
      </c>
      <c r="BA1309" s="34" t="str">
        <f>IF(AND(G1309=1,L1309=1),F1309,"")</f>
        <v/>
      </c>
      <c r="BB1309" s="34" t="str">
        <f>IF(AND(G1309=1,L1309=0),F1309,"")</f>
        <v/>
      </c>
      <c r="BC1309" s="33">
        <f>IF(E1309=1,IF(Orders!R1306&gt;3,1,0),"")</f>
        <v>0</v>
      </c>
      <c r="BD1309" s="33">
        <f>IF(E1309=1,IF(Orders!R1306&gt;7,1,0),"")</f>
        <v>0</v>
      </c>
      <c r="BE1309" s="32" t="str">
        <f>IF(E1309=1,IF(Orders!L1306&lt;=1.5,"Up to 1.5 km",IF(Orders!L1306&lt;=3,"1.5–3 km","Over 3 km")),"")</f>
        <v>Over 3 km</v>
      </c>
      <c r="BF1309" s="33">
        <f>IF(E1309=1,IF(ABS((Orders!G1306-Orders!F1306)*1440-Orders!R1306)&lt;0.06,1,0),"")</f>
        <v>1</v>
      </c>
      <c r="BG1309" s="33">
        <f>IF(ABS((Orders!F1306-Orders!E1306)*1440-Orders!P1306)&lt;0.06,1,0)</f>
        <v>1</v>
      </c>
      <c r="BH1309" s="33">
        <f>IF(E1309=1,IF(IF(Orders!S1306,1,0)=1-G1309,1,0),"")</f>
        <v>1</v>
      </c>
      <c r="BI1309" s="32" t="str">
        <f>INDEX(Stores!$B$2:$B$21,MATCH(B1309,Stores!$A$2:$A$21,0))</f>
        <v>Pune</v>
      </c>
    </row>
    <row r="1310">
      <c r="A1310" s="32" t="str">
        <f>Orders!A1307</f>
        <v>O01306</v>
      </c>
      <c r="B1310" s="32" t="str">
        <f>Orders!C1307</f>
        <v>S007</v>
      </c>
      <c r="C1310" s="32" t="str">
        <f>Orders!B1307</f>
        <v>C0214</v>
      </c>
      <c r="D1310" s="32" t="str">
        <f>Orders!H1307</f>
        <v>Delivered</v>
      </c>
      <c r="E1310" s="33">
        <f>IF(Orders!H1307="Delivered",1,0)</f>
        <v>1</v>
      </c>
      <c r="F1310" s="34">
        <f>IF(E1310=1,Orders!R1307,"")</f>
        <v>9.3</v>
      </c>
      <c r="G1310" s="33">
        <f>IF(E1310=1,IF(Orders!R1307&gt;0,1,0),"")</f>
        <v>1</v>
      </c>
      <c r="H1310" s="33">
        <f>IF(E1310=1,IF(Orders!R1307&gt;5,1,0),"")</f>
        <v>1</v>
      </c>
      <c r="I1310" s="32" t="str">
        <f>IF(E1310=1,"",IF(OR(Orders!T1307="Rider unavailable",Orders!T1307="Item unavailable"),"Company-caused","Unresolved"))</f>
        <v/>
      </c>
      <c r="J1310" s="33">
        <f>IF(OR(E1310=1,I1310="Company-caused"),1,0)</f>
        <v>1</v>
      </c>
      <c r="K1310" s="32" t="str">
        <f>IF(E1310=0,IF(I1310="Company-caused",IF(Orders!T1307="Rider unavailable","C1 Rider unavailable","C2 Item unavailable"),"Outside root: unresolved"),IF(G1310=0,"A On time",IF(H1310=1,IF(L1310=1,"B2a Severe, peak","B2b Severe, off-peak"),IF(L1310=1,"B1a Slight, peak","B1b Slight, off-peak"))))</f>
        <v>B2b Severe, off-peak</v>
      </c>
      <c r="L1310" s="33">
        <f>IF(AND(Orders!U1307&gt;=19,Orders!U1307&lt;22),1,0)</f>
        <v>0</v>
      </c>
      <c r="M1310" s="33">
        <f>IF(L1310=IF(Orders!V1307,1,0),1,0)</f>
        <v>1</v>
      </c>
      <c r="N1310" s="32" t="str">
        <f>IF(Orders!W1307="","None",Orders!W1307)</f>
        <v>None</v>
      </c>
      <c r="O1310" s="35">
        <f>INT(Orders!E1307)</f>
        <v>46272.0</v>
      </c>
      <c r="P1310" s="33">
        <f>Orders!U1307</f>
        <v>12</v>
      </c>
      <c r="Q1310" s="33">
        <f>COUNTIFS(Demand!$A$2:$A$4481,B1310,Demand!$B$2:$B$4481,O1310,Demand!$C$2:$C$4481,P1310)</f>
        <v>1</v>
      </c>
      <c r="R1310" s="33">
        <f>IF(Q1310=1,SUMIFS(Demand!$E$2:$E$4481,Demand!$A$2:$A$4481,B1310,Demand!$B$2:$B$4481,O1310,Demand!$C$2:$C$4481,P1310),"")</f>
        <v>42</v>
      </c>
      <c r="S1310" s="33">
        <f>INDEX(Stores!$G$2:$G$21,MATCH(B1310,Stores!$A$2:$A$21,0))</f>
        <v>37</v>
      </c>
      <c r="T1310" s="34">
        <f>IF(R1310="","",R1310/S1310)</f>
        <v>1.13513513513514</v>
      </c>
      <c r="U1310" s="34">
        <f>IF(E1310=1,T1310,"")</f>
        <v>1.13513513513514</v>
      </c>
      <c r="V1310" s="34">
        <f>IF(AND(E1310=1,L1310=0),T1310,"")</f>
        <v>1.13513513513514</v>
      </c>
      <c r="W1310" s="33">
        <f>IF(U1310="","",IF(U1310&lt;=Breakdowns!$C$5,1,IF(U1310&lt;=Breakdowns!$C$6,2,IF(U1310&lt;=Breakdowns!$C$7,3,4))))</f>
        <v>3</v>
      </c>
      <c r="X1310" s="33">
        <f>IF(V1310="","",IF(V1310&lt;=Breakdowns!$D$5,1,IF(V1310&lt;=Breakdowns!$D$6,2,IF(V1310&lt;=Breakdowns!$D$7,3,4))))</f>
        <v>4</v>
      </c>
      <c r="Y1310" s="34">
        <f>INDEX(Stores!$F$2:$F$21,MATCH(B1310,Stores!$A$2:$A$21,0))</f>
        <v>4.05</v>
      </c>
      <c r="Z1310" s="33">
        <f>IF(Y1310&gt;Store_Summary!$M$2,1,0)</f>
        <v>0</v>
      </c>
      <c r="AA1310" s="33">
        <f>INDEX(Stores!$C$2:$C$21,MATCH(B1310,Stores!$A$2:$A$21,0))</f>
        <v>661</v>
      </c>
      <c r="AB1310" s="33">
        <f>IF(AA1310&lt;180,1,0)</f>
        <v>0</v>
      </c>
      <c r="AC1310" s="32" t="str">
        <f>IF(Orders!D1307="","",INDEX(Riders!$C$2:$C$81,MATCH(Orders!D1307,Riders!$A$2:$A$81,0)))</f>
        <v>EV scooter</v>
      </c>
      <c r="AD1310" s="33">
        <f>IF(Orders!D1307="","",INDEX(Riders!$D$2:$D$81,MATCH(Orders!D1307,Riders!$A$2:$A$81,0)))</f>
        <v>14</v>
      </c>
      <c r="AE1310" s="33">
        <f>IF(Orders!D1307="","",IF(INDEX(Riders!$B$2:$B$81,MATCH(Orders!D1307,Riders!$A$2:$A$81,0))=B1310,1,0))</f>
        <v>0</v>
      </c>
      <c r="AF1310" s="34">
        <f>IF(E1310=1,Orders!L1307,"")</f>
        <v>3.37</v>
      </c>
      <c r="AG1310" s="34">
        <f>IF(E1310=1,Orders!P1307,"")</f>
        <v>10.9</v>
      </c>
      <c r="AH1310" s="34">
        <f>IF(E1310=1,Orders!Q1307,"")</f>
        <v>20.2</v>
      </c>
      <c r="AI1310" s="34">
        <f>IF(E1310=1,Orders!M1307,"")</f>
        <v>5.8</v>
      </c>
      <c r="AJ1310" s="34">
        <f>IF(E1310=1,Orders!N1307,"")</f>
        <v>3.9</v>
      </c>
      <c r="AK1310" s="34">
        <f>IF(E1310=1,Orders!O1307,"")</f>
        <v>10.5</v>
      </c>
      <c r="AL1310" s="33">
        <f>IF(E1310=1,IF(ROUND(ABS(AI1310+AJ1310+AK1310-AH1310),6)&lt;=0.1,1,0),"")</f>
        <v>1</v>
      </c>
      <c r="AM1310" s="36">
        <f>IF(E1310=1,AI1310/AH1310,"")</f>
        <v>0.287128712871287</v>
      </c>
      <c r="AN1310" s="36">
        <f>IF(E1310=1,AJ1310/AH1310,"")</f>
        <v>0.193069306930693</v>
      </c>
      <c r="AO1310" s="36">
        <f>IF(E1310=1,AK1310/AH1310,"")</f>
        <v>0.51980198019802</v>
      </c>
      <c r="AP1310" s="34">
        <f>IF(E1310=1,Orders!Y1307,"")</f>
        <v>0.7</v>
      </c>
      <c r="AQ1310" s="33">
        <f>IF(Orders!X1307,1,0)</f>
        <v>0</v>
      </c>
      <c r="AR1310" s="34" t="str">
        <f>IF(AND(E1310=1,L1310=1),AJ1310,"")</f>
        <v/>
      </c>
      <c r="AS1310" s="34">
        <f>IF(AND(E1310=1,L1310=0),AJ1310,"")</f>
        <v>3.9</v>
      </c>
      <c r="AT1310" s="34" t="str">
        <f>IF(AND(E1310=1,L1310=1),AI1310,"")</f>
        <v/>
      </c>
      <c r="AU1310" s="34">
        <f>IF(AND(E1310=1,L1310=0),AI1310,"")</f>
        <v>5.8</v>
      </c>
      <c r="AV1310" s="34" t="str">
        <f>IF(AND(E1310=1,L1310=1),AG1310,"")</f>
        <v/>
      </c>
      <c r="AW1310" s="34">
        <f>IF(AND(E1310=1,L1310=0),AG1310,"")</f>
        <v>10.9</v>
      </c>
      <c r="AX1310" s="34" t="str">
        <f>IF(AND(E1310=1,L1310=1),AH1310,"")</f>
        <v/>
      </c>
      <c r="AY1310" s="34">
        <f>IF(AND(E1310=1,L1310=0),AH1310,"")</f>
        <v>20.2</v>
      </c>
      <c r="AZ1310" s="34">
        <f>IF(G1310=1,F1310,"")</f>
        <v>9.3</v>
      </c>
      <c r="BA1310" s="34" t="str">
        <f>IF(AND(G1310=1,L1310=1),F1310,"")</f>
        <v/>
      </c>
      <c r="BB1310" s="34">
        <f>IF(AND(G1310=1,L1310=0),F1310,"")</f>
        <v>9.3</v>
      </c>
      <c r="BC1310" s="33">
        <f>IF(E1310=1,IF(Orders!R1307&gt;3,1,0),"")</f>
        <v>1</v>
      </c>
      <c r="BD1310" s="33">
        <f>IF(E1310=1,IF(Orders!R1307&gt;7,1,0),"")</f>
        <v>1</v>
      </c>
      <c r="BE1310" s="32" t="str">
        <f>IF(E1310=1,IF(Orders!L1307&lt;=1.5,"Up to 1.5 km",IF(Orders!L1307&lt;=3,"1.5–3 km","Over 3 km")),"")</f>
        <v>Over 3 km</v>
      </c>
      <c r="BF1310" s="33">
        <f>IF(E1310=1,IF(ABS((Orders!G1307-Orders!F1307)*1440-Orders!R1307)&lt;0.06,1,0),"")</f>
        <v>1</v>
      </c>
      <c r="BG1310" s="33">
        <f>IF(ABS((Orders!F1307-Orders!E1307)*1440-Orders!P1307)&lt;0.06,1,0)</f>
        <v>1</v>
      </c>
      <c r="BH1310" s="33">
        <f>IF(E1310=1,IF(IF(Orders!S1307,1,0)=1-G1310,1,0),"")</f>
        <v>1</v>
      </c>
      <c r="BI1310" s="32" t="str">
        <f>INDEX(Stores!$B$2:$B$21,MATCH(B1310,Stores!$A$2:$A$21,0))</f>
        <v>Hyderabad</v>
      </c>
    </row>
    <row r="1311">
      <c r="A1311" s="32" t="str">
        <f>Orders!A1308</f>
        <v>O01307</v>
      </c>
      <c r="B1311" s="32" t="str">
        <f>Orders!C1308</f>
        <v>S020</v>
      </c>
      <c r="C1311" s="32" t="str">
        <f>Orders!B1308</f>
        <v>C0061</v>
      </c>
      <c r="D1311" s="32" t="str">
        <f>Orders!H1308</f>
        <v>Delivered</v>
      </c>
      <c r="E1311" s="33">
        <f>IF(Orders!H1308="Delivered",1,0)</f>
        <v>1</v>
      </c>
      <c r="F1311" s="34">
        <f>IF(E1311=1,Orders!R1308,"")</f>
        <v>-1.2</v>
      </c>
      <c r="G1311" s="33">
        <f>IF(E1311=1,IF(Orders!R1308&gt;0,1,0),"")</f>
        <v>0</v>
      </c>
      <c r="H1311" s="33">
        <f>IF(E1311=1,IF(Orders!R1308&gt;5,1,0),"")</f>
        <v>0</v>
      </c>
      <c r="I1311" s="32" t="str">
        <f>IF(E1311=1,"",IF(OR(Orders!T1308="Rider unavailable",Orders!T1308="Item unavailable"),"Company-caused","Unresolved"))</f>
        <v/>
      </c>
      <c r="J1311" s="33">
        <f>IF(OR(E1311=1,I1311="Company-caused"),1,0)</f>
        <v>1</v>
      </c>
      <c r="K1311" s="32" t="str">
        <f>IF(E1311=0,IF(I1311="Company-caused",IF(Orders!T1308="Rider unavailable","C1 Rider unavailable","C2 Item unavailable"),"Outside root: unresolved"),IF(G1311=0,"A On time",IF(H1311=1,IF(L1311=1,"B2a Severe, peak","B2b Severe, off-peak"),IF(L1311=1,"B1a Slight, peak","B1b Slight, off-peak"))))</f>
        <v>A On time</v>
      </c>
      <c r="L1311" s="33">
        <f>IF(AND(Orders!U1308&gt;=19,Orders!U1308&lt;22),1,0)</f>
        <v>0</v>
      </c>
      <c r="M1311" s="33">
        <f>IF(L1311=IF(Orders!V1308,1,0),1,0)</f>
        <v>1</v>
      </c>
      <c r="N1311" s="32" t="str">
        <f>IF(Orders!W1308="","None",Orders!W1308)</f>
        <v>None</v>
      </c>
      <c r="O1311" s="35">
        <f>INT(Orders!E1308)</f>
        <v>46269.0</v>
      </c>
      <c r="P1311" s="33">
        <f>Orders!U1308</f>
        <v>15</v>
      </c>
      <c r="Q1311" s="33">
        <f>COUNTIFS(Demand!$A$2:$A$4481,B1311,Demand!$B$2:$B$4481,O1311,Demand!$C$2:$C$4481,P1311)</f>
        <v>1</v>
      </c>
      <c r="R1311" s="33">
        <f>IF(Q1311=1,SUMIFS(Demand!$E$2:$E$4481,Demand!$A$2:$A$4481,B1311,Demand!$B$2:$B$4481,O1311,Demand!$C$2:$C$4481,P1311),"")</f>
        <v>8</v>
      </c>
      <c r="S1311" s="33">
        <f>INDEX(Stores!$G$2:$G$21,MATCH(B1311,Stores!$A$2:$A$21,0))</f>
        <v>15</v>
      </c>
      <c r="T1311" s="34">
        <f>IF(R1311="","",R1311/S1311)</f>
        <v>0.533333333333333</v>
      </c>
      <c r="U1311" s="34">
        <f>IF(E1311=1,T1311,"")</f>
        <v>0.533333333333333</v>
      </c>
      <c r="V1311" s="34">
        <f>IF(AND(E1311=1,L1311=0),T1311,"")</f>
        <v>0.533333333333333</v>
      </c>
      <c r="W1311" s="33">
        <f>IF(U1311="","",IF(U1311&lt;=Breakdowns!$C$5,1,IF(U1311&lt;=Breakdowns!$C$6,2,IF(U1311&lt;=Breakdowns!$C$7,3,4))))</f>
        <v>1</v>
      </c>
      <c r="X1311" s="33">
        <f>IF(V1311="","",IF(V1311&lt;=Breakdowns!$D$5,1,IF(V1311&lt;=Breakdowns!$D$6,2,IF(V1311&lt;=Breakdowns!$D$7,3,4))))</f>
        <v>1</v>
      </c>
      <c r="Y1311" s="34">
        <f>INDEX(Stores!$F$2:$F$21,MATCH(B1311,Stores!$A$2:$A$21,0))</f>
        <v>5.74</v>
      </c>
      <c r="Z1311" s="33">
        <f>IF(Y1311&gt;Store_Summary!$M$2,1,0)</f>
        <v>1</v>
      </c>
      <c r="AA1311" s="33">
        <f>INDEX(Stores!$C$2:$C$21,MATCH(B1311,Stores!$A$2:$A$21,0))</f>
        <v>647</v>
      </c>
      <c r="AB1311" s="33">
        <f>IF(AA1311&lt;180,1,0)</f>
        <v>0</v>
      </c>
      <c r="AC1311" s="32" t="str">
        <f>IF(Orders!D1308="","",INDEX(Riders!$C$2:$C$81,MATCH(Orders!D1308,Riders!$A$2:$A$81,0)))</f>
        <v>Petrol scooter</v>
      </c>
      <c r="AD1311" s="33">
        <f>IF(Orders!D1308="","",INDEX(Riders!$D$2:$D$81,MATCH(Orders!D1308,Riders!$A$2:$A$81,0)))</f>
        <v>19</v>
      </c>
      <c r="AE1311" s="33">
        <f>IF(Orders!D1308="","",IF(INDEX(Riders!$B$2:$B$81,MATCH(Orders!D1308,Riders!$A$2:$A$81,0))=B1311,1,0))</f>
        <v>0</v>
      </c>
      <c r="AF1311" s="34">
        <f>IF(E1311=1,Orders!L1308,"")</f>
        <v>1.5</v>
      </c>
      <c r="AG1311" s="34">
        <f>IF(E1311=1,Orders!P1308,"")</f>
        <v>11</v>
      </c>
      <c r="AH1311" s="34">
        <f>IF(E1311=1,Orders!Q1308,"")</f>
        <v>9.8</v>
      </c>
      <c r="AI1311" s="34">
        <f>IF(E1311=1,Orders!M1308,"")</f>
        <v>3.3</v>
      </c>
      <c r="AJ1311" s="34">
        <f>IF(E1311=1,Orders!N1308,"")</f>
        <v>4</v>
      </c>
      <c r="AK1311" s="34">
        <f>IF(E1311=1,Orders!O1308,"")</f>
        <v>2.5</v>
      </c>
      <c r="AL1311" s="33">
        <f>IF(E1311=1,IF(ROUND(ABS(AI1311+AJ1311+AK1311-AH1311),6)&lt;=0.1,1,0),"")</f>
        <v>1</v>
      </c>
      <c r="AM1311" s="36">
        <f>IF(E1311=1,AI1311/AH1311,"")</f>
        <v>0.336734693877551</v>
      </c>
      <c r="AN1311" s="36">
        <f>IF(E1311=1,AJ1311/AH1311,"")</f>
        <v>0.408163265306122</v>
      </c>
      <c r="AO1311" s="36">
        <f>IF(E1311=1,AK1311/AH1311,"")</f>
        <v>0.255102040816327</v>
      </c>
      <c r="AP1311" s="34">
        <f>IF(E1311=1,Orders!Y1308,"")</f>
        <v>0.46</v>
      </c>
      <c r="AQ1311" s="33">
        <f>IF(Orders!X1308,1,0)</f>
        <v>0</v>
      </c>
      <c r="AR1311" s="34" t="str">
        <f>IF(AND(E1311=1,L1311=1),AJ1311,"")</f>
        <v/>
      </c>
      <c r="AS1311" s="34">
        <f>IF(AND(E1311=1,L1311=0),AJ1311,"")</f>
        <v>4</v>
      </c>
      <c r="AT1311" s="34" t="str">
        <f>IF(AND(E1311=1,L1311=1),AI1311,"")</f>
        <v/>
      </c>
      <c r="AU1311" s="34">
        <f>IF(AND(E1311=1,L1311=0),AI1311,"")</f>
        <v>3.3</v>
      </c>
      <c r="AV1311" s="34" t="str">
        <f>IF(AND(E1311=1,L1311=1),AG1311,"")</f>
        <v/>
      </c>
      <c r="AW1311" s="34">
        <f>IF(AND(E1311=1,L1311=0),AG1311,"")</f>
        <v>11</v>
      </c>
      <c r="AX1311" s="34" t="str">
        <f>IF(AND(E1311=1,L1311=1),AH1311,"")</f>
        <v/>
      </c>
      <c r="AY1311" s="34">
        <f>IF(AND(E1311=1,L1311=0),AH1311,"")</f>
        <v>9.8</v>
      </c>
      <c r="AZ1311" s="34" t="str">
        <f>IF(G1311=1,F1311,"")</f>
        <v/>
      </c>
      <c r="BA1311" s="34" t="str">
        <f>IF(AND(G1311=1,L1311=1),F1311,"")</f>
        <v/>
      </c>
      <c r="BB1311" s="34" t="str">
        <f>IF(AND(G1311=1,L1311=0),F1311,"")</f>
        <v/>
      </c>
      <c r="BC1311" s="33">
        <f>IF(E1311=1,IF(Orders!R1308&gt;3,1,0),"")</f>
        <v>0</v>
      </c>
      <c r="BD1311" s="33">
        <f>IF(E1311=1,IF(Orders!R1308&gt;7,1,0),"")</f>
        <v>0</v>
      </c>
      <c r="BE1311" s="32" t="str">
        <f>IF(E1311=1,IF(Orders!L1308&lt;=1.5,"Up to 1.5 km",IF(Orders!L1308&lt;=3,"1.5–3 km","Over 3 km")),"")</f>
        <v>Up to 1.5 km</v>
      </c>
      <c r="BF1311" s="33">
        <f>IF(E1311=1,IF(ABS((Orders!G1308-Orders!F1308)*1440-Orders!R1308)&lt;0.06,1,0),"")</f>
        <v>1</v>
      </c>
      <c r="BG1311" s="33">
        <f>IF(ABS((Orders!F1308-Orders!E1308)*1440-Orders!P1308)&lt;0.06,1,0)</f>
        <v>1</v>
      </c>
      <c r="BH1311" s="33">
        <f>IF(E1311=1,IF(IF(Orders!S1308,1,0)=1-G1311,1,0),"")</f>
        <v>1</v>
      </c>
      <c r="BI1311" s="32" t="str">
        <f>INDEX(Stores!$B$2:$B$21,MATCH(B1311,Stores!$A$2:$A$21,0))</f>
        <v>Delhi</v>
      </c>
    </row>
    <row r="1312">
      <c r="A1312" s="32" t="str">
        <f>Orders!A1309</f>
        <v>O01308</v>
      </c>
      <c r="B1312" s="32" t="str">
        <f>Orders!C1309</f>
        <v>S011</v>
      </c>
      <c r="C1312" s="32" t="str">
        <f>Orders!B1309</f>
        <v>C0246</v>
      </c>
      <c r="D1312" s="32" t="str">
        <f>Orders!H1309</f>
        <v>Cancelled</v>
      </c>
      <c r="E1312" s="33">
        <f>IF(Orders!H1309="Delivered",1,0)</f>
        <v>0</v>
      </c>
      <c r="F1312" s="34" t="str">
        <f>IF(E1312=1,Orders!R1309,"")</f>
        <v/>
      </c>
      <c r="G1312" s="33" t="str">
        <f>IF(E1312=1,IF(Orders!R1309&gt;0,1,0),"")</f>
        <v/>
      </c>
      <c r="H1312" s="33" t="str">
        <f>IF(E1312=1,IF(Orders!R1309&gt;5,1,0),"")</f>
        <v/>
      </c>
      <c r="I1312" s="32" t="str">
        <f>IF(E1312=1,"",IF(OR(Orders!T1309="Rider unavailable",Orders!T1309="Item unavailable"),"Company-caused","Unresolved"))</f>
        <v>Unresolved</v>
      </c>
      <c r="J1312" s="33">
        <f>IF(OR(E1312=1,I1312="Company-caused"),1,0)</f>
        <v>0</v>
      </c>
      <c r="K1312" s="32" t="str">
        <f>IF(E1312=0,IF(I1312="Company-caused",IF(Orders!T1309="Rider unavailable","C1 Rider unavailable","C2 Item unavailable"),"Outside root: unresolved"),IF(G1312=0,"A On time",IF(H1312=1,IF(L1312=1,"B2a Severe, peak","B2b Severe, off-peak"),IF(L1312=1,"B1a Slight, peak","B1b Slight, off-peak"))))</f>
        <v>Outside root: unresolved</v>
      </c>
      <c r="L1312" s="33">
        <f>IF(AND(Orders!U1309&gt;=19,Orders!U1309&lt;22),1,0)</f>
        <v>0</v>
      </c>
      <c r="M1312" s="33">
        <f>IF(L1312=IF(Orders!V1309,1,0),1,0)</f>
        <v>1</v>
      </c>
      <c r="N1312" s="32" t="str">
        <f>IF(Orders!W1309="","None",Orders!W1309)</f>
        <v>Light</v>
      </c>
      <c r="O1312" s="35">
        <f>INT(Orders!E1309)</f>
        <v>46279.0</v>
      </c>
      <c r="P1312" s="33">
        <f>Orders!U1309</f>
        <v>22</v>
      </c>
      <c r="Q1312" s="33">
        <f>COUNTIFS(Demand!$A$2:$A$4481,B1312,Demand!$B$2:$B$4481,O1312,Demand!$C$2:$C$4481,P1312)</f>
        <v>1</v>
      </c>
      <c r="R1312" s="33">
        <f>IF(Q1312=1,SUMIFS(Demand!$E$2:$E$4481,Demand!$A$2:$A$4481,B1312,Demand!$B$2:$B$4481,O1312,Demand!$C$2:$C$4481,P1312),"")</f>
        <v>27</v>
      </c>
      <c r="S1312" s="33">
        <f>INDEX(Stores!$G$2:$G$21,MATCH(B1312,Stores!$A$2:$A$21,0))</f>
        <v>31</v>
      </c>
      <c r="T1312" s="34">
        <f>IF(R1312="","",R1312/S1312)</f>
        <v>0.870967741935484</v>
      </c>
      <c r="U1312" s="34" t="str">
        <f>IF(E1312=1,T1312,"")</f>
        <v/>
      </c>
      <c r="V1312" s="34" t="str">
        <f>IF(AND(E1312=1,L1312=0),T1312,"")</f>
        <v/>
      </c>
      <c r="W1312" s="33" t="str">
        <f>IF(U1312="","",IF(U1312&lt;=Breakdowns!$C$5,1,IF(U1312&lt;=Breakdowns!$C$6,2,IF(U1312&lt;=Breakdowns!$C$7,3,4))))</f>
        <v/>
      </c>
      <c r="X1312" s="33" t="str">
        <f>IF(V1312="","",IF(V1312&lt;=Breakdowns!$D$5,1,IF(V1312&lt;=Breakdowns!$D$6,2,IF(V1312&lt;=Breakdowns!$D$7,3,4))))</f>
        <v/>
      </c>
      <c r="Y1312" s="34">
        <f>INDEX(Stores!$F$2:$F$21,MATCH(B1312,Stores!$A$2:$A$21,0))</f>
        <v>5.67</v>
      </c>
      <c r="Z1312" s="33">
        <f>IF(Y1312&gt;Store_Summary!$M$2,1,0)</f>
        <v>1</v>
      </c>
      <c r="AA1312" s="33">
        <f>INDEX(Stores!$C$2:$C$21,MATCH(B1312,Stores!$A$2:$A$21,0))</f>
        <v>732</v>
      </c>
      <c r="AB1312" s="33">
        <f>IF(AA1312&lt;180,1,0)</f>
        <v>0</v>
      </c>
      <c r="AC1312" s="32" t="str">
        <f>IF(Orders!D1309="","",INDEX(Riders!$C$2:$C$81,MATCH(Orders!D1309,Riders!$A$2:$A$81,0)))</f>
        <v/>
      </c>
      <c r="AD1312" s="33" t="str">
        <f>IF(Orders!D1309="","",INDEX(Riders!$D$2:$D$81,MATCH(Orders!D1309,Riders!$A$2:$A$81,0)))</f>
        <v/>
      </c>
      <c r="AE1312" s="33" t="str">
        <f>IF(Orders!D1309="","",IF(INDEX(Riders!$B$2:$B$81,MATCH(Orders!D1309,Riders!$A$2:$A$81,0))=B1312,1,0))</f>
        <v/>
      </c>
      <c r="AF1312" s="34" t="str">
        <f>IF(E1312=1,Orders!L1309,"")</f>
        <v/>
      </c>
      <c r="AG1312" s="34" t="str">
        <f>IF(E1312=1,Orders!P1309,"")</f>
        <v/>
      </c>
      <c r="AH1312" s="34" t="str">
        <f>IF(E1312=1,Orders!Q1309,"")</f>
        <v/>
      </c>
      <c r="AI1312" s="34" t="str">
        <f>IF(E1312=1,Orders!M1309,"")</f>
        <v/>
      </c>
      <c r="AJ1312" s="34" t="str">
        <f>IF(E1312=1,Orders!N1309,"")</f>
        <v/>
      </c>
      <c r="AK1312" s="34" t="str">
        <f>IF(E1312=1,Orders!O1309,"")</f>
        <v/>
      </c>
      <c r="AL1312" s="33" t="str">
        <f>IF(E1312=1,IF(ROUND(ABS(AI1312+AJ1312+AK1312-AH1312),6)&lt;=0.1,1,0),"")</f>
        <v/>
      </c>
      <c r="AM1312" s="36" t="str">
        <f>IF(E1312=1,AI1312/AH1312,"")</f>
        <v/>
      </c>
      <c r="AN1312" s="36" t="str">
        <f>IF(E1312=1,AJ1312/AH1312,"")</f>
        <v/>
      </c>
      <c r="AO1312" s="36" t="str">
        <f>IF(E1312=1,AK1312/AH1312,"")</f>
        <v/>
      </c>
      <c r="AP1312" s="34" t="str">
        <f>IF(E1312=1,Orders!Y1309,"")</f>
        <v/>
      </c>
      <c r="AQ1312" s="33">
        <f>IF(Orders!X1309,1,0)</f>
        <v>0</v>
      </c>
      <c r="AR1312" s="34" t="str">
        <f>IF(AND(E1312=1,L1312=1),AJ1312,"")</f>
        <v/>
      </c>
      <c r="AS1312" s="34" t="str">
        <f>IF(AND(E1312=1,L1312=0),AJ1312,"")</f>
        <v/>
      </c>
      <c r="AT1312" s="34" t="str">
        <f>IF(AND(E1312=1,L1312=1),AI1312,"")</f>
        <v/>
      </c>
      <c r="AU1312" s="34" t="str">
        <f>IF(AND(E1312=1,L1312=0),AI1312,"")</f>
        <v/>
      </c>
      <c r="AV1312" s="34" t="str">
        <f>IF(AND(E1312=1,L1312=1),AG1312,"")</f>
        <v/>
      </c>
      <c r="AW1312" s="34" t="str">
        <f>IF(AND(E1312=1,L1312=0),AG1312,"")</f>
        <v/>
      </c>
      <c r="AX1312" s="34" t="str">
        <f>IF(AND(E1312=1,L1312=1),AH1312,"")</f>
        <v/>
      </c>
      <c r="AY1312" s="34" t="str">
        <f>IF(AND(E1312=1,L1312=0),AH1312,"")</f>
        <v/>
      </c>
      <c r="AZ1312" s="34" t="str">
        <f>IF(G1312=1,F1312,"")</f>
        <v/>
      </c>
      <c r="BA1312" s="34" t="str">
        <f>IF(AND(G1312=1,L1312=1),F1312,"")</f>
        <v/>
      </c>
      <c r="BB1312" s="34" t="str">
        <f>IF(AND(G1312=1,L1312=0),F1312,"")</f>
        <v/>
      </c>
      <c r="BC1312" s="33" t="str">
        <f>IF(E1312=1,IF(Orders!R1309&gt;3,1,0),"")</f>
        <v/>
      </c>
      <c r="BD1312" s="33" t="str">
        <f>IF(E1312=1,IF(Orders!R1309&gt;7,1,0),"")</f>
        <v/>
      </c>
      <c r="BE1312" s="32" t="str">
        <f>IF(E1312=1,IF(Orders!L1309&lt;=1.5,"Up to 1.5 km",IF(Orders!L1309&lt;=3,"1.5–3 km","Over 3 km")),"")</f>
        <v/>
      </c>
      <c r="BF1312" s="33" t="str">
        <f>IF(E1312=1,IF(ABS((Orders!G1309-Orders!F1309)*1440-Orders!R1309)&lt;0.06,1,0),"")</f>
        <v/>
      </c>
      <c r="BG1312" s="33">
        <f>IF(ABS((Orders!F1309-Orders!E1309)*1440-Orders!P1309)&lt;0.06,1,0)</f>
        <v>1</v>
      </c>
      <c r="BH1312" s="33" t="str">
        <f>IF(E1312=1,IF(IF(Orders!S1309,1,0)=1-G1312,1,0),"")</f>
        <v/>
      </c>
      <c r="BI1312" s="32" t="str">
        <f>INDEX(Stores!$B$2:$B$21,MATCH(B1312,Stores!$A$2:$A$21,0))</f>
        <v>Bengaluru</v>
      </c>
    </row>
    <row r="1313">
      <c r="A1313" s="32" t="str">
        <f>Orders!A1310</f>
        <v>O01309</v>
      </c>
      <c r="B1313" s="32" t="str">
        <f>Orders!C1310</f>
        <v>S018</v>
      </c>
      <c r="C1313" s="32" t="str">
        <f>Orders!B1310</f>
        <v>C0153</v>
      </c>
      <c r="D1313" s="32" t="str">
        <f>Orders!H1310</f>
        <v>Delivered</v>
      </c>
      <c r="E1313" s="33">
        <f>IF(Orders!H1310="Delivered",1,0)</f>
        <v>1</v>
      </c>
      <c r="F1313" s="34">
        <f>IF(E1313=1,Orders!R1310,"")</f>
        <v>-0.3</v>
      </c>
      <c r="G1313" s="33">
        <f>IF(E1313=1,IF(Orders!R1310&gt;0,1,0),"")</f>
        <v>0</v>
      </c>
      <c r="H1313" s="33">
        <f>IF(E1313=1,IF(Orders!R1310&gt;5,1,0),"")</f>
        <v>0</v>
      </c>
      <c r="I1313" s="32" t="str">
        <f>IF(E1313=1,"",IF(OR(Orders!T1310="Rider unavailable",Orders!T1310="Item unavailable"),"Company-caused","Unresolved"))</f>
        <v/>
      </c>
      <c r="J1313" s="33">
        <f>IF(OR(E1313=1,I1313="Company-caused"),1,0)</f>
        <v>1</v>
      </c>
      <c r="K1313" s="32" t="str">
        <f>IF(E1313=0,IF(I1313="Company-caused",IF(Orders!T1310="Rider unavailable","C1 Rider unavailable","C2 Item unavailable"),"Outside root: unresolved"),IF(G1313=0,"A On time",IF(H1313=1,IF(L1313=1,"B2a Severe, peak","B2b Severe, off-peak"),IF(L1313=1,"B1a Slight, peak","B1b Slight, off-peak"))))</f>
        <v>A On time</v>
      </c>
      <c r="L1313" s="33">
        <f>IF(AND(Orders!U1310&gt;=19,Orders!U1310&lt;22),1,0)</f>
        <v>0</v>
      </c>
      <c r="M1313" s="33">
        <f>IF(L1313=IF(Orders!V1310,1,0),1,0)</f>
        <v>1</v>
      </c>
      <c r="N1313" s="32" t="str">
        <f>IF(Orders!W1310="","None",Orders!W1310)</f>
        <v>Light</v>
      </c>
      <c r="O1313" s="35">
        <f>INT(Orders!E1310)</f>
        <v>46272.0</v>
      </c>
      <c r="P1313" s="33">
        <f>Orders!U1310</f>
        <v>17</v>
      </c>
      <c r="Q1313" s="33">
        <f>COUNTIFS(Demand!$A$2:$A$4481,B1313,Demand!$B$2:$B$4481,O1313,Demand!$C$2:$C$4481,P1313)</f>
        <v>1</v>
      </c>
      <c r="R1313" s="33">
        <f>IF(Q1313=1,SUMIFS(Demand!$E$2:$E$4481,Demand!$A$2:$A$4481,B1313,Demand!$B$2:$B$4481,O1313,Demand!$C$2:$C$4481,P1313),"")</f>
        <v>20</v>
      </c>
      <c r="S1313" s="33">
        <f>INDEX(Stores!$G$2:$G$21,MATCH(B1313,Stores!$A$2:$A$21,0))</f>
        <v>20</v>
      </c>
      <c r="T1313" s="34">
        <f>IF(R1313="","",R1313/S1313)</f>
        <v>1</v>
      </c>
      <c r="U1313" s="34">
        <f>IF(E1313=1,T1313,"")</f>
        <v>1</v>
      </c>
      <c r="V1313" s="34">
        <f>IF(AND(E1313=1,L1313=0),T1313,"")</f>
        <v>1</v>
      </c>
      <c r="W1313" s="33">
        <f>IF(U1313="","",IF(U1313&lt;=Breakdowns!$C$5,1,IF(U1313&lt;=Breakdowns!$C$6,2,IF(U1313&lt;=Breakdowns!$C$7,3,4))))</f>
        <v>2</v>
      </c>
      <c r="X1313" s="33">
        <f>IF(V1313="","",IF(V1313&lt;=Breakdowns!$D$5,1,IF(V1313&lt;=Breakdowns!$D$6,2,IF(V1313&lt;=Breakdowns!$D$7,3,4))))</f>
        <v>3</v>
      </c>
      <c r="Y1313" s="34">
        <f>INDEX(Stores!$F$2:$F$21,MATCH(B1313,Stores!$A$2:$A$21,0))</f>
        <v>5.31</v>
      </c>
      <c r="Z1313" s="33">
        <f>IF(Y1313&gt;Store_Summary!$M$2,1,0)</f>
        <v>1</v>
      </c>
      <c r="AA1313" s="33">
        <f>INDEX(Stores!$C$2:$C$21,MATCH(B1313,Stores!$A$2:$A$21,0))</f>
        <v>214</v>
      </c>
      <c r="AB1313" s="33">
        <f>IF(AA1313&lt;180,1,0)</f>
        <v>0</v>
      </c>
      <c r="AC1313" s="32" t="str">
        <f>IF(Orders!D1310="","",INDEX(Riders!$C$2:$C$81,MATCH(Orders!D1310,Riders!$A$2:$A$81,0)))</f>
        <v>Petrol scooter</v>
      </c>
      <c r="AD1313" s="33">
        <f>IF(Orders!D1310="","",INDEX(Riders!$D$2:$D$81,MATCH(Orders!D1310,Riders!$A$2:$A$81,0)))</f>
        <v>37</v>
      </c>
      <c r="AE1313" s="33">
        <f>IF(Orders!D1310="","",IF(INDEX(Riders!$B$2:$B$81,MATCH(Orders!D1310,Riders!$A$2:$A$81,0))=B1313,1,0))</f>
        <v>0</v>
      </c>
      <c r="AF1313" s="34">
        <f>IF(E1313=1,Orders!L1310,"")</f>
        <v>0.54</v>
      </c>
      <c r="AG1313" s="34">
        <f>IF(E1313=1,Orders!P1310,"")</f>
        <v>9.1</v>
      </c>
      <c r="AH1313" s="34">
        <f>IF(E1313=1,Orders!Q1310,"")</f>
        <v>8.8</v>
      </c>
      <c r="AI1313" s="34">
        <f>IF(E1313=1,Orders!M1310,"")</f>
        <v>3.2</v>
      </c>
      <c r="AJ1313" s="34">
        <f>IF(E1313=1,Orders!N1310,"")</f>
        <v>3.4</v>
      </c>
      <c r="AK1313" s="34">
        <f>IF(E1313=1,Orders!O1310,"")</f>
        <v>2.2</v>
      </c>
      <c r="AL1313" s="33">
        <f>IF(E1313=1,IF(ROUND(ABS(AI1313+AJ1313+AK1313-AH1313),6)&lt;=0.1,1,0),"")</f>
        <v>1</v>
      </c>
      <c r="AM1313" s="36">
        <f>IF(E1313=1,AI1313/AH1313,"")</f>
        <v>0.363636363636364</v>
      </c>
      <c r="AN1313" s="36">
        <f>IF(E1313=1,AJ1313/AH1313,"")</f>
        <v>0.386363636363636</v>
      </c>
      <c r="AO1313" s="36">
        <f>IF(E1313=1,AK1313/AH1313,"")</f>
        <v>0.25</v>
      </c>
      <c r="AP1313" s="34">
        <f>IF(E1313=1,Orders!Y1310,"")</f>
        <v>0.71</v>
      </c>
      <c r="AQ1313" s="33">
        <f>IF(Orders!X1310,1,0)</f>
        <v>0</v>
      </c>
      <c r="AR1313" s="34" t="str">
        <f>IF(AND(E1313=1,L1313=1),AJ1313,"")</f>
        <v/>
      </c>
      <c r="AS1313" s="34">
        <f>IF(AND(E1313=1,L1313=0),AJ1313,"")</f>
        <v>3.4</v>
      </c>
      <c r="AT1313" s="34" t="str">
        <f>IF(AND(E1313=1,L1313=1),AI1313,"")</f>
        <v/>
      </c>
      <c r="AU1313" s="34">
        <f>IF(AND(E1313=1,L1313=0),AI1313,"")</f>
        <v>3.2</v>
      </c>
      <c r="AV1313" s="34" t="str">
        <f>IF(AND(E1313=1,L1313=1),AG1313,"")</f>
        <v/>
      </c>
      <c r="AW1313" s="34">
        <f>IF(AND(E1313=1,L1313=0),AG1313,"")</f>
        <v>9.1</v>
      </c>
      <c r="AX1313" s="34" t="str">
        <f>IF(AND(E1313=1,L1313=1),AH1313,"")</f>
        <v/>
      </c>
      <c r="AY1313" s="34">
        <f>IF(AND(E1313=1,L1313=0),AH1313,"")</f>
        <v>8.8</v>
      </c>
      <c r="AZ1313" s="34" t="str">
        <f>IF(G1313=1,F1313,"")</f>
        <v/>
      </c>
      <c r="BA1313" s="34" t="str">
        <f>IF(AND(G1313=1,L1313=1),F1313,"")</f>
        <v/>
      </c>
      <c r="BB1313" s="34" t="str">
        <f>IF(AND(G1313=1,L1313=0),F1313,"")</f>
        <v/>
      </c>
      <c r="BC1313" s="33">
        <f>IF(E1313=1,IF(Orders!R1310&gt;3,1,0),"")</f>
        <v>0</v>
      </c>
      <c r="BD1313" s="33">
        <f>IF(E1313=1,IF(Orders!R1310&gt;7,1,0),"")</f>
        <v>0</v>
      </c>
      <c r="BE1313" s="32" t="str">
        <f>IF(E1313=1,IF(Orders!L1310&lt;=1.5,"Up to 1.5 km",IF(Orders!L1310&lt;=3,"1.5–3 km","Over 3 km")),"")</f>
        <v>Up to 1.5 km</v>
      </c>
      <c r="BF1313" s="33">
        <f>IF(E1313=1,IF(ABS((Orders!G1310-Orders!F1310)*1440-Orders!R1310)&lt;0.06,1,0),"")</f>
        <v>1</v>
      </c>
      <c r="BG1313" s="33">
        <f>IF(ABS((Orders!F1310-Orders!E1310)*1440-Orders!P1310)&lt;0.06,1,0)</f>
        <v>1</v>
      </c>
      <c r="BH1313" s="33">
        <f>IF(E1313=1,IF(IF(Orders!S1310,1,0)=1-G1313,1,0),"")</f>
        <v>1</v>
      </c>
      <c r="BI1313" s="32" t="str">
        <f>INDEX(Stores!$B$2:$B$21,MATCH(B1313,Stores!$A$2:$A$21,0))</f>
        <v>Mumbai</v>
      </c>
    </row>
    <row r="1314">
      <c r="A1314" s="32" t="str">
        <f>Orders!A1311</f>
        <v>O01310</v>
      </c>
      <c r="B1314" s="32" t="str">
        <f>Orders!C1311</f>
        <v>S013</v>
      </c>
      <c r="C1314" s="32" t="str">
        <f>Orders!B1311</f>
        <v>C0243</v>
      </c>
      <c r="D1314" s="32" t="str">
        <f>Orders!H1311</f>
        <v>Delivered</v>
      </c>
      <c r="E1314" s="33">
        <f>IF(Orders!H1311="Delivered",1,0)</f>
        <v>1</v>
      </c>
      <c r="F1314" s="34">
        <f>IF(E1314=1,Orders!R1311,"")</f>
        <v>-0.3</v>
      </c>
      <c r="G1314" s="33">
        <f>IF(E1314=1,IF(Orders!R1311&gt;0,1,0),"")</f>
        <v>0</v>
      </c>
      <c r="H1314" s="33">
        <f>IF(E1314=1,IF(Orders!R1311&gt;5,1,0),"")</f>
        <v>0</v>
      </c>
      <c r="I1314" s="32" t="str">
        <f>IF(E1314=1,"",IF(OR(Orders!T1311="Rider unavailable",Orders!T1311="Item unavailable"),"Company-caused","Unresolved"))</f>
        <v/>
      </c>
      <c r="J1314" s="33">
        <f>IF(OR(E1314=1,I1314="Company-caused"),1,0)</f>
        <v>1</v>
      </c>
      <c r="K1314" s="32" t="str">
        <f>IF(E1314=0,IF(I1314="Company-caused",IF(Orders!T1311="Rider unavailable","C1 Rider unavailable","C2 Item unavailable"),"Outside root: unresolved"),IF(G1314=0,"A On time",IF(H1314=1,IF(L1314=1,"B2a Severe, peak","B2b Severe, off-peak"),IF(L1314=1,"B1a Slight, peak","B1b Slight, off-peak"))))</f>
        <v>A On time</v>
      </c>
      <c r="L1314" s="33">
        <f>IF(AND(Orders!U1311&gt;=19,Orders!U1311&lt;22),1,0)</f>
        <v>0</v>
      </c>
      <c r="M1314" s="33">
        <f>IF(L1314=IF(Orders!V1311,1,0),1,0)</f>
        <v>1</v>
      </c>
      <c r="N1314" s="32" t="str">
        <f>IF(Orders!W1311="","None",Orders!W1311)</f>
        <v>None</v>
      </c>
      <c r="O1314" s="35">
        <f>INT(Orders!E1311)</f>
        <v>46268.0</v>
      </c>
      <c r="P1314" s="33">
        <f>Orders!U1311</f>
        <v>8</v>
      </c>
      <c r="Q1314" s="33">
        <f>COUNTIFS(Demand!$A$2:$A$4481,B1314,Demand!$B$2:$B$4481,O1314,Demand!$C$2:$C$4481,P1314)</f>
        <v>1</v>
      </c>
      <c r="R1314" s="33">
        <f>IF(Q1314=1,SUMIFS(Demand!$E$2:$E$4481,Demand!$A$2:$A$4481,B1314,Demand!$B$2:$B$4481,O1314,Demand!$C$2:$C$4481,P1314),"")</f>
        <v>38</v>
      </c>
      <c r="S1314" s="33">
        <f>INDEX(Stores!$G$2:$G$21,MATCH(B1314,Stores!$A$2:$A$21,0))</f>
        <v>49</v>
      </c>
      <c r="T1314" s="34">
        <f>IF(R1314="","",R1314/S1314)</f>
        <v>0.775510204081633</v>
      </c>
      <c r="U1314" s="34">
        <f>IF(E1314=1,T1314,"")</f>
        <v>0.775510204081633</v>
      </c>
      <c r="V1314" s="34">
        <f>IF(AND(E1314=1,L1314=0),T1314,"")</f>
        <v>0.775510204081633</v>
      </c>
      <c r="W1314" s="33">
        <f>IF(U1314="","",IF(U1314&lt;=Breakdowns!$C$5,1,IF(U1314&lt;=Breakdowns!$C$6,2,IF(U1314&lt;=Breakdowns!$C$7,3,4))))</f>
        <v>1</v>
      </c>
      <c r="X1314" s="33">
        <f>IF(V1314="","",IF(V1314&lt;=Breakdowns!$D$5,1,IF(V1314&lt;=Breakdowns!$D$6,2,IF(V1314&lt;=Breakdowns!$D$7,3,4))))</f>
        <v>2</v>
      </c>
      <c r="Y1314" s="34">
        <f>INDEX(Stores!$F$2:$F$21,MATCH(B1314,Stores!$A$2:$A$21,0))</f>
        <v>5.82</v>
      </c>
      <c r="Z1314" s="33">
        <f>IF(Y1314&gt;Store_Summary!$M$2,1,0)</f>
        <v>1</v>
      </c>
      <c r="AA1314" s="33">
        <f>INDEX(Stores!$C$2:$C$21,MATCH(B1314,Stores!$A$2:$A$21,0))</f>
        <v>705</v>
      </c>
      <c r="AB1314" s="33">
        <f>IF(AA1314&lt;180,1,0)</f>
        <v>0</v>
      </c>
      <c r="AC1314" s="32" t="str">
        <f>IF(Orders!D1311="","",INDEX(Riders!$C$2:$C$81,MATCH(Orders!D1311,Riders!$A$2:$A$81,0)))</f>
        <v>EV scooter</v>
      </c>
      <c r="AD1314" s="33">
        <f>IF(Orders!D1311="","",INDEX(Riders!$D$2:$D$81,MATCH(Orders!D1311,Riders!$A$2:$A$81,0)))</f>
        <v>44</v>
      </c>
      <c r="AE1314" s="33">
        <f>IF(Orders!D1311="","",IF(INDEX(Riders!$B$2:$B$81,MATCH(Orders!D1311,Riders!$A$2:$A$81,0))=B1314,1,0))</f>
        <v>0</v>
      </c>
      <c r="AF1314" s="34">
        <f>IF(E1314=1,Orders!L1311,"")</f>
        <v>0.77</v>
      </c>
      <c r="AG1314" s="34">
        <f>IF(E1314=1,Orders!P1311,"")</f>
        <v>10.5</v>
      </c>
      <c r="AH1314" s="34">
        <f>IF(E1314=1,Orders!Q1311,"")</f>
        <v>10.2</v>
      </c>
      <c r="AI1314" s="34">
        <f>IF(E1314=1,Orders!M1311,"")</f>
        <v>6.1</v>
      </c>
      <c r="AJ1314" s="34">
        <f>IF(E1314=1,Orders!N1311,"")</f>
        <v>0.8</v>
      </c>
      <c r="AK1314" s="34">
        <f>IF(E1314=1,Orders!O1311,"")</f>
        <v>3.3</v>
      </c>
      <c r="AL1314" s="33">
        <f>IF(E1314=1,IF(ROUND(ABS(AI1314+AJ1314+AK1314-AH1314),6)&lt;=0.1,1,0),"")</f>
        <v>1</v>
      </c>
      <c r="AM1314" s="36">
        <f>IF(E1314=1,AI1314/AH1314,"")</f>
        <v>0.598039215686275</v>
      </c>
      <c r="AN1314" s="36">
        <f>IF(E1314=1,AJ1314/AH1314,"")</f>
        <v>0.0784313725490196</v>
      </c>
      <c r="AO1314" s="36">
        <f>IF(E1314=1,AK1314/AH1314,"")</f>
        <v>0.323529411764706</v>
      </c>
      <c r="AP1314" s="34">
        <f>IF(E1314=1,Orders!Y1311,"")</f>
        <v>0.56</v>
      </c>
      <c r="AQ1314" s="33">
        <f>IF(Orders!X1311,1,0)</f>
        <v>1</v>
      </c>
      <c r="AR1314" s="34" t="str">
        <f>IF(AND(E1314=1,L1314=1),AJ1314,"")</f>
        <v/>
      </c>
      <c r="AS1314" s="34">
        <f>IF(AND(E1314=1,L1314=0),AJ1314,"")</f>
        <v>0.8</v>
      </c>
      <c r="AT1314" s="34" t="str">
        <f>IF(AND(E1314=1,L1314=1),AI1314,"")</f>
        <v/>
      </c>
      <c r="AU1314" s="34">
        <f>IF(AND(E1314=1,L1314=0),AI1314,"")</f>
        <v>6.1</v>
      </c>
      <c r="AV1314" s="34" t="str">
        <f>IF(AND(E1314=1,L1314=1),AG1314,"")</f>
        <v/>
      </c>
      <c r="AW1314" s="34">
        <f>IF(AND(E1314=1,L1314=0),AG1314,"")</f>
        <v>10.5</v>
      </c>
      <c r="AX1314" s="34" t="str">
        <f>IF(AND(E1314=1,L1314=1),AH1314,"")</f>
        <v/>
      </c>
      <c r="AY1314" s="34">
        <f>IF(AND(E1314=1,L1314=0),AH1314,"")</f>
        <v>10.2</v>
      </c>
      <c r="AZ1314" s="34" t="str">
        <f>IF(G1314=1,F1314,"")</f>
        <v/>
      </c>
      <c r="BA1314" s="34" t="str">
        <f>IF(AND(G1314=1,L1314=1),F1314,"")</f>
        <v/>
      </c>
      <c r="BB1314" s="34" t="str">
        <f>IF(AND(G1314=1,L1314=0),F1314,"")</f>
        <v/>
      </c>
      <c r="BC1314" s="33">
        <f>IF(E1314=1,IF(Orders!R1311&gt;3,1,0),"")</f>
        <v>0</v>
      </c>
      <c r="BD1314" s="33">
        <f>IF(E1314=1,IF(Orders!R1311&gt;7,1,0),"")</f>
        <v>0</v>
      </c>
      <c r="BE1314" s="32" t="str">
        <f>IF(E1314=1,IF(Orders!L1311&lt;=1.5,"Up to 1.5 km",IF(Orders!L1311&lt;=3,"1.5–3 km","Over 3 km")),"")</f>
        <v>Up to 1.5 km</v>
      </c>
      <c r="BF1314" s="33">
        <f>IF(E1314=1,IF(ABS((Orders!G1311-Orders!F1311)*1440-Orders!R1311)&lt;0.06,1,0),"")</f>
        <v>1</v>
      </c>
      <c r="BG1314" s="33">
        <f>IF(ABS((Orders!F1311-Orders!E1311)*1440-Orders!P1311)&lt;0.06,1,0)</f>
        <v>1</v>
      </c>
      <c r="BH1314" s="33">
        <f>IF(E1314=1,IF(IF(Orders!S1311,1,0)=1-G1314,1,0),"")</f>
        <v>1</v>
      </c>
      <c r="BI1314" s="32" t="str">
        <f>INDEX(Stores!$B$2:$B$21,MATCH(B1314,Stores!$A$2:$A$21,0))</f>
        <v>Mumbai</v>
      </c>
    </row>
    <row r="1315">
      <c r="A1315" s="32" t="str">
        <f>Orders!A1312</f>
        <v>O01311</v>
      </c>
      <c r="B1315" s="32" t="str">
        <f>Orders!C1312</f>
        <v>S009</v>
      </c>
      <c r="C1315" s="32" t="str">
        <f>Orders!B1312</f>
        <v>C0136</v>
      </c>
      <c r="D1315" s="32" t="str">
        <f>Orders!H1312</f>
        <v>Delivered</v>
      </c>
      <c r="E1315" s="33">
        <f>IF(Orders!H1312="Delivered",1,0)</f>
        <v>1</v>
      </c>
      <c r="F1315" s="34">
        <f>IF(E1315=1,Orders!R1312,"")</f>
        <v>-2.3</v>
      </c>
      <c r="G1315" s="33">
        <f>IF(E1315=1,IF(Orders!R1312&gt;0,1,0),"")</f>
        <v>0</v>
      </c>
      <c r="H1315" s="33">
        <f>IF(E1315=1,IF(Orders!R1312&gt;5,1,0),"")</f>
        <v>0</v>
      </c>
      <c r="I1315" s="32" t="str">
        <f>IF(E1315=1,"",IF(OR(Orders!T1312="Rider unavailable",Orders!T1312="Item unavailable"),"Company-caused","Unresolved"))</f>
        <v/>
      </c>
      <c r="J1315" s="33">
        <f>IF(OR(E1315=1,I1315="Company-caused"),1,0)</f>
        <v>1</v>
      </c>
      <c r="K1315" s="32" t="str">
        <f>IF(E1315=0,IF(I1315="Company-caused",IF(Orders!T1312="Rider unavailable","C1 Rider unavailable","C2 Item unavailable"),"Outside root: unresolved"),IF(G1315=0,"A On time",IF(H1315=1,IF(L1315=1,"B2a Severe, peak","B2b Severe, off-peak"),IF(L1315=1,"B1a Slight, peak","B1b Slight, off-peak"))))</f>
        <v>A On time</v>
      </c>
      <c r="L1315" s="33">
        <f>IF(AND(Orders!U1312&gt;=19,Orders!U1312&lt;22),1,0)</f>
        <v>0</v>
      </c>
      <c r="M1315" s="33">
        <f>IF(L1315=IF(Orders!V1312,1,0),1,0)</f>
        <v>1</v>
      </c>
      <c r="N1315" s="32" t="str">
        <f>IF(Orders!W1312="","None",Orders!W1312)</f>
        <v>None</v>
      </c>
      <c r="O1315" s="35">
        <f>INT(Orders!E1312)</f>
        <v>46274.0</v>
      </c>
      <c r="P1315" s="33">
        <f>Orders!U1312</f>
        <v>23</v>
      </c>
      <c r="Q1315" s="33">
        <f>COUNTIFS(Demand!$A$2:$A$4481,B1315,Demand!$B$2:$B$4481,O1315,Demand!$C$2:$C$4481,P1315)</f>
        <v>1</v>
      </c>
      <c r="R1315" s="33">
        <f>IF(Q1315=1,SUMIFS(Demand!$E$2:$E$4481,Demand!$A$2:$A$4481,B1315,Demand!$B$2:$B$4481,O1315,Demand!$C$2:$C$4481,P1315),"")</f>
        <v>29</v>
      </c>
      <c r="S1315" s="33">
        <f>INDEX(Stores!$G$2:$G$21,MATCH(B1315,Stores!$A$2:$A$21,0))</f>
        <v>29</v>
      </c>
      <c r="T1315" s="34">
        <f>IF(R1315="","",R1315/S1315)</f>
        <v>1</v>
      </c>
      <c r="U1315" s="34">
        <f>IF(E1315=1,T1315,"")</f>
        <v>1</v>
      </c>
      <c r="V1315" s="34">
        <f>IF(AND(E1315=1,L1315=0),T1315,"")</f>
        <v>1</v>
      </c>
      <c r="W1315" s="33">
        <f>IF(U1315="","",IF(U1315&lt;=Breakdowns!$C$5,1,IF(U1315&lt;=Breakdowns!$C$6,2,IF(U1315&lt;=Breakdowns!$C$7,3,4))))</f>
        <v>2</v>
      </c>
      <c r="X1315" s="33">
        <f>IF(V1315="","",IF(V1315&lt;=Breakdowns!$D$5,1,IF(V1315&lt;=Breakdowns!$D$6,2,IF(V1315&lt;=Breakdowns!$D$7,3,4))))</f>
        <v>3</v>
      </c>
      <c r="Y1315" s="34">
        <f>INDEX(Stores!$F$2:$F$21,MATCH(B1315,Stores!$A$2:$A$21,0))</f>
        <v>2.66</v>
      </c>
      <c r="Z1315" s="33">
        <f>IF(Y1315&gt;Store_Summary!$M$2,1,0)</f>
        <v>0</v>
      </c>
      <c r="AA1315" s="33">
        <f>INDEX(Stores!$C$2:$C$21,MATCH(B1315,Stores!$A$2:$A$21,0))</f>
        <v>645</v>
      </c>
      <c r="AB1315" s="33">
        <f>IF(AA1315&lt;180,1,0)</f>
        <v>0</v>
      </c>
      <c r="AC1315" s="32" t="str">
        <f>IF(Orders!D1312="","",INDEX(Riders!$C$2:$C$81,MATCH(Orders!D1312,Riders!$A$2:$A$81,0)))</f>
        <v>EV scooter</v>
      </c>
      <c r="AD1315" s="33">
        <f>IF(Orders!D1312="","",INDEX(Riders!$D$2:$D$81,MATCH(Orders!D1312,Riders!$A$2:$A$81,0)))</f>
        <v>2</v>
      </c>
      <c r="AE1315" s="33">
        <f>IF(Orders!D1312="","",IF(INDEX(Riders!$B$2:$B$81,MATCH(Orders!D1312,Riders!$A$2:$A$81,0))=B1315,1,0))</f>
        <v>0</v>
      </c>
      <c r="AF1315" s="34">
        <f>IF(E1315=1,Orders!L1312,"")</f>
        <v>0.77</v>
      </c>
      <c r="AG1315" s="34">
        <f>IF(E1315=1,Orders!P1312,"")</f>
        <v>9.8</v>
      </c>
      <c r="AH1315" s="34">
        <f>IF(E1315=1,Orders!Q1312,"")</f>
        <v>7.5</v>
      </c>
      <c r="AI1315" s="34">
        <f>IF(E1315=1,Orders!M1312,"")</f>
        <v>2.1</v>
      </c>
      <c r="AJ1315" s="34">
        <f>IF(E1315=1,Orders!N1312,"")</f>
        <v>1</v>
      </c>
      <c r="AK1315" s="34">
        <f>IF(E1315=1,Orders!O1312,"")</f>
        <v>4.5</v>
      </c>
      <c r="AL1315" s="33">
        <f>IF(E1315=1,IF(ROUND(ABS(AI1315+AJ1315+AK1315-AH1315),6)&lt;=0.1,1,0),"")</f>
        <v>1</v>
      </c>
      <c r="AM1315" s="36">
        <f>IF(E1315=1,AI1315/AH1315,"")</f>
        <v>0.28</v>
      </c>
      <c r="AN1315" s="36">
        <f>IF(E1315=1,AJ1315/AH1315,"")</f>
        <v>0.133333333333333</v>
      </c>
      <c r="AO1315" s="36">
        <f>IF(E1315=1,AK1315/AH1315,"")</f>
        <v>0.6</v>
      </c>
      <c r="AP1315" s="34">
        <f>IF(E1315=1,Orders!Y1312,"")</f>
        <v>0.89</v>
      </c>
      <c r="AQ1315" s="33">
        <f>IF(Orders!X1312,1,0)</f>
        <v>0</v>
      </c>
      <c r="AR1315" s="34" t="str">
        <f>IF(AND(E1315=1,L1315=1),AJ1315,"")</f>
        <v/>
      </c>
      <c r="AS1315" s="34">
        <f>IF(AND(E1315=1,L1315=0),AJ1315,"")</f>
        <v>1</v>
      </c>
      <c r="AT1315" s="34" t="str">
        <f>IF(AND(E1315=1,L1315=1),AI1315,"")</f>
        <v/>
      </c>
      <c r="AU1315" s="34">
        <f>IF(AND(E1315=1,L1315=0),AI1315,"")</f>
        <v>2.1</v>
      </c>
      <c r="AV1315" s="34" t="str">
        <f>IF(AND(E1315=1,L1315=1),AG1315,"")</f>
        <v/>
      </c>
      <c r="AW1315" s="34">
        <f>IF(AND(E1315=1,L1315=0),AG1315,"")</f>
        <v>9.8</v>
      </c>
      <c r="AX1315" s="34" t="str">
        <f>IF(AND(E1315=1,L1315=1),AH1315,"")</f>
        <v/>
      </c>
      <c r="AY1315" s="34">
        <f>IF(AND(E1315=1,L1315=0),AH1315,"")</f>
        <v>7.5</v>
      </c>
      <c r="AZ1315" s="34" t="str">
        <f>IF(G1315=1,F1315,"")</f>
        <v/>
      </c>
      <c r="BA1315" s="34" t="str">
        <f>IF(AND(G1315=1,L1315=1),F1315,"")</f>
        <v/>
      </c>
      <c r="BB1315" s="34" t="str">
        <f>IF(AND(G1315=1,L1315=0),F1315,"")</f>
        <v/>
      </c>
      <c r="BC1315" s="33">
        <f>IF(E1315=1,IF(Orders!R1312&gt;3,1,0),"")</f>
        <v>0</v>
      </c>
      <c r="BD1315" s="33">
        <f>IF(E1315=1,IF(Orders!R1312&gt;7,1,0),"")</f>
        <v>0</v>
      </c>
      <c r="BE1315" s="32" t="str">
        <f>IF(E1315=1,IF(Orders!L1312&lt;=1.5,"Up to 1.5 km",IF(Orders!L1312&lt;=3,"1.5–3 km","Over 3 km")),"")</f>
        <v>Up to 1.5 km</v>
      </c>
      <c r="BF1315" s="33">
        <f>IF(E1315=1,IF(ABS((Orders!G1312-Orders!F1312)*1440-Orders!R1312)&lt;0.06,1,0),"")</f>
        <v>1</v>
      </c>
      <c r="BG1315" s="33">
        <f>IF(ABS((Orders!F1312-Orders!E1312)*1440-Orders!P1312)&lt;0.06,1,0)</f>
        <v>1</v>
      </c>
      <c r="BH1315" s="33">
        <f>IF(E1315=1,IF(IF(Orders!S1312,1,0)=1-G1315,1,0),"")</f>
        <v>1</v>
      </c>
      <c r="BI1315" s="32" t="str">
        <f>INDEX(Stores!$B$2:$B$21,MATCH(B1315,Stores!$A$2:$A$21,0))</f>
        <v>Pune</v>
      </c>
    </row>
    <row r="1316">
      <c r="A1316" s="32" t="str">
        <f>Orders!A1313</f>
        <v>O01312</v>
      </c>
      <c r="B1316" s="32" t="str">
        <f>Orders!C1313</f>
        <v>S011</v>
      </c>
      <c r="C1316" s="32" t="str">
        <f>Orders!B1313</f>
        <v>C0196</v>
      </c>
      <c r="D1316" s="32" t="str">
        <f>Orders!H1313</f>
        <v>Delivered</v>
      </c>
      <c r="E1316" s="33">
        <f>IF(Orders!H1313="Delivered",1,0)</f>
        <v>1</v>
      </c>
      <c r="F1316" s="34">
        <f>IF(E1316=1,Orders!R1313,"")</f>
        <v>-1.2</v>
      </c>
      <c r="G1316" s="33">
        <f>IF(E1316=1,IF(Orders!R1313&gt;0,1,0),"")</f>
        <v>0</v>
      </c>
      <c r="H1316" s="33">
        <f>IF(E1316=1,IF(Orders!R1313&gt;5,1,0),"")</f>
        <v>0</v>
      </c>
      <c r="I1316" s="32" t="str">
        <f>IF(E1316=1,"",IF(OR(Orders!T1313="Rider unavailable",Orders!T1313="Item unavailable"),"Company-caused","Unresolved"))</f>
        <v/>
      </c>
      <c r="J1316" s="33">
        <f>IF(OR(E1316=1,I1316="Company-caused"),1,0)</f>
        <v>1</v>
      </c>
      <c r="K1316" s="32" t="str">
        <f>IF(E1316=0,IF(I1316="Company-caused",IF(Orders!T1313="Rider unavailable","C1 Rider unavailable","C2 Item unavailable"),"Outside root: unresolved"),IF(G1316=0,"A On time",IF(H1316=1,IF(L1316=1,"B2a Severe, peak","B2b Severe, off-peak"),IF(L1316=1,"B1a Slight, peak","B1b Slight, off-peak"))))</f>
        <v>A On time</v>
      </c>
      <c r="L1316" s="33">
        <f>IF(AND(Orders!U1313&gt;=19,Orders!U1313&lt;22),1,0)</f>
        <v>0</v>
      </c>
      <c r="M1316" s="33">
        <f>IF(L1316=IF(Orders!V1313,1,0),1,0)</f>
        <v>1</v>
      </c>
      <c r="N1316" s="32" t="str">
        <f>IF(Orders!W1313="","None",Orders!W1313)</f>
        <v>None</v>
      </c>
      <c r="O1316" s="35">
        <f>INT(Orders!E1313)</f>
        <v>46278.0</v>
      </c>
      <c r="P1316" s="33">
        <f>Orders!U1313</f>
        <v>15</v>
      </c>
      <c r="Q1316" s="33">
        <f>COUNTIFS(Demand!$A$2:$A$4481,B1316,Demand!$B$2:$B$4481,O1316,Demand!$C$2:$C$4481,P1316)</f>
        <v>1</v>
      </c>
      <c r="R1316" s="33">
        <f>IF(Q1316=1,SUMIFS(Demand!$E$2:$E$4481,Demand!$A$2:$A$4481,B1316,Demand!$B$2:$B$4481,O1316,Demand!$C$2:$C$4481,P1316),"")</f>
        <v>18</v>
      </c>
      <c r="S1316" s="33">
        <f>INDEX(Stores!$G$2:$G$21,MATCH(B1316,Stores!$A$2:$A$21,0))</f>
        <v>31</v>
      </c>
      <c r="T1316" s="34">
        <f>IF(R1316="","",R1316/S1316)</f>
        <v>0.580645161290323</v>
      </c>
      <c r="U1316" s="34">
        <f>IF(E1316=1,T1316,"")</f>
        <v>0.580645161290323</v>
      </c>
      <c r="V1316" s="34">
        <f>IF(AND(E1316=1,L1316=0),T1316,"")</f>
        <v>0.580645161290323</v>
      </c>
      <c r="W1316" s="33">
        <f>IF(U1316="","",IF(U1316&lt;=Breakdowns!$C$5,1,IF(U1316&lt;=Breakdowns!$C$6,2,IF(U1316&lt;=Breakdowns!$C$7,3,4))))</f>
        <v>1</v>
      </c>
      <c r="X1316" s="33">
        <f>IF(V1316="","",IF(V1316&lt;=Breakdowns!$D$5,1,IF(V1316&lt;=Breakdowns!$D$6,2,IF(V1316&lt;=Breakdowns!$D$7,3,4))))</f>
        <v>1</v>
      </c>
      <c r="Y1316" s="34">
        <f>INDEX(Stores!$F$2:$F$21,MATCH(B1316,Stores!$A$2:$A$21,0))</f>
        <v>5.67</v>
      </c>
      <c r="Z1316" s="33">
        <f>IF(Y1316&gt;Store_Summary!$M$2,1,0)</f>
        <v>1</v>
      </c>
      <c r="AA1316" s="33">
        <f>INDEX(Stores!$C$2:$C$21,MATCH(B1316,Stores!$A$2:$A$21,0))</f>
        <v>732</v>
      </c>
      <c r="AB1316" s="33">
        <f>IF(AA1316&lt;180,1,0)</f>
        <v>0</v>
      </c>
      <c r="AC1316" s="32" t="str">
        <f>IF(Orders!D1313="","",INDEX(Riders!$C$2:$C$81,MATCH(Orders!D1313,Riders!$A$2:$A$81,0)))</f>
        <v>Petrol scooter</v>
      </c>
      <c r="AD1316" s="33">
        <f>IF(Orders!D1313="","",INDEX(Riders!$D$2:$D$81,MATCH(Orders!D1313,Riders!$A$2:$A$81,0)))</f>
        <v>43</v>
      </c>
      <c r="AE1316" s="33">
        <f>IF(Orders!D1313="","",IF(INDEX(Riders!$B$2:$B$81,MATCH(Orders!D1313,Riders!$A$2:$A$81,0))=B1316,1,0))</f>
        <v>0</v>
      </c>
      <c r="AF1316" s="34">
        <f>IF(E1316=1,Orders!L1313,"")</f>
        <v>1.58</v>
      </c>
      <c r="AG1316" s="34">
        <f>IF(E1316=1,Orders!P1313,"")</f>
        <v>11.9</v>
      </c>
      <c r="AH1316" s="34">
        <f>IF(E1316=1,Orders!Q1313,"")</f>
        <v>10.7</v>
      </c>
      <c r="AI1316" s="34">
        <f>IF(E1316=1,Orders!M1313,"")</f>
        <v>5.1</v>
      </c>
      <c r="AJ1316" s="34">
        <f>IF(E1316=1,Orders!N1313,"")</f>
        <v>1.4</v>
      </c>
      <c r="AK1316" s="34">
        <f>IF(E1316=1,Orders!O1313,"")</f>
        <v>4.2</v>
      </c>
      <c r="AL1316" s="33">
        <f>IF(E1316=1,IF(ROUND(ABS(AI1316+AJ1316+AK1316-AH1316),6)&lt;=0.1,1,0),"")</f>
        <v>1</v>
      </c>
      <c r="AM1316" s="36">
        <f>IF(E1316=1,AI1316/AH1316,"")</f>
        <v>0.476635514018692</v>
      </c>
      <c r="AN1316" s="36">
        <f>IF(E1316=1,AJ1316/AH1316,"")</f>
        <v>0.130841121495327</v>
      </c>
      <c r="AO1316" s="36">
        <f>IF(E1316=1,AK1316/AH1316,"")</f>
        <v>0.392523364485981</v>
      </c>
      <c r="AP1316" s="34">
        <f>IF(E1316=1,Orders!Y1313,"")</f>
        <v>0.7</v>
      </c>
      <c r="AQ1316" s="33">
        <f>IF(Orders!X1313,1,0)</f>
        <v>1</v>
      </c>
      <c r="AR1316" s="34" t="str">
        <f>IF(AND(E1316=1,L1316=1),AJ1316,"")</f>
        <v/>
      </c>
      <c r="AS1316" s="34">
        <f>IF(AND(E1316=1,L1316=0),AJ1316,"")</f>
        <v>1.4</v>
      </c>
      <c r="AT1316" s="34" t="str">
        <f>IF(AND(E1316=1,L1316=1),AI1316,"")</f>
        <v/>
      </c>
      <c r="AU1316" s="34">
        <f>IF(AND(E1316=1,L1316=0),AI1316,"")</f>
        <v>5.1</v>
      </c>
      <c r="AV1316" s="34" t="str">
        <f>IF(AND(E1316=1,L1316=1),AG1316,"")</f>
        <v/>
      </c>
      <c r="AW1316" s="34">
        <f>IF(AND(E1316=1,L1316=0),AG1316,"")</f>
        <v>11.9</v>
      </c>
      <c r="AX1316" s="34" t="str">
        <f>IF(AND(E1316=1,L1316=1),AH1316,"")</f>
        <v/>
      </c>
      <c r="AY1316" s="34">
        <f>IF(AND(E1316=1,L1316=0),AH1316,"")</f>
        <v>10.7</v>
      </c>
      <c r="AZ1316" s="34" t="str">
        <f>IF(G1316=1,F1316,"")</f>
        <v/>
      </c>
      <c r="BA1316" s="34" t="str">
        <f>IF(AND(G1316=1,L1316=1),F1316,"")</f>
        <v/>
      </c>
      <c r="BB1316" s="34" t="str">
        <f>IF(AND(G1316=1,L1316=0),F1316,"")</f>
        <v/>
      </c>
      <c r="BC1316" s="33">
        <f>IF(E1316=1,IF(Orders!R1313&gt;3,1,0),"")</f>
        <v>0</v>
      </c>
      <c r="BD1316" s="33">
        <f>IF(E1316=1,IF(Orders!R1313&gt;7,1,0),"")</f>
        <v>0</v>
      </c>
      <c r="BE1316" s="32" t="str">
        <f>IF(E1316=1,IF(Orders!L1313&lt;=1.5,"Up to 1.5 km",IF(Orders!L1313&lt;=3,"1.5–3 km","Over 3 km")),"")</f>
        <v>1.5–3 km</v>
      </c>
      <c r="BF1316" s="33">
        <f>IF(E1316=1,IF(ABS((Orders!G1313-Orders!F1313)*1440-Orders!R1313)&lt;0.06,1,0),"")</f>
        <v>1</v>
      </c>
      <c r="BG1316" s="33">
        <f>IF(ABS((Orders!F1313-Orders!E1313)*1440-Orders!P1313)&lt;0.06,1,0)</f>
        <v>1</v>
      </c>
      <c r="BH1316" s="33">
        <f>IF(E1316=1,IF(IF(Orders!S1313,1,0)=1-G1316,1,0),"")</f>
        <v>1</v>
      </c>
      <c r="BI1316" s="32" t="str">
        <f>INDEX(Stores!$B$2:$B$21,MATCH(B1316,Stores!$A$2:$A$21,0))</f>
        <v>Bengaluru</v>
      </c>
    </row>
    <row r="1317">
      <c r="A1317" s="32" t="str">
        <f>Orders!A1314</f>
        <v>O01313</v>
      </c>
      <c r="B1317" s="32" t="str">
        <f>Orders!C1314</f>
        <v>S001</v>
      </c>
      <c r="C1317" s="32" t="str">
        <f>Orders!B1314</f>
        <v>C0108</v>
      </c>
      <c r="D1317" s="32" t="str">
        <f>Orders!H1314</f>
        <v>Delivered</v>
      </c>
      <c r="E1317" s="33">
        <f>IF(Orders!H1314="Delivered",1,0)</f>
        <v>1</v>
      </c>
      <c r="F1317" s="34">
        <f>IF(E1317=1,Orders!R1314,"")</f>
        <v>-0.9</v>
      </c>
      <c r="G1317" s="33">
        <f>IF(E1317=1,IF(Orders!R1314&gt;0,1,0),"")</f>
        <v>0</v>
      </c>
      <c r="H1317" s="33">
        <f>IF(E1317=1,IF(Orders!R1314&gt;5,1,0),"")</f>
        <v>0</v>
      </c>
      <c r="I1317" s="32" t="str">
        <f>IF(E1317=1,"",IF(OR(Orders!T1314="Rider unavailable",Orders!T1314="Item unavailable"),"Company-caused","Unresolved"))</f>
        <v/>
      </c>
      <c r="J1317" s="33">
        <f>IF(OR(E1317=1,I1317="Company-caused"),1,0)</f>
        <v>1</v>
      </c>
      <c r="K1317" s="32" t="str">
        <f>IF(E1317=0,IF(I1317="Company-caused",IF(Orders!T1314="Rider unavailable","C1 Rider unavailable","C2 Item unavailable"),"Outside root: unresolved"),IF(G1317=0,"A On time",IF(H1317=1,IF(L1317=1,"B2a Severe, peak","B2b Severe, off-peak"),IF(L1317=1,"B1a Slight, peak","B1b Slight, off-peak"))))</f>
        <v>A On time</v>
      </c>
      <c r="L1317" s="33">
        <f>IF(AND(Orders!U1314&gt;=19,Orders!U1314&lt;22),1,0)</f>
        <v>1</v>
      </c>
      <c r="M1317" s="33">
        <f>IF(L1317=IF(Orders!V1314,1,0),1,0)</f>
        <v>1</v>
      </c>
      <c r="N1317" s="32" t="str">
        <f>IF(Orders!W1314="","None",Orders!W1314)</f>
        <v>Light</v>
      </c>
      <c r="O1317" s="35">
        <f>INT(Orders!E1314)</f>
        <v>46271.0</v>
      </c>
      <c r="P1317" s="33">
        <f>Orders!U1314</f>
        <v>19</v>
      </c>
      <c r="Q1317" s="33">
        <f>COUNTIFS(Demand!$A$2:$A$4481,B1317,Demand!$B$2:$B$4481,O1317,Demand!$C$2:$C$4481,P1317)</f>
        <v>1</v>
      </c>
      <c r="R1317" s="33">
        <f>IF(Q1317=1,SUMIFS(Demand!$E$2:$E$4481,Demand!$A$2:$A$4481,B1317,Demand!$B$2:$B$4481,O1317,Demand!$C$2:$C$4481,P1317),"")</f>
        <v>32</v>
      </c>
      <c r="S1317" s="33">
        <f>INDEX(Stores!$G$2:$G$21,MATCH(B1317,Stores!$A$2:$A$21,0))</f>
        <v>16</v>
      </c>
      <c r="T1317" s="34">
        <f>IF(R1317="","",R1317/S1317)</f>
        <v>2</v>
      </c>
      <c r="U1317" s="34">
        <f>IF(E1317=1,T1317,"")</f>
        <v>2</v>
      </c>
      <c r="V1317" s="34" t="str">
        <f>IF(AND(E1317=1,L1317=0),T1317,"")</f>
        <v/>
      </c>
      <c r="W1317" s="33">
        <f>IF(U1317="","",IF(U1317&lt;=Breakdowns!$C$5,1,IF(U1317&lt;=Breakdowns!$C$6,2,IF(U1317&lt;=Breakdowns!$C$7,3,4))))</f>
        <v>4</v>
      </c>
      <c r="X1317" s="33" t="str">
        <f>IF(V1317="","",IF(V1317&lt;=Breakdowns!$D$5,1,IF(V1317&lt;=Breakdowns!$D$6,2,IF(V1317&lt;=Breakdowns!$D$7,3,4))))</f>
        <v/>
      </c>
      <c r="Y1317" s="34">
        <f>INDEX(Stores!$F$2:$F$21,MATCH(B1317,Stores!$A$2:$A$21,0))</f>
        <v>4.59</v>
      </c>
      <c r="Z1317" s="33">
        <f>IF(Y1317&gt;Store_Summary!$M$2,1,0)</f>
        <v>0</v>
      </c>
      <c r="AA1317" s="33">
        <f>INDEX(Stores!$C$2:$C$21,MATCH(B1317,Stores!$A$2:$A$21,0))</f>
        <v>362</v>
      </c>
      <c r="AB1317" s="33">
        <f>IF(AA1317&lt;180,1,0)</f>
        <v>0</v>
      </c>
      <c r="AC1317" s="32" t="str">
        <f>IF(Orders!D1314="","",INDEX(Riders!$C$2:$C$81,MATCH(Orders!D1314,Riders!$A$2:$A$81,0)))</f>
        <v>EV scooter</v>
      </c>
      <c r="AD1317" s="33">
        <f>IF(Orders!D1314="","",INDEX(Riders!$D$2:$D$81,MATCH(Orders!D1314,Riders!$A$2:$A$81,0)))</f>
        <v>11</v>
      </c>
      <c r="AE1317" s="33">
        <f>IF(Orders!D1314="","",IF(INDEX(Riders!$B$2:$B$81,MATCH(Orders!D1314,Riders!$A$2:$A$81,0))=B1317,1,0))</f>
        <v>0</v>
      </c>
      <c r="AF1317" s="34">
        <f>IF(E1317=1,Orders!L1314,"")</f>
        <v>0.63</v>
      </c>
      <c r="AG1317" s="34">
        <f>IF(E1317=1,Orders!P1314,"")</f>
        <v>10.5</v>
      </c>
      <c r="AH1317" s="34">
        <f>IF(E1317=1,Orders!Q1314,"")</f>
        <v>9.6</v>
      </c>
      <c r="AI1317" s="34">
        <f>IF(E1317=1,Orders!M1314,"")</f>
        <v>4.7</v>
      </c>
      <c r="AJ1317" s="34">
        <f>IF(E1317=1,Orders!N1314,"")</f>
        <v>2</v>
      </c>
      <c r="AK1317" s="34">
        <f>IF(E1317=1,Orders!O1314,"")</f>
        <v>2.9</v>
      </c>
      <c r="AL1317" s="33">
        <f>IF(E1317=1,IF(ROUND(ABS(AI1317+AJ1317+AK1317-AH1317),6)&lt;=0.1,1,0),"")</f>
        <v>1</v>
      </c>
      <c r="AM1317" s="36">
        <f>IF(E1317=1,AI1317/AH1317,"")</f>
        <v>0.489583333333333</v>
      </c>
      <c r="AN1317" s="36">
        <f>IF(E1317=1,AJ1317/AH1317,"")</f>
        <v>0.208333333333333</v>
      </c>
      <c r="AO1317" s="36">
        <f>IF(E1317=1,AK1317/AH1317,"")</f>
        <v>0.302083333333333</v>
      </c>
      <c r="AP1317" s="34">
        <f>IF(E1317=1,Orders!Y1314,"")</f>
        <v>0.8</v>
      </c>
      <c r="AQ1317" s="33">
        <f>IF(Orders!X1314,1,0)</f>
        <v>0</v>
      </c>
      <c r="AR1317" s="34">
        <f>IF(AND(E1317=1,L1317=1),AJ1317,"")</f>
        <v>2</v>
      </c>
      <c r="AS1317" s="34" t="str">
        <f>IF(AND(E1317=1,L1317=0),AJ1317,"")</f>
        <v/>
      </c>
      <c r="AT1317" s="34">
        <f>IF(AND(E1317=1,L1317=1),AI1317,"")</f>
        <v>4.7</v>
      </c>
      <c r="AU1317" s="34" t="str">
        <f>IF(AND(E1317=1,L1317=0),AI1317,"")</f>
        <v/>
      </c>
      <c r="AV1317" s="34">
        <f>IF(AND(E1317=1,L1317=1),AG1317,"")</f>
        <v>10.5</v>
      </c>
      <c r="AW1317" s="34" t="str">
        <f>IF(AND(E1317=1,L1317=0),AG1317,"")</f>
        <v/>
      </c>
      <c r="AX1317" s="34">
        <f>IF(AND(E1317=1,L1317=1),AH1317,"")</f>
        <v>9.6</v>
      </c>
      <c r="AY1317" s="34" t="str">
        <f>IF(AND(E1317=1,L1317=0),AH1317,"")</f>
        <v/>
      </c>
      <c r="AZ1317" s="34" t="str">
        <f>IF(G1317=1,F1317,"")</f>
        <v/>
      </c>
      <c r="BA1317" s="34" t="str">
        <f>IF(AND(G1317=1,L1317=1),F1317,"")</f>
        <v/>
      </c>
      <c r="BB1317" s="34" t="str">
        <f>IF(AND(G1317=1,L1317=0),F1317,"")</f>
        <v/>
      </c>
      <c r="BC1317" s="33">
        <f>IF(E1317=1,IF(Orders!R1314&gt;3,1,0),"")</f>
        <v>0</v>
      </c>
      <c r="BD1317" s="33">
        <f>IF(E1317=1,IF(Orders!R1314&gt;7,1,0),"")</f>
        <v>0</v>
      </c>
      <c r="BE1317" s="32" t="str">
        <f>IF(E1317=1,IF(Orders!L1314&lt;=1.5,"Up to 1.5 km",IF(Orders!L1314&lt;=3,"1.5–3 km","Over 3 km")),"")</f>
        <v>Up to 1.5 km</v>
      </c>
      <c r="BF1317" s="33">
        <f>IF(E1317=1,IF(ABS((Orders!G1314-Orders!F1314)*1440-Orders!R1314)&lt;0.06,1,0),"")</f>
        <v>1</v>
      </c>
      <c r="BG1317" s="33">
        <f>IF(ABS((Orders!F1314-Orders!E1314)*1440-Orders!P1314)&lt;0.06,1,0)</f>
        <v>1</v>
      </c>
      <c r="BH1317" s="33">
        <f>IF(E1317=1,IF(IF(Orders!S1314,1,0)=1-G1317,1,0),"")</f>
        <v>1</v>
      </c>
      <c r="BI1317" s="32" t="str">
        <f>INDEX(Stores!$B$2:$B$21,MATCH(B1317,Stores!$A$2:$A$21,0))</f>
        <v>Bengaluru</v>
      </c>
    </row>
    <row r="1318">
      <c r="A1318" s="32" t="str">
        <f>Orders!A1315</f>
        <v>O01314</v>
      </c>
      <c r="B1318" s="32" t="str">
        <f>Orders!C1315</f>
        <v>S002</v>
      </c>
      <c r="C1318" s="32" t="str">
        <f>Orders!B1315</f>
        <v>C0217</v>
      </c>
      <c r="D1318" s="32" t="str">
        <f>Orders!H1315</f>
        <v>Delivered</v>
      </c>
      <c r="E1318" s="33">
        <f>IF(Orders!H1315="Delivered",1,0)</f>
        <v>1</v>
      </c>
      <c r="F1318" s="34">
        <f>IF(E1318=1,Orders!R1315,"")</f>
        <v>-0.7</v>
      </c>
      <c r="G1318" s="33">
        <f>IF(E1318=1,IF(Orders!R1315&gt;0,1,0),"")</f>
        <v>0</v>
      </c>
      <c r="H1318" s="33">
        <f>IF(E1318=1,IF(Orders!R1315&gt;5,1,0),"")</f>
        <v>0</v>
      </c>
      <c r="I1318" s="32" t="str">
        <f>IF(E1318=1,"",IF(OR(Orders!T1315="Rider unavailable",Orders!T1315="Item unavailable"),"Company-caused","Unresolved"))</f>
        <v/>
      </c>
      <c r="J1318" s="33">
        <f>IF(OR(E1318=1,I1318="Company-caused"),1,0)</f>
        <v>1</v>
      </c>
      <c r="K1318" s="32" t="str">
        <f>IF(E1318=0,IF(I1318="Company-caused",IF(Orders!T1315="Rider unavailable","C1 Rider unavailable","C2 Item unavailable"),"Outside root: unresolved"),IF(G1318=0,"A On time",IF(H1318=1,IF(L1318=1,"B2a Severe, peak","B2b Severe, off-peak"),IF(L1318=1,"B1a Slight, peak","B1b Slight, off-peak"))))</f>
        <v>A On time</v>
      </c>
      <c r="L1318" s="33">
        <f>IF(AND(Orders!U1315&gt;=19,Orders!U1315&lt;22),1,0)</f>
        <v>0</v>
      </c>
      <c r="M1318" s="33">
        <f>IF(L1318=IF(Orders!V1315,1,0),1,0)</f>
        <v>1</v>
      </c>
      <c r="N1318" s="32" t="str">
        <f>IF(Orders!W1315="","None",Orders!W1315)</f>
        <v>Light</v>
      </c>
      <c r="O1318" s="35">
        <f>INT(Orders!E1315)</f>
        <v>46275.0</v>
      </c>
      <c r="P1318" s="33">
        <f>Orders!U1315</f>
        <v>16</v>
      </c>
      <c r="Q1318" s="33">
        <f>COUNTIFS(Demand!$A$2:$A$4481,B1318,Demand!$B$2:$B$4481,O1318,Demand!$C$2:$C$4481,P1318)</f>
        <v>1</v>
      </c>
      <c r="R1318" s="33">
        <f>IF(Q1318=1,SUMIFS(Demand!$E$2:$E$4481,Demand!$A$2:$A$4481,B1318,Demand!$B$2:$B$4481,O1318,Demand!$C$2:$C$4481,P1318),"")</f>
        <v>31</v>
      </c>
      <c r="S1318" s="33">
        <f>INDEX(Stores!$G$2:$G$21,MATCH(B1318,Stores!$A$2:$A$21,0))</f>
        <v>33</v>
      </c>
      <c r="T1318" s="34">
        <f>IF(R1318="","",R1318/S1318)</f>
        <v>0.939393939393939</v>
      </c>
      <c r="U1318" s="34">
        <f>IF(E1318=1,T1318,"")</f>
        <v>0.939393939393939</v>
      </c>
      <c r="V1318" s="34">
        <f>IF(AND(E1318=1,L1318=0),T1318,"")</f>
        <v>0.939393939393939</v>
      </c>
      <c r="W1318" s="33">
        <f>IF(U1318="","",IF(U1318&lt;=Breakdowns!$C$5,1,IF(U1318&lt;=Breakdowns!$C$6,2,IF(U1318&lt;=Breakdowns!$C$7,3,4))))</f>
        <v>2</v>
      </c>
      <c r="X1318" s="33">
        <f>IF(V1318="","",IF(V1318&lt;=Breakdowns!$D$5,1,IF(V1318&lt;=Breakdowns!$D$6,2,IF(V1318&lt;=Breakdowns!$D$7,3,4))))</f>
        <v>3</v>
      </c>
      <c r="Y1318" s="34">
        <f>INDEX(Stores!$F$2:$F$21,MATCH(B1318,Stores!$A$2:$A$21,0))</f>
        <v>2.39</v>
      </c>
      <c r="Z1318" s="33">
        <f>IF(Y1318&gt;Store_Summary!$M$2,1,0)</f>
        <v>0</v>
      </c>
      <c r="AA1318" s="33">
        <f>INDEX(Stores!$C$2:$C$21,MATCH(B1318,Stores!$A$2:$A$21,0))</f>
        <v>470</v>
      </c>
      <c r="AB1318" s="33">
        <f>IF(AA1318&lt;180,1,0)</f>
        <v>0</v>
      </c>
      <c r="AC1318" s="32" t="str">
        <f>IF(Orders!D1315="","",INDEX(Riders!$C$2:$C$81,MATCH(Orders!D1315,Riders!$A$2:$A$81,0)))</f>
        <v>EV scooter</v>
      </c>
      <c r="AD1318" s="33">
        <f>IF(Orders!D1315="","",INDEX(Riders!$D$2:$D$81,MATCH(Orders!D1315,Riders!$A$2:$A$81,0)))</f>
        <v>26</v>
      </c>
      <c r="AE1318" s="33">
        <f>IF(Orders!D1315="","",IF(INDEX(Riders!$B$2:$B$81,MATCH(Orders!D1315,Riders!$A$2:$A$81,0))=B1318,1,0))</f>
        <v>0</v>
      </c>
      <c r="AF1318" s="34">
        <f>IF(E1318=1,Orders!L1315,"")</f>
        <v>0.93</v>
      </c>
      <c r="AG1318" s="34">
        <f>IF(E1318=1,Orders!P1315,"")</f>
        <v>9.7</v>
      </c>
      <c r="AH1318" s="34">
        <f>IF(E1318=1,Orders!Q1315,"")</f>
        <v>9</v>
      </c>
      <c r="AI1318" s="34">
        <f>IF(E1318=1,Orders!M1315,"")</f>
        <v>1.5</v>
      </c>
      <c r="AJ1318" s="34">
        <f>IF(E1318=1,Orders!N1315,"")</f>
        <v>4.9</v>
      </c>
      <c r="AK1318" s="34">
        <f>IF(E1318=1,Orders!O1315,"")</f>
        <v>2.6</v>
      </c>
      <c r="AL1318" s="33">
        <f>IF(E1318=1,IF(ROUND(ABS(AI1318+AJ1318+AK1318-AH1318),6)&lt;=0.1,1,0),"")</f>
        <v>1</v>
      </c>
      <c r="AM1318" s="36">
        <f>IF(E1318=1,AI1318/AH1318,"")</f>
        <v>0.166666666666667</v>
      </c>
      <c r="AN1318" s="36">
        <f>IF(E1318=1,AJ1318/AH1318,"")</f>
        <v>0.544444444444445</v>
      </c>
      <c r="AO1318" s="36">
        <f>IF(E1318=1,AK1318/AH1318,"")</f>
        <v>0.288888888888889</v>
      </c>
      <c r="AP1318" s="34">
        <f>IF(E1318=1,Orders!Y1315,"")</f>
        <v>0.53</v>
      </c>
      <c r="AQ1318" s="33">
        <f>IF(Orders!X1315,1,0)</f>
        <v>0</v>
      </c>
      <c r="AR1318" s="34" t="str">
        <f>IF(AND(E1318=1,L1318=1),AJ1318,"")</f>
        <v/>
      </c>
      <c r="AS1318" s="34">
        <f>IF(AND(E1318=1,L1318=0),AJ1318,"")</f>
        <v>4.9</v>
      </c>
      <c r="AT1318" s="34" t="str">
        <f>IF(AND(E1318=1,L1318=1),AI1318,"")</f>
        <v/>
      </c>
      <c r="AU1318" s="34">
        <f>IF(AND(E1318=1,L1318=0),AI1318,"")</f>
        <v>1.5</v>
      </c>
      <c r="AV1318" s="34" t="str">
        <f>IF(AND(E1318=1,L1318=1),AG1318,"")</f>
        <v/>
      </c>
      <c r="AW1318" s="34">
        <f>IF(AND(E1318=1,L1318=0),AG1318,"")</f>
        <v>9.7</v>
      </c>
      <c r="AX1318" s="34" t="str">
        <f>IF(AND(E1318=1,L1318=1),AH1318,"")</f>
        <v/>
      </c>
      <c r="AY1318" s="34">
        <f>IF(AND(E1318=1,L1318=0),AH1318,"")</f>
        <v>9</v>
      </c>
      <c r="AZ1318" s="34" t="str">
        <f>IF(G1318=1,F1318,"")</f>
        <v/>
      </c>
      <c r="BA1318" s="34" t="str">
        <f>IF(AND(G1318=1,L1318=1),F1318,"")</f>
        <v/>
      </c>
      <c r="BB1318" s="34" t="str">
        <f>IF(AND(G1318=1,L1318=0),F1318,"")</f>
        <v/>
      </c>
      <c r="BC1318" s="33">
        <f>IF(E1318=1,IF(Orders!R1315&gt;3,1,0),"")</f>
        <v>0</v>
      </c>
      <c r="BD1318" s="33">
        <f>IF(E1318=1,IF(Orders!R1315&gt;7,1,0),"")</f>
        <v>0</v>
      </c>
      <c r="BE1318" s="32" t="str">
        <f>IF(E1318=1,IF(Orders!L1315&lt;=1.5,"Up to 1.5 km",IF(Orders!L1315&lt;=3,"1.5–3 km","Over 3 km")),"")</f>
        <v>Up to 1.5 km</v>
      </c>
      <c r="BF1318" s="33">
        <f>IF(E1318=1,IF(ABS((Orders!G1315-Orders!F1315)*1440-Orders!R1315)&lt;0.06,1,0),"")</f>
        <v>1</v>
      </c>
      <c r="BG1318" s="33">
        <f>IF(ABS((Orders!F1315-Orders!E1315)*1440-Orders!P1315)&lt;0.06,1,0)</f>
        <v>1</v>
      </c>
      <c r="BH1318" s="33">
        <f>IF(E1318=1,IF(IF(Orders!S1315,1,0)=1-G1318,1,0),"")</f>
        <v>1</v>
      </c>
      <c r="BI1318" s="32" t="str">
        <f>INDEX(Stores!$B$2:$B$21,MATCH(B1318,Stores!$A$2:$A$21,0))</f>
        <v>Hyderabad</v>
      </c>
    </row>
    <row r="1319">
      <c r="A1319" s="32" t="str">
        <f>Orders!A1316</f>
        <v>O01315</v>
      </c>
      <c r="B1319" s="32" t="str">
        <f>Orders!C1316</f>
        <v>S007</v>
      </c>
      <c r="C1319" s="32" t="str">
        <f>Orders!B1316</f>
        <v>C0117</v>
      </c>
      <c r="D1319" s="32" t="str">
        <f>Orders!H1316</f>
        <v>Delivered</v>
      </c>
      <c r="E1319" s="33">
        <f>IF(Orders!H1316="Delivered",1,0)</f>
        <v>1</v>
      </c>
      <c r="F1319" s="34">
        <f>IF(E1319=1,Orders!R1316,"")</f>
        <v>-0.8</v>
      </c>
      <c r="G1319" s="33">
        <f>IF(E1319=1,IF(Orders!R1316&gt;0,1,0),"")</f>
        <v>0</v>
      </c>
      <c r="H1319" s="33">
        <f>IF(E1319=1,IF(Orders!R1316&gt;5,1,0),"")</f>
        <v>0</v>
      </c>
      <c r="I1319" s="32" t="str">
        <f>IF(E1319=1,"",IF(OR(Orders!T1316="Rider unavailable",Orders!T1316="Item unavailable"),"Company-caused","Unresolved"))</f>
        <v/>
      </c>
      <c r="J1319" s="33">
        <f>IF(OR(E1319=1,I1319="Company-caused"),1,0)</f>
        <v>1</v>
      </c>
      <c r="K1319" s="32" t="str">
        <f>IF(E1319=0,IF(I1319="Company-caused",IF(Orders!T1316="Rider unavailable","C1 Rider unavailable","C2 Item unavailable"),"Outside root: unresolved"),IF(G1319=0,"A On time",IF(H1319=1,IF(L1319=1,"B2a Severe, peak","B2b Severe, off-peak"),IF(L1319=1,"B1a Slight, peak","B1b Slight, off-peak"))))</f>
        <v>A On time</v>
      </c>
      <c r="L1319" s="33">
        <f>IF(AND(Orders!U1316&gt;=19,Orders!U1316&lt;22),1,0)</f>
        <v>0</v>
      </c>
      <c r="M1319" s="33">
        <f>IF(L1319=IF(Orders!V1316,1,0),1,0)</f>
        <v>1</v>
      </c>
      <c r="N1319" s="32" t="str">
        <f>IF(Orders!W1316="","None",Orders!W1316)</f>
        <v>None</v>
      </c>
      <c r="O1319" s="35">
        <f>INT(Orders!E1316)</f>
        <v>46269.0</v>
      </c>
      <c r="P1319" s="33">
        <f>Orders!U1316</f>
        <v>17</v>
      </c>
      <c r="Q1319" s="33">
        <f>COUNTIFS(Demand!$A$2:$A$4481,B1319,Demand!$B$2:$B$4481,O1319,Demand!$C$2:$C$4481,P1319)</f>
        <v>1</v>
      </c>
      <c r="R1319" s="33">
        <f>IF(Q1319=1,SUMIFS(Demand!$E$2:$E$4481,Demand!$A$2:$A$4481,B1319,Demand!$B$2:$B$4481,O1319,Demand!$C$2:$C$4481,P1319),"")</f>
        <v>39</v>
      </c>
      <c r="S1319" s="33">
        <f>INDEX(Stores!$G$2:$G$21,MATCH(B1319,Stores!$A$2:$A$21,0))</f>
        <v>37</v>
      </c>
      <c r="T1319" s="34">
        <f>IF(R1319="","",R1319/S1319)</f>
        <v>1.05405405405405</v>
      </c>
      <c r="U1319" s="34">
        <f>IF(E1319=1,T1319,"")</f>
        <v>1.05405405405405</v>
      </c>
      <c r="V1319" s="34">
        <f>IF(AND(E1319=1,L1319=0),T1319,"")</f>
        <v>1.05405405405405</v>
      </c>
      <c r="W1319" s="33">
        <f>IF(U1319="","",IF(U1319&lt;=Breakdowns!$C$5,1,IF(U1319&lt;=Breakdowns!$C$6,2,IF(U1319&lt;=Breakdowns!$C$7,3,4))))</f>
        <v>3</v>
      </c>
      <c r="X1319" s="33">
        <f>IF(V1319="","",IF(V1319&lt;=Breakdowns!$D$5,1,IF(V1319&lt;=Breakdowns!$D$6,2,IF(V1319&lt;=Breakdowns!$D$7,3,4))))</f>
        <v>3</v>
      </c>
      <c r="Y1319" s="34">
        <f>INDEX(Stores!$F$2:$F$21,MATCH(B1319,Stores!$A$2:$A$21,0))</f>
        <v>4.05</v>
      </c>
      <c r="Z1319" s="33">
        <f>IF(Y1319&gt;Store_Summary!$M$2,1,0)</f>
        <v>0</v>
      </c>
      <c r="AA1319" s="33">
        <f>INDEX(Stores!$C$2:$C$21,MATCH(B1319,Stores!$A$2:$A$21,0))</f>
        <v>661</v>
      </c>
      <c r="AB1319" s="33">
        <f>IF(AA1319&lt;180,1,0)</f>
        <v>0</v>
      </c>
      <c r="AC1319" s="32" t="str">
        <f>IF(Orders!D1316="","",INDEX(Riders!$C$2:$C$81,MATCH(Orders!D1316,Riders!$A$2:$A$81,0)))</f>
        <v>EV scooter</v>
      </c>
      <c r="AD1319" s="33">
        <f>IF(Orders!D1316="","",INDEX(Riders!$D$2:$D$81,MATCH(Orders!D1316,Riders!$A$2:$A$81,0)))</f>
        <v>4</v>
      </c>
      <c r="AE1319" s="33">
        <f>IF(Orders!D1316="","",IF(INDEX(Riders!$B$2:$B$81,MATCH(Orders!D1316,Riders!$A$2:$A$81,0))=B1319,1,0))</f>
        <v>0</v>
      </c>
      <c r="AF1319" s="34">
        <f>IF(E1319=1,Orders!L1316,"")</f>
        <v>1.6</v>
      </c>
      <c r="AG1319" s="34">
        <f>IF(E1319=1,Orders!P1316,"")</f>
        <v>10.3</v>
      </c>
      <c r="AH1319" s="34">
        <f>IF(E1319=1,Orders!Q1316,"")</f>
        <v>9.5</v>
      </c>
      <c r="AI1319" s="34">
        <f>IF(E1319=1,Orders!M1316,"")</f>
        <v>3.4</v>
      </c>
      <c r="AJ1319" s="34">
        <f>IF(E1319=1,Orders!N1316,"")</f>
        <v>2.1</v>
      </c>
      <c r="AK1319" s="34">
        <f>IF(E1319=1,Orders!O1316,"")</f>
        <v>4</v>
      </c>
      <c r="AL1319" s="33">
        <f>IF(E1319=1,IF(ROUND(ABS(AI1319+AJ1319+AK1319-AH1319),6)&lt;=0.1,1,0),"")</f>
        <v>1</v>
      </c>
      <c r="AM1319" s="36">
        <f>IF(E1319=1,AI1319/AH1319,"")</f>
        <v>0.357894736842105</v>
      </c>
      <c r="AN1319" s="36">
        <f>IF(E1319=1,AJ1319/AH1319,"")</f>
        <v>0.221052631578947</v>
      </c>
      <c r="AO1319" s="36">
        <f>IF(E1319=1,AK1319/AH1319,"")</f>
        <v>0.421052631578947</v>
      </c>
      <c r="AP1319" s="34">
        <f>IF(E1319=1,Orders!Y1316,"")</f>
        <v>0.71</v>
      </c>
      <c r="AQ1319" s="33">
        <f>IF(Orders!X1316,1,0)</f>
        <v>0</v>
      </c>
      <c r="AR1319" s="34" t="str">
        <f>IF(AND(E1319=1,L1319=1),AJ1319,"")</f>
        <v/>
      </c>
      <c r="AS1319" s="34">
        <f>IF(AND(E1319=1,L1319=0),AJ1319,"")</f>
        <v>2.1</v>
      </c>
      <c r="AT1319" s="34" t="str">
        <f>IF(AND(E1319=1,L1319=1),AI1319,"")</f>
        <v/>
      </c>
      <c r="AU1319" s="34">
        <f>IF(AND(E1319=1,L1319=0),AI1319,"")</f>
        <v>3.4</v>
      </c>
      <c r="AV1319" s="34" t="str">
        <f>IF(AND(E1319=1,L1319=1),AG1319,"")</f>
        <v/>
      </c>
      <c r="AW1319" s="34">
        <f>IF(AND(E1319=1,L1319=0),AG1319,"")</f>
        <v>10.3</v>
      </c>
      <c r="AX1319" s="34" t="str">
        <f>IF(AND(E1319=1,L1319=1),AH1319,"")</f>
        <v/>
      </c>
      <c r="AY1319" s="34">
        <f>IF(AND(E1319=1,L1319=0),AH1319,"")</f>
        <v>9.5</v>
      </c>
      <c r="AZ1319" s="34" t="str">
        <f>IF(G1319=1,F1319,"")</f>
        <v/>
      </c>
      <c r="BA1319" s="34" t="str">
        <f>IF(AND(G1319=1,L1319=1),F1319,"")</f>
        <v/>
      </c>
      <c r="BB1319" s="34" t="str">
        <f>IF(AND(G1319=1,L1319=0),F1319,"")</f>
        <v/>
      </c>
      <c r="BC1319" s="33">
        <f>IF(E1319=1,IF(Orders!R1316&gt;3,1,0),"")</f>
        <v>0</v>
      </c>
      <c r="BD1319" s="33">
        <f>IF(E1319=1,IF(Orders!R1316&gt;7,1,0),"")</f>
        <v>0</v>
      </c>
      <c r="BE1319" s="32" t="str">
        <f>IF(E1319=1,IF(Orders!L1316&lt;=1.5,"Up to 1.5 km",IF(Orders!L1316&lt;=3,"1.5–3 km","Over 3 km")),"")</f>
        <v>1.5–3 km</v>
      </c>
      <c r="BF1319" s="33">
        <f>IF(E1319=1,IF(ABS((Orders!G1316-Orders!F1316)*1440-Orders!R1316)&lt;0.06,1,0),"")</f>
        <v>1</v>
      </c>
      <c r="BG1319" s="33">
        <f>IF(ABS((Orders!F1316-Orders!E1316)*1440-Orders!P1316)&lt;0.06,1,0)</f>
        <v>1</v>
      </c>
      <c r="BH1319" s="33">
        <f>IF(E1319=1,IF(IF(Orders!S1316,1,0)=1-G1319,1,0),"")</f>
        <v>1</v>
      </c>
      <c r="BI1319" s="32" t="str">
        <f>INDEX(Stores!$B$2:$B$21,MATCH(B1319,Stores!$A$2:$A$21,0))</f>
        <v>Hyderabad</v>
      </c>
    </row>
    <row r="1320">
      <c r="A1320" s="32" t="str">
        <f>Orders!A1317</f>
        <v>O01316</v>
      </c>
      <c r="B1320" s="32" t="str">
        <f>Orders!C1317</f>
        <v>S013</v>
      </c>
      <c r="C1320" s="32" t="str">
        <f>Orders!B1317</f>
        <v>C0100</v>
      </c>
      <c r="D1320" s="32" t="str">
        <f>Orders!H1317</f>
        <v>Delivered</v>
      </c>
      <c r="E1320" s="33">
        <f>IF(Orders!H1317="Delivered",1,0)</f>
        <v>1</v>
      </c>
      <c r="F1320" s="34">
        <f>IF(E1320=1,Orders!R1317,"")</f>
        <v>-0.6</v>
      </c>
      <c r="G1320" s="33">
        <f>IF(E1320=1,IF(Orders!R1317&gt;0,1,0),"")</f>
        <v>0</v>
      </c>
      <c r="H1320" s="33">
        <f>IF(E1320=1,IF(Orders!R1317&gt;5,1,0),"")</f>
        <v>0</v>
      </c>
      <c r="I1320" s="32" t="str">
        <f>IF(E1320=1,"",IF(OR(Orders!T1317="Rider unavailable",Orders!T1317="Item unavailable"),"Company-caused","Unresolved"))</f>
        <v/>
      </c>
      <c r="J1320" s="33">
        <f>IF(OR(E1320=1,I1320="Company-caused"),1,0)</f>
        <v>1</v>
      </c>
      <c r="K1320" s="32" t="str">
        <f>IF(E1320=0,IF(I1320="Company-caused",IF(Orders!T1317="Rider unavailable","C1 Rider unavailable","C2 Item unavailable"),"Outside root: unresolved"),IF(G1320=0,"A On time",IF(H1320=1,IF(L1320=1,"B2a Severe, peak","B2b Severe, off-peak"),IF(L1320=1,"B1a Slight, peak","B1b Slight, off-peak"))))</f>
        <v>A On time</v>
      </c>
      <c r="L1320" s="33">
        <f>IF(AND(Orders!U1317&gt;=19,Orders!U1317&lt;22),1,0)</f>
        <v>1</v>
      </c>
      <c r="M1320" s="33">
        <f>IF(L1320=IF(Orders!V1317,1,0),1,0)</f>
        <v>1</v>
      </c>
      <c r="N1320" s="32" t="str">
        <f>IF(Orders!W1317="","None",Orders!W1317)</f>
        <v>None</v>
      </c>
      <c r="O1320" s="35">
        <f>INT(Orders!E1317)</f>
        <v>46279.0</v>
      </c>
      <c r="P1320" s="33">
        <f>Orders!U1317</f>
        <v>19</v>
      </c>
      <c r="Q1320" s="33">
        <f>COUNTIFS(Demand!$A$2:$A$4481,B1320,Demand!$B$2:$B$4481,O1320,Demand!$C$2:$C$4481,P1320)</f>
        <v>1</v>
      </c>
      <c r="R1320" s="33">
        <f>IF(Q1320=1,SUMIFS(Demand!$E$2:$E$4481,Demand!$A$2:$A$4481,B1320,Demand!$B$2:$B$4481,O1320,Demand!$C$2:$C$4481,P1320),"")</f>
        <v>73</v>
      </c>
      <c r="S1320" s="33">
        <f>INDEX(Stores!$G$2:$G$21,MATCH(B1320,Stores!$A$2:$A$21,0))</f>
        <v>49</v>
      </c>
      <c r="T1320" s="34">
        <f>IF(R1320="","",R1320/S1320)</f>
        <v>1.48979591836735</v>
      </c>
      <c r="U1320" s="34">
        <f>IF(E1320=1,T1320,"")</f>
        <v>1.48979591836735</v>
      </c>
      <c r="V1320" s="34" t="str">
        <f>IF(AND(E1320=1,L1320=0),T1320,"")</f>
        <v/>
      </c>
      <c r="W1320" s="33">
        <f>IF(U1320="","",IF(U1320&lt;=Breakdowns!$C$5,1,IF(U1320&lt;=Breakdowns!$C$6,2,IF(U1320&lt;=Breakdowns!$C$7,3,4))))</f>
        <v>4</v>
      </c>
      <c r="X1320" s="33" t="str">
        <f>IF(V1320="","",IF(V1320&lt;=Breakdowns!$D$5,1,IF(V1320&lt;=Breakdowns!$D$6,2,IF(V1320&lt;=Breakdowns!$D$7,3,4))))</f>
        <v/>
      </c>
      <c r="Y1320" s="34">
        <f>INDEX(Stores!$F$2:$F$21,MATCH(B1320,Stores!$A$2:$A$21,0))</f>
        <v>5.82</v>
      </c>
      <c r="Z1320" s="33">
        <f>IF(Y1320&gt;Store_Summary!$M$2,1,0)</f>
        <v>1</v>
      </c>
      <c r="AA1320" s="33">
        <f>INDEX(Stores!$C$2:$C$21,MATCH(B1320,Stores!$A$2:$A$21,0))</f>
        <v>705</v>
      </c>
      <c r="AB1320" s="33">
        <f>IF(AA1320&lt;180,1,0)</f>
        <v>0</v>
      </c>
      <c r="AC1320" s="32" t="str">
        <f>IF(Orders!D1317="","",INDEX(Riders!$C$2:$C$81,MATCH(Orders!D1317,Riders!$A$2:$A$81,0)))</f>
        <v>EV scooter</v>
      </c>
      <c r="AD1320" s="33">
        <f>IF(Orders!D1317="","",INDEX(Riders!$D$2:$D$81,MATCH(Orders!D1317,Riders!$A$2:$A$81,0)))</f>
        <v>39</v>
      </c>
      <c r="AE1320" s="33">
        <f>IF(Orders!D1317="","",IF(INDEX(Riders!$B$2:$B$81,MATCH(Orders!D1317,Riders!$A$2:$A$81,0))=B1320,1,0))</f>
        <v>0</v>
      </c>
      <c r="AF1320" s="34">
        <f>IF(E1320=1,Orders!L1317,"")</f>
        <v>2.85</v>
      </c>
      <c r="AG1320" s="34">
        <f>IF(E1320=1,Orders!P1317,"")</f>
        <v>8.2</v>
      </c>
      <c r="AH1320" s="34">
        <f>IF(E1320=1,Orders!Q1317,"")</f>
        <v>7.6</v>
      </c>
      <c r="AI1320" s="34">
        <f>IF(E1320=1,Orders!M1317,"")</f>
        <v>2.6</v>
      </c>
      <c r="AJ1320" s="34">
        <f>IF(E1320=1,Orders!N1317,"")</f>
        <v>2.3</v>
      </c>
      <c r="AK1320" s="34">
        <f>IF(E1320=1,Orders!O1317,"")</f>
        <v>2.7</v>
      </c>
      <c r="AL1320" s="33">
        <f>IF(E1320=1,IF(ROUND(ABS(AI1320+AJ1320+AK1320-AH1320),6)&lt;=0.1,1,0),"")</f>
        <v>1</v>
      </c>
      <c r="AM1320" s="36">
        <f>IF(E1320=1,AI1320/AH1320,"")</f>
        <v>0.342105263157895</v>
      </c>
      <c r="AN1320" s="36">
        <f>IF(E1320=1,AJ1320/AH1320,"")</f>
        <v>0.302631578947368</v>
      </c>
      <c r="AO1320" s="36">
        <f>IF(E1320=1,AK1320/AH1320,"")</f>
        <v>0.355263157894737</v>
      </c>
      <c r="AP1320" s="34">
        <f>IF(E1320=1,Orders!Y1317,"")</f>
        <v>0.77</v>
      </c>
      <c r="AQ1320" s="33">
        <f>IF(Orders!X1317,1,0)</f>
        <v>0</v>
      </c>
      <c r="AR1320" s="34">
        <f>IF(AND(E1320=1,L1320=1),AJ1320,"")</f>
        <v>2.3</v>
      </c>
      <c r="AS1320" s="34" t="str">
        <f>IF(AND(E1320=1,L1320=0),AJ1320,"")</f>
        <v/>
      </c>
      <c r="AT1320" s="34">
        <f>IF(AND(E1320=1,L1320=1),AI1320,"")</f>
        <v>2.6</v>
      </c>
      <c r="AU1320" s="34" t="str">
        <f>IF(AND(E1320=1,L1320=0),AI1320,"")</f>
        <v/>
      </c>
      <c r="AV1320" s="34">
        <f>IF(AND(E1320=1,L1320=1),AG1320,"")</f>
        <v>8.2</v>
      </c>
      <c r="AW1320" s="34" t="str">
        <f>IF(AND(E1320=1,L1320=0),AG1320,"")</f>
        <v/>
      </c>
      <c r="AX1320" s="34">
        <f>IF(AND(E1320=1,L1320=1),AH1320,"")</f>
        <v>7.6</v>
      </c>
      <c r="AY1320" s="34" t="str">
        <f>IF(AND(E1320=1,L1320=0),AH1320,"")</f>
        <v/>
      </c>
      <c r="AZ1320" s="34" t="str">
        <f>IF(G1320=1,F1320,"")</f>
        <v/>
      </c>
      <c r="BA1320" s="34" t="str">
        <f>IF(AND(G1320=1,L1320=1),F1320,"")</f>
        <v/>
      </c>
      <c r="BB1320" s="34" t="str">
        <f>IF(AND(G1320=1,L1320=0),F1320,"")</f>
        <v/>
      </c>
      <c r="BC1320" s="33">
        <f>IF(E1320=1,IF(Orders!R1317&gt;3,1,0),"")</f>
        <v>0</v>
      </c>
      <c r="BD1320" s="33">
        <f>IF(E1320=1,IF(Orders!R1317&gt;7,1,0),"")</f>
        <v>0</v>
      </c>
      <c r="BE1320" s="32" t="str">
        <f>IF(E1320=1,IF(Orders!L1317&lt;=1.5,"Up to 1.5 km",IF(Orders!L1317&lt;=3,"1.5–3 km","Over 3 km")),"")</f>
        <v>1.5–3 km</v>
      </c>
      <c r="BF1320" s="33">
        <f>IF(E1320=1,IF(ABS((Orders!G1317-Orders!F1317)*1440-Orders!R1317)&lt;0.06,1,0),"")</f>
        <v>1</v>
      </c>
      <c r="BG1320" s="33">
        <f>IF(ABS((Orders!F1317-Orders!E1317)*1440-Orders!P1317)&lt;0.06,1,0)</f>
        <v>1</v>
      </c>
      <c r="BH1320" s="33">
        <f>IF(E1320=1,IF(IF(Orders!S1317,1,0)=1-G1320,1,0),"")</f>
        <v>1</v>
      </c>
      <c r="BI1320" s="32" t="str">
        <f>INDEX(Stores!$B$2:$B$21,MATCH(B1320,Stores!$A$2:$A$21,0))</f>
        <v>Mumbai</v>
      </c>
    </row>
    <row r="1321">
      <c r="A1321" s="32" t="str">
        <f>Orders!A1318</f>
        <v>O01317</v>
      </c>
      <c r="B1321" s="32" t="str">
        <f>Orders!C1318</f>
        <v>S013</v>
      </c>
      <c r="C1321" s="32" t="str">
        <f>Orders!B1318</f>
        <v>C0085</v>
      </c>
      <c r="D1321" s="32" t="str">
        <f>Orders!H1318</f>
        <v>Delivered</v>
      </c>
      <c r="E1321" s="33">
        <f>IF(Orders!H1318="Delivered",1,0)</f>
        <v>1</v>
      </c>
      <c r="F1321" s="34">
        <f>IF(E1321=1,Orders!R1318,"")</f>
        <v>-0.2</v>
      </c>
      <c r="G1321" s="33">
        <f>IF(E1321=1,IF(Orders!R1318&gt;0,1,0),"")</f>
        <v>0</v>
      </c>
      <c r="H1321" s="33">
        <f>IF(E1321=1,IF(Orders!R1318&gt;5,1,0),"")</f>
        <v>0</v>
      </c>
      <c r="I1321" s="32" t="str">
        <f>IF(E1321=1,"",IF(OR(Orders!T1318="Rider unavailable",Orders!T1318="Item unavailable"),"Company-caused","Unresolved"))</f>
        <v/>
      </c>
      <c r="J1321" s="33">
        <f>IF(OR(E1321=1,I1321="Company-caused"),1,0)</f>
        <v>1</v>
      </c>
      <c r="K1321" s="32" t="str">
        <f>IF(E1321=0,IF(I1321="Company-caused",IF(Orders!T1318="Rider unavailable","C1 Rider unavailable","C2 Item unavailable"),"Outside root: unresolved"),IF(G1321=0,"A On time",IF(H1321=1,IF(L1321=1,"B2a Severe, peak","B2b Severe, off-peak"),IF(L1321=1,"B1a Slight, peak","B1b Slight, off-peak"))))</f>
        <v>A On time</v>
      </c>
      <c r="L1321" s="33">
        <f>IF(AND(Orders!U1318&gt;=19,Orders!U1318&lt;22),1,0)</f>
        <v>0</v>
      </c>
      <c r="M1321" s="33">
        <f>IF(L1321=IF(Orders!V1318,1,0),1,0)</f>
        <v>1</v>
      </c>
      <c r="N1321" s="32" t="str">
        <f>IF(Orders!W1318="","None",Orders!W1318)</f>
        <v>None</v>
      </c>
      <c r="O1321" s="35">
        <f>INT(Orders!E1318)</f>
        <v>46279.0</v>
      </c>
      <c r="P1321" s="33">
        <f>Orders!U1318</f>
        <v>10</v>
      </c>
      <c r="Q1321" s="33">
        <f>COUNTIFS(Demand!$A$2:$A$4481,B1321,Demand!$B$2:$B$4481,O1321,Demand!$C$2:$C$4481,P1321)</f>
        <v>1</v>
      </c>
      <c r="R1321" s="33">
        <f>IF(Q1321=1,SUMIFS(Demand!$E$2:$E$4481,Demand!$A$2:$A$4481,B1321,Demand!$B$2:$B$4481,O1321,Demand!$C$2:$C$4481,P1321),"")</f>
        <v>28</v>
      </c>
      <c r="S1321" s="33">
        <f>INDEX(Stores!$G$2:$G$21,MATCH(B1321,Stores!$A$2:$A$21,0))</f>
        <v>49</v>
      </c>
      <c r="T1321" s="34">
        <f>IF(R1321="","",R1321/S1321)</f>
        <v>0.571428571428571</v>
      </c>
      <c r="U1321" s="34">
        <f>IF(E1321=1,T1321,"")</f>
        <v>0.571428571428571</v>
      </c>
      <c r="V1321" s="34">
        <f>IF(AND(E1321=1,L1321=0),T1321,"")</f>
        <v>0.571428571428571</v>
      </c>
      <c r="W1321" s="33">
        <f>IF(U1321="","",IF(U1321&lt;=Breakdowns!$C$5,1,IF(U1321&lt;=Breakdowns!$C$6,2,IF(U1321&lt;=Breakdowns!$C$7,3,4))))</f>
        <v>1</v>
      </c>
      <c r="X1321" s="33">
        <f>IF(V1321="","",IF(V1321&lt;=Breakdowns!$D$5,1,IF(V1321&lt;=Breakdowns!$D$6,2,IF(V1321&lt;=Breakdowns!$D$7,3,4))))</f>
        <v>1</v>
      </c>
      <c r="Y1321" s="34">
        <f>INDEX(Stores!$F$2:$F$21,MATCH(B1321,Stores!$A$2:$A$21,0))</f>
        <v>5.82</v>
      </c>
      <c r="Z1321" s="33">
        <f>IF(Y1321&gt;Store_Summary!$M$2,1,0)</f>
        <v>1</v>
      </c>
      <c r="AA1321" s="33">
        <f>INDEX(Stores!$C$2:$C$21,MATCH(B1321,Stores!$A$2:$A$21,0))</f>
        <v>705</v>
      </c>
      <c r="AB1321" s="33">
        <f>IF(AA1321&lt;180,1,0)</f>
        <v>0</v>
      </c>
      <c r="AC1321" s="32" t="str">
        <f>IF(Orders!D1318="","",INDEX(Riders!$C$2:$C$81,MATCH(Orders!D1318,Riders!$A$2:$A$81,0)))</f>
        <v>EV scooter</v>
      </c>
      <c r="AD1321" s="33">
        <f>IF(Orders!D1318="","",INDEX(Riders!$D$2:$D$81,MATCH(Orders!D1318,Riders!$A$2:$A$81,0)))</f>
        <v>41</v>
      </c>
      <c r="AE1321" s="33">
        <f>IF(Orders!D1318="","",IF(INDEX(Riders!$B$2:$B$81,MATCH(Orders!D1318,Riders!$A$2:$A$81,0))=B1321,1,0))</f>
        <v>0</v>
      </c>
      <c r="AF1321" s="34">
        <f>IF(E1321=1,Orders!L1318,"")</f>
        <v>2.19</v>
      </c>
      <c r="AG1321" s="34">
        <f>IF(E1321=1,Orders!P1318,"")</f>
        <v>10.6</v>
      </c>
      <c r="AH1321" s="34">
        <f>IF(E1321=1,Orders!Q1318,"")</f>
        <v>10.4</v>
      </c>
      <c r="AI1321" s="34">
        <f>IF(E1321=1,Orders!M1318,"")</f>
        <v>4.7</v>
      </c>
      <c r="AJ1321" s="34">
        <f>IF(E1321=1,Orders!N1318,"")</f>
        <v>0</v>
      </c>
      <c r="AK1321" s="34">
        <f>IF(E1321=1,Orders!O1318,"")</f>
        <v>5.7</v>
      </c>
      <c r="AL1321" s="33">
        <f>IF(E1321=1,IF(ROUND(ABS(AI1321+AJ1321+AK1321-AH1321),6)&lt;=0.1,1,0),"")</f>
        <v>1</v>
      </c>
      <c r="AM1321" s="36">
        <f>IF(E1321=1,AI1321/AH1321,"")</f>
        <v>0.451923076923077</v>
      </c>
      <c r="AN1321" s="36">
        <f>IF(E1321=1,AJ1321/AH1321,"")</f>
        <v>0</v>
      </c>
      <c r="AO1321" s="36">
        <f>IF(E1321=1,AK1321/AH1321,"")</f>
        <v>0.548076923076923</v>
      </c>
      <c r="AP1321" s="34">
        <f>IF(E1321=1,Orders!Y1318,"")</f>
        <v>0.62</v>
      </c>
      <c r="AQ1321" s="33">
        <f>IF(Orders!X1318,1,0)</f>
        <v>0</v>
      </c>
      <c r="AR1321" s="34" t="str">
        <f>IF(AND(E1321=1,L1321=1),AJ1321,"")</f>
        <v/>
      </c>
      <c r="AS1321" s="34">
        <f>IF(AND(E1321=1,L1321=0),AJ1321,"")</f>
        <v>0</v>
      </c>
      <c r="AT1321" s="34" t="str">
        <f>IF(AND(E1321=1,L1321=1),AI1321,"")</f>
        <v/>
      </c>
      <c r="AU1321" s="34">
        <f>IF(AND(E1321=1,L1321=0),AI1321,"")</f>
        <v>4.7</v>
      </c>
      <c r="AV1321" s="34" t="str">
        <f>IF(AND(E1321=1,L1321=1),AG1321,"")</f>
        <v/>
      </c>
      <c r="AW1321" s="34">
        <f>IF(AND(E1321=1,L1321=0),AG1321,"")</f>
        <v>10.6</v>
      </c>
      <c r="AX1321" s="34" t="str">
        <f>IF(AND(E1321=1,L1321=1),AH1321,"")</f>
        <v/>
      </c>
      <c r="AY1321" s="34">
        <f>IF(AND(E1321=1,L1321=0),AH1321,"")</f>
        <v>10.4</v>
      </c>
      <c r="AZ1321" s="34" t="str">
        <f>IF(G1321=1,F1321,"")</f>
        <v/>
      </c>
      <c r="BA1321" s="34" t="str">
        <f>IF(AND(G1321=1,L1321=1),F1321,"")</f>
        <v/>
      </c>
      <c r="BB1321" s="34" t="str">
        <f>IF(AND(G1321=1,L1321=0),F1321,"")</f>
        <v/>
      </c>
      <c r="BC1321" s="33">
        <f>IF(E1321=1,IF(Orders!R1318&gt;3,1,0),"")</f>
        <v>0</v>
      </c>
      <c r="BD1321" s="33">
        <f>IF(E1321=1,IF(Orders!R1318&gt;7,1,0),"")</f>
        <v>0</v>
      </c>
      <c r="BE1321" s="32" t="str">
        <f>IF(E1321=1,IF(Orders!L1318&lt;=1.5,"Up to 1.5 km",IF(Orders!L1318&lt;=3,"1.5–3 km","Over 3 km")),"")</f>
        <v>1.5–3 km</v>
      </c>
      <c r="BF1321" s="33">
        <f>IF(E1321=1,IF(ABS((Orders!G1318-Orders!F1318)*1440-Orders!R1318)&lt;0.06,1,0),"")</f>
        <v>1</v>
      </c>
      <c r="BG1321" s="33">
        <f>IF(ABS((Orders!F1318-Orders!E1318)*1440-Orders!P1318)&lt;0.06,1,0)</f>
        <v>1</v>
      </c>
      <c r="BH1321" s="33">
        <f>IF(E1321=1,IF(IF(Orders!S1318,1,0)=1-G1321,1,0),"")</f>
        <v>1</v>
      </c>
      <c r="BI1321" s="32" t="str">
        <f>INDEX(Stores!$B$2:$B$21,MATCH(B1321,Stores!$A$2:$A$21,0))</f>
        <v>Mumbai</v>
      </c>
    </row>
    <row r="1322">
      <c r="A1322" s="32" t="str">
        <f>Orders!A1319</f>
        <v>O01318</v>
      </c>
      <c r="B1322" s="32" t="str">
        <f>Orders!C1319</f>
        <v>S018</v>
      </c>
      <c r="C1322" s="32" t="str">
        <f>Orders!B1319</f>
        <v>C0126</v>
      </c>
      <c r="D1322" s="32" t="str">
        <f>Orders!H1319</f>
        <v>Delivered</v>
      </c>
      <c r="E1322" s="33">
        <f>IF(Orders!H1319="Delivered",1,0)</f>
        <v>1</v>
      </c>
      <c r="F1322" s="34">
        <f>IF(E1322=1,Orders!R1319,"")</f>
        <v>-1</v>
      </c>
      <c r="G1322" s="33">
        <f>IF(E1322=1,IF(Orders!R1319&gt;0,1,0),"")</f>
        <v>0</v>
      </c>
      <c r="H1322" s="33">
        <f>IF(E1322=1,IF(Orders!R1319&gt;5,1,0),"")</f>
        <v>0</v>
      </c>
      <c r="I1322" s="32" t="str">
        <f>IF(E1322=1,"",IF(OR(Orders!T1319="Rider unavailable",Orders!T1319="Item unavailable"),"Company-caused","Unresolved"))</f>
        <v/>
      </c>
      <c r="J1322" s="33">
        <f>IF(OR(E1322=1,I1322="Company-caused"),1,0)</f>
        <v>1</v>
      </c>
      <c r="K1322" s="32" t="str">
        <f>IF(E1322=0,IF(I1322="Company-caused",IF(Orders!T1319="Rider unavailable","C1 Rider unavailable","C2 Item unavailable"),"Outside root: unresolved"),IF(G1322=0,"A On time",IF(H1322=1,IF(L1322=1,"B2a Severe, peak","B2b Severe, off-peak"),IF(L1322=1,"B1a Slight, peak","B1b Slight, off-peak"))))</f>
        <v>A On time</v>
      </c>
      <c r="L1322" s="33">
        <f>IF(AND(Orders!U1319&gt;=19,Orders!U1319&lt;22),1,0)</f>
        <v>0</v>
      </c>
      <c r="M1322" s="33">
        <f>IF(L1322=IF(Orders!V1319,1,0),1,0)</f>
        <v>1</v>
      </c>
      <c r="N1322" s="32" t="str">
        <f>IF(Orders!W1319="","None",Orders!W1319)</f>
        <v>None</v>
      </c>
      <c r="O1322" s="35">
        <f>INT(Orders!E1319)</f>
        <v>46269.0</v>
      </c>
      <c r="P1322" s="33">
        <f>Orders!U1319</f>
        <v>9</v>
      </c>
      <c r="Q1322" s="33">
        <f>COUNTIFS(Demand!$A$2:$A$4481,B1322,Demand!$B$2:$B$4481,O1322,Demand!$C$2:$C$4481,P1322)</f>
        <v>1</v>
      </c>
      <c r="R1322" s="33">
        <f>IF(Q1322=1,SUMIFS(Demand!$E$2:$E$4481,Demand!$A$2:$A$4481,B1322,Demand!$B$2:$B$4481,O1322,Demand!$C$2:$C$4481,P1322),"")</f>
        <v>20</v>
      </c>
      <c r="S1322" s="33">
        <f>INDEX(Stores!$G$2:$G$21,MATCH(B1322,Stores!$A$2:$A$21,0))</f>
        <v>20</v>
      </c>
      <c r="T1322" s="34">
        <f>IF(R1322="","",R1322/S1322)</f>
        <v>1</v>
      </c>
      <c r="U1322" s="34">
        <f>IF(E1322=1,T1322,"")</f>
        <v>1</v>
      </c>
      <c r="V1322" s="34">
        <f>IF(AND(E1322=1,L1322=0),T1322,"")</f>
        <v>1</v>
      </c>
      <c r="W1322" s="33">
        <f>IF(U1322="","",IF(U1322&lt;=Breakdowns!$C$5,1,IF(U1322&lt;=Breakdowns!$C$6,2,IF(U1322&lt;=Breakdowns!$C$7,3,4))))</f>
        <v>2</v>
      </c>
      <c r="X1322" s="33">
        <f>IF(V1322="","",IF(V1322&lt;=Breakdowns!$D$5,1,IF(V1322&lt;=Breakdowns!$D$6,2,IF(V1322&lt;=Breakdowns!$D$7,3,4))))</f>
        <v>3</v>
      </c>
      <c r="Y1322" s="34">
        <f>INDEX(Stores!$F$2:$F$21,MATCH(B1322,Stores!$A$2:$A$21,0))</f>
        <v>5.31</v>
      </c>
      <c r="Z1322" s="33">
        <f>IF(Y1322&gt;Store_Summary!$M$2,1,0)</f>
        <v>1</v>
      </c>
      <c r="AA1322" s="33">
        <f>INDEX(Stores!$C$2:$C$21,MATCH(B1322,Stores!$A$2:$A$21,0))</f>
        <v>214</v>
      </c>
      <c r="AB1322" s="33">
        <f>IF(AA1322&lt;180,1,0)</f>
        <v>0</v>
      </c>
      <c r="AC1322" s="32" t="str">
        <f>IF(Orders!D1319="","",INDEX(Riders!$C$2:$C$81,MATCH(Orders!D1319,Riders!$A$2:$A$81,0)))</f>
        <v>EV scooter</v>
      </c>
      <c r="AD1322" s="33">
        <f>IF(Orders!D1319="","",INDEX(Riders!$D$2:$D$81,MATCH(Orders!D1319,Riders!$A$2:$A$81,0)))</f>
        <v>39</v>
      </c>
      <c r="AE1322" s="33">
        <f>IF(Orders!D1319="","",IF(INDEX(Riders!$B$2:$B$81,MATCH(Orders!D1319,Riders!$A$2:$A$81,0))=B1322,1,0))</f>
        <v>0</v>
      </c>
      <c r="AF1322" s="34">
        <f>IF(E1322=1,Orders!L1319,"")</f>
        <v>2.02</v>
      </c>
      <c r="AG1322" s="34">
        <f>IF(E1322=1,Orders!P1319,"")</f>
        <v>8.9</v>
      </c>
      <c r="AH1322" s="34">
        <f>IF(E1322=1,Orders!Q1319,"")</f>
        <v>7.9</v>
      </c>
      <c r="AI1322" s="34">
        <f>IF(E1322=1,Orders!M1319,"")</f>
        <v>3</v>
      </c>
      <c r="AJ1322" s="34">
        <f>IF(E1322=1,Orders!N1319,"")</f>
        <v>2.3</v>
      </c>
      <c r="AK1322" s="34">
        <f>IF(E1322=1,Orders!O1319,"")</f>
        <v>2.6</v>
      </c>
      <c r="AL1322" s="33">
        <f>IF(E1322=1,IF(ROUND(ABS(AI1322+AJ1322+AK1322-AH1322),6)&lt;=0.1,1,0),"")</f>
        <v>1</v>
      </c>
      <c r="AM1322" s="36">
        <f>IF(E1322=1,AI1322/AH1322,"")</f>
        <v>0.379746835443038</v>
      </c>
      <c r="AN1322" s="36">
        <f>IF(E1322=1,AJ1322/AH1322,"")</f>
        <v>0.291139240506329</v>
      </c>
      <c r="AO1322" s="36">
        <f>IF(E1322=1,AK1322/AH1322,"")</f>
        <v>0.329113924050633</v>
      </c>
      <c r="AP1322" s="34">
        <f>IF(E1322=1,Orders!Y1319,"")</f>
        <v>0.39</v>
      </c>
      <c r="AQ1322" s="33">
        <f>IF(Orders!X1319,1,0)</f>
        <v>0</v>
      </c>
      <c r="AR1322" s="34" t="str">
        <f>IF(AND(E1322=1,L1322=1),AJ1322,"")</f>
        <v/>
      </c>
      <c r="AS1322" s="34">
        <f>IF(AND(E1322=1,L1322=0),AJ1322,"")</f>
        <v>2.3</v>
      </c>
      <c r="AT1322" s="34" t="str">
        <f>IF(AND(E1322=1,L1322=1),AI1322,"")</f>
        <v/>
      </c>
      <c r="AU1322" s="34">
        <f>IF(AND(E1322=1,L1322=0),AI1322,"")</f>
        <v>3</v>
      </c>
      <c r="AV1322" s="34" t="str">
        <f>IF(AND(E1322=1,L1322=1),AG1322,"")</f>
        <v/>
      </c>
      <c r="AW1322" s="34">
        <f>IF(AND(E1322=1,L1322=0),AG1322,"")</f>
        <v>8.9</v>
      </c>
      <c r="AX1322" s="34" t="str">
        <f>IF(AND(E1322=1,L1322=1),AH1322,"")</f>
        <v/>
      </c>
      <c r="AY1322" s="34">
        <f>IF(AND(E1322=1,L1322=0),AH1322,"")</f>
        <v>7.9</v>
      </c>
      <c r="AZ1322" s="34" t="str">
        <f>IF(G1322=1,F1322,"")</f>
        <v/>
      </c>
      <c r="BA1322" s="34" t="str">
        <f>IF(AND(G1322=1,L1322=1),F1322,"")</f>
        <v/>
      </c>
      <c r="BB1322" s="34" t="str">
        <f>IF(AND(G1322=1,L1322=0),F1322,"")</f>
        <v/>
      </c>
      <c r="BC1322" s="33">
        <f>IF(E1322=1,IF(Orders!R1319&gt;3,1,0),"")</f>
        <v>0</v>
      </c>
      <c r="BD1322" s="33">
        <f>IF(E1322=1,IF(Orders!R1319&gt;7,1,0),"")</f>
        <v>0</v>
      </c>
      <c r="BE1322" s="32" t="str">
        <f>IF(E1322=1,IF(Orders!L1319&lt;=1.5,"Up to 1.5 km",IF(Orders!L1319&lt;=3,"1.5–3 km","Over 3 km")),"")</f>
        <v>1.5–3 km</v>
      </c>
      <c r="BF1322" s="33">
        <f>IF(E1322=1,IF(ABS((Orders!G1319-Orders!F1319)*1440-Orders!R1319)&lt;0.06,1,0),"")</f>
        <v>1</v>
      </c>
      <c r="BG1322" s="33">
        <f>IF(ABS((Orders!F1319-Orders!E1319)*1440-Orders!P1319)&lt;0.06,1,0)</f>
        <v>1</v>
      </c>
      <c r="BH1322" s="33">
        <f>IF(E1322=1,IF(IF(Orders!S1319,1,0)=1-G1322,1,0),"")</f>
        <v>1</v>
      </c>
      <c r="BI1322" s="32" t="str">
        <f>INDEX(Stores!$B$2:$B$21,MATCH(B1322,Stores!$A$2:$A$21,0))</f>
        <v>Mumbai</v>
      </c>
    </row>
    <row r="1323">
      <c r="A1323" s="32" t="str">
        <f>Orders!A1320</f>
        <v>O01319</v>
      </c>
      <c r="B1323" s="32" t="str">
        <f>Orders!C1320</f>
        <v>S019</v>
      </c>
      <c r="C1323" s="32" t="str">
        <f>Orders!B1320</f>
        <v>C0060</v>
      </c>
      <c r="D1323" s="32" t="str">
        <f>Orders!H1320</f>
        <v>Delivered</v>
      </c>
      <c r="E1323" s="33">
        <f>IF(Orders!H1320="Delivered",1,0)</f>
        <v>1</v>
      </c>
      <c r="F1323" s="34">
        <f>IF(E1323=1,Orders!R1320,"")</f>
        <v>-0.3</v>
      </c>
      <c r="G1323" s="33">
        <f>IF(E1323=1,IF(Orders!R1320&gt;0,1,0),"")</f>
        <v>0</v>
      </c>
      <c r="H1323" s="33">
        <f>IF(E1323=1,IF(Orders!R1320&gt;5,1,0),"")</f>
        <v>0</v>
      </c>
      <c r="I1323" s="32" t="str">
        <f>IF(E1323=1,"",IF(OR(Orders!T1320="Rider unavailable",Orders!T1320="Item unavailable"),"Company-caused","Unresolved"))</f>
        <v/>
      </c>
      <c r="J1323" s="33">
        <f>IF(OR(E1323=1,I1323="Company-caused"),1,0)</f>
        <v>1</v>
      </c>
      <c r="K1323" s="32" t="str">
        <f>IF(E1323=0,IF(I1323="Company-caused",IF(Orders!T1320="Rider unavailable","C1 Rider unavailable","C2 Item unavailable"),"Outside root: unresolved"),IF(G1323=0,"A On time",IF(H1323=1,IF(L1323=1,"B2a Severe, peak","B2b Severe, off-peak"),IF(L1323=1,"B1a Slight, peak","B1b Slight, off-peak"))))</f>
        <v>A On time</v>
      </c>
      <c r="L1323" s="33">
        <f>IF(AND(Orders!U1320&gt;=19,Orders!U1320&lt;22),1,0)</f>
        <v>0</v>
      </c>
      <c r="M1323" s="33">
        <f>IF(L1323=IF(Orders!V1320,1,0),1,0)</f>
        <v>1</v>
      </c>
      <c r="N1323" s="32" t="str">
        <f>IF(Orders!W1320="","None",Orders!W1320)</f>
        <v>None</v>
      </c>
      <c r="O1323" s="35">
        <f>INT(Orders!E1320)</f>
        <v>46277.0</v>
      </c>
      <c r="P1323" s="33">
        <f>Orders!U1320</f>
        <v>13</v>
      </c>
      <c r="Q1323" s="33">
        <f>COUNTIFS(Demand!$A$2:$A$4481,B1323,Demand!$B$2:$B$4481,O1323,Demand!$C$2:$C$4481,P1323)</f>
        <v>1</v>
      </c>
      <c r="R1323" s="33">
        <f>IF(Q1323=1,SUMIFS(Demand!$E$2:$E$4481,Demand!$A$2:$A$4481,B1323,Demand!$B$2:$B$4481,O1323,Demand!$C$2:$C$4481,P1323),"")</f>
        <v>17</v>
      </c>
      <c r="S1323" s="33">
        <f>INDEX(Stores!$G$2:$G$21,MATCH(B1323,Stores!$A$2:$A$21,0))</f>
        <v>22</v>
      </c>
      <c r="T1323" s="34">
        <f>IF(R1323="","",R1323/S1323)</f>
        <v>0.772727272727273</v>
      </c>
      <c r="U1323" s="34">
        <f>IF(E1323=1,T1323,"")</f>
        <v>0.772727272727273</v>
      </c>
      <c r="V1323" s="34">
        <f>IF(AND(E1323=1,L1323=0),T1323,"")</f>
        <v>0.772727272727273</v>
      </c>
      <c r="W1323" s="33">
        <f>IF(U1323="","",IF(U1323&lt;=Breakdowns!$C$5,1,IF(U1323&lt;=Breakdowns!$C$6,2,IF(U1323&lt;=Breakdowns!$C$7,3,4))))</f>
        <v>1</v>
      </c>
      <c r="X1323" s="33">
        <f>IF(V1323="","",IF(V1323&lt;=Breakdowns!$D$5,1,IF(V1323&lt;=Breakdowns!$D$6,2,IF(V1323&lt;=Breakdowns!$D$7,3,4))))</f>
        <v>2</v>
      </c>
      <c r="Y1323" s="34">
        <f>INDEX(Stores!$F$2:$F$21,MATCH(B1323,Stores!$A$2:$A$21,0))</f>
        <v>4.99</v>
      </c>
      <c r="Z1323" s="33">
        <f>IF(Y1323&gt;Store_Summary!$M$2,1,0)</f>
        <v>1</v>
      </c>
      <c r="AA1323" s="33">
        <f>INDEX(Stores!$C$2:$C$21,MATCH(B1323,Stores!$A$2:$A$21,0))</f>
        <v>851</v>
      </c>
      <c r="AB1323" s="33">
        <f>IF(AA1323&lt;180,1,0)</f>
        <v>0</v>
      </c>
      <c r="AC1323" s="32" t="str">
        <f>IF(Orders!D1320="","",INDEX(Riders!$C$2:$C$81,MATCH(Orders!D1320,Riders!$A$2:$A$81,0)))</f>
        <v>EV scooter</v>
      </c>
      <c r="AD1323" s="33">
        <f>IF(Orders!D1320="","",INDEX(Riders!$D$2:$D$81,MATCH(Orders!D1320,Riders!$A$2:$A$81,0)))</f>
        <v>32</v>
      </c>
      <c r="AE1323" s="33">
        <f>IF(Orders!D1320="","",IF(INDEX(Riders!$B$2:$B$81,MATCH(Orders!D1320,Riders!$A$2:$A$81,0))=B1323,1,0))</f>
        <v>0</v>
      </c>
      <c r="AF1323" s="34">
        <f>IF(E1323=1,Orders!L1320,"")</f>
        <v>0.5</v>
      </c>
      <c r="AG1323" s="34">
        <f>IF(E1323=1,Orders!P1320,"")</f>
        <v>9.5</v>
      </c>
      <c r="AH1323" s="34">
        <f>IF(E1323=1,Orders!Q1320,"")</f>
        <v>9.2</v>
      </c>
      <c r="AI1323" s="34">
        <f>IF(E1323=1,Orders!M1320,"")</f>
        <v>3.3</v>
      </c>
      <c r="AJ1323" s="34">
        <f>IF(E1323=1,Orders!N1320,"")</f>
        <v>4.1</v>
      </c>
      <c r="AK1323" s="34">
        <f>IF(E1323=1,Orders!O1320,"")</f>
        <v>1.8</v>
      </c>
      <c r="AL1323" s="33">
        <f>IF(E1323=1,IF(ROUND(ABS(AI1323+AJ1323+AK1323-AH1323),6)&lt;=0.1,1,0),"")</f>
        <v>1</v>
      </c>
      <c r="AM1323" s="36">
        <f>IF(E1323=1,AI1323/AH1323,"")</f>
        <v>0.358695652173913</v>
      </c>
      <c r="AN1323" s="36">
        <f>IF(E1323=1,AJ1323/AH1323,"")</f>
        <v>0.445652173913043</v>
      </c>
      <c r="AO1323" s="36">
        <f>IF(E1323=1,AK1323/AH1323,"")</f>
        <v>0.195652173913044</v>
      </c>
      <c r="AP1323" s="34">
        <f>IF(E1323=1,Orders!Y1320,"")</f>
        <v>0.62</v>
      </c>
      <c r="AQ1323" s="33">
        <f>IF(Orders!X1320,1,0)</f>
        <v>0</v>
      </c>
      <c r="AR1323" s="34" t="str">
        <f>IF(AND(E1323=1,L1323=1),AJ1323,"")</f>
        <v/>
      </c>
      <c r="AS1323" s="34">
        <f>IF(AND(E1323=1,L1323=0),AJ1323,"")</f>
        <v>4.1</v>
      </c>
      <c r="AT1323" s="34" t="str">
        <f>IF(AND(E1323=1,L1323=1),AI1323,"")</f>
        <v/>
      </c>
      <c r="AU1323" s="34">
        <f>IF(AND(E1323=1,L1323=0),AI1323,"")</f>
        <v>3.3</v>
      </c>
      <c r="AV1323" s="34" t="str">
        <f>IF(AND(E1323=1,L1323=1),AG1323,"")</f>
        <v/>
      </c>
      <c r="AW1323" s="34">
        <f>IF(AND(E1323=1,L1323=0),AG1323,"")</f>
        <v>9.5</v>
      </c>
      <c r="AX1323" s="34" t="str">
        <f>IF(AND(E1323=1,L1323=1),AH1323,"")</f>
        <v/>
      </c>
      <c r="AY1323" s="34">
        <f>IF(AND(E1323=1,L1323=0),AH1323,"")</f>
        <v>9.2</v>
      </c>
      <c r="AZ1323" s="34" t="str">
        <f>IF(G1323=1,F1323,"")</f>
        <v/>
      </c>
      <c r="BA1323" s="34" t="str">
        <f>IF(AND(G1323=1,L1323=1),F1323,"")</f>
        <v/>
      </c>
      <c r="BB1323" s="34" t="str">
        <f>IF(AND(G1323=1,L1323=0),F1323,"")</f>
        <v/>
      </c>
      <c r="BC1323" s="33">
        <f>IF(E1323=1,IF(Orders!R1320&gt;3,1,0),"")</f>
        <v>0</v>
      </c>
      <c r="BD1323" s="33">
        <f>IF(E1323=1,IF(Orders!R1320&gt;7,1,0),"")</f>
        <v>0</v>
      </c>
      <c r="BE1323" s="32" t="str">
        <f>IF(E1323=1,IF(Orders!L1320&lt;=1.5,"Up to 1.5 km",IF(Orders!L1320&lt;=3,"1.5–3 km","Over 3 km")),"")</f>
        <v>Up to 1.5 km</v>
      </c>
      <c r="BF1323" s="33">
        <f>IF(E1323=1,IF(ABS((Orders!G1320-Orders!F1320)*1440-Orders!R1320)&lt;0.06,1,0),"")</f>
        <v>1</v>
      </c>
      <c r="BG1323" s="33">
        <f>IF(ABS((Orders!F1320-Orders!E1320)*1440-Orders!P1320)&lt;0.06,1,0)</f>
        <v>1</v>
      </c>
      <c r="BH1323" s="33">
        <f>IF(E1323=1,IF(IF(Orders!S1320,1,0)=1-G1323,1,0),"")</f>
        <v>1</v>
      </c>
      <c r="BI1323" s="32" t="str">
        <f>INDEX(Stores!$B$2:$B$21,MATCH(B1323,Stores!$A$2:$A$21,0))</f>
        <v>Pune</v>
      </c>
    </row>
    <row r="1324">
      <c r="A1324" s="32" t="str">
        <f>Orders!A1321</f>
        <v>O01320</v>
      </c>
      <c r="B1324" s="32" t="str">
        <f>Orders!C1321</f>
        <v>S020</v>
      </c>
      <c r="C1324" s="32" t="str">
        <f>Orders!B1321</f>
        <v>C0061</v>
      </c>
      <c r="D1324" s="32" t="str">
        <f>Orders!H1321</f>
        <v>Delivered</v>
      </c>
      <c r="E1324" s="33">
        <f>IF(Orders!H1321="Delivered",1,0)</f>
        <v>1</v>
      </c>
      <c r="F1324" s="34">
        <f>IF(E1324=1,Orders!R1321,"")</f>
        <v>-0.9</v>
      </c>
      <c r="G1324" s="33">
        <f>IF(E1324=1,IF(Orders!R1321&gt;0,1,0),"")</f>
        <v>0</v>
      </c>
      <c r="H1324" s="33">
        <f>IF(E1324=1,IF(Orders!R1321&gt;5,1,0),"")</f>
        <v>0</v>
      </c>
      <c r="I1324" s="32" t="str">
        <f>IF(E1324=1,"",IF(OR(Orders!T1321="Rider unavailable",Orders!T1321="Item unavailable"),"Company-caused","Unresolved"))</f>
        <v/>
      </c>
      <c r="J1324" s="33">
        <f>IF(OR(E1324=1,I1324="Company-caused"),1,0)</f>
        <v>1</v>
      </c>
      <c r="K1324" s="32" t="str">
        <f>IF(E1324=0,IF(I1324="Company-caused",IF(Orders!T1321="Rider unavailable","C1 Rider unavailable","C2 Item unavailable"),"Outside root: unresolved"),IF(G1324=0,"A On time",IF(H1324=1,IF(L1324=1,"B2a Severe, peak","B2b Severe, off-peak"),IF(L1324=1,"B1a Slight, peak","B1b Slight, off-peak"))))</f>
        <v>A On time</v>
      </c>
      <c r="L1324" s="33">
        <f>IF(AND(Orders!U1321&gt;=19,Orders!U1321&lt;22),1,0)</f>
        <v>0</v>
      </c>
      <c r="M1324" s="33">
        <f>IF(L1324=IF(Orders!V1321,1,0),1,0)</f>
        <v>1</v>
      </c>
      <c r="N1324" s="32" t="str">
        <f>IF(Orders!W1321="","None",Orders!W1321)</f>
        <v>None</v>
      </c>
      <c r="O1324" s="35">
        <f>INT(Orders!E1321)</f>
        <v>46268.0</v>
      </c>
      <c r="P1324" s="33">
        <f>Orders!U1321</f>
        <v>16</v>
      </c>
      <c r="Q1324" s="33">
        <f>COUNTIFS(Demand!$A$2:$A$4481,B1324,Demand!$B$2:$B$4481,O1324,Demand!$C$2:$C$4481,P1324)</f>
        <v>1</v>
      </c>
      <c r="R1324" s="33">
        <f>IF(Q1324=1,SUMIFS(Demand!$E$2:$E$4481,Demand!$A$2:$A$4481,B1324,Demand!$B$2:$B$4481,O1324,Demand!$C$2:$C$4481,P1324),"")</f>
        <v>10</v>
      </c>
      <c r="S1324" s="33">
        <f>INDEX(Stores!$G$2:$G$21,MATCH(B1324,Stores!$A$2:$A$21,0))</f>
        <v>15</v>
      </c>
      <c r="T1324" s="34">
        <f>IF(R1324="","",R1324/S1324)</f>
        <v>0.666666666666667</v>
      </c>
      <c r="U1324" s="34">
        <f>IF(E1324=1,T1324,"")</f>
        <v>0.666666666666667</v>
      </c>
      <c r="V1324" s="34">
        <f>IF(AND(E1324=1,L1324=0),T1324,"")</f>
        <v>0.666666666666667</v>
      </c>
      <c r="W1324" s="33">
        <f>IF(U1324="","",IF(U1324&lt;=Breakdowns!$C$5,1,IF(U1324&lt;=Breakdowns!$C$6,2,IF(U1324&lt;=Breakdowns!$C$7,3,4))))</f>
        <v>1</v>
      </c>
      <c r="X1324" s="33">
        <f>IF(V1324="","",IF(V1324&lt;=Breakdowns!$D$5,1,IF(V1324&lt;=Breakdowns!$D$6,2,IF(V1324&lt;=Breakdowns!$D$7,3,4))))</f>
        <v>1</v>
      </c>
      <c r="Y1324" s="34">
        <f>INDEX(Stores!$F$2:$F$21,MATCH(B1324,Stores!$A$2:$A$21,0))</f>
        <v>5.74</v>
      </c>
      <c r="Z1324" s="33">
        <f>IF(Y1324&gt;Store_Summary!$M$2,1,0)</f>
        <v>1</v>
      </c>
      <c r="AA1324" s="33">
        <f>INDEX(Stores!$C$2:$C$21,MATCH(B1324,Stores!$A$2:$A$21,0))</f>
        <v>647</v>
      </c>
      <c r="AB1324" s="33">
        <f>IF(AA1324&lt;180,1,0)</f>
        <v>0</v>
      </c>
      <c r="AC1324" s="32" t="str">
        <f>IF(Orders!D1321="","",INDEX(Riders!$C$2:$C$81,MATCH(Orders!D1321,Riders!$A$2:$A$81,0)))</f>
        <v>EV scooter</v>
      </c>
      <c r="AD1324" s="33">
        <f>IF(Orders!D1321="","",INDEX(Riders!$D$2:$D$81,MATCH(Orders!D1321,Riders!$A$2:$A$81,0)))</f>
        <v>9</v>
      </c>
      <c r="AE1324" s="33">
        <f>IF(Orders!D1321="","",IF(INDEX(Riders!$B$2:$B$81,MATCH(Orders!D1321,Riders!$A$2:$A$81,0))=B1324,1,0))</f>
        <v>0</v>
      </c>
      <c r="AF1324" s="34">
        <f>IF(E1324=1,Orders!L1321,"")</f>
        <v>0.87</v>
      </c>
      <c r="AG1324" s="34">
        <f>IF(E1324=1,Orders!P1321,"")</f>
        <v>10.9</v>
      </c>
      <c r="AH1324" s="34">
        <f>IF(E1324=1,Orders!Q1321,"")</f>
        <v>10</v>
      </c>
      <c r="AI1324" s="34">
        <f>IF(E1324=1,Orders!M1321,"")</f>
        <v>5.1</v>
      </c>
      <c r="AJ1324" s="34">
        <f>IF(E1324=1,Orders!N1321,"")</f>
        <v>2.8</v>
      </c>
      <c r="AK1324" s="34">
        <f>IF(E1324=1,Orders!O1321,"")</f>
        <v>2.1</v>
      </c>
      <c r="AL1324" s="33">
        <f>IF(E1324=1,IF(ROUND(ABS(AI1324+AJ1324+AK1324-AH1324),6)&lt;=0.1,1,0),"")</f>
        <v>1</v>
      </c>
      <c r="AM1324" s="36">
        <f>IF(E1324=1,AI1324/AH1324,"")</f>
        <v>0.51</v>
      </c>
      <c r="AN1324" s="36">
        <f>IF(E1324=1,AJ1324/AH1324,"")</f>
        <v>0.28</v>
      </c>
      <c r="AO1324" s="36">
        <f>IF(E1324=1,AK1324/AH1324,"")</f>
        <v>0.21</v>
      </c>
      <c r="AP1324" s="34">
        <f>IF(E1324=1,Orders!Y1321,"")</f>
        <v>0.21</v>
      </c>
      <c r="AQ1324" s="33">
        <f>IF(Orders!X1321,1,0)</f>
        <v>0</v>
      </c>
      <c r="AR1324" s="34" t="str">
        <f>IF(AND(E1324=1,L1324=1),AJ1324,"")</f>
        <v/>
      </c>
      <c r="AS1324" s="34">
        <f>IF(AND(E1324=1,L1324=0),AJ1324,"")</f>
        <v>2.8</v>
      </c>
      <c r="AT1324" s="34" t="str">
        <f>IF(AND(E1324=1,L1324=1),AI1324,"")</f>
        <v/>
      </c>
      <c r="AU1324" s="34">
        <f>IF(AND(E1324=1,L1324=0),AI1324,"")</f>
        <v>5.1</v>
      </c>
      <c r="AV1324" s="34" t="str">
        <f>IF(AND(E1324=1,L1324=1),AG1324,"")</f>
        <v/>
      </c>
      <c r="AW1324" s="34">
        <f>IF(AND(E1324=1,L1324=0),AG1324,"")</f>
        <v>10.9</v>
      </c>
      <c r="AX1324" s="34" t="str">
        <f>IF(AND(E1324=1,L1324=1),AH1324,"")</f>
        <v/>
      </c>
      <c r="AY1324" s="34">
        <f>IF(AND(E1324=1,L1324=0),AH1324,"")</f>
        <v>10</v>
      </c>
      <c r="AZ1324" s="34" t="str">
        <f>IF(G1324=1,F1324,"")</f>
        <v/>
      </c>
      <c r="BA1324" s="34" t="str">
        <f>IF(AND(G1324=1,L1324=1),F1324,"")</f>
        <v/>
      </c>
      <c r="BB1324" s="34" t="str">
        <f>IF(AND(G1324=1,L1324=0),F1324,"")</f>
        <v/>
      </c>
      <c r="BC1324" s="33">
        <f>IF(E1324=1,IF(Orders!R1321&gt;3,1,0),"")</f>
        <v>0</v>
      </c>
      <c r="BD1324" s="33">
        <f>IF(E1324=1,IF(Orders!R1321&gt;7,1,0),"")</f>
        <v>0</v>
      </c>
      <c r="BE1324" s="32" t="str">
        <f>IF(E1324=1,IF(Orders!L1321&lt;=1.5,"Up to 1.5 km",IF(Orders!L1321&lt;=3,"1.5–3 km","Over 3 km")),"")</f>
        <v>Up to 1.5 km</v>
      </c>
      <c r="BF1324" s="33">
        <f>IF(E1324=1,IF(ABS((Orders!G1321-Orders!F1321)*1440-Orders!R1321)&lt;0.06,1,0),"")</f>
        <v>1</v>
      </c>
      <c r="BG1324" s="33">
        <f>IF(ABS((Orders!F1321-Orders!E1321)*1440-Orders!P1321)&lt;0.06,1,0)</f>
        <v>1</v>
      </c>
      <c r="BH1324" s="33">
        <f>IF(E1324=1,IF(IF(Orders!S1321,1,0)=1-G1324,1,0),"")</f>
        <v>1</v>
      </c>
      <c r="BI1324" s="32" t="str">
        <f>INDEX(Stores!$B$2:$B$21,MATCH(B1324,Stores!$A$2:$A$21,0))</f>
        <v>Delhi</v>
      </c>
    </row>
    <row r="1325">
      <c r="A1325" s="32" t="str">
        <f>Orders!A1322</f>
        <v>O01321</v>
      </c>
      <c r="B1325" s="32" t="str">
        <f>Orders!C1322</f>
        <v>S012</v>
      </c>
      <c r="C1325" s="32" t="str">
        <f>Orders!B1322</f>
        <v>C0044</v>
      </c>
      <c r="D1325" s="32" t="str">
        <f>Orders!H1322</f>
        <v>Delivered</v>
      </c>
      <c r="E1325" s="33">
        <f>IF(Orders!H1322="Delivered",1,0)</f>
        <v>1</v>
      </c>
      <c r="F1325" s="34">
        <f>IF(E1325=1,Orders!R1322,"")</f>
        <v>-0.2</v>
      </c>
      <c r="G1325" s="33">
        <f>IF(E1325=1,IF(Orders!R1322&gt;0,1,0),"")</f>
        <v>0</v>
      </c>
      <c r="H1325" s="33">
        <f>IF(E1325=1,IF(Orders!R1322&gt;5,1,0),"")</f>
        <v>0</v>
      </c>
      <c r="I1325" s="32" t="str">
        <f>IF(E1325=1,"",IF(OR(Orders!T1322="Rider unavailable",Orders!T1322="Item unavailable"),"Company-caused","Unresolved"))</f>
        <v/>
      </c>
      <c r="J1325" s="33">
        <f>IF(OR(E1325=1,I1325="Company-caused"),1,0)</f>
        <v>1</v>
      </c>
      <c r="K1325" s="32" t="str">
        <f>IF(E1325=0,IF(I1325="Company-caused",IF(Orders!T1322="Rider unavailable","C1 Rider unavailable","C2 Item unavailable"),"Outside root: unresolved"),IF(G1325=0,"A On time",IF(H1325=1,IF(L1325=1,"B2a Severe, peak","B2b Severe, off-peak"),IF(L1325=1,"B1a Slight, peak","B1b Slight, off-peak"))))</f>
        <v>A On time</v>
      </c>
      <c r="L1325" s="33">
        <f>IF(AND(Orders!U1322&gt;=19,Orders!U1322&lt;22),1,0)</f>
        <v>0</v>
      </c>
      <c r="M1325" s="33">
        <f>IF(L1325=IF(Orders!V1322,1,0),1,0)</f>
        <v>1</v>
      </c>
      <c r="N1325" s="32" t="str">
        <f>IF(Orders!W1322="","None",Orders!W1322)</f>
        <v>None</v>
      </c>
      <c r="O1325" s="35">
        <f>INT(Orders!E1322)</f>
        <v>46278.0</v>
      </c>
      <c r="P1325" s="33">
        <f>Orders!U1322</f>
        <v>16</v>
      </c>
      <c r="Q1325" s="33">
        <f>COUNTIFS(Demand!$A$2:$A$4481,B1325,Demand!$B$2:$B$4481,O1325,Demand!$C$2:$C$4481,P1325)</f>
        <v>1</v>
      </c>
      <c r="R1325" s="33">
        <f>IF(Q1325=1,SUMIFS(Demand!$E$2:$E$4481,Demand!$A$2:$A$4481,B1325,Demand!$B$2:$B$4481,O1325,Demand!$C$2:$C$4481,P1325),"")</f>
        <v>14</v>
      </c>
      <c r="S1325" s="33">
        <f>INDEX(Stores!$G$2:$G$21,MATCH(B1325,Stores!$A$2:$A$21,0))</f>
        <v>15</v>
      </c>
      <c r="T1325" s="34">
        <f>IF(R1325="","",R1325/S1325)</f>
        <v>0.933333333333333</v>
      </c>
      <c r="U1325" s="34">
        <f>IF(E1325=1,T1325,"")</f>
        <v>0.933333333333333</v>
      </c>
      <c r="V1325" s="34">
        <f>IF(AND(E1325=1,L1325=0),T1325,"")</f>
        <v>0.933333333333333</v>
      </c>
      <c r="W1325" s="33">
        <f>IF(U1325="","",IF(U1325&lt;=Breakdowns!$C$5,1,IF(U1325&lt;=Breakdowns!$C$6,2,IF(U1325&lt;=Breakdowns!$C$7,3,4))))</f>
        <v>2</v>
      </c>
      <c r="X1325" s="33">
        <f>IF(V1325="","",IF(V1325&lt;=Breakdowns!$D$5,1,IF(V1325&lt;=Breakdowns!$D$6,2,IF(V1325&lt;=Breakdowns!$D$7,3,4))))</f>
        <v>3</v>
      </c>
      <c r="Y1325" s="34">
        <f>INDEX(Stores!$F$2:$F$21,MATCH(B1325,Stores!$A$2:$A$21,0))</f>
        <v>5.23</v>
      </c>
      <c r="Z1325" s="33">
        <f>IF(Y1325&gt;Store_Summary!$M$2,1,0)</f>
        <v>1</v>
      </c>
      <c r="AA1325" s="33">
        <f>INDEX(Stores!$C$2:$C$21,MATCH(B1325,Stores!$A$2:$A$21,0))</f>
        <v>300</v>
      </c>
      <c r="AB1325" s="33">
        <f>IF(AA1325&lt;180,1,0)</f>
        <v>0</v>
      </c>
      <c r="AC1325" s="32" t="str">
        <f>IF(Orders!D1322="","",INDEX(Riders!$C$2:$C$81,MATCH(Orders!D1322,Riders!$A$2:$A$81,0)))</f>
        <v>Petrol scooter</v>
      </c>
      <c r="AD1325" s="33">
        <f>IF(Orders!D1322="","",INDEX(Riders!$D$2:$D$81,MATCH(Orders!D1322,Riders!$A$2:$A$81,0)))</f>
        <v>29</v>
      </c>
      <c r="AE1325" s="33">
        <f>IF(Orders!D1322="","",IF(INDEX(Riders!$B$2:$B$81,MATCH(Orders!D1322,Riders!$A$2:$A$81,0))=B1325,1,0))</f>
        <v>0</v>
      </c>
      <c r="AF1325" s="34">
        <f>IF(E1325=1,Orders!L1322,"")</f>
        <v>0.98</v>
      </c>
      <c r="AG1325" s="34">
        <f>IF(E1325=1,Orders!P1322,"")</f>
        <v>9.9</v>
      </c>
      <c r="AH1325" s="34">
        <f>IF(E1325=1,Orders!Q1322,"")</f>
        <v>9.7</v>
      </c>
      <c r="AI1325" s="34">
        <f>IF(E1325=1,Orders!M1322,"")</f>
        <v>3.5</v>
      </c>
      <c r="AJ1325" s="34">
        <f>IF(E1325=1,Orders!N1322,"")</f>
        <v>4</v>
      </c>
      <c r="AK1325" s="34">
        <f>IF(E1325=1,Orders!O1322,"")</f>
        <v>2.2</v>
      </c>
      <c r="AL1325" s="33">
        <f>IF(E1325=1,IF(ROUND(ABS(AI1325+AJ1325+AK1325-AH1325),6)&lt;=0.1,1,0),"")</f>
        <v>1</v>
      </c>
      <c r="AM1325" s="36">
        <f>IF(E1325=1,AI1325/AH1325,"")</f>
        <v>0.360824742268041</v>
      </c>
      <c r="AN1325" s="36">
        <f>IF(E1325=1,AJ1325/AH1325,"")</f>
        <v>0.412371134020619</v>
      </c>
      <c r="AO1325" s="36">
        <f>IF(E1325=1,AK1325/AH1325,"")</f>
        <v>0.22680412371134</v>
      </c>
      <c r="AP1325" s="34">
        <f>IF(E1325=1,Orders!Y1322,"")</f>
        <v>0.45</v>
      </c>
      <c r="AQ1325" s="33">
        <f>IF(Orders!X1322,1,0)</f>
        <v>0</v>
      </c>
      <c r="AR1325" s="34" t="str">
        <f>IF(AND(E1325=1,L1325=1),AJ1325,"")</f>
        <v/>
      </c>
      <c r="AS1325" s="34">
        <f>IF(AND(E1325=1,L1325=0),AJ1325,"")</f>
        <v>4</v>
      </c>
      <c r="AT1325" s="34" t="str">
        <f>IF(AND(E1325=1,L1325=1),AI1325,"")</f>
        <v/>
      </c>
      <c r="AU1325" s="34">
        <f>IF(AND(E1325=1,L1325=0),AI1325,"")</f>
        <v>3.5</v>
      </c>
      <c r="AV1325" s="34" t="str">
        <f>IF(AND(E1325=1,L1325=1),AG1325,"")</f>
        <v/>
      </c>
      <c r="AW1325" s="34">
        <f>IF(AND(E1325=1,L1325=0),AG1325,"")</f>
        <v>9.9</v>
      </c>
      <c r="AX1325" s="34" t="str">
        <f>IF(AND(E1325=1,L1325=1),AH1325,"")</f>
        <v/>
      </c>
      <c r="AY1325" s="34">
        <f>IF(AND(E1325=1,L1325=0),AH1325,"")</f>
        <v>9.7</v>
      </c>
      <c r="AZ1325" s="34" t="str">
        <f>IF(G1325=1,F1325,"")</f>
        <v/>
      </c>
      <c r="BA1325" s="34" t="str">
        <f>IF(AND(G1325=1,L1325=1),F1325,"")</f>
        <v/>
      </c>
      <c r="BB1325" s="34" t="str">
        <f>IF(AND(G1325=1,L1325=0),F1325,"")</f>
        <v/>
      </c>
      <c r="BC1325" s="33">
        <f>IF(E1325=1,IF(Orders!R1322&gt;3,1,0),"")</f>
        <v>0</v>
      </c>
      <c r="BD1325" s="33">
        <f>IF(E1325=1,IF(Orders!R1322&gt;7,1,0),"")</f>
        <v>0</v>
      </c>
      <c r="BE1325" s="32" t="str">
        <f>IF(E1325=1,IF(Orders!L1322&lt;=1.5,"Up to 1.5 km",IF(Orders!L1322&lt;=3,"1.5–3 km","Over 3 km")),"")</f>
        <v>Up to 1.5 km</v>
      </c>
      <c r="BF1325" s="33">
        <f>IF(E1325=1,IF(ABS((Orders!G1322-Orders!F1322)*1440-Orders!R1322)&lt;0.06,1,0),"")</f>
        <v>1</v>
      </c>
      <c r="BG1325" s="33">
        <f>IF(ABS((Orders!F1322-Orders!E1322)*1440-Orders!P1322)&lt;0.06,1,0)</f>
        <v>1</v>
      </c>
      <c r="BH1325" s="33">
        <f>IF(E1325=1,IF(IF(Orders!S1322,1,0)=1-G1325,1,0),"")</f>
        <v>1</v>
      </c>
      <c r="BI1325" s="32" t="str">
        <f>INDEX(Stores!$B$2:$B$21,MATCH(B1325,Stores!$A$2:$A$21,0))</f>
        <v>Hyderabad</v>
      </c>
    </row>
    <row r="1326">
      <c r="A1326" s="32" t="str">
        <f>Orders!A1323</f>
        <v>O01322</v>
      </c>
      <c r="B1326" s="32" t="str">
        <f>Orders!C1323</f>
        <v>S002</v>
      </c>
      <c r="C1326" s="32" t="str">
        <f>Orders!B1323</f>
        <v>C0034</v>
      </c>
      <c r="D1326" s="32" t="str">
        <f>Orders!H1323</f>
        <v>Delivered</v>
      </c>
      <c r="E1326" s="33">
        <f>IF(Orders!H1323="Delivered",1,0)</f>
        <v>1</v>
      </c>
      <c r="F1326" s="34">
        <f>IF(E1326=1,Orders!R1323,"")</f>
        <v>-0.4</v>
      </c>
      <c r="G1326" s="33">
        <f>IF(E1326=1,IF(Orders!R1323&gt;0,1,0),"")</f>
        <v>0</v>
      </c>
      <c r="H1326" s="33">
        <f>IF(E1326=1,IF(Orders!R1323&gt;5,1,0),"")</f>
        <v>0</v>
      </c>
      <c r="I1326" s="32" t="str">
        <f>IF(E1326=1,"",IF(OR(Orders!T1323="Rider unavailable",Orders!T1323="Item unavailable"),"Company-caused","Unresolved"))</f>
        <v/>
      </c>
      <c r="J1326" s="33">
        <f>IF(OR(E1326=1,I1326="Company-caused"),1,0)</f>
        <v>1</v>
      </c>
      <c r="K1326" s="32" t="str">
        <f>IF(E1326=0,IF(I1326="Company-caused",IF(Orders!T1323="Rider unavailable","C1 Rider unavailable","C2 Item unavailable"),"Outside root: unresolved"),IF(G1326=0,"A On time",IF(H1326=1,IF(L1326=1,"B2a Severe, peak","B2b Severe, off-peak"),IF(L1326=1,"B1a Slight, peak","B1b Slight, off-peak"))))</f>
        <v>A On time</v>
      </c>
      <c r="L1326" s="33">
        <f>IF(AND(Orders!U1323&gt;=19,Orders!U1323&lt;22),1,0)</f>
        <v>0</v>
      </c>
      <c r="M1326" s="33">
        <f>IF(L1326=IF(Orders!V1323,1,0),1,0)</f>
        <v>1</v>
      </c>
      <c r="N1326" s="32" t="str">
        <f>IF(Orders!W1323="","None",Orders!W1323)</f>
        <v>None</v>
      </c>
      <c r="O1326" s="35">
        <f>INT(Orders!E1323)</f>
        <v>46271.0</v>
      </c>
      <c r="P1326" s="33">
        <f>Orders!U1323</f>
        <v>15</v>
      </c>
      <c r="Q1326" s="33">
        <f>COUNTIFS(Demand!$A$2:$A$4481,B1326,Demand!$B$2:$B$4481,O1326,Demand!$C$2:$C$4481,P1326)</f>
        <v>1</v>
      </c>
      <c r="R1326" s="33">
        <f>IF(Q1326=1,SUMIFS(Demand!$E$2:$E$4481,Demand!$A$2:$A$4481,B1326,Demand!$B$2:$B$4481,O1326,Demand!$C$2:$C$4481,P1326),"")</f>
        <v>23</v>
      </c>
      <c r="S1326" s="33">
        <f>INDEX(Stores!$G$2:$G$21,MATCH(B1326,Stores!$A$2:$A$21,0))</f>
        <v>33</v>
      </c>
      <c r="T1326" s="34">
        <f>IF(R1326="","",R1326/S1326)</f>
        <v>0.696969696969697</v>
      </c>
      <c r="U1326" s="34">
        <f>IF(E1326=1,T1326,"")</f>
        <v>0.696969696969697</v>
      </c>
      <c r="V1326" s="34">
        <f>IF(AND(E1326=1,L1326=0),T1326,"")</f>
        <v>0.696969696969697</v>
      </c>
      <c r="W1326" s="33">
        <f>IF(U1326="","",IF(U1326&lt;=Breakdowns!$C$5,1,IF(U1326&lt;=Breakdowns!$C$6,2,IF(U1326&lt;=Breakdowns!$C$7,3,4))))</f>
        <v>1</v>
      </c>
      <c r="X1326" s="33">
        <f>IF(V1326="","",IF(V1326&lt;=Breakdowns!$D$5,1,IF(V1326&lt;=Breakdowns!$D$6,2,IF(V1326&lt;=Breakdowns!$D$7,3,4))))</f>
        <v>1</v>
      </c>
      <c r="Y1326" s="34">
        <f>INDEX(Stores!$F$2:$F$21,MATCH(B1326,Stores!$A$2:$A$21,0))</f>
        <v>2.39</v>
      </c>
      <c r="Z1326" s="33">
        <f>IF(Y1326&gt;Store_Summary!$M$2,1,0)</f>
        <v>0</v>
      </c>
      <c r="AA1326" s="33">
        <f>INDEX(Stores!$C$2:$C$21,MATCH(B1326,Stores!$A$2:$A$21,0))</f>
        <v>470</v>
      </c>
      <c r="AB1326" s="33">
        <f>IF(AA1326&lt;180,1,0)</f>
        <v>0</v>
      </c>
      <c r="AC1326" s="32" t="str">
        <f>IF(Orders!D1323="","",INDEX(Riders!$C$2:$C$81,MATCH(Orders!D1323,Riders!$A$2:$A$81,0)))</f>
        <v>EV scooter</v>
      </c>
      <c r="AD1326" s="33">
        <f>IF(Orders!D1323="","",INDEX(Riders!$D$2:$D$81,MATCH(Orders!D1323,Riders!$A$2:$A$81,0)))</f>
        <v>24</v>
      </c>
      <c r="AE1326" s="33">
        <f>IF(Orders!D1323="","",IF(INDEX(Riders!$B$2:$B$81,MATCH(Orders!D1323,Riders!$A$2:$A$81,0))=B1326,1,0))</f>
        <v>0</v>
      </c>
      <c r="AF1326" s="34">
        <f>IF(E1326=1,Orders!L1323,"")</f>
        <v>0.5</v>
      </c>
      <c r="AG1326" s="34">
        <f>IF(E1326=1,Orders!P1323,"")</f>
        <v>8.5</v>
      </c>
      <c r="AH1326" s="34">
        <f>IF(E1326=1,Orders!Q1323,"")</f>
        <v>8.1</v>
      </c>
      <c r="AI1326" s="34">
        <f>IF(E1326=1,Orders!M1323,"")</f>
        <v>2.7</v>
      </c>
      <c r="AJ1326" s="34">
        <f>IF(E1326=1,Orders!N1323,"")</f>
        <v>2.9</v>
      </c>
      <c r="AK1326" s="34">
        <f>IF(E1326=1,Orders!O1323,"")</f>
        <v>2.5</v>
      </c>
      <c r="AL1326" s="33">
        <f>IF(E1326=1,IF(ROUND(ABS(AI1326+AJ1326+AK1326-AH1326),6)&lt;=0.1,1,0),"")</f>
        <v>1</v>
      </c>
      <c r="AM1326" s="36">
        <f>IF(E1326=1,AI1326/AH1326,"")</f>
        <v>0.333333333333333</v>
      </c>
      <c r="AN1326" s="36">
        <f>IF(E1326=1,AJ1326/AH1326,"")</f>
        <v>0.358024691358025</v>
      </c>
      <c r="AO1326" s="36">
        <f>IF(E1326=1,AK1326/AH1326,"")</f>
        <v>0.308641975308642</v>
      </c>
      <c r="AP1326" s="34">
        <f>IF(E1326=1,Orders!Y1323,"")</f>
        <v>0.7</v>
      </c>
      <c r="AQ1326" s="33">
        <f>IF(Orders!X1323,1,0)</f>
        <v>0</v>
      </c>
      <c r="AR1326" s="34" t="str">
        <f>IF(AND(E1326=1,L1326=1),AJ1326,"")</f>
        <v/>
      </c>
      <c r="AS1326" s="34">
        <f>IF(AND(E1326=1,L1326=0),AJ1326,"")</f>
        <v>2.9</v>
      </c>
      <c r="AT1326" s="34" t="str">
        <f>IF(AND(E1326=1,L1326=1),AI1326,"")</f>
        <v/>
      </c>
      <c r="AU1326" s="34">
        <f>IF(AND(E1326=1,L1326=0),AI1326,"")</f>
        <v>2.7</v>
      </c>
      <c r="AV1326" s="34" t="str">
        <f>IF(AND(E1326=1,L1326=1),AG1326,"")</f>
        <v/>
      </c>
      <c r="AW1326" s="34">
        <f>IF(AND(E1326=1,L1326=0),AG1326,"")</f>
        <v>8.5</v>
      </c>
      <c r="AX1326" s="34" t="str">
        <f>IF(AND(E1326=1,L1326=1),AH1326,"")</f>
        <v/>
      </c>
      <c r="AY1326" s="34">
        <f>IF(AND(E1326=1,L1326=0),AH1326,"")</f>
        <v>8.1</v>
      </c>
      <c r="AZ1326" s="34" t="str">
        <f>IF(G1326=1,F1326,"")</f>
        <v/>
      </c>
      <c r="BA1326" s="34" t="str">
        <f>IF(AND(G1326=1,L1326=1),F1326,"")</f>
        <v/>
      </c>
      <c r="BB1326" s="34" t="str">
        <f>IF(AND(G1326=1,L1326=0),F1326,"")</f>
        <v/>
      </c>
      <c r="BC1326" s="33">
        <f>IF(E1326=1,IF(Orders!R1323&gt;3,1,0),"")</f>
        <v>0</v>
      </c>
      <c r="BD1326" s="33">
        <f>IF(E1326=1,IF(Orders!R1323&gt;7,1,0),"")</f>
        <v>0</v>
      </c>
      <c r="BE1326" s="32" t="str">
        <f>IF(E1326=1,IF(Orders!L1323&lt;=1.5,"Up to 1.5 km",IF(Orders!L1323&lt;=3,"1.5–3 km","Over 3 km")),"")</f>
        <v>Up to 1.5 km</v>
      </c>
      <c r="BF1326" s="33">
        <f>IF(E1326=1,IF(ABS((Orders!G1323-Orders!F1323)*1440-Orders!R1323)&lt;0.06,1,0),"")</f>
        <v>1</v>
      </c>
      <c r="BG1326" s="33">
        <f>IF(ABS((Orders!F1323-Orders!E1323)*1440-Orders!P1323)&lt;0.06,1,0)</f>
        <v>1</v>
      </c>
      <c r="BH1326" s="33">
        <f>IF(E1326=1,IF(IF(Orders!S1323,1,0)=1-G1326,1,0),"")</f>
        <v>1</v>
      </c>
      <c r="BI1326" s="32" t="str">
        <f>INDEX(Stores!$B$2:$B$21,MATCH(B1326,Stores!$A$2:$A$21,0))</f>
        <v>Hyderabad</v>
      </c>
    </row>
    <row r="1327">
      <c r="A1327" s="32" t="str">
        <f>Orders!A1324</f>
        <v>O01323</v>
      </c>
      <c r="B1327" s="32" t="str">
        <f>Orders!C1324</f>
        <v>S020</v>
      </c>
      <c r="C1327" s="32" t="str">
        <f>Orders!B1324</f>
        <v>C0045</v>
      </c>
      <c r="D1327" s="32" t="str">
        <f>Orders!H1324</f>
        <v>Delivered</v>
      </c>
      <c r="E1327" s="33">
        <f>IF(Orders!H1324="Delivered",1,0)</f>
        <v>1</v>
      </c>
      <c r="F1327" s="34">
        <f>IF(E1327=1,Orders!R1324,"")</f>
        <v>-0.6</v>
      </c>
      <c r="G1327" s="33">
        <f>IF(E1327=1,IF(Orders!R1324&gt;0,1,0),"")</f>
        <v>0</v>
      </c>
      <c r="H1327" s="33">
        <f>IF(E1327=1,IF(Orders!R1324&gt;5,1,0),"")</f>
        <v>0</v>
      </c>
      <c r="I1327" s="32" t="str">
        <f>IF(E1327=1,"",IF(OR(Orders!T1324="Rider unavailable",Orders!T1324="Item unavailable"),"Company-caused","Unresolved"))</f>
        <v/>
      </c>
      <c r="J1327" s="33">
        <f>IF(OR(E1327=1,I1327="Company-caused"),1,0)</f>
        <v>1</v>
      </c>
      <c r="K1327" s="32" t="str">
        <f>IF(E1327=0,IF(I1327="Company-caused",IF(Orders!T1324="Rider unavailable","C1 Rider unavailable","C2 Item unavailable"),"Outside root: unresolved"),IF(G1327=0,"A On time",IF(H1327=1,IF(L1327=1,"B2a Severe, peak","B2b Severe, off-peak"),IF(L1327=1,"B1a Slight, peak","B1b Slight, off-peak"))))</f>
        <v>A On time</v>
      </c>
      <c r="L1327" s="33">
        <f>IF(AND(Orders!U1324&gt;=19,Orders!U1324&lt;22),1,0)</f>
        <v>0</v>
      </c>
      <c r="M1327" s="33">
        <f>IF(L1327=IF(Orders!V1324,1,0),1,0)</f>
        <v>1</v>
      </c>
      <c r="N1327" s="32" t="str">
        <f>IF(Orders!W1324="","None",Orders!W1324)</f>
        <v>None</v>
      </c>
      <c r="O1327" s="35">
        <f>INT(Orders!E1324)</f>
        <v>46267.0</v>
      </c>
      <c r="P1327" s="33">
        <f>Orders!U1324</f>
        <v>18</v>
      </c>
      <c r="Q1327" s="33">
        <f>COUNTIFS(Demand!$A$2:$A$4481,B1327,Demand!$B$2:$B$4481,O1327,Demand!$C$2:$C$4481,P1327)</f>
        <v>1</v>
      </c>
      <c r="R1327" s="33">
        <f>IF(Q1327=1,SUMIFS(Demand!$E$2:$E$4481,Demand!$A$2:$A$4481,B1327,Demand!$B$2:$B$4481,O1327,Demand!$C$2:$C$4481,P1327),"")</f>
        <v>20</v>
      </c>
      <c r="S1327" s="33">
        <f>INDEX(Stores!$G$2:$G$21,MATCH(B1327,Stores!$A$2:$A$21,0))</f>
        <v>15</v>
      </c>
      <c r="T1327" s="34">
        <f>IF(R1327="","",R1327/S1327)</f>
        <v>1.33333333333333</v>
      </c>
      <c r="U1327" s="34">
        <f>IF(E1327=1,T1327,"")</f>
        <v>1.33333333333333</v>
      </c>
      <c r="V1327" s="34">
        <f>IF(AND(E1327=1,L1327=0),T1327,"")</f>
        <v>1.33333333333333</v>
      </c>
      <c r="W1327" s="33">
        <f>IF(U1327="","",IF(U1327&lt;=Breakdowns!$C$5,1,IF(U1327&lt;=Breakdowns!$C$6,2,IF(U1327&lt;=Breakdowns!$C$7,3,4))))</f>
        <v>4</v>
      </c>
      <c r="X1327" s="33">
        <f>IF(V1327="","",IF(V1327&lt;=Breakdowns!$D$5,1,IF(V1327&lt;=Breakdowns!$D$6,2,IF(V1327&lt;=Breakdowns!$D$7,3,4))))</f>
        <v>4</v>
      </c>
      <c r="Y1327" s="34">
        <f>INDEX(Stores!$F$2:$F$21,MATCH(B1327,Stores!$A$2:$A$21,0))</f>
        <v>5.74</v>
      </c>
      <c r="Z1327" s="33">
        <f>IF(Y1327&gt;Store_Summary!$M$2,1,0)</f>
        <v>1</v>
      </c>
      <c r="AA1327" s="33">
        <f>INDEX(Stores!$C$2:$C$21,MATCH(B1327,Stores!$A$2:$A$21,0))</f>
        <v>647</v>
      </c>
      <c r="AB1327" s="33">
        <f>IF(AA1327&lt;180,1,0)</f>
        <v>0</v>
      </c>
      <c r="AC1327" s="32" t="str">
        <f>IF(Orders!D1324="","",INDEX(Riders!$C$2:$C$81,MATCH(Orders!D1324,Riders!$A$2:$A$81,0)))</f>
        <v>EV scooter</v>
      </c>
      <c r="AD1327" s="33">
        <f>IF(Orders!D1324="","",INDEX(Riders!$D$2:$D$81,MATCH(Orders!D1324,Riders!$A$2:$A$81,0)))</f>
        <v>33</v>
      </c>
      <c r="AE1327" s="33">
        <f>IF(Orders!D1324="","",IF(INDEX(Riders!$B$2:$B$81,MATCH(Orders!D1324,Riders!$A$2:$A$81,0))=B1327,1,0))</f>
        <v>0</v>
      </c>
      <c r="AF1327" s="34">
        <f>IF(E1327=1,Orders!L1324,"")</f>
        <v>0.88</v>
      </c>
      <c r="AG1327" s="34">
        <f>IF(E1327=1,Orders!P1324,"")</f>
        <v>12.6</v>
      </c>
      <c r="AH1327" s="34">
        <f>IF(E1327=1,Orders!Q1324,"")</f>
        <v>12</v>
      </c>
      <c r="AI1327" s="34">
        <f>IF(E1327=1,Orders!M1324,"")</f>
        <v>6</v>
      </c>
      <c r="AJ1327" s="34">
        <f>IF(E1327=1,Orders!N1324,"")</f>
        <v>3.3</v>
      </c>
      <c r="AK1327" s="34">
        <f>IF(E1327=1,Orders!O1324,"")</f>
        <v>2.7</v>
      </c>
      <c r="AL1327" s="33">
        <f>IF(E1327=1,IF(ROUND(ABS(AI1327+AJ1327+AK1327-AH1327),6)&lt;=0.1,1,0),"")</f>
        <v>1</v>
      </c>
      <c r="AM1327" s="36">
        <f>IF(E1327=1,AI1327/AH1327,"")</f>
        <v>0.5</v>
      </c>
      <c r="AN1327" s="36">
        <f>IF(E1327=1,AJ1327/AH1327,"")</f>
        <v>0.275</v>
      </c>
      <c r="AO1327" s="36">
        <f>IF(E1327=1,AK1327/AH1327,"")</f>
        <v>0.225</v>
      </c>
      <c r="AP1327" s="34">
        <f>IF(E1327=1,Orders!Y1324,"")</f>
        <v>0.35</v>
      </c>
      <c r="AQ1327" s="33">
        <f>IF(Orders!X1324,1,0)</f>
        <v>0</v>
      </c>
      <c r="AR1327" s="34" t="str">
        <f>IF(AND(E1327=1,L1327=1),AJ1327,"")</f>
        <v/>
      </c>
      <c r="AS1327" s="34">
        <f>IF(AND(E1327=1,L1327=0),AJ1327,"")</f>
        <v>3.3</v>
      </c>
      <c r="AT1327" s="34" t="str">
        <f>IF(AND(E1327=1,L1327=1),AI1327,"")</f>
        <v/>
      </c>
      <c r="AU1327" s="34">
        <f>IF(AND(E1327=1,L1327=0),AI1327,"")</f>
        <v>6</v>
      </c>
      <c r="AV1327" s="34" t="str">
        <f>IF(AND(E1327=1,L1327=1),AG1327,"")</f>
        <v/>
      </c>
      <c r="AW1327" s="34">
        <f>IF(AND(E1327=1,L1327=0),AG1327,"")</f>
        <v>12.6</v>
      </c>
      <c r="AX1327" s="34" t="str">
        <f>IF(AND(E1327=1,L1327=1),AH1327,"")</f>
        <v/>
      </c>
      <c r="AY1327" s="34">
        <f>IF(AND(E1327=1,L1327=0),AH1327,"")</f>
        <v>12</v>
      </c>
      <c r="AZ1327" s="34" t="str">
        <f>IF(G1327=1,F1327,"")</f>
        <v/>
      </c>
      <c r="BA1327" s="34" t="str">
        <f>IF(AND(G1327=1,L1327=1),F1327,"")</f>
        <v/>
      </c>
      <c r="BB1327" s="34" t="str">
        <f>IF(AND(G1327=1,L1327=0),F1327,"")</f>
        <v/>
      </c>
      <c r="BC1327" s="33">
        <f>IF(E1327=1,IF(Orders!R1324&gt;3,1,0),"")</f>
        <v>0</v>
      </c>
      <c r="BD1327" s="33">
        <f>IF(E1327=1,IF(Orders!R1324&gt;7,1,0),"")</f>
        <v>0</v>
      </c>
      <c r="BE1327" s="32" t="str">
        <f>IF(E1327=1,IF(Orders!L1324&lt;=1.5,"Up to 1.5 km",IF(Orders!L1324&lt;=3,"1.5–3 km","Over 3 km")),"")</f>
        <v>Up to 1.5 km</v>
      </c>
      <c r="BF1327" s="33">
        <f>IF(E1327=1,IF(ABS((Orders!G1324-Orders!F1324)*1440-Orders!R1324)&lt;0.06,1,0),"")</f>
        <v>1</v>
      </c>
      <c r="BG1327" s="33">
        <f>IF(ABS((Orders!F1324-Orders!E1324)*1440-Orders!P1324)&lt;0.06,1,0)</f>
        <v>1</v>
      </c>
      <c r="BH1327" s="33">
        <f>IF(E1327=1,IF(IF(Orders!S1324,1,0)=1-G1327,1,0),"")</f>
        <v>1</v>
      </c>
      <c r="BI1327" s="32" t="str">
        <f>INDEX(Stores!$B$2:$B$21,MATCH(B1327,Stores!$A$2:$A$21,0))</f>
        <v>Delhi</v>
      </c>
    </row>
    <row r="1328">
      <c r="A1328" s="32" t="str">
        <f>Orders!A1325</f>
        <v>O01324</v>
      </c>
      <c r="B1328" s="32" t="str">
        <f>Orders!C1325</f>
        <v>S015</v>
      </c>
      <c r="C1328" s="32" t="str">
        <f>Orders!B1325</f>
        <v>C0052</v>
      </c>
      <c r="D1328" s="32" t="str">
        <f>Orders!H1325</f>
        <v>Delivered</v>
      </c>
      <c r="E1328" s="33">
        <f>IF(Orders!H1325="Delivered",1,0)</f>
        <v>1</v>
      </c>
      <c r="F1328" s="34">
        <f>IF(E1328=1,Orders!R1325,"")</f>
        <v>-0.7</v>
      </c>
      <c r="G1328" s="33">
        <f>IF(E1328=1,IF(Orders!R1325&gt;0,1,0),"")</f>
        <v>0</v>
      </c>
      <c r="H1328" s="33">
        <f>IF(E1328=1,IF(Orders!R1325&gt;5,1,0),"")</f>
        <v>0</v>
      </c>
      <c r="I1328" s="32" t="str">
        <f>IF(E1328=1,"",IF(OR(Orders!T1325="Rider unavailable",Orders!T1325="Item unavailable"),"Company-caused","Unresolved"))</f>
        <v/>
      </c>
      <c r="J1328" s="33">
        <f>IF(OR(E1328=1,I1328="Company-caused"),1,0)</f>
        <v>1</v>
      </c>
      <c r="K1328" s="32" t="str">
        <f>IF(E1328=0,IF(I1328="Company-caused",IF(Orders!T1325="Rider unavailable","C1 Rider unavailable","C2 Item unavailable"),"Outside root: unresolved"),IF(G1328=0,"A On time",IF(H1328=1,IF(L1328=1,"B2a Severe, peak","B2b Severe, off-peak"),IF(L1328=1,"B1a Slight, peak","B1b Slight, off-peak"))))</f>
        <v>A On time</v>
      </c>
      <c r="L1328" s="33">
        <f>IF(AND(Orders!U1325&gt;=19,Orders!U1325&lt;22),1,0)</f>
        <v>0</v>
      </c>
      <c r="M1328" s="33">
        <f>IF(L1328=IF(Orders!V1325,1,0),1,0)</f>
        <v>1</v>
      </c>
      <c r="N1328" s="32" t="str">
        <f>IF(Orders!W1325="","None",Orders!W1325)</f>
        <v>None</v>
      </c>
      <c r="O1328" s="35">
        <f>INT(Orders!E1325)</f>
        <v>46277.0</v>
      </c>
      <c r="P1328" s="33">
        <f>Orders!U1325</f>
        <v>15</v>
      </c>
      <c r="Q1328" s="33">
        <f>COUNTIFS(Demand!$A$2:$A$4481,B1328,Demand!$B$2:$B$4481,O1328,Demand!$C$2:$C$4481,P1328)</f>
        <v>1</v>
      </c>
      <c r="R1328" s="33">
        <f>IF(Q1328=1,SUMIFS(Demand!$E$2:$E$4481,Demand!$A$2:$A$4481,B1328,Demand!$B$2:$B$4481,O1328,Demand!$C$2:$C$4481,P1328),"")</f>
        <v>16</v>
      </c>
      <c r="S1328" s="33">
        <f>INDEX(Stores!$G$2:$G$21,MATCH(B1328,Stores!$A$2:$A$21,0))</f>
        <v>23</v>
      </c>
      <c r="T1328" s="34">
        <f>IF(R1328="","",R1328/S1328)</f>
        <v>0.695652173913044</v>
      </c>
      <c r="U1328" s="34">
        <f>IF(E1328=1,T1328,"")</f>
        <v>0.695652173913044</v>
      </c>
      <c r="V1328" s="34">
        <f>IF(AND(E1328=1,L1328=0),T1328,"")</f>
        <v>0.695652173913044</v>
      </c>
      <c r="W1328" s="33">
        <f>IF(U1328="","",IF(U1328&lt;=Breakdowns!$C$5,1,IF(U1328&lt;=Breakdowns!$C$6,2,IF(U1328&lt;=Breakdowns!$C$7,3,4))))</f>
        <v>1</v>
      </c>
      <c r="X1328" s="33">
        <f>IF(V1328="","",IF(V1328&lt;=Breakdowns!$D$5,1,IF(V1328&lt;=Breakdowns!$D$6,2,IF(V1328&lt;=Breakdowns!$D$7,3,4))))</f>
        <v>1</v>
      </c>
      <c r="Y1328" s="34">
        <f>INDEX(Stores!$F$2:$F$21,MATCH(B1328,Stores!$A$2:$A$21,0))</f>
        <v>4.66</v>
      </c>
      <c r="Z1328" s="33">
        <f>IF(Y1328&gt;Store_Summary!$M$2,1,0)</f>
        <v>0</v>
      </c>
      <c r="AA1328" s="33">
        <f>INDEX(Stores!$C$2:$C$21,MATCH(B1328,Stores!$A$2:$A$21,0))</f>
        <v>204</v>
      </c>
      <c r="AB1328" s="33">
        <f>IF(AA1328&lt;180,1,0)</f>
        <v>0</v>
      </c>
      <c r="AC1328" s="32" t="str">
        <f>IF(Orders!D1325="","",INDEX(Riders!$C$2:$C$81,MATCH(Orders!D1325,Riders!$A$2:$A$81,0)))</f>
        <v>EV scooter</v>
      </c>
      <c r="AD1328" s="33">
        <f>IF(Orders!D1325="","",INDEX(Riders!$D$2:$D$81,MATCH(Orders!D1325,Riders!$A$2:$A$81,0)))</f>
        <v>11</v>
      </c>
      <c r="AE1328" s="33">
        <f>IF(Orders!D1325="","",IF(INDEX(Riders!$B$2:$B$81,MATCH(Orders!D1325,Riders!$A$2:$A$81,0))=B1328,1,0))</f>
        <v>0</v>
      </c>
      <c r="AF1328" s="34">
        <f>IF(E1328=1,Orders!L1325,"")</f>
        <v>3.42</v>
      </c>
      <c r="AG1328" s="34">
        <f>IF(E1328=1,Orders!P1325,"")</f>
        <v>9.3</v>
      </c>
      <c r="AH1328" s="34">
        <f>IF(E1328=1,Orders!Q1325,"")</f>
        <v>8.6</v>
      </c>
      <c r="AI1328" s="34">
        <f>IF(E1328=1,Orders!M1325,"")</f>
        <v>2</v>
      </c>
      <c r="AJ1328" s="34">
        <f>IF(E1328=1,Orders!N1325,"")</f>
        <v>3.2</v>
      </c>
      <c r="AK1328" s="34">
        <f>IF(E1328=1,Orders!O1325,"")</f>
        <v>3.4</v>
      </c>
      <c r="AL1328" s="33">
        <f>IF(E1328=1,IF(ROUND(ABS(AI1328+AJ1328+AK1328-AH1328),6)&lt;=0.1,1,0),"")</f>
        <v>1</v>
      </c>
      <c r="AM1328" s="36">
        <f>IF(E1328=1,AI1328/AH1328,"")</f>
        <v>0.232558139534884</v>
      </c>
      <c r="AN1328" s="36">
        <f>IF(E1328=1,AJ1328/AH1328,"")</f>
        <v>0.372093023255814</v>
      </c>
      <c r="AO1328" s="36">
        <f>IF(E1328=1,AK1328/AH1328,"")</f>
        <v>0.395348837209302</v>
      </c>
      <c r="AP1328" s="34">
        <f>IF(E1328=1,Orders!Y1325,"")</f>
        <v>0.66</v>
      </c>
      <c r="AQ1328" s="33">
        <f>IF(Orders!X1325,1,0)</f>
        <v>0</v>
      </c>
      <c r="AR1328" s="34" t="str">
        <f>IF(AND(E1328=1,L1328=1),AJ1328,"")</f>
        <v/>
      </c>
      <c r="AS1328" s="34">
        <f>IF(AND(E1328=1,L1328=0),AJ1328,"")</f>
        <v>3.2</v>
      </c>
      <c r="AT1328" s="34" t="str">
        <f>IF(AND(E1328=1,L1328=1),AI1328,"")</f>
        <v/>
      </c>
      <c r="AU1328" s="34">
        <f>IF(AND(E1328=1,L1328=0),AI1328,"")</f>
        <v>2</v>
      </c>
      <c r="AV1328" s="34" t="str">
        <f>IF(AND(E1328=1,L1328=1),AG1328,"")</f>
        <v/>
      </c>
      <c r="AW1328" s="34">
        <f>IF(AND(E1328=1,L1328=0),AG1328,"")</f>
        <v>9.3</v>
      </c>
      <c r="AX1328" s="34" t="str">
        <f>IF(AND(E1328=1,L1328=1),AH1328,"")</f>
        <v/>
      </c>
      <c r="AY1328" s="34">
        <f>IF(AND(E1328=1,L1328=0),AH1328,"")</f>
        <v>8.6</v>
      </c>
      <c r="AZ1328" s="34" t="str">
        <f>IF(G1328=1,F1328,"")</f>
        <v/>
      </c>
      <c r="BA1328" s="34" t="str">
        <f>IF(AND(G1328=1,L1328=1),F1328,"")</f>
        <v/>
      </c>
      <c r="BB1328" s="34" t="str">
        <f>IF(AND(G1328=1,L1328=0),F1328,"")</f>
        <v/>
      </c>
      <c r="BC1328" s="33">
        <f>IF(E1328=1,IF(Orders!R1325&gt;3,1,0),"")</f>
        <v>0</v>
      </c>
      <c r="BD1328" s="33">
        <f>IF(E1328=1,IF(Orders!R1325&gt;7,1,0),"")</f>
        <v>0</v>
      </c>
      <c r="BE1328" s="32" t="str">
        <f>IF(E1328=1,IF(Orders!L1325&lt;=1.5,"Up to 1.5 km",IF(Orders!L1325&lt;=3,"1.5–3 km","Over 3 km")),"")</f>
        <v>Over 3 km</v>
      </c>
      <c r="BF1328" s="33">
        <f>IF(E1328=1,IF(ABS((Orders!G1325-Orders!F1325)*1440-Orders!R1325)&lt;0.06,1,0),"")</f>
        <v>1</v>
      </c>
      <c r="BG1328" s="33">
        <f>IF(ABS((Orders!F1325-Orders!E1325)*1440-Orders!P1325)&lt;0.06,1,0)</f>
        <v>1</v>
      </c>
      <c r="BH1328" s="33">
        <f>IF(E1328=1,IF(IF(Orders!S1325,1,0)=1-G1328,1,0),"")</f>
        <v>1</v>
      </c>
      <c r="BI1328" s="32" t="str">
        <f>INDEX(Stores!$B$2:$B$21,MATCH(B1328,Stores!$A$2:$A$21,0))</f>
        <v>Delhi</v>
      </c>
    </row>
    <row r="1329">
      <c r="A1329" s="32" t="str">
        <f>Orders!A1326</f>
        <v>O01325</v>
      </c>
      <c r="B1329" s="32" t="str">
        <f>Orders!C1326</f>
        <v>S008</v>
      </c>
      <c r="C1329" s="32" t="str">
        <f>Orders!B1326</f>
        <v>C0247</v>
      </c>
      <c r="D1329" s="32" t="str">
        <f>Orders!H1326</f>
        <v>Delivered</v>
      </c>
      <c r="E1329" s="33">
        <f>IF(Orders!H1326="Delivered",1,0)</f>
        <v>1</v>
      </c>
      <c r="F1329" s="34">
        <f>IF(E1329=1,Orders!R1326,"")</f>
        <v>10.8</v>
      </c>
      <c r="G1329" s="33">
        <f>IF(E1329=1,IF(Orders!R1326&gt;0,1,0),"")</f>
        <v>1</v>
      </c>
      <c r="H1329" s="33">
        <f>IF(E1329=1,IF(Orders!R1326&gt;5,1,0),"")</f>
        <v>1</v>
      </c>
      <c r="I1329" s="32" t="str">
        <f>IF(E1329=1,"",IF(OR(Orders!T1326="Rider unavailable",Orders!T1326="Item unavailable"),"Company-caused","Unresolved"))</f>
        <v/>
      </c>
      <c r="J1329" s="33">
        <f>IF(OR(E1329=1,I1329="Company-caused"),1,0)</f>
        <v>1</v>
      </c>
      <c r="K1329" s="32" t="str">
        <f>IF(E1329=0,IF(I1329="Company-caused",IF(Orders!T1326="Rider unavailable","C1 Rider unavailable","C2 Item unavailable"),"Outside root: unresolved"),IF(G1329=0,"A On time",IF(H1329=1,IF(L1329=1,"B2a Severe, peak","B2b Severe, off-peak"),IF(L1329=1,"B1a Slight, peak","B1b Slight, off-peak"))))</f>
        <v>B2b Severe, off-peak</v>
      </c>
      <c r="L1329" s="33">
        <f>IF(AND(Orders!U1326&gt;=19,Orders!U1326&lt;22),1,0)</f>
        <v>0</v>
      </c>
      <c r="M1329" s="33">
        <f>IF(L1329=IF(Orders!V1326,1,0),1,0)</f>
        <v>1</v>
      </c>
      <c r="N1329" s="32" t="str">
        <f>IF(Orders!W1326="","None",Orders!W1326)</f>
        <v>None</v>
      </c>
      <c r="O1329" s="35">
        <f>INT(Orders!E1326)</f>
        <v>46276.0</v>
      </c>
      <c r="P1329" s="33">
        <f>Orders!U1326</f>
        <v>8</v>
      </c>
      <c r="Q1329" s="33">
        <f>COUNTIFS(Demand!$A$2:$A$4481,B1329,Demand!$B$2:$B$4481,O1329,Demand!$C$2:$C$4481,P1329)</f>
        <v>1</v>
      </c>
      <c r="R1329" s="33">
        <f>IF(Q1329=1,SUMIFS(Demand!$E$2:$E$4481,Demand!$A$2:$A$4481,B1329,Demand!$B$2:$B$4481,O1329,Demand!$C$2:$C$4481,P1329),"")</f>
        <v>17</v>
      </c>
      <c r="S1329" s="33">
        <f>INDEX(Stores!$G$2:$G$21,MATCH(B1329,Stores!$A$2:$A$21,0))</f>
        <v>23</v>
      </c>
      <c r="T1329" s="34">
        <f>IF(R1329="","",R1329/S1329)</f>
        <v>0.739130434782609</v>
      </c>
      <c r="U1329" s="34">
        <f>IF(E1329=1,T1329,"")</f>
        <v>0.739130434782609</v>
      </c>
      <c r="V1329" s="34">
        <f>IF(AND(E1329=1,L1329=0),T1329,"")</f>
        <v>0.739130434782609</v>
      </c>
      <c r="W1329" s="33">
        <f>IF(U1329="","",IF(U1329&lt;=Breakdowns!$C$5,1,IF(U1329&lt;=Breakdowns!$C$6,2,IF(U1329&lt;=Breakdowns!$C$7,3,4))))</f>
        <v>1</v>
      </c>
      <c r="X1329" s="33">
        <f>IF(V1329="","",IF(V1329&lt;=Breakdowns!$D$5,1,IF(V1329&lt;=Breakdowns!$D$6,2,IF(V1329&lt;=Breakdowns!$D$7,3,4))))</f>
        <v>1</v>
      </c>
      <c r="Y1329" s="34">
        <f>INDEX(Stores!$F$2:$F$21,MATCH(B1329,Stores!$A$2:$A$21,0))</f>
        <v>3.46</v>
      </c>
      <c r="Z1329" s="33">
        <f>IF(Y1329&gt;Store_Summary!$M$2,1,0)</f>
        <v>0</v>
      </c>
      <c r="AA1329" s="33">
        <f>INDEX(Stores!$C$2:$C$21,MATCH(B1329,Stores!$A$2:$A$21,0))</f>
        <v>825</v>
      </c>
      <c r="AB1329" s="33">
        <f>IF(AA1329&lt;180,1,0)</f>
        <v>0</v>
      </c>
      <c r="AC1329" s="32" t="str">
        <f>IF(Orders!D1326="","",INDEX(Riders!$C$2:$C$81,MATCH(Orders!D1326,Riders!$A$2:$A$81,0)))</f>
        <v>EV scooter</v>
      </c>
      <c r="AD1329" s="33">
        <f>IF(Orders!D1326="","",INDEX(Riders!$D$2:$D$81,MATCH(Orders!D1326,Riders!$A$2:$A$81,0)))</f>
        <v>38</v>
      </c>
      <c r="AE1329" s="33">
        <f>IF(Orders!D1326="","",IF(INDEX(Riders!$B$2:$B$81,MATCH(Orders!D1326,Riders!$A$2:$A$81,0))=B1329,1,0))</f>
        <v>0</v>
      </c>
      <c r="AF1329" s="34">
        <f>IF(E1329=1,Orders!L1326,"")</f>
        <v>4.65</v>
      </c>
      <c r="AG1329" s="34">
        <f>IF(E1329=1,Orders!P1326,"")</f>
        <v>13.2</v>
      </c>
      <c r="AH1329" s="34">
        <f>IF(E1329=1,Orders!Q1326,"")</f>
        <v>24</v>
      </c>
      <c r="AI1329" s="34">
        <f>IF(E1329=1,Orders!M1326,"")</f>
        <v>4.5</v>
      </c>
      <c r="AJ1329" s="34">
        <f>IF(E1329=1,Orders!N1326,"")</f>
        <v>8.4</v>
      </c>
      <c r="AK1329" s="34">
        <f>IF(E1329=1,Orders!O1326,"")</f>
        <v>11.1</v>
      </c>
      <c r="AL1329" s="33">
        <f>IF(E1329=1,IF(ROUND(ABS(AI1329+AJ1329+AK1329-AH1329),6)&lt;=0.1,1,0),"")</f>
        <v>1</v>
      </c>
      <c r="AM1329" s="36">
        <f>IF(E1329=1,AI1329/AH1329,"")</f>
        <v>0.1875</v>
      </c>
      <c r="AN1329" s="36">
        <f>IF(E1329=1,AJ1329/AH1329,"")</f>
        <v>0.35</v>
      </c>
      <c r="AO1329" s="36">
        <f>IF(E1329=1,AK1329/AH1329,"")</f>
        <v>0.4625</v>
      </c>
      <c r="AP1329" s="34">
        <f>IF(E1329=1,Orders!Y1326,"")</f>
        <v>0.87</v>
      </c>
      <c r="AQ1329" s="33">
        <f>IF(Orders!X1326,1,0)</f>
        <v>0</v>
      </c>
      <c r="AR1329" s="34" t="str">
        <f>IF(AND(E1329=1,L1329=1),AJ1329,"")</f>
        <v/>
      </c>
      <c r="AS1329" s="34">
        <f>IF(AND(E1329=1,L1329=0),AJ1329,"")</f>
        <v>8.4</v>
      </c>
      <c r="AT1329" s="34" t="str">
        <f>IF(AND(E1329=1,L1329=1),AI1329,"")</f>
        <v/>
      </c>
      <c r="AU1329" s="34">
        <f>IF(AND(E1329=1,L1329=0),AI1329,"")</f>
        <v>4.5</v>
      </c>
      <c r="AV1329" s="34" t="str">
        <f>IF(AND(E1329=1,L1329=1),AG1329,"")</f>
        <v/>
      </c>
      <c r="AW1329" s="34">
        <f>IF(AND(E1329=1,L1329=0),AG1329,"")</f>
        <v>13.2</v>
      </c>
      <c r="AX1329" s="34" t="str">
        <f>IF(AND(E1329=1,L1329=1),AH1329,"")</f>
        <v/>
      </c>
      <c r="AY1329" s="34">
        <f>IF(AND(E1329=1,L1329=0),AH1329,"")</f>
        <v>24</v>
      </c>
      <c r="AZ1329" s="34">
        <f>IF(G1329=1,F1329,"")</f>
        <v>10.8</v>
      </c>
      <c r="BA1329" s="34" t="str">
        <f>IF(AND(G1329=1,L1329=1),F1329,"")</f>
        <v/>
      </c>
      <c r="BB1329" s="34">
        <f>IF(AND(G1329=1,L1329=0),F1329,"")</f>
        <v>10.8</v>
      </c>
      <c r="BC1329" s="33">
        <f>IF(E1329=1,IF(Orders!R1326&gt;3,1,0),"")</f>
        <v>1</v>
      </c>
      <c r="BD1329" s="33">
        <f>IF(E1329=1,IF(Orders!R1326&gt;7,1,0),"")</f>
        <v>1</v>
      </c>
      <c r="BE1329" s="32" t="str">
        <f>IF(E1329=1,IF(Orders!L1326&lt;=1.5,"Up to 1.5 km",IF(Orders!L1326&lt;=3,"1.5–3 km","Over 3 km")),"")</f>
        <v>Over 3 km</v>
      </c>
      <c r="BF1329" s="33">
        <f>IF(E1329=1,IF(ABS((Orders!G1326-Orders!F1326)*1440-Orders!R1326)&lt;0.06,1,0),"")</f>
        <v>1</v>
      </c>
      <c r="BG1329" s="33">
        <f>IF(ABS((Orders!F1326-Orders!E1326)*1440-Orders!P1326)&lt;0.06,1,0)</f>
        <v>1</v>
      </c>
      <c r="BH1329" s="33">
        <f>IF(E1329=1,IF(IF(Orders!S1326,1,0)=1-G1329,1,0),"")</f>
        <v>1</v>
      </c>
      <c r="BI1329" s="32" t="str">
        <f>INDEX(Stores!$B$2:$B$21,MATCH(B1329,Stores!$A$2:$A$21,0))</f>
        <v>Mumbai</v>
      </c>
    </row>
    <row r="1330">
      <c r="A1330" s="32" t="str">
        <f>Orders!A1327</f>
        <v>O01326</v>
      </c>
      <c r="B1330" s="32" t="str">
        <f>Orders!C1327</f>
        <v>S019</v>
      </c>
      <c r="C1330" s="32" t="str">
        <f>Orders!B1327</f>
        <v>C0124</v>
      </c>
      <c r="D1330" s="32" t="str">
        <f>Orders!H1327</f>
        <v>Delivered</v>
      </c>
      <c r="E1330" s="33">
        <f>IF(Orders!H1327="Delivered",1,0)</f>
        <v>1</v>
      </c>
      <c r="F1330" s="34">
        <f>IF(E1330=1,Orders!R1327,"")</f>
        <v>-0.7</v>
      </c>
      <c r="G1330" s="33">
        <f>IF(E1330=1,IF(Orders!R1327&gt;0,1,0),"")</f>
        <v>0</v>
      </c>
      <c r="H1330" s="33">
        <f>IF(E1330=1,IF(Orders!R1327&gt;5,1,0),"")</f>
        <v>0</v>
      </c>
      <c r="I1330" s="32" t="str">
        <f>IF(E1330=1,"",IF(OR(Orders!T1327="Rider unavailable",Orders!T1327="Item unavailable"),"Company-caused","Unresolved"))</f>
        <v/>
      </c>
      <c r="J1330" s="33">
        <f>IF(OR(E1330=1,I1330="Company-caused"),1,0)</f>
        <v>1</v>
      </c>
      <c r="K1330" s="32" t="str">
        <f>IF(E1330=0,IF(I1330="Company-caused",IF(Orders!T1327="Rider unavailable","C1 Rider unavailable","C2 Item unavailable"),"Outside root: unresolved"),IF(G1330=0,"A On time",IF(H1330=1,IF(L1330=1,"B2a Severe, peak","B2b Severe, off-peak"),IF(L1330=1,"B1a Slight, peak","B1b Slight, off-peak"))))</f>
        <v>A On time</v>
      </c>
      <c r="L1330" s="33">
        <f>IF(AND(Orders!U1327&gt;=19,Orders!U1327&lt;22),1,0)</f>
        <v>1</v>
      </c>
      <c r="M1330" s="33">
        <f>IF(L1330=IF(Orders!V1327,1,0),1,0)</f>
        <v>1</v>
      </c>
      <c r="N1330" s="32" t="str">
        <f>IF(Orders!W1327="","None",Orders!W1327)</f>
        <v>Heavy</v>
      </c>
      <c r="O1330" s="35">
        <f>INT(Orders!E1327)</f>
        <v>46279.0</v>
      </c>
      <c r="P1330" s="33">
        <f>Orders!U1327</f>
        <v>20</v>
      </c>
      <c r="Q1330" s="33">
        <f>COUNTIFS(Demand!$A$2:$A$4481,B1330,Demand!$B$2:$B$4481,O1330,Demand!$C$2:$C$4481,P1330)</f>
        <v>1</v>
      </c>
      <c r="R1330" s="33">
        <f>IF(Q1330=1,SUMIFS(Demand!$E$2:$E$4481,Demand!$A$2:$A$4481,B1330,Demand!$B$2:$B$4481,O1330,Demand!$C$2:$C$4481,P1330),"")</f>
        <v>32</v>
      </c>
      <c r="S1330" s="33">
        <f>INDEX(Stores!$G$2:$G$21,MATCH(B1330,Stores!$A$2:$A$21,0))</f>
        <v>22</v>
      </c>
      <c r="T1330" s="34">
        <f>IF(R1330="","",R1330/S1330)</f>
        <v>1.45454545454545</v>
      </c>
      <c r="U1330" s="34">
        <f>IF(E1330=1,T1330,"")</f>
        <v>1.45454545454545</v>
      </c>
      <c r="V1330" s="34" t="str">
        <f>IF(AND(E1330=1,L1330=0),T1330,"")</f>
        <v/>
      </c>
      <c r="W1330" s="33">
        <f>IF(U1330="","",IF(U1330&lt;=Breakdowns!$C$5,1,IF(U1330&lt;=Breakdowns!$C$6,2,IF(U1330&lt;=Breakdowns!$C$7,3,4))))</f>
        <v>4</v>
      </c>
      <c r="X1330" s="33" t="str">
        <f>IF(V1330="","",IF(V1330&lt;=Breakdowns!$D$5,1,IF(V1330&lt;=Breakdowns!$D$6,2,IF(V1330&lt;=Breakdowns!$D$7,3,4))))</f>
        <v/>
      </c>
      <c r="Y1330" s="34">
        <f>INDEX(Stores!$F$2:$F$21,MATCH(B1330,Stores!$A$2:$A$21,0))</f>
        <v>4.99</v>
      </c>
      <c r="Z1330" s="33">
        <f>IF(Y1330&gt;Store_Summary!$M$2,1,0)</f>
        <v>1</v>
      </c>
      <c r="AA1330" s="33">
        <f>INDEX(Stores!$C$2:$C$21,MATCH(B1330,Stores!$A$2:$A$21,0))</f>
        <v>851</v>
      </c>
      <c r="AB1330" s="33">
        <f>IF(AA1330&lt;180,1,0)</f>
        <v>0</v>
      </c>
      <c r="AC1330" s="32" t="str">
        <f>IF(Orders!D1327="","",INDEX(Riders!$C$2:$C$81,MATCH(Orders!D1327,Riders!$A$2:$A$81,0)))</f>
        <v>Petrol scooter</v>
      </c>
      <c r="AD1330" s="33">
        <f>IF(Orders!D1327="","",INDEX(Riders!$D$2:$D$81,MATCH(Orders!D1327,Riders!$A$2:$A$81,0)))</f>
        <v>29</v>
      </c>
      <c r="AE1330" s="33">
        <f>IF(Orders!D1327="","",IF(INDEX(Riders!$B$2:$B$81,MATCH(Orders!D1327,Riders!$A$2:$A$81,0))=B1330,1,0))</f>
        <v>0</v>
      </c>
      <c r="AF1330" s="34">
        <f>IF(E1330=1,Orders!L1327,"")</f>
        <v>0.93</v>
      </c>
      <c r="AG1330" s="34">
        <f>IF(E1330=1,Orders!P1327,"")</f>
        <v>9.7</v>
      </c>
      <c r="AH1330" s="34">
        <f>IF(E1330=1,Orders!Q1327,"")</f>
        <v>9</v>
      </c>
      <c r="AI1330" s="34">
        <f>IF(E1330=1,Orders!M1327,"")</f>
        <v>3.4</v>
      </c>
      <c r="AJ1330" s="34">
        <f>IF(E1330=1,Orders!N1327,"")</f>
        <v>2.1</v>
      </c>
      <c r="AK1330" s="34">
        <f>IF(E1330=1,Orders!O1327,"")</f>
        <v>3.5</v>
      </c>
      <c r="AL1330" s="33">
        <f>IF(E1330=1,IF(ROUND(ABS(AI1330+AJ1330+AK1330-AH1330),6)&lt;=0.1,1,0),"")</f>
        <v>1</v>
      </c>
      <c r="AM1330" s="36">
        <f>IF(E1330=1,AI1330/AH1330,"")</f>
        <v>0.377777777777778</v>
      </c>
      <c r="AN1330" s="36">
        <f>IF(E1330=1,AJ1330/AH1330,"")</f>
        <v>0.233333333333333</v>
      </c>
      <c r="AO1330" s="36">
        <f>IF(E1330=1,AK1330/AH1330,"")</f>
        <v>0.388888888888889</v>
      </c>
      <c r="AP1330" s="34">
        <f>IF(E1330=1,Orders!Y1327,"")</f>
        <v>0.46</v>
      </c>
      <c r="AQ1330" s="33">
        <f>IF(Orders!X1327,1,0)</f>
        <v>0</v>
      </c>
      <c r="AR1330" s="34">
        <f>IF(AND(E1330=1,L1330=1),AJ1330,"")</f>
        <v>2.1</v>
      </c>
      <c r="AS1330" s="34" t="str">
        <f>IF(AND(E1330=1,L1330=0),AJ1330,"")</f>
        <v/>
      </c>
      <c r="AT1330" s="34">
        <f>IF(AND(E1330=1,L1330=1),AI1330,"")</f>
        <v>3.4</v>
      </c>
      <c r="AU1330" s="34" t="str">
        <f>IF(AND(E1330=1,L1330=0),AI1330,"")</f>
        <v/>
      </c>
      <c r="AV1330" s="34">
        <f>IF(AND(E1330=1,L1330=1),AG1330,"")</f>
        <v>9.7</v>
      </c>
      <c r="AW1330" s="34" t="str">
        <f>IF(AND(E1330=1,L1330=0),AG1330,"")</f>
        <v/>
      </c>
      <c r="AX1330" s="34">
        <f>IF(AND(E1330=1,L1330=1),AH1330,"")</f>
        <v>9</v>
      </c>
      <c r="AY1330" s="34" t="str">
        <f>IF(AND(E1330=1,L1330=0),AH1330,"")</f>
        <v/>
      </c>
      <c r="AZ1330" s="34" t="str">
        <f>IF(G1330=1,F1330,"")</f>
        <v/>
      </c>
      <c r="BA1330" s="34" t="str">
        <f>IF(AND(G1330=1,L1330=1),F1330,"")</f>
        <v/>
      </c>
      <c r="BB1330" s="34" t="str">
        <f>IF(AND(G1330=1,L1330=0),F1330,"")</f>
        <v/>
      </c>
      <c r="BC1330" s="33">
        <f>IF(E1330=1,IF(Orders!R1327&gt;3,1,0),"")</f>
        <v>0</v>
      </c>
      <c r="BD1330" s="33">
        <f>IF(E1330=1,IF(Orders!R1327&gt;7,1,0),"")</f>
        <v>0</v>
      </c>
      <c r="BE1330" s="32" t="str">
        <f>IF(E1330=1,IF(Orders!L1327&lt;=1.5,"Up to 1.5 km",IF(Orders!L1327&lt;=3,"1.5–3 km","Over 3 km")),"")</f>
        <v>Up to 1.5 km</v>
      </c>
      <c r="BF1330" s="33">
        <f>IF(E1330=1,IF(ABS((Orders!G1327-Orders!F1327)*1440-Orders!R1327)&lt;0.06,1,0),"")</f>
        <v>1</v>
      </c>
      <c r="BG1330" s="33">
        <f>IF(ABS((Orders!F1327-Orders!E1327)*1440-Orders!P1327)&lt;0.06,1,0)</f>
        <v>1</v>
      </c>
      <c r="BH1330" s="33">
        <f>IF(E1330=1,IF(IF(Orders!S1327,1,0)=1-G1330,1,0),"")</f>
        <v>1</v>
      </c>
      <c r="BI1330" s="32" t="str">
        <f>INDEX(Stores!$B$2:$B$21,MATCH(B1330,Stores!$A$2:$A$21,0))</f>
        <v>Pune</v>
      </c>
    </row>
    <row r="1331">
      <c r="A1331" s="32" t="str">
        <f>Orders!A1328</f>
        <v>O01327</v>
      </c>
      <c r="B1331" s="32" t="str">
        <f>Orders!C1328</f>
        <v>S015</v>
      </c>
      <c r="C1331" s="32" t="str">
        <f>Orders!B1328</f>
        <v>C0088</v>
      </c>
      <c r="D1331" s="32" t="str">
        <f>Orders!H1328</f>
        <v>Delivered</v>
      </c>
      <c r="E1331" s="33">
        <f>IF(Orders!H1328="Delivered",1,0)</f>
        <v>1</v>
      </c>
      <c r="F1331" s="34">
        <f>IF(E1331=1,Orders!R1328,"")</f>
        <v>-0.7</v>
      </c>
      <c r="G1331" s="33">
        <f>IF(E1331=1,IF(Orders!R1328&gt;0,1,0),"")</f>
        <v>0</v>
      </c>
      <c r="H1331" s="33">
        <f>IF(E1331=1,IF(Orders!R1328&gt;5,1,0),"")</f>
        <v>0</v>
      </c>
      <c r="I1331" s="32" t="str">
        <f>IF(E1331=1,"",IF(OR(Orders!T1328="Rider unavailable",Orders!T1328="Item unavailable"),"Company-caused","Unresolved"))</f>
        <v/>
      </c>
      <c r="J1331" s="33">
        <f>IF(OR(E1331=1,I1331="Company-caused"),1,0)</f>
        <v>1</v>
      </c>
      <c r="K1331" s="32" t="str">
        <f>IF(E1331=0,IF(I1331="Company-caused",IF(Orders!T1328="Rider unavailable","C1 Rider unavailable","C2 Item unavailable"),"Outside root: unresolved"),IF(G1331=0,"A On time",IF(H1331=1,IF(L1331=1,"B2a Severe, peak","B2b Severe, off-peak"),IF(L1331=1,"B1a Slight, peak","B1b Slight, off-peak"))))</f>
        <v>A On time</v>
      </c>
      <c r="L1331" s="33">
        <f>IF(AND(Orders!U1328&gt;=19,Orders!U1328&lt;22),1,0)</f>
        <v>0</v>
      </c>
      <c r="M1331" s="33">
        <f>IF(L1331=IF(Orders!V1328,1,0),1,0)</f>
        <v>1</v>
      </c>
      <c r="N1331" s="32" t="str">
        <f>IF(Orders!W1328="","None",Orders!W1328)</f>
        <v>None</v>
      </c>
      <c r="O1331" s="35">
        <f>INT(Orders!E1328)</f>
        <v>46271.0</v>
      </c>
      <c r="P1331" s="33">
        <f>Orders!U1328</f>
        <v>9</v>
      </c>
      <c r="Q1331" s="33">
        <f>COUNTIFS(Demand!$A$2:$A$4481,B1331,Demand!$B$2:$B$4481,O1331,Demand!$C$2:$C$4481,P1331)</f>
        <v>1</v>
      </c>
      <c r="R1331" s="33">
        <f>IF(Q1331=1,SUMIFS(Demand!$E$2:$E$4481,Demand!$A$2:$A$4481,B1331,Demand!$B$2:$B$4481,O1331,Demand!$C$2:$C$4481,P1331),"")</f>
        <v>11</v>
      </c>
      <c r="S1331" s="33">
        <f>INDEX(Stores!$G$2:$G$21,MATCH(B1331,Stores!$A$2:$A$21,0))</f>
        <v>23</v>
      </c>
      <c r="T1331" s="34">
        <f>IF(R1331="","",R1331/S1331)</f>
        <v>0.478260869565217</v>
      </c>
      <c r="U1331" s="34">
        <f>IF(E1331=1,T1331,"")</f>
        <v>0.478260869565217</v>
      </c>
      <c r="V1331" s="34">
        <f>IF(AND(E1331=1,L1331=0),T1331,"")</f>
        <v>0.478260869565217</v>
      </c>
      <c r="W1331" s="33">
        <f>IF(U1331="","",IF(U1331&lt;=Breakdowns!$C$5,1,IF(U1331&lt;=Breakdowns!$C$6,2,IF(U1331&lt;=Breakdowns!$C$7,3,4))))</f>
        <v>1</v>
      </c>
      <c r="X1331" s="33">
        <f>IF(V1331="","",IF(V1331&lt;=Breakdowns!$D$5,1,IF(V1331&lt;=Breakdowns!$D$6,2,IF(V1331&lt;=Breakdowns!$D$7,3,4))))</f>
        <v>1</v>
      </c>
      <c r="Y1331" s="34">
        <f>INDEX(Stores!$F$2:$F$21,MATCH(B1331,Stores!$A$2:$A$21,0))</f>
        <v>4.66</v>
      </c>
      <c r="Z1331" s="33">
        <f>IF(Y1331&gt;Store_Summary!$M$2,1,0)</f>
        <v>0</v>
      </c>
      <c r="AA1331" s="33">
        <f>INDEX(Stores!$C$2:$C$21,MATCH(B1331,Stores!$A$2:$A$21,0))</f>
        <v>204</v>
      </c>
      <c r="AB1331" s="33">
        <f>IF(AA1331&lt;180,1,0)</f>
        <v>0</v>
      </c>
      <c r="AC1331" s="32" t="str">
        <f>IF(Orders!D1328="","",INDEX(Riders!$C$2:$C$81,MATCH(Orders!D1328,Riders!$A$2:$A$81,0)))</f>
        <v>EV scooter</v>
      </c>
      <c r="AD1331" s="33">
        <f>IF(Orders!D1328="","",INDEX(Riders!$D$2:$D$81,MATCH(Orders!D1328,Riders!$A$2:$A$81,0)))</f>
        <v>18</v>
      </c>
      <c r="AE1331" s="33">
        <f>IF(Orders!D1328="","",IF(INDEX(Riders!$B$2:$B$81,MATCH(Orders!D1328,Riders!$A$2:$A$81,0))=B1331,1,0))</f>
        <v>0</v>
      </c>
      <c r="AF1331" s="34">
        <f>IF(E1331=1,Orders!L1328,"")</f>
        <v>0.5</v>
      </c>
      <c r="AG1331" s="34">
        <f>IF(E1331=1,Orders!P1328,"")</f>
        <v>8.6</v>
      </c>
      <c r="AH1331" s="34">
        <f>IF(E1331=1,Orders!Q1328,"")</f>
        <v>7.9</v>
      </c>
      <c r="AI1331" s="34">
        <f>IF(E1331=1,Orders!M1328,"")</f>
        <v>4.8</v>
      </c>
      <c r="AJ1331" s="34">
        <f>IF(E1331=1,Orders!N1328,"")</f>
        <v>1.7</v>
      </c>
      <c r="AK1331" s="34">
        <f>IF(E1331=1,Orders!O1328,"")</f>
        <v>1.4</v>
      </c>
      <c r="AL1331" s="33">
        <f>IF(E1331=1,IF(ROUND(ABS(AI1331+AJ1331+AK1331-AH1331),6)&lt;=0.1,1,0),"")</f>
        <v>1</v>
      </c>
      <c r="AM1331" s="36">
        <f>IF(E1331=1,AI1331/AH1331,"")</f>
        <v>0.607594936708861</v>
      </c>
      <c r="AN1331" s="36">
        <f>IF(E1331=1,AJ1331/AH1331,"")</f>
        <v>0.215189873417722</v>
      </c>
      <c r="AO1331" s="36">
        <f>IF(E1331=1,AK1331/AH1331,"")</f>
        <v>0.177215189873418</v>
      </c>
      <c r="AP1331" s="34">
        <f>IF(E1331=1,Orders!Y1328,"")</f>
        <v>0.28</v>
      </c>
      <c r="AQ1331" s="33">
        <f>IF(Orders!X1328,1,0)</f>
        <v>0</v>
      </c>
      <c r="AR1331" s="34" t="str">
        <f>IF(AND(E1331=1,L1331=1),AJ1331,"")</f>
        <v/>
      </c>
      <c r="AS1331" s="34">
        <f>IF(AND(E1331=1,L1331=0),AJ1331,"")</f>
        <v>1.7</v>
      </c>
      <c r="AT1331" s="34" t="str">
        <f>IF(AND(E1331=1,L1331=1),AI1331,"")</f>
        <v/>
      </c>
      <c r="AU1331" s="34">
        <f>IF(AND(E1331=1,L1331=0),AI1331,"")</f>
        <v>4.8</v>
      </c>
      <c r="AV1331" s="34" t="str">
        <f>IF(AND(E1331=1,L1331=1),AG1331,"")</f>
        <v/>
      </c>
      <c r="AW1331" s="34">
        <f>IF(AND(E1331=1,L1331=0),AG1331,"")</f>
        <v>8.6</v>
      </c>
      <c r="AX1331" s="34" t="str">
        <f>IF(AND(E1331=1,L1331=1),AH1331,"")</f>
        <v/>
      </c>
      <c r="AY1331" s="34">
        <f>IF(AND(E1331=1,L1331=0),AH1331,"")</f>
        <v>7.9</v>
      </c>
      <c r="AZ1331" s="34" t="str">
        <f>IF(G1331=1,F1331,"")</f>
        <v/>
      </c>
      <c r="BA1331" s="34" t="str">
        <f>IF(AND(G1331=1,L1331=1),F1331,"")</f>
        <v/>
      </c>
      <c r="BB1331" s="34" t="str">
        <f>IF(AND(G1331=1,L1331=0),F1331,"")</f>
        <v/>
      </c>
      <c r="BC1331" s="33">
        <f>IF(E1331=1,IF(Orders!R1328&gt;3,1,0),"")</f>
        <v>0</v>
      </c>
      <c r="BD1331" s="33">
        <f>IF(E1331=1,IF(Orders!R1328&gt;7,1,0),"")</f>
        <v>0</v>
      </c>
      <c r="BE1331" s="32" t="str">
        <f>IF(E1331=1,IF(Orders!L1328&lt;=1.5,"Up to 1.5 km",IF(Orders!L1328&lt;=3,"1.5–3 km","Over 3 km")),"")</f>
        <v>Up to 1.5 km</v>
      </c>
      <c r="BF1331" s="33">
        <f>IF(E1331=1,IF(ABS((Orders!G1328-Orders!F1328)*1440-Orders!R1328)&lt;0.06,1,0),"")</f>
        <v>1</v>
      </c>
      <c r="BG1331" s="33">
        <f>IF(ABS((Orders!F1328-Orders!E1328)*1440-Orders!P1328)&lt;0.06,1,0)</f>
        <v>1</v>
      </c>
      <c r="BH1331" s="33">
        <f>IF(E1331=1,IF(IF(Orders!S1328,1,0)=1-G1331,1,0),"")</f>
        <v>1</v>
      </c>
      <c r="BI1331" s="32" t="str">
        <f>INDEX(Stores!$B$2:$B$21,MATCH(B1331,Stores!$A$2:$A$21,0))</f>
        <v>Delhi</v>
      </c>
    </row>
    <row r="1332">
      <c r="A1332" s="32" t="str">
        <f>Orders!A1329</f>
        <v>O01328</v>
      </c>
      <c r="B1332" s="32" t="str">
        <f>Orders!C1329</f>
        <v>S001</v>
      </c>
      <c r="C1332" s="32" t="str">
        <f>Orders!B1329</f>
        <v>C0083</v>
      </c>
      <c r="D1332" s="32" t="str">
        <f>Orders!H1329</f>
        <v>Delivered</v>
      </c>
      <c r="E1332" s="33">
        <f>IF(Orders!H1329="Delivered",1,0)</f>
        <v>1</v>
      </c>
      <c r="F1332" s="34">
        <f>IF(E1332=1,Orders!R1329,"")</f>
        <v>-0.7</v>
      </c>
      <c r="G1332" s="33">
        <f>IF(E1332=1,IF(Orders!R1329&gt;0,1,0),"")</f>
        <v>0</v>
      </c>
      <c r="H1332" s="33">
        <f>IF(E1332=1,IF(Orders!R1329&gt;5,1,0),"")</f>
        <v>0</v>
      </c>
      <c r="I1332" s="32" t="str">
        <f>IF(E1332=1,"",IF(OR(Orders!T1329="Rider unavailable",Orders!T1329="Item unavailable"),"Company-caused","Unresolved"))</f>
        <v/>
      </c>
      <c r="J1332" s="33">
        <f>IF(OR(E1332=1,I1332="Company-caused"),1,0)</f>
        <v>1</v>
      </c>
      <c r="K1332" s="32" t="str">
        <f>IF(E1332=0,IF(I1332="Company-caused",IF(Orders!T1329="Rider unavailable","C1 Rider unavailable","C2 Item unavailable"),"Outside root: unresolved"),IF(G1332=0,"A On time",IF(H1332=1,IF(L1332=1,"B2a Severe, peak","B2b Severe, off-peak"),IF(L1332=1,"B1a Slight, peak","B1b Slight, off-peak"))))</f>
        <v>A On time</v>
      </c>
      <c r="L1332" s="33">
        <f>IF(AND(Orders!U1329&gt;=19,Orders!U1329&lt;22),1,0)</f>
        <v>1</v>
      </c>
      <c r="M1332" s="33">
        <f>IF(L1332=IF(Orders!V1329,1,0),1,0)</f>
        <v>1</v>
      </c>
      <c r="N1332" s="32" t="str">
        <f>IF(Orders!W1329="","None",Orders!W1329)</f>
        <v>None</v>
      </c>
      <c r="O1332" s="35">
        <f>INT(Orders!E1329)</f>
        <v>46277.0</v>
      </c>
      <c r="P1332" s="33">
        <f>Orders!U1329</f>
        <v>19</v>
      </c>
      <c r="Q1332" s="33">
        <f>COUNTIFS(Demand!$A$2:$A$4481,B1332,Demand!$B$2:$B$4481,O1332,Demand!$C$2:$C$4481,P1332)</f>
        <v>1</v>
      </c>
      <c r="R1332" s="33">
        <f>IF(Q1332=1,SUMIFS(Demand!$E$2:$E$4481,Demand!$A$2:$A$4481,B1332,Demand!$B$2:$B$4481,O1332,Demand!$C$2:$C$4481,P1332),"")</f>
        <v>23</v>
      </c>
      <c r="S1332" s="33">
        <f>INDEX(Stores!$G$2:$G$21,MATCH(B1332,Stores!$A$2:$A$21,0))</f>
        <v>16</v>
      </c>
      <c r="T1332" s="34">
        <f>IF(R1332="","",R1332/S1332)</f>
        <v>1.4375</v>
      </c>
      <c r="U1332" s="34">
        <f>IF(E1332=1,T1332,"")</f>
        <v>1.4375</v>
      </c>
      <c r="V1332" s="34" t="str">
        <f>IF(AND(E1332=1,L1332=0),T1332,"")</f>
        <v/>
      </c>
      <c r="W1332" s="33">
        <f>IF(U1332="","",IF(U1332&lt;=Breakdowns!$C$5,1,IF(U1332&lt;=Breakdowns!$C$6,2,IF(U1332&lt;=Breakdowns!$C$7,3,4))))</f>
        <v>4</v>
      </c>
      <c r="X1332" s="33" t="str">
        <f>IF(V1332="","",IF(V1332&lt;=Breakdowns!$D$5,1,IF(V1332&lt;=Breakdowns!$D$6,2,IF(V1332&lt;=Breakdowns!$D$7,3,4))))</f>
        <v/>
      </c>
      <c r="Y1332" s="34">
        <f>INDEX(Stores!$F$2:$F$21,MATCH(B1332,Stores!$A$2:$A$21,0))</f>
        <v>4.59</v>
      </c>
      <c r="Z1332" s="33">
        <f>IF(Y1332&gt;Store_Summary!$M$2,1,0)</f>
        <v>0</v>
      </c>
      <c r="AA1332" s="33">
        <f>INDEX(Stores!$C$2:$C$21,MATCH(B1332,Stores!$A$2:$A$21,0))</f>
        <v>362</v>
      </c>
      <c r="AB1332" s="33">
        <f>IF(AA1332&lt;180,1,0)</f>
        <v>0</v>
      </c>
      <c r="AC1332" s="32" t="str">
        <f>IF(Orders!D1329="","",INDEX(Riders!$C$2:$C$81,MATCH(Orders!D1329,Riders!$A$2:$A$81,0)))</f>
        <v>Petrol scooter</v>
      </c>
      <c r="AD1332" s="33">
        <f>IF(Orders!D1329="","",INDEX(Riders!$D$2:$D$81,MATCH(Orders!D1329,Riders!$A$2:$A$81,0)))</f>
        <v>29</v>
      </c>
      <c r="AE1332" s="33">
        <f>IF(Orders!D1329="","",IF(INDEX(Riders!$B$2:$B$81,MATCH(Orders!D1329,Riders!$A$2:$A$81,0))=B1332,1,0))</f>
        <v>1</v>
      </c>
      <c r="AF1332" s="34">
        <f>IF(E1332=1,Orders!L1329,"")</f>
        <v>0.9</v>
      </c>
      <c r="AG1332" s="34">
        <f>IF(E1332=1,Orders!P1329,"")</f>
        <v>10.4</v>
      </c>
      <c r="AH1332" s="34">
        <f>IF(E1332=1,Orders!Q1329,"")</f>
        <v>9.7</v>
      </c>
      <c r="AI1332" s="34">
        <f>IF(E1332=1,Orders!M1329,"")</f>
        <v>4.7</v>
      </c>
      <c r="AJ1332" s="34">
        <f>IF(E1332=1,Orders!N1329,"")</f>
        <v>2</v>
      </c>
      <c r="AK1332" s="34">
        <f>IF(E1332=1,Orders!O1329,"")</f>
        <v>3</v>
      </c>
      <c r="AL1332" s="33">
        <f>IF(E1332=1,IF(ROUND(ABS(AI1332+AJ1332+AK1332-AH1332),6)&lt;=0.1,1,0),"")</f>
        <v>1</v>
      </c>
      <c r="AM1332" s="36">
        <f>IF(E1332=1,AI1332/AH1332,"")</f>
        <v>0.484536082474227</v>
      </c>
      <c r="AN1332" s="36">
        <f>IF(E1332=1,AJ1332/AH1332,"")</f>
        <v>0.206185567010309</v>
      </c>
      <c r="AO1332" s="36">
        <f>IF(E1332=1,AK1332/AH1332,"")</f>
        <v>0.309278350515464</v>
      </c>
      <c r="AP1332" s="34">
        <f>IF(E1332=1,Orders!Y1329,"")</f>
        <v>0.56</v>
      </c>
      <c r="AQ1332" s="33">
        <f>IF(Orders!X1329,1,0)</f>
        <v>1</v>
      </c>
      <c r="AR1332" s="34">
        <f>IF(AND(E1332=1,L1332=1),AJ1332,"")</f>
        <v>2</v>
      </c>
      <c r="AS1332" s="34" t="str">
        <f>IF(AND(E1332=1,L1332=0),AJ1332,"")</f>
        <v/>
      </c>
      <c r="AT1332" s="34">
        <f>IF(AND(E1332=1,L1332=1),AI1332,"")</f>
        <v>4.7</v>
      </c>
      <c r="AU1332" s="34" t="str">
        <f>IF(AND(E1332=1,L1332=0),AI1332,"")</f>
        <v/>
      </c>
      <c r="AV1332" s="34">
        <f>IF(AND(E1332=1,L1332=1),AG1332,"")</f>
        <v>10.4</v>
      </c>
      <c r="AW1332" s="34" t="str">
        <f>IF(AND(E1332=1,L1332=0),AG1332,"")</f>
        <v/>
      </c>
      <c r="AX1332" s="34">
        <f>IF(AND(E1332=1,L1332=1),AH1332,"")</f>
        <v>9.7</v>
      </c>
      <c r="AY1332" s="34" t="str">
        <f>IF(AND(E1332=1,L1332=0),AH1332,"")</f>
        <v/>
      </c>
      <c r="AZ1332" s="34" t="str">
        <f>IF(G1332=1,F1332,"")</f>
        <v/>
      </c>
      <c r="BA1332" s="34" t="str">
        <f>IF(AND(G1332=1,L1332=1),F1332,"")</f>
        <v/>
      </c>
      <c r="BB1332" s="34" t="str">
        <f>IF(AND(G1332=1,L1332=0),F1332,"")</f>
        <v/>
      </c>
      <c r="BC1332" s="33">
        <f>IF(E1332=1,IF(Orders!R1329&gt;3,1,0),"")</f>
        <v>0</v>
      </c>
      <c r="BD1332" s="33">
        <f>IF(E1332=1,IF(Orders!R1329&gt;7,1,0),"")</f>
        <v>0</v>
      </c>
      <c r="BE1332" s="32" t="str">
        <f>IF(E1332=1,IF(Orders!L1329&lt;=1.5,"Up to 1.5 km",IF(Orders!L1329&lt;=3,"1.5–3 km","Over 3 km")),"")</f>
        <v>Up to 1.5 km</v>
      </c>
      <c r="BF1332" s="33">
        <f>IF(E1332=1,IF(ABS((Orders!G1329-Orders!F1329)*1440-Orders!R1329)&lt;0.06,1,0),"")</f>
        <v>1</v>
      </c>
      <c r="BG1332" s="33">
        <f>IF(ABS((Orders!F1329-Orders!E1329)*1440-Orders!P1329)&lt;0.06,1,0)</f>
        <v>1</v>
      </c>
      <c r="BH1332" s="33">
        <f>IF(E1332=1,IF(IF(Orders!S1329,1,0)=1-G1332,1,0),"")</f>
        <v>1</v>
      </c>
      <c r="BI1332" s="32" t="str">
        <f>INDEX(Stores!$B$2:$B$21,MATCH(B1332,Stores!$A$2:$A$21,0))</f>
        <v>Bengaluru</v>
      </c>
    </row>
    <row r="1333">
      <c r="A1333" s="32" t="str">
        <f>Orders!A1330</f>
        <v>O01329</v>
      </c>
      <c r="B1333" s="32" t="str">
        <f>Orders!C1330</f>
        <v>S009</v>
      </c>
      <c r="C1333" s="32" t="str">
        <f>Orders!B1330</f>
        <v>C0023</v>
      </c>
      <c r="D1333" s="32" t="str">
        <f>Orders!H1330</f>
        <v>Delivered</v>
      </c>
      <c r="E1333" s="33">
        <f>IF(Orders!H1330="Delivered",1,0)</f>
        <v>1</v>
      </c>
      <c r="F1333" s="34">
        <f>IF(E1333=1,Orders!R1330,"")</f>
        <v>-0.4</v>
      </c>
      <c r="G1333" s="33">
        <f>IF(E1333=1,IF(Orders!R1330&gt;0,1,0),"")</f>
        <v>0</v>
      </c>
      <c r="H1333" s="33">
        <f>IF(E1333=1,IF(Orders!R1330&gt;5,1,0),"")</f>
        <v>0</v>
      </c>
      <c r="I1333" s="32" t="str">
        <f>IF(E1333=1,"",IF(OR(Orders!T1330="Rider unavailable",Orders!T1330="Item unavailable"),"Company-caused","Unresolved"))</f>
        <v/>
      </c>
      <c r="J1333" s="33">
        <f>IF(OR(E1333=1,I1333="Company-caused"),1,0)</f>
        <v>1</v>
      </c>
      <c r="K1333" s="32" t="str">
        <f>IF(E1333=0,IF(I1333="Company-caused",IF(Orders!T1330="Rider unavailable","C1 Rider unavailable","C2 Item unavailable"),"Outside root: unresolved"),IF(G1333=0,"A On time",IF(H1333=1,IF(L1333=1,"B2a Severe, peak","B2b Severe, off-peak"),IF(L1333=1,"B1a Slight, peak","B1b Slight, off-peak"))))</f>
        <v>A On time</v>
      </c>
      <c r="L1333" s="33">
        <f>IF(AND(Orders!U1330&gt;=19,Orders!U1330&lt;22),1,0)</f>
        <v>0</v>
      </c>
      <c r="M1333" s="33">
        <f>IF(L1333=IF(Orders!V1330,1,0),1,0)</f>
        <v>1</v>
      </c>
      <c r="N1333" s="32" t="str">
        <f>IF(Orders!W1330="","None",Orders!W1330)</f>
        <v>None</v>
      </c>
      <c r="O1333" s="35">
        <f>INT(Orders!E1330)</f>
        <v>46266.0</v>
      </c>
      <c r="P1333" s="33">
        <f>Orders!U1330</f>
        <v>18</v>
      </c>
      <c r="Q1333" s="33">
        <f>COUNTIFS(Demand!$A$2:$A$4481,B1333,Demand!$B$2:$B$4481,O1333,Demand!$C$2:$C$4481,P1333)</f>
        <v>1</v>
      </c>
      <c r="R1333" s="33">
        <f>IF(Q1333=1,SUMIFS(Demand!$E$2:$E$4481,Demand!$A$2:$A$4481,B1333,Demand!$B$2:$B$4481,O1333,Demand!$C$2:$C$4481,P1333),"")</f>
        <v>28</v>
      </c>
      <c r="S1333" s="33">
        <f>INDEX(Stores!$G$2:$G$21,MATCH(B1333,Stores!$A$2:$A$21,0))</f>
        <v>29</v>
      </c>
      <c r="T1333" s="34">
        <f>IF(R1333="","",R1333/S1333)</f>
        <v>0.96551724137931</v>
      </c>
      <c r="U1333" s="34">
        <f>IF(E1333=1,T1333,"")</f>
        <v>0.96551724137931</v>
      </c>
      <c r="V1333" s="34">
        <f>IF(AND(E1333=1,L1333=0),T1333,"")</f>
        <v>0.96551724137931</v>
      </c>
      <c r="W1333" s="33">
        <f>IF(U1333="","",IF(U1333&lt;=Breakdowns!$C$5,1,IF(U1333&lt;=Breakdowns!$C$6,2,IF(U1333&lt;=Breakdowns!$C$7,3,4))))</f>
        <v>2</v>
      </c>
      <c r="X1333" s="33">
        <f>IF(V1333="","",IF(V1333&lt;=Breakdowns!$D$5,1,IF(V1333&lt;=Breakdowns!$D$6,2,IF(V1333&lt;=Breakdowns!$D$7,3,4))))</f>
        <v>3</v>
      </c>
      <c r="Y1333" s="34">
        <f>INDEX(Stores!$F$2:$F$21,MATCH(B1333,Stores!$A$2:$A$21,0))</f>
        <v>2.66</v>
      </c>
      <c r="Z1333" s="33">
        <f>IF(Y1333&gt;Store_Summary!$M$2,1,0)</f>
        <v>0</v>
      </c>
      <c r="AA1333" s="33">
        <f>INDEX(Stores!$C$2:$C$21,MATCH(B1333,Stores!$A$2:$A$21,0))</f>
        <v>645</v>
      </c>
      <c r="AB1333" s="33">
        <f>IF(AA1333&lt;180,1,0)</f>
        <v>0</v>
      </c>
      <c r="AC1333" s="32" t="str">
        <f>IF(Orders!D1330="","",INDEX(Riders!$C$2:$C$81,MATCH(Orders!D1330,Riders!$A$2:$A$81,0)))</f>
        <v>Petrol scooter</v>
      </c>
      <c r="AD1333" s="33">
        <f>IF(Orders!D1330="","",INDEX(Riders!$D$2:$D$81,MATCH(Orders!D1330,Riders!$A$2:$A$81,0)))</f>
        <v>24</v>
      </c>
      <c r="AE1333" s="33">
        <f>IF(Orders!D1330="","",IF(INDEX(Riders!$B$2:$B$81,MATCH(Orders!D1330,Riders!$A$2:$A$81,0))=B1333,1,0))</f>
        <v>0</v>
      </c>
      <c r="AF1333" s="34">
        <f>IF(E1333=1,Orders!L1330,"")</f>
        <v>1.74</v>
      </c>
      <c r="AG1333" s="34">
        <f>IF(E1333=1,Orders!P1330,"")</f>
        <v>10.3</v>
      </c>
      <c r="AH1333" s="34">
        <f>IF(E1333=1,Orders!Q1330,"")</f>
        <v>9.9</v>
      </c>
      <c r="AI1333" s="34">
        <f>IF(E1333=1,Orders!M1330,"")</f>
        <v>2.3</v>
      </c>
      <c r="AJ1333" s="34">
        <f>IF(E1333=1,Orders!N1330,"")</f>
        <v>3.6</v>
      </c>
      <c r="AK1333" s="34">
        <f>IF(E1333=1,Orders!O1330,"")</f>
        <v>4</v>
      </c>
      <c r="AL1333" s="33">
        <f>IF(E1333=1,IF(ROUND(ABS(AI1333+AJ1333+AK1333-AH1333),6)&lt;=0.1,1,0),"")</f>
        <v>1</v>
      </c>
      <c r="AM1333" s="36">
        <f>IF(E1333=1,AI1333/AH1333,"")</f>
        <v>0.232323232323232</v>
      </c>
      <c r="AN1333" s="36">
        <f>IF(E1333=1,AJ1333/AH1333,"")</f>
        <v>0.363636363636364</v>
      </c>
      <c r="AO1333" s="36">
        <f>IF(E1333=1,AK1333/AH1333,"")</f>
        <v>0.404040404040404</v>
      </c>
      <c r="AP1333" s="34">
        <f>IF(E1333=1,Orders!Y1330,"")</f>
        <v>0.43</v>
      </c>
      <c r="AQ1333" s="33">
        <f>IF(Orders!X1330,1,0)</f>
        <v>0</v>
      </c>
      <c r="AR1333" s="34" t="str">
        <f>IF(AND(E1333=1,L1333=1),AJ1333,"")</f>
        <v/>
      </c>
      <c r="AS1333" s="34">
        <f>IF(AND(E1333=1,L1333=0),AJ1333,"")</f>
        <v>3.6</v>
      </c>
      <c r="AT1333" s="34" t="str">
        <f>IF(AND(E1333=1,L1333=1),AI1333,"")</f>
        <v/>
      </c>
      <c r="AU1333" s="34">
        <f>IF(AND(E1333=1,L1333=0),AI1333,"")</f>
        <v>2.3</v>
      </c>
      <c r="AV1333" s="34" t="str">
        <f>IF(AND(E1333=1,L1333=1),AG1333,"")</f>
        <v/>
      </c>
      <c r="AW1333" s="34">
        <f>IF(AND(E1333=1,L1333=0),AG1333,"")</f>
        <v>10.3</v>
      </c>
      <c r="AX1333" s="34" t="str">
        <f>IF(AND(E1333=1,L1333=1),AH1333,"")</f>
        <v/>
      </c>
      <c r="AY1333" s="34">
        <f>IF(AND(E1333=1,L1333=0),AH1333,"")</f>
        <v>9.9</v>
      </c>
      <c r="AZ1333" s="34" t="str">
        <f>IF(G1333=1,F1333,"")</f>
        <v/>
      </c>
      <c r="BA1333" s="34" t="str">
        <f>IF(AND(G1333=1,L1333=1),F1333,"")</f>
        <v/>
      </c>
      <c r="BB1333" s="34" t="str">
        <f>IF(AND(G1333=1,L1333=0),F1333,"")</f>
        <v/>
      </c>
      <c r="BC1333" s="33">
        <f>IF(E1333=1,IF(Orders!R1330&gt;3,1,0),"")</f>
        <v>0</v>
      </c>
      <c r="BD1333" s="33">
        <f>IF(E1333=1,IF(Orders!R1330&gt;7,1,0),"")</f>
        <v>0</v>
      </c>
      <c r="BE1333" s="32" t="str">
        <f>IF(E1333=1,IF(Orders!L1330&lt;=1.5,"Up to 1.5 km",IF(Orders!L1330&lt;=3,"1.5–3 km","Over 3 km")),"")</f>
        <v>1.5–3 km</v>
      </c>
      <c r="BF1333" s="33">
        <f>IF(E1333=1,IF(ABS((Orders!G1330-Orders!F1330)*1440-Orders!R1330)&lt;0.06,1,0),"")</f>
        <v>1</v>
      </c>
      <c r="BG1333" s="33">
        <f>IF(ABS((Orders!F1330-Orders!E1330)*1440-Orders!P1330)&lt;0.06,1,0)</f>
        <v>1</v>
      </c>
      <c r="BH1333" s="33">
        <f>IF(E1333=1,IF(IF(Orders!S1330,1,0)=1-G1333,1,0),"")</f>
        <v>1</v>
      </c>
      <c r="BI1333" s="32" t="str">
        <f>INDEX(Stores!$B$2:$B$21,MATCH(B1333,Stores!$A$2:$A$21,0))</f>
        <v>Pune</v>
      </c>
    </row>
    <row r="1334">
      <c r="A1334" s="32" t="str">
        <f>Orders!A1331</f>
        <v>O01330</v>
      </c>
      <c r="B1334" s="32" t="str">
        <f>Orders!C1331</f>
        <v>S020</v>
      </c>
      <c r="C1334" s="32" t="str">
        <f>Orders!B1331</f>
        <v>C0127</v>
      </c>
      <c r="D1334" s="32" t="str">
        <f>Orders!H1331</f>
        <v>Cancelled</v>
      </c>
      <c r="E1334" s="33">
        <f>IF(Orders!H1331="Delivered",1,0)</f>
        <v>0</v>
      </c>
      <c r="F1334" s="34" t="str">
        <f>IF(E1334=1,Orders!R1331,"")</f>
        <v/>
      </c>
      <c r="G1334" s="33" t="str">
        <f>IF(E1334=1,IF(Orders!R1331&gt;0,1,0),"")</f>
        <v/>
      </c>
      <c r="H1334" s="33" t="str">
        <f>IF(E1334=1,IF(Orders!R1331&gt;5,1,0),"")</f>
        <v/>
      </c>
      <c r="I1334" s="32" t="str">
        <f>IF(E1334=1,"",IF(OR(Orders!T1331="Rider unavailable",Orders!T1331="Item unavailable"),"Company-caused","Unresolved"))</f>
        <v>Unresolved</v>
      </c>
      <c r="J1334" s="33">
        <f>IF(OR(E1334=1,I1334="Company-caused"),1,0)</f>
        <v>0</v>
      </c>
      <c r="K1334" s="32" t="str">
        <f>IF(E1334=0,IF(I1334="Company-caused",IF(Orders!T1331="Rider unavailable","C1 Rider unavailable","C2 Item unavailable"),"Outside root: unresolved"),IF(G1334=0,"A On time",IF(H1334=1,IF(L1334=1,"B2a Severe, peak","B2b Severe, off-peak"),IF(L1334=1,"B1a Slight, peak","B1b Slight, off-peak"))))</f>
        <v>Outside root: unresolved</v>
      </c>
      <c r="L1334" s="33">
        <f>IF(AND(Orders!U1331&gt;=19,Orders!U1331&lt;22),1,0)</f>
        <v>0</v>
      </c>
      <c r="M1334" s="33">
        <f>IF(L1334=IF(Orders!V1331,1,0),1,0)</f>
        <v>1</v>
      </c>
      <c r="N1334" s="32" t="str">
        <f>IF(Orders!W1331="","None",Orders!W1331)</f>
        <v>None</v>
      </c>
      <c r="O1334" s="35">
        <f>INT(Orders!E1331)</f>
        <v>46271.0</v>
      </c>
      <c r="P1334" s="33">
        <f>Orders!U1331</f>
        <v>22</v>
      </c>
      <c r="Q1334" s="33">
        <f>COUNTIFS(Demand!$A$2:$A$4481,B1334,Demand!$B$2:$B$4481,O1334,Demand!$C$2:$C$4481,P1334)</f>
        <v>1</v>
      </c>
      <c r="R1334" s="33">
        <f>IF(Q1334=1,SUMIFS(Demand!$E$2:$E$4481,Demand!$A$2:$A$4481,B1334,Demand!$B$2:$B$4481,O1334,Demand!$C$2:$C$4481,P1334),"")</f>
        <v>12</v>
      </c>
      <c r="S1334" s="33">
        <f>INDEX(Stores!$G$2:$G$21,MATCH(B1334,Stores!$A$2:$A$21,0))</f>
        <v>15</v>
      </c>
      <c r="T1334" s="34">
        <f>IF(R1334="","",R1334/S1334)</f>
        <v>0.8</v>
      </c>
      <c r="U1334" s="34" t="str">
        <f>IF(E1334=1,T1334,"")</f>
        <v/>
      </c>
      <c r="V1334" s="34" t="str">
        <f>IF(AND(E1334=1,L1334=0),T1334,"")</f>
        <v/>
      </c>
      <c r="W1334" s="33" t="str">
        <f>IF(U1334="","",IF(U1334&lt;=Breakdowns!$C$5,1,IF(U1334&lt;=Breakdowns!$C$6,2,IF(U1334&lt;=Breakdowns!$C$7,3,4))))</f>
        <v/>
      </c>
      <c r="X1334" s="33" t="str">
        <f>IF(V1334="","",IF(V1334&lt;=Breakdowns!$D$5,1,IF(V1334&lt;=Breakdowns!$D$6,2,IF(V1334&lt;=Breakdowns!$D$7,3,4))))</f>
        <v/>
      </c>
      <c r="Y1334" s="34">
        <f>INDEX(Stores!$F$2:$F$21,MATCH(B1334,Stores!$A$2:$A$21,0))</f>
        <v>5.74</v>
      </c>
      <c r="Z1334" s="33">
        <f>IF(Y1334&gt;Store_Summary!$M$2,1,0)</f>
        <v>1</v>
      </c>
      <c r="AA1334" s="33">
        <f>INDEX(Stores!$C$2:$C$21,MATCH(B1334,Stores!$A$2:$A$21,0))</f>
        <v>647</v>
      </c>
      <c r="AB1334" s="33">
        <f>IF(AA1334&lt;180,1,0)</f>
        <v>0</v>
      </c>
      <c r="AC1334" s="32" t="str">
        <f>IF(Orders!D1331="","",INDEX(Riders!$C$2:$C$81,MATCH(Orders!D1331,Riders!$A$2:$A$81,0)))</f>
        <v/>
      </c>
      <c r="AD1334" s="33" t="str">
        <f>IF(Orders!D1331="","",INDEX(Riders!$D$2:$D$81,MATCH(Orders!D1331,Riders!$A$2:$A$81,0)))</f>
        <v/>
      </c>
      <c r="AE1334" s="33" t="str">
        <f>IF(Orders!D1331="","",IF(INDEX(Riders!$B$2:$B$81,MATCH(Orders!D1331,Riders!$A$2:$A$81,0))=B1334,1,0))</f>
        <v/>
      </c>
      <c r="AF1334" s="34" t="str">
        <f>IF(E1334=1,Orders!L1331,"")</f>
        <v/>
      </c>
      <c r="AG1334" s="34" t="str">
        <f>IF(E1334=1,Orders!P1331,"")</f>
        <v/>
      </c>
      <c r="AH1334" s="34" t="str">
        <f>IF(E1334=1,Orders!Q1331,"")</f>
        <v/>
      </c>
      <c r="AI1334" s="34" t="str">
        <f>IF(E1334=1,Orders!M1331,"")</f>
        <v/>
      </c>
      <c r="AJ1334" s="34" t="str">
        <f>IF(E1334=1,Orders!N1331,"")</f>
        <v/>
      </c>
      <c r="AK1334" s="34" t="str">
        <f>IF(E1334=1,Orders!O1331,"")</f>
        <v/>
      </c>
      <c r="AL1334" s="33" t="str">
        <f>IF(E1334=1,IF(ROUND(ABS(AI1334+AJ1334+AK1334-AH1334),6)&lt;=0.1,1,0),"")</f>
        <v/>
      </c>
      <c r="AM1334" s="36" t="str">
        <f>IF(E1334=1,AI1334/AH1334,"")</f>
        <v/>
      </c>
      <c r="AN1334" s="36" t="str">
        <f>IF(E1334=1,AJ1334/AH1334,"")</f>
        <v/>
      </c>
      <c r="AO1334" s="36" t="str">
        <f>IF(E1334=1,AK1334/AH1334,"")</f>
        <v/>
      </c>
      <c r="AP1334" s="34" t="str">
        <f>IF(E1334=1,Orders!Y1331,"")</f>
        <v/>
      </c>
      <c r="AQ1334" s="33">
        <f>IF(Orders!X1331,1,0)</f>
        <v>0</v>
      </c>
      <c r="AR1334" s="34" t="str">
        <f>IF(AND(E1334=1,L1334=1),AJ1334,"")</f>
        <v/>
      </c>
      <c r="AS1334" s="34" t="str">
        <f>IF(AND(E1334=1,L1334=0),AJ1334,"")</f>
        <v/>
      </c>
      <c r="AT1334" s="34" t="str">
        <f>IF(AND(E1334=1,L1334=1),AI1334,"")</f>
        <v/>
      </c>
      <c r="AU1334" s="34" t="str">
        <f>IF(AND(E1334=1,L1334=0),AI1334,"")</f>
        <v/>
      </c>
      <c r="AV1334" s="34" t="str">
        <f>IF(AND(E1334=1,L1334=1),AG1334,"")</f>
        <v/>
      </c>
      <c r="AW1334" s="34" t="str">
        <f>IF(AND(E1334=1,L1334=0),AG1334,"")</f>
        <v/>
      </c>
      <c r="AX1334" s="34" t="str">
        <f>IF(AND(E1334=1,L1334=1),AH1334,"")</f>
        <v/>
      </c>
      <c r="AY1334" s="34" t="str">
        <f>IF(AND(E1334=1,L1334=0),AH1334,"")</f>
        <v/>
      </c>
      <c r="AZ1334" s="34" t="str">
        <f>IF(G1334=1,F1334,"")</f>
        <v/>
      </c>
      <c r="BA1334" s="34" t="str">
        <f>IF(AND(G1334=1,L1334=1),F1334,"")</f>
        <v/>
      </c>
      <c r="BB1334" s="34" t="str">
        <f>IF(AND(G1334=1,L1334=0),F1334,"")</f>
        <v/>
      </c>
      <c r="BC1334" s="33" t="str">
        <f>IF(E1334=1,IF(Orders!R1331&gt;3,1,0),"")</f>
        <v/>
      </c>
      <c r="BD1334" s="33" t="str">
        <f>IF(E1334=1,IF(Orders!R1331&gt;7,1,0),"")</f>
        <v/>
      </c>
      <c r="BE1334" s="32" t="str">
        <f>IF(E1334=1,IF(Orders!L1331&lt;=1.5,"Up to 1.5 km",IF(Orders!L1331&lt;=3,"1.5–3 km","Over 3 km")),"")</f>
        <v/>
      </c>
      <c r="BF1334" s="33" t="str">
        <f>IF(E1334=1,IF(ABS((Orders!G1331-Orders!F1331)*1440-Orders!R1331)&lt;0.06,1,0),"")</f>
        <v/>
      </c>
      <c r="BG1334" s="33">
        <f>IF(ABS((Orders!F1331-Orders!E1331)*1440-Orders!P1331)&lt;0.06,1,0)</f>
        <v>1</v>
      </c>
      <c r="BH1334" s="33" t="str">
        <f>IF(E1334=1,IF(IF(Orders!S1331,1,0)=1-G1334,1,0),"")</f>
        <v/>
      </c>
      <c r="BI1334" s="32" t="str">
        <f>INDEX(Stores!$B$2:$B$21,MATCH(B1334,Stores!$A$2:$A$21,0))</f>
        <v>Delhi</v>
      </c>
    </row>
    <row r="1335">
      <c r="A1335" s="32" t="str">
        <f>Orders!A1332</f>
        <v>O01331</v>
      </c>
      <c r="B1335" s="32" t="str">
        <f>Orders!C1332</f>
        <v>S018</v>
      </c>
      <c r="C1335" s="32" t="str">
        <f>Orders!B1332</f>
        <v>C0014</v>
      </c>
      <c r="D1335" s="32" t="str">
        <f>Orders!H1332</f>
        <v>Delivered</v>
      </c>
      <c r="E1335" s="33">
        <f>IF(Orders!H1332="Delivered",1,0)</f>
        <v>1</v>
      </c>
      <c r="F1335" s="34">
        <f>IF(E1335=1,Orders!R1332,"")</f>
        <v>5</v>
      </c>
      <c r="G1335" s="33">
        <f>IF(E1335=1,IF(Orders!R1332&gt;0,1,0),"")</f>
        <v>1</v>
      </c>
      <c r="H1335" s="33">
        <f>IF(E1335=1,IF(Orders!R1332&gt;5,1,0),"")</f>
        <v>0</v>
      </c>
      <c r="I1335" s="32" t="str">
        <f>IF(E1335=1,"",IF(OR(Orders!T1332="Rider unavailable",Orders!T1332="Item unavailable"),"Company-caused","Unresolved"))</f>
        <v/>
      </c>
      <c r="J1335" s="33">
        <f>IF(OR(E1335=1,I1335="Company-caused"),1,0)</f>
        <v>1</v>
      </c>
      <c r="K1335" s="32" t="str">
        <f>IF(E1335=0,IF(I1335="Company-caused",IF(Orders!T1332="Rider unavailable","C1 Rider unavailable","C2 Item unavailable"),"Outside root: unresolved"),IF(G1335=0,"A On time",IF(H1335=1,IF(L1335=1,"B2a Severe, peak","B2b Severe, off-peak"),IF(L1335=1,"B1a Slight, peak","B1b Slight, off-peak"))))</f>
        <v>B1a Slight, peak</v>
      </c>
      <c r="L1335" s="33">
        <f>IF(AND(Orders!U1332&gt;=19,Orders!U1332&lt;22),1,0)</f>
        <v>1</v>
      </c>
      <c r="M1335" s="33">
        <f>IF(L1335=IF(Orders!V1332,1,0),1,0)</f>
        <v>1</v>
      </c>
      <c r="N1335" s="32" t="str">
        <f>IF(Orders!W1332="","None",Orders!W1332)</f>
        <v>None</v>
      </c>
      <c r="O1335" s="35">
        <f>INT(Orders!E1332)</f>
        <v>46278.0</v>
      </c>
      <c r="P1335" s="33">
        <f>Orders!U1332</f>
        <v>21</v>
      </c>
      <c r="Q1335" s="33">
        <f>COUNTIFS(Demand!$A$2:$A$4481,B1335,Demand!$B$2:$B$4481,O1335,Demand!$C$2:$C$4481,P1335)</f>
        <v>1</v>
      </c>
      <c r="R1335" s="33">
        <f>IF(Q1335=1,SUMIFS(Demand!$E$2:$E$4481,Demand!$A$2:$A$4481,B1335,Demand!$B$2:$B$4481,O1335,Demand!$C$2:$C$4481,P1335),"")</f>
        <v>30</v>
      </c>
      <c r="S1335" s="33">
        <f>INDEX(Stores!$G$2:$G$21,MATCH(B1335,Stores!$A$2:$A$21,0))</f>
        <v>20</v>
      </c>
      <c r="T1335" s="34">
        <f>IF(R1335="","",R1335/S1335)</f>
        <v>1.5</v>
      </c>
      <c r="U1335" s="34">
        <f>IF(E1335=1,T1335,"")</f>
        <v>1.5</v>
      </c>
      <c r="V1335" s="34" t="str">
        <f>IF(AND(E1335=1,L1335=0),T1335,"")</f>
        <v/>
      </c>
      <c r="W1335" s="33">
        <f>IF(U1335="","",IF(U1335&lt;=Breakdowns!$C$5,1,IF(U1335&lt;=Breakdowns!$C$6,2,IF(U1335&lt;=Breakdowns!$C$7,3,4))))</f>
        <v>4</v>
      </c>
      <c r="X1335" s="33" t="str">
        <f>IF(V1335="","",IF(V1335&lt;=Breakdowns!$D$5,1,IF(V1335&lt;=Breakdowns!$D$6,2,IF(V1335&lt;=Breakdowns!$D$7,3,4))))</f>
        <v/>
      </c>
      <c r="Y1335" s="34">
        <f>INDEX(Stores!$F$2:$F$21,MATCH(B1335,Stores!$A$2:$A$21,0))</f>
        <v>5.31</v>
      </c>
      <c r="Z1335" s="33">
        <f>IF(Y1335&gt;Store_Summary!$M$2,1,0)</f>
        <v>1</v>
      </c>
      <c r="AA1335" s="33">
        <f>INDEX(Stores!$C$2:$C$21,MATCH(B1335,Stores!$A$2:$A$21,0))</f>
        <v>214</v>
      </c>
      <c r="AB1335" s="33">
        <f>IF(AA1335&lt;180,1,0)</f>
        <v>0</v>
      </c>
      <c r="AC1335" s="32" t="str">
        <f>IF(Orders!D1332="","",INDEX(Riders!$C$2:$C$81,MATCH(Orders!D1332,Riders!$A$2:$A$81,0)))</f>
        <v>EV scooter</v>
      </c>
      <c r="AD1335" s="33">
        <f>IF(Orders!D1332="","",INDEX(Riders!$D$2:$D$81,MATCH(Orders!D1332,Riders!$A$2:$A$81,0)))</f>
        <v>45</v>
      </c>
      <c r="AE1335" s="33">
        <f>IF(Orders!D1332="","",IF(INDEX(Riders!$B$2:$B$81,MATCH(Orders!D1332,Riders!$A$2:$A$81,0))=B1335,1,0))</f>
        <v>0</v>
      </c>
      <c r="AF1335" s="34">
        <f>IF(E1335=1,Orders!L1332,"")</f>
        <v>0.81</v>
      </c>
      <c r="AG1335" s="34">
        <f>IF(E1335=1,Orders!P1332,"")</f>
        <v>11.5</v>
      </c>
      <c r="AH1335" s="34">
        <f>IF(E1335=1,Orders!Q1332,"")</f>
        <v>16.5</v>
      </c>
      <c r="AI1335" s="34">
        <f>IF(E1335=1,Orders!M1332,"")</f>
        <v>4.9</v>
      </c>
      <c r="AJ1335" s="34">
        <f>IF(E1335=1,Orders!N1332,"")</f>
        <v>7.9</v>
      </c>
      <c r="AK1335" s="34">
        <f>IF(E1335=1,Orders!O1332,"")</f>
        <v>3.6</v>
      </c>
      <c r="AL1335" s="33">
        <f>IF(E1335=1,IF(ROUND(ABS(AI1335+AJ1335+AK1335-AH1335),6)&lt;=0.1,1,0),"")</f>
        <v>1</v>
      </c>
      <c r="AM1335" s="36">
        <f>IF(E1335=1,AI1335/AH1335,"")</f>
        <v>0.296969696969697</v>
      </c>
      <c r="AN1335" s="36">
        <f>IF(E1335=1,AJ1335/AH1335,"")</f>
        <v>0.478787878787879</v>
      </c>
      <c r="AO1335" s="36">
        <f>IF(E1335=1,AK1335/AH1335,"")</f>
        <v>0.218181818181818</v>
      </c>
      <c r="AP1335" s="34">
        <f>IF(E1335=1,Orders!Y1332,"")</f>
        <v>0.66</v>
      </c>
      <c r="AQ1335" s="33">
        <f>IF(Orders!X1332,1,0)</f>
        <v>0</v>
      </c>
      <c r="AR1335" s="34">
        <f>IF(AND(E1335=1,L1335=1),AJ1335,"")</f>
        <v>7.9</v>
      </c>
      <c r="AS1335" s="34" t="str">
        <f>IF(AND(E1335=1,L1335=0),AJ1335,"")</f>
        <v/>
      </c>
      <c r="AT1335" s="34">
        <f>IF(AND(E1335=1,L1335=1),AI1335,"")</f>
        <v>4.9</v>
      </c>
      <c r="AU1335" s="34" t="str">
        <f>IF(AND(E1335=1,L1335=0),AI1335,"")</f>
        <v/>
      </c>
      <c r="AV1335" s="34">
        <f>IF(AND(E1335=1,L1335=1),AG1335,"")</f>
        <v>11.5</v>
      </c>
      <c r="AW1335" s="34" t="str">
        <f>IF(AND(E1335=1,L1335=0),AG1335,"")</f>
        <v/>
      </c>
      <c r="AX1335" s="34">
        <f>IF(AND(E1335=1,L1335=1),AH1335,"")</f>
        <v>16.5</v>
      </c>
      <c r="AY1335" s="34" t="str">
        <f>IF(AND(E1335=1,L1335=0),AH1335,"")</f>
        <v/>
      </c>
      <c r="AZ1335" s="34">
        <f>IF(G1335=1,F1335,"")</f>
        <v>5</v>
      </c>
      <c r="BA1335" s="34">
        <f>IF(AND(G1335=1,L1335=1),F1335,"")</f>
        <v>5</v>
      </c>
      <c r="BB1335" s="34" t="str">
        <f>IF(AND(G1335=1,L1335=0),F1335,"")</f>
        <v/>
      </c>
      <c r="BC1335" s="33">
        <f>IF(E1335=1,IF(Orders!R1332&gt;3,1,0),"")</f>
        <v>1</v>
      </c>
      <c r="BD1335" s="33">
        <f>IF(E1335=1,IF(Orders!R1332&gt;7,1,0),"")</f>
        <v>0</v>
      </c>
      <c r="BE1335" s="32" t="str">
        <f>IF(E1335=1,IF(Orders!L1332&lt;=1.5,"Up to 1.5 km",IF(Orders!L1332&lt;=3,"1.5–3 km","Over 3 km")),"")</f>
        <v>Up to 1.5 km</v>
      </c>
      <c r="BF1335" s="33">
        <f>IF(E1335=1,IF(ABS((Orders!G1332-Orders!F1332)*1440-Orders!R1332)&lt;0.06,1,0),"")</f>
        <v>1</v>
      </c>
      <c r="BG1335" s="33">
        <f>IF(ABS((Orders!F1332-Orders!E1332)*1440-Orders!P1332)&lt;0.06,1,0)</f>
        <v>1</v>
      </c>
      <c r="BH1335" s="33">
        <f>IF(E1335=1,IF(IF(Orders!S1332,1,0)=1-G1335,1,0),"")</f>
        <v>1</v>
      </c>
      <c r="BI1335" s="32" t="str">
        <f>INDEX(Stores!$B$2:$B$21,MATCH(B1335,Stores!$A$2:$A$21,0))</f>
        <v>Mumbai</v>
      </c>
    </row>
    <row r="1336">
      <c r="A1336" s="32" t="str">
        <f>Orders!A1333</f>
        <v>O01332</v>
      </c>
      <c r="B1336" s="32" t="str">
        <f>Orders!C1333</f>
        <v>S011</v>
      </c>
      <c r="C1336" s="32" t="str">
        <f>Orders!B1333</f>
        <v>C0033</v>
      </c>
      <c r="D1336" s="32" t="str">
        <f>Orders!H1333</f>
        <v>Delivered</v>
      </c>
      <c r="E1336" s="33">
        <f>IF(Orders!H1333="Delivered",1,0)</f>
        <v>1</v>
      </c>
      <c r="F1336" s="34">
        <f>IF(E1336=1,Orders!R1333,"")</f>
        <v>-1.2</v>
      </c>
      <c r="G1336" s="33">
        <f>IF(E1336=1,IF(Orders!R1333&gt;0,1,0),"")</f>
        <v>0</v>
      </c>
      <c r="H1336" s="33">
        <f>IF(E1336=1,IF(Orders!R1333&gt;5,1,0),"")</f>
        <v>0</v>
      </c>
      <c r="I1336" s="32" t="str">
        <f>IF(E1336=1,"",IF(OR(Orders!T1333="Rider unavailable",Orders!T1333="Item unavailable"),"Company-caused","Unresolved"))</f>
        <v/>
      </c>
      <c r="J1336" s="33">
        <f>IF(OR(E1336=1,I1336="Company-caused"),1,0)</f>
        <v>1</v>
      </c>
      <c r="K1336" s="32" t="str">
        <f>IF(E1336=0,IF(I1336="Company-caused",IF(Orders!T1333="Rider unavailable","C1 Rider unavailable","C2 Item unavailable"),"Outside root: unresolved"),IF(G1336=0,"A On time",IF(H1336=1,IF(L1336=1,"B2a Severe, peak","B2b Severe, off-peak"),IF(L1336=1,"B1a Slight, peak","B1b Slight, off-peak"))))</f>
        <v>A On time</v>
      </c>
      <c r="L1336" s="33">
        <f>IF(AND(Orders!U1333&gt;=19,Orders!U1333&lt;22),1,0)</f>
        <v>0</v>
      </c>
      <c r="M1336" s="33">
        <f>IF(L1336=IF(Orders!V1333,1,0),1,0)</f>
        <v>1</v>
      </c>
      <c r="N1336" s="32" t="str">
        <f>IF(Orders!W1333="","None",Orders!W1333)</f>
        <v>None</v>
      </c>
      <c r="O1336" s="35">
        <f>INT(Orders!E1333)</f>
        <v>46274.0</v>
      </c>
      <c r="P1336" s="33">
        <f>Orders!U1333</f>
        <v>23</v>
      </c>
      <c r="Q1336" s="33">
        <f>COUNTIFS(Demand!$A$2:$A$4481,B1336,Demand!$B$2:$B$4481,O1336,Demand!$C$2:$C$4481,P1336)</f>
        <v>1</v>
      </c>
      <c r="R1336" s="33">
        <f>IF(Q1336=1,SUMIFS(Demand!$E$2:$E$4481,Demand!$A$2:$A$4481,B1336,Demand!$B$2:$B$4481,O1336,Demand!$C$2:$C$4481,P1336),"")</f>
        <v>32</v>
      </c>
      <c r="S1336" s="33">
        <f>INDEX(Stores!$G$2:$G$21,MATCH(B1336,Stores!$A$2:$A$21,0))</f>
        <v>31</v>
      </c>
      <c r="T1336" s="34">
        <f>IF(R1336="","",R1336/S1336)</f>
        <v>1.03225806451613</v>
      </c>
      <c r="U1336" s="34">
        <f>IF(E1336=1,T1336,"")</f>
        <v>1.03225806451613</v>
      </c>
      <c r="V1336" s="34">
        <f>IF(AND(E1336=1,L1336=0),T1336,"")</f>
        <v>1.03225806451613</v>
      </c>
      <c r="W1336" s="33">
        <f>IF(U1336="","",IF(U1336&lt;=Breakdowns!$C$5,1,IF(U1336&lt;=Breakdowns!$C$6,2,IF(U1336&lt;=Breakdowns!$C$7,3,4))))</f>
        <v>3</v>
      </c>
      <c r="X1336" s="33">
        <f>IF(V1336="","",IF(V1336&lt;=Breakdowns!$D$5,1,IF(V1336&lt;=Breakdowns!$D$6,2,IF(V1336&lt;=Breakdowns!$D$7,3,4))))</f>
        <v>3</v>
      </c>
      <c r="Y1336" s="34">
        <f>INDEX(Stores!$F$2:$F$21,MATCH(B1336,Stores!$A$2:$A$21,0))</f>
        <v>5.67</v>
      </c>
      <c r="Z1336" s="33">
        <f>IF(Y1336&gt;Store_Summary!$M$2,1,0)</f>
        <v>1</v>
      </c>
      <c r="AA1336" s="33">
        <f>INDEX(Stores!$C$2:$C$21,MATCH(B1336,Stores!$A$2:$A$21,0))</f>
        <v>732</v>
      </c>
      <c r="AB1336" s="33">
        <f>IF(AA1336&lt;180,1,0)</f>
        <v>0</v>
      </c>
      <c r="AC1336" s="32" t="str">
        <f>IF(Orders!D1333="","",INDEX(Riders!$C$2:$C$81,MATCH(Orders!D1333,Riders!$A$2:$A$81,0)))</f>
        <v>EV scooter</v>
      </c>
      <c r="AD1336" s="33">
        <f>IF(Orders!D1333="","",INDEX(Riders!$D$2:$D$81,MATCH(Orders!D1333,Riders!$A$2:$A$81,0)))</f>
        <v>37</v>
      </c>
      <c r="AE1336" s="33">
        <f>IF(Orders!D1333="","",IF(INDEX(Riders!$B$2:$B$81,MATCH(Orders!D1333,Riders!$A$2:$A$81,0))=B1336,1,0))</f>
        <v>0</v>
      </c>
      <c r="AF1336" s="34">
        <f>IF(E1336=1,Orders!L1333,"")</f>
        <v>0.5</v>
      </c>
      <c r="AG1336" s="34">
        <f>IF(E1336=1,Orders!P1333,"")</f>
        <v>11.1</v>
      </c>
      <c r="AH1336" s="34">
        <f>IF(E1336=1,Orders!Q1333,"")</f>
        <v>9.9</v>
      </c>
      <c r="AI1336" s="34">
        <f>IF(E1336=1,Orders!M1333,"")</f>
        <v>7.4</v>
      </c>
      <c r="AJ1336" s="34">
        <f>IF(E1336=1,Orders!N1333,"")</f>
        <v>0.3</v>
      </c>
      <c r="AK1336" s="34">
        <f>IF(E1336=1,Orders!O1333,"")</f>
        <v>2.2</v>
      </c>
      <c r="AL1336" s="33">
        <f>IF(E1336=1,IF(ROUND(ABS(AI1336+AJ1336+AK1336-AH1336),6)&lt;=0.1,1,0),"")</f>
        <v>1</v>
      </c>
      <c r="AM1336" s="36">
        <f>IF(E1336=1,AI1336/AH1336,"")</f>
        <v>0.747474747474748</v>
      </c>
      <c r="AN1336" s="36">
        <f>IF(E1336=1,AJ1336/AH1336,"")</f>
        <v>0.0303030303030303</v>
      </c>
      <c r="AO1336" s="36">
        <f>IF(E1336=1,AK1336/AH1336,"")</f>
        <v>0.222222222222222</v>
      </c>
      <c r="AP1336" s="34">
        <f>IF(E1336=1,Orders!Y1333,"")</f>
        <v>0.32</v>
      </c>
      <c r="AQ1336" s="33">
        <f>IF(Orders!X1333,1,0)</f>
        <v>0</v>
      </c>
      <c r="AR1336" s="34" t="str">
        <f>IF(AND(E1336=1,L1336=1),AJ1336,"")</f>
        <v/>
      </c>
      <c r="AS1336" s="34">
        <f>IF(AND(E1336=1,L1336=0),AJ1336,"")</f>
        <v>0.3</v>
      </c>
      <c r="AT1336" s="34" t="str">
        <f>IF(AND(E1336=1,L1336=1),AI1336,"")</f>
        <v/>
      </c>
      <c r="AU1336" s="34">
        <f>IF(AND(E1336=1,L1336=0),AI1336,"")</f>
        <v>7.4</v>
      </c>
      <c r="AV1336" s="34" t="str">
        <f>IF(AND(E1336=1,L1336=1),AG1336,"")</f>
        <v/>
      </c>
      <c r="AW1336" s="34">
        <f>IF(AND(E1336=1,L1336=0),AG1336,"")</f>
        <v>11.1</v>
      </c>
      <c r="AX1336" s="34" t="str">
        <f>IF(AND(E1336=1,L1336=1),AH1336,"")</f>
        <v/>
      </c>
      <c r="AY1336" s="34">
        <f>IF(AND(E1336=1,L1336=0),AH1336,"")</f>
        <v>9.9</v>
      </c>
      <c r="AZ1336" s="34" t="str">
        <f>IF(G1336=1,F1336,"")</f>
        <v/>
      </c>
      <c r="BA1336" s="34" t="str">
        <f>IF(AND(G1336=1,L1336=1),F1336,"")</f>
        <v/>
      </c>
      <c r="BB1336" s="34" t="str">
        <f>IF(AND(G1336=1,L1336=0),F1336,"")</f>
        <v/>
      </c>
      <c r="BC1336" s="33">
        <f>IF(E1336=1,IF(Orders!R1333&gt;3,1,0),"")</f>
        <v>0</v>
      </c>
      <c r="BD1336" s="33">
        <f>IF(E1336=1,IF(Orders!R1333&gt;7,1,0),"")</f>
        <v>0</v>
      </c>
      <c r="BE1336" s="32" t="str">
        <f>IF(E1336=1,IF(Orders!L1333&lt;=1.5,"Up to 1.5 km",IF(Orders!L1333&lt;=3,"1.5–3 km","Over 3 km")),"")</f>
        <v>Up to 1.5 km</v>
      </c>
      <c r="BF1336" s="33">
        <f>IF(E1336=1,IF(ABS((Orders!G1333-Orders!F1333)*1440-Orders!R1333)&lt;0.06,1,0),"")</f>
        <v>1</v>
      </c>
      <c r="BG1336" s="33">
        <f>IF(ABS((Orders!F1333-Orders!E1333)*1440-Orders!P1333)&lt;0.06,1,0)</f>
        <v>1</v>
      </c>
      <c r="BH1336" s="33">
        <f>IF(E1336=1,IF(IF(Orders!S1333,1,0)=1-G1336,1,0),"")</f>
        <v>1</v>
      </c>
      <c r="BI1336" s="32" t="str">
        <f>INDEX(Stores!$B$2:$B$21,MATCH(B1336,Stores!$A$2:$A$21,0))</f>
        <v>Bengaluru</v>
      </c>
    </row>
    <row r="1337">
      <c r="A1337" s="32" t="str">
        <f>Orders!A1334</f>
        <v>O01333</v>
      </c>
      <c r="B1337" s="32" t="str">
        <f>Orders!C1334</f>
        <v>S016</v>
      </c>
      <c r="C1337" s="32" t="str">
        <f>Orders!B1334</f>
        <v>C0186</v>
      </c>
      <c r="D1337" s="32" t="str">
        <f>Orders!H1334</f>
        <v>Delivered</v>
      </c>
      <c r="E1337" s="33">
        <f>IF(Orders!H1334="Delivered",1,0)</f>
        <v>1</v>
      </c>
      <c r="F1337" s="34">
        <f>IF(E1337=1,Orders!R1334,"")</f>
        <v>-1</v>
      </c>
      <c r="G1337" s="33">
        <f>IF(E1337=1,IF(Orders!R1334&gt;0,1,0),"")</f>
        <v>0</v>
      </c>
      <c r="H1337" s="33">
        <f>IF(E1337=1,IF(Orders!R1334&gt;5,1,0),"")</f>
        <v>0</v>
      </c>
      <c r="I1337" s="32" t="str">
        <f>IF(E1337=1,"",IF(OR(Orders!T1334="Rider unavailable",Orders!T1334="Item unavailable"),"Company-caused","Unresolved"))</f>
        <v/>
      </c>
      <c r="J1337" s="33">
        <f>IF(OR(E1337=1,I1337="Company-caused"),1,0)</f>
        <v>1</v>
      </c>
      <c r="K1337" s="32" t="str">
        <f>IF(E1337=0,IF(I1337="Company-caused",IF(Orders!T1334="Rider unavailable","C1 Rider unavailable","C2 Item unavailable"),"Outside root: unresolved"),IF(G1337=0,"A On time",IF(H1337=1,IF(L1337=1,"B2a Severe, peak","B2b Severe, off-peak"),IF(L1337=1,"B1a Slight, peak","B1b Slight, off-peak"))))</f>
        <v>A On time</v>
      </c>
      <c r="L1337" s="33">
        <f>IF(AND(Orders!U1334&gt;=19,Orders!U1334&lt;22),1,0)</f>
        <v>0</v>
      </c>
      <c r="M1337" s="33">
        <f>IF(L1337=IF(Orders!V1334,1,0),1,0)</f>
        <v>1</v>
      </c>
      <c r="N1337" s="32" t="str">
        <f>IF(Orders!W1334="","None",Orders!W1334)</f>
        <v>None</v>
      </c>
      <c r="O1337" s="35">
        <f>INT(Orders!E1334)</f>
        <v>46277.0</v>
      </c>
      <c r="P1337" s="33">
        <f>Orders!U1334</f>
        <v>22</v>
      </c>
      <c r="Q1337" s="33">
        <f>COUNTIFS(Demand!$A$2:$A$4481,B1337,Demand!$B$2:$B$4481,O1337,Demand!$C$2:$C$4481,P1337)</f>
        <v>1</v>
      </c>
      <c r="R1337" s="33">
        <f>IF(Q1337=1,SUMIFS(Demand!$E$2:$E$4481,Demand!$A$2:$A$4481,B1337,Demand!$B$2:$B$4481,O1337,Demand!$C$2:$C$4481,P1337),"")</f>
        <v>35</v>
      </c>
      <c r="S1337" s="33">
        <f>INDEX(Stores!$G$2:$G$21,MATCH(B1337,Stores!$A$2:$A$21,0))</f>
        <v>25</v>
      </c>
      <c r="T1337" s="34">
        <f>IF(R1337="","",R1337/S1337)</f>
        <v>1.4</v>
      </c>
      <c r="U1337" s="34">
        <f>IF(E1337=1,T1337,"")</f>
        <v>1.4</v>
      </c>
      <c r="V1337" s="34">
        <f>IF(AND(E1337=1,L1337=0),T1337,"")</f>
        <v>1.4</v>
      </c>
      <c r="W1337" s="33">
        <f>IF(U1337="","",IF(U1337&lt;=Breakdowns!$C$5,1,IF(U1337&lt;=Breakdowns!$C$6,2,IF(U1337&lt;=Breakdowns!$C$7,3,4))))</f>
        <v>4</v>
      </c>
      <c r="X1337" s="33">
        <f>IF(V1337="","",IF(V1337&lt;=Breakdowns!$D$5,1,IF(V1337&lt;=Breakdowns!$D$6,2,IF(V1337&lt;=Breakdowns!$D$7,3,4))))</f>
        <v>4</v>
      </c>
      <c r="Y1337" s="34">
        <f>INDEX(Stores!$F$2:$F$21,MATCH(B1337,Stores!$A$2:$A$21,0))</f>
        <v>5.51</v>
      </c>
      <c r="Z1337" s="33">
        <f>IF(Y1337&gt;Store_Summary!$M$2,1,0)</f>
        <v>1</v>
      </c>
      <c r="AA1337" s="33">
        <f>INDEX(Stores!$C$2:$C$21,MATCH(B1337,Stores!$A$2:$A$21,0))</f>
        <v>792</v>
      </c>
      <c r="AB1337" s="33">
        <f>IF(AA1337&lt;180,1,0)</f>
        <v>0</v>
      </c>
      <c r="AC1337" s="32" t="str">
        <f>IF(Orders!D1334="","",INDEX(Riders!$C$2:$C$81,MATCH(Orders!D1334,Riders!$A$2:$A$81,0)))</f>
        <v>EV scooter</v>
      </c>
      <c r="AD1337" s="33">
        <f>IF(Orders!D1334="","",INDEX(Riders!$D$2:$D$81,MATCH(Orders!D1334,Riders!$A$2:$A$81,0)))</f>
        <v>41</v>
      </c>
      <c r="AE1337" s="33">
        <f>IF(Orders!D1334="","",IF(INDEX(Riders!$B$2:$B$81,MATCH(Orders!D1334,Riders!$A$2:$A$81,0))=B1337,1,0))</f>
        <v>0</v>
      </c>
      <c r="AF1337" s="34">
        <f>IF(E1337=1,Orders!L1334,"")</f>
        <v>2.44</v>
      </c>
      <c r="AG1337" s="34">
        <f>IF(E1337=1,Orders!P1334,"")</f>
        <v>10.6</v>
      </c>
      <c r="AH1337" s="34">
        <f>IF(E1337=1,Orders!Q1334,"")</f>
        <v>9.6</v>
      </c>
      <c r="AI1337" s="34">
        <f>IF(E1337=1,Orders!M1334,"")</f>
        <v>4.3</v>
      </c>
      <c r="AJ1337" s="34">
        <f>IF(E1337=1,Orders!N1334,"")</f>
        <v>0.8</v>
      </c>
      <c r="AK1337" s="34">
        <f>IF(E1337=1,Orders!O1334,"")</f>
        <v>4.5</v>
      </c>
      <c r="AL1337" s="33">
        <f>IF(E1337=1,IF(ROUND(ABS(AI1337+AJ1337+AK1337-AH1337),6)&lt;=0.1,1,0),"")</f>
        <v>1</v>
      </c>
      <c r="AM1337" s="36">
        <f>IF(E1337=1,AI1337/AH1337,"")</f>
        <v>0.447916666666667</v>
      </c>
      <c r="AN1337" s="36">
        <f>IF(E1337=1,AJ1337/AH1337,"")</f>
        <v>0.0833333333333333</v>
      </c>
      <c r="AO1337" s="36">
        <f>IF(E1337=1,AK1337/AH1337,"")</f>
        <v>0.46875</v>
      </c>
      <c r="AP1337" s="34">
        <f>IF(E1337=1,Orders!Y1334,"")</f>
        <v>0.45</v>
      </c>
      <c r="AQ1337" s="33">
        <f>IF(Orders!X1334,1,0)</f>
        <v>0</v>
      </c>
      <c r="AR1337" s="34" t="str">
        <f>IF(AND(E1337=1,L1337=1),AJ1337,"")</f>
        <v/>
      </c>
      <c r="AS1337" s="34">
        <f>IF(AND(E1337=1,L1337=0),AJ1337,"")</f>
        <v>0.8</v>
      </c>
      <c r="AT1337" s="34" t="str">
        <f>IF(AND(E1337=1,L1337=1),AI1337,"")</f>
        <v/>
      </c>
      <c r="AU1337" s="34">
        <f>IF(AND(E1337=1,L1337=0),AI1337,"")</f>
        <v>4.3</v>
      </c>
      <c r="AV1337" s="34" t="str">
        <f>IF(AND(E1337=1,L1337=1),AG1337,"")</f>
        <v/>
      </c>
      <c r="AW1337" s="34">
        <f>IF(AND(E1337=1,L1337=0),AG1337,"")</f>
        <v>10.6</v>
      </c>
      <c r="AX1337" s="34" t="str">
        <f>IF(AND(E1337=1,L1337=1),AH1337,"")</f>
        <v/>
      </c>
      <c r="AY1337" s="34">
        <f>IF(AND(E1337=1,L1337=0),AH1337,"")</f>
        <v>9.6</v>
      </c>
      <c r="AZ1337" s="34" t="str">
        <f>IF(G1337=1,F1337,"")</f>
        <v/>
      </c>
      <c r="BA1337" s="34" t="str">
        <f>IF(AND(G1337=1,L1337=1),F1337,"")</f>
        <v/>
      </c>
      <c r="BB1337" s="34" t="str">
        <f>IF(AND(G1337=1,L1337=0),F1337,"")</f>
        <v/>
      </c>
      <c r="BC1337" s="33">
        <f>IF(E1337=1,IF(Orders!R1334&gt;3,1,0),"")</f>
        <v>0</v>
      </c>
      <c r="BD1337" s="33">
        <f>IF(E1337=1,IF(Orders!R1334&gt;7,1,0),"")</f>
        <v>0</v>
      </c>
      <c r="BE1337" s="32" t="str">
        <f>IF(E1337=1,IF(Orders!L1334&lt;=1.5,"Up to 1.5 km",IF(Orders!L1334&lt;=3,"1.5–3 km","Over 3 km")),"")</f>
        <v>1.5–3 km</v>
      </c>
      <c r="BF1337" s="33">
        <f>IF(E1337=1,IF(ABS((Orders!G1334-Orders!F1334)*1440-Orders!R1334)&lt;0.06,1,0),"")</f>
        <v>1</v>
      </c>
      <c r="BG1337" s="33">
        <f>IF(ABS((Orders!F1334-Orders!E1334)*1440-Orders!P1334)&lt;0.06,1,0)</f>
        <v>1</v>
      </c>
      <c r="BH1337" s="33">
        <f>IF(E1337=1,IF(IF(Orders!S1334,1,0)=1-G1337,1,0),"")</f>
        <v>1</v>
      </c>
      <c r="BI1337" s="32" t="str">
        <f>INDEX(Stores!$B$2:$B$21,MATCH(B1337,Stores!$A$2:$A$21,0))</f>
        <v>Bengaluru</v>
      </c>
    </row>
    <row r="1338">
      <c r="A1338" s="32" t="str">
        <f>Orders!A1335</f>
        <v>O01334</v>
      </c>
      <c r="B1338" s="32" t="str">
        <f>Orders!C1335</f>
        <v>S004</v>
      </c>
      <c r="C1338" s="32" t="str">
        <f>Orders!B1335</f>
        <v>C0069</v>
      </c>
      <c r="D1338" s="32" t="str">
        <f>Orders!H1335</f>
        <v>Delivered</v>
      </c>
      <c r="E1338" s="33">
        <f>IF(Orders!H1335="Delivered",1,0)</f>
        <v>1</v>
      </c>
      <c r="F1338" s="34">
        <f>IF(E1338=1,Orders!R1335,"")</f>
        <v>-0.7</v>
      </c>
      <c r="G1338" s="33">
        <f>IF(E1338=1,IF(Orders!R1335&gt;0,1,0),"")</f>
        <v>0</v>
      </c>
      <c r="H1338" s="33">
        <f>IF(E1338=1,IF(Orders!R1335&gt;5,1,0),"")</f>
        <v>0</v>
      </c>
      <c r="I1338" s="32" t="str">
        <f>IF(E1338=1,"",IF(OR(Orders!T1335="Rider unavailable",Orders!T1335="Item unavailable"),"Company-caused","Unresolved"))</f>
        <v/>
      </c>
      <c r="J1338" s="33">
        <f>IF(OR(E1338=1,I1338="Company-caused"),1,0)</f>
        <v>1</v>
      </c>
      <c r="K1338" s="32" t="str">
        <f>IF(E1338=0,IF(I1338="Company-caused",IF(Orders!T1335="Rider unavailable","C1 Rider unavailable","C2 Item unavailable"),"Outside root: unresolved"),IF(G1338=0,"A On time",IF(H1338=1,IF(L1338=1,"B2a Severe, peak","B2b Severe, off-peak"),IF(L1338=1,"B1a Slight, peak","B1b Slight, off-peak"))))</f>
        <v>A On time</v>
      </c>
      <c r="L1338" s="33">
        <f>IF(AND(Orders!U1335&gt;=19,Orders!U1335&lt;22),1,0)</f>
        <v>0</v>
      </c>
      <c r="M1338" s="33">
        <f>IF(L1338=IF(Orders!V1335,1,0),1,0)</f>
        <v>1</v>
      </c>
      <c r="N1338" s="32" t="str">
        <f>IF(Orders!W1335="","None",Orders!W1335)</f>
        <v>None</v>
      </c>
      <c r="O1338" s="35">
        <f>INT(Orders!E1335)</f>
        <v>46270.0</v>
      </c>
      <c r="P1338" s="33">
        <f>Orders!U1335</f>
        <v>13</v>
      </c>
      <c r="Q1338" s="33">
        <f>COUNTIFS(Demand!$A$2:$A$4481,B1338,Demand!$B$2:$B$4481,O1338,Demand!$C$2:$C$4481,P1338)</f>
        <v>1</v>
      </c>
      <c r="R1338" s="33">
        <f>IF(Q1338=1,SUMIFS(Demand!$E$2:$E$4481,Demand!$A$2:$A$4481,B1338,Demand!$B$2:$B$4481,O1338,Demand!$C$2:$C$4481,P1338),"")</f>
        <v>40</v>
      </c>
      <c r="S1338" s="33">
        <f>INDEX(Stores!$G$2:$G$21,MATCH(B1338,Stores!$A$2:$A$21,0))</f>
        <v>42</v>
      </c>
      <c r="T1338" s="34">
        <f>IF(R1338="","",R1338/S1338)</f>
        <v>0.952380952380952</v>
      </c>
      <c r="U1338" s="34">
        <f>IF(E1338=1,T1338,"")</f>
        <v>0.952380952380952</v>
      </c>
      <c r="V1338" s="34">
        <f>IF(AND(E1338=1,L1338=0),T1338,"")</f>
        <v>0.952380952380952</v>
      </c>
      <c r="W1338" s="33">
        <f>IF(U1338="","",IF(U1338&lt;=Breakdowns!$C$5,1,IF(U1338&lt;=Breakdowns!$C$6,2,IF(U1338&lt;=Breakdowns!$C$7,3,4))))</f>
        <v>2</v>
      </c>
      <c r="X1338" s="33">
        <f>IF(V1338="","",IF(V1338&lt;=Breakdowns!$D$5,1,IF(V1338&lt;=Breakdowns!$D$6,2,IF(V1338&lt;=Breakdowns!$D$7,3,4))))</f>
        <v>3</v>
      </c>
      <c r="Y1338" s="34">
        <f>INDEX(Stores!$F$2:$F$21,MATCH(B1338,Stores!$A$2:$A$21,0))</f>
        <v>2.19</v>
      </c>
      <c r="Z1338" s="33">
        <f>IF(Y1338&gt;Store_Summary!$M$2,1,0)</f>
        <v>0</v>
      </c>
      <c r="AA1338" s="33">
        <f>INDEX(Stores!$C$2:$C$21,MATCH(B1338,Stores!$A$2:$A$21,0))</f>
        <v>850</v>
      </c>
      <c r="AB1338" s="33">
        <f>IF(AA1338&lt;180,1,0)</f>
        <v>0</v>
      </c>
      <c r="AC1338" s="32" t="str">
        <f>IF(Orders!D1335="","",INDEX(Riders!$C$2:$C$81,MATCH(Orders!D1335,Riders!$A$2:$A$81,0)))</f>
        <v>Petrol scooter</v>
      </c>
      <c r="AD1338" s="33">
        <f>IF(Orders!D1335="","",INDEX(Riders!$D$2:$D$81,MATCH(Orders!D1335,Riders!$A$2:$A$81,0)))</f>
        <v>10</v>
      </c>
      <c r="AE1338" s="33">
        <f>IF(Orders!D1335="","",IF(INDEX(Riders!$B$2:$B$81,MATCH(Orders!D1335,Riders!$A$2:$A$81,0))=B1338,1,0))</f>
        <v>0</v>
      </c>
      <c r="AF1338" s="34">
        <f>IF(E1338=1,Orders!L1335,"")</f>
        <v>1.02</v>
      </c>
      <c r="AG1338" s="34">
        <f>IF(E1338=1,Orders!P1335,"")</f>
        <v>10.3</v>
      </c>
      <c r="AH1338" s="34">
        <f>IF(E1338=1,Orders!Q1335,"")</f>
        <v>9.6</v>
      </c>
      <c r="AI1338" s="34">
        <f>IF(E1338=1,Orders!M1335,"")</f>
        <v>2.4</v>
      </c>
      <c r="AJ1338" s="34">
        <f>IF(E1338=1,Orders!N1335,"")</f>
        <v>3.1</v>
      </c>
      <c r="AK1338" s="34">
        <f>IF(E1338=1,Orders!O1335,"")</f>
        <v>4.1</v>
      </c>
      <c r="AL1338" s="33">
        <f>IF(E1338=1,IF(ROUND(ABS(AI1338+AJ1338+AK1338-AH1338),6)&lt;=0.1,1,0),"")</f>
        <v>1</v>
      </c>
      <c r="AM1338" s="36">
        <f>IF(E1338=1,AI1338/AH1338,"")</f>
        <v>0.25</v>
      </c>
      <c r="AN1338" s="36">
        <f>IF(E1338=1,AJ1338/AH1338,"")</f>
        <v>0.322916666666667</v>
      </c>
      <c r="AO1338" s="36">
        <f>IF(E1338=1,AK1338/AH1338,"")</f>
        <v>0.427083333333333</v>
      </c>
      <c r="AP1338" s="34">
        <f>IF(E1338=1,Orders!Y1335,"")</f>
        <v>0.88</v>
      </c>
      <c r="AQ1338" s="33">
        <f>IF(Orders!X1335,1,0)</f>
        <v>0</v>
      </c>
      <c r="AR1338" s="34" t="str">
        <f>IF(AND(E1338=1,L1338=1),AJ1338,"")</f>
        <v/>
      </c>
      <c r="AS1338" s="34">
        <f>IF(AND(E1338=1,L1338=0),AJ1338,"")</f>
        <v>3.1</v>
      </c>
      <c r="AT1338" s="34" t="str">
        <f>IF(AND(E1338=1,L1338=1),AI1338,"")</f>
        <v/>
      </c>
      <c r="AU1338" s="34">
        <f>IF(AND(E1338=1,L1338=0),AI1338,"")</f>
        <v>2.4</v>
      </c>
      <c r="AV1338" s="34" t="str">
        <f>IF(AND(E1338=1,L1338=1),AG1338,"")</f>
        <v/>
      </c>
      <c r="AW1338" s="34">
        <f>IF(AND(E1338=1,L1338=0),AG1338,"")</f>
        <v>10.3</v>
      </c>
      <c r="AX1338" s="34" t="str">
        <f>IF(AND(E1338=1,L1338=1),AH1338,"")</f>
        <v/>
      </c>
      <c r="AY1338" s="34">
        <f>IF(AND(E1338=1,L1338=0),AH1338,"")</f>
        <v>9.6</v>
      </c>
      <c r="AZ1338" s="34" t="str">
        <f>IF(G1338=1,F1338,"")</f>
        <v/>
      </c>
      <c r="BA1338" s="34" t="str">
        <f>IF(AND(G1338=1,L1338=1),F1338,"")</f>
        <v/>
      </c>
      <c r="BB1338" s="34" t="str">
        <f>IF(AND(G1338=1,L1338=0),F1338,"")</f>
        <v/>
      </c>
      <c r="BC1338" s="33">
        <f>IF(E1338=1,IF(Orders!R1335&gt;3,1,0),"")</f>
        <v>0</v>
      </c>
      <c r="BD1338" s="33">
        <f>IF(E1338=1,IF(Orders!R1335&gt;7,1,0),"")</f>
        <v>0</v>
      </c>
      <c r="BE1338" s="32" t="str">
        <f>IF(E1338=1,IF(Orders!L1335&lt;=1.5,"Up to 1.5 km",IF(Orders!L1335&lt;=3,"1.5–3 km","Over 3 km")),"")</f>
        <v>Up to 1.5 km</v>
      </c>
      <c r="BF1338" s="33">
        <f>IF(E1338=1,IF(ABS((Orders!G1335-Orders!F1335)*1440-Orders!R1335)&lt;0.06,1,0),"")</f>
        <v>1</v>
      </c>
      <c r="BG1338" s="33">
        <f>IF(ABS((Orders!F1335-Orders!E1335)*1440-Orders!P1335)&lt;0.06,1,0)</f>
        <v>1</v>
      </c>
      <c r="BH1338" s="33">
        <f>IF(E1338=1,IF(IF(Orders!S1335,1,0)=1-G1338,1,0),"")</f>
        <v>1</v>
      </c>
      <c r="BI1338" s="32" t="str">
        <f>INDEX(Stores!$B$2:$B$21,MATCH(B1338,Stores!$A$2:$A$21,0))</f>
        <v>Pune</v>
      </c>
    </row>
    <row r="1339">
      <c r="A1339" s="32" t="str">
        <f>Orders!A1336</f>
        <v>O01335</v>
      </c>
      <c r="B1339" s="32" t="str">
        <f>Orders!C1336</f>
        <v>S018</v>
      </c>
      <c r="C1339" s="32" t="str">
        <f>Orders!B1336</f>
        <v>C0091</v>
      </c>
      <c r="D1339" s="32" t="str">
        <f>Orders!H1336</f>
        <v>Delivered</v>
      </c>
      <c r="E1339" s="33">
        <f>IF(Orders!H1336="Delivered",1,0)</f>
        <v>1</v>
      </c>
      <c r="F1339" s="34">
        <f>IF(E1339=1,Orders!R1336,"")</f>
        <v>-1.1</v>
      </c>
      <c r="G1339" s="33">
        <f>IF(E1339=1,IF(Orders!R1336&gt;0,1,0),"")</f>
        <v>0</v>
      </c>
      <c r="H1339" s="33">
        <f>IF(E1339=1,IF(Orders!R1336&gt;5,1,0),"")</f>
        <v>0</v>
      </c>
      <c r="I1339" s="32" t="str">
        <f>IF(E1339=1,"",IF(OR(Orders!T1336="Rider unavailable",Orders!T1336="Item unavailable"),"Company-caused","Unresolved"))</f>
        <v/>
      </c>
      <c r="J1339" s="33">
        <f>IF(OR(E1339=1,I1339="Company-caused"),1,0)</f>
        <v>1</v>
      </c>
      <c r="K1339" s="32" t="str">
        <f>IF(E1339=0,IF(I1339="Company-caused",IF(Orders!T1336="Rider unavailable","C1 Rider unavailable","C2 Item unavailable"),"Outside root: unresolved"),IF(G1339=0,"A On time",IF(H1339=1,IF(L1339=1,"B2a Severe, peak","B2b Severe, off-peak"),IF(L1339=1,"B1a Slight, peak","B1b Slight, off-peak"))))</f>
        <v>A On time</v>
      </c>
      <c r="L1339" s="33">
        <f>IF(AND(Orders!U1336&gt;=19,Orders!U1336&lt;22),1,0)</f>
        <v>0</v>
      </c>
      <c r="M1339" s="33">
        <f>IF(L1339=IF(Orders!V1336,1,0),1,0)</f>
        <v>1</v>
      </c>
      <c r="N1339" s="32" t="str">
        <f>IF(Orders!W1336="","None",Orders!W1336)</f>
        <v>None</v>
      </c>
      <c r="O1339" s="35">
        <f>INT(Orders!E1336)</f>
        <v>46276.0</v>
      </c>
      <c r="P1339" s="33">
        <f>Orders!U1336</f>
        <v>11</v>
      </c>
      <c r="Q1339" s="33">
        <f>COUNTIFS(Demand!$A$2:$A$4481,B1339,Demand!$B$2:$B$4481,O1339,Demand!$C$2:$C$4481,P1339)</f>
        <v>1</v>
      </c>
      <c r="R1339" s="33">
        <f>IF(Q1339=1,SUMIFS(Demand!$E$2:$E$4481,Demand!$A$2:$A$4481,B1339,Demand!$B$2:$B$4481,O1339,Demand!$C$2:$C$4481,P1339),"")</f>
        <v>15</v>
      </c>
      <c r="S1339" s="33">
        <f>INDEX(Stores!$G$2:$G$21,MATCH(B1339,Stores!$A$2:$A$21,0))</f>
        <v>20</v>
      </c>
      <c r="T1339" s="34">
        <f>IF(R1339="","",R1339/S1339)</f>
        <v>0.75</v>
      </c>
      <c r="U1339" s="34">
        <f>IF(E1339=1,T1339,"")</f>
        <v>0.75</v>
      </c>
      <c r="V1339" s="34">
        <f>IF(AND(E1339=1,L1339=0),T1339,"")</f>
        <v>0.75</v>
      </c>
      <c r="W1339" s="33">
        <f>IF(U1339="","",IF(U1339&lt;=Breakdowns!$C$5,1,IF(U1339&lt;=Breakdowns!$C$6,2,IF(U1339&lt;=Breakdowns!$C$7,3,4))))</f>
        <v>1</v>
      </c>
      <c r="X1339" s="33">
        <f>IF(V1339="","",IF(V1339&lt;=Breakdowns!$D$5,1,IF(V1339&lt;=Breakdowns!$D$6,2,IF(V1339&lt;=Breakdowns!$D$7,3,4))))</f>
        <v>1</v>
      </c>
      <c r="Y1339" s="34">
        <f>INDEX(Stores!$F$2:$F$21,MATCH(B1339,Stores!$A$2:$A$21,0))</f>
        <v>5.31</v>
      </c>
      <c r="Z1339" s="33">
        <f>IF(Y1339&gt;Store_Summary!$M$2,1,0)</f>
        <v>1</v>
      </c>
      <c r="AA1339" s="33">
        <f>INDEX(Stores!$C$2:$C$21,MATCH(B1339,Stores!$A$2:$A$21,0))</f>
        <v>214</v>
      </c>
      <c r="AB1339" s="33">
        <f>IF(AA1339&lt;180,1,0)</f>
        <v>0</v>
      </c>
      <c r="AC1339" s="32" t="str">
        <f>IF(Orders!D1336="","",INDEX(Riders!$C$2:$C$81,MATCH(Orders!D1336,Riders!$A$2:$A$81,0)))</f>
        <v>Petrol scooter</v>
      </c>
      <c r="AD1339" s="33">
        <f>IF(Orders!D1336="","",INDEX(Riders!$D$2:$D$81,MATCH(Orders!D1336,Riders!$A$2:$A$81,0)))</f>
        <v>35</v>
      </c>
      <c r="AE1339" s="33">
        <f>IF(Orders!D1336="","",IF(INDEX(Riders!$B$2:$B$81,MATCH(Orders!D1336,Riders!$A$2:$A$81,0))=B1339,1,0))</f>
        <v>0</v>
      </c>
      <c r="AF1339" s="34">
        <f>IF(E1339=1,Orders!L1336,"")</f>
        <v>1.59</v>
      </c>
      <c r="AG1339" s="34">
        <f>IF(E1339=1,Orders!P1336,"")</f>
        <v>11.1</v>
      </c>
      <c r="AH1339" s="34">
        <f>IF(E1339=1,Orders!Q1336,"")</f>
        <v>10</v>
      </c>
      <c r="AI1339" s="34">
        <f>IF(E1339=1,Orders!M1336,"")</f>
        <v>4.2</v>
      </c>
      <c r="AJ1339" s="34">
        <f>IF(E1339=1,Orders!N1336,"")</f>
        <v>2.5</v>
      </c>
      <c r="AK1339" s="34">
        <f>IF(E1339=1,Orders!O1336,"")</f>
        <v>3.3</v>
      </c>
      <c r="AL1339" s="33">
        <f>IF(E1339=1,IF(ROUND(ABS(AI1339+AJ1339+AK1339-AH1339),6)&lt;=0.1,1,0),"")</f>
        <v>1</v>
      </c>
      <c r="AM1339" s="36">
        <f>IF(E1339=1,AI1339/AH1339,"")</f>
        <v>0.42</v>
      </c>
      <c r="AN1339" s="36">
        <f>IF(E1339=1,AJ1339/AH1339,"")</f>
        <v>0.25</v>
      </c>
      <c r="AO1339" s="36">
        <f>IF(E1339=1,AK1339/AH1339,"")</f>
        <v>0.33</v>
      </c>
      <c r="AP1339" s="34">
        <f>IF(E1339=1,Orders!Y1336,"")</f>
        <v>0.62</v>
      </c>
      <c r="AQ1339" s="33">
        <f>IF(Orders!X1336,1,0)</f>
        <v>0</v>
      </c>
      <c r="AR1339" s="34" t="str">
        <f>IF(AND(E1339=1,L1339=1),AJ1339,"")</f>
        <v/>
      </c>
      <c r="AS1339" s="34">
        <f>IF(AND(E1339=1,L1339=0),AJ1339,"")</f>
        <v>2.5</v>
      </c>
      <c r="AT1339" s="34" t="str">
        <f>IF(AND(E1339=1,L1339=1),AI1339,"")</f>
        <v/>
      </c>
      <c r="AU1339" s="34">
        <f>IF(AND(E1339=1,L1339=0),AI1339,"")</f>
        <v>4.2</v>
      </c>
      <c r="AV1339" s="34" t="str">
        <f>IF(AND(E1339=1,L1339=1),AG1339,"")</f>
        <v/>
      </c>
      <c r="AW1339" s="34">
        <f>IF(AND(E1339=1,L1339=0),AG1339,"")</f>
        <v>11.1</v>
      </c>
      <c r="AX1339" s="34" t="str">
        <f>IF(AND(E1339=1,L1339=1),AH1339,"")</f>
        <v/>
      </c>
      <c r="AY1339" s="34">
        <f>IF(AND(E1339=1,L1339=0),AH1339,"")</f>
        <v>10</v>
      </c>
      <c r="AZ1339" s="34" t="str">
        <f>IF(G1339=1,F1339,"")</f>
        <v/>
      </c>
      <c r="BA1339" s="34" t="str">
        <f>IF(AND(G1339=1,L1339=1),F1339,"")</f>
        <v/>
      </c>
      <c r="BB1339" s="34" t="str">
        <f>IF(AND(G1339=1,L1339=0),F1339,"")</f>
        <v/>
      </c>
      <c r="BC1339" s="33">
        <f>IF(E1339=1,IF(Orders!R1336&gt;3,1,0),"")</f>
        <v>0</v>
      </c>
      <c r="BD1339" s="33">
        <f>IF(E1339=1,IF(Orders!R1336&gt;7,1,0),"")</f>
        <v>0</v>
      </c>
      <c r="BE1339" s="32" t="str">
        <f>IF(E1339=1,IF(Orders!L1336&lt;=1.5,"Up to 1.5 km",IF(Orders!L1336&lt;=3,"1.5–3 km","Over 3 km")),"")</f>
        <v>1.5–3 km</v>
      </c>
      <c r="BF1339" s="33">
        <f>IF(E1339=1,IF(ABS((Orders!G1336-Orders!F1336)*1440-Orders!R1336)&lt;0.06,1,0),"")</f>
        <v>1</v>
      </c>
      <c r="BG1339" s="33">
        <f>IF(ABS((Orders!F1336-Orders!E1336)*1440-Orders!P1336)&lt;0.06,1,0)</f>
        <v>1</v>
      </c>
      <c r="BH1339" s="33">
        <f>IF(E1339=1,IF(IF(Orders!S1336,1,0)=1-G1339,1,0),"")</f>
        <v>1</v>
      </c>
      <c r="BI1339" s="32" t="str">
        <f>INDEX(Stores!$B$2:$B$21,MATCH(B1339,Stores!$A$2:$A$21,0))</f>
        <v>Mumbai</v>
      </c>
    </row>
    <row r="1340">
      <c r="A1340" s="32" t="str">
        <f>Orders!A1337</f>
        <v>O01336</v>
      </c>
      <c r="B1340" s="32" t="str">
        <f>Orders!C1337</f>
        <v>S009</v>
      </c>
      <c r="C1340" s="32" t="str">
        <f>Orders!B1337</f>
        <v>C0232</v>
      </c>
      <c r="D1340" s="32" t="str">
        <f>Orders!H1337</f>
        <v>Delivered</v>
      </c>
      <c r="E1340" s="33">
        <f>IF(Orders!H1337="Delivered",1,0)</f>
        <v>1</v>
      </c>
      <c r="F1340" s="34">
        <f>IF(E1340=1,Orders!R1337,"")</f>
        <v>-1.1</v>
      </c>
      <c r="G1340" s="33">
        <f>IF(E1340=1,IF(Orders!R1337&gt;0,1,0),"")</f>
        <v>0</v>
      </c>
      <c r="H1340" s="33">
        <f>IF(E1340=1,IF(Orders!R1337&gt;5,1,0),"")</f>
        <v>0</v>
      </c>
      <c r="I1340" s="32" t="str">
        <f>IF(E1340=1,"",IF(OR(Orders!T1337="Rider unavailable",Orders!T1337="Item unavailable"),"Company-caused","Unresolved"))</f>
        <v/>
      </c>
      <c r="J1340" s="33">
        <f>IF(OR(E1340=1,I1340="Company-caused"),1,0)</f>
        <v>1</v>
      </c>
      <c r="K1340" s="32" t="str">
        <f>IF(E1340=0,IF(I1340="Company-caused",IF(Orders!T1337="Rider unavailable","C1 Rider unavailable","C2 Item unavailable"),"Outside root: unresolved"),IF(G1340=0,"A On time",IF(H1340=1,IF(L1340=1,"B2a Severe, peak","B2b Severe, off-peak"),IF(L1340=1,"B1a Slight, peak","B1b Slight, off-peak"))))</f>
        <v>A On time</v>
      </c>
      <c r="L1340" s="33">
        <f>IF(AND(Orders!U1337&gt;=19,Orders!U1337&lt;22),1,0)</f>
        <v>1</v>
      </c>
      <c r="M1340" s="33">
        <f>IF(L1340=IF(Orders!V1337,1,0),1,0)</f>
        <v>1</v>
      </c>
      <c r="N1340" s="32" t="str">
        <f>IF(Orders!W1337="","None",Orders!W1337)</f>
        <v>None</v>
      </c>
      <c r="O1340" s="35">
        <f>INT(Orders!E1337)</f>
        <v>46279.0</v>
      </c>
      <c r="P1340" s="33">
        <f>Orders!U1337</f>
        <v>20</v>
      </c>
      <c r="Q1340" s="33">
        <f>COUNTIFS(Demand!$A$2:$A$4481,B1340,Demand!$B$2:$B$4481,O1340,Demand!$C$2:$C$4481,P1340)</f>
        <v>1</v>
      </c>
      <c r="R1340" s="33">
        <f>IF(Q1340=1,SUMIFS(Demand!$E$2:$E$4481,Demand!$A$2:$A$4481,B1340,Demand!$B$2:$B$4481,O1340,Demand!$C$2:$C$4481,P1340),"")</f>
        <v>46</v>
      </c>
      <c r="S1340" s="33">
        <f>INDEX(Stores!$G$2:$G$21,MATCH(B1340,Stores!$A$2:$A$21,0))</f>
        <v>29</v>
      </c>
      <c r="T1340" s="34">
        <f>IF(R1340="","",R1340/S1340)</f>
        <v>1.58620689655172</v>
      </c>
      <c r="U1340" s="34">
        <f>IF(E1340=1,T1340,"")</f>
        <v>1.58620689655172</v>
      </c>
      <c r="V1340" s="34" t="str">
        <f>IF(AND(E1340=1,L1340=0),T1340,"")</f>
        <v/>
      </c>
      <c r="W1340" s="33">
        <f>IF(U1340="","",IF(U1340&lt;=Breakdowns!$C$5,1,IF(U1340&lt;=Breakdowns!$C$6,2,IF(U1340&lt;=Breakdowns!$C$7,3,4))))</f>
        <v>4</v>
      </c>
      <c r="X1340" s="33" t="str">
        <f>IF(V1340="","",IF(V1340&lt;=Breakdowns!$D$5,1,IF(V1340&lt;=Breakdowns!$D$6,2,IF(V1340&lt;=Breakdowns!$D$7,3,4))))</f>
        <v/>
      </c>
      <c r="Y1340" s="34">
        <f>INDEX(Stores!$F$2:$F$21,MATCH(B1340,Stores!$A$2:$A$21,0))</f>
        <v>2.66</v>
      </c>
      <c r="Z1340" s="33">
        <f>IF(Y1340&gt;Store_Summary!$M$2,1,0)</f>
        <v>0</v>
      </c>
      <c r="AA1340" s="33">
        <f>INDEX(Stores!$C$2:$C$21,MATCH(B1340,Stores!$A$2:$A$21,0))</f>
        <v>645</v>
      </c>
      <c r="AB1340" s="33">
        <f>IF(AA1340&lt;180,1,0)</f>
        <v>0</v>
      </c>
      <c r="AC1340" s="32" t="str">
        <f>IF(Orders!D1337="","",INDEX(Riders!$C$2:$C$81,MATCH(Orders!D1337,Riders!$A$2:$A$81,0)))</f>
        <v>EV scooter</v>
      </c>
      <c r="AD1340" s="33">
        <f>IF(Orders!D1337="","",INDEX(Riders!$D$2:$D$81,MATCH(Orders!D1337,Riders!$A$2:$A$81,0)))</f>
        <v>38</v>
      </c>
      <c r="AE1340" s="33">
        <f>IF(Orders!D1337="","",IF(INDEX(Riders!$B$2:$B$81,MATCH(Orders!D1337,Riders!$A$2:$A$81,0))=B1340,1,0))</f>
        <v>0</v>
      </c>
      <c r="AF1340" s="34">
        <f>IF(E1340=1,Orders!L1337,"")</f>
        <v>2.59</v>
      </c>
      <c r="AG1340" s="34">
        <f>IF(E1340=1,Orders!P1337,"")</f>
        <v>11.8</v>
      </c>
      <c r="AH1340" s="34">
        <f>IF(E1340=1,Orders!Q1337,"")</f>
        <v>10.7</v>
      </c>
      <c r="AI1340" s="34">
        <f>IF(E1340=1,Orders!M1337,"")</f>
        <v>2.5</v>
      </c>
      <c r="AJ1340" s="34">
        <f>IF(E1340=1,Orders!N1337,"")</f>
        <v>4.9</v>
      </c>
      <c r="AK1340" s="34">
        <f>IF(E1340=1,Orders!O1337,"")</f>
        <v>3.3</v>
      </c>
      <c r="AL1340" s="33">
        <f>IF(E1340=1,IF(ROUND(ABS(AI1340+AJ1340+AK1340-AH1340),6)&lt;=0.1,1,0),"")</f>
        <v>1</v>
      </c>
      <c r="AM1340" s="36">
        <f>IF(E1340=1,AI1340/AH1340,"")</f>
        <v>0.233644859813084</v>
      </c>
      <c r="AN1340" s="36">
        <f>IF(E1340=1,AJ1340/AH1340,"")</f>
        <v>0.457943925233645</v>
      </c>
      <c r="AO1340" s="36">
        <f>IF(E1340=1,AK1340/AH1340,"")</f>
        <v>0.308411214953271</v>
      </c>
      <c r="AP1340" s="34">
        <f>IF(E1340=1,Orders!Y1337,"")</f>
        <v>0.37</v>
      </c>
      <c r="AQ1340" s="33">
        <f>IF(Orders!X1337,1,0)</f>
        <v>0</v>
      </c>
      <c r="AR1340" s="34">
        <f>IF(AND(E1340=1,L1340=1),AJ1340,"")</f>
        <v>4.9</v>
      </c>
      <c r="AS1340" s="34" t="str">
        <f>IF(AND(E1340=1,L1340=0),AJ1340,"")</f>
        <v/>
      </c>
      <c r="AT1340" s="34">
        <f>IF(AND(E1340=1,L1340=1),AI1340,"")</f>
        <v>2.5</v>
      </c>
      <c r="AU1340" s="34" t="str">
        <f>IF(AND(E1340=1,L1340=0),AI1340,"")</f>
        <v/>
      </c>
      <c r="AV1340" s="34">
        <f>IF(AND(E1340=1,L1340=1),AG1340,"")</f>
        <v>11.8</v>
      </c>
      <c r="AW1340" s="34" t="str">
        <f>IF(AND(E1340=1,L1340=0),AG1340,"")</f>
        <v/>
      </c>
      <c r="AX1340" s="34">
        <f>IF(AND(E1340=1,L1340=1),AH1340,"")</f>
        <v>10.7</v>
      </c>
      <c r="AY1340" s="34" t="str">
        <f>IF(AND(E1340=1,L1340=0),AH1340,"")</f>
        <v/>
      </c>
      <c r="AZ1340" s="34" t="str">
        <f>IF(G1340=1,F1340,"")</f>
        <v/>
      </c>
      <c r="BA1340" s="34" t="str">
        <f>IF(AND(G1340=1,L1340=1),F1340,"")</f>
        <v/>
      </c>
      <c r="BB1340" s="34" t="str">
        <f>IF(AND(G1340=1,L1340=0),F1340,"")</f>
        <v/>
      </c>
      <c r="BC1340" s="33">
        <f>IF(E1340=1,IF(Orders!R1337&gt;3,1,0),"")</f>
        <v>0</v>
      </c>
      <c r="BD1340" s="33">
        <f>IF(E1340=1,IF(Orders!R1337&gt;7,1,0),"")</f>
        <v>0</v>
      </c>
      <c r="BE1340" s="32" t="str">
        <f>IF(E1340=1,IF(Orders!L1337&lt;=1.5,"Up to 1.5 km",IF(Orders!L1337&lt;=3,"1.5–3 km","Over 3 km")),"")</f>
        <v>1.5–3 km</v>
      </c>
      <c r="BF1340" s="33">
        <f>IF(E1340=1,IF(ABS((Orders!G1337-Orders!F1337)*1440-Orders!R1337)&lt;0.06,1,0),"")</f>
        <v>1</v>
      </c>
      <c r="BG1340" s="33">
        <f>IF(ABS((Orders!F1337-Orders!E1337)*1440-Orders!P1337)&lt;0.06,1,0)</f>
        <v>1</v>
      </c>
      <c r="BH1340" s="33">
        <f>IF(E1340=1,IF(IF(Orders!S1337,1,0)=1-G1340,1,0),"")</f>
        <v>1</v>
      </c>
      <c r="BI1340" s="32" t="str">
        <f>INDEX(Stores!$B$2:$B$21,MATCH(B1340,Stores!$A$2:$A$21,0))</f>
        <v>Pune</v>
      </c>
    </row>
    <row r="1341">
      <c r="A1341" s="32" t="str">
        <f>Orders!A1338</f>
        <v>O01337</v>
      </c>
      <c r="B1341" s="32" t="str">
        <f>Orders!C1338</f>
        <v>S014</v>
      </c>
      <c r="C1341" s="32" t="str">
        <f>Orders!B1338</f>
        <v>C0210</v>
      </c>
      <c r="D1341" s="32" t="str">
        <f>Orders!H1338</f>
        <v>Delivered</v>
      </c>
      <c r="E1341" s="33">
        <f>IF(Orders!H1338="Delivered",1,0)</f>
        <v>1</v>
      </c>
      <c r="F1341" s="34">
        <f>IF(E1341=1,Orders!R1338,"")</f>
        <v>-0.4</v>
      </c>
      <c r="G1341" s="33">
        <f>IF(E1341=1,IF(Orders!R1338&gt;0,1,0),"")</f>
        <v>0</v>
      </c>
      <c r="H1341" s="33">
        <f>IF(E1341=1,IF(Orders!R1338&gt;5,1,0),"")</f>
        <v>0</v>
      </c>
      <c r="I1341" s="32" t="str">
        <f>IF(E1341=1,"",IF(OR(Orders!T1338="Rider unavailable",Orders!T1338="Item unavailable"),"Company-caused","Unresolved"))</f>
        <v/>
      </c>
      <c r="J1341" s="33">
        <f>IF(OR(E1341=1,I1341="Company-caused"),1,0)</f>
        <v>1</v>
      </c>
      <c r="K1341" s="32" t="str">
        <f>IF(E1341=0,IF(I1341="Company-caused",IF(Orders!T1338="Rider unavailable","C1 Rider unavailable","C2 Item unavailable"),"Outside root: unresolved"),IF(G1341=0,"A On time",IF(H1341=1,IF(L1341=1,"B2a Severe, peak","B2b Severe, off-peak"),IF(L1341=1,"B1a Slight, peak","B1b Slight, off-peak"))))</f>
        <v>A On time</v>
      </c>
      <c r="L1341" s="33">
        <f>IF(AND(Orders!U1338&gt;=19,Orders!U1338&lt;22),1,0)</f>
        <v>1</v>
      </c>
      <c r="M1341" s="33">
        <f>IF(L1341=IF(Orders!V1338,1,0),1,0)</f>
        <v>1</v>
      </c>
      <c r="N1341" s="32" t="str">
        <f>IF(Orders!W1338="","None",Orders!W1338)</f>
        <v>Light</v>
      </c>
      <c r="O1341" s="35">
        <f>INT(Orders!E1338)</f>
        <v>46273.0</v>
      </c>
      <c r="P1341" s="33">
        <f>Orders!U1338</f>
        <v>20</v>
      </c>
      <c r="Q1341" s="33">
        <f>COUNTIFS(Demand!$A$2:$A$4481,B1341,Demand!$B$2:$B$4481,O1341,Demand!$C$2:$C$4481,P1341)</f>
        <v>1</v>
      </c>
      <c r="R1341" s="33">
        <f>IF(Q1341=1,SUMIFS(Demand!$E$2:$E$4481,Demand!$A$2:$A$4481,B1341,Demand!$B$2:$B$4481,O1341,Demand!$C$2:$C$4481,P1341),"")</f>
        <v>62</v>
      </c>
      <c r="S1341" s="33">
        <f>INDEX(Stores!$G$2:$G$21,MATCH(B1341,Stores!$A$2:$A$21,0))</f>
        <v>37</v>
      </c>
      <c r="T1341" s="34">
        <f>IF(R1341="","",R1341/S1341)</f>
        <v>1.67567567567568</v>
      </c>
      <c r="U1341" s="34">
        <f>IF(E1341=1,T1341,"")</f>
        <v>1.67567567567568</v>
      </c>
      <c r="V1341" s="34" t="str">
        <f>IF(AND(E1341=1,L1341=0),T1341,"")</f>
        <v/>
      </c>
      <c r="W1341" s="33">
        <f>IF(U1341="","",IF(U1341&lt;=Breakdowns!$C$5,1,IF(U1341&lt;=Breakdowns!$C$6,2,IF(U1341&lt;=Breakdowns!$C$7,3,4))))</f>
        <v>4</v>
      </c>
      <c r="X1341" s="33" t="str">
        <f>IF(V1341="","",IF(V1341&lt;=Breakdowns!$D$5,1,IF(V1341&lt;=Breakdowns!$D$6,2,IF(V1341&lt;=Breakdowns!$D$7,3,4))))</f>
        <v/>
      </c>
      <c r="Y1341" s="34">
        <f>INDEX(Stores!$F$2:$F$21,MATCH(B1341,Stores!$A$2:$A$21,0))</f>
        <v>5.55</v>
      </c>
      <c r="Z1341" s="33">
        <f>IF(Y1341&gt;Store_Summary!$M$2,1,0)</f>
        <v>1</v>
      </c>
      <c r="AA1341" s="33">
        <f>INDEX(Stores!$C$2:$C$21,MATCH(B1341,Stores!$A$2:$A$21,0))</f>
        <v>241</v>
      </c>
      <c r="AB1341" s="33">
        <f>IF(AA1341&lt;180,1,0)</f>
        <v>0</v>
      </c>
      <c r="AC1341" s="32" t="str">
        <f>IF(Orders!D1338="","",INDEX(Riders!$C$2:$C$81,MATCH(Orders!D1338,Riders!$A$2:$A$81,0)))</f>
        <v>Petrol scooter</v>
      </c>
      <c r="AD1341" s="33">
        <f>IF(Orders!D1338="","",INDEX(Riders!$D$2:$D$81,MATCH(Orders!D1338,Riders!$A$2:$A$81,0)))</f>
        <v>29</v>
      </c>
      <c r="AE1341" s="33">
        <f>IF(Orders!D1338="","",IF(INDEX(Riders!$B$2:$B$81,MATCH(Orders!D1338,Riders!$A$2:$A$81,0))=B1341,1,0))</f>
        <v>0</v>
      </c>
      <c r="AF1341" s="34">
        <f>IF(E1341=1,Orders!L1338,"")</f>
        <v>1.82</v>
      </c>
      <c r="AG1341" s="34">
        <f>IF(E1341=1,Orders!P1338,"")</f>
        <v>8.3</v>
      </c>
      <c r="AH1341" s="34">
        <f>IF(E1341=1,Orders!Q1338,"")</f>
        <v>7.9</v>
      </c>
      <c r="AI1341" s="34">
        <f>IF(E1341=1,Orders!M1338,"")</f>
        <v>2.5</v>
      </c>
      <c r="AJ1341" s="34">
        <f>IF(E1341=1,Orders!N1338,"")</f>
        <v>1.9</v>
      </c>
      <c r="AK1341" s="34">
        <f>IF(E1341=1,Orders!O1338,"")</f>
        <v>3.5</v>
      </c>
      <c r="AL1341" s="33">
        <f>IF(E1341=1,IF(ROUND(ABS(AI1341+AJ1341+AK1341-AH1341),6)&lt;=0.1,1,0),"")</f>
        <v>1</v>
      </c>
      <c r="AM1341" s="36">
        <f>IF(E1341=1,AI1341/AH1341,"")</f>
        <v>0.316455696202532</v>
      </c>
      <c r="AN1341" s="36">
        <f>IF(E1341=1,AJ1341/AH1341,"")</f>
        <v>0.240506329113924</v>
      </c>
      <c r="AO1341" s="36">
        <f>IF(E1341=1,AK1341/AH1341,"")</f>
        <v>0.443037974683544</v>
      </c>
      <c r="AP1341" s="34">
        <f>IF(E1341=1,Orders!Y1338,"")</f>
        <v>0.6</v>
      </c>
      <c r="AQ1341" s="33">
        <f>IF(Orders!X1338,1,0)</f>
        <v>0</v>
      </c>
      <c r="AR1341" s="34">
        <f>IF(AND(E1341=1,L1341=1),AJ1341,"")</f>
        <v>1.9</v>
      </c>
      <c r="AS1341" s="34" t="str">
        <f>IF(AND(E1341=1,L1341=0),AJ1341,"")</f>
        <v/>
      </c>
      <c r="AT1341" s="34">
        <f>IF(AND(E1341=1,L1341=1),AI1341,"")</f>
        <v>2.5</v>
      </c>
      <c r="AU1341" s="34" t="str">
        <f>IF(AND(E1341=1,L1341=0),AI1341,"")</f>
        <v/>
      </c>
      <c r="AV1341" s="34">
        <f>IF(AND(E1341=1,L1341=1),AG1341,"")</f>
        <v>8.3</v>
      </c>
      <c r="AW1341" s="34" t="str">
        <f>IF(AND(E1341=1,L1341=0),AG1341,"")</f>
        <v/>
      </c>
      <c r="AX1341" s="34">
        <f>IF(AND(E1341=1,L1341=1),AH1341,"")</f>
        <v>7.9</v>
      </c>
      <c r="AY1341" s="34" t="str">
        <f>IF(AND(E1341=1,L1341=0),AH1341,"")</f>
        <v/>
      </c>
      <c r="AZ1341" s="34" t="str">
        <f>IF(G1341=1,F1341,"")</f>
        <v/>
      </c>
      <c r="BA1341" s="34" t="str">
        <f>IF(AND(G1341=1,L1341=1),F1341,"")</f>
        <v/>
      </c>
      <c r="BB1341" s="34" t="str">
        <f>IF(AND(G1341=1,L1341=0),F1341,"")</f>
        <v/>
      </c>
      <c r="BC1341" s="33">
        <f>IF(E1341=1,IF(Orders!R1338&gt;3,1,0),"")</f>
        <v>0</v>
      </c>
      <c r="BD1341" s="33">
        <f>IF(E1341=1,IF(Orders!R1338&gt;7,1,0),"")</f>
        <v>0</v>
      </c>
      <c r="BE1341" s="32" t="str">
        <f>IF(E1341=1,IF(Orders!L1338&lt;=1.5,"Up to 1.5 km",IF(Orders!L1338&lt;=3,"1.5–3 km","Over 3 km")),"")</f>
        <v>1.5–3 km</v>
      </c>
      <c r="BF1341" s="33">
        <f>IF(E1341=1,IF(ABS((Orders!G1338-Orders!F1338)*1440-Orders!R1338)&lt;0.06,1,0),"")</f>
        <v>1</v>
      </c>
      <c r="BG1341" s="33">
        <f>IF(ABS((Orders!F1338-Orders!E1338)*1440-Orders!P1338)&lt;0.06,1,0)</f>
        <v>1</v>
      </c>
      <c r="BH1341" s="33">
        <f>IF(E1341=1,IF(IF(Orders!S1338,1,0)=1-G1341,1,0),"")</f>
        <v>1</v>
      </c>
      <c r="BI1341" s="32" t="str">
        <f>INDEX(Stores!$B$2:$B$21,MATCH(B1341,Stores!$A$2:$A$21,0))</f>
        <v>Pune</v>
      </c>
    </row>
    <row r="1342">
      <c r="A1342" s="32" t="str">
        <f>Orders!A1339</f>
        <v>O01338</v>
      </c>
      <c r="B1342" s="32" t="str">
        <f>Orders!C1339</f>
        <v>S012</v>
      </c>
      <c r="C1342" s="32" t="str">
        <f>Orders!B1339</f>
        <v>C0192</v>
      </c>
      <c r="D1342" s="32" t="str">
        <f>Orders!H1339</f>
        <v>Delivered</v>
      </c>
      <c r="E1342" s="33">
        <f>IF(Orders!H1339="Delivered",1,0)</f>
        <v>1</v>
      </c>
      <c r="F1342" s="34">
        <f>IF(E1342=1,Orders!R1339,"")</f>
        <v>-1.1</v>
      </c>
      <c r="G1342" s="33">
        <f>IF(E1342=1,IF(Orders!R1339&gt;0,1,0),"")</f>
        <v>0</v>
      </c>
      <c r="H1342" s="33">
        <f>IF(E1342=1,IF(Orders!R1339&gt;5,1,0),"")</f>
        <v>0</v>
      </c>
      <c r="I1342" s="32" t="str">
        <f>IF(E1342=1,"",IF(OR(Orders!T1339="Rider unavailable",Orders!T1339="Item unavailable"),"Company-caused","Unresolved"))</f>
        <v/>
      </c>
      <c r="J1342" s="33">
        <f>IF(OR(E1342=1,I1342="Company-caused"),1,0)</f>
        <v>1</v>
      </c>
      <c r="K1342" s="32" t="str">
        <f>IF(E1342=0,IF(I1342="Company-caused",IF(Orders!T1339="Rider unavailable","C1 Rider unavailable","C2 Item unavailable"),"Outside root: unresolved"),IF(G1342=0,"A On time",IF(H1342=1,IF(L1342=1,"B2a Severe, peak","B2b Severe, off-peak"),IF(L1342=1,"B1a Slight, peak","B1b Slight, off-peak"))))</f>
        <v>A On time</v>
      </c>
      <c r="L1342" s="33">
        <f>IF(AND(Orders!U1339&gt;=19,Orders!U1339&lt;22),1,0)</f>
        <v>0</v>
      </c>
      <c r="M1342" s="33">
        <f>IF(L1342=IF(Orders!V1339,1,0),1,0)</f>
        <v>1</v>
      </c>
      <c r="N1342" s="32" t="str">
        <f>IF(Orders!W1339="","None",Orders!W1339)</f>
        <v>None</v>
      </c>
      <c r="O1342" s="35">
        <f>INT(Orders!E1339)</f>
        <v>46271.0</v>
      </c>
      <c r="P1342" s="33">
        <f>Orders!U1339</f>
        <v>11</v>
      </c>
      <c r="Q1342" s="33">
        <f>COUNTIFS(Demand!$A$2:$A$4481,B1342,Demand!$B$2:$B$4481,O1342,Demand!$C$2:$C$4481,P1342)</f>
        <v>1</v>
      </c>
      <c r="R1342" s="33">
        <f>IF(Q1342=1,SUMIFS(Demand!$E$2:$E$4481,Demand!$A$2:$A$4481,B1342,Demand!$B$2:$B$4481,O1342,Demand!$C$2:$C$4481,P1342),"")</f>
        <v>12</v>
      </c>
      <c r="S1342" s="33">
        <f>INDEX(Stores!$G$2:$G$21,MATCH(B1342,Stores!$A$2:$A$21,0))</f>
        <v>15</v>
      </c>
      <c r="T1342" s="34">
        <f>IF(R1342="","",R1342/S1342)</f>
        <v>0.8</v>
      </c>
      <c r="U1342" s="34">
        <f>IF(E1342=1,T1342,"")</f>
        <v>0.8</v>
      </c>
      <c r="V1342" s="34">
        <f>IF(AND(E1342=1,L1342=0),T1342,"")</f>
        <v>0.8</v>
      </c>
      <c r="W1342" s="33">
        <f>IF(U1342="","",IF(U1342&lt;=Breakdowns!$C$5,1,IF(U1342&lt;=Breakdowns!$C$6,2,IF(U1342&lt;=Breakdowns!$C$7,3,4))))</f>
        <v>2</v>
      </c>
      <c r="X1342" s="33">
        <f>IF(V1342="","",IF(V1342&lt;=Breakdowns!$D$5,1,IF(V1342&lt;=Breakdowns!$D$6,2,IF(V1342&lt;=Breakdowns!$D$7,3,4))))</f>
        <v>2</v>
      </c>
      <c r="Y1342" s="34">
        <f>INDEX(Stores!$F$2:$F$21,MATCH(B1342,Stores!$A$2:$A$21,0))</f>
        <v>5.23</v>
      </c>
      <c r="Z1342" s="33">
        <f>IF(Y1342&gt;Store_Summary!$M$2,1,0)</f>
        <v>1</v>
      </c>
      <c r="AA1342" s="33">
        <f>INDEX(Stores!$C$2:$C$21,MATCH(B1342,Stores!$A$2:$A$21,0))</f>
        <v>300</v>
      </c>
      <c r="AB1342" s="33">
        <f>IF(AA1342&lt;180,1,0)</f>
        <v>0</v>
      </c>
      <c r="AC1342" s="32" t="str">
        <f>IF(Orders!D1339="","",INDEX(Riders!$C$2:$C$81,MATCH(Orders!D1339,Riders!$A$2:$A$81,0)))</f>
        <v>EV scooter</v>
      </c>
      <c r="AD1342" s="33">
        <f>IF(Orders!D1339="","",INDEX(Riders!$D$2:$D$81,MATCH(Orders!D1339,Riders!$A$2:$A$81,0)))</f>
        <v>45</v>
      </c>
      <c r="AE1342" s="33">
        <f>IF(Orders!D1339="","",IF(INDEX(Riders!$B$2:$B$81,MATCH(Orders!D1339,Riders!$A$2:$A$81,0))=B1342,1,0))</f>
        <v>0</v>
      </c>
      <c r="AF1342" s="34">
        <f>IF(E1342=1,Orders!L1339,"")</f>
        <v>3.41</v>
      </c>
      <c r="AG1342" s="34">
        <f>IF(E1342=1,Orders!P1339,"")</f>
        <v>10.8</v>
      </c>
      <c r="AH1342" s="34">
        <f>IF(E1342=1,Orders!Q1339,"")</f>
        <v>9.7</v>
      </c>
      <c r="AI1342" s="34">
        <f>IF(E1342=1,Orders!M1339,"")</f>
        <v>2.4</v>
      </c>
      <c r="AJ1342" s="34">
        <f>IF(E1342=1,Orders!N1339,"")</f>
        <v>2.6</v>
      </c>
      <c r="AK1342" s="34">
        <f>IF(E1342=1,Orders!O1339,"")</f>
        <v>4.7</v>
      </c>
      <c r="AL1342" s="33">
        <f>IF(E1342=1,IF(ROUND(ABS(AI1342+AJ1342+AK1342-AH1342),6)&lt;=0.1,1,0),"")</f>
        <v>1</v>
      </c>
      <c r="AM1342" s="36">
        <f>IF(E1342=1,AI1342/AH1342,"")</f>
        <v>0.247422680412371</v>
      </c>
      <c r="AN1342" s="36">
        <f>IF(E1342=1,AJ1342/AH1342,"")</f>
        <v>0.268041237113402</v>
      </c>
      <c r="AO1342" s="36">
        <f>IF(E1342=1,AK1342/AH1342,"")</f>
        <v>0.484536082474227</v>
      </c>
      <c r="AP1342" s="34">
        <f>IF(E1342=1,Orders!Y1339,"")</f>
        <v>0.5</v>
      </c>
      <c r="AQ1342" s="33">
        <f>IF(Orders!X1339,1,0)</f>
        <v>0</v>
      </c>
      <c r="AR1342" s="34" t="str">
        <f>IF(AND(E1342=1,L1342=1),AJ1342,"")</f>
        <v/>
      </c>
      <c r="AS1342" s="34">
        <f>IF(AND(E1342=1,L1342=0),AJ1342,"")</f>
        <v>2.6</v>
      </c>
      <c r="AT1342" s="34" t="str">
        <f>IF(AND(E1342=1,L1342=1),AI1342,"")</f>
        <v/>
      </c>
      <c r="AU1342" s="34">
        <f>IF(AND(E1342=1,L1342=0),AI1342,"")</f>
        <v>2.4</v>
      </c>
      <c r="AV1342" s="34" t="str">
        <f>IF(AND(E1342=1,L1342=1),AG1342,"")</f>
        <v/>
      </c>
      <c r="AW1342" s="34">
        <f>IF(AND(E1342=1,L1342=0),AG1342,"")</f>
        <v>10.8</v>
      </c>
      <c r="AX1342" s="34" t="str">
        <f>IF(AND(E1342=1,L1342=1),AH1342,"")</f>
        <v/>
      </c>
      <c r="AY1342" s="34">
        <f>IF(AND(E1342=1,L1342=0),AH1342,"")</f>
        <v>9.7</v>
      </c>
      <c r="AZ1342" s="34" t="str">
        <f>IF(G1342=1,F1342,"")</f>
        <v/>
      </c>
      <c r="BA1342" s="34" t="str">
        <f>IF(AND(G1342=1,L1342=1),F1342,"")</f>
        <v/>
      </c>
      <c r="BB1342" s="34" t="str">
        <f>IF(AND(G1342=1,L1342=0),F1342,"")</f>
        <v/>
      </c>
      <c r="BC1342" s="33">
        <f>IF(E1342=1,IF(Orders!R1339&gt;3,1,0),"")</f>
        <v>0</v>
      </c>
      <c r="BD1342" s="33">
        <f>IF(E1342=1,IF(Orders!R1339&gt;7,1,0),"")</f>
        <v>0</v>
      </c>
      <c r="BE1342" s="32" t="str">
        <f>IF(E1342=1,IF(Orders!L1339&lt;=1.5,"Up to 1.5 km",IF(Orders!L1339&lt;=3,"1.5–3 km","Over 3 km")),"")</f>
        <v>Over 3 km</v>
      </c>
      <c r="BF1342" s="33">
        <f>IF(E1342=1,IF(ABS((Orders!G1339-Orders!F1339)*1440-Orders!R1339)&lt;0.06,1,0),"")</f>
        <v>1</v>
      </c>
      <c r="BG1342" s="33">
        <f>IF(ABS((Orders!F1339-Orders!E1339)*1440-Orders!P1339)&lt;0.06,1,0)</f>
        <v>1</v>
      </c>
      <c r="BH1342" s="33">
        <f>IF(E1342=1,IF(IF(Orders!S1339,1,0)=1-G1342,1,0),"")</f>
        <v>1</v>
      </c>
      <c r="BI1342" s="32" t="str">
        <f>INDEX(Stores!$B$2:$B$21,MATCH(B1342,Stores!$A$2:$A$21,0))</f>
        <v>Hyderabad</v>
      </c>
    </row>
    <row r="1343">
      <c r="A1343" s="32" t="str">
        <f>Orders!A1340</f>
        <v>O01339</v>
      </c>
      <c r="B1343" s="32" t="str">
        <f>Orders!C1340</f>
        <v>S006</v>
      </c>
      <c r="C1343" s="32" t="str">
        <f>Orders!B1340</f>
        <v>C0249</v>
      </c>
      <c r="D1343" s="32" t="str">
        <f>Orders!H1340</f>
        <v>Delivered</v>
      </c>
      <c r="E1343" s="33">
        <f>IF(Orders!H1340="Delivered",1,0)</f>
        <v>1</v>
      </c>
      <c r="F1343" s="34">
        <f>IF(E1343=1,Orders!R1340,"")</f>
        <v>-1</v>
      </c>
      <c r="G1343" s="33">
        <f>IF(E1343=1,IF(Orders!R1340&gt;0,1,0),"")</f>
        <v>0</v>
      </c>
      <c r="H1343" s="33">
        <f>IF(E1343=1,IF(Orders!R1340&gt;5,1,0),"")</f>
        <v>0</v>
      </c>
      <c r="I1343" s="32" t="str">
        <f>IF(E1343=1,"",IF(OR(Orders!T1340="Rider unavailable",Orders!T1340="Item unavailable"),"Company-caused","Unresolved"))</f>
        <v/>
      </c>
      <c r="J1343" s="33">
        <f>IF(OR(E1343=1,I1343="Company-caused"),1,0)</f>
        <v>1</v>
      </c>
      <c r="K1343" s="32" t="str">
        <f>IF(E1343=0,IF(I1343="Company-caused",IF(Orders!T1340="Rider unavailable","C1 Rider unavailable","C2 Item unavailable"),"Outside root: unresolved"),IF(G1343=0,"A On time",IF(H1343=1,IF(L1343=1,"B2a Severe, peak","B2b Severe, off-peak"),IF(L1343=1,"B1a Slight, peak","B1b Slight, off-peak"))))</f>
        <v>A On time</v>
      </c>
      <c r="L1343" s="33">
        <f>IF(AND(Orders!U1340&gt;=19,Orders!U1340&lt;22),1,0)</f>
        <v>0</v>
      </c>
      <c r="M1343" s="33">
        <f>IF(L1343=IF(Orders!V1340,1,0),1,0)</f>
        <v>1</v>
      </c>
      <c r="N1343" s="32" t="str">
        <f>IF(Orders!W1340="","None",Orders!W1340)</f>
        <v>None</v>
      </c>
      <c r="O1343" s="35">
        <f>INT(Orders!E1340)</f>
        <v>46266.0</v>
      </c>
      <c r="P1343" s="33">
        <f>Orders!U1340</f>
        <v>9</v>
      </c>
      <c r="Q1343" s="33">
        <f>COUNTIFS(Demand!$A$2:$A$4481,B1343,Demand!$B$2:$B$4481,O1343,Demand!$C$2:$C$4481,P1343)</f>
        <v>1</v>
      </c>
      <c r="R1343" s="33">
        <f>IF(Q1343=1,SUMIFS(Demand!$E$2:$E$4481,Demand!$A$2:$A$4481,B1343,Demand!$B$2:$B$4481,O1343,Demand!$C$2:$C$4481,P1343),"")</f>
        <v>12</v>
      </c>
      <c r="S1343" s="33">
        <f>INDEX(Stores!$G$2:$G$21,MATCH(B1343,Stores!$A$2:$A$21,0))</f>
        <v>26</v>
      </c>
      <c r="T1343" s="34">
        <f>IF(R1343="","",R1343/S1343)</f>
        <v>0.461538461538462</v>
      </c>
      <c r="U1343" s="34">
        <f>IF(E1343=1,T1343,"")</f>
        <v>0.461538461538462</v>
      </c>
      <c r="V1343" s="34">
        <f>IF(AND(E1343=1,L1343=0),T1343,"")</f>
        <v>0.461538461538462</v>
      </c>
      <c r="W1343" s="33">
        <f>IF(U1343="","",IF(U1343&lt;=Breakdowns!$C$5,1,IF(U1343&lt;=Breakdowns!$C$6,2,IF(U1343&lt;=Breakdowns!$C$7,3,4))))</f>
        <v>1</v>
      </c>
      <c r="X1343" s="33">
        <f>IF(V1343="","",IF(V1343&lt;=Breakdowns!$D$5,1,IF(V1343&lt;=Breakdowns!$D$6,2,IF(V1343&lt;=Breakdowns!$D$7,3,4))))</f>
        <v>1</v>
      </c>
      <c r="Y1343" s="34">
        <f>INDEX(Stores!$F$2:$F$21,MATCH(B1343,Stores!$A$2:$A$21,0))</f>
        <v>5.22</v>
      </c>
      <c r="Z1343" s="33">
        <f>IF(Y1343&gt;Store_Summary!$M$2,1,0)</f>
        <v>1</v>
      </c>
      <c r="AA1343" s="33">
        <f>INDEX(Stores!$C$2:$C$21,MATCH(B1343,Stores!$A$2:$A$21,0))</f>
        <v>412</v>
      </c>
      <c r="AB1343" s="33">
        <f>IF(AA1343&lt;180,1,0)</f>
        <v>0</v>
      </c>
      <c r="AC1343" s="32" t="str">
        <f>IF(Orders!D1340="","",INDEX(Riders!$C$2:$C$81,MATCH(Orders!D1340,Riders!$A$2:$A$81,0)))</f>
        <v>Petrol scooter</v>
      </c>
      <c r="AD1343" s="33">
        <f>IF(Orders!D1340="","",INDEX(Riders!$D$2:$D$81,MATCH(Orders!D1340,Riders!$A$2:$A$81,0)))</f>
        <v>19</v>
      </c>
      <c r="AE1343" s="33">
        <f>IF(Orders!D1340="","",IF(INDEX(Riders!$B$2:$B$81,MATCH(Orders!D1340,Riders!$A$2:$A$81,0))=B1343,1,0))</f>
        <v>0</v>
      </c>
      <c r="AF1343" s="34">
        <f>IF(E1343=1,Orders!L1340,"")</f>
        <v>1.91</v>
      </c>
      <c r="AG1343" s="34">
        <f>IF(E1343=1,Orders!P1340,"")</f>
        <v>11.2</v>
      </c>
      <c r="AH1343" s="34">
        <f>IF(E1343=1,Orders!Q1340,"")</f>
        <v>10.2</v>
      </c>
      <c r="AI1343" s="34">
        <f>IF(E1343=1,Orders!M1340,"")</f>
        <v>3.3</v>
      </c>
      <c r="AJ1343" s="34">
        <f>IF(E1343=1,Orders!N1340,"")</f>
        <v>3.9</v>
      </c>
      <c r="AK1343" s="34">
        <f>IF(E1343=1,Orders!O1340,"")</f>
        <v>3</v>
      </c>
      <c r="AL1343" s="33">
        <f>IF(E1343=1,IF(ROUND(ABS(AI1343+AJ1343+AK1343-AH1343),6)&lt;=0.1,1,0),"")</f>
        <v>1</v>
      </c>
      <c r="AM1343" s="36">
        <f>IF(E1343=1,AI1343/AH1343,"")</f>
        <v>0.323529411764706</v>
      </c>
      <c r="AN1343" s="36">
        <f>IF(E1343=1,AJ1343/AH1343,"")</f>
        <v>0.382352941176471</v>
      </c>
      <c r="AO1343" s="36">
        <f>IF(E1343=1,AK1343/AH1343,"")</f>
        <v>0.294117647058824</v>
      </c>
      <c r="AP1343" s="34">
        <f>IF(E1343=1,Orders!Y1340,"")</f>
        <v>0.49</v>
      </c>
      <c r="AQ1343" s="33">
        <f>IF(Orders!X1340,1,0)</f>
        <v>0</v>
      </c>
      <c r="AR1343" s="34" t="str">
        <f>IF(AND(E1343=1,L1343=1),AJ1343,"")</f>
        <v/>
      </c>
      <c r="AS1343" s="34">
        <f>IF(AND(E1343=1,L1343=0),AJ1343,"")</f>
        <v>3.9</v>
      </c>
      <c r="AT1343" s="34" t="str">
        <f>IF(AND(E1343=1,L1343=1),AI1343,"")</f>
        <v/>
      </c>
      <c r="AU1343" s="34">
        <f>IF(AND(E1343=1,L1343=0),AI1343,"")</f>
        <v>3.3</v>
      </c>
      <c r="AV1343" s="34" t="str">
        <f>IF(AND(E1343=1,L1343=1),AG1343,"")</f>
        <v/>
      </c>
      <c r="AW1343" s="34">
        <f>IF(AND(E1343=1,L1343=0),AG1343,"")</f>
        <v>11.2</v>
      </c>
      <c r="AX1343" s="34" t="str">
        <f>IF(AND(E1343=1,L1343=1),AH1343,"")</f>
        <v/>
      </c>
      <c r="AY1343" s="34">
        <f>IF(AND(E1343=1,L1343=0),AH1343,"")</f>
        <v>10.2</v>
      </c>
      <c r="AZ1343" s="34" t="str">
        <f>IF(G1343=1,F1343,"")</f>
        <v/>
      </c>
      <c r="BA1343" s="34" t="str">
        <f>IF(AND(G1343=1,L1343=1),F1343,"")</f>
        <v/>
      </c>
      <c r="BB1343" s="34" t="str">
        <f>IF(AND(G1343=1,L1343=0),F1343,"")</f>
        <v/>
      </c>
      <c r="BC1343" s="33">
        <f>IF(E1343=1,IF(Orders!R1340&gt;3,1,0),"")</f>
        <v>0</v>
      </c>
      <c r="BD1343" s="33">
        <f>IF(E1343=1,IF(Orders!R1340&gt;7,1,0),"")</f>
        <v>0</v>
      </c>
      <c r="BE1343" s="32" t="str">
        <f>IF(E1343=1,IF(Orders!L1340&lt;=1.5,"Up to 1.5 km",IF(Orders!L1340&lt;=3,"1.5–3 km","Over 3 km")),"")</f>
        <v>1.5–3 km</v>
      </c>
      <c r="BF1343" s="33">
        <f>IF(E1343=1,IF(ABS((Orders!G1340-Orders!F1340)*1440-Orders!R1340)&lt;0.06,1,0),"")</f>
        <v>1</v>
      </c>
      <c r="BG1343" s="33">
        <f>IF(ABS((Orders!F1340-Orders!E1340)*1440-Orders!P1340)&lt;0.06,1,0)</f>
        <v>1</v>
      </c>
      <c r="BH1343" s="33">
        <f>IF(E1343=1,IF(IF(Orders!S1340,1,0)=1-G1343,1,0),"")</f>
        <v>1</v>
      </c>
      <c r="BI1343" s="32" t="str">
        <f>INDEX(Stores!$B$2:$B$21,MATCH(B1343,Stores!$A$2:$A$21,0))</f>
        <v>Bengaluru</v>
      </c>
    </row>
    <row r="1344">
      <c r="A1344" s="32" t="str">
        <f>Orders!A1341</f>
        <v>O01340</v>
      </c>
      <c r="B1344" s="32" t="str">
        <f>Orders!C1341</f>
        <v>S014</v>
      </c>
      <c r="C1344" s="32" t="str">
        <f>Orders!B1341</f>
        <v>C0031</v>
      </c>
      <c r="D1344" s="32" t="str">
        <f>Orders!H1341</f>
        <v>Delivered</v>
      </c>
      <c r="E1344" s="33">
        <f>IF(Orders!H1341="Delivered",1,0)</f>
        <v>1</v>
      </c>
      <c r="F1344" s="34">
        <f>IF(E1344=1,Orders!R1341,"")</f>
        <v>-2.8</v>
      </c>
      <c r="G1344" s="33">
        <f>IF(E1344=1,IF(Orders!R1341&gt;0,1,0),"")</f>
        <v>0</v>
      </c>
      <c r="H1344" s="33">
        <f>IF(E1344=1,IF(Orders!R1341&gt;5,1,0),"")</f>
        <v>0</v>
      </c>
      <c r="I1344" s="32" t="str">
        <f>IF(E1344=1,"",IF(OR(Orders!T1341="Rider unavailable",Orders!T1341="Item unavailable"),"Company-caused","Unresolved"))</f>
        <v/>
      </c>
      <c r="J1344" s="33">
        <f>IF(OR(E1344=1,I1344="Company-caused"),1,0)</f>
        <v>1</v>
      </c>
      <c r="K1344" s="32" t="str">
        <f>IF(E1344=0,IF(I1344="Company-caused",IF(Orders!T1341="Rider unavailable","C1 Rider unavailable","C2 Item unavailable"),"Outside root: unresolved"),IF(G1344=0,"A On time",IF(H1344=1,IF(L1344=1,"B2a Severe, peak","B2b Severe, off-peak"),IF(L1344=1,"B1a Slight, peak","B1b Slight, off-peak"))))</f>
        <v>A On time</v>
      </c>
      <c r="L1344" s="33">
        <f>IF(AND(Orders!U1341&gt;=19,Orders!U1341&lt;22),1,0)</f>
        <v>0</v>
      </c>
      <c r="M1344" s="33">
        <f>IF(L1344=IF(Orders!V1341,1,0),1,0)</f>
        <v>1</v>
      </c>
      <c r="N1344" s="32" t="str">
        <f>IF(Orders!W1341="","None",Orders!W1341)</f>
        <v>None</v>
      </c>
      <c r="O1344" s="35">
        <f>INT(Orders!E1341)</f>
        <v>46272.0</v>
      </c>
      <c r="P1344" s="33">
        <f>Orders!U1341</f>
        <v>12</v>
      </c>
      <c r="Q1344" s="33">
        <f>COUNTIFS(Demand!$A$2:$A$4481,B1344,Demand!$B$2:$B$4481,O1344,Demand!$C$2:$C$4481,P1344)</f>
        <v>1</v>
      </c>
      <c r="R1344" s="33">
        <f>IF(Q1344=1,SUMIFS(Demand!$E$2:$E$4481,Demand!$A$2:$A$4481,B1344,Demand!$B$2:$B$4481,O1344,Demand!$C$2:$C$4481,P1344),"")</f>
        <v>34</v>
      </c>
      <c r="S1344" s="33">
        <f>INDEX(Stores!$G$2:$G$21,MATCH(B1344,Stores!$A$2:$A$21,0))</f>
        <v>37</v>
      </c>
      <c r="T1344" s="34">
        <f>IF(R1344="","",R1344/S1344)</f>
        <v>0.918918918918919</v>
      </c>
      <c r="U1344" s="34">
        <f>IF(E1344=1,T1344,"")</f>
        <v>0.918918918918919</v>
      </c>
      <c r="V1344" s="34">
        <f>IF(AND(E1344=1,L1344=0),T1344,"")</f>
        <v>0.918918918918919</v>
      </c>
      <c r="W1344" s="33">
        <f>IF(U1344="","",IF(U1344&lt;=Breakdowns!$C$5,1,IF(U1344&lt;=Breakdowns!$C$6,2,IF(U1344&lt;=Breakdowns!$C$7,3,4))))</f>
        <v>2</v>
      </c>
      <c r="X1344" s="33">
        <f>IF(V1344="","",IF(V1344&lt;=Breakdowns!$D$5,1,IF(V1344&lt;=Breakdowns!$D$6,2,IF(V1344&lt;=Breakdowns!$D$7,3,4))))</f>
        <v>3</v>
      </c>
      <c r="Y1344" s="34">
        <f>INDEX(Stores!$F$2:$F$21,MATCH(B1344,Stores!$A$2:$A$21,0))</f>
        <v>5.55</v>
      </c>
      <c r="Z1344" s="33">
        <f>IF(Y1344&gt;Store_Summary!$M$2,1,0)</f>
        <v>1</v>
      </c>
      <c r="AA1344" s="33">
        <f>INDEX(Stores!$C$2:$C$21,MATCH(B1344,Stores!$A$2:$A$21,0))</f>
        <v>241</v>
      </c>
      <c r="AB1344" s="33">
        <f>IF(AA1344&lt;180,1,0)</f>
        <v>0</v>
      </c>
      <c r="AC1344" s="32" t="str">
        <f>IF(Orders!D1341="","",INDEX(Riders!$C$2:$C$81,MATCH(Orders!D1341,Riders!$A$2:$A$81,0)))</f>
        <v>Petrol scooter</v>
      </c>
      <c r="AD1344" s="33">
        <f>IF(Orders!D1341="","",INDEX(Riders!$D$2:$D$81,MATCH(Orders!D1341,Riders!$A$2:$A$81,0)))</f>
        <v>11</v>
      </c>
      <c r="AE1344" s="33">
        <f>IF(Orders!D1341="","",IF(INDEX(Riders!$B$2:$B$81,MATCH(Orders!D1341,Riders!$A$2:$A$81,0))=B1344,1,0))</f>
        <v>0</v>
      </c>
      <c r="AF1344" s="34">
        <f>IF(E1344=1,Orders!L1341,"")</f>
        <v>0.69</v>
      </c>
      <c r="AG1344" s="34">
        <f>IF(E1344=1,Orders!P1341,"")</f>
        <v>11.2</v>
      </c>
      <c r="AH1344" s="34">
        <f>IF(E1344=1,Orders!Q1341,"")</f>
        <v>8.4</v>
      </c>
      <c r="AI1344" s="34">
        <f>IF(E1344=1,Orders!M1341,"")</f>
        <v>5.5</v>
      </c>
      <c r="AJ1344" s="34">
        <f>IF(E1344=1,Orders!N1341,"")</f>
        <v>0.6</v>
      </c>
      <c r="AK1344" s="34">
        <f>IF(E1344=1,Orders!O1341,"")</f>
        <v>2.2</v>
      </c>
      <c r="AL1344" s="33">
        <f>IF(E1344=1,IF(ROUND(ABS(AI1344+AJ1344+AK1344-AH1344),6)&lt;=0.1,1,0),"")</f>
        <v>1</v>
      </c>
      <c r="AM1344" s="36">
        <f>IF(E1344=1,AI1344/AH1344,"")</f>
        <v>0.654761904761905</v>
      </c>
      <c r="AN1344" s="36">
        <f>IF(E1344=1,AJ1344/AH1344,"")</f>
        <v>0.0714285714285714</v>
      </c>
      <c r="AO1344" s="36">
        <f>IF(E1344=1,AK1344/AH1344,"")</f>
        <v>0.261904761904762</v>
      </c>
      <c r="AP1344" s="34">
        <f>IF(E1344=1,Orders!Y1341,"")</f>
        <v>0.32</v>
      </c>
      <c r="AQ1344" s="33">
        <f>IF(Orders!X1341,1,0)</f>
        <v>0</v>
      </c>
      <c r="AR1344" s="34" t="str">
        <f>IF(AND(E1344=1,L1344=1),AJ1344,"")</f>
        <v/>
      </c>
      <c r="AS1344" s="34">
        <f>IF(AND(E1344=1,L1344=0),AJ1344,"")</f>
        <v>0.6</v>
      </c>
      <c r="AT1344" s="34" t="str">
        <f>IF(AND(E1344=1,L1344=1),AI1344,"")</f>
        <v/>
      </c>
      <c r="AU1344" s="34">
        <f>IF(AND(E1344=1,L1344=0),AI1344,"")</f>
        <v>5.5</v>
      </c>
      <c r="AV1344" s="34" t="str">
        <f>IF(AND(E1344=1,L1344=1),AG1344,"")</f>
        <v/>
      </c>
      <c r="AW1344" s="34">
        <f>IF(AND(E1344=1,L1344=0),AG1344,"")</f>
        <v>11.2</v>
      </c>
      <c r="AX1344" s="34" t="str">
        <f>IF(AND(E1344=1,L1344=1),AH1344,"")</f>
        <v/>
      </c>
      <c r="AY1344" s="34">
        <f>IF(AND(E1344=1,L1344=0),AH1344,"")</f>
        <v>8.4</v>
      </c>
      <c r="AZ1344" s="34" t="str">
        <f>IF(G1344=1,F1344,"")</f>
        <v/>
      </c>
      <c r="BA1344" s="34" t="str">
        <f>IF(AND(G1344=1,L1344=1),F1344,"")</f>
        <v/>
      </c>
      <c r="BB1344" s="34" t="str">
        <f>IF(AND(G1344=1,L1344=0),F1344,"")</f>
        <v/>
      </c>
      <c r="BC1344" s="33">
        <f>IF(E1344=1,IF(Orders!R1341&gt;3,1,0),"")</f>
        <v>0</v>
      </c>
      <c r="BD1344" s="33">
        <f>IF(E1344=1,IF(Orders!R1341&gt;7,1,0),"")</f>
        <v>0</v>
      </c>
      <c r="BE1344" s="32" t="str">
        <f>IF(E1344=1,IF(Orders!L1341&lt;=1.5,"Up to 1.5 km",IF(Orders!L1341&lt;=3,"1.5–3 km","Over 3 km")),"")</f>
        <v>Up to 1.5 km</v>
      </c>
      <c r="BF1344" s="33">
        <f>IF(E1344=1,IF(ABS((Orders!G1341-Orders!F1341)*1440-Orders!R1341)&lt;0.06,1,0),"")</f>
        <v>1</v>
      </c>
      <c r="BG1344" s="33">
        <f>IF(ABS((Orders!F1341-Orders!E1341)*1440-Orders!P1341)&lt;0.06,1,0)</f>
        <v>1</v>
      </c>
      <c r="BH1344" s="33">
        <f>IF(E1344=1,IF(IF(Orders!S1341,1,0)=1-G1344,1,0),"")</f>
        <v>1</v>
      </c>
      <c r="BI1344" s="32" t="str">
        <f>INDEX(Stores!$B$2:$B$21,MATCH(B1344,Stores!$A$2:$A$21,0))</f>
        <v>Pune</v>
      </c>
    </row>
    <row r="1345">
      <c r="A1345" s="32" t="str">
        <f>Orders!A1342</f>
        <v>O01341</v>
      </c>
      <c r="B1345" s="32" t="str">
        <f>Orders!C1342</f>
        <v>S017</v>
      </c>
      <c r="C1345" s="32" t="str">
        <f>Orders!B1342</f>
        <v>C0184</v>
      </c>
      <c r="D1345" s="32" t="str">
        <f>Orders!H1342</f>
        <v>Delivered</v>
      </c>
      <c r="E1345" s="33">
        <f>IF(Orders!H1342="Delivered",1,0)</f>
        <v>1</v>
      </c>
      <c r="F1345" s="34">
        <f>IF(E1345=1,Orders!R1342,"")</f>
        <v>-0.7</v>
      </c>
      <c r="G1345" s="33">
        <f>IF(E1345=1,IF(Orders!R1342&gt;0,1,0),"")</f>
        <v>0</v>
      </c>
      <c r="H1345" s="33">
        <f>IF(E1345=1,IF(Orders!R1342&gt;5,1,0),"")</f>
        <v>0</v>
      </c>
      <c r="I1345" s="32" t="str">
        <f>IF(E1345=1,"",IF(OR(Orders!T1342="Rider unavailable",Orders!T1342="Item unavailable"),"Company-caused","Unresolved"))</f>
        <v/>
      </c>
      <c r="J1345" s="33">
        <f>IF(OR(E1345=1,I1345="Company-caused"),1,0)</f>
        <v>1</v>
      </c>
      <c r="K1345" s="32" t="str">
        <f>IF(E1345=0,IF(I1345="Company-caused",IF(Orders!T1342="Rider unavailable","C1 Rider unavailable","C2 Item unavailable"),"Outside root: unresolved"),IF(G1345=0,"A On time",IF(H1345=1,IF(L1345=1,"B2a Severe, peak","B2b Severe, off-peak"),IF(L1345=1,"B1a Slight, peak","B1b Slight, off-peak"))))</f>
        <v>A On time</v>
      </c>
      <c r="L1345" s="33">
        <f>IF(AND(Orders!U1342&gt;=19,Orders!U1342&lt;22),1,0)</f>
        <v>1</v>
      </c>
      <c r="M1345" s="33">
        <f>IF(L1345=IF(Orders!V1342,1,0),1,0)</f>
        <v>1</v>
      </c>
      <c r="N1345" s="32" t="str">
        <f>IF(Orders!W1342="","None",Orders!W1342)</f>
        <v>None</v>
      </c>
      <c r="O1345" s="35">
        <f>INT(Orders!E1342)</f>
        <v>46279.0</v>
      </c>
      <c r="P1345" s="33">
        <f>Orders!U1342</f>
        <v>19</v>
      </c>
      <c r="Q1345" s="33">
        <f>COUNTIFS(Demand!$A$2:$A$4481,B1345,Demand!$B$2:$B$4481,O1345,Demand!$C$2:$C$4481,P1345)</f>
        <v>1</v>
      </c>
      <c r="R1345" s="33">
        <f>IF(Q1345=1,SUMIFS(Demand!$E$2:$E$4481,Demand!$A$2:$A$4481,B1345,Demand!$B$2:$B$4481,O1345,Demand!$C$2:$C$4481,P1345),"")</f>
        <v>45</v>
      </c>
      <c r="S1345" s="33">
        <f>INDEX(Stores!$G$2:$G$21,MATCH(B1345,Stores!$A$2:$A$21,0))</f>
        <v>36</v>
      </c>
      <c r="T1345" s="34">
        <f>IF(R1345="","",R1345/S1345)</f>
        <v>1.25</v>
      </c>
      <c r="U1345" s="34">
        <f>IF(E1345=1,T1345,"")</f>
        <v>1.25</v>
      </c>
      <c r="V1345" s="34" t="str">
        <f>IF(AND(E1345=1,L1345=0),T1345,"")</f>
        <v/>
      </c>
      <c r="W1345" s="33">
        <f>IF(U1345="","",IF(U1345&lt;=Breakdowns!$C$5,1,IF(U1345&lt;=Breakdowns!$C$6,2,IF(U1345&lt;=Breakdowns!$C$7,3,4))))</f>
        <v>4</v>
      </c>
      <c r="X1345" s="33" t="str">
        <f>IF(V1345="","",IF(V1345&lt;=Breakdowns!$D$5,1,IF(V1345&lt;=Breakdowns!$D$6,2,IF(V1345&lt;=Breakdowns!$D$7,3,4))))</f>
        <v/>
      </c>
      <c r="Y1345" s="34">
        <f>INDEX(Stores!$F$2:$F$21,MATCH(B1345,Stores!$A$2:$A$21,0))</f>
        <v>2.16</v>
      </c>
      <c r="Z1345" s="33">
        <f>IF(Y1345&gt;Store_Summary!$M$2,1,0)</f>
        <v>0</v>
      </c>
      <c r="AA1345" s="33">
        <f>INDEX(Stores!$C$2:$C$21,MATCH(B1345,Stores!$A$2:$A$21,0))</f>
        <v>47</v>
      </c>
      <c r="AB1345" s="33">
        <f>IF(AA1345&lt;180,1,0)</f>
        <v>1</v>
      </c>
      <c r="AC1345" s="32" t="str">
        <f>IF(Orders!D1342="","",INDEX(Riders!$C$2:$C$81,MATCH(Orders!D1342,Riders!$A$2:$A$81,0)))</f>
        <v>EV scooter</v>
      </c>
      <c r="AD1345" s="33">
        <f>IF(Orders!D1342="","",INDEX(Riders!$D$2:$D$81,MATCH(Orders!D1342,Riders!$A$2:$A$81,0)))</f>
        <v>45</v>
      </c>
      <c r="AE1345" s="33">
        <f>IF(Orders!D1342="","",IF(INDEX(Riders!$B$2:$B$81,MATCH(Orders!D1342,Riders!$A$2:$A$81,0))=B1345,1,0))</f>
        <v>0</v>
      </c>
      <c r="AF1345" s="34">
        <f>IF(E1345=1,Orders!L1342,"")</f>
        <v>1.67</v>
      </c>
      <c r="AG1345" s="34">
        <f>IF(E1345=1,Orders!P1342,"")</f>
        <v>8.3</v>
      </c>
      <c r="AH1345" s="34">
        <f>IF(E1345=1,Orders!Q1342,"")</f>
        <v>7.6</v>
      </c>
      <c r="AI1345" s="34">
        <f>IF(E1345=1,Orders!M1342,"")</f>
        <v>1</v>
      </c>
      <c r="AJ1345" s="34">
        <f>IF(E1345=1,Orders!N1342,"")</f>
        <v>3.4</v>
      </c>
      <c r="AK1345" s="34">
        <f>IF(E1345=1,Orders!O1342,"")</f>
        <v>3.2</v>
      </c>
      <c r="AL1345" s="33">
        <f>IF(E1345=1,IF(ROUND(ABS(AI1345+AJ1345+AK1345-AH1345),6)&lt;=0.1,1,0),"")</f>
        <v>1</v>
      </c>
      <c r="AM1345" s="36">
        <f>IF(E1345=1,AI1345/AH1345,"")</f>
        <v>0.131578947368421</v>
      </c>
      <c r="AN1345" s="36">
        <f>IF(E1345=1,AJ1345/AH1345,"")</f>
        <v>0.447368421052632</v>
      </c>
      <c r="AO1345" s="36">
        <f>IF(E1345=1,AK1345/AH1345,"")</f>
        <v>0.421052631578947</v>
      </c>
      <c r="AP1345" s="34">
        <f>IF(E1345=1,Orders!Y1342,"")</f>
        <v>0.82</v>
      </c>
      <c r="AQ1345" s="33">
        <f>IF(Orders!X1342,1,0)</f>
        <v>1</v>
      </c>
      <c r="AR1345" s="34">
        <f>IF(AND(E1345=1,L1345=1),AJ1345,"")</f>
        <v>3.4</v>
      </c>
      <c r="AS1345" s="34" t="str">
        <f>IF(AND(E1345=1,L1345=0),AJ1345,"")</f>
        <v/>
      </c>
      <c r="AT1345" s="34">
        <f>IF(AND(E1345=1,L1345=1),AI1345,"")</f>
        <v>1</v>
      </c>
      <c r="AU1345" s="34" t="str">
        <f>IF(AND(E1345=1,L1345=0),AI1345,"")</f>
        <v/>
      </c>
      <c r="AV1345" s="34">
        <f>IF(AND(E1345=1,L1345=1),AG1345,"")</f>
        <v>8.3</v>
      </c>
      <c r="AW1345" s="34" t="str">
        <f>IF(AND(E1345=1,L1345=0),AG1345,"")</f>
        <v/>
      </c>
      <c r="AX1345" s="34">
        <f>IF(AND(E1345=1,L1345=1),AH1345,"")</f>
        <v>7.6</v>
      </c>
      <c r="AY1345" s="34" t="str">
        <f>IF(AND(E1345=1,L1345=0),AH1345,"")</f>
        <v/>
      </c>
      <c r="AZ1345" s="34" t="str">
        <f>IF(G1345=1,F1345,"")</f>
        <v/>
      </c>
      <c r="BA1345" s="34" t="str">
        <f>IF(AND(G1345=1,L1345=1),F1345,"")</f>
        <v/>
      </c>
      <c r="BB1345" s="34" t="str">
        <f>IF(AND(G1345=1,L1345=0),F1345,"")</f>
        <v/>
      </c>
      <c r="BC1345" s="33">
        <f>IF(E1345=1,IF(Orders!R1342&gt;3,1,0),"")</f>
        <v>0</v>
      </c>
      <c r="BD1345" s="33">
        <f>IF(E1345=1,IF(Orders!R1342&gt;7,1,0),"")</f>
        <v>0</v>
      </c>
      <c r="BE1345" s="32" t="str">
        <f>IF(E1345=1,IF(Orders!L1342&lt;=1.5,"Up to 1.5 km",IF(Orders!L1342&lt;=3,"1.5–3 km","Over 3 km")),"")</f>
        <v>1.5–3 km</v>
      </c>
      <c r="BF1345" s="33">
        <f>IF(E1345=1,IF(ABS((Orders!G1342-Orders!F1342)*1440-Orders!R1342)&lt;0.06,1,0),"")</f>
        <v>1</v>
      </c>
      <c r="BG1345" s="33">
        <f>IF(ABS((Orders!F1342-Orders!E1342)*1440-Orders!P1342)&lt;0.06,1,0)</f>
        <v>1</v>
      </c>
      <c r="BH1345" s="33">
        <f>IF(E1345=1,IF(IF(Orders!S1342,1,0)=1-G1345,1,0),"")</f>
        <v>1</v>
      </c>
      <c r="BI1345" s="32" t="str">
        <f>INDEX(Stores!$B$2:$B$21,MATCH(B1345,Stores!$A$2:$A$21,0))</f>
        <v>Hyderabad</v>
      </c>
    </row>
    <row r="1346">
      <c r="A1346" s="32" t="str">
        <f>Orders!A1343</f>
        <v>O01342</v>
      </c>
      <c r="B1346" s="32" t="str">
        <f>Orders!C1343</f>
        <v>S007</v>
      </c>
      <c r="C1346" s="32" t="str">
        <f>Orders!B1343</f>
        <v>C0128</v>
      </c>
      <c r="D1346" s="32" t="str">
        <f>Orders!H1343</f>
        <v>Delivered</v>
      </c>
      <c r="E1346" s="33">
        <f>IF(Orders!H1343="Delivered",1,0)</f>
        <v>1</v>
      </c>
      <c r="F1346" s="34">
        <f>IF(E1346=1,Orders!R1343,"")</f>
        <v>2.3</v>
      </c>
      <c r="G1346" s="33">
        <f>IF(E1346=1,IF(Orders!R1343&gt;0,1,0),"")</f>
        <v>1</v>
      </c>
      <c r="H1346" s="33">
        <f>IF(E1346=1,IF(Orders!R1343&gt;5,1,0),"")</f>
        <v>0</v>
      </c>
      <c r="I1346" s="32" t="str">
        <f>IF(E1346=1,"",IF(OR(Orders!T1343="Rider unavailable",Orders!T1343="Item unavailable"),"Company-caused","Unresolved"))</f>
        <v/>
      </c>
      <c r="J1346" s="33">
        <f>IF(OR(E1346=1,I1346="Company-caused"),1,0)</f>
        <v>1</v>
      </c>
      <c r="K1346" s="32" t="str">
        <f>IF(E1346=0,IF(I1346="Company-caused",IF(Orders!T1343="Rider unavailable","C1 Rider unavailable","C2 Item unavailable"),"Outside root: unresolved"),IF(G1346=0,"A On time",IF(H1346=1,IF(L1346=1,"B2a Severe, peak","B2b Severe, off-peak"),IF(L1346=1,"B1a Slight, peak","B1b Slight, off-peak"))))</f>
        <v>B1b Slight, off-peak</v>
      </c>
      <c r="L1346" s="33">
        <f>IF(AND(Orders!U1343&gt;=19,Orders!U1343&lt;22),1,0)</f>
        <v>0</v>
      </c>
      <c r="M1346" s="33">
        <f>IF(L1346=IF(Orders!V1343,1,0),1,0)</f>
        <v>1</v>
      </c>
      <c r="N1346" s="32" t="str">
        <f>IF(Orders!W1343="","None",Orders!W1343)</f>
        <v>None</v>
      </c>
      <c r="O1346" s="35">
        <f>INT(Orders!E1343)</f>
        <v>46276.0</v>
      </c>
      <c r="P1346" s="33">
        <f>Orders!U1343</f>
        <v>18</v>
      </c>
      <c r="Q1346" s="33">
        <f>COUNTIFS(Demand!$A$2:$A$4481,B1346,Demand!$B$2:$B$4481,O1346,Demand!$C$2:$C$4481,P1346)</f>
        <v>1</v>
      </c>
      <c r="R1346" s="33">
        <f>IF(Q1346=1,SUMIFS(Demand!$E$2:$E$4481,Demand!$A$2:$A$4481,B1346,Demand!$B$2:$B$4481,O1346,Demand!$C$2:$C$4481,P1346),"")</f>
        <v>39</v>
      </c>
      <c r="S1346" s="33">
        <f>INDEX(Stores!$G$2:$G$21,MATCH(B1346,Stores!$A$2:$A$21,0))</f>
        <v>37</v>
      </c>
      <c r="T1346" s="34">
        <f>IF(R1346="","",R1346/S1346)</f>
        <v>1.05405405405405</v>
      </c>
      <c r="U1346" s="34">
        <f>IF(E1346=1,T1346,"")</f>
        <v>1.05405405405405</v>
      </c>
      <c r="V1346" s="34">
        <f>IF(AND(E1346=1,L1346=0),T1346,"")</f>
        <v>1.05405405405405</v>
      </c>
      <c r="W1346" s="33">
        <f>IF(U1346="","",IF(U1346&lt;=Breakdowns!$C$5,1,IF(U1346&lt;=Breakdowns!$C$6,2,IF(U1346&lt;=Breakdowns!$C$7,3,4))))</f>
        <v>3</v>
      </c>
      <c r="X1346" s="33">
        <f>IF(V1346="","",IF(V1346&lt;=Breakdowns!$D$5,1,IF(V1346&lt;=Breakdowns!$D$6,2,IF(V1346&lt;=Breakdowns!$D$7,3,4))))</f>
        <v>3</v>
      </c>
      <c r="Y1346" s="34">
        <f>INDEX(Stores!$F$2:$F$21,MATCH(B1346,Stores!$A$2:$A$21,0))</f>
        <v>4.05</v>
      </c>
      <c r="Z1346" s="33">
        <f>IF(Y1346&gt;Store_Summary!$M$2,1,0)</f>
        <v>0</v>
      </c>
      <c r="AA1346" s="33">
        <f>INDEX(Stores!$C$2:$C$21,MATCH(B1346,Stores!$A$2:$A$21,0))</f>
        <v>661</v>
      </c>
      <c r="AB1346" s="33">
        <f>IF(AA1346&lt;180,1,0)</f>
        <v>0</v>
      </c>
      <c r="AC1346" s="32" t="str">
        <f>IF(Orders!D1343="","",INDEX(Riders!$C$2:$C$81,MATCH(Orders!D1343,Riders!$A$2:$A$81,0)))</f>
        <v>Bicycle</v>
      </c>
      <c r="AD1346" s="33">
        <f>IF(Orders!D1343="","",INDEX(Riders!$D$2:$D$81,MATCH(Orders!D1343,Riders!$A$2:$A$81,0)))</f>
        <v>44</v>
      </c>
      <c r="AE1346" s="33">
        <f>IF(Orders!D1343="","",IF(INDEX(Riders!$B$2:$B$81,MATCH(Orders!D1343,Riders!$A$2:$A$81,0))=B1346,1,0))</f>
        <v>0</v>
      </c>
      <c r="AF1346" s="34">
        <f>IF(E1346=1,Orders!L1343,"")</f>
        <v>1.5</v>
      </c>
      <c r="AG1346" s="34">
        <f>IF(E1346=1,Orders!P1343,"")</f>
        <v>10.5</v>
      </c>
      <c r="AH1346" s="34">
        <f>IF(E1346=1,Orders!Q1343,"")</f>
        <v>12.8</v>
      </c>
      <c r="AI1346" s="34">
        <f>IF(E1346=1,Orders!M1343,"")</f>
        <v>4.7</v>
      </c>
      <c r="AJ1346" s="34">
        <f>IF(E1346=1,Orders!N1343,"")</f>
        <v>5.3</v>
      </c>
      <c r="AK1346" s="34">
        <f>IF(E1346=1,Orders!O1343,"")</f>
        <v>2.8</v>
      </c>
      <c r="AL1346" s="33">
        <f>IF(E1346=1,IF(ROUND(ABS(AI1346+AJ1346+AK1346-AH1346),6)&lt;=0.1,1,0),"")</f>
        <v>1</v>
      </c>
      <c r="AM1346" s="36">
        <f>IF(E1346=1,AI1346/AH1346,"")</f>
        <v>0.3671875</v>
      </c>
      <c r="AN1346" s="36">
        <f>IF(E1346=1,AJ1346/AH1346,"")</f>
        <v>0.4140625</v>
      </c>
      <c r="AO1346" s="36">
        <f>IF(E1346=1,AK1346/AH1346,"")</f>
        <v>0.21875</v>
      </c>
      <c r="AP1346" s="34">
        <f>IF(E1346=1,Orders!Y1343,"")</f>
        <v>0.06</v>
      </c>
      <c r="AQ1346" s="33">
        <f>IF(Orders!X1343,1,0)</f>
        <v>0</v>
      </c>
      <c r="AR1346" s="34" t="str">
        <f>IF(AND(E1346=1,L1346=1),AJ1346,"")</f>
        <v/>
      </c>
      <c r="AS1346" s="34">
        <f>IF(AND(E1346=1,L1346=0),AJ1346,"")</f>
        <v>5.3</v>
      </c>
      <c r="AT1346" s="34" t="str">
        <f>IF(AND(E1346=1,L1346=1),AI1346,"")</f>
        <v/>
      </c>
      <c r="AU1346" s="34">
        <f>IF(AND(E1346=1,L1346=0),AI1346,"")</f>
        <v>4.7</v>
      </c>
      <c r="AV1346" s="34" t="str">
        <f>IF(AND(E1346=1,L1346=1),AG1346,"")</f>
        <v/>
      </c>
      <c r="AW1346" s="34">
        <f>IF(AND(E1346=1,L1346=0),AG1346,"")</f>
        <v>10.5</v>
      </c>
      <c r="AX1346" s="34" t="str">
        <f>IF(AND(E1346=1,L1346=1),AH1346,"")</f>
        <v/>
      </c>
      <c r="AY1346" s="34">
        <f>IF(AND(E1346=1,L1346=0),AH1346,"")</f>
        <v>12.8</v>
      </c>
      <c r="AZ1346" s="34">
        <f>IF(G1346=1,F1346,"")</f>
        <v>2.3</v>
      </c>
      <c r="BA1346" s="34" t="str">
        <f>IF(AND(G1346=1,L1346=1),F1346,"")</f>
        <v/>
      </c>
      <c r="BB1346" s="34">
        <f>IF(AND(G1346=1,L1346=0),F1346,"")</f>
        <v>2.3</v>
      </c>
      <c r="BC1346" s="33">
        <f>IF(E1346=1,IF(Orders!R1343&gt;3,1,0),"")</f>
        <v>0</v>
      </c>
      <c r="BD1346" s="33">
        <f>IF(E1346=1,IF(Orders!R1343&gt;7,1,0),"")</f>
        <v>0</v>
      </c>
      <c r="BE1346" s="32" t="str">
        <f>IF(E1346=1,IF(Orders!L1343&lt;=1.5,"Up to 1.5 km",IF(Orders!L1343&lt;=3,"1.5–3 km","Over 3 km")),"")</f>
        <v>Up to 1.5 km</v>
      </c>
      <c r="BF1346" s="33">
        <f>IF(E1346=1,IF(ABS((Orders!G1343-Orders!F1343)*1440-Orders!R1343)&lt;0.06,1,0),"")</f>
        <v>1</v>
      </c>
      <c r="BG1346" s="33">
        <f>IF(ABS((Orders!F1343-Orders!E1343)*1440-Orders!P1343)&lt;0.06,1,0)</f>
        <v>1</v>
      </c>
      <c r="BH1346" s="33">
        <f>IF(E1346=1,IF(IF(Orders!S1343,1,0)=1-G1346,1,0),"")</f>
        <v>1</v>
      </c>
      <c r="BI1346" s="32" t="str">
        <f>INDEX(Stores!$B$2:$B$21,MATCH(B1346,Stores!$A$2:$A$21,0))</f>
        <v>Hyderabad</v>
      </c>
    </row>
    <row r="1347">
      <c r="A1347" s="32" t="str">
        <f>Orders!A1344</f>
        <v>O01343</v>
      </c>
      <c r="B1347" s="32" t="str">
        <f>Orders!C1344</f>
        <v>S007</v>
      </c>
      <c r="C1347" s="32" t="str">
        <f>Orders!B1344</f>
        <v>C0178</v>
      </c>
      <c r="D1347" s="32" t="str">
        <f>Orders!H1344</f>
        <v>Delivered</v>
      </c>
      <c r="E1347" s="33">
        <f>IF(Orders!H1344="Delivered",1,0)</f>
        <v>1</v>
      </c>
      <c r="F1347" s="34">
        <f>IF(E1347=1,Orders!R1344,"")</f>
        <v>-0.3</v>
      </c>
      <c r="G1347" s="33">
        <f>IF(E1347=1,IF(Orders!R1344&gt;0,1,0),"")</f>
        <v>0</v>
      </c>
      <c r="H1347" s="33">
        <f>IF(E1347=1,IF(Orders!R1344&gt;5,1,0),"")</f>
        <v>0</v>
      </c>
      <c r="I1347" s="32" t="str">
        <f>IF(E1347=1,"",IF(OR(Orders!T1344="Rider unavailable",Orders!T1344="Item unavailable"),"Company-caused","Unresolved"))</f>
        <v/>
      </c>
      <c r="J1347" s="33">
        <f>IF(OR(E1347=1,I1347="Company-caused"),1,0)</f>
        <v>1</v>
      </c>
      <c r="K1347" s="32" t="str">
        <f>IF(E1347=0,IF(I1347="Company-caused",IF(Orders!T1344="Rider unavailable","C1 Rider unavailable","C2 Item unavailable"),"Outside root: unresolved"),IF(G1347=0,"A On time",IF(H1347=1,IF(L1347=1,"B2a Severe, peak","B2b Severe, off-peak"),IF(L1347=1,"B1a Slight, peak","B1b Slight, off-peak"))))</f>
        <v>A On time</v>
      </c>
      <c r="L1347" s="33">
        <f>IF(AND(Orders!U1344&gt;=19,Orders!U1344&lt;22),1,0)</f>
        <v>0</v>
      </c>
      <c r="M1347" s="33">
        <f>IF(L1347=IF(Orders!V1344,1,0),1,0)</f>
        <v>1</v>
      </c>
      <c r="N1347" s="32" t="str">
        <f>IF(Orders!W1344="","None",Orders!W1344)</f>
        <v>None</v>
      </c>
      <c r="O1347" s="35">
        <f>INT(Orders!E1344)</f>
        <v>46266.0</v>
      </c>
      <c r="P1347" s="33">
        <f>Orders!U1344</f>
        <v>23</v>
      </c>
      <c r="Q1347" s="33">
        <f>COUNTIFS(Demand!$A$2:$A$4481,B1347,Demand!$B$2:$B$4481,O1347,Demand!$C$2:$C$4481,P1347)</f>
        <v>1</v>
      </c>
      <c r="R1347" s="33">
        <f>IF(Q1347=1,SUMIFS(Demand!$E$2:$E$4481,Demand!$A$2:$A$4481,B1347,Demand!$B$2:$B$4481,O1347,Demand!$C$2:$C$4481,P1347),"")</f>
        <v>36</v>
      </c>
      <c r="S1347" s="33">
        <f>INDEX(Stores!$G$2:$G$21,MATCH(B1347,Stores!$A$2:$A$21,0))</f>
        <v>37</v>
      </c>
      <c r="T1347" s="34">
        <f>IF(R1347="","",R1347/S1347)</f>
        <v>0.972972972972973</v>
      </c>
      <c r="U1347" s="34">
        <f>IF(E1347=1,T1347,"")</f>
        <v>0.972972972972973</v>
      </c>
      <c r="V1347" s="34">
        <f>IF(AND(E1347=1,L1347=0),T1347,"")</f>
        <v>0.972972972972973</v>
      </c>
      <c r="W1347" s="33">
        <f>IF(U1347="","",IF(U1347&lt;=Breakdowns!$C$5,1,IF(U1347&lt;=Breakdowns!$C$6,2,IF(U1347&lt;=Breakdowns!$C$7,3,4))))</f>
        <v>2</v>
      </c>
      <c r="X1347" s="33">
        <f>IF(V1347="","",IF(V1347&lt;=Breakdowns!$D$5,1,IF(V1347&lt;=Breakdowns!$D$6,2,IF(V1347&lt;=Breakdowns!$D$7,3,4))))</f>
        <v>3</v>
      </c>
      <c r="Y1347" s="34">
        <f>INDEX(Stores!$F$2:$F$21,MATCH(B1347,Stores!$A$2:$A$21,0))</f>
        <v>4.05</v>
      </c>
      <c r="Z1347" s="33">
        <f>IF(Y1347&gt;Store_Summary!$M$2,1,0)</f>
        <v>0</v>
      </c>
      <c r="AA1347" s="33">
        <f>INDEX(Stores!$C$2:$C$21,MATCH(B1347,Stores!$A$2:$A$21,0))</f>
        <v>661</v>
      </c>
      <c r="AB1347" s="33">
        <f>IF(AA1347&lt;180,1,0)</f>
        <v>0</v>
      </c>
      <c r="AC1347" s="32" t="str">
        <f>IF(Orders!D1344="","",INDEX(Riders!$C$2:$C$81,MATCH(Orders!D1344,Riders!$A$2:$A$81,0)))</f>
        <v>Petrol scooter</v>
      </c>
      <c r="AD1347" s="33">
        <f>IF(Orders!D1344="","",INDEX(Riders!$D$2:$D$81,MATCH(Orders!D1344,Riders!$A$2:$A$81,0)))</f>
        <v>42</v>
      </c>
      <c r="AE1347" s="33">
        <f>IF(Orders!D1344="","",IF(INDEX(Riders!$B$2:$B$81,MATCH(Orders!D1344,Riders!$A$2:$A$81,0))=B1347,1,0))</f>
        <v>0</v>
      </c>
      <c r="AF1347" s="34">
        <f>IF(E1347=1,Orders!L1344,"")</f>
        <v>2.4</v>
      </c>
      <c r="AG1347" s="34">
        <f>IF(E1347=1,Orders!P1344,"")</f>
        <v>11.8</v>
      </c>
      <c r="AH1347" s="34">
        <f>IF(E1347=1,Orders!Q1344,"")</f>
        <v>11.5</v>
      </c>
      <c r="AI1347" s="34">
        <f>IF(E1347=1,Orders!M1344,"")</f>
        <v>3.3</v>
      </c>
      <c r="AJ1347" s="34">
        <f>IF(E1347=1,Orders!N1344,"")</f>
        <v>3.3</v>
      </c>
      <c r="AK1347" s="34">
        <f>IF(E1347=1,Orders!O1344,"")</f>
        <v>4.9</v>
      </c>
      <c r="AL1347" s="33">
        <f>IF(E1347=1,IF(ROUND(ABS(AI1347+AJ1347+AK1347-AH1347),6)&lt;=0.1,1,0),"")</f>
        <v>1</v>
      </c>
      <c r="AM1347" s="36">
        <f>IF(E1347=1,AI1347/AH1347,"")</f>
        <v>0.28695652173913</v>
      </c>
      <c r="AN1347" s="36">
        <f>IF(E1347=1,AJ1347/AH1347,"")</f>
        <v>0.28695652173913</v>
      </c>
      <c r="AO1347" s="36">
        <f>IF(E1347=1,AK1347/AH1347,"")</f>
        <v>0.426086956521739</v>
      </c>
      <c r="AP1347" s="34">
        <f>IF(E1347=1,Orders!Y1344,"")</f>
        <v>0.64</v>
      </c>
      <c r="AQ1347" s="33">
        <f>IF(Orders!X1344,1,0)</f>
        <v>0</v>
      </c>
      <c r="AR1347" s="34" t="str">
        <f>IF(AND(E1347=1,L1347=1),AJ1347,"")</f>
        <v/>
      </c>
      <c r="AS1347" s="34">
        <f>IF(AND(E1347=1,L1347=0),AJ1347,"")</f>
        <v>3.3</v>
      </c>
      <c r="AT1347" s="34" t="str">
        <f>IF(AND(E1347=1,L1347=1),AI1347,"")</f>
        <v/>
      </c>
      <c r="AU1347" s="34">
        <f>IF(AND(E1347=1,L1347=0),AI1347,"")</f>
        <v>3.3</v>
      </c>
      <c r="AV1347" s="34" t="str">
        <f>IF(AND(E1347=1,L1347=1),AG1347,"")</f>
        <v/>
      </c>
      <c r="AW1347" s="34">
        <f>IF(AND(E1347=1,L1347=0),AG1347,"")</f>
        <v>11.8</v>
      </c>
      <c r="AX1347" s="34" t="str">
        <f>IF(AND(E1347=1,L1347=1),AH1347,"")</f>
        <v/>
      </c>
      <c r="AY1347" s="34">
        <f>IF(AND(E1347=1,L1347=0),AH1347,"")</f>
        <v>11.5</v>
      </c>
      <c r="AZ1347" s="34" t="str">
        <f>IF(G1347=1,F1347,"")</f>
        <v/>
      </c>
      <c r="BA1347" s="34" t="str">
        <f>IF(AND(G1347=1,L1347=1),F1347,"")</f>
        <v/>
      </c>
      <c r="BB1347" s="34" t="str">
        <f>IF(AND(G1347=1,L1347=0),F1347,"")</f>
        <v/>
      </c>
      <c r="BC1347" s="33">
        <f>IF(E1347=1,IF(Orders!R1344&gt;3,1,0),"")</f>
        <v>0</v>
      </c>
      <c r="BD1347" s="33">
        <f>IF(E1347=1,IF(Orders!R1344&gt;7,1,0),"")</f>
        <v>0</v>
      </c>
      <c r="BE1347" s="32" t="str">
        <f>IF(E1347=1,IF(Orders!L1344&lt;=1.5,"Up to 1.5 km",IF(Orders!L1344&lt;=3,"1.5–3 km","Over 3 km")),"")</f>
        <v>1.5–3 km</v>
      </c>
      <c r="BF1347" s="33">
        <f>IF(E1347=1,IF(ABS((Orders!G1344-Orders!F1344)*1440-Orders!R1344)&lt;0.06,1,0),"")</f>
        <v>1</v>
      </c>
      <c r="BG1347" s="33">
        <f>IF(ABS((Orders!F1344-Orders!E1344)*1440-Orders!P1344)&lt;0.06,1,0)</f>
        <v>1</v>
      </c>
      <c r="BH1347" s="33">
        <f>IF(E1347=1,IF(IF(Orders!S1344,1,0)=1-G1347,1,0),"")</f>
        <v>1</v>
      </c>
      <c r="BI1347" s="32" t="str">
        <f>INDEX(Stores!$B$2:$B$21,MATCH(B1347,Stores!$A$2:$A$21,0))</f>
        <v>Hyderabad</v>
      </c>
    </row>
    <row r="1348">
      <c r="A1348" s="32" t="str">
        <f>Orders!A1345</f>
        <v>O01344</v>
      </c>
      <c r="B1348" s="32" t="str">
        <f>Orders!C1345</f>
        <v>S008</v>
      </c>
      <c r="C1348" s="32" t="str">
        <f>Orders!B1345</f>
        <v>C0218</v>
      </c>
      <c r="D1348" s="32" t="str">
        <f>Orders!H1345</f>
        <v>Delivered</v>
      </c>
      <c r="E1348" s="33">
        <f>IF(Orders!H1345="Delivered",1,0)</f>
        <v>1</v>
      </c>
      <c r="F1348" s="34">
        <f>IF(E1348=1,Orders!R1345,"")</f>
        <v>-0.2</v>
      </c>
      <c r="G1348" s="33">
        <f>IF(E1348=1,IF(Orders!R1345&gt;0,1,0),"")</f>
        <v>0</v>
      </c>
      <c r="H1348" s="33">
        <f>IF(E1348=1,IF(Orders!R1345&gt;5,1,0),"")</f>
        <v>0</v>
      </c>
      <c r="I1348" s="32" t="str">
        <f>IF(E1348=1,"",IF(OR(Orders!T1345="Rider unavailable",Orders!T1345="Item unavailable"),"Company-caused","Unresolved"))</f>
        <v/>
      </c>
      <c r="J1348" s="33">
        <f>IF(OR(E1348=1,I1348="Company-caused"),1,0)</f>
        <v>1</v>
      </c>
      <c r="K1348" s="32" t="str">
        <f>IF(E1348=0,IF(I1348="Company-caused",IF(Orders!T1345="Rider unavailable","C1 Rider unavailable","C2 Item unavailable"),"Outside root: unresolved"),IF(G1348=0,"A On time",IF(H1348=1,IF(L1348=1,"B2a Severe, peak","B2b Severe, off-peak"),IF(L1348=1,"B1a Slight, peak","B1b Slight, off-peak"))))</f>
        <v>A On time</v>
      </c>
      <c r="L1348" s="33">
        <f>IF(AND(Orders!U1345&gt;=19,Orders!U1345&lt;22),1,0)</f>
        <v>0</v>
      </c>
      <c r="M1348" s="33">
        <f>IF(L1348=IF(Orders!V1345,1,0),1,0)</f>
        <v>1</v>
      </c>
      <c r="N1348" s="32" t="str">
        <f>IF(Orders!W1345="","None",Orders!W1345)</f>
        <v>Light</v>
      </c>
      <c r="O1348" s="35">
        <f>INT(Orders!E1345)</f>
        <v>46268.0</v>
      </c>
      <c r="P1348" s="33">
        <f>Orders!U1345</f>
        <v>23</v>
      </c>
      <c r="Q1348" s="33">
        <f>COUNTIFS(Demand!$A$2:$A$4481,B1348,Demand!$B$2:$B$4481,O1348,Demand!$C$2:$C$4481,P1348)</f>
        <v>1</v>
      </c>
      <c r="R1348" s="33">
        <f>IF(Q1348=1,SUMIFS(Demand!$E$2:$E$4481,Demand!$A$2:$A$4481,B1348,Demand!$B$2:$B$4481,O1348,Demand!$C$2:$C$4481,P1348),"")</f>
        <v>18</v>
      </c>
      <c r="S1348" s="33">
        <f>INDEX(Stores!$G$2:$G$21,MATCH(B1348,Stores!$A$2:$A$21,0))</f>
        <v>23</v>
      </c>
      <c r="T1348" s="34">
        <f>IF(R1348="","",R1348/S1348)</f>
        <v>0.782608695652174</v>
      </c>
      <c r="U1348" s="34">
        <f>IF(E1348=1,T1348,"")</f>
        <v>0.782608695652174</v>
      </c>
      <c r="V1348" s="34">
        <f>IF(AND(E1348=1,L1348=0),T1348,"")</f>
        <v>0.782608695652174</v>
      </c>
      <c r="W1348" s="33">
        <f>IF(U1348="","",IF(U1348&lt;=Breakdowns!$C$5,1,IF(U1348&lt;=Breakdowns!$C$6,2,IF(U1348&lt;=Breakdowns!$C$7,3,4))))</f>
        <v>1</v>
      </c>
      <c r="X1348" s="33">
        <f>IF(V1348="","",IF(V1348&lt;=Breakdowns!$D$5,1,IF(V1348&lt;=Breakdowns!$D$6,2,IF(V1348&lt;=Breakdowns!$D$7,3,4))))</f>
        <v>2</v>
      </c>
      <c r="Y1348" s="34">
        <f>INDEX(Stores!$F$2:$F$21,MATCH(B1348,Stores!$A$2:$A$21,0))</f>
        <v>3.46</v>
      </c>
      <c r="Z1348" s="33">
        <f>IF(Y1348&gt;Store_Summary!$M$2,1,0)</f>
        <v>0</v>
      </c>
      <c r="AA1348" s="33">
        <f>INDEX(Stores!$C$2:$C$21,MATCH(B1348,Stores!$A$2:$A$21,0))</f>
        <v>825</v>
      </c>
      <c r="AB1348" s="33">
        <f>IF(AA1348&lt;180,1,0)</f>
        <v>0</v>
      </c>
      <c r="AC1348" s="32" t="str">
        <f>IF(Orders!D1345="","",INDEX(Riders!$C$2:$C$81,MATCH(Orders!D1345,Riders!$A$2:$A$81,0)))</f>
        <v>EV scooter</v>
      </c>
      <c r="AD1348" s="33">
        <f>IF(Orders!D1345="","",INDEX(Riders!$D$2:$D$81,MATCH(Orders!D1345,Riders!$A$2:$A$81,0)))</f>
        <v>2</v>
      </c>
      <c r="AE1348" s="33">
        <f>IF(Orders!D1345="","",IF(INDEX(Riders!$B$2:$B$81,MATCH(Orders!D1345,Riders!$A$2:$A$81,0))=B1348,1,0))</f>
        <v>0</v>
      </c>
      <c r="AF1348" s="34">
        <f>IF(E1348=1,Orders!L1345,"")</f>
        <v>2.28</v>
      </c>
      <c r="AG1348" s="34">
        <f>IF(E1348=1,Orders!P1345,"")</f>
        <v>13.7</v>
      </c>
      <c r="AH1348" s="34">
        <f>IF(E1348=1,Orders!Q1345,"")</f>
        <v>13.5</v>
      </c>
      <c r="AI1348" s="34">
        <f>IF(E1348=1,Orders!M1345,"")</f>
        <v>4.2</v>
      </c>
      <c r="AJ1348" s="34">
        <f>IF(E1348=1,Orders!N1345,"")</f>
        <v>2.3</v>
      </c>
      <c r="AK1348" s="34">
        <f>IF(E1348=1,Orders!O1345,"")</f>
        <v>7</v>
      </c>
      <c r="AL1348" s="33">
        <f>IF(E1348=1,IF(ROUND(ABS(AI1348+AJ1348+AK1348-AH1348),6)&lt;=0.1,1,0),"")</f>
        <v>1</v>
      </c>
      <c r="AM1348" s="36">
        <f>IF(E1348=1,AI1348/AH1348,"")</f>
        <v>0.311111111111111</v>
      </c>
      <c r="AN1348" s="36">
        <f>IF(E1348=1,AJ1348/AH1348,"")</f>
        <v>0.17037037037037</v>
      </c>
      <c r="AO1348" s="36">
        <f>IF(E1348=1,AK1348/AH1348,"")</f>
        <v>0.518518518518519</v>
      </c>
      <c r="AP1348" s="34">
        <f>IF(E1348=1,Orders!Y1345,"")</f>
        <v>0.73</v>
      </c>
      <c r="AQ1348" s="33">
        <f>IF(Orders!X1345,1,0)</f>
        <v>0</v>
      </c>
      <c r="AR1348" s="34" t="str">
        <f>IF(AND(E1348=1,L1348=1),AJ1348,"")</f>
        <v/>
      </c>
      <c r="AS1348" s="34">
        <f>IF(AND(E1348=1,L1348=0),AJ1348,"")</f>
        <v>2.3</v>
      </c>
      <c r="AT1348" s="34" t="str">
        <f>IF(AND(E1348=1,L1348=1),AI1348,"")</f>
        <v/>
      </c>
      <c r="AU1348" s="34">
        <f>IF(AND(E1348=1,L1348=0),AI1348,"")</f>
        <v>4.2</v>
      </c>
      <c r="AV1348" s="34" t="str">
        <f>IF(AND(E1348=1,L1348=1),AG1348,"")</f>
        <v/>
      </c>
      <c r="AW1348" s="34">
        <f>IF(AND(E1348=1,L1348=0),AG1348,"")</f>
        <v>13.7</v>
      </c>
      <c r="AX1348" s="34" t="str">
        <f>IF(AND(E1348=1,L1348=1),AH1348,"")</f>
        <v/>
      </c>
      <c r="AY1348" s="34">
        <f>IF(AND(E1348=1,L1348=0),AH1348,"")</f>
        <v>13.5</v>
      </c>
      <c r="AZ1348" s="34" t="str">
        <f>IF(G1348=1,F1348,"")</f>
        <v/>
      </c>
      <c r="BA1348" s="34" t="str">
        <f>IF(AND(G1348=1,L1348=1),F1348,"")</f>
        <v/>
      </c>
      <c r="BB1348" s="34" t="str">
        <f>IF(AND(G1348=1,L1348=0),F1348,"")</f>
        <v/>
      </c>
      <c r="BC1348" s="33">
        <f>IF(E1348=1,IF(Orders!R1345&gt;3,1,0),"")</f>
        <v>0</v>
      </c>
      <c r="BD1348" s="33">
        <f>IF(E1348=1,IF(Orders!R1345&gt;7,1,0),"")</f>
        <v>0</v>
      </c>
      <c r="BE1348" s="32" t="str">
        <f>IF(E1348=1,IF(Orders!L1345&lt;=1.5,"Up to 1.5 km",IF(Orders!L1345&lt;=3,"1.5–3 km","Over 3 km")),"")</f>
        <v>1.5–3 km</v>
      </c>
      <c r="BF1348" s="33">
        <f>IF(E1348=1,IF(ABS((Orders!G1345-Orders!F1345)*1440-Orders!R1345)&lt;0.06,1,0),"")</f>
        <v>1</v>
      </c>
      <c r="BG1348" s="33">
        <f>IF(ABS((Orders!F1345-Orders!E1345)*1440-Orders!P1345)&lt;0.06,1,0)</f>
        <v>1</v>
      </c>
      <c r="BH1348" s="33">
        <f>IF(E1348=1,IF(IF(Orders!S1345,1,0)=1-G1348,1,0),"")</f>
        <v>1</v>
      </c>
      <c r="BI1348" s="32" t="str">
        <f>INDEX(Stores!$B$2:$B$21,MATCH(B1348,Stores!$A$2:$A$21,0))</f>
        <v>Mumbai</v>
      </c>
    </row>
    <row r="1349">
      <c r="A1349" s="32" t="str">
        <f>Orders!A1346</f>
        <v>O01345</v>
      </c>
      <c r="B1349" s="32" t="str">
        <f>Orders!C1346</f>
        <v>S013</v>
      </c>
      <c r="C1349" s="32" t="str">
        <f>Orders!B1346</f>
        <v>C0241</v>
      </c>
      <c r="D1349" s="32" t="str">
        <f>Orders!H1346</f>
        <v>Delivered</v>
      </c>
      <c r="E1349" s="33">
        <f>IF(Orders!H1346="Delivered",1,0)</f>
        <v>1</v>
      </c>
      <c r="F1349" s="34">
        <f>IF(E1349=1,Orders!R1346,"")</f>
        <v>-0.4</v>
      </c>
      <c r="G1349" s="33">
        <f>IF(E1349=1,IF(Orders!R1346&gt;0,1,0),"")</f>
        <v>0</v>
      </c>
      <c r="H1349" s="33">
        <f>IF(E1349=1,IF(Orders!R1346&gt;5,1,0),"")</f>
        <v>0</v>
      </c>
      <c r="I1349" s="32" t="str">
        <f>IF(E1349=1,"",IF(OR(Orders!T1346="Rider unavailable",Orders!T1346="Item unavailable"),"Company-caused","Unresolved"))</f>
        <v/>
      </c>
      <c r="J1349" s="33">
        <f>IF(OR(E1349=1,I1349="Company-caused"),1,0)</f>
        <v>1</v>
      </c>
      <c r="K1349" s="32" t="str">
        <f>IF(E1349=0,IF(I1349="Company-caused",IF(Orders!T1346="Rider unavailable","C1 Rider unavailable","C2 Item unavailable"),"Outside root: unresolved"),IF(G1349=0,"A On time",IF(H1349=1,IF(L1349=1,"B2a Severe, peak","B2b Severe, off-peak"),IF(L1349=1,"B1a Slight, peak","B1b Slight, off-peak"))))</f>
        <v>A On time</v>
      </c>
      <c r="L1349" s="33">
        <f>IF(AND(Orders!U1346&gt;=19,Orders!U1346&lt;22),1,0)</f>
        <v>0</v>
      </c>
      <c r="M1349" s="33">
        <f>IF(L1349=IF(Orders!V1346,1,0),1,0)</f>
        <v>1</v>
      </c>
      <c r="N1349" s="32" t="str">
        <f>IF(Orders!W1346="","None",Orders!W1346)</f>
        <v>None</v>
      </c>
      <c r="O1349" s="35">
        <f>INT(Orders!E1346)</f>
        <v>46277.0</v>
      </c>
      <c r="P1349" s="33">
        <f>Orders!U1346</f>
        <v>10</v>
      </c>
      <c r="Q1349" s="33">
        <f>COUNTIFS(Demand!$A$2:$A$4481,B1349,Demand!$B$2:$B$4481,O1349,Demand!$C$2:$C$4481,P1349)</f>
        <v>1</v>
      </c>
      <c r="R1349" s="33">
        <f>IF(Q1349=1,SUMIFS(Demand!$E$2:$E$4481,Demand!$A$2:$A$4481,B1349,Demand!$B$2:$B$4481,O1349,Demand!$C$2:$C$4481,P1349),"")</f>
        <v>39</v>
      </c>
      <c r="S1349" s="33">
        <f>INDEX(Stores!$G$2:$G$21,MATCH(B1349,Stores!$A$2:$A$21,0))</f>
        <v>49</v>
      </c>
      <c r="T1349" s="34">
        <f>IF(R1349="","",R1349/S1349)</f>
        <v>0.795918367346939</v>
      </c>
      <c r="U1349" s="34">
        <f>IF(E1349=1,T1349,"")</f>
        <v>0.795918367346939</v>
      </c>
      <c r="V1349" s="34">
        <f>IF(AND(E1349=1,L1349=0),T1349,"")</f>
        <v>0.795918367346939</v>
      </c>
      <c r="W1349" s="33">
        <f>IF(U1349="","",IF(U1349&lt;=Breakdowns!$C$5,1,IF(U1349&lt;=Breakdowns!$C$6,2,IF(U1349&lt;=Breakdowns!$C$7,3,4))))</f>
        <v>2</v>
      </c>
      <c r="X1349" s="33">
        <f>IF(V1349="","",IF(V1349&lt;=Breakdowns!$D$5,1,IF(V1349&lt;=Breakdowns!$D$6,2,IF(V1349&lt;=Breakdowns!$D$7,3,4))))</f>
        <v>2</v>
      </c>
      <c r="Y1349" s="34">
        <f>INDEX(Stores!$F$2:$F$21,MATCH(B1349,Stores!$A$2:$A$21,0))</f>
        <v>5.82</v>
      </c>
      <c r="Z1349" s="33">
        <f>IF(Y1349&gt;Store_Summary!$M$2,1,0)</f>
        <v>1</v>
      </c>
      <c r="AA1349" s="33">
        <f>INDEX(Stores!$C$2:$C$21,MATCH(B1349,Stores!$A$2:$A$21,0))</f>
        <v>705</v>
      </c>
      <c r="AB1349" s="33">
        <f>IF(AA1349&lt;180,1,0)</f>
        <v>0</v>
      </c>
      <c r="AC1349" s="32" t="str">
        <f>IF(Orders!D1346="","",INDEX(Riders!$C$2:$C$81,MATCH(Orders!D1346,Riders!$A$2:$A$81,0)))</f>
        <v>EV scooter</v>
      </c>
      <c r="AD1349" s="33">
        <f>IF(Orders!D1346="","",INDEX(Riders!$D$2:$D$81,MATCH(Orders!D1346,Riders!$A$2:$A$81,0)))</f>
        <v>2</v>
      </c>
      <c r="AE1349" s="33">
        <f>IF(Orders!D1346="","",IF(INDEX(Riders!$B$2:$B$81,MATCH(Orders!D1346,Riders!$A$2:$A$81,0))=B1349,1,0))</f>
        <v>0</v>
      </c>
      <c r="AF1349" s="34">
        <f>IF(E1349=1,Orders!L1346,"")</f>
        <v>0.61</v>
      </c>
      <c r="AG1349" s="34">
        <f>IF(E1349=1,Orders!P1346,"")</f>
        <v>9.6</v>
      </c>
      <c r="AH1349" s="34">
        <f>IF(E1349=1,Orders!Q1346,"")</f>
        <v>9.2</v>
      </c>
      <c r="AI1349" s="34">
        <f>IF(E1349=1,Orders!M1346,"")</f>
        <v>4.5</v>
      </c>
      <c r="AJ1349" s="34">
        <f>IF(E1349=1,Orders!N1346,"")</f>
        <v>2.5</v>
      </c>
      <c r="AK1349" s="34">
        <f>IF(E1349=1,Orders!O1346,"")</f>
        <v>2.2</v>
      </c>
      <c r="AL1349" s="33">
        <f>IF(E1349=1,IF(ROUND(ABS(AI1349+AJ1349+AK1349-AH1349),6)&lt;=0.1,1,0),"")</f>
        <v>1</v>
      </c>
      <c r="AM1349" s="36">
        <f>IF(E1349=1,AI1349/AH1349,"")</f>
        <v>0.489130434782609</v>
      </c>
      <c r="AN1349" s="36">
        <f>IF(E1349=1,AJ1349/AH1349,"")</f>
        <v>0.271739130434783</v>
      </c>
      <c r="AO1349" s="36">
        <f>IF(E1349=1,AK1349/AH1349,"")</f>
        <v>0.239130434782609</v>
      </c>
      <c r="AP1349" s="34">
        <f>IF(E1349=1,Orders!Y1346,"")</f>
        <v>0.63</v>
      </c>
      <c r="AQ1349" s="33">
        <f>IF(Orders!X1346,1,0)</f>
        <v>0</v>
      </c>
      <c r="AR1349" s="34" t="str">
        <f>IF(AND(E1349=1,L1349=1),AJ1349,"")</f>
        <v/>
      </c>
      <c r="AS1349" s="34">
        <f>IF(AND(E1349=1,L1349=0),AJ1349,"")</f>
        <v>2.5</v>
      </c>
      <c r="AT1349" s="34" t="str">
        <f>IF(AND(E1349=1,L1349=1),AI1349,"")</f>
        <v/>
      </c>
      <c r="AU1349" s="34">
        <f>IF(AND(E1349=1,L1349=0),AI1349,"")</f>
        <v>4.5</v>
      </c>
      <c r="AV1349" s="34" t="str">
        <f>IF(AND(E1349=1,L1349=1),AG1349,"")</f>
        <v/>
      </c>
      <c r="AW1349" s="34">
        <f>IF(AND(E1349=1,L1349=0),AG1349,"")</f>
        <v>9.6</v>
      </c>
      <c r="AX1349" s="34" t="str">
        <f>IF(AND(E1349=1,L1349=1),AH1349,"")</f>
        <v/>
      </c>
      <c r="AY1349" s="34">
        <f>IF(AND(E1349=1,L1349=0),AH1349,"")</f>
        <v>9.2</v>
      </c>
      <c r="AZ1349" s="34" t="str">
        <f>IF(G1349=1,F1349,"")</f>
        <v/>
      </c>
      <c r="BA1349" s="34" t="str">
        <f>IF(AND(G1349=1,L1349=1),F1349,"")</f>
        <v/>
      </c>
      <c r="BB1349" s="34" t="str">
        <f>IF(AND(G1349=1,L1349=0),F1349,"")</f>
        <v/>
      </c>
      <c r="BC1349" s="33">
        <f>IF(E1349=1,IF(Orders!R1346&gt;3,1,0),"")</f>
        <v>0</v>
      </c>
      <c r="BD1349" s="33">
        <f>IF(E1349=1,IF(Orders!R1346&gt;7,1,0),"")</f>
        <v>0</v>
      </c>
      <c r="BE1349" s="32" t="str">
        <f>IF(E1349=1,IF(Orders!L1346&lt;=1.5,"Up to 1.5 km",IF(Orders!L1346&lt;=3,"1.5–3 km","Over 3 km")),"")</f>
        <v>Up to 1.5 km</v>
      </c>
      <c r="BF1349" s="33">
        <f>IF(E1349=1,IF(ABS((Orders!G1346-Orders!F1346)*1440-Orders!R1346)&lt;0.06,1,0),"")</f>
        <v>1</v>
      </c>
      <c r="BG1349" s="33">
        <f>IF(ABS((Orders!F1346-Orders!E1346)*1440-Orders!P1346)&lt;0.06,1,0)</f>
        <v>1</v>
      </c>
      <c r="BH1349" s="33">
        <f>IF(E1349=1,IF(IF(Orders!S1346,1,0)=1-G1349,1,0),"")</f>
        <v>1</v>
      </c>
      <c r="BI1349" s="32" t="str">
        <f>INDEX(Stores!$B$2:$B$21,MATCH(B1349,Stores!$A$2:$A$21,0))</f>
        <v>Mumbai</v>
      </c>
    </row>
    <row r="1350">
      <c r="A1350" s="32" t="str">
        <f>Orders!A1347</f>
        <v>O01346</v>
      </c>
      <c r="B1350" s="32" t="str">
        <f>Orders!C1347</f>
        <v>S019</v>
      </c>
      <c r="C1350" s="32" t="str">
        <f>Orders!B1347</f>
        <v>C0025</v>
      </c>
      <c r="D1350" s="32" t="str">
        <f>Orders!H1347</f>
        <v>Delivered</v>
      </c>
      <c r="E1350" s="33">
        <f>IF(Orders!H1347="Delivered",1,0)</f>
        <v>1</v>
      </c>
      <c r="F1350" s="34">
        <f>IF(E1350=1,Orders!R1347,"")</f>
        <v>-0.3</v>
      </c>
      <c r="G1350" s="33">
        <f>IF(E1350=1,IF(Orders!R1347&gt;0,1,0),"")</f>
        <v>0</v>
      </c>
      <c r="H1350" s="33">
        <f>IF(E1350=1,IF(Orders!R1347&gt;5,1,0),"")</f>
        <v>0</v>
      </c>
      <c r="I1350" s="32" t="str">
        <f>IF(E1350=1,"",IF(OR(Orders!T1347="Rider unavailable",Orders!T1347="Item unavailable"),"Company-caused","Unresolved"))</f>
        <v/>
      </c>
      <c r="J1350" s="33">
        <f>IF(OR(E1350=1,I1350="Company-caused"),1,0)</f>
        <v>1</v>
      </c>
      <c r="K1350" s="32" t="str">
        <f>IF(E1350=0,IF(I1350="Company-caused",IF(Orders!T1347="Rider unavailable","C1 Rider unavailable","C2 Item unavailable"),"Outside root: unresolved"),IF(G1350=0,"A On time",IF(H1350=1,IF(L1350=1,"B2a Severe, peak","B2b Severe, off-peak"),IF(L1350=1,"B1a Slight, peak","B1b Slight, off-peak"))))</f>
        <v>A On time</v>
      </c>
      <c r="L1350" s="33">
        <f>IF(AND(Orders!U1347&gt;=19,Orders!U1347&lt;22),1,0)</f>
        <v>1</v>
      </c>
      <c r="M1350" s="33">
        <f>IF(L1350=IF(Orders!V1347,1,0),1,0)</f>
        <v>1</v>
      </c>
      <c r="N1350" s="32" t="str">
        <f>IF(Orders!W1347="","None",Orders!W1347)</f>
        <v>None</v>
      </c>
      <c r="O1350" s="35">
        <f>INT(Orders!E1347)</f>
        <v>46266.0</v>
      </c>
      <c r="P1350" s="33">
        <f>Orders!U1347</f>
        <v>20</v>
      </c>
      <c r="Q1350" s="33">
        <f>COUNTIFS(Demand!$A$2:$A$4481,B1350,Demand!$B$2:$B$4481,O1350,Demand!$C$2:$C$4481,P1350)</f>
        <v>1</v>
      </c>
      <c r="R1350" s="33">
        <f>IF(Q1350=1,SUMIFS(Demand!$E$2:$E$4481,Demand!$A$2:$A$4481,B1350,Demand!$B$2:$B$4481,O1350,Demand!$C$2:$C$4481,P1350),"")</f>
        <v>26</v>
      </c>
      <c r="S1350" s="33">
        <f>INDEX(Stores!$G$2:$G$21,MATCH(B1350,Stores!$A$2:$A$21,0))</f>
        <v>22</v>
      </c>
      <c r="T1350" s="34">
        <f>IF(R1350="","",R1350/S1350)</f>
        <v>1.18181818181818</v>
      </c>
      <c r="U1350" s="34">
        <f>IF(E1350=1,T1350,"")</f>
        <v>1.18181818181818</v>
      </c>
      <c r="V1350" s="34" t="str">
        <f>IF(AND(E1350=1,L1350=0),T1350,"")</f>
        <v/>
      </c>
      <c r="W1350" s="33">
        <f>IF(U1350="","",IF(U1350&lt;=Breakdowns!$C$5,1,IF(U1350&lt;=Breakdowns!$C$6,2,IF(U1350&lt;=Breakdowns!$C$7,3,4))))</f>
        <v>3</v>
      </c>
      <c r="X1350" s="33" t="str">
        <f>IF(V1350="","",IF(V1350&lt;=Breakdowns!$D$5,1,IF(V1350&lt;=Breakdowns!$D$6,2,IF(V1350&lt;=Breakdowns!$D$7,3,4))))</f>
        <v/>
      </c>
      <c r="Y1350" s="34">
        <f>INDEX(Stores!$F$2:$F$21,MATCH(B1350,Stores!$A$2:$A$21,0))</f>
        <v>4.99</v>
      </c>
      <c r="Z1350" s="33">
        <f>IF(Y1350&gt;Store_Summary!$M$2,1,0)</f>
        <v>1</v>
      </c>
      <c r="AA1350" s="33">
        <f>INDEX(Stores!$C$2:$C$21,MATCH(B1350,Stores!$A$2:$A$21,0))</f>
        <v>851</v>
      </c>
      <c r="AB1350" s="33">
        <f>IF(AA1350&lt;180,1,0)</f>
        <v>0</v>
      </c>
      <c r="AC1350" s="32" t="str">
        <f>IF(Orders!D1347="","",INDEX(Riders!$C$2:$C$81,MATCH(Orders!D1347,Riders!$A$2:$A$81,0)))</f>
        <v>Bicycle</v>
      </c>
      <c r="AD1350" s="33">
        <f>IF(Orders!D1347="","",INDEX(Riders!$D$2:$D$81,MATCH(Orders!D1347,Riders!$A$2:$A$81,0)))</f>
        <v>40</v>
      </c>
      <c r="AE1350" s="33">
        <f>IF(Orders!D1347="","",IF(INDEX(Riders!$B$2:$B$81,MATCH(Orders!D1347,Riders!$A$2:$A$81,0))=B1350,1,0))</f>
        <v>0</v>
      </c>
      <c r="AF1350" s="34">
        <f>IF(E1350=1,Orders!L1347,"")</f>
        <v>1.74</v>
      </c>
      <c r="AG1350" s="34">
        <f>IF(E1350=1,Orders!P1347,"")</f>
        <v>9.8</v>
      </c>
      <c r="AH1350" s="34">
        <f>IF(E1350=1,Orders!Q1347,"")</f>
        <v>9.5</v>
      </c>
      <c r="AI1350" s="34">
        <f>IF(E1350=1,Orders!M1347,"")</f>
        <v>3.6</v>
      </c>
      <c r="AJ1350" s="34">
        <f>IF(E1350=1,Orders!N1347,"")</f>
        <v>3.3</v>
      </c>
      <c r="AK1350" s="34">
        <f>IF(E1350=1,Orders!O1347,"")</f>
        <v>2.6</v>
      </c>
      <c r="AL1350" s="33">
        <f>IF(E1350=1,IF(ROUND(ABS(AI1350+AJ1350+AK1350-AH1350),6)&lt;=0.1,1,0),"")</f>
        <v>1</v>
      </c>
      <c r="AM1350" s="36">
        <f>IF(E1350=1,AI1350/AH1350,"")</f>
        <v>0.378947368421053</v>
      </c>
      <c r="AN1350" s="36">
        <f>IF(E1350=1,AJ1350/AH1350,"")</f>
        <v>0.347368421052632</v>
      </c>
      <c r="AO1350" s="36">
        <f>IF(E1350=1,AK1350/AH1350,"")</f>
        <v>0.273684210526316</v>
      </c>
      <c r="AP1350" s="34">
        <f>IF(E1350=1,Orders!Y1347,"")</f>
        <v>0.47</v>
      </c>
      <c r="AQ1350" s="33">
        <f>IF(Orders!X1347,1,0)</f>
        <v>0</v>
      </c>
      <c r="AR1350" s="34">
        <f>IF(AND(E1350=1,L1350=1),AJ1350,"")</f>
        <v>3.3</v>
      </c>
      <c r="AS1350" s="34" t="str">
        <f>IF(AND(E1350=1,L1350=0),AJ1350,"")</f>
        <v/>
      </c>
      <c r="AT1350" s="34">
        <f>IF(AND(E1350=1,L1350=1),AI1350,"")</f>
        <v>3.6</v>
      </c>
      <c r="AU1350" s="34" t="str">
        <f>IF(AND(E1350=1,L1350=0),AI1350,"")</f>
        <v/>
      </c>
      <c r="AV1350" s="34">
        <f>IF(AND(E1350=1,L1350=1),AG1350,"")</f>
        <v>9.8</v>
      </c>
      <c r="AW1350" s="34" t="str">
        <f>IF(AND(E1350=1,L1350=0),AG1350,"")</f>
        <v/>
      </c>
      <c r="AX1350" s="34">
        <f>IF(AND(E1350=1,L1350=1),AH1350,"")</f>
        <v>9.5</v>
      </c>
      <c r="AY1350" s="34" t="str">
        <f>IF(AND(E1350=1,L1350=0),AH1350,"")</f>
        <v/>
      </c>
      <c r="AZ1350" s="34" t="str">
        <f>IF(G1350=1,F1350,"")</f>
        <v/>
      </c>
      <c r="BA1350" s="34" t="str">
        <f>IF(AND(G1350=1,L1350=1),F1350,"")</f>
        <v/>
      </c>
      <c r="BB1350" s="34" t="str">
        <f>IF(AND(G1350=1,L1350=0),F1350,"")</f>
        <v/>
      </c>
      <c r="BC1350" s="33">
        <f>IF(E1350=1,IF(Orders!R1347&gt;3,1,0),"")</f>
        <v>0</v>
      </c>
      <c r="BD1350" s="33">
        <f>IF(E1350=1,IF(Orders!R1347&gt;7,1,0),"")</f>
        <v>0</v>
      </c>
      <c r="BE1350" s="32" t="str">
        <f>IF(E1350=1,IF(Orders!L1347&lt;=1.5,"Up to 1.5 km",IF(Orders!L1347&lt;=3,"1.5–3 km","Over 3 km")),"")</f>
        <v>1.5–3 km</v>
      </c>
      <c r="BF1350" s="33">
        <f>IF(E1350=1,IF(ABS((Orders!G1347-Orders!F1347)*1440-Orders!R1347)&lt;0.06,1,0),"")</f>
        <v>1</v>
      </c>
      <c r="BG1350" s="33">
        <f>IF(ABS((Orders!F1347-Orders!E1347)*1440-Orders!P1347)&lt;0.06,1,0)</f>
        <v>1</v>
      </c>
      <c r="BH1350" s="33">
        <f>IF(E1350=1,IF(IF(Orders!S1347,1,0)=1-G1350,1,0),"")</f>
        <v>1</v>
      </c>
      <c r="BI1350" s="32" t="str">
        <f>INDEX(Stores!$B$2:$B$21,MATCH(B1350,Stores!$A$2:$A$21,0))</f>
        <v>Pune</v>
      </c>
    </row>
    <row r="1351">
      <c r="A1351" s="32" t="str">
        <f>Orders!A1348</f>
        <v>O01347</v>
      </c>
      <c r="B1351" s="32" t="str">
        <f>Orders!C1348</f>
        <v>S017</v>
      </c>
      <c r="C1351" s="32" t="str">
        <f>Orders!B1348</f>
        <v>C0002</v>
      </c>
      <c r="D1351" s="32" t="str">
        <f>Orders!H1348</f>
        <v>Delivered</v>
      </c>
      <c r="E1351" s="33">
        <f>IF(Orders!H1348="Delivered",1,0)</f>
        <v>1</v>
      </c>
      <c r="F1351" s="34">
        <f>IF(E1351=1,Orders!R1348,"")</f>
        <v>0</v>
      </c>
      <c r="G1351" s="33">
        <f>IF(E1351=1,IF(Orders!R1348&gt;0,1,0),"")</f>
        <v>0</v>
      </c>
      <c r="H1351" s="33">
        <f>IF(E1351=1,IF(Orders!R1348&gt;5,1,0),"")</f>
        <v>0</v>
      </c>
      <c r="I1351" s="32" t="str">
        <f>IF(E1351=1,"",IF(OR(Orders!T1348="Rider unavailable",Orders!T1348="Item unavailable"),"Company-caused","Unresolved"))</f>
        <v/>
      </c>
      <c r="J1351" s="33">
        <f>IF(OR(E1351=1,I1351="Company-caused"),1,0)</f>
        <v>1</v>
      </c>
      <c r="K1351" s="32" t="str">
        <f>IF(E1351=0,IF(I1351="Company-caused",IF(Orders!T1348="Rider unavailable","C1 Rider unavailable","C2 Item unavailable"),"Outside root: unresolved"),IF(G1351=0,"A On time",IF(H1351=1,IF(L1351=1,"B2a Severe, peak","B2b Severe, off-peak"),IF(L1351=1,"B1a Slight, peak","B1b Slight, off-peak"))))</f>
        <v>A On time</v>
      </c>
      <c r="L1351" s="33">
        <f>IF(AND(Orders!U1348&gt;=19,Orders!U1348&lt;22),1,0)</f>
        <v>0</v>
      </c>
      <c r="M1351" s="33">
        <f>IF(L1351=IF(Orders!V1348,1,0),1,0)</f>
        <v>1</v>
      </c>
      <c r="N1351" s="32" t="str">
        <f>IF(Orders!W1348="","None",Orders!W1348)</f>
        <v>None</v>
      </c>
      <c r="O1351" s="35">
        <f>INT(Orders!E1348)</f>
        <v>46269.0</v>
      </c>
      <c r="P1351" s="33">
        <f>Orders!U1348</f>
        <v>13</v>
      </c>
      <c r="Q1351" s="33">
        <f>COUNTIFS(Demand!$A$2:$A$4481,B1351,Demand!$B$2:$B$4481,O1351,Demand!$C$2:$C$4481,P1351)</f>
        <v>1</v>
      </c>
      <c r="R1351" s="33">
        <f>IF(Q1351=1,SUMIFS(Demand!$E$2:$E$4481,Demand!$A$2:$A$4481,B1351,Demand!$B$2:$B$4481,O1351,Demand!$C$2:$C$4481,P1351),"")</f>
        <v>37</v>
      </c>
      <c r="S1351" s="33">
        <f>INDEX(Stores!$G$2:$G$21,MATCH(B1351,Stores!$A$2:$A$21,0))</f>
        <v>36</v>
      </c>
      <c r="T1351" s="34">
        <f>IF(R1351="","",R1351/S1351)</f>
        <v>1.02777777777778</v>
      </c>
      <c r="U1351" s="34">
        <f>IF(E1351=1,T1351,"")</f>
        <v>1.02777777777778</v>
      </c>
      <c r="V1351" s="34">
        <f>IF(AND(E1351=1,L1351=0),T1351,"")</f>
        <v>1.02777777777778</v>
      </c>
      <c r="W1351" s="33">
        <f>IF(U1351="","",IF(U1351&lt;=Breakdowns!$C$5,1,IF(U1351&lt;=Breakdowns!$C$6,2,IF(U1351&lt;=Breakdowns!$C$7,3,4))))</f>
        <v>3</v>
      </c>
      <c r="X1351" s="33">
        <f>IF(V1351="","",IF(V1351&lt;=Breakdowns!$D$5,1,IF(V1351&lt;=Breakdowns!$D$6,2,IF(V1351&lt;=Breakdowns!$D$7,3,4))))</f>
        <v>3</v>
      </c>
      <c r="Y1351" s="34">
        <f>INDEX(Stores!$F$2:$F$21,MATCH(B1351,Stores!$A$2:$A$21,0))</f>
        <v>2.16</v>
      </c>
      <c r="Z1351" s="33">
        <f>IF(Y1351&gt;Store_Summary!$M$2,1,0)</f>
        <v>0</v>
      </c>
      <c r="AA1351" s="33">
        <f>INDEX(Stores!$C$2:$C$21,MATCH(B1351,Stores!$A$2:$A$21,0))</f>
        <v>47</v>
      </c>
      <c r="AB1351" s="33">
        <f>IF(AA1351&lt;180,1,0)</f>
        <v>1</v>
      </c>
      <c r="AC1351" s="32" t="str">
        <f>IF(Orders!D1348="","",INDEX(Riders!$C$2:$C$81,MATCH(Orders!D1348,Riders!$A$2:$A$81,0)))</f>
        <v>Petrol scooter</v>
      </c>
      <c r="AD1351" s="33">
        <f>IF(Orders!D1348="","",INDEX(Riders!$D$2:$D$81,MATCH(Orders!D1348,Riders!$A$2:$A$81,0)))</f>
        <v>48</v>
      </c>
      <c r="AE1351" s="33">
        <f>IF(Orders!D1348="","",IF(INDEX(Riders!$B$2:$B$81,MATCH(Orders!D1348,Riders!$A$2:$A$81,0))=B1351,1,0))</f>
        <v>0</v>
      </c>
      <c r="AF1351" s="34">
        <f>IF(E1351=1,Orders!L1348,"")</f>
        <v>1.38</v>
      </c>
      <c r="AG1351" s="34">
        <f>IF(E1351=1,Orders!P1348,"")</f>
        <v>9.9</v>
      </c>
      <c r="AH1351" s="34">
        <f>IF(E1351=1,Orders!Q1348,"")</f>
        <v>9.9</v>
      </c>
      <c r="AI1351" s="34">
        <f>IF(E1351=1,Orders!M1348,"")</f>
        <v>1.6</v>
      </c>
      <c r="AJ1351" s="34">
        <f>IF(E1351=1,Orders!N1348,"")</f>
        <v>4.6</v>
      </c>
      <c r="AK1351" s="34">
        <f>IF(E1351=1,Orders!O1348,"")</f>
        <v>3.6</v>
      </c>
      <c r="AL1351" s="33">
        <f>IF(E1351=1,IF(ROUND(ABS(AI1351+AJ1351+AK1351-AH1351),6)&lt;=0.1,1,0),"")</f>
        <v>1</v>
      </c>
      <c r="AM1351" s="36">
        <f>IF(E1351=1,AI1351/AH1351,"")</f>
        <v>0.161616161616162</v>
      </c>
      <c r="AN1351" s="36">
        <f>IF(E1351=1,AJ1351/AH1351,"")</f>
        <v>0.464646464646465</v>
      </c>
      <c r="AO1351" s="36">
        <f>IF(E1351=1,AK1351/AH1351,"")</f>
        <v>0.363636363636364</v>
      </c>
      <c r="AP1351" s="34">
        <f>IF(E1351=1,Orders!Y1348,"")</f>
        <v>0.23</v>
      </c>
      <c r="AQ1351" s="33">
        <f>IF(Orders!X1348,1,0)</f>
        <v>1</v>
      </c>
      <c r="AR1351" s="34" t="str">
        <f>IF(AND(E1351=1,L1351=1),AJ1351,"")</f>
        <v/>
      </c>
      <c r="AS1351" s="34">
        <f>IF(AND(E1351=1,L1351=0),AJ1351,"")</f>
        <v>4.6</v>
      </c>
      <c r="AT1351" s="34" t="str">
        <f>IF(AND(E1351=1,L1351=1),AI1351,"")</f>
        <v/>
      </c>
      <c r="AU1351" s="34">
        <f>IF(AND(E1351=1,L1351=0),AI1351,"")</f>
        <v>1.6</v>
      </c>
      <c r="AV1351" s="34" t="str">
        <f>IF(AND(E1351=1,L1351=1),AG1351,"")</f>
        <v/>
      </c>
      <c r="AW1351" s="34">
        <f>IF(AND(E1351=1,L1351=0),AG1351,"")</f>
        <v>9.9</v>
      </c>
      <c r="AX1351" s="34" t="str">
        <f>IF(AND(E1351=1,L1351=1),AH1351,"")</f>
        <v/>
      </c>
      <c r="AY1351" s="34">
        <f>IF(AND(E1351=1,L1351=0),AH1351,"")</f>
        <v>9.9</v>
      </c>
      <c r="AZ1351" s="34" t="str">
        <f>IF(G1351=1,F1351,"")</f>
        <v/>
      </c>
      <c r="BA1351" s="34" t="str">
        <f>IF(AND(G1351=1,L1351=1),F1351,"")</f>
        <v/>
      </c>
      <c r="BB1351" s="34" t="str">
        <f>IF(AND(G1351=1,L1351=0),F1351,"")</f>
        <v/>
      </c>
      <c r="BC1351" s="33">
        <f>IF(E1351=1,IF(Orders!R1348&gt;3,1,0),"")</f>
        <v>0</v>
      </c>
      <c r="BD1351" s="33">
        <f>IF(E1351=1,IF(Orders!R1348&gt;7,1,0),"")</f>
        <v>0</v>
      </c>
      <c r="BE1351" s="32" t="str">
        <f>IF(E1351=1,IF(Orders!L1348&lt;=1.5,"Up to 1.5 km",IF(Orders!L1348&lt;=3,"1.5–3 km","Over 3 km")),"")</f>
        <v>Up to 1.5 km</v>
      </c>
      <c r="BF1351" s="33">
        <f>IF(E1351=1,IF(ABS((Orders!G1348-Orders!F1348)*1440-Orders!R1348)&lt;0.06,1,0),"")</f>
        <v>1</v>
      </c>
      <c r="BG1351" s="33">
        <f>IF(ABS((Orders!F1348-Orders!E1348)*1440-Orders!P1348)&lt;0.06,1,0)</f>
        <v>1</v>
      </c>
      <c r="BH1351" s="33">
        <f>IF(E1351=1,IF(IF(Orders!S1348,1,0)=1-G1351,1,0),"")</f>
        <v>1</v>
      </c>
      <c r="BI1351" s="32" t="str">
        <f>INDEX(Stores!$B$2:$B$21,MATCH(B1351,Stores!$A$2:$A$21,0))</f>
        <v>Hyderabad</v>
      </c>
    </row>
    <row r="1352">
      <c r="A1352" s="32" t="str">
        <f>Orders!A1349</f>
        <v>O01348</v>
      </c>
      <c r="B1352" s="32" t="str">
        <f>Orders!C1349</f>
        <v>S014</v>
      </c>
      <c r="C1352" s="32" t="str">
        <f>Orders!B1349</f>
        <v>C0024</v>
      </c>
      <c r="D1352" s="32" t="str">
        <f>Orders!H1349</f>
        <v>Delivered</v>
      </c>
      <c r="E1352" s="33">
        <f>IF(Orders!H1349="Delivered",1,0)</f>
        <v>1</v>
      </c>
      <c r="F1352" s="34">
        <f>IF(E1352=1,Orders!R1349,"")</f>
        <v>-0.8</v>
      </c>
      <c r="G1352" s="33">
        <f>IF(E1352=1,IF(Orders!R1349&gt;0,1,0),"")</f>
        <v>0</v>
      </c>
      <c r="H1352" s="33">
        <f>IF(E1352=1,IF(Orders!R1349&gt;5,1,0),"")</f>
        <v>0</v>
      </c>
      <c r="I1352" s="32" t="str">
        <f>IF(E1352=1,"",IF(OR(Orders!T1349="Rider unavailable",Orders!T1349="Item unavailable"),"Company-caused","Unresolved"))</f>
        <v/>
      </c>
      <c r="J1352" s="33">
        <f>IF(OR(E1352=1,I1352="Company-caused"),1,0)</f>
        <v>1</v>
      </c>
      <c r="K1352" s="32" t="str">
        <f>IF(E1352=0,IF(I1352="Company-caused",IF(Orders!T1349="Rider unavailable","C1 Rider unavailable","C2 Item unavailable"),"Outside root: unresolved"),IF(G1352=0,"A On time",IF(H1352=1,IF(L1352=1,"B2a Severe, peak","B2b Severe, off-peak"),IF(L1352=1,"B1a Slight, peak","B1b Slight, off-peak"))))</f>
        <v>A On time</v>
      </c>
      <c r="L1352" s="33">
        <f>IF(AND(Orders!U1349&gt;=19,Orders!U1349&lt;22),1,0)</f>
        <v>0</v>
      </c>
      <c r="M1352" s="33">
        <f>IF(L1352=IF(Orders!V1349,1,0),1,0)</f>
        <v>1</v>
      </c>
      <c r="N1352" s="32" t="str">
        <f>IF(Orders!W1349="","None",Orders!W1349)</f>
        <v>None</v>
      </c>
      <c r="O1352" s="35">
        <f>INT(Orders!E1349)</f>
        <v>46270.0</v>
      </c>
      <c r="P1352" s="33">
        <f>Orders!U1349</f>
        <v>11</v>
      </c>
      <c r="Q1352" s="33">
        <f>COUNTIFS(Demand!$A$2:$A$4481,B1352,Demand!$B$2:$B$4481,O1352,Demand!$C$2:$C$4481,P1352)</f>
        <v>1</v>
      </c>
      <c r="R1352" s="33">
        <f>IF(Q1352=1,SUMIFS(Demand!$E$2:$E$4481,Demand!$A$2:$A$4481,B1352,Demand!$B$2:$B$4481,O1352,Demand!$C$2:$C$4481,P1352),"")</f>
        <v>33</v>
      </c>
      <c r="S1352" s="33">
        <f>INDEX(Stores!$G$2:$G$21,MATCH(B1352,Stores!$A$2:$A$21,0))</f>
        <v>37</v>
      </c>
      <c r="T1352" s="34">
        <f>IF(R1352="","",R1352/S1352)</f>
        <v>0.891891891891892</v>
      </c>
      <c r="U1352" s="34">
        <f>IF(E1352=1,T1352,"")</f>
        <v>0.891891891891892</v>
      </c>
      <c r="V1352" s="34">
        <f>IF(AND(E1352=1,L1352=0),T1352,"")</f>
        <v>0.891891891891892</v>
      </c>
      <c r="W1352" s="33">
        <f>IF(U1352="","",IF(U1352&lt;=Breakdowns!$C$5,1,IF(U1352&lt;=Breakdowns!$C$6,2,IF(U1352&lt;=Breakdowns!$C$7,3,4))))</f>
        <v>2</v>
      </c>
      <c r="X1352" s="33">
        <f>IF(V1352="","",IF(V1352&lt;=Breakdowns!$D$5,1,IF(V1352&lt;=Breakdowns!$D$6,2,IF(V1352&lt;=Breakdowns!$D$7,3,4))))</f>
        <v>2</v>
      </c>
      <c r="Y1352" s="34">
        <f>INDEX(Stores!$F$2:$F$21,MATCH(B1352,Stores!$A$2:$A$21,0))</f>
        <v>5.55</v>
      </c>
      <c r="Z1352" s="33">
        <f>IF(Y1352&gt;Store_Summary!$M$2,1,0)</f>
        <v>1</v>
      </c>
      <c r="AA1352" s="33">
        <f>INDEX(Stores!$C$2:$C$21,MATCH(B1352,Stores!$A$2:$A$21,0))</f>
        <v>241</v>
      </c>
      <c r="AB1352" s="33">
        <f>IF(AA1352&lt;180,1,0)</f>
        <v>0</v>
      </c>
      <c r="AC1352" s="32" t="str">
        <f>IF(Orders!D1349="","",INDEX(Riders!$C$2:$C$81,MATCH(Orders!D1349,Riders!$A$2:$A$81,0)))</f>
        <v>Petrol scooter</v>
      </c>
      <c r="AD1352" s="33">
        <f>IF(Orders!D1349="","",INDEX(Riders!$D$2:$D$81,MATCH(Orders!D1349,Riders!$A$2:$A$81,0)))</f>
        <v>48</v>
      </c>
      <c r="AE1352" s="33">
        <f>IF(Orders!D1349="","",IF(INDEX(Riders!$B$2:$B$81,MATCH(Orders!D1349,Riders!$A$2:$A$81,0))=B1352,1,0))</f>
        <v>0</v>
      </c>
      <c r="AF1352" s="34">
        <f>IF(E1352=1,Orders!L1349,"")</f>
        <v>0.69</v>
      </c>
      <c r="AG1352" s="34">
        <f>IF(E1352=1,Orders!P1349,"")</f>
        <v>11</v>
      </c>
      <c r="AH1352" s="34">
        <f>IF(E1352=1,Orders!Q1349,"")</f>
        <v>10.2</v>
      </c>
      <c r="AI1352" s="34">
        <f>IF(E1352=1,Orders!M1349,"")</f>
        <v>2.8</v>
      </c>
      <c r="AJ1352" s="34">
        <f>IF(E1352=1,Orders!N1349,"")</f>
        <v>6</v>
      </c>
      <c r="AK1352" s="34">
        <f>IF(E1352=1,Orders!O1349,"")</f>
        <v>1.4</v>
      </c>
      <c r="AL1352" s="33">
        <f>IF(E1352=1,IF(ROUND(ABS(AI1352+AJ1352+AK1352-AH1352),6)&lt;=0.1,1,0),"")</f>
        <v>1</v>
      </c>
      <c r="AM1352" s="36">
        <f>IF(E1352=1,AI1352/AH1352,"")</f>
        <v>0.274509803921569</v>
      </c>
      <c r="AN1352" s="36">
        <f>IF(E1352=1,AJ1352/AH1352,"")</f>
        <v>0.588235294117647</v>
      </c>
      <c r="AO1352" s="36">
        <f>IF(E1352=1,AK1352/AH1352,"")</f>
        <v>0.137254901960784</v>
      </c>
      <c r="AP1352" s="34">
        <f>IF(E1352=1,Orders!Y1349,"")</f>
        <v>0.3</v>
      </c>
      <c r="AQ1352" s="33">
        <f>IF(Orders!X1349,1,0)</f>
        <v>0</v>
      </c>
      <c r="AR1352" s="34" t="str">
        <f>IF(AND(E1352=1,L1352=1),AJ1352,"")</f>
        <v/>
      </c>
      <c r="AS1352" s="34">
        <f>IF(AND(E1352=1,L1352=0),AJ1352,"")</f>
        <v>6</v>
      </c>
      <c r="AT1352" s="34" t="str">
        <f>IF(AND(E1352=1,L1352=1),AI1352,"")</f>
        <v/>
      </c>
      <c r="AU1352" s="34">
        <f>IF(AND(E1352=1,L1352=0),AI1352,"")</f>
        <v>2.8</v>
      </c>
      <c r="AV1352" s="34" t="str">
        <f>IF(AND(E1352=1,L1352=1),AG1352,"")</f>
        <v/>
      </c>
      <c r="AW1352" s="34">
        <f>IF(AND(E1352=1,L1352=0),AG1352,"")</f>
        <v>11</v>
      </c>
      <c r="AX1352" s="34" t="str">
        <f>IF(AND(E1352=1,L1352=1),AH1352,"")</f>
        <v/>
      </c>
      <c r="AY1352" s="34">
        <f>IF(AND(E1352=1,L1352=0),AH1352,"")</f>
        <v>10.2</v>
      </c>
      <c r="AZ1352" s="34" t="str">
        <f>IF(G1352=1,F1352,"")</f>
        <v/>
      </c>
      <c r="BA1352" s="34" t="str">
        <f>IF(AND(G1352=1,L1352=1),F1352,"")</f>
        <v/>
      </c>
      <c r="BB1352" s="34" t="str">
        <f>IF(AND(G1352=1,L1352=0),F1352,"")</f>
        <v/>
      </c>
      <c r="BC1352" s="33">
        <f>IF(E1352=1,IF(Orders!R1349&gt;3,1,0),"")</f>
        <v>0</v>
      </c>
      <c r="BD1352" s="33">
        <f>IF(E1352=1,IF(Orders!R1349&gt;7,1,0),"")</f>
        <v>0</v>
      </c>
      <c r="BE1352" s="32" t="str">
        <f>IF(E1352=1,IF(Orders!L1349&lt;=1.5,"Up to 1.5 km",IF(Orders!L1349&lt;=3,"1.5–3 km","Over 3 km")),"")</f>
        <v>Up to 1.5 km</v>
      </c>
      <c r="BF1352" s="33">
        <f>IF(E1352=1,IF(ABS((Orders!G1349-Orders!F1349)*1440-Orders!R1349)&lt;0.06,1,0),"")</f>
        <v>1</v>
      </c>
      <c r="BG1352" s="33">
        <f>IF(ABS((Orders!F1349-Orders!E1349)*1440-Orders!P1349)&lt;0.06,1,0)</f>
        <v>1</v>
      </c>
      <c r="BH1352" s="33">
        <f>IF(E1352=1,IF(IF(Orders!S1349,1,0)=1-G1352,1,0),"")</f>
        <v>1</v>
      </c>
      <c r="BI1352" s="32" t="str">
        <f>INDEX(Stores!$B$2:$B$21,MATCH(B1352,Stores!$A$2:$A$21,0))</f>
        <v>Pune</v>
      </c>
    </row>
    <row r="1353">
      <c r="A1353" s="32" t="str">
        <f>Orders!A1350</f>
        <v>O01349</v>
      </c>
      <c r="B1353" s="32" t="str">
        <f>Orders!C1350</f>
        <v>S002</v>
      </c>
      <c r="C1353" s="32" t="str">
        <f>Orders!B1350</f>
        <v>C0223</v>
      </c>
      <c r="D1353" s="32" t="str">
        <f>Orders!H1350</f>
        <v>Delivered</v>
      </c>
      <c r="E1353" s="33">
        <f>IF(Orders!H1350="Delivered",1,0)</f>
        <v>1</v>
      </c>
      <c r="F1353" s="34">
        <f>IF(E1353=1,Orders!R1350,"")</f>
        <v>6.4</v>
      </c>
      <c r="G1353" s="33">
        <f>IF(E1353=1,IF(Orders!R1350&gt;0,1,0),"")</f>
        <v>1</v>
      </c>
      <c r="H1353" s="33">
        <f>IF(E1353=1,IF(Orders!R1350&gt;5,1,0),"")</f>
        <v>1</v>
      </c>
      <c r="I1353" s="32" t="str">
        <f>IF(E1353=1,"",IF(OR(Orders!T1350="Rider unavailable",Orders!T1350="Item unavailable"),"Company-caused","Unresolved"))</f>
        <v/>
      </c>
      <c r="J1353" s="33">
        <f>IF(OR(E1353=1,I1353="Company-caused"),1,0)</f>
        <v>1</v>
      </c>
      <c r="K1353" s="32" t="str">
        <f>IF(E1353=0,IF(I1353="Company-caused",IF(Orders!T1350="Rider unavailable","C1 Rider unavailable","C2 Item unavailable"),"Outside root: unresolved"),IF(G1353=0,"A On time",IF(H1353=1,IF(L1353=1,"B2a Severe, peak","B2b Severe, off-peak"),IF(L1353=1,"B1a Slight, peak","B1b Slight, off-peak"))))</f>
        <v>B2a Severe, peak</v>
      </c>
      <c r="L1353" s="33">
        <f>IF(AND(Orders!U1350&gt;=19,Orders!U1350&lt;22),1,0)</f>
        <v>1</v>
      </c>
      <c r="M1353" s="33">
        <f>IF(L1353=IF(Orders!V1350,1,0),1,0)</f>
        <v>1</v>
      </c>
      <c r="N1353" s="32" t="str">
        <f>IF(Orders!W1350="","None",Orders!W1350)</f>
        <v>Light</v>
      </c>
      <c r="O1353" s="35">
        <f>INT(Orders!E1350)</f>
        <v>46274.0</v>
      </c>
      <c r="P1353" s="33">
        <f>Orders!U1350</f>
        <v>20</v>
      </c>
      <c r="Q1353" s="33">
        <f>COUNTIFS(Demand!$A$2:$A$4481,B1353,Demand!$B$2:$B$4481,O1353,Demand!$C$2:$C$4481,P1353)</f>
        <v>1</v>
      </c>
      <c r="R1353" s="33">
        <f>IF(Q1353=1,SUMIFS(Demand!$E$2:$E$4481,Demand!$A$2:$A$4481,B1353,Demand!$B$2:$B$4481,O1353,Demand!$C$2:$C$4481,P1353),"")</f>
        <v>60</v>
      </c>
      <c r="S1353" s="33">
        <f>INDEX(Stores!$G$2:$G$21,MATCH(B1353,Stores!$A$2:$A$21,0))</f>
        <v>33</v>
      </c>
      <c r="T1353" s="34">
        <f>IF(R1353="","",R1353/S1353)</f>
        <v>1.81818181818182</v>
      </c>
      <c r="U1353" s="34">
        <f>IF(E1353=1,T1353,"")</f>
        <v>1.81818181818182</v>
      </c>
      <c r="V1353" s="34" t="str">
        <f>IF(AND(E1353=1,L1353=0),T1353,"")</f>
        <v/>
      </c>
      <c r="W1353" s="33">
        <f>IF(U1353="","",IF(U1353&lt;=Breakdowns!$C$5,1,IF(U1353&lt;=Breakdowns!$C$6,2,IF(U1353&lt;=Breakdowns!$C$7,3,4))))</f>
        <v>4</v>
      </c>
      <c r="X1353" s="33" t="str">
        <f>IF(V1353="","",IF(V1353&lt;=Breakdowns!$D$5,1,IF(V1353&lt;=Breakdowns!$D$6,2,IF(V1353&lt;=Breakdowns!$D$7,3,4))))</f>
        <v/>
      </c>
      <c r="Y1353" s="34">
        <f>INDEX(Stores!$F$2:$F$21,MATCH(B1353,Stores!$A$2:$A$21,0))</f>
        <v>2.39</v>
      </c>
      <c r="Z1353" s="33">
        <f>IF(Y1353&gt;Store_Summary!$M$2,1,0)</f>
        <v>0</v>
      </c>
      <c r="AA1353" s="33">
        <f>INDEX(Stores!$C$2:$C$21,MATCH(B1353,Stores!$A$2:$A$21,0))</f>
        <v>470</v>
      </c>
      <c r="AB1353" s="33">
        <f>IF(AA1353&lt;180,1,0)</f>
        <v>0</v>
      </c>
      <c r="AC1353" s="32" t="str">
        <f>IF(Orders!D1350="","",INDEX(Riders!$C$2:$C$81,MATCH(Orders!D1350,Riders!$A$2:$A$81,0)))</f>
        <v>EV scooter</v>
      </c>
      <c r="AD1353" s="33">
        <f>IF(Orders!D1350="","",INDEX(Riders!$D$2:$D$81,MATCH(Orders!D1350,Riders!$A$2:$A$81,0)))</f>
        <v>27</v>
      </c>
      <c r="AE1353" s="33">
        <f>IF(Orders!D1350="","",IF(INDEX(Riders!$B$2:$B$81,MATCH(Orders!D1350,Riders!$A$2:$A$81,0))=B1353,1,0))</f>
        <v>0</v>
      </c>
      <c r="AF1353" s="34">
        <f>IF(E1353=1,Orders!L1350,"")</f>
        <v>1.44</v>
      </c>
      <c r="AG1353" s="34">
        <f>IF(E1353=1,Orders!P1350,"")</f>
        <v>8.9</v>
      </c>
      <c r="AH1353" s="34">
        <f>IF(E1353=1,Orders!Q1350,"")</f>
        <v>15.3</v>
      </c>
      <c r="AI1353" s="34">
        <f>IF(E1353=1,Orders!M1350,"")</f>
        <v>3</v>
      </c>
      <c r="AJ1353" s="34">
        <f>IF(E1353=1,Orders!N1350,"")</f>
        <v>7.4</v>
      </c>
      <c r="AK1353" s="34">
        <f>IF(E1353=1,Orders!O1350,"")</f>
        <v>4.9</v>
      </c>
      <c r="AL1353" s="33">
        <f>IF(E1353=1,IF(ROUND(ABS(AI1353+AJ1353+AK1353-AH1353),6)&lt;=0.1,1,0),"")</f>
        <v>1</v>
      </c>
      <c r="AM1353" s="36">
        <f>IF(E1353=1,AI1353/AH1353,"")</f>
        <v>0.196078431372549</v>
      </c>
      <c r="AN1353" s="36">
        <f>IF(E1353=1,AJ1353/AH1353,"")</f>
        <v>0.483660130718954</v>
      </c>
      <c r="AO1353" s="36">
        <f>IF(E1353=1,AK1353/AH1353,"")</f>
        <v>0.320261437908497</v>
      </c>
      <c r="AP1353" s="34">
        <f>IF(E1353=1,Orders!Y1350,"")</f>
        <v>0.19</v>
      </c>
      <c r="AQ1353" s="33">
        <f>IF(Orders!X1350,1,0)</f>
        <v>0</v>
      </c>
      <c r="AR1353" s="34">
        <f>IF(AND(E1353=1,L1353=1),AJ1353,"")</f>
        <v>7.4</v>
      </c>
      <c r="AS1353" s="34" t="str">
        <f>IF(AND(E1353=1,L1353=0),AJ1353,"")</f>
        <v/>
      </c>
      <c r="AT1353" s="34">
        <f>IF(AND(E1353=1,L1353=1),AI1353,"")</f>
        <v>3</v>
      </c>
      <c r="AU1353" s="34" t="str">
        <f>IF(AND(E1353=1,L1353=0),AI1353,"")</f>
        <v/>
      </c>
      <c r="AV1353" s="34">
        <f>IF(AND(E1353=1,L1353=1),AG1353,"")</f>
        <v>8.9</v>
      </c>
      <c r="AW1353" s="34" t="str">
        <f>IF(AND(E1353=1,L1353=0),AG1353,"")</f>
        <v/>
      </c>
      <c r="AX1353" s="34">
        <f>IF(AND(E1353=1,L1353=1),AH1353,"")</f>
        <v>15.3</v>
      </c>
      <c r="AY1353" s="34" t="str">
        <f>IF(AND(E1353=1,L1353=0),AH1353,"")</f>
        <v/>
      </c>
      <c r="AZ1353" s="34">
        <f>IF(G1353=1,F1353,"")</f>
        <v>6.4</v>
      </c>
      <c r="BA1353" s="34">
        <f>IF(AND(G1353=1,L1353=1),F1353,"")</f>
        <v>6.4</v>
      </c>
      <c r="BB1353" s="34" t="str">
        <f>IF(AND(G1353=1,L1353=0),F1353,"")</f>
        <v/>
      </c>
      <c r="BC1353" s="33">
        <f>IF(E1353=1,IF(Orders!R1350&gt;3,1,0),"")</f>
        <v>1</v>
      </c>
      <c r="BD1353" s="33">
        <f>IF(E1353=1,IF(Orders!R1350&gt;7,1,0),"")</f>
        <v>0</v>
      </c>
      <c r="BE1353" s="32" t="str">
        <f>IF(E1353=1,IF(Orders!L1350&lt;=1.5,"Up to 1.5 km",IF(Orders!L1350&lt;=3,"1.5–3 km","Over 3 km")),"")</f>
        <v>Up to 1.5 km</v>
      </c>
      <c r="BF1353" s="33">
        <f>IF(E1353=1,IF(ABS((Orders!G1350-Orders!F1350)*1440-Orders!R1350)&lt;0.06,1,0),"")</f>
        <v>1</v>
      </c>
      <c r="BG1353" s="33">
        <f>IF(ABS((Orders!F1350-Orders!E1350)*1440-Orders!P1350)&lt;0.06,1,0)</f>
        <v>1</v>
      </c>
      <c r="BH1353" s="33">
        <f>IF(E1353=1,IF(IF(Orders!S1350,1,0)=1-G1353,1,0),"")</f>
        <v>1</v>
      </c>
      <c r="BI1353" s="32" t="str">
        <f>INDEX(Stores!$B$2:$B$21,MATCH(B1353,Stores!$A$2:$A$21,0))</f>
        <v>Hyderabad</v>
      </c>
    </row>
    <row r="1354">
      <c r="A1354" s="32" t="str">
        <f>Orders!A1351</f>
        <v>O01350</v>
      </c>
      <c r="B1354" s="32" t="str">
        <f>Orders!C1351</f>
        <v>S013</v>
      </c>
      <c r="C1354" s="32" t="str">
        <f>Orders!B1351</f>
        <v>C0241</v>
      </c>
      <c r="D1354" s="32" t="str">
        <f>Orders!H1351</f>
        <v>Delivered</v>
      </c>
      <c r="E1354" s="33">
        <f>IF(Orders!H1351="Delivered",1,0)</f>
        <v>1</v>
      </c>
      <c r="F1354" s="34">
        <f>IF(E1354=1,Orders!R1351,"")</f>
        <v>-0.7</v>
      </c>
      <c r="G1354" s="33">
        <f>IF(E1354=1,IF(Orders!R1351&gt;0,1,0),"")</f>
        <v>0</v>
      </c>
      <c r="H1354" s="33">
        <f>IF(E1354=1,IF(Orders!R1351&gt;5,1,0),"")</f>
        <v>0</v>
      </c>
      <c r="I1354" s="32" t="str">
        <f>IF(E1354=1,"",IF(OR(Orders!T1351="Rider unavailable",Orders!T1351="Item unavailable"),"Company-caused","Unresolved"))</f>
        <v/>
      </c>
      <c r="J1354" s="33">
        <f>IF(OR(E1354=1,I1354="Company-caused"),1,0)</f>
        <v>1</v>
      </c>
      <c r="K1354" s="32" t="str">
        <f>IF(E1354=0,IF(I1354="Company-caused",IF(Orders!T1351="Rider unavailable","C1 Rider unavailable","C2 Item unavailable"),"Outside root: unresolved"),IF(G1354=0,"A On time",IF(H1354=1,IF(L1354=1,"B2a Severe, peak","B2b Severe, off-peak"),IF(L1354=1,"B1a Slight, peak","B1b Slight, off-peak"))))</f>
        <v>A On time</v>
      </c>
      <c r="L1354" s="33">
        <f>IF(AND(Orders!U1351&gt;=19,Orders!U1351&lt;22),1,0)</f>
        <v>1</v>
      </c>
      <c r="M1354" s="33">
        <f>IF(L1354=IF(Orders!V1351,1,0),1,0)</f>
        <v>1</v>
      </c>
      <c r="N1354" s="32" t="str">
        <f>IF(Orders!W1351="","None",Orders!W1351)</f>
        <v>None</v>
      </c>
      <c r="O1354" s="35">
        <f>INT(Orders!E1351)</f>
        <v>46278.0</v>
      </c>
      <c r="P1354" s="33">
        <f>Orders!U1351</f>
        <v>21</v>
      </c>
      <c r="Q1354" s="33">
        <f>COUNTIFS(Demand!$A$2:$A$4481,B1354,Demand!$B$2:$B$4481,O1354,Demand!$C$2:$C$4481,P1354)</f>
        <v>1</v>
      </c>
      <c r="R1354" s="33">
        <f>IF(Q1354=1,SUMIFS(Demand!$E$2:$E$4481,Demand!$A$2:$A$4481,B1354,Demand!$B$2:$B$4481,O1354,Demand!$C$2:$C$4481,P1354),"")</f>
        <v>82</v>
      </c>
      <c r="S1354" s="33">
        <f>INDEX(Stores!$G$2:$G$21,MATCH(B1354,Stores!$A$2:$A$21,0))</f>
        <v>49</v>
      </c>
      <c r="T1354" s="34">
        <f>IF(R1354="","",R1354/S1354)</f>
        <v>1.6734693877551</v>
      </c>
      <c r="U1354" s="34">
        <f>IF(E1354=1,T1354,"")</f>
        <v>1.6734693877551</v>
      </c>
      <c r="V1354" s="34" t="str">
        <f>IF(AND(E1354=1,L1354=0),T1354,"")</f>
        <v/>
      </c>
      <c r="W1354" s="33">
        <f>IF(U1354="","",IF(U1354&lt;=Breakdowns!$C$5,1,IF(U1354&lt;=Breakdowns!$C$6,2,IF(U1354&lt;=Breakdowns!$C$7,3,4))))</f>
        <v>4</v>
      </c>
      <c r="X1354" s="33" t="str">
        <f>IF(V1354="","",IF(V1354&lt;=Breakdowns!$D$5,1,IF(V1354&lt;=Breakdowns!$D$6,2,IF(V1354&lt;=Breakdowns!$D$7,3,4))))</f>
        <v/>
      </c>
      <c r="Y1354" s="34">
        <f>INDEX(Stores!$F$2:$F$21,MATCH(B1354,Stores!$A$2:$A$21,0))</f>
        <v>5.82</v>
      </c>
      <c r="Z1354" s="33">
        <f>IF(Y1354&gt;Store_Summary!$M$2,1,0)</f>
        <v>1</v>
      </c>
      <c r="AA1354" s="33">
        <f>INDEX(Stores!$C$2:$C$21,MATCH(B1354,Stores!$A$2:$A$21,0))</f>
        <v>705</v>
      </c>
      <c r="AB1354" s="33">
        <f>IF(AA1354&lt;180,1,0)</f>
        <v>0</v>
      </c>
      <c r="AC1354" s="32" t="str">
        <f>IF(Orders!D1351="","",INDEX(Riders!$C$2:$C$81,MATCH(Orders!D1351,Riders!$A$2:$A$81,0)))</f>
        <v>Petrol scooter</v>
      </c>
      <c r="AD1354" s="33">
        <f>IF(Orders!D1351="","",INDEX(Riders!$D$2:$D$81,MATCH(Orders!D1351,Riders!$A$2:$A$81,0)))</f>
        <v>35</v>
      </c>
      <c r="AE1354" s="33">
        <f>IF(Orders!D1351="","",IF(INDEX(Riders!$B$2:$B$81,MATCH(Orders!D1351,Riders!$A$2:$A$81,0))=B1354,1,0))</f>
        <v>0</v>
      </c>
      <c r="AF1354" s="34">
        <f>IF(E1354=1,Orders!L1351,"")</f>
        <v>2.46</v>
      </c>
      <c r="AG1354" s="34">
        <f>IF(E1354=1,Orders!P1351,"")</f>
        <v>10.6</v>
      </c>
      <c r="AH1354" s="34">
        <f>IF(E1354=1,Orders!Q1351,"")</f>
        <v>9.9</v>
      </c>
      <c r="AI1354" s="34">
        <f>IF(E1354=1,Orders!M1351,"")</f>
        <v>2.7</v>
      </c>
      <c r="AJ1354" s="34">
        <f>IF(E1354=1,Orders!N1351,"")</f>
        <v>3.8</v>
      </c>
      <c r="AK1354" s="34">
        <f>IF(E1354=1,Orders!O1351,"")</f>
        <v>3.4</v>
      </c>
      <c r="AL1354" s="33">
        <f>IF(E1354=1,IF(ROUND(ABS(AI1354+AJ1354+AK1354-AH1354),6)&lt;=0.1,1,0),"")</f>
        <v>1</v>
      </c>
      <c r="AM1354" s="36">
        <f>IF(E1354=1,AI1354/AH1354,"")</f>
        <v>0.272727272727273</v>
      </c>
      <c r="AN1354" s="36">
        <f>IF(E1354=1,AJ1354/AH1354,"")</f>
        <v>0.383838383838384</v>
      </c>
      <c r="AO1354" s="36">
        <f>IF(E1354=1,AK1354/AH1354,"")</f>
        <v>0.343434343434343</v>
      </c>
      <c r="AP1354" s="34">
        <f>IF(E1354=1,Orders!Y1351,"")</f>
        <v>0.6</v>
      </c>
      <c r="AQ1354" s="33">
        <f>IF(Orders!X1351,1,0)</f>
        <v>0</v>
      </c>
      <c r="AR1354" s="34">
        <f>IF(AND(E1354=1,L1354=1),AJ1354,"")</f>
        <v>3.8</v>
      </c>
      <c r="AS1354" s="34" t="str">
        <f>IF(AND(E1354=1,L1354=0),AJ1354,"")</f>
        <v/>
      </c>
      <c r="AT1354" s="34">
        <f>IF(AND(E1354=1,L1354=1),AI1354,"")</f>
        <v>2.7</v>
      </c>
      <c r="AU1354" s="34" t="str">
        <f>IF(AND(E1354=1,L1354=0),AI1354,"")</f>
        <v/>
      </c>
      <c r="AV1354" s="34">
        <f>IF(AND(E1354=1,L1354=1),AG1354,"")</f>
        <v>10.6</v>
      </c>
      <c r="AW1354" s="34" t="str">
        <f>IF(AND(E1354=1,L1354=0),AG1354,"")</f>
        <v/>
      </c>
      <c r="AX1354" s="34">
        <f>IF(AND(E1354=1,L1354=1),AH1354,"")</f>
        <v>9.9</v>
      </c>
      <c r="AY1354" s="34" t="str">
        <f>IF(AND(E1354=1,L1354=0),AH1354,"")</f>
        <v/>
      </c>
      <c r="AZ1354" s="34" t="str">
        <f>IF(G1354=1,F1354,"")</f>
        <v/>
      </c>
      <c r="BA1354" s="34" t="str">
        <f>IF(AND(G1354=1,L1354=1),F1354,"")</f>
        <v/>
      </c>
      <c r="BB1354" s="34" t="str">
        <f>IF(AND(G1354=1,L1354=0),F1354,"")</f>
        <v/>
      </c>
      <c r="BC1354" s="33">
        <f>IF(E1354=1,IF(Orders!R1351&gt;3,1,0),"")</f>
        <v>0</v>
      </c>
      <c r="BD1354" s="33">
        <f>IF(E1354=1,IF(Orders!R1351&gt;7,1,0),"")</f>
        <v>0</v>
      </c>
      <c r="BE1354" s="32" t="str">
        <f>IF(E1354=1,IF(Orders!L1351&lt;=1.5,"Up to 1.5 km",IF(Orders!L1351&lt;=3,"1.5–3 km","Over 3 km")),"")</f>
        <v>1.5–3 km</v>
      </c>
      <c r="BF1354" s="33">
        <f>IF(E1354=1,IF(ABS((Orders!G1351-Orders!F1351)*1440-Orders!R1351)&lt;0.06,1,0),"")</f>
        <v>1</v>
      </c>
      <c r="BG1354" s="33">
        <f>IF(ABS((Orders!F1351-Orders!E1351)*1440-Orders!P1351)&lt;0.06,1,0)</f>
        <v>1</v>
      </c>
      <c r="BH1354" s="33">
        <f>IF(E1354=1,IF(IF(Orders!S1351,1,0)=1-G1354,1,0),"")</f>
        <v>1</v>
      </c>
      <c r="BI1354" s="32" t="str">
        <f>INDEX(Stores!$B$2:$B$21,MATCH(B1354,Stores!$A$2:$A$21,0))</f>
        <v>Mumbai</v>
      </c>
    </row>
    <row r="1355">
      <c r="A1355" s="32" t="str">
        <f>Orders!A1352</f>
        <v>O01351</v>
      </c>
      <c r="B1355" s="32" t="str">
        <f>Orders!C1352</f>
        <v>S019</v>
      </c>
      <c r="C1355" s="32" t="str">
        <f>Orders!B1352</f>
        <v>C0132</v>
      </c>
      <c r="D1355" s="32" t="str">
        <f>Orders!H1352</f>
        <v>Delivered</v>
      </c>
      <c r="E1355" s="33">
        <f>IF(Orders!H1352="Delivered",1,0)</f>
        <v>1</v>
      </c>
      <c r="F1355" s="34">
        <f>IF(E1355=1,Orders!R1352,"")</f>
        <v>-1.1</v>
      </c>
      <c r="G1355" s="33">
        <f>IF(E1355=1,IF(Orders!R1352&gt;0,1,0),"")</f>
        <v>0</v>
      </c>
      <c r="H1355" s="33">
        <f>IF(E1355=1,IF(Orders!R1352&gt;5,1,0),"")</f>
        <v>0</v>
      </c>
      <c r="I1355" s="32" t="str">
        <f>IF(E1355=1,"",IF(OR(Orders!T1352="Rider unavailable",Orders!T1352="Item unavailable"),"Company-caused","Unresolved"))</f>
        <v/>
      </c>
      <c r="J1355" s="33">
        <f>IF(OR(E1355=1,I1355="Company-caused"),1,0)</f>
        <v>1</v>
      </c>
      <c r="K1355" s="32" t="str">
        <f>IF(E1355=0,IF(I1355="Company-caused",IF(Orders!T1352="Rider unavailable","C1 Rider unavailable","C2 Item unavailable"),"Outside root: unresolved"),IF(G1355=0,"A On time",IF(H1355=1,IF(L1355=1,"B2a Severe, peak","B2b Severe, off-peak"),IF(L1355=1,"B1a Slight, peak","B1b Slight, off-peak"))))</f>
        <v>A On time</v>
      </c>
      <c r="L1355" s="33">
        <f>IF(AND(Orders!U1352&gt;=19,Orders!U1352&lt;22),1,0)</f>
        <v>0</v>
      </c>
      <c r="M1355" s="33">
        <f>IF(L1355=IF(Orders!V1352,1,0),1,0)</f>
        <v>1</v>
      </c>
      <c r="N1355" s="32" t="str">
        <f>IF(Orders!W1352="","None",Orders!W1352)</f>
        <v>Light</v>
      </c>
      <c r="O1355" s="35">
        <f>INT(Orders!E1352)</f>
        <v>46277.0</v>
      </c>
      <c r="P1355" s="33">
        <f>Orders!U1352</f>
        <v>11</v>
      </c>
      <c r="Q1355" s="33">
        <f>COUNTIFS(Demand!$A$2:$A$4481,B1355,Demand!$B$2:$B$4481,O1355,Demand!$C$2:$C$4481,P1355)</f>
        <v>1</v>
      </c>
      <c r="R1355" s="33">
        <f>IF(Q1355=1,SUMIFS(Demand!$E$2:$E$4481,Demand!$A$2:$A$4481,B1355,Demand!$B$2:$B$4481,O1355,Demand!$C$2:$C$4481,P1355),"")</f>
        <v>22</v>
      </c>
      <c r="S1355" s="33">
        <f>INDEX(Stores!$G$2:$G$21,MATCH(B1355,Stores!$A$2:$A$21,0))</f>
        <v>22</v>
      </c>
      <c r="T1355" s="34">
        <f>IF(R1355="","",R1355/S1355)</f>
        <v>1</v>
      </c>
      <c r="U1355" s="34">
        <f>IF(E1355=1,T1355,"")</f>
        <v>1</v>
      </c>
      <c r="V1355" s="34">
        <f>IF(AND(E1355=1,L1355=0),T1355,"")</f>
        <v>1</v>
      </c>
      <c r="W1355" s="33">
        <f>IF(U1355="","",IF(U1355&lt;=Breakdowns!$C$5,1,IF(U1355&lt;=Breakdowns!$C$6,2,IF(U1355&lt;=Breakdowns!$C$7,3,4))))</f>
        <v>2</v>
      </c>
      <c r="X1355" s="33">
        <f>IF(V1355="","",IF(V1355&lt;=Breakdowns!$D$5,1,IF(V1355&lt;=Breakdowns!$D$6,2,IF(V1355&lt;=Breakdowns!$D$7,3,4))))</f>
        <v>3</v>
      </c>
      <c r="Y1355" s="34">
        <f>INDEX(Stores!$F$2:$F$21,MATCH(B1355,Stores!$A$2:$A$21,0))</f>
        <v>4.99</v>
      </c>
      <c r="Z1355" s="33">
        <f>IF(Y1355&gt;Store_Summary!$M$2,1,0)</f>
        <v>1</v>
      </c>
      <c r="AA1355" s="33">
        <f>INDEX(Stores!$C$2:$C$21,MATCH(B1355,Stores!$A$2:$A$21,0))</f>
        <v>851</v>
      </c>
      <c r="AB1355" s="33">
        <f>IF(AA1355&lt;180,1,0)</f>
        <v>0</v>
      </c>
      <c r="AC1355" s="32" t="str">
        <f>IF(Orders!D1352="","",INDEX(Riders!$C$2:$C$81,MATCH(Orders!D1352,Riders!$A$2:$A$81,0)))</f>
        <v>EV scooter</v>
      </c>
      <c r="AD1355" s="33">
        <f>IF(Orders!D1352="","",INDEX(Riders!$D$2:$D$81,MATCH(Orders!D1352,Riders!$A$2:$A$81,0)))</f>
        <v>36</v>
      </c>
      <c r="AE1355" s="33">
        <f>IF(Orders!D1352="","",IF(INDEX(Riders!$B$2:$B$81,MATCH(Orders!D1352,Riders!$A$2:$A$81,0))=B1355,1,0))</f>
        <v>0</v>
      </c>
      <c r="AF1355" s="34">
        <f>IF(E1355=1,Orders!L1352,"")</f>
        <v>2.5</v>
      </c>
      <c r="AG1355" s="34">
        <f>IF(E1355=1,Orders!P1352,"")</f>
        <v>8.7</v>
      </c>
      <c r="AH1355" s="34">
        <f>IF(E1355=1,Orders!Q1352,"")</f>
        <v>7.6</v>
      </c>
      <c r="AI1355" s="34">
        <f>IF(E1355=1,Orders!M1352,"")</f>
        <v>2.4</v>
      </c>
      <c r="AJ1355" s="34">
        <f>IF(E1355=1,Orders!N1352,"")</f>
        <v>2.5</v>
      </c>
      <c r="AK1355" s="34">
        <f>IF(E1355=1,Orders!O1352,"")</f>
        <v>2.7</v>
      </c>
      <c r="AL1355" s="33">
        <f>IF(E1355=1,IF(ROUND(ABS(AI1355+AJ1355+AK1355-AH1355),6)&lt;=0.1,1,0),"")</f>
        <v>1</v>
      </c>
      <c r="AM1355" s="36">
        <f>IF(E1355=1,AI1355/AH1355,"")</f>
        <v>0.315789473684211</v>
      </c>
      <c r="AN1355" s="36">
        <f>IF(E1355=1,AJ1355/AH1355,"")</f>
        <v>0.328947368421053</v>
      </c>
      <c r="AO1355" s="36">
        <f>IF(E1355=1,AK1355/AH1355,"")</f>
        <v>0.355263157894737</v>
      </c>
      <c r="AP1355" s="34">
        <f>IF(E1355=1,Orders!Y1352,"")</f>
        <v>0.38</v>
      </c>
      <c r="AQ1355" s="33">
        <f>IF(Orders!X1352,1,0)</f>
        <v>0</v>
      </c>
      <c r="AR1355" s="34" t="str">
        <f>IF(AND(E1355=1,L1355=1),AJ1355,"")</f>
        <v/>
      </c>
      <c r="AS1355" s="34">
        <f>IF(AND(E1355=1,L1355=0),AJ1355,"")</f>
        <v>2.5</v>
      </c>
      <c r="AT1355" s="34" t="str">
        <f>IF(AND(E1355=1,L1355=1),AI1355,"")</f>
        <v/>
      </c>
      <c r="AU1355" s="34">
        <f>IF(AND(E1355=1,L1355=0),AI1355,"")</f>
        <v>2.4</v>
      </c>
      <c r="AV1355" s="34" t="str">
        <f>IF(AND(E1355=1,L1355=1),AG1355,"")</f>
        <v/>
      </c>
      <c r="AW1355" s="34">
        <f>IF(AND(E1355=1,L1355=0),AG1355,"")</f>
        <v>8.7</v>
      </c>
      <c r="AX1355" s="34" t="str">
        <f>IF(AND(E1355=1,L1355=1),AH1355,"")</f>
        <v/>
      </c>
      <c r="AY1355" s="34">
        <f>IF(AND(E1355=1,L1355=0),AH1355,"")</f>
        <v>7.6</v>
      </c>
      <c r="AZ1355" s="34" t="str">
        <f>IF(G1355=1,F1355,"")</f>
        <v/>
      </c>
      <c r="BA1355" s="34" t="str">
        <f>IF(AND(G1355=1,L1355=1),F1355,"")</f>
        <v/>
      </c>
      <c r="BB1355" s="34" t="str">
        <f>IF(AND(G1355=1,L1355=0),F1355,"")</f>
        <v/>
      </c>
      <c r="BC1355" s="33">
        <f>IF(E1355=1,IF(Orders!R1352&gt;3,1,0),"")</f>
        <v>0</v>
      </c>
      <c r="BD1355" s="33">
        <f>IF(E1355=1,IF(Orders!R1352&gt;7,1,0),"")</f>
        <v>0</v>
      </c>
      <c r="BE1355" s="32" t="str">
        <f>IF(E1355=1,IF(Orders!L1352&lt;=1.5,"Up to 1.5 km",IF(Orders!L1352&lt;=3,"1.5–3 km","Over 3 km")),"")</f>
        <v>1.5–3 km</v>
      </c>
      <c r="BF1355" s="33">
        <f>IF(E1355=1,IF(ABS((Orders!G1352-Orders!F1352)*1440-Orders!R1352)&lt;0.06,1,0),"")</f>
        <v>1</v>
      </c>
      <c r="BG1355" s="33">
        <f>IF(ABS((Orders!F1352-Orders!E1352)*1440-Orders!P1352)&lt;0.06,1,0)</f>
        <v>1</v>
      </c>
      <c r="BH1355" s="33">
        <f>IF(E1355=1,IF(IF(Orders!S1352,1,0)=1-G1355,1,0),"")</f>
        <v>1</v>
      </c>
      <c r="BI1355" s="32" t="str">
        <f>INDEX(Stores!$B$2:$B$21,MATCH(B1355,Stores!$A$2:$A$21,0))</f>
        <v>Pune</v>
      </c>
    </row>
    <row r="1356">
      <c r="A1356" s="32" t="str">
        <f>Orders!A1353</f>
        <v>O01352</v>
      </c>
      <c r="B1356" s="32" t="str">
        <f>Orders!C1353</f>
        <v>S018</v>
      </c>
      <c r="C1356" s="32" t="str">
        <f>Orders!B1353</f>
        <v>C0086</v>
      </c>
      <c r="D1356" s="32" t="str">
        <f>Orders!H1353</f>
        <v>Delivered</v>
      </c>
      <c r="E1356" s="33">
        <f>IF(Orders!H1353="Delivered",1,0)</f>
        <v>1</v>
      </c>
      <c r="F1356" s="34">
        <f>IF(E1356=1,Orders!R1353,"")</f>
        <v>5.6</v>
      </c>
      <c r="G1356" s="33">
        <f>IF(E1356=1,IF(Orders!R1353&gt;0,1,0),"")</f>
        <v>1</v>
      </c>
      <c r="H1356" s="33">
        <f>IF(E1356=1,IF(Orders!R1353&gt;5,1,0),"")</f>
        <v>1</v>
      </c>
      <c r="I1356" s="32" t="str">
        <f>IF(E1356=1,"",IF(OR(Orders!T1353="Rider unavailable",Orders!T1353="Item unavailable"),"Company-caused","Unresolved"))</f>
        <v/>
      </c>
      <c r="J1356" s="33">
        <f>IF(OR(E1356=1,I1356="Company-caused"),1,0)</f>
        <v>1</v>
      </c>
      <c r="K1356" s="32" t="str">
        <f>IF(E1356=0,IF(I1356="Company-caused",IF(Orders!T1353="Rider unavailable","C1 Rider unavailable","C2 Item unavailable"),"Outside root: unresolved"),IF(G1356=0,"A On time",IF(H1356=1,IF(L1356=1,"B2a Severe, peak","B2b Severe, off-peak"),IF(L1356=1,"B1a Slight, peak","B1b Slight, off-peak"))))</f>
        <v>B2b Severe, off-peak</v>
      </c>
      <c r="L1356" s="33">
        <f>IF(AND(Orders!U1353&gt;=19,Orders!U1353&lt;22),1,0)</f>
        <v>0</v>
      </c>
      <c r="M1356" s="33">
        <f>IF(L1356=IF(Orders!V1353,1,0),1,0)</f>
        <v>1</v>
      </c>
      <c r="N1356" s="32" t="str">
        <f>IF(Orders!W1353="","None",Orders!W1353)</f>
        <v>None</v>
      </c>
      <c r="O1356" s="35">
        <f>INT(Orders!E1353)</f>
        <v>46271.0</v>
      </c>
      <c r="P1356" s="33">
        <f>Orders!U1353</f>
        <v>13</v>
      </c>
      <c r="Q1356" s="33">
        <f>COUNTIFS(Demand!$A$2:$A$4481,B1356,Demand!$B$2:$B$4481,O1356,Demand!$C$2:$C$4481,P1356)</f>
        <v>1</v>
      </c>
      <c r="R1356" s="33">
        <f>IF(Q1356=1,SUMIFS(Demand!$E$2:$E$4481,Demand!$A$2:$A$4481,B1356,Demand!$B$2:$B$4481,O1356,Demand!$C$2:$C$4481,P1356),"")</f>
        <v>26</v>
      </c>
      <c r="S1356" s="33">
        <f>INDEX(Stores!$G$2:$G$21,MATCH(B1356,Stores!$A$2:$A$21,0))</f>
        <v>20</v>
      </c>
      <c r="T1356" s="34">
        <f>IF(R1356="","",R1356/S1356)</f>
        <v>1.3</v>
      </c>
      <c r="U1356" s="34">
        <f>IF(E1356=1,T1356,"")</f>
        <v>1.3</v>
      </c>
      <c r="V1356" s="34">
        <f>IF(AND(E1356=1,L1356=0),T1356,"")</f>
        <v>1.3</v>
      </c>
      <c r="W1356" s="33">
        <f>IF(U1356="","",IF(U1356&lt;=Breakdowns!$C$5,1,IF(U1356&lt;=Breakdowns!$C$6,2,IF(U1356&lt;=Breakdowns!$C$7,3,4))))</f>
        <v>4</v>
      </c>
      <c r="X1356" s="33">
        <f>IF(V1356="","",IF(V1356&lt;=Breakdowns!$D$5,1,IF(V1356&lt;=Breakdowns!$D$6,2,IF(V1356&lt;=Breakdowns!$D$7,3,4))))</f>
        <v>4</v>
      </c>
      <c r="Y1356" s="34">
        <f>INDEX(Stores!$F$2:$F$21,MATCH(B1356,Stores!$A$2:$A$21,0))</f>
        <v>5.31</v>
      </c>
      <c r="Z1356" s="33">
        <f>IF(Y1356&gt;Store_Summary!$M$2,1,0)</f>
        <v>1</v>
      </c>
      <c r="AA1356" s="33">
        <f>INDEX(Stores!$C$2:$C$21,MATCH(B1356,Stores!$A$2:$A$21,0))</f>
        <v>214</v>
      </c>
      <c r="AB1356" s="33">
        <f>IF(AA1356&lt;180,1,0)</f>
        <v>0</v>
      </c>
      <c r="AC1356" s="32" t="str">
        <f>IF(Orders!D1353="","",INDEX(Riders!$C$2:$C$81,MATCH(Orders!D1353,Riders!$A$2:$A$81,0)))</f>
        <v>Bicycle</v>
      </c>
      <c r="AD1356" s="33">
        <f>IF(Orders!D1353="","",INDEX(Riders!$D$2:$D$81,MATCH(Orders!D1353,Riders!$A$2:$A$81,0)))</f>
        <v>14</v>
      </c>
      <c r="AE1356" s="33">
        <f>IF(Orders!D1353="","",IF(INDEX(Riders!$B$2:$B$81,MATCH(Orders!D1353,Riders!$A$2:$A$81,0))=B1356,1,0))</f>
        <v>0</v>
      </c>
      <c r="AF1356" s="34">
        <f>IF(E1356=1,Orders!L1353,"")</f>
        <v>1.57</v>
      </c>
      <c r="AG1356" s="34">
        <f>IF(E1356=1,Orders!P1353,"")</f>
        <v>9</v>
      </c>
      <c r="AH1356" s="34">
        <f>IF(E1356=1,Orders!Q1353,"")</f>
        <v>14.6</v>
      </c>
      <c r="AI1356" s="34">
        <f>IF(E1356=1,Orders!M1353,"")</f>
        <v>5.5</v>
      </c>
      <c r="AJ1356" s="34">
        <f>IF(E1356=1,Orders!N1353,"")</f>
        <v>3.4</v>
      </c>
      <c r="AK1356" s="34">
        <f>IF(E1356=1,Orders!O1353,"")</f>
        <v>5.6</v>
      </c>
      <c r="AL1356" s="33">
        <f>IF(E1356=1,IF(ROUND(ABS(AI1356+AJ1356+AK1356-AH1356),6)&lt;=0.1,1,0),"")</f>
        <v>1</v>
      </c>
      <c r="AM1356" s="36">
        <f>IF(E1356=1,AI1356/AH1356,"")</f>
        <v>0.376712328767123</v>
      </c>
      <c r="AN1356" s="36">
        <f>IF(E1356=1,AJ1356/AH1356,"")</f>
        <v>0.232876712328767</v>
      </c>
      <c r="AO1356" s="36">
        <f>IF(E1356=1,AK1356/AH1356,"")</f>
        <v>0.383561643835616</v>
      </c>
      <c r="AP1356" s="34">
        <f>IF(E1356=1,Orders!Y1353,"")</f>
        <v>0.72</v>
      </c>
      <c r="AQ1356" s="33">
        <f>IF(Orders!X1353,1,0)</f>
        <v>0</v>
      </c>
      <c r="AR1356" s="34" t="str">
        <f>IF(AND(E1356=1,L1356=1),AJ1356,"")</f>
        <v/>
      </c>
      <c r="AS1356" s="34">
        <f>IF(AND(E1356=1,L1356=0),AJ1356,"")</f>
        <v>3.4</v>
      </c>
      <c r="AT1356" s="34" t="str">
        <f>IF(AND(E1356=1,L1356=1),AI1356,"")</f>
        <v/>
      </c>
      <c r="AU1356" s="34">
        <f>IF(AND(E1356=1,L1356=0),AI1356,"")</f>
        <v>5.5</v>
      </c>
      <c r="AV1356" s="34" t="str">
        <f>IF(AND(E1356=1,L1356=1),AG1356,"")</f>
        <v/>
      </c>
      <c r="AW1356" s="34">
        <f>IF(AND(E1356=1,L1356=0),AG1356,"")</f>
        <v>9</v>
      </c>
      <c r="AX1356" s="34" t="str">
        <f>IF(AND(E1356=1,L1356=1),AH1356,"")</f>
        <v/>
      </c>
      <c r="AY1356" s="34">
        <f>IF(AND(E1356=1,L1356=0),AH1356,"")</f>
        <v>14.6</v>
      </c>
      <c r="AZ1356" s="34">
        <f>IF(G1356=1,F1356,"")</f>
        <v>5.6</v>
      </c>
      <c r="BA1356" s="34" t="str">
        <f>IF(AND(G1356=1,L1356=1),F1356,"")</f>
        <v/>
      </c>
      <c r="BB1356" s="34">
        <f>IF(AND(G1356=1,L1356=0),F1356,"")</f>
        <v>5.6</v>
      </c>
      <c r="BC1356" s="33">
        <f>IF(E1356=1,IF(Orders!R1353&gt;3,1,0),"")</f>
        <v>1</v>
      </c>
      <c r="BD1356" s="33">
        <f>IF(E1356=1,IF(Orders!R1353&gt;7,1,0),"")</f>
        <v>0</v>
      </c>
      <c r="BE1356" s="32" t="str">
        <f>IF(E1356=1,IF(Orders!L1353&lt;=1.5,"Up to 1.5 km",IF(Orders!L1353&lt;=3,"1.5–3 km","Over 3 km")),"")</f>
        <v>1.5–3 km</v>
      </c>
      <c r="BF1356" s="33">
        <f>IF(E1356=1,IF(ABS((Orders!G1353-Orders!F1353)*1440-Orders!R1353)&lt;0.06,1,0),"")</f>
        <v>1</v>
      </c>
      <c r="BG1356" s="33">
        <f>IF(ABS((Orders!F1353-Orders!E1353)*1440-Orders!P1353)&lt;0.06,1,0)</f>
        <v>1</v>
      </c>
      <c r="BH1356" s="33">
        <f>IF(E1356=1,IF(IF(Orders!S1353,1,0)=1-G1356,1,0),"")</f>
        <v>1</v>
      </c>
      <c r="BI1356" s="32" t="str">
        <f>INDEX(Stores!$B$2:$B$21,MATCH(B1356,Stores!$A$2:$A$21,0))</f>
        <v>Mumbai</v>
      </c>
    </row>
    <row r="1357">
      <c r="A1357" s="32" t="str">
        <f>Orders!A1354</f>
        <v>O01353</v>
      </c>
      <c r="B1357" s="32" t="str">
        <f>Orders!C1354</f>
        <v>S003</v>
      </c>
      <c r="C1357" s="32" t="str">
        <f>Orders!B1354</f>
        <v>C0234</v>
      </c>
      <c r="D1357" s="32" t="str">
        <f>Orders!H1354</f>
        <v>Delivered</v>
      </c>
      <c r="E1357" s="33">
        <f>IF(Orders!H1354="Delivered",1,0)</f>
        <v>1</v>
      </c>
      <c r="F1357" s="34">
        <f>IF(E1357=1,Orders!R1354,"")</f>
        <v>3.1</v>
      </c>
      <c r="G1357" s="33">
        <f>IF(E1357=1,IF(Orders!R1354&gt;0,1,0),"")</f>
        <v>1</v>
      </c>
      <c r="H1357" s="33">
        <f>IF(E1357=1,IF(Orders!R1354&gt;5,1,0),"")</f>
        <v>0</v>
      </c>
      <c r="I1357" s="32" t="str">
        <f>IF(E1357=1,"",IF(OR(Orders!T1354="Rider unavailable",Orders!T1354="Item unavailable"),"Company-caused","Unresolved"))</f>
        <v/>
      </c>
      <c r="J1357" s="33">
        <f>IF(OR(E1357=1,I1357="Company-caused"),1,0)</f>
        <v>1</v>
      </c>
      <c r="K1357" s="32" t="str">
        <f>IF(E1357=0,IF(I1357="Company-caused",IF(Orders!T1354="Rider unavailable","C1 Rider unavailable","C2 Item unavailable"),"Outside root: unresolved"),IF(G1357=0,"A On time",IF(H1357=1,IF(L1357=1,"B2a Severe, peak","B2b Severe, off-peak"),IF(L1357=1,"B1a Slight, peak","B1b Slight, off-peak"))))</f>
        <v>B1b Slight, off-peak</v>
      </c>
      <c r="L1357" s="33">
        <f>IF(AND(Orders!U1354&gt;=19,Orders!U1354&lt;22),1,0)</f>
        <v>0</v>
      </c>
      <c r="M1357" s="33">
        <f>IF(L1357=IF(Orders!V1354,1,0),1,0)</f>
        <v>1</v>
      </c>
      <c r="N1357" s="32" t="str">
        <f>IF(Orders!W1354="","None",Orders!W1354)</f>
        <v>None</v>
      </c>
      <c r="O1357" s="35">
        <f>INT(Orders!E1354)</f>
        <v>46275.0</v>
      </c>
      <c r="P1357" s="33">
        <f>Orders!U1354</f>
        <v>17</v>
      </c>
      <c r="Q1357" s="33">
        <f>COUNTIFS(Demand!$A$2:$A$4481,B1357,Demand!$B$2:$B$4481,O1357,Demand!$C$2:$C$4481,P1357)</f>
        <v>1</v>
      </c>
      <c r="R1357" s="33">
        <f>IF(Q1357=1,SUMIFS(Demand!$E$2:$E$4481,Demand!$A$2:$A$4481,B1357,Demand!$B$2:$B$4481,O1357,Demand!$C$2:$C$4481,P1357),"")</f>
        <v>47</v>
      </c>
      <c r="S1357" s="33">
        <f>INDEX(Stores!$G$2:$G$21,MATCH(B1357,Stores!$A$2:$A$21,0))</f>
        <v>41</v>
      </c>
      <c r="T1357" s="34">
        <f>IF(R1357="","",R1357/S1357)</f>
        <v>1.14634146341463</v>
      </c>
      <c r="U1357" s="34">
        <f>IF(E1357=1,T1357,"")</f>
        <v>1.14634146341463</v>
      </c>
      <c r="V1357" s="34">
        <f>IF(AND(E1357=1,L1357=0),T1357,"")</f>
        <v>1.14634146341463</v>
      </c>
      <c r="W1357" s="33">
        <f>IF(U1357="","",IF(U1357&lt;=Breakdowns!$C$5,1,IF(U1357&lt;=Breakdowns!$C$6,2,IF(U1357&lt;=Breakdowns!$C$7,3,4))))</f>
        <v>3</v>
      </c>
      <c r="X1357" s="33">
        <f>IF(V1357="","",IF(V1357&lt;=Breakdowns!$D$5,1,IF(V1357&lt;=Breakdowns!$D$6,2,IF(V1357&lt;=Breakdowns!$D$7,3,4))))</f>
        <v>4</v>
      </c>
      <c r="Y1357" s="34">
        <f>INDEX(Stores!$F$2:$F$21,MATCH(B1357,Stores!$A$2:$A$21,0))</f>
        <v>3.84</v>
      </c>
      <c r="Z1357" s="33">
        <f>IF(Y1357&gt;Store_Summary!$M$2,1,0)</f>
        <v>0</v>
      </c>
      <c r="AA1357" s="33">
        <f>INDEX(Stores!$C$2:$C$21,MATCH(B1357,Stores!$A$2:$A$21,0))</f>
        <v>426</v>
      </c>
      <c r="AB1357" s="33">
        <f>IF(AA1357&lt;180,1,0)</f>
        <v>0</v>
      </c>
      <c r="AC1357" s="32" t="str">
        <f>IF(Orders!D1354="","",INDEX(Riders!$C$2:$C$81,MATCH(Orders!D1354,Riders!$A$2:$A$81,0)))</f>
        <v>EV scooter</v>
      </c>
      <c r="AD1357" s="33">
        <f>IF(Orders!D1354="","",INDEX(Riders!$D$2:$D$81,MATCH(Orders!D1354,Riders!$A$2:$A$81,0)))</f>
        <v>2</v>
      </c>
      <c r="AE1357" s="33">
        <f>IF(Orders!D1354="","",IF(INDEX(Riders!$B$2:$B$81,MATCH(Orders!D1354,Riders!$A$2:$A$81,0))=B1357,1,0))</f>
        <v>0</v>
      </c>
      <c r="AF1357" s="34">
        <f>IF(E1357=1,Orders!L1354,"")</f>
        <v>1.84</v>
      </c>
      <c r="AG1357" s="34">
        <f>IF(E1357=1,Orders!P1354,"")</f>
        <v>10.1</v>
      </c>
      <c r="AH1357" s="34">
        <f>IF(E1357=1,Orders!Q1354,"")</f>
        <v>13.2</v>
      </c>
      <c r="AI1357" s="34">
        <f>IF(E1357=1,Orders!M1354,"")</f>
        <v>4.6</v>
      </c>
      <c r="AJ1357" s="34">
        <f>IF(E1357=1,Orders!N1354,"")</f>
        <v>2.9</v>
      </c>
      <c r="AK1357" s="34">
        <f>IF(E1357=1,Orders!O1354,"")</f>
        <v>5.7</v>
      </c>
      <c r="AL1357" s="33">
        <f>IF(E1357=1,IF(ROUND(ABS(AI1357+AJ1357+AK1357-AH1357),6)&lt;=0.1,1,0),"")</f>
        <v>1</v>
      </c>
      <c r="AM1357" s="36">
        <f>IF(E1357=1,AI1357/AH1357,"")</f>
        <v>0.348484848484848</v>
      </c>
      <c r="AN1357" s="36">
        <f>IF(E1357=1,AJ1357/AH1357,"")</f>
        <v>0.21969696969697</v>
      </c>
      <c r="AO1357" s="36">
        <f>IF(E1357=1,AK1357/AH1357,"")</f>
        <v>0.431818181818182</v>
      </c>
      <c r="AP1357" s="34">
        <f>IF(E1357=1,Orders!Y1354,"")</f>
        <v>0.49</v>
      </c>
      <c r="AQ1357" s="33">
        <f>IF(Orders!X1354,1,0)</f>
        <v>0</v>
      </c>
      <c r="AR1357" s="34" t="str">
        <f>IF(AND(E1357=1,L1357=1),AJ1357,"")</f>
        <v/>
      </c>
      <c r="AS1357" s="34">
        <f>IF(AND(E1357=1,L1357=0),AJ1357,"")</f>
        <v>2.9</v>
      </c>
      <c r="AT1357" s="34" t="str">
        <f>IF(AND(E1357=1,L1357=1),AI1357,"")</f>
        <v/>
      </c>
      <c r="AU1357" s="34">
        <f>IF(AND(E1357=1,L1357=0),AI1357,"")</f>
        <v>4.6</v>
      </c>
      <c r="AV1357" s="34" t="str">
        <f>IF(AND(E1357=1,L1357=1),AG1357,"")</f>
        <v/>
      </c>
      <c r="AW1357" s="34">
        <f>IF(AND(E1357=1,L1357=0),AG1357,"")</f>
        <v>10.1</v>
      </c>
      <c r="AX1357" s="34" t="str">
        <f>IF(AND(E1357=1,L1357=1),AH1357,"")</f>
        <v/>
      </c>
      <c r="AY1357" s="34">
        <f>IF(AND(E1357=1,L1357=0),AH1357,"")</f>
        <v>13.2</v>
      </c>
      <c r="AZ1357" s="34">
        <f>IF(G1357=1,F1357,"")</f>
        <v>3.1</v>
      </c>
      <c r="BA1357" s="34" t="str">
        <f>IF(AND(G1357=1,L1357=1),F1357,"")</f>
        <v/>
      </c>
      <c r="BB1357" s="34">
        <f>IF(AND(G1357=1,L1357=0),F1357,"")</f>
        <v>3.1</v>
      </c>
      <c r="BC1357" s="33">
        <f>IF(E1357=1,IF(Orders!R1354&gt;3,1,0),"")</f>
        <v>1</v>
      </c>
      <c r="BD1357" s="33">
        <f>IF(E1357=1,IF(Orders!R1354&gt;7,1,0),"")</f>
        <v>0</v>
      </c>
      <c r="BE1357" s="32" t="str">
        <f>IF(E1357=1,IF(Orders!L1354&lt;=1.5,"Up to 1.5 km",IF(Orders!L1354&lt;=3,"1.5–3 km","Over 3 km")),"")</f>
        <v>1.5–3 km</v>
      </c>
      <c r="BF1357" s="33">
        <f>IF(E1357=1,IF(ABS((Orders!G1354-Orders!F1354)*1440-Orders!R1354)&lt;0.06,1,0),"")</f>
        <v>1</v>
      </c>
      <c r="BG1357" s="33">
        <f>IF(ABS((Orders!F1354-Orders!E1354)*1440-Orders!P1354)&lt;0.06,1,0)</f>
        <v>1</v>
      </c>
      <c r="BH1357" s="33">
        <f>IF(E1357=1,IF(IF(Orders!S1354,1,0)=1-G1357,1,0),"")</f>
        <v>1</v>
      </c>
      <c r="BI1357" s="32" t="str">
        <f>INDEX(Stores!$B$2:$B$21,MATCH(B1357,Stores!$A$2:$A$21,0))</f>
        <v>Mumbai</v>
      </c>
    </row>
    <row r="1358">
      <c r="A1358" s="32" t="str">
        <f>Orders!A1355</f>
        <v>O01354</v>
      </c>
      <c r="B1358" s="32" t="str">
        <f>Orders!C1355</f>
        <v>S011</v>
      </c>
      <c r="C1358" s="32" t="str">
        <f>Orders!B1355</f>
        <v>C0019</v>
      </c>
      <c r="D1358" s="32" t="str">
        <f>Orders!H1355</f>
        <v>Delivered</v>
      </c>
      <c r="E1358" s="33">
        <f>IF(Orders!H1355="Delivered",1,0)</f>
        <v>1</v>
      </c>
      <c r="F1358" s="34">
        <f>IF(E1358=1,Orders!R1355,"")</f>
        <v>-1</v>
      </c>
      <c r="G1358" s="33">
        <f>IF(E1358=1,IF(Orders!R1355&gt;0,1,0),"")</f>
        <v>0</v>
      </c>
      <c r="H1358" s="33">
        <f>IF(E1358=1,IF(Orders!R1355&gt;5,1,0),"")</f>
        <v>0</v>
      </c>
      <c r="I1358" s="32" t="str">
        <f>IF(E1358=1,"",IF(OR(Orders!T1355="Rider unavailable",Orders!T1355="Item unavailable"),"Company-caused","Unresolved"))</f>
        <v/>
      </c>
      <c r="J1358" s="33">
        <f>IF(OR(E1358=1,I1358="Company-caused"),1,0)</f>
        <v>1</v>
      </c>
      <c r="K1358" s="32" t="str">
        <f>IF(E1358=0,IF(I1358="Company-caused",IF(Orders!T1355="Rider unavailable","C1 Rider unavailable","C2 Item unavailable"),"Outside root: unresolved"),IF(G1358=0,"A On time",IF(H1358=1,IF(L1358=1,"B2a Severe, peak","B2b Severe, off-peak"),IF(L1358=1,"B1a Slight, peak","B1b Slight, off-peak"))))</f>
        <v>A On time</v>
      </c>
      <c r="L1358" s="33">
        <f>IF(AND(Orders!U1355&gt;=19,Orders!U1355&lt;22),1,0)</f>
        <v>0</v>
      </c>
      <c r="M1358" s="33">
        <f>IF(L1358=IF(Orders!V1355,1,0),1,0)</f>
        <v>1</v>
      </c>
      <c r="N1358" s="32" t="str">
        <f>IF(Orders!W1355="","None",Orders!W1355)</f>
        <v>None</v>
      </c>
      <c r="O1358" s="35">
        <f>INT(Orders!E1355)</f>
        <v>46267.0</v>
      </c>
      <c r="P1358" s="33">
        <f>Orders!U1355</f>
        <v>23</v>
      </c>
      <c r="Q1358" s="33">
        <f>COUNTIFS(Demand!$A$2:$A$4481,B1358,Demand!$B$2:$B$4481,O1358,Demand!$C$2:$C$4481,P1358)</f>
        <v>1</v>
      </c>
      <c r="R1358" s="33">
        <f>IF(Q1358=1,SUMIFS(Demand!$E$2:$E$4481,Demand!$A$2:$A$4481,B1358,Demand!$B$2:$B$4481,O1358,Demand!$C$2:$C$4481,P1358),"")</f>
        <v>29</v>
      </c>
      <c r="S1358" s="33">
        <f>INDEX(Stores!$G$2:$G$21,MATCH(B1358,Stores!$A$2:$A$21,0))</f>
        <v>31</v>
      </c>
      <c r="T1358" s="34">
        <f>IF(R1358="","",R1358/S1358)</f>
        <v>0.935483870967742</v>
      </c>
      <c r="U1358" s="34">
        <f>IF(E1358=1,T1358,"")</f>
        <v>0.935483870967742</v>
      </c>
      <c r="V1358" s="34">
        <f>IF(AND(E1358=1,L1358=0),T1358,"")</f>
        <v>0.935483870967742</v>
      </c>
      <c r="W1358" s="33">
        <f>IF(U1358="","",IF(U1358&lt;=Breakdowns!$C$5,1,IF(U1358&lt;=Breakdowns!$C$6,2,IF(U1358&lt;=Breakdowns!$C$7,3,4))))</f>
        <v>2</v>
      </c>
      <c r="X1358" s="33">
        <f>IF(V1358="","",IF(V1358&lt;=Breakdowns!$D$5,1,IF(V1358&lt;=Breakdowns!$D$6,2,IF(V1358&lt;=Breakdowns!$D$7,3,4))))</f>
        <v>3</v>
      </c>
      <c r="Y1358" s="34">
        <f>INDEX(Stores!$F$2:$F$21,MATCH(B1358,Stores!$A$2:$A$21,0))</f>
        <v>5.67</v>
      </c>
      <c r="Z1358" s="33">
        <f>IF(Y1358&gt;Store_Summary!$M$2,1,0)</f>
        <v>1</v>
      </c>
      <c r="AA1358" s="33">
        <f>INDEX(Stores!$C$2:$C$21,MATCH(B1358,Stores!$A$2:$A$21,0))</f>
        <v>732</v>
      </c>
      <c r="AB1358" s="33">
        <f>IF(AA1358&lt;180,1,0)</f>
        <v>0</v>
      </c>
      <c r="AC1358" s="32" t="str">
        <f>IF(Orders!D1355="","",INDEX(Riders!$C$2:$C$81,MATCH(Orders!D1355,Riders!$A$2:$A$81,0)))</f>
        <v>Bicycle</v>
      </c>
      <c r="AD1358" s="33">
        <f>IF(Orders!D1355="","",INDEX(Riders!$D$2:$D$81,MATCH(Orders!D1355,Riders!$A$2:$A$81,0)))</f>
        <v>8</v>
      </c>
      <c r="AE1358" s="33">
        <f>IF(Orders!D1355="","",IF(INDEX(Riders!$B$2:$B$81,MATCH(Orders!D1355,Riders!$A$2:$A$81,0))=B1358,1,0))</f>
        <v>0</v>
      </c>
      <c r="AF1358" s="34">
        <f>IF(E1358=1,Orders!L1355,"")</f>
        <v>3.3</v>
      </c>
      <c r="AG1358" s="34">
        <f>IF(E1358=1,Orders!P1355,"")</f>
        <v>11.1</v>
      </c>
      <c r="AH1358" s="34">
        <f>IF(E1358=1,Orders!Q1355,"")</f>
        <v>10.1</v>
      </c>
      <c r="AI1358" s="34">
        <f>IF(E1358=1,Orders!M1355,"")</f>
        <v>3.6</v>
      </c>
      <c r="AJ1358" s="34">
        <f>IF(E1358=1,Orders!N1355,"")</f>
        <v>2.9</v>
      </c>
      <c r="AK1358" s="34">
        <f>IF(E1358=1,Orders!O1355,"")</f>
        <v>3.6</v>
      </c>
      <c r="AL1358" s="33">
        <f>IF(E1358=1,IF(ROUND(ABS(AI1358+AJ1358+AK1358-AH1358),6)&lt;=0.1,1,0),"")</f>
        <v>1</v>
      </c>
      <c r="AM1358" s="36">
        <f>IF(E1358=1,AI1358/AH1358,"")</f>
        <v>0.356435643564357</v>
      </c>
      <c r="AN1358" s="36">
        <f>IF(E1358=1,AJ1358/AH1358,"")</f>
        <v>0.287128712871287</v>
      </c>
      <c r="AO1358" s="36">
        <f>IF(E1358=1,AK1358/AH1358,"")</f>
        <v>0.356435643564357</v>
      </c>
      <c r="AP1358" s="34">
        <f>IF(E1358=1,Orders!Y1355,"")</f>
        <v>0.32</v>
      </c>
      <c r="AQ1358" s="33">
        <f>IF(Orders!X1355,1,0)</f>
        <v>0</v>
      </c>
      <c r="AR1358" s="34" t="str">
        <f>IF(AND(E1358=1,L1358=1),AJ1358,"")</f>
        <v/>
      </c>
      <c r="AS1358" s="34">
        <f>IF(AND(E1358=1,L1358=0),AJ1358,"")</f>
        <v>2.9</v>
      </c>
      <c r="AT1358" s="34" t="str">
        <f>IF(AND(E1358=1,L1358=1),AI1358,"")</f>
        <v/>
      </c>
      <c r="AU1358" s="34">
        <f>IF(AND(E1358=1,L1358=0),AI1358,"")</f>
        <v>3.6</v>
      </c>
      <c r="AV1358" s="34" t="str">
        <f>IF(AND(E1358=1,L1358=1),AG1358,"")</f>
        <v/>
      </c>
      <c r="AW1358" s="34">
        <f>IF(AND(E1358=1,L1358=0),AG1358,"")</f>
        <v>11.1</v>
      </c>
      <c r="AX1358" s="34" t="str">
        <f>IF(AND(E1358=1,L1358=1),AH1358,"")</f>
        <v/>
      </c>
      <c r="AY1358" s="34">
        <f>IF(AND(E1358=1,L1358=0),AH1358,"")</f>
        <v>10.1</v>
      </c>
      <c r="AZ1358" s="34" t="str">
        <f>IF(G1358=1,F1358,"")</f>
        <v/>
      </c>
      <c r="BA1358" s="34" t="str">
        <f>IF(AND(G1358=1,L1358=1),F1358,"")</f>
        <v/>
      </c>
      <c r="BB1358" s="34" t="str">
        <f>IF(AND(G1358=1,L1358=0),F1358,"")</f>
        <v/>
      </c>
      <c r="BC1358" s="33">
        <f>IF(E1358=1,IF(Orders!R1355&gt;3,1,0),"")</f>
        <v>0</v>
      </c>
      <c r="BD1358" s="33">
        <f>IF(E1358=1,IF(Orders!R1355&gt;7,1,0),"")</f>
        <v>0</v>
      </c>
      <c r="BE1358" s="32" t="str">
        <f>IF(E1358=1,IF(Orders!L1355&lt;=1.5,"Up to 1.5 km",IF(Orders!L1355&lt;=3,"1.5–3 km","Over 3 km")),"")</f>
        <v>Over 3 km</v>
      </c>
      <c r="BF1358" s="33">
        <f>IF(E1358=1,IF(ABS((Orders!G1355-Orders!F1355)*1440-Orders!R1355)&lt;0.06,1,0),"")</f>
        <v>1</v>
      </c>
      <c r="BG1358" s="33">
        <f>IF(ABS((Orders!F1355-Orders!E1355)*1440-Orders!P1355)&lt;0.06,1,0)</f>
        <v>1</v>
      </c>
      <c r="BH1358" s="33">
        <f>IF(E1358=1,IF(IF(Orders!S1355,1,0)=1-G1358,1,0),"")</f>
        <v>1</v>
      </c>
      <c r="BI1358" s="32" t="str">
        <f>INDEX(Stores!$B$2:$B$21,MATCH(B1358,Stores!$A$2:$A$21,0))</f>
        <v>Bengaluru</v>
      </c>
    </row>
    <row r="1359">
      <c r="A1359" s="32" t="str">
        <f>Orders!A1356</f>
        <v>O01355</v>
      </c>
      <c r="B1359" s="32" t="str">
        <f>Orders!C1356</f>
        <v>S009</v>
      </c>
      <c r="C1359" s="32" t="str">
        <f>Orders!B1356</f>
        <v>C0115</v>
      </c>
      <c r="D1359" s="32" t="str">
        <f>Orders!H1356</f>
        <v>Delivered</v>
      </c>
      <c r="E1359" s="33">
        <f>IF(Orders!H1356="Delivered",1,0)</f>
        <v>1</v>
      </c>
      <c r="F1359" s="34">
        <f>IF(E1359=1,Orders!R1356,"")</f>
        <v>-5.9</v>
      </c>
      <c r="G1359" s="33">
        <f>IF(E1359=1,IF(Orders!R1356&gt;0,1,0),"")</f>
        <v>0</v>
      </c>
      <c r="H1359" s="33">
        <f>IF(E1359=1,IF(Orders!R1356&gt;5,1,0),"")</f>
        <v>0</v>
      </c>
      <c r="I1359" s="32" t="str">
        <f>IF(E1359=1,"",IF(OR(Orders!T1356="Rider unavailable",Orders!T1356="Item unavailable"),"Company-caused","Unresolved"))</f>
        <v/>
      </c>
      <c r="J1359" s="33">
        <f>IF(OR(E1359=1,I1359="Company-caused"),1,0)</f>
        <v>1</v>
      </c>
      <c r="K1359" s="32" t="str">
        <f>IF(E1359=0,IF(I1359="Company-caused",IF(Orders!T1356="Rider unavailable","C1 Rider unavailable","C2 Item unavailable"),"Outside root: unresolved"),IF(G1359=0,"A On time",IF(H1359=1,IF(L1359=1,"B2a Severe, peak","B2b Severe, off-peak"),IF(L1359=1,"B1a Slight, peak","B1b Slight, off-peak"))))</f>
        <v>A On time</v>
      </c>
      <c r="L1359" s="33">
        <f>IF(AND(Orders!U1356&gt;=19,Orders!U1356&lt;22),1,0)</f>
        <v>0</v>
      </c>
      <c r="M1359" s="33">
        <f>IF(L1359=IF(Orders!V1356,1,0),1,0)</f>
        <v>1</v>
      </c>
      <c r="N1359" s="32" t="str">
        <f>IF(Orders!W1356="","None",Orders!W1356)</f>
        <v>None</v>
      </c>
      <c r="O1359" s="35">
        <f>INT(Orders!E1356)</f>
        <v>46272.0</v>
      </c>
      <c r="P1359" s="33">
        <f>Orders!U1356</f>
        <v>10</v>
      </c>
      <c r="Q1359" s="33">
        <f>COUNTIFS(Demand!$A$2:$A$4481,B1359,Demand!$B$2:$B$4481,O1359,Demand!$C$2:$C$4481,P1359)</f>
        <v>1</v>
      </c>
      <c r="R1359" s="33">
        <f>IF(Q1359=1,SUMIFS(Demand!$E$2:$E$4481,Demand!$A$2:$A$4481,B1359,Demand!$B$2:$B$4481,O1359,Demand!$C$2:$C$4481,P1359),"")</f>
        <v>21</v>
      </c>
      <c r="S1359" s="33">
        <f>INDEX(Stores!$G$2:$G$21,MATCH(B1359,Stores!$A$2:$A$21,0))</f>
        <v>29</v>
      </c>
      <c r="T1359" s="34">
        <f>IF(R1359="","",R1359/S1359)</f>
        <v>0.724137931034483</v>
      </c>
      <c r="U1359" s="34">
        <f>IF(E1359=1,T1359,"")</f>
        <v>0.724137931034483</v>
      </c>
      <c r="V1359" s="34">
        <f>IF(AND(E1359=1,L1359=0),T1359,"")</f>
        <v>0.724137931034483</v>
      </c>
      <c r="W1359" s="33">
        <f>IF(U1359="","",IF(U1359&lt;=Breakdowns!$C$5,1,IF(U1359&lt;=Breakdowns!$C$6,2,IF(U1359&lt;=Breakdowns!$C$7,3,4))))</f>
        <v>1</v>
      </c>
      <c r="X1359" s="33">
        <f>IF(V1359="","",IF(V1359&lt;=Breakdowns!$D$5,1,IF(V1359&lt;=Breakdowns!$D$6,2,IF(V1359&lt;=Breakdowns!$D$7,3,4))))</f>
        <v>1</v>
      </c>
      <c r="Y1359" s="34">
        <f>INDEX(Stores!$F$2:$F$21,MATCH(B1359,Stores!$A$2:$A$21,0))</f>
        <v>2.66</v>
      </c>
      <c r="Z1359" s="33">
        <f>IF(Y1359&gt;Store_Summary!$M$2,1,0)</f>
        <v>0</v>
      </c>
      <c r="AA1359" s="33">
        <f>INDEX(Stores!$C$2:$C$21,MATCH(B1359,Stores!$A$2:$A$21,0))</f>
        <v>645</v>
      </c>
      <c r="AB1359" s="33">
        <f>IF(AA1359&lt;180,1,0)</f>
        <v>0</v>
      </c>
      <c r="AC1359" s="32" t="str">
        <f>IF(Orders!D1356="","",INDEX(Riders!$C$2:$C$81,MATCH(Orders!D1356,Riders!$A$2:$A$81,0)))</f>
        <v>Bicycle</v>
      </c>
      <c r="AD1359" s="33">
        <f>IF(Orders!D1356="","",INDEX(Riders!$D$2:$D$81,MATCH(Orders!D1356,Riders!$A$2:$A$81,0)))</f>
        <v>40</v>
      </c>
      <c r="AE1359" s="33">
        <f>IF(Orders!D1356="","",IF(INDEX(Riders!$B$2:$B$81,MATCH(Orders!D1356,Riders!$A$2:$A$81,0))=B1359,1,0))</f>
        <v>1</v>
      </c>
      <c r="AF1359" s="34">
        <f>IF(E1359=1,Orders!L1356,"")</f>
        <v>0.5</v>
      </c>
      <c r="AG1359" s="34">
        <f>IF(E1359=1,Orders!P1356,"")</f>
        <v>10.7</v>
      </c>
      <c r="AH1359" s="34">
        <f>IF(E1359=1,Orders!Q1356,"")</f>
        <v>4.8</v>
      </c>
      <c r="AI1359" s="34">
        <f>IF(E1359=1,Orders!M1356,"")</f>
        <v>2.3</v>
      </c>
      <c r="AJ1359" s="34">
        <f>IF(E1359=1,Orders!N1356,"")</f>
        <v>0.4</v>
      </c>
      <c r="AK1359" s="34">
        <f>IF(E1359=1,Orders!O1356,"")</f>
        <v>2.1</v>
      </c>
      <c r="AL1359" s="33">
        <f>IF(E1359=1,IF(ROUND(ABS(AI1359+AJ1359+AK1359-AH1359),6)&lt;=0.1,1,0),"")</f>
        <v>1</v>
      </c>
      <c r="AM1359" s="36">
        <f>IF(E1359=1,AI1359/AH1359,"")</f>
        <v>0.479166666666667</v>
      </c>
      <c r="AN1359" s="36">
        <f>IF(E1359=1,AJ1359/AH1359,"")</f>
        <v>0.0833333333333333</v>
      </c>
      <c r="AO1359" s="36">
        <f>IF(E1359=1,AK1359/AH1359,"")</f>
        <v>0.4375</v>
      </c>
      <c r="AP1359" s="34">
        <f>IF(E1359=1,Orders!Y1356,"")</f>
        <v>0.36</v>
      </c>
      <c r="AQ1359" s="33">
        <f>IF(Orders!X1356,1,0)</f>
        <v>0</v>
      </c>
      <c r="AR1359" s="34" t="str">
        <f>IF(AND(E1359=1,L1359=1),AJ1359,"")</f>
        <v/>
      </c>
      <c r="AS1359" s="34">
        <f>IF(AND(E1359=1,L1359=0),AJ1359,"")</f>
        <v>0.4</v>
      </c>
      <c r="AT1359" s="34" t="str">
        <f>IF(AND(E1359=1,L1359=1),AI1359,"")</f>
        <v/>
      </c>
      <c r="AU1359" s="34">
        <f>IF(AND(E1359=1,L1359=0),AI1359,"")</f>
        <v>2.3</v>
      </c>
      <c r="AV1359" s="34" t="str">
        <f>IF(AND(E1359=1,L1359=1),AG1359,"")</f>
        <v/>
      </c>
      <c r="AW1359" s="34">
        <f>IF(AND(E1359=1,L1359=0),AG1359,"")</f>
        <v>10.7</v>
      </c>
      <c r="AX1359" s="34" t="str">
        <f>IF(AND(E1359=1,L1359=1),AH1359,"")</f>
        <v/>
      </c>
      <c r="AY1359" s="34">
        <f>IF(AND(E1359=1,L1359=0),AH1359,"")</f>
        <v>4.8</v>
      </c>
      <c r="AZ1359" s="34" t="str">
        <f>IF(G1359=1,F1359,"")</f>
        <v/>
      </c>
      <c r="BA1359" s="34" t="str">
        <f>IF(AND(G1359=1,L1359=1),F1359,"")</f>
        <v/>
      </c>
      <c r="BB1359" s="34" t="str">
        <f>IF(AND(G1359=1,L1359=0),F1359,"")</f>
        <v/>
      </c>
      <c r="BC1359" s="33">
        <f>IF(E1359=1,IF(Orders!R1356&gt;3,1,0),"")</f>
        <v>0</v>
      </c>
      <c r="BD1359" s="33">
        <f>IF(E1359=1,IF(Orders!R1356&gt;7,1,0),"")</f>
        <v>0</v>
      </c>
      <c r="BE1359" s="32" t="str">
        <f>IF(E1359=1,IF(Orders!L1356&lt;=1.5,"Up to 1.5 km",IF(Orders!L1356&lt;=3,"1.5–3 km","Over 3 km")),"")</f>
        <v>Up to 1.5 km</v>
      </c>
      <c r="BF1359" s="33">
        <f>IF(E1359=1,IF(ABS((Orders!G1356-Orders!F1356)*1440-Orders!R1356)&lt;0.06,1,0),"")</f>
        <v>1</v>
      </c>
      <c r="BG1359" s="33">
        <f>IF(ABS((Orders!F1356-Orders!E1356)*1440-Orders!P1356)&lt;0.06,1,0)</f>
        <v>1</v>
      </c>
      <c r="BH1359" s="33">
        <f>IF(E1359=1,IF(IF(Orders!S1356,1,0)=1-G1359,1,0),"")</f>
        <v>1</v>
      </c>
      <c r="BI1359" s="32" t="str">
        <f>INDEX(Stores!$B$2:$B$21,MATCH(B1359,Stores!$A$2:$A$21,0))</f>
        <v>Pune</v>
      </c>
    </row>
    <row r="1360">
      <c r="A1360" s="32" t="str">
        <f>Orders!A1357</f>
        <v>O01356</v>
      </c>
      <c r="B1360" s="32" t="str">
        <f>Orders!C1357</f>
        <v>S004</v>
      </c>
      <c r="C1360" s="32" t="str">
        <f>Orders!B1357</f>
        <v>C0124</v>
      </c>
      <c r="D1360" s="32" t="str">
        <f>Orders!H1357</f>
        <v>Delivered</v>
      </c>
      <c r="E1360" s="33">
        <f>IF(Orders!H1357="Delivered",1,0)</f>
        <v>1</v>
      </c>
      <c r="F1360" s="34">
        <f>IF(E1360=1,Orders!R1357,"")</f>
        <v>-1</v>
      </c>
      <c r="G1360" s="33">
        <f>IF(E1360=1,IF(Orders!R1357&gt;0,1,0),"")</f>
        <v>0</v>
      </c>
      <c r="H1360" s="33">
        <f>IF(E1360=1,IF(Orders!R1357&gt;5,1,0),"")</f>
        <v>0</v>
      </c>
      <c r="I1360" s="32" t="str">
        <f>IF(E1360=1,"",IF(OR(Orders!T1357="Rider unavailable",Orders!T1357="Item unavailable"),"Company-caused","Unresolved"))</f>
        <v/>
      </c>
      <c r="J1360" s="33">
        <f>IF(OR(E1360=1,I1360="Company-caused"),1,0)</f>
        <v>1</v>
      </c>
      <c r="K1360" s="32" t="str">
        <f>IF(E1360=0,IF(I1360="Company-caused",IF(Orders!T1357="Rider unavailable","C1 Rider unavailable","C2 Item unavailable"),"Outside root: unresolved"),IF(G1360=0,"A On time",IF(H1360=1,IF(L1360=1,"B2a Severe, peak","B2b Severe, off-peak"),IF(L1360=1,"B1a Slight, peak","B1b Slight, off-peak"))))</f>
        <v>A On time</v>
      </c>
      <c r="L1360" s="33">
        <f>IF(AND(Orders!U1357&gt;=19,Orders!U1357&lt;22),1,0)</f>
        <v>1</v>
      </c>
      <c r="M1360" s="33">
        <f>IF(L1360=IF(Orders!V1357,1,0),1,0)</f>
        <v>1</v>
      </c>
      <c r="N1360" s="32" t="str">
        <f>IF(Orders!W1357="","None",Orders!W1357)</f>
        <v>None</v>
      </c>
      <c r="O1360" s="35">
        <f>INT(Orders!E1357)</f>
        <v>46271.0</v>
      </c>
      <c r="P1360" s="33">
        <f>Orders!U1357</f>
        <v>21</v>
      </c>
      <c r="Q1360" s="33">
        <f>COUNTIFS(Demand!$A$2:$A$4481,B1360,Demand!$B$2:$B$4481,O1360,Demand!$C$2:$C$4481,P1360)</f>
        <v>1</v>
      </c>
      <c r="R1360" s="33">
        <f>IF(Q1360=1,SUMIFS(Demand!$E$2:$E$4481,Demand!$A$2:$A$4481,B1360,Demand!$B$2:$B$4481,O1360,Demand!$C$2:$C$4481,P1360),"")</f>
        <v>72</v>
      </c>
      <c r="S1360" s="33">
        <f>INDEX(Stores!$G$2:$G$21,MATCH(B1360,Stores!$A$2:$A$21,0))</f>
        <v>42</v>
      </c>
      <c r="T1360" s="34">
        <f>IF(R1360="","",R1360/S1360)</f>
        <v>1.71428571428571</v>
      </c>
      <c r="U1360" s="34">
        <f>IF(E1360=1,T1360,"")</f>
        <v>1.71428571428571</v>
      </c>
      <c r="V1360" s="34" t="str">
        <f>IF(AND(E1360=1,L1360=0),T1360,"")</f>
        <v/>
      </c>
      <c r="W1360" s="33">
        <f>IF(U1360="","",IF(U1360&lt;=Breakdowns!$C$5,1,IF(U1360&lt;=Breakdowns!$C$6,2,IF(U1360&lt;=Breakdowns!$C$7,3,4))))</f>
        <v>4</v>
      </c>
      <c r="X1360" s="33" t="str">
        <f>IF(V1360="","",IF(V1360&lt;=Breakdowns!$D$5,1,IF(V1360&lt;=Breakdowns!$D$6,2,IF(V1360&lt;=Breakdowns!$D$7,3,4))))</f>
        <v/>
      </c>
      <c r="Y1360" s="34">
        <f>INDEX(Stores!$F$2:$F$21,MATCH(B1360,Stores!$A$2:$A$21,0))</f>
        <v>2.19</v>
      </c>
      <c r="Z1360" s="33">
        <f>IF(Y1360&gt;Store_Summary!$M$2,1,0)</f>
        <v>0</v>
      </c>
      <c r="AA1360" s="33">
        <f>INDEX(Stores!$C$2:$C$21,MATCH(B1360,Stores!$A$2:$A$21,0))</f>
        <v>850</v>
      </c>
      <c r="AB1360" s="33">
        <f>IF(AA1360&lt;180,1,0)</f>
        <v>0</v>
      </c>
      <c r="AC1360" s="32" t="str">
        <f>IF(Orders!D1357="","",INDEX(Riders!$C$2:$C$81,MATCH(Orders!D1357,Riders!$A$2:$A$81,0)))</f>
        <v>EV scooter</v>
      </c>
      <c r="AD1360" s="33">
        <f>IF(Orders!D1357="","",INDEX(Riders!$D$2:$D$81,MATCH(Orders!D1357,Riders!$A$2:$A$81,0)))</f>
        <v>46</v>
      </c>
      <c r="AE1360" s="33">
        <f>IF(Orders!D1357="","",IF(INDEX(Riders!$B$2:$B$81,MATCH(Orders!D1357,Riders!$A$2:$A$81,0))=B1360,1,0))</f>
        <v>0</v>
      </c>
      <c r="AF1360" s="34">
        <f>IF(E1360=1,Orders!L1357,"")</f>
        <v>2.3</v>
      </c>
      <c r="AG1360" s="34">
        <f>IF(E1360=1,Orders!P1357,"")</f>
        <v>8.2</v>
      </c>
      <c r="AH1360" s="34">
        <f>IF(E1360=1,Orders!Q1357,"")</f>
        <v>7.2</v>
      </c>
      <c r="AI1360" s="34">
        <f>IF(E1360=1,Orders!M1357,"")</f>
        <v>1.4</v>
      </c>
      <c r="AJ1360" s="34">
        <f>IF(E1360=1,Orders!N1357,"")</f>
        <v>2.6</v>
      </c>
      <c r="AK1360" s="34">
        <f>IF(E1360=1,Orders!O1357,"")</f>
        <v>3.2</v>
      </c>
      <c r="AL1360" s="33">
        <f>IF(E1360=1,IF(ROUND(ABS(AI1360+AJ1360+AK1360-AH1360),6)&lt;=0.1,1,0),"")</f>
        <v>1</v>
      </c>
      <c r="AM1360" s="36">
        <f>IF(E1360=1,AI1360/AH1360,"")</f>
        <v>0.194444444444444</v>
      </c>
      <c r="AN1360" s="36">
        <f>IF(E1360=1,AJ1360/AH1360,"")</f>
        <v>0.361111111111111</v>
      </c>
      <c r="AO1360" s="36">
        <f>IF(E1360=1,AK1360/AH1360,"")</f>
        <v>0.444444444444445</v>
      </c>
      <c r="AP1360" s="34">
        <f>IF(E1360=1,Orders!Y1357,"")</f>
        <v>0.6</v>
      </c>
      <c r="AQ1360" s="33">
        <f>IF(Orders!X1357,1,0)</f>
        <v>0</v>
      </c>
      <c r="AR1360" s="34">
        <f>IF(AND(E1360=1,L1360=1),AJ1360,"")</f>
        <v>2.6</v>
      </c>
      <c r="AS1360" s="34" t="str">
        <f>IF(AND(E1360=1,L1360=0),AJ1360,"")</f>
        <v/>
      </c>
      <c r="AT1360" s="34">
        <f>IF(AND(E1360=1,L1360=1),AI1360,"")</f>
        <v>1.4</v>
      </c>
      <c r="AU1360" s="34" t="str">
        <f>IF(AND(E1360=1,L1360=0),AI1360,"")</f>
        <v/>
      </c>
      <c r="AV1360" s="34">
        <f>IF(AND(E1360=1,L1360=1),AG1360,"")</f>
        <v>8.2</v>
      </c>
      <c r="AW1360" s="34" t="str">
        <f>IF(AND(E1360=1,L1360=0),AG1360,"")</f>
        <v/>
      </c>
      <c r="AX1360" s="34">
        <f>IF(AND(E1360=1,L1360=1),AH1360,"")</f>
        <v>7.2</v>
      </c>
      <c r="AY1360" s="34" t="str">
        <f>IF(AND(E1360=1,L1360=0),AH1360,"")</f>
        <v/>
      </c>
      <c r="AZ1360" s="34" t="str">
        <f>IF(G1360=1,F1360,"")</f>
        <v/>
      </c>
      <c r="BA1360" s="34" t="str">
        <f>IF(AND(G1360=1,L1360=1),F1360,"")</f>
        <v/>
      </c>
      <c r="BB1360" s="34" t="str">
        <f>IF(AND(G1360=1,L1360=0),F1360,"")</f>
        <v/>
      </c>
      <c r="BC1360" s="33">
        <f>IF(E1360=1,IF(Orders!R1357&gt;3,1,0),"")</f>
        <v>0</v>
      </c>
      <c r="BD1360" s="33">
        <f>IF(E1360=1,IF(Orders!R1357&gt;7,1,0),"")</f>
        <v>0</v>
      </c>
      <c r="BE1360" s="32" t="str">
        <f>IF(E1360=1,IF(Orders!L1357&lt;=1.5,"Up to 1.5 km",IF(Orders!L1357&lt;=3,"1.5–3 km","Over 3 km")),"")</f>
        <v>1.5–3 km</v>
      </c>
      <c r="BF1360" s="33">
        <f>IF(E1360=1,IF(ABS((Orders!G1357-Orders!F1357)*1440-Orders!R1357)&lt;0.06,1,0),"")</f>
        <v>1</v>
      </c>
      <c r="BG1360" s="33">
        <f>IF(ABS((Orders!F1357-Orders!E1357)*1440-Orders!P1357)&lt;0.06,1,0)</f>
        <v>1</v>
      </c>
      <c r="BH1360" s="33">
        <f>IF(E1360=1,IF(IF(Orders!S1357,1,0)=1-G1360,1,0),"")</f>
        <v>1</v>
      </c>
      <c r="BI1360" s="32" t="str">
        <f>INDEX(Stores!$B$2:$B$21,MATCH(B1360,Stores!$A$2:$A$21,0))</f>
        <v>Pune</v>
      </c>
    </row>
    <row r="1361">
      <c r="A1361" s="32" t="str">
        <f>Orders!A1358</f>
        <v>O01357</v>
      </c>
      <c r="B1361" s="32" t="str">
        <f>Orders!C1358</f>
        <v>S013</v>
      </c>
      <c r="C1361" s="32" t="str">
        <f>Orders!B1358</f>
        <v>C0133</v>
      </c>
      <c r="D1361" s="32" t="str">
        <f>Orders!H1358</f>
        <v>Delivered</v>
      </c>
      <c r="E1361" s="33">
        <f>IF(Orders!H1358="Delivered",1,0)</f>
        <v>1</v>
      </c>
      <c r="F1361" s="34">
        <f>IF(E1361=1,Orders!R1358,"")</f>
        <v>2.4</v>
      </c>
      <c r="G1361" s="33">
        <f>IF(E1361=1,IF(Orders!R1358&gt;0,1,0),"")</f>
        <v>1</v>
      </c>
      <c r="H1361" s="33">
        <f>IF(E1361=1,IF(Orders!R1358&gt;5,1,0),"")</f>
        <v>0</v>
      </c>
      <c r="I1361" s="32" t="str">
        <f>IF(E1361=1,"",IF(OR(Orders!T1358="Rider unavailable",Orders!T1358="Item unavailable"),"Company-caused","Unresolved"))</f>
        <v/>
      </c>
      <c r="J1361" s="33">
        <f>IF(OR(E1361=1,I1361="Company-caused"),1,0)</f>
        <v>1</v>
      </c>
      <c r="K1361" s="32" t="str">
        <f>IF(E1361=0,IF(I1361="Company-caused",IF(Orders!T1358="Rider unavailable","C1 Rider unavailable","C2 Item unavailable"),"Outside root: unresolved"),IF(G1361=0,"A On time",IF(H1361=1,IF(L1361=1,"B2a Severe, peak","B2b Severe, off-peak"),IF(L1361=1,"B1a Slight, peak","B1b Slight, off-peak"))))</f>
        <v>B1b Slight, off-peak</v>
      </c>
      <c r="L1361" s="33">
        <f>IF(AND(Orders!U1358&gt;=19,Orders!U1358&lt;22),1,0)</f>
        <v>0</v>
      </c>
      <c r="M1361" s="33">
        <f>IF(L1361=IF(Orders!V1358,1,0),1,0)</f>
        <v>1</v>
      </c>
      <c r="N1361" s="32" t="str">
        <f>IF(Orders!W1358="","None",Orders!W1358)</f>
        <v>None</v>
      </c>
      <c r="O1361" s="35">
        <f>INT(Orders!E1358)</f>
        <v>46278.0</v>
      </c>
      <c r="P1361" s="33">
        <f>Orders!U1358</f>
        <v>17</v>
      </c>
      <c r="Q1361" s="33">
        <f>COUNTIFS(Demand!$A$2:$A$4481,B1361,Demand!$B$2:$B$4481,O1361,Demand!$C$2:$C$4481,P1361)</f>
        <v>1</v>
      </c>
      <c r="R1361" s="33">
        <f>IF(Q1361=1,SUMIFS(Demand!$E$2:$E$4481,Demand!$A$2:$A$4481,B1361,Demand!$B$2:$B$4481,O1361,Demand!$C$2:$C$4481,P1361),"")</f>
        <v>48</v>
      </c>
      <c r="S1361" s="33">
        <f>INDEX(Stores!$G$2:$G$21,MATCH(B1361,Stores!$A$2:$A$21,0))</f>
        <v>49</v>
      </c>
      <c r="T1361" s="34">
        <f>IF(R1361="","",R1361/S1361)</f>
        <v>0.979591836734694</v>
      </c>
      <c r="U1361" s="34">
        <f>IF(E1361=1,T1361,"")</f>
        <v>0.979591836734694</v>
      </c>
      <c r="V1361" s="34">
        <f>IF(AND(E1361=1,L1361=0),T1361,"")</f>
        <v>0.979591836734694</v>
      </c>
      <c r="W1361" s="33">
        <f>IF(U1361="","",IF(U1361&lt;=Breakdowns!$C$5,1,IF(U1361&lt;=Breakdowns!$C$6,2,IF(U1361&lt;=Breakdowns!$C$7,3,4))))</f>
        <v>2</v>
      </c>
      <c r="X1361" s="33">
        <f>IF(V1361="","",IF(V1361&lt;=Breakdowns!$D$5,1,IF(V1361&lt;=Breakdowns!$D$6,2,IF(V1361&lt;=Breakdowns!$D$7,3,4))))</f>
        <v>3</v>
      </c>
      <c r="Y1361" s="34">
        <f>INDEX(Stores!$F$2:$F$21,MATCH(B1361,Stores!$A$2:$A$21,0))</f>
        <v>5.82</v>
      </c>
      <c r="Z1361" s="33">
        <f>IF(Y1361&gt;Store_Summary!$M$2,1,0)</f>
        <v>1</v>
      </c>
      <c r="AA1361" s="33">
        <f>INDEX(Stores!$C$2:$C$21,MATCH(B1361,Stores!$A$2:$A$21,0))</f>
        <v>705</v>
      </c>
      <c r="AB1361" s="33">
        <f>IF(AA1361&lt;180,1,0)</f>
        <v>0</v>
      </c>
      <c r="AC1361" s="32" t="str">
        <f>IF(Orders!D1358="","",INDEX(Riders!$C$2:$C$81,MATCH(Orders!D1358,Riders!$A$2:$A$81,0)))</f>
        <v>EV scooter</v>
      </c>
      <c r="AD1361" s="33">
        <f>IF(Orders!D1358="","",INDEX(Riders!$D$2:$D$81,MATCH(Orders!D1358,Riders!$A$2:$A$81,0)))</f>
        <v>32</v>
      </c>
      <c r="AE1361" s="33">
        <f>IF(Orders!D1358="","",IF(INDEX(Riders!$B$2:$B$81,MATCH(Orders!D1358,Riders!$A$2:$A$81,0))=B1361,1,0))</f>
        <v>0</v>
      </c>
      <c r="AF1361" s="34">
        <f>IF(E1361=1,Orders!L1358,"")</f>
        <v>1.1</v>
      </c>
      <c r="AG1361" s="34">
        <f>IF(E1361=1,Orders!P1358,"")</f>
        <v>10</v>
      </c>
      <c r="AH1361" s="34">
        <f>IF(E1361=1,Orders!Q1358,"")</f>
        <v>12.4</v>
      </c>
      <c r="AI1361" s="34">
        <f>IF(E1361=1,Orders!M1358,"")</f>
        <v>6.7</v>
      </c>
      <c r="AJ1361" s="34">
        <f>IF(E1361=1,Orders!N1358,"")</f>
        <v>2.3</v>
      </c>
      <c r="AK1361" s="34">
        <f>IF(E1361=1,Orders!O1358,"")</f>
        <v>3.5</v>
      </c>
      <c r="AL1361" s="33">
        <f>IF(E1361=1,IF(ROUND(ABS(AI1361+AJ1361+AK1361-AH1361),6)&lt;=0.1,1,0),"")</f>
        <v>1</v>
      </c>
      <c r="AM1361" s="36">
        <f>IF(E1361=1,AI1361/AH1361,"")</f>
        <v>0.540322580645161</v>
      </c>
      <c r="AN1361" s="36">
        <f>IF(E1361=1,AJ1361/AH1361,"")</f>
        <v>0.185483870967742</v>
      </c>
      <c r="AO1361" s="36">
        <f>IF(E1361=1,AK1361/AH1361,"")</f>
        <v>0.282258064516129</v>
      </c>
      <c r="AP1361" s="34">
        <f>IF(E1361=1,Orders!Y1358,"")</f>
        <v>0.42</v>
      </c>
      <c r="AQ1361" s="33">
        <f>IF(Orders!X1358,1,0)</f>
        <v>0</v>
      </c>
      <c r="AR1361" s="34" t="str">
        <f>IF(AND(E1361=1,L1361=1),AJ1361,"")</f>
        <v/>
      </c>
      <c r="AS1361" s="34">
        <f>IF(AND(E1361=1,L1361=0),AJ1361,"")</f>
        <v>2.3</v>
      </c>
      <c r="AT1361" s="34" t="str">
        <f>IF(AND(E1361=1,L1361=1),AI1361,"")</f>
        <v/>
      </c>
      <c r="AU1361" s="34">
        <f>IF(AND(E1361=1,L1361=0),AI1361,"")</f>
        <v>6.7</v>
      </c>
      <c r="AV1361" s="34" t="str">
        <f>IF(AND(E1361=1,L1361=1),AG1361,"")</f>
        <v/>
      </c>
      <c r="AW1361" s="34">
        <f>IF(AND(E1361=1,L1361=0),AG1361,"")</f>
        <v>10</v>
      </c>
      <c r="AX1361" s="34" t="str">
        <f>IF(AND(E1361=1,L1361=1),AH1361,"")</f>
        <v/>
      </c>
      <c r="AY1361" s="34">
        <f>IF(AND(E1361=1,L1361=0),AH1361,"")</f>
        <v>12.4</v>
      </c>
      <c r="AZ1361" s="34">
        <f>IF(G1361=1,F1361,"")</f>
        <v>2.4</v>
      </c>
      <c r="BA1361" s="34" t="str">
        <f>IF(AND(G1361=1,L1361=1),F1361,"")</f>
        <v/>
      </c>
      <c r="BB1361" s="34">
        <f>IF(AND(G1361=1,L1361=0),F1361,"")</f>
        <v>2.4</v>
      </c>
      <c r="BC1361" s="33">
        <f>IF(E1361=1,IF(Orders!R1358&gt;3,1,0),"")</f>
        <v>0</v>
      </c>
      <c r="BD1361" s="33">
        <f>IF(E1361=1,IF(Orders!R1358&gt;7,1,0),"")</f>
        <v>0</v>
      </c>
      <c r="BE1361" s="32" t="str">
        <f>IF(E1361=1,IF(Orders!L1358&lt;=1.5,"Up to 1.5 km",IF(Orders!L1358&lt;=3,"1.5–3 km","Over 3 km")),"")</f>
        <v>Up to 1.5 km</v>
      </c>
      <c r="BF1361" s="33">
        <f>IF(E1361=1,IF(ABS((Orders!G1358-Orders!F1358)*1440-Orders!R1358)&lt;0.06,1,0),"")</f>
        <v>1</v>
      </c>
      <c r="BG1361" s="33">
        <f>IF(ABS((Orders!F1358-Orders!E1358)*1440-Orders!P1358)&lt;0.06,1,0)</f>
        <v>1</v>
      </c>
      <c r="BH1361" s="33">
        <f>IF(E1361=1,IF(IF(Orders!S1358,1,0)=1-G1361,1,0),"")</f>
        <v>1</v>
      </c>
      <c r="BI1361" s="32" t="str">
        <f>INDEX(Stores!$B$2:$B$21,MATCH(B1361,Stores!$A$2:$A$21,0))</f>
        <v>Mumbai</v>
      </c>
    </row>
    <row r="1362">
      <c r="A1362" s="32" t="str">
        <f>Orders!A1359</f>
        <v>O01358</v>
      </c>
      <c r="B1362" s="32" t="str">
        <f>Orders!C1359</f>
        <v>S016</v>
      </c>
      <c r="C1362" s="32" t="str">
        <f>Orders!B1359</f>
        <v>C0039</v>
      </c>
      <c r="D1362" s="32" t="str">
        <f>Orders!H1359</f>
        <v>Delivered</v>
      </c>
      <c r="E1362" s="33">
        <f>IF(Orders!H1359="Delivered",1,0)</f>
        <v>1</v>
      </c>
      <c r="F1362" s="34">
        <f>IF(E1362=1,Orders!R1359,"")</f>
        <v>5.3</v>
      </c>
      <c r="G1362" s="33">
        <f>IF(E1362=1,IF(Orders!R1359&gt;0,1,0),"")</f>
        <v>1</v>
      </c>
      <c r="H1362" s="33">
        <f>IF(E1362=1,IF(Orders!R1359&gt;5,1,0),"")</f>
        <v>1</v>
      </c>
      <c r="I1362" s="32" t="str">
        <f>IF(E1362=1,"",IF(OR(Orders!T1359="Rider unavailable",Orders!T1359="Item unavailable"),"Company-caused","Unresolved"))</f>
        <v/>
      </c>
      <c r="J1362" s="33">
        <f>IF(OR(E1362=1,I1362="Company-caused"),1,0)</f>
        <v>1</v>
      </c>
      <c r="K1362" s="32" t="str">
        <f>IF(E1362=0,IF(I1362="Company-caused",IF(Orders!T1359="Rider unavailable","C1 Rider unavailable","C2 Item unavailable"),"Outside root: unresolved"),IF(G1362=0,"A On time",IF(H1362=1,IF(L1362=1,"B2a Severe, peak","B2b Severe, off-peak"),IF(L1362=1,"B1a Slight, peak","B1b Slight, off-peak"))))</f>
        <v>B2a Severe, peak</v>
      </c>
      <c r="L1362" s="33">
        <f>IF(AND(Orders!U1359&gt;=19,Orders!U1359&lt;22),1,0)</f>
        <v>1</v>
      </c>
      <c r="M1362" s="33">
        <f>IF(L1362=IF(Orders!V1359,1,0),1,0)</f>
        <v>1</v>
      </c>
      <c r="N1362" s="32" t="str">
        <f>IF(Orders!W1359="","None",Orders!W1359)</f>
        <v>None</v>
      </c>
      <c r="O1362" s="35">
        <f>INT(Orders!E1359)</f>
        <v>46269.0</v>
      </c>
      <c r="P1362" s="33">
        <f>Orders!U1359</f>
        <v>21</v>
      </c>
      <c r="Q1362" s="33">
        <f>COUNTIFS(Demand!$A$2:$A$4481,B1362,Demand!$B$2:$B$4481,O1362,Demand!$C$2:$C$4481,P1362)</f>
        <v>1</v>
      </c>
      <c r="R1362" s="33">
        <f>IF(Q1362=1,SUMIFS(Demand!$E$2:$E$4481,Demand!$A$2:$A$4481,B1362,Demand!$B$2:$B$4481,O1362,Demand!$C$2:$C$4481,P1362),"")</f>
        <v>31</v>
      </c>
      <c r="S1362" s="33">
        <f>INDEX(Stores!$G$2:$G$21,MATCH(B1362,Stores!$A$2:$A$21,0))</f>
        <v>25</v>
      </c>
      <c r="T1362" s="34">
        <f>IF(R1362="","",R1362/S1362)</f>
        <v>1.24</v>
      </c>
      <c r="U1362" s="34">
        <f>IF(E1362=1,T1362,"")</f>
        <v>1.24</v>
      </c>
      <c r="V1362" s="34" t="str">
        <f>IF(AND(E1362=1,L1362=0),T1362,"")</f>
        <v/>
      </c>
      <c r="W1362" s="33">
        <f>IF(U1362="","",IF(U1362&lt;=Breakdowns!$C$5,1,IF(U1362&lt;=Breakdowns!$C$6,2,IF(U1362&lt;=Breakdowns!$C$7,3,4))))</f>
        <v>4</v>
      </c>
      <c r="X1362" s="33" t="str">
        <f>IF(V1362="","",IF(V1362&lt;=Breakdowns!$D$5,1,IF(V1362&lt;=Breakdowns!$D$6,2,IF(V1362&lt;=Breakdowns!$D$7,3,4))))</f>
        <v/>
      </c>
      <c r="Y1362" s="34">
        <f>INDEX(Stores!$F$2:$F$21,MATCH(B1362,Stores!$A$2:$A$21,0))</f>
        <v>5.51</v>
      </c>
      <c r="Z1362" s="33">
        <f>IF(Y1362&gt;Store_Summary!$M$2,1,0)</f>
        <v>1</v>
      </c>
      <c r="AA1362" s="33">
        <f>INDEX(Stores!$C$2:$C$21,MATCH(B1362,Stores!$A$2:$A$21,0))</f>
        <v>792</v>
      </c>
      <c r="AB1362" s="33">
        <f>IF(AA1362&lt;180,1,0)</f>
        <v>0</v>
      </c>
      <c r="AC1362" s="32" t="str">
        <f>IF(Orders!D1359="","",INDEX(Riders!$C$2:$C$81,MATCH(Orders!D1359,Riders!$A$2:$A$81,0)))</f>
        <v>EV scooter</v>
      </c>
      <c r="AD1362" s="33">
        <f>IF(Orders!D1359="","",INDEX(Riders!$D$2:$D$81,MATCH(Orders!D1359,Riders!$A$2:$A$81,0)))</f>
        <v>22</v>
      </c>
      <c r="AE1362" s="33">
        <f>IF(Orders!D1359="","",IF(INDEX(Riders!$B$2:$B$81,MATCH(Orders!D1359,Riders!$A$2:$A$81,0))=B1362,1,0))</f>
        <v>0</v>
      </c>
      <c r="AF1362" s="34">
        <f>IF(E1362=1,Orders!L1359,"")</f>
        <v>1.44</v>
      </c>
      <c r="AG1362" s="34">
        <f>IF(E1362=1,Orders!P1359,"")</f>
        <v>10.8</v>
      </c>
      <c r="AH1362" s="34">
        <f>IF(E1362=1,Orders!Q1359,"")</f>
        <v>16.1</v>
      </c>
      <c r="AI1362" s="34">
        <f>IF(E1362=1,Orders!M1359,"")</f>
        <v>6.7</v>
      </c>
      <c r="AJ1362" s="34">
        <f>IF(E1362=1,Orders!N1359,"")</f>
        <v>3.5</v>
      </c>
      <c r="AK1362" s="34">
        <f>IF(E1362=1,Orders!O1359,"")</f>
        <v>5.9</v>
      </c>
      <c r="AL1362" s="33">
        <f>IF(E1362=1,IF(ROUND(ABS(AI1362+AJ1362+AK1362-AH1362),6)&lt;=0.1,1,0),"")</f>
        <v>1</v>
      </c>
      <c r="AM1362" s="36">
        <f>IF(E1362=1,AI1362/AH1362,"")</f>
        <v>0.416149068322981</v>
      </c>
      <c r="AN1362" s="36">
        <f>IF(E1362=1,AJ1362/AH1362,"")</f>
        <v>0.217391304347826</v>
      </c>
      <c r="AO1362" s="36">
        <f>IF(E1362=1,AK1362/AH1362,"")</f>
        <v>0.366459627329193</v>
      </c>
      <c r="AP1362" s="34">
        <f>IF(E1362=1,Orders!Y1359,"")</f>
        <v>1</v>
      </c>
      <c r="AQ1362" s="33">
        <f>IF(Orders!X1359,1,0)</f>
        <v>0</v>
      </c>
      <c r="AR1362" s="34">
        <f>IF(AND(E1362=1,L1362=1),AJ1362,"")</f>
        <v>3.5</v>
      </c>
      <c r="AS1362" s="34" t="str">
        <f>IF(AND(E1362=1,L1362=0),AJ1362,"")</f>
        <v/>
      </c>
      <c r="AT1362" s="34">
        <f>IF(AND(E1362=1,L1362=1),AI1362,"")</f>
        <v>6.7</v>
      </c>
      <c r="AU1362" s="34" t="str">
        <f>IF(AND(E1362=1,L1362=0),AI1362,"")</f>
        <v/>
      </c>
      <c r="AV1362" s="34">
        <f>IF(AND(E1362=1,L1362=1),AG1362,"")</f>
        <v>10.8</v>
      </c>
      <c r="AW1362" s="34" t="str">
        <f>IF(AND(E1362=1,L1362=0),AG1362,"")</f>
        <v/>
      </c>
      <c r="AX1362" s="34">
        <f>IF(AND(E1362=1,L1362=1),AH1362,"")</f>
        <v>16.1</v>
      </c>
      <c r="AY1362" s="34" t="str">
        <f>IF(AND(E1362=1,L1362=0),AH1362,"")</f>
        <v/>
      </c>
      <c r="AZ1362" s="34">
        <f>IF(G1362=1,F1362,"")</f>
        <v>5.3</v>
      </c>
      <c r="BA1362" s="34">
        <f>IF(AND(G1362=1,L1362=1),F1362,"")</f>
        <v>5.3</v>
      </c>
      <c r="BB1362" s="34" t="str">
        <f>IF(AND(G1362=1,L1362=0),F1362,"")</f>
        <v/>
      </c>
      <c r="BC1362" s="33">
        <f>IF(E1362=1,IF(Orders!R1359&gt;3,1,0),"")</f>
        <v>1</v>
      </c>
      <c r="BD1362" s="33">
        <f>IF(E1362=1,IF(Orders!R1359&gt;7,1,0),"")</f>
        <v>0</v>
      </c>
      <c r="BE1362" s="32" t="str">
        <f>IF(E1362=1,IF(Orders!L1359&lt;=1.5,"Up to 1.5 km",IF(Orders!L1359&lt;=3,"1.5–3 km","Over 3 km")),"")</f>
        <v>Up to 1.5 km</v>
      </c>
      <c r="BF1362" s="33">
        <f>IF(E1362=1,IF(ABS((Orders!G1359-Orders!F1359)*1440-Orders!R1359)&lt;0.06,1,0),"")</f>
        <v>1</v>
      </c>
      <c r="BG1362" s="33">
        <f>IF(ABS((Orders!F1359-Orders!E1359)*1440-Orders!P1359)&lt;0.06,1,0)</f>
        <v>1</v>
      </c>
      <c r="BH1362" s="33">
        <f>IF(E1362=1,IF(IF(Orders!S1359,1,0)=1-G1362,1,0),"")</f>
        <v>1</v>
      </c>
      <c r="BI1362" s="32" t="str">
        <f>INDEX(Stores!$B$2:$B$21,MATCH(B1362,Stores!$A$2:$A$21,0))</f>
        <v>Bengaluru</v>
      </c>
    </row>
    <row r="1363">
      <c r="A1363" s="32" t="str">
        <f>Orders!A1360</f>
        <v>O01359</v>
      </c>
      <c r="B1363" s="32" t="str">
        <f>Orders!C1360</f>
        <v>S013</v>
      </c>
      <c r="C1363" s="32" t="str">
        <f>Orders!B1360</f>
        <v>C0201</v>
      </c>
      <c r="D1363" s="32" t="str">
        <f>Orders!H1360</f>
        <v>Delivered</v>
      </c>
      <c r="E1363" s="33">
        <f>IF(Orders!H1360="Delivered",1,0)</f>
        <v>1</v>
      </c>
      <c r="F1363" s="34">
        <f>IF(E1363=1,Orders!R1360,"")</f>
        <v>9.6</v>
      </c>
      <c r="G1363" s="33">
        <f>IF(E1363=1,IF(Orders!R1360&gt;0,1,0),"")</f>
        <v>1</v>
      </c>
      <c r="H1363" s="33">
        <f>IF(E1363=1,IF(Orders!R1360&gt;5,1,0),"")</f>
        <v>1</v>
      </c>
      <c r="I1363" s="32" t="str">
        <f>IF(E1363=1,"",IF(OR(Orders!T1360="Rider unavailable",Orders!T1360="Item unavailable"),"Company-caused","Unresolved"))</f>
        <v/>
      </c>
      <c r="J1363" s="33">
        <f>IF(OR(E1363=1,I1363="Company-caused"),1,0)</f>
        <v>1</v>
      </c>
      <c r="K1363" s="32" t="str">
        <f>IF(E1363=0,IF(I1363="Company-caused",IF(Orders!T1360="Rider unavailable","C1 Rider unavailable","C2 Item unavailable"),"Outside root: unresolved"),IF(G1363=0,"A On time",IF(H1363=1,IF(L1363=1,"B2a Severe, peak","B2b Severe, off-peak"),IF(L1363=1,"B1a Slight, peak","B1b Slight, off-peak"))))</f>
        <v>B2a Severe, peak</v>
      </c>
      <c r="L1363" s="33">
        <f>IF(AND(Orders!U1360&gt;=19,Orders!U1360&lt;22),1,0)</f>
        <v>1</v>
      </c>
      <c r="M1363" s="33">
        <f>IF(L1363=IF(Orders!V1360,1,0),1,0)</f>
        <v>1</v>
      </c>
      <c r="N1363" s="32" t="str">
        <f>IF(Orders!W1360="","None",Orders!W1360)</f>
        <v>None</v>
      </c>
      <c r="O1363" s="35">
        <f>INT(Orders!E1360)</f>
        <v>46270.0</v>
      </c>
      <c r="P1363" s="33">
        <f>Orders!U1360</f>
        <v>20</v>
      </c>
      <c r="Q1363" s="33">
        <f>COUNTIFS(Demand!$A$2:$A$4481,B1363,Demand!$B$2:$B$4481,O1363,Demand!$C$2:$C$4481,P1363)</f>
        <v>1</v>
      </c>
      <c r="R1363" s="33">
        <f>IF(Q1363=1,SUMIFS(Demand!$E$2:$E$4481,Demand!$A$2:$A$4481,B1363,Demand!$B$2:$B$4481,O1363,Demand!$C$2:$C$4481,P1363),"")</f>
        <v>69</v>
      </c>
      <c r="S1363" s="33">
        <f>INDEX(Stores!$G$2:$G$21,MATCH(B1363,Stores!$A$2:$A$21,0))</f>
        <v>49</v>
      </c>
      <c r="T1363" s="34">
        <f>IF(R1363="","",R1363/S1363)</f>
        <v>1.40816326530612</v>
      </c>
      <c r="U1363" s="34">
        <f>IF(E1363=1,T1363,"")</f>
        <v>1.40816326530612</v>
      </c>
      <c r="V1363" s="34" t="str">
        <f>IF(AND(E1363=1,L1363=0),T1363,"")</f>
        <v/>
      </c>
      <c r="W1363" s="33">
        <f>IF(U1363="","",IF(U1363&lt;=Breakdowns!$C$5,1,IF(U1363&lt;=Breakdowns!$C$6,2,IF(U1363&lt;=Breakdowns!$C$7,3,4))))</f>
        <v>4</v>
      </c>
      <c r="X1363" s="33" t="str">
        <f>IF(V1363="","",IF(V1363&lt;=Breakdowns!$D$5,1,IF(V1363&lt;=Breakdowns!$D$6,2,IF(V1363&lt;=Breakdowns!$D$7,3,4))))</f>
        <v/>
      </c>
      <c r="Y1363" s="34">
        <f>INDEX(Stores!$F$2:$F$21,MATCH(B1363,Stores!$A$2:$A$21,0))</f>
        <v>5.82</v>
      </c>
      <c r="Z1363" s="33">
        <f>IF(Y1363&gt;Store_Summary!$M$2,1,0)</f>
        <v>1</v>
      </c>
      <c r="AA1363" s="33">
        <f>INDEX(Stores!$C$2:$C$21,MATCH(B1363,Stores!$A$2:$A$21,0))</f>
        <v>705</v>
      </c>
      <c r="AB1363" s="33">
        <f>IF(AA1363&lt;180,1,0)</f>
        <v>0</v>
      </c>
      <c r="AC1363" s="32" t="str">
        <f>IF(Orders!D1360="","",INDEX(Riders!$C$2:$C$81,MATCH(Orders!D1360,Riders!$A$2:$A$81,0)))</f>
        <v>Petrol scooter</v>
      </c>
      <c r="AD1363" s="33">
        <f>IF(Orders!D1360="","",INDEX(Riders!$D$2:$D$81,MATCH(Orders!D1360,Riders!$A$2:$A$81,0)))</f>
        <v>2</v>
      </c>
      <c r="AE1363" s="33">
        <f>IF(Orders!D1360="","",IF(INDEX(Riders!$B$2:$B$81,MATCH(Orders!D1360,Riders!$A$2:$A$81,0))=B1363,1,0))</f>
        <v>0</v>
      </c>
      <c r="AF1363" s="34">
        <f>IF(E1363=1,Orders!L1360,"")</f>
        <v>1.36</v>
      </c>
      <c r="AG1363" s="34">
        <f>IF(E1363=1,Orders!P1360,"")</f>
        <v>9.4</v>
      </c>
      <c r="AH1363" s="34">
        <f>IF(E1363=1,Orders!Q1360,"")</f>
        <v>19</v>
      </c>
      <c r="AI1363" s="34">
        <f>IF(E1363=1,Orders!M1360,"")</f>
        <v>6.4</v>
      </c>
      <c r="AJ1363" s="34">
        <f>IF(E1363=1,Orders!N1360,"")</f>
        <v>8.3</v>
      </c>
      <c r="AK1363" s="34">
        <f>IF(E1363=1,Orders!O1360,"")</f>
        <v>4.3</v>
      </c>
      <c r="AL1363" s="33">
        <f>IF(E1363=1,IF(ROUND(ABS(AI1363+AJ1363+AK1363-AH1363),6)&lt;=0.1,1,0),"")</f>
        <v>1</v>
      </c>
      <c r="AM1363" s="36">
        <f>IF(E1363=1,AI1363/AH1363,"")</f>
        <v>0.336842105263158</v>
      </c>
      <c r="AN1363" s="36">
        <f>IF(E1363=1,AJ1363/AH1363,"")</f>
        <v>0.436842105263158</v>
      </c>
      <c r="AO1363" s="36">
        <f>IF(E1363=1,AK1363/AH1363,"")</f>
        <v>0.226315789473684</v>
      </c>
      <c r="AP1363" s="34">
        <f>IF(E1363=1,Orders!Y1360,"")</f>
        <v>0.66</v>
      </c>
      <c r="AQ1363" s="33">
        <f>IF(Orders!X1360,1,0)</f>
        <v>0</v>
      </c>
      <c r="AR1363" s="34">
        <f>IF(AND(E1363=1,L1363=1),AJ1363,"")</f>
        <v>8.3</v>
      </c>
      <c r="AS1363" s="34" t="str">
        <f>IF(AND(E1363=1,L1363=0),AJ1363,"")</f>
        <v/>
      </c>
      <c r="AT1363" s="34">
        <f>IF(AND(E1363=1,L1363=1),AI1363,"")</f>
        <v>6.4</v>
      </c>
      <c r="AU1363" s="34" t="str">
        <f>IF(AND(E1363=1,L1363=0),AI1363,"")</f>
        <v/>
      </c>
      <c r="AV1363" s="34">
        <f>IF(AND(E1363=1,L1363=1),AG1363,"")</f>
        <v>9.4</v>
      </c>
      <c r="AW1363" s="34" t="str">
        <f>IF(AND(E1363=1,L1363=0),AG1363,"")</f>
        <v/>
      </c>
      <c r="AX1363" s="34">
        <f>IF(AND(E1363=1,L1363=1),AH1363,"")</f>
        <v>19</v>
      </c>
      <c r="AY1363" s="34" t="str">
        <f>IF(AND(E1363=1,L1363=0),AH1363,"")</f>
        <v/>
      </c>
      <c r="AZ1363" s="34">
        <f>IF(G1363=1,F1363,"")</f>
        <v>9.6</v>
      </c>
      <c r="BA1363" s="34">
        <f>IF(AND(G1363=1,L1363=1),F1363,"")</f>
        <v>9.6</v>
      </c>
      <c r="BB1363" s="34" t="str">
        <f>IF(AND(G1363=1,L1363=0),F1363,"")</f>
        <v/>
      </c>
      <c r="BC1363" s="33">
        <f>IF(E1363=1,IF(Orders!R1360&gt;3,1,0),"")</f>
        <v>1</v>
      </c>
      <c r="BD1363" s="33">
        <f>IF(E1363=1,IF(Orders!R1360&gt;7,1,0),"")</f>
        <v>1</v>
      </c>
      <c r="BE1363" s="32" t="str">
        <f>IF(E1363=1,IF(Orders!L1360&lt;=1.5,"Up to 1.5 km",IF(Orders!L1360&lt;=3,"1.5–3 km","Over 3 km")),"")</f>
        <v>Up to 1.5 km</v>
      </c>
      <c r="BF1363" s="33">
        <f>IF(E1363=1,IF(ABS((Orders!G1360-Orders!F1360)*1440-Orders!R1360)&lt;0.06,1,0),"")</f>
        <v>1</v>
      </c>
      <c r="BG1363" s="33">
        <f>IF(ABS((Orders!F1360-Orders!E1360)*1440-Orders!P1360)&lt;0.06,1,0)</f>
        <v>1</v>
      </c>
      <c r="BH1363" s="33">
        <f>IF(E1363=1,IF(IF(Orders!S1360,1,0)=1-G1363,1,0),"")</f>
        <v>1</v>
      </c>
      <c r="BI1363" s="32" t="str">
        <f>INDEX(Stores!$B$2:$B$21,MATCH(B1363,Stores!$A$2:$A$21,0))</f>
        <v>Mumbai</v>
      </c>
    </row>
    <row r="1364">
      <c r="A1364" s="32" t="str">
        <f>Orders!A1361</f>
        <v>O01360</v>
      </c>
      <c r="B1364" s="32" t="str">
        <f>Orders!C1361</f>
        <v>S013</v>
      </c>
      <c r="C1364" s="32" t="str">
        <f>Orders!B1361</f>
        <v>C0195</v>
      </c>
      <c r="D1364" s="32" t="str">
        <f>Orders!H1361</f>
        <v>Delivered</v>
      </c>
      <c r="E1364" s="33">
        <f>IF(Orders!H1361="Delivered",1,0)</f>
        <v>1</v>
      </c>
      <c r="F1364" s="34">
        <f>IF(E1364=1,Orders!R1361,"")</f>
        <v>-0.9</v>
      </c>
      <c r="G1364" s="33">
        <f>IF(E1364=1,IF(Orders!R1361&gt;0,1,0),"")</f>
        <v>0</v>
      </c>
      <c r="H1364" s="33">
        <f>IF(E1364=1,IF(Orders!R1361&gt;5,1,0),"")</f>
        <v>0</v>
      </c>
      <c r="I1364" s="32" t="str">
        <f>IF(E1364=1,"",IF(OR(Orders!T1361="Rider unavailable",Orders!T1361="Item unavailable"),"Company-caused","Unresolved"))</f>
        <v/>
      </c>
      <c r="J1364" s="33">
        <f>IF(OR(E1364=1,I1364="Company-caused"),1,0)</f>
        <v>1</v>
      </c>
      <c r="K1364" s="32" t="str">
        <f>IF(E1364=0,IF(I1364="Company-caused",IF(Orders!T1361="Rider unavailable","C1 Rider unavailable","C2 Item unavailable"),"Outside root: unresolved"),IF(G1364=0,"A On time",IF(H1364=1,IF(L1364=1,"B2a Severe, peak","B2b Severe, off-peak"),IF(L1364=1,"B1a Slight, peak","B1b Slight, off-peak"))))</f>
        <v>A On time</v>
      </c>
      <c r="L1364" s="33">
        <f>IF(AND(Orders!U1361&gt;=19,Orders!U1361&lt;22),1,0)</f>
        <v>0</v>
      </c>
      <c r="M1364" s="33">
        <f>IF(L1364=IF(Orders!V1361,1,0),1,0)</f>
        <v>1</v>
      </c>
      <c r="N1364" s="32" t="str">
        <f>IF(Orders!W1361="","None",Orders!W1361)</f>
        <v>None</v>
      </c>
      <c r="O1364" s="35">
        <f>INT(Orders!E1361)</f>
        <v>46276.0</v>
      </c>
      <c r="P1364" s="33">
        <f>Orders!U1361</f>
        <v>18</v>
      </c>
      <c r="Q1364" s="33">
        <f>COUNTIFS(Demand!$A$2:$A$4481,B1364,Demand!$B$2:$B$4481,O1364,Demand!$C$2:$C$4481,P1364)</f>
        <v>1</v>
      </c>
      <c r="R1364" s="33">
        <f>IF(Q1364=1,SUMIFS(Demand!$E$2:$E$4481,Demand!$A$2:$A$4481,B1364,Demand!$B$2:$B$4481,O1364,Demand!$C$2:$C$4481,P1364),"")</f>
        <v>54</v>
      </c>
      <c r="S1364" s="33">
        <f>INDEX(Stores!$G$2:$G$21,MATCH(B1364,Stores!$A$2:$A$21,0))</f>
        <v>49</v>
      </c>
      <c r="T1364" s="34">
        <f>IF(R1364="","",R1364/S1364)</f>
        <v>1.10204081632653</v>
      </c>
      <c r="U1364" s="34">
        <f>IF(E1364=1,T1364,"")</f>
        <v>1.10204081632653</v>
      </c>
      <c r="V1364" s="34">
        <f>IF(AND(E1364=1,L1364=0),T1364,"")</f>
        <v>1.10204081632653</v>
      </c>
      <c r="W1364" s="33">
        <f>IF(U1364="","",IF(U1364&lt;=Breakdowns!$C$5,1,IF(U1364&lt;=Breakdowns!$C$6,2,IF(U1364&lt;=Breakdowns!$C$7,3,4))))</f>
        <v>3</v>
      </c>
      <c r="X1364" s="33">
        <f>IF(V1364="","",IF(V1364&lt;=Breakdowns!$D$5,1,IF(V1364&lt;=Breakdowns!$D$6,2,IF(V1364&lt;=Breakdowns!$D$7,3,4))))</f>
        <v>4</v>
      </c>
      <c r="Y1364" s="34">
        <f>INDEX(Stores!$F$2:$F$21,MATCH(B1364,Stores!$A$2:$A$21,0))</f>
        <v>5.82</v>
      </c>
      <c r="Z1364" s="33">
        <f>IF(Y1364&gt;Store_Summary!$M$2,1,0)</f>
        <v>1</v>
      </c>
      <c r="AA1364" s="33">
        <f>INDEX(Stores!$C$2:$C$21,MATCH(B1364,Stores!$A$2:$A$21,0))</f>
        <v>705</v>
      </c>
      <c r="AB1364" s="33">
        <f>IF(AA1364&lt;180,1,0)</f>
        <v>0</v>
      </c>
      <c r="AC1364" s="32" t="str">
        <f>IF(Orders!D1361="","",INDEX(Riders!$C$2:$C$81,MATCH(Orders!D1361,Riders!$A$2:$A$81,0)))</f>
        <v>Bicycle</v>
      </c>
      <c r="AD1364" s="33">
        <f>IF(Orders!D1361="","",INDEX(Riders!$D$2:$D$81,MATCH(Orders!D1361,Riders!$A$2:$A$81,0)))</f>
        <v>14</v>
      </c>
      <c r="AE1364" s="33">
        <f>IF(Orders!D1361="","",IF(INDEX(Riders!$B$2:$B$81,MATCH(Orders!D1361,Riders!$A$2:$A$81,0))=B1364,1,0))</f>
        <v>0</v>
      </c>
      <c r="AF1364" s="34">
        <f>IF(E1364=1,Orders!L1361,"")</f>
        <v>1.88</v>
      </c>
      <c r="AG1364" s="34">
        <f>IF(E1364=1,Orders!P1361,"")</f>
        <v>9.7</v>
      </c>
      <c r="AH1364" s="34">
        <f>IF(E1364=1,Orders!Q1361,"")</f>
        <v>8.8</v>
      </c>
      <c r="AI1364" s="34">
        <f>IF(E1364=1,Orders!M1361,"")</f>
        <v>4.2</v>
      </c>
      <c r="AJ1364" s="34">
        <f>IF(E1364=1,Orders!N1361,"")</f>
        <v>1.2</v>
      </c>
      <c r="AK1364" s="34">
        <f>IF(E1364=1,Orders!O1361,"")</f>
        <v>3.4</v>
      </c>
      <c r="AL1364" s="33">
        <f>IF(E1364=1,IF(ROUND(ABS(AI1364+AJ1364+AK1364-AH1364),6)&lt;=0.1,1,0),"")</f>
        <v>1</v>
      </c>
      <c r="AM1364" s="36">
        <f>IF(E1364=1,AI1364/AH1364,"")</f>
        <v>0.477272727272727</v>
      </c>
      <c r="AN1364" s="36">
        <f>IF(E1364=1,AJ1364/AH1364,"")</f>
        <v>0.136363636363636</v>
      </c>
      <c r="AO1364" s="36">
        <f>IF(E1364=1,AK1364/AH1364,"")</f>
        <v>0.386363636363636</v>
      </c>
      <c r="AP1364" s="34">
        <f>IF(E1364=1,Orders!Y1361,"")</f>
        <v>0.48</v>
      </c>
      <c r="AQ1364" s="33">
        <f>IF(Orders!X1361,1,0)</f>
        <v>0</v>
      </c>
      <c r="AR1364" s="34" t="str">
        <f>IF(AND(E1364=1,L1364=1),AJ1364,"")</f>
        <v/>
      </c>
      <c r="AS1364" s="34">
        <f>IF(AND(E1364=1,L1364=0),AJ1364,"")</f>
        <v>1.2</v>
      </c>
      <c r="AT1364" s="34" t="str">
        <f>IF(AND(E1364=1,L1364=1),AI1364,"")</f>
        <v/>
      </c>
      <c r="AU1364" s="34">
        <f>IF(AND(E1364=1,L1364=0),AI1364,"")</f>
        <v>4.2</v>
      </c>
      <c r="AV1364" s="34" t="str">
        <f>IF(AND(E1364=1,L1364=1),AG1364,"")</f>
        <v/>
      </c>
      <c r="AW1364" s="34">
        <f>IF(AND(E1364=1,L1364=0),AG1364,"")</f>
        <v>9.7</v>
      </c>
      <c r="AX1364" s="34" t="str">
        <f>IF(AND(E1364=1,L1364=1),AH1364,"")</f>
        <v/>
      </c>
      <c r="AY1364" s="34">
        <f>IF(AND(E1364=1,L1364=0),AH1364,"")</f>
        <v>8.8</v>
      </c>
      <c r="AZ1364" s="34" t="str">
        <f>IF(G1364=1,F1364,"")</f>
        <v/>
      </c>
      <c r="BA1364" s="34" t="str">
        <f>IF(AND(G1364=1,L1364=1),F1364,"")</f>
        <v/>
      </c>
      <c r="BB1364" s="34" t="str">
        <f>IF(AND(G1364=1,L1364=0),F1364,"")</f>
        <v/>
      </c>
      <c r="BC1364" s="33">
        <f>IF(E1364=1,IF(Orders!R1361&gt;3,1,0),"")</f>
        <v>0</v>
      </c>
      <c r="BD1364" s="33">
        <f>IF(E1364=1,IF(Orders!R1361&gt;7,1,0),"")</f>
        <v>0</v>
      </c>
      <c r="BE1364" s="32" t="str">
        <f>IF(E1364=1,IF(Orders!L1361&lt;=1.5,"Up to 1.5 km",IF(Orders!L1361&lt;=3,"1.5–3 km","Over 3 km")),"")</f>
        <v>1.5–3 km</v>
      </c>
      <c r="BF1364" s="33">
        <f>IF(E1364=1,IF(ABS((Orders!G1361-Orders!F1361)*1440-Orders!R1361)&lt;0.06,1,0),"")</f>
        <v>1</v>
      </c>
      <c r="BG1364" s="33">
        <f>IF(ABS((Orders!F1361-Orders!E1361)*1440-Orders!P1361)&lt;0.06,1,0)</f>
        <v>1</v>
      </c>
      <c r="BH1364" s="33">
        <f>IF(E1364=1,IF(IF(Orders!S1361,1,0)=1-G1364,1,0),"")</f>
        <v>1</v>
      </c>
      <c r="BI1364" s="32" t="str">
        <f>INDEX(Stores!$B$2:$B$21,MATCH(B1364,Stores!$A$2:$A$21,0))</f>
        <v>Mumbai</v>
      </c>
    </row>
    <row r="1365">
      <c r="A1365" s="32" t="str">
        <f>Orders!A1362</f>
        <v>O01361</v>
      </c>
      <c r="B1365" s="32" t="str">
        <f>Orders!C1362</f>
        <v>S010</v>
      </c>
      <c r="C1365" s="32" t="str">
        <f>Orders!B1362</f>
        <v>C0035</v>
      </c>
      <c r="D1365" s="32" t="str">
        <f>Orders!H1362</f>
        <v>Delivered</v>
      </c>
      <c r="E1365" s="33">
        <f>IF(Orders!H1362="Delivered",1,0)</f>
        <v>1</v>
      </c>
      <c r="F1365" s="34">
        <f>IF(E1365=1,Orders!R1362,"")</f>
        <v>-0.4</v>
      </c>
      <c r="G1365" s="33">
        <f>IF(E1365=1,IF(Orders!R1362&gt;0,1,0),"")</f>
        <v>0</v>
      </c>
      <c r="H1365" s="33">
        <f>IF(E1365=1,IF(Orders!R1362&gt;5,1,0),"")</f>
        <v>0</v>
      </c>
      <c r="I1365" s="32" t="str">
        <f>IF(E1365=1,"",IF(OR(Orders!T1362="Rider unavailable",Orders!T1362="Item unavailable"),"Company-caused","Unresolved"))</f>
        <v/>
      </c>
      <c r="J1365" s="33">
        <f>IF(OR(E1365=1,I1365="Company-caused"),1,0)</f>
        <v>1</v>
      </c>
      <c r="K1365" s="32" t="str">
        <f>IF(E1365=0,IF(I1365="Company-caused",IF(Orders!T1362="Rider unavailable","C1 Rider unavailable","C2 Item unavailable"),"Outside root: unresolved"),IF(G1365=0,"A On time",IF(H1365=1,IF(L1365=1,"B2a Severe, peak","B2b Severe, off-peak"),IF(L1365=1,"B1a Slight, peak","B1b Slight, off-peak"))))</f>
        <v>A On time</v>
      </c>
      <c r="L1365" s="33">
        <f>IF(AND(Orders!U1362&gt;=19,Orders!U1362&lt;22),1,0)</f>
        <v>0</v>
      </c>
      <c r="M1365" s="33">
        <f>IF(L1365=IF(Orders!V1362,1,0),1,0)</f>
        <v>1</v>
      </c>
      <c r="N1365" s="32" t="str">
        <f>IF(Orders!W1362="","None",Orders!W1362)</f>
        <v>None</v>
      </c>
      <c r="O1365" s="35">
        <f>INT(Orders!E1362)</f>
        <v>46268.0</v>
      </c>
      <c r="P1365" s="33">
        <f>Orders!U1362</f>
        <v>18</v>
      </c>
      <c r="Q1365" s="33">
        <f>COUNTIFS(Demand!$A$2:$A$4481,B1365,Demand!$B$2:$B$4481,O1365,Demand!$C$2:$C$4481,P1365)</f>
        <v>1</v>
      </c>
      <c r="R1365" s="33">
        <f>IF(Q1365=1,SUMIFS(Demand!$E$2:$E$4481,Demand!$A$2:$A$4481,B1365,Demand!$B$2:$B$4481,O1365,Demand!$C$2:$C$4481,P1365),"")</f>
        <v>25</v>
      </c>
      <c r="S1365" s="33">
        <f>INDEX(Stores!$G$2:$G$21,MATCH(B1365,Stores!$A$2:$A$21,0))</f>
        <v>22</v>
      </c>
      <c r="T1365" s="34">
        <f>IF(R1365="","",R1365/S1365)</f>
        <v>1.13636363636364</v>
      </c>
      <c r="U1365" s="34">
        <f>IF(E1365=1,T1365,"")</f>
        <v>1.13636363636364</v>
      </c>
      <c r="V1365" s="34">
        <f>IF(AND(E1365=1,L1365=0),T1365,"")</f>
        <v>1.13636363636364</v>
      </c>
      <c r="W1365" s="33">
        <f>IF(U1365="","",IF(U1365&lt;=Breakdowns!$C$5,1,IF(U1365&lt;=Breakdowns!$C$6,2,IF(U1365&lt;=Breakdowns!$C$7,3,4))))</f>
        <v>3</v>
      </c>
      <c r="X1365" s="33">
        <f>IF(V1365="","",IF(V1365&lt;=Breakdowns!$D$5,1,IF(V1365&lt;=Breakdowns!$D$6,2,IF(V1365&lt;=Breakdowns!$D$7,3,4))))</f>
        <v>4</v>
      </c>
      <c r="Y1365" s="34">
        <f>INDEX(Stores!$F$2:$F$21,MATCH(B1365,Stores!$A$2:$A$21,0))</f>
        <v>5.61</v>
      </c>
      <c r="Z1365" s="33">
        <f>IF(Y1365&gt;Store_Summary!$M$2,1,0)</f>
        <v>1</v>
      </c>
      <c r="AA1365" s="33">
        <f>INDEX(Stores!$C$2:$C$21,MATCH(B1365,Stores!$A$2:$A$21,0))</f>
        <v>744</v>
      </c>
      <c r="AB1365" s="33">
        <f>IF(AA1365&lt;180,1,0)</f>
        <v>0</v>
      </c>
      <c r="AC1365" s="32" t="str">
        <f>IF(Orders!D1362="","",INDEX(Riders!$C$2:$C$81,MATCH(Orders!D1362,Riders!$A$2:$A$81,0)))</f>
        <v>Petrol scooter</v>
      </c>
      <c r="AD1365" s="33">
        <f>IF(Orders!D1362="","",INDEX(Riders!$D$2:$D$81,MATCH(Orders!D1362,Riders!$A$2:$A$81,0)))</f>
        <v>37</v>
      </c>
      <c r="AE1365" s="33">
        <f>IF(Orders!D1362="","",IF(INDEX(Riders!$B$2:$B$81,MATCH(Orders!D1362,Riders!$A$2:$A$81,0))=B1365,1,0))</f>
        <v>0</v>
      </c>
      <c r="AF1365" s="34">
        <f>IF(E1365=1,Orders!L1362,"")</f>
        <v>1.02</v>
      </c>
      <c r="AG1365" s="34">
        <f>IF(E1365=1,Orders!P1362,"")</f>
        <v>7</v>
      </c>
      <c r="AH1365" s="34">
        <f>IF(E1365=1,Orders!Q1362,"")</f>
        <v>6.6</v>
      </c>
      <c r="AI1365" s="34">
        <f>IF(E1365=1,Orders!M1362,"")</f>
        <v>2.5</v>
      </c>
      <c r="AJ1365" s="34">
        <f>IF(E1365=1,Orders!N1362,"")</f>
        <v>2.4</v>
      </c>
      <c r="AK1365" s="34">
        <f>IF(E1365=1,Orders!O1362,"")</f>
        <v>1.7</v>
      </c>
      <c r="AL1365" s="33">
        <f>IF(E1365=1,IF(ROUND(ABS(AI1365+AJ1365+AK1365-AH1365),6)&lt;=0.1,1,0),"")</f>
        <v>1</v>
      </c>
      <c r="AM1365" s="36">
        <f>IF(E1365=1,AI1365/AH1365,"")</f>
        <v>0.378787878787879</v>
      </c>
      <c r="AN1365" s="36">
        <f>IF(E1365=1,AJ1365/AH1365,"")</f>
        <v>0.363636363636364</v>
      </c>
      <c r="AO1365" s="36">
        <f>IF(E1365=1,AK1365/AH1365,"")</f>
        <v>0.257575757575758</v>
      </c>
      <c r="AP1365" s="34">
        <f>IF(E1365=1,Orders!Y1362,"")</f>
        <v>0.78</v>
      </c>
      <c r="AQ1365" s="33">
        <f>IF(Orders!X1362,1,0)</f>
        <v>0</v>
      </c>
      <c r="AR1365" s="34" t="str">
        <f>IF(AND(E1365=1,L1365=1),AJ1365,"")</f>
        <v/>
      </c>
      <c r="AS1365" s="34">
        <f>IF(AND(E1365=1,L1365=0),AJ1365,"")</f>
        <v>2.4</v>
      </c>
      <c r="AT1365" s="34" t="str">
        <f>IF(AND(E1365=1,L1365=1),AI1365,"")</f>
        <v/>
      </c>
      <c r="AU1365" s="34">
        <f>IF(AND(E1365=1,L1365=0),AI1365,"")</f>
        <v>2.5</v>
      </c>
      <c r="AV1365" s="34" t="str">
        <f>IF(AND(E1365=1,L1365=1),AG1365,"")</f>
        <v/>
      </c>
      <c r="AW1365" s="34">
        <f>IF(AND(E1365=1,L1365=0),AG1365,"")</f>
        <v>7</v>
      </c>
      <c r="AX1365" s="34" t="str">
        <f>IF(AND(E1365=1,L1365=1),AH1365,"")</f>
        <v/>
      </c>
      <c r="AY1365" s="34">
        <f>IF(AND(E1365=1,L1365=0),AH1365,"")</f>
        <v>6.6</v>
      </c>
      <c r="AZ1365" s="34" t="str">
        <f>IF(G1365=1,F1365,"")</f>
        <v/>
      </c>
      <c r="BA1365" s="34" t="str">
        <f>IF(AND(G1365=1,L1365=1),F1365,"")</f>
        <v/>
      </c>
      <c r="BB1365" s="34" t="str">
        <f>IF(AND(G1365=1,L1365=0),F1365,"")</f>
        <v/>
      </c>
      <c r="BC1365" s="33">
        <f>IF(E1365=1,IF(Orders!R1362&gt;3,1,0),"")</f>
        <v>0</v>
      </c>
      <c r="BD1365" s="33">
        <f>IF(E1365=1,IF(Orders!R1362&gt;7,1,0),"")</f>
        <v>0</v>
      </c>
      <c r="BE1365" s="32" t="str">
        <f>IF(E1365=1,IF(Orders!L1362&lt;=1.5,"Up to 1.5 km",IF(Orders!L1362&lt;=3,"1.5–3 km","Over 3 km")),"")</f>
        <v>Up to 1.5 km</v>
      </c>
      <c r="BF1365" s="33">
        <f>IF(E1365=1,IF(ABS((Orders!G1362-Orders!F1362)*1440-Orders!R1362)&lt;0.06,1,0),"")</f>
        <v>1</v>
      </c>
      <c r="BG1365" s="33">
        <f>IF(ABS((Orders!F1362-Orders!E1362)*1440-Orders!P1362)&lt;0.06,1,0)</f>
        <v>1</v>
      </c>
      <c r="BH1365" s="33">
        <f>IF(E1365=1,IF(IF(Orders!S1362,1,0)=1-G1365,1,0),"")</f>
        <v>1</v>
      </c>
      <c r="BI1365" s="32" t="str">
        <f>INDEX(Stores!$B$2:$B$21,MATCH(B1365,Stores!$A$2:$A$21,0))</f>
        <v>Delhi</v>
      </c>
    </row>
    <row r="1366">
      <c r="A1366" s="32" t="str">
        <f>Orders!A1363</f>
        <v>O01362</v>
      </c>
      <c r="B1366" s="32" t="str">
        <f>Orders!C1363</f>
        <v>S010</v>
      </c>
      <c r="C1366" s="32" t="str">
        <f>Orders!B1363</f>
        <v>C0006</v>
      </c>
      <c r="D1366" s="32" t="str">
        <f>Orders!H1363</f>
        <v>Delivered</v>
      </c>
      <c r="E1366" s="33">
        <f>IF(Orders!H1363="Delivered",1,0)</f>
        <v>1</v>
      </c>
      <c r="F1366" s="34">
        <f>IF(E1366=1,Orders!R1363,"")</f>
        <v>4.7</v>
      </c>
      <c r="G1366" s="33">
        <f>IF(E1366=1,IF(Orders!R1363&gt;0,1,0),"")</f>
        <v>1</v>
      </c>
      <c r="H1366" s="33">
        <f>IF(E1366=1,IF(Orders!R1363&gt;5,1,0),"")</f>
        <v>0</v>
      </c>
      <c r="I1366" s="32" t="str">
        <f>IF(E1366=1,"",IF(OR(Orders!T1363="Rider unavailable",Orders!T1363="Item unavailable"),"Company-caused","Unresolved"))</f>
        <v/>
      </c>
      <c r="J1366" s="33">
        <f>IF(OR(E1366=1,I1366="Company-caused"),1,0)</f>
        <v>1</v>
      </c>
      <c r="K1366" s="32" t="str">
        <f>IF(E1366=0,IF(I1366="Company-caused",IF(Orders!T1363="Rider unavailable","C1 Rider unavailable","C2 Item unavailable"),"Outside root: unresolved"),IF(G1366=0,"A On time",IF(H1366=1,IF(L1366=1,"B2a Severe, peak","B2b Severe, off-peak"),IF(L1366=1,"B1a Slight, peak","B1b Slight, off-peak"))))</f>
        <v>B1b Slight, off-peak</v>
      </c>
      <c r="L1366" s="33">
        <f>IF(AND(Orders!U1363&gt;=19,Orders!U1363&lt;22),1,0)</f>
        <v>0</v>
      </c>
      <c r="M1366" s="33">
        <f>IF(L1366=IF(Orders!V1363,1,0),1,0)</f>
        <v>1</v>
      </c>
      <c r="N1366" s="32" t="str">
        <f>IF(Orders!W1363="","None",Orders!W1363)</f>
        <v>None</v>
      </c>
      <c r="O1366" s="35">
        <f>INT(Orders!E1363)</f>
        <v>46266.0</v>
      </c>
      <c r="P1366" s="33">
        <f>Orders!U1363</f>
        <v>9</v>
      </c>
      <c r="Q1366" s="33">
        <f>COUNTIFS(Demand!$A$2:$A$4481,B1366,Demand!$B$2:$B$4481,O1366,Demand!$C$2:$C$4481,P1366)</f>
        <v>1</v>
      </c>
      <c r="R1366" s="33">
        <f>IF(Q1366=1,SUMIFS(Demand!$E$2:$E$4481,Demand!$A$2:$A$4481,B1366,Demand!$B$2:$B$4481,O1366,Demand!$C$2:$C$4481,P1366),"")</f>
        <v>21</v>
      </c>
      <c r="S1366" s="33">
        <f>INDEX(Stores!$G$2:$G$21,MATCH(B1366,Stores!$A$2:$A$21,0))</f>
        <v>22</v>
      </c>
      <c r="T1366" s="34">
        <f>IF(R1366="","",R1366/S1366)</f>
        <v>0.954545454545455</v>
      </c>
      <c r="U1366" s="34">
        <f>IF(E1366=1,T1366,"")</f>
        <v>0.954545454545455</v>
      </c>
      <c r="V1366" s="34">
        <f>IF(AND(E1366=1,L1366=0),T1366,"")</f>
        <v>0.954545454545455</v>
      </c>
      <c r="W1366" s="33">
        <f>IF(U1366="","",IF(U1366&lt;=Breakdowns!$C$5,1,IF(U1366&lt;=Breakdowns!$C$6,2,IF(U1366&lt;=Breakdowns!$C$7,3,4))))</f>
        <v>2</v>
      </c>
      <c r="X1366" s="33">
        <f>IF(V1366="","",IF(V1366&lt;=Breakdowns!$D$5,1,IF(V1366&lt;=Breakdowns!$D$6,2,IF(V1366&lt;=Breakdowns!$D$7,3,4))))</f>
        <v>3</v>
      </c>
      <c r="Y1366" s="34">
        <f>INDEX(Stores!$F$2:$F$21,MATCH(B1366,Stores!$A$2:$A$21,0))</f>
        <v>5.61</v>
      </c>
      <c r="Z1366" s="33">
        <f>IF(Y1366&gt;Store_Summary!$M$2,1,0)</f>
        <v>1</v>
      </c>
      <c r="AA1366" s="33">
        <f>INDEX(Stores!$C$2:$C$21,MATCH(B1366,Stores!$A$2:$A$21,0))</f>
        <v>744</v>
      </c>
      <c r="AB1366" s="33">
        <f>IF(AA1366&lt;180,1,0)</f>
        <v>0</v>
      </c>
      <c r="AC1366" s="32" t="str">
        <f>IF(Orders!D1363="","",INDEX(Riders!$C$2:$C$81,MATCH(Orders!D1363,Riders!$A$2:$A$81,0)))</f>
        <v>EV scooter</v>
      </c>
      <c r="AD1366" s="33">
        <f>IF(Orders!D1363="","",INDEX(Riders!$D$2:$D$81,MATCH(Orders!D1363,Riders!$A$2:$A$81,0)))</f>
        <v>33</v>
      </c>
      <c r="AE1366" s="33">
        <f>IF(Orders!D1363="","",IF(INDEX(Riders!$B$2:$B$81,MATCH(Orders!D1363,Riders!$A$2:$A$81,0))=B1366,1,0))</f>
        <v>0</v>
      </c>
      <c r="AF1366" s="34">
        <f>IF(E1366=1,Orders!L1363,"")</f>
        <v>1.23</v>
      </c>
      <c r="AG1366" s="34">
        <f>IF(E1366=1,Orders!P1363,"")</f>
        <v>10.5</v>
      </c>
      <c r="AH1366" s="34">
        <f>IF(E1366=1,Orders!Q1363,"")</f>
        <v>15.2</v>
      </c>
      <c r="AI1366" s="34">
        <f>IF(E1366=1,Orders!M1363,"")</f>
        <v>7</v>
      </c>
      <c r="AJ1366" s="34">
        <f>IF(E1366=1,Orders!N1363,"")</f>
        <v>5.2</v>
      </c>
      <c r="AK1366" s="34">
        <f>IF(E1366=1,Orders!O1363,"")</f>
        <v>3.1</v>
      </c>
      <c r="AL1366" s="33">
        <f>IF(E1366=1,IF(ROUND(ABS(AI1366+AJ1366+AK1366-AH1366),6)&lt;=0.1,1,0),"")</f>
        <v>1</v>
      </c>
      <c r="AM1366" s="36">
        <f>IF(E1366=1,AI1366/AH1366,"")</f>
        <v>0.460526315789474</v>
      </c>
      <c r="AN1366" s="36">
        <f>IF(E1366=1,AJ1366/AH1366,"")</f>
        <v>0.342105263157895</v>
      </c>
      <c r="AO1366" s="36">
        <f>IF(E1366=1,AK1366/AH1366,"")</f>
        <v>0.203947368421053</v>
      </c>
      <c r="AP1366" s="34">
        <f>IF(E1366=1,Orders!Y1363,"")</f>
        <v>0.25</v>
      </c>
      <c r="AQ1366" s="33">
        <f>IF(Orders!X1363,1,0)</f>
        <v>0</v>
      </c>
      <c r="AR1366" s="34" t="str">
        <f>IF(AND(E1366=1,L1366=1),AJ1366,"")</f>
        <v/>
      </c>
      <c r="AS1366" s="34">
        <f>IF(AND(E1366=1,L1366=0),AJ1366,"")</f>
        <v>5.2</v>
      </c>
      <c r="AT1366" s="34" t="str">
        <f>IF(AND(E1366=1,L1366=1),AI1366,"")</f>
        <v/>
      </c>
      <c r="AU1366" s="34">
        <f>IF(AND(E1366=1,L1366=0),AI1366,"")</f>
        <v>7</v>
      </c>
      <c r="AV1366" s="34" t="str">
        <f>IF(AND(E1366=1,L1366=1),AG1366,"")</f>
        <v/>
      </c>
      <c r="AW1366" s="34">
        <f>IF(AND(E1366=1,L1366=0),AG1366,"")</f>
        <v>10.5</v>
      </c>
      <c r="AX1366" s="34" t="str">
        <f>IF(AND(E1366=1,L1366=1),AH1366,"")</f>
        <v/>
      </c>
      <c r="AY1366" s="34">
        <f>IF(AND(E1366=1,L1366=0),AH1366,"")</f>
        <v>15.2</v>
      </c>
      <c r="AZ1366" s="34">
        <f>IF(G1366=1,F1366,"")</f>
        <v>4.7</v>
      </c>
      <c r="BA1366" s="34" t="str">
        <f>IF(AND(G1366=1,L1366=1),F1366,"")</f>
        <v/>
      </c>
      <c r="BB1366" s="34">
        <f>IF(AND(G1366=1,L1366=0),F1366,"")</f>
        <v>4.7</v>
      </c>
      <c r="BC1366" s="33">
        <f>IF(E1366=1,IF(Orders!R1363&gt;3,1,0),"")</f>
        <v>1</v>
      </c>
      <c r="BD1366" s="33">
        <f>IF(E1366=1,IF(Orders!R1363&gt;7,1,0),"")</f>
        <v>0</v>
      </c>
      <c r="BE1366" s="32" t="str">
        <f>IF(E1366=1,IF(Orders!L1363&lt;=1.5,"Up to 1.5 km",IF(Orders!L1363&lt;=3,"1.5–3 km","Over 3 km")),"")</f>
        <v>Up to 1.5 km</v>
      </c>
      <c r="BF1366" s="33">
        <f>IF(E1366=1,IF(ABS((Orders!G1363-Orders!F1363)*1440-Orders!R1363)&lt;0.06,1,0),"")</f>
        <v>1</v>
      </c>
      <c r="BG1366" s="33">
        <f>IF(ABS((Orders!F1363-Orders!E1363)*1440-Orders!P1363)&lt;0.06,1,0)</f>
        <v>1</v>
      </c>
      <c r="BH1366" s="33">
        <f>IF(E1366=1,IF(IF(Orders!S1363,1,0)=1-G1366,1,0),"")</f>
        <v>1</v>
      </c>
      <c r="BI1366" s="32" t="str">
        <f>INDEX(Stores!$B$2:$B$21,MATCH(B1366,Stores!$A$2:$A$21,0))</f>
        <v>Delhi</v>
      </c>
    </row>
    <row r="1367">
      <c r="A1367" s="32" t="str">
        <f>Orders!A1364</f>
        <v>O01363</v>
      </c>
      <c r="B1367" s="32" t="str">
        <f>Orders!C1364</f>
        <v>S013</v>
      </c>
      <c r="C1367" s="32" t="str">
        <f>Orders!B1364</f>
        <v>C0014</v>
      </c>
      <c r="D1367" s="32" t="str">
        <f>Orders!H1364</f>
        <v>Delivered</v>
      </c>
      <c r="E1367" s="33">
        <f>IF(Orders!H1364="Delivered",1,0)</f>
        <v>1</v>
      </c>
      <c r="F1367" s="34">
        <f>IF(E1367=1,Orders!R1364,"")</f>
        <v>-0.6</v>
      </c>
      <c r="G1367" s="33">
        <f>IF(E1367=1,IF(Orders!R1364&gt;0,1,0),"")</f>
        <v>0</v>
      </c>
      <c r="H1367" s="33">
        <f>IF(E1367=1,IF(Orders!R1364&gt;5,1,0),"")</f>
        <v>0</v>
      </c>
      <c r="I1367" s="32" t="str">
        <f>IF(E1367=1,"",IF(OR(Orders!T1364="Rider unavailable",Orders!T1364="Item unavailable"),"Company-caused","Unresolved"))</f>
        <v/>
      </c>
      <c r="J1367" s="33">
        <f>IF(OR(E1367=1,I1367="Company-caused"),1,0)</f>
        <v>1</v>
      </c>
      <c r="K1367" s="32" t="str">
        <f>IF(E1367=0,IF(I1367="Company-caused",IF(Orders!T1364="Rider unavailable","C1 Rider unavailable","C2 Item unavailable"),"Outside root: unresolved"),IF(G1367=0,"A On time",IF(H1367=1,IF(L1367=1,"B2a Severe, peak","B2b Severe, off-peak"),IF(L1367=1,"B1a Slight, peak","B1b Slight, off-peak"))))</f>
        <v>A On time</v>
      </c>
      <c r="L1367" s="33">
        <f>IF(AND(Orders!U1364&gt;=19,Orders!U1364&lt;22),1,0)</f>
        <v>1</v>
      </c>
      <c r="M1367" s="33">
        <f>IF(L1367=IF(Orders!V1364,1,0),1,0)</f>
        <v>1</v>
      </c>
      <c r="N1367" s="32" t="str">
        <f>IF(Orders!W1364="","None",Orders!W1364)</f>
        <v>None</v>
      </c>
      <c r="O1367" s="35">
        <f>INT(Orders!E1364)</f>
        <v>46271.0</v>
      </c>
      <c r="P1367" s="33">
        <f>Orders!U1364</f>
        <v>21</v>
      </c>
      <c r="Q1367" s="33">
        <f>COUNTIFS(Demand!$A$2:$A$4481,B1367,Demand!$B$2:$B$4481,O1367,Demand!$C$2:$C$4481,P1367)</f>
        <v>1</v>
      </c>
      <c r="R1367" s="33">
        <f>IF(Q1367=1,SUMIFS(Demand!$E$2:$E$4481,Demand!$A$2:$A$4481,B1367,Demand!$B$2:$B$4481,O1367,Demand!$C$2:$C$4481,P1367),"")</f>
        <v>95</v>
      </c>
      <c r="S1367" s="33">
        <f>INDEX(Stores!$G$2:$G$21,MATCH(B1367,Stores!$A$2:$A$21,0))</f>
        <v>49</v>
      </c>
      <c r="T1367" s="34">
        <f>IF(R1367="","",R1367/S1367)</f>
        <v>1.93877551020408</v>
      </c>
      <c r="U1367" s="34">
        <f>IF(E1367=1,T1367,"")</f>
        <v>1.93877551020408</v>
      </c>
      <c r="V1367" s="34" t="str">
        <f>IF(AND(E1367=1,L1367=0),T1367,"")</f>
        <v/>
      </c>
      <c r="W1367" s="33">
        <f>IF(U1367="","",IF(U1367&lt;=Breakdowns!$C$5,1,IF(U1367&lt;=Breakdowns!$C$6,2,IF(U1367&lt;=Breakdowns!$C$7,3,4))))</f>
        <v>4</v>
      </c>
      <c r="X1367" s="33" t="str">
        <f>IF(V1367="","",IF(V1367&lt;=Breakdowns!$D$5,1,IF(V1367&lt;=Breakdowns!$D$6,2,IF(V1367&lt;=Breakdowns!$D$7,3,4))))</f>
        <v/>
      </c>
      <c r="Y1367" s="34">
        <f>INDEX(Stores!$F$2:$F$21,MATCH(B1367,Stores!$A$2:$A$21,0))</f>
        <v>5.82</v>
      </c>
      <c r="Z1367" s="33">
        <f>IF(Y1367&gt;Store_Summary!$M$2,1,0)</f>
        <v>1</v>
      </c>
      <c r="AA1367" s="33">
        <f>INDEX(Stores!$C$2:$C$21,MATCH(B1367,Stores!$A$2:$A$21,0))</f>
        <v>705</v>
      </c>
      <c r="AB1367" s="33">
        <f>IF(AA1367&lt;180,1,0)</f>
        <v>0</v>
      </c>
      <c r="AC1367" s="32" t="str">
        <f>IF(Orders!D1364="","",INDEX(Riders!$C$2:$C$81,MATCH(Orders!D1364,Riders!$A$2:$A$81,0)))</f>
        <v>Petrol scooter</v>
      </c>
      <c r="AD1367" s="33">
        <f>IF(Orders!D1364="","",INDEX(Riders!$D$2:$D$81,MATCH(Orders!D1364,Riders!$A$2:$A$81,0)))</f>
        <v>10</v>
      </c>
      <c r="AE1367" s="33">
        <f>IF(Orders!D1364="","",IF(INDEX(Riders!$B$2:$B$81,MATCH(Orders!D1364,Riders!$A$2:$A$81,0))=B1367,1,0))</f>
        <v>0</v>
      </c>
      <c r="AF1367" s="34">
        <f>IF(E1367=1,Orders!L1364,"")</f>
        <v>3</v>
      </c>
      <c r="AG1367" s="34">
        <f>IF(E1367=1,Orders!P1364,"")</f>
        <v>10.3</v>
      </c>
      <c r="AH1367" s="34">
        <f>IF(E1367=1,Orders!Q1364,"")</f>
        <v>9.7</v>
      </c>
      <c r="AI1367" s="34">
        <f>IF(E1367=1,Orders!M1364,"")</f>
        <v>3.6</v>
      </c>
      <c r="AJ1367" s="34">
        <f>IF(E1367=1,Orders!N1364,"")</f>
        <v>2.7</v>
      </c>
      <c r="AK1367" s="34">
        <f>IF(E1367=1,Orders!O1364,"")</f>
        <v>3.4</v>
      </c>
      <c r="AL1367" s="33">
        <f>IF(E1367=1,IF(ROUND(ABS(AI1367+AJ1367+AK1367-AH1367),6)&lt;=0.1,1,0),"")</f>
        <v>1</v>
      </c>
      <c r="AM1367" s="36">
        <f>IF(E1367=1,AI1367/AH1367,"")</f>
        <v>0.371134020618557</v>
      </c>
      <c r="AN1367" s="36">
        <f>IF(E1367=1,AJ1367/AH1367,"")</f>
        <v>0.278350515463918</v>
      </c>
      <c r="AO1367" s="36">
        <f>IF(E1367=1,AK1367/AH1367,"")</f>
        <v>0.350515463917526</v>
      </c>
      <c r="AP1367" s="34">
        <f>IF(E1367=1,Orders!Y1364,"")</f>
        <v>0.62</v>
      </c>
      <c r="AQ1367" s="33">
        <f>IF(Orders!X1364,1,0)</f>
        <v>0</v>
      </c>
      <c r="AR1367" s="34">
        <f>IF(AND(E1367=1,L1367=1),AJ1367,"")</f>
        <v>2.7</v>
      </c>
      <c r="AS1367" s="34" t="str">
        <f>IF(AND(E1367=1,L1367=0),AJ1367,"")</f>
        <v/>
      </c>
      <c r="AT1367" s="34">
        <f>IF(AND(E1367=1,L1367=1),AI1367,"")</f>
        <v>3.6</v>
      </c>
      <c r="AU1367" s="34" t="str">
        <f>IF(AND(E1367=1,L1367=0),AI1367,"")</f>
        <v/>
      </c>
      <c r="AV1367" s="34">
        <f>IF(AND(E1367=1,L1367=1),AG1367,"")</f>
        <v>10.3</v>
      </c>
      <c r="AW1367" s="34" t="str">
        <f>IF(AND(E1367=1,L1367=0),AG1367,"")</f>
        <v/>
      </c>
      <c r="AX1367" s="34">
        <f>IF(AND(E1367=1,L1367=1),AH1367,"")</f>
        <v>9.7</v>
      </c>
      <c r="AY1367" s="34" t="str">
        <f>IF(AND(E1367=1,L1367=0),AH1367,"")</f>
        <v/>
      </c>
      <c r="AZ1367" s="34" t="str">
        <f>IF(G1367=1,F1367,"")</f>
        <v/>
      </c>
      <c r="BA1367" s="34" t="str">
        <f>IF(AND(G1367=1,L1367=1),F1367,"")</f>
        <v/>
      </c>
      <c r="BB1367" s="34" t="str">
        <f>IF(AND(G1367=1,L1367=0),F1367,"")</f>
        <v/>
      </c>
      <c r="BC1367" s="33">
        <f>IF(E1367=1,IF(Orders!R1364&gt;3,1,0),"")</f>
        <v>0</v>
      </c>
      <c r="BD1367" s="33">
        <f>IF(E1367=1,IF(Orders!R1364&gt;7,1,0),"")</f>
        <v>0</v>
      </c>
      <c r="BE1367" s="32" t="str">
        <f>IF(E1367=1,IF(Orders!L1364&lt;=1.5,"Up to 1.5 km",IF(Orders!L1364&lt;=3,"1.5–3 km","Over 3 km")),"")</f>
        <v>1.5–3 km</v>
      </c>
      <c r="BF1367" s="33">
        <f>IF(E1367=1,IF(ABS((Orders!G1364-Orders!F1364)*1440-Orders!R1364)&lt;0.06,1,0),"")</f>
        <v>1</v>
      </c>
      <c r="BG1367" s="33">
        <f>IF(ABS((Orders!F1364-Orders!E1364)*1440-Orders!P1364)&lt;0.06,1,0)</f>
        <v>1</v>
      </c>
      <c r="BH1367" s="33">
        <f>IF(E1367=1,IF(IF(Orders!S1364,1,0)=1-G1367,1,0),"")</f>
        <v>1</v>
      </c>
      <c r="BI1367" s="32" t="str">
        <f>INDEX(Stores!$B$2:$B$21,MATCH(B1367,Stores!$A$2:$A$21,0))</f>
        <v>Mumbai</v>
      </c>
    </row>
    <row r="1368">
      <c r="A1368" s="32" t="str">
        <f>Orders!A1365</f>
        <v>O01364</v>
      </c>
      <c r="B1368" s="32" t="str">
        <f>Orders!C1365</f>
        <v>S014</v>
      </c>
      <c r="C1368" s="32" t="str">
        <f>Orders!B1365</f>
        <v>C0148</v>
      </c>
      <c r="D1368" s="32" t="str">
        <f>Orders!H1365</f>
        <v>Delivered</v>
      </c>
      <c r="E1368" s="33">
        <f>IF(Orders!H1365="Delivered",1,0)</f>
        <v>1</v>
      </c>
      <c r="F1368" s="34">
        <f>IF(E1368=1,Orders!R1365,"")</f>
        <v>-0.2</v>
      </c>
      <c r="G1368" s="33">
        <f>IF(E1368=1,IF(Orders!R1365&gt;0,1,0),"")</f>
        <v>0</v>
      </c>
      <c r="H1368" s="33">
        <f>IF(E1368=1,IF(Orders!R1365&gt;5,1,0),"")</f>
        <v>0</v>
      </c>
      <c r="I1368" s="32" t="str">
        <f>IF(E1368=1,"",IF(OR(Orders!T1365="Rider unavailable",Orders!T1365="Item unavailable"),"Company-caused","Unresolved"))</f>
        <v/>
      </c>
      <c r="J1368" s="33">
        <f>IF(OR(E1368=1,I1368="Company-caused"),1,0)</f>
        <v>1</v>
      </c>
      <c r="K1368" s="32" t="str">
        <f>IF(E1368=0,IF(I1368="Company-caused",IF(Orders!T1365="Rider unavailable","C1 Rider unavailable","C2 Item unavailable"),"Outside root: unresolved"),IF(G1368=0,"A On time",IF(H1368=1,IF(L1368=1,"B2a Severe, peak","B2b Severe, off-peak"),IF(L1368=1,"B1a Slight, peak","B1b Slight, off-peak"))))</f>
        <v>A On time</v>
      </c>
      <c r="L1368" s="33">
        <f>IF(AND(Orders!U1365&gt;=19,Orders!U1365&lt;22),1,0)</f>
        <v>0</v>
      </c>
      <c r="M1368" s="33">
        <f>IF(L1368=IF(Orders!V1365,1,0),1,0)</f>
        <v>1</v>
      </c>
      <c r="N1368" s="32" t="str">
        <f>IF(Orders!W1365="","None",Orders!W1365)</f>
        <v>None</v>
      </c>
      <c r="O1368" s="35">
        <f>INT(Orders!E1365)</f>
        <v>46278.0</v>
      </c>
      <c r="P1368" s="33">
        <f>Orders!U1365</f>
        <v>12</v>
      </c>
      <c r="Q1368" s="33">
        <f>COUNTIFS(Demand!$A$2:$A$4481,B1368,Demand!$B$2:$B$4481,O1368,Demand!$C$2:$C$4481,P1368)</f>
        <v>1</v>
      </c>
      <c r="R1368" s="33">
        <f>IF(Q1368=1,SUMIFS(Demand!$E$2:$E$4481,Demand!$A$2:$A$4481,B1368,Demand!$B$2:$B$4481,O1368,Demand!$C$2:$C$4481,P1368),"")</f>
        <v>39</v>
      </c>
      <c r="S1368" s="33">
        <f>INDEX(Stores!$G$2:$G$21,MATCH(B1368,Stores!$A$2:$A$21,0))</f>
        <v>37</v>
      </c>
      <c r="T1368" s="34">
        <f>IF(R1368="","",R1368/S1368)</f>
        <v>1.05405405405405</v>
      </c>
      <c r="U1368" s="34">
        <f>IF(E1368=1,T1368,"")</f>
        <v>1.05405405405405</v>
      </c>
      <c r="V1368" s="34">
        <f>IF(AND(E1368=1,L1368=0),T1368,"")</f>
        <v>1.05405405405405</v>
      </c>
      <c r="W1368" s="33">
        <f>IF(U1368="","",IF(U1368&lt;=Breakdowns!$C$5,1,IF(U1368&lt;=Breakdowns!$C$6,2,IF(U1368&lt;=Breakdowns!$C$7,3,4))))</f>
        <v>3</v>
      </c>
      <c r="X1368" s="33">
        <f>IF(V1368="","",IF(V1368&lt;=Breakdowns!$D$5,1,IF(V1368&lt;=Breakdowns!$D$6,2,IF(V1368&lt;=Breakdowns!$D$7,3,4))))</f>
        <v>3</v>
      </c>
      <c r="Y1368" s="34">
        <f>INDEX(Stores!$F$2:$F$21,MATCH(B1368,Stores!$A$2:$A$21,0))</f>
        <v>5.55</v>
      </c>
      <c r="Z1368" s="33">
        <f>IF(Y1368&gt;Store_Summary!$M$2,1,0)</f>
        <v>1</v>
      </c>
      <c r="AA1368" s="33">
        <f>INDEX(Stores!$C$2:$C$21,MATCH(B1368,Stores!$A$2:$A$21,0))</f>
        <v>241</v>
      </c>
      <c r="AB1368" s="33">
        <f>IF(AA1368&lt;180,1,0)</f>
        <v>0</v>
      </c>
      <c r="AC1368" s="32" t="str">
        <f>IF(Orders!D1365="","",INDEX(Riders!$C$2:$C$81,MATCH(Orders!D1365,Riders!$A$2:$A$81,0)))</f>
        <v>EV scooter</v>
      </c>
      <c r="AD1368" s="33">
        <f>IF(Orders!D1365="","",INDEX(Riders!$D$2:$D$81,MATCH(Orders!D1365,Riders!$A$2:$A$81,0)))</f>
        <v>32</v>
      </c>
      <c r="AE1368" s="33">
        <f>IF(Orders!D1365="","",IF(INDEX(Riders!$B$2:$B$81,MATCH(Orders!D1365,Riders!$A$2:$A$81,0))=B1368,1,0))</f>
        <v>0</v>
      </c>
      <c r="AF1368" s="34">
        <f>IF(E1368=1,Orders!L1365,"")</f>
        <v>2.89</v>
      </c>
      <c r="AG1368" s="34">
        <f>IF(E1368=1,Orders!P1365,"")</f>
        <v>11</v>
      </c>
      <c r="AH1368" s="34">
        <f>IF(E1368=1,Orders!Q1365,"")</f>
        <v>10.8</v>
      </c>
      <c r="AI1368" s="34">
        <f>IF(E1368=1,Orders!M1365,"")</f>
        <v>3.3</v>
      </c>
      <c r="AJ1368" s="34">
        <f>IF(E1368=1,Orders!N1365,"")</f>
        <v>3.5</v>
      </c>
      <c r="AK1368" s="34">
        <f>IF(E1368=1,Orders!O1365,"")</f>
        <v>4</v>
      </c>
      <c r="AL1368" s="33">
        <f>IF(E1368=1,IF(ROUND(ABS(AI1368+AJ1368+AK1368-AH1368),6)&lt;=0.1,1,0),"")</f>
        <v>1</v>
      </c>
      <c r="AM1368" s="36">
        <f>IF(E1368=1,AI1368/AH1368,"")</f>
        <v>0.305555555555556</v>
      </c>
      <c r="AN1368" s="36">
        <f>IF(E1368=1,AJ1368/AH1368,"")</f>
        <v>0.324074074074074</v>
      </c>
      <c r="AO1368" s="36">
        <f>IF(E1368=1,AK1368/AH1368,"")</f>
        <v>0.37037037037037</v>
      </c>
      <c r="AP1368" s="34">
        <f>IF(E1368=1,Orders!Y1365,"")</f>
        <v>0.3</v>
      </c>
      <c r="AQ1368" s="33">
        <f>IF(Orders!X1365,1,0)</f>
        <v>0</v>
      </c>
      <c r="AR1368" s="34" t="str">
        <f>IF(AND(E1368=1,L1368=1),AJ1368,"")</f>
        <v/>
      </c>
      <c r="AS1368" s="34">
        <f>IF(AND(E1368=1,L1368=0),AJ1368,"")</f>
        <v>3.5</v>
      </c>
      <c r="AT1368" s="34" t="str">
        <f>IF(AND(E1368=1,L1368=1),AI1368,"")</f>
        <v/>
      </c>
      <c r="AU1368" s="34">
        <f>IF(AND(E1368=1,L1368=0),AI1368,"")</f>
        <v>3.3</v>
      </c>
      <c r="AV1368" s="34" t="str">
        <f>IF(AND(E1368=1,L1368=1),AG1368,"")</f>
        <v/>
      </c>
      <c r="AW1368" s="34">
        <f>IF(AND(E1368=1,L1368=0),AG1368,"")</f>
        <v>11</v>
      </c>
      <c r="AX1368" s="34" t="str">
        <f>IF(AND(E1368=1,L1368=1),AH1368,"")</f>
        <v/>
      </c>
      <c r="AY1368" s="34">
        <f>IF(AND(E1368=1,L1368=0),AH1368,"")</f>
        <v>10.8</v>
      </c>
      <c r="AZ1368" s="34" t="str">
        <f>IF(G1368=1,F1368,"")</f>
        <v/>
      </c>
      <c r="BA1368" s="34" t="str">
        <f>IF(AND(G1368=1,L1368=1),F1368,"")</f>
        <v/>
      </c>
      <c r="BB1368" s="34" t="str">
        <f>IF(AND(G1368=1,L1368=0),F1368,"")</f>
        <v/>
      </c>
      <c r="BC1368" s="33">
        <f>IF(E1368=1,IF(Orders!R1365&gt;3,1,0),"")</f>
        <v>0</v>
      </c>
      <c r="BD1368" s="33">
        <f>IF(E1368=1,IF(Orders!R1365&gt;7,1,0),"")</f>
        <v>0</v>
      </c>
      <c r="BE1368" s="32" t="str">
        <f>IF(E1368=1,IF(Orders!L1365&lt;=1.5,"Up to 1.5 km",IF(Orders!L1365&lt;=3,"1.5–3 km","Over 3 km")),"")</f>
        <v>1.5–3 km</v>
      </c>
      <c r="BF1368" s="33">
        <f>IF(E1368=1,IF(ABS((Orders!G1365-Orders!F1365)*1440-Orders!R1365)&lt;0.06,1,0),"")</f>
        <v>1</v>
      </c>
      <c r="BG1368" s="33">
        <f>IF(ABS((Orders!F1365-Orders!E1365)*1440-Orders!P1365)&lt;0.06,1,0)</f>
        <v>1</v>
      </c>
      <c r="BH1368" s="33">
        <f>IF(E1368=1,IF(IF(Orders!S1365,1,0)=1-G1368,1,0),"")</f>
        <v>1</v>
      </c>
      <c r="BI1368" s="32" t="str">
        <f>INDEX(Stores!$B$2:$B$21,MATCH(B1368,Stores!$A$2:$A$21,0))</f>
        <v>Pune</v>
      </c>
    </row>
    <row r="1369">
      <c r="A1369" s="32" t="str">
        <f>Orders!A1366</f>
        <v>O01365</v>
      </c>
      <c r="B1369" s="32" t="str">
        <f>Orders!C1366</f>
        <v>S004</v>
      </c>
      <c r="C1369" s="32" t="str">
        <f>Orders!B1366</f>
        <v>C0121</v>
      </c>
      <c r="D1369" s="32" t="str">
        <f>Orders!H1366</f>
        <v>Delivered</v>
      </c>
      <c r="E1369" s="33">
        <f>IF(Orders!H1366="Delivered",1,0)</f>
        <v>1</v>
      </c>
      <c r="F1369" s="34">
        <f>IF(E1369=1,Orders!R1366,"")</f>
        <v>-0.6</v>
      </c>
      <c r="G1369" s="33">
        <f>IF(E1369=1,IF(Orders!R1366&gt;0,1,0),"")</f>
        <v>0</v>
      </c>
      <c r="H1369" s="33">
        <f>IF(E1369=1,IF(Orders!R1366&gt;5,1,0),"")</f>
        <v>0</v>
      </c>
      <c r="I1369" s="32" t="str">
        <f>IF(E1369=1,"",IF(OR(Orders!T1366="Rider unavailable",Orders!T1366="Item unavailable"),"Company-caused","Unresolved"))</f>
        <v/>
      </c>
      <c r="J1369" s="33">
        <f>IF(OR(E1369=1,I1369="Company-caused"),1,0)</f>
        <v>1</v>
      </c>
      <c r="K1369" s="32" t="str">
        <f>IF(E1369=0,IF(I1369="Company-caused",IF(Orders!T1366="Rider unavailable","C1 Rider unavailable","C2 Item unavailable"),"Outside root: unresolved"),IF(G1369=0,"A On time",IF(H1369=1,IF(L1369=1,"B2a Severe, peak","B2b Severe, off-peak"),IF(L1369=1,"B1a Slight, peak","B1b Slight, off-peak"))))</f>
        <v>A On time</v>
      </c>
      <c r="L1369" s="33">
        <f>IF(AND(Orders!U1366&gt;=19,Orders!U1366&lt;22),1,0)</f>
        <v>0</v>
      </c>
      <c r="M1369" s="33">
        <f>IF(L1369=IF(Orders!V1366,1,0),1,0)</f>
        <v>1</v>
      </c>
      <c r="N1369" s="32" t="str">
        <f>IF(Orders!W1366="","None",Orders!W1366)</f>
        <v>None</v>
      </c>
      <c r="O1369" s="35">
        <f>INT(Orders!E1366)</f>
        <v>46269.0</v>
      </c>
      <c r="P1369" s="33">
        <f>Orders!U1366</f>
        <v>10</v>
      </c>
      <c r="Q1369" s="33">
        <f>COUNTIFS(Demand!$A$2:$A$4481,B1369,Demand!$B$2:$B$4481,O1369,Demand!$C$2:$C$4481,P1369)</f>
        <v>1</v>
      </c>
      <c r="R1369" s="33">
        <f>IF(Q1369=1,SUMIFS(Demand!$E$2:$E$4481,Demand!$A$2:$A$4481,B1369,Demand!$B$2:$B$4481,O1369,Demand!$C$2:$C$4481,P1369),"")</f>
        <v>29</v>
      </c>
      <c r="S1369" s="33">
        <f>INDEX(Stores!$G$2:$G$21,MATCH(B1369,Stores!$A$2:$A$21,0))</f>
        <v>42</v>
      </c>
      <c r="T1369" s="34">
        <f>IF(R1369="","",R1369/S1369)</f>
        <v>0.690476190476191</v>
      </c>
      <c r="U1369" s="34">
        <f>IF(E1369=1,T1369,"")</f>
        <v>0.690476190476191</v>
      </c>
      <c r="V1369" s="34">
        <f>IF(AND(E1369=1,L1369=0),T1369,"")</f>
        <v>0.690476190476191</v>
      </c>
      <c r="W1369" s="33">
        <f>IF(U1369="","",IF(U1369&lt;=Breakdowns!$C$5,1,IF(U1369&lt;=Breakdowns!$C$6,2,IF(U1369&lt;=Breakdowns!$C$7,3,4))))</f>
        <v>1</v>
      </c>
      <c r="X1369" s="33">
        <f>IF(V1369="","",IF(V1369&lt;=Breakdowns!$D$5,1,IF(V1369&lt;=Breakdowns!$D$6,2,IF(V1369&lt;=Breakdowns!$D$7,3,4))))</f>
        <v>1</v>
      </c>
      <c r="Y1369" s="34">
        <f>INDEX(Stores!$F$2:$F$21,MATCH(B1369,Stores!$A$2:$A$21,0))</f>
        <v>2.19</v>
      </c>
      <c r="Z1369" s="33">
        <f>IF(Y1369&gt;Store_Summary!$M$2,1,0)</f>
        <v>0</v>
      </c>
      <c r="AA1369" s="33">
        <f>INDEX(Stores!$C$2:$C$21,MATCH(B1369,Stores!$A$2:$A$21,0))</f>
        <v>850</v>
      </c>
      <c r="AB1369" s="33">
        <f>IF(AA1369&lt;180,1,0)</f>
        <v>0</v>
      </c>
      <c r="AC1369" s="32" t="str">
        <f>IF(Orders!D1366="","",INDEX(Riders!$C$2:$C$81,MATCH(Orders!D1366,Riders!$A$2:$A$81,0)))</f>
        <v>EV scooter</v>
      </c>
      <c r="AD1369" s="33">
        <f>IF(Orders!D1366="","",INDEX(Riders!$D$2:$D$81,MATCH(Orders!D1366,Riders!$A$2:$A$81,0)))</f>
        <v>33</v>
      </c>
      <c r="AE1369" s="33">
        <f>IF(Orders!D1366="","",IF(INDEX(Riders!$B$2:$B$81,MATCH(Orders!D1366,Riders!$A$2:$A$81,0))=B1369,1,0))</f>
        <v>0</v>
      </c>
      <c r="AF1369" s="34">
        <f>IF(E1369=1,Orders!L1366,"")</f>
        <v>3.3</v>
      </c>
      <c r="AG1369" s="34">
        <f>IF(E1369=1,Orders!P1366,"")</f>
        <v>9.4</v>
      </c>
      <c r="AH1369" s="34">
        <f>IF(E1369=1,Orders!Q1366,"")</f>
        <v>8.8</v>
      </c>
      <c r="AI1369" s="34">
        <f>IF(E1369=1,Orders!M1366,"")</f>
        <v>1.3</v>
      </c>
      <c r="AJ1369" s="34">
        <f>IF(E1369=1,Orders!N1366,"")</f>
        <v>3.3</v>
      </c>
      <c r="AK1369" s="34">
        <f>IF(E1369=1,Orders!O1366,"")</f>
        <v>4.2</v>
      </c>
      <c r="AL1369" s="33">
        <f>IF(E1369=1,IF(ROUND(ABS(AI1369+AJ1369+AK1369-AH1369),6)&lt;=0.1,1,0),"")</f>
        <v>1</v>
      </c>
      <c r="AM1369" s="36">
        <f>IF(E1369=1,AI1369/AH1369,"")</f>
        <v>0.147727272727273</v>
      </c>
      <c r="AN1369" s="36">
        <f>IF(E1369=1,AJ1369/AH1369,"")</f>
        <v>0.375</v>
      </c>
      <c r="AO1369" s="36">
        <f>IF(E1369=1,AK1369/AH1369,"")</f>
        <v>0.477272727272727</v>
      </c>
      <c r="AP1369" s="34">
        <f>IF(E1369=1,Orders!Y1366,"")</f>
        <v>0.59</v>
      </c>
      <c r="AQ1369" s="33">
        <f>IF(Orders!X1366,1,0)</f>
        <v>0</v>
      </c>
      <c r="AR1369" s="34" t="str">
        <f>IF(AND(E1369=1,L1369=1),AJ1369,"")</f>
        <v/>
      </c>
      <c r="AS1369" s="34">
        <f>IF(AND(E1369=1,L1369=0),AJ1369,"")</f>
        <v>3.3</v>
      </c>
      <c r="AT1369" s="34" t="str">
        <f>IF(AND(E1369=1,L1369=1),AI1369,"")</f>
        <v/>
      </c>
      <c r="AU1369" s="34">
        <f>IF(AND(E1369=1,L1369=0),AI1369,"")</f>
        <v>1.3</v>
      </c>
      <c r="AV1369" s="34" t="str">
        <f>IF(AND(E1369=1,L1369=1),AG1369,"")</f>
        <v/>
      </c>
      <c r="AW1369" s="34">
        <f>IF(AND(E1369=1,L1369=0),AG1369,"")</f>
        <v>9.4</v>
      </c>
      <c r="AX1369" s="34" t="str">
        <f>IF(AND(E1369=1,L1369=1),AH1369,"")</f>
        <v/>
      </c>
      <c r="AY1369" s="34">
        <f>IF(AND(E1369=1,L1369=0),AH1369,"")</f>
        <v>8.8</v>
      </c>
      <c r="AZ1369" s="34" t="str">
        <f>IF(G1369=1,F1369,"")</f>
        <v/>
      </c>
      <c r="BA1369" s="34" t="str">
        <f>IF(AND(G1369=1,L1369=1),F1369,"")</f>
        <v/>
      </c>
      <c r="BB1369" s="34" t="str">
        <f>IF(AND(G1369=1,L1369=0),F1369,"")</f>
        <v/>
      </c>
      <c r="BC1369" s="33">
        <f>IF(E1369=1,IF(Orders!R1366&gt;3,1,0),"")</f>
        <v>0</v>
      </c>
      <c r="BD1369" s="33">
        <f>IF(E1369=1,IF(Orders!R1366&gt;7,1,0),"")</f>
        <v>0</v>
      </c>
      <c r="BE1369" s="32" t="str">
        <f>IF(E1369=1,IF(Orders!L1366&lt;=1.5,"Up to 1.5 km",IF(Orders!L1366&lt;=3,"1.5–3 km","Over 3 km")),"")</f>
        <v>Over 3 km</v>
      </c>
      <c r="BF1369" s="33">
        <f>IF(E1369=1,IF(ABS((Orders!G1366-Orders!F1366)*1440-Orders!R1366)&lt;0.06,1,0),"")</f>
        <v>1</v>
      </c>
      <c r="BG1369" s="33">
        <f>IF(ABS((Orders!F1366-Orders!E1366)*1440-Orders!P1366)&lt;0.06,1,0)</f>
        <v>1</v>
      </c>
      <c r="BH1369" s="33">
        <f>IF(E1369=1,IF(IF(Orders!S1366,1,0)=1-G1369,1,0),"")</f>
        <v>1</v>
      </c>
      <c r="BI1369" s="32" t="str">
        <f>INDEX(Stores!$B$2:$B$21,MATCH(B1369,Stores!$A$2:$A$21,0))</f>
        <v>Pune</v>
      </c>
    </row>
    <row r="1370">
      <c r="A1370" s="32" t="str">
        <f>Orders!A1367</f>
        <v>O01366</v>
      </c>
      <c r="B1370" s="32" t="str">
        <f>Orders!C1367</f>
        <v>S018</v>
      </c>
      <c r="C1370" s="32" t="str">
        <f>Orders!B1367</f>
        <v>C0195</v>
      </c>
      <c r="D1370" s="32" t="str">
        <f>Orders!H1367</f>
        <v>Delivered</v>
      </c>
      <c r="E1370" s="33">
        <f>IF(Orders!H1367="Delivered",1,0)</f>
        <v>1</v>
      </c>
      <c r="F1370" s="34">
        <f>IF(E1370=1,Orders!R1367,"")</f>
        <v>-0.9</v>
      </c>
      <c r="G1370" s="33">
        <f>IF(E1370=1,IF(Orders!R1367&gt;0,1,0),"")</f>
        <v>0</v>
      </c>
      <c r="H1370" s="33">
        <f>IF(E1370=1,IF(Orders!R1367&gt;5,1,0),"")</f>
        <v>0</v>
      </c>
      <c r="I1370" s="32" t="str">
        <f>IF(E1370=1,"",IF(OR(Orders!T1367="Rider unavailable",Orders!T1367="Item unavailable"),"Company-caused","Unresolved"))</f>
        <v/>
      </c>
      <c r="J1370" s="33">
        <f>IF(OR(E1370=1,I1370="Company-caused"),1,0)</f>
        <v>1</v>
      </c>
      <c r="K1370" s="32" t="str">
        <f>IF(E1370=0,IF(I1370="Company-caused",IF(Orders!T1367="Rider unavailable","C1 Rider unavailable","C2 Item unavailable"),"Outside root: unresolved"),IF(G1370=0,"A On time",IF(H1370=1,IF(L1370=1,"B2a Severe, peak","B2b Severe, off-peak"),IF(L1370=1,"B1a Slight, peak","B1b Slight, off-peak"))))</f>
        <v>A On time</v>
      </c>
      <c r="L1370" s="33">
        <f>IF(AND(Orders!U1367&gt;=19,Orders!U1367&lt;22),1,0)</f>
        <v>0</v>
      </c>
      <c r="M1370" s="33">
        <f>IF(L1370=IF(Orders!V1367,1,0),1,0)</f>
        <v>1</v>
      </c>
      <c r="N1370" s="32" t="str">
        <f>IF(Orders!W1367="","None",Orders!W1367)</f>
        <v>Light</v>
      </c>
      <c r="O1370" s="35">
        <f>INT(Orders!E1367)</f>
        <v>46277.0</v>
      </c>
      <c r="P1370" s="33">
        <f>Orders!U1367</f>
        <v>10</v>
      </c>
      <c r="Q1370" s="33">
        <f>COUNTIFS(Demand!$A$2:$A$4481,B1370,Demand!$B$2:$B$4481,O1370,Demand!$C$2:$C$4481,P1370)</f>
        <v>1</v>
      </c>
      <c r="R1370" s="33">
        <f>IF(Q1370=1,SUMIFS(Demand!$E$2:$E$4481,Demand!$A$2:$A$4481,B1370,Demand!$B$2:$B$4481,O1370,Demand!$C$2:$C$4481,P1370),"")</f>
        <v>25</v>
      </c>
      <c r="S1370" s="33">
        <f>INDEX(Stores!$G$2:$G$21,MATCH(B1370,Stores!$A$2:$A$21,0))</f>
        <v>20</v>
      </c>
      <c r="T1370" s="34">
        <f>IF(R1370="","",R1370/S1370)</f>
        <v>1.25</v>
      </c>
      <c r="U1370" s="34">
        <f>IF(E1370=1,T1370,"")</f>
        <v>1.25</v>
      </c>
      <c r="V1370" s="34">
        <f>IF(AND(E1370=1,L1370=0),T1370,"")</f>
        <v>1.25</v>
      </c>
      <c r="W1370" s="33">
        <f>IF(U1370="","",IF(U1370&lt;=Breakdowns!$C$5,1,IF(U1370&lt;=Breakdowns!$C$6,2,IF(U1370&lt;=Breakdowns!$C$7,3,4))))</f>
        <v>4</v>
      </c>
      <c r="X1370" s="33">
        <f>IF(V1370="","",IF(V1370&lt;=Breakdowns!$D$5,1,IF(V1370&lt;=Breakdowns!$D$6,2,IF(V1370&lt;=Breakdowns!$D$7,3,4))))</f>
        <v>4</v>
      </c>
      <c r="Y1370" s="34">
        <f>INDEX(Stores!$F$2:$F$21,MATCH(B1370,Stores!$A$2:$A$21,0))</f>
        <v>5.31</v>
      </c>
      <c r="Z1370" s="33">
        <f>IF(Y1370&gt;Store_Summary!$M$2,1,0)</f>
        <v>1</v>
      </c>
      <c r="AA1370" s="33">
        <f>INDEX(Stores!$C$2:$C$21,MATCH(B1370,Stores!$A$2:$A$21,0))</f>
        <v>214</v>
      </c>
      <c r="AB1370" s="33">
        <f>IF(AA1370&lt;180,1,0)</f>
        <v>0</v>
      </c>
      <c r="AC1370" s="32" t="str">
        <f>IF(Orders!D1367="","",INDEX(Riders!$C$2:$C$81,MATCH(Orders!D1367,Riders!$A$2:$A$81,0)))</f>
        <v>EV scooter</v>
      </c>
      <c r="AD1370" s="33">
        <f>IF(Orders!D1367="","",INDEX(Riders!$D$2:$D$81,MATCH(Orders!D1367,Riders!$A$2:$A$81,0)))</f>
        <v>1</v>
      </c>
      <c r="AE1370" s="33">
        <f>IF(Orders!D1367="","",IF(INDEX(Riders!$B$2:$B$81,MATCH(Orders!D1367,Riders!$A$2:$A$81,0))=B1370,1,0))</f>
        <v>0</v>
      </c>
      <c r="AF1370" s="34">
        <f>IF(E1370=1,Orders!L1367,"")</f>
        <v>1.38</v>
      </c>
      <c r="AG1370" s="34">
        <f>IF(E1370=1,Orders!P1367,"")</f>
        <v>12</v>
      </c>
      <c r="AH1370" s="34">
        <f>IF(E1370=1,Orders!Q1367,"")</f>
        <v>11.1</v>
      </c>
      <c r="AI1370" s="34">
        <f>IF(E1370=1,Orders!M1367,"")</f>
        <v>3.9</v>
      </c>
      <c r="AJ1370" s="34">
        <f>IF(E1370=1,Orders!N1367,"")</f>
        <v>4.6</v>
      </c>
      <c r="AK1370" s="34">
        <f>IF(E1370=1,Orders!O1367,"")</f>
        <v>2.6</v>
      </c>
      <c r="AL1370" s="33">
        <f>IF(E1370=1,IF(ROUND(ABS(AI1370+AJ1370+AK1370-AH1370),6)&lt;=0.1,1,0),"")</f>
        <v>1</v>
      </c>
      <c r="AM1370" s="36">
        <f>IF(E1370=1,AI1370/AH1370,"")</f>
        <v>0.351351351351351</v>
      </c>
      <c r="AN1370" s="36">
        <f>IF(E1370=1,AJ1370/AH1370,"")</f>
        <v>0.414414414414414</v>
      </c>
      <c r="AO1370" s="36">
        <f>IF(E1370=1,AK1370/AH1370,"")</f>
        <v>0.234234234234234</v>
      </c>
      <c r="AP1370" s="34">
        <f>IF(E1370=1,Orders!Y1367,"")</f>
        <v>0.3</v>
      </c>
      <c r="AQ1370" s="33">
        <f>IF(Orders!X1367,1,0)</f>
        <v>0</v>
      </c>
      <c r="AR1370" s="34" t="str">
        <f>IF(AND(E1370=1,L1370=1),AJ1370,"")</f>
        <v/>
      </c>
      <c r="AS1370" s="34">
        <f>IF(AND(E1370=1,L1370=0),AJ1370,"")</f>
        <v>4.6</v>
      </c>
      <c r="AT1370" s="34" t="str">
        <f>IF(AND(E1370=1,L1370=1),AI1370,"")</f>
        <v/>
      </c>
      <c r="AU1370" s="34">
        <f>IF(AND(E1370=1,L1370=0),AI1370,"")</f>
        <v>3.9</v>
      </c>
      <c r="AV1370" s="34" t="str">
        <f>IF(AND(E1370=1,L1370=1),AG1370,"")</f>
        <v/>
      </c>
      <c r="AW1370" s="34">
        <f>IF(AND(E1370=1,L1370=0),AG1370,"")</f>
        <v>12</v>
      </c>
      <c r="AX1370" s="34" t="str">
        <f>IF(AND(E1370=1,L1370=1),AH1370,"")</f>
        <v/>
      </c>
      <c r="AY1370" s="34">
        <f>IF(AND(E1370=1,L1370=0),AH1370,"")</f>
        <v>11.1</v>
      </c>
      <c r="AZ1370" s="34" t="str">
        <f>IF(G1370=1,F1370,"")</f>
        <v/>
      </c>
      <c r="BA1370" s="34" t="str">
        <f>IF(AND(G1370=1,L1370=1),F1370,"")</f>
        <v/>
      </c>
      <c r="BB1370" s="34" t="str">
        <f>IF(AND(G1370=1,L1370=0),F1370,"")</f>
        <v/>
      </c>
      <c r="BC1370" s="33">
        <f>IF(E1370=1,IF(Orders!R1367&gt;3,1,0),"")</f>
        <v>0</v>
      </c>
      <c r="BD1370" s="33">
        <f>IF(E1370=1,IF(Orders!R1367&gt;7,1,0),"")</f>
        <v>0</v>
      </c>
      <c r="BE1370" s="32" t="str">
        <f>IF(E1370=1,IF(Orders!L1367&lt;=1.5,"Up to 1.5 km",IF(Orders!L1367&lt;=3,"1.5–3 km","Over 3 km")),"")</f>
        <v>Up to 1.5 km</v>
      </c>
      <c r="BF1370" s="33">
        <f>IF(E1370=1,IF(ABS((Orders!G1367-Orders!F1367)*1440-Orders!R1367)&lt;0.06,1,0),"")</f>
        <v>1</v>
      </c>
      <c r="BG1370" s="33">
        <f>IF(ABS((Orders!F1367-Orders!E1367)*1440-Orders!P1367)&lt;0.06,1,0)</f>
        <v>1</v>
      </c>
      <c r="BH1370" s="33">
        <f>IF(E1370=1,IF(IF(Orders!S1367,1,0)=1-G1370,1,0),"")</f>
        <v>1</v>
      </c>
      <c r="BI1370" s="32" t="str">
        <f>INDEX(Stores!$B$2:$B$21,MATCH(B1370,Stores!$A$2:$A$21,0))</f>
        <v>Mumbai</v>
      </c>
    </row>
    <row r="1371">
      <c r="A1371" s="32" t="str">
        <f>Orders!A1368</f>
        <v>O01367</v>
      </c>
      <c r="B1371" s="32" t="str">
        <f>Orders!C1368</f>
        <v>S003</v>
      </c>
      <c r="C1371" s="32" t="str">
        <f>Orders!B1368</f>
        <v>C0193</v>
      </c>
      <c r="D1371" s="32" t="str">
        <f>Orders!H1368</f>
        <v>Delivered</v>
      </c>
      <c r="E1371" s="33">
        <f>IF(Orders!H1368="Delivered",1,0)</f>
        <v>1</v>
      </c>
      <c r="F1371" s="34">
        <f>IF(E1371=1,Orders!R1368,"")</f>
        <v>-0.4</v>
      </c>
      <c r="G1371" s="33">
        <f>IF(E1371=1,IF(Orders!R1368&gt;0,1,0),"")</f>
        <v>0</v>
      </c>
      <c r="H1371" s="33">
        <f>IF(E1371=1,IF(Orders!R1368&gt;5,1,0),"")</f>
        <v>0</v>
      </c>
      <c r="I1371" s="32" t="str">
        <f>IF(E1371=1,"",IF(OR(Orders!T1368="Rider unavailable",Orders!T1368="Item unavailable"),"Company-caused","Unresolved"))</f>
        <v/>
      </c>
      <c r="J1371" s="33">
        <f>IF(OR(E1371=1,I1371="Company-caused"),1,0)</f>
        <v>1</v>
      </c>
      <c r="K1371" s="32" t="str">
        <f>IF(E1371=0,IF(I1371="Company-caused",IF(Orders!T1368="Rider unavailable","C1 Rider unavailable","C2 Item unavailable"),"Outside root: unresolved"),IF(G1371=0,"A On time",IF(H1371=1,IF(L1371=1,"B2a Severe, peak","B2b Severe, off-peak"),IF(L1371=1,"B1a Slight, peak","B1b Slight, off-peak"))))</f>
        <v>A On time</v>
      </c>
      <c r="L1371" s="33">
        <f>IF(AND(Orders!U1368&gt;=19,Orders!U1368&lt;22),1,0)</f>
        <v>1</v>
      </c>
      <c r="M1371" s="33">
        <f>IF(L1371=IF(Orders!V1368,1,0),1,0)</f>
        <v>1</v>
      </c>
      <c r="N1371" s="32" t="str">
        <f>IF(Orders!W1368="","None",Orders!W1368)</f>
        <v>None</v>
      </c>
      <c r="O1371" s="35">
        <f>INT(Orders!E1368)</f>
        <v>46279.0</v>
      </c>
      <c r="P1371" s="33">
        <f>Orders!U1368</f>
        <v>19</v>
      </c>
      <c r="Q1371" s="33">
        <f>COUNTIFS(Demand!$A$2:$A$4481,B1371,Demand!$B$2:$B$4481,O1371,Demand!$C$2:$C$4481,P1371)</f>
        <v>1</v>
      </c>
      <c r="R1371" s="33">
        <f>IF(Q1371=1,SUMIFS(Demand!$E$2:$E$4481,Demand!$A$2:$A$4481,B1371,Demand!$B$2:$B$4481,O1371,Demand!$C$2:$C$4481,P1371),"")</f>
        <v>59</v>
      </c>
      <c r="S1371" s="33">
        <f>INDEX(Stores!$G$2:$G$21,MATCH(B1371,Stores!$A$2:$A$21,0))</f>
        <v>41</v>
      </c>
      <c r="T1371" s="34">
        <f>IF(R1371="","",R1371/S1371)</f>
        <v>1.4390243902439</v>
      </c>
      <c r="U1371" s="34">
        <f>IF(E1371=1,T1371,"")</f>
        <v>1.4390243902439</v>
      </c>
      <c r="V1371" s="34" t="str">
        <f>IF(AND(E1371=1,L1371=0),T1371,"")</f>
        <v/>
      </c>
      <c r="W1371" s="33">
        <f>IF(U1371="","",IF(U1371&lt;=Breakdowns!$C$5,1,IF(U1371&lt;=Breakdowns!$C$6,2,IF(U1371&lt;=Breakdowns!$C$7,3,4))))</f>
        <v>4</v>
      </c>
      <c r="X1371" s="33" t="str">
        <f>IF(V1371="","",IF(V1371&lt;=Breakdowns!$D$5,1,IF(V1371&lt;=Breakdowns!$D$6,2,IF(V1371&lt;=Breakdowns!$D$7,3,4))))</f>
        <v/>
      </c>
      <c r="Y1371" s="34">
        <f>INDEX(Stores!$F$2:$F$21,MATCH(B1371,Stores!$A$2:$A$21,0))</f>
        <v>3.84</v>
      </c>
      <c r="Z1371" s="33">
        <f>IF(Y1371&gt;Store_Summary!$M$2,1,0)</f>
        <v>0</v>
      </c>
      <c r="AA1371" s="33">
        <f>INDEX(Stores!$C$2:$C$21,MATCH(B1371,Stores!$A$2:$A$21,0))</f>
        <v>426</v>
      </c>
      <c r="AB1371" s="33">
        <f>IF(AA1371&lt;180,1,0)</f>
        <v>0</v>
      </c>
      <c r="AC1371" s="32" t="str">
        <f>IF(Orders!D1368="","",INDEX(Riders!$C$2:$C$81,MATCH(Orders!D1368,Riders!$A$2:$A$81,0)))</f>
        <v>EV scooter</v>
      </c>
      <c r="AD1371" s="33">
        <f>IF(Orders!D1368="","",INDEX(Riders!$D$2:$D$81,MATCH(Orders!D1368,Riders!$A$2:$A$81,0)))</f>
        <v>33</v>
      </c>
      <c r="AE1371" s="33">
        <f>IF(Orders!D1368="","",IF(INDEX(Riders!$B$2:$B$81,MATCH(Orders!D1368,Riders!$A$2:$A$81,0))=B1371,1,0))</f>
        <v>0</v>
      </c>
      <c r="AF1371" s="34">
        <f>IF(E1371=1,Orders!L1368,"")</f>
        <v>1.05</v>
      </c>
      <c r="AG1371" s="34">
        <f>IF(E1371=1,Orders!P1368,"")</f>
        <v>9.2</v>
      </c>
      <c r="AH1371" s="34">
        <f>IF(E1371=1,Orders!Q1368,"")</f>
        <v>8.8</v>
      </c>
      <c r="AI1371" s="34">
        <f>IF(E1371=1,Orders!M1368,"")</f>
        <v>2.7</v>
      </c>
      <c r="AJ1371" s="34">
        <f>IF(E1371=1,Orders!N1368,"")</f>
        <v>3.8</v>
      </c>
      <c r="AK1371" s="34">
        <f>IF(E1371=1,Orders!O1368,"")</f>
        <v>2.3</v>
      </c>
      <c r="AL1371" s="33">
        <f>IF(E1371=1,IF(ROUND(ABS(AI1371+AJ1371+AK1371-AH1371),6)&lt;=0.1,1,0),"")</f>
        <v>1</v>
      </c>
      <c r="AM1371" s="36">
        <f>IF(E1371=1,AI1371/AH1371,"")</f>
        <v>0.306818181818182</v>
      </c>
      <c r="AN1371" s="36">
        <f>IF(E1371=1,AJ1371/AH1371,"")</f>
        <v>0.431818181818182</v>
      </c>
      <c r="AO1371" s="36">
        <f>IF(E1371=1,AK1371/AH1371,"")</f>
        <v>0.261363636363636</v>
      </c>
      <c r="AP1371" s="34">
        <f>IF(E1371=1,Orders!Y1368,"")</f>
        <v>0.82</v>
      </c>
      <c r="AQ1371" s="33">
        <f>IF(Orders!X1368,1,0)</f>
        <v>0</v>
      </c>
      <c r="AR1371" s="34">
        <f>IF(AND(E1371=1,L1371=1),AJ1371,"")</f>
        <v>3.8</v>
      </c>
      <c r="AS1371" s="34" t="str">
        <f>IF(AND(E1371=1,L1371=0),AJ1371,"")</f>
        <v/>
      </c>
      <c r="AT1371" s="34">
        <f>IF(AND(E1371=1,L1371=1),AI1371,"")</f>
        <v>2.7</v>
      </c>
      <c r="AU1371" s="34" t="str">
        <f>IF(AND(E1371=1,L1371=0),AI1371,"")</f>
        <v/>
      </c>
      <c r="AV1371" s="34">
        <f>IF(AND(E1371=1,L1371=1),AG1371,"")</f>
        <v>9.2</v>
      </c>
      <c r="AW1371" s="34" t="str">
        <f>IF(AND(E1371=1,L1371=0),AG1371,"")</f>
        <v/>
      </c>
      <c r="AX1371" s="34">
        <f>IF(AND(E1371=1,L1371=1),AH1371,"")</f>
        <v>8.8</v>
      </c>
      <c r="AY1371" s="34" t="str">
        <f>IF(AND(E1371=1,L1371=0),AH1371,"")</f>
        <v/>
      </c>
      <c r="AZ1371" s="34" t="str">
        <f>IF(G1371=1,F1371,"")</f>
        <v/>
      </c>
      <c r="BA1371" s="34" t="str">
        <f>IF(AND(G1371=1,L1371=1),F1371,"")</f>
        <v/>
      </c>
      <c r="BB1371" s="34" t="str">
        <f>IF(AND(G1371=1,L1371=0),F1371,"")</f>
        <v/>
      </c>
      <c r="BC1371" s="33">
        <f>IF(E1371=1,IF(Orders!R1368&gt;3,1,0),"")</f>
        <v>0</v>
      </c>
      <c r="BD1371" s="33">
        <f>IF(E1371=1,IF(Orders!R1368&gt;7,1,0),"")</f>
        <v>0</v>
      </c>
      <c r="BE1371" s="32" t="str">
        <f>IF(E1371=1,IF(Orders!L1368&lt;=1.5,"Up to 1.5 km",IF(Orders!L1368&lt;=3,"1.5–3 km","Over 3 km")),"")</f>
        <v>Up to 1.5 km</v>
      </c>
      <c r="BF1371" s="33">
        <f>IF(E1371=1,IF(ABS((Orders!G1368-Orders!F1368)*1440-Orders!R1368)&lt;0.06,1,0),"")</f>
        <v>1</v>
      </c>
      <c r="BG1371" s="33">
        <f>IF(ABS((Orders!F1368-Orders!E1368)*1440-Orders!P1368)&lt;0.06,1,0)</f>
        <v>1</v>
      </c>
      <c r="BH1371" s="33">
        <f>IF(E1371=1,IF(IF(Orders!S1368,1,0)=1-G1371,1,0),"")</f>
        <v>1</v>
      </c>
      <c r="BI1371" s="32" t="str">
        <f>INDEX(Stores!$B$2:$B$21,MATCH(B1371,Stores!$A$2:$A$21,0))</f>
        <v>Mumbai</v>
      </c>
    </row>
    <row r="1372">
      <c r="A1372" s="32" t="str">
        <f>Orders!A1369</f>
        <v>O01368</v>
      </c>
      <c r="B1372" s="32" t="str">
        <f>Orders!C1369</f>
        <v>S014</v>
      </c>
      <c r="C1372" s="32" t="str">
        <f>Orders!B1369</f>
        <v>C0005</v>
      </c>
      <c r="D1372" s="32" t="str">
        <f>Orders!H1369</f>
        <v>Delivered</v>
      </c>
      <c r="E1372" s="33">
        <f>IF(Orders!H1369="Delivered",1,0)</f>
        <v>1</v>
      </c>
      <c r="F1372" s="34">
        <f>IF(E1372=1,Orders!R1369,"")</f>
        <v>-0.5</v>
      </c>
      <c r="G1372" s="33">
        <f>IF(E1372=1,IF(Orders!R1369&gt;0,1,0),"")</f>
        <v>0</v>
      </c>
      <c r="H1372" s="33">
        <f>IF(E1372=1,IF(Orders!R1369&gt;5,1,0),"")</f>
        <v>0</v>
      </c>
      <c r="I1372" s="32" t="str">
        <f>IF(E1372=1,"",IF(OR(Orders!T1369="Rider unavailable",Orders!T1369="Item unavailable"),"Company-caused","Unresolved"))</f>
        <v/>
      </c>
      <c r="J1372" s="33">
        <f>IF(OR(E1372=1,I1372="Company-caused"),1,0)</f>
        <v>1</v>
      </c>
      <c r="K1372" s="32" t="str">
        <f>IF(E1372=0,IF(I1372="Company-caused",IF(Orders!T1369="Rider unavailable","C1 Rider unavailable","C2 Item unavailable"),"Outside root: unresolved"),IF(G1372=0,"A On time",IF(H1372=1,IF(L1372=1,"B2a Severe, peak","B2b Severe, off-peak"),IF(L1372=1,"B1a Slight, peak","B1b Slight, off-peak"))))</f>
        <v>A On time</v>
      </c>
      <c r="L1372" s="33">
        <f>IF(AND(Orders!U1369&gt;=19,Orders!U1369&lt;22),1,0)</f>
        <v>0</v>
      </c>
      <c r="M1372" s="33">
        <f>IF(L1372=IF(Orders!V1369,1,0),1,0)</f>
        <v>1</v>
      </c>
      <c r="N1372" s="32" t="str">
        <f>IF(Orders!W1369="","None",Orders!W1369)</f>
        <v>None</v>
      </c>
      <c r="O1372" s="35">
        <f>INT(Orders!E1369)</f>
        <v>46266.0</v>
      </c>
      <c r="P1372" s="33">
        <f>Orders!U1369</f>
        <v>12</v>
      </c>
      <c r="Q1372" s="33">
        <f>COUNTIFS(Demand!$A$2:$A$4481,B1372,Demand!$B$2:$B$4481,O1372,Demand!$C$2:$C$4481,P1372)</f>
        <v>1</v>
      </c>
      <c r="R1372" s="33">
        <f>IF(Q1372=1,SUMIFS(Demand!$E$2:$E$4481,Demand!$A$2:$A$4481,B1372,Demand!$B$2:$B$4481,O1372,Demand!$C$2:$C$4481,P1372),"")</f>
        <v>41</v>
      </c>
      <c r="S1372" s="33">
        <f>INDEX(Stores!$G$2:$G$21,MATCH(B1372,Stores!$A$2:$A$21,0))</f>
        <v>37</v>
      </c>
      <c r="T1372" s="34">
        <f>IF(R1372="","",R1372/S1372)</f>
        <v>1.10810810810811</v>
      </c>
      <c r="U1372" s="34">
        <f>IF(E1372=1,T1372,"")</f>
        <v>1.10810810810811</v>
      </c>
      <c r="V1372" s="34">
        <f>IF(AND(E1372=1,L1372=0),T1372,"")</f>
        <v>1.10810810810811</v>
      </c>
      <c r="W1372" s="33">
        <f>IF(U1372="","",IF(U1372&lt;=Breakdowns!$C$5,1,IF(U1372&lt;=Breakdowns!$C$6,2,IF(U1372&lt;=Breakdowns!$C$7,3,4))))</f>
        <v>3</v>
      </c>
      <c r="X1372" s="33">
        <f>IF(V1372="","",IF(V1372&lt;=Breakdowns!$D$5,1,IF(V1372&lt;=Breakdowns!$D$6,2,IF(V1372&lt;=Breakdowns!$D$7,3,4))))</f>
        <v>4</v>
      </c>
      <c r="Y1372" s="34">
        <f>INDEX(Stores!$F$2:$F$21,MATCH(B1372,Stores!$A$2:$A$21,0))</f>
        <v>5.55</v>
      </c>
      <c r="Z1372" s="33">
        <f>IF(Y1372&gt;Store_Summary!$M$2,1,0)</f>
        <v>1</v>
      </c>
      <c r="AA1372" s="33">
        <f>INDEX(Stores!$C$2:$C$21,MATCH(B1372,Stores!$A$2:$A$21,0))</f>
        <v>241</v>
      </c>
      <c r="AB1372" s="33">
        <f>IF(AA1372&lt;180,1,0)</f>
        <v>0</v>
      </c>
      <c r="AC1372" s="32" t="str">
        <f>IF(Orders!D1369="","",INDEX(Riders!$C$2:$C$81,MATCH(Orders!D1369,Riders!$A$2:$A$81,0)))</f>
        <v>Petrol scooter</v>
      </c>
      <c r="AD1372" s="33">
        <f>IF(Orders!D1369="","",INDEX(Riders!$D$2:$D$81,MATCH(Orders!D1369,Riders!$A$2:$A$81,0)))</f>
        <v>2</v>
      </c>
      <c r="AE1372" s="33">
        <f>IF(Orders!D1369="","",IF(INDEX(Riders!$B$2:$B$81,MATCH(Orders!D1369,Riders!$A$2:$A$81,0))=B1372,1,0))</f>
        <v>0</v>
      </c>
      <c r="AF1372" s="34">
        <f>IF(E1372=1,Orders!L1369,"")</f>
        <v>2.49</v>
      </c>
      <c r="AG1372" s="34">
        <f>IF(E1372=1,Orders!P1369,"")</f>
        <v>12.4</v>
      </c>
      <c r="AH1372" s="34">
        <f>IF(E1372=1,Orders!Q1369,"")</f>
        <v>11.9</v>
      </c>
      <c r="AI1372" s="34">
        <f>IF(E1372=1,Orders!M1369,"")</f>
        <v>3.4</v>
      </c>
      <c r="AJ1372" s="34">
        <f>IF(E1372=1,Orders!N1369,"")</f>
        <v>3.8</v>
      </c>
      <c r="AK1372" s="34">
        <f>IF(E1372=1,Orders!O1369,"")</f>
        <v>4.7</v>
      </c>
      <c r="AL1372" s="33">
        <f>IF(E1372=1,IF(ROUND(ABS(AI1372+AJ1372+AK1372-AH1372),6)&lt;=0.1,1,0),"")</f>
        <v>1</v>
      </c>
      <c r="AM1372" s="36">
        <f>IF(E1372=1,AI1372/AH1372,"")</f>
        <v>0.285714285714286</v>
      </c>
      <c r="AN1372" s="36">
        <f>IF(E1372=1,AJ1372/AH1372,"")</f>
        <v>0.319327731092437</v>
      </c>
      <c r="AO1372" s="36">
        <f>IF(E1372=1,AK1372/AH1372,"")</f>
        <v>0.394957983193277</v>
      </c>
      <c r="AP1372" s="34">
        <f>IF(E1372=1,Orders!Y1369,"")</f>
        <v>0.55</v>
      </c>
      <c r="AQ1372" s="33">
        <f>IF(Orders!X1369,1,0)</f>
        <v>0</v>
      </c>
      <c r="AR1372" s="34" t="str">
        <f>IF(AND(E1372=1,L1372=1),AJ1372,"")</f>
        <v/>
      </c>
      <c r="AS1372" s="34">
        <f>IF(AND(E1372=1,L1372=0),AJ1372,"")</f>
        <v>3.8</v>
      </c>
      <c r="AT1372" s="34" t="str">
        <f>IF(AND(E1372=1,L1372=1),AI1372,"")</f>
        <v/>
      </c>
      <c r="AU1372" s="34">
        <f>IF(AND(E1372=1,L1372=0),AI1372,"")</f>
        <v>3.4</v>
      </c>
      <c r="AV1372" s="34" t="str">
        <f>IF(AND(E1372=1,L1372=1),AG1372,"")</f>
        <v/>
      </c>
      <c r="AW1372" s="34">
        <f>IF(AND(E1372=1,L1372=0),AG1372,"")</f>
        <v>12.4</v>
      </c>
      <c r="AX1372" s="34" t="str">
        <f>IF(AND(E1372=1,L1372=1),AH1372,"")</f>
        <v/>
      </c>
      <c r="AY1372" s="34">
        <f>IF(AND(E1372=1,L1372=0),AH1372,"")</f>
        <v>11.9</v>
      </c>
      <c r="AZ1372" s="34" t="str">
        <f>IF(G1372=1,F1372,"")</f>
        <v/>
      </c>
      <c r="BA1372" s="34" t="str">
        <f>IF(AND(G1372=1,L1372=1),F1372,"")</f>
        <v/>
      </c>
      <c r="BB1372" s="34" t="str">
        <f>IF(AND(G1372=1,L1372=0),F1372,"")</f>
        <v/>
      </c>
      <c r="BC1372" s="33">
        <f>IF(E1372=1,IF(Orders!R1369&gt;3,1,0),"")</f>
        <v>0</v>
      </c>
      <c r="BD1372" s="33">
        <f>IF(E1372=1,IF(Orders!R1369&gt;7,1,0),"")</f>
        <v>0</v>
      </c>
      <c r="BE1372" s="32" t="str">
        <f>IF(E1372=1,IF(Orders!L1369&lt;=1.5,"Up to 1.5 km",IF(Orders!L1369&lt;=3,"1.5–3 km","Over 3 km")),"")</f>
        <v>1.5–3 km</v>
      </c>
      <c r="BF1372" s="33">
        <f>IF(E1372=1,IF(ABS((Orders!G1369-Orders!F1369)*1440-Orders!R1369)&lt;0.06,1,0),"")</f>
        <v>1</v>
      </c>
      <c r="BG1372" s="33">
        <f>IF(ABS((Orders!F1369-Orders!E1369)*1440-Orders!P1369)&lt;0.06,1,0)</f>
        <v>1</v>
      </c>
      <c r="BH1372" s="33">
        <f>IF(E1372=1,IF(IF(Orders!S1369,1,0)=1-G1372,1,0),"")</f>
        <v>1</v>
      </c>
      <c r="BI1372" s="32" t="str">
        <f>INDEX(Stores!$B$2:$B$21,MATCH(B1372,Stores!$A$2:$A$21,0))</f>
        <v>Pune</v>
      </c>
    </row>
    <row r="1373">
      <c r="A1373" s="32" t="str">
        <f>Orders!A1370</f>
        <v>O01369</v>
      </c>
      <c r="B1373" s="32" t="str">
        <f>Orders!C1370</f>
        <v>S010</v>
      </c>
      <c r="C1373" s="32" t="str">
        <f>Orders!B1370</f>
        <v>C0102</v>
      </c>
      <c r="D1373" s="32" t="str">
        <f>Orders!H1370</f>
        <v>Delivered</v>
      </c>
      <c r="E1373" s="33">
        <f>IF(Orders!H1370="Delivered",1,0)</f>
        <v>1</v>
      </c>
      <c r="F1373" s="34">
        <f>IF(E1373=1,Orders!R1370,"")</f>
        <v>7.7</v>
      </c>
      <c r="G1373" s="33">
        <f>IF(E1373=1,IF(Orders!R1370&gt;0,1,0),"")</f>
        <v>1</v>
      </c>
      <c r="H1373" s="33">
        <f>IF(E1373=1,IF(Orders!R1370&gt;5,1,0),"")</f>
        <v>1</v>
      </c>
      <c r="I1373" s="32" t="str">
        <f>IF(E1373=1,"",IF(OR(Orders!T1370="Rider unavailable",Orders!T1370="Item unavailable"),"Company-caused","Unresolved"))</f>
        <v/>
      </c>
      <c r="J1373" s="33">
        <f>IF(OR(E1373=1,I1373="Company-caused"),1,0)</f>
        <v>1</v>
      </c>
      <c r="K1373" s="32" t="str">
        <f>IF(E1373=0,IF(I1373="Company-caused",IF(Orders!T1370="Rider unavailable","C1 Rider unavailable","C2 Item unavailable"),"Outside root: unresolved"),IF(G1373=0,"A On time",IF(H1373=1,IF(L1373=1,"B2a Severe, peak","B2b Severe, off-peak"),IF(L1373=1,"B1a Slight, peak","B1b Slight, off-peak"))))</f>
        <v>B2b Severe, off-peak</v>
      </c>
      <c r="L1373" s="33">
        <f>IF(AND(Orders!U1370&gt;=19,Orders!U1370&lt;22),1,0)</f>
        <v>0</v>
      </c>
      <c r="M1373" s="33">
        <f>IF(L1373=IF(Orders!V1370,1,0),1,0)</f>
        <v>1</v>
      </c>
      <c r="N1373" s="32" t="str">
        <f>IF(Orders!W1370="","None",Orders!W1370)</f>
        <v>None</v>
      </c>
      <c r="O1373" s="35">
        <f>INT(Orders!E1370)</f>
        <v>46274.0</v>
      </c>
      <c r="P1373" s="33">
        <f>Orders!U1370</f>
        <v>23</v>
      </c>
      <c r="Q1373" s="33">
        <f>COUNTIFS(Demand!$A$2:$A$4481,B1373,Demand!$B$2:$B$4481,O1373,Demand!$C$2:$C$4481,P1373)</f>
        <v>1</v>
      </c>
      <c r="R1373" s="33">
        <f>IF(Q1373=1,SUMIFS(Demand!$E$2:$E$4481,Demand!$A$2:$A$4481,B1373,Demand!$B$2:$B$4481,O1373,Demand!$C$2:$C$4481,P1373),"")</f>
        <v>24</v>
      </c>
      <c r="S1373" s="33">
        <f>INDEX(Stores!$G$2:$G$21,MATCH(B1373,Stores!$A$2:$A$21,0))</f>
        <v>22</v>
      </c>
      <c r="T1373" s="34">
        <f>IF(R1373="","",R1373/S1373)</f>
        <v>1.09090909090909</v>
      </c>
      <c r="U1373" s="34">
        <f>IF(E1373=1,T1373,"")</f>
        <v>1.09090909090909</v>
      </c>
      <c r="V1373" s="34">
        <f>IF(AND(E1373=1,L1373=0),T1373,"")</f>
        <v>1.09090909090909</v>
      </c>
      <c r="W1373" s="33">
        <f>IF(U1373="","",IF(U1373&lt;=Breakdowns!$C$5,1,IF(U1373&lt;=Breakdowns!$C$6,2,IF(U1373&lt;=Breakdowns!$C$7,3,4))))</f>
        <v>3</v>
      </c>
      <c r="X1373" s="33">
        <f>IF(V1373="","",IF(V1373&lt;=Breakdowns!$D$5,1,IF(V1373&lt;=Breakdowns!$D$6,2,IF(V1373&lt;=Breakdowns!$D$7,3,4))))</f>
        <v>4</v>
      </c>
      <c r="Y1373" s="34">
        <f>INDEX(Stores!$F$2:$F$21,MATCH(B1373,Stores!$A$2:$A$21,0))</f>
        <v>5.61</v>
      </c>
      <c r="Z1373" s="33">
        <f>IF(Y1373&gt;Store_Summary!$M$2,1,0)</f>
        <v>1</v>
      </c>
      <c r="AA1373" s="33">
        <f>INDEX(Stores!$C$2:$C$21,MATCH(B1373,Stores!$A$2:$A$21,0))</f>
        <v>744</v>
      </c>
      <c r="AB1373" s="33">
        <f>IF(AA1373&lt;180,1,0)</f>
        <v>0</v>
      </c>
      <c r="AC1373" s="32" t="str">
        <f>IF(Orders!D1370="","",INDEX(Riders!$C$2:$C$81,MATCH(Orders!D1370,Riders!$A$2:$A$81,0)))</f>
        <v>Petrol scooter</v>
      </c>
      <c r="AD1373" s="33">
        <f>IF(Orders!D1370="","",INDEX(Riders!$D$2:$D$81,MATCH(Orders!D1370,Riders!$A$2:$A$81,0)))</f>
        <v>48</v>
      </c>
      <c r="AE1373" s="33">
        <f>IF(Orders!D1370="","",IF(INDEX(Riders!$B$2:$B$81,MATCH(Orders!D1370,Riders!$A$2:$A$81,0))=B1373,1,0))</f>
        <v>0</v>
      </c>
      <c r="AF1373" s="34">
        <f>IF(E1373=1,Orders!L1370,"")</f>
        <v>0.79</v>
      </c>
      <c r="AG1373" s="34">
        <f>IF(E1373=1,Orders!P1370,"")</f>
        <v>10.2</v>
      </c>
      <c r="AH1373" s="34">
        <f>IF(E1373=1,Orders!Q1370,"")</f>
        <v>17.9</v>
      </c>
      <c r="AI1373" s="34">
        <f>IF(E1373=1,Orders!M1370,"")</f>
        <v>7.9</v>
      </c>
      <c r="AJ1373" s="34">
        <f>IF(E1373=1,Orders!N1370,"")</f>
        <v>7.5</v>
      </c>
      <c r="AK1373" s="34">
        <f>IF(E1373=1,Orders!O1370,"")</f>
        <v>2.6</v>
      </c>
      <c r="AL1373" s="33">
        <f>IF(E1373=1,IF(ROUND(ABS(AI1373+AJ1373+AK1373-AH1373),6)&lt;=0.1,1,0),"")</f>
        <v>1</v>
      </c>
      <c r="AM1373" s="36">
        <f>IF(E1373=1,AI1373/AH1373,"")</f>
        <v>0.441340782122905</v>
      </c>
      <c r="AN1373" s="36">
        <f>IF(E1373=1,AJ1373/AH1373,"")</f>
        <v>0.418994413407821</v>
      </c>
      <c r="AO1373" s="36">
        <f>IF(E1373=1,AK1373/AH1373,"")</f>
        <v>0.145251396648045</v>
      </c>
      <c r="AP1373" s="34">
        <f>IF(E1373=1,Orders!Y1370,"")</f>
        <v>0.33</v>
      </c>
      <c r="AQ1373" s="33">
        <f>IF(Orders!X1370,1,0)</f>
        <v>0</v>
      </c>
      <c r="AR1373" s="34" t="str">
        <f>IF(AND(E1373=1,L1373=1),AJ1373,"")</f>
        <v/>
      </c>
      <c r="AS1373" s="34">
        <f>IF(AND(E1373=1,L1373=0),AJ1373,"")</f>
        <v>7.5</v>
      </c>
      <c r="AT1373" s="34" t="str">
        <f>IF(AND(E1373=1,L1373=1),AI1373,"")</f>
        <v/>
      </c>
      <c r="AU1373" s="34">
        <f>IF(AND(E1373=1,L1373=0),AI1373,"")</f>
        <v>7.9</v>
      </c>
      <c r="AV1373" s="34" t="str">
        <f>IF(AND(E1373=1,L1373=1),AG1373,"")</f>
        <v/>
      </c>
      <c r="AW1373" s="34">
        <f>IF(AND(E1373=1,L1373=0),AG1373,"")</f>
        <v>10.2</v>
      </c>
      <c r="AX1373" s="34" t="str">
        <f>IF(AND(E1373=1,L1373=1),AH1373,"")</f>
        <v/>
      </c>
      <c r="AY1373" s="34">
        <f>IF(AND(E1373=1,L1373=0),AH1373,"")</f>
        <v>17.9</v>
      </c>
      <c r="AZ1373" s="34">
        <f>IF(G1373=1,F1373,"")</f>
        <v>7.7</v>
      </c>
      <c r="BA1373" s="34" t="str">
        <f>IF(AND(G1373=1,L1373=1),F1373,"")</f>
        <v/>
      </c>
      <c r="BB1373" s="34">
        <f>IF(AND(G1373=1,L1373=0),F1373,"")</f>
        <v>7.7</v>
      </c>
      <c r="BC1373" s="33">
        <f>IF(E1373=1,IF(Orders!R1370&gt;3,1,0),"")</f>
        <v>1</v>
      </c>
      <c r="BD1373" s="33">
        <f>IF(E1373=1,IF(Orders!R1370&gt;7,1,0),"")</f>
        <v>1</v>
      </c>
      <c r="BE1373" s="32" t="str">
        <f>IF(E1373=1,IF(Orders!L1370&lt;=1.5,"Up to 1.5 km",IF(Orders!L1370&lt;=3,"1.5–3 km","Over 3 km")),"")</f>
        <v>Up to 1.5 km</v>
      </c>
      <c r="BF1373" s="33">
        <f>IF(E1373=1,IF(ABS((Orders!G1370-Orders!F1370)*1440-Orders!R1370)&lt;0.06,1,0),"")</f>
        <v>1</v>
      </c>
      <c r="BG1373" s="33">
        <f>IF(ABS((Orders!F1370-Orders!E1370)*1440-Orders!P1370)&lt;0.06,1,0)</f>
        <v>1</v>
      </c>
      <c r="BH1373" s="33">
        <f>IF(E1373=1,IF(IF(Orders!S1370,1,0)=1-G1373,1,0),"")</f>
        <v>1</v>
      </c>
      <c r="BI1373" s="32" t="str">
        <f>INDEX(Stores!$B$2:$B$21,MATCH(B1373,Stores!$A$2:$A$21,0))</f>
        <v>Delhi</v>
      </c>
    </row>
    <row r="1374">
      <c r="A1374" s="32" t="str">
        <f>Orders!A1371</f>
        <v>O01370</v>
      </c>
      <c r="B1374" s="32" t="str">
        <f>Orders!C1371</f>
        <v>S016</v>
      </c>
      <c r="C1374" s="32" t="str">
        <f>Orders!B1371</f>
        <v>C0050</v>
      </c>
      <c r="D1374" s="32" t="str">
        <f>Orders!H1371</f>
        <v>Delivered</v>
      </c>
      <c r="E1374" s="33">
        <f>IF(Orders!H1371="Delivered",1,0)</f>
        <v>1</v>
      </c>
      <c r="F1374" s="34">
        <f>IF(E1374=1,Orders!R1371,"")</f>
        <v>-0.3</v>
      </c>
      <c r="G1374" s="33">
        <f>IF(E1374=1,IF(Orders!R1371&gt;0,1,0),"")</f>
        <v>0</v>
      </c>
      <c r="H1374" s="33">
        <f>IF(E1374=1,IF(Orders!R1371&gt;5,1,0),"")</f>
        <v>0</v>
      </c>
      <c r="I1374" s="32" t="str">
        <f>IF(E1374=1,"",IF(OR(Orders!T1371="Rider unavailable",Orders!T1371="Item unavailable"),"Company-caused","Unresolved"))</f>
        <v/>
      </c>
      <c r="J1374" s="33">
        <f>IF(OR(E1374=1,I1374="Company-caused"),1,0)</f>
        <v>1</v>
      </c>
      <c r="K1374" s="32" t="str">
        <f>IF(E1374=0,IF(I1374="Company-caused",IF(Orders!T1371="Rider unavailable","C1 Rider unavailable","C2 Item unavailable"),"Outside root: unresolved"),IF(G1374=0,"A On time",IF(H1374=1,IF(L1374=1,"B2a Severe, peak","B2b Severe, off-peak"),IF(L1374=1,"B1a Slight, peak","B1b Slight, off-peak"))))</f>
        <v>A On time</v>
      </c>
      <c r="L1374" s="33">
        <f>IF(AND(Orders!U1371&gt;=19,Orders!U1371&lt;22),1,0)</f>
        <v>0</v>
      </c>
      <c r="M1374" s="33">
        <f>IF(L1374=IF(Orders!V1371,1,0),1,0)</f>
        <v>1</v>
      </c>
      <c r="N1374" s="32" t="str">
        <f>IF(Orders!W1371="","None",Orders!W1371)</f>
        <v>None</v>
      </c>
      <c r="O1374" s="35">
        <f>INT(Orders!E1371)</f>
        <v>46269.0</v>
      </c>
      <c r="P1374" s="33">
        <f>Orders!U1371</f>
        <v>10</v>
      </c>
      <c r="Q1374" s="33">
        <f>COUNTIFS(Demand!$A$2:$A$4481,B1374,Demand!$B$2:$B$4481,O1374,Demand!$C$2:$C$4481,P1374)</f>
        <v>1</v>
      </c>
      <c r="R1374" s="33">
        <f>IF(Q1374=1,SUMIFS(Demand!$E$2:$E$4481,Demand!$A$2:$A$4481,B1374,Demand!$B$2:$B$4481,O1374,Demand!$C$2:$C$4481,P1374),"")</f>
        <v>13</v>
      </c>
      <c r="S1374" s="33">
        <f>INDEX(Stores!$G$2:$G$21,MATCH(B1374,Stores!$A$2:$A$21,0))</f>
        <v>25</v>
      </c>
      <c r="T1374" s="34">
        <f>IF(R1374="","",R1374/S1374)</f>
        <v>0.52</v>
      </c>
      <c r="U1374" s="34">
        <f>IF(E1374=1,T1374,"")</f>
        <v>0.52</v>
      </c>
      <c r="V1374" s="34">
        <f>IF(AND(E1374=1,L1374=0),T1374,"")</f>
        <v>0.52</v>
      </c>
      <c r="W1374" s="33">
        <f>IF(U1374="","",IF(U1374&lt;=Breakdowns!$C$5,1,IF(U1374&lt;=Breakdowns!$C$6,2,IF(U1374&lt;=Breakdowns!$C$7,3,4))))</f>
        <v>1</v>
      </c>
      <c r="X1374" s="33">
        <f>IF(V1374="","",IF(V1374&lt;=Breakdowns!$D$5,1,IF(V1374&lt;=Breakdowns!$D$6,2,IF(V1374&lt;=Breakdowns!$D$7,3,4))))</f>
        <v>1</v>
      </c>
      <c r="Y1374" s="34">
        <f>INDEX(Stores!$F$2:$F$21,MATCH(B1374,Stores!$A$2:$A$21,0))</f>
        <v>5.51</v>
      </c>
      <c r="Z1374" s="33">
        <f>IF(Y1374&gt;Store_Summary!$M$2,1,0)</f>
        <v>1</v>
      </c>
      <c r="AA1374" s="33">
        <f>INDEX(Stores!$C$2:$C$21,MATCH(B1374,Stores!$A$2:$A$21,0))</f>
        <v>792</v>
      </c>
      <c r="AB1374" s="33">
        <f>IF(AA1374&lt;180,1,0)</f>
        <v>0</v>
      </c>
      <c r="AC1374" s="32" t="str">
        <f>IF(Orders!D1371="","",INDEX(Riders!$C$2:$C$81,MATCH(Orders!D1371,Riders!$A$2:$A$81,0)))</f>
        <v>EV scooter</v>
      </c>
      <c r="AD1374" s="33">
        <f>IF(Orders!D1371="","",INDEX(Riders!$D$2:$D$81,MATCH(Orders!D1371,Riders!$A$2:$A$81,0)))</f>
        <v>12</v>
      </c>
      <c r="AE1374" s="33">
        <f>IF(Orders!D1371="","",IF(INDEX(Riders!$B$2:$B$81,MATCH(Orders!D1371,Riders!$A$2:$A$81,0))=B1374,1,0))</f>
        <v>1</v>
      </c>
      <c r="AF1374" s="34">
        <f>IF(E1374=1,Orders!L1371,"")</f>
        <v>0.9</v>
      </c>
      <c r="AG1374" s="34">
        <f>IF(E1374=1,Orders!P1371,"")</f>
        <v>10.3</v>
      </c>
      <c r="AH1374" s="34">
        <f>IF(E1374=1,Orders!Q1371,"")</f>
        <v>10</v>
      </c>
      <c r="AI1374" s="34">
        <f>IF(E1374=1,Orders!M1371,"")</f>
        <v>4.2</v>
      </c>
      <c r="AJ1374" s="34">
        <f>IF(E1374=1,Orders!N1371,"")</f>
        <v>3.7</v>
      </c>
      <c r="AK1374" s="34">
        <f>IF(E1374=1,Orders!O1371,"")</f>
        <v>2.1</v>
      </c>
      <c r="AL1374" s="33">
        <f>IF(E1374=1,IF(ROUND(ABS(AI1374+AJ1374+AK1374-AH1374),6)&lt;=0.1,1,0),"")</f>
        <v>1</v>
      </c>
      <c r="AM1374" s="36">
        <f>IF(E1374=1,AI1374/AH1374,"")</f>
        <v>0.42</v>
      </c>
      <c r="AN1374" s="36">
        <f>IF(E1374=1,AJ1374/AH1374,"")</f>
        <v>0.37</v>
      </c>
      <c r="AO1374" s="36">
        <f>IF(E1374=1,AK1374/AH1374,"")</f>
        <v>0.21</v>
      </c>
      <c r="AP1374" s="34">
        <f>IF(E1374=1,Orders!Y1371,"")</f>
        <v>0.46</v>
      </c>
      <c r="AQ1374" s="33">
        <f>IF(Orders!X1371,1,0)</f>
        <v>0</v>
      </c>
      <c r="AR1374" s="34" t="str">
        <f>IF(AND(E1374=1,L1374=1),AJ1374,"")</f>
        <v/>
      </c>
      <c r="AS1374" s="34">
        <f>IF(AND(E1374=1,L1374=0),AJ1374,"")</f>
        <v>3.7</v>
      </c>
      <c r="AT1374" s="34" t="str">
        <f>IF(AND(E1374=1,L1374=1),AI1374,"")</f>
        <v/>
      </c>
      <c r="AU1374" s="34">
        <f>IF(AND(E1374=1,L1374=0),AI1374,"")</f>
        <v>4.2</v>
      </c>
      <c r="AV1374" s="34" t="str">
        <f>IF(AND(E1374=1,L1374=1),AG1374,"")</f>
        <v/>
      </c>
      <c r="AW1374" s="34">
        <f>IF(AND(E1374=1,L1374=0),AG1374,"")</f>
        <v>10.3</v>
      </c>
      <c r="AX1374" s="34" t="str">
        <f>IF(AND(E1374=1,L1374=1),AH1374,"")</f>
        <v/>
      </c>
      <c r="AY1374" s="34">
        <f>IF(AND(E1374=1,L1374=0),AH1374,"")</f>
        <v>10</v>
      </c>
      <c r="AZ1374" s="34" t="str">
        <f>IF(G1374=1,F1374,"")</f>
        <v/>
      </c>
      <c r="BA1374" s="34" t="str">
        <f>IF(AND(G1374=1,L1374=1),F1374,"")</f>
        <v/>
      </c>
      <c r="BB1374" s="34" t="str">
        <f>IF(AND(G1374=1,L1374=0),F1374,"")</f>
        <v/>
      </c>
      <c r="BC1374" s="33">
        <f>IF(E1374=1,IF(Orders!R1371&gt;3,1,0),"")</f>
        <v>0</v>
      </c>
      <c r="BD1374" s="33">
        <f>IF(E1374=1,IF(Orders!R1371&gt;7,1,0),"")</f>
        <v>0</v>
      </c>
      <c r="BE1374" s="32" t="str">
        <f>IF(E1374=1,IF(Orders!L1371&lt;=1.5,"Up to 1.5 km",IF(Orders!L1371&lt;=3,"1.5–3 km","Over 3 km")),"")</f>
        <v>Up to 1.5 km</v>
      </c>
      <c r="BF1374" s="33">
        <f>IF(E1374=1,IF(ABS((Orders!G1371-Orders!F1371)*1440-Orders!R1371)&lt;0.06,1,0),"")</f>
        <v>1</v>
      </c>
      <c r="BG1374" s="33">
        <f>IF(ABS((Orders!F1371-Orders!E1371)*1440-Orders!P1371)&lt;0.06,1,0)</f>
        <v>1</v>
      </c>
      <c r="BH1374" s="33">
        <f>IF(E1374=1,IF(IF(Orders!S1371,1,0)=1-G1374,1,0),"")</f>
        <v>1</v>
      </c>
      <c r="BI1374" s="32" t="str">
        <f>INDEX(Stores!$B$2:$B$21,MATCH(B1374,Stores!$A$2:$A$21,0))</f>
        <v>Bengaluru</v>
      </c>
    </row>
    <row r="1375">
      <c r="A1375" s="32" t="str">
        <f>Orders!A1372</f>
        <v>O01371</v>
      </c>
      <c r="B1375" s="32" t="str">
        <f>Orders!C1372</f>
        <v>S012</v>
      </c>
      <c r="C1375" s="32" t="str">
        <f>Orders!B1372</f>
        <v>C0155</v>
      </c>
      <c r="D1375" s="32" t="str">
        <f>Orders!H1372</f>
        <v>Delivered</v>
      </c>
      <c r="E1375" s="33">
        <f>IF(Orders!H1372="Delivered",1,0)</f>
        <v>1</v>
      </c>
      <c r="F1375" s="34">
        <f>IF(E1375=1,Orders!R1372,"")</f>
        <v>-0.3</v>
      </c>
      <c r="G1375" s="33">
        <f>IF(E1375=1,IF(Orders!R1372&gt;0,1,0),"")</f>
        <v>0</v>
      </c>
      <c r="H1375" s="33">
        <f>IF(E1375=1,IF(Orders!R1372&gt;5,1,0),"")</f>
        <v>0</v>
      </c>
      <c r="I1375" s="32" t="str">
        <f>IF(E1375=1,"",IF(OR(Orders!T1372="Rider unavailable",Orders!T1372="Item unavailable"),"Company-caused","Unresolved"))</f>
        <v/>
      </c>
      <c r="J1375" s="33">
        <f>IF(OR(E1375=1,I1375="Company-caused"),1,0)</f>
        <v>1</v>
      </c>
      <c r="K1375" s="32" t="str">
        <f>IF(E1375=0,IF(I1375="Company-caused",IF(Orders!T1372="Rider unavailable","C1 Rider unavailable","C2 Item unavailable"),"Outside root: unresolved"),IF(G1375=0,"A On time",IF(H1375=1,IF(L1375=1,"B2a Severe, peak","B2b Severe, off-peak"),IF(L1375=1,"B1a Slight, peak","B1b Slight, off-peak"))))</f>
        <v>A On time</v>
      </c>
      <c r="L1375" s="33">
        <f>IF(AND(Orders!U1372&gt;=19,Orders!U1372&lt;22),1,0)</f>
        <v>0</v>
      </c>
      <c r="M1375" s="33">
        <f>IF(L1375=IF(Orders!V1372,1,0),1,0)</f>
        <v>1</v>
      </c>
      <c r="N1375" s="32" t="str">
        <f>IF(Orders!W1372="","None",Orders!W1372)</f>
        <v>Light</v>
      </c>
      <c r="O1375" s="35">
        <f>INT(Orders!E1372)</f>
        <v>46271.0</v>
      </c>
      <c r="P1375" s="33">
        <f>Orders!U1372</f>
        <v>16</v>
      </c>
      <c r="Q1375" s="33">
        <f>COUNTIFS(Demand!$A$2:$A$4481,B1375,Demand!$B$2:$B$4481,O1375,Demand!$C$2:$C$4481,P1375)</f>
        <v>1</v>
      </c>
      <c r="R1375" s="33">
        <f>IF(Q1375=1,SUMIFS(Demand!$E$2:$E$4481,Demand!$A$2:$A$4481,B1375,Demand!$B$2:$B$4481,O1375,Demand!$C$2:$C$4481,P1375),"")</f>
        <v>13</v>
      </c>
      <c r="S1375" s="33">
        <f>INDEX(Stores!$G$2:$G$21,MATCH(B1375,Stores!$A$2:$A$21,0))</f>
        <v>15</v>
      </c>
      <c r="T1375" s="34">
        <f>IF(R1375="","",R1375/S1375)</f>
        <v>0.866666666666667</v>
      </c>
      <c r="U1375" s="34">
        <f>IF(E1375=1,T1375,"")</f>
        <v>0.866666666666667</v>
      </c>
      <c r="V1375" s="34">
        <f>IF(AND(E1375=1,L1375=0),T1375,"")</f>
        <v>0.866666666666667</v>
      </c>
      <c r="W1375" s="33">
        <f>IF(U1375="","",IF(U1375&lt;=Breakdowns!$C$5,1,IF(U1375&lt;=Breakdowns!$C$6,2,IF(U1375&lt;=Breakdowns!$C$7,3,4))))</f>
        <v>2</v>
      </c>
      <c r="X1375" s="33">
        <f>IF(V1375="","",IF(V1375&lt;=Breakdowns!$D$5,1,IF(V1375&lt;=Breakdowns!$D$6,2,IF(V1375&lt;=Breakdowns!$D$7,3,4))))</f>
        <v>2</v>
      </c>
      <c r="Y1375" s="34">
        <f>INDEX(Stores!$F$2:$F$21,MATCH(B1375,Stores!$A$2:$A$21,0))</f>
        <v>5.23</v>
      </c>
      <c r="Z1375" s="33">
        <f>IF(Y1375&gt;Store_Summary!$M$2,1,0)</f>
        <v>1</v>
      </c>
      <c r="AA1375" s="33">
        <f>INDEX(Stores!$C$2:$C$21,MATCH(B1375,Stores!$A$2:$A$21,0))</f>
        <v>300</v>
      </c>
      <c r="AB1375" s="33">
        <f>IF(AA1375&lt;180,1,0)</f>
        <v>0</v>
      </c>
      <c r="AC1375" s="32" t="str">
        <f>IF(Orders!D1372="","",INDEX(Riders!$C$2:$C$81,MATCH(Orders!D1372,Riders!$A$2:$A$81,0)))</f>
        <v>EV scooter</v>
      </c>
      <c r="AD1375" s="33">
        <f>IF(Orders!D1372="","",INDEX(Riders!$D$2:$D$81,MATCH(Orders!D1372,Riders!$A$2:$A$81,0)))</f>
        <v>37</v>
      </c>
      <c r="AE1375" s="33">
        <f>IF(Orders!D1372="","",IF(INDEX(Riders!$B$2:$B$81,MATCH(Orders!D1372,Riders!$A$2:$A$81,0))=B1375,1,0))</f>
        <v>0</v>
      </c>
      <c r="AF1375" s="34">
        <f>IF(E1375=1,Orders!L1372,"")</f>
        <v>0.72</v>
      </c>
      <c r="AG1375" s="34">
        <f>IF(E1375=1,Orders!P1372,"")</f>
        <v>9.5</v>
      </c>
      <c r="AH1375" s="34">
        <f>IF(E1375=1,Orders!Q1372,"")</f>
        <v>9.2</v>
      </c>
      <c r="AI1375" s="34">
        <f>IF(E1375=1,Orders!M1372,"")</f>
        <v>4.3</v>
      </c>
      <c r="AJ1375" s="34">
        <f>IF(E1375=1,Orders!N1372,"")</f>
        <v>2.3</v>
      </c>
      <c r="AK1375" s="34">
        <f>IF(E1375=1,Orders!O1372,"")</f>
        <v>2.6</v>
      </c>
      <c r="AL1375" s="33">
        <f>IF(E1375=1,IF(ROUND(ABS(AI1375+AJ1375+AK1375-AH1375),6)&lt;=0.1,1,0),"")</f>
        <v>1</v>
      </c>
      <c r="AM1375" s="36">
        <f>IF(E1375=1,AI1375/AH1375,"")</f>
        <v>0.467391304347826</v>
      </c>
      <c r="AN1375" s="36">
        <f>IF(E1375=1,AJ1375/AH1375,"")</f>
        <v>0.25</v>
      </c>
      <c r="AO1375" s="36">
        <f>IF(E1375=1,AK1375/AH1375,"")</f>
        <v>0.282608695652174</v>
      </c>
      <c r="AP1375" s="34">
        <f>IF(E1375=1,Orders!Y1372,"")</f>
        <v>0.59</v>
      </c>
      <c r="AQ1375" s="33">
        <f>IF(Orders!X1372,1,0)</f>
        <v>0</v>
      </c>
      <c r="AR1375" s="34" t="str">
        <f>IF(AND(E1375=1,L1375=1),AJ1375,"")</f>
        <v/>
      </c>
      <c r="AS1375" s="34">
        <f>IF(AND(E1375=1,L1375=0),AJ1375,"")</f>
        <v>2.3</v>
      </c>
      <c r="AT1375" s="34" t="str">
        <f>IF(AND(E1375=1,L1375=1),AI1375,"")</f>
        <v/>
      </c>
      <c r="AU1375" s="34">
        <f>IF(AND(E1375=1,L1375=0),AI1375,"")</f>
        <v>4.3</v>
      </c>
      <c r="AV1375" s="34" t="str">
        <f>IF(AND(E1375=1,L1375=1),AG1375,"")</f>
        <v/>
      </c>
      <c r="AW1375" s="34">
        <f>IF(AND(E1375=1,L1375=0),AG1375,"")</f>
        <v>9.5</v>
      </c>
      <c r="AX1375" s="34" t="str">
        <f>IF(AND(E1375=1,L1375=1),AH1375,"")</f>
        <v/>
      </c>
      <c r="AY1375" s="34">
        <f>IF(AND(E1375=1,L1375=0),AH1375,"")</f>
        <v>9.2</v>
      </c>
      <c r="AZ1375" s="34" t="str">
        <f>IF(G1375=1,F1375,"")</f>
        <v/>
      </c>
      <c r="BA1375" s="34" t="str">
        <f>IF(AND(G1375=1,L1375=1),F1375,"")</f>
        <v/>
      </c>
      <c r="BB1375" s="34" t="str">
        <f>IF(AND(G1375=1,L1375=0),F1375,"")</f>
        <v/>
      </c>
      <c r="BC1375" s="33">
        <f>IF(E1375=1,IF(Orders!R1372&gt;3,1,0),"")</f>
        <v>0</v>
      </c>
      <c r="BD1375" s="33">
        <f>IF(E1375=1,IF(Orders!R1372&gt;7,1,0),"")</f>
        <v>0</v>
      </c>
      <c r="BE1375" s="32" t="str">
        <f>IF(E1375=1,IF(Orders!L1372&lt;=1.5,"Up to 1.5 km",IF(Orders!L1372&lt;=3,"1.5–3 km","Over 3 km")),"")</f>
        <v>Up to 1.5 km</v>
      </c>
      <c r="BF1375" s="33">
        <f>IF(E1375=1,IF(ABS((Orders!G1372-Orders!F1372)*1440-Orders!R1372)&lt;0.06,1,0),"")</f>
        <v>1</v>
      </c>
      <c r="BG1375" s="33">
        <f>IF(ABS((Orders!F1372-Orders!E1372)*1440-Orders!P1372)&lt;0.06,1,0)</f>
        <v>1</v>
      </c>
      <c r="BH1375" s="33">
        <f>IF(E1375=1,IF(IF(Orders!S1372,1,0)=1-G1375,1,0),"")</f>
        <v>1</v>
      </c>
      <c r="BI1375" s="32" t="str">
        <f>INDEX(Stores!$B$2:$B$21,MATCH(B1375,Stores!$A$2:$A$21,0))</f>
        <v>Hyderabad</v>
      </c>
    </row>
    <row r="1376">
      <c r="A1376" s="32" t="str">
        <f>Orders!A1373</f>
        <v>O01372</v>
      </c>
      <c r="B1376" s="32" t="str">
        <f>Orders!C1373</f>
        <v>S013</v>
      </c>
      <c r="C1376" s="32" t="str">
        <f>Orders!B1373</f>
        <v>C0133</v>
      </c>
      <c r="D1376" s="32" t="str">
        <f>Orders!H1373</f>
        <v>Delivered</v>
      </c>
      <c r="E1376" s="33">
        <f>IF(Orders!H1373="Delivered",1,0)</f>
        <v>1</v>
      </c>
      <c r="F1376" s="34">
        <f>IF(E1376=1,Orders!R1373,"")</f>
        <v>-0.3</v>
      </c>
      <c r="G1376" s="33">
        <f>IF(E1376=1,IF(Orders!R1373&gt;0,1,0),"")</f>
        <v>0</v>
      </c>
      <c r="H1376" s="33">
        <f>IF(E1376=1,IF(Orders!R1373&gt;5,1,0),"")</f>
        <v>0</v>
      </c>
      <c r="I1376" s="32" t="str">
        <f>IF(E1376=1,"",IF(OR(Orders!T1373="Rider unavailable",Orders!T1373="Item unavailable"),"Company-caused","Unresolved"))</f>
        <v/>
      </c>
      <c r="J1376" s="33">
        <f>IF(OR(E1376=1,I1376="Company-caused"),1,0)</f>
        <v>1</v>
      </c>
      <c r="K1376" s="32" t="str">
        <f>IF(E1376=0,IF(I1376="Company-caused",IF(Orders!T1373="Rider unavailable","C1 Rider unavailable","C2 Item unavailable"),"Outside root: unresolved"),IF(G1376=0,"A On time",IF(H1376=1,IF(L1376=1,"B2a Severe, peak","B2b Severe, off-peak"),IF(L1376=1,"B1a Slight, peak","B1b Slight, off-peak"))))</f>
        <v>A On time</v>
      </c>
      <c r="L1376" s="33">
        <f>IF(AND(Orders!U1373&gt;=19,Orders!U1373&lt;22),1,0)</f>
        <v>0</v>
      </c>
      <c r="M1376" s="33">
        <f>IF(L1376=IF(Orders!V1373,1,0),1,0)</f>
        <v>1</v>
      </c>
      <c r="N1376" s="32" t="str">
        <f>IF(Orders!W1373="","None",Orders!W1373)</f>
        <v>None</v>
      </c>
      <c r="O1376" s="35">
        <f>INT(Orders!E1373)</f>
        <v>46273.0</v>
      </c>
      <c r="P1376" s="33">
        <f>Orders!U1373</f>
        <v>9</v>
      </c>
      <c r="Q1376" s="33">
        <f>COUNTIFS(Demand!$A$2:$A$4481,B1376,Demand!$B$2:$B$4481,O1376,Demand!$C$2:$C$4481,P1376)</f>
        <v>1</v>
      </c>
      <c r="R1376" s="33">
        <f>IF(Q1376=1,SUMIFS(Demand!$E$2:$E$4481,Demand!$A$2:$A$4481,B1376,Demand!$B$2:$B$4481,O1376,Demand!$C$2:$C$4481,P1376),"")</f>
        <v>41</v>
      </c>
      <c r="S1376" s="33">
        <f>INDEX(Stores!$G$2:$G$21,MATCH(B1376,Stores!$A$2:$A$21,0))</f>
        <v>49</v>
      </c>
      <c r="T1376" s="34">
        <f>IF(R1376="","",R1376/S1376)</f>
        <v>0.836734693877551</v>
      </c>
      <c r="U1376" s="34">
        <f>IF(E1376=1,T1376,"")</f>
        <v>0.836734693877551</v>
      </c>
      <c r="V1376" s="34">
        <f>IF(AND(E1376=1,L1376=0),T1376,"")</f>
        <v>0.836734693877551</v>
      </c>
      <c r="W1376" s="33">
        <f>IF(U1376="","",IF(U1376&lt;=Breakdowns!$C$5,1,IF(U1376&lt;=Breakdowns!$C$6,2,IF(U1376&lt;=Breakdowns!$C$7,3,4))))</f>
        <v>2</v>
      </c>
      <c r="X1376" s="33">
        <f>IF(V1376="","",IF(V1376&lt;=Breakdowns!$D$5,1,IF(V1376&lt;=Breakdowns!$D$6,2,IF(V1376&lt;=Breakdowns!$D$7,3,4))))</f>
        <v>2</v>
      </c>
      <c r="Y1376" s="34">
        <f>INDEX(Stores!$F$2:$F$21,MATCH(B1376,Stores!$A$2:$A$21,0))</f>
        <v>5.82</v>
      </c>
      <c r="Z1376" s="33">
        <f>IF(Y1376&gt;Store_Summary!$M$2,1,0)</f>
        <v>1</v>
      </c>
      <c r="AA1376" s="33">
        <f>INDEX(Stores!$C$2:$C$21,MATCH(B1376,Stores!$A$2:$A$21,0))</f>
        <v>705</v>
      </c>
      <c r="AB1376" s="33">
        <f>IF(AA1376&lt;180,1,0)</f>
        <v>0</v>
      </c>
      <c r="AC1376" s="32" t="str">
        <f>IF(Orders!D1373="","",INDEX(Riders!$C$2:$C$81,MATCH(Orders!D1373,Riders!$A$2:$A$81,0)))</f>
        <v>EV scooter</v>
      </c>
      <c r="AD1376" s="33">
        <f>IF(Orders!D1373="","",INDEX(Riders!$D$2:$D$81,MATCH(Orders!D1373,Riders!$A$2:$A$81,0)))</f>
        <v>38</v>
      </c>
      <c r="AE1376" s="33">
        <f>IF(Orders!D1373="","",IF(INDEX(Riders!$B$2:$B$81,MATCH(Orders!D1373,Riders!$A$2:$A$81,0))=B1376,1,0))</f>
        <v>0</v>
      </c>
      <c r="AF1376" s="34">
        <f>IF(E1376=1,Orders!L1373,"")</f>
        <v>3</v>
      </c>
      <c r="AG1376" s="34">
        <f>IF(E1376=1,Orders!P1373,"")</f>
        <v>9.9</v>
      </c>
      <c r="AH1376" s="34">
        <f>IF(E1376=1,Orders!Q1373,"")</f>
        <v>9.6</v>
      </c>
      <c r="AI1376" s="34">
        <f>IF(E1376=1,Orders!M1373,"")</f>
        <v>2.9</v>
      </c>
      <c r="AJ1376" s="34">
        <f>IF(E1376=1,Orders!N1373,"")</f>
        <v>2.9</v>
      </c>
      <c r="AK1376" s="34">
        <f>IF(E1376=1,Orders!O1373,"")</f>
        <v>3.8</v>
      </c>
      <c r="AL1376" s="33">
        <f>IF(E1376=1,IF(ROUND(ABS(AI1376+AJ1376+AK1376-AH1376),6)&lt;=0.1,1,0),"")</f>
        <v>1</v>
      </c>
      <c r="AM1376" s="36">
        <f>IF(E1376=1,AI1376/AH1376,"")</f>
        <v>0.302083333333333</v>
      </c>
      <c r="AN1376" s="36">
        <f>IF(E1376=1,AJ1376/AH1376,"")</f>
        <v>0.302083333333333</v>
      </c>
      <c r="AO1376" s="36">
        <f>IF(E1376=1,AK1376/AH1376,"")</f>
        <v>0.395833333333333</v>
      </c>
      <c r="AP1376" s="34">
        <f>IF(E1376=1,Orders!Y1373,"")</f>
        <v>0.24</v>
      </c>
      <c r="AQ1376" s="33">
        <f>IF(Orders!X1373,1,0)</f>
        <v>0</v>
      </c>
      <c r="AR1376" s="34" t="str">
        <f>IF(AND(E1376=1,L1376=1),AJ1376,"")</f>
        <v/>
      </c>
      <c r="AS1376" s="34">
        <f>IF(AND(E1376=1,L1376=0),AJ1376,"")</f>
        <v>2.9</v>
      </c>
      <c r="AT1376" s="34" t="str">
        <f>IF(AND(E1376=1,L1376=1),AI1376,"")</f>
        <v/>
      </c>
      <c r="AU1376" s="34">
        <f>IF(AND(E1376=1,L1376=0),AI1376,"")</f>
        <v>2.9</v>
      </c>
      <c r="AV1376" s="34" t="str">
        <f>IF(AND(E1376=1,L1376=1),AG1376,"")</f>
        <v/>
      </c>
      <c r="AW1376" s="34">
        <f>IF(AND(E1376=1,L1376=0),AG1376,"")</f>
        <v>9.9</v>
      </c>
      <c r="AX1376" s="34" t="str">
        <f>IF(AND(E1376=1,L1376=1),AH1376,"")</f>
        <v/>
      </c>
      <c r="AY1376" s="34">
        <f>IF(AND(E1376=1,L1376=0),AH1376,"")</f>
        <v>9.6</v>
      </c>
      <c r="AZ1376" s="34" t="str">
        <f>IF(G1376=1,F1376,"")</f>
        <v/>
      </c>
      <c r="BA1376" s="34" t="str">
        <f>IF(AND(G1376=1,L1376=1),F1376,"")</f>
        <v/>
      </c>
      <c r="BB1376" s="34" t="str">
        <f>IF(AND(G1376=1,L1376=0),F1376,"")</f>
        <v/>
      </c>
      <c r="BC1376" s="33">
        <f>IF(E1376=1,IF(Orders!R1373&gt;3,1,0),"")</f>
        <v>0</v>
      </c>
      <c r="BD1376" s="33">
        <f>IF(E1376=1,IF(Orders!R1373&gt;7,1,0),"")</f>
        <v>0</v>
      </c>
      <c r="BE1376" s="32" t="str">
        <f>IF(E1376=1,IF(Orders!L1373&lt;=1.5,"Up to 1.5 km",IF(Orders!L1373&lt;=3,"1.5–3 km","Over 3 km")),"")</f>
        <v>1.5–3 km</v>
      </c>
      <c r="BF1376" s="33">
        <f>IF(E1376=1,IF(ABS((Orders!G1373-Orders!F1373)*1440-Orders!R1373)&lt;0.06,1,0),"")</f>
        <v>1</v>
      </c>
      <c r="BG1376" s="33">
        <f>IF(ABS((Orders!F1373-Orders!E1373)*1440-Orders!P1373)&lt;0.06,1,0)</f>
        <v>1</v>
      </c>
      <c r="BH1376" s="33">
        <f>IF(E1376=1,IF(IF(Orders!S1373,1,0)=1-G1376,1,0),"")</f>
        <v>1</v>
      </c>
      <c r="BI1376" s="32" t="str">
        <f>INDEX(Stores!$B$2:$B$21,MATCH(B1376,Stores!$A$2:$A$21,0))</f>
        <v>Mumbai</v>
      </c>
    </row>
    <row r="1377">
      <c r="A1377" s="32" t="str">
        <f>Orders!A1374</f>
        <v>O01373</v>
      </c>
      <c r="B1377" s="32" t="str">
        <f>Orders!C1374</f>
        <v>S014</v>
      </c>
      <c r="C1377" s="32" t="str">
        <f>Orders!B1374</f>
        <v>C0066</v>
      </c>
      <c r="D1377" s="32" t="str">
        <f>Orders!H1374</f>
        <v>Cancelled</v>
      </c>
      <c r="E1377" s="33">
        <f>IF(Orders!H1374="Delivered",1,0)</f>
        <v>0</v>
      </c>
      <c r="F1377" s="34" t="str">
        <f>IF(E1377=1,Orders!R1374,"")</f>
        <v/>
      </c>
      <c r="G1377" s="33" t="str">
        <f>IF(E1377=1,IF(Orders!R1374&gt;0,1,0),"")</f>
        <v/>
      </c>
      <c r="H1377" s="33" t="str">
        <f>IF(E1377=1,IF(Orders!R1374&gt;5,1,0),"")</f>
        <v/>
      </c>
      <c r="I1377" s="32" t="str">
        <f>IF(E1377=1,"",IF(OR(Orders!T1374="Rider unavailable",Orders!T1374="Item unavailable"),"Company-caused","Unresolved"))</f>
        <v>Company-caused</v>
      </c>
      <c r="J1377" s="33">
        <f>IF(OR(E1377=1,I1377="Company-caused"),1,0)</f>
        <v>1</v>
      </c>
      <c r="K1377" s="32" t="str">
        <f>IF(E1377=0,IF(I1377="Company-caused",IF(Orders!T1374="Rider unavailable","C1 Rider unavailable","C2 Item unavailable"),"Outside root: unresolved"),IF(G1377=0,"A On time",IF(H1377=1,IF(L1377=1,"B2a Severe, peak","B2b Severe, off-peak"),IF(L1377=1,"B1a Slight, peak","B1b Slight, off-peak"))))</f>
        <v>C2 Item unavailable</v>
      </c>
      <c r="L1377" s="33">
        <f>IF(AND(Orders!U1374&gt;=19,Orders!U1374&lt;22),1,0)</f>
        <v>1</v>
      </c>
      <c r="M1377" s="33">
        <f>IF(L1377=IF(Orders!V1374,1,0),1,0)</f>
        <v>1</v>
      </c>
      <c r="N1377" s="32" t="str">
        <f>IF(Orders!W1374="","None",Orders!W1374)</f>
        <v>None</v>
      </c>
      <c r="O1377" s="35">
        <f>INT(Orders!E1374)</f>
        <v>46276.0</v>
      </c>
      <c r="P1377" s="33">
        <f>Orders!U1374</f>
        <v>19</v>
      </c>
      <c r="Q1377" s="33">
        <f>COUNTIFS(Demand!$A$2:$A$4481,B1377,Demand!$B$2:$B$4481,O1377,Demand!$C$2:$C$4481,P1377)</f>
        <v>1</v>
      </c>
      <c r="R1377" s="33">
        <f>IF(Q1377=1,SUMIFS(Demand!$E$2:$E$4481,Demand!$A$2:$A$4481,B1377,Demand!$B$2:$B$4481,O1377,Demand!$C$2:$C$4481,P1377),"")</f>
        <v>56</v>
      </c>
      <c r="S1377" s="33">
        <f>INDEX(Stores!$G$2:$G$21,MATCH(B1377,Stores!$A$2:$A$21,0))</f>
        <v>37</v>
      </c>
      <c r="T1377" s="34">
        <f>IF(R1377="","",R1377/S1377)</f>
        <v>1.51351351351351</v>
      </c>
      <c r="U1377" s="34" t="str">
        <f>IF(E1377=1,T1377,"")</f>
        <v/>
      </c>
      <c r="V1377" s="34" t="str">
        <f>IF(AND(E1377=1,L1377=0),T1377,"")</f>
        <v/>
      </c>
      <c r="W1377" s="33" t="str">
        <f>IF(U1377="","",IF(U1377&lt;=Breakdowns!$C$5,1,IF(U1377&lt;=Breakdowns!$C$6,2,IF(U1377&lt;=Breakdowns!$C$7,3,4))))</f>
        <v/>
      </c>
      <c r="X1377" s="33" t="str">
        <f>IF(V1377="","",IF(V1377&lt;=Breakdowns!$D$5,1,IF(V1377&lt;=Breakdowns!$D$6,2,IF(V1377&lt;=Breakdowns!$D$7,3,4))))</f>
        <v/>
      </c>
      <c r="Y1377" s="34">
        <f>INDEX(Stores!$F$2:$F$21,MATCH(B1377,Stores!$A$2:$A$21,0))</f>
        <v>5.55</v>
      </c>
      <c r="Z1377" s="33">
        <f>IF(Y1377&gt;Store_Summary!$M$2,1,0)</f>
        <v>1</v>
      </c>
      <c r="AA1377" s="33">
        <f>INDEX(Stores!$C$2:$C$21,MATCH(B1377,Stores!$A$2:$A$21,0))</f>
        <v>241</v>
      </c>
      <c r="AB1377" s="33">
        <f>IF(AA1377&lt;180,1,0)</f>
        <v>0</v>
      </c>
      <c r="AC1377" s="32" t="str">
        <f>IF(Orders!D1374="","",INDEX(Riders!$C$2:$C$81,MATCH(Orders!D1374,Riders!$A$2:$A$81,0)))</f>
        <v/>
      </c>
      <c r="AD1377" s="33" t="str">
        <f>IF(Orders!D1374="","",INDEX(Riders!$D$2:$D$81,MATCH(Orders!D1374,Riders!$A$2:$A$81,0)))</f>
        <v/>
      </c>
      <c r="AE1377" s="33" t="str">
        <f>IF(Orders!D1374="","",IF(INDEX(Riders!$B$2:$B$81,MATCH(Orders!D1374,Riders!$A$2:$A$81,0))=B1377,1,0))</f>
        <v/>
      </c>
      <c r="AF1377" s="34" t="str">
        <f>IF(E1377=1,Orders!L1374,"")</f>
        <v/>
      </c>
      <c r="AG1377" s="34" t="str">
        <f>IF(E1377=1,Orders!P1374,"")</f>
        <v/>
      </c>
      <c r="AH1377" s="34" t="str">
        <f>IF(E1377=1,Orders!Q1374,"")</f>
        <v/>
      </c>
      <c r="AI1377" s="34" t="str">
        <f>IF(E1377=1,Orders!M1374,"")</f>
        <v/>
      </c>
      <c r="AJ1377" s="34" t="str">
        <f>IF(E1377=1,Orders!N1374,"")</f>
        <v/>
      </c>
      <c r="AK1377" s="34" t="str">
        <f>IF(E1377=1,Orders!O1374,"")</f>
        <v/>
      </c>
      <c r="AL1377" s="33" t="str">
        <f>IF(E1377=1,IF(ROUND(ABS(AI1377+AJ1377+AK1377-AH1377),6)&lt;=0.1,1,0),"")</f>
        <v/>
      </c>
      <c r="AM1377" s="36" t="str">
        <f>IF(E1377=1,AI1377/AH1377,"")</f>
        <v/>
      </c>
      <c r="AN1377" s="36" t="str">
        <f>IF(E1377=1,AJ1377/AH1377,"")</f>
        <v/>
      </c>
      <c r="AO1377" s="36" t="str">
        <f>IF(E1377=1,AK1377/AH1377,"")</f>
        <v/>
      </c>
      <c r="AP1377" s="34" t="str">
        <f>IF(E1377=1,Orders!Y1374,"")</f>
        <v/>
      </c>
      <c r="AQ1377" s="33">
        <f>IF(Orders!X1374,1,0)</f>
        <v>0</v>
      </c>
      <c r="AR1377" s="34" t="str">
        <f>IF(AND(E1377=1,L1377=1),AJ1377,"")</f>
        <v/>
      </c>
      <c r="AS1377" s="34" t="str">
        <f>IF(AND(E1377=1,L1377=0),AJ1377,"")</f>
        <v/>
      </c>
      <c r="AT1377" s="34" t="str">
        <f>IF(AND(E1377=1,L1377=1),AI1377,"")</f>
        <v/>
      </c>
      <c r="AU1377" s="34" t="str">
        <f>IF(AND(E1377=1,L1377=0),AI1377,"")</f>
        <v/>
      </c>
      <c r="AV1377" s="34" t="str">
        <f>IF(AND(E1377=1,L1377=1),AG1377,"")</f>
        <v/>
      </c>
      <c r="AW1377" s="34" t="str">
        <f>IF(AND(E1377=1,L1377=0),AG1377,"")</f>
        <v/>
      </c>
      <c r="AX1377" s="34" t="str">
        <f>IF(AND(E1377=1,L1377=1),AH1377,"")</f>
        <v/>
      </c>
      <c r="AY1377" s="34" t="str">
        <f>IF(AND(E1377=1,L1377=0),AH1377,"")</f>
        <v/>
      </c>
      <c r="AZ1377" s="34" t="str">
        <f>IF(G1377=1,F1377,"")</f>
        <v/>
      </c>
      <c r="BA1377" s="34" t="str">
        <f>IF(AND(G1377=1,L1377=1),F1377,"")</f>
        <v/>
      </c>
      <c r="BB1377" s="34" t="str">
        <f>IF(AND(G1377=1,L1377=0),F1377,"")</f>
        <v/>
      </c>
      <c r="BC1377" s="33" t="str">
        <f>IF(E1377=1,IF(Orders!R1374&gt;3,1,0),"")</f>
        <v/>
      </c>
      <c r="BD1377" s="33" t="str">
        <f>IF(E1377=1,IF(Orders!R1374&gt;7,1,0),"")</f>
        <v/>
      </c>
      <c r="BE1377" s="32" t="str">
        <f>IF(E1377=1,IF(Orders!L1374&lt;=1.5,"Up to 1.5 km",IF(Orders!L1374&lt;=3,"1.5–3 km","Over 3 km")),"")</f>
        <v/>
      </c>
      <c r="BF1377" s="33" t="str">
        <f>IF(E1377=1,IF(ABS((Orders!G1374-Orders!F1374)*1440-Orders!R1374)&lt;0.06,1,0),"")</f>
        <v/>
      </c>
      <c r="BG1377" s="33">
        <f>IF(ABS((Orders!F1374-Orders!E1374)*1440-Orders!P1374)&lt;0.06,1,0)</f>
        <v>1</v>
      </c>
      <c r="BH1377" s="33" t="str">
        <f>IF(E1377=1,IF(IF(Orders!S1374,1,0)=1-G1377,1,0),"")</f>
        <v/>
      </c>
      <c r="BI1377" s="32" t="str">
        <f>INDEX(Stores!$B$2:$B$21,MATCH(B1377,Stores!$A$2:$A$21,0))</f>
        <v>Pune</v>
      </c>
    </row>
    <row r="1378">
      <c r="A1378" s="32" t="str">
        <f>Orders!A1375</f>
        <v>O01374</v>
      </c>
      <c r="B1378" s="32" t="str">
        <f>Orders!C1375</f>
        <v>S002</v>
      </c>
      <c r="C1378" s="32" t="str">
        <f>Orders!B1375</f>
        <v>C0206</v>
      </c>
      <c r="D1378" s="32" t="str">
        <f>Orders!H1375</f>
        <v>Delivered</v>
      </c>
      <c r="E1378" s="33">
        <f>IF(Orders!H1375="Delivered",1,0)</f>
        <v>1</v>
      </c>
      <c r="F1378" s="34">
        <f>IF(E1378=1,Orders!R1375,"")</f>
        <v>-0.3</v>
      </c>
      <c r="G1378" s="33">
        <f>IF(E1378=1,IF(Orders!R1375&gt;0,1,0),"")</f>
        <v>0</v>
      </c>
      <c r="H1378" s="33">
        <f>IF(E1378=1,IF(Orders!R1375&gt;5,1,0),"")</f>
        <v>0</v>
      </c>
      <c r="I1378" s="32" t="str">
        <f>IF(E1378=1,"",IF(OR(Orders!T1375="Rider unavailable",Orders!T1375="Item unavailable"),"Company-caused","Unresolved"))</f>
        <v/>
      </c>
      <c r="J1378" s="33">
        <f>IF(OR(E1378=1,I1378="Company-caused"),1,0)</f>
        <v>1</v>
      </c>
      <c r="K1378" s="32" t="str">
        <f>IF(E1378=0,IF(I1378="Company-caused",IF(Orders!T1375="Rider unavailable","C1 Rider unavailable","C2 Item unavailable"),"Outside root: unresolved"),IF(G1378=0,"A On time",IF(H1378=1,IF(L1378=1,"B2a Severe, peak","B2b Severe, off-peak"),IF(L1378=1,"B1a Slight, peak","B1b Slight, off-peak"))))</f>
        <v>A On time</v>
      </c>
      <c r="L1378" s="33">
        <f>IF(AND(Orders!U1375&gt;=19,Orders!U1375&lt;22),1,0)</f>
        <v>0</v>
      </c>
      <c r="M1378" s="33">
        <f>IF(L1378=IF(Orders!V1375,1,0),1,0)</f>
        <v>1</v>
      </c>
      <c r="N1378" s="32" t="str">
        <f>IF(Orders!W1375="","None",Orders!W1375)</f>
        <v>None</v>
      </c>
      <c r="O1378" s="35">
        <f>INT(Orders!E1375)</f>
        <v>46271.0</v>
      </c>
      <c r="P1378" s="33">
        <f>Orders!U1375</f>
        <v>17</v>
      </c>
      <c r="Q1378" s="33">
        <f>COUNTIFS(Demand!$A$2:$A$4481,B1378,Demand!$B$2:$B$4481,O1378,Demand!$C$2:$C$4481,P1378)</f>
        <v>1</v>
      </c>
      <c r="R1378" s="33">
        <f>IF(Q1378=1,SUMIFS(Demand!$E$2:$E$4481,Demand!$A$2:$A$4481,B1378,Demand!$B$2:$B$4481,O1378,Demand!$C$2:$C$4481,P1378),"")</f>
        <v>38</v>
      </c>
      <c r="S1378" s="33">
        <f>INDEX(Stores!$G$2:$G$21,MATCH(B1378,Stores!$A$2:$A$21,0))</f>
        <v>33</v>
      </c>
      <c r="T1378" s="34">
        <f>IF(R1378="","",R1378/S1378)</f>
        <v>1.15151515151515</v>
      </c>
      <c r="U1378" s="34">
        <f>IF(E1378=1,T1378,"")</f>
        <v>1.15151515151515</v>
      </c>
      <c r="V1378" s="34">
        <f>IF(AND(E1378=1,L1378=0),T1378,"")</f>
        <v>1.15151515151515</v>
      </c>
      <c r="W1378" s="33">
        <f>IF(U1378="","",IF(U1378&lt;=Breakdowns!$C$5,1,IF(U1378&lt;=Breakdowns!$C$6,2,IF(U1378&lt;=Breakdowns!$C$7,3,4))))</f>
        <v>3</v>
      </c>
      <c r="X1378" s="33">
        <f>IF(V1378="","",IF(V1378&lt;=Breakdowns!$D$5,1,IF(V1378&lt;=Breakdowns!$D$6,2,IF(V1378&lt;=Breakdowns!$D$7,3,4))))</f>
        <v>4</v>
      </c>
      <c r="Y1378" s="34">
        <f>INDEX(Stores!$F$2:$F$21,MATCH(B1378,Stores!$A$2:$A$21,0))</f>
        <v>2.39</v>
      </c>
      <c r="Z1378" s="33">
        <f>IF(Y1378&gt;Store_Summary!$M$2,1,0)</f>
        <v>0</v>
      </c>
      <c r="AA1378" s="33">
        <f>INDEX(Stores!$C$2:$C$21,MATCH(B1378,Stores!$A$2:$A$21,0))</f>
        <v>470</v>
      </c>
      <c r="AB1378" s="33">
        <f>IF(AA1378&lt;180,1,0)</f>
        <v>0</v>
      </c>
      <c r="AC1378" s="32" t="str">
        <f>IF(Orders!D1375="","",INDEX(Riders!$C$2:$C$81,MATCH(Orders!D1375,Riders!$A$2:$A$81,0)))</f>
        <v>EV scooter</v>
      </c>
      <c r="AD1378" s="33">
        <f>IF(Orders!D1375="","",INDEX(Riders!$D$2:$D$81,MATCH(Orders!D1375,Riders!$A$2:$A$81,0)))</f>
        <v>45</v>
      </c>
      <c r="AE1378" s="33">
        <f>IF(Orders!D1375="","",IF(INDEX(Riders!$B$2:$B$81,MATCH(Orders!D1375,Riders!$A$2:$A$81,0))=B1378,1,0))</f>
        <v>0</v>
      </c>
      <c r="AF1378" s="34">
        <f>IF(E1378=1,Orders!L1375,"")</f>
        <v>0.59</v>
      </c>
      <c r="AG1378" s="34">
        <f>IF(E1378=1,Orders!P1375,"")</f>
        <v>11.7</v>
      </c>
      <c r="AH1378" s="34">
        <f>IF(E1378=1,Orders!Q1375,"")</f>
        <v>11.4</v>
      </c>
      <c r="AI1378" s="34">
        <f>IF(E1378=1,Orders!M1375,"")</f>
        <v>3.1</v>
      </c>
      <c r="AJ1378" s="34">
        <f>IF(E1378=1,Orders!N1375,"")</f>
        <v>5.2</v>
      </c>
      <c r="AK1378" s="34">
        <f>IF(E1378=1,Orders!O1375,"")</f>
        <v>3.1</v>
      </c>
      <c r="AL1378" s="33">
        <f>IF(E1378=1,IF(ROUND(ABS(AI1378+AJ1378+AK1378-AH1378),6)&lt;=0.1,1,0),"")</f>
        <v>1</v>
      </c>
      <c r="AM1378" s="36">
        <f>IF(E1378=1,AI1378/AH1378,"")</f>
        <v>0.271929824561404</v>
      </c>
      <c r="AN1378" s="36">
        <f>IF(E1378=1,AJ1378/AH1378,"")</f>
        <v>0.456140350877193</v>
      </c>
      <c r="AO1378" s="36">
        <f>IF(E1378=1,AK1378/AH1378,"")</f>
        <v>0.271929824561404</v>
      </c>
      <c r="AP1378" s="34">
        <f>IF(E1378=1,Orders!Y1375,"")</f>
        <v>0.64</v>
      </c>
      <c r="AQ1378" s="33">
        <f>IF(Orders!X1375,1,0)</f>
        <v>0</v>
      </c>
      <c r="AR1378" s="34" t="str">
        <f>IF(AND(E1378=1,L1378=1),AJ1378,"")</f>
        <v/>
      </c>
      <c r="AS1378" s="34">
        <f>IF(AND(E1378=1,L1378=0),AJ1378,"")</f>
        <v>5.2</v>
      </c>
      <c r="AT1378" s="34" t="str">
        <f>IF(AND(E1378=1,L1378=1),AI1378,"")</f>
        <v/>
      </c>
      <c r="AU1378" s="34">
        <f>IF(AND(E1378=1,L1378=0),AI1378,"")</f>
        <v>3.1</v>
      </c>
      <c r="AV1378" s="34" t="str">
        <f>IF(AND(E1378=1,L1378=1),AG1378,"")</f>
        <v/>
      </c>
      <c r="AW1378" s="34">
        <f>IF(AND(E1378=1,L1378=0),AG1378,"")</f>
        <v>11.7</v>
      </c>
      <c r="AX1378" s="34" t="str">
        <f>IF(AND(E1378=1,L1378=1),AH1378,"")</f>
        <v/>
      </c>
      <c r="AY1378" s="34">
        <f>IF(AND(E1378=1,L1378=0),AH1378,"")</f>
        <v>11.4</v>
      </c>
      <c r="AZ1378" s="34" t="str">
        <f>IF(G1378=1,F1378,"")</f>
        <v/>
      </c>
      <c r="BA1378" s="34" t="str">
        <f>IF(AND(G1378=1,L1378=1),F1378,"")</f>
        <v/>
      </c>
      <c r="BB1378" s="34" t="str">
        <f>IF(AND(G1378=1,L1378=0),F1378,"")</f>
        <v/>
      </c>
      <c r="BC1378" s="33">
        <f>IF(E1378=1,IF(Orders!R1375&gt;3,1,0),"")</f>
        <v>0</v>
      </c>
      <c r="BD1378" s="33">
        <f>IF(E1378=1,IF(Orders!R1375&gt;7,1,0),"")</f>
        <v>0</v>
      </c>
      <c r="BE1378" s="32" t="str">
        <f>IF(E1378=1,IF(Orders!L1375&lt;=1.5,"Up to 1.5 km",IF(Orders!L1375&lt;=3,"1.5–3 km","Over 3 km")),"")</f>
        <v>Up to 1.5 km</v>
      </c>
      <c r="BF1378" s="33">
        <f>IF(E1378=1,IF(ABS((Orders!G1375-Orders!F1375)*1440-Orders!R1375)&lt;0.06,1,0),"")</f>
        <v>1</v>
      </c>
      <c r="BG1378" s="33">
        <f>IF(ABS((Orders!F1375-Orders!E1375)*1440-Orders!P1375)&lt;0.06,1,0)</f>
        <v>1</v>
      </c>
      <c r="BH1378" s="33">
        <f>IF(E1378=1,IF(IF(Orders!S1375,1,0)=1-G1378,1,0),"")</f>
        <v>1</v>
      </c>
      <c r="BI1378" s="32" t="str">
        <f>INDEX(Stores!$B$2:$B$21,MATCH(B1378,Stores!$A$2:$A$21,0))</f>
        <v>Hyderabad</v>
      </c>
    </row>
    <row r="1379">
      <c r="A1379" s="32" t="str">
        <f>Orders!A1376</f>
        <v>O01375</v>
      </c>
      <c r="B1379" s="32" t="str">
        <f>Orders!C1376</f>
        <v>S002</v>
      </c>
      <c r="C1379" s="32" t="str">
        <f>Orders!B1376</f>
        <v>C0051</v>
      </c>
      <c r="D1379" s="32" t="str">
        <f>Orders!H1376</f>
        <v>Delivered</v>
      </c>
      <c r="E1379" s="33">
        <f>IF(Orders!H1376="Delivered",1,0)</f>
        <v>1</v>
      </c>
      <c r="F1379" s="34">
        <f>IF(E1379=1,Orders!R1376,"")</f>
        <v>-0.2</v>
      </c>
      <c r="G1379" s="33">
        <f>IF(E1379=1,IF(Orders!R1376&gt;0,1,0),"")</f>
        <v>0</v>
      </c>
      <c r="H1379" s="33">
        <f>IF(E1379=1,IF(Orders!R1376&gt;5,1,0),"")</f>
        <v>0</v>
      </c>
      <c r="I1379" s="32" t="str">
        <f>IF(E1379=1,"",IF(OR(Orders!T1376="Rider unavailable",Orders!T1376="Item unavailable"),"Company-caused","Unresolved"))</f>
        <v/>
      </c>
      <c r="J1379" s="33">
        <f>IF(OR(E1379=1,I1379="Company-caused"),1,0)</f>
        <v>1</v>
      </c>
      <c r="K1379" s="32" t="str">
        <f>IF(E1379=0,IF(I1379="Company-caused",IF(Orders!T1376="Rider unavailable","C1 Rider unavailable","C2 Item unavailable"),"Outside root: unresolved"),IF(G1379=0,"A On time",IF(H1379=1,IF(L1379=1,"B2a Severe, peak","B2b Severe, off-peak"),IF(L1379=1,"B1a Slight, peak","B1b Slight, off-peak"))))</f>
        <v>A On time</v>
      </c>
      <c r="L1379" s="33">
        <f>IF(AND(Orders!U1376&gt;=19,Orders!U1376&lt;22),1,0)</f>
        <v>1</v>
      </c>
      <c r="M1379" s="33">
        <f>IF(L1379=IF(Orders!V1376,1,0),1,0)</f>
        <v>1</v>
      </c>
      <c r="N1379" s="32" t="str">
        <f>IF(Orders!W1376="","None",Orders!W1376)</f>
        <v>None</v>
      </c>
      <c r="O1379" s="35">
        <f>INT(Orders!E1376)</f>
        <v>46268.0</v>
      </c>
      <c r="P1379" s="33">
        <f>Orders!U1376</f>
        <v>19</v>
      </c>
      <c r="Q1379" s="33">
        <f>COUNTIFS(Demand!$A$2:$A$4481,B1379,Demand!$B$2:$B$4481,O1379,Demand!$C$2:$C$4481,P1379)</f>
        <v>1</v>
      </c>
      <c r="R1379" s="33">
        <f>IF(Q1379=1,SUMIFS(Demand!$E$2:$E$4481,Demand!$A$2:$A$4481,B1379,Demand!$B$2:$B$4481,O1379,Demand!$C$2:$C$4481,P1379),"")</f>
        <v>42</v>
      </c>
      <c r="S1379" s="33">
        <f>INDEX(Stores!$G$2:$G$21,MATCH(B1379,Stores!$A$2:$A$21,0))</f>
        <v>33</v>
      </c>
      <c r="T1379" s="34">
        <f>IF(R1379="","",R1379/S1379)</f>
        <v>1.27272727272727</v>
      </c>
      <c r="U1379" s="34">
        <f>IF(E1379=1,T1379,"")</f>
        <v>1.27272727272727</v>
      </c>
      <c r="V1379" s="34" t="str">
        <f>IF(AND(E1379=1,L1379=0),T1379,"")</f>
        <v/>
      </c>
      <c r="W1379" s="33">
        <f>IF(U1379="","",IF(U1379&lt;=Breakdowns!$C$5,1,IF(U1379&lt;=Breakdowns!$C$6,2,IF(U1379&lt;=Breakdowns!$C$7,3,4))))</f>
        <v>4</v>
      </c>
      <c r="X1379" s="33" t="str">
        <f>IF(V1379="","",IF(V1379&lt;=Breakdowns!$D$5,1,IF(V1379&lt;=Breakdowns!$D$6,2,IF(V1379&lt;=Breakdowns!$D$7,3,4))))</f>
        <v/>
      </c>
      <c r="Y1379" s="34">
        <f>INDEX(Stores!$F$2:$F$21,MATCH(B1379,Stores!$A$2:$A$21,0))</f>
        <v>2.39</v>
      </c>
      <c r="Z1379" s="33">
        <f>IF(Y1379&gt;Store_Summary!$M$2,1,0)</f>
        <v>0</v>
      </c>
      <c r="AA1379" s="33">
        <f>INDEX(Stores!$C$2:$C$21,MATCH(B1379,Stores!$A$2:$A$21,0))</f>
        <v>470</v>
      </c>
      <c r="AB1379" s="33">
        <f>IF(AA1379&lt;180,1,0)</f>
        <v>0</v>
      </c>
      <c r="AC1379" s="32" t="str">
        <f>IF(Orders!D1376="","",INDEX(Riders!$C$2:$C$81,MATCH(Orders!D1376,Riders!$A$2:$A$81,0)))</f>
        <v>EV scooter</v>
      </c>
      <c r="AD1379" s="33">
        <f>IF(Orders!D1376="","",INDEX(Riders!$D$2:$D$81,MATCH(Orders!D1376,Riders!$A$2:$A$81,0)))</f>
        <v>4</v>
      </c>
      <c r="AE1379" s="33">
        <f>IF(Orders!D1376="","",IF(INDEX(Riders!$B$2:$B$81,MATCH(Orders!D1376,Riders!$A$2:$A$81,0))=B1379,1,0))</f>
        <v>0</v>
      </c>
      <c r="AF1379" s="34">
        <f>IF(E1379=1,Orders!L1376,"")</f>
        <v>2.51</v>
      </c>
      <c r="AG1379" s="34">
        <f>IF(E1379=1,Orders!P1376,"")</f>
        <v>7.8</v>
      </c>
      <c r="AH1379" s="34">
        <f>IF(E1379=1,Orders!Q1376,"")</f>
        <v>7.6</v>
      </c>
      <c r="AI1379" s="34">
        <f>IF(E1379=1,Orders!M1376,"")</f>
        <v>1.5</v>
      </c>
      <c r="AJ1379" s="34">
        <f>IF(E1379=1,Orders!N1376,"")</f>
        <v>2.8</v>
      </c>
      <c r="AK1379" s="34">
        <f>IF(E1379=1,Orders!O1376,"")</f>
        <v>3.3</v>
      </c>
      <c r="AL1379" s="33">
        <f>IF(E1379=1,IF(ROUND(ABS(AI1379+AJ1379+AK1379-AH1379),6)&lt;=0.1,1,0),"")</f>
        <v>1</v>
      </c>
      <c r="AM1379" s="36">
        <f>IF(E1379=1,AI1379/AH1379,"")</f>
        <v>0.197368421052632</v>
      </c>
      <c r="AN1379" s="36">
        <f>IF(E1379=1,AJ1379/AH1379,"")</f>
        <v>0.368421052631579</v>
      </c>
      <c r="AO1379" s="36">
        <f>IF(E1379=1,AK1379/AH1379,"")</f>
        <v>0.43421052631579</v>
      </c>
      <c r="AP1379" s="34">
        <f>IF(E1379=1,Orders!Y1376,"")</f>
        <v>0.5</v>
      </c>
      <c r="AQ1379" s="33">
        <f>IF(Orders!X1376,1,0)</f>
        <v>1</v>
      </c>
      <c r="AR1379" s="34">
        <f>IF(AND(E1379=1,L1379=1),AJ1379,"")</f>
        <v>2.8</v>
      </c>
      <c r="AS1379" s="34" t="str">
        <f>IF(AND(E1379=1,L1379=0),AJ1379,"")</f>
        <v/>
      </c>
      <c r="AT1379" s="34">
        <f>IF(AND(E1379=1,L1379=1),AI1379,"")</f>
        <v>1.5</v>
      </c>
      <c r="AU1379" s="34" t="str">
        <f>IF(AND(E1379=1,L1379=0),AI1379,"")</f>
        <v/>
      </c>
      <c r="AV1379" s="34">
        <f>IF(AND(E1379=1,L1379=1),AG1379,"")</f>
        <v>7.8</v>
      </c>
      <c r="AW1379" s="34" t="str">
        <f>IF(AND(E1379=1,L1379=0),AG1379,"")</f>
        <v/>
      </c>
      <c r="AX1379" s="34">
        <f>IF(AND(E1379=1,L1379=1),AH1379,"")</f>
        <v>7.6</v>
      </c>
      <c r="AY1379" s="34" t="str">
        <f>IF(AND(E1379=1,L1379=0),AH1379,"")</f>
        <v/>
      </c>
      <c r="AZ1379" s="34" t="str">
        <f>IF(G1379=1,F1379,"")</f>
        <v/>
      </c>
      <c r="BA1379" s="34" t="str">
        <f>IF(AND(G1379=1,L1379=1),F1379,"")</f>
        <v/>
      </c>
      <c r="BB1379" s="34" t="str">
        <f>IF(AND(G1379=1,L1379=0),F1379,"")</f>
        <v/>
      </c>
      <c r="BC1379" s="33">
        <f>IF(E1379=1,IF(Orders!R1376&gt;3,1,0),"")</f>
        <v>0</v>
      </c>
      <c r="BD1379" s="33">
        <f>IF(E1379=1,IF(Orders!R1376&gt;7,1,0),"")</f>
        <v>0</v>
      </c>
      <c r="BE1379" s="32" t="str">
        <f>IF(E1379=1,IF(Orders!L1376&lt;=1.5,"Up to 1.5 km",IF(Orders!L1376&lt;=3,"1.5–3 km","Over 3 km")),"")</f>
        <v>1.5–3 km</v>
      </c>
      <c r="BF1379" s="33">
        <f>IF(E1379=1,IF(ABS((Orders!G1376-Orders!F1376)*1440-Orders!R1376)&lt;0.06,1,0),"")</f>
        <v>1</v>
      </c>
      <c r="BG1379" s="33">
        <f>IF(ABS((Orders!F1376-Orders!E1376)*1440-Orders!P1376)&lt;0.06,1,0)</f>
        <v>1</v>
      </c>
      <c r="BH1379" s="33">
        <f>IF(E1379=1,IF(IF(Orders!S1376,1,0)=1-G1379,1,0),"")</f>
        <v>1</v>
      </c>
      <c r="BI1379" s="32" t="str">
        <f>INDEX(Stores!$B$2:$B$21,MATCH(B1379,Stores!$A$2:$A$21,0))</f>
        <v>Hyderabad</v>
      </c>
    </row>
    <row r="1380">
      <c r="A1380" s="32" t="str">
        <f>Orders!A1377</f>
        <v>O01376</v>
      </c>
      <c r="B1380" s="32" t="str">
        <f>Orders!C1377</f>
        <v>S002</v>
      </c>
      <c r="C1380" s="32" t="str">
        <f>Orders!B1377</f>
        <v>C0155</v>
      </c>
      <c r="D1380" s="32" t="str">
        <f>Orders!H1377</f>
        <v>Delivered</v>
      </c>
      <c r="E1380" s="33">
        <f>IF(Orders!H1377="Delivered",1,0)</f>
        <v>1</v>
      </c>
      <c r="F1380" s="34">
        <f>IF(E1380=1,Orders!R1377,"")</f>
        <v>-0.6</v>
      </c>
      <c r="G1380" s="33">
        <f>IF(E1380=1,IF(Orders!R1377&gt;0,1,0),"")</f>
        <v>0</v>
      </c>
      <c r="H1380" s="33">
        <f>IF(E1380=1,IF(Orders!R1377&gt;5,1,0),"")</f>
        <v>0</v>
      </c>
      <c r="I1380" s="32" t="str">
        <f>IF(E1380=1,"",IF(OR(Orders!T1377="Rider unavailable",Orders!T1377="Item unavailable"),"Company-caused","Unresolved"))</f>
        <v/>
      </c>
      <c r="J1380" s="33">
        <f>IF(OR(E1380=1,I1380="Company-caused"),1,0)</f>
        <v>1</v>
      </c>
      <c r="K1380" s="32" t="str">
        <f>IF(E1380=0,IF(I1380="Company-caused",IF(Orders!T1377="Rider unavailable","C1 Rider unavailable","C2 Item unavailable"),"Outside root: unresolved"),IF(G1380=0,"A On time",IF(H1380=1,IF(L1380=1,"B2a Severe, peak","B2b Severe, off-peak"),IF(L1380=1,"B1a Slight, peak","B1b Slight, off-peak"))))</f>
        <v>A On time</v>
      </c>
      <c r="L1380" s="33">
        <f>IF(AND(Orders!U1377&gt;=19,Orders!U1377&lt;22),1,0)</f>
        <v>1</v>
      </c>
      <c r="M1380" s="33">
        <f>IF(L1380=IF(Orders!V1377,1,0),1,0)</f>
        <v>1</v>
      </c>
      <c r="N1380" s="32" t="str">
        <f>IF(Orders!W1377="","None",Orders!W1377)</f>
        <v>None</v>
      </c>
      <c r="O1380" s="35">
        <f>INT(Orders!E1377)</f>
        <v>46267.0</v>
      </c>
      <c r="P1380" s="33">
        <f>Orders!U1377</f>
        <v>19</v>
      </c>
      <c r="Q1380" s="33">
        <f>COUNTIFS(Demand!$A$2:$A$4481,B1380,Demand!$B$2:$B$4481,O1380,Demand!$C$2:$C$4481,P1380)</f>
        <v>1</v>
      </c>
      <c r="R1380" s="33">
        <f>IF(Q1380=1,SUMIFS(Demand!$E$2:$E$4481,Demand!$A$2:$A$4481,B1380,Demand!$B$2:$B$4481,O1380,Demand!$C$2:$C$4481,P1380),"")</f>
        <v>43</v>
      </c>
      <c r="S1380" s="33">
        <f>INDEX(Stores!$G$2:$G$21,MATCH(B1380,Stores!$A$2:$A$21,0))</f>
        <v>33</v>
      </c>
      <c r="T1380" s="34">
        <f>IF(R1380="","",R1380/S1380)</f>
        <v>1.3030303030303</v>
      </c>
      <c r="U1380" s="34">
        <f>IF(E1380=1,T1380,"")</f>
        <v>1.3030303030303</v>
      </c>
      <c r="V1380" s="34" t="str">
        <f>IF(AND(E1380=1,L1380=0),T1380,"")</f>
        <v/>
      </c>
      <c r="W1380" s="33">
        <f>IF(U1380="","",IF(U1380&lt;=Breakdowns!$C$5,1,IF(U1380&lt;=Breakdowns!$C$6,2,IF(U1380&lt;=Breakdowns!$C$7,3,4))))</f>
        <v>4</v>
      </c>
      <c r="X1380" s="33" t="str">
        <f>IF(V1380="","",IF(V1380&lt;=Breakdowns!$D$5,1,IF(V1380&lt;=Breakdowns!$D$6,2,IF(V1380&lt;=Breakdowns!$D$7,3,4))))</f>
        <v/>
      </c>
      <c r="Y1380" s="34">
        <f>INDEX(Stores!$F$2:$F$21,MATCH(B1380,Stores!$A$2:$A$21,0))</f>
        <v>2.39</v>
      </c>
      <c r="Z1380" s="33">
        <f>IF(Y1380&gt;Store_Summary!$M$2,1,0)</f>
        <v>0</v>
      </c>
      <c r="AA1380" s="33">
        <f>INDEX(Stores!$C$2:$C$21,MATCH(B1380,Stores!$A$2:$A$21,0))</f>
        <v>470</v>
      </c>
      <c r="AB1380" s="33">
        <f>IF(AA1380&lt;180,1,0)</f>
        <v>0</v>
      </c>
      <c r="AC1380" s="32" t="str">
        <f>IF(Orders!D1377="","",INDEX(Riders!$C$2:$C$81,MATCH(Orders!D1377,Riders!$A$2:$A$81,0)))</f>
        <v>EV scooter</v>
      </c>
      <c r="AD1380" s="33">
        <f>IF(Orders!D1377="","",INDEX(Riders!$D$2:$D$81,MATCH(Orders!D1377,Riders!$A$2:$A$81,0)))</f>
        <v>9</v>
      </c>
      <c r="AE1380" s="33">
        <f>IF(Orders!D1377="","",IF(INDEX(Riders!$B$2:$B$81,MATCH(Orders!D1377,Riders!$A$2:$A$81,0))=B1380,1,0))</f>
        <v>0</v>
      </c>
      <c r="AF1380" s="34">
        <f>IF(E1380=1,Orders!L1377,"")</f>
        <v>2.06</v>
      </c>
      <c r="AG1380" s="34">
        <f>IF(E1380=1,Orders!P1377,"")</f>
        <v>11</v>
      </c>
      <c r="AH1380" s="34">
        <f>IF(E1380=1,Orders!Q1377,"")</f>
        <v>10.4</v>
      </c>
      <c r="AI1380" s="34">
        <f>IF(E1380=1,Orders!M1377,"")</f>
        <v>1.8</v>
      </c>
      <c r="AJ1380" s="34">
        <f>IF(E1380=1,Orders!N1377,"")</f>
        <v>3.9</v>
      </c>
      <c r="AK1380" s="34">
        <f>IF(E1380=1,Orders!O1377,"")</f>
        <v>4.7</v>
      </c>
      <c r="AL1380" s="33">
        <f>IF(E1380=1,IF(ROUND(ABS(AI1380+AJ1380+AK1380-AH1380),6)&lt;=0.1,1,0),"")</f>
        <v>1</v>
      </c>
      <c r="AM1380" s="36">
        <f>IF(E1380=1,AI1380/AH1380,"")</f>
        <v>0.173076923076923</v>
      </c>
      <c r="AN1380" s="36">
        <f>IF(E1380=1,AJ1380/AH1380,"")</f>
        <v>0.375</v>
      </c>
      <c r="AO1380" s="36">
        <f>IF(E1380=1,AK1380/AH1380,"")</f>
        <v>0.451923076923077</v>
      </c>
      <c r="AP1380" s="34">
        <f>IF(E1380=1,Orders!Y1377,"")</f>
        <v>0.96</v>
      </c>
      <c r="AQ1380" s="33">
        <f>IF(Orders!X1377,1,0)</f>
        <v>0</v>
      </c>
      <c r="AR1380" s="34">
        <f>IF(AND(E1380=1,L1380=1),AJ1380,"")</f>
        <v>3.9</v>
      </c>
      <c r="AS1380" s="34" t="str">
        <f>IF(AND(E1380=1,L1380=0),AJ1380,"")</f>
        <v/>
      </c>
      <c r="AT1380" s="34">
        <f>IF(AND(E1380=1,L1380=1),AI1380,"")</f>
        <v>1.8</v>
      </c>
      <c r="AU1380" s="34" t="str">
        <f>IF(AND(E1380=1,L1380=0),AI1380,"")</f>
        <v/>
      </c>
      <c r="AV1380" s="34">
        <f>IF(AND(E1380=1,L1380=1),AG1380,"")</f>
        <v>11</v>
      </c>
      <c r="AW1380" s="34" t="str">
        <f>IF(AND(E1380=1,L1380=0),AG1380,"")</f>
        <v/>
      </c>
      <c r="AX1380" s="34">
        <f>IF(AND(E1380=1,L1380=1),AH1380,"")</f>
        <v>10.4</v>
      </c>
      <c r="AY1380" s="34" t="str">
        <f>IF(AND(E1380=1,L1380=0),AH1380,"")</f>
        <v/>
      </c>
      <c r="AZ1380" s="34" t="str">
        <f>IF(G1380=1,F1380,"")</f>
        <v/>
      </c>
      <c r="BA1380" s="34" t="str">
        <f>IF(AND(G1380=1,L1380=1),F1380,"")</f>
        <v/>
      </c>
      <c r="BB1380" s="34" t="str">
        <f>IF(AND(G1380=1,L1380=0),F1380,"")</f>
        <v/>
      </c>
      <c r="BC1380" s="33">
        <f>IF(E1380=1,IF(Orders!R1377&gt;3,1,0),"")</f>
        <v>0</v>
      </c>
      <c r="BD1380" s="33">
        <f>IF(E1380=1,IF(Orders!R1377&gt;7,1,0),"")</f>
        <v>0</v>
      </c>
      <c r="BE1380" s="32" t="str">
        <f>IF(E1380=1,IF(Orders!L1377&lt;=1.5,"Up to 1.5 km",IF(Orders!L1377&lt;=3,"1.5–3 km","Over 3 km")),"")</f>
        <v>1.5–3 km</v>
      </c>
      <c r="BF1380" s="33">
        <f>IF(E1380=1,IF(ABS((Orders!G1377-Orders!F1377)*1440-Orders!R1377)&lt;0.06,1,0),"")</f>
        <v>1</v>
      </c>
      <c r="BG1380" s="33">
        <f>IF(ABS((Orders!F1377-Orders!E1377)*1440-Orders!P1377)&lt;0.06,1,0)</f>
        <v>1</v>
      </c>
      <c r="BH1380" s="33">
        <f>IF(E1380=1,IF(IF(Orders!S1377,1,0)=1-G1380,1,0),"")</f>
        <v>1</v>
      </c>
      <c r="BI1380" s="32" t="str">
        <f>INDEX(Stores!$B$2:$B$21,MATCH(B1380,Stores!$A$2:$A$21,0))</f>
        <v>Hyderabad</v>
      </c>
    </row>
    <row r="1381">
      <c r="A1381" s="32" t="str">
        <f>Orders!A1378</f>
        <v>O01377</v>
      </c>
      <c r="B1381" s="32" t="str">
        <f>Orders!C1378</f>
        <v>S007</v>
      </c>
      <c r="C1381" s="32" t="str">
        <f>Orders!B1378</f>
        <v>C0158</v>
      </c>
      <c r="D1381" s="32" t="str">
        <f>Orders!H1378</f>
        <v>Delivered</v>
      </c>
      <c r="E1381" s="33">
        <f>IF(Orders!H1378="Delivered",1,0)</f>
        <v>1</v>
      </c>
      <c r="F1381" s="34">
        <f>IF(E1381=1,Orders!R1378,"")</f>
        <v>-2.1</v>
      </c>
      <c r="G1381" s="33">
        <f>IF(E1381=1,IF(Orders!R1378&gt;0,1,0),"")</f>
        <v>0</v>
      </c>
      <c r="H1381" s="33">
        <f>IF(E1381=1,IF(Orders!R1378&gt;5,1,0),"")</f>
        <v>0</v>
      </c>
      <c r="I1381" s="32" t="str">
        <f>IF(E1381=1,"",IF(OR(Orders!T1378="Rider unavailable",Orders!T1378="Item unavailable"),"Company-caused","Unresolved"))</f>
        <v/>
      </c>
      <c r="J1381" s="33">
        <f>IF(OR(E1381=1,I1381="Company-caused"),1,0)</f>
        <v>1</v>
      </c>
      <c r="K1381" s="32" t="str">
        <f>IF(E1381=0,IF(I1381="Company-caused",IF(Orders!T1378="Rider unavailable","C1 Rider unavailable","C2 Item unavailable"),"Outside root: unresolved"),IF(G1381=0,"A On time",IF(H1381=1,IF(L1381=1,"B2a Severe, peak","B2b Severe, off-peak"),IF(L1381=1,"B1a Slight, peak","B1b Slight, off-peak"))))</f>
        <v>A On time</v>
      </c>
      <c r="L1381" s="33">
        <f>IF(AND(Orders!U1378&gt;=19,Orders!U1378&lt;22),1,0)</f>
        <v>0</v>
      </c>
      <c r="M1381" s="33">
        <f>IF(L1381=IF(Orders!V1378,1,0),1,0)</f>
        <v>1</v>
      </c>
      <c r="N1381" s="32" t="str">
        <f>IF(Orders!W1378="","None",Orders!W1378)</f>
        <v>None</v>
      </c>
      <c r="O1381" s="35">
        <f>INT(Orders!E1378)</f>
        <v>46269.0</v>
      </c>
      <c r="P1381" s="33">
        <f>Orders!U1378</f>
        <v>13</v>
      </c>
      <c r="Q1381" s="33">
        <f>COUNTIFS(Demand!$A$2:$A$4481,B1381,Demand!$B$2:$B$4481,O1381,Demand!$C$2:$C$4481,P1381)</f>
        <v>1</v>
      </c>
      <c r="R1381" s="33">
        <f>IF(Q1381=1,SUMIFS(Demand!$E$2:$E$4481,Demand!$A$2:$A$4481,B1381,Demand!$B$2:$B$4481,O1381,Demand!$C$2:$C$4481,P1381),"")</f>
        <v>42</v>
      </c>
      <c r="S1381" s="33">
        <f>INDEX(Stores!$G$2:$G$21,MATCH(B1381,Stores!$A$2:$A$21,0))</f>
        <v>37</v>
      </c>
      <c r="T1381" s="34">
        <f>IF(R1381="","",R1381/S1381)</f>
        <v>1.13513513513514</v>
      </c>
      <c r="U1381" s="34">
        <f>IF(E1381=1,T1381,"")</f>
        <v>1.13513513513514</v>
      </c>
      <c r="V1381" s="34">
        <f>IF(AND(E1381=1,L1381=0),T1381,"")</f>
        <v>1.13513513513514</v>
      </c>
      <c r="W1381" s="33">
        <f>IF(U1381="","",IF(U1381&lt;=Breakdowns!$C$5,1,IF(U1381&lt;=Breakdowns!$C$6,2,IF(U1381&lt;=Breakdowns!$C$7,3,4))))</f>
        <v>3</v>
      </c>
      <c r="X1381" s="33">
        <f>IF(V1381="","",IF(V1381&lt;=Breakdowns!$D$5,1,IF(V1381&lt;=Breakdowns!$D$6,2,IF(V1381&lt;=Breakdowns!$D$7,3,4))))</f>
        <v>4</v>
      </c>
      <c r="Y1381" s="34">
        <f>INDEX(Stores!$F$2:$F$21,MATCH(B1381,Stores!$A$2:$A$21,0))</f>
        <v>4.05</v>
      </c>
      <c r="Z1381" s="33">
        <f>IF(Y1381&gt;Store_Summary!$M$2,1,0)</f>
        <v>0</v>
      </c>
      <c r="AA1381" s="33">
        <f>INDEX(Stores!$C$2:$C$21,MATCH(B1381,Stores!$A$2:$A$21,0))</f>
        <v>661</v>
      </c>
      <c r="AB1381" s="33">
        <f>IF(AA1381&lt;180,1,0)</f>
        <v>0</v>
      </c>
      <c r="AC1381" s="32" t="str">
        <f>IF(Orders!D1378="","",INDEX(Riders!$C$2:$C$81,MATCH(Orders!D1378,Riders!$A$2:$A$81,0)))</f>
        <v>Petrol scooter</v>
      </c>
      <c r="AD1381" s="33">
        <f>IF(Orders!D1378="","",INDEX(Riders!$D$2:$D$81,MATCH(Orders!D1378,Riders!$A$2:$A$81,0)))</f>
        <v>10</v>
      </c>
      <c r="AE1381" s="33">
        <f>IF(Orders!D1378="","",IF(INDEX(Riders!$B$2:$B$81,MATCH(Orders!D1378,Riders!$A$2:$A$81,0))=B1381,1,0))</f>
        <v>0</v>
      </c>
      <c r="AF1381" s="34">
        <f>IF(E1381=1,Orders!L1378,"")</f>
        <v>0.74</v>
      </c>
      <c r="AG1381" s="34">
        <f>IF(E1381=1,Orders!P1378,"")</f>
        <v>10.3</v>
      </c>
      <c r="AH1381" s="34">
        <f>IF(E1381=1,Orders!Q1378,"")</f>
        <v>8.2</v>
      </c>
      <c r="AI1381" s="34">
        <f>IF(E1381=1,Orders!M1378,"")</f>
        <v>4.9</v>
      </c>
      <c r="AJ1381" s="34">
        <f>IF(E1381=1,Orders!N1378,"")</f>
        <v>0.7</v>
      </c>
      <c r="AK1381" s="34">
        <f>IF(E1381=1,Orders!O1378,"")</f>
        <v>2.7</v>
      </c>
      <c r="AL1381" s="33">
        <f>IF(E1381=1,IF(ROUND(ABS(AI1381+AJ1381+AK1381-AH1381),6)&lt;=0.1,1,0),"")</f>
        <v>1</v>
      </c>
      <c r="AM1381" s="36">
        <f>IF(E1381=1,AI1381/AH1381,"")</f>
        <v>0.597560975609756</v>
      </c>
      <c r="AN1381" s="36">
        <f>IF(E1381=1,AJ1381/AH1381,"")</f>
        <v>0.0853658536585366</v>
      </c>
      <c r="AO1381" s="36">
        <f>IF(E1381=1,AK1381/AH1381,"")</f>
        <v>0.329268292682927</v>
      </c>
      <c r="AP1381" s="34">
        <f>IF(E1381=1,Orders!Y1378,"")</f>
        <v>0.41</v>
      </c>
      <c r="AQ1381" s="33">
        <f>IF(Orders!X1378,1,0)</f>
        <v>0</v>
      </c>
      <c r="AR1381" s="34" t="str">
        <f>IF(AND(E1381=1,L1381=1),AJ1381,"")</f>
        <v/>
      </c>
      <c r="AS1381" s="34">
        <f>IF(AND(E1381=1,L1381=0),AJ1381,"")</f>
        <v>0.7</v>
      </c>
      <c r="AT1381" s="34" t="str">
        <f>IF(AND(E1381=1,L1381=1),AI1381,"")</f>
        <v/>
      </c>
      <c r="AU1381" s="34">
        <f>IF(AND(E1381=1,L1381=0),AI1381,"")</f>
        <v>4.9</v>
      </c>
      <c r="AV1381" s="34" t="str">
        <f>IF(AND(E1381=1,L1381=1),AG1381,"")</f>
        <v/>
      </c>
      <c r="AW1381" s="34">
        <f>IF(AND(E1381=1,L1381=0),AG1381,"")</f>
        <v>10.3</v>
      </c>
      <c r="AX1381" s="34" t="str">
        <f>IF(AND(E1381=1,L1381=1),AH1381,"")</f>
        <v/>
      </c>
      <c r="AY1381" s="34">
        <f>IF(AND(E1381=1,L1381=0),AH1381,"")</f>
        <v>8.2</v>
      </c>
      <c r="AZ1381" s="34" t="str">
        <f>IF(G1381=1,F1381,"")</f>
        <v/>
      </c>
      <c r="BA1381" s="34" t="str">
        <f>IF(AND(G1381=1,L1381=1),F1381,"")</f>
        <v/>
      </c>
      <c r="BB1381" s="34" t="str">
        <f>IF(AND(G1381=1,L1381=0),F1381,"")</f>
        <v/>
      </c>
      <c r="BC1381" s="33">
        <f>IF(E1381=1,IF(Orders!R1378&gt;3,1,0),"")</f>
        <v>0</v>
      </c>
      <c r="BD1381" s="33">
        <f>IF(E1381=1,IF(Orders!R1378&gt;7,1,0),"")</f>
        <v>0</v>
      </c>
      <c r="BE1381" s="32" t="str">
        <f>IF(E1381=1,IF(Orders!L1378&lt;=1.5,"Up to 1.5 km",IF(Orders!L1378&lt;=3,"1.5–3 km","Over 3 km")),"")</f>
        <v>Up to 1.5 km</v>
      </c>
      <c r="BF1381" s="33">
        <f>IF(E1381=1,IF(ABS((Orders!G1378-Orders!F1378)*1440-Orders!R1378)&lt;0.06,1,0),"")</f>
        <v>1</v>
      </c>
      <c r="BG1381" s="33">
        <f>IF(ABS((Orders!F1378-Orders!E1378)*1440-Orders!P1378)&lt;0.06,1,0)</f>
        <v>1</v>
      </c>
      <c r="BH1381" s="33">
        <f>IF(E1381=1,IF(IF(Orders!S1378,1,0)=1-G1381,1,0),"")</f>
        <v>1</v>
      </c>
      <c r="BI1381" s="32" t="str">
        <f>INDEX(Stores!$B$2:$B$21,MATCH(B1381,Stores!$A$2:$A$21,0))</f>
        <v>Hyderabad</v>
      </c>
    </row>
    <row r="1382">
      <c r="A1382" s="32" t="str">
        <f>Orders!A1379</f>
        <v>O01378</v>
      </c>
      <c r="B1382" s="32" t="str">
        <f>Orders!C1379</f>
        <v>S016</v>
      </c>
      <c r="C1382" s="32" t="str">
        <f>Orders!B1379</f>
        <v>C0160</v>
      </c>
      <c r="D1382" s="32" t="str">
        <f>Orders!H1379</f>
        <v>Delivered</v>
      </c>
      <c r="E1382" s="33">
        <f>IF(Orders!H1379="Delivered",1,0)</f>
        <v>1</v>
      </c>
      <c r="F1382" s="34">
        <f>IF(E1382=1,Orders!R1379,"")</f>
        <v>-1</v>
      </c>
      <c r="G1382" s="33">
        <f>IF(E1382=1,IF(Orders!R1379&gt;0,1,0),"")</f>
        <v>0</v>
      </c>
      <c r="H1382" s="33">
        <f>IF(E1382=1,IF(Orders!R1379&gt;5,1,0),"")</f>
        <v>0</v>
      </c>
      <c r="I1382" s="32" t="str">
        <f>IF(E1382=1,"",IF(OR(Orders!T1379="Rider unavailable",Orders!T1379="Item unavailable"),"Company-caused","Unresolved"))</f>
        <v/>
      </c>
      <c r="J1382" s="33">
        <f>IF(OR(E1382=1,I1382="Company-caused"),1,0)</f>
        <v>1</v>
      </c>
      <c r="K1382" s="32" t="str">
        <f>IF(E1382=0,IF(I1382="Company-caused",IF(Orders!T1379="Rider unavailable","C1 Rider unavailable","C2 Item unavailable"),"Outside root: unresolved"),IF(G1382=0,"A On time",IF(H1382=1,IF(L1382=1,"B2a Severe, peak","B2b Severe, off-peak"),IF(L1382=1,"B1a Slight, peak","B1b Slight, off-peak"))))</f>
        <v>A On time</v>
      </c>
      <c r="L1382" s="33">
        <f>IF(AND(Orders!U1379&gt;=19,Orders!U1379&lt;22),1,0)</f>
        <v>1</v>
      </c>
      <c r="M1382" s="33">
        <f>IF(L1382=IF(Orders!V1379,1,0),1,0)</f>
        <v>1</v>
      </c>
      <c r="N1382" s="32" t="str">
        <f>IF(Orders!W1379="","None",Orders!W1379)</f>
        <v>None</v>
      </c>
      <c r="O1382" s="35">
        <f>INT(Orders!E1379)</f>
        <v>46272.0</v>
      </c>
      <c r="P1382" s="33">
        <f>Orders!U1379</f>
        <v>19</v>
      </c>
      <c r="Q1382" s="33">
        <f>COUNTIFS(Demand!$A$2:$A$4481,B1382,Demand!$B$2:$B$4481,O1382,Demand!$C$2:$C$4481,P1382)</f>
        <v>1</v>
      </c>
      <c r="R1382" s="33">
        <f>IF(Q1382=1,SUMIFS(Demand!$E$2:$E$4481,Demand!$A$2:$A$4481,B1382,Demand!$B$2:$B$4481,O1382,Demand!$C$2:$C$4481,P1382),"")</f>
        <v>29</v>
      </c>
      <c r="S1382" s="33">
        <f>INDEX(Stores!$G$2:$G$21,MATCH(B1382,Stores!$A$2:$A$21,0))</f>
        <v>25</v>
      </c>
      <c r="T1382" s="34">
        <f>IF(R1382="","",R1382/S1382)</f>
        <v>1.16</v>
      </c>
      <c r="U1382" s="34">
        <f>IF(E1382=1,T1382,"")</f>
        <v>1.16</v>
      </c>
      <c r="V1382" s="34" t="str">
        <f>IF(AND(E1382=1,L1382=0),T1382,"")</f>
        <v/>
      </c>
      <c r="W1382" s="33">
        <f>IF(U1382="","",IF(U1382&lt;=Breakdowns!$C$5,1,IF(U1382&lt;=Breakdowns!$C$6,2,IF(U1382&lt;=Breakdowns!$C$7,3,4))))</f>
        <v>3</v>
      </c>
      <c r="X1382" s="33" t="str">
        <f>IF(V1382="","",IF(V1382&lt;=Breakdowns!$D$5,1,IF(V1382&lt;=Breakdowns!$D$6,2,IF(V1382&lt;=Breakdowns!$D$7,3,4))))</f>
        <v/>
      </c>
      <c r="Y1382" s="34">
        <f>INDEX(Stores!$F$2:$F$21,MATCH(B1382,Stores!$A$2:$A$21,0))</f>
        <v>5.51</v>
      </c>
      <c r="Z1382" s="33">
        <f>IF(Y1382&gt;Store_Summary!$M$2,1,0)</f>
        <v>1</v>
      </c>
      <c r="AA1382" s="33">
        <f>INDEX(Stores!$C$2:$C$21,MATCH(B1382,Stores!$A$2:$A$21,0))</f>
        <v>792</v>
      </c>
      <c r="AB1382" s="33">
        <f>IF(AA1382&lt;180,1,0)</f>
        <v>0</v>
      </c>
      <c r="AC1382" s="32" t="str">
        <f>IF(Orders!D1379="","",INDEX(Riders!$C$2:$C$81,MATCH(Orders!D1379,Riders!$A$2:$A$81,0)))</f>
        <v>EV scooter</v>
      </c>
      <c r="AD1382" s="33">
        <f>IF(Orders!D1379="","",INDEX(Riders!$D$2:$D$81,MATCH(Orders!D1379,Riders!$A$2:$A$81,0)))</f>
        <v>46</v>
      </c>
      <c r="AE1382" s="33">
        <f>IF(Orders!D1379="","",IF(INDEX(Riders!$B$2:$B$81,MATCH(Orders!D1379,Riders!$A$2:$A$81,0))=B1382,1,0))</f>
        <v>0</v>
      </c>
      <c r="AF1382" s="34">
        <f>IF(E1382=1,Orders!L1379,"")</f>
        <v>2.17</v>
      </c>
      <c r="AG1382" s="34">
        <f>IF(E1382=1,Orders!P1379,"")</f>
        <v>10.3</v>
      </c>
      <c r="AH1382" s="34">
        <f>IF(E1382=1,Orders!Q1379,"")</f>
        <v>9.3</v>
      </c>
      <c r="AI1382" s="34">
        <f>IF(E1382=1,Orders!M1379,"")</f>
        <v>3.9</v>
      </c>
      <c r="AJ1382" s="34">
        <f>IF(E1382=1,Orders!N1379,"")</f>
        <v>1.7</v>
      </c>
      <c r="AK1382" s="34">
        <f>IF(E1382=1,Orders!O1379,"")</f>
        <v>3.7</v>
      </c>
      <c r="AL1382" s="33">
        <f>IF(E1382=1,IF(ROUND(ABS(AI1382+AJ1382+AK1382-AH1382),6)&lt;=0.1,1,0),"")</f>
        <v>1</v>
      </c>
      <c r="AM1382" s="36">
        <f>IF(E1382=1,AI1382/AH1382,"")</f>
        <v>0.419354838709677</v>
      </c>
      <c r="AN1382" s="36">
        <f>IF(E1382=1,AJ1382/AH1382,"")</f>
        <v>0.182795698924731</v>
      </c>
      <c r="AO1382" s="36">
        <f>IF(E1382=1,AK1382/AH1382,"")</f>
        <v>0.397849462365591</v>
      </c>
      <c r="AP1382" s="34">
        <f>IF(E1382=1,Orders!Y1379,"")</f>
        <v>0.67</v>
      </c>
      <c r="AQ1382" s="33">
        <f>IF(Orders!X1379,1,0)</f>
        <v>0</v>
      </c>
      <c r="AR1382" s="34">
        <f>IF(AND(E1382=1,L1382=1),AJ1382,"")</f>
        <v>1.7</v>
      </c>
      <c r="AS1382" s="34" t="str">
        <f>IF(AND(E1382=1,L1382=0),AJ1382,"")</f>
        <v/>
      </c>
      <c r="AT1382" s="34">
        <f>IF(AND(E1382=1,L1382=1),AI1382,"")</f>
        <v>3.9</v>
      </c>
      <c r="AU1382" s="34" t="str">
        <f>IF(AND(E1382=1,L1382=0),AI1382,"")</f>
        <v/>
      </c>
      <c r="AV1382" s="34">
        <f>IF(AND(E1382=1,L1382=1),AG1382,"")</f>
        <v>10.3</v>
      </c>
      <c r="AW1382" s="34" t="str">
        <f>IF(AND(E1382=1,L1382=0),AG1382,"")</f>
        <v/>
      </c>
      <c r="AX1382" s="34">
        <f>IF(AND(E1382=1,L1382=1),AH1382,"")</f>
        <v>9.3</v>
      </c>
      <c r="AY1382" s="34" t="str">
        <f>IF(AND(E1382=1,L1382=0),AH1382,"")</f>
        <v/>
      </c>
      <c r="AZ1382" s="34" t="str">
        <f>IF(G1382=1,F1382,"")</f>
        <v/>
      </c>
      <c r="BA1382" s="34" t="str">
        <f>IF(AND(G1382=1,L1382=1),F1382,"")</f>
        <v/>
      </c>
      <c r="BB1382" s="34" t="str">
        <f>IF(AND(G1382=1,L1382=0),F1382,"")</f>
        <v/>
      </c>
      <c r="BC1382" s="33">
        <f>IF(E1382=1,IF(Orders!R1379&gt;3,1,0),"")</f>
        <v>0</v>
      </c>
      <c r="BD1382" s="33">
        <f>IF(E1382=1,IF(Orders!R1379&gt;7,1,0),"")</f>
        <v>0</v>
      </c>
      <c r="BE1382" s="32" t="str">
        <f>IF(E1382=1,IF(Orders!L1379&lt;=1.5,"Up to 1.5 km",IF(Orders!L1379&lt;=3,"1.5–3 km","Over 3 km")),"")</f>
        <v>1.5–3 km</v>
      </c>
      <c r="BF1382" s="33">
        <f>IF(E1382=1,IF(ABS((Orders!G1379-Orders!F1379)*1440-Orders!R1379)&lt;0.06,1,0),"")</f>
        <v>1</v>
      </c>
      <c r="BG1382" s="33">
        <f>IF(ABS((Orders!F1379-Orders!E1379)*1440-Orders!P1379)&lt;0.06,1,0)</f>
        <v>1</v>
      </c>
      <c r="BH1382" s="33">
        <f>IF(E1382=1,IF(IF(Orders!S1379,1,0)=1-G1382,1,0),"")</f>
        <v>1</v>
      </c>
      <c r="BI1382" s="32" t="str">
        <f>INDEX(Stores!$B$2:$B$21,MATCH(B1382,Stores!$A$2:$A$21,0))</f>
        <v>Bengaluru</v>
      </c>
    </row>
    <row r="1383">
      <c r="A1383" s="32" t="str">
        <f>Orders!A1380</f>
        <v>O01379</v>
      </c>
      <c r="B1383" s="32" t="str">
        <f>Orders!C1380</f>
        <v>S014</v>
      </c>
      <c r="C1383" s="32" t="str">
        <f>Orders!B1380</f>
        <v>C0005</v>
      </c>
      <c r="D1383" s="32" t="str">
        <f>Orders!H1380</f>
        <v>Delivered</v>
      </c>
      <c r="E1383" s="33">
        <f>IF(Orders!H1380="Delivered",1,0)</f>
        <v>1</v>
      </c>
      <c r="F1383" s="34">
        <f>IF(E1383=1,Orders!R1380,"")</f>
        <v>-1.2</v>
      </c>
      <c r="G1383" s="33">
        <f>IF(E1383=1,IF(Orders!R1380&gt;0,1,0),"")</f>
        <v>0</v>
      </c>
      <c r="H1383" s="33">
        <f>IF(E1383=1,IF(Orders!R1380&gt;5,1,0),"")</f>
        <v>0</v>
      </c>
      <c r="I1383" s="32" t="str">
        <f>IF(E1383=1,"",IF(OR(Orders!T1380="Rider unavailable",Orders!T1380="Item unavailable"),"Company-caused","Unresolved"))</f>
        <v/>
      </c>
      <c r="J1383" s="33">
        <f>IF(OR(E1383=1,I1383="Company-caused"),1,0)</f>
        <v>1</v>
      </c>
      <c r="K1383" s="32" t="str">
        <f>IF(E1383=0,IF(I1383="Company-caused",IF(Orders!T1380="Rider unavailable","C1 Rider unavailable","C2 Item unavailable"),"Outside root: unresolved"),IF(G1383=0,"A On time",IF(H1383=1,IF(L1383=1,"B2a Severe, peak","B2b Severe, off-peak"),IF(L1383=1,"B1a Slight, peak","B1b Slight, off-peak"))))</f>
        <v>A On time</v>
      </c>
      <c r="L1383" s="33">
        <f>IF(AND(Orders!U1380&gt;=19,Orders!U1380&lt;22),1,0)</f>
        <v>0</v>
      </c>
      <c r="M1383" s="33">
        <f>IF(L1383=IF(Orders!V1380,1,0),1,0)</f>
        <v>1</v>
      </c>
      <c r="N1383" s="32" t="str">
        <f>IF(Orders!W1380="","None",Orders!W1380)</f>
        <v>Light</v>
      </c>
      <c r="O1383" s="35">
        <f>INT(Orders!E1380)</f>
        <v>46272.0</v>
      </c>
      <c r="P1383" s="33">
        <f>Orders!U1380</f>
        <v>16</v>
      </c>
      <c r="Q1383" s="33">
        <f>COUNTIFS(Demand!$A$2:$A$4481,B1383,Demand!$B$2:$B$4481,O1383,Demand!$C$2:$C$4481,P1383)</f>
        <v>1</v>
      </c>
      <c r="R1383" s="33">
        <f>IF(Q1383=1,SUMIFS(Demand!$E$2:$E$4481,Demand!$A$2:$A$4481,B1383,Demand!$B$2:$B$4481,O1383,Demand!$C$2:$C$4481,P1383),"")</f>
        <v>19</v>
      </c>
      <c r="S1383" s="33">
        <f>INDEX(Stores!$G$2:$G$21,MATCH(B1383,Stores!$A$2:$A$21,0))</f>
        <v>37</v>
      </c>
      <c r="T1383" s="34">
        <f>IF(R1383="","",R1383/S1383)</f>
        <v>0.513513513513514</v>
      </c>
      <c r="U1383" s="34">
        <f>IF(E1383=1,T1383,"")</f>
        <v>0.513513513513514</v>
      </c>
      <c r="V1383" s="34">
        <f>IF(AND(E1383=1,L1383=0),T1383,"")</f>
        <v>0.513513513513514</v>
      </c>
      <c r="W1383" s="33">
        <f>IF(U1383="","",IF(U1383&lt;=Breakdowns!$C$5,1,IF(U1383&lt;=Breakdowns!$C$6,2,IF(U1383&lt;=Breakdowns!$C$7,3,4))))</f>
        <v>1</v>
      </c>
      <c r="X1383" s="33">
        <f>IF(V1383="","",IF(V1383&lt;=Breakdowns!$D$5,1,IF(V1383&lt;=Breakdowns!$D$6,2,IF(V1383&lt;=Breakdowns!$D$7,3,4))))</f>
        <v>1</v>
      </c>
      <c r="Y1383" s="34">
        <f>INDEX(Stores!$F$2:$F$21,MATCH(B1383,Stores!$A$2:$A$21,0))</f>
        <v>5.55</v>
      </c>
      <c r="Z1383" s="33">
        <f>IF(Y1383&gt;Store_Summary!$M$2,1,0)</f>
        <v>1</v>
      </c>
      <c r="AA1383" s="33">
        <f>INDEX(Stores!$C$2:$C$21,MATCH(B1383,Stores!$A$2:$A$21,0))</f>
        <v>241</v>
      </c>
      <c r="AB1383" s="33">
        <f>IF(AA1383&lt;180,1,0)</f>
        <v>0</v>
      </c>
      <c r="AC1383" s="32" t="str">
        <f>IF(Orders!D1380="","",INDEX(Riders!$C$2:$C$81,MATCH(Orders!D1380,Riders!$A$2:$A$81,0)))</f>
        <v>EV scooter</v>
      </c>
      <c r="AD1383" s="33">
        <f>IF(Orders!D1380="","",INDEX(Riders!$D$2:$D$81,MATCH(Orders!D1380,Riders!$A$2:$A$81,0)))</f>
        <v>11</v>
      </c>
      <c r="AE1383" s="33">
        <f>IF(Orders!D1380="","",IF(INDEX(Riders!$B$2:$B$81,MATCH(Orders!D1380,Riders!$A$2:$A$81,0))=B1383,1,0))</f>
        <v>0</v>
      </c>
      <c r="AF1383" s="34">
        <f>IF(E1383=1,Orders!L1380,"")</f>
        <v>0.57</v>
      </c>
      <c r="AG1383" s="34">
        <f>IF(E1383=1,Orders!P1380,"")</f>
        <v>9.6</v>
      </c>
      <c r="AH1383" s="34">
        <f>IF(E1383=1,Orders!Q1380,"")</f>
        <v>8.4</v>
      </c>
      <c r="AI1383" s="34">
        <f>IF(E1383=1,Orders!M1380,"")</f>
        <v>4.7</v>
      </c>
      <c r="AJ1383" s="34">
        <f>IF(E1383=1,Orders!N1380,"")</f>
        <v>0.7</v>
      </c>
      <c r="AK1383" s="34">
        <f>IF(E1383=1,Orders!O1380,"")</f>
        <v>2.9</v>
      </c>
      <c r="AL1383" s="33">
        <f>IF(E1383=1,IF(ROUND(ABS(AI1383+AJ1383+AK1383-AH1383),6)&lt;=0.1,1,0),"")</f>
        <v>1</v>
      </c>
      <c r="AM1383" s="36">
        <f>IF(E1383=1,AI1383/AH1383,"")</f>
        <v>0.55952380952381</v>
      </c>
      <c r="AN1383" s="36">
        <f>IF(E1383=1,AJ1383/AH1383,"")</f>
        <v>0.0833333333333333</v>
      </c>
      <c r="AO1383" s="36">
        <f>IF(E1383=1,AK1383/AH1383,"")</f>
        <v>0.345238095238095</v>
      </c>
      <c r="AP1383" s="34">
        <f>IF(E1383=1,Orders!Y1380,"")</f>
        <v>0.39</v>
      </c>
      <c r="AQ1383" s="33">
        <f>IF(Orders!X1380,1,0)</f>
        <v>0</v>
      </c>
      <c r="AR1383" s="34" t="str">
        <f>IF(AND(E1383=1,L1383=1),AJ1383,"")</f>
        <v/>
      </c>
      <c r="AS1383" s="34">
        <f>IF(AND(E1383=1,L1383=0),AJ1383,"")</f>
        <v>0.7</v>
      </c>
      <c r="AT1383" s="34" t="str">
        <f>IF(AND(E1383=1,L1383=1),AI1383,"")</f>
        <v/>
      </c>
      <c r="AU1383" s="34">
        <f>IF(AND(E1383=1,L1383=0),AI1383,"")</f>
        <v>4.7</v>
      </c>
      <c r="AV1383" s="34" t="str">
        <f>IF(AND(E1383=1,L1383=1),AG1383,"")</f>
        <v/>
      </c>
      <c r="AW1383" s="34">
        <f>IF(AND(E1383=1,L1383=0),AG1383,"")</f>
        <v>9.6</v>
      </c>
      <c r="AX1383" s="34" t="str">
        <f>IF(AND(E1383=1,L1383=1),AH1383,"")</f>
        <v/>
      </c>
      <c r="AY1383" s="34">
        <f>IF(AND(E1383=1,L1383=0),AH1383,"")</f>
        <v>8.4</v>
      </c>
      <c r="AZ1383" s="34" t="str">
        <f>IF(G1383=1,F1383,"")</f>
        <v/>
      </c>
      <c r="BA1383" s="34" t="str">
        <f>IF(AND(G1383=1,L1383=1),F1383,"")</f>
        <v/>
      </c>
      <c r="BB1383" s="34" t="str">
        <f>IF(AND(G1383=1,L1383=0),F1383,"")</f>
        <v/>
      </c>
      <c r="BC1383" s="33">
        <f>IF(E1383=1,IF(Orders!R1380&gt;3,1,0),"")</f>
        <v>0</v>
      </c>
      <c r="BD1383" s="33">
        <f>IF(E1383=1,IF(Orders!R1380&gt;7,1,0),"")</f>
        <v>0</v>
      </c>
      <c r="BE1383" s="32" t="str">
        <f>IF(E1383=1,IF(Orders!L1380&lt;=1.5,"Up to 1.5 km",IF(Orders!L1380&lt;=3,"1.5–3 km","Over 3 km")),"")</f>
        <v>Up to 1.5 km</v>
      </c>
      <c r="BF1383" s="33">
        <f>IF(E1383=1,IF(ABS((Orders!G1380-Orders!F1380)*1440-Orders!R1380)&lt;0.06,1,0),"")</f>
        <v>1</v>
      </c>
      <c r="BG1383" s="33">
        <f>IF(ABS((Orders!F1380-Orders!E1380)*1440-Orders!P1380)&lt;0.06,1,0)</f>
        <v>1</v>
      </c>
      <c r="BH1383" s="33">
        <f>IF(E1383=1,IF(IF(Orders!S1380,1,0)=1-G1383,1,0),"")</f>
        <v>1</v>
      </c>
      <c r="BI1383" s="32" t="str">
        <f>INDEX(Stores!$B$2:$B$21,MATCH(B1383,Stores!$A$2:$A$21,0))</f>
        <v>Pune</v>
      </c>
    </row>
    <row r="1384">
      <c r="A1384" s="32" t="str">
        <f>Orders!A1381</f>
        <v>O01380</v>
      </c>
      <c r="B1384" s="32" t="str">
        <f>Orders!C1381</f>
        <v>S019</v>
      </c>
      <c r="C1384" s="32" t="str">
        <f>Orders!B1381</f>
        <v>C0171</v>
      </c>
      <c r="D1384" s="32" t="str">
        <f>Orders!H1381</f>
        <v>Delivered</v>
      </c>
      <c r="E1384" s="33">
        <f>IF(Orders!H1381="Delivered",1,0)</f>
        <v>1</v>
      </c>
      <c r="F1384" s="34">
        <f>IF(E1384=1,Orders!R1381,"")</f>
        <v>-0.2</v>
      </c>
      <c r="G1384" s="33">
        <f>IF(E1384=1,IF(Orders!R1381&gt;0,1,0),"")</f>
        <v>0</v>
      </c>
      <c r="H1384" s="33">
        <f>IF(E1384=1,IF(Orders!R1381&gt;5,1,0),"")</f>
        <v>0</v>
      </c>
      <c r="I1384" s="32" t="str">
        <f>IF(E1384=1,"",IF(OR(Orders!T1381="Rider unavailable",Orders!T1381="Item unavailable"),"Company-caused","Unresolved"))</f>
        <v/>
      </c>
      <c r="J1384" s="33">
        <f>IF(OR(E1384=1,I1384="Company-caused"),1,0)</f>
        <v>1</v>
      </c>
      <c r="K1384" s="32" t="str">
        <f>IF(E1384=0,IF(I1384="Company-caused",IF(Orders!T1381="Rider unavailable","C1 Rider unavailable","C2 Item unavailable"),"Outside root: unresolved"),IF(G1384=0,"A On time",IF(H1384=1,IF(L1384=1,"B2a Severe, peak","B2b Severe, off-peak"),IF(L1384=1,"B1a Slight, peak","B1b Slight, off-peak"))))</f>
        <v>A On time</v>
      </c>
      <c r="L1384" s="33">
        <f>IF(AND(Orders!U1381&gt;=19,Orders!U1381&lt;22),1,0)</f>
        <v>0</v>
      </c>
      <c r="M1384" s="33">
        <f>IF(L1384=IF(Orders!V1381,1,0),1,0)</f>
        <v>1</v>
      </c>
      <c r="N1384" s="32" t="str">
        <f>IF(Orders!W1381="","None",Orders!W1381)</f>
        <v>None</v>
      </c>
      <c r="O1384" s="35">
        <f>INT(Orders!E1381)</f>
        <v>46269.0</v>
      </c>
      <c r="P1384" s="33">
        <f>Orders!U1381</f>
        <v>23</v>
      </c>
      <c r="Q1384" s="33">
        <f>COUNTIFS(Demand!$A$2:$A$4481,B1384,Demand!$B$2:$B$4481,O1384,Demand!$C$2:$C$4481,P1384)</f>
        <v>1</v>
      </c>
      <c r="R1384" s="33">
        <f>IF(Q1384=1,SUMIFS(Demand!$E$2:$E$4481,Demand!$A$2:$A$4481,B1384,Demand!$B$2:$B$4481,O1384,Demand!$C$2:$C$4481,P1384),"")</f>
        <v>20</v>
      </c>
      <c r="S1384" s="33">
        <f>INDEX(Stores!$G$2:$G$21,MATCH(B1384,Stores!$A$2:$A$21,0))</f>
        <v>22</v>
      </c>
      <c r="T1384" s="34">
        <f>IF(R1384="","",R1384/S1384)</f>
        <v>0.909090909090909</v>
      </c>
      <c r="U1384" s="34">
        <f>IF(E1384=1,T1384,"")</f>
        <v>0.909090909090909</v>
      </c>
      <c r="V1384" s="34">
        <f>IF(AND(E1384=1,L1384=0),T1384,"")</f>
        <v>0.909090909090909</v>
      </c>
      <c r="W1384" s="33">
        <f>IF(U1384="","",IF(U1384&lt;=Breakdowns!$C$5,1,IF(U1384&lt;=Breakdowns!$C$6,2,IF(U1384&lt;=Breakdowns!$C$7,3,4))))</f>
        <v>2</v>
      </c>
      <c r="X1384" s="33">
        <f>IF(V1384="","",IF(V1384&lt;=Breakdowns!$D$5,1,IF(V1384&lt;=Breakdowns!$D$6,2,IF(V1384&lt;=Breakdowns!$D$7,3,4))))</f>
        <v>2</v>
      </c>
      <c r="Y1384" s="34">
        <f>INDEX(Stores!$F$2:$F$21,MATCH(B1384,Stores!$A$2:$A$21,0))</f>
        <v>4.99</v>
      </c>
      <c r="Z1384" s="33">
        <f>IF(Y1384&gt;Store_Summary!$M$2,1,0)</f>
        <v>1</v>
      </c>
      <c r="AA1384" s="33">
        <f>INDEX(Stores!$C$2:$C$21,MATCH(B1384,Stores!$A$2:$A$21,0))</f>
        <v>851</v>
      </c>
      <c r="AB1384" s="33">
        <f>IF(AA1384&lt;180,1,0)</f>
        <v>0</v>
      </c>
      <c r="AC1384" s="32" t="str">
        <f>IF(Orders!D1381="","",INDEX(Riders!$C$2:$C$81,MATCH(Orders!D1381,Riders!$A$2:$A$81,0)))</f>
        <v>Petrol scooter</v>
      </c>
      <c r="AD1384" s="33">
        <f>IF(Orders!D1381="","",INDEX(Riders!$D$2:$D$81,MATCH(Orders!D1381,Riders!$A$2:$A$81,0)))</f>
        <v>24</v>
      </c>
      <c r="AE1384" s="33">
        <f>IF(Orders!D1381="","",IF(INDEX(Riders!$B$2:$B$81,MATCH(Orders!D1381,Riders!$A$2:$A$81,0))=B1384,1,0))</f>
        <v>0</v>
      </c>
      <c r="AF1384" s="34">
        <f>IF(E1384=1,Orders!L1381,"")</f>
        <v>0.68</v>
      </c>
      <c r="AG1384" s="34">
        <f>IF(E1384=1,Orders!P1381,"")</f>
        <v>9.3</v>
      </c>
      <c r="AH1384" s="34">
        <f>IF(E1384=1,Orders!Q1381,"")</f>
        <v>9.1</v>
      </c>
      <c r="AI1384" s="34">
        <f>IF(E1384=1,Orders!M1381,"")</f>
        <v>3.6</v>
      </c>
      <c r="AJ1384" s="34">
        <f>IF(E1384=1,Orders!N1381,"")</f>
        <v>3</v>
      </c>
      <c r="AK1384" s="34">
        <f>IF(E1384=1,Orders!O1381,"")</f>
        <v>2.5</v>
      </c>
      <c r="AL1384" s="33">
        <f>IF(E1384=1,IF(ROUND(ABS(AI1384+AJ1384+AK1384-AH1384),6)&lt;=0.1,1,0),"")</f>
        <v>1</v>
      </c>
      <c r="AM1384" s="36">
        <f>IF(E1384=1,AI1384/AH1384,"")</f>
        <v>0.395604395604396</v>
      </c>
      <c r="AN1384" s="36">
        <f>IF(E1384=1,AJ1384/AH1384,"")</f>
        <v>0.32967032967033</v>
      </c>
      <c r="AO1384" s="36">
        <f>IF(E1384=1,AK1384/AH1384,"")</f>
        <v>0.274725274725275</v>
      </c>
      <c r="AP1384" s="34">
        <f>IF(E1384=1,Orders!Y1381,"")</f>
        <v>0.71</v>
      </c>
      <c r="AQ1384" s="33">
        <f>IF(Orders!X1381,1,0)</f>
        <v>0</v>
      </c>
      <c r="AR1384" s="34" t="str">
        <f>IF(AND(E1384=1,L1384=1),AJ1384,"")</f>
        <v/>
      </c>
      <c r="AS1384" s="34">
        <f>IF(AND(E1384=1,L1384=0),AJ1384,"")</f>
        <v>3</v>
      </c>
      <c r="AT1384" s="34" t="str">
        <f>IF(AND(E1384=1,L1384=1),AI1384,"")</f>
        <v/>
      </c>
      <c r="AU1384" s="34">
        <f>IF(AND(E1384=1,L1384=0),AI1384,"")</f>
        <v>3.6</v>
      </c>
      <c r="AV1384" s="34" t="str">
        <f>IF(AND(E1384=1,L1384=1),AG1384,"")</f>
        <v/>
      </c>
      <c r="AW1384" s="34">
        <f>IF(AND(E1384=1,L1384=0),AG1384,"")</f>
        <v>9.3</v>
      </c>
      <c r="AX1384" s="34" t="str">
        <f>IF(AND(E1384=1,L1384=1),AH1384,"")</f>
        <v/>
      </c>
      <c r="AY1384" s="34">
        <f>IF(AND(E1384=1,L1384=0),AH1384,"")</f>
        <v>9.1</v>
      </c>
      <c r="AZ1384" s="34" t="str">
        <f>IF(G1384=1,F1384,"")</f>
        <v/>
      </c>
      <c r="BA1384" s="34" t="str">
        <f>IF(AND(G1384=1,L1384=1),F1384,"")</f>
        <v/>
      </c>
      <c r="BB1384" s="34" t="str">
        <f>IF(AND(G1384=1,L1384=0),F1384,"")</f>
        <v/>
      </c>
      <c r="BC1384" s="33">
        <f>IF(E1384=1,IF(Orders!R1381&gt;3,1,0),"")</f>
        <v>0</v>
      </c>
      <c r="BD1384" s="33">
        <f>IF(E1384=1,IF(Orders!R1381&gt;7,1,0),"")</f>
        <v>0</v>
      </c>
      <c r="BE1384" s="32" t="str">
        <f>IF(E1384=1,IF(Orders!L1381&lt;=1.5,"Up to 1.5 km",IF(Orders!L1381&lt;=3,"1.5–3 km","Over 3 km")),"")</f>
        <v>Up to 1.5 km</v>
      </c>
      <c r="BF1384" s="33">
        <f>IF(E1384=1,IF(ABS((Orders!G1381-Orders!F1381)*1440-Orders!R1381)&lt;0.06,1,0),"")</f>
        <v>1</v>
      </c>
      <c r="BG1384" s="33">
        <f>IF(ABS((Orders!F1381-Orders!E1381)*1440-Orders!P1381)&lt;0.06,1,0)</f>
        <v>1</v>
      </c>
      <c r="BH1384" s="33">
        <f>IF(E1384=1,IF(IF(Orders!S1381,1,0)=1-G1384,1,0),"")</f>
        <v>1</v>
      </c>
      <c r="BI1384" s="32" t="str">
        <f>INDEX(Stores!$B$2:$B$21,MATCH(B1384,Stores!$A$2:$A$21,0))</f>
        <v>Pune</v>
      </c>
    </row>
    <row r="1385">
      <c r="A1385" s="32" t="str">
        <f>Orders!A1382</f>
        <v>O01381</v>
      </c>
      <c r="B1385" s="32" t="str">
        <f>Orders!C1382</f>
        <v>S002</v>
      </c>
      <c r="C1385" s="32" t="str">
        <f>Orders!B1382</f>
        <v>C0010</v>
      </c>
      <c r="D1385" s="32" t="str">
        <f>Orders!H1382</f>
        <v>Delivered</v>
      </c>
      <c r="E1385" s="33">
        <f>IF(Orders!H1382="Delivered",1,0)</f>
        <v>1</v>
      </c>
      <c r="F1385" s="34">
        <f>IF(E1385=1,Orders!R1382,"")</f>
        <v>-0.9</v>
      </c>
      <c r="G1385" s="33">
        <f>IF(E1385=1,IF(Orders!R1382&gt;0,1,0),"")</f>
        <v>0</v>
      </c>
      <c r="H1385" s="33">
        <f>IF(E1385=1,IF(Orders!R1382&gt;5,1,0),"")</f>
        <v>0</v>
      </c>
      <c r="I1385" s="32" t="str">
        <f>IF(E1385=1,"",IF(OR(Orders!T1382="Rider unavailable",Orders!T1382="Item unavailable"),"Company-caused","Unresolved"))</f>
        <v/>
      </c>
      <c r="J1385" s="33">
        <f>IF(OR(E1385=1,I1385="Company-caused"),1,0)</f>
        <v>1</v>
      </c>
      <c r="K1385" s="32" t="str">
        <f>IF(E1385=0,IF(I1385="Company-caused",IF(Orders!T1382="Rider unavailable","C1 Rider unavailable","C2 Item unavailable"),"Outside root: unresolved"),IF(G1385=0,"A On time",IF(H1385=1,IF(L1385=1,"B2a Severe, peak","B2b Severe, off-peak"),IF(L1385=1,"B1a Slight, peak","B1b Slight, off-peak"))))</f>
        <v>A On time</v>
      </c>
      <c r="L1385" s="33">
        <f>IF(AND(Orders!U1382&gt;=19,Orders!U1382&lt;22),1,0)</f>
        <v>1</v>
      </c>
      <c r="M1385" s="33">
        <f>IF(L1385=IF(Orders!V1382,1,0),1,0)</f>
        <v>1</v>
      </c>
      <c r="N1385" s="32" t="str">
        <f>IF(Orders!W1382="","None",Orders!W1382)</f>
        <v>Heavy</v>
      </c>
      <c r="O1385" s="35">
        <f>INT(Orders!E1382)</f>
        <v>46266.0</v>
      </c>
      <c r="P1385" s="33">
        <f>Orders!U1382</f>
        <v>21</v>
      </c>
      <c r="Q1385" s="33">
        <f>COUNTIFS(Demand!$A$2:$A$4481,B1385,Demand!$B$2:$B$4481,O1385,Demand!$C$2:$C$4481,P1385)</f>
        <v>1</v>
      </c>
      <c r="R1385" s="33">
        <f>IF(Q1385=1,SUMIFS(Demand!$E$2:$E$4481,Demand!$A$2:$A$4481,B1385,Demand!$B$2:$B$4481,O1385,Demand!$C$2:$C$4481,P1385),"")</f>
        <v>39</v>
      </c>
      <c r="S1385" s="33">
        <f>INDEX(Stores!$G$2:$G$21,MATCH(B1385,Stores!$A$2:$A$21,0))</f>
        <v>33</v>
      </c>
      <c r="T1385" s="34">
        <f>IF(R1385="","",R1385/S1385)</f>
        <v>1.18181818181818</v>
      </c>
      <c r="U1385" s="34">
        <f>IF(E1385=1,T1385,"")</f>
        <v>1.18181818181818</v>
      </c>
      <c r="V1385" s="34" t="str">
        <f>IF(AND(E1385=1,L1385=0),T1385,"")</f>
        <v/>
      </c>
      <c r="W1385" s="33">
        <f>IF(U1385="","",IF(U1385&lt;=Breakdowns!$C$5,1,IF(U1385&lt;=Breakdowns!$C$6,2,IF(U1385&lt;=Breakdowns!$C$7,3,4))))</f>
        <v>3</v>
      </c>
      <c r="X1385" s="33" t="str">
        <f>IF(V1385="","",IF(V1385&lt;=Breakdowns!$D$5,1,IF(V1385&lt;=Breakdowns!$D$6,2,IF(V1385&lt;=Breakdowns!$D$7,3,4))))</f>
        <v/>
      </c>
      <c r="Y1385" s="34">
        <f>INDEX(Stores!$F$2:$F$21,MATCH(B1385,Stores!$A$2:$A$21,0))</f>
        <v>2.39</v>
      </c>
      <c r="Z1385" s="33">
        <f>IF(Y1385&gt;Store_Summary!$M$2,1,0)</f>
        <v>0</v>
      </c>
      <c r="AA1385" s="33">
        <f>INDEX(Stores!$C$2:$C$21,MATCH(B1385,Stores!$A$2:$A$21,0))</f>
        <v>470</v>
      </c>
      <c r="AB1385" s="33">
        <f>IF(AA1385&lt;180,1,0)</f>
        <v>0</v>
      </c>
      <c r="AC1385" s="32" t="str">
        <f>IF(Orders!D1382="","",INDEX(Riders!$C$2:$C$81,MATCH(Orders!D1382,Riders!$A$2:$A$81,0)))</f>
        <v>Petrol scooter</v>
      </c>
      <c r="AD1385" s="33">
        <f>IF(Orders!D1382="","",INDEX(Riders!$D$2:$D$81,MATCH(Orders!D1382,Riders!$A$2:$A$81,0)))</f>
        <v>19</v>
      </c>
      <c r="AE1385" s="33">
        <f>IF(Orders!D1382="","",IF(INDEX(Riders!$B$2:$B$81,MATCH(Orders!D1382,Riders!$A$2:$A$81,0))=B1385,1,0))</f>
        <v>0</v>
      </c>
      <c r="AF1385" s="34">
        <f>IF(E1385=1,Orders!L1382,"")</f>
        <v>2.24</v>
      </c>
      <c r="AG1385" s="34">
        <f>IF(E1385=1,Orders!P1382,"")</f>
        <v>9.6</v>
      </c>
      <c r="AH1385" s="34">
        <f>IF(E1385=1,Orders!Q1382,"")</f>
        <v>8.7</v>
      </c>
      <c r="AI1385" s="34">
        <f>IF(E1385=1,Orders!M1382,"")</f>
        <v>1.1</v>
      </c>
      <c r="AJ1385" s="34">
        <f>IF(E1385=1,Orders!N1382,"")</f>
        <v>3.2</v>
      </c>
      <c r="AK1385" s="34">
        <f>IF(E1385=1,Orders!O1382,"")</f>
        <v>4.4</v>
      </c>
      <c r="AL1385" s="33">
        <f>IF(E1385=1,IF(ROUND(ABS(AI1385+AJ1385+AK1385-AH1385),6)&lt;=0.1,1,0),"")</f>
        <v>1</v>
      </c>
      <c r="AM1385" s="36">
        <f>IF(E1385=1,AI1385/AH1385,"")</f>
        <v>0.126436781609195</v>
      </c>
      <c r="AN1385" s="36">
        <f>IF(E1385=1,AJ1385/AH1385,"")</f>
        <v>0.367816091954023</v>
      </c>
      <c r="AO1385" s="36">
        <f>IF(E1385=1,AK1385/AH1385,"")</f>
        <v>0.505747126436782</v>
      </c>
      <c r="AP1385" s="34">
        <f>IF(E1385=1,Orders!Y1382,"")</f>
        <v>0.77</v>
      </c>
      <c r="AQ1385" s="33">
        <f>IF(Orders!X1382,1,0)</f>
        <v>0</v>
      </c>
      <c r="AR1385" s="34">
        <f>IF(AND(E1385=1,L1385=1),AJ1385,"")</f>
        <v>3.2</v>
      </c>
      <c r="AS1385" s="34" t="str">
        <f>IF(AND(E1385=1,L1385=0),AJ1385,"")</f>
        <v/>
      </c>
      <c r="AT1385" s="34">
        <f>IF(AND(E1385=1,L1385=1),AI1385,"")</f>
        <v>1.1</v>
      </c>
      <c r="AU1385" s="34" t="str">
        <f>IF(AND(E1385=1,L1385=0),AI1385,"")</f>
        <v/>
      </c>
      <c r="AV1385" s="34">
        <f>IF(AND(E1385=1,L1385=1),AG1385,"")</f>
        <v>9.6</v>
      </c>
      <c r="AW1385" s="34" t="str">
        <f>IF(AND(E1385=1,L1385=0),AG1385,"")</f>
        <v/>
      </c>
      <c r="AX1385" s="34">
        <f>IF(AND(E1385=1,L1385=1),AH1385,"")</f>
        <v>8.7</v>
      </c>
      <c r="AY1385" s="34" t="str">
        <f>IF(AND(E1385=1,L1385=0),AH1385,"")</f>
        <v/>
      </c>
      <c r="AZ1385" s="34" t="str">
        <f>IF(G1385=1,F1385,"")</f>
        <v/>
      </c>
      <c r="BA1385" s="34" t="str">
        <f>IF(AND(G1385=1,L1385=1),F1385,"")</f>
        <v/>
      </c>
      <c r="BB1385" s="34" t="str">
        <f>IF(AND(G1385=1,L1385=0),F1385,"")</f>
        <v/>
      </c>
      <c r="BC1385" s="33">
        <f>IF(E1385=1,IF(Orders!R1382&gt;3,1,0),"")</f>
        <v>0</v>
      </c>
      <c r="BD1385" s="33">
        <f>IF(E1385=1,IF(Orders!R1382&gt;7,1,0),"")</f>
        <v>0</v>
      </c>
      <c r="BE1385" s="32" t="str">
        <f>IF(E1385=1,IF(Orders!L1382&lt;=1.5,"Up to 1.5 km",IF(Orders!L1382&lt;=3,"1.5–3 km","Over 3 km")),"")</f>
        <v>1.5–3 km</v>
      </c>
      <c r="BF1385" s="33">
        <f>IF(E1385=1,IF(ABS((Orders!G1382-Orders!F1382)*1440-Orders!R1382)&lt;0.06,1,0),"")</f>
        <v>1</v>
      </c>
      <c r="BG1385" s="33">
        <f>IF(ABS((Orders!F1382-Orders!E1382)*1440-Orders!P1382)&lt;0.06,1,0)</f>
        <v>1</v>
      </c>
      <c r="BH1385" s="33">
        <f>IF(E1385=1,IF(IF(Orders!S1382,1,0)=1-G1385,1,0),"")</f>
        <v>1</v>
      </c>
      <c r="BI1385" s="32" t="str">
        <f>INDEX(Stores!$B$2:$B$21,MATCH(B1385,Stores!$A$2:$A$21,0))</f>
        <v>Hyderabad</v>
      </c>
    </row>
    <row r="1386">
      <c r="A1386" s="32" t="str">
        <f>Orders!A1383</f>
        <v>O01382</v>
      </c>
      <c r="B1386" s="32" t="str">
        <f>Orders!C1383</f>
        <v>S005</v>
      </c>
      <c r="C1386" s="32" t="str">
        <f>Orders!B1383</f>
        <v>C0062</v>
      </c>
      <c r="D1386" s="32" t="str">
        <f>Orders!H1383</f>
        <v>Delivered</v>
      </c>
      <c r="E1386" s="33">
        <f>IF(Orders!H1383="Delivered",1,0)</f>
        <v>1</v>
      </c>
      <c r="F1386" s="34">
        <f>IF(E1386=1,Orders!R1383,"")</f>
        <v>-2</v>
      </c>
      <c r="G1386" s="33">
        <f>IF(E1386=1,IF(Orders!R1383&gt;0,1,0),"")</f>
        <v>0</v>
      </c>
      <c r="H1386" s="33">
        <f>IF(E1386=1,IF(Orders!R1383&gt;5,1,0),"")</f>
        <v>0</v>
      </c>
      <c r="I1386" s="32" t="str">
        <f>IF(E1386=1,"",IF(OR(Orders!T1383="Rider unavailable",Orders!T1383="Item unavailable"),"Company-caused","Unresolved"))</f>
        <v/>
      </c>
      <c r="J1386" s="33">
        <f>IF(OR(E1386=1,I1386="Company-caused"),1,0)</f>
        <v>1</v>
      </c>
      <c r="K1386" s="32" t="str">
        <f>IF(E1386=0,IF(I1386="Company-caused",IF(Orders!T1383="Rider unavailable","C1 Rider unavailable","C2 Item unavailable"),"Outside root: unresolved"),IF(G1386=0,"A On time",IF(H1386=1,IF(L1386=1,"B2a Severe, peak","B2b Severe, off-peak"),IF(L1386=1,"B1a Slight, peak","B1b Slight, off-peak"))))</f>
        <v>A On time</v>
      </c>
      <c r="L1386" s="33">
        <f>IF(AND(Orders!U1383&gt;=19,Orders!U1383&lt;22),1,0)</f>
        <v>0</v>
      </c>
      <c r="M1386" s="33">
        <f>IF(L1386=IF(Orders!V1383,1,0),1,0)</f>
        <v>1</v>
      </c>
      <c r="N1386" s="32" t="str">
        <f>IF(Orders!W1383="","None",Orders!W1383)</f>
        <v>None</v>
      </c>
      <c r="O1386" s="35">
        <f>INT(Orders!E1383)</f>
        <v>46271.0</v>
      </c>
      <c r="P1386" s="33">
        <f>Orders!U1383</f>
        <v>23</v>
      </c>
      <c r="Q1386" s="33">
        <f>COUNTIFS(Demand!$A$2:$A$4481,B1386,Demand!$B$2:$B$4481,O1386,Demand!$C$2:$C$4481,P1386)</f>
        <v>1</v>
      </c>
      <c r="R1386" s="33">
        <f>IF(Q1386=1,SUMIFS(Demand!$E$2:$E$4481,Demand!$A$2:$A$4481,B1386,Demand!$B$2:$B$4481,O1386,Demand!$C$2:$C$4481,P1386),"")</f>
        <v>17</v>
      </c>
      <c r="S1386" s="33">
        <f>INDEX(Stores!$G$2:$G$21,MATCH(B1386,Stores!$A$2:$A$21,0))</f>
        <v>14</v>
      </c>
      <c r="T1386" s="34">
        <f>IF(R1386="","",R1386/S1386)</f>
        <v>1.21428571428571</v>
      </c>
      <c r="U1386" s="34">
        <f>IF(E1386=1,T1386,"")</f>
        <v>1.21428571428571</v>
      </c>
      <c r="V1386" s="34">
        <f>IF(AND(E1386=1,L1386=0),T1386,"")</f>
        <v>1.21428571428571</v>
      </c>
      <c r="W1386" s="33">
        <f>IF(U1386="","",IF(U1386&lt;=Breakdowns!$C$5,1,IF(U1386&lt;=Breakdowns!$C$6,2,IF(U1386&lt;=Breakdowns!$C$7,3,4))))</f>
        <v>3</v>
      </c>
      <c r="X1386" s="33">
        <f>IF(V1386="","",IF(V1386&lt;=Breakdowns!$D$5,1,IF(V1386&lt;=Breakdowns!$D$6,2,IF(V1386&lt;=Breakdowns!$D$7,3,4))))</f>
        <v>4</v>
      </c>
      <c r="Y1386" s="34">
        <f>INDEX(Stores!$F$2:$F$21,MATCH(B1386,Stores!$A$2:$A$21,0))</f>
        <v>4.89</v>
      </c>
      <c r="Z1386" s="33">
        <f>IF(Y1386&gt;Store_Summary!$M$2,1,0)</f>
        <v>0</v>
      </c>
      <c r="AA1386" s="33">
        <f>INDEX(Stores!$C$2:$C$21,MATCH(B1386,Stores!$A$2:$A$21,0))</f>
        <v>138</v>
      </c>
      <c r="AB1386" s="33">
        <f>IF(AA1386&lt;180,1,0)</f>
        <v>1</v>
      </c>
      <c r="AC1386" s="32" t="str">
        <f>IF(Orders!D1383="","",INDEX(Riders!$C$2:$C$81,MATCH(Orders!D1383,Riders!$A$2:$A$81,0)))</f>
        <v>Petrol scooter</v>
      </c>
      <c r="AD1386" s="33">
        <f>IF(Orders!D1383="","",INDEX(Riders!$D$2:$D$81,MATCH(Orders!D1383,Riders!$A$2:$A$81,0)))</f>
        <v>43</v>
      </c>
      <c r="AE1386" s="33">
        <f>IF(Orders!D1383="","",IF(INDEX(Riders!$B$2:$B$81,MATCH(Orders!D1383,Riders!$A$2:$A$81,0))=B1386,1,0))</f>
        <v>0</v>
      </c>
      <c r="AF1386" s="34">
        <f>IF(E1386=1,Orders!L1383,"")</f>
        <v>1.69</v>
      </c>
      <c r="AG1386" s="34">
        <f>IF(E1386=1,Orders!P1383,"")</f>
        <v>11.3</v>
      </c>
      <c r="AH1386" s="34">
        <f>IF(E1386=1,Orders!Q1383,"")</f>
        <v>9.3</v>
      </c>
      <c r="AI1386" s="34">
        <f>IF(E1386=1,Orders!M1383,"")</f>
        <v>4.7</v>
      </c>
      <c r="AJ1386" s="34">
        <f>IF(E1386=1,Orders!N1383,"")</f>
        <v>0</v>
      </c>
      <c r="AK1386" s="34">
        <f>IF(E1386=1,Orders!O1383,"")</f>
        <v>4.6</v>
      </c>
      <c r="AL1386" s="33">
        <f>IF(E1386=1,IF(ROUND(ABS(AI1386+AJ1386+AK1386-AH1386),6)&lt;=0.1,1,0),"")</f>
        <v>1</v>
      </c>
      <c r="AM1386" s="36">
        <f>IF(E1386=1,AI1386/AH1386,"")</f>
        <v>0.505376344086022</v>
      </c>
      <c r="AN1386" s="36">
        <f>IF(E1386=1,AJ1386/AH1386,"")</f>
        <v>0</v>
      </c>
      <c r="AO1386" s="36">
        <f>IF(E1386=1,AK1386/AH1386,"")</f>
        <v>0.494623655913978</v>
      </c>
      <c r="AP1386" s="34">
        <f>IF(E1386=1,Orders!Y1383,"")</f>
        <v>0.5</v>
      </c>
      <c r="AQ1386" s="33">
        <f>IF(Orders!X1383,1,0)</f>
        <v>0</v>
      </c>
      <c r="AR1386" s="34" t="str">
        <f>IF(AND(E1386=1,L1386=1),AJ1386,"")</f>
        <v/>
      </c>
      <c r="AS1386" s="34">
        <f>IF(AND(E1386=1,L1386=0),AJ1386,"")</f>
        <v>0</v>
      </c>
      <c r="AT1386" s="34" t="str">
        <f>IF(AND(E1386=1,L1386=1),AI1386,"")</f>
        <v/>
      </c>
      <c r="AU1386" s="34">
        <f>IF(AND(E1386=1,L1386=0),AI1386,"")</f>
        <v>4.7</v>
      </c>
      <c r="AV1386" s="34" t="str">
        <f>IF(AND(E1386=1,L1386=1),AG1386,"")</f>
        <v/>
      </c>
      <c r="AW1386" s="34">
        <f>IF(AND(E1386=1,L1386=0),AG1386,"")</f>
        <v>11.3</v>
      </c>
      <c r="AX1386" s="34" t="str">
        <f>IF(AND(E1386=1,L1386=1),AH1386,"")</f>
        <v/>
      </c>
      <c r="AY1386" s="34">
        <f>IF(AND(E1386=1,L1386=0),AH1386,"")</f>
        <v>9.3</v>
      </c>
      <c r="AZ1386" s="34" t="str">
        <f>IF(G1386=1,F1386,"")</f>
        <v/>
      </c>
      <c r="BA1386" s="34" t="str">
        <f>IF(AND(G1386=1,L1386=1),F1386,"")</f>
        <v/>
      </c>
      <c r="BB1386" s="34" t="str">
        <f>IF(AND(G1386=1,L1386=0),F1386,"")</f>
        <v/>
      </c>
      <c r="BC1386" s="33">
        <f>IF(E1386=1,IF(Orders!R1383&gt;3,1,0),"")</f>
        <v>0</v>
      </c>
      <c r="BD1386" s="33">
        <f>IF(E1386=1,IF(Orders!R1383&gt;7,1,0),"")</f>
        <v>0</v>
      </c>
      <c r="BE1386" s="32" t="str">
        <f>IF(E1386=1,IF(Orders!L1383&lt;=1.5,"Up to 1.5 km",IF(Orders!L1383&lt;=3,"1.5–3 km","Over 3 km")),"")</f>
        <v>1.5–3 km</v>
      </c>
      <c r="BF1386" s="33">
        <f>IF(E1386=1,IF(ABS((Orders!G1383-Orders!F1383)*1440-Orders!R1383)&lt;0.06,1,0),"")</f>
        <v>1</v>
      </c>
      <c r="BG1386" s="33">
        <f>IF(ABS((Orders!F1383-Orders!E1383)*1440-Orders!P1383)&lt;0.06,1,0)</f>
        <v>1</v>
      </c>
      <c r="BH1386" s="33">
        <f>IF(E1386=1,IF(IF(Orders!S1383,1,0)=1-G1386,1,0),"")</f>
        <v>1</v>
      </c>
      <c r="BI1386" s="32" t="str">
        <f>INDEX(Stores!$B$2:$B$21,MATCH(B1386,Stores!$A$2:$A$21,0))</f>
        <v>Delhi</v>
      </c>
    </row>
    <row r="1387">
      <c r="A1387" s="32" t="str">
        <f>Orders!A1384</f>
        <v>O01383</v>
      </c>
      <c r="B1387" s="32" t="str">
        <f>Orders!C1384</f>
        <v>S019</v>
      </c>
      <c r="C1387" s="32" t="str">
        <f>Orders!B1384</f>
        <v>C0112</v>
      </c>
      <c r="D1387" s="32" t="str">
        <f>Orders!H1384</f>
        <v>Delivered</v>
      </c>
      <c r="E1387" s="33">
        <f>IF(Orders!H1384="Delivered",1,0)</f>
        <v>1</v>
      </c>
      <c r="F1387" s="34">
        <f>IF(E1387=1,Orders!R1384,"")</f>
        <v>-0.3</v>
      </c>
      <c r="G1387" s="33">
        <f>IF(E1387=1,IF(Orders!R1384&gt;0,1,0),"")</f>
        <v>0</v>
      </c>
      <c r="H1387" s="33">
        <f>IF(E1387=1,IF(Orders!R1384&gt;5,1,0),"")</f>
        <v>0</v>
      </c>
      <c r="I1387" s="32" t="str">
        <f>IF(E1387=1,"",IF(OR(Orders!T1384="Rider unavailable",Orders!T1384="Item unavailable"),"Company-caused","Unresolved"))</f>
        <v/>
      </c>
      <c r="J1387" s="33">
        <f>IF(OR(E1387=1,I1387="Company-caused"),1,0)</f>
        <v>1</v>
      </c>
      <c r="K1387" s="32" t="str">
        <f>IF(E1387=0,IF(I1387="Company-caused",IF(Orders!T1384="Rider unavailable","C1 Rider unavailable","C2 Item unavailable"),"Outside root: unresolved"),IF(G1387=0,"A On time",IF(H1387=1,IF(L1387=1,"B2a Severe, peak","B2b Severe, off-peak"),IF(L1387=1,"B1a Slight, peak","B1b Slight, off-peak"))))</f>
        <v>A On time</v>
      </c>
      <c r="L1387" s="33">
        <f>IF(AND(Orders!U1384&gt;=19,Orders!U1384&lt;22),1,0)</f>
        <v>0</v>
      </c>
      <c r="M1387" s="33">
        <f>IF(L1387=IF(Orders!V1384,1,0),1,0)</f>
        <v>1</v>
      </c>
      <c r="N1387" s="32" t="str">
        <f>IF(Orders!W1384="","None",Orders!W1384)</f>
        <v>None</v>
      </c>
      <c r="O1387" s="35">
        <f>INT(Orders!E1384)</f>
        <v>46278.0</v>
      </c>
      <c r="P1387" s="33">
        <f>Orders!U1384</f>
        <v>17</v>
      </c>
      <c r="Q1387" s="33">
        <f>COUNTIFS(Demand!$A$2:$A$4481,B1387,Demand!$B$2:$B$4481,O1387,Demand!$C$2:$C$4481,P1387)</f>
        <v>1</v>
      </c>
      <c r="R1387" s="33">
        <f>IF(Q1387=1,SUMIFS(Demand!$E$2:$E$4481,Demand!$A$2:$A$4481,B1387,Demand!$B$2:$B$4481,O1387,Demand!$C$2:$C$4481,P1387),"")</f>
        <v>20</v>
      </c>
      <c r="S1387" s="33">
        <f>INDEX(Stores!$G$2:$G$21,MATCH(B1387,Stores!$A$2:$A$21,0))</f>
        <v>22</v>
      </c>
      <c r="T1387" s="34">
        <f>IF(R1387="","",R1387/S1387)</f>
        <v>0.909090909090909</v>
      </c>
      <c r="U1387" s="34">
        <f>IF(E1387=1,T1387,"")</f>
        <v>0.909090909090909</v>
      </c>
      <c r="V1387" s="34">
        <f>IF(AND(E1387=1,L1387=0),T1387,"")</f>
        <v>0.909090909090909</v>
      </c>
      <c r="W1387" s="33">
        <f>IF(U1387="","",IF(U1387&lt;=Breakdowns!$C$5,1,IF(U1387&lt;=Breakdowns!$C$6,2,IF(U1387&lt;=Breakdowns!$C$7,3,4))))</f>
        <v>2</v>
      </c>
      <c r="X1387" s="33">
        <f>IF(V1387="","",IF(V1387&lt;=Breakdowns!$D$5,1,IF(V1387&lt;=Breakdowns!$D$6,2,IF(V1387&lt;=Breakdowns!$D$7,3,4))))</f>
        <v>2</v>
      </c>
      <c r="Y1387" s="34">
        <f>INDEX(Stores!$F$2:$F$21,MATCH(B1387,Stores!$A$2:$A$21,0))</f>
        <v>4.99</v>
      </c>
      <c r="Z1387" s="33">
        <f>IF(Y1387&gt;Store_Summary!$M$2,1,0)</f>
        <v>1</v>
      </c>
      <c r="AA1387" s="33">
        <f>INDEX(Stores!$C$2:$C$21,MATCH(B1387,Stores!$A$2:$A$21,0))</f>
        <v>851</v>
      </c>
      <c r="AB1387" s="33">
        <f>IF(AA1387&lt;180,1,0)</f>
        <v>0</v>
      </c>
      <c r="AC1387" s="32" t="str">
        <f>IF(Orders!D1384="","",INDEX(Riders!$C$2:$C$81,MATCH(Orders!D1384,Riders!$A$2:$A$81,0)))</f>
        <v>Petrol scooter</v>
      </c>
      <c r="AD1387" s="33">
        <f>IF(Orders!D1384="","",INDEX(Riders!$D$2:$D$81,MATCH(Orders!D1384,Riders!$A$2:$A$81,0)))</f>
        <v>29</v>
      </c>
      <c r="AE1387" s="33">
        <f>IF(Orders!D1384="","",IF(INDEX(Riders!$B$2:$B$81,MATCH(Orders!D1384,Riders!$A$2:$A$81,0))=B1387,1,0))</f>
        <v>0</v>
      </c>
      <c r="AF1387" s="34">
        <f>IF(E1387=1,Orders!L1384,"")</f>
        <v>2.5</v>
      </c>
      <c r="AG1387" s="34">
        <f>IF(E1387=1,Orders!P1384,"")</f>
        <v>9.8</v>
      </c>
      <c r="AH1387" s="34">
        <f>IF(E1387=1,Orders!Q1384,"")</f>
        <v>9.5</v>
      </c>
      <c r="AI1387" s="34">
        <f>IF(E1387=1,Orders!M1384,"")</f>
        <v>3.2</v>
      </c>
      <c r="AJ1387" s="34">
        <f>IF(E1387=1,Orders!N1384,"")</f>
        <v>2.8</v>
      </c>
      <c r="AK1387" s="34">
        <f>IF(E1387=1,Orders!O1384,"")</f>
        <v>3.5</v>
      </c>
      <c r="AL1387" s="33">
        <f>IF(E1387=1,IF(ROUND(ABS(AI1387+AJ1387+AK1387-AH1387),6)&lt;=0.1,1,0),"")</f>
        <v>1</v>
      </c>
      <c r="AM1387" s="36">
        <f>IF(E1387=1,AI1387/AH1387,"")</f>
        <v>0.336842105263158</v>
      </c>
      <c r="AN1387" s="36">
        <f>IF(E1387=1,AJ1387/AH1387,"")</f>
        <v>0.294736842105263</v>
      </c>
      <c r="AO1387" s="36">
        <f>IF(E1387=1,AK1387/AH1387,"")</f>
        <v>0.368421052631579</v>
      </c>
      <c r="AP1387" s="34">
        <f>IF(E1387=1,Orders!Y1384,"")</f>
        <v>0.49</v>
      </c>
      <c r="AQ1387" s="33">
        <f>IF(Orders!X1384,1,0)</f>
        <v>0</v>
      </c>
      <c r="AR1387" s="34" t="str">
        <f>IF(AND(E1387=1,L1387=1),AJ1387,"")</f>
        <v/>
      </c>
      <c r="AS1387" s="34">
        <f>IF(AND(E1387=1,L1387=0),AJ1387,"")</f>
        <v>2.8</v>
      </c>
      <c r="AT1387" s="34" t="str">
        <f>IF(AND(E1387=1,L1387=1),AI1387,"")</f>
        <v/>
      </c>
      <c r="AU1387" s="34">
        <f>IF(AND(E1387=1,L1387=0),AI1387,"")</f>
        <v>3.2</v>
      </c>
      <c r="AV1387" s="34" t="str">
        <f>IF(AND(E1387=1,L1387=1),AG1387,"")</f>
        <v/>
      </c>
      <c r="AW1387" s="34">
        <f>IF(AND(E1387=1,L1387=0),AG1387,"")</f>
        <v>9.8</v>
      </c>
      <c r="AX1387" s="34" t="str">
        <f>IF(AND(E1387=1,L1387=1),AH1387,"")</f>
        <v/>
      </c>
      <c r="AY1387" s="34">
        <f>IF(AND(E1387=1,L1387=0),AH1387,"")</f>
        <v>9.5</v>
      </c>
      <c r="AZ1387" s="34" t="str">
        <f>IF(G1387=1,F1387,"")</f>
        <v/>
      </c>
      <c r="BA1387" s="34" t="str">
        <f>IF(AND(G1387=1,L1387=1),F1387,"")</f>
        <v/>
      </c>
      <c r="BB1387" s="34" t="str">
        <f>IF(AND(G1387=1,L1387=0),F1387,"")</f>
        <v/>
      </c>
      <c r="BC1387" s="33">
        <f>IF(E1387=1,IF(Orders!R1384&gt;3,1,0),"")</f>
        <v>0</v>
      </c>
      <c r="BD1387" s="33">
        <f>IF(E1387=1,IF(Orders!R1384&gt;7,1,0),"")</f>
        <v>0</v>
      </c>
      <c r="BE1387" s="32" t="str">
        <f>IF(E1387=1,IF(Orders!L1384&lt;=1.5,"Up to 1.5 km",IF(Orders!L1384&lt;=3,"1.5–3 km","Over 3 km")),"")</f>
        <v>1.5–3 km</v>
      </c>
      <c r="BF1387" s="33">
        <f>IF(E1387=1,IF(ABS((Orders!G1384-Orders!F1384)*1440-Orders!R1384)&lt;0.06,1,0),"")</f>
        <v>1</v>
      </c>
      <c r="BG1387" s="33">
        <f>IF(ABS((Orders!F1384-Orders!E1384)*1440-Orders!P1384)&lt;0.06,1,0)</f>
        <v>1</v>
      </c>
      <c r="BH1387" s="33">
        <f>IF(E1387=1,IF(IF(Orders!S1384,1,0)=1-G1387,1,0),"")</f>
        <v>1</v>
      </c>
      <c r="BI1387" s="32" t="str">
        <f>INDEX(Stores!$B$2:$B$21,MATCH(B1387,Stores!$A$2:$A$21,0))</f>
        <v>Pune</v>
      </c>
    </row>
    <row r="1388">
      <c r="A1388" s="32" t="str">
        <f>Orders!A1385</f>
        <v>O01384</v>
      </c>
      <c r="B1388" s="32" t="str">
        <f>Orders!C1385</f>
        <v>S001</v>
      </c>
      <c r="C1388" s="32" t="str">
        <f>Orders!B1385</f>
        <v>C0041</v>
      </c>
      <c r="D1388" s="32" t="str">
        <f>Orders!H1385</f>
        <v>Delivered</v>
      </c>
      <c r="E1388" s="33">
        <f>IF(Orders!H1385="Delivered",1,0)</f>
        <v>1</v>
      </c>
      <c r="F1388" s="34">
        <f>IF(E1388=1,Orders!R1385,"")</f>
        <v>-0.5</v>
      </c>
      <c r="G1388" s="33">
        <f>IF(E1388=1,IF(Orders!R1385&gt;0,1,0),"")</f>
        <v>0</v>
      </c>
      <c r="H1388" s="33">
        <f>IF(E1388=1,IF(Orders!R1385&gt;5,1,0),"")</f>
        <v>0</v>
      </c>
      <c r="I1388" s="32" t="str">
        <f>IF(E1388=1,"",IF(OR(Orders!T1385="Rider unavailable",Orders!T1385="Item unavailable"),"Company-caused","Unresolved"))</f>
        <v/>
      </c>
      <c r="J1388" s="33">
        <f>IF(OR(E1388=1,I1388="Company-caused"),1,0)</f>
        <v>1</v>
      </c>
      <c r="K1388" s="32" t="str">
        <f>IF(E1388=0,IF(I1388="Company-caused",IF(Orders!T1385="Rider unavailable","C1 Rider unavailable","C2 Item unavailable"),"Outside root: unresolved"),IF(G1388=0,"A On time",IF(H1388=1,IF(L1388=1,"B2a Severe, peak","B2b Severe, off-peak"),IF(L1388=1,"B1a Slight, peak","B1b Slight, off-peak"))))</f>
        <v>A On time</v>
      </c>
      <c r="L1388" s="33">
        <f>IF(AND(Orders!U1385&gt;=19,Orders!U1385&lt;22),1,0)</f>
        <v>0</v>
      </c>
      <c r="M1388" s="33">
        <f>IF(L1388=IF(Orders!V1385,1,0),1,0)</f>
        <v>1</v>
      </c>
      <c r="N1388" s="32" t="str">
        <f>IF(Orders!W1385="","None",Orders!W1385)</f>
        <v>None</v>
      </c>
      <c r="O1388" s="35">
        <f>INT(Orders!E1385)</f>
        <v>46271.0</v>
      </c>
      <c r="P1388" s="33">
        <f>Orders!U1385</f>
        <v>8</v>
      </c>
      <c r="Q1388" s="33">
        <f>COUNTIFS(Demand!$A$2:$A$4481,B1388,Demand!$B$2:$B$4481,O1388,Demand!$C$2:$C$4481,P1388)</f>
        <v>1</v>
      </c>
      <c r="R1388" s="33">
        <f>IF(Q1388=1,SUMIFS(Demand!$E$2:$E$4481,Demand!$A$2:$A$4481,B1388,Demand!$B$2:$B$4481,O1388,Demand!$C$2:$C$4481,P1388),"")</f>
        <v>11</v>
      </c>
      <c r="S1388" s="33">
        <f>INDEX(Stores!$G$2:$G$21,MATCH(B1388,Stores!$A$2:$A$21,0))</f>
        <v>16</v>
      </c>
      <c r="T1388" s="34">
        <f>IF(R1388="","",R1388/S1388)</f>
        <v>0.6875</v>
      </c>
      <c r="U1388" s="34">
        <f>IF(E1388=1,T1388,"")</f>
        <v>0.6875</v>
      </c>
      <c r="V1388" s="34">
        <f>IF(AND(E1388=1,L1388=0),T1388,"")</f>
        <v>0.6875</v>
      </c>
      <c r="W1388" s="33">
        <f>IF(U1388="","",IF(U1388&lt;=Breakdowns!$C$5,1,IF(U1388&lt;=Breakdowns!$C$6,2,IF(U1388&lt;=Breakdowns!$C$7,3,4))))</f>
        <v>1</v>
      </c>
      <c r="X1388" s="33">
        <f>IF(V1388="","",IF(V1388&lt;=Breakdowns!$D$5,1,IF(V1388&lt;=Breakdowns!$D$6,2,IF(V1388&lt;=Breakdowns!$D$7,3,4))))</f>
        <v>1</v>
      </c>
      <c r="Y1388" s="34">
        <f>INDEX(Stores!$F$2:$F$21,MATCH(B1388,Stores!$A$2:$A$21,0))</f>
        <v>4.59</v>
      </c>
      <c r="Z1388" s="33">
        <f>IF(Y1388&gt;Store_Summary!$M$2,1,0)</f>
        <v>0</v>
      </c>
      <c r="AA1388" s="33">
        <f>INDEX(Stores!$C$2:$C$21,MATCH(B1388,Stores!$A$2:$A$21,0))</f>
        <v>362</v>
      </c>
      <c r="AB1388" s="33">
        <f>IF(AA1388&lt;180,1,0)</f>
        <v>0</v>
      </c>
      <c r="AC1388" s="32" t="str">
        <f>IF(Orders!D1385="","",INDEX(Riders!$C$2:$C$81,MATCH(Orders!D1385,Riders!$A$2:$A$81,0)))</f>
        <v>Bicycle</v>
      </c>
      <c r="AD1388" s="33">
        <f>IF(Orders!D1385="","",INDEX(Riders!$D$2:$D$81,MATCH(Orders!D1385,Riders!$A$2:$A$81,0)))</f>
        <v>2</v>
      </c>
      <c r="AE1388" s="33">
        <f>IF(Orders!D1385="","",IF(INDEX(Riders!$B$2:$B$81,MATCH(Orders!D1385,Riders!$A$2:$A$81,0))=B1388,1,0))</f>
        <v>0</v>
      </c>
      <c r="AF1388" s="34">
        <f>IF(E1388=1,Orders!L1385,"")</f>
        <v>2.43</v>
      </c>
      <c r="AG1388" s="34">
        <f>IF(E1388=1,Orders!P1385,"")</f>
        <v>11.2</v>
      </c>
      <c r="AH1388" s="34">
        <f>IF(E1388=1,Orders!Q1385,"")</f>
        <v>10.7</v>
      </c>
      <c r="AI1388" s="34">
        <f>IF(E1388=1,Orders!M1385,"")</f>
        <v>2.5</v>
      </c>
      <c r="AJ1388" s="34">
        <f>IF(E1388=1,Orders!N1385,"")</f>
        <v>4.4</v>
      </c>
      <c r="AK1388" s="34">
        <f>IF(E1388=1,Orders!O1385,"")</f>
        <v>3.8</v>
      </c>
      <c r="AL1388" s="33">
        <f>IF(E1388=1,IF(ROUND(ABS(AI1388+AJ1388+AK1388-AH1388),6)&lt;=0.1,1,0),"")</f>
        <v>1</v>
      </c>
      <c r="AM1388" s="36">
        <f>IF(E1388=1,AI1388/AH1388,"")</f>
        <v>0.233644859813084</v>
      </c>
      <c r="AN1388" s="36">
        <f>IF(E1388=1,AJ1388/AH1388,"")</f>
        <v>0.411214953271028</v>
      </c>
      <c r="AO1388" s="36">
        <f>IF(E1388=1,AK1388/AH1388,"")</f>
        <v>0.355140186915888</v>
      </c>
      <c r="AP1388" s="34">
        <f>IF(E1388=1,Orders!Y1385,"")</f>
        <v>0.63</v>
      </c>
      <c r="AQ1388" s="33">
        <f>IF(Orders!X1385,1,0)</f>
        <v>0</v>
      </c>
      <c r="AR1388" s="34" t="str">
        <f>IF(AND(E1388=1,L1388=1),AJ1388,"")</f>
        <v/>
      </c>
      <c r="AS1388" s="34">
        <f>IF(AND(E1388=1,L1388=0),AJ1388,"")</f>
        <v>4.4</v>
      </c>
      <c r="AT1388" s="34" t="str">
        <f>IF(AND(E1388=1,L1388=1),AI1388,"")</f>
        <v/>
      </c>
      <c r="AU1388" s="34">
        <f>IF(AND(E1388=1,L1388=0),AI1388,"")</f>
        <v>2.5</v>
      </c>
      <c r="AV1388" s="34" t="str">
        <f>IF(AND(E1388=1,L1388=1),AG1388,"")</f>
        <v/>
      </c>
      <c r="AW1388" s="34">
        <f>IF(AND(E1388=1,L1388=0),AG1388,"")</f>
        <v>11.2</v>
      </c>
      <c r="AX1388" s="34" t="str">
        <f>IF(AND(E1388=1,L1388=1),AH1388,"")</f>
        <v/>
      </c>
      <c r="AY1388" s="34">
        <f>IF(AND(E1388=1,L1388=0),AH1388,"")</f>
        <v>10.7</v>
      </c>
      <c r="AZ1388" s="34" t="str">
        <f>IF(G1388=1,F1388,"")</f>
        <v/>
      </c>
      <c r="BA1388" s="34" t="str">
        <f>IF(AND(G1388=1,L1388=1),F1388,"")</f>
        <v/>
      </c>
      <c r="BB1388" s="34" t="str">
        <f>IF(AND(G1388=1,L1388=0),F1388,"")</f>
        <v/>
      </c>
      <c r="BC1388" s="33">
        <f>IF(E1388=1,IF(Orders!R1385&gt;3,1,0),"")</f>
        <v>0</v>
      </c>
      <c r="BD1388" s="33">
        <f>IF(E1388=1,IF(Orders!R1385&gt;7,1,0),"")</f>
        <v>0</v>
      </c>
      <c r="BE1388" s="32" t="str">
        <f>IF(E1388=1,IF(Orders!L1385&lt;=1.5,"Up to 1.5 km",IF(Orders!L1385&lt;=3,"1.5–3 km","Over 3 km")),"")</f>
        <v>1.5–3 km</v>
      </c>
      <c r="BF1388" s="33">
        <f>IF(E1388=1,IF(ABS((Orders!G1385-Orders!F1385)*1440-Orders!R1385)&lt;0.06,1,0),"")</f>
        <v>1</v>
      </c>
      <c r="BG1388" s="33">
        <f>IF(ABS((Orders!F1385-Orders!E1385)*1440-Orders!P1385)&lt;0.06,1,0)</f>
        <v>1</v>
      </c>
      <c r="BH1388" s="33">
        <f>IF(E1388=1,IF(IF(Orders!S1385,1,0)=1-G1388,1,0),"")</f>
        <v>1</v>
      </c>
      <c r="BI1388" s="32" t="str">
        <f>INDEX(Stores!$B$2:$B$21,MATCH(B1388,Stores!$A$2:$A$21,0))</f>
        <v>Bengaluru</v>
      </c>
    </row>
    <row r="1389">
      <c r="A1389" s="32" t="str">
        <f>Orders!A1386</f>
        <v>O01385</v>
      </c>
      <c r="B1389" s="32" t="str">
        <f>Orders!C1386</f>
        <v>S015</v>
      </c>
      <c r="C1389" s="32" t="str">
        <f>Orders!B1386</f>
        <v>C0035</v>
      </c>
      <c r="D1389" s="32" t="str">
        <f>Orders!H1386</f>
        <v>Delivered</v>
      </c>
      <c r="E1389" s="33">
        <f>IF(Orders!H1386="Delivered",1,0)</f>
        <v>1</v>
      </c>
      <c r="F1389" s="34">
        <f>IF(E1389=1,Orders!R1386,"")</f>
        <v>-0.3</v>
      </c>
      <c r="G1389" s="33">
        <f>IF(E1389=1,IF(Orders!R1386&gt;0,1,0),"")</f>
        <v>0</v>
      </c>
      <c r="H1389" s="33">
        <f>IF(E1389=1,IF(Orders!R1386&gt;5,1,0),"")</f>
        <v>0</v>
      </c>
      <c r="I1389" s="32" t="str">
        <f>IF(E1389=1,"",IF(OR(Orders!T1386="Rider unavailable",Orders!T1386="Item unavailable"),"Company-caused","Unresolved"))</f>
        <v/>
      </c>
      <c r="J1389" s="33">
        <f>IF(OR(E1389=1,I1389="Company-caused"),1,0)</f>
        <v>1</v>
      </c>
      <c r="K1389" s="32" t="str">
        <f>IF(E1389=0,IF(I1389="Company-caused",IF(Orders!T1386="Rider unavailable","C1 Rider unavailable","C2 Item unavailable"),"Outside root: unresolved"),IF(G1389=0,"A On time",IF(H1389=1,IF(L1389=1,"B2a Severe, peak","B2b Severe, off-peak"),IF(L1389=1,"B1a Slight, peak","B1b Slight, off-peak"))))</f>
        <v>A On time</v>
      </c>
      <c r="L1389" s="33">
        <f>IF(AND(Orders!U1386&gt;=19,Orders!U1386&lt;22),1,0)</f>
        <v>0</v>
      </c>
      <c r="M1389" s="33">
        <f>IF(L1389=IF(Orders!V1386,1,0),1,0)</f>
        <v>1</v>
      </c>
      <c r="N1389" s="32" t="str">
        <f>IF(Orders!W1386="","None",Orders!W1386)</f>
        <v>Light</v>
      </c>
      <c r="O1389" s="35">
        <f>INT(Orders!E1386)</f>
        <v>46274.0</v>
      </c>
      <c r="P1389" s="33">
        <f>Orders!U1386</f>
        <v>14</v>
      </c>
      <c r="Q1389" s="33">
        <f>COUNTIFS(Demand!$A$2:$A$4481,B1389,Demand!$B$2:$B$4481,O1389,Demand!$C$2:$C$4481,P1389)</f>
        <v>1</v>
      </c>
      <c r="R1389" s="33">
        <f>IF(Q1389=1,SUMIFS(Demand!$E$2:$E$4481,Demand!$A$2:$A$4481,B1389,Demand!$B$2:$B$4481,O1389,Demand!$C$2:$C$4481,P1389),"")</f>
        <v>10</v>
      </c>
      <c r="S1389" s="33">
        <f>INDEX(Stores!$G$2:$G$21,MATCH(B1389,Stores!$A$2:$A$21,0))</f>
        <v>23</v>
      </c>
      <c r="T1389" s="34">
        <f>IF(R1389="","",R1389/S1389)</f>
        <v>0.434782608695652</v>
      </c>
      <c r="U1389" s="34">
        <f>IF(E1389=1,T1389,"")</f>
        <v>0.434782608695652</v>
      </c>
      <c r="V1389" s="34">
        <f>IF(AND(E1389=1,L1389=0),T1389,"")</f>
        <v>0.434782608695652</v>
      </c>
      <c r="W1389" s="33">
        <f>IF(U1389="","",IF(U1389&lt;=Breakdowns!$C$5,1,IF(U1389&lt;=Breakdowns!$C$6,2,IF(U1389&lt;=Breakdowns!$C$7,3,4))))</f>
        <v>1</v>
      </c>
      <c r="X1389" s="33">
        <f>IF(V1389="","",IF(V1389&lt;=Breakdowns!$D$5,1,IF(V1389&lt;=Breakdowns!$D$6,2,IF(V1389&lt;=Breakdowns!$D$7,3,4))))</f>
        <v>1</v>
      </c>
      <c r="Y1389" s="34">
        <f>INDEX(Stores!$F$2:$F$21,MATCH(B1389,Stores!$A$2:$A$21,0))</f>
        <v>4.66</v>
      </c>
      <c r="Z1389" s="33">
        <f>IF(Y1389&gt;Store_Summary!$M$2,1,0)</f>
        <v>0</v>
      </c>
      <c r="AA1389" s="33">
        <f>INDEX(Stores!$C$2:$C$21,MATCH(B1389,Stores!$A$2:$A$21,0))</f>
        <v>204</v>
      </c>
      <c r="AB1389" s="33">
        <f>IF(AA1389&lt;180,1,0)</f>
        <v>0</v>
      </c>
      <c r="AC1389" s="32" t="str">
        <f>IF(Orders!D1386="","",INDEX(Riders!$C$2:$C$81,MATCH(Orders!D1386,Riders!$A$2:$A$81,0)))</f>
        <v>Petrol scooter</v>
      </c>
      <c r="AD1389" s="33">
        <f>IF(Orders!D1386="","",INDEX(Riders!$D$2:$D$81,MATCH(Orders!D1386,Riders!$A$2:$A$81,0)))</f>
        <v>15</v>
      </c>
      <c r="AE1389" s="33">
        <f>IF(Orders!D1386="","",IF(INDEX(Riders!$B$2:$B$81,MATCH(Orders!D1386,Riders!$A$2:$A$81,0))=B1389,1,0))</f>
        <v>0</v>
      </c>
      <c r="AF1389" s="34">
        <f>IF(E1389=1,Orders!L1386,"")</f>
        <v>0.97</v>
      </c>
      <c r="AG1389" s="34">
        <f>IF(E1389=1,Orders!P1386,"")</f>
        <v>9</v>
      </c>
      <c r="AH1389" s="34">
        <f>IF(E1389=1,Orders!Q1386,"")</f>
        <v>8.7</v>
      </c>
      <c r="AI1389" s="34">
        <f>IF(E1389=1,Orders!M1386,"")</f>
        <v>3.7</v>
      </c>
      <c r="AJ1389" s="34">
        <f>IF(E1389=1,Orders!N1386,"")</f>
        <v>2</v>
      </c>
      <c r="AK1389" s="34">
        <f>IF(E1389=1,Orders!O1386,"")</f>
        <v>3</v>
      </c>
      <c r="AL1389" s="33">
        <f>IF(E1389=1,IF(ROUND(ABS(AI1389+AJ1389+AK1389-AH1389),6)&lt;=0.1,1,0),"")</f>
        <v>1</v>
      </c>
      <c r="AM1389" s="36">
        <f>IF(E1389=1,AI1389/AH1389,"")</f>
        <v>0.425287356321839</v>
      </c>
      <c r="AN1389" s="36">
        <f>IF(E1389=1,AJ1389/AH1389,"")</f>
        <v>0.229885057471264</v>
      </c>
      <c r="AO1389" s="36">
        <f>IF(E1389=1,AK1389/AH1389,"")</f>
        <v>0.344827586206897</v>
      </c>
      <c r="AP1389" s="34">
        <f>IF(E1389=1,Orders!Y1386,"")</f>
        <v>0.3</v>
      </c>
      <c r="AQ1389" s="33">
        <f>IF(Orders!X1386,1,0)</f>
        <v>0</v>
      </c>
      <c r="AR1389" s="34" t="str">
        <f>IF(AND(E1389=1,L1389=1),AJ1389,"")</f>
        <v/>
      </c>
      <c r="AS1389" s="34">
        <f>IF(AND(E1389=1,L1389=0),AJ1389,"")</f>
        <v>2</v>
      </c>
      <c r="AT1389" s="34" t="str">
        <f>IF(AND(E1389=1,L1389=1),AI1389,"")</f>
        <v/>
      </c>
      <c r="AU1389" s="34">
        <f>IF(AND(E1389=1,L1389=0),AI1389,"")</f>
        <v>3.7</v>
      </c>
      <c r="AV1389" s="34" t="str">
        <f>IF(AND(E1389=1,L1389=1),AG1389,"")</f>
        <v/>
      </c>
      <c r="AW1389" s="34">
        <f>IF(AND(E1389=1,L1389=0),AG1389,"")</f>
        <v>9</v>
      </c>
      <c r="AX1389" s="34" t="str">
        <f>IF(AND(E1389=1,L1389=1),AH1389,"")</f>
        <v/>
      </c>
      <c r="AY1389" s="34">
        <f>IF(AND(E1389=1,L1389=0),AH1389,"")</f>
        <v>8.7</v>
      </c>
      <c r="AZ1389" s="34" t="str">
        <f>IF(G1389=1,F1389,"")</f>
        <v/>
      </c>
      <c r="BA1389" s="34" t="str">
        <f>IF(AND(G1389=1,L1389=1),F1389,"")</f>
        <v/>
      </c>
      <c r="BB1389" s="34" t="str">
        <f>IF(AND(G1389=1,L1389=0),F1389,"")</f>
        <v/>
      </c>
      <c r="BC1389" s="33">
        <f>IF(E1389=1,IF(Orders!R1386&gt;3,1,0),"")</f>
        <v>0</v>
      </c>
      <c r="BD1389" s="33">
        <f>IF(E1389=1,IF(Orders!R1386&gt;7,1,0),"")</f>
        <v>0</v>
      </c>
      <c r="BE1389" s="32" t="str">
        <f>IF(E1389=1,IF(Orders!L1386&lt;=1.5,"Up to 1.5 km",IF(Orders!L1386&lt;=3,"1.5–3 km","Over 3 km")),"")</f>
        <v>Up to 1.5 km</v>
      </c>
      <c r="BF1389" s="33">
        <f>IF(E1389=1,IF(ABS((Orders!G1386-Orders!F1386)*1440-Orders!R1386)&lt;0.06,1,0),"")</f>
        <v>1</v>
      </c>
      <c r="BG1389" s="33">
        <f>IF(ABS((Orders!F1386-Orders!E1386)*1440-Orders!P1386)&lt;0.06,1,0)</f>
        <v>1</v>
      </c>
      <c r="BH1389" s="33">
        <f>IF(E1389=1,IF(IF(Orders!S1386,1,0)=1-G1389,1,0),"")</f>
        <v>1</v>
      </c>
      <c r="BI1389" s="32" t="str">
        <f>INDEX(Stores!$B$2:$B$21,MATCH(B1389,Stores!$A$2:$A$21,0))</f>
        <v>Delhi</v>
      </c>
    </row>
    <row r="1390">
      <c r="A1390" s="32" t="str">
        <f>Orders!A1387</f>
        <v>O01386</v>
      </c>
      <c r="B1390" s="32" t="str">
        <f>Orders!C1387</f>
        <v>S002</v>
      </c>
      <c r="C1390" s="32" t="str">
        <f>Orders!B1387</f>
        <v>C0184</v>
      </c>
      <c r="D1390" s="32" t="str">
        <f>Orders!H1387</f>
        <v>Delivered</v>
      </c>
      <c r="E1390" s="33">
        <f>IF(Orders!H1387="Delivered",1,0)</f>
        <v>1</v>
      </c>
      <c r="F1390" s="34">
        <f>IF(E1390=1,Orders!R1387,"")</f>
        <v>4.8</v>
      </c>
      <c r="G1390" s="33">
        <f>IF(E1390=1,IF(Orders!R1387&gt;0,1,0),"")</f>
        <v>1</v>
      </c>
      <c r="H1390" s="33">
        <f>IF(E1390=1,IF(Orders!R1387&gt;5,1,0),"")</f>
        <v>0</v>
      </c>
      <c r="I1390" s="32" t="str">
        <f>IF(E1390=1,"",IF(OR(Orders!T1387="Rider unavailable",Orders!T1387="Item unavailable"),"Company-caused","Unresolved"))</f>
        <v/>
      </c>
      <c r="J1390" s="33">
        <f>IF(OR(E1390=1,I1390="Company-caused"),1,0)</f>
        <v>1</v>
      </c>
      <c r="K1390" s="32" t="str">
        <f>IF(E1390=0,IF(I1390="Company-caused",IF(Orders!T1387="Rider unavailable","C1 Rider unavailable","C2 Item unavailable"),"Outside root: unresolved"),IF(G1390=0,"A On time",IF(H1390=1,IF(L1390=1,"B2a Severe, peak","B2b Severe, off-peak"),IF(L1390=1,"B1a Slight, peak","B1b Slight, off-peak"))))</f>
        <v>B1a Slight, peak</v>
      </c>
      <c r="L1390" s="33">
        <f>IF(AND(Orders!U1387&gt;=19,Orders!U1387&lt;22),1,0)</f>
        <v>1</v>
      </c>
      <c r="M1390" s="33">
        <f>IF(L1390=IF(Orders!V1387,1,0),1,0)</f>
        <v>1</v>
      </c>
      <c r="N1390" s="32" t="str">
        <f>IF(Orders!W1387="","None",Orders!W1387)</f>
        <v>None</v>
      </c>
      <c r="O1390" s="35">
        <f>INT(Orders!E1387)</f>
        <v>46269.0</v>
      </c>
      <c r="P1390" s="33">
        <f>Orders!U1387</f>
        <v>19</v>
      </c>
      <c r="Q1390" s="33">
        <f>COUNTIFS(Demand!$A$2:$A$4481,B1390,Demand!$B$2:$B$4481,O1390,Demand!$C$2:$C$4481,P1390)</f>
        <v>1</v>
      </c>
      <c r="R1390" s="33">
        <f>IF(Q1390=1,SUMIFS(Demand!$E$2:$E$4481,Demand!$A$2:$A$4481,B1390,Demand!$B$2:$B$4481,O1390,Demand!$C$2:$C$4481,P1390),"")</f>
        <v>52</v>
      </c>
      <c r="S1390" s="33">
        <f>INDEX(Stores!$G$2:$G$21,MATCH(B1390,Stores!$A$2:$A$21,0))</f>
        <v>33</v>
      </c>
      <c r="T1390" s="34">
        <f>IF(R1390="","",R1390/S1390)</f>
        <v>1.57575757575758</v>
      </c>
      <c r="U1390" s="34">
        <f>IF(E1390=1,T1390,"")</f>
        <v>1.57575757575758</v>
      </c>
      <c r="V1390" s="34" t="str">
        <f>IF(AND(E1390=1,L1390=0),T1390,"")</f>
        <v/>
      </c>
      <c r="W1390" s="33">
        <f>IF(U1390="","",IF(U1390&lt;=Breakdowns!$C$5,1,IF(U1390&lt;=Breakdowns!$C$6,2,IF(U1390&lt;=Breakdowns!$C$7,3,4))))</f>
        <v>4</v>
      </c>
      <c r="X1390" s="33" t="str">
        <f>IF(V1390="","",IF(V1390&lt;=Breakdowns!$D$5,1,IF(V1390&lt;=Breakdowns!$D$6,2,IF(V1390&lt;=Breakdowns!$D$7,3,4))))</f>
        <v/>
      </c>
      <c r="Y1390" s="34">
        <f>INDEX(Stores!$F$2:$F$21,MATCH(B1390,Stores!$A$2:$A$21,0))</f>
        <v>2.39</v>
      </c>
      <c r="Z1390" s="33">
        <f>IF(Y1390&gt;Store_Summary!$M$2,1,0)</f>
        <v>0</v>
      </c>
      <c r="AA1390" s="33">
        <f>INDEX(Stores!$C$2:$C$21,MATCH(B1390,Stores!$A$2:$A$21,0))</f>
        <v>470</v>
      </c>
      <c r="AB1390" s="33">
        <f>IF(AA1390&lt;180,1,0)</f>
        <v>0</v>
      </c>
      <c r="AC1390" s="32" t="str">
        <f>IF(Orders!D1387="","",INDEX(Riders!$C$2:$C$81,MATCH(Orders!D1387,Riders!$A$2:$A$81,0)))</f>
        <v>EV scooter</v>
      </c>
      <c r="AD1390" s="33">
        <f>IF(Orders!D1387="","",INDEX(Riders!$D$2:$D$81,MATCH(Orders!D1387,Riders!$A$2:$A$81,0)))</f>
        <v>3</v>
      </c>
      <c r="AE1390" s="33">
        <f>IF(Orders!D1387="","",IF(INDEX(Riders!$B$2:$B$81,MATCH(Orders!D1387,Riders!$A$2:$A$81,0))=B1390,1,0))</f>
        <v>0</v>
      </c>
      <c r="AF1390" s="34">
        <f>IF(E1390=1,Orders!L1387,"")</f>
        <v>0.5</v>
      </c>
      <c r="AG1390" s="34">
        <f>IF(E1390=1,Orders!P1387,"")</f>
        <v>11.1</v>
      </c>
      <c r="AH1390" s="34">
        <f>IF(E1390=1,Orders!Q1387,"")</f>
        <v>15.9</v>
      </c>
      <c r="AI1390" s="34">
        <f>IF(E1390=1,Orders!M1387,"")</f>
        <v>2.3</v>
      </c>
      <c r="AJ1390" s="34">
        <f>IF(E1390=1,Orders!N1387,"")</f>
        <v>11.4</v>
      </c>
      <c r="AK1390" s="34">
        <f>IF(E1390=1,Orders!O1387,"")</f>
        <v>2.3</v>
      </c>
      <c r="AL1390" s="33">
        <f>IF(E1390=1,IF(ROUND(ABS(AI1390+AJ1390+AK1390-AH1390),6)&lt;=0.1,1,0),"")</f>
        <v>1</v>
      </c>
      <c r="AM1390" s="36">
        <f>IF(E1390=1,AI1390/AH1390,"")</f>
        <v>0.144654088050314</v>
      </c>
      <c r="AN1390" s="36">
        <f>IF(E1390=1,AJ1390/AH1390,"")</f>
        <v>0.716981132075472</v>
      </c>
      <c r="AO1390" s="36">
        <f>IF(E1390=1,AK1390/AH1390,"")</f>
        <v>0.144654088050314</v>
      </c>
      <c r="AP1390" s="34">
        <f>IF(E1390=1,Orders!Y1387,"")</f>
        <v>0.37</v>
      </c>
      <c r="AQ1390" s="33">
        <f>IF(Orders!X1387,1,0)</f>
        <v>0</v>
      </c>
      <c r="AR1390" s="34">
        <f>IF(AND(E1390=1,L1390=1),AJ1390,"")</f>
        <v>11.4</v>
      </c>
      <c r="AS1390" s="34" t="str">
        <f>IF(AND(E1390=1,L1390=0),AJ1390,"")</f>
        <v/>
      </c>
      <c r="AT1390" s="34">
        <f>IF(AND(E1390=1,L1390=1),AI1390,"")</f>
        <v>2.3</v>
      </c>
      <c r="AU1390" s="34" t="str">
        <f>IF(AND(E1390=1,L1390=0),AI1390,"")</f>
        <v/>
      </c>
      <c r="AV1390" s="34">
        <f>IF(AND(E1390=1,L1390=1),AG1390,"")</f>
        <v>11.1</v>
      </c>
      <c r="AW1390" s="34" t="str">
        <f>IF(AND(E1390=1,L1390=0),AG1390,"")</f>
        <v/>
      </c>
      <c r="AX1390" s="34">
        <f>IF(AND(E1390=1,L1390=1),AH1390,"")</f>
        <v>15.9</v>
      </c>
      <c r="AY1390" s="34" t="str">
        <f>IF(AND(E1390=1,L1390=0),AH1390,"")</f>
        <v/>
      </c>
      <c r="AZ1390" s="34">
        <f>IF(G1390=1,F1390,"")</f>
        <v>4.8</v>
      </c>
      <c r="BA1390" s="34">
        <f>IF(AND(G1390=1,L1390=1),F1390,"")</f>
        <v>4.8</v>
      </c>
      <c r="BB1390" s="34" t="str">
        <f>IF(AND(G1390=1,L1390=0),F1390,"")</f>
        <v/>
      </c>
      <c r="BC1390" s="33">
        <f>IF(E1390=1,IF(Orders!R1387&gt;3,1,0),"")</f>
        <v>1</v>
      </c>
      <c r="BD1390" s="33">
        <f>IF(E1390=1,IF(Orders!R1387&gt;7,1,0),"")</f>
        <v>0</v>
      </c>
      <c r="BE1390" s="32" t="str">
        <f>IF(E1390=1,IF(Orders!L1387&lt;=1.5,"Up to 1.5 km",IF(Orders!L1387&lt;=3,"1.5–3 km","Over 3 km")),"")</f>
        <v>Up to 1.5 km</v>
      </c>
      <c r="BF1390" s="33">
        <f>IF(E1390=1,IF(ABS((Orders!G1387-Orders!F1387)*1440-Orders!R1387)&lt;0.06,1,0),"")</f>
        <v>1</v>
      </c>
      <c r="BG1390" s="33">
        <f>IF(ABS((Orders!F1387-Orders!E1387)*1440-Orders!P1387)&lt;0.06,1,0)</f>
        <v>1</v>
      </c>
      <c r="BH1390" s="33">
        <f>IF(E1390=1,IF(IF(Orders!S1387,1,0)=1-G1390,1,0),"")</f>
        <v>1</v>
      </c>
      <c r="BI1390" s="32" t="str">
        <f>INDEX(Stores!$B$2:$B$21,MATCH(B1390,Stores!$A$2:$A$21,0))</f>
        <v>Hyderabad</v>
      </c>
    </row>
    <row r="1391">
      <c r="A1391" s="32" t="str">
        <f>Orders!A1388</f>
        <v>O01387</v>
      </c>
      <c r="B1391" s="32" t="str">
        <f>Orders!C1388</f>
        <v>S014</v>
      </c>
      <c r="C1391" s="32" t="str">
        <f>Orders!B1388</f>
        <v>C0225</v>
      </c>
      <c r="D1391" s="32" t="str">
        <f>Orders!H1388</f>
        <v>Delivered</v>
      </c>
      <c r="E1391" s="33">
        <f>IF(Orders!H1388="Delivered",1,0)</f>
        <v>1</v>
      </c>
      <c r="F1391" s="34">
        <f>IF(E1391=1,Orders!R1388,"")</f>
        <v>8</v>
      </c>
      <c r="G1391" s="33">
        <f>IF(E1391=1,IF(Orders!R1388&gt;0,1,0),"")</f>
        <v>1</v>
      </c>
      <c r="H1391" s="33">
        <f>IF(E1391=1,IF(Orders!R1388&gt;5,1,0),"")</f>
        <v>1</v>
      </c>
      <c r="I1391" s="32" t="str">
        <f>IF(E1391=1,"",IF(OR(Orders!T1388="Rider unavailable",Orders!T1388="Item unavailable"),"Company-caused","Unresolved"))</f>
        <v/>
      </c>
      <c r="J1391" s="33">
        <f>IF(OR(E1391=1,I1391="Company-caused"),1,0)</f>
        <v>1</v>
      </c>
      <c r="K1391" s="32" t="str">
        <f>IF(E1391=0,IF(I1391="Company-caused",IF(Orders!T1388="Rider unavailable","C1 Rider unavailable","C2 Item unavailable"),"Outside root: unresolved"),IF(G1391=0,"A On time",IF(H1391=1,IF(L1391=1,"B2a Severe, peak","B2b Severe, off-peak"),IF(L1391=1,"B1a Slight, peak","B1b Slight, off-peak"))))</f>
        <v>B2b Severe, off-peak</v>
      </c>
      <c r="L1391" s="33">
        <f>IF(AND(Orders!U1388&gt;=19,Orders!U1388&lt;22),1,0)</f>
        <v>0</v>
      </c>
      <c r="M1391" s="33">
        <f>IF(L1391=IF(Orders!V1388,1,0),1,0)</f>
        <v>1</v>
      </c>
      <c r="N1391" s="32" t="str">
        <f>IF(Orders!W1388="","None",Orders!W1388)</f>
        <v>None</v>
      </c>
      <c r="O1391" s="35">
        <f>INT(Orders!E1388)</f>
        <v>46271.0</v>
      </c>
      <c r="P1391" s="33">
        <f>Orders!U1388</f>
        <v>22</v>
      </c>
      <c r="Q1391" s="33">
        <f>COUNTIFS(Demand!$A$2:$A$4481,B1391,Demand!$B$2:$B$4481,O1391,Demand!$C$2:$C$4481,P1391)</f>
        <v>1</v>
      </c>
      <c r="R1391" s="33">
        <f>IF(Q1391=1,SUMIFS(Demand!$E$2:$E$4481,Demand!$A$2:$A$4481,B1391,Demand!$B$2:$B$4481,O1391,Demand!$C$2:$C$4481,P1391),"")</f>
        <v>42</v>
      </c>
      <c r="S1391" s="33">
        <f>INDEX(Stores!$G$2:$G$21,MATCH(B1391,Stores!$A$2:$A$21,0))</f>
        <v>37</v>
      </c>
      <c r="T1391" s="34">
        <f>IF(R1391="","",R1391/S1391)</f>
        <v>1.13513513513514</v>
      </c>
      <c r="U1391" s="34">
        <f>IF(E1391=1,T1391,"")</f>
        <v>1.13513513513514</v>
      </c>
      <c r="V1391" s="34">
        <f>IF(AND(E1391=1,L1391=0),T1391,"")</f>
        <v>1.13513513513514</v>
      </c>
      <c r="W1391" s="33">
        <f>IF(U1391="","",IF(U1391&lt;=Breakdowns!$C$5,1,IF(U1391&lt;=Breakdowns!$C$6,2,IF(U1391&lt;=Breakdowns!$C$7,3,4))))</f>
        <v>3</v>
      </c>
      <c r="X1391" s="33">
        <f>IF(V1391="","",IF(V1391&lt;=Breakdowns!$D$5,1,IF(V1391&lt;=Breakdowns!$D$6,2,IF(V1391&lt;=Breakdowns!$D$7,3,4))))</f>
        <v>4</v>
      </c>
      <c r="Y1391" s="34">
        <f>INDEX(Stores!$F$2:$F$21,MATCH(B1391,Stores!$A$2:$A$21,0))</f>
        <v>5.55</v>
      </c>
      <c r="Z1391" s="33">
        <f>IF(Y1391&gt;Store_Summary!$M$2,1,0)</f>
        <v>1</v>
      </c>
      <c r="AA1391" s="33">
        <f>INDEX(Stores!$C$2:$C$21,MATCH(B1391,Stores!$A$2:$A$21,0))</f>
        <v>241</v>
      </c>
      <c r="AB1391" s="33">
        <f>IF(AA1391&lt;180,1,0)</f>
        <v>0</v>
      </c>
      <c r="AC1391" s="32" t="str">
        <f>IF(Orders!D1388="","",INDEX(Riders!$C$2:$C$81,MATCH(Orders!D1388,Riders!$A$2:$A$81,0)))</f>
        <v>Petrol scooter</v>
      </c>
      <c r="AD1391" s="33">
        <f>IF(Orders!D1388="","",INDEX(Riders!$D$2:$D$81,MATCH(Orders!D1388,Riders!$A$2:$A$81,0)))</f>
        <v>37</v>
      </c>
      <c r="AE1391" s="33">
        <f>IF(Orders!D1388="","",IF(INDEX(Riders!$B$2:$B$81,MATCH(Orders!D1388,Riders!$A$2:$A$81,0))=B1391,1,0))</f>
        <v>0</v>
      </c>
      <c r="AF1391" s="34">
        <f>IF(E1391=1,Orders!L1388,"")</f>
        <v>3.3</v>
      </c>
      <c r="AG1391" s="34">
        <f>IF(E1391=1,Orders!P1388,"")</f>
        <v>10.9</v>
      </c>
      <c r="AH1391" s="34">
        <f>IF(E1391=1,Orders!Q1388,"")</f>
        <v>18.9</v>
      </c>
      <c r="AI1391" s="34">
        <f>IF(E1391=1,Orders!M1388,"")</f>
        <v>4.7</v>
      </c>
      <c r="AJ1391" s="34">
        <f>IF(E1391=1,Orders!N1388,"")</f>
        <v>5.6</v>
      </c>
      <c r="AK1391" s="34">
        <f>IF(E1391=1,Orders!O1388,"")</f>
        <v>8.7</v>
      </c>
      <c r="AL1391" s="33">
        <f>IF(E1391=1,IF(ROUND(ABS(AI1391+AJ1391+AK1391-AH1391),6)&lt;=0.1,1,0),"")</f>
        <v>1</v>
      </c>
      <c r="AM1391" s="36">
        <f>IF(E1391=1,AI1391/AH1391,"")</f>
        <v>0.248677248677249</v>
      </c>
      <c r="AN1391" s="36">
        <f>IF(E1391=1,AJ1391/AH1391,"")</f>
        <v>0.296296296296296</v>
      </c>
      <c r="AO1391" s="36">
        <f>IF(E1391=1,AK1391/AH1391,"")</f>
        <v>0.46031746031746</v>
      </c>
      <c r="AP1391" s="34">
        <f>IF(E1391=1,Orders!Y1388,"")</f>
        <v>0.54</v>
      </c>
      <c r="AQ1391" s="33">
        <f>IF(Orders!X1388,1,0)</f>
        <v>0</v>
      </c>
      <c r="AR1391" s="34" t="str">
        <f>IF(AND(E1391=1,L1391=1),AJ1391,"")</f>
        <v/>
      </c>
      <c r="AS1391" s="34">
        <f>IF(AND(E1391=1,L1391=0),AJ1391,"")</f>
        <v>5.6</v>
      </c>
      <c r="AT1391" s="34" t="str">
        <f>IF(AND(E1391=1,L1391=1),AI1391,"")</f>
        <v/>
      </c>
      <c r="AU1391" s="34">
        <f>IF(AND(E1391=1,L1391=0),AI1391,"")</f>
        <v>4.7</v>
      </c>
      <c r="AV1391" s="34" t="str">
        <f>IF(AND(E1391=1,L1391=1),AG1391,"")</f>
        <v/>
      </c>
      <c r="AW1391" s="34">
        <f>IF(AND(E1391=1,L1391=0),AG1391,"")</f>
        <v>10.9</v>
      </c>
      <c r="AX1391" s="34" t="str">
        <f>IF(AND(E1391=1,L1391=1),AH1391,"")</f>
        <v/>
      </c>
      <c r="AY1391" s="34">
        <f>IF(AND(E1391=1,L1391=0),AH1391,"")</f>
        <v>18.9</v>
      </c>
      <c r="AZ1391" s="34">
        <f>IF(G1391=1,F1391,"")</f>
        <v>8</v>
      </c>
      <c r="BA1391" s="34" t="str">
        <f>IF(AND(G1391=1,L1391=1),F1391,"")</f>
        <v/>
      </c>
      <c r="BB1391" s="34">
        <f>IF(AND(G1391=1,L1391=0),F1391,"")</f>
        <v>8</v>
      </c>
      <c r="BC1391" s="33">
        <f>IF(E1391=1,IF(Orders!R1388&gt;3,1,0),"")</f>
        <v>1</v>
      </c>
      <c r="BD1391" s="33">
        <f>IF(E1391=1,IF(Orders!R1388&gt;7,1,0),"")</f>
        <v>1</v>
      </c>
      <c r="BE1391" s="32" t="str">
        <f>IF(E1391=1,IF(Orders!L1388&lt;=1.5,"Up to 1.5 km",IF(Orders!L1388&lt;=3,"1.5–3 km","Over 3 km")),"")</f>
        <v>Over 3 km</v>
      </c>
      <c r="BF1391" s="33">
        <f>IF(E1391=1,IF(ABS((Orders!G1388-Orders!F1388)*1440-Orders!R1388)&lt;0.06,1,0),"")</f>
        <v>1</v>
      </c>
      <c r="BG1391" s="33">
        <f>IF(ABS((Orders!F1388-Orders!E1388)*1440-Orders!P1388)&lt;0.06,1,0)</f>
        <v>1</v>
      </c>
      <c r="BH1391" s="33">
        <f>IF(E1391=1,IF(IF(Orders!S1388,1,0)=1-G1391,1,0),"")</f>
        <v>1</v>
      </c>
      <c r="BI1391" s="32" t="str">
        <f>INDEX(Stores!$B$2:$B$21,MATCH(B1391,Stores!$A$2:$A$21,0))</f>
        <v>Pune</v>
      </c>
    </row>
    <row r="1392">
      <c r="A1392" s="32" t="str">
        <f>Orders!A1389</f>
        <v>O01388</v>
      </c>
      <c r="B1392" s="32" t="str">
        <f>Orders!C1389</f>
        <v>S014</v>
      </c>
      <c r="C1392" s="32" t="str">
        <f>Orders!B1389</f>
        <v>C0018</v>
      </c>
      <c r="D1392" s="32" t="str">
        <f>Orders!H1389</f>
        <v>Delivered</v>
      </c>
      <c r="E1392" s="33">
        <f>IF(Orders!H1389="Delivered",1,0)</f>
        <v>1</v>
      </c>
      <c r="F1392" s="34">
        <f>IF(E1392=1,Orders!R1389,"")</f>
        <v>-0.2</v>
      </c>
      <c r="G1392" s="33">
        <f>IF(E1392=1,IF(Orders!R1389&gt;0,1,0),"")</f>
        <v>0</v>
      </c>
      <c r="H1392" s="33">
        <f>IF(E1392=1,IF(Orders!R1389&gt;5,1,0),"")</f>
        <v>0</v>
      </c>
      <c r="I1392" s="32" t="str">
        <f>IF(E1392=1,"",IF(OR(Orders!T1389="Rider unavailable",Orders!T1389="Item unavailable"),"Company-caused","Unresolved"))</f>
        <v/>
      </c>
      <c r="J1392" s="33">
        <f>IF(OR(E1392=1,I1392="Company-caused"),1,0)</f>
        <v>1</v>
      </c>
      <c r="K1392" s="32" t="str">
        <f>IF(E1392=0,IF(I1392="Company-caused",IF(Orders!T1389="Rider unavailable","C1 Rider unavailable","C2 Item unavailable"),"Outside root: unresolved"),IF(G1392=0,"A On time",IF(H1392=1,IF(L1392=1,"B2a Severe, peak","B2b Severe, off-peak"),IF(L1392=1,"B1a Slight, peak","B1b Slight, off-peak"))))</f>
        <v>A On time</v>
      </c>
      <c r="L1392" s="33">
        <f>IF(AND(Orders!U1389&gt;=19,Orders!U1389&lt;22),1,0)</f>
        <v>0</v>
      </c>
      <c r="M1392" s="33">
        <f>IF(L1392=IF(Orders!V1389,1,0),1,0)</f>
        <v>1</v>
      </c>
      <c r="N1392" s="32" t="str">
        <f>IF(Orders!W1389="","None",Orders!W1389)</f>
        <v>None</v>
      </c>
      <c r="O1392" s="35">
        <f>INT(Orders!E1389)</f>
        <v>46273.0</v>
      </c>
      <c r="P1392" s="33">
        <f>Orders!U1389</f>
        <v>12</v>
      </c>
      <c r="Q1392" s="33">
        <f>COUNTIFS(Demand!$A$2:$A$4481,B1392,Demand!$B$2:$B$4481,O1392,Demand!$C$2:$C$4481,P1392)</f>
        <v>1</v>
      </c>
      <c r="R1392" s="33">
        <f>IF(Q1392=1,SUMIFS(Demand!$E$2:$E$4481,Demand!$A$2:$A$4481,B1392,Demand!$B$2:$B$4481,O1392,Demand!$C$2:$C$4481,P1392),"")</f>
        <v>38</v>
      </c>
      <c r="S1392" s="33">
        <f>INDEX(Stores!$G$2:$G$21,MATCH(B1392,Stores!$A$2:$A$21,0))</f>
        <v>37</v>
      </c>
      <c r="T1392" s="34">
        <f>IF(R1392="","",R1392/S1392)</f>
        <v>1.02702702702703</v>
      </c>
      <c r="U1392" s="34">
        <f>IF(E1392=1,T1392,"")</f>
        <v>1.02702702702703</v>
      </c>
      <c r="V1392" s="34">
        <f>IF(AND(E1392=1,L1392=0),T1392,"")</f>
        <v>1.02702702702703</v>
      </c>
      <c r="W1392" s="33">
        <f>IF(U1392="","",IF(U1392&lt;=Breakdowns!$C$5,1,IF(U1392&lt;=Breakdowns!$C$6,2,IF(U1392&lt;=Breakdowns!$C$7,3,4))))</f>
        <v>3</v>
      </c>
      <c r="X1392" s="33">
        <f>IF(V1392="","",IF(V1392&lt;=Breakdowns!$D$5,1,IF(V1392&lt;=Breakdowns!$D$6,2,IF(V1392&lt;=Breakdowns!$D$7,3,4))))</f>
        <v>3</v>
      </c>
      <c r="Y1392" s="34">
        <f>INDEX(Stores!$F$2:$F$21,MATCH(B1392,Stores!$A$2:$A$21,0))</f>
        <v>5.55</v>
      </c>
      <c r="Z1392" s="33">
        <f>IF(Y1392&gt;Store_Summary!$M$2,1,0)</f>
        <v>1</v>
      </c>
      <c r="AA1392" s="33">
        <f>INDEX(Stores!$C$2:$C$21,MATCH(B1392,Stores!$A$2:$A$21,0))</f>
        <v>241</v>
      </c>
      <c r="AB1392" s="33">
        <f>IF(AA1392&lt;180,1,0)</f>
        <v>0</v>
      </c>
      <c r="AC1392" s="32" t="str">
        <f>IF(Orders!D1389="","",INDEX(Riders!$C$2:$C$81,MATCH(Orders!D1389,Riders!$A$2:$A$81,0)))</f>
        <v>EV scooter</v>
      </c>
      <c r="AD1392" s="33">
        <f>IF(Orders!D1389="","",INDEX(Riders!$D$2:$D$81,MATCH(Orders!D1389,Riders!$A$2:$A$81,0)))</f>
        <v>11</v>
      </c>
      <c r="AE1392" s="33">
        <f>IF(Orders!D1389="","",IF(INDEX(Riders!$B$2:$B$81,MATCH(Orders!D1389,Riders!$A$2:$A$81,0))=B1392,1,0))</f>
        <v>0</v>
      </c>
      <c r="AF1392" s="34">
        <f>IF(E1392=1,Orders!L1389,"")</f>
        <v>3.3</v>
      </c>
      <c r="AG1392" s="34">
        <f>IF(E1392=1,Orders!P1389,"")</f>
        <v>8.3</v>
      </c>
      <c r="AH1392" s="34">
        <f>IF(E1392=1,Orders!Q1389,"")</f>
        <v>8.1</v>
      </c>
      <c r="AI1392" s="34">
        <f>IF(E1392=1,Orders!M1389,"")</f>
        <v>3.2</v>
      </c>
      <c r="AJ1392" s="34">
        <f>IF(E1392=1,Orders!N1389,"")</f>
        <v>0.8</v>
      </c>
      <c r="AK1392" s="34">
        <f>IF(E1392=1,Orders!O1389,"")</f>
        <v>4.1</v>
      </c>
      <c r="AL1392" s="33">
        <f>IF(E1392=1,IF(ROUND(ABS(AI1392+AJ1392+AK1392-AH1392),6)&lt;=0.1,1,0),"")</f>
        <v>1</v>
      </c>
      <c r="AM1392" s="36">
        <f>IF(E1392=1,AI1392/AH1392,"")</f>
        <v>0.395061728395062</v>
      </c>
      <c r="AN1392" s="36">
        <f>IF(E1392=1,AJ1392/AH1392,"")</f>
        <v>0.0987654320987654</v>
      </c>
      <c r="AO1392" s="36">
        <f>IF(E1392=1,AK1392/AH1392,"")</f>
        <v>0.506172839506173</v>
      </c>
      <c r="AP1392" s="34">
        <f>IF(E1392=1,Orders!Y1389,"")</f>
        <v>0.42</v>
      </c>
      <c r="AQ1392" s="33">
        <f>IF(Orders!X1389,1,0)</f>
        <v>0</v>
      </c>
      <c r="AR1392" s="34" t="str">
        <f>IF(AND(E1392=1,L1392=1),AJ1392,"")</f>
        <v/>
      </c>
      <c r="AS1392" s="34">
        <f>IF(AND(E1392=1,L1392=0),AJ1392,"")</f>
        <v>0.8</v>
      </c>
      <c r="AT1392" s="34" t="str">
        <f>IF(AND(E1392=1,L1392=1),AI1392,"")</f>
        <v/>
      </c>
      <c r="AU1392" s="34">
        <f>IF(AND(E1392=1,L1392=0),AI1392,"")</f>
        <v>3.2</v>
      </c>
      <c r="AV1392" s="34" t="str">
        <f>IF(AND(E1392=1,L1392=1),AG1392,"")</f>
        <v/>
      </c>
      <c r="AW1392" s="34">
        <f>IF(AND(E1392=1,L1392=0),AG1392,"")</f>
        <v>8.3</v>
      </c>
      <c r="AX1392" s="34" t="str">
        <f>IF(AND(E1392=1,L1392=1),AH1392,"")</f>
        <v/>
      </c>
      <c r="AY1392" s="34">
        <f>IF(AND(E1392=1,L1392=0),AH1392,"")</f>
        <v>8.1</v>
      </c>
      <c r="AZ1392" s="34" t="str">
        <f>IF(G1392=1,F1392,"")</f>
        <v/>
      </c>
      <c r="BA1392" s="34" t="str">
        <f>IF(AND(G1392=1,L1392=1),F1392,"")</f>
        <v/>
      </c>
      <c r="BB1392" s="34" t="str">
        <f>IF(AND(G1392=1,L1392=0),F1392,"")</f>
        <v/>
      </c>
      <c r="BC1392" s="33">
        <f>IF(E1392=1,IF(Orders!R1389&gt;3,1,0),"")</f>
        <v>0</v>
      </c>
      <c r="BD1392" s="33">
        <f>IF(E1392=1,IF(Orders!R1389&gt;7,1,0),"")</f>
        <v>0</v>
      </c>
      <c r="BE1392" s="32" t="str">
        <f>IF(E1392=1,IF(Orders!L1389&lt;=1.5,"Up to 1.5 km",IF(Orders!L1389&lt;=3,"1.5–3 km","Over 3 km")),"")</f>
        <v>Over 3 km</v>
      </c>
      <c r="BF1392" s="33">
        <f>IF(E1392=1,IF(ABS((Orders!G1389-Orders!F1389)*1440-Orders!R1389)&lt;0.06,1,0),"")</f>
        <v>1</v>
      </c>
      <c r="BG1392" s="33">
        <f>IF(ABS((Orders!F1389-Orders!E1389)*1440-Orders!P1389)&lt;0.06,1,0)</f>
        <v>1</v>
      </c>
      <c r="BH1392" s="33">
        <f>IF(E1392=1,IF(IF(Orders!S1389,1,0)=1-G1392,1,0),"")</f>
        <v>1</v>
      </c>
      <c r="BI1392" s="32" t="str">
        <f>INDEX(Stores!$B$2:$B$21,MATCH(B1392,Stores!$A$2:$A$21,0))</f>
        <v>Pune</v>
      </c>
    </row>
    <row r="1393">
      <c r="A1393" s="32" t="str">
        <f>Orders!A1390</f>
        <v>O01389</v>
      </c>
      <c r="B1393" s="32" t="str">
        <f>Orders!C1390</f>
        <v>S001</v>
      </c>
      <c r="C1393" s="32" t="str">
        <f>Orders!B1390</f>
        <v>C0007</v>
      </c>
      <c r="D1393" s="32" t="str">
        <f>Orders!H1390</f>
        <v>Delivered</v>
      </c>
      <c r="E1393" s="33">
        <f>IF(Orders!H1390="Delivered",1,0)</f>
        <v>1</v>
      </c>
      <c r="F1393" s="34">
        <f>IF(E1393=1,Orders!R1390,"")</f>
        <v>-1.6</v>
      </c>
      <c r="G1393" s="33">
        <f>IF(E1393=1,IF(Orders!R1390&gt;0,1,0),"")</f>
        <v>0</v>
      </c>
      <c r="H1393" s="33">
        <f>IF(E1393=1,IF(Orders!R1390&gt;5,1,0),"")</f>
        <v>0</v>
      </c>
      <c r="I1393" s="32" t="str">
        <f>IF(E1393=1,"",IF(OR(Orders!T1390="Rider unavailable",Orders!T1390="Item unavailable"),"Company-caused","Unresolved"))</f>
        <v/>
      </c>
      <c r="J1393" s="33">
        <f>IF(OR(E1393=1,I1393="Company-caused"),1,0)</f>
        <v>1</v>
      </c>
      <c r="K1393" s="32" t="str">
        <f>IF(E1393=0,IF(I1393="Company-caused",IF(Orders!T1390="Rider unavailable","C1 Rider unavailable","C2 Item unavailable"),"Outside root: unresolved"),IF(G1393=0,"A On time",IF(H1393=1,IF(L1393=1,"B2a Severe, peak","B2b Severe, off-peak"),IF(L1393=1,"B1a Slight, peak","B1b Slight, off-peak"))))</f>
        <v>A On time</v>
      </c>
      <c r="L1393" s="33">
        <f>IF(AND(Orders!U1390&gt;=19,Orders!U1390&lt;22),1,0)</f>
        <v>0</v>
      </c>
      <c r="M1393" s="33">
        <f>IF(L1393=IF(Orders!V1390,1,0),1,0)</f>
        <v>1</v>
      </c>
      <c r="N1393" s="32" t="str">
        <f>IF(Orders!W1390="","None",Orders!W1390)</f>
        <v>None</v>
      </c>
      <c r="O1393" s="35">
        <f>INT(Orders!E1390)</f>
        <v>46270.0</v>
      </c>
      <c r="P1393" s="33">
        <f>Orders!U1390</f>
        <v>17</v>
      </c>
      <c r="Q1393" s="33">
        <f>COUNTIFS(Demand!$A$2:$A$4481,B1393,Demand!$B$2:$B$4481,O1393,Demand!$C$2:$C$4481,P1393)</f>
        <v>1</v>
      </c>
      <c r="R1393" s="33">
        <f>IF(Q1393=1,SUMIFS(Demand!$E$2:$E$4481,Demand!$A$2:$A$4481,B1393,Demand!$B$2:$B$4481,O1393,Demand!$C$2:$C$4481,P1393),"")</f>
        <v>18</v>
      </c>
      <c r="S1393" s="33">
        <f>INDEX(Stores!$G$2:$G$21,MATCH(B1393,Stores!$A$2:$A$21,0))</f>
        <v>16</v>
      </c>
      <c r="T1393" s="34">
        <f>IF(R1393="","",R1393/S1393)</f>
        <v>1.125</v>
      </c>
      <c r="U1393" s="34">
        <f>IF(E1393=1,T1393,"")</f>
        <v>1.125</v>
      </c>
      <c r="V1393" s="34">
        <f>IF(AND(E1393=1,L1393=0),T1393,"")</f>
        <v>1.125</v>
      </c>
      <c r="W1393" s="33">
        <f>IF(U1393="","",IF(U1393&lt;=Breakdowns!$C$5,1,IF(U1393&lt;=Breakdowns!$C$6,2,IF(U1393&lt;=Breakdowns!$C$7,3,4))))</f>
        <v>3</v>
      </c>
      <c r="X1393" s="33">
        <f>IF(V1393="","",IF(V1393&lt;=Breakdowns!$D$5,1,IF(V1393&lt;=Breakdowns!$D$6,2,IF(V1393&lt;=Breakdowns!$D$7,3,4))))</f>
        <v>4</v>
      </c>
      <c r="Y1393" s="34">
        <f>INDEX(Stores!$F$2:$F$21,MATCH(B1393,Stores!$A$2:$A$21,0))</f>
        <v>4.59</v>
      </c>
      <c r="Z1393" s="33">
        <f>IF(Y1393&gt;Store_Summary!$M$2,1,0)</f>
        <v>0</v>
      </c>
      <c r="AA1393" s="33">
        <f>INDEX(Stores!$C$2:$C$21,MATCH(B1393,Stores!$A$2:$A$21,0))</f>
        <v>362</v>
      </c>
      <c r="AB1393" s="33">
        <f>IF(AA1393&lt;180,1,0)</f>
        <v>0</v>
      </c>
      <c r="AC1393" s="32" t="str">
        <f>IF(Orders!D1390="","",INDEX(Riders!$C$2:$C$81,MATCH(Orders!D1390,Riders!$A$2:$A$81,0)))</f>
        <v>EV scooter</v>
      </c>
      <c r="AD1393" s="33">
        <f>IF(Orders!D1390="","",INDEX(Riders!$D$2:$D$81,MATCH(Orders!D1390,Riders!$A$2:$A$81,0)))</f>
        <v>37</v>
      </c>
      <c r="AE1393" s="33">
        <f>IF(Orders!D1390="","",IF(INDEX(Riders!$B$2:$B$81,MATCH(Orders!D1390,Riders!$A$2:$A$81,0))=B1393,1,0))</f>
        <v>0</v>
      </c>
      <c r="AF1393" s="34">
        <f>IF(E1393=1,Orders!L1390,"")</f>
        <v>0.5</v>
      </c>
      <c r="AG1393" s="34">
        <f>IF(E1393=1,Orders!P1390,"")</f>
        <v>11.4</v>
      </c>
      <c r="AH1393" s="34">
        <f>IF(E1393=1,Orders!Q1390,"")</f>
        <v>9.8</v>
      </c>
      <c r="AI1393" s="34">
        <f>IF(E1393=1,Orders!M1390,"")</f>
        <v>5.8</v>
      </c>
      <c r="AJ1393" s="34">
        <f>IF(E1393=1,Orders!N1390,"")</f>
        <v>1.2</v>
      </c>
      <c r="AK1393" s="34">
        <f>IF(E1393=1,Orders!O1390,"")</f>
        <v>2.9</v>
      </c>
      <c r="AL1393" s="33">
        <f>IF(E1393=1,IF(ROUND(ABS(AI1393+AJ1393+AK1393-AH1393),6)&lt;=0.1,1,0),"")</f>
        <v>1</v>
      </c>
      <c r="AM1393" s="36">
        <f>IF(E1393=1,AI1393/AH1393,"")</f>
        <v>0.591836734693878</v>
      </c>
      <c r="AN1393" s="36">
        <f>IF(E1393=1,AJ1393/AH1393,"")</f>
        <v>0.122448979591837</v>
      </c>
      <c r="AO1393" s="36">
        <f>IF(E1393=1,AK1393/AH1393,"")</f>
        <v>0.295918367346939</v>
      </c>
      <c r="AP1393" s="34">
        <f>IF(E1393=1,Orders!Y1390,"")</f>
        <v>0.6</v>
      </c>
      <c r="AQ1393" s="33">
        <f>IF(Orders!X1390,1,0)</f>
        <v>0</v>
      </c>
      <c r="AR1393" s="34" t="str">
        <f>IF(AND(E1393=1,L1393=1),AJ1393,"")</f>
        <v/>
      </c>
      <c r="AS1393" s="34">
        <f>IF(AND(E1393=1,L1393=0),AJ1393,"")</f>
        <v>1.2</v>
      </c>
      <c r="AT1393" s="34" t="str">
        <f>IF(AND(E1393=1,L1393=1),AI1393,"")</f>
        <v/>
      </c>
      <c r="AU1393" s="34">
        <f>IF(AND(E1393=1,L1393=0),AI1393,"")</f>
        <v>5.8</v>
      </c>
      <c r="AV1393" s="34" t="str">
        <f>IF(AND(E1393=1,L1393=1),AG1393,"")</f>
        <v/>
      </c>
      <c r="AW1393" s="34">
        <f>IF(AND(E1393=1,L1393=0),AG1393,"")</f>
        <v>11.4</v>
      </c>
      <c r="AX1393" s="34" t="str">
        <f>IF(AND(E1393=1,L1393=1),AH1393,"")</f>
        <v/>
      </c>
      <c r="AY1393" s="34">
        <f>IF(AND(E1393=1,L1393=0),AH1393,"")</f>
        <v>9.8</v>
      </c>
      <c r="AZ1393" s="34" t="str">
        <f>IF(G1393=1,F1393,"")</f>
        <v/>
      </c>
      <c r="BA1393" s="34" t="str">
        <f>IF(AND(G1393=1,L1393=1),F1393,"")</f>
        <v/>
      </c>
      <c r="BB1393" s="34" t="str">
        <f>IF(AND(G1393=1,L1393=0),F1393,"")</f>
        <v/>
      </c>
      <c r="BC1393" s="33">
        <f>IF(E1393=1,IF(Orders!R1390&gt;3,1,0),"")</f>
        <v>0</v>
      </c>
      <c r="BD1393" s="33">
        <f>IF(E1393=1,IF(Orders!R1390&gt;7,1,0),"")</f>
        <v>0</v>
      </c>
      <c r="BE1393" s="32" t="str">
        <f>IF(E1393=1,IF(Orders!L1390&lt;=1.5,"Up to 1.5 km",IF(Orders!L1390&lt;=3,"1.5–3 km","Over 3 km")),"")</f>
        <v>Up to 1.5 km</v>
      </c>
      <c r="BF1393" s="33">
        <f>IF(E1393=1,IF(ABS((Orders!G1390-Orders!F1390)*1440-Orders!R1390)&lt;0.06,1,0),"")</f>
        <v>1</v>
      </c>
      <c r="BG1393" s="33">
        <f>IF(ABS((Orders!F1390-Orders!E1390)*1440-Orders!P1390)&lt;0.06,1,0)</f>
        <v>1</v>
      </c>
      <c r="BH1393" s="33">
        <f>IF(E1393=1,IF(IF(Orders!S1390,1,0)=1-G1393,1,0),"")</f>
        <v>1</v>
      </c>
      <c r="BI1393" s="32" t="str">
        <f>INDEX(Stores!$B$2:$B$21,MATCH(B1393,Stores!$A$2:$A$21,0))</f>
        <v>Bengaluru</v>
      </c>
    </row>
    <row r="1394">
      <c r="A1394" s="32" t="str">
        <f>Orders!A1391</f>
        <v>O01390</v>
      </c>
      <c r="B1394" s="32" t="str">
        <f>Orders!C1391</f>
        <v>S002</v>
      </c>
      <c r="C1394" s="32" t="str">
        <f>Orders!B1391</f>
        <v>C0057</v>
      </c>
      <c r="D1394" s="32" t="str">
        <f>Orders!H1391</f>
        <v>Delivered</v>
      </c>
      <c r="E1394" s="33">
        <f>IF(Orders!H1391="Delivered",1,0)</f>
        <v>1</v>
      </c>
      <c r="F1394" s="34">
        <f>IF(E1394=1,Orders!R1391,"")</f>
        <v>8.6</v>
      </c>
      <c r="G1394" s="33">
        <f>IF(E1394=1,IF(Orders!R1391&gt;0,1,0),"")</f>
        <v>1</v>
      </c>
      <c r="H1394" s="33">
        <f>IF(E1394=1,IF(Orders!R1391&gt;5,1,0),"")</f>
        <v>1</v>
      </c>
      <c r="I1394" s="32" t="str">
        <f>IF(E1394=1,"",IF(OR(Orders!T1391="Rider unavailable",Orders!T1391="Item unavailable"),"Company-caused","Unresolved"))</f>
        <v/>
      </c>
      <c r="J1394" s="33">
        <f>IF(OR(E1394=1,I1394="Company-caused"),1,0)</f>
        <v>1</v>
      </c>
      <c r="K1394" s="32" t="str">
        <f>IF(E1394=0,IF(I1394="Company-caused",IF(Orders!T1391="Rider unavailable","C1 Rider unavailable","C2 Item unavailable"),"Outside root: unresolved"),IF(G1394=0,"A On time",IF(H1394=1,IF(L1394=1,"B2a Severe, peak","B2b Severe, off-peak"),IF(L1394=1,"B1a Slight, peak","B1b Slight, off-peak"))))</f>
        <v>B2b Severe, off-peak</v>
      </c>
      <c r="L1394" s="33">
        <f>IF(AND(Orders!U1391&gt;=19,Orders!U1391&lt;22),1,0)</f>
        <v>0</v>
      </c>
      <c r="M1394" s="33">
        <f>IF(L1394=IF(Orders!V1391,1,0),1,0)</f>
        <v>1</v>
      </c>
      <c r="N1394" s="32" t="str">
        <f>IF(Orders!W1391="","None",Orders!W1391)</f>
        <v>None</v>
      </c>
      <c r="O1394" s="35">
        <f>INT(Orders!E1391)</f>
        <v>46273.0</v>
      </c>
      <c r="P1394" s="33">
        <f>Orders!U1391</f>
        <v>14</v>
      </c>
      <c r="Q1394" s="33">
        <f>COUNTIFS(Demand!$A$2:$A$4481,B1394,Demand!$B$2:$B$4481,O1394,Demand!$C$2:$C$4481,P1394)</f>
        <v>1</v>
      </c>
      <c r="R1394" s="33">
        <f>IF(Q1394=1,SUMIFS(Demand!$E$2:$E$4481,Demand!$A$2:$A$4481,B1394,Demand!$B$2:$B$4481,O1394,Demand!$C$2:$C$4481,P1394),"")</f>
        <v>20</v>
      </c>
      <c r="S1394" s="33">
        <f>INDEX(Stores!$G$2:$G$21,MATCH(B1394,Stores!$A$2:$A$21,0))</f>
        <v>33</v>
      </c>
      <c r="T1394" s="34">
        <f>IF(R1394="","",R1394/S1394)</f>
        <v>0.606060606060606</v>
      </c>
      <c r="U1394" s="34">
        <f>IF(E1394=1,T1394,"")</f>
        <v>0.606060606060606</v>
      </c>
      <c r="V1394" s="34">
        <f>IF(AND(E1394=1,L1394=0),T1394,"")</f>
        <v>0.606060606060606</v>
      </c>
      <c r="W1394" s="33">
        <f>IF(U1394="","",IF(U1394&lt;=Breakdowns!$C$5,1,IF(U1394&lt;=Breakdowns!$C$6,2,IF(U1394&lt;=Breakdowns!$C$7,3,4))))</f>
        <v>1</v>
      </c>
      <c r="X1394" s="33">
        <f>IF(V1394="","",IF(V1394&lt;=Breakdowns!$D$5,1,IF(V1394&lt;=Breakdowns!$D$6,2,IF(V1394&lt;=Breakdowns!$D$7,3,4))))</f>
        <v>1</v>
      </c>
      <c r="Y1394" s="34">
        <f>INDEX(Stores!$F$2:$F$21,MATCH(B1394,Stores!$A$2:$A$21,0))</f>
        <v>2.39</v>
      </c>
      <c r="Z1394" s="33">
        <f>IF(Y1394&gt;Store_Summary!$M$2,1,0)</f>
        <v>0</v>
      </c>
      <c r="AA1394" s="33">
        <f>INDEX(Stores!$C$2:$C$21,MATCH(B1394,Stores!$A$2:$A$21,0))</f>
        <v>470</v>
      </c>
      <c r="AB1394" s="33">
        <f>IF(AA1394&lt;180,1,0)</f>
        <v>0</v>
      </c>
      <c r="AC1394" s="32" t="str">
        <f>IF(Orders!D1391="","",INDEX(Riders!$C$2:$C$81,MATCH(Orders!D1391,Riders!$A$2:$A$81,0)))</f>
        <v>Petrol scooter</v>
      </c>
      <c r="AD1394" s="33">
        <f>IF(Orders!D1391="","",INDEX(Riders!$D$2:$D$81,MATCH(Orders!D1391,Riders!$A$2:$A$81,0)))</f>
        <v>29</v>
      </c>
      <c r="AE1394" s="33">
        <f>IF(Orders!D1391="","",IF(INDEX(Riders!$B$2:$B$81,MATCH(Orders!D1391,Riders!$A$2:$A$81,0))=B1394,1,0))</f>
        <v>0</v>
      </c>
      <c r="AF1394" s="34">
        <f>IF(E1394=1,Orders!L1391,"")</f>
        <v>3.75</v>
      </c>
      <c r="AG1394" s="34">
        <f>IF(E1394=1,Orders!P1391,"")</f>
        <v>10.6</v>
      </c>
      <c r="AH1394" s="34">
        <f>IF(E1394=1,Orders!Q1391,"")</f>
        <v>19.2</v>
      </c>
      <c r="AI1394" s="34">
        <f>IF(E1394=1,Orders!M1391,"")</f>
        <v>4.1</v>
      </c>
      <c r="AJ1394" s="34">
        <f>IF(E1394=1,Orders!N1391,"")</f>
        <v>6.6</v>
      </c>
      <c r="AK1394" s="34">
        <f>IF(E1394=1,Orders!O1391,"")</f>
        <v>8.5</v>
      </c>
      <c r="AL1394" s="33">
        <f>IF(E1394=1,IF(ROUND(ABS(AI1394+AJ1394+AK1394-AH1394),6)&lt;=0.1,1,0),"")</f>
        <v>1</v>
      </c>
      <c r="AM1394" s="36">
        <f>IF(E1394=1,AI1394/AH1394,"")</f>
        <v>0.213541666666667</v>
      </c>
      <c r="AN1394" s="36">
        <f>IF(E1394=1,AJ1394/AH1394,"")</f>
        <v>0.34375</v>
      </c>
      <c r="AO1394" s="36">
        <f>IF(E1394=1,AK1394/AH1394,"")</f>
        <v>0.442708333333333</v>
      </c>
      <c r="AP1394" s="34">
        <f>IF(E1394=1,Orders!Y1391,"")</f>
        <v>0.58</v>
      </c>
      <c r="AQ1394" s="33">
        <f>IF(Orders!X1391,1,0)</f>
        <v>0</v>
      </c>
      <c r="AR1394" s="34" t="str">
        <f>IF(AND(E1394=1,L1394=1),AJ1394,"")</f>
        <v/>
      </c>
      <c r="AS1394" s="34">
        <f>IF(AND(E1394=1,L1394=0),AJ1394,"")</f>
        <v>6.6</v>
      </c>
      <c r="AT1394" s="34" t="str">
        <f>IF(AND(E1394=1,L1394=1),AI1394,"")</f>
        <v/>
      </c>
      <c r="AU1394" s="34">
        <f>IF(AND(E1394=1,L1394=0),AI1394,"")</f>
        <v>4.1</v>
      </c>
      <c r="AV1394" s="34" t="str">
        <f>IF(AND(E1394=1,L1394=1),AG1394,"")</f>
        <v/>
      </c>
      <c r="AW1394" s="34">
        <f>IF(AND(E1394=1,L1394=0),AG1394,"")</f>
        <v>10.6</v>
      </c>
      <c r="AX1394" s="34" t="str">
        <f>IF(AND(E1394=1,L1394=1),AH1394,"")</f>
        <v/>
      </c>
      <c r="AY1394" s="34">
        <f>IF(AND(E1394=1,L1394=0),AH1394,"")</f>
        <v>19.2</v>
      </c>
      <c r="AZ1394" s="34">
        <f>IF(G1394=1,F1394,"")</f>
        <v>8.6</v>
      </c>
      <c r="BA1394" s="34" t="str">
        <f>IF(AND(G1394=1,L1394=1),F1394,"")</f>
        <v/>
      </c>
      <c r="BB1394" s="34">
        <f>IF(AND(G1394=1,L1394=0),F1394,"")</f>
        <v>8.6</v>
      </c>
      <c r="BC1394" s="33">
        <f>IF(E1394=1,IF(Orders!R1391&gt;3,1,0),"")</f>
        <v>1</v>
      </c>
      <c r="BD1394" s="33">
        <f>IF(E1394=1,IF(Orders!R1391&gt;7,1,0),"")</f>
        <v>1</v>
      </c>
      <c r="BE1394" s="32" t="str">
        <f>IF(E1394=1,IF(Orders!L1391&lt;=1.5,"Up to 1.5 km",IF(Orders!L1391&lt;=3,"1.5–3 km","Over 3 km")),"")</f>
        <v>Over 3 km</v>
      </c>
      <c r="BF1394" s="33">
        <f>IF(E1394=1,IF(ABS((Orders!G1391-Orders!F1391)*1440-Orders!R1391)&lt;0.06,1,0),"")</f>
        <v>1</v>
      </c>
      <c r="BG1394" s="33">
        <f>IF(ABS((Orders!F1391-Orders!E1391)*1440-Orders!P1391)&lt;0.06,1,0)</f>
        <v>1</v>
      </c>
      <c r="BH1394" s="33">
        <f>IF(E1394=1,IF(IF(Orders!S1391,1,0)=1-G1394,1,0),"")</f>
        <v>1</v>
      </c>
      <c r="BI1394" s="32" t="str">
        <f>INDEX(Stores!$B$2:$B$21,MATCH(B1394,Stores!$A$2:$A$21,0))</f>
        <v>Hyderabad</v>
      </c>
    </row>
    <row r="1395">
      <c r="A1395" s="32" t="str">
        <f>Orders!A1392</f>
        <v>O01391</v>
      </c>
      <c r="B1395" s="32" t="str">
        <f>Orders!C1392</f>
        <v>S011</v>
      </c>
      <c r="C1395" s="32" t="str">
        <f>Orders!B1392</f>
        <v>C0238</v>
      </c>
      <c r="D1395" s="32" t="str">
        <f>Orders!H1392</f>
        <v>Delivered</v>
      </c>
      <c r="E1395" s="33">
        <f>IF(Orders!H1392="Delivered",1,0)</f>
        <v>1</v>
      </c>
      <c r="F1395" s="34">
        <f>IF(E1395=1,Orders!R1392,"")</f>
        <v>-1.1</v>
      </c>
      <c r="G1395" s="33">
        <f>IF(E1395=1,IF(Orders!R1392&gt;0,1,0),"")</f>
        <v>0</v>
      </c>
      <c r="H1395" s="33">
        <f>IF(E1395=1,IF(Orders!R1392&gt;5,1,0),"")</f>
        <v>0</v>
      </c>
      <c r="I1395" s="32" t="str">
        <f>IF(E1395=1,"",IF(OR(Orders!T1392="Rider unavailable",Orders!T1392="Item unavailable"),"Company-caused","Unresolved"))</f>
        <v/>
      </c>
      <c r="J1395" s="33">
        <f>IF(OR(E1395=1,I1395="Company-caused"),1,0)</f>
        <v>1</v>
      </c>
      <c r="K1395" s="32" t="str">
        <f>IF(E1395=0,IF(I1395="Company-caused",IF(Orders!T1392="Rider unavailable","C1 Rider unavailable","C2 Item unavailable"),"Outside root: unresolved"),IF(G1395=0,"A On time",IF(H1395=1,IF(L1395=1,"B2a Severe, peak","B2b Severe, off-peak"),IF(L1395=1,"B1a Slight, peak","B1b Slight, off-peak"))))</f>
        <v>A On time</v>
      </c>
      <c r="L1395" s="33">
        <f>IF(AND(Orders!U1392&gt;=19,Orders!U1392&lt;22),1,0)</f>
        <v>0</v>
      </c>
      <c r="M1395" s="33">
        <f>IF(L1395=IF(Orders!V1392,1,0),1,0)</f>
        <v>1</v>
      </c>
      <c r="N1395" s="32" t="str">
        <f>IF(Orders!W1392="","None",Orders!W1392)</f>
        <v>None</v>
      </c>
      <c r="O1395" s="35">
        <f>INT(Orders!E1392)</f>
        <v>46274.0</v>
      </c>
      <c r="P1395" s="33">
        <f>Orders!U1392</f>
        <v>12</v>
      </c>
      <c r="Q1395" s="33">
        <f>COUNTIFS(Demand!$A$2:$A$4481,B1395,Demand!$B$2:$B$4481,O1395,Demand!$C$2:$C$4481,P1395)</f>
        <v>1</v>
      </c>
      <c r="R1395" s="33">
        <f>IF(Q1395=1,SUMIFS(Demand!$E$2:$E$4481,Demand!$A$2:$A$4481,B1395,Demand!$B$2:$B$4481,O1395,Demand!$C$2:$C$4481,P1395),"")</f>
        <v>31</v>
      </c>
      <c r="S1395" s="33">
        <f>INDEX(Stores!$G$2:$G$21,MATCH(B1395,Stores!$A$2:$A$21,0))</f>
        <v>31</v>
      </c>
      <c r="T1395" s="34">
        <f>IF(R1395="","",R1395/S1395)</f>
        <v>1</v>
      </c>
      <c r="U1395" s="34">
        <f>IF(E1395=1,T1395,"")</f>
        <v>1</v>
      </c>
      <c r="V1395" s="34">
        <f>IF(AND(E1395=1,L1395=0),T1395,"")</f>
        <v>1</v>
      </c>
      <c r="W1395" s="33">
        <f>IF(U1395="","",IF(U1395&lt;=Breakdowns!$C$5,1,IF(U1395&lt;=Breakdowns!$C$6,2,IF(U1395&lt;=Breakdowns!$C$7,3,4))))</f>
        <v>2</v>
      </c>
      <c r="X1395" s="33">
        <f>IF(V1395="","",IF(V1395&lt;=Breakdowns!$D$5,1,IF(V1395&lt;=Breakdowns!$D$6,2,IF(V1395&lt;=Breakdowns!$D$7,3,4))))</f>
        <v>3</v>
      </c>
      <c r="Y1395" s="34">
        <f>INDEX(Stores!$F$2:$F$21,MATCH(B1395,Stores!$A$2:$A$21,0))</f>
        <v>5.67</v>
      </c>
      <c r="Z1395" s="33">
        <f>IF(Y1395&gt;Store_Summary!$M$2,1,0)</f>
        <v>1</v>
      </c>
      <c r="AA1395" s="33">
        <f>INDEX(Stores!$C$2:$C$21,MATCH(B1395,Stores!$A$2:$A$21,0))</f>
        <v>732</v>
      </c>
      <c r="AB1395" s="33">
        <f>IF(AA1395&lt;180,1,0)</f>
        <v>0</v>
      </c>
      <c r="AC1395" s="32" t="str">
        <f>IF(Orders!D1392="","",INDEX(Riders!$C$2:$C$81,MATCH(Orders!D1392,Riders!$A$2:$A$81,0)))</f>
        <v>EV scooter</v>
      </c>
      <c r="AD1395" s="33">
        <f>IF(Orders!D1392="","",INDEX(Riders!$D$2:$D$81,MATCH(Orders!D1392,Riders!$A$2:$A$81,0)))</f>
        <v>39</v>
      </c>
      <c r="AE1395" s="33">
        <f>IF(Orders!D1392="","",IF(INDEX(Riders!$B$2:$B$81,MATCH(Orders!D1392,Riders!$A$2:$A$81,0))=B1395,1,0))</f>
        <v>0</v>
      </c>
      <c r="AF1395" s="34">
        <f>IF(E1395=1,Orders!L1392,"")</f>
        <v>0.5</v>
      </c>
      <c r="AG1395" s="34">
        <f>IF(E1395=1,Orders!P1392,"")</f>
        <v>9.5</v>
      </c>
      <c r="AH1395" s="34">
        <f>IF(E1395=1,Orders!Q1392,"")</f>
        <v>8.4</v>
      </c>
      <c r="AI1395" s="34">
        <f>IF(E1395=1,Orders!M1392,"")</f>
        <v>4.8</v>
      </c>
      <c r="AJ1395" s="34">
        <f>IF(E1395=1,Orders!N1392,"")</f>
        <v>2.2</v>
      </c>
      <c r="AK1395" s="34">
        <f>IF(E1395=1,Orders!O1392,"")</f>
        <v>1.4</v>
      </c>
      <c r="AL1395" s="33">
        <f>IF(E1395=1,IF(ROUND(ABS(AI1395+AJ1395+AK1395-AH1395),6)&lt;=0.1,1,0),"")</f>
        <v>1</v>
      </c>
      <c r="AM1395" s="36">
        <f>IF(E1395=1,AI1395/AH1395,"")</f>
        <v>0.571428571428571</v>
      </c>
      <c r="AN1395" s="36">
        <f>IF(E1395=1,AJ1395/AH1395,"")</f>
        <v>0.261904761904762</v>
      </c>
      <c r="AO1395" s="36">
        <f>IF(E1395=1,AK1395/AH1395,"")</f>
        <v>0.166666666666667</v>
      </c>
      <c r="AP1395" s="34">
        <f>IF(E1395=1,Orders!Y1392,"")</f>
        <v>0.22</v>
      </c>
      <c r="AQ1395" s="33">
        <f>IF(Orders!X1392,1,0)</f>
        <v>0</v>
      </c>
      <c r="AR1395" s="34" t="str">
        <f>IF(AND(E1395=1,L1395=1),AJ1395,"")</f>
        <v/>
      </c>
      <c r="AS1395" s="34">
        <f>IF(AND(E1395=1,L1395=0),AJ1395,"")</f>
        <v>2.2</v>
      </c>
      <c r="AT1395" s="34" t="str">
        <f>IF(AND(E1395=1,L1395=1),AI1395,"")</f>
        <v/>
      </c>
      <c r="AU1395" s="34">
        <f>IF(AND(E1395=1,L1395=0),AI1395,"")</f>
        <v>4.8</v>
      </c>
      <c r="AV1395" s="34" t="str">
        <f>IF(AND(E1395=1,L1395=1),AG1395,"")</f>
        <v/>
      </c>
      <c r="AW1395" s="34">
        <f>IF(AND(E1395=1,L1395=0),AG1395,"")</f>
        <v>9.5</v>
      </c>
      <c r="AX1395" s="34" t="str">
        <f>IF(AND(E1395=1,L1395=1),AH1395,"")</f>
        <v/>
      </c>
      <c r="AY1395" s="34">
        <f>IF(AND(E1395=1,L1395=0),AH1395,"")</f>
        <v>8.4</v>
      </c>
      <c r="AZ1395" s="34" t="str">
        <f>IF(G1395=1,F1395,"")</f>
        <v/>
      </c>
      <c r="BA1395" s="34" t="str">
        <f>IF(AND(G1395=1,L1395=1),F1395,"")</f>
        <v/>
      </c>
      <c r="BB1395" s="34" t="str">
        <f>IF(AND(G1395=1,L1395=0),F1395,"")</f>
        <v/>
      </c>
      <c r="BC1395" s="33">
        <f>IF(E1395=1,IF(Orders!R1392&gt;3,1,0),"")</f>
        <v>0</v>
      </c>
      <c r="BD1395" s="33">
        <f>IF(E1395=1,IF(Orders!R1392&gt;7,1,0),"")</f>
        <v>0</v>
      </c>
      <c r="BE1395" s="32" t="str">
        <f>IF(E1395=1,IF(Orders!L1392&lt;=1.5,"Up to 1.5 km",IF(Orders!L1392&lt;=3,"1.5–3 km","Over 3 km")),"")</f>
        <v>Up to 1.5 km</v>
      </c>
      <c r="BF1395" s="33">
        <f>IF(E1395=1,IF(ABS((Orders!G1392-Orders!F1392)*1440-Orders!R1392)&lt;0.06,1,0),"")</f>
        <v>1</v>
      </c>
      <c r="BG1395" s="33">
        <f>IF(ABS((Orders!F1392-Orders!E1392)*1440-Orders!P1392)&lt;0.06,1,0)</f>
        <v>1</v>
      </c>
      <c r="BH1395" s="33">
        <f>IF(E1395=1,IF(IF(Orders!S1392,1,0)=1-G1395,1,0),"")</f>
        <v>1</v>
      </c>
      <c r="BI1395" s="32" t="str">
        <f>INDEX(Stores!$B$2:$B$21,MATCH(B1395,Stores!$A$2:$A$21,0))</f>
        <v>Bengaluru</v>
      </c>
    </row>
    <row r="1396">
      <c r="A1396" s="32" t="str">
        <f>Orders!A1393</f>
        <v>O01392</v>
      </c>
      <c r="B1396" s="32" t="str">
        <f>Orders!C1393</f>
        <v>S017</v>
      </c>
      <c r="C1396" s="32" t="str">
        <f>Orders!B1393</f>
        <v>C0130</v>
      </c>
      <c r="D1396" s="32" t="str">
        <f>Orders!H1393</f>
        <v>Delivered</v>
      </c>
      <c r="E1396" s="33">
        <f>IF(Orders!H1393="Delivered",1,0)</f>
        <v>1</v>
      </c>
      <c r="F1396" s="34">
        <f>IF(E1396=1,Orders!R1393,"")</f>
        <v>-1.1</v>
      </c>
      <c r="G1396" s="33">
        <f>IF(E1396=1,IF(Orders!R1393&gt;0,1,0),"")</f>
        <v>0</v>
      </c>
      <c r="H1396" s="33">
        <f>IF(E1396=1,IF(Orders!R1393&gt;5,1,0),"")</f>
        <v>0</v>
      </c>
      <c r="I1396" s="32" t="str">
        <f>IF(E1396=1,"",IF(OR(Orders!T1393="Rider unavailable",Orders!T1393="Item unavailable"),"Company-caused","Unresolved"))</f>
        <v/>
      </c>
      <c r="J1396" s="33">
        <f>IF(OR(E1396=1,I1396="Company-caused"),1,0)</f>
        <v>1</v>
      </c>
      <c r="K1396" s="32" t="str">
        <f>IF(E1396=0,IF(I1396="Company-caused",IF(Orders!T1393="Rider unavailable","C1 Rider unavailable","C2 Item unavailable"),"Outside root: unresolved"),IF(G1396=0,"A On time",IF(H1396=1,IF(L1396=1,"B2a Severe, peak","B2b Severe, off-peak"),IF(L1396=1,"B1a Slight, peak","B1b Slight, off-peak"))))</f>
        <v>A On time</v>
      </c>
      <c r="L1396" s="33">
        <f>IF(AND(Orders!U1393&gt;=19,Orders!U1393&lt;22),1,0)</f>
        <v>0</v>
      </c>
      <c r="M1396" s="33">
        <f>IF(L1396=IF(Orders!V1393,1,0),1,0)</f>
        <v>1</v>
      </c>
      <c r="N1396" s="32" t="str">
        <f>IF(Orders!W1393="","None",Orders!W1393)</f>
        <v>None</v>
      </c>
      <c r="O1396" s="35">
        <f>INT(Orders!E1393)</f>
        <v>46273.0</v>
      </c>
      <c r="P1396" s="33">
        <f>Orders!U1393</f>
        <v>18</v>
      </c>
      <c r="Q1396" s="33">
        <f>COUNTIFS(Demand!$A$2:$A$4481,B1396,Demand!$B$2:$B$4481,O1396,Demand!$C$2:$C$4481,P1396)</f>
        <v>1</v>
      </c>
      <c r="R1396" s="33">
        <f>IF(Q1396=1,SUMIFS(Demand!$E$2:$E$4481,Demand!$A$2:$A$4481,B1396,Demand!$B$2:$B$4481,O1396,Demand!$C$2:$C$4481,P1396),"")</f>
        <v>40</v>
      </c>
      <c r="S1396" s="33">
        <f>INDEX(Stores!$G$2:$G$21,MATCH(B1396,Stores!$A$2:$A$21,0))</f>
        <v>36</v>
      </c>
      <c r="T1396" s="34">
        <f>IF(R1396="","",R1396/S1396)</f>
        <v>1.11111111111111</v>
      </c>
      <c r="U1396" s="34">
        <f>IF(E1396=1,T1396,"")</f>
        <v>1.11111111111111</v>
      </c>
      <c r="V1396" s="34">
        <f>IF(AND(E1396=1,L1396=0),T1396,"")</f>
        <v>1.11111111111111</v>
      </c>
      <c r="W1396" s="33">
        <f>IF(U1396="","",IF(U1396&lt;=Breakdowns!$C$5,1,IF(U1396&lt;=Breakdowns!$C$6,2,IF(U1396&lt;=Breakdowns!$C$7,3,4))))</f>
        <v>3</v>
      </c>
      <c r="X1396" s="33">
        <f>IF(V1396="","",IF(V1396&lt;=Breakdowns!$D$5,1,IF(V1396&lt;=Breakdowns!$D$6,2,IF(V1396&lt;=Breakdowns!$D$7,3,4))))</f>
        <v>4</v>
      </c>
      <c r="Y1396" s="34">
        <f>INDEX(Stores!$F$2:$F$21,MATCH(B1396,Stores!$A$2:$A$21,0))</f>
        <v>2.16</v>
      </c>
      <c r="Z1396" s="33">
        <f>IF(Y1396&gt;Store_Summary!$M$2,1,0)</f>
        <v>0</v>
      </c>
      <c r="AA1396" s="33">
        <f>INDEX(Stores!$C$2:$C$21,MATCH(B1396,Stores!$A$2:$A$21,0))</f>
        <v>47</v>
      </c>
      <c r="AB1396" s="33">
        <f>IF(AA1396&lt;180,1,0)</f>
        <v>1</v>
      </c>
      <c r="AC1396" s="32" t="str">
        <f>IF(Orders!D1393="","",INDEX(Riders!$C$2:$C$81,MATCH(Orders!D1393,Riders!$A$2:$A$81,0)))</f>
        <v>Petrol scooter</v>
      </c>
      <c r="AD1396" s="33">
        <f>IF(Orders!D1393="","",INDEX(Riders!$D$2:$D$81,MATCH(Orders!D1393,Riders!$A$2:$A$81,0)))</f>
        <v>37</v>
      </c>
      <c r="AE1396" s="33">
        <f>IF(Orders!D1393="","",IF(INDEX(Riders!$B$2:$B$81,MATCH(Orders!D1393,Riders!$A$2:$A$81,0))=B1396,1,0))</f>
        <v>0</v>
      </c>
      <c r="AF1396" s="34">
        <f>IF(E1396=1,Orders!L1393,"")</f>
        <v>4</v>
      </c>
      <c r="AG1396" s="34">
        <f>IF(E1396=1,Orders!P1393,"")</f>
        <v>11.1</v>
      </c>
      <c r="AH1396" s="34">
        <f>IF(E1396=1,Orders!Q1393,"")</f>
        <v>10</v>
      </c>
      <c r="AI1396" s="34">
        <f>IF(E1396=1,Orders!M1393,"")</f>
        <v>1.8</v>
      </c>
      <c r="AJ1396" s="34">
        <f>IF(E1396=1,Orders!N1393,"")</f>
        <v>3.4</v>
      </c>
      <c r="AK1396" s="34">
        <f>IF(E1396=1,Orders!O1393,"")</f>
        <v>4.8</v>
      </c>
      <c r="AL1396" s="33">
        <f>IF(E1396=1,IF(ROUND(ABS(AI1396+AJ1396+AK1396-AH1396),6)&lt;=0.1,1,0),"")</f>
        <v>1</v>
      </c>
      <c r="AM1396" s="36">
        <f>IF(E1396=1,AI1396/AH1396,"")</f>
        <v>0.18</v>
      </c>
      <c r="AN1396" s="36">
        <f>IF(E1396=1,AJ1396/AH1396,"")</f>
        <v>0.34</v>
      </c>
      <c r="AO1396" s="36">
        <f>IF(E1396=1,AK1396/AH1396,"")</f>
        <v>0.48</v>
      </c>
      <c r="AP1396" s="34">
        <f>IF(E1396=1,Orders!Y1393,"")</f>
        <v>0.23</v>
      </c>
      <c r="AQ1396" s="33">
        <f>IF(Orders!X1393,1,0)</f>
        <v>0</v>
      </c>
      <c r="AR1396" s="34" t="str">
        <f>IF(AND(E1396=1,L1396=1),AJ1396,"")</f>
        <v/>
      </c>
      <c r="AS1396" s="34">
        <f>IF(AND(E1396=1,L1396=0),AJ1396,"")</f>
        <v>3.4</v>
      </c>
      <c r="AT1396" s="34" t="str">
        <f>IF(AND(E1396=1,L1396=1),AI1396,"")</f>
        <v/>
      </c>
      <c r="AU1396" s="34">
        <f>IF(AND(E1396=1,L1396=0),AI1396,"")</f>
        <v>1.8</v>
      </c>
      <c r="AV1396" s="34" t="str">
        <f>IF(AND(E1396=1,L1396=1),AG1396,"")</f>
        <v/>
      </c>
      <c r="AW1396" s="34">
        <f>IF(AND(E1396=1,L1396=0),AG1396,"")</f>
        <v>11.1</v>
      </c>
      <c r="AX1396" s="34" t="str">
        <f>IF(AND(E1396=1,L1396=1),AH1396,"")</f>
        <v/>
      </c>
      <c r="AY1396" s="34">
        <f>IF(AND(E1396=1,L1396=0),AH1396,"")</f>
        <v>10</v>
      </c>
      <c r="AZ1396" s="34" t="str">
        <f>IF(G1396=1,F1396,"")</f>
        <v/>
      </c>
      <c r="BA1396" s="34" t="str">
        <f>IF(AND(G1396=1,L1396=1),F1396,"")</f>
        <v/>
      </c>
      <c r="BB1396" s="34" t="str">
        <f>IF(AND(G1396=1,L1396=0),F1396,"")</f>
        <v/>
      </c>
      <c r="BC1396" s="33">
        <f>IF(E1396=1,IF(Orders!R1393&gt;3,1,0),"")</f>
        <v>0</v>
      </c>
      <c r="BD1396" s="33">
        <f>IF(E1396=1,IF(Orders!R1393&gt;7,1,0),"")</f>
        <v>0</v>
      </c>
      <c r="BE1396" s="32" t="str">
        <f>IF(E1396=1,IF(Orders!L1393&lt;=1.5,"Up to 1.5 km",IF(Orders!L1393&lt;=3,"1.5–3 km","Over 3 km")),"")</f>
        <v>Over 3 km</v>
      </c>
      <c r="BF1396" s="33">
        <f>IF(E1396=1,IF(ABS((Orders!G1393-Orders!F1393)*1440-Orders!R1393)&lt;0.06,1,0),"")</f>
        <v>1</v>
      </c>
      <c r="BG1396" s="33">
        <f>IF(ABS((Orders!F1393-Orders!E1393)*1440-Orders!P1393)&lt;0.06,1,0)</f>
        <v>1</v>
      </c>
      <c r="BH1396" s="33">
        <f>IF(E1396=1,IF(IF(Orders!S1393,1,0)=1-G1396,1,0),"")</f>
        <v>1</v>
      </c>
      <c r="BI1396" s="32" t="str">
        <f>INDEX(Stores!$B$2:$B$21,MATCH(B1396,Stores!$A$2:$A$21,0))</f>
        <v>Hyderabad</v>
      </c>
    </row>
    <row r="1397">
      <c r="A1397" s="32" t="str">
        <f>Orders!A1394</f>
        <v>O01393</v>
      </c>
      <c r="B1397" s="32" t="str">
        <f>Orders!C1394</f>
        <v>S005</v>
      </c>
      <c r="C1397" s="32" t="str">
        <f>Orders!B1394</f>
        <v>C0188</v>
      </c>
      <c r="D1397" s="32" t="str">
        <f>Orders!H1394</f>
        <v>Delivered</v>
      </c>
      <c r="E1397" s="33">
        <f>IF(Orders!H1394="Delivered",1,0)</f>
        <v>1</v>
      </c>
      <c r="F1397" s="34">
        <f>IF(E1397=1,Orders!R1394,"")</f>
        <v>3</v>
      </c>
      <c r="G1397" s="33">
        <f>IF(E1397=1,IF(Orders!R1394&gt;0,1,0),"")</f>
        <v>1</v>
      </c>
      <c r="H1397" s="33">
        <f>IF(E1397=1,IF(Orders!R1394&gt;5,1,0),"")</f>
        <v>0</v>
      </c>
      <c r="I1397" s="32" t="str">
        <f>IF(E1397=1,"",IF(OR(Orders!T1394="Rider unavailable",Orders!T1394="Item unavailable"),"Company-caused","Unresolved"))</f>
        <v/>
      </c>
      <c r="J1397" s="33">
        <f>IF(OR(E1397=1,I1397="Company-caused"),1,0)</f>
        <v>1</v>
      </c>
      <c r="K1397" s="32" t="str">
        <f>IF(E1397=0,IF(I1397="Company-caused",IF(Orders!T1394="Rider unavailable","C1 Rider unavailable","C2 Item unavailable"),"Outside root: unresolved"),IF(G1397=0,"A On time",IF(H1397=1,IF(L1397=1,"B2a Severe, peak","B2b Severe, off-peak"),IF(L1397=1,"B1a Slight, peak","B1b Slight, off-peak"))))</f>
        <v>B1b Slight, off-peak</v>
      </c>
      <c r="L1397" s="33">
        <f>IF(AND(Orders!U1394&gt;=19,Orders!U1394&lt;22),1,0)</f>
        <v>0</v>
      </c>
      <c r="M1397" s="33">
        <f>IF(L1397=IF(Orders!V1394,1,0),1,0)</f>
        <v>1</v>
      </c>
      <c r="N1397" s="32" t="str">
        <f>IF(Orders!W1394="","None",Orders!W1394)</f>
        <v>None</v>
      </c>
      <c r="O1397" s="35">
        <f>INT(Orders!E1394)</f>
        <v>46271.0</v>
      </c>
      <c r="P1397" s="33">
        <f>Orders!U1394</f>
        <v>12</v>
      </c>
      <c r="Q1397" s="33">
        <f>COUNTIFS(Demand!$A$2:$A$4481,B1397,Demand!$B$2:$B$4481,O1397,Demand!$C$2:$C$4481,P1397)</f>
        <v>1</v>
      </c>
      <c r="R1397" s="33">
        <f>IF(Q1397=1,SUMIFS(Demand!$E$2:$E$4481,Demand!$A$2:$A$4481,B1397,Demand!$B$2:$B$4481,O1397,Demand!$C$2:$C$4481,P1397),"")</f>
        <v>25</v>
      </c>
      <c r="S1397" s="33">
        <f>INDEX(Stores!$G$2:$G$21,MATCH(B1397,Stores!$A$2:$A$21,0))</f>
        <v>14</v>
      </c>
      <c r="T1397" s="34">
        <f>IF(R1397="","",R1397/S1397)</f>
        <v>1.78571428571429</v>
      </c>
      <c r="U1397" s="34">
        <f>IF(E1397=1,T1397,"")</f>
        <v>1.78571428571429</v>
      </c>
      <c r="V1397" s="34">
        <f>IF(AND(E1397=1,L1397=0),T1397,"")</f>
        <v>1.78571428571429</v>
      </c>
      <c r="W1397" s="33">
        <f>IF(U1397="","",IF(U1397&lt;=Breakdowns!$C$5,1,IF(U1397&lt;=Breakdowns!$C$6,2,IF(U1397&lt;=Breakdowns!$C$7,3,4))))</f>
        <v>4</v>
      </c>
      <c r="X1397" s="33">
        <f>IF(V1397="","",IF(V1397&lt;=Breakdowns!$D$5,1,IF(V1397&lt;=Breakdowns!$D$6,2,IF(V1397&lt;=Breakdowns!$D$7,3,4))))</f>
        <v>4</v>
      </c>
      <c r="Y1397" s="34">
        <f>INDEX(Stores!$F$2:$F$21,MATCH(B1397,Stores!$A$2:$A$21,0))</f>
        <v>4.89</v>
      </c>
      <c r="Z1397" s="33">
        <f>IF(Y1397&gt;Store_Summary!$M$2,1,0)</f>
        <v>0</v>
      </c>
      <c r="AA1397" s="33">
        <f>INDEX(Stores!$C$2:$C$21,MATCH(B1397,Stores!$A$2:$A$21,0))</f>
        <v>138</v>
      </c>
      <c r="AB1397" s="33">
        <f>IF(AA1397&lt;180,1,0)</f>
        <v>1</v>
      </c>
      <c r="AC1397" s="32" t="str">
        <f>IF(Orders!D1394="","",INDEX(Riders!$C$2:$C$81,MATCH(Orders!D1394,Riders!$A$2:$A$81,0)))</f>
        <v>EV scooter</v>
      </c>
      <c r="AD1397" s="33">
        <f>IF(Orders!D1394="","",INDEX(Riders!$D$2:$D$81,MATCH(Orders!D1394,Riders!$A$2:$A$81,0)))</f>
        <v>27</v>
      </c>
      <c r="AE1397" s="33">
        <f>IF(Orders!D1394="","",IF(INDEX(Riders!$B$2:$B$81,MATCH(Orders!D1394,Riders!$A$2:$A$81,0))=B1397,1,0))</f>
        <v>0</v>
      </c>
      <c r="AF1397" s="34">
        <f>IF(E1397=1,Orders!L1394,"")</f>
        <v>1.94</v>
      </c>
      <c r="AG1397" s="34">
        <f>IF(E1397=1,Orders!P1394,"")</f>
        <v>10.9</v>
      </c>
      <c r="AH1397" s="34">
        <f>IF(E1397=1,Orders!Q1394,"")</f>
        <v>13.9</v>
      </c>
      <c r="AI1397" s="34">
        <f>IF(E1397=1,Orders!M1394,"")</f>
        <v>5.1</v>
      </c>
      <c r="AJ1397" s="34">
        <f>IF(E1397=1,Orders!N1394,"")</f>
        <v>4.4</v>
      </c>
      <c r="AK1397" s="34">
        <f>IF(E1397=1,Orders!O1394,"")</f>
        <v>4.4</v>
      </c>
      <c r="AL1397" s="33">
        <f>IF(E1397=1,IF(ROUND(ABS(AI1397+AJ1397+AK1397-AH1397),6)&lt;=0.1,1,0),"")</f>
        <v>1</v>
      </c>
      <c r="AM1397" s="36">
        <f>IF(E1397=1,AI1397/AH1397,"")</f>
        <v>0.366906474820144</v>
      </c>
      <c r="AN1397" s="36">
        <f>IF(E1397=1,AJ1397/AH1397,"")</f>
        <v>0.316546762589928</v>
      </c>
      <c r="AO1397" s="36">
        <f>IF(E1397=1,AK1397/AH1397,"")</f>
        <v>0.316546762589928</v>
      </c>
      <c r="AP1397" s="34">
        <f>IF(E1397=1,Orders!Y1394,"")</f>
        <v>0.26</v>
      </c>
      <c r="AQ1397" s="33">
        <f>IF(Orders!X1394,1,0)</f>
        <v>0</v>
      </c>
      <c r="AR1397" s="34" t="str">
        <f>IF(AND(E1397=1,L1397=1),AJ1397,"")</f>
        <v/>
      </c>
      <c r="AS1397" s="34">
        <f>IF(AND(E1397=1,L1397=0),AJ1397,"")</f>
        <v>4.4</v>
      </c>
      <c r="AT1397" s="34" t="str">
        <f>IF(AND(E1397=1,L1397=1),AI1397,"")</f>
        <v/>
      </c>
      <c r="AU1397" s="34">
        <f>IF(AND(E1397=1,L1397=0),AI1397,"")</f>
        <v>5.1</v>
      </c>
      <c r="AV1397" s="34" t="str">
        <f>IF(AND(E1397=1,L1397=1),AG1397,"")</f>
        <v/>
      </c>
      <c r="AW1397" s="34">
        <f>IF(AND(E1397=1,L1397=0),AG1397,"")</f>
        <v>10.9</v>
      </c>
      <c r="AX1397" s="34" t="str">
        <f>IF(AND(E1397=1,L1397=1),AH1397,"")</f>
        <v/>
      </c>
      <c r="AY1397" s="34">
        <f>IF(AND(E1397=1,L1397=0),AH1397,"")</f>
        <v>13.9</v>
      </c>
      <c r="AZ1397" s="34">
        <f>IF(G1397=1,F1397,"")</f>
        <v>3</v>
      </c>
      <c r="BA1397" s="34" t="str">
        <f>IF(AND(G1397=1,L1397=1),F1397,"")</f>
        <v/>
      </c>
      <c r="BB1397" s="34">
        <f>IF(AND(G1397=1,L1397=0),F1397,"")</f>
        <v>3</v>
      </c>
      <c r="BC1397" s="33">
        <f>IF(E1397=1,IF(Orders!R1394&gt;3,1,0),"")</f>
        <v>0</v>
      </c>
      <c r="BD1397" s="33">
        <f>IF(E1397=1,IF(Orders!R1394&gt;7,1,0),"")</f>
        <v>0</v>
      </c>
      <c r="BE1397" s="32" t="str">
        <f>IF(E1397=1,IF(Orders!L1394&lt;=1.5,"Up to 1.5 km",IF(Orders!L1394&lt;=3,"1.5–3 km","Over 3 km")),"")</f>
        <v>1.5–3 km</v>
      </c>
      <c r="BF1397" s="33">
        <f>IF(E1397=1,IF(ABS((Orders!G1394-Orders!F1394)*1440-Orders!R1394)&lt;0.06,1,0),"")</f>
        <v>1</v>
      </c>
      <c r="BG1397" s="33">
        <f>IF(ABS((Orders!F1394-Orders!E1394)*1440-Orders!P1394)&lt;0.06,1,0)</f>
        <v>1</v>
      </c>
      <c r="BH1397" s="33">
        <f>IF(E1397=1,IF(IF(Orders!S1394,1,0)=1-G1397,1,0),"")</f>
        <v>1</v>
      </c>
      <c r="BI1397" s="32" t="str">
        <f>INDEX(Stores!$B$2:$B$21,MATCH(B1397,Stores!$A$2:$A$21,0))</f>
        <v>Delhi</v>
      </c>
    </row>
    <row r="1398">
      <c r="A1398" s="32" t="str">
        <f>Orders!A1395</f>
        <v>O01394</v>
      </c>
      <c r="B1398" s="32" t="str">
        <f>Orders!C1395</f>
        <v>S019</v>
      </c>
      <c r="C1398" s="32" t="str">
        <f>Orders!B1395</f>
        <v>C0202</v>
      </c>
      <c r="D1398" s="32" t="str">
        <f>Orders!H1395</f>
        <v>Delivered</v>
      </c>
      <c r="E1398" s="33">
        <f>IF(Orders!H1395="Delivered",1,0)</f>
        <v>1</v>
      </c>
      <c r="F1398" s="34">
        <f>IF(E1398=1,Orders!R1395,"")</f>
        <v>-0.3</v>
      </c>
      <c r="G1398" s="33">
        <f>IF(E1398=1,IF(Orders!R1395&gt;0,1,0),"")</f>
        <v>0</v>
      </c>
      <c r="H1398" s="33">
        <f>IF(E1398=1,IF(Orders!R1395&gt;5,1,0),"")</f>
        <v>0</v>
      </c>
      <c r="I1398" s="32" t="str">
        <f>IF(E1398=1,"",IF(OR(Orders!T1395="Rider unavailable",Orders!T1395="Item unavailable"),"Company-caused","Unresolved"))</f>
        <v/>
      </c>
      <c r="J1398" s="33">
        <f>IF(OR(E1398=1,I1398="Company-caused"),1,0)</f>
        <v>1</v>
      </c>
      <c r="K1398" s="32" t="str">
        <f>IF(E1398=0,IF(I1398="Company-caused",IF(Orders!T1395="Rider unavailable","C1 Rider unavailable","C2 Item unavailable"),"Outside root: unresolved"),IF(G1398=0,"A On time",IF(H1398=1,IF(L1398=1,"B2a Severe, peak","B2b Severe, off-peak"),IF(L1398=1,"B1a Slight, peak","B1b Slight, off-peak"))))</f>
        <v>A On time</v>
      </c>
      <c r="L1398" s="33">
        <f>IF(AND(Orders!U1395&gt;=19,Orders!U1395&lt;22),1,0)</f>
        <v>1</v>
      </c>
      <c r="M1398" s="33">
        <f>IF(L1398=IF(Orders!V1395,1,0),1,0)</f>
        <v>1</v>
      </c>
      <c r="N1398" s="32" t="str">
        <f>IF(Orders!W1395="","None",Orders!W1395)</f>
        <v>None</v>
      </c>
      <c r="O1398" s="35">
        <f>INT(Orders!E1395)</f>
        <v>46271.0</v>
      </c>
      <c r="P1398" s="33">
        <f>Orders!U1395</f>
        <v>21</v>
      </c>
      <c r="Q1398" s="33">
        <f>COUNTIFS(Demand!$A$2:$A$4481,B1398,Demand!$B$2:$B$4481,O1398,Demand!$C$2:$C$4481,P1398)</f>
        <v>1</v>
      </c>
      <c r="R1398" s="33">
        <f>IF(Q1398=1,SUMIFS(Demand!$E$2:$E$4481,Demand!$A$2:$A$4481,B1398,Demand!$B$2:$B$4481,O1398,Demand!$C$2:$C$4481,P1398),"")</f>
        <v>44</v>
      </c>
      <c r="S1398" s="33">
        <f>INDEX(Stores!$G$2:$G$21,MATCH(B1398,Stores!$A$2:$A$21,0))</f>
        <v>22</v>
      </c>
      <c r="T1398" s="34">
        <f>IF(R1398="","",R1398/S1398)</f>
        <v>2</v>
      </c>
      <c r="U1398" s="34">
        <f>IF(E1398=1,T1398,"")</f>
        <v>2</v>
      </c>
      <c r="V1398" s="34" t="str">
        <f>IF(AND(E1398=1,L1398=0),T1398,"")</f>
        <v/>
      </c>
      <c r="W1398" s="33">
        <f>IF(U1398="","",IF(U1398&lt;=Breakdowns!$C$5,1,IF(U1398&lt;=Breakdowns!$C$6,2,IF(U1398&lt;=Breakdowns!$C$7,3,4))))</f>
        <v>4</v>
      </c>
      <c r="X1398" s="33" t="str">
        <f>IF(V1398="","",IF(V1398&lt;=Breakdowns!$D$5,1,IF(V1398&lt;=Breakdowns!$D$6,2,IF(V1398&lt;=Breakdowns!$D$7,3,4))))</f>
        <v/>
      </c>
      <c r="Y1398" s="34">
        <f>INDEX(Stores!$F$2:$F$21,MATCH(B1398,Stores!$A$2:$A$21,0))</f>
        <v>4.99</v>
      </c>
      <c r="Z1398" s="33">
        <f>IF(Y1398&gt;Store_Summary!$M$2,1,0)</f>
        <v>1</v>
      </c>
      <c r="AA1398" s="33">
        <f>INDEX(Stores!$C$2:$C$21,MATCH(B1398,Stores!$A$2:$A$21,0))</f>
        <v>851</v>
      </c>
      <c r="AB1398" s="33">
        <f>IF(AA1398&lt;180,1,0)</f>
        <v>0</v>
      </c>
      <c r="AC1398" s="32" t="str">
        <f>IF(Orders!D1395="","",INDEX(Riders!$C$2:$C$81,MATCH(Orders!D1395,Riders!$A$2:$A$81,0)))</f>
        <v>EV scooter</v>
      </c>
      <c r="AD1398" s="33">
        <f>IF(Orders!D1395="","",INDEX(Riders!$D$2:$D$81,MATCH(Orders!D1395,Riders!$A$2:$A$81,0)))</f>
        <v>1</v>
      </c>
      <c r="AE1398" s="33">
        <f>IF(Orders!D1395="","",IF(INDEX(Riders!$B$2:$B$81,MATCH(Orders!D1395,Riders!$A$2:$A$81,0))=B1398,1,0))</f>
        <v>0</v>
      </c>
      <c r="AF1398" s="34">
        <f>IF(E1398=1,Orders!L1395,"")</f>
        <v>2.28</v>
      </c>
      <c r="AG1398" s="34">
        <f>IF(E1398=1,Orders!P1395,"")</f>
        <v>8.8</v>
      </c>
      <c r="AH1398" s="34">
        <f>IF(E1398=1,Orders!Q1395,"")</f>
        <v>8.5</v>
      </c>
      <c r="AI1398" s="34">
        <f>IF(E1398=1,Orders!M1395,"")</f>
        <v>2.2</v>
      </c>
      <c r="AJ1398" s="34">
        <f>IF(E1398=1,Orders!N1395,"")</f>
        <v>3.7</v>
      </c>
      <c r="AK1398" s="34">
        <f>IF(E1398=1,Orders!O1395,"")</f>
        <v>2.6</v>
      </c>
      <c r="AL1398" s="33">
        <f>IF(E1398=1,IF(ROUND(ABS(AI1398+AJ1398+AK1398-AH1398),6)&lt;=0.1,1,0),"")</f>
        <v>1</v>
      </c>
      <c r="AM1398" s="36">
        <f>IF(E1398=1,AI1398/AH1398,"")</f>
        <v>0.258823529411765</v>
      </c>
      <c r="AN1398" s="36">
        <f>IF(E1398=1,AJ1398/AH1398,"")</f>
        <v>0.435294117647059</v>
      </c>
      <c r="AO1398" s="36">
        <f>IF(E1398=1,AK1398/AH1398,"")</f>
        <v>0.305882352941177</v>
      </c>
      <c r="AP1398" s="34">
        <f>IF(E1398=1,Orders!Y1395,"")</f>
        <v>0.47</v>
      </c>
      <c r="AQ1398" s="33">
        <f>IF(Orders!X1395,1,0)</f>
        <v>0</v>
      </c>
      <c r="AR1398" s="34">
        <f>IF(AND(E1398=1,L1398=1),AJ1398,"")</f>
        <v>3.7</v>
      </c>
      <c r="AS1398" s="34" t="str">
        <f>IF(AND(E1398=1,L1398=0),AJ1398,"")</f>
        <v/>
      </c>
      <c r="AT1398" s="34">
        <f>IF(AND(E1398=1,L1398=1),AI1398,"")</f>
        <v>2.2</v>
      </c>
      <c r="AU1398" s="34" t="str">
        <f>IF(AND(E1398=1,L1398=0),AI1398,"")</f>
        <v/>
      </c>
      <c r="AV1398" s="34">
        <f>IF(AND(E1398=1,L1398=1),AG1398,"")</f>
        <v>8.8</v>
      </c>
      <c r="AW1398" s="34" t="str">
        <f>IF(AND(E1398=1,L1398=0),AG1398,"")</f>
        <v/>
      </c>
      <c r="AX1398" s="34">
        <f>IF(AND(E1398=1,L1398=1),AH1398,"")</f>
        <v>8.5</v>
      </c>
      <c r="AY1398" s="34" t="str">
        <f>IF(AND(E1398=1,L1398=0),AH1398,"")</f>
        <v/>
      </c>
      <c r="AZ1398" s="34" t="str">
        <f>IF(G1398=1,F1398,"")</f>
        <v/>
      </c>
      <c r="BA1398" s="34" t="str">
        <f>IF(AND(G1398=1,L1398=1),F1398,"")</f>
        <v/>
      </c>
      <c r="BB1398" s="34" t="str">
        <f>IF(AND(G1398=1,L1398=0),F1398,"")</f>
        <v/>
      </c>
      <c r="BC1398" s="33">
        <f>IF(E1398=1,IF(Orders!R1395&gt;3,1,0),"")</f>
        <v>0</v>
      </c>
      <c r="BD1398" s="33">
        <f>IF(E1398=1,IF(Orders!R1395&gt;7,1,0),"")</f>
        <v>0</v>
      </c>
      <c r="BE1398" s="32" t="str">
        <f>IF(E1398=1,IF(Orders!L1395&lt;=1.5,"Up to 1.5 km",IF(Orders!L1395&lt;=3,"1.5–3 km","Over 3 km")),"")</f>
        <v>1.5–3 km</v>
      </c>
      <c r="BF1398" s="33">
        <f>IF(E1398=1,IF(ABS((Orders!G1395-Orders!F1395)*1440-Orders!R1395)&lt;0.06,1,0),"")</f>
        <v>1</v>
      </c>
      <c r="BG1398" s="33">
        <f>IF(ABS((Orders!F1395-Orders!E1395)*1440-Orders!P1395)&lt;0.06,1,0)</f>
        <v>1</v>
      </c>
      <c r="BH1398" s="33">
        <f>IF(E1398=1,IF(IF(Orders!S1395,1,0)=1-G1398,1,0),"")</f>
        <v>1</v>
      </c>
      <c r="BI1398" s="32" t="str">
        <f>INDEX(Stores!$B$2:$B$21,MATCH(B1398,Stores!$A$2:$A$21,0))</f>
        <v>Pune</v>
      </c>
    </row>
    <row r="1399">
      <c r="A1399" s="32" t="str">
        <f>Orders!A1396</f>
        <v>O01395</v>
      </c>
      <c r="B1399" s="32" t="str">
        <f>Orders!C1396</f>
        <v>S004</v>
      </c>
      <c r="C1399" s="32" t="str">
        <f>Orders!B1396</f>
        <v>C0115</v>
      </c>
      <c r="D1399" s="32" t="str">
        <f>Orders!H1396</f>
        <v>Delivered</v>
      </c>
      <c r="E1399" s="33">
        <f>IF(Orders!H1396="Delivered",1,0)</f>
        <v>1</v>
      </c>
      <c r="F1399" s="34">
        <f>IF(E1399=1,Orders!R1396,"")</f>
        <v>-0.2</v>
      </c>
      <c r="G1399" s="33">
        <f>IF(E1399=1,IF(Orders!R1396&gt;0,1,0),"")</f>
        <v>0</v>
      </c>
      <c r="H1399" s="33">
        <f>IF(E1399=1,IF(Orders!R1396&gt;5,1,0),"")</f>
        <v>0</v>
      </c>
      <c r="I1399" s="32" t="str">
        <f>IF(E1399=1,"",IF(OR(Orders!T1396="Rider unavailable",Orders!T1396="Item unavailable"),"Company-caused","Unresolved"))</f>
        <v/>
      </c>
      <c r="J1399" s="33">
        <f>IF(OR(E1399=1,I1399="Company-caused"),1,0)</f>
        <v>1</v>
      </c>
      <c r="K1399" s="32" t="str">
        <f>IF(E1399=0,IF(I1399="Company-caused",IF(Orders!T1396="Rider unavailable","C1 Rider unavailable","C2 Item unavailable"),"Outside root: unresolved"),IF(G1399=0,"A On time",IF(H1399=1,IF(L1399=1,"B2a Severe, peak","B2b Severe, off-peak"),IF(L1399=1,"B1a Slight, peak","B1b Slight, off-peak"))))</f>
        <v>A On time</v>
      </c>
      <c r="L1399" s="33">
        <f>IF(AND(Orders!U1396&gt;=19,Orders!U1396&lt;22),1,0)</f>
        <v>1</v>
      </c>
      <c r="M1399" s="33">
        <f>IF(L1399=IF(Orders!V1396,1,0),1,0)</f>
        <v>1</v>
      </c>
      <c r="N1399" s="32" t="str">
        <f>IF(Orders!W1396="","None",Orders!W1396)</f>
        <v>None</v>
      </c>
      <c r="O1399" s="35">
        <f>INT(Orders!E1396)</f>
        <v>46275.0</v>
      </c>
      <c r="P1399" s="33">
        <f>Orders!U1396</f>
        <v>21</v>
      </c>
      <c r="Q1399" s="33">
        <f>COUNTIFS(Demand!$A$2:$A$4481,B1399,Demand!$B$2:$B$4481,O1399,Demand!$C$2:$C$4481,P1399)</f>
        <v>1</v>
      </c>
      <c r="R1399" s="33">
        <f>IF(Q1399=1,SUMIFS(Demand!$E$2:$E$4481,Demand!$A$2:$A$4481,B1399,Demand!$B$2:$B$4481,O1399,Demand!$C$2:$C$4481,P1399),"")</f>
        <v>69</v>
      </c>
      <c r="S1399" s="33">
        <f>INDEX(Stores!$G$2:$G$21,MATCH(B1399,Stores!$A$2:$A$21,0))</f>
        <v>42</v>
      </c>
      <c r="T1399" s="34">
        <f>IF(R1399="","",R1399/S1399)</f>
        <v>1.64285714285714</v>
      </c>
      <c r="U1399" s="34">
        <f>IF(E1399=1,T1399,"")</f>
        <v>1.64285714285714</v>
      </c>
      <c r="V1399" s="34" t="str">
        <f>IF(AND(E1399=1,L1399=0),T1399,"")</f>
        <v/>
      </c>
      <c r="W1399" s="33">
        <f>IF(U1399="","",IF(U1399&lt;=Breakdowns!$C$5,1,IF(U1399&lt;=Breakdowns!$C$6,2,IF(U1399&lt;=Breakdowns!$C$7,3,4))))</f>
        <v>4</v>
      </c>
      <c r="X1399" s="33" t="str">
        <f>IF(V1399="","",IF(V1399&lt;=Breakdowns!$D$5,1,IF(V1399&lt;=Breakdowns!$D$6,2,IF(V1399&lt;=Breakdowns!$D$7,3,4))))</f>
        <v/>
      </c>
      <c r="Y1399" s="34">
        <f>INDEX(Stores!$F$2:$F$21,MATCH(B1399,Stores!$A$2:$A$21,0))</f>
        <v>2.19</v>
      </c>
      <c r="Z1399" s="33">
        <f>IF(Y1399&gt;Store_Summary!$M$2,1,0)</f>
        <v>0</v>
      </c>
      <c r="AA1399" s="33">
        <f>INDEX(Stores!$C$2:$C$21,MATCH(B1399,Stores!$A$2:$A$21,0))</f>
        <v>850</v>
      </c>
      <c r="AB1399" s="33">
        <f>IF(AA1399&lt;180,1,0)</f>
        <v>0</v>
      </c>
      <c r="AC1399" s="32" t="str">
        <f>IF(Orders!D1396="","",INDEX(Riders!$C$2:$C$81,MATCH(Orders!D1396,Riders!$A$2:$A$81,0)))</f>
        <v>Petrol scooter</v>
      </c>
      <c r="AD1399" s="33">
        <f>IF(Orders!D1396="","",INDEX(Riders!$D$2:$D$81,MATCH(Orders!D1396,Riders!$A$2:$A$81,0)))</f>
        <v>40</v>
      </c>
      <c r="AE1399" s="33">
        <f>IF(Orders!D1396="","",IF(INDEX(Riders!$B$2:$B$81,MATCH(Orders!D1396,Riders!$A$2:$A$81,0))=B1399,1,0))</f>
        <v>0</v>
      </c>
      <c r="AF1399" s="34">
        <f>IF(E1399=1,Orders!L1396,"")</f>
        <v>1.54</v>
      </c>
      <c r="AG1399" s="34">
        <f>IF(E1399=1,Orders!P1396,"")</f>
        <v>10.9</v>
      </c>
      <c r="AH1399" s="34">
        <f>IF(E1399=1,Orders!Q1396,"")</f>
        <v>10.7</v>
      </c>
      <c r="AI1399" s="34">
        <f>IF(E1399=1,Orders!M1396,"")</f>
        <v>2.5</v>
      </c>
      <c r="AJ1399" s="34">
        <f>IF(E1399=1,Orders!N1396,"")</f>
        <v>4.6</v>
      </c>
      <c r="AK1399" s="34">
        <f>IF(E1399=1,Orders!O1396,"")</f>
        <v>3.6</v>
      </c>
      <c r="AL1399" s="33">
        <f>IF(E1399=1,IF(ROUND(ABS(AI1399+AJ1399+AK1399-AH1399),6)&lt;=0.1,1,0),"")</f>
        <v>1</v>
      </c>
      <c r="AM1399" s="36">
        <f>IF(E1399=1,AI1399/AH1399,"")</f>
        <v>0.233644859813084</v>
      </c>
      <c r="AN1399" s="36">
        <f>IF(E1399=1,AJ1399/AH1399,"")</f>
        <v>0.429906542056075</v>
      </c>
      <c r="AO1399" s="36">
        <f>IF(E1399=1,AK1399/AH1399,"")</f>
        <v>0.336448598130841</v>
      </c>
      <c r="AP1399" s="34">
        <f>IF(E1399=1,Orders!Y1396,"")</f>
        <v>0.89</v>
      </c>
      <c r="AQ1399" s="33">
        <f>IF(Orders!X1396,1,0)</f>
        <v>0</v>
      </c>
      <c r="AR1399" s="34">
        <f>IF(AND(E1399=1,L1399=1),AJ1399,"")</f>
        <v>4.6</v>
      </c>
      <c r="AS1399" s="34" t="str">
        <f>IF(AND(E1399=1,L1399=0),AJ1399,"")</f>
        <v/>
      </c>
      <c r="AT1399" s="34">
        <f>IF(AND(E1399=1,L1399=1),AI1399,"")</f>
        <v>2.5</v>
      </c>
      <c r="AU1399" s="34" t="str">
        <f>IF(AND(E1399=1,L1399=0),AI1399,"")</f>
        <v/>
      </c>
      <c r="AV1399" s="34">
        <f>IF(AND(E1399=1,L1399=1),AG1399,"")</f>
        <v>10.9</v>
      </c>
      <c r="AW1399" s="34" t="str">
        <f>IF(AND(E1399=1,L1399=0),AG1399,"")</f>
        <v/>
      </c>
      <c r="AX1399" s="34">
        <f>IF(AND(E1399=1,L1399=1),AH1399,"")</f>
        <v>10.7</v>
      </c>
      <c r="AY1399" s="34" t="str">
        <f>IF(AND(E1399=1,L1399=0),AH1399,"")</f>
        <v/>
      </c>
      <c r="AZ1399" s="34" t="str">
        <f>IF(G1399=1,F1399,"")</f>
        <v/>
      </c>
      <c r="BA1399" s="34" t="str">
        <f>IF(AND(G1399=1,L1399=1),F1399,"")</f>
        <v/>
      </c>
      <c r="BB1399" s="34" t="str">
        <f>IF(AND(G1399=1,L1399=0),F1399,"")</f>
        <v/>
      </c>
      <c r="BC1399" s="33">
        <f>IF(E1399=1,IF(Orders!R1396&gt;3,1,0),"")</f>
        <v>0</v>
      </c>
      <c r="BD1399" s="33">
        <f>IF(E1399=1,IF(Orders!R1396&gt;7,1,0),"")</f>
        <v>0</v>
      </c>
      <c r="BE1399" s="32" t="str">
        <f>IF(E1399=1,IF(Orders!L1396&lt;=1.5,"Up to 1.5 km",IF(Orders!L1396&lt;=3,"1.5–3 km","Over 3 km")),"")</f>
        <v>1.5–3 km</v>
      </c>
      <c r="BF1399" s="33">
        <f>IF(E1399=1,IF(ABS((Orders!G1396-Orders!F1396)*1440-Orders!R1396)&lt;0.06,1,0),"")</f>
        <v>1</v>
      </c>
      <c r="BG1399" s="33">
        <f>IF(ABS((Orders!F1396-Orders!E1396)*1440-Orders!P1396)&lt;0.06,1,0)</f>
        <v>1</v>
      </c>
      <c r="BH1399" s="33">
        <f>IF(E1399=1,IF(IF(Orders!S1396,1,0)=1-G1399,1,0),"")</f>
        <v>1</v>
      </c>
      <c r="BI1399" s="32" t="str">
        <f>INDEX(Stores!$B$2:$B$21,MATCH(B1399,Stores!$A$2:$A$21,0))</f>
        <v>Pune</v>
      </c>
    </row>
    <row r="1400">
      <c r="A1400" s="32" t="str">
        <f>Orders!A1397</f>
        <v>O01396</v>
      </c>
      <c r="B1400" s="32" t="str">
        <f>Orders!C1397</f>
        <v>S016</v>
      </c>
      <c r="C1400" s="32" t="str">
        <f>Orders!B1397</f>
        <v>C0082</v>
      </c>
      <c r="D1400" s="32" t="str">
        <f>Orders!H1397</f>
        <v>Delivered</v>
      </c>
      <c r="E1400" s="33">
        <f>IF(Orders!H1397="Delivered",1,0)</f>
        <v>1</v>
      </c>
      <c r="F1400" s="34">
        <f>IF(E1400=1,Orders!R1397,"")</f>
        <v>-0.9</v>
      </c>
      <c r="G1400" s="33">
        <f>IF(E1400=1,IF(Orders!R1397&gt;0,1,0),"")</f>
        <v>0</v>
      </c>
      <c r="H1400" s="33">
        <f>IF(E1400=1,IF(Orders!R1397&gt;5,1,0),"")</f>
        <v>0</v>
      </c>
      <c r="I1400" s="32" t="str">
        <f>IF(E1400=1,"",IF(OR(Orders!T1397="Rider unavailable",Orders!T1397="Item unavailable"),"Company-caused","Unresolved"))</f>
        <v/>
      </c>
      <c r="J1400" s="33">
        <f>IF(OR(E1400=1,I1400="Company-caused"),1,0)</f>
        <v>1</v>
      </c>
      <c r="K1400" s="32" t="str">
        <f>IF(E1400=0,IF(I1400="Company-caused",IF(Orders!T1397="Rider unavailable","C1 Rider unavailable","C2 Item unavailable"),"Outside root: unresolved"),IF(G1400=0,"A On time",IF(H1400=1,IF(L1400=1,"B2a Severe, peak","B2b Severe, off-peak"),IF(L1400=1,"B1a Slight, peak","B1b Slight, off-peak"))))</f>
        <v>A On time</v>
      </c>
      <c r="L1400" s="33">
        <f>IF(AND(Orders!U1397&gt;=19,Orders!U1397&lt;22),1,0)</f>
        <v>0</v>
      </c>
      <c r="M1400" s="33">
        <f>IF(L1400=IF(Orders!V1397,1,0),1,0)</f>
        <v>1</v>
      </c>
      <c r="N1400" s="32" t="str">
        <f>IF(Orders!W1397="","None",Orders!W1397)</f>
        <v>None</v>
      </c>
      <c r="O1400" s="35">
        <f>INT(Orders!E1397)</f>
        <v>46267.0</v>
      </c>
      <c r="P1400" s="33">
        <f>Orders!U1397</f>
        <v>13</v>
      </c>
      <c r="Q1400" s="33">
        <f>COUNTIFS(Demand!$A$2:$A$4481,B1400,Demand!$B$2:$B$4481,O1400,Demand!$C$2:$C$4481,P1400)</f>
        <v>1</v>
      </c>
      <c r="R1400" s="33">
        <f>IF(Q1400=1,SUMIFS(Demand!$E$2:$E$4481,Demand!$A$2:$A$4481,B1400,Demand!$B$2:$B$4481,O1400,Demand!$C$2:$C$4481,P1400),"")</f>
        <v>13</v>
      </c>
      <c r="S1400" s="33">
        <f>INDEX(Stores!$G$2:$G$21,MATCH(B1400,Stores!$A$2:$A$21,0))</f>
        <v>25</v>
      </c>
      <c r="T1400" s="34">
        <f>IF(R1400="","",R1400/S1400)</f>
        <v>0.52</v>
      </c>
      <c r="U1400" s="34">
        <f>IF(E1400=1,T1400,"")</f>
        <v>0.52</v>
      </c>
      <c r="V1400" s="34">
        <f>IF(AND(E1400=1,L1400=0),T1400,"")</f>
        <v>0.52</v>
      </c>
      <c r="W1400" s="33">
        <f>IF(U1400="","",IF(U1400&lt;=Breakdowns!$C$5,1,IF(U1400&lt;=Breakdowns!$C$6,2,IF(U1400&lt;=Breakdowns!$C$7,3,4))))</f>
        <v>1</v>
      </c>
      <c r="X1400" s="33">
        <f>IF(V1400="","",IF(V1400&lt;=Breakdowns!$D$5,1,IF(V1400&lt;=Breakdowns!$D$6,2,IF(V1400&lt;=Breakdowns!$D$7,3,4))))</f>
        <v>1</v>
      </c>
      <c r="Y1400" s="34">
        <f>INDEX(Stores!$F$2:$F$21,MATCH(B1400,Stores!$A$2:$A$21,0))</f>
        <v>5.51</v>
      </c>
      <c r="Z1400" s="33">
        <f>IF(Y1400&gt;Store_Summary!$M$2,1,0)</f>
        <v>1</v>
      </c>
      <c r="AA1400" s="33">
        <f>INDEX(Stores!$C$2:$C$21,MATCH(B1400,Stores!$A$2:$A$21,0))</f>
        <v>792</v>
      </c>
      <c r="AB1400" s="33">
        <f>IF(AA1400&lt;180,1,0)</f>
        <v>0</v>
      </c>
      <c r="AC1400" s="32" t="str">
        <f>IF(Orders!D1397="","",INDEX(Riders!$C$2:$C$81,MATCH(Orders!D1397,Riders!$A$2:$A$81,0)))</f>
        <v>EV scooter</v>
      </c>
      <c r="AD1400" s="33">
        <f>IF(Orders!D1397="","",INDEX(Riders!$D$2:$D$81,MATCH(Orders!D1397,Riders!$A$2:$A$81,0)))</f>
        <v>9</v>
      </c>
      <c r="AE1400" s="33">
        <f>IF(Orders!D1397="","",IF(INDEX(Riders!$B$2:$B$81,MATCH(Orders!D1397,Riders!$A$2:$A$81,0))=B1400,1,0))</f>
        <v>1</v>
      </c>
      <c r="AF1400" s="34">
        <f>IF(E1400=1,Orders!L1397,"")</f>
        <v>0.55</v>
      </c>
      <c r="AG1400" s="34">
        <f>IF(E1400=1,Orders!P1397,"")</f>
        <v>9</v>
      </c>
      <c r="AH1400" s="34">
        <f>IF(E1400=1,Orders!Q1397,"")</f>
        <v>8.1</v>
      </c>
      <c r="AI1400" s="34">
        <f>IF(E1400=1,Orders!M1397,"")</f>
        <v>3.4</v>
      </c>
      <c r="AJ1400" s="34">
        <f>IF(E1400=1,Orders!N1397,"")</f>
        <v>3.4</v>
      </c>
      <c r="AK1400" s="34">
        <f>IF(E1400=1,Orders!O1397,"")</f>
        <v>1.3</v>
      </c>
      <c r="AL1400" s="33">
        <f>IF(E1400=1,IF(ROUND(ABS(AI1400+AJ1400+AK1400-AH1400),6)&lt;=0.1,1,0),"")</f>
        <v>1</v>
      </c>
      <c r="AM1400" s="36">
        <f>IF(E1400=1,AI1400/AH1400,"")</f>
        <v>0.419753086419753</v>
      </c>
      <c r="AN1400" s="36">
        <f>IF(E1400=1,AJ1400/AH1400,"")</f>
        <v>0.419753086419753</v>
      </c>
      <c r="AO1400" s="36">
        <f>IF(E1400=1,AK1400/AH1400,"")</f>
        <v>0.160493827160494</v>
      </c>
      <c r="AP1400" s="34">
        <f>IF(E1400=1,Orders!Y1397,"")</f>
        <v>0.49</v>
      </c>
      <c r="AQ1400" s="33">
        <f>IF(Orders!X1397,1,0)</f>
        <v>0</v>
      </c>
      <c r="AR1400" s="34" t="str">
        <f>IF(AND(E1400=1,L1400=1),AJ1400,"")</f>
        <v/>
      </c>
      <c r="AS1400" s="34">
        <f>IF(AND(E1400=1,L1400=0),AJ1400,"")</f>
        <v>3.4</v>
      </c>
      <c r="AT1400" s="34" t="str">
        <f>IF(AND(E1400=1,L1400=1),AI1400,"")</f>
        <v/>
      </c>
      <c r="AU1400" s="34">
        <f>IF(AND(E1400=1,L1400=0),AI1400,"")</f>
        <v>3.4</v>
      </c>
      <c r="AV1400" s="34" t="str">
        <f>IF(AND(E1400=1,L1400=1),AG1400,"")</f>
        <v/>
      </c>
      <c r="AW1400" s="34">
        <f>IF(AND(E1400=1,L1400=0),AG1400,"")</f>
        <v>9</v>
      </c>
      <c r="AX1400" s="34" t="str">
        <f>IF(AND(E1400=1,L1400=1),AH1400,"")</f>
        <v/>
      </c>
      <c r="AY1400" s="34">
        <f>IF(AND(E1400=1,L1400=0),AH1400,"")</f>
        <v>8.1</v>
      </c>
      <c r="AZ1400" s="34" t="str">
        <f>IF(G1400=1,F1400,"")</f>
        <v/>
      </c>
      <c r="BA1400" s="34" t="str">
        <f>IF(AND(G1400=1,L1400=1),F1400,"")</f>
        <v/>
      </c>
      <c r="BB1400" s="34" t="str">
        <f>IF(AND(G1400=1,L1400=0),F1400,"")</f>
        <v/>
      </c>
      <c r="BC1400" s="33">
        <f>IF(E1400=1,IF(Orders!R1397&gt;3,1,0),"")</f>
        <v>0</v>
      </c>
      <c r="BD1400" s="33">
        <f>IF(E1400=1,IF(Orders!R1397&gt;7,1,0),"")</f>
        <v>0</v>
      </c>
      <c r="BE1400" s="32" t="str">
        <f>IF(E1400=1,IF(Orders!L1397&lt;=1.5,"Up to 1.5 km",IF(Orders!L1397&lt;=3,"1.5–3 km","Over 3 km")),"")</f>
        <v>Up to 1.5 km</v>
      </c>
      <c r="BF1400" s="33">
        <f>IF(E1400=1,IF(ABS((Orders!G1397-Orders!F1397)*1440-Orders!R1397)&lt;0.06,1,0),"")</f>
        <v>1</v>
      </c>
      <c r="BG1400" s="33">
        <f>IF(ABS((Orders!F1397-Orders!E1397)*1440-Orders!P1397)&lt;0.06,1,0)</f>
        <v>1</v>
      </c>
      <c r="BH1400" s="33">
        <f>IF(E1400=1,IF(IF(Orders!S1397,1,0)=1-G1400,1,0),"")</f>
        <v>1</v>
      </c>
      <c r="BI1400" s="32" t="str">
        <f>INDEX(Stores!$B$2:$B$21,MATCH(B1400,Stores!$A$2:$A$21,0))</f>
        <v>Bengaluru</v>
      </c>
    </row>
    <row r="1401">
      <c r="A1401" s="32" t="str">
        <f>Orders!A1398</f>
        <v>O01397</v>
      </c>
      <c r="B1401" s="32" t="str">
        <f>Orders!C1398</f>
        <v>S020</v>
      </c>
      <c r="C1401" s="32" t="str">
        <f>Orders!B1398</f>
        <v>C0035</v>
      </c>
      <c r="D1401" s="32" t="str">
        <f>Orders!H1398</f>
        <v>Delivered</v>
      </c>
      <c r="E1401" s="33">
        <f>IF(Orders!H1398="Delivered",1,0)</f>
        <v>1</v>
      </c>
      <c r="F1401" s="34">
        <f>IF(E1401=1,Orders!R1398,"")</f>
        <v>-0.9</v>
      </c>
      <c r="G1401" s="33">
        <f>IF(E1401=1,IF(Orders!R1398&gt;0,1,0),"")</f>
        <v>0</v>
      </c>
      <c r="H1401" s="33">
        <f>IF(E1401=1,IF(Orders!R1398&gt;5,1,0),"")</f>
        <v>0</v>
      </c>
      <c r="I1401" s="32" t="str">
        <f>IF(E1401=1,"",IF(OR(Orders!T1398="Rider unavailable",Orders!T1398="Item unavailable"),"Company-caused","Unresolved"))</f>
        <v/>
      </c>
      <c r="J1401" s="33">
        <f>IF(OR(E1401=1,I1401="Company-caused"),1,0)</f>
        <v>1</v>
      </c>
      <c r="K1401" s="32" t="str">
        <f>IF(E1401=0,IF(I1401="Company-caused",IF(Orders!T1398="Rider unavailable","C1 Rider unavailable","C2 Item unavailable"),"Outside root: unresolved"),IF(G1401=0,"A On time",IF(H1401=1,IF(L1401=1,"B2a Severe, peak","B2b Severe, off-peak"),IF(L1401=1,"B1a Slight, peak","B1b Slight, off-peak"))))</f>
        <v>A On time</v>
      </c>
      <c r="L1401" s="33">
        <f>IF(AND(Orders!U1398&gt;=19,Orders!U1398&lt;22),1,0)</f>
        <v>0</v>
      </c>
      <c r="M1401" s="33">
        <f>IF(L1401=IF(Orders!V1398,1,0),1,0)</f>
        <v>1</v>
      </c>
      <c r="N1401" s="32" t="str">
        <f>IF(Orders!W1398="","None",Orders!W1398)</f>
        <v>Heavy</v>
      </c>
      <c r="O1401" s="35">
        <f>INT(Orders!E1398)</f>
        <v>46275.0</v>
      </c>
      <c r="P1401" s="33">
        <f>Orders!U1398</f>
        <v>15</v>
      </c>
      <c r="Q1401" s="33">
        <f>COUNTIFS(Demand!$A$2:$A$4481,B1401,Demand!$B$2:$B$4481,O1401,Demand!$C$2:$C$4481,P1401)</f>
        <v>1</v>
      </c>
      <c r="R1401" s="33">
        <f>IF(Q1401=1,SUMIFS(Demand!$E$2:$E$4481,Demand!$A$2:$A$4481,B1401,Demand!$B$2:$B$4481,O1401,Demand!$C$2:$C$4481,P1401),"")</f>
        <v>15</v>
      </c>
      <c r="S1401" s="33">
        <f>INDEX(Stores!$G$2:$G$21,MATCH(B1401,Stores!$A$2:$A$21,0))</f>
        <v>15</v>
      </c>
      <c r="T1401" s="34">
        <f>IF(R1401="","",R1401/S1401)</f>
        <v>1</v>
      </c>
      <c r="U1401" s="34">
        <f>IF(E1401=1,T1401,"")</f>
        <v>1</v>
      </c>
      <c r="V1401" s="34">
        <f>IF(AND(E1401=1,L1401=0),T1401,"")</f>
        <v>1</v>
      </c>
      <c r="W1401" s="33">
        <f>IF(U1401="","",IF(U1401&lt;=Breakdowns!$C$5,1,IF(U1401&lt;=Breakdowns!$C$6,2,IF(U1401&lt;=Breakdowns!$C$7,3,4))))</f>
        <v>2</v>
      </c>
      <c r="X1401" s="33">
        <f>IF(V1401="","",IF(V1401&lt;=Breakdowns!$D$5,1,IF(V1401&lt;=Breakdowns!$D$6,2,IF(V1401&lt;=Breakdowns!$D$7,3,4))))</f>
        <v>3</v>
      </c>
      <c r="Y1401" s="34">
        <f>INDEX(Stores!$F$2:$F$21,MATCH(B1401,Stores!$A$2:$A$21,0))</f>
        <v>5.74</v>
      </c>
      <c r="Z1401" s="33">
        <f>IF(Y1401&gt;Store_Summary!$M$2,1,0)</f>
        <v>1</v>
      </c>
      <c r="AA1401" s="33">
        <f>INDEX(Stores!$C$2:$C$21,MATCH(B1401,Stores!$A$2:$A$21,0))</f>
        <v>647</v>
      </c>
      <c r="AB1401" s="33">
        <f>IF(AA1401&lt;180,1,0)</f>
        <v>0</v>
      </c>
      <c r="AC1401" s="32" t="str">
        <f>IF(Orders!D1398="","",INDEX(Riders!$C$2:$C$81,MATCH(Orders!D1398,Riders!$A$2:$A$81,0)))</f>
        <v>EV scooter</v>
      </c>
      <c r="AD1401" s="33">
        <f>IF(Orders!D1398="","",INDEX(Riders!$D$2:$D$81,MATCH(Orders!D1398,Riders!$A$2:$A$81,0)))</f>
        <v>37</v>
      </c>
      <c r="AE1401" s="33">
        <f>IF(Orders!D1398="","",IF(INDEX(Riders!$B$2:$B$81,MATCH(Orders!D1398,Riders!$A$2:$A$81,0))=B1401,1,0))</f>
        <v>0</v>
      </c>
      <c r="AF1401" s="34">
        <f>IF(E1401=1,Orders!L1398,"")</f>
        <v>0.89</v>
      </c>
      <c r="AG1401" s="34">
        <f>IF(E1401=1,Orders!P1398,"")</f>
        <v>9.2</v>
      </c>
      <c r="AH1401" s="34">
        <f>IF(E1401=1,Orders!Q1398,"")</f>
        <v>8.3</v>
      </c>
      <c r="AI1401" s="34">
        <f>IF(E1401=1,Orders!M1398,"")</f>
        <v>4.6</v>
      </c>
      <c r="AJ1401" s="34">
        <f>IF(E1401=1,Orders!N1398,"")</f>
        <v>0.6</v>
      </c>
      <c r="AK1401" s="34">
        <f>IF(E1401=1,Orders!O1398,"")</f>
        <v>3.1</v>
      </c>
      <c r="AL1401" s="33">
        <f>IF(E1401=1,IF(ROUND(ABS(AI1401+AJ1401+AK1401-AH1401),6)&lt;=0.1,1,0),"")</f>
        <v>1</v>
      </c>
      <c r="AM1401" s="36">
        <f>IF(E1401=1,AI1401/AH1401,"")</f>
        <v>0.554216867469879</v>
      </c>
      <c r="AN1401" s="36">
        <f>IF(E1401=1,AJ1401/AH1401,"")</f>
        <v>0.072289156626506</v>
      </c>
      <c r="AO1401" s="36">
        <f>IF(E1401=1,AK1401/AH1401,"")</f>
        <v>0.373493975903614</v>
      </c>
      <c r="AP1401" s="34">
        <f>IF(E1401=1,Orders!Y1398,"")</f>
        <v>0.47</v>
      </c>
      <c r="AQ1401" s="33">
        <f>IF(Orders!X1398,1,0)</f>
        <v>0</v>
      </c>
      <c r="AR1401" s="34" t="str">
        <f>IF(AND(E1401=1,L1401=1),AJ1401,"")</f>
        <v/>
      </c>
      <c r="AS1401" s="34">
        <f>IF(AND(E1401=1,L1401=0),AJ1401,"")</f>
        <v>0.6</v>
      </c>
      <c r="AT1401" s="34" t="str">
        <f>IF(AND(E1401=1,L1401=1),AI1401,"")</f>
        <v/>
      </c>
      <c r="AU1401" s="34">
        <f>IF(AND(E1401=1,L1401=0),AI1401,"")</f>
        <v>4.6</v>
      </c>
      <c r="AV1401" s="34" t="str">
        <f>IF(AND(E1401=1,L1401=1),AG1401,"")</f>
        <v/>
      </c>
      <c r="AW1401" s="34">
        <f>IF(AND(E1401=1,L1401=0),AG1401,"")</f>
        <v>9.2</v>
      </c>
      <c r="AX1401" s="34" t="str">
        <f>IF(AND(E1401=1,L1401=1),AH1401,"")</f>
        <v/>
      </c>
      <c r="AY1401" s="34">
        <f>IF(AND(E1401=1,L1401=0),AH1401,"")</f>
        <v>8.3</v>
      </c>
      <c r="AZ1401" s="34" t="str">
        <f>IF(G1401=1,F1401,"")</f>
        <v/>
      </c>
      <c r="BA1401" s="34" t="str">
        <f>IF(AND(G1401=1,L1401=1),F1401,"")</f>
        <v/>
      </c>
      <c r="BB1401" s="34" t="str">
        <f>IF(AND(G1401=1,L1401=0),F1401,"")</f>
        <v/>
      </c>
      <c r="BC1401" s="33">
        <f>IF(E1401=1,IF(Orders!R1398&gt;3,1,0),"")</f>
        <v>0</v>
      </c>
      <c r="BD1401" s="33">
        <f>IF(E1401=1,IF(Orders!R1398&gt;7,1,0),"")</f>
        <v>0</v>
      </c>
      <c r="BE1401" s="32" t="str">
        <f>IF(E1401=1,IF(Orders!L1398&lt;=1.5,"Up to 1.5 km",IF(Orders!L1398&lt;=3,"1.5–3 km","Over 3 km")),"")</f>
        <v>Up to 1.5 km</v>
      </c>
      <c r="BF1401" s="33">
        <f>IF(E1401=1,IF(ABS((Orders!G1398-Orders!F1398)*1440-Orders!R1398)&lt;0.06,1,0),"")</f>
        <v>1</v>
      </c>
      <c r="BG1401" s="33">
        <f>IF(ABS((Orders!F1398-Orders!E1398)*1440-Orders!P1398)&lt;0.06,1,0)</f>
        <v>1</v>
      </c>
      <c r="BH1401" s="33">
        <f>IF(E1401=1,IF(IF(Orders!S1398,1,0)=1-G1401,1,0),"")</f>
        <v>1</v>
      </c>
      <c r="BI1401" s="32" t="str">
        <f>INDEX(Stores!$B$2:$B$21,MATCH(B1401,Stores!$A$2:$A$21,0))</f>
        <v>Delhi</v>
      </c>
    </row>
    <row r="1402">
      <c r="A1402" s="32" t="str">
        <f>Orders!A1399</f>
        <v>O01398</v>
      </c>
      <c r="B1402" s="32" t="str">
        <f>Orders!C1399</f>
        <v>S007</v>
      </c>
      <c r="C1402" s="32" t="str">
        <f>Orders!B1399</f>
        <v>C0053</v>
      </c>
      <c r="D1402" s="32" t="str">
        <f>Orders!H1399</f>
        <v>Delivered</v>
      </c>
      <c r="E1402" s="33">
        <f>IF(Orders!H1399="Delivered",1,0)</f>
        <v>1</v>
      </c>
      <c r="F1402" s="34">
        <f>IF(E1402=1,Orders!R1399,"")</f>
        <v>-1.1</v>
      </c>
      <c r="G1402" s="33">
        <f>IF(E1402=1,IF(Orders!R1399&gt;0,1,0),"")</f>
        <v>0</v>
      </c>
      <c r="H1402" s="33">
        <f>IF(E1402=1,IF(Orders!R1399&gt;5,1,0),"")</f>
        <v>0</v>
      </c>
      <c r="I1402" s="32" t="str">
        <f>IF(E1402=1,"",IF(OR(Orders!T1399="Rider unavailable",Orders!T1399="Item unavailable"),"Company-caused","Unresolved"))</f>
        <v/>
      </c>
      <c r="J1402" s="33">
        <f>IF(OR(E1402=1,I1402="Company-caused"),1,0)</f>
        <v>1</v>
      </c>
      <c r="K1402" s="32" t="str">
        <f>IF(E1402=0,IF(I1402="Company-caused",IF(Orders!T1399="Rider unavailable","C1 Rider unavailable","C2 Item unavailable"),"Outside root: unresolved"),IF(G1402=0,"A On time",IF(H1402=1,IF(L1402=1,"B2a Severe, peak","B2b Severe, off-peak"),IF(L1402=1,"B1a Slight, peak","B1b Slight, off-peak"))))</f>
        <v>A On time</v>
      </c>
      <c r="L1402" s="33">
        <f>IF(AND(Orders!U1399&gt;=19,Orders!U1399&lt;22),1,0)</f>
        <v>0</v>
      </c>
      <c r="M1402" s="33">
        <f>IF(L1402=IF(Orders!V1399,1,0),1,0)</f>
        <v>1</v>
      </c>
      <c r="N1402" s="32" t="str">
        <f>IF(Orders!W1399="","None",Orders!W1399)</f>
        <v>None</v>
      </c>
      <c r="O1402" s="35">
        <f>INT(Orders!E1399)</f>
        <v>46278.0</v>
      </c>
      <c r="P1402" s="33">
        <f>Orders!U1399</f>
        <v>18</v>
      </c>
      <c r="Q1402" s="33">
        <f>COUNTIFS(Demand!$A$2:$A$4481,B1402,Demand!$B$2:$B$4481,O1402,Demand!$C$2:$C$4481,P1402)</f>
        <v>1</v>
      </c>
      <c r="R1402" s="33">
        <f>IF(Q1402=1,SUMIFS(Demand!$E$2:$E$4481,Demand!$A$2:$A$4481,B1402,Demand!$B$2:$B$4481,O1402,Demand!$C$2:$C$4481,P1402),"")</f>
        <v>39</v>
      </c>
      <c r="S1402" s="33">
        <f>INDEX(Stores!$G$2:$G$21,MATCH(B1402,Stores!$A$2:$A$21,0))</f>
        <v>37</v>
      </c>
      <c r="T1402" s="34">
        <f>IF(R1402="","",R1402/S1402)</f>
        <v>1.05405405405405</v>
      </c>
      <c r="U1402" s="34">
        <f>IF(E1402=1,T1402,"")</f>
        <v>1.05405405405405</v>
      </c>
      <c r="V1402" s="34">
        <f>IF(AND(E1402=1,L1402=0),T1402,"")</f>
        <v>1.05405405405405</v>
      </c>
      <c r="W1402" s="33">
        <f>IF(U1402="","",IF(U1402&lt;=Breakdowns!$C$5,1,IF(U1402&lt;=Breakdowns!$C$6,2,IF(U1402&lt;=Breakdowns!$C$7,3,4))))</f>
        <v>3</v>
      </c>
      <c r="X1402" s="33">
        <f>IF(V1402="","",IF(V1402&lt;=Breakdowns!$D$5,1,IF(V1402&lt;=Breakdowns!$D$6,2,IF(V1402&lt;=Breakdowns!$D$7,3,4))))</f>
        <v>3</v>
      </c>
      <c r="Y1402" s="34">
        <f>INDEX(Stores!$F$2:$F$21,MATCH(B1402,Stores!$A$2:$A$21,0))</f>
        <v>4.05</v>
      </c>
      <c r="Z1402" s="33">
        <f>IF(Y1402&gt;Store_Summary!$M$2,1,0)</f>
        <v>0</v>
      </c>
      <c r="AA1402" s="33">
        <f>INDEX(Stores!$C$2:$C$21,MATCH(B1402,Stores!$A$2:$A$21,0))</f>
        <v>661</v>
      </c>
      <c r="AB1402" s="33">
        <f>IF(AA1402&lt;180,1,0)</f>
        <v>0</v>
      </c>
      <c r="AC1402" s="32" t="str">
        <f>IF(Orders!D1399="","",INDEX(Riders!$C$2:$C$81,MATCH(Orders!D1399,Riders!$A$2:$A$81,0)))</f>
        <v>EV scooter</v>
      </c>
      <c r="AD1402" s="33">
        <f>IF(Orders!D1399="","",INDEX(Riders!$D$2:$D$81,MATCH(Orders!D1399,Riders!$A$2:$A$81,0)))</f>
        <v>36</v>
      </c>
      <c r="AE1402" s="33">
        <f>IF(Orders!D1399="","",IF(INDEX(Riders!$B$2:$B$81,MATCH(Orders!D1399,Riders!$A$2:$A$81,0))=B1402,1,0))</f>
        <v>0</v>
      </c>
      <c r="AF1402" s="34">
        <f>IF(E1402=1,Orders!L1399,"")</f>
        <v>3.8</v>
      </c>
      <c r="AG1402" s="34">
        <f>IF(E1402=1,Orders!P1399,"")</f>
        <v>13.2</v>
      </c>
      <c r="AH1402" s="34">
        <f>IF(E1402=1,Orders!Q1399,"")</f>
        <v>12.1</v>
      </c>
      <c r="AI1402" s="34">
        <f>IF(E1402=1,Orders!M1399,"")</f>
        <v>3.6</v>
      </c>
      <c r="AJ1402" s="34">
        <f>IF(E1402=1,Orders!N1399,"")</f>
        <v>1.7</v>
      </c>
      <c r="AK1402" s="34">
        <f>IF(E1402=1,Orders!O1399,"")</f>
        <v>6.8</v>
      </c>
      <c r="AL1402" s="33">
        <f>IF(E1402=1,IF(ROUND(ABS(AI1402+AJ1402+AK1402-AH1402),6)&lt;=0.1,1,0),"")</f>
        <v>1</v>
      </c>
      <c r="AM1402" s="36">
        <f>IF(E1402=1,AI1402/AH1402,"")</f>
        <v>0.297520661157025</v>
      </c>
      <c r="AN1402" s="36">
        <f>IF(E1402=1,AJ1402/AH1402,"")</f>
        <v>0.140495867768595</v>
      </c>
      <c r="AO1402" s="36">
        <f>IF(E1402=1,AK1402/AH1402,"")</f>
        <v>0.56198347107438</v>
      </c>
      <c r="AP1402" s="34">
        <f>IF(E1402=1,Orders!Y1399,"")</f>
        <v>0.6</v>
      </c>
      <c r="AQ1402" s="33">
        <f>IF(Orders!X1399,1,0)</f>
        <v>0</v>
      </c>
      <c r="AR1402" s="34" t="str">
        <f>IF(AND(E1402=1,L1402=1),AJ1402,"")</f>
        <v/>
      </c>
      <c r="AS1402" s="34">
        <f>IF(AND(E1402=1,L1402=0),AJ1402,"")</f>
        <v>1.7</v>
      </c>
      <c r="AT1402" s="34" t="str">
        <f>IF(AND(E1402=1,L1402=1),AI1402,"")</f>
        <v/>
      </c>
      <c r="AU1402" s="34">
        <f>IF(AND(E1402=1,L1402=0),AI1402,"")</f>
        <v>3.6</v>
      </c>
      <c r="AV1402" s="34" t="str">
        <f>IF(AND(E1402=1,L1402=1),AG1402,"")</f>
        <v/>
      </c>
      <c r="AW1402" s="34">
        <f>IF(AND(E1402=1,L1402=0),AG1402,"")</f>
        <v>13.2</v>
      </c>
      <c r="AX1402" s="34" t="str">
        <f>IF(AND(E1402=1,L1402=1),AH1402,"")</f>
        <v/>
      </c>
      <c r="AY1402" s="34">
        <f>IF(AND(E1402=1,L1402=0),AH1402,"")</f>
        <v>12.1</v>
      </c>
      <c r="AZ1402" s="34" t="str">
        <f>IF(G1402=1,F1402,"")</f>
        <v/>
      </c>
      <c r="BA1402" s="34" t="str">
        <f>IF(AND(G1402=1,L1402=1),F1402,"")</f>
        <v/>
      </c>
      <c r="BB1402" s="34" t="str">
        <f>IF(AND(G1402=1,L1402=0),F1402,"")</f>
        <v/>
      </c>
      <c r="BC1402" s="33">
        <f>IF(E1402=1,IF(Orders!R1399&gt;3,1,0),"")</f>
        <v>0</v>
      </c>
      <c r="BD1402" s="33">
        <f>IF(E1402=1,IF(Orders!R1399&gt;7,1,0),"")</f>
        <v>0</v>
      </c>
      <c r="BE1402" s="32" t="str">
        <f>IF(E1402=1,IF(Orders!L1399&lt;=1.5,"Up to 1.5 km",IF(Orders!L1399&lt;=3,"1.5–3 km","Over 3 km")),"")</f>
        <v>Over 3 km</v>
      </c>
      <c r="BF1402" s="33">
        <f>IF(E1402=1,IF(ABS((Orders!G1399-Orders!F1399)*1440-Orders!R1399)&lt;0.06,1,0),"")</f>
        <v>1</v>
      </c>
      <c r="BG1402" s="33">
        <f>IF(ABS((Orders!F1399-Orders!E1399)*1440-Orders!P1399)&lt;0.06,1,0)</f>
        <v>1</v>
      </c>
      <c r="BH1402" s="33">
        <f>IF(E1402=1,IF(IF(Orders!S1399,1,0)=1-G1402,1,0),"")</f>
        <v>1</v>
      </c>
      <c r="BI1402" s="32" t="str">
        <f>INDEX(Stores!$B$2:$B$21,MATCH(B1402,Stores!$A$2:$A$21,0))</f>
        <v>Hyderabad</v>
      </c>
    </row>
    <row r="1403">
      <c r="A1403" s="32" t="str">
        <f>Orders!A1400</f>
        <v>O01399</v>
      </c>
      <c r="B1403" s="32" t="str">
        <f>Orders!C1400</f>
        <v>S009</v>
      </c>
      <c r="C1403" s="32" t="str">
        <f>Orders!B1400</f>
        <v>C0022</v>
      </c>
      <c r="D1403" s="32" t="str">
        <f>Orders!H1400</f>
        <v>Delivered</v>
      </c>
      <c r="E1403" s="33">
        <f>IF(Orders!H1400="Delivered",1,0)</f>
        <v>1</v>
      </c>
      <c r="F1403" s="34">
        <f>IF(E1403=1,Orders!R1400,"")</f>
        <v>-0.6</v>
      </c>
      <c r="G1403" s="33">
        <f>IF(E1403=1,IF(Orders!R1400&gt;0,1,0),"")</f>
        <v>0</v>
      </c>
      <c r="H1403" s="33">
        <f>IF(E1403=1,IF(Orders!R1400&gt;5,1,0),"")</f>
        <v>0</v>
      </c>
      <c r="I1403" s="32" t="str">
        <f>IF(E1403=1,"",IF(OR(Orders!T1400="Rider unavailable",Orders!T1400="Item unavailable"),"Company-caused","Unresolved"))</f>
        <v/>
      </c>
      <c r="J1403" s="33">
        <f>IF(OR(E1403=1,I1403="Company-caused"),1,0)</f>
        <v>1</v>
      </c>
      <c r="K1403" s="32" t="str">
        <f>IF(E1403=0,IF(I1403="Company-caused",IF(Orders!T1400="Rider unavailable","C1 Rider unavailable","C2 Item unavailable"),"Outside root: unresolved"),IF(G1403=0,"A On time",IF(H1403=1,IF(L1403=1,"B2a Severe, peak","B2b Severe, off-peak"),IF(L1403=1,"B1a Slight, peak","B1b Slight, off-peak"))))</f>
        <v>A On time</v>
      </c>
      <c r="L1403" s="33">
        <f>IF(AND(Orders!U1400&gt;=19,Orders!U1400&lt;22),1,0)</f>
        <v>0</v>
      </c>
      <c r="M1403" s="33">
        <f>IF(L1403=IF(Orders!V1400,1,0),1,0)</f>
        <v>1</v>
      </c>
      <c r="N1403" s="32" t="str">
        <f>IF(Orders!W1400="","None",Orders!W1400)</f>
        <v>Light</v>
      </c>
      <c r="O1403" s="35">
        <f>INT(Orders!E1400)</f>
        <v>46277.0</v>
      </c>
      <c r="P1403" s="33">
        <f>Orders!U1400</f>
        <v>15</v>
      </c>
      <c r="Q1403" s="33">
        <f>COUNTIFS(Demand!$A$2:$A$4481,B1403,Demand!$B$2:$B$4481,O1403,Demand!$C$2:$C$4481,P1403)</f>
        <v>1</v>
      </c>
      <c r="R1403" s="33">
        <f>IF(Q1403=1,SUMIFS(Demand!$E$2:$E$4481,Demand!$A$2:$A$4481,B1403,Demand!$B$2:$B$4481,O1403,Demand!$C$2:$C$4481,P1403),"")</f>
        <v>29</v>
      </c>
      <c r="S1403" s="33">
        <f>INDEX(Stores!$G$2:$G$21,MATCH(B1403,Stores!$A$2:$A$21,0))</f>
        <v>29</v>
      </c>
      <c r="T1403" s="34">
        <f>IF(R1403="","",R1403/S1403)</f>
        <v>1</v>
      </c>
      <c r="U1403" s="34">
        <f>IF(E1403=1,T1403,"")</f>
        <v>1</v>
      </c>
      <c r="V1403" s="34">
        <f>IF(AND(E1403=1,L1403=0),T1403,"")</f>
        <v>1</v>
      </c>
      <c r="W1403" s="33">
        <f>IF(U1403="","",IF(U1403&lt;=Breakdowns!$C$5,1,IF(U1403&lt;=Breakdowns!$C$6,2,IF(U1403&lt;=Breakdowns!$C$7,3,4))))</f>
        <v>2</v>
      </c>
      <c r="X1403" s="33">
        <f>IF(V1403="","",IF(V1403&lt;=Breakdowns!$D$5,1,IF(V1403&lt;=Breakdowns!$D$6,2,IF(V1403&lt;=Breakdowns!$D$7,3,4))))</f>
        <v>3</v>
      </c>
      <c r="Y1403" s="34">
        <f>INDEX(Stores!$F$2:$F$21,MATCH(B1403,Stores!$A$2:$A$21,0))</f>
        <v>2.66</v>
      </c>
      <c r="Z1403" s="33">
        <f>IF(Y1403&gt;Store_Summary!$M$2,1,0)</f>
        <v>0</v>
      </c>
      <c r="AA1403" s="33">
        <f>INDEX(Stores!$C$2:$C$21,MATCH(B1403,Stores!$A$2:$A$21,0))</f>
        <v>645</v>
      </c>
      <c r="AB1403" s="33">
        <f>IF(AA1403&lt;180,1,0)</f>
        <v>0</v>
      </c>
      <c r="AC1403" s="32" t="str">
        <f>IF(Orders!D1400="","",INDEX(Riders!$C$2:$C$81,MATCH(Orders!D1400,Riders!$A$2:$A$81,0)))</f>
        <v>EV scooter</v>
      </c>
      <c r="AD1403" s="33">
        <f>IF(Orders!D1400="","",INDEX(Riders!$D$2:$D$81,MATCH(Orders!D1400,Riders!$A$2:$A$81,0)))</f>
        <v>39</v>
      </c>
      <c r="AE1403" s="33">
        <f>IF(Orders!D1400="","",IF(INDEX(Riders!$B$2:$B$81,MATCH(Orders!D1400,Riders!$A$2:$A$81,0))=B1403,1,0))</f>
        <v>0</v>
      </c>
      <c r="AF1403" s="34">
        <f>IF(E1403=1,Orders!L1400,"")</f>
        <v>2.8</v>
      </c>
      <c r="AG1403" s="34">
        <f>IF(E1403=1,Orders!P1400,"")</f>
        <v>11.7</v>
      </c>
      <c r="AH1403" s="34">
        <f>IF(E1403=1,Orders!Q1400,"")</f>
        <v>11.1</v>
      </c>
      <c r="AI1403" s="34">
        <f>IF(E1403=1,Orders!M1400,"")</f>
        <v>2</v>
      </c>
      <c r="AJ1403" s="34">
        <f>IF(E1403=1,Orders!N1400,"")</f>
        <v>3.2</v>
      </c>
      <c r="AK1403" s="34">
        <f>IF(E1403=1,Orders!O1400,"")</f>
        <v>5.9</v>
      </c>
      <c r="AL1403" s="33">
        <f>IF(E1403=1,IF(ROUND(ABS(AI1403+AJ1403+AK1403-AH1403),6)&lt;=0.1,1,0),"")</f>
        <v>1</v>
      </c>
      <c r="AM1403" s="36">
        <f>IF(E1403=1,AI1403/AH1403,"")</f>
        <v>0.18018018018018</v>
      </c>
      <c r="AN1403" s="36">
        <f>IF(E1403=1,AJ1403/AH1403,"")</f>
        <v>0.288288288288288</v>
      </c>
      <c r="AO1403" s="36">
        <f>IF(E1403=1,AK1403/AH1403,"")</f>
        <v>0.531531531531532</v>
      </c>
      <c r="AP1403" s="34">
        <f>IF(E1403=1,Orders!Y1400,"")</f>
        <v>0.66</v>
      </c>
      <c r="AQ1403" s="33">
        <f>IF(Orders!X1400,1,0)</f>
        <v>0</v>
      </c>
      <c r="AR1403" s="34" t="str">
        <f>IF(AND(E1403=1,L1403=1),AJ1403,"")</f>
        <v/>
      </c>
      <c r="AS1403" s="34">
        <f>IF(AND(E1403=1,L1403=0),AJ1403,"")</f>
        <v>3.2</v>
      </c>
      <c r="AT1403" s="34" t="str">
        <f>IF(AND(E1403=1,L1403=1),AI1403,"")</f>
        <v/>
      </c>
      <c r="AU1403" s="34">
        <f>IF(AND(E1403=1,L1403=0),AI1403,"")</f>
        <v>2</v>
      </c>
      <c r="AV1403" s="34" t="str">
        <f>IF(AND(E1403=1,L1403=1),AG1403,"")</f>
        <v/>
      </c>
      <c r="AW1403" s="34">
        <f>IF(AND(E1403=1,L1403=0),AG1403,"")</f>
        <v>11.7</v>
      </c>
      <c r="AX1403" s="34" t="str">
        <f>IF(AND(E1403=1,L1403=1),AH1403,"")</f>
        <v/>
      </c>
      <c r="AY1403" s="34">
        <f>IF(AND(E1403=1,L1403=0),AH1403,"")</f>
        <v>11.1</v>
      </c>
      <c r="AZ1403" s="34" t="str">
        <f>IF(G1403=1,F1403,"")</f>
        <v/>
      </c>
      <c r="BA1403" s="34" t="str">
        <f>IF(AND(G1403=1,L1403=1),F1403,"")</f>
        <v/>
      </c>
      <c r="BB1403" s="34" t="str">
        <f>IF(AND(G1403=1,L1403=0),F1403,"")</f>
        <v/>
      </c>
      <c r="BC1403" s="33">
        <f>IF(E1403=1,IF(Orders!R1400&gt;3,1,0),"")</f>
        <v>0</v>
      </c>
      <c r="BD1403" s="33">
        <f>IF(E1403=1,IF(Orders!R1400&gt;7,1,0),"")</f>
        <v>0</v>
      </c>
      <c r="BE1403" s="32" t="str">
        <f>IF(E1403=1,IF(Orders!L1400&lt;=1.5,"Up to 1.5 km",IF(Orders!L1400&lt;=3,"1.5–3 km","Over 3 km")),"")</f>
        <v>1.5–3 km</v>
      </c>
      <c r="BF1403" s="33">
        <f>IF(E1403=1,IF(ABS((Orders!G1400-Orders!F1400)*1440-Orders!R1400)&lt;0.06,1,0),"")</f>
        <v>1</v>
      </c>
      <c r="BG1403" s="33">
        <f>IF(ABS((Orders!F1400-Orders!E1400)*1440-Orders!P1400)&lt;0.06,1,0)</f>
        <v>1</v>
      </c>
      <c r="BH1403" s="33">
        <f>IF(E1403=1,IF(IF(Orders!S1400,1,0)=1-G1403,1,0),"")</f>
        <v>1</v>
      </c>
      <c r="BI1403" s="32" t="str">
        <f>INDEX(Stores!$B$2:$B$21,MATCH(B1403,Stores!$A$2:$A$21,0))</f>
        <v>Pune</v>
      </c>
    </row>
    <row r="1404">
      <c r="A1404" s="32" t="str">
        <f>Orders!A1401</f>
        <v>O01400</v>
      </c>
      <c r="B1404" s="32" t="str">
        <f>Orders!C1401</f>
        <v>S011</v>
      </c>
      <c r="C1404" s="32" t="str">
        <f>Orders!B1401</f>
        <v>C0160</v>
      </c>
      <c r="D1404" s="32" t="str">
        <f>Orders!H1401</f>
        <v>Delivered</v>
      </c>
      <c r="E1404" s="33">
        <f>IF(Orders!H1401="Delivered",1,0)</f>
        <v>1</v>
      </c>
      <c r="F1404" s="34">
        <f>IF(E1404=1,Orders!R1401,"")</f>
        <v>-0.6</v>
      </c>
      <c r="G1404" s="33">
        <f>IF(E1404=1,IF(Orders!R1401&gt;0,1,0),"")</f>
        <v>0</v>
      </c>
      <c r="H1404" s="33">
        <f>IF(E1404=1,IF(Orders!R1401&gt;5,1,0),"")</f>
        <v>0</v>
      </c>
      <c r="I1404" s="32" t="str">
        <f>IF(E1404=1,"",IF(OR(Orders!T1401="Rider unavailable",Orders!T1401="Item unavailable"),"Company-caused","Unresolved"))</f>
        <v/>
      </c>
      <c r="J1404" s="33">
        <f>IF(OR(E1404=1,I1404="Company-caused"),1,0)</f>
        <v>1</v>
      </c>
      <c r="K1404" s="32" t="str">
        <f>IF(E1404=0,IF(I1404="Company-caused",IF(Orders!T1401="Rider unavailable","C1 Rider unavailable","C2 Item unavailable"),"Outside root: unresolved"),IF(G1404=0,"A On time",IF(H1404=1,IF(L1404=1,"B2a Severe, peak","B2b Severe, off-peak"),IF(L1404=1,"B1a Slight, peak","B1b Slight, off-peak"))))</f>
        <v>A On time</v>
      </c>
      <c r="L1404" s="33">
        <f>IF(AND(Orders!U1401&gt;=19,Orders!U1401&lt;22),1,0)</f>
        <v>0</v>
      </c>
      <c r="M1404" s="33">
        <f>IF(L1404=IF(Orders!V1401,1,0),1,0)</f>
        <v>1</v>
      </c>
      <c r="N1404" s="32" t="str">
        <f>IF(Orders!W1401="","None",Orders!W1401)</f>
        <v>None</v>
      </c>
      <c r="O1404" s="35">
        <f>INT(Orders!E1401)</f>
        <v>46266.0</v>
      </c>
      <c r="P1404" s="33">
        <f>Orders!U1401</f>
        <v>9</v>
      </c>
      <c r="Q1404" s="33">
        <f>COUNTIFS(Demand!$A$2:$A$4481,B1404,Demand!$B$2:$B$4481,O1404,Demand!$C$2:$C$4481,P1404)</f>
        <v>1</v>
      </c>
      <c r="R1404" s="33">
        <f>IF(Q1404=1,SUMIFS(Demand!$E$2:$E$4481,Demand!$A$2:$A$4481,B1404,Demand!$B$2:$B$4481,O1404,Demand!$C$2:$C$4481,P1404),"")</f>
        <v>20</v>
      </c>
      <c r="S1404" s="33">
        <f>INDEX(Stores!$G$2:$G$21,MATCH(B1404,Stores!$A$2:$A$21,0))</f>
        <v>31</v>
      </c>
      <c r="T1404" s="34">
        <f>IF(R1404="","",R1404/S1404)</f>
        <v>0.645161290322581</v>
      </c>
      <c r="U1404" s="34">
        <f>IF(E1404=1,T1404,"")</f>
        <v>0.645161290322581</v>
      </c>
      <c r="V1404" s="34">
        <f>IF(AND(E1404=1,L1404=0),T1404,"")</f>
        <v>0.645161290322581</v>
      </c>
      <c r="W1404" s="33">
        <f>IF(U1404="","",IF(U1404&lt;=Breakdowns!$C$5,1,IF(U1404&lt;=Breakdowns!$C$6,2,IF(U1404&lt;=Breakdowns!$C$7,3,4))))</f>
        <v>1</v>
      </c>
      <c r="X1404" s="33">
        <f>IF(V1404="","",IF(V1404&lt;=Breakdowns!$D$5,1,IF(V1404&lt;=Breakdowns!$D$6,2,IF(V1404&lt;=Breakdowns!$D$7,3,4))))</f>
        <v>1</v>
      </c>
      <c r="Y1404" s="34">
        <f>INDEX(Stores!$F$2:$F$21,MATCH(B1404,Stores!$A$2:$A$21,0))</f>
        <v>5.67</v>
      </c>
      <c r="Z1404" s="33">
        <f>IF(Y1404&gt;Store_Summary!$M$2,1,0)</f>
        <v>1</v>
      </c>
      <c r="AA1404" s="33">
        <f>INDEX(Stores!$C$2:$C$21,MATCH(B1404,Stores!$A$2:$A$21,0))</f>
        <v>732</v>
      </c>
      <c r="AB1404" s="33">
        <f>IF(AA1404&lt;180,1,0)</f>
        <v>0</v>
      </c>
      <c r="AC1404" s="32" t="str">
        <f>IF(Orders!D1401="","",INDEX(Riders!$C$2:$C$81,MATCH(Orders!D1401,Riders!$A$2:$A$81,0)))</f>
        <v>Bicycle</v>
      </c>
      <c r="AD1404" s="33">
        <f>IF(Orders!D1401="","",INDEX(Riders!$D$2:$D$81,MATCH(Orders!D1401,Riders!$A$2:$A$81,0)))</f>
        <v>8</v>
      </c>
      <c r="AE1404" s="33">
        <f>IF(Orders!D1401="","",IF(INDEX(Riders!$B$2:$B$81,MATCH(Orders!D1401,Riders!$A$2:$A$81,0))=B1404,1,0))</f>
        <v>0</v>
      </c>
      <c r="AF1404" s="34">
        <f>IF(E1404=1,Orders!L1401,"")</f>
        <v>2.61</v>
      </c>
      <c r="AG1404" s="34">
        <f>IF(E1404=1,Orders!P1401,"")</f>
        <v>8.7</v>
      </c>
      <c r="AH1404" s="34">
        <f>IF(E1404=1,Orders!Q1401,"")</f>
        <v>8.1</v>
      </c>
      <c r="AI1404" s="34">
        <f>IF(E1404=1,Orders!M1401,"")</f>
        <v>2.9</v>
      </c>
      <c r="AJ1404" s="34">
        <f>IF(E1404=1,Orders!N1401,"")</f>
        <v>2.7</v>
      </c>
      <c r="AK1404" s="34">
        <f>IF(E1404=1,Orders!O1401,"")</f>
        <v>2.5</v>
      </c>
      <c r="AL1404" s="33">
        <f>IF(E1404=1,IF(ROUND(ABS(AI1404+AJ1404+AK1404-AH1404),6)&lt;=0.1,1,0),"")</f>
        <v>1</v>
      </c>
      <c r="AM1404" s="36">
        <f>IF(E1404=1,AI1404/AH1404,"")</f>
        <v>0.358024691358025</v>
      </c>
      <c r="AN1404" s="36">
        <f>IF(E1404=1,AJ1404/AH1404,"")</f>
        <v>0.333333333333333</v>
      </c>
      <c r="AO1404" s="36">
        <f>IF(E1404=1,AK1404/AH1404,"")</f>
        <v>0.308641975308642</v>
      </c>
      <c r="AP1404" s="34">
        <f>IF(E1404=1,Orders!Y1401,"")</f>
        <v>0.11</v>
      </c>
      <c r="AQ1404" s="33">
        <f>IF(Orders!X1401,1,0)</f>
        <v>0</v>
      </c>
      <c r="AR1404" s="34" t="str">
        <f>IF(AND(E1404=1,L1404=1),AJ1404,"")</f>
        <v/>
      </c>
      <c r="AS1404" s="34">
        <f>IF(AND(E1404=1,L1404=0),AJ1404,"")</f>
        <v>2.7</v>
      </c>
      <c r="AT1404" s="34" t="str">
        <f>IF(AND(E1404=1,L1404=1),AI1404,"")</f>
        <v/>
      </c>
      <c r="AU1404" s="34">
        <f>IF(AND(E1404=1,L1404=0),AI1404,"")</f>
        <v>2.9</v>
      </c>
      <c r="AV1404" s="34" t="str">
        <f>IF(AND(E1404=1,L1404=1),AG1404,"")</f>
        <v/>
      </c>
      <c r="AW1404" s="34">
        <f>IF(AND(E1404=1,L1404=0),AG1404,"")</f>
        <v>8.7</v>
      </c>
      <c r="AX1404" s="34" t="str">
        <f>IF(AND(E1404=1,L1404=1),AH1404,"")</f>
        <v/>
      </c>
      <c r="AY1404" s="34">
        <f>IF(AND(E1404=1,L1404=0),AH1404,"")</f>
        <v>8.1</v>
      </c>
      <c r="AZ1404" s="34" t="str">
        <f>IF(G1404=1,F1404,"")</f>
        <v/>
      </c>
      <c r="BA1404" s="34" t="str">
        <f>IF(AND(G1404=1,L1404=1),F1404,"")</f>
        <v/>
      </c>
      <c r="BB1404" s="34" t="str">
        <f>IF(AND(G1404=1,L1404=0),F1404,"")</f>
        <v/>
      </c>
      <c r="BC1404" s="33">
        <f>IF(E1404=1,IF(Orders!R1401&gt;3,1,0),"")</f>
        <v>0</v>
      </c>
      <c r="BD1404" s="33">
        <f>IF(E1404=1,IF(Orders!R1401&gt;7,1,0),"")</f>
        <v>0</v>
      </c>
      <c r="BE1404" s="32" t="str">
        <f>IF(E1404=1,IF(Orders!L1401&lt;=1.5,"Up to 1.5 km",IF(Orders!L1401&lt;=3,"1.5–3 km","Over 3 km")),"")</f>
        <v>1.5–3 km</v>
      </c>
      <c r="BF1404" s="33">
        <f>IF(E1404=1,IF(ABS((Orders!G1401-Orders!F1401)*1440-Orders!R1401)&lt;0.06,1,0),"")</f>
        <v>1</v>
      </c>
      <c r="BG1404" s="33">
        <f>IF(ABS((Orders!F1401-Orders!E1401)*1440-Orders!P1401)&lt;0.06,1,0)</f>
        <v>1</v>
      </c>
      <c r="BH1404" s="33">
        <f>IF(E1404=1,IF(IF(Orders!S1401,1,0)=1-G1404,1,0),"")</f>
        <v>1</v>
      </c>
      <c r="BI1404" s="32" t="str">
        <f>INDEX(Stores!$B$2:$B$21,MATCH(B1404,Stores!$A$2:$A$21,0))</f>
        <v>Bengaluru</v>
      </c>
    </row>
    <row r="1405">
      <c r="A1405" s="32" t="str">
        <f>Orders!A1402</f>
        <v>O01401</v>
      </c>
      <c r="B1405" s="32" t="str">
        <f>Orders!C1402</f>
        <v>S008</v>
      </c>
      <c r="C1405" s="32" t="str">
        <f>Orders!B1402</f>
        <v>C0086</v>
      </c>
      <c r="D1405" s="32" t="str">
        <f>Orders!H1402</f>
        <v>Delivered</v>
      </c>
      <c r="E1405" s="33">
        <f>IF(Orders!H1402="Delivered",1,0)</f>
        <v>1</v>
      </c>
      <c r="F1405" s="34">
        <f>IF(E1405=1,Orders!R1402,"")</f>
        <v>-1.1</v>
      </c>
      <c r="G1405" s="33">
        <f>IF(E1405=1,IF(Orders!R1402&gt;0,1,0),"")</f>
        <v>0</v>
      </c>
      <c r="H1405" s="33">
        <f>IF(E1405=1,IF(Orders!R1402&gt;5,1,0),"")</f>
        <v>0</v>
      </c>
      <c r="I1405" s="32" t="str">
        <f>IF(E1405=1,"",IF(OR(Orders!T1402="Rider unavailable",Orders!T1402="Item unavailable"),"Company-caused","Unresolved"))</f>
        <v/>
      </c>
      <c r="J1405" s="33">
        <f>IF(OR(E1405=1,I1405="Company-caused"),1,0)</f>
        <v>1</v>
      </c>
      <c r="K1405" s="32" t="str">
        <f>IF(E1405=0,IF(I1405="Company-caused",IF(Orders!T1402="Rider unavailable","C1 Rider unavailable","C2 Item unavailable"),"Outside root: unresolved"),IF(G1405=0,"A On time",IF(H1405=1,IF(L1405=1,"B2a Severe, peak","B2b Severe, off-peak"),IF(L1405=1,"B1a Slight, peak","B1b Slight, off-peak"))))</f>
        <v>A On time</v>
      </c>
      <c r="L1405" s="33">
        <f>IF(AND(Orders!U1402&gt;=19,Orders!U1402&lt;22),1,0)</f>
        <v>0</v>
      </c>
      <c r="M1405" s="33">
        <f>IF(L1405=IF(Orders!V1402,1,0),1,0)</f>
        <v>1</v>
      </c>
      <c r="N1405" s="32" t="str">
        <f>IF(Orders!W1402="","None",Orders!W1402)</f>
        <v>None</v>
      </c>
      <c r="O1405" s="35">
        <f>INT(Orders!E1402)</f>
        <v>46269.0</v>
      </c>
      <c r="P1405" s="33">
        <f>Orders!U1402</f>
        <v>18</v>
      </c>
      <c r="Q1405" s="33">
        <f>COUNTIFS(Demand!$A$2:$A$4481,B1405,Demand!$B$2:$B$4481,O1405,Demand!$C$2:$C$4481,P1405)</f>
        <v>1</v>
      </c>
      <c r="R1405" s="33">
        <f>IF(Q1405=1,SUMIFS(Demand!$E$2:$E$4481,Demand!$A$2:$A$4481,B1405,Demand!$B$2:$B$4481,O1405,Demand!$C$2:$C$4481,P1405),"")</f>
        <v>28</v>
      </c>
      <c r="S1405" s="33">
        <f>INDEX(Stores!$G$2:$G$21,MATCH(B1405,Stores!$A$2:$A$21,0))</f>
        <v>23</v>
      </c>
      <c r="T1405" s="34">
        <f>IF(R1405="","",R1405/S1405)</f>
        <v>1.21739130434783</v>
      </c>
      <c r="U1405" s="34">
        <f>IF(E1405=1,T1405,"")</f>
        <v>1.21739130434783</v>
      </c>
      <c r="V1405" s="34">
        <f>IF(AND(E1405=1,L1405=0),T1405,"")</f>
        <v>1.21739130434783</v>
      </c>
      <c r="W1405" s="33">
        <f>IF(U1405="","",IF(U1405&lt;=Breakdowns!$C$5,1,IF(U1405&lt;=Breakdowns!$C$6,2,IF(U1405&lt;=Breakdowns!$C$7,3,4))))</f>
        <v>3</v>
      </c>
      <c r="X1405" s="33">
        <f>IF(V1405="","",IF(V1405&lt;=Breakdowns!$D$5,1,IF(V1405&lt;=Breakdowns!$D$6,2,IF(V1405&lt;=Breakdowns!$D$7,3,4))))</f>
        <v>4</v>
      </c>
      <c r="Y1405" s="34">
        <f>INDEX(Stores!$F$2:$F$21,MATCH(B1405,Stores!$A$2:$A$21,0))</f>
        <v>3.46</v>
      </c>
      <c r="Z1405" s="33">
        <f>IF(Y1405&gt;Store_Summary!$M$2,1,0)</f>
        <v>0</v>
      </c>
      <c r="AA1405" s="33">
        <f>INDEX(Stores!$C$2:$C$21,MATCH(B1405,Stores!$A$2:$A$21,0))</f>
        <v>825</v>
      </c>
      <c r="AB1405" s="33">
        <f>IF(AA1405&lt;180,1,0)</f>
        <v>0</v>
      </c>
      <c r="AC1405" s="32" t="str">
        <f>IF(Orders!D1402="","",INDEX(Riders!$C$2:$C$81,MATCH(Orders!D1402,Riders!$A$2:$A$81,0)))</f>
        <v>EV scooter</v>
      </c>
      <c r="AD1405" s="33">
        <f>IF(Orders!D1402="","",INDEX(Riders!$D$2:$D$81,MATCH(Orders!D1402,Riders!$A$2:$A$81,0)))</f>
        <v>11</v>
      </c>
      <c r="AE1405" s="33">
        <f>IF(Orders!D1402="","",IF(INDEX(Riders!$B$2:$B$81,MATCH(Orders!D1402,Riders!$A$2:$A$81,0))=B1405,1,0))</f>
        <v>0</v>
      </c>
      <c r="AF1405" s="34">
        <f>IF(E1405=1,Orders!L1402,"")</f>
        <v>2.7</v>
      </c>
      <c r="AG1405" s="34">
        <f>IF(E1405=1,Orders!P1402,"")</f>
        <v>10.1</v>
      </c>
      <c r="AH1405" s="34">
        <f>IF(E1405=1,Orders!Q1402,"")</f>
        <v>9</v>
      </c>
      <c r="AI1405" s="34">
        <f>IF(E1405=1,Orders!M1402,"")</f>
        <v>2.1</v>
      </c>
      <c r="AJ1405" s="34">
        <f>IF(E1405=1,Orders!N1402,"")</f>
        <v>2.3</v>
      </c>
      <c r="AK1405" s="34">
        <f>IF(E1405=1,Orders!O1402,"")</f>
        <v>4.6</v>
      </c>
      <c r="AL1405" s="33">
        <f>IF(E1405=1,IF(ROUND(ABS(AI1405+AJ1405+AK1405-AH1405),6)&lt;=0.1,1,0),"")</f>
        <v>1</v>
      </c>
      <c r="AM1405" s="36">
        <f>IF(E1405=1,AI1405/AH1405,"")</f>
        <v>0.233333333333333</v>
      </c>
      <c r="AN1405" s="36">
        <f>IF(E1405=1,AJ1405/AH1405,"")</f>
        <v>0.255555555555556</v>
      </c>
      <c r="AO1405" s="36">
        <f>IF(E1405=1,AK1405/AH1405,"")</f>
        <v>0.511111111111111</v>
      </c>
      <c r="AP1405" s="34">
        <f>IF(E1405=1,Orders!Y1402,"")</f>
        <v>0.58</v>
      </c>
      <c r="AQ1405" s="33">
        <f>IF(Orders!X1402,1,0)</f>
        <v>0</v>
      </c>
      <c r="AR1405" s="34" t="str">
        <f>IF(AND(E1405=1,L1405=1),AJ1405,"")</f>
        <v/>
      </c>
      <c r="AS1405" s="34">
        <f>IF(AND(E1405=1,L1405=0),AJ1405,"")</f>
        <v>2.3</v>
      </c>
      <c r="AT1405" s="34" t="str">
        <f>IF(AND(E1405=1,L1405=1),AI1405,"")</f>
        <v/>
      </c>
      <c r="AU1405" s="34">
        <f>IF(AND(E1405=1,L1405=0),AI1405,"")</f>
        <v>2.1</v>
      </c>
      <c r="AV1405" s="34" t="str">
        <f>IF(AND(E1405=1,L1405=1),AG1405,"")</f>
        <v/>
      </c>
      <c r="AW1405" s="34">
        <f>IF(AND(E1405=1,L1405=0),AG1405,"")</f>
        <v>10.1</v>
      </c>
      <c r="AX1405" s="34" t="str">
        <f>IF(AND(E1405=1,L1405=1),AH1405,"")</f>
        <v/>
      </c>
      <c r="AY1405" s="34">
        <f>IF(AND(E1405=1,L1405=0),AH1405,"")</f>
        <v>9</v>
      </c>
      <c r="AZ1405" s="34" t="str">
        <f>IF(G1405=1,F1405,"")</f>
        <v/>
      </c>
      <c r="BA1405" s="34" t="str">
        <f>IF(AND(G1405=1,L1405=1),F1405,"")</f>
        <v/>
      </c>
      <c r="BB1405" s="34" t="str">
        <f>IF(AND(G1405=1,L1405=0),F1405,"")</f>
        <v/>
      </c>
      <c r="BC1405" s="33">
        <f>IF(E1405=1,IF(Orders!R1402&gt;3,1,0),"")</f>
        <v>0</v>
      </c>
      <c r="BD1405" s="33">
        <f>IF(E1405=1,IF(Orders!R1402&gt;7,1,0),"")</f>
        <v>0</v>
      </c>
      <c r="BE1405" s="32" t="str">
        <f>IF(E1405=1,IF(Orders!L1402&lt;=1.5,"Up to 1.5 km",IF(Orders!L1402&lt;=3,"1.5–3 km","Over 3 km")),"")</f>
        <v>1.5–3 km</v>
      </c>
      <c r="BF1405" s="33">
        <f>IF(E1405=1,IF(ABS((Orders!G1402-Orders!F1402)*1440-Orders!R1402)&lt;0.06,1,0),"")</f>
        <v>1</v>
      </c>
      <c r="BG1405" s="33">
        <f>IF(ABS((Orders!F1402-Orders!E1402)*1440-Orders!P1402)&lt;0.06,1,0)</f>
        <v>1</v>
      </c>
      <c r="BH1405" s="33">
        <f>IF(E1405=1,IF(IF(Orders!S1402,1,0)=1-G1405,1,0),"")</f>
        <v>1</v>
      </c>
      <c r="BI1405" s="32" t="str">
        <f>INDEX(Stores!$B$2:$B$21,MATCH(B1405,Stores!$A$2:$A$21,0))</f>
        <v>Mumbai</v>
      </c>
    </row>
    <row r="1406">
      <c r="A1406" s="32" t="str">
        <f>Orders!A1403</f>
        <v>O01402</v>
      </c>
      <c r="B1406" s="32" t="str">
        <f>Orders!C1403</f>
        <v>S017</v>
      </c>
      <c r="C1406" s="32" t="str">
        <f>Orders!B1403</f>
        <v>C0044</v>
      </c>
      <c r="D1406" s="32" t="str">
        <f>Orders!H1403</f>
        <v>Delivered</v>
      </c>
      <c r="E1406" s="33">
        <f>IF(Orders!H1403="Delivered",1,0)</f>
        <v>1</v>
      </c>
      <c r="F1406" s="34">
        <f>IF(E1406=1,Orders!R1403,"")</f>
        <v>5.3</v>
      </c>
      <c r="G1406" s="33">
        <f>IF(E1406=1,IF(Orders!R1403&gt;0,1,0),"")</f>
        <v>1</v>
      </c>
      <c r="H1406" s="33">
        <f>IF(E1406=1,IF(Orders!R1403&gt;5,1,0),"")</f>
        <v>1</v>
      </c>
      <c r="I1406" s="32" t="str">
        <f>IF(E1406=1,"",IF(OR(Orders!T1403="Rider unavailable",Orders!T1403="Item unavailable"),"Company-caused","Unresolved"))</f>
        <v/>
      </c>
      <c r="J1406" s="33">
        <f>IF(OR(E1406=1,I1406="Company-caused"),1,0)</f>
        <v>1</v>
      </c>
      <c r="K1406" s="32" t="str">
        <f>IF(E1406=0,IF(I1406="Company-caused",IF(Orders!T1403="Rider unavailable","C1 Rider unavailable","C2 Item unavailable"),"Outside root: unresolved"),IF(G1406=0,"A On time",IF(H1406=1,IF(L1406=1,"B2a Severe, peak","B2b Severe, off-peak"),IF(L1406=1,"B1a Slight, peak","B1b Slight, off-peak"))))</f>
        <v>B2b Severe, off-peak</v>
      </c>
      <c r="L1406" s="33">
        <f>IF(AND(Orders!U1403&gt;=19,Orders!U1403&lt;22),1,0)</f>
        <v>0</v>
      </c>
      <c r="M1406" s="33">
        <f>IF(L1406=IF(Orders!V1403,1,0),1,0)</f>
        <v>1</v>
      </c>
      <c r="N1406" s="32" t="str">
        <f>IF(Orders!W1403="","None",Orders!W1403)</f>
        <v>Heavy</v>
      </c>
      <c r="O1406" s="35">
        <f>INT(Orders!E1403)</f>
        <v>46273.0</v>
      </c>
      <c r="P1406" s="33">
        <f>Orders!U1403</f>
        <v>23</v>
      </c>
      <c r="Q1406" s="33">
        <f>COUNTIFS(Demand!$A$2:$A$4481,B1406,Demand!$B$2:$B$4481,O1406,Demand!$C$2:$C$4481,P1406)</f>
        <v>1</v>
      </c>
      <c r="R1406" s="33">
        <f>IF(Q1406=1,SUMIFS(Demand!$E$2:$E$4481,Demand!$A$2:$A$4481,B1406,Demand!$B$2:$B$4481,O1406,Demand!$C$2:$C$4481,P1406),"")</f>
        <v>41</v>
      </c>
      <c r="S1406" s="33">
        <f>INDEX(Stores!$G$2:$G$21,MATCH(B1406,Stores!$A$2:$A$21,0))</f>
        <v>36</v>
      </c>
      <c r="T1406" s="34">
        <f>IF(R1406="","",R1406/S1406)</f>
        <v>1.13888888888889</v>
      </c>
      <c r="U1406" s="34">
        <f>IF(E1406=1,T1406,"")</f>
        <v>1.13888888888889</v>
      </c>
      <c r="V1406" s="34">
        <f>IF(AND(E1406=1,L1406=0),T1406,"")</f>
        <v>1.13888888888889</v>
      </c>
      <c r="W1406" s="33">
        <f>IF(U1406="","",IF(U1406&lt;=Breakdowns!$C$5,1,IF(U1406&lt;=Breakdowns!$C$6,2,IF(U1406&lt;=Breakdowns!$C$7,3,4))))</f>
        <v>3</v>
      </c>
      <c r="X1406" s="33">
        <f>IF(V1406="","",IF(V1406&lt;=Breakdowns!$D$5,1,IF(V1406&lt;=Breakdowns!$D$6,2,IF(V1406&lt;=Breakdowns!$D$7,3,4))))</f>
        <v>4</v>
      </c>
      <c r="Y1406" s="34">
        <f>INDEX(Stores!$F$2:$F$21,MATCH(B1406,Stores!$A$2:$A$21,0))</f>
        <v>2.16</v>
      </c>
      <c r="Z1406" s="33">
        <f>IF(Y1406&gt;Store_Summary!$M$2,1,0)</f>
        <v>0</v>
      </c>
      <c r="AA1406" s="33">
        <f>INDEX(Stores!$C$2:$C$21,MATCH(B1406,Stores!$A$2:$A$21,0))</f>
        <v>47</v>
      </c>
      <c r="AB1406" s="33">
        <f>IF(AA1406&lt;180,1,0)</f>
        <v>1</v>
      </c>
      <c r="AC1406" s="32" t="str">
        <f>IF(Orders!D1403="","",INDEX(Riders!$C$2:$C$81,MATCH(Orders!D1403,Riders!$A$2:$A$81,0)))</f>
        <v>EV scooter</v>
      </c>
      <c r="AD1406" s="33">
        <f>IF(Orders!D1403="","",INDEX(Riders!$D$2:$D$81,MATCH(Orders!D1403,Riders!$A$2:$A$81,0)))</f>
        <v>36</v>
      </c>
      <c r="AE1406" s="33">
        <f>IF(Orders!D1403="","",IF(INDEX(Riders!$B$2:$B$81,MATCH(Orders!D1403,Riders!$A$2:$A$81,0))=B1406,1,0))</f>
        <v>0</v>
      </c>
      <c r="AF1406" s="34">
        <f>IF(E1406=1,Orders!L1403,"")</f>
        <v>0.9</v>
      </c>
      <c r="AG1406" s="34">
        <f>IF(E1406=1,Orders!P1403,"")</f>
        <v>8.3</v>
      </c>
      <c r="AH1406" s="34">
        <f>IF(E1406=1,Orders!Q1403,"")</f>
        <v>13.6</v>
      </c>
      <c r="AI1406" s="34">
        <f>IF(E1406=1,Orders!M1403,"")</f>
        <v>2.8</v>
      </c>
      <c r="AJ1406" s="34">
        <f>IF(E1406=1,Orders!N1403,"")</f>
        <v>5.1</v>
      </c>
      <c r="AK1406" s="34">
        <f>IF(E1406=1,Orders!O1403,"")</f>
        <v>5.7</v>
      </c>
      <c r="AL1406" s="33">
        <f>IF(E1406=1,IF(ROUND(ABS(AI1406+AJ1406+AK1406-AH1406),6)&lt;=0.1,1,0),"")</f>
        <v>1</v>
      </c>
      <c r="AM1406" s="36">
        <f>IF(E1406=1,AI1406/AH1406,"")</f>
        <v>0.205882352941176</v>
      </c>
      <c r="AN1406" s="36">
        <f>IF(E1406=1,AJ1406/AH1406,"")</f>
        <v>0.375</v>
      </c>
      <c r="AO1406" s="36">
        <f>IF(E1406=1,AK1406/AH1406,"")</f>
        <v>0.419117647058824</v>
      </c>
      <c r="AP1406" s="34">
        <f>IF(E1406=1,Orders!Y1403,"")</f>
        <v>0.62</v>
      </c>
      <c r="AQ1406" s="33">
        <f>IF(Orders!X1403,1,0)</f>
        <v>0</v>
      </c>
      <c r="AR1406" s="34" t="str">
        <f>IF(AND(E1406=1,L1406=1),AJ1406,"")</f>
        <v/>
      </c>
      <c r="AS1406" s="34">
        <f>IF(AND(E1406=1,L1406=0),AJ1406,"")</f>
        <v>5.1</v>
      </c>
      <c r="AT1406" s="34" t="str">
        <f>IF(AND(E1406=1,L1406=1),AI1406,"")</f>
        <v/>
      </c>
      <c r="AU1406" s="34">
        <f>IF(AND(E1406=1,L1406=0),AI1406,"")</f>
        <v>2.8</v>
      </c>
      <c r="AV1406" s="34" t="str">
        <f>IF(AND(E1406=1,L1406=1),AG1406,"")</f>
        <v/>
      </c>
      <c r="AW1406" s="34">
        <f>IF(AND(E1406=1,L1406=0),AG1406,"")</f>
        <v>8.3</v>
      </c>
      <c r="AX1406" s="34" t="str">
        <f>IF(AND(E1406=1,L1406=1),AH1406,"")</f>
        <v/>
      </c>
      <c r="AY1406" s="34">
        <f>IF(AND(E1406=1,L1406=0),AH1406,"")</f>
        <v>13.6</v>
      </c>
      <c r="AZ1406" s="34">
        <f>IF(G1406=1,F1406,"")</f>
        <v>5.3</v>
      </c>
      <c r="BA1406" s="34" t="str">
        <f>IF(AND(G1406=1,L1406=1),F1406,"")</f>
        <v/>
      </c>
      <c r="BB1406" s="34">
        <f>IF(AND(G1406=1,L1406=0),F1406,"")</f>
        <v>5.3</v>
      </c>
      <c r="BC1406" s="33">
        <f>IF(E1406=1,IF(Orders!R1403&gt;3,1,0),"")</f>
        <v>1</v>
      </c>
      <c r="BD1406" s="33">
        <f>IF(E1406=1,IF(Orders!R1403&gt;7,1,0),"")</f>
        <v>0</v>
      </c>
      <c r="BE1406" s="32" t="str">
        <f>IF(E1406=1,IF(Orders!L1403&lt;=1.5,"Up to 1.5 km",IF(Orders!L1403&lt;=3,"1.5–3 km","Over 3 km")),"")</f>
        <v>Up to 1.5 km</v>
      </c>
      <c r="BF1406" s="33">
        <f>IF(E1406=1,IF(ABS((Orders!G1403-Orders!F1403)*1440-Orders!R1403)&lt;0.06,1,0),"")</f>
        <v>1</v>
      </c>
      <c r="BG1406" s="33">
        <f>IF(ABS((Orders!F1403-Orders!E1403)*1440-Orders!P1403)&lt;0.06,1,0)</f>
        <v>1</v>
      </c>
      <c r="BH1406" s="33">
        <f>IF(E1406=1,IF(IF(Orders!S1403,1,0)=1-G1406,1,0),"")</f>
        <v>1</v>
      </c>
      <c r="BI1406" s="32" t="str">
        <f>INDEX(Stores!$B$2:$B$21,MATCH(B1406,Stores!$A$2:$A$21,0))</f>
        <v>Hyderabad</v>
      </c>
    </row>
    <row r="1407">
      <c r="A1407" s="32" t="str">
        <f>Orders!A1404</f>
        <v>O01403</v>
      </c>
      <c r="B1407" s="32" t="str">
        <f>Orders!C1404</f>
        <v>S005</v>
      </c>
      <c r="C1407" s="32" t="str">
        <f>Orders!B1404</f>
        <v>C0062</v>
      </c>
      <c r="D1407" s="32" t="str">
        <f>Orders!H1404</f>
        <v>Delivered</v>
      </c>
      <c r="E1407" s="33">
        <f>IF(Orders!H1404="Delivered",1,0)</f>
        <v>1</v>
      </c>
      <c r="F1407" s="34">
        <f>IF(E1407=1,Orders!R1404,"")</f>
        <v>-0.6</v>
      </c>
      <c r="G1407" s="33">
        <f>IF(E1407=1,IF(Orders!R1404&gt;0,1,0),"")</f>
        <v>0</v>
      </c>
      <c r="H1407" s="33">
        <f>IF(E1407=1,IF(Orders!R1404&gt;5,1,0),"")</f>
        <v>0</v>
      </c>
      <c r="I1407" s="32" t="str">
        <f>IF(E1407=1,"",IF(OR(Orders!T1404="Rider unavailable",Orders!T1404="Item unavailable"),"Company-caused","Unresolved"))</f>
        <v/>
      </c>
      <c r="J1407" s="33">
        <f>IF(OR(E1407=1,I1407="Company-caused"),1,0)</f>
        <v>1</v>
      </c>
      <c r="K1407" s="32" t="str">
        <f>IF(E1407=0,IF(I1407="Company-caused",IF(Orders!T1404="Rider unavailable","C1 Rider unavailable","C2 Item unavailable"),"Outside root: unresolved"),IF(G1407=0,"A On time",IF(H1407=1,IF(L1407=1,"B2a Severe, peak","B2b Severe, off-peak"),IF(L1407=1,"B1a Slight, peak","B1b Slight, off-peak"))))</f>
        <v>A On time</v>
      </c>
      <c r="L1407" s="33">
        <f>IF(AND(Orders!U1404&gt;=19,Orders!U1404&lt;22),1,0)</f>
        <v>0</v>
      </c>
      <c r="M1407" s="33">
        <f>IF(L1407=IF(Orders!V1404,1,0),1,0)</f>
        <v>1</v>
      </c>
      <c r="N1407" s="32" t="str">
        <f>IF(Orders!W1404="","None",Orders!W1404)</f>
        <v>None</v>
      </c>
      <c r="O1407" s="35">
        <f>INT(Orders!E1404)</f>
        <v>46267.0</v>
      </c>
      <c r="P1407" s="33">
        <f>Orders!U1404</f>
        <v>12</v>
      </c>
      <c r="Q1407" s="33">
        <f>COUNTIFS(Demand!$A$2:$A$4481,B1407,Demand!$B$2:$B$4481,O1407,Demand!$C$2:$C$4481,P1407)</f>
        <v>1</v>
      </c>
      <c r="R1407" s="33">
        <f>IF(Q1407=1,SUMIFS(Demand!$E$2:$E$4481,Demand!$A$2:$A$4481,B1407,Demand!$B$2:$B$4481,O1407,Demand!$C$2:$C$4481,P1407),"")</f>
        <v>9</v>
      </c>
      <c r="S1407" s="33">
        <f>INDEX(Stores!$G$2:$G$21,MATCH(B1407,Stores!$A$2:$A$21,0))</f>
        <v>14</v>
      </c>
      <c r="T1407" s="34">
        <f>IF(R1407="","",R1407/S1407)</f>
        <v>0.642857142857143</v>
      </c>
      <c r="U1407" s="34">
        <f>IF(E1407=1,T1407,"")</f>
        <v>0.642857142857143</v>
      </c>
      <c r="V1407" s="34">
        <f>IF(AND(E1407=1,L1407=0),T1407,"")</f>
        <v>0.642857142857143</v>
      </c>
      <c r="W1407" s="33">
        <f>IF(U1407="","",IF(U1407&lt;=Breakdowns!$C$5,1,IF(U1407&lt;=Breakdowns!$C$6,2,IF(U1407&lt;=Breakdowns!$C$7,3,4))))</f>
        <v>1</v>
      </c>
      <c r="X1407" s="33">
        <f>IF(V1407="","",IF(V1407&lt;=Breakdowns!$D$5,1,IF(V1407&lt;=Breakdowns!$D$6,2,IF(V1407&lt;=Breakdowns!$D$7,3,4))))</f>
        <v>1</v>
      </c>
      <c r="Y1407" s="34">
        <f>INDEX(Stores!$F$2:$F$21,MATCH(B1407,Stores!$A$2:$A$21,0))</f>
        <v>4.89</v>
      </c>
      <c r="Z1407" s="33">
        <f>IF(Y1407&gt;Store_Summary!$M$2,1,0)</f>
        <v>0</v>
      </c>
      <c r="AA1407" s="33">
        <f>INDEX(Stores!$C$2:$C$21,MATCH(B1407,Stores!$A$2:$A$21,0))</f>
        <v>138</v>
      </c>
      <c r="AB1407" s="33">
        <f>IF(AA1407&lt;180,1,0)</f>
        <v>1</v>
      </c>
      <c r="AC1407" s="32" t="str">
        <f>IF(Orders!D1404="","",INDEX(Riders!$C$2:$C$81,MATCH(Orders!D1404,Riders!$A$2:$A$81,0)))</f>
        <v>EV scooter</v>
      </c>
      <c r="AD1407" s="33">
        <f>IF(Orders!D1404="","",INDEX(Riders!$D$2:$D$81,MATCH(Orders!D1404,Riders!$A$2:$A$81,0)))</f>
        <v>10</v>
      </c>
      <c r="AE1407" s="33">
        <f>IF(Orders!D1404="","",IF(INDEX(Riders!$B$2:$B$81,MATCH(Orders!D1404,Riders!$A$2:$A$81,0))=B1407,1,0))</f>
        <v>0</v>
      </c>
      <c r="AF1407" s="34">
        <f>IF(E1407=1,Orders!L1404,"")</f>
        <v>4.9</v>
      </c>
      <c r="AG1407" s="34">
        <f>IF(E1407=1,Orders!P1404,"")</f>
        <v>13.6</v>
      </c>
      <c r="AH1407" s="34">
        <f>IF(E1407=1,Orders!Q1404,"")</f>
        <v>13</v>
      </c>
      <c r="AI1407" s="34">
        <f>IF(E1407=1,Orders!M1404,"")</f>
        <v>1.9</v>
      </c>
      <c r="AJ1407" s="34">
        <f>IF(E1407=1,Orders!N1404,"")</f>
        <v>5.2</v>
      </c>
      <c r="AK1407" s="34">
        <f>IF(E1407=1,Orders!O1404,"")</f>
        <v>5.9</v>
      </c>
      <c r="AL1407" s="33">
        <f>IF(E1407=1,IF(ROUND(ABS(AI1407+AJ1407+AK1407-AH1407),6)&lt;=0.1,1,0),"")</f>
        <v>1</v>
      </c>
      <c r="AM1407" s="36">
        <f>IF(E1407=1,AI1407/AH1407,"")</f>
        <v>0.146153846153846</v>
      </c>
      <c r="AN1407" s="36">
        <f>IF(E1407=1,AJ1407/AH1407,"")</f>
        <v>0.4</v>
      </c>
      <c r="AO1407" s="36">
        <f>IF(E1407=1,AK1407/AH1407,"")</f>
        <v>0.453846153846154</v>
      </c>
      <c r="AP1407" s="34">
        <f>IF(E1407=1,Orders!Y1404,"")</f>
        <v>0.43</v>
      </c>
      <c r="AQ1407" s="33">
        <f>IF(Orders!X1404,1,0)</f>
        <v>0</v>
      </c>
      <c r="AR1407" s="34" t="str">
        <f>IF(AND(E1407=1,L1407=1),AJ1407,"")</f>
        <v/>
      </c>
      <c r="AS1407" s="34">
        <f>IF(AND(E1407=1,L1407=0),AJ1407,"")</f>
        <v>5.2</v>
      </c>
      <c r="AT1407" s="34" t="str">
        <f>IF(AND(E1407=1,L1407=1),AI1407,"")</f>
        <v/>
      </c>
      <c r="AU1407" s="34">
        <f>IF(AND(E1407=1,L1407=0),AI1407,"")</f>
        <v>1.9</v>
      </c>
      <c r="AV1407" s="34" t="str">
        <f>IF(AND(E1407=1,L1407=1),AG1407,"")</f>
        <v/>
      </c>
      <c r="AW1407" s="34">
        <f>IF(AND(E1407=1,L1407=0),AG1407,"")</f>
        <v>13.6</v>
      </c>
      <c r="AX1407" s="34" t="str">
        <f>IF(AND(E1407=1,L1407=1),AH1407,"")</f>
        <v/>
      </c>
      <c r="AY1407" s="34">
        <f>IF(AND(E1407=1,L1407=0),AH1407,"")</f>
        <v>13</v>
      </c>
      <c r="AZ1407" s="34" t="str">
        <f>IF(G1407=1,F1407,"")</f>
        <v/>
      </c>
      <c r="BA1407" s="34" t="str">
        <f>IF(AND(G1407=1,L1407=1),F1407,"")</f>
        <v/>
      </c>
      <c r="BB1407" s="34" t="str">
        <f>IF(AND(G1407=1,L1407=0),F1407,"")</f>
        <v/>
      </c>
      <c r="BC1407" s="33">
        <f>IF(E1407=1,IF(Orders!R1404&gt;3,1,0),"")</f>
        <v>0</v>
      </c>
      <c r="BD1407" s="33">
        <f>IF(E1407=1,IF(Orders!R1404&gt;7,1,0),"")</f>
        <v>0</v>
      </c>
      <c r="BE1407" s="32" t="str">
        <f>IF(E1407=1,IF(Orders!L1404&lt;=1.5,"Up to 1.5 km",IF(Orders!L1404&lt;=3,"1.5–3 km","Over 3 km")),"")</f>
        <v>Over 3 km</v>
      </c>
      <c r="BF1407" s="33">
        <f>IF(E1407=1,IF(ABS((Orders!G1404-Orders!F1404)*1440-Orders!R1404)&lt;0.06,1,0),"")</f>
        <v>1</v>
      </c>
      <c r="BG1407" s="33">
        <f>IF(ABS((Orders!F1404-Orders!E1404)*1440-Orders!P1404)&lt;0.06,1,0)</f>
        <v>1</v>
      </c>
      <c r="BH1407" s="33">
        <f>IF(E1407=1,IF(IF(Orders!S1404,1,0)=1-G1407,1,0),"")</f>
        <v>1</v>
      </c>
      <c r="BI1407" s="32" t="str">
        <f>INDEX(Stores!$B$2:$B$21,MATCH(B1407,Stores!$A$2:$A$21,0))</f>
        <v>Delhi</v>
      </c>
    </row>
    <row r="1408">
      <c r="A1408" s="32" t="str">
        <f>Orders!A1405</f>
        <v>O01404</v>
      </c>
      <c r="B1408" s="32" t="str">
        <f>Orders!C1405</f>
        <v>S012</v>
      </c>
      <c r="C1408" s="32" t="str">
        <f>Orders!B1405</f>
        <v>C0146</v>
      </c>
      <c r="D1408" s="32" t="str">
        <f>Orders!H1405</f>
        <v>Delivered</v>
      </c>
      <c r="E1408" s="33">
        <f>IF(Orders!H1405="Delivered",1,0)</f>
        <v>1</v>
      </c>
      <c r="F1408" s="34">
        <f>IF(E1408=1,Orders!R1405,"")</f>
        <v>5</v>
      </c>
      <c r="G1408" s="33">
        <f>IF(E1408=1,IF(Orders!R1405&gt;0,1,0),"")</f>
        <v>1</v>
      </c>
      <c r="H1408" s="33">
        <f>IF(E1408=1,IF(Orders!R1405&gt;5,1,0),"")</f>
        <v>0</v>
      </c>
      <c r="I1408" s="32" t="str">
        <f>IF(E1408=1,"",IF(OR(Orders!T1405="Rider unavailable",Orders!T1405="Item unavailable"),"Company-caused","Unresolved"))</f>
        <v/>
      </c>
      <c r="J1408" s="33">
        <f>IF(OR(E1408=1,I1408="Company-caused"),1,0)</f>
        <v>1</v>
      </c>
      <c r="K1408" s="32" t="str">
        <f>IF(E1408=0,IF(I1408="Company-caused",IF(Orders!T1405="Rider unavailable","C1 Rider unavailable","C2 Item unavailable"),"Outside root: unresolved"),IF(G1408=0,"A On time",IF(H1408=1,IF(L1408=1,"B2a Severe, peak","B2b Severe, off-peak"),IF(L1408=1,"B1a Slight, peak","B1b Slight, off-peak"))))</f>
        <v>B1b Slight, off-peak</v>
      </c>
      <c r="L1408" s="33">
        <f>IF(AND(Orders!U1405&gt;=19,Orders!U1405&lt;22),1,0)</f>
        <v>0</v>
      </c>
      <c r="M1408" s="33">
        <f>IF(L1408=IF(Orders!V1405,1,0),1,0)</f>
        <v>1</v>
      </c>
      <c r="N1408" s="32" t="str">
        <f>IF(Orders!W1405="","None",Orders!W1405)</f>
        <v>None</v>
      </c>
      <c r="O1408" s="35">
        <f>INT(Orders!E1405)</f>
        <v>46266.0</v>
      </c>
      <c r="P1408" s="33">
        <f>Orders!U1405</f>
        <v>18</v>
      </c>
      <c r="Q1408" s="33">
        <f>COUNTIFS(Demand!$A$2:$A$4481,B1408,Demand!$B$2:$B$4481,O1408,Demand!$C$2:$C$4481,P1408)</f>
        <v>1</v>
      </c>
      <c r="R1408" s="33">
        <f>IF(Q1408=1,SUMIFS(Demand!$E$2:$E$4481,Demand!$A$2:$A$4481,B1408,Demand!$B$2:$B$4481,O1408,Demand!$C$2:$C$4481,P1408),"")</f>
        <v>16</v>
      </c>
      <c r="S1408" s="33">
        <f>INDEX(Stores!$G$2:$G$21,MATCH(B1408,Stores!$A$2:$A$21,0))</f>
        <v>15</v>
      </c>
      <c r="T1408" s="34">
        <f>IF(R1408="","",R1408/S1408)</f>
        <v>1.06666666666667</v>
      </c>
      <c r="U1408" s="34">
        <f>IF(E1408=1,T1408,"")</f>
        <v>1.06666666666667</v>
      </c>
      <c r="V1408" s="34">
        <f>IF(AND(E1408=1,L1408=0),T1408,"")</f>
        <v>1.06666666666667</v>
      </c>
      <c r="W1408" s="33">
        <f>IF(U1408="","",IF(U1408&lt;=Breakdowns!$C$5,1,IF(U1408&lt;=Breakdowns!$C$6,2,IF(U1408&lt;=Breakdowns!$C$7,3,4))))</f>
        <v>3</v>
      </c>
      <c r="X1408" s="33">
        <f>IF(V1408="","",IF(V1408&lt;=Breakdowns!$D$5,1,IF(V1408&lt;=Breakdowns!$D$6,2,IF(V1408&lt;=Breakdowns!$D$7,3,4))))</f>
        <v>3</v>
      </c>
      <c r="Y1408" s="34">
        <f>INDEX(Stores!$F$2:$F$21,MATCH(B1408,Stores!$A$2:$A$21,0))</f>
        <v>5.23</v>
      </c>
      <c r="Z1408" s="33">
        <f>IF(Y1408&gt;Store_Summary!$M$2,1,0)</f>
        <v>1</v>
      </c>
      <c r="AA1408" s="33">
        <f>INDEX(Stores!$C$2:$C$21,MATCH(B1408,Stores!$A$2:$A$21,0))</f>
        <v>300</v>
      </c>
      <c r="AB1408" s="33">
        <f>IF(AA1408&lt;180,1,0)</f>
        <v>0</v>
      </c>
      <c r="AC1408" s="32" t="str">
        <f>IF(Orders!D1405="","",INDEX(Riders!$C$2:$C$81,MATCH(Orders!D1405,Riders!$A$2:$A$81,0)))</f>
        <v>EV scooter</v>
      </c>
      <c r="AD1408" s="33">
        <f>IF(Orders!D1405="","",INDEX(Riders!$D$2:$D$81,MATCH(Orders!D1405,Riders!$A$2:$A$81,0)))</f>
        <v>32</v>
      </c>
      <c r="AE1408" s="33">
        <f>IF(Orders!D1405="","",IF(INDEX(Riders!$B$2:$B$81,MATCH(Orders!D1405,Riders!$A$2:$A$81,0))=B1408,1,0))</f>
        <v>0</v>
      </c>
      <c r="AF1408" s="34">
        <f>IF(E1408=1,Orders!L1405,"")</f>
        <v>2.66</v>
      </c>
      <c r="AG1408" s="34">
        <f>IF(E1408=1,Orders!P1405,"")</f>
        <v>10</v>
      </c>
      <c r="AH1408" s="34">
        <f>IF(E1408=1,Orders!Q1405,"")</f>
        <v>15</v>
      </c>
      <c r="AI1408" s="34">
        <f>IF(E1408=1,Orders!M1405,"")</f>
        <v>5</v>
      </c>
      <c r="AJ1408" s="34">
        <f>IF(E1408=1,Orders!N1405,"")</f>
        <v>3.5</v>
      </c>
      <c r="AK1408" s="34">
        <f>IF(E1408=1,Orders!O1405,"")</f>
        <v>6.5</v>
      </c>
      <c r="AL1408" s="33">
        <f>IF(E1408=1,IF(ROUND(ABS(AI1408+AJ1408+AK1408-AH1408),6)&lt;=0.1,1,0),"")</f>
        <v>1</v>
      </c>
      <c r="AM1408" s="36">
        <f>IF(E1408=1,AI1408/AH1408,"")</f>
        <v>0.333333333333333</v>
      </c>
      <c r="AN1408" s="36">
        <f>IF(E1408=1,AJ1408/AH1408,"")</f>
        <v>0.233333333333333</v>
      </c>
      <c r="AO1408" s="36">
        <f>IF(E1408=1,AK1408/AH1408,"")</f>
        <v>0.433333333333333</v>
      </c>
      <c r="AP1408" s="34">
        <f>IF(E1408=1,Orders!Y1405,"")</f>
        <v>0.58</v>
      </c>
      <c r="AQ1408" s="33">
        <f>IF(Orders!X1405,1,0)</f>
        <v>0</v>
      </c>
      <c r="AR1408" s="34" t="str">
        <f>IF(AND(E1408=1,L1408=1),AJ1408,"")</f>
        <v/>
      </c>
      <c r="AS1408" s="34">
        <f>IF(AND(E1408=1,L1408=0),AJ1408,"")</f>
        <v>3.5</v>
      </c>
      <c r="AT1408" s="34" t="str">
        <f>IF(AND(E1408=1,L1408=1),AI1408,"")</f>
        <v/>
      </c>
      <c r="AU1408" s="34">
        <f>IF(AND(E1408=1,L1408=0),AI1408,"")</f>
        <v>5</v>
      </c>
      <c r="AV1408" s="34" t="str">
        <f>IF(AND(E1408=1,L1408=1),AG1408,"")</f>
        <v/>
      </c>
      <c r="AW1408" s="34">
        <f>IF(AND(E1408=1,L1408=0),AG1408,"")</f>
        <v>10</v>
      </c>
      <c r="AX1408" s="34" t="str">
        <f>IF(AND(E1408=1,L1408=1),AH1408,"")</f>
        <v/>
      </c>
      <c r="AY1408" s="34">
        <f>IF(AND(E1408=1,L1408=0),AH1408,"")</f>
        <v>15</v>
      </c>
      <c r="AZ1408" s="34">
        <f>IF(G1408=1,F1408,"")</f>
        <v>5</v>
      </c>
      <c r="BA1408" s="34" t="str">
        <f>IF(AND(G1408=1,L1408=1),F1408,"")</f>
        <v/>
      </c>
      <c r="BB1408" s="34">
        <f>IF(AND(G1408=1,L1408=0),F1408,"")</f>
        <v>5</v>
      </c>
      <c r="BC1408" s="33">
        <f>IF(E1408=1,IF(Orders!R1405&gt;3,1,0),"")</f>
        <v>1</v>
      </c>
      <c r="BD1408" s="33">
        <f>IF(E1408=1,IF(Orders!R1405&gt;7,1,0),"")</f>
        <v>0</v>
      </c>
      <c r="BE1408" s="32" t="str">
        <f>IF(E1408=1,IF(Orders!L1405&lt;=1.5,"Up to 1.5 km",IF(Orders!L1405&lt;=3,"1.5–3 km","Over 3 km")),"")</f>
        <v>1.5–3 km</v>
      </c>
      <c r="BF1408" s="33">
        <f>IF(E1408=1,IF(ABS((Orders!G1405-Orders!F1405)*1440-Orders!R1405)&lt;0.06,1,0),"")</f>
        <v>1</v>
      </c>
      <c r="BG1408" s="33">
        <f>IF(ABS((Orders!F1405-Orders!E1405)*1440-Orders!P1405)&lt;0.06,1,0)</f>
        <v>1</v>
      </c>
      <c r="BH1408" s="33">
        <f>IF(E1408=1,IF(IF(Orders!S1405,1,0)=1-G1408,1,0),"")</f>
        <v>1</v>
      </c>
      <c r="BI1408" s="32" t="str">
        <f>INDEX(Stores!$B$2:$B$21,MATCH(B1408,Stores!$A$2:$A$21,0))</f>
        <v>Hyderabad</v>
      </c>
    </row>
    <row r="1409">
      <c r="A1409" s="32" t="str">
        <f>Orders!A1406</f>
        <v>O01405</v>
      </c>
      <c r="B1409" s="32" t="str">
        <f>Orders!C1406</f>
        <v>S007</v>
      </c>
      <c r="C1409" s="32" t="str">
        <f>Orders!B1406</f>
        <v>C0017</v>
      </c>
      <c r="D1409" s="32" t="str">
        <f>Orders!H1406</f>
        <v>Delivered</v>
      </c>
      <c r="E1409" s="33">
        <f>IF(Orders!H1406="Delivered",1,0)</f>
        <v>1</v>
      </c>
      <c r="F1409" s="34">
        <f>IF(E1409=1,Orders!R1406,"")</f>
        <v>-1.5</v>
      </c>
      <c r="G1409" s="33">
        <f>IF(E1409=1,IF(Orders!R1406&gt;0,1,0),"")</f>
        <v>0</v>
      </c>
      <c r="H1409" s="33">
        <f>IF(E1409=1,IF(Orders!R1406&gt;5,1,0),"")</f>
        <v>0</v>
      </c>
      <c r="I1409" s="32" t="str">
        <f>IF(E1409=1,"",IF(OR(Orders!T1406="Rider unavailable",Orders!T1406="Item unavailable"),"Company-caused","Unresolved"))</f>
        <v/>
      </c>
      <c r="J1409" s="33">
        <f>IF(OR(E1409=1,I1409="Company-caused"),1,0)</f>
        <v>1</v>
      </c>
      <c r="K1409" s="32" t="str">
        <f>IF(E1409=0,IF(I1409="Company-caused",IF(Orders!T1406="Rider unavailable","C1 Rider unavailable","C2 Item unavailable"),"Outside root: unresolved"),IF(G1409=0,"A On time",IF(H1409=1,IF(L1409=1,"B2a Severe, peak","B2b Severe, off-peak"),IF(L1409=1,"B1a Slight, peak","B1b Slight, off-peak"))))</f>
        <v>A On time</v>
      </c>
      <c r="L1409" s="33">
        <f>IF(AND(Orders!U1406&gt;=19,Orders!U1406&lt;22),1,0)</f>
        <v>0</v>
      </c>
      <c r="M1409" s="33">
        <f>IF(L1409=IF(Orders!V1406,1,0),1,0)</f>
        <v>1</v>
      </c>
      <c r="N1409" s="32" t="str">
        <f>IF(Orders!W1406="","None",Orders!W1406)</f>
        <v>None</v>
      </c>
      <c r="O1409" s="35">
        <f>INT(Orders!E1406)</f>
        <v>46270.0</v>
      </c>
      <c r="P1409" s="33">
        <f>Orders!U1406</f>
        <v>22</v>
      </c>
      <c r="Q1409" s="33">
        <f>COUNTIFS(Demand!$A$2:$A$4481,B1409,Demand!$B$2:$B$4481,O1409,Demand!$C$2:$C$4481,P1409)</f>
        <v>1</v>
      </c>
      <c r="R1409" s="33">
        <f>IF(Q1409=1,SUMIFS(Demand!$E$2:$E$4481,Demand!$A$2:$A$4481,B1409,Demand!$B$2:$B$4481,O1409,Demand!$C$2:$C$4481,P1409),"")</f>
        <v>30</v>
      </c>
      <c r="S1409" s="33">
        <f>INDEX(Stores!$G$2:$G$21,MATCH(B1409,Stores!$A$2:$A$21,0))</f>
        <v>37</v>
      </c>
      <c r="T1409" s="34">
        <f>IF(R1409="","",R1409/S1409)</f>
        <v>0.810810810810811</v>
      </c>
      <c r="U1409" s="34">
        <f>IF(E1409=1,T1409,"")</f>
        <v>0.810810810810811</v>
      </c>
      <c r="V1409" s="34">
        <f>IF(AND(E1409=1,L1409=0),T1409,"")</f>
        <v>0.810810810810811</v>
      </c>
      <c r="W1409" s="33">
        <f>IF(U1409="","",IF(U1409&lt;=Breakdowns!$C$5,1,IF(U1409&lt;=Breakdowns!$C$6,2,IF(U1409&lt;=Breakdowns!$C$7,3,4))))</f>
        <v>2</v>
      </c>
      <c r="X1409" s="33">
        <f>IF(V1409="","",IF(V1409&lt;=Breakdowns!$D$5,1,IF(V1409&lt;=Breakdowns!$D$6,2,IF(V1409&lt;=Breakdowns!$D$7,3,4))))</f>
        <v>2</v>
      </c>
      <c r="Y1409" s="34">
        <f>INDEX(Stores!$F$2:$F$21,MATCH(B1409,Stores!$A$2:$A$21,0))</f>
        <v>4.05</v>
      </c>
      <c r="Z1409" s="33">
        <f>IF(Y1409&gt;Store_Summary!$M$2,1,0)</f>
        <v>0</v>
      </c>
      <c r="AA1409" s="33">
        <f>INDEX(Stores!$C$2:$C$21,MATCH(B1409,Stores!$A$2:$A$21,0))</f>
        <v>661</v>
      </c>
      <c r="AB1409" s="33">
        <f>IF(AA1409&lt;180,1,0)</f>
        <v>0</v>
      </c>
      <c r="AC1409" s="32" t="str">
        <f>IF(Orders!D1406="","",INDEX(Riders!$C$2:$C$81,MATCH(Orders!D1406,Riders!$A$2:$A$81,0)))</f>
        <v>EV scooter</v>
      </c>
      <c r="AD1409" s="33">
        <f>IF(Orders!D1406="","",INDEX(Riders!$D$2:$D$81,MATCH(Orders!D1406,Riders!$A$2:$A$81,0)))</f>
        <v>4</v>
      </c>
      <c r="AE1409" s="33">
        <f>IF(Orders!D1406="","",IF(INDEX(Riders!$B$2:$B$81,MATCH(Orders!D1406,Riders!$A$2:$A$81,0))=B1409,1,0))</f>
        <v>0</v>
      </c>
      <c r="AF1409" s="34">
        <f>IF(E1409=1,Orders!L1406,"")</f>
        <v>0.5</v>
      </c>
      <c r="AG1409" s="34">
        <f>IF(E1409=1,Orders!P1406,"")</f>
        <v>9.5</v>
      </c>
      <c r="AH1409" s="34">
        <f>IF(E1409=1,Orders!Q1406,"")</f>
        <v>8</v>
      </c>
      <c r="AI1409" s="34">
        <f>IF(E1409=1,Orders!M1406,"")</f>
        <v>5.7</v>
      </c>
      <c r="AJ1409" s="34">
        <f>IF(E1409=1,Orders!N1406,"")</f>
        <v>0.3</v>
      </c>
      <c r="AK1409" s="34">
        <f>IF(E1409=1,Orders!O1406,"")</f>
        <v>2</v>
      </c>
      <c r="AL1409" s="33">
        <f>IF(E1409=1,IF(ROUND(ABS(AI1409+AJ1409+AK1409-AH1409),6)&lt;=0.1,1,0),"")</f>
        <v>1</v>
      </c>
      <c r="AM1409" s="36">
        <f>IF(E1409=1,AI1409/AH1409,"")</f>
        <v>0.7125</v>
      </c>
      <c r="AN1409" s="36">
        <f>IF(E1409=1,AJ1409/AH1409,"")</f>
        <v>0.0375</v>
      </c>
      <c r="AO1409" s="36">
        <f>IF(E1409=1,AK1409/AH1409,"")</f>
        <v>0.25</v>
      </c>
      <c r="AP1409" s="34">
        <f>IF(E1409=1,Orders!Y1406,"")</f>
        <v>0.24</v>
      </c>
      <c r="AQ1409" s="33">
        <f>IF(Orders!X1406,1,0)</f>
        <v>0</v>
      </c>
      <c r="AR1409" s="34" t="str">
        <f>IF(AND(E1409=1,L1409=1),AJ1409,"")</f>
        <v/>
      </c>
      <c r="AS1409" s="34">
        <f>IF(AND(E1409=1,L1409=0),AJ1409,"")</f>
        <v>0.3</v>
      </c>
      <c r="AT1409" s="34" t="str">
        <f>IF(AND(E1409=1,L1409=1),AI1409,"")</f>
        <v/>
      </c>
      <c r="AU1409" s="34">
        <f>IF(AND(E1409=1,L1409=0),AI1409,"")</f>
        <v>5.7</v>
      </c>
      <c r="AV1409" s="34" t="str">
        <f>IF(AND(E1409=1,L1409=1),AG1409,"")</f>
        <v/>
      </c>
      <c r="AW1409" s="34">
        <f>IF(AND(E1409=1,L1409=0),AG1409,"")</f>
        <v>9.5</v>
      </c>
      <c r="AX1409" s="34" t="str">
        <f>IF(AND(E1409=1,L1409=1),AH1409,"")</f>
        <v/>
      </c>
      <c r="AY1409" s="34">
        <f>IF(AND(E1409=1,L1409=0),AH1409,"")</f>
        <v>8</v>
      </c>
      <c r="AZ1409" s="34" t="str">
        <f>IF(G1409=1,F1409,"")</f>
        <v/>
      </c>
      <c r="BA1409" s="34" t="str">
        <f>IF(AND(G1409=1,L1409=1),F1409,"")</f>
        <v/>
      </c>
      <c r="BB1409" s="34" t="str">
        <f>IF(AND(G1409=1,L1409=0),F1409,"")</f>
        <v/>
      </c>
      <c r="BC1409" s="33">
        <f>IF(E1409=1,IF(Orders!R1406&gt;3,1,0),"")</f>
        <v>0</v>
      </c>
      <c r="BD1409" s="33">
        <f>IF(E1409=1,IF(Orders!R1406&gt;7,1,0),"")</f>
        <v>0</v>
      </c>
      <c r="BE1409" s="32" t="str">
        <f>IF(E1409=1,IF(Orders!L1406&lt;=1.5,"Up to 1.5 km",IF(Orders!L1406&lt;=3,"1.5–3 km","Over 3 km")),"")</f>
        <v>Up to 1.5 km</v>
      </c>
      <c r="BF1409" s="33">
        <f>IF(E1409=1,IF(ABS((Orders!G1406-Orders!F1406)*1440-Orders!R1406)&lt;0.06,1,0),"")</f>
        <v>1</v>
      </c>
      <c r="BG1409" s="33">
        <f>IF(ABS((Orders!F1406-Orders!E1406)*1440-Orders!P1406)&lt;0.06,1,0)</f>
        <v>1</v>
      </c>
      <c r="BH1409" s="33">
        <f>IF(E1409=1,IF(IF(Orders!S1406,1,0)=1-G1409,1,0),"")</f>
        <v>1</v>
      </c>
      <c r="BI1409" s="32" t="str">
        <f>INDEX(Stores!$B$2:$B$21,MATCH(B1409,Stores!$A$2:$A$21,0))</f>
        <v>Hyderabad</v>
      </c>
    </row>
    <row r="1410">
      <c r="A1410" s="32" t="str">
        <f>Orders!A1407</f>
        <v>O01406</v>
      </c>
      <c r="B1410" s="32" t="str">
        <f>Orders!C1407</f>
        <v>S009</v>
      </c>
      <c r="C1410" s="32" t="str">
        <f>Orders!B1407</f>
        <v>C0171</v>
      </c>
      <c r="D1410" s="32" t="str">
        <f>Orders!H1407</f>
        <v>Delivered</v>
      </c>
      <c r="E1410" s="33">
        <f>IF(Orders!H1407="Delivered",1,0)</f>
        <v>1</v>
      </c>
      <c r="F1410" s="34">
        <f>IF(E1410=1,Orders!R1407,"")</f>
        <v>-1.7</v>
      </c>
      <c r="G1410" s="33">
        <f>IF(E1410=1,IF(Orders!R1407&gt;0,1,0),"")</f>
        <v>0</v>
      </c>
      <c r="H1410" s="33">
        <f>IF(E1410=1,IF(Orders!R1407&gt;5,1,0),"")</f>
        <v>0</v>
      </c>
      <c r="I1410" s="32" t="str">
        <f>IF(E1410=1,"",IF(OR(Orders!T1407="Rider unavailable",Orders!T1407="Item unavailable"),"Company-caused","Unresolved"))</f>
        <v/>
      </c>
      <c r="J1410" s="33">
        <f>IF(OR(E1410=1,I1410="Company-caused"),1,0)</f>
        <v>1</v>
      </c>
      <c r="K1410" s="32" t="str">
        <f>IF(E1410=0,IF(I1410="Company-caused",IF(Orders!T1407="Rider unavailable","C1 Rider unavailable","C2 Item unavailable"),"Outside root: unresolved"),IF(G1410=0,"A On time",IF(H1410=1,IF(L1410=1,"B2a Severe, peak","B2b Severe, off-peak"),IF(L1410=1,"B1a Slight, peak","B1b Slight, off-peak"))))</f>
        <v>A On time</v>
      </c>
      <c r="L1410" s="33">
        <f>IF(AND(Orders!U1407&gt;=19,Orders!U1407&lt;22),1,0)</f>
        <v>0</v>
      </c>
      <c r="M1410" s="33">
        <f>IF(L1410=IF(Orders!V1407,1,0),1,0)</f>
        <v>1</v>
      </c>
      <c r="N1410" s="32" t="str">
        <f>IF(Orders!W1407="","None",Orders!W1407)</f>
        <v>None</v>
      </c>
      <c r="O1410" s="35">
        <f>INT(Orders!E1407)</f>
        <v>46274.0</v>
      </c>
      <c r="P1410" s="33">
        <f>Orders!U1407</f>
        <v>16</v>
      </c>
      <c r="Q1410" s="33">
        <f>COUNTIFS(Demand!$A$2:$A$4481,B1410,Demand!$B$2:$B$4481,O1410,Demand!$C$2:$C$4481,P1410)</f>
        <v>1</v>
      </c>
      <c r="R1410" s="33">
        <f>IF(Q1410=1,SUMIFS(Demand!$E$2:$E$4481,Demand!$A$2:$A$4481,B1410,Demand!$B$2:$B$4481,O1410,Demand!$C$2:$C$4481,P1410),"")</f>
        <v>29</v>
      </c>
      <c r="S1410" s="33">
        <f>INDEX(Stores!$G$2:$G$21,MATCH(B1410,Stores!$A$2:$A$21,0))</f>
        <v>29</v>
      </c>
      <c r="T1410" s="34">
        <f>IF(R1410="","",R1410/S1410)</f>
        <v>1</v>
      </c>
      <c r="U1410" s="34">
        <f>IF(E1410=1,T1410,"")</f>
        <v>1</v>
      </c>
      <c r="V1410" s="34">
        <f>IF(AND(E1410=1,L1410=0),T1410,"")</f>
        <v>1</v>
      </c>
      <c r="W1410" s="33">
        <f>IF(U1410="","",IF(U1410&lt;=Breakdowns!$C$5,1,IF(U1410&lt;=Breakdowns!$C$6,2,IF(U1410&lt;=Breakdowns!$C$7,3,4))))</f>
        <v>2</v>
      </c>
      <c r="X1410" s="33">
        <f>IF(V1410="","",IF(V1410&lt;=Breakdowns!$D$5,1,IF(V1410&lt;=Breakdowns!$D$6,2,IF(V1410&lt;=Breakdowns!$D$7,3,4))))</f>
        <v>3</v>
      </c>
      <c r="Y1410" s="34">
        <f>INDEX(Stores!$F$2:$F$21,MATCH(B1410,Stores!$A$2:$A$21,0))</f>
        <v>2.66</v>
      </c>
      <c r="Z1410" s="33">
        <f>IF(Y1410&gt;Store_Summary!$M$2,1,0)</f>
        <v>0</v>
      </c>
      <c r="AA1410" s="33">
        <f>INDEX(Stores!$C$2:$C$21,MATCH(B1410,Stores!$A$2:$A$21,0))</f>
        <v>645</v>
      </c>
      <c r="AB1410" s="33">
        <f>IF(AA1410&lt;180,1,0)</f>
        <v>0</v>
      </c>
      <c r="AC1410" s="32" t="str">
        <f>IF(Orders!D1407="","",INDEX(Riders!$C$2:$C$81,MATCH(Orders!D1407,Riders!$A$2:$A$81,0)))</f>
        <v>EV scooter</v>
      </c>
      <c r="AD1410" s="33">
        <f>IF(Orders!D1407="","",INDEX(Riders!$D$2:$D$81,MATCH(Orders!D1407,Riders!$A$2:$A$81,0)))</f>
        <v>4</v>
      </c>
      <c r="AE1410" s="33">
        <f>IF(Orders!D1407="","",IF(INDEX(Riders!$B$2:$B$81,MATCH(Orders!D1407,Riders!$A$2:$A$81,0))=B1410,1,0))</f>
        <v>0</v>
      </c>
      <c r="AF1410" s="34">
        <f>IF(E1410=1,Orders!L1407,"")</f>
        <v>1.24</v>
      </c>
      <c r="AG1410" s="34">
        <f>IF(E1410=1,Orders!P1407,"")</f>
        <v>10.3</v>
      </c>
      <c r="AH1410" s="34">
        <f>IF(E1410=1,Orders!Q1407,"")</f>
        <v>8.6</v>
      </c>
      <c r="AI1410" s="34">
        <f>IF(E1410=1,Orders!M1407,"")</f>
        <v>2.8</v>
      </c>
      <c r="AJ1410" s="34">
        <f>IF(E1410=1,Orders!N1407,"")</f>
        <v>2.4</v>
      </c>
      <c r="AK1410" s="34">
        <f>IF(E1410=1,Orders!O1407,"")</f>
        <v>3.4</v>
      </c>
      <c r="AL1410" s="33">
        <f>IF(E1410=1,IF(ROUND(ABS(AI1410+AJ1410+AK1410-AH1410),6)&lt;=0.1,1,0),"")</f>
        <v>1</v>
      </c>
      <c r="AM1410" s="36">
        <f>IF(E1410=1,AI1410/AH1410,"")</f>
        <v>0.325581395348837</v>
      </c>
      <c r="AN1410" s="36">
        <f>IF(E1410=1,AJ1410/AH1410,"")</f>
        <v>0.27906976744186</v>
      </c>
      <c r="AO1410" s="36">
        <f>IF(E1410=1,AK1410/AH1410,"")</f>
        <v>0.395348837209302</v>
      </c>
      <c r="AP1410" s="34">
        <f>IF(E1410=1,Orders!Y1407,"")</f>
        <v>0.13</v>
      </c>
      <c r="AQ1410" s="33">
        <f>IF(Orders!X1407,1,0)</f>
        <v>0</v>
      </c>
      <c r="AR1410" s="34" t="str">
        <f>IF(AND(E1410=1,L1410=1),AJ1410,"")</f>
        <v/>
      </c>
      <c r="AS1410" s="34">
        <f>IF(AND(E1410=1,L1410=0),AJ1410,"")</f>
        <v>2.4</v>
      </c>
      <c r="AT1410" s="34" t="str">
        <f>IF(AND(E1410=1,L1410=1),AI1410,"")</f>
        <v/>
      </c>
      <c r="AU1410" s="34">
        <f>IF(AND(E1410=1,L1410=0),AI1410,"")</f>
        <v>2.8</v>
      </c>
      <c r="AV1410" s="34" t="str">
        <f>IF(AND(E1410=1,L1410=1),AG1410,"")</f>
        <v/>
      </c>
      <c r="AW1410" s="34">
        <f>IF(AND(E1410=1,L1410=0),AG1410,"")</f>
        <v>10.3</v>
      </c>
      <c r="AX1410" s="34" t="str">
        <f>IF(AND(E1410=1,L1410=1),AH1410,"")</f>
        <v/>
      </c>
      <c r="AY1410" s="34">
        <f>IF(AND(E1410=1,L1410=0),AH1410,"")</f>
        <v>8.6</v>
      </c>
      <c r="AZ1410" s="34" t="str">
        <f>IF(G1410=1,F1410,"")</f>
        <v/>
      </c>
      <c r="BA1410" s="34" t="str">
        <f>IF(AND(G1410=1,L1410=1),F1410,"")</f>
        <v/>
      </c>
      <c r="BB1410" s="34" t="str">
        <f>IF(AND(G1410=1,L1410=0),F1410,"")</f>
        <v/>
      </c>
      <c r="BC1410" s="33">
        <f>IF(E1410=1,IF(Orders!R1407&gt;3,1,0),"")</f>
        <v>0</v>
      </c>
      <c r="BD1410" s="33">
        <f>IF(E1410=1,IF(Orders!R1407&gt;7,1,0),"")</f>
        <v>0</v>
      </c>
      <c r="BE1410" s="32" t="str">
        <f>IF(E1410=1,IF(Orders!L1407&lt;=1.5,"Up to 1.5 km",IF(Orders!L1407&lt;=3,"1.5–3 km","Over 3 km")),"")</f>
        <v>Up to 1.5 km</v>
      </c>
      <c r="BF1410" s="33">
        <f>IF(E1410=1,IF(ABS((Orders!G1407-Orders!F1407)*1440-Orders!R1407)&lt;0.06,1,0),"")</f>
        <v>1</v>
      </c>
      <c r="BG1410" s="33">
        <f>IF(ABS((Orders!F1407-Orders!E1407)*1440-Orders!P1407)&lt;0.06,1,0)</f>
        <v>1</v>
      </c>
      <c r="BH1410" s="33">
        <f>IF(E1410=1,IF(IF(Orders!S1407,1,0)=1-G1410,1,0),"")</f>
        <v>1</v>
      </c>
      <c r="BI1410" s="32" t="str">
        <f>INDEX(Stores!$B$2:$B$21,MATCH(B1410,Stores!$A$2:$A$21,0))</f>
        <v>Pune</v>
      </c>
    </row>
    <row r="1411">
      <c r="A1411" s="32" t="str">
        <f>Orders!A1408</f>
        <v>O01407</v>
      </c>
      <c r="B1411" s="32" t="str">
        <f>Orders!C1408</f>
        <v>S011</v>
      </c>
      <c r="C1411" s="32" t="str">
        <f>Orders!B1408</f>
        <v>C0007</v>
      </c>
      <c r="D1411" s="32" t="str">
        <f>Orders!H1408</f>
        <v>Delivered</v>
      </c>
      <c r="E1411" s="33">
        <f>IF(Orders!H1408="Delivered",1,0)</f>
        <v>1</v>
      </c>
      <c r="F1411" s="34">
        <f>IF(E1411=1,Orders!R1408,"")</f>
        <v>-0.4</v>
      </c>
      <c r="G1411" s="33">
        <f>IF(E1411=1,IF(Orders!R1408&gt;0,1,0),"")</f>
        <v>0</v>
      </c>
      <c r="H1411" s="33">
        <f>IF(E1411=1,IF(Orders!R1408&gt;5,1,0),"")</f>
        <v>0</v>
      </c>
      <c r="I1411" s="32" t="str">
        <f>IF(E1411=1,"",IF(OR(Orders!T1408="Rider unavailable",Orders!T1408="Item unavailable"),"Company-caused","Unresolved"))</f>
        <v/>
      </c>
      <c r="J1411" s="33">
        <f>IF(OR(E1411=1,I1411="Company-caused"),1,0)</f>
        <v>1</v>
      </c>
      <c r="K1411" s="32" t="str">
        <f>IF(E1411=0,IF(I1411="Company-caused",IF(Orders!T1408="Rider unavailable","C1 Rider unavailable","C2 Item unavailable"),"Outside root: unresolved"),IF(G1411=0,"A On time",IF(H1411=1,IF(L1411=1,"B2a Severe, peak","B2b Severe, off-peak"),IF(L1411=1,"B1a Slight, peak","B1b Slight, off-peak"))))</f>
        <v>A On time</v>
      </c>
      <c r="L1411" s="33">
        <f>IF(AND(Orders!U1408&gt;=19,Orders!U1408&lt;22),1,0)</f>
        <v>0</v>
      </c>
      <c r="M1411" s="33">
        <f>IF(L1411=IF(Orders!V1408,1,0),1,0)</f>
        <v>1</v>
      </c>
      <c r="N1411" s="32" t="str">
        <f>IF(Orders!W1408="","None",Orders!W1408)</f>
        <v>None</v>
      </c>
      <c r="O1411" s="35">
        <f>INT(Orders!E1408)</f>
        <v>46271.0</v>
      </c>
      <c r="P1411" s="33">
        <f>Orders!U1408</f>
        <v>14</v>
      </c>
      <c r="Q1411" s="33">
        <f>COUNTIFS(Demand!$A$2:$A$4481,B1411,Demand!$B$2:$B$4481,O1411,Demand!$C$2:$C$4481,P1411)</f>
        <v>1</v>
      </c>
      <c r="R1411" s="33">
        <f>IF(Q1411=1,SUMIFS(Demand!$E$2:$E$4481,Demand!$A$2:$A$4481,B1411,Demand!$B$2:$B$4481,O1411,Demand!$C$2:$C$4481,P1411),"")</f>
        <v>20</v>
      </c>
      <c r="S1411" s="33">
        <f>INDEX(Stores!$G$2:$G$21,MATCH(B1411,Stores!$A$2:$A$21,0))</f>
        <v>31</v>
      </c>
      <c r="T1411" s="34">
        <f>IF(R1411="","",R1411/S1411)</f>
        <v>0.645161290322581</v>
      </c>
      <c r="U1411" s="34">
        <f>IF(E1411=1,T1411,"")</f>
        <v>0.645161290322581</v>
      </c>
      <c r="V1411" s="34">
        <f>IF(AND(E1411=1,L1411=0),T1411,"")</f>
        <v>0.645161290322581</v>
      </c>
      <c r="W1411" s="33">
        <f>IF(U1411="","",IF(U1411&lt;=Breakdowns!$C$5,1,IF(U1411&lt;=Breakdowns!$C$6,2,IF(U1411&lt;=Breakdowns!$C$7,3,4))))</f>
        <v>1</v>
      </c>
      <c r="X1411" s="33">
        <f>IF(V1411="","",IF(V1411&lt;=Breakdowns!$D$5,1,IF(V1411&lt;=Breakdowns!$D$6,2,IF(V1411&lt;=Breakdowns!$D$7,3,4))))</f>
        <v>1</v>
      </c>
      <c r="Y1411" s="34">
        <f>INDEX(Stores!$F$2:$F$21,MATCH(B1411,Stores!$A$2:$A$21,0))</f>
        <v>5.67</v>
      </c>
      <c r="Z1411" s="33">
        <f>IF(Y1411&gt;Store_Summary!$M$2,1,0)</f>
        <v>1</v>
      </c>
      <c r="AA1411" s="33">
        <f>INDEX(Stores!$C$2:$C$21,MATCH(B1411,Stores!$A$2:$A$21,0))</f>
        <v>732</v>
      </c>
      <c r="AB1411" s="33">
        <f>IF(AA1411&lt;180,1,0)</f>
        <v>0</v>
      </c>
      <c r="AC1411" s="32" t="str">
        <f>IF(Orders!D1408="","",INDEX(Riders!$C$2:$C$81,MATCH(Orders!D1408,Riders!$A$2:$A$81,0)))</f>
        <v>Petrol scooter</v>
      </c>
      <c r="AD1411" s="33">
        <f>IF(Orders!D1408="","",INDEX(Riders!$D$2:$D$81,MATCH(Orders!D1408,Riders!$A$2:$A$81,0)))</f>
        <v>13</v>
      </c>
      <c r="AE1411" s="33">
        <f>IF(Orders!D1408="","",IF(INDEX(Riders!$B$2:$B$81,MATCH(Orders!D1408,Riders!$A$2:$A$81,0))=B1411,1,0))</f>
        <v>0</v>
      </c>
      <c r="AF1411" s="34">
        <f>IF(E1411=1,Orders!L1408,"")</f>
        <v>0.5</v>
      </c>
      <c r="AG1411" s="34">
        <f>IF(E1411=1,Orders!P1408,"")</f>
        <v>8</v>
      </c>
      <c r="AH1411" s="34">
        <f>IF(E1411=1,Orders!Q1408,"")</f>
        <v>7.6</v>
      </c>
      <c r="AI1411" s="34">
        <f>IF(E1411=1,Orders!M1408,"")</f>
        <v>3.1</v>
      </c>
      <c r="AJ1411" s="34">
        <f>IF(E1411=1,Orders!N1408,"")</f>
        <v>3.3</v>
      </c>
      <c r="AK1411" s="34">
        <f>IF(E1411=1,Orders!O1408,"")</f>
        <v>1.2</v>
      </c>
      <c r="AL1411" s="33">
        <f>IF(E1411=1,IF(ROUND(ABS(AI1411+AJ1411+AK1411-AH1411),6)&lt;=0.1,1,0),"")</f>
        <v>1</v>
      </c>
      <c r="AM1411" s="36">
        <f>IF(E1411=1,AI1411/AH1411,"")</f>
        <v>0.407894736842105</v>
      </c>
      <c r="AN1411" s="36">
        <f>IF(E1411=1,AJ1411/AH1411,"")</f>
        <v>0.43421052631579</v>
      </c>
      <c r="AO1411" s="36">
        <f>IF(E1411=1,AK1411/AH1411,"")</f>
        <v>0.157894736842105</v>
      </c>
      <c r="AP1411" s="34">
        <f>IF(E1411=1,Orders!Y1408,"")</f>
        <v>0.49</v>
      </c>
      <c r="AQ1411" s="33">
        <f>IF(Orders!X1408,1,0)</f>
        <v>0</v>
      </c>
      <c r="AR1411" s="34" t="str">
        <f>IF(AND(E1411=1,L1411=1),AJ1411,"")</f>
        <v/>
      </c>
      <c r="AS1411" s="34">
        <f>IF(AND(E1411=1,L1411=0),AJ1411,"")</f>
        <v>3.3</v>
      </c>
      <c r="AT1411" s="34" t="str">
        <f>IF(AND(E1411=1,L1411=1),AI1411,"")</f>
        <v/>
      </c>
      <c r="AU1411" s="34">
        <f>IF(AND(E1411=1,L1411=0),AI1411,"")</f>
        <v>3.1</v>
      </c>
      <c r="AV1411" s="34" t="str">
        <f>IF(AND(E1411=1,L1411=1),AG1411,"")</f>
        <v/>
      </c>
      <c r="AW1411" s="34">
        <f>IF(AND(E1411=1,L1411=0),AG1411,"")</f>
        <v>8</v>
      </c>
      <c r="AX1411" s="34" t="str">
        <f>IF(AND(E1411=1,L1411=1),AH1411,"")</f>
        <v/>
      </c>
      <c r="AY1411" s="34">
        <f>IF(AND(E1411=1,L1411=0),AH1411,"")</f>
        <v>7.6</v>
      </c>
      <c r="AZ1411" s="34" t="str">
        <f>IF(G1411=1,F1411,"")</f>
        <v/>
      </c>
      <c r="BA1411" s="34" t="str">
        <f>IF(AND(G1411=1,L1411=1),F1411,"")</f>
        <v/>
      </c>
      <c r="BB1411" s="34" t="str">
        <f>IF(AND(G1411=1,L1411=0),F1411,"")</f>
        <v/>
      </c>
      <c r="BC1411" s="33">
        <f>IF(E1411=1,IF(Orders!R1408&gt;3,1,0),"")</f>
        <v>0</v>
      </c>
      <c r="BD1411" s="33">
        <f>IF(E1411=1,IF(Orders!R1408&gt;7,1,0),"")</f>
        <v>0</v>
      </c>
      <c r="BE1411" s="32" t="str">
        <f>IF(E1411=1,IF(Orders!L1408&lt;=1.5,"Up to 1.5 km",IF(Orders!L1408&lt;=3,"1.5–3 km","Over 3 km")),"")</f>
        <v>Up to 1.5 km</v>
      </c>
      <c r="BF1411" s="33">
        <f>IF(E1411=1,IF(ABS((Orders!G1408-Orders!F1408)*1440-Orders!R1408)&lt;0.06,1,0),"")</f>
        <v>1</v>
      </c>
      <c r="BG1411" s="33">
        <f>IF(ABS((Orders!F1408-Orders!E1408)*1440-Orders!P1408)&lt;0.06,1,0)</f>
        <v>1</v>
      </c>
      <c r="BH1411" s="33">
        <f>IF(E1411=1,IF(IF(Orders!S1408,1,0)=1-G1411,1,0),"")</f>
        <v>1</v>
      </c>
      <c r="BI1411" s="32" t="str">
        <f>INDEX(Stores!$B$2:$B$21,MATCH(B1411,Stores!$A$2:$A$21,0))</f>
        <v>Bengaluru</v>
      </c>
    </row>
    <row r="1412">
      <c r="A1412" s="32" t="str">
        <f>Orders!A1409</f>
        <v>O01408</v>
      </c>
      <c r="B1412" s="32" t="str">
        <f>Orders!C1409</f>
        <v>S012</v>
      </c>
      <c r="C1412" s="32" t="str">
        <f>Orders!B1409</f>
        <v>C0164</v>
      </c>
      <c r="D1412" s="32" t="str">
        <f>Orders!H1409</f>
        <v>Delivered</v>
      </c>
      <c r="E1412" s="33">
        <f>IF(Orders!H1409="Delivered",1,0)</f>
        <v>1</v>
      </c>
      <c r="F1412" s="34">
        <f>IF(E1412=1,Orders!R1409,"")</f>
        <v>-0.3</v>
      </c>
      <c r="G1412" s="33">
        <f>IF(E1412=1,IF(Orders!R1409&gt;0,1,0),"")</f>
        <v>0</v>
      </c>
      <c r="H1412" s="33">
        <f>IF(E1412=1,IF(Orders!R1409&gt;5,1,0),"")</f>
        <v>0</v>
      </c>
      <c r="I1412" s="32" t="str">
        <f>IF(E1412=1,"",IF(OR(Orders!T1409="Rider unavailable",Orders!T1409="Item unavailable"),"Company-caused","Unresolved"))</f>
        <v/>
      </c>
      <c r="J1412" s="33">
        <f>IF(OR(E1412=1,I1412="Company-caused"),1,0)</f>
        <v>1</v>
      </c>
      <c r="K1412" s="32" t="str">
        <f>IF(E1412=0,IF(I1412="Company-caused",IF(Orders!T1409="Rider unavailable","C1 Rider unavailable","C2 Item unavailable"),"Outside root: unresolved"),IF(G1412=0,"A On time",IF(H1412=1,IF(L1412=1,"B2a Severe, peak","B2b Severe, off-peak"),IF(L1412=1,"B1a Slight, peak","B1b Slight, off-peak"))))</f>
        <v>A On time</v>
      </c>
      <c r="L1412" s="33">
        <f>IF(AND(Orders!U1409&gt;=19,Orders!U1409&lt;22),1,0)</f>
        <v>0</v>
      </c>
      <c r="M1412" s="33">
        <f>IF(L1412=IF(Orders!V1409,1,0),1,0)</f>
        <v>1</v>
      </c>
      <c r="N1412" s="32" t="str">
        <f>IF(Orders!W1409="","None",Orders!W1409)</f>
        <v>Heavy</v>
      </c>
      <c r="O1412" s="35">
        <f>INT(Orders!E1409)</f>
        <v>46268.0</v>
      </c>
      <c r="P1412" s="33">
        <f>Orders!U1409</f>
        <v>16</v>
      </c>
      <c r="Q1412" s="33">
        <f>COUNTIFS(Demand!$A$2:$A$4481,B1412,Demand!$B$2:$B$4481,O1412,Demand!$C$2:$C$4481,P1412)</f>
        <v>1</v>
      </c>
      <c r="R1412" s="33">
        <f>IF(Q1412=1,SUMIFS(Demand!$E$2:$E$4481,Demand!$A$2:$A$4481,B1412,Demand!$B$2:$B$4481,O1412,Demand!$C$2:$C$4481,P1412),"")</f>
        <v>13</v>
      </c>
      <c r="S1412" s="33">
        <f>INDEX(Stores!$G$2:$G$21,MATCH(B1412,Stores!$A$2:$A$21,0))</f>
        <v>15</v>
      </c>
      <c r="T1412" s="34">
        <f>IF(R1412="","",R1412/S1412)</f>
        <v>0.866666666666667</v>
      </c>
      <c r="U1412" s="34">
        <f>IF(E1412=1,T1412,"")</f>
        <v>0.866666666666667</v>
      </c>
      <c r="V1412" s="34">
        <f>IF(AND(E1412=1,L1412=0),T1412,"")</f>
        <v>0.866666666666667</v>
      </c>
      <c r="W1412" s="33">
        <f>IF(U1412="","",IF(U1412&lt;=Breakdowns!$C$5,1,IF(U1412&lt;=Breakdowns!$C$6,2,IF(U1412&lt;=Breakdowns!$C$7,3,4))))</f>
        <v>2</v>
      </c>
      <c r="X1412" s="33">
        <f>IF(V1412="","",IF(V1412&lt;=Breakdowns!$D$5,1,IF(V1412&lt;=Breakdowns!$D$6,2,IF(V1412&lt;=Breakdowns!$D$7,3,4))))</f>
        <v>2</v>
      </c>
      <c r="Y1412" s="34">
        <f>INDEX(Stores!$F$2:$F$21,MATCH(B1412,Stores!$A$2:$A$21,0))</f>
        <v>5.23</v>
      </c>
      <c r="Z1412" s="33">
        <f>IF(Y1412&gt;Store_Summary!$M$2,1,0)</f>
        <v>1</v>
      </c>
      <c r="AA1412" s="33">
        <f>INDEX(Stores!$C$2:$C$21,MATCH(B1412,Stores!$A$2:$A$21,0))</f>
        <v>300</v>
      </c>
      <c r="AB1412" s="33">
        <f>IF(AA1412&lt;180,1,0)</f>
        <v>0</v>
      </c>
      <c r="AC1412" s="32" t="str">
        <f>IF(Orders!D1409="","",INDEX(Riders!$C$2:$C$81,MATCH(Orders!D1409,Riders!$A$2:$A$81,0)))</f>
        <v>EV scooter</v>
      </c>
      <c r="AD1412" s="33">
        <f>IF(Orders!D1409="","",INDEX(Riders!$D$2:$D$81,MATCH(Orders!D1409,Riders!$A$2:$A$81,0)))</f>
        <v>39</v>
      </c>
      <c r="AE1412" s="33">
        <f>IF(Orders!D1409="","",IF(INDEX(Riders!$B$2:$B$81,MATCH(Orders!D1409,Riders!$A$2:$A$81,0))=B1412,1,0))</f>
        <v>0</v>
      </c>
      <c r="AF1412" s="34">
        <f>IF(E1412=1,Orders!L1409,"")</f>
        <v>3.36</v>
      </c>
      <c r="AG1412" s="34">
        <f>IF(E1412=1,Orders!P1409,"")</f>
        <v>9.6</v>
      </c>
      <c r="AH1412" s="34">
        <f>IF(E1412=1,Orders!Q1409,"")</f>
        <v>9.3</v>
      </c>
      <c r="AI1412" s="34">
        <f>IF(E1412=1,Orders!M1409,"")</f>
        <v>2.8</v>
      </c>
      <c r="AJ1412" s="34">
        <f>IF(E1412=1,Orders!N1409,"")</f>
        <v>1.5</v>
      </c>
      <c r="AK1412" s="34">
        <f>IF(E1412=1,Orders!O1409,"")</f>
        <v>5</v>
      </c>
      <c r="AL1412" s="33">
        <f>IF(E1412=1,IF(ROUND(ABS(AI1412+AJ1412+AK1412-AH1412),6)&lt;=0.1,1,0),"")</f>
        <v>1</v>
      </c>
      <c r="AM1412" s="36">
        <f>IF(E1412=1,AI1412/AH1412,"")</f>
        <v>0.301075268817204</v>
      </c>
      <c r="AN1412" s="36">
        <f>IF(E1412=1,AJ1412/AH1412,"")</f>
        <v>0.161290322580645</v>
      </c>
      <c r="AO1412" s="36">
        <f>IF(E1412=1,AK1412/AH1412,"")</f>
        <v>0.537634408602151</v>
      </c>
      <c r="AP1412" s="34">
        <f>IF(E1412=1,Orders!Y1409,"")</f>
        <v>0.5</v>
      </c>
      <c r="AQ1412" s="33">
        <f>IF(Orders!X1409,1,0)</f>
        <v>0</v>
      </c>
      <c r="AR1412" s="34" t="str">
        <f>IF(AND(E1412=1,L1412=1),AJ1412,"")</f>
        <v/>
      </c>
      <c r="AS1412" s="34">
        <f>IF(AND(E1412=1,L1412=0),AJ1412,"")</f>
        <v>1.5</v>
      </c>
      <c r="AT1412" s="34" t="str">
        <f>IF(AND(E1412=1,L1412=1),AI1412,"")</f>
        <v/>
      </c>
      <c r="AU1412" s="34">
        <f>IF(AND(E1412=1,L1412=0),AI1412,"")</f>
        <v>2.8</v>
      </c>
      <c r="AV1412" s="34" t="str">
        <f>IF(AND(E1412=1,L1412=1),AG1412,"")</f>
        <v/>
      </c>
      <c r="AW1412" s="34">
        <f>IF(AND(E1412=1,L1412=0),AG1412,"")</f>
        <v>9.6</v>
      </c>
      <c r="AX1412" s="34" t="str">
        <f>IF(AND(E1412=1,L1412=1),AH1412,"")</f>
        <v/>
      </c>
      <c r="AY1412" s="34">
        <f>IF(AND(E1412=1,L1412=0),AH1412,"")</f>
        <v>9.3</v>
      </c>
      <c r="AZ1412" s="34" t="str">
        <f>IF(G1412=1,F1412,"")</f>
        <v/>
      </c>
      <c r="BA1412" s="34" t="str">
        <f>IF(AND(G1412=1,L1412=1),F1412,"")</f>
        <v/>
      </c>
      <c r="BB1412" s="34" t="str">
        <f>IF(AND(G1412=1,L1412=0),F1412,"")</f>
        <v/>
      </c>
      <c r="BC1412" s="33">
        <f>IF(E1412=1,IF(Orders!R1409&gt;3,1,0),"")</f>
        <v>0</v>
      </c>
      <c r="BD1412" s="33">
        <f>IF(E1412=1,IF(Orders!R1409&gt;7,1,0),"")</f>
        <v>0</v>
      </c>
      <c r="BE1412" s="32" t="str">
        <f>IF(E1412=1,IF(Orders!L1409&lt;=1.5,"Up to 1.5 km",IF(Orders!L1409&lt;=3,"1.5–3 km","Over 3 km")),"")</f>
        <v>Over 3 km</v>
      </c>
      <c r="BF1412" s="33">
        <f>IF(E1412=1,IF(ABS((Orders!G1409-Orders!F1409)*1440-Orders!R1409)&lt;0.06,1,0),"")</f>
        <v>1</v>
      </c>
      <c r="BG1412" s="33">
        <f>IF(ABS((Orders!F1409-Orders!E1409)*1440-Orders!P1409)&lt;0.06,1,0)</f>
        <v>1</v>
      </c>
      <c r="BH1412" s="33">
        <f>IF(E1412=1,IF(IF(Orders!S1409,1,0)=1-G1412,1,0),"")</f>
        <v>1</v>
      </c>
      <c r="BI1412" s="32" t="str">
        <f>INDEX(Stores!$B$2:$B$21,MATCH(B1412,Stores!$A$2:$A$21,0))</f>
        <v>Hyderabad</v>
      </c>
    </row>
    <row r="1413">
      <c r="A1413" s="32" t="str">
        <f>Orders!A1410</f>
        <v>O01409</v>
      </c>
      <c r="B1413" s="32" t="str">
        <f>Orders!C1410</f>
        <v>S001</v>
      </c>
      <c r="C1413" s="32" t="str">
        <f>Orders!B1410</f>
        <v>C0197</v>
      </c>
      <c r="D1413" s="32" t="str">
        <f>Orders!H1410</f>
        <v>Delivered</v>
      </c>
      <c r="E1413" s="33">
        <f>IF(Orders!H1410="Delivered",1,0)</f>
        <v>1</v>
      </c>
      <c r="F1413" s="34">
        <f>IF(E1413=1,Orders!R1410,"")</f>
        <v>-0.9</v>
      </c>
      <c r="G1413" s="33">
        <f>IF(E1413=1,IF(Orders!R1410&gt;0,1,0),"")</f>
        <v>0</v>
      </c>
      <c r="H1413" s="33">
        <f>IF(E1413=1,IF(Orders!R1410&gt;5,1,0),"")</f>
        <v>0</v>
      </c>
      <c r="I1413" s="32" t="str">
        <f>IF(E1413=1,"",IF(OR(Orders!T1410="Rider unavailable",Orders!T1410="Item unavailable"),"Company-caused","Unresolved"))</f>
        <v/>
      </c>
      <c r="J1413" s="33">
        <f>IF(OR(E1413=1,I1413="Company-caused"),1,0)</f>
        <v>1</v>
      </c>
      <c r="K1413" s="32" t="str">
        <f>IF(E1413=0,IF(I1413="Company-caused",IF(Orders!T1410="Rider unavailable","C1 Rider unavailable","C2 Item unavailable"),"Outside root: unresolved"),IF(G1413=0,"A On time",IF(H1413=1,IF(L1413=1,"B2a Severe, peak","B2b Severe, off-peak"),IF(L1413=1,"B1a Slight, peak","B1b Slight, off-peak"))))</f>
        <v>A On time</v>
      </c>
      <c r="L1413" s="33">
        <f>IF(AND(Orders!U1410&gt;=19,Orders!U1410&lt;22),1,0)</f>
        <v>0</v>
      </c>
      <c r="M1413" s="33">
        <f>IF(L1413=IF(Orders!V1410,1,0),1,0)</f>
        <v>1</v>
      </c>
      <c r="N1413" s="32" t="str">
        <f>IF(Orders!W1410="","None",Orders!W1410)</f>
        <v>None</v>
      </c>
      <c r="O1413" s="35">
        <f>INT(Orders!E1410)</f>
        <v>46267.0</v>
      </c>
      <c r="P1413" s="33">
        <f>Orders!U1410</f>
        <v>12</v>
      </c>
      <c r="Q1413" s="33">
        <f>COUNTIFS(Demand!$A$2:$A$4481,B1413,Demand!$B$2:$B$4481,O1413,Demand!$C$2:$C$4481,P1413)</f>
        <v>1</v>
      </c>
      <c r="R1413" s="33">
        <f>IF(Q1413=1,SUMIFS(Demand!$E$2:$E$4481,Demand!$A$2:$A$4481,B1413,Demand!$B$2:$B$4481,O1413,Demand!$C$2:$C$4481,P1413),"")</f>
        <v>20</v>
      </c>
      <c r="S1413" s="33">
        <f>INDEX(Stores!$G$2:$G$21,MATCH(B1413,Stores!$A$2:$A$21,0))</f>
        <v>16</v>
      </c>
      <c r="T1413" s="34">
        <f>IF(R1413="","",R1413/S1413)</f>
        <v>1.25</v>
      </c>
      <c r="U1413" s="34">
        <f>IF(E1413=1,T1413,"")</f>
        <v>1.25</v>
      </c>
      <c r="V1413" s="34">
        <f>IF(AND(E1413=1,L1413=0),T1413,"")</f>
        <v>1.25</v>
      </c>
      <c r="W1413" s="33">
        <f>IF(U1413="","",IF(U1413&lt;=Breakdowns!$C$5,1,IF(U1413&lt;=Breakdowns!$C$6,2,IF(U1413&lt;=Breakdowns!$C$7,3,4))))</f>
        <v>4</v>
      </c>
      <c r="X1413" s="33">
        <f>IF(V1413="","",IF(V1413&lt;=Breakdowns!$D$5,1,IF(V1413&lt;=Breakdowns!$D$6,2,IF(V1413&lt;=Breakdowns!$D$7,3,4))))</f>
        <v>4</v>
      </c>
      <c r="Y1413" s="34">
        <f>INDEX(Stores!$F$2:$F$21,MATCH(B1413,Stores!$A$2:$A$21,0))</f>
        <v>4.59</v>
      </c>
      <c r="Z1413" s="33">
        <f>IF(Y1413&gt;Store_Summary!$M$2,1,0)</f>
        <v>0</v>
      </c>
      <c r="AA1413" s="33">
        <f>INDEX(Stores!$C$2:$C$21,MATCH(B1413,Stores!$A$2:$A$21,0))</f>
        <v>362</v>
      </c>
      <c r="AB1413" s="33">
        <f>IF(AA1413&lt;180,1,0)</f>
        <v>0</v>
      </c>
      <c r="AC1413" s="32" t="str">
        <f>IF(Orders!D1410="","",INDEX(Riders!$C$2:$C$81,MATCH(Orders!D1410,Riders!$A$2:$A$81,0)))</f>
        <v>Petrol scooter</v>
      </c>
      <c r="AD1413" s="33">
        <f>IF(Orders!D1410="","",INDEX(Riders!$D$2:$D$81,MATCH(Orders!D1410,Riders!$A$2:$A$81,0)))</f>
        <v>30</v>
      </c>
      <c r="AE1413" s="33">
        <f>IF(Orders!D1410="","",IF(INDEX(Riders!$B$2:$B$81,MATCH(Orders!D1410,Riders!$A$2:$A$81,0))=B1413,1,0))</f>
        <v>0</v>
      </c>
      <c r="AF1413" s="34">
        <f>IF(E1413=1,Orders!L1410,"")</f>
        <v>4.3</v>
      </c>
      <c r="AG1413" s="34">
        <f>IF(E1413=1,Orders!P1410,"")</f>
        <v>11.5</v>
      </c>
      <c r="AH1413" s="34">
        <f>IF(E1413=1,Orders!Q1410,"")</f>
        <v>10.6</v>
      </c>
      <c r="AI1413" s="34">
        <f>IF(E1413=1,Orders!M1410,"")</f>
        <v>2.8</v>
      </c>
      <c r="AJ1413" s="34">
        <f>IF(E1413=1,Orders!N1410,"")</f>
        <v>2.2</v>
      </c>
      <c r="AK1413" s="34">
        <f>IF(E1413=1,Orders!O1410,"")</f>
        <v>5.6</v>
      </c>
      <c r="AL1413" s="33">
        <f>IF(E1413=1,IF(ROUND(ABS(AI1413+AJ1413+AK1413-AH1413),6)&lt;=0.1,1,0),"")</f>
        <v>1</v>
      </c>
      <c r="AM1413" s="36">
        <f>IF(E1413=1,AI1413/AH1413,"")</f>
        <v>0.264150943396226</v>
      </c>
      <c r="AN1413" s="36">
        <f>IF(E1413=1,AJ1413/AH1413,"")</f>
        <v>0.207547169811321</v>
      </c>
      <c r="AO1413" s="36">
        <f>IF(E1413=1,AK1413/AH1413,"")</f>
        <v>0.528301886792453</v>
      </c>
      <c r="AP1413" s="34">
        <f>IF(E1413=1,Orders!Y1410,"")</f>
        <v>0.31</v>
      </c>
      <c r="AQ1413" s="33">
        <f>IF(Orders!X1410,1,0)</f>
        <v>0</v>
      </c>
      <c r="AR1413" s="34" t="str">
        <f>IF(AND(E1413=1,L1413=1),AJ1413,"")</f>
        <v/>
      </c>
      <c r="AS1413" s="34">
        <f>IF(AND(E1413=1,L1413=0),AJ1413,"")</f>
        <v>2.2</v>
      </c>
      <c r="AT1413" s="34" t="str">
        <f>IF(AND(E1413=1,L1413=1),AI1413,"")</f>
        <v/>
      </c>
      <c r="AU1413" s="34">
        <f>IF(AND(E1413=1,L1413=0),AI1413,"")</f>
        <v>2.8</v>
      </c>
      <c r="AV1413" s="34" t="str">
        <f>IF(AND(E1413=1,L1413=1),AG1413,"")</f>
        <v/>
      </c>
      <c r="AW1413" s="34">
        <f>IF(AND(E1413=1,L1413=0),AG1413,"")</f>
        <v>11.5</v>
      </c>
      <c r="AX1413" s="34" t="str">
        <f>IF(AND(E1413=1,L1413=1),AH1413,"")</f>
        <v/>
      </c>
      <c r="AY1413" s="34">
        <f>IF(AND(E1413=1,L1413=0),AH1413,"")</f>
        <v>10.6</v>
      </c>
      <c r="AZ1413" s="34" t="str">
        <f>IF(G1413=1,F1413,"")</f>
        <v/>
      </c>
      <c r="BA1413" s="34" t="str">
        <f>IF(AND(G1413=1,L1413=1),F1413,"")</f>
        <v/>
      </c>
      <c r="BB1413" s="34" t="str">
        <f>IF(AND(G1413=1,L1413=0),F1413,"")</f>
        <v/>
      </c>
      <c r="BC1413" s="33">
        <f>IF(E1413=1,IF(Orders!R1410&gt;3,1,0),"")</f>
        <v>0</v>
      </c>
      <c r="BD1413" s="33">
        <f>IF(E1413=1,IF(Orders!R1410&gt;7,1,0),"")</f>
        <v>0</v>
      </c>
      <c r="BE1413" s="32" t="str">
        <f>IF(E1413=1,IF(Orders!L1410&lt;=1.5,"Up to 1.5 km",IF(Orders!L1410&lt;=3,"1.5–3 km","Over 3 km")),"")</f>
        <v>Over 3 km</v>
      </c>
      <c r="BF1413" s="33">
        <f>IF(E1413=1,IF(ABS((Orders!G1410-Orders!F1410)*1440-Orders!R1410)&lt;0.06,1,0),"")</f>
        <v>1</v>
      </c>
      <c r="BG1413" s="33">
        <f>IF(ABS((Orders!F1410-Orders!E1410)*1440-Orders!P1410)&lt;0.06,1,0)</f>
        <v>1</v>
      </c>
      <c r="BH1413" s="33">
        <f>IF(E1413=1,IF(IF(Orders!S1410,1,0)=1-G1413,1,0),"")</f>
        <v>1</v>
      </c>
      <c r="BI1413" s="32" t="str">
        <f>INDEX(Stores!$B$2:$B$21,MATCH(B1413,Stores!$A$2:$A$21,0))</f>
        <v>Bengaluru</v>
      </c>
    </row>
    <row r="1414">
      <c r="A1414" s="32" t="str">
        <f>Orders!A1411</f>
        <v>O01410</v>
      </c>
      <c r="B1414" s="32" t="str">
        <f>Orders!C1411</f>
        <v>S008</v>
      </c>
      <c r="C1414" s="32" t="str">
        <f>Orders!B1411</f>
        <v>C0218</v>
      </c>
      <c r="D1414" s="32" t="str">
        <f>Orders!H1411</f>
        <v>Delivered</v>
      </c>
      <c r="E1414" s="33">
        <f>IF(Orders!H1411="Delivered",1,0)</f>
        <v>1</v>
      </c>
      <c r="F1414" s="34">
        <f>IF(E1414=1,Orders!R1411,"")</f>
        <v>-0.2</v>
      </c>
      <c r="G1414" s="33">
        <f>IF(E1414=1,IF(Orders!R1411&gt;0,1,0),"")</f>
        <v>0</v>
      </c>
      <c r="H1414" s="33">
        <f>IF(E1414=1,IF(Orders!R1411&gt;5,1,0),"")</f>
        <v>0</v>
      </c>
      <c r="I1414" s="32" t="str">
        <f>IF(E1414=1,"",IF(OR(Orders!T1411="Rider unavailable",Orders!T1411="Item unavailable"),"Company-caused","Unresolved"))</f>
        <v/>
      </c>
      <c r="J1414" s="33">
        <f>IF(OR(E1414=1,I1414="Company-caused"),1,0)</f>
        <v>1</v>
      </c>
      <c r="K1414" s="32" t="str">
        <f>IF(E1414=0,IF(I1414="Company-caused",IF(Orders!T1411="Rider unavailable","C1 Rider unavailable","C2 Item unavailable"),"Outside root: unresolved"),IF(G1414=0,"A On time",IF(H1414=1,IF(L1414=1,"B2a Severe, peak","B2b Severe, off-peak"),IF(L1414=1,"B1a Slight, peak","B1b Slight, off-peak"))))</f>
        <v>A On time</v>
      </c>
      <c r="L1414" s="33">
        <f>IF(AND(Orders!U1411&gt;=19,Orders!U1411&lt;22),1,0)</f>
        <v>0</v>
      </c>
      <c r="M1414" s="33">
        <f>IF(L1414=IF(Orders!V1411,1,0),1,0)</f>
        <v>1</v>
      </c>
      <c r="N1414" s="32" t="str">
        <f>IF(Orders!W1411="","None",Orders!W1411)</f>
        <v>None</v>
      </c>
      <c r="O1414" s="35">
        <f>INT(Orders!E1411)</f>
        <v>46277.0</v>
      </c>
      <c r="P1414" s="33">
        <f>Orders!U1411</f>
        <v>9</v>
      </c>
      <c r="Q1414" s="33">
        <f>COUNTIFS(Demand!$A$2:$A$4481,B1414,Demand!$B$2:$B$4481,O1414,Demand!$C$2:$C$4481,P1414)</f>
        <v>1</v>
      </c>
      <c r="R1414" s="33">
        <f>IF(Q1414=1,SUMIFS(Demand!$E$2:$E$4481,Demand!$A$2:$A$4481,B1414,Demand!$B$2:$B$4481,O1414,Demand!$C$2:$C$4481,P1414),"")</f>
        <v>18</v>
      </c>
      <c r="S1414" s="33">
        <f>INDEX(Stores!$G$2:$G$21,MATCH(B1414,Stores!$A$2:$A$21,0))</f>
        <v>23</v>
      </c>
      <c r="T1414" s="34">
        <f>IF(R1414="","",R1414/S1414)</f>
        <v>0.782608695652174</v>
      </c>
      <c r="U1414" s="34">
        <f>IF(E1414=1,T1414,"")</f>
        <v>0.782608695652174</v>
      </c>
      <c r="V1414" s="34">
        <f>IF(AND(E1414=1,L1414=0),T1414,"")</f>
        <v>0.782608695652174</v>
      </c>
      <c r="W1414" s="33">
        <f>IF(U1414="","",IF(U1414&lt;=Breakdowns!$C$5,1,IF(U1414&lt;=Breakdowns!$C$6,2,IF(U1414&lt;=Breakdowns!$C$7,3,4))))</f>
        <v>1</v>
      </c>
      <c r="X1414" s="33">
        <f>IF(V1414="","",IF(V1414&lt;=Breakdowns!$D$5,1,IF(V1414&lt;=Breakdowns!$D$6,2,IF(V1414&lt;=Breakdowns!$D$7,3,4))))</f>
        <v>2</v>
      </c>
      <c r="Y1414" s="34">
        <f>INDEX(Stores!$F$2:$F$21,MATCH(B1414,Stores!$A$2:$A$21,0))</f>
        <v>3.46</v>
      </c>
      <c r="Z1414" s="33">
        <f>IF(Y1414&gt;Store_Summary!$M$2,1,0)</f>
        <v>0</v>
      </c>
      <c r="AA1414" s="33">
        <f>INDEX(Stores!$C$2:$C$21,MATCH(B1414,Stores!$A$2:$A$21,0))</f>
        <v>825</v>
      </c>
      <c r="AB1414" s="33">
        <f>IF(AA1414&lt;180,1,0)</f>
        <v>0</v>
      </c>
      <c r="AC1414" s="32" t="str">
        <f>IF(Orders!D1411="","",INDEX(Riders!$C$2:$C$81,MATCH(Orders!D1411,Riders!$A$2:$A$81,0)))</f>
        <v>EV scooter</v>
      </c>
      <c r="AD1414" s="33">
        <f>IF(Orders!D1411="","",INDEX(Riders!$D$2:$D$81,MATCH(Orders!D1411,Riders!$A$2:$A$81,0)))</f>
        <v>26</v>
      </c>
      <c r="AE1414" s="33">
        <f>IF(Orders!D1411="","",IF(INDEX(Riders!$B$2:$B$81,MATCH(Orders!D1411,Riders!$A$2:$A$81,0))=B1414,1,0))</f>
        <v>0</v>
      </c>
      <c r="AF1414" s="34">
        <f>IF(E1414=1,Orders!L1411,"")</f>
        <v>1.5</v>
      </c>
      <c r="AG1414" s="34">
        <f>IF(E1414=1,Orders!P1411,"")</f>
        <v>10</v>
      </c>
      <c r="AH1414" s="34">
        <f>IF(E1414=1,Orders!Q1411,"")</f>
        <v>9.8</v>
      </c>
      <c r="AI1414" s="34">
        <f>IF(E1414=1,Orders!M1411,"")</f>
        <v>1.7</v>
      </c>
      <c r="AJ1414" s="34">
        <f>IF(E1414=1,Orders!N1411,"")</f>
        <v>5.1</v>
      </c>
      <c r="AK1414" s="34">
        <f>IF(E1414=1,Orders!O1411,"")</f>
        <v>3</v>
      </c>
      <c r="AL1414" s="33">
        <f>IF(E1414=1,IF(ROUND(ABS(AI1414+AJ1414+AK1414-AH1414),6)&lt;=0.1,1,0),"")</f>
        <v>1</v>
      </c>
      <c r="AM1414" s="36">
        <f>IF(E1414=1,AI1414/AH1414,"")</f>
        <v>0.173469387755102</v>
      </c>
      <c r="AN1414" s="36">
        <f>IF(E1414=1,AJ1414/AH1414,"")</f>
        <v>0.520408163265306</v>
      </c>
      <c r="AO1414" s="36">
        <f>IF(E1414=1,AK1414/AH1414,"")</f>
        <v>0.306122448979592</v>
      </c>
      <c r="AP1414" s="34">
        <f>IF(E1414=1,Orders!Y1411,"")</f>
        <v>0.45</v>
      </c>
      <c r="AQ1414" s="33">
        <f>IF(Orders!X1411,1,0)</f>
        <v>0</v>
      </c>
      <c r="AR1414" s="34" t="str">
        <f>IF(AND(E1414=1,L1414=1),AJ1414,"")</f>
        <v/>
      </c>
      <c r="AS1414" s="34">
        <f>IF(AND(E1414=1,L1414=0),AJ1414,"")</f>
        <v>5.1</v>
      </c>
      <c r="AT1414" s="34" t="str">
        <f>IF(AND(E1414=1,L1414=1),AI1414,"")</f>
        <v/>
      </c>
      <c r="AU1414" s="34">
        <f>IF(AND(E1414=1,L1414=0),AI1414,"")</f>
        <v>1.7</v>
      </c>
      <c r="AV1414" s="34" t="str">
        <f>IF(AND(E1414=1,L1414=1),AG1414,"")</f>
        <v/>
      </c>
      <c r="AW1414" s="34">
        <f>IF(AND(E1414=1,L1414=0),AG1414,"")</f>
        <v>10</v>
      </c>
      <c r="AX1414" s="34" t="str">
        <f>IF(AND(E1414=1,L1414=1),AH1414,"")</f>
        <v/>
      </c>
      <c r="AY1414" s="34">
        <f>IF(AND(E1414=1,L1414=0),AH1414,"")</f>
        <v>9.8</v>
      </c>
      <c r="AZ1414" s="34" t="str">
        <f>IF(G1414=1,F1414,"")</f>
        <v/>
      </c>
      <c r="BA1414" s="34" t="str">
        <f>IF(AND(G1414=1,L1414=1),F1414,"")</f>
        <v/>
      </c>
      <c r="BB1414" s="34" t="str">
        <f>IF(AND(G1414=1,L1414=0),F1414,"")</f>
        <v/>
      </c>
      <c r="BC1414" s="33">
        <f>IF(E1414=1,IF(Orders!R1411&gt;3,1,0),"")</f>
        <v>0</v>
      </c>
      <c r="BD1414" s="33">
        <f>IF(E1414=1,IF(Orders!R1411&gt;7,1,0),"")</f>
        <v>0</v>
      </c>
      <c r="BE1414" s="32" t="str">
        <f>IF(E1414=1,IF(Orders!L1411&lt;=1.5,"Up to 1.5 km",IF(Orders!L1411&lt;=3,"1.5–3 km","Over 3 km")),"")</f>
        <v>Up to 1.5 km</v>
      </c>
      <c r="BF1414" s="33">
        <f>IF(E1414=1,IF(ABS((Orders!G1411-Orders!F1411)*1440-Orders!R1411)&lt;0.06,1,0),"")</f>
        <v>1</v>
      </c>
      <c r="BG1414" s="33">
        <f>IF(ABS((Orders!F1411-Orders!E1411)*1440-Orders!P1411)&lt;0.06,1,0)</f>
        <v>1</v>
      </c>
      <c r="BH1414" s="33">
        <f>IF(E1414=1,IF(IF(Orders!S1411,1,0)=1-G1414,1,0),"")</f>
        <v>1</v>
      </c>
      <c r="BI1414" s="32" t="str">
        <f>INDEX(Stores!$B$2:$B$21,MATCH(B1414,Stores!$A$2:$A$21,0))</f>
        <v>Mumbai</v>
      </c>
    </row>
    <row r="1415">
      <c r="A1415" s="32" t="str">
        <f>Orders!A1412</f>
        <v>O01411</v>
      </c>
      <c r="B1415" s="32" t="str">
        <f>Orders!C1412</f>
        <v>S012</v>
      </c>
      <c r="C1415" s="32" t="str">
        <f>Orders!B1412</f>
        <v>C0130</v>
      </c>
      <c r="D1415" s="32" t="str">
        <f>Orders!H1412</f>
        <v>Delivered</v>
      </c>
      <c r="E1415" s="33">
        <f>IF(Orders!H1412="Delivered",1,0)</f>
        <v>1</v>
      </c>
      <c r="F1415" s="34">
        <f>IF(E1415=1,Orders!R1412,"")</f>
        <v>13.8</v>
      </c>
      <c r="G1415" s="33">
        <f>IF(E1415=1,IF(Orders!R1412&gt;0,1,0),"")</f>
        <v>1</v>
      </c>
      <c r="H1415" s="33">
        <f>IF(E1415=1,IF(Orders!R1412&gt;5,1,0),"")</f>
        <v>1</v>
      </c>
      <c r="I1415" s="32" t="str">
        <f>IF(E1415=1,"",IF(OR(Orders!T1412="Rider unavailable",Orders!T1412="Item unavailable"),"Company-caused","Unresolved"))</f>
        <v/>
      </c>
      <c r="J1415" s="33">
        <f>IF(OR(E1415=1,I1415="Company-caused"),1,0)</f>
        <v>1</v>
      </c>
      <c r="K1415" s="32" t="str">
        <f>IF(E1415=0,IF(I1415="Company-caused",IF(Orders!T1412="Rider unavailable","C1 Rider unavailable","C2 Item unavailable"),"Outside root: unresolved"),IF(G1415=0,"A On time",IF(H1415=1,IF(L1415=1,"B2a Severe, peak","B2b Severe, off-peak"),IF(L1415=1,"B1a Slight, peak","B1b Slight, off-peak"))))</f>
        <v>B2a Severe, peak</v>
      </c>
      <c r="L1415" s="33">
        <f>IF(AND(Orders!U1412&gt;=19,Orders!U1412&lt;22),1,0)</f>
        <v>1</v>
      </c>
      <c r="M1415" s="33">
        <f>IF(L1415=IF(Orders!V1412,1,0),1,0)</f>
        <v>1</v>
      </c>
      <c r="N1415" s="32" t="str">
        <f>IF(Orders!W1412="","None",Orders!W1412)</f>
        <v>Heavy</v>
      </c>
      <c r="O1415" s="35">
        <f>INT(Orders!E1412)</f>
        <v>46276.0</v>
      </c>
      <c r="P1415" s="33">
        <f>Orders!U1412</f>
        <v>21</v>
      </c>
      <c r="Q1415" s="33">
        <f>COUNTIFS(Demand!$A$2:$A$4481,B1415,Demand!$B$2:$B$4481,O1415,Demand!$C$2:$C$4481,P1415)</f>
        <v>1</v>
      </c>
      <c r="R1415" s="33">
        <f>IF(Q1415=1,SUMIFS(Demand!$E$2:$E$4481,Demand!$A$2:$A$4481,B1415,Demand!$B$2:$B$4481,O1415,Demand!$C$2:$C$4481,P1415),"")</f>
        <v>19</v>
      </c>
      <c r="S1415" s="33">
        <f>INDEX(Stores!$G$2:$G$21,MATCH(B1415,Stores!$A$2:$A$21,0))</f>
        <v>15</v>
      </c>
      <c r="T1415" s="34">
        <f>IF(R1415="","",R1415/S1415)</f>
        <v>1.26666666666667</v>
      </c>
      <c r="U1415" s="34">
        <f>IF(E1415=1,T1415,"")</f>
        <v>1.26666666666667</v>
      </c>
      <c r="V1415" s="34" t="str">
        <f>IF(AND(E1415=1,L1415=0),T1415,"")</f>
        <v/>
      </c>
      <c r="W1415" s="33">
        <f>IF(U1415="","",IF(U1415&lt;=Breakdowns!$C$5,1,IF(U1415&lt;=Breakdowns!$C$6,2,IF(U1415&lt;=Breakdowns!$C$7,3,4))))</f>
        <v>4</v>
      </c>
      <c r="X1415" s="33" t="str">
        <f>IF(V1415="","",IF(V1415&lt;=Breakdowns!$D$5,1,IF(V1415&lt;=Breakdowns!$D$6,2,IF(V1415&lt;=Breakdowns!$D$7,3,4))))</f>
        <v/>
      </c>
      <c r="Y1415" s="34">
        <f>INDEX(Stores!$F$2:$F$21,MATCH(B1415,Stores!$A$2:$A$21,0))</f>
        <v>5.23</v>
      </c>
      <c r="Z1415" s="33">
        <f>IF(Y1415&gt;Store_Summary!$M$2,1,0)</f>
        <v>1</v>
      </c>
      <c r="AA1415" s="33">
        <f>INDEX(Stores!$C$2:$C$21,MATCH(B1415,Stores!$A$2:$A$21,0))</f>
        <v>300</v>
      </c>
      <c r="AB1415" s="33">
        <f>IF(AA1415&lt;180,1,0)</f>
        <v>0</v>
      </c>
      <c r="AC1415" s="32" t="str">
        <f>IF(Orders!D1412="","",INDEX(Riders!$C$2:$C$81,MATCH(Orders!D1412,Riders!$A$2:$A$81,0)))</f>
        <v>Petrol scooter</v>
      </c>
      <c r="AD1415" s="33">
        <f>IF(Orders!D1412="","",INDEX(Riders!$D$2:$D$81,MATCH(Orders!D1412,Riders!$A$2:$A$81,0)))</f>
        <v>43</v>
      </c>
      <c r="AE1415" s="33">
        <f>IF(Orders!D1412="","",IF(INDEX(Riders!$B$2:$B$81,MATCH(Orders!D1412,Riders!$A$2:$A$81,0))=B1415,1,0))</f>
        <v>0</v>
      </c>
      <c r="AF1415" s="34">
        <f>IF(E1415=1,Orders!L1412,"")</f>
        <v>3.3</v>
      </c>
      <c r="AG1415" s="34">
        <f>IF(E1415=1,Orders!P1412,"")</f>
        <v>8.6</v>
      </c>
      <c r="AH1415" s="34">
        <f>IF(E1415=1,Orders!Q1412,"")</f>
        <v>22.4</v>
      </c>
      <c r="AI1415" s="34">
        <f>IF(E1415=1,Orders!M1412,"")</f>
        <v>5.3</v>
      </c>
      <c r="AJ1415" s="34">
        <f>IF(E1415=1,Orders!N1412,"")</f>
        <v>5</v>
      </c>
      <c r="AK1415" s="34">
        <f>IF(E1415=1,Orders!O1412,"")</f>
        <v>12.1</v>
      </c>
      <c r="AL1415" s="33">
        <f>IF(E1415=1,IF(ROUND(ABS(AI1415+AJ1415+AK1415-AH1415),6)&lt;=0.1,1,0),"")</f>
        <v>1</v>
      </c>
      <c r="AM1415" s="36">
        <f>IF(E1415=1,AI1415/AH1415,"")</f>
        <v>0.236607142857143</v>
      </c>
      <c r="AN1415" s="36">
        <f>IF(E1415=1,AJ1415/AH1415,"")</f>
        <v>0.223214285714286</v>
      </c>
      <c r="AO1415" s="36">
        <f>IF(E1415=1,AK1415/AH1415,"")</f>
        <v>0.540178571428571</v>
      </c>
      <c r="AP1415" s="34">
        <f>IF(E1415=1,Orders!Y1412,"")</f>
        <v>0.83</v>
      </c>
      <c r="AQ1415" s="33">
        <f>IF(Orders!X1412,1,0)</f>
        <v>0</v>
      </c>
      <c r="AR1415" s="34">
        <f>IF(AND(E1415=1,L1415=1),AJ1415,"")</f>
        <v>5</v>
      </c>
      <c r="AS1415" s="34" t="str">
        <f>IF(AND(E1415=1,L1415=0),AJ1415,"")</f>
        <v/>
      </c>
      <c r="AT1415" s="34">
        <f>IF(AND(E1415=1,L1415=1),AI1415,"")</f>
        <v>5.3</v>
      </c>
      <c r="AU1415" s="34" t="str">
        <f>IF(AND(E1415=1,L1415=0),AI1415,"")</f>
        <v/>
      </c>
      <c r="AV1415" s="34">
        <f>IF(AND(E1415=1,L1415=1),AG1415,"")</f>
        <v>8.6</v>
      </c>
      <c r="AW1415" s="34" t="str">
        <f>IF(AND(E1415=1,L1415=0),AG1415,"")</f>
        <v/>
      </c>
      <c r="AX1415" s="34">
        <f>IF(AND(E1415=1,L1415=1),AH1415,"")</f>
        <v>22.4</v>
      </c>
      <c r="AY1415" s="34" t="str">
        <f>IF(AND(E1415=1,L1415=0),AH1415,"")</f>
        <v/>
      </c>
      <c r="AZ1415" s="34">
        <f>IF(G1415=1,F1415,"")</f>
        <v>13.8</v>
      </c>
      <c r="BA1415" s="34">
        <f>IF(AND(G1415=1,L1415=1),F1415,"")</f>
        <v>13.8</v>
      </c>
      <c r="BB1415" s="34" t="str">
        <f>IF(AND(G1415=1,L1415=0),F1415,"")</f>
        <v/>
      </c>
      <c r="BC1415" s="33">
        <f>IF(E1415=1,IF(Orders!R1412&gt;3,1,0),"")</f>
        <v>1</v>
      </c>
      <c r="BD1415" s="33">
        <f>IF(E1415=1,IF(Orders!R1412&gt;7,1,0),"")</f>
        <v>1</v>
      </c>
      <c r="BE1415" s="32" t="str">
        <f>IF(E1415=1,IF(Orders!L1412&lt;=1.5,"Up to 1.5 km",IF(Orders!L1412&lt;=3,"1.5–3 km","Over 3 km")),"")</f>
        <v>Over 3 km</v>
      </c>
      <c r="BF1415" s="33">
        <f>IF(E1415=1,IF(ABS((Orders!G1412-Orders!F1412)*1440-Orders!R1412)&lt;0.06,1,0),"")</f>
        <v>1</v>
      </c>
      <c r="BG1415" s="33">
        <f>IF(ABS((Orders!F1412-Orders!E1412)*1440-Orders!P1412)&lt;0.06,1,0)</f>
        <v>1</v>
      </c>
      <c r="BH1415" s="33">
        <f>IF(E1415=1,IF(IF(Orders!S1412,1,0)=1-G1415,1,0),"")</f>
        <v>1</v>
      </c>
      <c r="BI1415" s="32" t="str">
        <f>INDEX(Stores!$B$2:$B$21,MATCH(B1415,Stores!$A$2:$A$21,0))</f>
        <v>Hyderabad</v>
      </c>
    </row>
    <row r="1416">
      <c r="A1416" s="32" t="str">
        <f>Orders!A1413</f>
        <v>O01412</v>
      </c>
      <c r="B1416" s="32" t="str">
        <f>Orders!C1413</f>
        <v>S008</v>
      </c>
      <c r="C1416" s="32" t="str">
        <f>Orders!B1413</f>
        <v>C0195</v>
      </c>
      <c r="D1416" s="32" t="str">
        <f>Orders!H1413</f>
        <v>Delivered</v>
      </c>
      <c r="E1416" s="33">
        <f>IF(Orders!H1413="Delivered",1,0)</f>
        <v>1</v>
      </c>
      <c r="F1416" s="34">
        <f>IF(E1416=1,Orders!R1413,"")</f>
        <v>-1.2</v>
      </c>
      <c r="G1416" s="33">
        <f>IF(E1416=1,IF(Orders!R1413&gt;0,1,0),"")</f>
        <v>0</v>
      </c>
      <c r="H1416" s="33">
        <f>IF(E1416=1,IF(Orders!R1413&gt;5,1,0),"")</f>
        <v>0</v>
      </c>
      <c r="I1416" s="32" t="str">
        <f>IF(E1416=1,"",IF(OR(Orders!T1413="Rider unavailable",Orders!T1413="Item unavailable"),"Company-caused","Unresolved"))</f>
        <v/>
      </c>
      <c r="J1416" s="33">
        <f>IF(OR(E1416=1,I1416="Company-caused"),1,0)</f>
        <v>1</v>
      </c>
      <c r="K1416" s="32" t="str">
        <f>IF(E1416=0,IF(I1416="Company-caused",IF(Orders!T1413="Rider unavailable","C1 Rider unavailable","C2 Item unavailable"),"Outside root: unresolved"),IF(G1416=0,"A On time",IF(H1416=1,IF(L1416=1,"B2a Severe, peak","B2b Severe, off-peak"),IF(L1416=1,"B1a Slight, peak","B1b Slight, off-peak"))))</f>
        <v>A On time</v>
      </c>
      <c r="L1416" s="33">
        <f>IF(AND(Orders!U1413&gt;=19,Orders!U1413&lt;22),1,0)</f>
        <v>1</v>
      </c>
      <c r="M1416" s="33">
        <f>IF(L1416=IF(Orders!V1413,1,0),1,0)</f>
        <v>1</v>
      </c>
      <c r="N1416" s="32" t="str">
        <f>IF(Orders!W1413="","None",Orders!W1413)</f>
        <v>Light</v>
      </c>
      <c r="O1416" s="35">
        <f>INT(Orders!E1413)</f>
        <v>46270.0</v>
      </c>
      <c r="P1416" s="33">
        <f>Orders!U1413</f>
        <v>20</v>
      </c>
      <c r="Q1416" s="33">
        <f>COUNTIFS(Demand!$A$2:$A$4481,B1416,Demand!$B$2:$B$4481,O1416,Demand!$C$2:$C$4481,P1416)</f>
        <v>1</v>
      </c>
      <c r="R1416" s="33">
        <f>IF(Q1416=1,SUMIFS(Demand!$E$2:$E$4481,Demand!$A$2:$A$4481,B1416,Demand!$B$2:$B$4481,O1416,Demand!$C$2:$C$4481,P1416),"")</f>
        <v>49</v>
      </c>
      <c r="S1416" s="33">
        <f>INDEX(Stores!$G$2:$G$21,MATCH(B1416,Stores!$A$2:$A$21,0))</f>
        <v>23</v>
      </c>
      <c r="T1416" s="34">
        <f>IF(R1416="","",R1416/S1416)</f>
        <v>2.1304347826087</v>
      </c>
      <c r="U1416" s="34">
        <f>IF(E1416=1,T1416,"")</f>
        <v>2.1304347826087</v>
      </c>
      <c r="V1416" s="34" t="str">
        <f>IF(AND(E1416=1,L1416=0),T1416,"")</f>
        <v/>
      </c>
      <c r="W1416" s="33">
        <f>IF(U1416="","",IF(U1416&lt;=Breakdowns!$C$5,1,IF(U1416&lt;=Breakdowns!$C$6,2,IF(U1416&lt;=Breakdowns!$C$7,3,4))))</f>
        <v>4</v>
      </c>
      <c r="X1416" s="33" t="str">
        <f>IF(V1416="","",IF(V1416&lt;=Breakdowns!$D$5,1,IF(V1416&lt;=Breakdowns!$D$6,2,IF(V1416&lt;=Breakdowns!$D$7,3,4))))</f>
        <v/>
      </c>
      <c r="Y1416" s="34">
        <f>INDEX(Stores!$F$2:$F$21,MATCH(B1416,Stores!$A$2:$A$21,0))</f>
        <v>3.46</v>
      </c>
      <c r="Z1416" s="33">
        <f>IF(Y1416&gt;Store_Summary!$M$2,1,0)</f>
        <v>0</v>
      </c>
      <c r="AA1416" s="33">
        <f>INDEX(Stores!$C$2:$C$21,MATCH(B1416,Stores!$A$2:$A$21,0))</f>
        <v>825</v>
      </c>
      <c r="AB1416" s="33">
        <f>IF(AA1416&lt;180,1,0)</f>
        <v>0</v>
      </c>
      <c r="AC1416" s="32" t="str">
        <f>IF(Orders!D1413="","",INDEX(Riders!$C$2:$C$81,MATCH(Orders!D1413,Riders!$A$2:$A$81,0)))</f>
        <v>EV scooter</v>
      </c>
      <c r="AD1416" s="33">
        <f>IF(Orders!D1413="","",INDEX(Riders!$D$2:$D$81,MATCH(Orders!D1413,Riders!$A$2:$A$81,0)))</f>
        <v>22</v>
      </c>
      <c r="AE1416" s="33">
        <f>IF(Orders!D1413="","",IF(INDEX(Riders!$B$2:$B$81,MATCH(Orders!D1413,Riders!$A$2:$A$81,0))=B1416,1,0))</f>
        <v>0</v>
      </c>
      <c r="AF1416" s="34">
        <f>IF(E1416=1,Orders!L1413,"")</f>
        <v>1.26</v>
      </c>
      <c r="AG1416" s="34">
        <f>IF(E1416=1,Orders!P1413,"")</f>
        <v>9.4</v>
      </c>
      <c r="AH1416" s="34">
        <f>IF(E1416=1,Orders!Q1413,"")</f>
        <v>8.2</v>
      </c>
      <c r="AI1416" s="34">
        <f>IF(E1416=1,Orders!M1413,"")</f>
        <v>2.4</v>
      </c>
      <c r="AJ1416" s="34">
        <f>IF(E1416=1,Orders!N1413,"")</f>
        <v>2.3</v>
      </c>
      <c r="AK1416" s="34">
        <f>IF(E1416=1,Orders!O1413,"")</f>
        <v>3.5</v>
      </c>
      <c r="AL1416" s="33">
        <f>IF(E1416=1,IF(ROUND(ABS(AI1416+AJ1416+AK1416-AH1416),6)&lt;=0.1,1,0),"")</f>
        <v>1</v>
      </c>
      <c r="AM1416" s="36">
        <f>IF(E1416=1,AI1416/AH1416,"")</f>
        <v>0.292682926829268</v>
      </c>
      <c r="AN1416" s="36">
        <f>IF(E1416=1,AJ1416/AH1416,"")</f>
        <v>0.280487804878049</v>
      </c>
      <c r="AO1416" s="36">
        <f>IF(E1416=1,AK1416/AH1416,"")</f>
        <v>0.426829268292683</v>
      </c>
      <c r="AP1416" s="34">
        <f>IF(E1416=1,Orders!Y1413,"")</f>
        <v>0.67</v>
      </c>
      <c r="AQ1416" s="33">
        <f>IF(Orders!X1413,1,0)</f>
        <v>0</v>
      </c>
      <c r="AR1416" s="34">
        <f>IF(AND(E1416=1,L1416=1),AJ1416,"")</f>
        <v>2.3</v>
      </c>
      <c r="AS1416" s="34" t="str">
        <f>IF(AND(E1416=1,L1416=0),AJ1416,"")</f>
        <v/>
      </c>
      <c r="AT1416" s="34">
        <f>IF(AND(E1416=1,L1416=1),AI1416,"")</f>
        <v>2.4</v>
      </c>
      <c r="AU1416" s="34" t="str">
        <f>IF(AND(E1416=1,L1416=0),AI1416,"")</f>
        <v/>
      </c>
      <c r="AV1416" s="34">
        <f>IF(AND(E1416=1,L1416=1),AG1416,"")</f>
        <v>9.4</v>
      </c>
      <c r="AW1416" s="34" t="str">
        <f>IF(AND(E1416=1,L1416=0),AG1416,"")</f>
        <v/>
      </c>
      <c r="AX1416" s="34">
        <f>IF(AND(E1416=1,L1416=1),AH1416,"")</f>
        <v>8.2</v>
      </c>
      <c r="AY1416" s="34" t="str">
        <f>IF(AND(E1416=1,L1416=0),AH1416,"")</f>
        <v/>
      </c>
      <c r="AZ1416" s="34" t="str">
        <f>IF(G1416=1,F1416,"")</f>
        <v/>
      </c>
      <c r="BA1416" s="34" t="str">
        <f>IF(AND(G1416=1,L1416=1),F1416,"")</f>
        <v/>
      </c>
      <c r="BB1416" s="34" t="str">
        <f>IF(AND(G1416=1,L1416=0),F1416,"")</f>
        <v/>
      </c>
      <c r="BC1416" s="33">
        <f>IF(E1416=1,IF(Orders!R1413&gt;3,1,0),"")</f>
        <v>0</v>
      </c>
      <c r="BD1416" s="33">
        <f>IF(E1416=1,IF(Orders!R1413&gt;7,1,0),"")</f>
        <v>0</v>
      </c>
      <c r="BE1416" s="32" t="str">
        <f>IF(E1416=1,IF(Orders!L1413&lt;=1.5,"Up to 1.5 km",IF(Orders!L1413&lt;=3,"1.5–3 km","Over 3 km")),"")</f>
        <v>Up to 1.5 km</v>
      </c>
      <c r="BF1416" s="33">
        <f>IF(E1416=1,IF(ABS((Orders!G1413-Orders!F1413)*1440-Orders!R1413)&lt;0.06,1,0),"")</f>
        <v>1</v>
      </c>
      <c r="BG1416" s="33">
        <f>IF(ABS((Orders!F1413-Orders!E1413)*1440-Orders!P1413)&lt;0.06,1,0)</f>
        <v>1</v>
      </c>
      <c r="BH1416" s="33">
        <f>IF(E1416=1,IF(IF(Orders!S1413,1,0)=1-G1416,1,0),"")</f>
        <v>1</v>
      </c>
      <c r="BI1416" s="32" t="str">
        <f>INDEX(Stores!$B$2:$B$21,MATCH(B1416,Stores!$A$2:$A$21,0))</f>
        <v>Mumbai</v>
      </c>
    </row>
    <row r="1417">
      <c r="A1417" s="32" t="str">
        <f>Orders!A1414</f>
        <v>O01413</v>
      </c>
      <c r="B1417" s="32" t="str">
        <f>Orders!C1414</f>
        <v>S007</v>
      </c>
      <c r="C1417" s="32" t="str">
        <f>Orders!B1414</f>
        <v>C0103</v>
      </c>
      <c r="D1417" s="32" t="str">
        <f>Orders!H1414</f>
        <v>Delivered</v>
      </c>
      <c r="E1417" s="33">
        <f>IF(Orders!H1414="Delivered",1,0)</f>
        <v>1</v>
      </c>
      <c r="F1417" s="34">
        <f>IF(E1417=1,Orders!R1414,"")</f>
        <v>3.5</v>
      </c>
      <c r="G1417" s="33">
        <f>IF(E1417=1,IF(Orders!R1414&gt;0,1,0),"")</f>
        <v>1</v>
      </c>
      <c r="H1417" s="33">
        <f>IF(E1417=1,IF(Orders!R1414&gt;5,1,0),"")</f>
        <v>0</v>
      </c>
      <c r="I1417" s="32" t="str">
        <f>IF(E1417=1,"",IF(OR(Orders!T1414="Rider unavailable",Orders!T1414="Item unavailable"),"Company-caused","Unresolved"))</f>
        <v/>
      </c>
      <c r="J1417" s="33">
        <f>IF(OR(E1417=1,I1417="Company-caused"),1,0)</f>
        <v>1</v>
      </c>
      <c r="K1417" s="32" t="str">
        <f>IF(E1417=0,IF(I1417="Company-caused",IF(Orders!T1414="Rider unavailable","C1 Rider unavailable","C2 Item unavailable"),"Outside root: unresolved"),IF(G1417=0,"A On time",IF(H1417=1,IF(L1417=1,"B2a Severe, peak","B2b Severe, off-peak"),IF(L1417=1,"B1a Slight, peak","B1b Slight, off-peak"))))</f>
        <v>B1b Slight, off-peak</v>
      </c>
      <c r="L1417" s="33">
        <f>IF(AND(Orders!U1414&gt;=19,Orders!U1414&lt;22),1,0)</f>
        <v>0</v>
      </c>
      <c r="M1417" s="33">
        <f>IF(L1417=IF(Orders!V1414,1,0),1,0)</f>
        <v>1</v>
      </c>
      <c r="N1417" s="32" t="str">
        <f>IF(Orders!W1414="","None",Orders!W1414)</f>
        <v>None</v>
      </c>
      <c r="O1417" s="35">
        <f>INT(Orders!E1414)</f>
        <v>46276.0</v>
      </c>
      <c r="P1417" s="33">
        <f>Orders!U1414</f>
        <v>9</v>
      </c>
      <c r="Q1417" s="33">
        <f>COUNTIFS(Demand!$A$2:$A$4481,B1417,Demand!$B$2:$B$4481,O1417,Demand!$C$2:$C$4481,P1417)</f>
        <v>1</v>
      </c>
      <c r="R1417" s="33">
        <f>IF(Q1417=1,SUMIFS(Demand!$E$2:$E$4481,Demand!$A$2:$A$4481,B1417,Demand!$B$2:$B$4481,O1417,Demand!$C$2:$C$4481,P1417),"")</f>
        <v>28</v>
      </c>
      <c r="S1417" s="33">
        <f>INDEX(Stores!$G$2:$G$21,MATCH(B1417,Stores!$A$2:$A$21,0))</f>
        <v>37</v>
      </c>
      <c r="T1417" s="34">
        <f>IF(R1417="","",R1417/S1417)</f>
        <v>0.756756756756757</v>
      </c>
      <c r="U1417" s="34">
        <f>IF(E1417=1,T1417,"")</f>
        <v>0.756756756756757</v>
      </c>
      <c r="V1417" s="34">
        <f>IF(AND(E1417=1,L1417=0),T1417,"")</f>
        <v>0.756756756756757</v>
      </c>
      <c r="W1417" s="33">
        <f>IF(U1417="","",IF(U1417&lt;=Breakdowns!$C$5,1,IF(U1417&lt;=Breakdowns!$C$6,2,IF(U1417&lt;=Breakdowns!$C$7,3,4))))</f>
        <v>1</v>
      </c>
      <c r="X1417" s="33">
        <f>IF(V1417="","",IF(V1417&lt;=Breakdowns!$D$5,1,IF(V1417&lt;=Breakdowns!$D$6,2,IF(V1417&lt;=Breakdowns!$D$7,3,4))))</f>
        <v>2</v>
      </c>
      <c r="Y1417" s="34">
        <f>INDEX(Stores!$F$2:$F$21,MATCH(B1417,Stores!$A$2:$A$21,0))</f>
        <v>4.05</v>
      </c>
      <c r="Z1417" s="33">
        <f>IF(Y1417&gt;Store_Summary!$M$2,1,0)</f>
        <v>0</v>
      </c>
      <c r="AA1417" s="33">
        <f>INDEX(Stores!$C$2:$C$21,MATCH(B1417,Stores!$A$2:$A$21,0))</f>
        <v>661</v>
      </c>
      <c r="AB1417" s="33">
        <f>IF(AA1417&lt;180,1,0)</f>
        <v>0</v>
      </c>
      <c r="AC1417" s="32" t="str">
        <f>IF(Orders!D1414="","",INDEX(Riders!$C$2:$C$81,MATCH(Orders!D1414,Riders!$A$2:$A$81,0)))</f>
        <v>EV scooter</v>
      </c>
      <c r="AD1417" s="33">
        <f>IF(Orders!D1414="","",INDEX(Riders!$D$2:$D$81,MATCH(Orders!D1414,Riders!$A$2:$A$81,0)))</f>
        <v>12</v>
      </c>
      <c r="AE1417" s="33">
        <f>IF(Orders!D1414="","",IF(INDEX(Riders!$B$2:$B$81,MATCH(Orders!D1414,Riders!$A$2:$A$81,0))=B1417,1,0))</f>
        <v>0</v>
      </c>
      <c r="AF1417" s="34">
        <f>IF(E1417=1,Orders!L1414,"")</f>
        <v>1.4</v>
      </c>
      <c r="AG1417" s="34">
        <f>IF(E1417=1,Orders!P1414,"")</f>
        <v>10.8</v>
      </c>
      <c r="AH1417" s="34">
        <f>IF(E1417=1,Orders!Q1414,"")</f>
        <v>14.3</v>
      </c>
      <c r="AI1417" s="34">
        <f>IF(E1417=1,Orders!M1414,"")</f>
        <v>5.1</v>
      </c>
      <c r="AJ1417" s="34">
        <f>IF(E1417=1,Orders!N1414,"")</f>
        <v>5.2</v>
      </c>
      <c r="AK1417" s="34">
        <f>IF(E1417=1,Orders!O1414,"")</f>
        <v>3.9</v>
      </c>
      <c r="AL1417" s="33">
        <f>IF(E1417=1,IF(ROUND(ABS(AI1417+AJ1417+AK1417-AH1417),6)&lt;=0.1,1,0),"")</f>
        <v>1</v>
      </c>
      <c r="AM1417" s="36">
        <f>IF(E1417=1,AI1417/AH1417,"")</f>
        <v>0.356643356643357</v>
      </c>
      <c r="AN1417" s="36">
        <f>IF(E1417=1,AJ1417/AH1417,"")</f>
        <v>0.363636363636364</v>
      </c>
      <c r="AO1417" s="36">
        <f>IF(E1417=1,AK1417/AH1417,"")</f>
        <v>0.272727272727273</v>
      </c>
      <c r="AP1417" s="34">
        <f>IF(E1417=1,Orders!Y1414,"")</f>
        <v>0.21</v>
      </c>
      <c r="AQ1417" s="33">
        <f>IF(Orders!X1414,1,0)</f>
        <v>0</v>
      </c>
      <c r="AR1417" s="34" t="str">
        <f>IF(AND(E1417=1,L1417=1),AJ1417,"")</f>
        <v/>
      </c>
      <c r="AS1417" s="34">
        <f>IF(AND(E1417=1,L1417=0),AJ1417,"")</f>
        <v>5.2</v>
      </c>
      <c r="AT1417" s="34" t="str">
        <f>IF(AND(E1417=1,L1417=1),AI1417,"")</f>
        <v/>
      </c>
      <c r="AU1417" s="34">
        <f>IF(AND(E1417=1,L1417=0),AI1417,"")</f>
        <v>5.1</v>
      </c>
      <c r="AV1417" s="34" t="str">
        <f>IF(AND(E1417=1,L1417=1),AG1417,"")</f>
        <v/>
      </c>
      <c r="AW1417" s="34">
        <f>IF(AND(E1417=1,L1417=0),AG1417,"")</f>
        <v>10.8</v>
      </c>
      <c r="AX1417" s="34" t="str">
        <f>IF(AND(E1417=1,L1417=1),AH1417,"")</f>
        <v/>
      </c>
      <c r="AY1417" s="34">
        <f>IF(AND(E1417=1,L1417=0),AH1417,"")</f>
        <v>14.3</v>
      </c>
      <c r="AZ1417" s="34">
        <f>IF(G1417=1,F1417,"")</f>
        <v>3.5</v>
      </c>
      <c r="BA1417" s="34" t="str">
        <f>IF(AND(G1417=1,L1417=1),F1417,"")</f>
        <v/>
      </c>
      <c r="BB1417" s="34">
        <f>IF(AND(G1417=1,L1417=0),F1417,"")</f>
        <v>3.5</v>
      </c>
      <c r="BC1417" s="33">
        <f>IF(E1417=1,IF(Orders!R1414&gt;3,1,0),"")</f>
        <v>1</v>
      </c>
      <c r="BD1417" s="33">
        <f>IF(E1417=1,IF(Orders!R1414&gt;7,1,0),"")</f>
        <v>0</v>
      </c>
      <c r="BE1417" s="32" t="str">
        <f>IF(E1417=1,IF(Orders!L1414&lt;=1.5,"Up to 1.5 km",IF(Orders!L1414&lt;=3,"1.5–3 km","Over 3 km")),"")</f>
        <v>Up to 1.5 km</v>
      </c>
      <c r="BF1417" s="33">
        <f>IF(E1417=1,IF(ABS((Orders!G1414-Orders!F1414)*1440-Orders!R1414)&lt;0.06,1,0),"")</f>
        <v>1</v>
      </c>
      <c r="BG1417" s="33">
        <f>IF(ABS((Orders!F1414-Orders!E1414)*1440-Orders!P1414)&lt;0.06,1,0)</f>
        <v>1</v>
      </c>
      <c r="BH1417" s="33">
        <f>IF(E1417=1,IF(IF(Orders!S1414,1,0)=1-G1417,1,0),"")</f>
        <v>1</v>
      </c>
      <c r="BI1417" s="32" t="str">
        <f>INDEX(Stores!$B$2:$B$21,MATCH(B1417,Stores!$A$2:$A$21,0))</f>
        <v>Hyderabad</v>
      </c>
    </row>
    <row r="1418">
      <c r="A1418" s="32" t="str">
        <f>Orders!A1415</f>
        <v>O01414</v>
      </c>
      <c r="B1418" s="32" t="str">
        <f>Orders!C1415</f>
        <v>S004</v>
      </c>
      <c r="C1418" s="32" t="str">
        <f>Orders!B1415</f>
        <v>C0131</v>
      </c>
      <c r="D1418" s="32" t="str">
        <f>Orders!H1415</f>
        <v>Delivered</v>
      </c>
      <c r="E1418" s="33">
        <f>IF(Orders!H1415="Delivered",1,0)</f>
        <v>1</v>
      </c>
      <c r="F1418" s="34">
        <f>IF(E1418=1,Orders!R1415,"")</f>
        <v>-0.2</v>
      </c>
      <c r="G1418" s="33">
        <f>IF(E1418=1,IF(Orders!R1415&gt;0,1,0),"")</f>
        <v>0</v>
      </c>
      <c r="H1418" s="33">
        <f>IF(E1418=1,IF(Orders!R1415&gt;5,1,0),"")</f>
        <v>0</v>
      </c>
      <c r="I1418" s="32" t="str">
        <f>IF(E1418=1,"",IF(OR(Orders!T1415="Rider unavailable",Orders!T1415="Item unavailable"),"Company-caused","Unresolved"))</f>
        <v/>
      </c>
      <c r="J1418" s="33">
        <f>IF(OR(E1418=1,I1418="Company-caused"),1,0)</f>
        <v>1</v>
      </c>
      <c r="K1418" s="32" t="str">
        <f>IF(E1418=0,IF(I1418="Company-caused",IF(Orders!T1415="Rider unavailable","C1 Rider unavailable","C2 Item unavailable"),"Outside root: unresolved"),IF(G1418=0,"A On time",IF(H1418=1,IF(L1418=1,"B2a Severe, peak","B2b Severe, off-peak"),IF(L1418=1,"B1a Slight, peak","B1b Slight, off-peak"))))</f>
        <v>A On time</v>
      </c>
      <c r="L1418" s="33">
        <f>IF(AND(Orders!U1415&gt;=19,Orders!U1415&lt;22),1,0)</f>
        <v>0</v>
      </c>
      <c r="M1418" s="33">
        <f>IF(L1418=IF(Orders!V1415,1,0),1,0)</f>
        <v>1</v>
      </c>
      <c r="N1418" s="32" t="str">
        <f>IF(Orders!W1415="","None",Orders!W1415)</f>
        <v>None</v>
      </c>
      <c r="O1418" s="35">
        <f>INT(Orders!E1415)</f>
        <v>46267.0</v>
      </c>
      <c r="P1418" s="33">
        <f>Orders!U1415</f>
        <v>11</v>
      </c>
      <c r="Q1418" s="33">
        <f>COUNTIFS(Demand!$A$2:$A$4481,B1418,Demand!$B$2:$B$4481,O1418,Demand!$C$2:$C$4481,P1418)</f>
        <v>1</v>
      </c>
      <c r="R1418" s="33">
        <f>IF(Q1418=1,SUMIFS(Demand!$E$2:$E$4481,Demand!$A$2:$A$4481,B1418,Demand!$B$2:$B$4481,O1418,Demand!$C$2:$C$4481,P1418),"")</f>
        <v>42</v>
      </c>
      <c r="S1418" s="33">
        <f>INDEX(Stores!$G$2:$G$21,MATCH(B1418,Stores!$A$2:$A$21,0))</f>
        <v>42</v>
      </c>
      <c r="T1418" s="34">
        <f>IF(R1418="","",R1418/S1418)</f>
        <v>1</v>
      </c>
      <c r="U1418" s="34">
        <f>IF(E1418=1,T1418,"")</f>
        <v>1</v>
      </c>
      <c r="V1418" s="34">
        <f>IF(AND(E1418=1,L1418=0),T1418,"")</f>
        <v>1</v>
      </c>
      <c r="W1418" s="33">
        <f>IF(U1418="","",IF(U1418&lt;=Breakdowns!$C$5,1,IF(U1418&lt;=Breakdowns!$C$6,2,IF(U1418&lt;=Breakdowns!$C$7,3,4))))</f>
        <v>2</v>
      </c>
      <c r="X1418" s="33">
        <f>IF(V1418="","",IF(V1418&lt;=Breakdowns!$D$5,1,IF(V1418&lt;=Breakdowns!$D$6,2,IF(V1418&lt;=Breakdowns!$D$7,3,4))))</f>
        <v>3</v>
      </c>
      <c r="Y1418" s="34">
        <f>INDEX(Stores!$F$2:$F$21,MATCH(B1418,Stores!$A$2:$A$21,0))</f>
        <v>2.19</v>
      </c>
      <c r="Z1418" s="33">
        <f>IF(Y1418&gt;Store_Summary!$M$2,1,0)</f>
        <v>0</v>
      </c>
      <c r="AA1418" s="33">
        <f>INDEX(Stores!$C$2:$C$21,MATCH(B1418,Stores!$A$2:$A$21,0))</f>
        <v>850</v>
      </c>
      <c r="AB1418" s="33">
        <f>IF(AA1418&lt;180,1,0)</f>
        <v>0</v>
      </c>
      <c r="AC1418" s="32" t="str">
        <f>IF(Orders!D1415="","",INDEX(Riders!$C$2:$C$81,MATCH(Orders!D1415,Riders!$A$2:$A$81,0)))</f>
        <v>Bicycle</v>
      </c>
      <c r="AD1418" s="33">
        <f>IF(Orders!D1415="","",INDEX(Riders!$D$2:$D$81,MATCH(Orders!D1415,Riders!$A$2:$A$81,0)))</f>
        <v>44</v>
      </c>
      <c r="AE1418" s="33">
        <f>IF(Orders!D1415="","",IF(INDEX(Riders!$B$2:$B$81,MATCH(Orders!D1415,Riders!$A$2:$A$81,0))=B1418,1,0))</f>
        <v>0</v>
      </c>
      <c r="AF1418" s="34">
        <f>IF(E1418=1,Orders!L1415,"")</f>
        <v>0.9</v>
      </c>
      <c r="AG1418" s="34">
        <f>IF(E1418=1,Orders!P1415,"")</f>
        <v>9.6</v>
      </c>
      <c r="AH1418" s="34">
        <f>IF(E1418=1,Orders!Q1415,"")</f>
        <v>9.4</v>
      </c>
      <c r="AI1418" s="34">
        <f>IF(E1418=1,Orders!M1415,"")</f>
        <v>2.4</v>
      </c>
      <c r="AJ1418" s="34">
        <f>IF(E1418=1,Orders!N1415,"")</f>
        <v>4.3</v>
      </c>
      <c r="AK1418" s="34">
        <f>IF(E1418=1,Orders!O1415,"")</f>
        <v>2.7</v>
      </c>
      <c r="AL1418" s="33">
        <f>IF(E1418=1,IF(ROUND(ABS(AI1418+AJ1418+AK1418-AH1418),6)&lt;=0.1,1,0),"")</f>
        <v>1</v>
      </c>
      <c r="AM1418" s="36">
        <f>IF(E1418=1,AI1418/AH1418,"")</f>
        <v>0.25531914893617</v>
      </c>
      <c r="AN1418" s="36">
        <f>IF(E1418=1,AJ1418/AH1418,"")</f>
        <v>0.457446808510638</v>
      </c>
      <c r="AO1418" s="36">
        <f>IF(E1418=1,AK1418/AH1418,"")</f>
        <v>0.287234042553192</v>
      </c>
      <c r="AP1418" s="34">
        <f>IF(E1418=1,Orders!Y1415,"")</f>
        <v>0.4</v>
      </c>
      <c r="AQ1418" s="33">
        <f>IF(Orders!X1415,1,0)</f>
        <v>0</v>
      </c>
      <c r="AR1418" s="34" t="str">
        <f>IF(AND(E1418=1,L1418=1),AJ1418,"")</f>
        <v/>
      </c>
      <c r="AS1418" s="34">
        <f>IF(AND(E1418=1,L1418=0),AJ1418,"")</f>
        <v>4.3</v>
      </c>
      <c r="AT1418" s="34" t="str">
        <f>IF(AND(E1418=1,L1418=1),AI1418,"")</f>
        <v/>
      </c>
      <c r="AU1418" s="34">
        <f>IF(AND(E1418=1,L1418=0),AI1418,"")</f>
        <v>2.4</v>
      </c>
      <c r="AV1418" s="34" t="str">
        <f>IF(AND(E1418=1,L1418=1),AG1418,"")</f>
        <v/>
      </c>
      <c r="AW1418" s="34">
        <f>IF(AND(E1418=1,L1418=0),AG1418,"")</f>
        <v>9.6</v>
      </c>
      <c r="AX1418" s="34" t="str">
        <f>IF(AND(E1418=1,L1418=1),AH1418,"")</f>
        <v/>
      </c>
      <c r="AY1418" s="34">
        <f>IF(AND(E1418=1,L1418=0),AH1418,"")</f>
        <v>9.4</v>
      </c>
      <c r="AZ1418" s="34" t="str">
        <f>IF(G1418=1,F1418,"")</f>
        <v/>
      </c>
      <c r="BA1418" s="34" t="str">
        <f>IF(AND(G1418=1,L1418=1),F1418,"")</f>
        <v/>
      </c>
      <c r="BB1418" s="34" t="str">
        <f>IF(AND(G1418=1,L1418=0),F1418,"")</f>
        <v/>
      </c>
      <c r="BC1418" s="33">
        <f>IF(E1418=1,IF(Orders!R1415&gt;3,1,0),"")</f>
        <v>0</v>
      </c>
      <c r="BD1418" s="33">
        <f>IF(E1418=1,IF(Orders!R1415&gt;7,1,0),"")</f>
        <v>0</v>
      </c>
      <c r="BE1418" s="32" t="str">
        <f>IF(E1418=1,IF(Orders!L1415&lt;=1.5,"Up to 1.5 km",IF(Orders!L1415&lt;=3,"1.5–3 km","Over 3 km")),"")</f>
        <v>Up to 1.5 km</v>
      </c>
      <c r="BF1418" s="33">
        <f>IF(E1418=1,IF(ABS((Orders!G1415-Orders!F1415)*1440-Orders!R1415)&lt;0.06,1,0),"")</f>
        <v>1</v>
      </c>
      <c r="BG1418" s="33">
        <f>IF(ABS((Orders!F1415-Orders!E1415)*1440-Orders!P1415)&lt;0.06,1,0)</f>
        <v>1</v>
      </c>
      <c r="BH1418" s="33">
        <f>IF(E1418=1,IF(IF(Orders!S1415,1,0)=1-G1418,1,0),"")</f>
        <v>1</v>
      </c>
      <c r="BI1418" s="32" t="str">
        <f>INDEX(Stores!$B$2:$B$21,MATCH(B1418,Stores!$A$2:$A$21,0))</f>
        <v>Pune</v>
      </c>
    </row>
    <row r="1419">
      <c r="A1419" s="32" t="str">
        <f>Orders!A1416</f>
        <v>O01415</v>
      </c>
      <c r="B1419" s="32" t="str">
        <f>Orders!C1416</f>
        <v>S017</v>
      </c>
      <c r="C1419" s="32" t="str">
        <f>Orders!B1416</f>
        <v>C0017</v>
      </c>
      <c r="D1419" s="32" t="str">
        <f>Orders!H1416</f>
        <v>Delivered</v>
      </c>
      <c r="E1419" s="33">
        <f>IF(Orders!H1416="Delivered",1,0)</f>
        <v>1</v>
      </c>
      <c r="F1419" s="34">
        <f>IF(E1419=1,Orders!R1416,"")</f>
        <v>-0.6</v>
      </c>
      <c r="G1419" s="33">
        <f>IF(E1419=1,IF(Orders!R1416&gt;0,1,0),"")</f>
        <v>0</v>
      </c>
      <c r="H1419" s="33">
        <f>IF(E1419=1,IF(Orders!R1416&gt;5,1,0),"")</f>
        <v>0</v>
      </c>
      <c r="I1419" s="32" t="str">
        <f>IF(E1419=1,"",IF(OR(Orders!T1416="Rider unavailable",Orders!T1416="Item unavailable"),"Company-caused","Unresolved"))</f>
        <v/>
      </c>
      <c r="J1419" s="33">
        <f>IF(OR(E1419=1,I1419="Company-caused"),1,0)</f>
        <v>1</v>
      </c>
      <c r="K1419" s="32" t="str">
        <f>IF(E1419=0,IF(I1419="Company-caused",IF(Orders!T1416="Rider unavailable","C1 Rider unavailable","C2 Item unavailable"),"Outside root: unresolved"),IF(G1419=0,"A On time",IF(H1419=1,IF(L1419=1,"B2a Severe, peak","B2b Severe, off-peak"),IF(L1419=1,"B1a Slight, peak","B1b Slight, off-peak"))))</f>
        <v>A On time</v>
      </c>
      <c r="L1419" s="33">
        <f>IF(AND(Orders!U1416&gt;=19,Orders!U1416&lt;22),1,0)</f>
        <v>0</v>
      </c>
      <c r="M1419" s="33">
        <f>IF(L1419=IF(Orders!V1416,1,0),1,0)</f>
        <v>1</v>
      </c>
      <c r="N1419" s="32" t="str">
        <f>IF(Orders!W1416="","None",Orders!W1416)</f>
        <v>None</v>
      </c>
      <c r="O1419" s="35">
        <f>INT(Orders!E1416)</f>
        <v>46267.0</v>
      </c>
      <c r="P1419" s="33">
        <f>Orders!U1416</f>
        <v>13</v>
      </c>
      <c r="Q1419" s="33">
        <f>COUNTIFS(Demand!$A$2:$A$4481,B1419,Demand!$B$2:$B$4481,O1419,Demand!$C$2:$C$4481,P1419)</f>
        <v>1</v>
      </c>
      <c r="R1419" s="33">
        <f>IF(Q1419=1,SUMIFS(Demand!$E$2:$E$4481,Demand!$A$2:$A$4481,B1419,Demand!$B$2:$B$4481,O1419,Demand!$C$2:$C$4481,P1419),"")</f>
        <v>37</v>
      </c>
      <c r="S1419" s="33">
        <f>INDEX(Stores!$G$2:$G$21,MATCH(B1419,Stores!$A$2:$A$21,0))</f>
        <v>36</v>
      </c>
      <c r="T1419" s="34">
        <f>IF(R1419="","",R1419/S1419)</f>
        <v>1.02777777777778</v>
      </c>
      <c r="U1419" s="34">
        <f>IF(E1419=1,T1419,"")</f>
        <v>1.02777777777778</v>
      </c>
      <c r="V1419" s="34">
        <f>IF(AND(E1419=1,L1419=0),T1419,"")</f>
        <v>1.02777777777778</v>
      </c>
      <c r="W1419" s="33">
        <f>IF(U1419="","",IF(U1419&lt;=Breakdowns!$C$5,1,IF(U1419&lt;=Breakdowns!$C$6,2,IF(U1419&lt;=Breakdowns!$C$7,3,4))))</f>
        <v>3</v>
      </c>
      <c r="X1419" s="33">
        <f>IF(V1419="","",IF(V1419&lt;=Breakdowns!$D$5,1,IF(V1419&lt;=Breakdowns!$D$6,2,IF(V1419&lt;=Breakdowns!$D$7,3,4))))</f>
        <v>3</v>
      </c>
      <c r="Y1419" s="34">
        <f>INDEX(Stores!$F$2:$F$21,MATCH(B1419,Stores!$A$2:$A$21,0))</f>
        <v>2.16</v>
      </c>
      <c r="Z1419" s="33">
        <f>IF(Y1419&gt;Store_Summary!$M$2,1,0)</f>
        <v>0</v>
      </c>
      <c r="AA1419" s="33">
        <f>INDEX(Stores!$C$2:$C$21,MATCH(B1419,Stores!$A$2:$A$21,0))</f>
        <v>47</v>
      </c>
      <c r="AB1419" s="33">
        <f>IF(AA1419&lt;180,1,0)</f>
        <v>1</v>
      </c>
      <c r="AC1419" s="32" t="str">
        <f>IF(Orders!D1416="","",INDEX(Riders!$C$2:$C$81,MATCH(Orders!D1416,Riders!$A$2:$A$81,0)))</f>
        <v>Petrol scooter</v>
      </c>
      <c r="AD1419" s="33">
        <f>IF(Orders!D1416="","",INDEX(Riders!$D$2:$D$81,MATCH(Orders!D1416,Riders!$A$2:$A$81,0)))</f>
        <v>10</v>
      </c>
      <c r="AE1419" s="33">
        <f>IF(Orders!D1416="","",IF(INDEX(Riders!$B$2:$B$81,MATCH(Orders!D1416,Riders!$A$2:$A$81,0))=B1419,1,0))</f>
        <v>0</v>
      </c>
      <c r="AF1419" s="34">
        <f>IF(E1419=1,Orders!L1416,"")</f>
        <v>2.35</v>
      </c>
      <c r="AG1419" s="34">
        <f>IF(E1419=1,Orders!P1416,"")</f>
        <v>11.2</v>
      </c>
      <c r="AH1419" s="34">
        <f>IF(E1419=1,Orders!Q1416,"")</f>
        <v>10.6</v>
      </c>
      <c r="AI1419" s="34">
        <f>IF(E1419=1,Orders!M1416,"")</f>
        <v>2.3</v>
      </c>
      <c r="AJ1419" s="34">
        <f>IF(E1419=1,Orders!N1416,"")</f>
        <v>3.3</v>
      </c>
      <c r="AK1419" s="34">
        <f>IF(E1419=1,Orders!O1416,"")</f>
        <v>5</v>
      </c>
      <c r="AL1419" s="33">
        <f>IF(E1419=1,IF(ROUND(ABS(AI1419+AJ1419+AK1419-AH1419),6)&lt;=0.1,1,0),"")</f>
        <v>1</v>
      </c>
      <c r="AM1419" s="36">
        <f>IF(E1419=1,AI1419/AH1419,"")</f>
        <v>0.216981132075472</v>
      </c>
      <c r="AN1419" s="36">
        <f>IF(E1419=1,AJ1419/AH1419,"")</f>
        <v>0.311320754716981</v>
      </c>
      <c r="AO1419" s="36">
        <f>IF(E1419=1,AK1419/AH1419,"")</f>
        <v>0.471698113207547</v>
      </c>
      <c r="AP1419" s="34">
        <f>IF(E1419=1,Orders!Y1416,"")</f>
        <v>0.37</v>
      </c>
      <c r="AQ1419" s="33">
        <f>IF(Orders!X1416,1,0)</f>
        <v>1</v>
      </c>
      <c r="AR1419" s="34" t="str">
        <f>IF(AND(E1419=1,L1419=1),AJ1419,"")</f>
        <v/>
      </c>
      <c r="AS1419" s="34">
        <f>IF(AND(E1419=1,L1419=0),AJ1419,"")</f>
        <v>3.3</v>
      </c>
      <c r="AT1419" s="34" t="str">
        <f>IF(AND(E1419=1,L1419=1),AI1419,"")</f>
        <v/>
      </c>
      <c r="AU1419" s="34">
        <f>IF(AND(E1419=1,L1419=0),AI1419,"")</f>
        <v>2.3</v>
      </c>
      <c r="AV1419" s="34" t="str">
        <f>IF(AND(E1419=1,L1419=1),AG1419,"")</f>
        <v/>
      </c>
      <c r="AW1419" s="34">
        <f>IF(AND(E1419=1,L1419=0),AG1419,"")</f>
        <v>11.2</v>
      </c>
      <c r="AX1419" s="34" t="str">
        <f>IF(AND(E1419=1,L1419=1),AH1419,"")</f>
        <v/>
      </c>
      <c r="AY1419" s="34">
        <f>IF(AND(E1419=1,L1419=0),AH1419,"")</f>
        <v>10.6</v>
      </c>
      <c r="AZ1419" s="34" t="str">
        <f>IF(G1419=1,F1419,"")</f>
        <v/>
      </c>
      <c r="BA1419" s="34" t="str">
        <f>IF(AND(G1419=1,L1419=1),F1419,"")</f>
        <v/>
      </c>
      <c r="BB1419" s="34" t="str">
        <f>IF(AND(G1419=1,L1419=0),F1419,"")</f>
        <v/>
      </c>
      <c r="BC1419" s="33">
        <f>IF(E1419=1,IF(Orders!R1416&gt;3,1,0),"")</f>
        <v>0</v>
      </c>
      <c r="BD1419" s="33">
        <f>IF(E1419=1,IF(Orders!R1416&gt;7,1,0),"")</f>
        <v>0</v>
      </c>
      <c r="BE1419" s="32" t="str">
        <f>IF(E1419=1,IF(Orders!L1416&lt;=1.5,"Up to 1.5 km",IF(Orders!L1416&lt;=3,"1.5–3 km","Over 3 km")),"")</f>
        <v>1.5–3 km</v>
      </c>
      <c r="BF1419" s="33">
        <f>IF(E1419=1,IF(ABS((Orders!G1416-Orders!F1416)*1440-Orders!R1416)&lt;0.06,1,0),"")</f>
        <v>1</v>
      </c>
      <c r="BG1419" s="33">
        <f>IF(ABS((Orders!F1416-Orders!E1416)*1440-Orders!P1416)&lt;0.06,1,0)</f>
        <v>1</v>
      </c>
      <c r="BH1419" s="33">
        <f>IF(E1419=1,IF(IF(Orders!S1416,1,0)=1-G1419,1,0),"")</f>
        <v>1</v>
      </c>
      <c r="BI1419" s="32" t="str">
        <f>INDEX(Stores!$B$2:$B$21,MATCH(B1419,Stores!$A$2:$A$21,0))</f>
        <v>Hyderabad</v>
      </c>
    </row>
    <row r="1420">
      <c r="A1420" s="32" t="str">
        <f>Orders!A1417</f>
        <v>O01416</v>
      </c>
      <c r="B1420" s="32" t="str">
        <f>Orders!C1417</f>
        <v>S017</v>
      </c>
      <c r="C1420" s="32" t="str">
        <f>Orders!B1417</f>
        <v>C0177</v>
      </c>
      <c r="D1420" s="32" t="str">
        <f>Orders!H1417</f>
        <v>Delivered</v>
      </c>
      <c r="E1420" s="33">
        <f>IF(Orders!H1417="Delivered",1,0)</f>
        <v>1</v>
      </c>
      <c r="F1420" s="34">
        <f>IF(E1420=1,Orders!R1417,"")</f>
        <v>-0.6</v>
      </c>
      <c r="G1420" s="33">
        <f>IF(E1420=1,IF(Orders!R1417&gt;0,1,0),"")</f>
        <v>0</v>
      </c>
      <c r="H1420" s="33">
        <f>IF(E1420=1,IF(Orders!R1417&gt;5,1,0),"")</f>
        <v>0</v>
      </c>
      <c r="I1420" s="32" t="str">
        <f>IF(E1420=1,"",IF(OR(Orders!T1417="Rider unavailable",Orders!T1417="Item unavailable"),"Company-caused","Unresolved"))</f>
        <v/>
      </c>
      <c r="J1420" s="33">
        <f>IF(OR(E1420=1,I1420="Company-caused"),1,0)</f>
        <v>1</v>
      </c>
      <c r="K1420" s="32" t="str">
        <f>IF(E1420=0,IF(I1420="Company-caused",IF(Orders!T1417="Rider unavailable","C1 Rider unavailable","C2 Item unavailable"),"Outside root: unresolved"),IF(G1420=0,"A On time",IF(H1420=1,IF(L1420=1,"B2a Severe, peak","B2b Severe, off-peak"),IF(L1420=1,"B1a Slight, peak","B1b Slight, off-peak"))))</f>
        <v>A On time</v>
      </c>
      <c r="L1420" s="33">
        <f>IF(AND(Orders!U1417&gt;=19,Orders!U1417&lt;22),1,0)</f>
        <v>0</v>
      </c>
      <c r="M1420" s="33">
        <f>IF(L1420=IF(Orders!V1417,1,0),1,0)</f>
        <v>1</v>
      </c>
      <c r="N1420" s="32" t="str">
        <f>IF(Orders!W1417="","None",Orders!W1417)</f>
        <v>None</v>
      </c>
      <c r="O1420" s="35">
        <f>INT(Orders!E1417)</f>
        <v>46272.0</v>
      </c>
      <c r="P1420" s="33">
        <f>Orders!U1417</f>
        <v>14</v>
      </c>
      <c r="Q1420" s="33">
        <f>COUNTIFS(Demand!$A$2:$A$4481,B1420,Demand!$B$2:$B$4481,O1420,Demand!$C$2:$C$4481,P1420)</f>
        <v>1</v>
      </c>
      <c r="R1420" s="33">
        <f>IF(Q1420=1,SUMIFS(Demand!$E$2:$E$4481,Demand!$A$2:$A$4481,B1420,Demand!$B$2:$B$4481,O1420,Demand!$C$2:$C$4481,P1420),"")</f>
        <v>31</v>
      </c>
      <c r="S1420" s="33">
        <f>INDEX(Stores!$G$2:$G$21,MATCH(B1420,Stores!$A$2:$A$21,0))</f>
        <v>36</v>
      </c>
      <c r="T1420" s="34">
        <f>IF(R1420="","",R1420/S1420)</f>
        <v>0.861111111111111</v>
      </c>
      <c r="U1420" s="34">
        <f>IF(E1420=1,T1420,"")</f>
        <v>0.861111111111111</v>
      </c>
      <c r="V1420" s="34">
        <f>IF(AND(E1420=1,L1420=0),T1420,"")</f>
        <v>0.861111111111111</v>
      </c>
      <c r="W1420" s="33">
        <f>IF(U1420="","",IF(U1420&lt;=Breakdowns!$C$5,1,IF(U1420&lt;=Breakdowns!$C$6,2,IF(U1420&lt;=Breakdowns!$C$7,3,4))))</f>
        <v>2</v>
      </c>
      <c r="X1420" s="33">
        <f>IF(V1420="","",IF(V1420&lt;=Breakdowns!$D$5,1,IF(V1420&lt;=Breakdowns!$D$6,2,IF(V1420&lt;=Breakdowns!$D$7,3,4))))</f>
        <v>2</v>
      </c>
      <c r="Y1420" s="34">
        <f>INDEX(Stores!$F$2:$F$21,MATCH(B1420,Stores!$A$2:$A$21,0))</f>
        <v>2.16</v>
      </c>
      <c r="Z1420" s="33">
        <f>IF(Y1420&gt;Store_Summary!$M$2,1,0)</f>
        <v>0</v>
      </c>
      <c r="AA1420" s="33">
        <f>INDEX(Stores!$C$2:$C$21,MATCH(B1420,Stores!$A$2:$A$21,0))</f>
        <v>47</v>
      </c>
      <c r="AB1420" s="33">
        <f>IF(AA1420&lt;180,1,0)</f>
        <v>1</v>
      </c>
      <c r="AC1420" s="32" t="str">
        <f>IF(Orders!D1417="","",INDEX(Riders!$C$2:$C$81,MATCH(Orders!D1417,Riders!$A$2:$A$81,0)))</f>
        <v>Petrol scooter</v>
      </c>
      <c r="AD1420" s="33">
        <f>IF(Orders!D1417="","",INDEX(Riders!$D$2:$D$81,MATCH(Orders!D1417,Riders!$A$2:$A$81,0)))</f>
        <v>35</v>
      </c>
      <c r="AE1420" s="33">
        <f>IF(Orders!D1417="","",IF(INDEX(Riders!$B$2:$B$81,MATCH(Orders!D1417,Riders!$A$2:$A$81,0))=B1420,1,0))</f>
        <v>0</v>
      </c>
      <c r="AF1420" s="34">
        <f>IF(E1420=1,Orders!L1417,"")</f>
        <v>2.32</v>
      </c>
      <c r="AG1420" s="34">
        <f>IF(E1420=1,Orders!P1417,"")</f>
        <v>8.8</v>
      </c>
      <c r="AH1420" s="34">
        <f>IF(E1420=1,Orders!Q1417,"")</f>
        <v>8.2</v>
      </c>
      <c r="AI1420" s="34">
        <f>IF(E1420=1,Orders!M1417,"")</f>
        <v>1.9</v>
      </c>
      <c r="AJ1420" s="34">
        <f>IF(E1420=1,Orders!N1417,"")</f>
        <v>3</v>
      </c>
      <c r="AK1420" s="34">
        <f>IF(E1420=1,Orders!O1417,"")</f>
        <v>3.3</v>
      </c>
      <c r="AL1420" s="33">
        <f>IF(E1420=1,IF(ROUND(ABS(AI1420+AJ1420+AK1420-AH1420),6)&lt;=0.1,1,0),"")</f>
        <v>1</v>
      </c>
      <c r="AM1420" s="36">
        <f>IF(E1420=1,AI1420/AH1420,"")</f>
        <v>0.231707317073171</v>
      </c>
      <c r="AN1420" s="36">
        <f>IF(E1420=1,AJ1420/AH1420,"")</f>
        <v>0.365853658536585</v>
      </c>
      <c r="AO1420" s="36">
        <f>IF(E1420=1,AK1420/AH1420,"")</f>
        <v>0.402439024390244</v>
      </c>
      <c r="AP1420" s="34">
        <f>IF(E1420=1,Orders!Y1417,"")</f>
        <v>0.4</v>
      </c>
      <c r="AQ1420" s="33">
        <f>IF(Orders!X1417,1,0)</f>
        <v>0</v>
      </c>
      <c r="AR1420" s="34" t="str">
        <f>IF(AND(E1420=1,L1420=1),AJ1420,"")</f>
        <v/>
      </c>
      <c r="AS1420" s="34">
        <f>IF(AND(E1420=1,L1420=0),AJ1420,"")</f>
        <v>3</v>
      </c>
      <c r="AT1420" s="34" t="str">
        <f>IF(AND(E1420=1,L1420=1),AI1420,"")</f>
        <v/>
      </c>
      <c r="AU1420" s="34">
        <f>IF(AND(E1420=1,L1420=0),AI1420,"")</f>
        <v>1.9</v>
      </c>
      <c r="AV1420" s="34" t="str">
        <f>IF(AND(E1420=1,L1420=1),AG1420,"")</f>
        <v/>
      </c>
      <c r="AW1420" s="34">
        <f>IF(AND(E1420=1,L1420=0),AG1420,"")</f>
        <v>8.8</v>
      </c>
      <c r="AX1420" s="34" t="str">
        <f>IF(AND(E1420=1,L1420=1),AH1420,"")</f>
        <v/>
      </c>
      <c r="AY1420" s="34">
        <f>IF(AND(E1420=1,L1420=0),AH1420,"")</f>
        <v>8.2</v>
      </c>
      <c r="AZ1420" s="34" t="str">
        <f>IF(G1420=1,F1420,"")</f>
        <v/>
      </c>
      <c r="BA1420" s="34" t="str">
        <f>IF(AND(G1420=1,L1420=1),F1420,"")</f>
        <v/>
      </c>
      <c r="BB1420" s="34" t="str">
        <f>IF(AND(G1420=1,L1420=0),F1420,"")</f>
        <v/>
      </c>
      <c r="BC1420" s="33">
        <f>IF(E1420=1,IF(Orders!R1417&gt;3,1,0),"")</f>
        <v>0</v>
      </c>
      <c r="BD1420" s="33">
        <f>IF(E1420=1,IF(Orders!R1417&gt;7,1,0),"")</f>
        <v>0</v>
      </c>
      <c r="BE1420" s="32" t="str">
        <f>IF(E1420=1,IF(Orders!L1417&lt;=1.5,"Up to 1.5 km",IF(Orders!L1417&lt;=3,"1.5–3 km","Over 3 km")),"")</f>
        <v>1.5–3 km</v>
      </c>
      <c r="BF1420" s="33">
        <f>IF(E1420=1,IF(ABS((Orders!G1417-Orders!F1417)*1440-Orders!R1417)&lt;0.06,1,0),"")</f>
        <v>1</v>
      </c>
      <c r="BG1420" s="33">
        <f>IF(ABS((Orders!F1417-Orders!E1417)*1440-Orders!P1417)&lt;0.06,1,0)</f>
        <v>1</v>
      </c>
      <c r="BH1420" s="33">
        <f>IF(E1420=1,IF(IF(Orders!S1417,1,0)=1-G1420,1,0),"")</f>
        <v>1</v>
      </c>
      <c r="BI1420" s="32" t="str">
        <f>INDEX(Stores!$B$2:$B$21,MATCH(B1420,Stores!$A$2:$A$21,0))</f>
        <v>Hyderabad</v>
      </c>
    </row>
    <row r="1421">
      <c r="A1421" s="32" t="str">
        <f>Orders!A1418</f>
        <v>O01417</v>
      </c>
      <c r="B1421" s="32" t="str">
        <f>Orders!C1418</f>
        <v>S014</v>
      </c>
      <c r="C1421" s="32" t="str">
        <f>Orders!B1418</f>
        <v>C0116</v>
      </c>
      <c r="D1421" s="32" t="str">
        <f>Orders!H1418</f>
        <v>Delivered</v>
      </c>
      <c r="E1421" s="33">
        <f>IF(Orders!H1418="Delivered",1,0)</f>
        <v>1</v>
      </c>
      <c r="F1421" s="34">
        <f>IF(E1421=1,Orders!R1418,"")</f>
        <v>-1.1</v>
      </c>
      <c r="G1421" s="33">
        <f>IF(E1421=1,IF(Orders!R1418&gt;0,1,0),"")</f>
        <v>0</v>
      </c>
      <c r="H1421" s="33">
        <f>IF(E1421=1,IF(Orders!R1418&gt;5,1,0),"")</f>
        <v>0</v>
      </c>
      <c r="I1421" s="32" t="str">
        <f>IF(E1421=1,"",IF(OR(Orders!T1418="Rider unavailable",Orders!T1418="Item unavailable"),"Company-caused","Unresolved"))</f>
        <v/>
      </c>
      <c r="J1421" s="33">
        <f>IF(OR(E1421=1,I1421="Company-caused"),1,0)</f>
        <v>1</v>
      </c>
      <c r="K1421" s="32" t="str">
        <f>IF(E1421=0,IF(I1421="Company-caused",IF(Orders!T1418="Rider unavailable","C1 Rider unavailable","C2 Item unavailable"),"Outside root: unresolved"),IF(G1421=0,"A On time",IF(H1421=1,IF(L1421=1,"B2a Severe, peak","B2b Severe, off-peak"),IF(L1421=1,"B1a Slight, peak","B1b Slight, off-peak"))))</f>
        <v>A On time</v>
      </c>
      <c r="L1421" s="33">
        <f>IF(AND(Orders!U1418&gt;=19,Orders!U1418&lt;22),1,0)</f>
        <v>0</v>
      </c>
      <c r="M1421" s="33">
        <f>IF(L1421=IF(Orders!V1418,1,0),1,0)</f>
        <v>1</v>
      </c>
      <c r="N1421" s="32" t="str">
        <f>IF(Orders!W1418="","None",Orders!W1418)</f>
        <v>Heavy</v>
      </c>
      <c r="O1421" s="35">
        <f>INT(Orders!E1418)</f>
        <v>46268.0</v>
      </c>
      <c r="P1421" s="33">
        <f>Orders!U1418</f>
        <v>22</v>
      </c>
      <c r="Q1421" s="33">
        <f>COUNTIFS(Demand!$A$2:$A$4481,B1421,Demand!$B$2:$B$4481,O1421,Demand!$C$2:$C$4481,P1421)</f>
        <v>1</v>
      </c>
      <c r="R1421" s="33">
        <f>IF(Q1421=1,SUMIFS(Demand!$E$2:$E$4481,Demand!$A$2:$A$4481,B1421,Demand!$B$2:$B$4481,O1421,Demand!$C$2:$C$4481,P1421),"")</f>
        <v>42</v>
      </c>
      <c r="S1421" s="33">
        <f>INDEX(Stores!$G$2:$G$21,MATCH(B1421,Stores!$A$2:$A$21,0))</f>
        <v>37</v>
      </c>
      <c r="T1421" s="34">
        <f>IF(R1421="","",R1421/S1421)</f>
        <v>1.13513513513514</v>
      </c>
      <c r="U1421" s="34">
        <f>IF(E1421=1,T1421,"")</f>
        <v>1.13513513513514</v>
      </c>
      <c r="V1421" s="34">
        <f>IF(AND(E1421=1,L1421=0),T1421,"")</f>
        <v>1.13513513513514</v>
      </c>
      <c r="W1421" s="33">
        <f>IF(U1421="","",IF(U1421&lt;=Breakdowns!$C$5,1,IF(U1421&lt;=Breakdowns!$C$6,2,IF(U1421&lt;=Breakdowns!$C$7,3,4))))</f>
        <v>3</v>
      </c>
      <c r="X1421" s="33">
        <f>IF(V1421="","",IF(V1421&lt;=Breakdowns!$D$5,1,IF(V1421&lt;=Breakdowns!$D$6,2,IF(V1421&lt;=Breakdowns!$D$7,3,4))))</f>
        <v>4</v>
      </c>
      <c r="Y1421" s="34">
        <f>INDEX(Stores!$F$2:$F$21,MATCH(B1421,Stores!$A$2:$A$21,0))</f>
        <v>5.55</v>
      </c>
      <c r="Z1421" s="33">
        <f>IF(Y1421&gt;Store_Summary!$M$2,1,0)</f>
        <v>1</v>
      </c>
      <c r="AA1421" s="33">
        <f>INDEX(Stores!$C$2:$C$21,MATCH(B1421,Stores!$A$2:$A$21,0))</f>
        <v>241</v>
      </c>
      <c r="AB1421" s="33">
        <f>IF(AA1421&lt;180,1,0)</f>
        <v>0</v>
      </c>
      <c r="AC1421" s="32" t="str">
        <f>IF(Orders!D1418="","",INDEX(Riders!$C$2:$C$81,MATCH(Orders!D1418,Riders!$A$2:$A$81,0)))</f>
        <v>EV scooter</v>
      </c>
      <c r="AD1421" s="33">
        <f>IF(Orders!D1418="","",INDEX(Riders!$D$2:$D$81,MATCH(Orders!D1418,Riders!$A$2:$A$81,0)))</f>
        <v>39</v>
      </c>
      <c r="AE1421" s="33">
        <f>IF(Orders!D1418="","",IF(INDEX(Riders!$B$2:$B$81,MATCH(Orders!D1418,Riders!$A$2:$A$81,0))=B1421,1,0))</f>
        <v>0</v>
      </c>
      <c r="AF1421" s="34">
        <f>IF(E1421=1,Orders!L1418,"")</f>
        <v>2.22</v>
      </c>
      <c r="AG1421" s="34">
        <f>IF(E1421=1,Orders!P1418,"")</f>
        <v>9.9</v>
      </c>
      <c r="AH1421" s="34">
        <f>IF(E1421=1,Orders!Q1418,"")</f>
        <v>8.8</v>
      </c>
      <c r="AI1421" s="34">
        <f>IF(E1421=1,Orders!M1418,"")</f>
        <v>3.3</v>
      </c>
      <c r="AJ1421" s="34">
        <f>IF(E1421=1,Orders!N1418,"")</f>
        <v>2.5</v>
      </c>
      <c r="AK1421" s="34">
        <f>IF(E1421=1,Orders!O1418,"")</f>
        <v>3</v>
      </c>
      <c r="AL1421" s="33">
        <f>IF(E1421=1,IF(ROUND(ABS(AI1421+AJ1421+AK1421-AH1421),6)&lt;=0.1,1,0),"")</f>
        <v>1</v>
      </c>
      <c r="AM1421" s="36">
        <f>IF(E1421=1,AI1421/AH1421,"")</f>
        <v>0.375</v>
      </c>
      <c r="AN1421" s="36">
        <f>IF(E1421=1,AJ1421/AH1421,"")</f>
        <v>0.284090909090909</v>
      </c>
      <c r="AO1421" s="36">
        <f>IF(E1421=1,AK1421/AH1421,"")</f>
        <v>0.340909090909091</v>
      </c>
      <c r="AP1421" s="34">
        <f>IF(E1421=1,Orders!Y1418,"")</f>
        <v>0.28</v>
      </c>
      <c r="AQ1421" s="33">
        <f>IF(Orders!X1418,1,0)</f>
        <v>0</v>
      </c>
      <c r="AR1421" s="34" t="str">
        <f>IF(AND(E1421=1,L1421=1),AJ1421,"")</f>
        <v/>
      </c>
      <c r="AS1421" s="34">
        <f>IF(AND(E1421=1,L1421=0),AJ1421,"")</f>
        <v>2.5</v>
      </c>
      <c r="AT1421" s="34" t="str">
        <f>IF(AND(E1421=1,L1421=1),AI1421,"")</f>
        <v/>
      </c>
      <c r="AU1421" s="34">
        <f>IF(AND(E1421=1,L1421=0),AI1421,"")</f>
        <v>3.3</v>
      </c>
      <c r="AV1421" s="34" t="str">
        <f>IF(AND(E1421=1,L1421=1),AG1421,"")</f>
        <v/>
      </c>
      <c r="AW1421" s="34">
        <f>IF(AND(E1421=1,L1421=0),AG1421,"")</f>
        <v>9.9</v>
      </c>
      <c r="AX1421" s="34" t="str">
        <f>IF(AND(E1421=1,L1421=1),AH1421,"")</f>
        <v/>
      </c>
      <c r="AY1421" s="34">
        <f>IF(AND(E1421=1,L1421=0),AH1421,"")</f>
        <v>8.8</v>
      </c>
      <c r="AZ1421" s="34" t="str">
        <f>IF(G1421=1,F1421,"")</f>
        <v/>
      </c>
      <c r="BA1421" s="34" t="str">
        <f>IF(AND(G1421=1,L1421=1),F1421,"")</f>
        <v/>
      </c>
      <c r="BB1421" s="34" t="str">
        <f>IF(AND(G1421=1,L1421=0),F1421,"")</f>
        <v/>
      </c>
      <c r="BC1421" s="33">
        <f>IF(E1421=1,IF(Orders!R1418&gt;3,1,0),"")</f>
        <v>0</v>
      </c>
      <c r="BD1421" s="33">
        <f>IF(E1421=1,IF(Orders!R1418&gt;7,1,0),"")</f>
        <v>0</v>
      </c>
      <c r="BE1421" s="32" t="str">
        <f>IF(E1421=1,IF(Orders!L1418&lt;=1.5,"Up to 1.5 km",IF(Orders!L1418&lt;=3,"1.5–3 km","Over 3 km")),"")</f>
        <v>1.5–3 km</v>
      </c>
      <c r="BF1421" s="33">
        <f>IF(E1421=1,IF(ABS((Orders!G1418-Orders!F1418)*1440-Orders!R1418)&lt;0.06,1,0),"")</f>
        <v>1</v>
      </c>
      <c r="BG1421" s="33">
        <f>IF(ABS((Orders!F1418-Orders!E1418)*1440-Orders!P1418)&lt;0.06,1,0)</f>
        <v>1</v>
      </c>
      <c r="BH1421" s="33">
        <f>IF(E1421=1,IF(IF(Orders!S1418,1,0)=1-G1421,1,0),"")</f>
        <v>1</v>
      </c>
      <c r="BI1421" s="32" t="str">
        <f>INDEX(Stores!$B$2:$B$21,MATCH(B1421,Stores!$A$2:$A$21,0))</f>
        <v>Pune</v>
      </c>
    </row>
    <row r="1422">
      <c r="A1422" s="32" t="str">
        <f>Orders!A1419</f>
        <v>O01418</v>
      </c>
      <c r="B1422" s="32" t="str">
        <f>Orders!C1419</f>
        <v>S012</v>
      </c>
      <c r="C1422" s="32" t="str">
        <f>Orders!B1419</f>
        <v>C0095</v>
      </c>
      <c r="D1422" s="32" t="str">
        <f>Orders!H1419</f>
        <v>Delivered</v>
      </c>
      <c r="E1422" s="33">
        <f>IF(Orders!H1419="Delivered",1,0)</f>
        <v>1</v>
      </c>
      <c r="F1422" s="34">
        <f>IF(E1422=1,Orders!R1419,"")</f>
        <v>2.8</v>
      </c>
      <c r="G1422" s="33">
        <f>IF(E1422=1,IF(Orders!R1419&gt;0,1,0),"")</f>
        <v>1</v>
      </c>
      <c r="H1422" s="33">
        <f>IF(E1422=1,IF(Orders!R1419&gt;5,1,0),"")</f>
        <v>0</v>
      </c>
      <c r="I1422" s="32" t="str">
        <f>IF(E1422=1,"",IF(OR(Orders!T1419="Rider unavailable",Orders!T1419="Item unavailable"),"Company-caused","Unresolved"))</f>
        <v/>
      </c>
      <c r="J1422" s="33">
        <f>IF(OR(E1422=1,I1422="Company-caused"),1,0)</f>
        <v>1</v>
      </c>
      <c r="K1422" s="32" t="str">
        <f>IF(E1422=0,IF(I1422="Company-caused",IF(Orders!T1419="Rider unavailable","C1 Rider unavailable","C2 Item unavailable"),"Outside root: unresolved"),IF(G1422=0,"A On time",IF(H1422=1,IF(L1422=1,"B2a Severe, peak","B2b Severe, off-peak"),IF(L1422=1,"B1a Slight, peak","B1b Slight, off-peak"))))</f>
        <v>B1b Slight, off-peak</v>
      </c>
      <c r="L1422" s="33">
        <f>IF(AND(Orders!U1419&gt;=19,Orders!U1419&lt;22),1,0)</f>
        <v>0</v>
      </c>
      <c r="M1422" s="33">
        <f>IF(L1422=IF(Orders!V1419,1,0),1,0)</f>
        <v>1</v>
      </c>
      <c r="N1422" s="32" t="str">
        <f>IF(Orders!W1419="","None",Orders!W1419)</f>
        <v>None</v>
      </c>
      <c r="O1422" s="35">
        <f>INT(Orders!E1419)</f>
        <v>46275.0</v>
      </c>
      <c r="P1422" s="33">
        <f>Orders!U1419</f>
        <v>17</v>
      </c>
      <c r="Q1422" s="33">
        <f>COUNTIFS(Demand!$A$2:$A$4481,B1422,Demand!$B$2:$B$4481,O1422,Demand!$C$2:$C$4481,P1422)</f>
        <v>1</v>
      </c>
      <c r="R1422" s="33">
        <f>IF(Q1422=1,SUMIFS(Demand!$E$2:$E$4481,Demand!$A$2:$A$4481,B1422,Demand!$B$2:$B$4481,O1422,Demand!$C$2:$C$4481,P1422),"")</f>
        <v>15</v>
      </c>
      <c r="S1422" s="33">
        <f>INDEX(Stores!$G$2:$G$21,MATCH(B1422,Stores!$A$2:$A$21,0))</f>
        <v>15</v>
      </c>
      <c r="T1422" s="34">
        <f>IF(R1422="","",R1422/S1422)</f>
        <v>1</v>
      </c>
      <c r="U1422" s="34">
        <f>IF(E1422=1,T1422,"")</f>
        <v>1</v>
      </c>
      <c r="V1422" s="34">
        <f>IF(AND(E1422=1,L1422=0),T1422,"")</f>
        <v>1</v>
      </c>
      <c r="W1422" s="33">
        <f>IF(U1422="","",IF(U1422&lt;=Breakdowns!$C$5,1,IF(U1422&lt;=Breakdowns!$C$6,2,IF(U1422&lt;=Breakdowns!$C$7,3,4))))</f>
        <v>2</v>
      </c>
      <c r="X1422" s="33">
        <f>IF(V1422="","",IF(V1422&lt;=Breakdowns!$D$5,1,IF(V1422&lt;=Breakdowns!$D$6,2,IF(V1422&lt;=Breakdowns!$D$7,3,4))))</f>
        <v>3</v>
      </c>
      <c r="Y1422" s="34">
        <f>INDEX(Stores!$F$2:$F$21,MATCH(B1422,Stores!$A$2:$A$21,0))</f>
        <v>5.23</v>
      </c>
      <c r="Z1422" s="33">
        <f>IF(Y1422&gt;Store_Summary!$M$2,1,0)</f>
        <v>1</v>
      </c>
      <c r="AA1422" s="33">
        <f>INDEX(Stores!$C$2:$C$21,MATCH(B1422,Stores!$A$2:$A$21,0))</f>
        <v>300</v>
      </c>
      <c r="AB1422" s="33">
        <f>IF(AA1422&lt;180,1,0)</f>
        <v>0</v>
      </c>
      <c r="AC1422" s="32" t="str">
        <f>IF(Orders!D1419="","",INDEX(Riders!$C$2:$C$81,MATCH(Orders!D1419,Riders!$A$2:$A$81,0)))</f>
        <v>Petrol scooter</v>
      </c>
      <c r="AD1422" s="33">
        <f>IF(Orders!D1419="","",INDEX(Riders!$D$2:$D$81,MATCH(Orders!D1419,Riders!$A$2:$A$81,0)))</f>
        <v>40</v>
      </c>
      <c r="AE1422" s="33">
        <f>IF(Orders!D1419="","",IF(INDEX(Riders!$B$2:$B$81,MATCH(Orders!D1419,Riders!$A$2:$A$81,0))=B1422,1,0))</f>
        <v>0</v>
      </c>
      <c r="AF1422" s="34">
        <f>IF(E1422=1,Orders!L1419,"")</f>
        <v>0.59</v>
      </c>
      <c r="AG1422" s="34">
        <f>IF(E1422=1,Orders!P1419,"")</f>
        <v>9.8</v>
      </c>
      <c r="AH1422" s="34">
        <f>IF(E1422=1,Orders!Q1419,"")</f>
        <v>12.6</v>
      </c>
      <c r="AI1422" s="34">
        <f>IF(E1422=1,Orders!M1419,"")</f>
        <v>6.2</v>
      </c>
      <c r="AJ1422" s="34">
        <f>IF(E1422=1,Orders!N1419,"")</f>
        <v>4.3</v>
      </c>
      <c r="AK1422" s="34">
        <f>IF(E1422=1,Orders!O1419,"")</f>
        <v>2</v>
      </c>
      <c r="AL1422" s="33">
        <f>IF(E1422=1,IF(ROUND(ABS(AI1422+AJ1422+AK1422-AH1422),6)&lt;=0.1,1,0),"")</f>
        <v>1</v>
      </c>
      <c r="AM1422" s="36">
        <f>IF(E1422=1,AI1422/AH1422,"")</f>
        <v>0.492063492063492</v>
      </c>
      <c r="AN1422" s="36">
        <f>IF(E1422=1,AJ1422/AH1422,"")</f>
        <v>0.341269841269841</v>
      </c>
      <c r="AO1422" s="36">
        <f>IF(E1422=1,AK1422/AH1422,"")</f>
        <v>0.158730158730159</v>
      </c>
      <c r="AP1422" s="34">
        <f>IF(E1422=1,Orders!Y1419,"")</f>
        <v>0.29</v>
      </c>
      <c r="AQ1422" s="33">
        <f>IF(Orders!X1419,1,0)</f>
        <v>0</v>
      </c>
      <c r="AR1422" s="34" t="str">
        <f>IF(AND(E1422=1,L1422=1),AJ1422,"")</f>
        <v/>
      </c>
      <c r="AS1422" s="34">
        <f>IF(AND(E1422=1,L1422=0),AJ1422,"")</f>
        <v>4.3</v>
      </c>
      <c r="AT1422" s="34" t="str">
        <f>IF(AND(E1422=1,L1422=1),AI1422,"")</f>
        <v/>
      </c>
      <c r="AU1422" s="34">
        <f>IF(AND(E1422=1,L1422=0),AI1422,"")</f>
        <v>6.2</v>
      </c>
      <c r="AV1422" s="34" t="str">
        <f>IF(AND(E1422=1,L1422=1),AG1422,"")</f>
        <v/>
      </c>
      <c r="AW1422" s="34">
        <f>IF(AND(E1422=1,L1422=0),AG1422,"")</f>
        <v>9.8</v>
      </c>
      <c r="AX1422" s="34" t="str">
        <f>IF(AND(E1422=1,L1422=1),AH1422,"")</f>
        <v/>
      </c>
      <c r="AY1422" s="34">
        <f>IF(AND(E1422=1,L1422=0),AH1422,"")</f>
        <v>12.6</v>
      </c>
      <c r="AZ1422" s="34">
        <f>IF(G1422=1,F1422,"")</f>
        <v>2.8</v>
      </c>
      <c r="BA1422" s="34" t="str">
        <f>IF(AND(G1422=1,L1422=1),F1422,"")</f>
        <v/>
      </c>
      <c r="BB1422" s="34">
        <f>IF(AND(G1422=1,L1422=0),F1422,"")</f>
        <v>2.8</v>
      </c>
      <c r="BC1422" s="33">
        <f>IF(E1422=1,IF(Orders!R1419&gt;3,1,0),"")</f>
        <v>0</v>
      </c>
      <c r="BD1422" s="33">
        <f>IF(E1422=1,IF(Orders!R1419&gt;7,1,0),"")</f>
        <v>0</v>
      </c>
      <c r="BE1422" s="32" t="str">
        <f>IF(E1422=1,IF(Orders!L1419&lt;=1.5,"Up to 1.5 km",IF(Orders!L1419&lt;=3,"1.5–3 km","Over 3 km")),"")</f>
        <v>Up to 1.5 km</v>
      </c>
      <c r="BF1422" s="33">
        <f>IF(E1422=1,IF(ABS((Orders!G1419-Orders!F1419)*1440-Orders!R1419)&lt;0.06,1,0),"")</f>
        <v>1</v>
      </c>
      <c r="BG1422" s="33">
        <f>IF(ABS((Orders!F1419-Orders!E1419)*1440-Orders!P1419)&lt;0.06,1,0)</f>
        <v>1</v>
      </c>
      <c r="BH1422" s="33">
        <f>IF(E1422=1,IF(IF(Orders!S1419,1,0)=1-G1422,1,0),"")</f>
        <v>1</v>
      </c>
      <c r="BI1422" s="32" t="str">
        <f>INDEX(Stores!$B$2:$B$21,MATCH(B1422,Stores!$A$2:$A$21,0))</f>
        <v>Hyderabad</v>
      </c>
    </row>
    <row r="1423">
      <c r="A1423" s="32" t="str">
        <f>Orders!A1420</f>
        <v>O01419</v>
      </c>
      <c r="B1423" s="32" t="str">
        <f>Orders!C1420</f>
        <v>S003</v>
      </c>
      <c r="C1423" s="32" t="str">
        <f>Orders!B1420</f>
        <v>C0037</v>
      </c>
      <c r="D1423" s="32" t="str">
        <f>Orders!H1420</f>
        <v>Delivered</v>
      </c>
      <c r="E1423" s="33">
        <f>IF(Orders!H1420="Delivered",1,0)</f>
        <v>1</v>
      </c>
      <c r="F1423" s="34">
        <f>IF(E1423=1,Orders!R1420,"")</f>
        <v>-0.3</v>
      </c>
      <c r="G1423" s="33">
        <f>IF(E1423=1,IF(Orders!R1420&gt;0,1,0),"")</f>
        <v>0</v>
      </c>
      <c r="H1423" s="33">
        <f>IF(E1423=1,IF(Orders!R1420&gt;5,1,0),"")</f>
        <v>0</v>
      </c>
      <c r="I1423" s="32" t="str">
        <f>IF(E1423=1,"",IF(OR(Orders!T1420="Rider unavailable",Orders!T1420="Item unavailable"),"Company-caused","Unresolved"))</f>
        <v/>
      </c>
      <c r="J1423" s="33">
        <f>IF(OR(E1423=1,I1423="Company-caused"),1,0)</f>
        <v>1</v>
      </c>
      <c r="K1423" s="32" t="str">
        <f>IF(E1423=0,IF(I1423="Company-caused",IF(Orders!T1420="Rider unavailable","C1 Rider unavailable","C2 Item unavailable"),"Outside root: unresolved"),IF(G1423=0,"A On time",IF(H1423=1,IF(L1423=1,"B2a Severe, peak","B2b Severe, off-peak"),IF(L1423=1,"B1a Slight, peak","B1b Slight, off-peak"))))</f>
        <v>A On time</v>
      </c>
      <c r="L1423" s="33">
        <f>IF(AND(Orders!U1420&gt;=19,Orders!U1420&lt;22),1,0)</f>
        <v>0</v>
      </c>
      <c r="M1423" s="33">
        <f>IF(L1423=IF(Orders!V1420,1,0),1,0)</f>
        <v>1</v>
      </c>
      <c r="N1423" s="32" t="str">
        <f>IF(Orders!W1420="","None",Orders!W1420)</f>
        <v>Heavy</v>
      </c>
      <c r="O1423" s="35">
        <f>INT(Orders!E1420)</f>
        <v>46272.0</v>
      </c>
      <c r="P1423" s="33">
        <f>Orders!U1420</f>
        <v>15</v>
      </c>
      <c r="Q1423" s="33">
        <f>COUNTIFS(Demand!$A$2:$A$4481,B1423,Demand!$B$2:$B$4481,O1423,Demand!$C$2:$C$4481,P1423)</f>
        <v>1</v>
      </c>
      <c r="R1423" s="33">
        <f>IF(Q1423=1,SUMIFS(Demand!$E$2:$E$4481,Demand!$A$2:$A$4481,B1423,Demand!$B$2:$B$4481,O1423,Demand!$C$2:$C$4481,P1423),"")</f>
        <v>30</v>
      </c>
      <c r="S1423" s="33">
        <f>INDEX(Stores!$G$2:$G$21,MATCH(B1423,Stores!$A$2:$A$21,0))</f>
        <v>41</v>
      </c>
      <c r="T1423" s="34">
        <f>IF(R1423="","",R1423/S1423)</f>
        <v>0.731707317073171</v>
      </c>
      <c r="U1423" s="34">
        <f>IF(E1423=1,T1423,"")</f>
        <v>0.731707317073171</v>
      </c>
      <c r="V1423" s="34">
        <f>IF(AND(E1423=1,L1423=0),T1423,"")</f>
        <v>0.731707317073171</v>
      </c>
      <c r="W1423" s="33">
        <f>IF(U1423="","",IF(U1423&lt;=Breakdowns!$C$5,1,IF(U1423&lt;=Breakdowns!$C$6,2,IF(U1423&lt;=Breakdowns!$C$7,3,4))))</f>
        <v>1</v>
      </c>
      <c r="X1423" s="33">
        <f>IF(V1423="","",IF(V1423&lt;=Breakdowns!$D$5,1,IF(V1423&lt;=Breakdowns!$D$6,2,IF(V1423&lt;=Breakdowns!$D$7,3,4))))</f>
        <v>1</v>
      </c>
      <c r="Y1423" s="34">
        <f>INDEX(Stores!$F$2:$F$21,MATCH(B1423,Stores!$A$2:$A$21,0))</f>
        <v>3.84</v>
      </c>
      <c r="Z1423" s="33">
        <f>IF(Y1423&gt;Store_Summary!$M$2,1,0)</f>
        <v>0</v>
      </c>
      <c r="AA1423" s="33">
        <f>INDEX(Stores!$C$2:$C$21,MATCH(B1423,Stores!$A$2:$A$21,0))</f>
        <v>426</v>
      </c>
      <c r="AB1423" s="33">
        <f>IF(AA1423&lt;180,1,0)</f>
        <v>0</v>
      </c>
      <c r="AC1423" s="32" t="str">
        <f>IF(Orders!D1420="","",INDEX(Riders!$C$2:$C$81,MATCH(Orders!D1420,Riders!$A$2:$A$81,0)))</f>
        <v>Petrol scooter</v>
      </c>
      <c r="AD1423" s="33">
        <f>IF(Orders!D1420="","",INDEX(Riders!$D$2:$D$81,MATCH(Orders!D1420,Riders!$A$2:$A$81,0)))</f>
        <v>37</v>
      </c>
      <c r="AE1423" s="33">
        <f>IF(Orders!D1420="","",IF(INDEX(Riders!$B$2:$B$81,MATCH(Orders!D1420,Riders!$A$2:$A$81,0))=B1423,1,0))</f>
        <v>0</v>
      </c>
      <c r="AF1423" s="34">
        <f>IF(E1423=1,Orders!L1420,"")</f>
        <v>1.63</v>
      </c>
      <c r="AG1423" s="34">
        <f>IF(E1423=1,Orders!P1420,"")</f>
        <v>11.9</v>
      </c>
      <c r="AH1423" s="34">
        <f>IF(E1423=1,Orders!Q1420,"")</f>
        <v>11.6</v>
      </c>
      <c r="AI1423" s="34">
        <f>IF(E1423=1,Orders!M1420,"")</f>
        <v>2.4</v>
      </c>
      <c r="AJ1423" s="34">
        <f>IF(E1423=1,Orders!N1420,"")</f>
        <v>4.5</v>
      </c>
      <c r="AK1423" s="34">
        <f>IF(E1423=1,Orders!O1420,"")</f>
        <v>4.7</v>
      </c>
      <c r="AL1423" s="33">
        <f>IF(E1423=1,IF(ROUND(ABS(AI1423+AJ1423+AK1423-AH1423),6)&lt;=0.1,1,0),"")</f>
        <v>1</v>
      </c>
      <c r="AM1423" s="36">
        <f>IF(E1423=1,AI1423/AH1423,"")</f>
        <v>0.206896551724138</v>
      </c>
      <c r="AN1423" s="36">
        <f>IF(E1423=1,AJ1423/AH1423,"")</f>
        <v>0.387931034482759</v>
      </c>
      <c r="AO1423" s="36">
        <f>IF(E1423=1,AK1423/AH1423,"")</f>
        <v>0.405172413793104</v>
      </c>
      <c r="AP1423" s="34">
        <f>IF(E1423=1,Orders!Y1420,"")</f>
        <v>0.69</v>
      </c>
      <c r="AQ1423" s="33">
        <f>IF(Orders!X1420,1,0)</f>
        <v>0</v>
      </c>
      <c r="AR1423" s="34" t="str">
        <f>IF(AND(E1423=1,L1423=1),AJ1423,"")</f>
        <v/>
      </c>
      <c r="AS1423" s="34">
        <f>IF(AND(E1423=1,L1423=0),AJ1423,"")</f>
        <v>4.5</v>
      </c>
      <c r="AT1423" s="34" t="str">
        <f>IF(AND(E1423=1,L1423=1),AI1423,"")</f>
        <v/>
      </c>
      <c r="AU1423" s="34">
        <f>IF(AND(E1423=1,L1423=0),AI1423,"")</f>
        <v>2.4</v>
      </c>
      <c r="AV1423" s="34" t="str">
        <f>IF(AND(E1423=1,L1423=1),AG1423,"")</f>
        <v/>
      </c>
      <c r="AW1423" s="34">
        <f>IF(AND(E1423=1,L1423=0),AG1423,"")</f>
        <v>11.9</v>
      </c>
      <c r="AX1423" s="34" t="str">
        <f>IF(AND(E1423=1,L1423=1),AH1423,"")</f>
        <v/>
      </c>
      <c r="AY1423" s="34">
        <f>IF(AND(E1423=1,L1423=0),AH1423,"")</f>
        <v>11.6</v>
      </c>
      <c r="AZ1423" s="34" t="str">
        <f>IF(G1423=1,F1423,"")</f>
        <v/>
      </c>
      <c r="BA1423" s="34" t="str">
        <f>IF(AND(G1423=1,L1423=1),F1423,"")</f>
        <v/>
      </c>
      <c r="BB1423" s="34" t="str">
        <f>IF(AND(G1423=1,L1423=0),F1423,"")</f>
        <v/>
      </c>
      <c r="BC1423" s="33">
        <f>IF(E1423=1,IF(Orders!R1420&gt;3,1,0),"")</f>
        <v>0</v>
      </c>
      <c r="BD1423" s="33">
        <f>IF(E1423=1,IF(Orders!R1420&gt;7,1,0),"")</f>
        <v>0</v>
      </c>
      <c r="BE1423" s="32" t="str">
        <f>IF(E1423=1,IF(Orders!L1420&lt;=1.5,"Up to 1.5 km",IF(Orders!L1420&lt;=3,"1.5–3 km","Over 3 km")),"")</f>
        <v>1.5–3 km</v>
      </c>
      <c r="BF1423" s="33">
        <f>IF(E1423=1,IF(ABS((Orders!G1420-Orders!F1420)*1440-Orders!R1420)&lt;0.06,1,0),"")</f>
        <v>1</v>
      </c>
      <c r="BG1423" s="33">
        <f>IF(ABS((Orders!F1420-Orders!E1420)*1440-Orders!P1420)&lt;0.06,1,0)</f>
        <v>1</v>
      </c>
      <c r="BH1423" s="33">
        <f>IF(E1423=1,IF(IF(Orders!S1420,1,0)=1-G1423,1,0),"")</f>
        <v>1</v>
      </c>
      <c r="BI1423" s="32" t="str">
        <f>INDEX(Stores!$B$2:$B$21,MATCH(B1423,Stores!$A$2:$A$21,0))</f>
        <v>Mumbai</v>
      </c>
    </row>
    <row r="1424">
      <c r="A1424" s="32" t="str">
        <f>Orders!A1421</f>
        <v>O01420</v>
      </c>
      <c r="B1424" s="32" t="str">
        <f>Orders!C1421</f>
        <v>S008</v>
      </c>
      <c r="C1424" s="32" t="str">
        <f>Orders!B1421</f>
        <v>C0228</v>
      </c>
      <c r="D1424" s="32" t="str">
        <f>Orders!H1421</f>
        <v>Delivered</v>
      </c>
      <c r="E1424" s="33">
        <f>IF(Orders!H1421="Delivered",1,0)</f>
        <v>1</v>
      </c>
      <c r="F1424" s="34">
        <f>IF(E1424=1,Orders!R1421,"")</f>
        <v>-1</v>
      </c>
      <c r="G1424" s="33">
        <f>IF(E1424=1,IF(Orders!R1421&gt;0,1,0),"")</f>
        <v>0</v>
      </c>
      <c r="H1424" s="33">
        <f>IF(E1424=1,IF(Orders!R1421&gt;5,1,0),"")</f>
        <v>0</v>
      </c>
      <c r="I1424" s="32" t="str">
        <f>IF(E1424=1,"",IF(OR(Orders!T1421="Rider unavailable",Orders!T1421="Item unavailable"),"Company-caused","Unresolved"))</f>
        <v/>
      </c>
      <c r="J1424" s="33">
        <f>IF(OR(E1424=1,I1424="Company-caused"),1,0)</f>
        <v>1</v>
      </c>
      <c r="K1424" s="32" t="str">
        <f>IF(E1424=0,IF(I1424="Company-caused",IF(Orders!T1421="Rider unavailable","C1 Rider unavailable","C2 Item unavailable"),"Outside root: unresolved"),IF(G1424=0,"A On time",IF(H1424=1,IF(L1424=1,"B2a Severe, peak","B2b Severe, off-peak"),IF(L1424=1,"B1a Slight, peak","B1b Slight, off-peak"))))</f>
        <v>A On time</v>
      </c>
      <c r="L1424" s="33">
        <f>IF(AND(Orders!U1421&gt;=19,Orders!U1421&lt;22),1,0)</f>
        <v>0</v>
      </c>
      <c r="M1424" s="33">
        <f>IF(L1424=IF(Orders!V1421,1,0),1,0)</f>
        <v>1</v>
      </c>
      <c r="N1424" s="32" t="str">
        <f>IF(Orders!W1421="","None",Orders!W1421)</f>
        <v>None</v>
      </c>
      <c r="O1424" s="35">
        <f>INT(Orders!E1421)</f>
        <v>46275.0</v>
      </c>
      <c r="P1424" s="33">
        <f>Orders!U1421</f>
        <v>11</v>
      </c>
      <c r="Q1424" s="33">
        <f>COUNTIFS(Demand!$A$2:$A$4481,B1424,Demand!$B$2:$B$4481,O1424,Demand!$C$2:$C$4481,P1424)</f>
        <v>1</v>
      </c>
      <c r="R1424" s="33">
        <f>IF(Q1424=1,SUMIFS(Demand!$E$2:$E$4481,Demand!$A$2:$A$4481,B1424,Demand!$B$2:$B$4481,O1424,Demand!$C$2:$C$4481,P1424),"")</f>
        <v>23</v>
      </c>
      <c r="S1424" s="33">
        <f>INDEX(Stores!$G$2:$G$21,MATCH(B1424,Stores!$A$2:$A$21,0))</f>
        <v>23</v>
      </c>
      <c r="T1424" s="34">
        <f>IF(R1424="","",R1424/S1424)</f>
        <v>1</v>
      </c>
      <c r="U1424" s="34">
        <f>IF(E1424=1,T1424,"")</f>
        <v>1</v>
      </c>
      <c r="V1424" s="34">
        <f>IF(AND(E1424=1,L1424=0),T1424,"")</f>
        <v>1</v>
      </c>
      <c r="W1424" s="33">
        <f>IF(U1424="","",IF(U1424&lt;=Breakdowns!$C$5,1,IF(U1424&lt;=Breakdowns!$C$6,2,IF(U1424&lt;=Breakdowns!$C$7,3,4))))</f>
        <v>2</v>
      </c>
      <c r="X1424" s="33">
        <f>IF(V1424="","",IF(V1424&lt;=Breakdowns!$D$5,1,IF(V1424&lt;=Breakdowns!$D$6,2,IF(V1424&lt;=Breakdowns!$D$7,3,4))))</f>
        <v>3</v>
      </c>
      <c r="Y1424" s="34">
        <f>INDEX(Stores!$F$2:$F$21,MATCH(B1424,Stores!$A$2:$A$21,0))</f>
        <v>3.46</v>
      </c>
      <c r="Z1424" s="33">
        <f>IF(Y1424&gt;Store_Summary!$M$2,1,0)</f>
        <v>0</v>
      </c>
      <c r="AA1424" s="33">
        <f>INDEX(Stores!$C$2:$C$21,MATCH(B1424,Stores!$A$2:$A$21,0))</f>
        <v>825</v>
      </c>
      <c r="AB1424" s="33">
        <f>IF(AA1424&lt;180,1,0)</f>
        <v>0</v>
      </c>
      <c r="AC1424" s="32" t="str">
        <f>IF(Orders!D1421="","",INDEX(Riders!$C$2:$C$81,MATCH(Orders!D1421,Riders!$A$2:$A$81,0)))</f>
        <v>Petrol scooter</v>
      </c>
      <c r="AD1424" s="33">
        <f>IF(Orders!D1421="","",INDEX(Riders!$D$2:$D$81,MATCH(Orders!D1421,Riders!$A$2:$A$81,0)))</f>
        <v>1</v>
      </c>
      <c r="AE1424" s="33">
        <f>IF(Orders!D1421="","",IF(INDEX(Riders!$B$2:$B$81,MATCH(Orders!D1421,Riders!$A$2:$A$81,0))=B1424,1,0))</f>
        <v>0</v>
      </c>
      <c r="AF1424" s="34">
        <f>IF(E1424=1,Orders!L1421,"")</f>
        <v>4.5</v>
      </c>
      <c r="AG1424" s="34">
        <f>IF(E1424=1,Orders!P1421,"")</f>
        <v>9.7</v>
      </c>
      <c r="AH1424" s="34">
        <f>IF(E1424=1,Orders!Q1421,"")</f>
        <v>8.7</v>
      </c>
      <c r="AI1424" s="34">
        <f>IF(E1424=1,Orders!M1421,"")</f>
        <v>1.7</v>
      </c>
      <c r="AJ1424" s="34">
        <f>IF(E1424=1,Orders!N1421,"")</f>
        <v>1.2</v>
      </c>
      <c r="AK1424" s="34">
        <f>IF(E1424=1,Orders!O1421,"")</f>
        <v>5.8</v>
      </c>
      <c r="AL1424" s="33">
        <f>IF(E1424=1,IF(ROUND(ABS(AI1424+AJ1424+AK1424-AH1424),6)&lt;=0.1,1,0),"")</f>
        <v>1</v>
      </c>
      <c r="AM1424" s="36">
        <f>IF(E1424=1,AI1424/AH1424,"")</f>
        <v>0.195402298850575</v>
      </c>
      <c r="AN1424" s="36">
        <f>IF(E1424=1,AJ1424/AH1424,"")</f>
        <v>0.137931034482759</v>
      </c>
      <c r="AO1424" s="36">
        <f>IF(E1424=1,AK1424/AH1424,"")</f>
        <v>0.666666666666667</v>
      </c>
      <c r="AP1424" s="34">
        <f>IF(E1424=1,Orders!Y1421,"")</f>
        <v>0.67</v>
      </c>
      <c r="AQ1424" s="33">
        <f>IF(Orders!X1421,1,0)</f>
        <v>0</v>
      </c>
      <c r="AR1424" s="34" t="str">
        <f>IF(AND(E1424=1,L1424=1),AJ1424,"")</f>
        <v/>
      </c>
      <c r="AS1424" s="34">
        <f>IF(AND(E1424=1,L1424=0),AJ1424,"")</f>
        <v>1.2</v>
      </c>
      <c r="AT1424" s="34" t="str">
        <f>IF(AND(E1424=1,L1424=1),AI1424,"")</f>
        <v/>
      </c>
      <c r="AU1424" s="34">
        <f>IF(AND(E1424=1,L1424=0),AI1424,"")</f>
        <v>1.7</v>
      </c>
      <c r="AV1424" s="34" t="str">
        <f>IF(AND(E1424=1,L1424=1),AG1424,"")</f>
        <v/>
      </c>
      <c r="AW1424" s="34">
        <f>IF(AND(E1424=1,L1424=0),AG1424,"")</f>
        <v>9.7</v>
      </c>
      <c r="AX1424" s="34" t="str">
        <f>IF(AND(E1424=1,L1424=1),AH1424,"")</f>
        <v/>
      </c>
      <c r="AY1424" s="34">
        <f>IF(AND(E1424=1,L1424=0),AH1424,"")</f>
        <v>8.7</v>
      </c>
      <c r="AZ1424" s="34" t="str">
        <f>IF(G1424=1,F1424,"")</f>
        <v/>
      </c>
      <c r="BA1424" s="34" t="str">
        <f>IF(AND(G1424=1,L1424=1),F1424,"")</f>
        <v/>
      </c>
      <c r="BB1424" s="34" t="str">
        <f>IF(AND(G1424=1,L1424=0),F1424,"")</f>
        <v/>
      </c>
      <c r="BC1424" s="33">
        <f>IF(E1424=1,IF(Orders!R1421&gt;3,1,0),"")</f>
        <v>0</v>
      </c>
      <c r="BD1424" s="33">
        <f>IF(E1424=1,IF(Orders!R1421&gt;7,1,0),"")</f>
        <v>0</v>
      </c>
      <c r="BE1424" s="32" t="str">
        <f>IF(E1424=1,IF(Orders!L1421&lt;=1.5,"Up to 1.5 km",IF(Orders!L1421&lt;=3,"1.5–3 km","Over 3 km")),"")</f>
        <v>Over 3 km</v>
      </c>
      <c r="BF1424" s="33">
        <f>IF(E1424=1,IF(ABS((Orders!G1421-Orders!F1421)*1440-Orders!R1421)&lt;0.06,1,0),"")</f>
        <v>1</v>
      </c>
      <c r="BG1424" s="33">
        <f>IF(ABS((Orders!F1421-Orders!E1421)*1440-Orders!P1421)&lt;0.06,1,0)</f>
        <v>1</v>
      </c>
      <c r="BH1424" s="33">
        <f>IF(E1424=1,IF(IF(Orders!S1421,1,0)=1-G1424,1,0),"")</f>
        <v>1</v>
      </c>
      <c r="BI1424" s="32" t="str">
        <f>INDEX(Stores!$B$2:$B$21,MATCH(B1424,Stores!$A$2:$A$21,0))</f>
        <v>Mumbai</v>
      </c>
    </row>
    <row r="1425">
      <c r="A1425" s="32" t="str">
        <f>Orders!A1422</f>
        <v>O01421</v>
      </c>
      <c r="B1425" s="32" t="str">
        <f>Orders!C1422</f>
        <v>S004</v>
      </c>
      <c r="C1425" s="32" t="str">
        <f>Orders!B1422</f>
        <v>C0066</v>
      </c>
      <c r="D1425" s="32" t="str">
        <f>Orders!H1422</f>
        <v>Delivered</v>
      </c>
      <c r="E1425" s="33">
        <f>IF(Orders!H1422="Delivered",1,0)</f>
        <v>1</v>
      </c>
      <c r="F1425" s="34">
        <f>IF(E1425=1,Orders!R1422,"")</f>
        <v>-0.3</v>
      </c>
      <c r="G1425" s="33">
        <f>IF(E1425=1,IF(Orders!R1422&gt;0,1,0),"")</f>
        <v>0</v>
      </c>
      <c r="H1425" s="33">
        <f>IF(E1425=1,IF(Orders!R1422&gt;5,1,0),"")</f>
        <v>0</v>
      </c>
      <c r="I1425" s="32" t="str">
        <f>IF(E1425=1,"",IF(OR(Orders!T1422="Rider unavailable",Orders!T1422="Item unavailable"),"Company-caused","Unresolved"))</f>
        <v/>
      </c>
      <c r="J1425" s="33">
        <f>IF(OR(E1425=1,I1425="Company-caused"),1,0)</f>
        <v>1</v>
      </c>
      <c r="K1425" s="32" t="str">
        <f>IF(E1425=0,IF(I1425="Company-caused",IF(Orders!T1422="Rider unavailable","C1 Rider unavailable","C2 Item unavailable"),"Outside root: unresolved"),IF(G1425=0,"A On time",IF(H1425=1,IF(L1425=1,"B2a Severe, peak","B2b Severe, off-peak"),IF(L1425=1,"B1a Slight, peak","B1b Slight, off-peak"))))</f>
        <v>A On time</v>
      </c>
      <c r="L1425" s="33">
        <f>IF(AND(Orders!U1422&gt;=19,Orders!U1422&lt;22),1,0)</f>
        <v>0</v>
      </c>
      <c r="M1425" s="33">
        <f>IF(L1425=IF(Orders!V1422,1,0),1,0)</f>
        <v>1</v>
      </c>
      <c r="N1425" s="32" t="str">
        <f>IF(Orders!W1422="","None",Orders!W1422)</f>
        <v>Light</v>
      </c>
      <c r="O1425" s="35">
        <f>INT(Orders!E1422)</f>
        <v>46269.0</v>
      </c>
      <c r="P1425" s="33">
        <f>Orders!U1422</f>
        <v>11</v>
      </c>
      <c r="Q1425" s="33">
        <f>COUNTIFS(Demand!$A$2:$A$4481,B1425,Demand!$B$2:$B$4481,O1425,Demand!$C$2:$C$4481,P1425)</f>
        <v>1</v>
      </c>
      <c r="R1425" s="33">
        <f>IF(Q1425=1,SUMIFS(Demand!$E$2:$E$4481,Demand!$A$2:$A$4481,B1425,Demand!$B$2:$B$4481,O1425,Demand!$C$2:$C$4481,P1425),"")</f>
        <v>39</v>
      </c>
      <c r="S1425" s="33">
        <f>INDEX(Stores!$G$2:$G$21,MATCH(B1425,Stores!$A$2:$A$21,0))</f>
        <v>42</v>
      </c>
      <c r="T1425" s="34">
        <f>IF(R1425="","",R1425/S1425)</f>
        <v>0.928571428571429</v>
      </c>
      <c r="U1425" s="34">
        <f>IF(E1425=1,T1425,"")</f>
        <v>0.928571428571429</v>
      </c>
      <c r="V1425" s="34">
        <f>IF(AND(E1425=1,L1425=0),T1425,"")</f>
        <v>0.928571428571429</v>
      </c>
      <c r="W1425" s="33">
        <f>IF(U1425="","",IF(U1425&lt;=Breakdowns!$C$5,1,IF(U1425&lt;=Breakdowns!$C$6,2,IF(U1425&lt;=Breakdowns!$C$7,3,4))))</f>
        <v>2</v>
      </c>
      <c r="X1425" s="33">
        <f>IF(V1425="","",IF(V1425&lt;=Breakdowns!$D$5,1,IF(V1425&lt;=Breakdowns!$D$6,2,IF(V1425&lt;=Breakdowns!$D$7,3,4))))</f>
        <v>3</v>
      </c>
      <c r="Y1425" s="34">
        <f>INDEX(Stores!$F$2:$F$21,MATCH(B1425,Stores!$A$2:$A$21,0))</f>
        <v>2.19</v>
      </c>
      <c r="Z1425" s="33">
        <f>IF(Y1425&gt;Store_Summary!$M$2,1,0)</f>
        <v>0</v>
      </c>
      <c r="AA1425" s="33">
        <f>INDEX(Stores!$C$2:$C$21,MATCH(B1425,Stores!$A$2:$A$21,0))</f>
        <v>850</v>
      </c>
      <c r="AB1425" s="33">
        <f>IF(AA1425&lt;180,1,0)</f>
        <v>0</v>
      </c>
      <c r="AC1425" s="32" t="str">
        <f>IF(Orders!D1422="","",INDEX(Riders!$C$2:$C$81,MATCH(Orders!D1422,Riders!$A$2:$A$81,0)))</f>
        <v>EV scooter</v>
      </c>
      <c r="AD1425" s="33">
        <f>IF(Orders!D1422="","",INDEX(Riders!$D$2:$D$81,MATCH(Orders!D1422,Riders!$A$2:$A$81,0)))</f>
        <v>12</v>
      </c>
      <c r="AE1425" s="33">
        <f>IF(Orders!D1422="","",IF(INDEX(Riders!$B$2:$B$81,MATCH(Orders!D1422,Riders!$A$2:$A$81,0))=B1425,1,0))</f>
        <v>0</v>
      </c>
      <c r="AF1425" s="34">
        <f>IF(E1425=1,Orders!L1422,"")</f>
        <v>3.3</v>
      </c>
      <c r="AG1425" s="34">
        <f>IF(E1425=1,Orders!P1422,"")</f>
        <v>11.4</v>
      </c>
      <c r="AH1425" s="34">
        <f>IF(E1425=1,Orders!Q1422,"")</f>
        <v>11.1</v>
      </c>
      <c r="AI1425" s="34">
        <f>IF(E1425=1,Orders!M1422,"")</f>
        <v>1.5</v>
      </c>
      <c r="AJ1425" s="34">
        <f>IF(E1425=1,Orders!N1422,"")</f>
        <v>3.9</v>
      </c>
      <c r="AK1425" s="34">
        <f>IF(E1425=1,Orders!O1422,"")</f>
        <v>5.7</v>
      </c>
      <c r="AL1425" s="33">
        <f>IF(E1425=1,IF(ROUND(ABS(AI1425+AJ1425+AK1425-AH1425),6)&lt;=0.1,1,0),"")</f>
        <v>1</v>
      </c>
      <c r="AM1425" s="36">
        <f>IF(E1425=1,AI1425/AH1425,"")</f>
        <v>0.135135135135135</v>
      </c>
      <c r="AN1425" s="36">
        <f>IF(E1425=1,AJ1425/AH1425,"")</f>
        <v>0.351351351351351</v>
      </c>
      <c r="AO1425" s="36">
        <f>IF(E1425=1,AK1425/AH1425,"")</f>
        <v>0.513513513513514</v>
      </c>
      <c r="AP1425" s="34">
        <f>IF(E1425=1,Orders!Y1422,"")</f>
        <v>0.81</v>
      </c>
      <c r="AQ1425" s="33">
        <f>IF(Orders!X1422,1,0)</f>
        <v>0</v>
      </c>
      <c r="AR1425" s="34" t="str">
        <f>IF(AND(E1425=1,L1425=1),AJ1425,"")</f>
        <v/>
      </c>
      <c r="AS1425" s="34">
        <f>IF(AND(E1425=1,L1425=0),AJ1425,"")</f>
        <v>3.9</v>
      </c>
      <c r="AT1425" s="34" t="str">
        <f>IF(AND(E1425=1,L1425=1),AI1425,"")</f>
        <v/>
      </c>
      <c r="AU1425" s="34">
        <f>IF(AND(E1425=1,L1425=0),AI1425,"")</f>
        <v>1.5</v>
      </c>
      <c r="AV1425" s="34" t="str">
        <f>IF(AND(E1425=1,L1425=1),AG1425,"")</f>
        <v/>
      </c>
      <c r="AW1425" s="34">
        <f>IF(AND(E1425=1,L1425=0),AG1425,"")</f>
        <v>11.4</v>
      </c>
      <c r="AX1425" s="34" t="str">
        <f>IF(AND(E1425=1,L1425=1),AH1425,"")</f>
        <v/>
      </c>
      <c r="AY1425" s="34">
        <f>IF(AND(E1425=1,L1425=0),AH1425,"")</f>
        <v>11.1</v>
      </c>
      <c r="AZ1425" s="34" t="str">
        <f>IF(G1425=1,F1425,"")</f>
        <v/>
      </c>
      <c r="BA1425" s="34" t="str">
        <f>IF(AND(G1425=1,L1425=1),F1425,"")</f>
        <v/>
      </c>
      <c r="BB1425" s="34" t="str">
        <f>IF(AND(G1425=1,L1425=0),F1425,"")</f>
        <v/>
      </c>
      <c r="BC1425" s="33">
        <f>IF(E1425=1,IF(Orders!R1422&gt;3,1,0),"")</f>
        <v>0</v>
      </c>
      <c r="BD1425" s="33">
        <f>IF(E1425=1,IF(Orders!R1422&gt;7,1,0),"")</f>
        <v>0</v>
      </c>
      <c r="BE1425" s="32" t="str">
        <f>IF(E1425=1,IF(Orders!L1422&lt;=1.5,"Up to 1.5 km",IF(Orders!L1422&lt;=3,"1.5–3 km","Over 3 km")),"")</f>
        <v>Over 3 km</v>
      </c>
      <c r="BF1425" s="33">
        <f>IF(E1425=1,IF(ABS((Orders!G1422-Orders!F1422)*1440-Orders!R1422)&lt;0.06,1,0),"")</f>
        <v>1</v>
      </c>
      <c r="BG1425" s="33">
        <f>IF(ABS((Orders!F1422-Orders!E1422)*1440-Orders!P1422)&lt;0.06,1,0)</f>
        <v>1</v>
      </c>
      <c r="BH1425" s="33">
        <f>IF(E1425=1,IF(IF(Orders!S1422,1,0)=1-G1425,1,0),"")</f>
        <v>1</v>
      </c>
      <c r="BI1425" s="32" t="str">
        <f>INDEX(Stores!$B$2:$B$21,MATCH(B1425,Stores!$A$2:$A$21,0))</f>
        <v>Pune</v>
      </c>
    </row>
    <row r="1426">
      <c r="A1426" s="32" t="str">
        <f>Orders!A1423</f>
        <v>O01422</v>
      </c>
      <c r="B1426" s="32" t="str">
        <f>Orders!C1423</f>
        <v>S001</v>
      </c>
      <c r="C1426" s="32" t="str">
        <f>Orders!B1423</f>
        <v>C0189</v>
      </c>
      <c r="D1426" s="32" t="str">
        <f>Orders!H1423</f>
        <v>Delivered</v>
      </c>
      <c r="E1426" s="33">
        <f>IF(Orders!H1423="Delivered",1,0)</f>
        <v>1</v>
      </c>
      <c r="F1426" s="34">
        <f>IF(E1426=1,Orders!R1423,"")</f>
        <v>-1.1</v>
      </c>
      <c r="G1426" s="33">
        <f>IF(E1426=1,IF(Orders!R1423&gt;0,1,0),"")</f>
        <v>0</v>
      </c>
      <c r="H1426" s="33">
        <f>IF(E1426=1,IF(Orders!R1423&gt;5,1,0),"")</f>
        <v>0</v>
      </c>
      <c r="I1426" s="32" t="str">
        <f>IF(E1426=1,"",IF(OR(Orders!T1423="Rider unavailable",Orders!T1423="Item unavailable"),"Company-caused","Unresolved"))</f>
        <v/>
      </c>
      <c r="J1426" s="33">
        <f>IF(OR(E1426=1,I1426="Company-caused"),1,0)</f>
        <v>1</v>
      </c>
      <c r="K1426" s="32" t="str">
        <f>IF(E1426=0,IF(I1426="Company-caused",IF(Orders!T1423="Rider unavailable","C1 Rider unavailable","C2 Item unavailable"),"Outside root: unresolved"),IF(G1426=0,"A On time",IF(H1426=1,IF(L1426=1,"B2a Severe, peak","B2b Severe, off-peak"),IF(L1426=1,"B1a Slight, peak","B1b Slight, off-peak"))))</f>
        <v>A On time</v>
      </c>
      <c r="L1426" s="33">
        <f>IF(AND(Orders!U1423&gt;=19,Orders!U1423&lt;22),1,0)</f>
        <v>0</v>
      </c>
      <c r="M1426" s="33">
        <f>IF(L1426=IF(Orders!V1423,1,0),1,0)</f>
        <v>1</v>
      </c>
      <c r="N1426" s="32" t="str">
        <f>IF(Orders!W1423="","None",Orders!W1423)</f>
        <v>Heavy</v>
      </c>
      <c r="O1426" s="35">
        <f>INT(Orders!E1423)</f>
        <v>46272.0</v>
      </c>
      <c r="P1426" s="33">
        <f>Orders!U1423</f>
        <v>14</v>
      </c>
      <c r="Q1426" s="33">
        <f>COUNTIFS(Demand!$A$2:$A$4481,B1426,Demand!$B$2:$B$4481,O1426,Demand!$C$2:$C$4481,P1426)</f>
        <v>1</v>
      </c>
      <c r="R1426" s="33">
        <f>IF(Q1426=1,SUMIFS(Demand!$E$2:$E$4481,Demand!$A$2:$A$4481,B1426,Demand!$B$2:$B$4481,O1426,Demand!$C$2:$C$4481,P1426),"")</f>
        <v>7</v>
      </c>
      <c r="S1426" s="33">
        <f>INDEX(Stores!$G$2:$G$21,MATCH(B1426,Stores!$A$2:$A$21,0))</f>
        <v>16</v>
      </c>
      <c r="T1426" s="34">
        <f>IF(R1426="","",R1426/S1426)</f>
        <v>0.4375</v>
      </c>
      <c r="U1426" s="34">
        <f>IF(E1426=1,T1426,"")</f>
        <v>0.4375</v>
      </c>
      <c r="V1426" s="34">
        <f>IF(AND(E1426=1,L1426=0),T1426,"")</f>
        <v>0.4375</v>
      </c>
      <c r="W1426" s="33">
        <f>IF(U1426="","",IF(U1426&lt;=Breakdowns!$C$5,1,IF(U1426&lt;=Breakdowns!$C$6,2,IF(U1426&lt;=Breakdowns!$C$7,3,4))))</f>
        <v>1</v>
      </c>
      <c r="X1426" s="33">
        <f>IF(V1426="","",IF(V1426&lt;=Breakdowns!$D$5,1,IF(V1426&lt;=Breakdowns!$D$6,2,IF(V1426&lt;=Breakdowns!$D$7,3,4))))</f>
        <v>1</v>
      </c>
      <c r="Y1426" s="34">
        <f>INDEX(Stores!$F$2:$F$21,MATCH(B1426,Stores!$A$2:$A$21,0))</f>
        <v>4.59</v>
      </c>
      <c r="Z1426" s="33">
        <f>IF(Y1426&gt;Store_Summary!$M$2,1,0)</f>
        <v>0</v>
      </c>
      <c r="AA1426" s="33">
        <f>INDEX(Stores!$C$2:$C$21,MATCH(B1426,Stores!$A$2:$A$21,0))</f>
        <v>362</v>
      </c>
      <c r="AB1426" s="33">
        <f>IF(AA1426&lt;180,1,0)</f>
        <v>0</v>
      </c>
      <c r="AC1426" s="32" t="str">
        <f>IF(Orders!D1423="","",INDEX(Riders!$C$2:$C$81,MATCH(Orders!D1423,Riders!$A$2:$A$81,0)))</f>
        <v>EV scooter</v>
      </c>
      <c r="AD1426" s="33">
        <f>IF(Orders!D1423="","",INDEX(Riders!$D$2:$D$81,MATCH(Orders!D1423,Riders!$A$2:$A$81,0)))</f>
        <v>9</v>
      </c>
      <c r="AE1426" s="33">
        <f>IF(Orders!D1423="","",IF(INDEX(Riders!$B$2:$B$81,MATCH(Orders!D1423,Riders!$A$2:$A$81,0))=B1426,1,0))</f>
        <v>0</v>
      </c>
      <c r="AF1426" s="34">
        <f>IF(E1426=1,Orders!L1423,"")</f>
        <v>0.73</v>
      </c>
      <c r="AG1426" s="34">
        <f>IF(E1426=1,Orders!P1423,"")</f>
        <v>8</v>
      </c>
      <c r="AH1426" s="34">
        <f>IF(E1426=1,Orders!Q1423,"")</f>
        <v>6.9</v>
      </c>
      <c r="AI1426" s="34">
        <f>IF(E1426=1,Orders!M1423,"")</f>
        <v>1.8</v>
      </c>
      <c r="AJ1426" s="34">
        <f>IF(E1426=1,Orders!N1423,"")</f>
        <v>2.5</v>
      </c>
      <c r="AK1426" s="34">
        <f>IF(E1426=1,Orders!O1423,"")</f>
        <v>2.6</v>
      </c>
      <c r="AL1426" s="33">
        <f>IF(E1426=1,IF(ROUND(ABS(AI1426+AJ1426+AK1426-AH1426),6)&lt;=0.1,1,0),"")</f>
        <v>1</v>
      </c>
      <c r="AM1426" s="36">
        <f>IF(E1426=1,AI1426/AH1426,"")</f>
        <v>0.260869565217391</v>
      </c>
      <c r="AN1426" s="36">
        <f>IF(E1426=1,AJ1426/AH1426,"")</f>
        <v>0.36231884057971</v>
      </c>
      <c r="AO1426" s="36">
        <f>IF(E1426=1,AK1426/AH1426,"")</f>
        <v>0.376811594202899</v>
      </c>
      <c r="AP1426" s="34">
        <f>IF(E1426=1,Orders!Y1423,"")</f>
        <v>0.66</v>
      </c>
      <c r="AQ1426" s="33">
        <f>IF(Orders!X1423,1,0)</f>
        <v>0</v>
      </c>
      <c r="AR1426" s="34" t="str">
        <f>IF(AND(E1426=1,L1426=1),AJ1426,"")</f>
        <v/>
      </c>
      <c r="AS1426" s="34">
        <f>IF(AND(E1426=1,L1426=0),AJ1426,"")</f>
        <v>2.5</v>
      </c>
      <c r="AT1426" s="34" t="str">
        <f>IF(AND(E1426=1,L1426=1),AI1426,"")</f>
        <v/>
      </c>
      <c r="AU1426" s="34">
        <f>IF(AND(E1426=1,L1426=0),AI1426,"")</f>
        <v>1.8</v>
      </c>
      <c r="AV1426" s="34" t="str">
        <f>IF(AND(E1426=1,L1426=1),AG1426,"")</f>
        <v/>
      </c>
      <c r="AW1426" s="34">
        <f>IF(AND(E1426=1,L1426=0),AG1426,"")</f>
        <v>8</v>
      </c>
      <c r="AX1426" s="34" t="str">
        <f>IF(AND(E1426=1,L1426=1),AH1426,"")</f>
        <v/>
      </c>
      <c r="AY1426" s="34">
        <f>IF(AND(E1426=1,L1426=0),AH1426,"")</f>
        <v>6.9</v>
      </c>
      <c r="AZ1426" s="34" t="str">
        <f>IF(G1426=1,F1426,"")</f>
        <v/>
      </c>
      <c r="BA1426" s="34" t="str">
        <f>IF(AND(G1426=1,L1426=1),F1426,"")</f>
        <v/>
      </c>
      <c r="BB1426" s="34" t="str">
        <f>IF(AND(G1426=1,L1426=0),F1426,"")</f>
        <v/>
      </c>
      <c r="BC1426" s="33">
        <f>IF(E1426=1,IF(Orders!R1423&gt;3,1,0),"")</f>
        <v>0</v>
      </c>
      <c r="BD1426" s="33">
        <f>IF(E1426=1,IF(Orders!R1423&gt;7,1,0),"")</f>
        <v>0</v>
      </c>
      <c r="BE1426" s="32" t="str">
        <f>IF(E1426=1,IF(Orders!L1423&lt;=1.5,"Up to 1.5 km",IF(Orders!L1423&lt;=3,"1.5–3 km","Over 3 km")),"")</f>
        <v>Up to 1.5 km</v>
      </c>
      <c r="BF1426" s="33">
        <f>IF(E1426=1,IF(ABS((Orders!G1423-Orders!F1423)*1440-Orders!R1423)&lt;0.06,1,0),"")</f>
        <v>1</v>
      </c>
      <c r="BG1426" s="33">
        <f>IF(ABS((Orders!F1423-Orders!E1423)*1440-Orders!P1423)&lt;0.06,1,0)</f>
        <v>1</v>
      </c>
      <c r="BH1426" s="33">
        <f>IF(E1426=1,IF(IF(Orders!S1423,1,0)=1-G1426,1,0),"")</f>
        <v>1</v>
      </c>
      <c r="BI1426" s="32" t="str">
        <f>INDEX(Stores!$B$2:$B$21,MATCH(B1426,Stores!$A$2:$A$21,0))</f>
        <v>Bengaluru</v>
      </c>
    </row>
    <row r="1427">
      <c r="A1427" s="32" t="str">
        <f>Orders!A1424</f>
        <v>O01423</v>
      </c>
      <c r="B1427" s="32" t="str">
        <f>Orders!C1424</f>
        <v>S015</v>
      </c>
      <c r="C1427" s="32" t="str">
        <f>Orders!B1424</f>
        <v>C0006</v>
      </c>
      <c r="D1427" s="32" t="str">
        <f>Orders!H1424</f>
        <v>Delivered</v>
      </c>
      <c r="E1427" s="33">
        <f>IF(Orders!H1424="Delivered",1,0)</f>
        <v>1</v>
      </c>
      <c r="F1427" s="34">
        <f>IF(E1427=1,Orders!R1424,"")</f>
        <v>-1.1</v>
      </c>
      <c r="G1427" s="33">
        <f>IF(E1427=1,IF(Orders!R1424&gt;0,1,0),"")</f>
        <v>0</v>
      </c>
      <c r="H1427" s="33">
        <f>IF(E1427=1,IF(Orders!R1424&gt;5,1,0),"")</f>
        <v>0</v>
      </c>
      <c r="I1427" s="32" t="str">
        <f>IF(E1427=1,"",IF(OR(Orders!T1424="Rider unavailable",Orders!T1424="Item unavailable"),"Company-caused","Unresolved"))</f>
        <v/>
      </c>
      <c r="J1427" s="33">
        <f>IF(OR(E1427=1,I1427="Company-caused"),1,0)</f>
        <v>1</v>
      </c>
      <c r="K1427" s="32" t="str">
        <f>IF(E1427=0,IF(I1427="Company-caused",IF(Orders!T1424="Rider unavailable","C1 Rider unavailable","C2 Item unavailable"),"Outside root: unresolved"),IF(G1427=0,"A On time",IF(H1427=1,IF(L1427=1,"B2a Severe, peak","B2b Severe, off-peak"),IF(L1427=1,"B1a Slight, peak","B1b Slight, off-peak"))))</f>
        <v>A On time</v>
      </c>
      <c r="L1427" s="33">
        <f>IF(AND(Orders!U1424&gt;=19,Orders!U1424&lt;22),1,0)</f>
        <v>0</v>
      </c>
      <c r="M1427" s="33">
        <f>IF(L1427=IF(Orders!V1424,1,0),1,0)</f>
        <v>1</v>
      </c>
      <c r="N1427" s="32" t="str">
        <f>IF(Orders!W1424="","None",Orders!W1424)</f>
        <v>None</v>
      </c>
      <c r="O1427" s="35">
        <f>INT(Orders!E1424)</f>
        <v>46268.0</v>
      </c>
      <c r="P1427" s="33">
        <f>Orders!U1424</f>
        <v>10</v>
      </c>
      <c r="Q1427" s="33">
        <f>COUNTIFS(Demand!$A$2:$A$4481,B1427,Demand!$B$2:$B$4481,O1427,Demand!$C$2:$C$4481,P1427)</f>
        <v>1</v>
      </c>
      <c r="R1427" s="33">
        <f>IF(Q1427=1,SUMIFS(Demand!$E$2:$E$4481,Demand!$A$2:$A$4481,B1427,Demand!$B$2:$B$4481,O1427,Demand!$C$2:$C$4481,P1427),"")</f>
        <v>11</v>
      </c>
      <c r="S1427" s="33">
        <f>INDEX(Stores!$G$2:$G$21,MATCH(B1427,Stores!$A$2:$A$21,0))</f>
        <v>23</v>
      </c>
      <c r="T1427" s="34">
        <f>IF(R1427="","",R1427/S1427)</f>
        <v>0.478260869565217</v>
      </c>
      <c r="U1427" s="34">
        <f>IF(E1427=1,T1427,"")</f>
        <v>0.478260869565217</v>
      </c>
      <c r="V1427" s="34">
        <f>IF(AND(E1427=1,L1427=0),T1427,"")</f>
        <v>0.478260869565217</v>
      </c>
      <c r="W1427" s="33">
        <f>IF(U1427="","",IF(U1427&lt;=Breakdowns!$C$5,1,IF(U1427&lt;=Breakdowns!$C$6,2,IF(U1427&lt;=Breakdowns!$C$7,3,4))))</f>
        <v>1</v>
      </c>
      <c r="X1427" s="33">
        <f>IF(V1427="","",IF(V1427&lt;=Breakdowns!$D$5,1,IF(V1427&lt;=Breakdowns!$D$6,2,IF(V1427&lt;=Breakdowns!$D$7,3,4))))</f>
        <v>1</v>
      </c>
      <c r="Y1427" s="34">
        <f>INDEX(Stores!$F$2:$F$21,MATCH(B1427,Stores!$A$2:$A$21,0))</f>
        <v>4.66</v>
      </c>
      <c r="Z1427" s="33">
        <f>IF(Y1427&gt;Store_Summary!$M$2,1,0)</f>
        <v>0</v>
      </c>
      <c r="AA1427" s="33">
        <f>INDEX(Stores!$C$2:$C$21,MATCH(B1427,Stores!$A$2:$A$21,0))</f>
        <v>204</v>
      </c>
      <c r="AB1427" s="33">
        <f>IF(AA1427&lt;180,1,0)</f>
        <v>0</v>
      </c>
      <c r="AC1427" s="32" t="str">
        <f>IF(Orders!D1424="","",INDEX(Riders!$C$2:$C$81,MATCH(Orders!D1424,Riders!$A$2:$A$81,0)))</f>
        <v>EV scooter</v>
      </c>
      <c r="AD1427" s="33">
        <f>IF(Orders!D1424="","",INDEX(Riders!$D$2:$D$81,MATCH(Orders!D1424,Riders!$A$2:$A$81,0)))</f>
        <v>9</v>
      </c>
      <c r="AE1427" s="33">
        <f>IF(Orders!D1424="","",IF(INDEX(Riders!$B$2:$B$81,MATCH(Orders!D1424,Riders!$A$2:$A$81,0))=B1427,1,0))</f>
        <v>0</v>
      </c>
      <c r="AF1427" s="34">
        <f>IF(E1427=1,Orders!L1424,"")</f>
        <v>2.96</v>
      </c>
      <c r="AG1427" s="34">
        <f>IF(E1427=1,Orders!P1424,"")</f>
        <v>10.4</v>
      </c>
      <c r="AH1427" s="34">
        <f>IF(E1427=1,Orders!Q1424,"")</f>
        <v>9.3</v>
      </c>
      <c r="AI1427" s="34">
        <f>IF(E1427=1,Orders!M1424,"")</f>
        <v>2.8</v>
      </c>
      <c r="AJ1427" s="34">
        <f>IF(E1427=1,Orders!N1424,"")</f>
        <v>2.6</v>
      </c>
      <c r="AK1427" s="34">
        <f>IF(E1427=1,Orders!O1424,"")</f>
        <v>3.9</v>
      </c>
      <c r="AL1427" s="33">
        <f>IF(E1427=1,IF(ROUND(ABS(AI1427+AJ1427+AK1427-AH1427),6)&lt;=0.1,1,0),"")</f>
        <v>1</v>
      </c>
      <c r="AM1427" s="36">
        <f>IF(E1427=1,AI1427/AH1427,"")</f>
        <v>0.301075268817204</v>
      </c>
      <c r="AN1427" s="36">
        <f>IF(E1427=1,AJ1427/AH1427,"")</f>
        <v>0.279569892473118</v>
      </c>
      <c r="AO1427" s="36">
        <f>IF(E1427=1,AK1427/AH1427,"")</f>
        <v>0.419354838709677</v>
      </c>
      <c r="AP1427" s="34">
        <f>IF(E1427=1,Orders!Y1424,"")</f>
        <v>0.65</v>
      </c>
      <c r="AQ1427" s="33">
        <f>IF(Orders!X1424,1,0)</f>
        <v>0</v>
      </c>
      <c r="AR1427" s="34" t="str">
        <f>IF(AND(E1427=1,L1427=1),AJ1427,"")</f>
        <v/>
      </c>
      <c r="AS1427" s="34">
        <f>IF(AND(E1427=1,L1427=0),AJ1427,"")</f>
        <v>2.6</v>
      </c>
      <c r="AT1427" s="34" t="str">
        <f>IF(AND(E1427=1,L1427=1),AI1427,"")</f>
        <v/>
      </c>
      <c r="AU1427" s="34">
        <f>IF(AND(E1427=1,L1427=0),AI1427,"")</f>
        <v>2.8</v>
      </c>
      <c r="AV1427" s="34" t="str">
        <f>IF(AND(E1427=1,L1427=1),AG1427,"")</f>
        <v/>
      </c>
      <c r="AW1427" s="34">
        <f>IF(AND(E1427=1,L1427=0),AG1427,"")</f>
        <v>10.4</v>
      </c>
      <c r="AX1427" s="34" t="str">
        <f>IF(AND(E1427=1,L1427=1),AH1427,"")</f>
        <v/>
      </c>
      <c r="AY1427" s="34">
        <f>IF(AND(E1427=1,L1427=0),AH1427,"")</f>
        <v>9.3</v>
      </c>
      <c r="AZ1427" s="34" t="str">
        <f>IF(G1427=1,F1427,"")</f>
        <v/>
      </c>
      <c r="BA1427" s="34" t="str">
        <f>IF(AND(G1427=1,L1427=1),F1427,"")</f>
        <v/>
      </c>
      <c r="BB1427" s="34" t="str">
        <f>IF(AND(G1427=1,L1427=0),F1427,"")</f>
        <v/>
      </c>
      <c r="BC1427" s="33">
        <f>IF(E1427=1,IF(Orders!R1424&gt;3,1,0),"")</f>
        <v>0</v>
      </c>
      <c r="BD1427" s="33">
        <f>IF(E1427=1,IF(Orders!R1424&gt;7,1,0),"")</f>
        <v>0</v>
      </c>
      <c r="BE1427" s="32" t="str">
        <f>IF(E1427=1,IF(Orders!L1424&lt;=1.5,"Up to 1.5 km",IF(Orders!L1424&lt;=3,"1.5–3 km","Over 3 km")),"")</f>
        <v>1.5–3 km</v>
      </c>
      <c r="BF1427" s="33">
        <f>IF(E1427=1,IF(ABS((Orders!G1424-Orders!F1424)*1440-Orders!R1424)&lt;0.06,1,0),"")</f>
        <v>1</v>
      </c>
      <c r="BG1427" s="33">
        <f>IF(ABS((Orders!F1424-Orders!E1424)*1440-Orders!P1424)&lt;0.06,1,0)</f>
        <v>1</v>
      </c>
      <c r="BH1427" s="33">
        <f>IF(E1427=1,IF(IF(Orders!S1424,1,0)=1-G1427,1,0),"")</f>
        <v>1</v>
      </c>
      <c r="BI1427" s="32" t="str">
        <f>INDEX(Stores!$B$2:$B$21,MATCH(B1427,Stores!$A$2:$A$21,0))</f>
        <v>Delhi</v>
      </c>
    </row>
    <row r="1428">
      <c r="A1428" s="32" t="str">
        <f>Orders!A1425</f>
        <v>O01424</v>
      </c>
      <c r="B1428" s="32" t="str">
        <f>Orders!C1425</f>
        <v>S007</v>
      </c>
      <c r="C1428" s="32" t="str">
        <f>Orders!B1425</f>
        <v>C0053</v>
      </c>
      <c r="D1428" s="32" t="str">
        <f>Orders!H1425</f>
        <v>Delivered</v>
      </c>
      <c r="E1428" s="33">
        <f>IF(Orders!H1425="Delivered",1,0)</f>
        <v>1</v>
      </c>
      <c r="F1428" s="34">
        <f>IF(E1428=1,Orders!R1425,"")</f>
        <v>-0.9</v>
      </c>
      <c r="G1428" s="33">
        <f>IF(E1428=1,IF(Orders!R1425&gt;0,1,0),"")</f>
        <v>0</v>
      </c>
      <c r="H1428" s="33">
        <f>IF(E1428=1,IF(Orders!R1425&gt;5,1,0),"")</f>
        <v>0</v>
      </c>
      <c r="I1428" s="32" t="str">
        <f>IF(E1428=1,"",IF(OR(Orders!T1425="Rider unavailable",Orders!T1425="Item unavailable"),"Company-caused","Unresolved"))</f>
        <v/>
      </c>
      <c r="J1428" s="33">
        <f>IF(OR(E1428=1,I1428="Company-caused"),1,0)</f>
        <v>1</v>
      </c>
      <c r="K1428" s="32" t="str">
        <f>IF(E1428=0,IF(I1428="Company-caused",IF(Orders!T1425="Rider unavailable","C1 Rider unavailable","C2 Item unavailable"),"Outside root: unresolved"),IF(G1428=0,"A On time",IF(H1428=1,IF(L1428=1,"B2a Severe, peak","B2b Severe, off-peak"),IF(L1428=1,"B1a Slight, peak","B1b Slight, off-peak"))))</f>
        <v>A On time</v>
      </c>
      <c r="L1428" s="33">
        <f>IF(AND(Orders!U1425&gt;=19,Orders!U1425&lt;22),1,0)</f>
        <v>0</v>
      </c>
      <c r="M1428" s="33">
        <f>IF(L1428=IF(Orders!V1425,1,0),1,0)</f>
        <v>1</v>
      </c>
      <c r="N1428" s="32" t="str">
        <f>IF(Orders!W1425="","None",Orders!W1425)</f>
        <v>Heavy</v>
      </c>
      <c r="O1428" s="35">
        <f>INT(Orders!E1425)</f>
        <v>46271.0</v>
      </c>
      <c r="P1428" s="33">
        <f>Orders!U1425</f>
        <v>12</v>
      </c>
      <c r="Q1428" s="33">
        <f>COUNTIFS(Demand!$A$2:$A$4481,B1428,Demand!$B$2:$B$4481,O1428,Demand!$C$2:$C$4481,P1428)</f>
        <v>1</v>
      </c>
      <c r="R1428" s="33">
        <f>IF(Q1428=1,SUMIFS(Demand!$E$2:$E$4481,Demand!$A$2:$A$4481,B1428,Demand!$B$2:$B$4481,O1428,Demand!$C$2:$C$4481,P1428),"")</f>
        <v>55</v>
      </c>
      <c r="S1428" s="33">
        <f>INDEX(Stores!$G$2:$G$21,MATCH(B1428,Stores!$A$2:$A$21,0))</f>
        <v>37</v>
      </c>
      <c r="T1428" s="34">
        <f>IF(R1428="","",R1428/S1428)</f>
        <v>1.48648648648649</v>
      </c>
      <c r="U1428" s="34">
        <f>IF(E1428=1,T1428,"")</f>
        <v>1.48648648648649</v>
      </c>
      <c r="V1428" s="34">
        <f>IF(AND(E1428=1,L1428=0),T1428,"")</f>
        <v>1.48648648648649</v>
      </c>
      <c r="W1428" s="33">
        <f>IF(U1428="","",IF(U1428&lt;=Breakdowns!$C$5,1,IF(U1428&lt;=Breakdowns!$C$6,2,IF(U1428&lt;=Breakdowns!$C$7,3,4))))</f>
        <v>4</v>
      </c>
      <c r="X1428" s="33">
        <f>IF(V1428="","",IF(V1428&lt;=Breakdowns!$D$5,1,IF(V1428&lt;=Breakdowns!$D$6,2,IF(V1428&lt;=Breakdowns!$D$7,3,4))))</f>
        <v>4</v>
      </c>
      <c r="Y1428" s="34">
        <f>INDEX(Stores!$F$2:$F$21,MATCH(B1428,Stores!$A$2:$A$21,0))</f>
        <v>4.05</v>
      </c>
      <c r="Z1428" s="33">
        <f>IF(Y1428&gt;Store_Summary!$M$2,1,0)</f>
        <v>0</v>
      </c>
      <c r="AA1428" s="33">
        <f>INDEX(Stores!$C$2:$C$21,MATCH(B1428,Stores!$A$2:$A$21,0))</f>
        <v>661</v>
      </c>
      <c r="AB1428" s="33">
        <f>IF(AA1428&lt;180,1,0)</f>
        <v>0</v>
      </c>
      <c r="AC1428" s="32" t="str">
        <f>IF(Orders!D1425="","",INDEX(Riders!$C$2:$C$81,MATCH(Orders!D1425,Riders!$A$2:$A$81,0)))</f>
        <v>EV scooter</v>
      </c>
      <c r="AD1428" s="33">
        <f>IF(Orders!D1425="","",INDEX(Riders!$D$2:$D$81,MATCH(Orders!D1425,Riders!$A$2:$A$81,0)))</f>
        <v>46</v>
      </c>
      <c r="AE1428" s="33">
        <f>IF(Orders!D1425="","",IF(INDEX(Riders!$B$2:$B$81,MATCH(Orders!D1425,Riders!$A$2:$A$81,0))=B1428,1,0))</f>
        <v>1</v>
      </c>
      <c r="AF1428" s="34">
        <f>IF(E1428=1,Orders!L1425,"")</f>
        <v>0.78</v>
      </c>
      <c r="AG1428" s="34">
        <f>IF(E1428=1,Orders!P1425,"")</f>
        <v>10.4</v>
      </c>
      <c r="AH1428" s="34">
        <f>IF(E1428=1,Orders!Q1425,"")</f>
        <v>9.5</v>
      </c>
      <c r="AI1428" s="34">
        <f>IF(E1428=1,Orders!M1425,"")</f>
        <v>2.8</v>
      </c>
      <c r="AJ1428" s="34">
        <f>IF(E1428=1,Orders!N1425,"")</f>
        <v>3.1</v>
      </c>
      <c r="AK1428" s="34">
        <f>IF(E1428=1,Orders!O1425,"")</f>
        <v>3.6</v>
      </c>
      <c r="AL1428" s="33">
        <f>IF(E1428=1,IF(ROUND(ABS(AI1428+AJ1428+AK1428-AH1428),6)&lt;=0.1,1,0),"")</f>
        <v>1</v>
      </c>
      <c r="AM1428" s="36">
        <f>IF(E1428=1,AI1428/AH1428,"")</f>
        <v>0.294736842105263</v>
      </c>
      <c r="AN1428" s="36">
        <f>IF(E1428=1,AJ1428/AH1428,"")</f>
        <v>0.326315789473684</v>
      </c>
      <c r="AO1428" s="36">
        <f>IF(E1428=1,AK1428/AH1428,"")</f>
        <v>0.378947368421053</v>
      </c>
      <c r="AP1428" s="34">
        <f>IF(E1428=1,Orders!Y1425,"")</f>
        <v>0.52</v>
      </c>
      <c r="AQ1428" s="33">
        <f>IF(Orders!X1425,1,0)</f>
        <v>0</v>
      </c>
      <c r="AR1428" s="34" t="str">
        <f>IF(AND(E1428=1,L1428=1),AJ1428,"")</f>
        <v/>
      </c>
      <c r="AS1428" s="34">
        <f>IF(AND(E1428=1,L1428=0),AJ1428,"")</f>
        <v>3.1</v>
      </c>
      <c r="AT1428" s="34" t="str">
        <f>IF(AND(E1428=1,L1428=1),AI1428,"")</f>
        <v/>
      </c>
      <c r="AU1428" s="34">
        <f>IF(AND(E1428=1,L1428=0),AI1428,"")</f>
        <v>2.8</v>
      </c>
      <c r="AV1428" s="34" t="str">
        <f>IF(AND(E1428=1,L1428=1),AG1428,"")</f>
        <v/>
      </c>
      <c r="AW1428" s="34">
        <f>IF(AND(E1428=1,L1428=0),AG1428,"")</f>
        <v>10.4</v>
      </c>
      <c r="AX1428" s="34" t="str">
        <f>IF(AND(E1428=1,L1428=1),AH1428,"")</f>
        <v/>
      </c>
      <c r="AY1428" s="34">
        <f>IF(AND(E1428=1,L1428=0),AH1428,"")</f>
        <v>9.5</v>
      </c>
      <c r="AZ1428" s="34" t="str">
        <f>IF(G1428=1,F1428,"")</f>
        <v/>
      </c>
      <c r="BA1428" s="34" t="str">
        <f>IF(AND(G1428=1,L1428=1),F1428,"")</f>
        <v/>
      </c>
      <c r="BB1428" s="34" t="str">
        <f>IF(AND(G1428=1,L1428=0),F1428,"")</f>
        <v/>
      </c>
      <c r="BC1428" s="33">
        <f>IF(E1428=1,IF(Orders!R1425&gt;3,1,0),"")</f>
        <v>0</v>
      </c>
      <c r="BD1428" s="33">
        <f>IF(E1428=1,IF(Orders!R1425&gt;7,1,0),"")</f>
        <v>0</v>
      </c>
      <c r="BE1428" s="32" t="str">
        <f>IF(E1428=1,IF(Orders!L1425&lt;=1.5,"Up to 1.5 km",IF(Orders!L1425&lt;=3,"1.5–3 km","Over 3 km")),"")</f>
        <v>Up to 1.5 km</v>
      </c>
      <c r="BF1428" s="33">
        <f>IF(E1428=1,IF(ABS((Orders!G1425-Orders!F1425)*1440-Orders!R1425)&lt;0.06,1,0),"")</f>
        <v>1</v>
      </c>
      <c r="BG1428" s="33">
        <f>IF(ABS((Orders!F1425-Orders!E1425)*1440-Orders!P1425)&lt;0.06,1,0)</f>
        <v>1</v>
      </c>
      <c r="BH1428" s="33">
        <f>IF(E1428=1,IF(IF(Orders!S1425,1,0)=1-G1428,1,0),"")</f>
        <v>1</v>
      </c>
      <c r="BI1428" s="32" t="str">
        <f>INDEX(Stores!$B$2:$B$21,MATCH(B1428,Stores!$A$2:$A$21,0))</f>
        <v>Hyderabad</v>
      </c>
    </row>
    <row r="1429">
      <c r="A1429" s="32" t="str">
        <f>Orders!A1426</f>
        <v>O01425</v>
      </c>
      <c r="B1429" s="32" t="str">
        <f>Orders!C1426</f>
        <v>S016</v>
      </c>
      <c r="C1429" s="32" t="str">
        <f>Orders!B1426</f>
        <v>C0114</v>
      </c>
      <c r="D1429" s="32" t="str">
        <f>Orders!H1426</f>
        <v>Delivered</v>
      </c>
      <c r="E1429" s="33">
        <f>IF(Orders!H1426="Delivered",1,0)</f>
        <v>1</v>
      </c>
      <c r="F1429" s="34">
        <f>IF(E1429=1,Orders!R1426,"")</f>
        <v>-0.8</v>
      </c>
      <c r="G1429" s="33">
        <f>IF(E1429=1,IF(Orders!R1426&gt;0,1,0),"")</f>
        <v>0</v>
      </c>
      <c r="H1429" s="33">
        <f>IF(E1429=1,IF(Orders!R1426&gt;5,1,0),"")</f>
        <v>0</v>
      </c>
      <c r="I1429" s="32" t="str">
        <f>IF(E1429=1,"",IF(OR(Orders!T1426="Rider unavailable",Orders!T1426="Item unavailable"),"Company-caused","Unresolved"))</f>
        <v/>
      </c>
      <c r="J1429" s="33">
        <f>IF(OR(E1429=1,I1429="Company-caused"),1,0)</f>
        <v>1</v>
      </c>
      <c r="K1429" s="32" t="str">
        <f>IF(E1429=0,IF(I1429="Company-caused",IF(Orders!T1426="Rider unavailable","C1 Rider unavailable","C2 Item unavailable"),"Outside root: unresolved"),IF(G1429=0,"A On time",IF(H1429=1,IF(L1429=1,"B2a Severe, peak","B2b Severe, off-peak"),IF(L1429=1,"B1a Slight, peak","B1b Slight, off-peak"))))</f>
        <v>A On time</v>
      </c>
      <c r="L1429" s="33">
        <f>IF(AND(Orders!U1426&gt;=19,Orders!U1426&lt;22),1,0)</f>
        <v>0</v>
      </c>
      <c r="M1429" s="33">
        <f>IF(L1429=IF(Orders!V1426,1,0),1,0)</f>
        <v>1</v>
      </c>
      <c r="N1429" s="32" t="str">
        <f>IF(Orders!W1426="","None",Orders!W1426)</f>
        <v>Light</v>
      </c>
      <c r="O1429" s="35">
        <f>INT(Orders!E1426)</f>
        <v>46277.0</v>
      </c>
      <c r="P1429" s="33">
        <f>Orders!U1426</f>
        <v>17</v>
      </c>
      <c r="Q1429" s="33">
        <f>COUNTIFS(Demand!$A$2:$A$4481,B1429,Demand!$B$2:$B$4481,O1429,Demand!$C$2:$C$4481,P1429)</f>
        <v>1</v>
      </c>
      <c r="R1429" s="33">
        <f>IF(Q1429=1,SUMIFS(Demand!$E$2:$E$4481,Demand!$A$2:$A$4481,B1429,Demand!$B$2:$B$4481,O1429,Demand!$C$2:$C$4481,P1429),"")</f>
        <v>22</v>
      </c>
      <c r="S1429" s="33">
        <f>INDEX(Stores!$G$2:$G$21,MATCH(B1429,Stores!$A$2:$A$21,0))</f>
        <v>25</v>
      </c>
      <c r="T1429" s="34">
        <f>IF(R1429="","",R1429/S1429)</f>
        <v>0.88</v>
      </c>
      <c r="U1429" s="34">
        <f>IF(E1429=1,T1429,"")</f>
        <v>0.88</v>
      </c>
      <c r="V1429" s="34">
        <f>IF(AND(E1429=1,L1429=0),T1429,"")</f>
        <v>0.88</v>
      </c>
      <c r="W1429" s="33">
        <f>IF(U1429="","",IF(U1429&lt;=Breakdowns!$C$5,1,IF(U1429&lt;=Breakdowns!$C$6,2,IF(U1429&lt;=Breakdowns!$C$7,3,4))))</f>
        <v>2</v>
      </c>
      <c r="X1429" s="33">
        <f>IF(V1429="","",IF(V1429&lt;=Breakdowns!$D$5,1,IF(V1429&lt;=Breakdowns!$D$6,2,IF(V1429&lt;=Breakdowns!$D$7,3,4))))</f>
        <v>2</v>
      </c>
      <c r="Y1429" s="34">
        <f>INDEX(Stores!$F$2:$F$21,MATCH(B1429,Stores!$A$2:$A$21,0))</f>
        <v>5.51</v>
      </c>
      <c r="Z1429" s="33">
        <f>IF(Y1429&gt;Store_Summary!$M$2,1,0)</f>
        <v>1</v>
      </c>
      <c r="AA1429" s="33">
        <f>INDEX(Stores!$C$2:$C$21,MATCH(B1429,Stores!$A$2:$A$21,0))</f>
        <v>792</v>
      </c>
      <c r="AB1429" s="33">
        <f>IF(AA1429&lt;180,1,0)</f>
        <v>0</v>
      </c>
      <c r="AC1429" s="32" t="str">
        <f>IF(Orders!D1426="","",INDEX(Riders!$C$2:$C$81,MATCH(Orders!D1426,Riders!$A$2:$A$81,0)))</f>
        <v>Bicycle</v>
      </c>
      <c r="AD1429" s="33">
        <f>IF(Orders!D1426="","",INDEX(Riders!$D$2:$D$81,MATCH(Orders!D1426,Riders!$A$2:$A$81,0)))</f>
        <v>26</v>
      </c>
      <c r="AE1429" s="33">
        <f>IF(Orders!D1426="","",IF(INDEX(Riders!$B$2:$B$81,MATCH(Orders!D1426,Riders!$A$2:$A$81,0))=B1429,1,0))</f>
        <v>0</v>
      </c>
      <c r="AF1429" s="34">
        <f>IF(E1429=1,Orders!L1426,"")</f>
        <v>1.3</v>
      </c>
      <c r="AG1429" s="34">
        <f>IF(E1429=1,Orders!P1426,"")</f>
        <v>11.7</v>
      </c>
      <c r="AH1429" s="34">
        <f>IF(E1429=1,Orders!Q1426,"")</f>
        <v>10.9</v>
      </c>
      <c r="AI1429" s="34">
        <f>IF(E1429=1,Orders!M1426,"")</f>
        <v>4</v>
      </c>
      <c r="AJ1429" s="34">
        <f>IF(E1429=1,Orders!N1426,"")</f>
        <v>3.1</v>
      </c>
      <c r="AK1429" s="34">
        <f>IF(E1429=1,Orders!O1426,"")</f>
        <v>3.8</v>
      </c>
      <c r="AL1429" s="33">
        <f>IF(E1429=1,IF(ROUND(ABS(AI1429+AJ1429+AK1429-AH1429),6)&lt;=0.1,1,0),"")</f>
        <v>1</v>
      </c>
      <c r="AM1429" s="36">
        <f>IF(E1429=1,AI1429/AH1429,"")</f>
        <v>0.36697247706422</v>
      </c>
      <c r="AN1429" s="36">
        <f>IF(E1429=1,AJ1429/AH1429,"")</f>
        <v>0.284403669724771</v>
      </c>
      <c r="AO1429" s="36">
        <f>IF(E1429=1,AK1429/AH1429,"")</f>
        <v>0.348623853211009</v>
      </c>
      <c r="AP1429" s="34">
        <f>IF(E1429=1,Orders!Y1426,"")</f>
        <v>0.88</v>
      </c>
      <c r="AQ1429" s="33">
        <f>IF(Orders!X1426,1,0)</f>
        <v>0</v>
      </c>
      <c r="AR1429" s="34" t="str">
        <f>IF(AND(E1429=1,L1429=1),AJ1429,"")</f>
        <v/>
      </c>
      <c r="AS1429" s="34">
        <f>IF(AND(E1429=1,L1429=0),AJ1429,"")</f>
        <v>3.1</v>
      </c>
      <c r="AT1429" s="34" t="str">
        <f>IF(AND(E1429=1,L1429=1),AI1429,"")</f>
        <v/>
      </c>
      <c r="AU1429" s="34">
        <f>IF(AND(E1429=1,L1429=0),AI1429,"")</f>
        <v>4</v>
      </c>
      <c r="AV1429" s="34" t="str">
        <f>IF(AND(E1429=1,L1429=1),AG1429,"")</f>
        <v/>
      </c>
      <c r="AW1429" s="34">
        <f>IF(AND(E1429=1,L1429=0),AG1429,"")</f>
        <v>11.7</v>
      </c>
      <c r="AX1429" s="34" t="str">
        <f>IF(AND(E1429=1,L1429=1),AH1429,"")</f>
        <v/>
      </c>
      <c r="AY1429" s="34">
        <f>IF(AND(E1429=1,L1429=0),AH1429,"")</f>
        <v>10.9</v>
      </c>
      <c r="AZ1429" s="34" t="str">
        <f>IF(G1429=1,F1429,"")</f>
        <v/>
      </c>
      <c r="BA1429" s="34" t="str">
        <f>IF(AND(G1429=1,L1429=1),F1429,"")</f>
        <v/>
      </c>
      <c r="BB1429" s="34" t="str">
        <f>IF(AND(G1429=1,L1429=0),F1429,"")</f>
        <v/>
      </c>
      <c r="BC1429" s="33">
        <f>IF(E1429=1,IF(Orders!R1426&gt;3,1,0),"")</f>
        <v>0</v>
      </c>
      <c r="BD1429" s="33">
        <f>IF(E1429=1,IF(Orders!R1426&gt;7,1,0),"")</f>
        <v>0</v>
      </c>
      <c r="BE1429" s="32" t="str">
        <f>IF(E1429=1,IF(Orders!L1426&lt;=1.5,"Up to 1.5 km",IF(Orders!L1426&lt;=3,"1.5–3 km","Over 3 km")),"")</f>
        <v>Up to 1.5 km</v>
      </c>
      <c r="BF1429" s="33">
        <f>IF(E1429=1,IF(ABS((Orders!G1426-Orders!F1426)*1440-Orders!R1426)&lt;0.06,1,0),"")</f>
        <v>1</v>
      </c>
      <c r="BG1429" s="33">
        <f>IF(ABS((Orders!F1426-Orders!E1426)*1440-Orders!P1426)&lt;0.06,1,0)</f>
        <v>1</v>
      </c>
      <c r="BH1429" s="33">
        <f>IF(E1429=1,IF(IF(Orders!S1426,1,0)=1-G1429,1,0),"")</f>
        <v>1</v>
      </c>
      <c r="BI1429" s="32" t="str">
        <f>INDEX(Stores!$B$2:$B$21,MATCH(B1429,Stores!$A$2:$A$21,0))</f>
        <v>Bengaluru</v>
      </c>
    </row>
    <row r="1430">
      <c r="A1430" s="32" t="str">
        <f>Orders!A1427</f>
        <v>O01426</v>
      </c>
      <c r="B1430" s="32" t="str">
        <f>Orders!C1427</f>
        <v>S017</v>
      </c>
      <c r="C1430" s="32" t="str">
        <f>Orders!B1427</f>
        <v>C0103</v>
      </c>
      <c r="D1430" s="32" t="str">
        <f>Orders!H1427</f>
        <v>Delivered</v>
      </c>
      <c r="E1430" s="33">
        <f>IF(Orders!H1427="Delivered",1,0)</f>
        <v>1</v>
      </c>
      <c r="F1430" s="34">
        <f>IF(E1430=1,Orders!R1427,"")</f>
        <v>-1.6</v>
      </c>
      <c r="G1430" s="33">
        <f>IF(E1430=1,IF(Orders!R1427&gt;0,1,0),"")</f>
        <v>0</v>
      </c>
      <c r="H1430" s="33">
        <f>IF(E1430=1,IF(Orders!R1427&gt;5,1,0),"")</f>
        <v>0</v>
      </c>
      <c r="I1430" s="32" t="str">
        <f>IF(E1430=1,"",IF(OR(Orders!T1427="Rider unavailable",Orders!T1427="Item unavailable"),"Company-caused","Unresolved"))</f>
        <v/>
      </c>
      <c r="J1430" s="33">
        <f>IF(OR(E1430=1,I1430="Company-caused"),1,0)</f>
        <v>1</v>
      </c>
      <c r="K1430" s="32" t="str">
        <f>IF(E1430=0,IF(I1430="Company-caused",IF(Orders!T1427="Rider unavailable","C1 Rider unavailable","C2 Item unavailable"),"Outside root: unresolved"),IF(G1430=0,"A On time",IF(H1430=1,IF(L1430=1,"B2a Severe, peak","B2b Severe, off-peak"),IF(L1430=1,"B1a Slight, peak","B1b Slight, off-peak"))))</f>
        <v>A On time</v>
      </c>
      <c r="L1430" s="33">
        <f>IF(AND(Orders!U1427&gt;=19,Orders!U1427&lt;22),1,0)</f>
        <v>0</v>
      </c>
      <c r="M1430" s="33">
        <f>IF(L1430=IF(Orders!V1427,1,0),1,0)</f>
        <v>1</v>
      </c>
      <c r="N1430" s="32" t="str">
        <f>IF(Orders!W1427="","None",Orders!W1427)</f>
        <v>None</v>
      </c>
      <c r="O1430" s="35">
        <f>INT(Orders!E1427)</f>
        <v>46271.0</v>
      </c>
      <c r="P1430" s="33">
        <f>Orders!U1427</f>
        <v>12</v>
      </c>
      <c r="Q1430" s="33">
        <f>COUNTIFS(Demand!$A$2:$A$4481,B1430,Demand!$B$2:$B$4481,O1430,Demand!$C$2:$C$4481,P1430)</f>
        <v>1</v>
      </c>
      <c r="R1430" s="33">
        <f>IF(Q1430=1,SUMIFS(Demand!$E$2:$E$4481,Demand!$A$2:$A$4481,B1430,Demand!$B$2:$B$4481,O1430,Demand!$C$2:$C$4481,P1430),"")</f>
        <v>30</v>
      </c>
      <c r="S1430" s="33">
        <f>INDEX(Stores!$G$2:$G$21,MATCH(B1430,Stores!$A$2:$A$21,0))</f>
        <v>36</v>
      </c>
      <c r="T1430" s="34">
        <f>IF(R1430="","",R1430/S1430)</f>
        <v>0.833333333333333</v>
      </c>
      <c r="U1430" s="34">
        <f>IF(E1430=1,T1430,"")</f>
        <v>0.833333333333333</v>
      </c>
      <c r="V1430" s="34">
        <f>IF(AND(E1430=1,L1430=0),T1430,"")</f>
        <v>0.833333333333333</v>
      </c>
      <c r="W1430" s="33">
        <f>IF(U1430="","",IF(U1430&lt;=Breakdowns!$C$5,1,IF(U1430&lt;=Breakdowns!$C$6,2,IF(U1430&lt;=Breakdowns!$C$7,3,4))))</f>
        <v>2</v>
      </c>
      <c r="X1430" s="33">
        <f>IF(V1430="","",IF(V1430&lt;=Breakdowns!$D$5,1,IF(V1430&lt;=Breakdowns!$D$6,2,IF(V1430&lt;=Breakdowns!$D$7,3,4))))</f>
        <v>2</v>
      </c>
      <c r="Y1430" s="34">
        <f>INDEX(Stores!$F$2:$F$21,MATCH(B1430,Stores!$A$2:$A$21,0))</f>
        <v>2.16</v>
      </c>
      <c r="Z1430" s="33">
        <f>IF(Y1430&gt;Store_Summary!$M$2,1,0)</f>
        <v>0</v>
      </c>
      <c r="AA1430" s="33">
        <f>INDEX(Stores!$C$2:$C$21,MATCH(B1430,Stores!$A$2:$A$21,0))</f>
        <v>47</v>
      </c>
      <c r="AB1430" s="33">
        <f>IF(AA1430&lt;180,1,0)</f>
        <v>1</v>
      </c>
      <c r="AC1430" s="32" t="str">
        <f>IF(Orders!D1427="","",INDEX(Riders!$C$2:$C$81,MATCH(Orders!D1427,Riders!$A$2:$A$81,0)))</f>
        <v>Petrol scooter</v>
      </c>
      <c r="AD1430" s="33">
        <f>IF(Orders!D1427="","",INDEX(Riders!$D$2:$D$81,MATCH(Orders!D1427,Riders!$A$2:$A$81,0)))</f>
        <v>1</v>
      </c>
      <c r="AE1430" s="33">
        <f>IF(Orders!D1427="","",IF(INDEX(Riders!$B$2:$B$81,MATCH(Orders!D1427,Riders!$A$2:$A$81,0))=B1430,1,0))</f>
        <v>0</v>
      </c>
      <c r="AF1430" s="34">
        <f>IF(E1430=1,Orders!L1427,"")</f>
        <v>0.91</v>
      </c>
      <c r="AG1430" s="34">
        <f>IF(E1430=1,Orders!P1427,"")</f>
        <v>9.9</v>
      </c>
      <c r="AH1430" s="34">
        <f>IF(E1430=1,Orders!Q1427,"")</f>
        <v>8.3</v>
      </c>
      <c r="AI1430" s="34">
        <f>IF(E1430=1,Orders!M1427,"")</f>
        <v>2.2</v>
      </c>
      <c r="AJ1430" s="34">
        <f>IF(E1430=1,Orders!N1427,"")</f>
        <v>3.1</v>
      </c>
      <c r="AK1430" s="34">
        <f>IF(E1430=1,Orders!O1427,"")</f>
        <v>3</v>
      </c>
      <c r="AL1430" s="33">
        <f>IF(E1430=1,IF(ROUND(ABS(AI1430+AJ1430+AK1430-AH1430),6)&lt;=0.1,1,0),"")</f>
        <v>1</v>
      </c>
      <c r="AM1430" s="36">
        <f>IF(E1430=1,AI1430/AH1430,"")</f>
        <v>0.265060240963855</v>
      </c>
      <c r="AN1430" s="36">
        <f>IF(E1430=1,AJ1430/AH1430,"")</f>
        <v>0.373493975903614</v>
      </c>
      <c r="AO1430" s="36">
        <f>IF(E1430=1,AK1430/AH1430,"")</f>
        <v>0.36144578313253</v>
      </c>
      <c r="AP1430" s="34">
        <f>IF(E1430=1,Orders!Y1427,"")</f>
        <v>0.29</v>
      </c>
      <c r="AQ1430" s="33">
        <f>IF(Orders!X1427,1,0)</f>
        <v>0</v>
      </c>
      <c r="AR1430" s="34" t="str">
        <f>IF(AND(E1430=1,L1430=1),AJ1430,"")</f>
        <v/>
      </c>
      <c r="AS1430" s="34">
        <f>IF(AND(E1430=1,L1430=0),AJ1430,"")</f>
        <v>3.1</v>
      </c>
      <c r="AT1430" s="34" t="str">
        <f>IF(AND(E1430=1,L1430=1),AI1430,"")</f>
        <v/>
      </c>
      <c r="AU1430" s="34">
        <f>IF(AND(E1430=1,L1430=0),AI1430,"")</f>
        <v>2.2</v>
      </c>
      <c r="AV1430" s="34" t="str">
        <f>IF(AND(E1430=1,L1430=1),AG1430,"")</f>
        <v/>
      </c>
      <c r="AW1430" s="34">
        <f>IF(AND(E1430=1,L1430=0),AG1430,"")</f>
        <v>9.9</v>
      </c>
      <c r="AX1430" s="34" t="str">
        <f>IF(AND(E1430=1,L1430=1),AH1430,"")</f>
        <v/>
      </c>
      <c r="AY1430" s="34">
        <f>IF(AND(E1430=1,L1430=0),AH1430,"")</f>
        <v>8.3</v>
      </c>
      <c r="AZ1430" s="34" t="str">
        <f>IF(G1430=1,F1430,"")</f>
        <v/>
      </c>
      <c r="BA1430" s="34" t="str">
        <f>IF(AND(G1430=1,L1430=1),F1430,"")</f>
        <v/>
      </c>
      <c r="BB1430" s="34" t="str">
        <f>IF(AND(G1430=1,L1430=0),F1430,"")</f>
        <v/>
      </c>
      <c r="BC1430" s="33">
        <f>IF(E1430=1,IF(Orders!R1427&gt;3,1,0),"")</f>
        <v>0</v>
      </c>
      <c r="BD1430" s="33">
        <f>IF(E1430=1,IF(Orders!R1427&gt;7,1,0),"")</f>
        <v>0</v>
      </c>
      <c r="BE1430" s="32" t="str">
        <f>IF(E1430=1,IF(Orders!L1427&lt;=1.5,"Up to 1.5 km",IF(Orders!L1427&lt;=3,"1.5–3 km","Over 3 km")),"")</f>
        <v>Up to 1.5 km</v>
      </c>
      <c r="BF1430" s="33">
        <f>IF(E1430=1,IF(ABS((Orders!G1427-Orders!F1427)*1440-Orders!R1427)&lt;0.06,1,0),"")</f>
        <v>1</v>
      </c>
      <c r="BG1430" s="33">
        <f>IF(ABS((Orders!F1427-Orders!E1427)*1440-Orders!P1427)&lt;0.06,1,0)</f>
        <v>1</v>
      </c>
      <c r="BH1430" s="33">
        <f>IF(E1430=1,IF(IF(Orders!S1427,1,0)=1-G1430,1,0),"")</f>
        <v>1</v>
      </c>
      <c r="BI1430" s="32" t="str">
        <f>INDEX(Stores!$B$2:$B$21,MATCH(B1430,Stores!$A$2:$A$21,0))</f>
        <v>Hyderabad</v>
      </c>
    </row>
    <row r="1431">
      <c r="A1431" s="32" t="str">
        <f>Orders!A1428</f>
        <v>O01427</v>
      </c>
      <c r="B1431" s="32" t="str">
        <f>Orders!C1428</f>
        <v>S008</v>
      </c>
      <c r="C1431" s="32" t="str">
        <f>Orders!B1428</f>
        <v>C0129</v>
      </c>
      <c r="D1431" s="32" t="str">
        <f>Orders!H1428</f>
        <v>Delivered</v>
      </c>
      <c r="E1431" s="33">
        <f>IF(Orders!H1428="Delivered",1,0)</f>
        <v>1</v>
      </c>
      <c r="F1431" s="34">
        <f>IF(E1431=1,Orders!R1428,"")</f>
        <v>9.7</v>
      </c>
      <c r="G1431" s="33">
        <f>IF(E1431=1,IF(Orders!R1428&gt;0,1,0),"")</f>
        <v>1</v>
      </c>
      <c r="H1431" s="33">
        <f>IF(E1431=1,IF(Orders!R1428&gt;5,1,0),"")</f>
        <v>1</v>
      </c>
      <c r="I1431" s="32" t="str">
        <f>IF(E1431=1,"",IF(OR(Orders!T1428="Rider unavailable",Orders!T1428="Item unavailable"),"Company-caused","Unresolved"))</f>
        <v/>
      </c>
      <c r="J1431" s="33">
        <f>IF(OR(E1431=1,I1431="Company-caused"),1,0)</f>
        <v>1</v>
      </c>
      <c r="K1431" s="32" t="str">
        <f>IF(E1431=0,IF(I1431="Company-caused",IF(Orders!T1428="Rider unavailable","C1 Rider unavailable","C2 Item unavailable"),"Outside root: unresolved"),IF(G1431=0,"A On time",IF(H1431=1,IF(L1431=1,"B2a Severe, peak","B2b Severe, off-peak"),IF(L1431=1,"B1a Slight, peak","B1b Slight, off-peak"))))</f>
        <v>B2a Severe, peak</v>
      </c>
      <c r="L1431" s="33">
        <f>IF(AND(Orders!U1428&gt;=19,Orders!U1428&lt;22),1,0)</f>
        <v>1</v>
      </c>
      <c r="M1431" s="33">
        <f>IF(L1431=IF(Orders!V1428,1,0),1,0)</f>
        <v>1</v>
      </c>
      <c r="N1431" s="32" t="str">
        <f>IF(Orders!W1428="","None",Orders!W1428)</f>
        <v>None</v>
      </c>
      <c r="O1431" s="35">
        <f>INT(Orders!E1428)</f>
        <v>46276.0</v>
      </c>
      <c r="P1431" s="33">
        <f>Orders!U1428</f>
        <v>19</v>
      </c>
      <c r="Q1431" s="33">
        <f>COUNTIFS(Demand!$A$2:$A$4481,B1431,Demand!$B$2:$B$4481,O1431,Demand!$C$2:$C$4481,P1431)</f>
        <v>1</v>
      </c>
      <c r="R1431" s="33">
        <f>IF(Q1431=1,SUMIFS(Demand!$E$2:$E$4481,Demand!$A$2:$A$4481,B1431,Demand!$B$2:$B$4481,O1431,Demand!$C$2:$C$4481,P1431),"")</f>
        <v>38</v>
      </c>
      <c r="S1431" s="33">
        <f>INDEX(Stores!$G$2:$G$21,MATCH(B1431,Stores!$A$2:$A$21,0))</f>
        <v>23</v>
      </c>
      <c r="T1431" s="34">
        <f>IF(R1431="","",R1431/S1431)</f>
        <v>1.65217391304348</v>
      </c>
      <c r="U1431" s="34">
        <f>IF(E1431=1,T1431,"")</f>
        <v>1.65217391304348</v>
      </c>
      <c r="V1431" s="34" t="str">
        <f>IF(AND(E1431=1,L1431=0),T1431,"")</f>
        <v/>
      </c>
      <c r="W1431" s="33">
        <f>IF(U1431="","",IF(U1431&lt;=Breakdowns!$C$5,1,IF(U1431&lt;=Breakdowns!$C$6,2,IF(U1431&lt;=Breakdowns!$C$7,3,4))))</f>
        <v>4</v>
      </c>
      <c r="X1431" s="33" t="str">
        <f>IF(V1431="","",IF(V1431&lt;=Breakdowns!$D$5,1,IF(V1431&lt;=Breakdowns!$D$6,2,IF(V1431&lt;=Breakdowns!$D$7,3,4))))</f>
        <v/>
      </c>
      <c r="Y1431" s="34">
        <f>INDEX(Stores!$F$2:$F$21,MATCH(B1431,Stores!$A$2:$A$21,0))</f>
        <v>3.46</v>
      </c>
      <c r="Z1431" s="33">
        <f>IF(Y1431&gt;Store_Summary!$M$2,1,0)</f>
        <v>0</v>
      </c>
      <c r="AA1431" s="33">
        <f>INDEX(Stores!$C$2:$C$21,MATCH(B1431,Stores!$A$2:$A$21,0))</f>
        <v>825</v>
      </c>
      <c r="AB1431" s="33">
        <f>IF(AA1431&lt;180,1,0)</f>
        <v>0</v>
      </c>
      <c r="AC1431" s="32" t="str">
        <f>IF(Orders!D1428="","",INDEX(Riders!$C$2:$C$81,MATCH(Orders!D1428,Riders!$A$2:$A$81,0)))</f>
        <v>Petrol scooter</v>
      </c>
      <c r="AD1431" s="33">
        <f>IF(Orders!D1428="","",INDEX(Riders!$D$2:$D$81,MATCH(Orders!D1428,Riders!$A$2:$A$81,0)))</f>
        <v>19</v>
      </c>
      <c r="AE1431" s="33">
        <f>IF(Orders!D1428="","",IF(INDEX(Riders!$B$2:$B$81,MATCH(Orders!D1428,Riders!$A$2:$A$81,0))=B1431,1,0))</f>
        <v>0</v>
      </c>
      <c r="AF1431" s="34">
        <f>IF(E1431=1,Orders!L1428,"")</f>
        <v>2.8</v>
      </c>
      <c r="AG1431" s="34">
        <f>IF(E1431=1,Orders!P1428,"")</f>
        <v>8.8</v>
      </c>
      <c r="AH1431" s="34">
        <f>IF(E1431=1,Orders!Q1428,"")</f>
        <v>18.5</v>
      </c>
      <c r="AI1431" s="34">
        <f>IF(E1431=1,Orders!M1428,"")</f>
        <v>2</v>
      </c>
      <c r="AJ1431" s="34">
        <f>IF(E1431=1,Orders!N1428,"")</f>
        <v>10.2</v>
      </c>
      <c r="AK1431" s="34">
        <f>IF(E1431=1,Orders!O1428,"")</f>
        <v>6.4</v>
      </c>
      <c r="AL1431" s="33">
        <f>IF(E1431=1,IF(ROUND(ABS(AI1431+AJ1431+AK1431-AH1431),6)&lt;=0.1,1,0),"")</f>
        <v>1</v>
      </c>
      <c r="AM1431" s="36">
        <f>IF(E1431=1,AI1431/AH1431,"")</f>
        <v>0.108108108108108</v>
      </c>
      <c r="AN1431" s="36">
        <f>IF(E1431=1,AJ1431/AH1431,"")</f>
        <v>0.551351351351351</v>
      </c>
      <c r="AO1431" s="36">
        <f>IF(E1431=1,AK1431/AH1431,"")</f>
        <v>0.345945945945946</v>
      </c>
      <c r="AP1431" s="34">
        <f>IF(E1431=1,Orders!Y1428,"")</f>
        <v>0.52</v>
      </c>
      <c r="AQ1431" s="33">
        <f>IF(Orders!X1428,1,0)</f>
        <v>0</v>
      </c>
      <c r="AR1431" s="34">
        <f>IF(AND(E1431=1,L1431=1),AJ1431,"")</f>
        <v>10.2</v>
      </c>
      <c r="AS1431" s="34" t="str">
        <f>IF(AND(E1431=1,L1431=0),AJ1431,"")</f>
        <v/>
      </c>
      <c r="AT1431" s="34">
        <f>IF(AND(E1431=1,L1431=1),AI1431,"")</f>
        <v>2</v>
      </c>
      <c r="AU1431" s="34" t="str">
        <f>IF(AND(E1431=1,L1431=0),AI1431,"")</f>
        <v/>
      </c>
      <c r="AV1431" s="34">
        <f>IF(AND(E1431=1,L1431=1),AG1431,"")</f>
        <v>8.8</v>
      </c>
      <c r="AW1431" s="34" t="str">
        <f>IF(AND(E1431=1,L1431=0),AG1431,"")</f>
        <v/>
      </c>
      <c r="AX1431" s="34">
        <f>IF(AND(E1431=1,L1431=1),AH1431,"")</f>
        <v>18.5</v>
      </c>
      <c r="AY1431" s="34" t="str">
        <f>IF(AND(E1431=1,L1431=0),AH1431,"")</f>
        <v/>
      </c>
      <c r="AZ1431" s="34">
        <f>IF(G1431=1,F1431,"")</f>
        <v>9.7</v>
      </c>
      <c r="BA1431" s="34">
        <f>IF(AND(G1431=1,L1431=1),F1431,"")</f>
        <v>9.7</v>
      </c>
      <c r="BB1431" s="34" t="str">
        <f>IF(AND(G1431=1,L1431=0),F1431,"")</f>
        <v/>
      </c>
      <c r="BC1431" s="33">
        <f>IF(E1431=1,IF(Orders!R1428&gt;3,1,0),"")</f>
        <v>1</v>
      </c>
      <c r="BD1431" s="33">
        <f>IF(E1431=1,IF(Orders!R1428&gt;7,1,0),"")</f>
        <v>1</v>
      </c>
      <c r="BE1431" s="32" t="str">
        <f>IF(E1431=1,IF(Orders!L1428&lt;=1.5,"Up to 1.5 km",IF(Orders!L1428&lt;=3,"1.5–3 km","Over 3 km")),"")</f>
        <v>1.5–3 km</v>
      </c>
      <c r="BF1431" s="33">
        <f>IF(E1431=1,IF(ABS((Orders!G1428-Orders!F1428)*1440-Orders!R1428)&lt;0.06,1,0),"")</f>
        <v>1</v>
      </c>
      <c r="BG1431" s="33">
        <f>IF(ABS((Orders!F1428-Orders!E1428)*1440-Orders!P1428)&lt;0.06,1,0)</f>
        <v>1</v>
      </c>
      <c r="BH1431" s="33">
        <f>IF(E1431=1,IF(IF(Orders!S1428,1,0)=1-G1431,1,0),"")</f>
        <v>1</v>
      </c>
      <c r="BI1431" s="32" t="str">
        <f>INDEX(Stores!$B$2:$B$21,MATCH(B1431,Stores!$A$2:$A$21,0))</f>
        <v>Mumbai</v>
      </c>
    </row>
    <row r="1432">
      <c r="A1432" s="32" t="str">
        <f>Orders!A1429</f>
        <v>O01428</v>
      </c>
      <c r="B1432" s="32" t="str">
        <f>Orders!C1429</f>
        <v>S008</v>
      </c>
      <c r="C1432" s="32" t="str">
        <f>Orders!B1429</f>
        <v>C0167</v>
      </c>
      <c r="D1432" s="32" t="str">
        <f>Orders!H1429</f>
        <v>Delivered</v>
      </c>
      <c r="E1432" s="33">
        <f>IF(Orders!H1429="Delivered",1,0)</f>
        <v>1</v>
      </c>
      <c r="F1432" s="34">
        <f>IF(E1432=1,Orders!R1429,"")</f>
        <v>-0.2</v>
      </c>
      <c r="G1432" s="33">
        <f>IF(E1432=1,IF(Orders!R1429&gt;0,1,0),"")</f>
        <v>0</v>
      </c>
      <c r="H1432" s="33">
        <f>IF(E1432=1,IF(Orders!R1429&gt;5,1,0),"")</f>
        <v>0</v>
      </c>
      <c r="I1432" s="32" t="str">
        <f>IF(E1432=1,"",IF(OR(Orders!T1429="Rider unavailable",Orders!T1429="Item unavailable"),"Company-caused","Unresolved"))</f>
        <v/>
      </c>
      <c r="J1432" s="33">
        <f>IF(OR(E1432=1,I1432="Company-caused"),1,0)</f>
        <v>1</v>
      </c>
      <c r="K1432" s="32" t="str">
        <f>IF(E1432=0,IF(I1432="Company-caused",IF(Orders!T1429="Rider unavailable","C1 Rider unavailable","C2 Item unavailable"),"Outside root: unresolved"),IF(G1432=0,"A On time",IF(H1432=1,IF(L1432=1,"B2a Severe, peak","B2b Severe, off-peak"),IF(L1432=1,"B1a Slight, peak","B1b Slight, off-peak"))))</f>
        <v>A On time</v>
      </c>
      <c r="L1432" s="33">
        <f>IF(AND(Orders!U1429&gt;=19,Orders!U1429&lt;22),1,0)</f>
        <v>0</v>
      </c>
      <c r="M1432" s="33">
        <f>IF(L1432=IF(Orders!V1429,1,0),1,0)</f>
        <v>1</v>
      </c>
      <c r="N1432" s="32" t="str">
        <f>IF(Orders!W1429="","None",Orders!W1429)</f>
        <v>Light</v>
      </c>
      <c r="O1432" s="35">
        <f>INT(Orders!E1429)</f>
        <v>46270.0</v>
      </c>
      <c r="P1432" s="33">
        <f>Orders!U1429</f>
        <v>16</v>
      </c>
      <c r="Q1432" s="33">
        <f>COUNTIFS(Demand!$A$2:$A$4481,B1432,Demand!$B$2:$B$4481,O1432,Demand!$C$2:$C$4481,P1432)</f>
        <v>1</v>
      </c>
      <c r="R1432" s="33">
        <f>IF(Q1432=1,SUMIFS(Demand!$E$2:$E$4481,Demand!$A$2:$A$4481,B1432,Demand!$B$2:$B$4481,O1432,Demand!$C$2:$C$4481,P1432),"")</f>
        <v>17</v>
      </c>
      <c r="S1432" s="33">
        <f>INDEX(Stores!$G$2:$G$21,MATCH(B1432,Stores!$A$2:$A$21,0))</f>
        <v>23</v>
      </c>
      <c r="T1432" s="34">
        <f>IF(R1432="","",R1432/S1432)</f>
        <v>0.739130434782609</v>
      </c>
      <c r="U1432" s="34">
        <f>IF(E1432=1,T1432,"")</f>
        <v>0.739130434782609</v>
      </c>
      <c r="V1432" s="34">
        <f>IF(AND(E1432=1,L1432=0),T1432,"")</f>
        <v>0.739130434782609</v>
      </c>
      <c r="W1432" s="33">
        <f>IF(U1432="","",IF(U1432&lt;=Breakdowns!$C$5,1,IF(U1432&lt;=Breakdowns!$C$6,2,IF(U1432&lt;=Breakdowns!$C$7,3,4))))</f>
        <v>1</v>
      </c>
      <c r="X1432" s="33">
        <f>IF(V1432="","",IF(V1432&lt;=Breakdowns!$D$5,1,IF(V1432&lt;=Breakdowns!$D$6,2,IF(V1432&lt;=Breakdowns!$D$7,3,4))))</f>
        <v>1</v>
      </c>
      <c r="Y1432" s="34">
        <f>INDEX(Stores!$F$2:$F$21,MATCH(B1432,Stores!$A$2:$A$21,0))</f>
        <v>3.46</v>
      </c>
      <c r="Z1432" s="33">
        <f>IF(Y1432&gt;Store_Summary!$M$2,1,0)</f>
        <v>0</v>
      </c>
      <c r="AA1432" s="33">
        <f>INDEX(Stores!$C$2:$C$21,MATCH(B1432,Stores!$A$2:$A$21,0))</f>
        <v>825</v>
      </c>
      <c r="AB1432" s="33">
        <f>IF(AA1432&lt;180,1,0)</f>
        <v>0</v>
      </c>
      <c r="AC1432" s="32" t="str">
        <f>IF(Orders!D1429="","",INDEX(Riders!$C$2:$C$81,MATCH(Orders!D1429,Riders!$A$2:$A$81,0)))</f>
        <v>EV scooter</v>
      </c>
      <c r="AD1432" s="33">
        <f>IF(Orders!D1429="","",INDEX(Riders!$D$2:$D$81,MATCH(Orders!D1429,Riders!$A$2:$A$81,0)))</f>
        <v>11</v>
      </c>
      <c r="AE1432" s="33">
        <f>IF(Orders!D1429="","",IF(INDEX(Riders!$B$2:$B$81,MATCH(Orders!D1429,Riders!$A$2:$A$81,0))=B1432,1,0))</f>
        <v>0</v>
      </c>
      <c r="AF1432" s="34">
        <f>IF(E1432=1,Orders!L1429,"")</f>
        <v>1.81</v>
      </c>
      <c r="AG1432" s="34">
        <f>IF(E1432=1,Orders!P1429,"")</f>
        <v>10.4</v>
      </c>
      <c r="AH1432" s="34">
        <f>IF(E1432=1,Orders!Q1429,"")</f>
        <v>10.2</v>
      </c>
      <c r="AI1432" s="34">
        <f>IF(E1432=1,Orders!M1429,"")</f>
        <v>4.9</v>
      </c>
      <c r="AJ1432" s="34">
        <f>IF(E1432=1,Orders!N1429,"")</f>
        <v>0</v>
      </c>
      <c r="AK1432" s="34">
        <f>IF(E1432=1,Orders!O1429,"")</f>
        <v>5.3</v>
      </c>
      <c r="AL1432" s="33">
        <f>IF(E1432=1,IF(ROUND(ABS(AI1432+AJ1432+AK1432-AH1432),6)&lt;=0.1,1,0),"")</f>
        <v>1</v>
      </c>
      <c r="AM1432" s="36">
        <f>IF(E1432=1,AI1432/AH1432,"")</f>
        <v>0.480392156862745</v>
      </c>
      <c r="AN1432" s="36">
        <f>IF(E1432=1,AJ1432/AH1432,"")</f>
        <v>0</v>
      </c>
      <c r="AO1432" s="36">
        <f>IF(E1432=1,AK1432/AH1432,"")</f>
        <v>0.519607843137255</v>
      </c>
      <c r="AP1432" s="34">
        <f>IF(E1432=1,Orders!Y1429,"")</f>
        <v>0.68</v>
      </c>
      <c r="AQ1432" s="33">
        <f>IF(Orders!X1429,1,0)</f>
        <v>0</v>
      </c>
      <c r="AR1432" s="34" t="str">
        <f>IF(AND(E1432=1,L1432=1),AJ1432,"")</f>
        <v/>
      </c>
      <c r="AS1432" s="34">
        <f>IF(AND(E1432=1,L1432=0),AJ1432,"")</f>
        <v>0</v>
      </c>
      <c r="AT1432" s="34" t="str">
        <f>IF(AND(E1432=1,L1432=1),AI1432,"")</f>
        <v/>
      </c>
      <c r="AU1432" s="34">
        <f>IF(AND(E1432=1,L1432=0),AI1432,"")</f>
        <v>4.9</v>
      </c>
      <c r="AV1432" s="34" t="str">
        <f>IF(AND(E1432=1,L1432=1),AG1432,"")</f>
        <v/>
      </c>
      <c r="AW1432" s="34">
        <f>IF(AND(E1432=1,L1432=0),AG1432,"")</f>
        <v>10.4</v>
      </c>
      <c r="AX1432" s="34" t="str">
        <f>IF(AND(E1432=1,L1432=1),AH1432,"")</f>
        <v/>
      </c>
      <c r="AY1432" s="34">
        <f>IF(AND(E1432=1,L1432=0),AH1432,"")</f>
        <v>10.2</v>
      </c>
      <c r="AZ1432" s="34" t="str">
        <f>IF(G1432=1,F1432,"")</f>
        <v/>
      </c>
      <c r="BA1432" s="34" t="str">
        <f>IF(AND(G1432=1,L1432=1),F1432,"")</f>
        <v/>
      </c>
      <c r="BB1432" s="34" t="str">
        <f>IF(AND(G1432=1,L1432=0),F1432,"")</f>
        <v/>
      </c>
      <c r="BC1432" s="33">
        <f>IF(E1432=1,IF(Orders!R1429&gt;3,1,0),"")</f>
        <v>0</v>
      </c>
      <c r="BD1432" s="33">
        <f>IF(E1432=1,IF(Orders!R1429&gt;7,1,0),"")</f>
        <v>0</v>
      </c>
      <c r="BE1432" s="32" t="str">
        <f>IF(E1432=1,IF(Orders!L1429&lt;=1.5,"Up to 1.5 km",IF(Orders!L1429&lt;=3,"1.5–3 km","Over 3 km")),"")</f>
        <v>1.5–3 km</v>
      </c>
      <c r="BF1432" s="33">
        <f>IF(E1432=1,IF(ABS((Orders!G1429-Orders!F1429)*1440-Orders!R1429)&lt;0.06,1,0),"")</f>
        <v>1</v>
      </c>
      <c r="BG1432" s="33">
        <f>IF(ABS((Orders!F1429-Orders!E1429)*1440-Orders!P1429)&lt;0.06,1,0)</f>
        <v>1</v>
      </c>
      <c r="BH1432" s="33">
        <f>IF(E1432=1,IF(IF(Orders!S1429,1,0)=1-G1432,1,0),"")</f>
        <v>1</v>
      </c>
      <c r="BI1432" s="32" t="str">
        <f>INDEX(Stores!$B$2:$B$21,MATCH(B1432,Stores!$A$2:$A$21,0))</f>
        <v>Mumbai</v>
      </c>
    </row>
    <row r="1433">
      <c r="A1433" s="32" t="str">
        <f>Orders!A1430</f>
        <v>O01429</v>
      </c>
      <c r="B1433" s="32" t="str">
        <f>Orders!C1430</f>
        <v>S002</v>
      </c>
      <c r="C1433" s="32" t="str">
        <f>Orders!B1430</f>
        <v>C0125</v>
      </c>
      <c r="D1433" s="32" t="str">
        <f>Orders!H1430</f>
        <v>Delivered</v>
      </c>
      <c r="E1433" s="33">
        <f>IF(Orders!H1430="Delivered",1,0)</f>
        <v>1</v>
      </c>
      <c r="F1433" s="34">
        <f>IF(E1433=1,Orders!R1430,"")</f>
        <v>4.7</v>
      </c>
      <c r="G1433" s="33">
        <f>IF(E1433=1,IF(Orders!R1430&gt;0,1,0),"")</f>
        <v>1</v>
      </c>
      <c r="H1433" s="33">
        <f>IF(E1433=1,IF(Orders!R1430&gt;5,1,0),"")</f>
        <v>0</v>
      </c>
      <c r="I1433" s="32" t="str">
        <f>IF(E1433=1,"",IF(OR(Orders!T1430="Rider unavailable",Orders!T1430="Item unavailable"),"Company-caused","Unresolved"))</f>
        <v/>
      </c>
      <c r="J1433" s="33">
        <f>IF(OR(E1433=1,I1433="Company-caused"),1,0)</f>
        <v>1</v>
      </c>
      <c r="K1433" s="32" t="str">
        <f>IF(E1433=0,IF(I1433="Company-caused",IF(Orders!T1430="Rider unavailable","C1 Rider unavailable","C2 Item unavailable"),"Outside root: unresolved"),IF(G1433=0,"A On time",IF(H1433=1,IF(L1433=1,"B2a Severe, peak","B2b Severe, off-peak"),IF(L1433=1,"B1a Slight, peak","B1b Slight, off-peak"))))</f>
        <v>B1b Slight, off-peak</v>
      </c>
      <c r="L1433" s="33">
        <f>IF(AND(Orders!U1430&gt;=19,Orders!U1430&lt;22),1,0)</f>
        <v>0</v>
      </c>
      <c r="M1433" s="33">
        <f>IF(L1433=IF(Orders!V1430,1,0),1,0)</f>
        <v>1</v>
      </c>
      <c r="N1433" s="32" t="str">
        <f>IF(Orders!W1430="","None",Orders!W1430)</f>
        <v>None</v>
      </c>
      <c r="O1433" s="35">
        <f>INT(Orders!E1430)</f>
        <v>46268.0</v>
      </c>
      <c r="P1433" s="33">
        <f>Orders!U1430</f>
        <v>11</v>
      </c>
      <c r="Q1433" s="33">
        <f>COUNTIFS(Demand!$A$2:$A$4481,B1433,Demand!$B$2:$B$4481,O1433,Demand!$C$2:$C$4481,P1433)</f>
        <v>1</v>
      </c>
      <c r="R1433" s="33">
        <f>IF(Q1433=1,SUMIFS(Demand!$E$2:$E$4481,Demand!$A$2:$A$4481,B1433,Demand!$B$2:$B$4481,O1433,Demand!$C$2:$C$4481,P1433),"")</f>
        <v>38</v>
      </c>
      <c r="S1433" s="33">
        <f>INDEX(Stores!$G$2:$G$21,MATCH(B1433,Stores!$A$2:$A$21,0))</f>
        <v>33</v>
      </c>
      <c r="T1433" s="34">
        <f>IF(R1433="","",R1433/S1433)</f>
        <v>1.15151515151515</v>
      </c>
      <c r="U1433" s="34">
        <f>IF(E1433=1,T1433,"")</f>
        <v>1.15151515151515</v>
      </c>
      <c r="V1433" s="34">
        <f>IF(AND(E1433=1,L1433=0),T1433,"")</f>
        <v>1.15151515151515</v>
      </c>
      <c r="W1433" s="33">
        <f>IF(U1433="","",IF(U1433&lt;=Breakdowns!$C$5,1,IF(U1433&lt;=Breakdowns!$C$6,2,IF(U1433&lt;=Breakdowns!$C$7,3,4))))</f>
        <v>3</v>
      </c>
      <c r="X1433" s="33">
        <f>IF(V1433="","",IF(V1433&lt;=Breakdowns!$D$5,1,IF(V1433&lt;=Breakdowns!$D$6,2,IF(V1433&lt;=Breakdowns!$D$7,3,4))))</f>
        <v>4</v>
      </c>
      <c r="Y1433" s="34">
        <f>INDEX(Stores!$F$2:$F$21,MATCH(B1433,Stores!$A$2:$A$21,0))</f>
        <v>2.39</v>
      </c>
      <c r="Z1433" s="33">
        <f>IF(Y1433&gt;Store_Summary!$M$2,1,0)</f>
        <v>0</v>
      </c>
      <c r="AA1433" s="33">
        <f>INDEX(Stores!$C$2:$C$21,MATCH(B1433,Stores!$A$2:$A$21,0))</f>
        <v>470</v>
      </c>
      <c r="AB1433" s="33">
        <f>IF(AA1433&lt;180,1,0)</f>
        <v>0</v>
      </c>
      <c r="AC1433" s="32" t="str">
        <f>IF(Orders!D1430="","",INDEX(Riders!$C$2:$C$81,MATCH(Orders!D1430,Riders!$A$2:$A$81,0)))</f>
        <v>EV scooter</v>
      </c>
      <c r="AD1433" s="33">
        <f>IF(Orders!D1430="","",INDEX(Riders!$D$2:$D$81,MATCH(Orders!D1430,Riders!$A$2:$A$81,0)))</f>
        <v>45</v>
      </c>
      <c r="AE1433" s="33">
        <f>IF(Orders!D1430="","",IF(INDEX(Riders!$B$2:$B$81,MATCH(Orders!D1430,Riders!$A$2:$A$81,0))=B1433,1,0))</f>
        <v>0</v>
      </c>
      <c r="AF1433" s="34">
        <f>IF(E1433=1,Orders!L1430,"")</f>
        <v>2.17</v>
      </c>
      <c r="AG1433" s="34">
        <f>IF(E1433=1,Orders!P1430,"")</f>
        <v>10.4</v>
      </c>
      <c r="AH1433" s="34">
        <f>IF(E1433=1,Orders!Q1430,"")</f>
        <v>15.1</v>
      </c>
      <c r="AI1433" s="34">
        <f>IF(E1433=1,Orders!M1430,"")</f>
        <v>2.7</v>
      </c>
      <c r="AJ1433" s="34">
        <f>IF(E1433=1,Orders!N1430,"")</f>
        <v>5.7</v>
      </c>
      <c r="AK1433" s="34">
        <f>IF(E1433=1,Orders!O1430,"")</f>
        <v>6.7</v>
      </c>
      <c r="AL1433" s="33">
        <f>IF(E1433=1,IF(ROUND(ABS(AI1433+AJ1433+AK1433-AH1433),6)&lt;=0.1,1,0),"")</f>
        <v>1</v>
      </c>
      <c r="AM1433" s="36">
        <f>IF(E1433=1,AI1433/AH1433,"")</f>
        <v>0.178807947019868</v>
      </c>
      <c r="AN1433" s="36">
        <f>IF(E1433=1,AJ1433/AH1433,"")</f>
        <v>0.377483443708609</v>
      </c>
      <c r="AO1433" s="36">
        <f>IF(E1433=1,AK1433/AH1433,"")</f>
        <v>0.443708609271523</v>
      </c>
      <c r="AP1433" s="34">
        <f>IF(E1433=1,Orders!Y1430,"")</f>
        <v>0.54</v>
      </c>
      <c r="AQ1433" s="33">
        <f>IF(Orders!X1430,1,0)</f>
        <v>0</v>
      </c>
      <c r="AR1433" s="34" t="str">
        <f>IF(AND(E1433=1,L1433=1),AJ1433,"")</f>
        <v/>
      </c>
      <c r="AS1433" s="34">
        <f>IF(AND(E1433=1,L1433=0),AJ1433,"")</f>
        <v>5.7</v>
      </c>
      <c r="AT1433" s="34" t="str">
        <f>IF(AND(E1433=1,L1433=1),AI1433,"")</f>
        <v/>
      </c>
      <c r="AU1433" s="34">
        <f>IF(AND(E1433=1,L1433=0),AI1433,"")</f>
        <v>2.7</v>
      </c>
      <c r="AV1433" s="34" t="str">
        <f>IF(AND(E1433=1,L1433=1),AG1433,"")</f>
        <v/>
      </c>
      <c r="AW1433" s="34">
        <f>IF(AND(E1433=1,L1433=0),AG1433,"")</f>
        <v>10.4</v>
      </c>
      <c r="AX1433" s="34" t="str">
        <f>IF(AND(E1433=1,L1433=1),AH1433,"")</f>
        <v/>
      </c>
      <c r="AY1433" s="34">
        <f>IF(AND(E1433=1,L1433=0),AH1433,"")</f>
        <v>15.1</v>
      </c>
      <c r="AZ1433" s="34">
        <f>IF(G1433=1,F1433,"")</f>
        <v>4.7</v>
      </c>
      <c r="BA1433" s="34" t="str">
        <f>IF(AND(G1433=1,L1433=1),F1433,"")</f>
        <v/>
      </c>
      <c r="BB1433" s="34">
        <f>IF(AND(G1433=1,L1433=0),F1433,"")</f>
        <v>4.7</v>
      </c>
      <c r="BC1433" s="33">
        <f>IF(E1433=1,IF(Orders!R1430&gt;3,1,0),"")</f>
        <v>1</v>
      </c>
      <c r="BD1433" s="33">
        <f>IF(E1433=1,IF(Orders!R1430&gt;7,1,0),"")</f>
        <v>0</v>
      </c>
      <c r="BE1433" s="32" t="str">
        <f>IF(E1433=1,IF(Orders!L1430&lt;=1.5,"Up to 1.5 km",IF(Orders!L1430&lt;=3,"1.5–3 km","Over 3 km")),"")</f>
        <v>1.5–3 km</v>
      </c>
      <c r="BF1433" s="33">
        <f>IF(E1433=1,IF(ABS((Orders!G1430-Orders!F1430)*1440-Orders!R1430)&lt;0.06,1,0),"")</f>
        <v>1</v>
      </c>
      <c r="BG1433" s="33">
        <f>IF(ABS((Orders!F1430-Orders!E1430)*1440-Orders!P1430)&lt;0.06,1,0)</f>
        <v>1</v>
      </c>
      <c r="BH1433" s="33">
        <f>IF(E1433=1,IF(IF(Orders!S1430,1,0)=1-G1433,1,0),"")</f>
        <v>1</v>
      </c>
      <c r="BI1433" s="32" t="str">
        <f>INDEX(Stores!$B$2:$B$21,MATCH(B1433,Stores!$A$2:$A$21,0))</f>
        <v>Hyderabad</v>
      </c>
    </row>
    <row r="1434">
      <c r="A1434" s="32" t="str">
        <f>Orders!A1431</f>
        <v>O01430</v>
      </c>
      <c r="B1434" s="32" t="str">
        <f>Orders!C1431</f>
        <v>S020</v>
      </c>
      <c r="C1434" s="32" t="str">
        <f>Orders!B1431</f>
        <v>C0119</v>
      </c>
      <c r="D1434" s="32" t="str">
        <f>Orders!H1431</f>
        <v>Delivered</v>
      </c>
      <c r="E1434" s="33">
        <f>IF(Orders!H1431="Delivered",1,0)</f>
        <v>1</v>
      </c>
      <c r="F1434" s="34">
        <f>IF(E1434=1,Orders!R1431,"")</f>
        <v>-0.7</v>
      </c>
      <c r="G1434" s="33">
        <f>IF(E1434=1,IF(Orders!R1431&gt;0,1,0),"")</f>
        <v>0</v>
      </c>
      <c r="H1434" s="33">
        <f>IF(E1434=1,IF(Orders!R1431&gt;5,1,0),"")</f>
        <v>0</v>
      </c>
      <c r="I1434" s="32" t="str">
        <f>IF(E1434=1,"",IF(OR(Orders!T1431="Rider unavailable",Orders!T1431="Item unavailable"),"Company-caused","Unresolved"))</f>
        <v/>
      </c>
      <c r="J1434" s="33">
        <f>IF(OR(E1434=1,I1434="Company-caused"),1,0)</f>
        <v>1</v>
      </c>
      <c r="K1434" s="32" t="str">
        <f>IF(E1434=0,IF(I1434="Company-caused",IF(Orders!T1431="Rider unavailable","C1 Rider unavailable","C2 Item unavailable"),"Outside root: unresolved"),IF(G1434=0,"A On time",IF(H1434=1,IF(L1434=1,"B2a Severe, peak","B2b Severe, off-peak"),IF(L1434=1,"B1a Slight, peak","B1b Slight, off-peak"))))</f>
        <v>A On time</v>
      </c>
      <c r="L1434" s="33">
        <f>IF(AND(Orders!U1431&gt;=19,Orders!U1431&lt;22),1,0)</f>
        <v>0</v>
      </c>
      <c r="M1434" s="33">
        <f>IF(L1434=IF(Orders!V1431,1,0),1,0)</f>
        <v>1</v>
      </c>
      <c r="N1434" s="32" t="str">
        <f>IF(Orders!W1431="","None",Orders!W1431)</f>
        <v>None</v>
      </c>
      <c r="O1434" s="35">
        <f>INT(Orders!E1431)</f>
        <v>46277.0</v>
      </c>
      <c r="P1434" s="33">
        <f>Orders!U1431</f>
        <v>16</v>
      </c>
      <c r="Q1434" s="33">
        <f>COUNTIFS(Demand!$A$2:$A$4481,B1434,Demand!$B$2:$B$4481,O1434,Demand!$C$2:$C$4481,P1434)</f>
        <v>1</v>
      </c>
      <c r="R1434" s="33">
        <f>IF(Q1434=1,SUMIFS(Demand!$E$2:$E$4481,Demand!$A$2:$A$4481,B1434,Demand!$B$2:$B$4481,O1434,Demand!$C$2:$C$4481,P1434),"")</f>
        <v>25</v>
      </c>
      <c r="S1434" s="33">
        <f>INDEX(Stores!$G$2:$G$21,MATCH(B1434,Stores!$A$2:$A$21,0))</f>
        <v>15</v>
      </c>
      <c r="T1434" s="34">
        <f>IF(R1434="","",R1434/S1434)</f>
        <v>1.66666666666667</v>
      </c>
      <c r="U1434" s="34">
        <f>IF(E1434=1,T1434,"")</f>
        <v>1.66666666666667</v>
      </c>
      <c r="V1434" s="34">
        <f>IF(AND(E1434=1,L1434=0),T1434,"")</f>
        <v>1.66666666666667</v>
      </c>
      <c r="W1434" s="33">
        <f>IF(U1434="","",IF(U1434&lt;=Breakdowns!$C$5,1,IF(U1434&lt;=Breakdowns!$C$6,2,IF(U1434&lt;=Breakdowns!$C$7,3,4))))</f>
        <v>4</v>
      </c>
      <c r="X1434" s="33">
        <f>IF(V1434="","",IF(V1434&lt;=Breakdowns!$D$5,1,IF(V1434&lt;=Breakdowns!$D$6,2,IF(V1434&lt;=Breakdowns!$D$7,3,4))))</f>
        <v>4</v>
      </c>
      <c r="Y1434" s="34">
        <f>INDEX(Stores!$F$2:$F$21,MATCH(B1434,Stores!$A$2:$A$21,0))</f>
        <v>5.74</v>
      </c>
      <c r="Z1434" s="33">
        <f>IF(Y1434&gt;Store_Summary!$M$2,1,0)</f>
        <v>1</v>
      </c>
      <c r="AA1434" s="33">
        <f>INDEX(Stores!$C$2:$C$21,MATCH(B1434,Stores!$A$2:$A$21,0))</f>
        <v>647</v>
      </c>
      <c r="AB1434" s="33">
        <f>IF(AA1434&lt;180,1,0)</f>
        <v>0</v>
      </c>
      <c r="AC1434" s="32" t="str">
        <f>IF(Orders!D1431="","",INDEX(Riders!$C$2:$C$81,MATCH(Orders!D1431,Riders!$A$2:$A$81,0)))</f>
        <v>Petrol scooter</v>
      </c>
      <c r="AD1434" s="33">
        <f>IF(Orders!D1431="","",INDEX(Riders!$D$2:$D$81,MATCH(Orders!D1431,Riders!$A$2:$A$81,0)))</f>
        <v>44</v>
      </c>
      <c r="AE1434" s="33">
        <f>IF(Orders!D1431="","",IF(INDEX(Riders!$B$2:$B$81,MATCH(Orders!D1431,Riders!$A$2:$A$81,0))=B1434,1,0))</f>
        <v>0</v>
      </c>
      <c r="AF1434" s="34">
        <f>IF(E1434=1,Orders!L1431,"")</f>
        <v>2.71</v>
      </c>
      <c r="AG1434" s="34">
        <f>IF(E1434=1,Orders!P1431,"")</f>
        <v>13</v>
      </c>
      <c r="AH1434" s="34">
        <f>IF(E1434=1,Orders!Q1431,"")</f>
        <v>12.3</v>
      </c>
      <c r="AI1434" s="34">
        <f>IF(E1434=1,Orders!M1431,"")</f>
        <v>5.5</v>
      </c>
      <c r="AJ1434" s="34">
        <f>IF(E1434=1,Orders!N1431,"")</f>
        <v>2.4</v>
      </c>
      <c r="AK1434" s="34">
        <f>IF(E1434=1,Orders!O1431,"")</f>
        <v>4.4</v>
      </c>
      <c r="AL1434" s="33">
        <f>IF(E1434=1,IF(ROUND(ABS(AI1434+AJ1434+AK1434-AH1434),6)&lt;=0.1,1,0),"")</f>
        <v>1</v>
      </c>
      <c r="AM1434" s="36">
        <f>IF(E1434=1,AI1434/AH1434,"")</f>
        <v>0.447154471544715</v>
      </c>
      <c r="AN1434" s="36">
        <f>IF(E1434=1,AJ1434/AH1434,"")</f>
        <v>0.195121951219512</v>
      </c>
      <c r="AO1434" s="36">
        <f>IF(E1434=1,AK1434/AH1434,"")</f>
        <v>0.357723577235772</v>
      </c>
      <c r="AP1434" s="34">
        <f>IF(E1434=1,Orders!Y1431,"")</f>
        <v>0.48</v>
      </c>
      <c r="AQ1434" s="33">
        <f>IF(Orders!X1431,1,0)</f>
        <v>0</v>
      </c>
      <c r="AR1434" s="34" t="str">
        <f>IF(AND(E1434=1,L1434=1),AJ1434,"")</f>
        <v/>
      </c>
      <c r="AS1434" s="34">
        <f>IF(AND(E1434=1,L1434=0),AJ1434,"")</f>
        <v>2.4</v>
      </c>
      <c r="AT1434" s="34" t="str">
        <f>IF(AND(E1434=1,L1434=1),AI1434,"")</f>
        <v/>
      </c>
      <c r="AU1434" s="34">
        <f>IF(AND(E1434=1,L1434=0),AI1434,"")</f>
        <v>5.5</v>
      </c>
      <c r="AV1434" s="34" t="str">
        <f>IF(AND(E1434=1,L1434=1),AG1434,"")</f>
        <v/>
      </c>
      <c r="AW1434" s="34">
        <f>IF(AND(E1434=1,L1434=0),AG1434,"")</f>
        <v>13</v>
      </c>
      <c r="AX1434" s="34" t="str">
        <f>IF(AND(E1434=1,L1434=1),AH1434,"")</f>
        <v/>
      </c>
      <c r="AY1434" s="34">
        <f>IF(AND(E1434=1,L1434=0),AH1434,"")</f>
        <v>12.3</v>
      </c>
      <c r="AZ1434" s="34" t="str">
        <f>IF(G1434=1,F1434,"")</f>
        <v/>
      </c>
      <c r="BA1434" s="34" t="str">
        <f>IF(AND(G1434=1,L1434=1),F1434,"")</f>
        <v/>
      </c>
      <c r="BB1434" s="34" t="str">
        <f>IF(AND(G1434=1,L1434=0),F1434,"")</f>
        <v/>
      </c>
      <c r="BC1434" s="33">
        <f>IF(E1434=1,IF(Orders!R1431&gt;3,1,0),"")</f>
        <v>0</v>
      </c>
      <c r="BD1434" s="33">
        <f>IF(E1434=1,IF(Orders!R1431&gt;7,1,0),"")</f>
        <v>0</v>
      </c>
      <c r="BE1434" s="32" t="str">
        <f>IF(E1434=1,IF(Orders!L1431&lt;=1.5,"Up to 1.5 km",IF(Orders!L1431&lt;=3,"1.5–3 km","Over 3 km")),"")</f>
        <v>1.5–3 km</v>
      </c>
      <c r="BF1434" s="33">
        <f>IF(E1434=1,IF(ABS((Orders!G1431-Orders!F1431)*1440-Orders!R1431)&lt;0.06,1,0),"")</f>
        <v>1</v>
      </c>
      <c r="BG1434" s="33">
        <f>IF(ABS((Orders!F1431-Orders!E1431)*1440-Orders!P1431)&lt;0.06,1,0)</f>
        <v>1</v>
      </c>
      <c r="BH1434" s="33">
        <f>IF(E1434=1,IF(IF(Orders!S1431,1,0)=1-G1434,1,0),"")</f>
        <v>1</v>
      </c>
      <c r="BI1434" s="32" t="str">
        <f>INDEX(Stores!$B$2:$B$21,MATCH(B1434,Stores!$A$2:$A$21,0))</f>
        <v>Delhi</v>
      </c>
    </row>
    <row r="1435">
      <c r="A1435" s="32" t="str">
        <f>Orders!A1432</f>
        <v>O01431</v>
      </c>
      <c r="B1435" s="32" t="str">
        <f>Orders!C1432</f>
        <v>S015</v>
      </c>
      <c r="C1435" s="32" t="str">
        <f>Orders!B1432</f>
        <v>C0111</v>
      </c>
      <c r="D1435" s="32" t="str">
        <f>Orders!H1432</f>
        <v>Delivered</v>
      </c>
      <c r="E1435" s="33">
        <f>IF(Orders!H1432="Delivered",1,0)</f>
        <v>1</v>
      </c>
      <c r="F1435" s="34">
        <f>IF(E1435=1,Orders!R1432,"")</f>
        <v>-0.9</v>
      </c>
      <c r="G1435" s="33">
        <f>IF(E1435=1,IF(Orders!R1432&gt;0,1,0),"")</f>
        <v>0</v>
      </c>
      <c r="H1435" s="33">
        <f>IF(E1435=1,IF(Orders!R1432&gt;5,1,0),"")</f>
        <v>0</v>
      </c>
      <c r="I1435" s="32" t="str">
        <f>IF(E1435=1,"",IF(OR(Orders!T1432="Rider unavailable",Orders!T1432="Item unavailable"),"Company-caused","Unresolved"))</f>
        <v/>
      </c>
      <c r="J1435" s="33">
        <f>IF(OR(E1435=1,I1435="Company-caused"),1,0)</f>
        <v>1</v>
      </c>
      <c r="K1435" s="32" t="str">
        <f>IF(E1435=0,IF(I1435="Company-caused",IF(Orders!T1432="Rider unavailable","C1 Rider unavailable","C2 Item unavailable"),"Outside root: unresolved"),IF(G1435=0,"A On time",IF(H1435=1,IF(L1435=1,"B2a Severe, peak","B2b Severe, off-peak"),IF(L1435=1,"B1a Slight, peak","B1b Slight, off-peak"))))</f>
        <v>A On time</v>
      </c>
      <c r="L1435" s="33">
        <f>IF(AND(Orders!U1432&gt;=19,Orders!U1432&lt;22),1,0)</f>
        <v>1</v>
      </c>
      <c r="M1435" s="33">
        <f>IF(L1435=IF(Orders!V1432,1,0),1,0)</f>
        <v>1</v>
      </c>
      <c r="N1435" s="32" t="str">
        <f>IF(Orders!W1432="","None",Orders!W1432)</f>
        <v>None</v>
      </c>
      <c r="O1435" s="35">
        <f>INT(Orders!E1432)</f>
        <v>46272.0</v>
      </c>
      <c r="P1435" s="33">
        <f>Orders!U1432</f>
        <v>19</v>
      </c>
      <c r="Q1435" s="33">
        <f>COUNTIFS(Demand!$A$2:$A$4481,B1435,Demand!$B$2:$B$4481,O1435,Demand!$C$2:$C$4481,P1435)</f>
        <v>1</v>
      </c>
      <c r="R1435" s="33">
        <f>IF(Q1435=1,SUMIFS(Demand!$E$2:$E$4481,Demand!$A$2:$A$4481,B1435,Demand!$B$2:$B$4481,O1435,Demand!$C$2:$C$4481,P1435),"")</f>
        <v>29</v>
      </c>
      <c r="S1435" s="33">
        <f>INDEX(Stores!$G$2:$G$21,MATCH(B1435,Stores!$A$2:$A$21,0))</f>
        <v>23</v>
      </c>
      <c r="T1435" s="34">
        <f>IF(R1435="","",R1435/S1435)</f>
        <v>1.26086956521739</v>
      </c>
      <c r="U1435" s="34">
        <f>IF(E1435=1,T1435,"")</f>
        <v>1.26086956521739</v>
      </c>
      <c r="V1435" s="34" t="str">
        <f>IF(AND(E1435=1,L1435=0),T1435,"")</f>
        <v/>
      </c>
      <c r="W1435" s="33">
        <f>IF(U1435="","",IF(U1435&lt;=Breakdowns!$C$5,1,IF(U1435&lt;=Breakdowns!$C$6,2,IF(U1435&lt;=Breakdowns!$C$7,3,4))))</f>
        <v>4</v>
      </c>
      <c r="X1435" s="33" t="str">
        <f>IF(V1435="","",IF(V1435&lt;=Breakdowns!$D$5,1,IF(V1435&lt;=Breakdowns!$D$6,2,IF(V1435&lt;=Breakdowns!$D$7,3,4))))</f>
        <v/>
      </c>
      <c r="Y1435" s="34">
        <f>INDEX(Stores!$F$2:$F$21,MATCH(B1435,Stores!$A$2:$A$21,0))</f>
        <v>4.66</v>
      </c>
      <c r="Z1435" s="33">
        <f>IF(Y1435&gt;Store_Summary!$M$2,1,0)</f>
        <v>0</v>
      </c>
      <c r="AA1435" s="33">
        <f>INDEX(Stores!$C$2:$C$21,MATCH(B1435,Stores!$A$2:$A$21,0))</f>
        <v>204</v>
      </c>
      <c r="AB1435" s="33">
        <f>IF(AA1435&lt;180,1,0)</f>
        <v>0</v>
      </c>
      <c r="AC1435" s="32" t="str">
        <f>IF(Orders!D1432="","",INDEX(Riders!$C$2:$C$81,MATCH(Orders!D1432,Riders!$A$2:$A$81,0)))</f>
        <v>Bicycle</v>
      </c>
      <c r="AD1435" s="33">
        <f>IF(Orders!D1432="","",INDEX(Riders!$D$2:$D$81,MATCH(Orders!D1432,Riders!$A$2:$A$81,0)))</f>
        <v>40</v>
      </c>
      <c r="AE1435" s="33">
        <f>IF(Orders!D1432="","",IF(INDEX(Riders!$B$2:$B$81,MATCH(Orders!D1432,Riders!$A$2:$A$81,0))=B1435,1,0))</f>
        <v>0</v>
      </c>
      <c r="AF1435" s="34">
        <f>IF(E1435=1,Orders!L1432,"")</f>
        <v>0.5</v>
      </c>
      <c r="AG1435" s="34">
        <f>IF(E1435=1,Orders!P1432,"")</f>
        <v>8</v>
      </c>
      <c r="AH1435" s="34">
        <f>IF(E1435=1,Orders!Q1432,"")</f>
        <v>7.1</v>
      </c>
      <c r="AI1435" s="34">
        <f>IF(E1435=1,Orders!M1432,"")</f>
        <v>3.6</v>
      </c>
      <c r="AJ1435" s="34">
        <f>IF(E1435=1,Orders!N1432,"")</f>
        <v>1.6</v>
      </c>
      <c r="AK1435" s="34">
        <f>IF(E1435=1,Orders!O1432,"")</f>
        <v>1.9</v>
      </c>
      <c r="AL1435" s="33">
        <f>IF(E1435=1,IF(ROUND(ABS(AI1435+AJ1435+AK1435-AH1435),6)&lt;=0.1,1,0),"")</f>
        <v>1</v>
      </c>
      <c r="AM1435" s="36">
        <f>IF(E1435=1,AI1435/AH1435,"")</f>
        <v>0.507042253521127</v>
      </c>
      <c r="AN1435" s="36">
        <f>IF(E1435=1,AJ1435/AH1435,"")</f>
        <v>0.225352112676056</v>
      </c>
      <c r="AO1435" s="36">
        <f>IF(E1435=1,AK1435/AH1435,"")</f>
        <v>0.267605633802817</v>
      </c>
      <c r="AP1435" s="34">
        <f>IF(E1435=1,Orders!Y1432,"")</f>
        <v>0.51</v>
      </c>
      <c r="AQ1435" s="33">
        <f>IF(Orders!X1432,1,0)</f>
        <v>0</v>
      </c>
      <c r="AR1435" s="34">
        <f>IF(AND(E1435=1,L1435=1),AJ1435,"")</f>
        <v>1.6</v>
      </c>
      <c r="AS1435" s="34" t="str">
        <f>IF(AND(E1435=1,L1435=0),AJ1435,"")</f>
        <v/>
      </c>
      <c r="AT1435" s="34">
        <f>IF(AND(E1435=1,L1435=1),AI1435,"")</f>
        <v>3.6</v>
      </c>
      <c r="AU1435" s="34" t="str">
        <f>IF(AND(E1435=1,L1435=0),AI1435,"")</f>
        <v/>
      </c>
      <c r="AV1435" s="34">
        <f>IF(AND(E1435=1,L1435=1),AG1435,"")</f>
        <v>8</v>
      </c>
      <c r="AW1435" s="34" t="str">
        <f>IF(AND(E1435=1,L1435=0),AG1435,"")</f>
        <v/>
      </c>
      <c r="AX1435" s="34">
        <f>IF(AND(E1435=1,L1435=1),AH1435,"")</f>
        <v>7.1</v>
      </c>
      <c r="AY1435" s="34" t="str">
        <f>IF(AND(E1435=1,L1435=0),AH1435,"")</f>
        <v/>
      </c>
      <c r="AZ1435" s="34" t="str">
        <f>IF(G1435=1,F1435,"")</f>
        <v/>
      </c>
      <c r="BA1435" s="34" t="str">
        <f>IF(AND(G1435=1,L1435=1),F1435,"")</f>
        <v/>
      </c>
      <c r="BB1435" s="34" t="str">
        <f>IF(AND(G1435=1,L1435=0),F1435,"")</f>
        <v/>
      </c>
      <c r="BC1435" s="33">
        <f>IF(E1435=1,IF(Orders!R1432&gt;3,1,0),"")</f>
        <v>0</v>
      </c>
      <c r="BD1435" s="33">
        <f>IF(E1435=1,IF(Orders!R1432&gt;7,1,0),"")</f>
        <v>0</v>
      </c>
      <c r="BE1435" s="32" t="str">
        <f>IF(E1435=1,IF(Orders!L1432&lt;=1.5,"Up to 1.5 km",IF(Orders!L1432&lt;=3,"1.5–3 km","Over 3 km")),"")</f>
        <v>Up to 1.5 km</v>
      </c>
      <c r="BF1435" s="33">
        <f>IF(E1435=1,IF(ABS((Orders!G1432-Orders!F1432)*1440-Orders!R1432)&lt;0.06,1,0),"")</f>
        <v>1</v>
      </c>
      <c r="BG1435" s="33">
        <f>IF(ABS((Orders!F1432-Orders!E1432)*1440-Orders!P1432)&lt;0.06,1,0)</f>
        <v>1</v>
      </c>
      <c r="BH1435" s="33">
        <f>IF(E1435=1,IF(IF(Orders!S1432,1,0)=1-G1435,1,0),"")</f>
        <v>1</v>
      </c>
      <c r="BI1435" s="32" t="str">
        <f>INDEX(Stores!$B$2:$B$21,MATCH(B1435,Stores!$A$2:$A$21,0))</f>
        <v>Delhi</v>
      </c>
    </row>
    <row r="1436">
      <c r="A1436" s="32" t="str">
        <f>Orders!A1433</f>
        <v>O01432</v>
      </c>
      <c r="B1436" s="32" t="str">
        <f>Orders!C1433</f>
        <v>S004</v>
      </c>
      <c r="C1436" s="32" t="str">
        <f>Orders!B1433</f>
        <v>C0004</v>
      </c>
      <c r="D1436" s="32" t="str">
        <f>Orders!H1433</f>
        <v>Delivered</v>
      </c>
      <c r="E1436" s="33">
        <f>IF(Orders!H1433="Delivered",1,0)</f>
        <v>1</v>
      </c>
      <c r="F1436" s="34">
        <f>IF(E1436=1,Orders!R1433,"")</f>
        <v>-0.8</v>
      </c>
      <c r="G1436" s="33">
        <f>IF(E1436=1,IF(Orders!R1433&gt;0,1,0),"")</f>
        <v>0</v>
      </c>
      <c r="H1436" s="33">
        <f>IF(E1436=1,IF(Orders!R1433&gt;5,1,0),"")</f>
        <v>0</v>
      </c>
      <c r="I1436" s="32" t="str">
        <f>IF(E1436=1,"",IF(OR(Orders!T1433="Rider unavailable",Orders!T1433="Item unavailable"),"Company-caused","Unresolved"))</f>
        <v/>
      </c>
      <c r="J1436" s="33">
        <f>IF(OR(E1436=1,I1436="Company-caused"),1,0)</f>
        <v>1</v>
      </c>
      <c r="K1436" s="32" t="str">
        <f>IF(E1436=0,IF(I1436="Company-caused",IF(Orders!T1433="Rider unavailable","C1 Rider unavailable","C2 Item unavailable"),"Outside root: unresolved"),IF(G1436=0,"A On time",IF(H1436=1,IF(L1436=1,"B2a Severe, peak","B2b Severe, off-peak"),IF(L1436=1,"B1a Slight, peak","B1b Slight, off-peak"))))</f>
        <v>A On time</v>
      </c>
      <c r="L1436" s="33">
        <f>IF(AND(Orders!U1433&gt;=19,Orders!U1433&lt;22),1,0)</f>
        <v>0</v>
      </c>
      <c r="M1436" s="33">
        <f>IF(L1436=IF(Orders!V1433,1,0),1,0)</f>
        <v>1</v>
      </c>
      <c r="N1436" s="32" t="str">
        <f>IF(Orders!W1433="","None",Orders!W1433)</f>
        <v>None</v>
      </c>
      <c r="O1436" s="35">
        <f>INT(Orders!E1433)</f>
        <v>46275.0</v>
      </c>
      <c r="P1436" s="33">
        <f>Orders!U1433</f>
        <v>15</v>
      </c>
      <c r="Q1436" s="33">
        <f>COUNTIFS(Demand!$A$2:$A$4481,B1436,Demand!$B$2:$B$4481,O1436,Demand!$C$2:$C$4481,P1436)</f>
        <v>1</v>
      </c>
      <c r="R1436" s="33">
        <f>IF(Q1436=1,SUMIFS(Demand!$E$2:$E$4481,Demand!$A$2:$A$4481,B1436,Demand!$B$2:$B$4481,O1436,Demand!$C$2:$C$4481,P1436),"")</f>
        <v>25</v>
      </c>
      <c r="S1436" s="33">
        <f>INDEX(Stores!$G$2:$G$21,MATCH(B1436,Stores!$A$2:$A$21,0))</f>
        <v>42</v>
      </c>
      <c r="T1436" s="34">
        <f>IF(R1436="","",R1436/S1436)</f>
        <v>0.595238095238095</v>
      </c>
      <c r="U1436" s="34">
        <f>IF(E1436=1,T1436,"")</f>
        <v>0.595238095238095</v>
      </c>
      <c r="V1436" s="34">
        <f>IF(AND(E1436=1,L1436=0),T1436,"")</f>
        <v>0.595238095238095</v>
      </c>
      <c r="W1436" s="33">
        <f>IF(U1436="","",IF(U1436&lt;=Breakdowns!$C$5,1,IF(U1436&lt;=Breakdowns!$C$6,2,IF(U1436&lt;=Breakdowns!$C$7,3,4))))</f>
        <v>1</v>
      </c>
      <c r="X1436" s="33">
        <f>IF(V1436="","",IF(V1436&lt;=Breakdowns!$D$5,1,IF(V1436&lt;=Breakdowns!$D$6,2,IF(V1436&lt;=Breakdowns!$D$7,3,4))))</f>
        <v>1</v>
      </c>
      <c r="Y1436" s="34">
        <f>INDEX(Stores!$F$2:$F$21,MATCH(B1436,Stores!$A$2:$A$21,0))</f>
        <v>2.19</v>
      </c>
      <c r="Z1436" s="33">
        <f>IF(Y1436&gt;Store_Summary!$M$2,1,0)</f>
        <v>0</v>
      </c>
      <c r="AA1436" s="33">
        <f>INDEX(Stores!$C$2:$C$21,MATCH(B1436,Stores!$A$2:$A$21,0))</f>
        <v>850</v>
      </c>
      <c r="AB1436" s="33">
        <f>IF(AA1436&lt;180,1,0)</f>
        <v>0</v>
      </c>
      <c r="AC1436" s="32" t="str">
        <f>IF(Orders!D1433="","",INDEX(Riders!$C$2:$C$81,MATCH(Orders!D1433,Riders!$A$2:$A$81,0)))</f>
        <v>EV scooter</v>
      </c>
      <c r="AD1436" s="33">
        <f>IF(Orders!D1433="","",INDEX(Riders!$D$2:$D$81,MATCH(Orders!D1433,Riders!$A$2:$A$81,0)))</f>
        <v>37</v>
      </c>
      <c r="AE1436" s="33">
        <f>IF(Orders!D1433="","",IF(INDEX(Riders!$B$2:$B$81,MATCH(Orders!D1433,Riders!$A$2:$A$81,0))=B1436,1,0))</f>
        <v>0</v>
      </c>
      <c r="AF1436" s="34">
        <f>IF(E1436=1,Orders!L1433,"")</f>
        <v>1.7</v>
      </c>
      <c r="AG1436" s="34">
        <f>IF(E1436=1,Orders!P1433,"")</f>
        <v>8.7</v>
      </c>
      <c r="AH1436" s="34">
        <f>IF(E1436=1,Orders!Q1433,"")</f>
        <v>7.9</v>
      </c>
      <c r="AI1436" s="34">
        <f>IF(E1436=1,Orders!M1433,"")</f>
        <v>2.3</v>
      </c>
      <c r="AJ1436" s="34">
        <f>IF(E1436=1,Orders!N1433,"")</f>
        <v>2</v>
      </c>
      <c r="AK1436" s="34">
        <f>IF(E1436=1,Orders!O1433,"")</f>
        <v>3.6</v>
      </c>
      <c r="AL1436" s="33">
        <f>IF(E1436=1,IF(ROUND(ABS(AI1436+AJ1436+AK1436-AH1436),6)&lt;=0.1,1,0),"")</f>
        <v>1</v>
      </c>
      <c r="AM1436" s="36">
        <f>IF(E1436=1,AI1436/AH1436,"")</f>
        <v>0.291139240506329</v>
      </c>
      <c r="AN1436" s="36">
        <f>IF(E1436=1,AJ1436/AH1436,"")</f>
        <v>0.253164556962025</v>
      </c>
      <c r="AO1436" s="36">
        <f>IF(E1436=1,AK1436/AH1436,"")</f>
        <v>0.455696202531646</v>
      </c>
      <c r="AP1436" s="34">
        <f>IF(E1436=1,Orders!Y1433,"")</f>
        <v>0.33</v>
      </c>
      <c r="AQ1436" s="33">
        <f>IF(Orders!X1433,1,0)</f>
        <v>0</v>
      </c>
      <c r="AR1436" s="34" t="str">
        <f>IF(AND(E1436=1,L1436=1),AJ1436,"")</f>
        <v/>
      </c>
      <c r="AS1436" s="34">
        <f>IF(AND(E1436=1,L1436=0),AJ1436,"")</f>
        <v>2</v>
      </c>
      <c r="AT1436" s="34" t="str">
        <f>IF(AND(E1436=1,L1436=1),AI1436,"")</f>
        <v/>
      </c>
      <c r="AU1436" s="34">
        <f>IF(AND(E1436=1,L1436=0),AI1436,"")</f>
        <v>2.3</v>
      </c>
      <c r="AV1436" s="34" t="str">
        <f>IF(AND(E1436=1,L1436=1),AG1436,"")</f>
        <v/>
      </c>
      <c r="AW1436" s="34">
        <f>IF(AND(E1436=1,L1436=0),AG1436,"")</f>
        <v>8.7</v>
      </c>
      <c r="AX1436" s="34" t="str">
        <f>IF(AND(E1436=1,L1436=1),AH1436,"")</f>
        <v/>
      </c>
      <c r="AY1436" s="34">
        <f>IF(AND(E1436=1,L1436=0),AH1436,"")</f>
        <v>7.9</v>
      </c>
      <c r="AZ1436" s="34" t="str">
        <f>IF(G1436=1,F1436,"")</f>
        <v/>
      </c>
      <c r="BA1436" s="34" t="str">
        <f>IF(AND(G1436=1,L1436=1),F1436,"")</f>
        <v/>
      </c>
      <c r="BB1436" s="34" t="str">
        <f>IF(AND(G1436=1,L1436=0),F1436,"")</f>
        <v/>
      </c>
      <c r="BC1436" s="33">
        <f>IF(E1436=1,IF(Orders!R1433&gt;3,1,0),"")</f>
        <v>0</v>
      </c>
      <c r="BD1436" s="33">
        <f>IF(E1436=1,IF(Orders!R1433&gt;7,1,0),"")</f>
        <v>0</v>
      </c>
      <c r="BE1436" s="32" t="str">
        <f>IF(E1436=1,IF(Orders!L1433&lt;=1.5,"Up to 1.5 km",IF(Orders!L1433&lt;=3,"1.5–3 km","Over 3 km")),"")</f>
        <v>1.5–3 km</v>
      </c>
      <c r="BF1436" s="33">
        <f>IF(E1436=1,IF(ABS((Orders!G1433-Orders!F1433)*1440-Orders!R1433)&lt;0.06,1,0),"")</f>
        <v>1</v>
      </c>
      <c r="BG1436" s="33">
        <f>IF(ABS((Orders!F1433-Orders!E1433)*1440-Orders!P1433)&lt;0.06,1,0)</f>
        <v>1</v>
      </c>
      <c r="BH1436" s="33">
        <f>IF(E1436=1,IF(IF(Orders!S1433,1,0)=1-G1436,1,0),"")</f>
        <v>1</v>
      </c>
      <c r="BI1436" s="32" t="str">
        <f>INDEX(Stores!$B$2:$B$21,MATCH(B1436,Stores!$A$2:$A$21,0))</f>
        <v>Pune</v>
      </c>
    </row>
    <row r="1437">
      <c r="A1437" s="32" t="str">
        <f>Orders!A1434</f>
        <v>O01433</v>
      </c>
      <c r="B1437" s="32" t="str">
        <f>Orders!C1434</f>
        <v>S005</v>
      </c>
      <c r="C1437" s="32" t="str">
        <f>Orders!B1434</f>
        <v>C0062</v>
      </c>
      <c r="D1437" s="32" t="str">
        <f>Orders!H1434</f>
        <v>Delivered</v>
      </c>
      <c r="E1437" s="33">
        <f>IF(Orders!H1434="Delivered",1,0)</f>
        <v>1</v>
      </c>
      <c r="F1437" s="34">
        <f>IF(E1437=1,Orders!R1434,"")</f>
        <v>11</v>
      </c>
      <c r="G1437" s="33">
        <f>IF(E1437=1,IF(Orders!R1434&gt;0,1,0),"")</f>
        <v>1</v>
      </c>
      <c r="H1437" s="33">
        <f>IF(E1437=1,IF(Orders!R1434&gt;5,1,0),"")</f>
        <v>1</v>
      </c>
      <c r="I1437" s="32" t="str">
        <f>IF(E1437=1,"",IF(OR(Orders!T1434="Rider unavailable",Orders!T1434="Item unavailable"),"Company-caused","Unresolved"))</f>
        <v/>
      </c>
      <c r="J1437" s="33">
        <f>IF(OR(E1437=1,I1437="Company-caused"),1,0)</f>
        <v>1</v>
      </c>
      <c r="K1437" s="32" t="str">
        <f>IF(E1437=0,IF(I1437="Company-caused",IF(Orders!T1434="Rider unavailable","C1 Rider unavailable","C2 Item unavailable"),"Outside root: unresolved"),IF(G1437=0,"A On time",IF(H1437=1,IF(L1437=1,"B2a Severe, peak","B2b Severe, off-peak"),IF(L1437=1,"B1a Slight, peak","B1b Slight, off-peak"))))</f>
        <v>B2b Severe, off-peak</v>
      </c>
      <c r="L1437" s="33">
        <f>IF(AND(Orders!U1434&gt;=19,Orders!U1434&lt;22),1,0)</f>
        <v>0</v>
      </c>
      <c r="M1437" s="33">
        <f>IF(L1437=IF(Orders!V1434,1,0),1,0)</f>
        <v>1</v>
      </c>
      <c r="N1437" s="32" t="str">
        <f>IF(Orders!W1434="","None",Orders!W1434)</f>
        <v>None</v>
      </c>
      <c r="O1437" s="35">
        <f>INT(Orders!E1434)</f>
        <v>46279.0</v>
      </c>
      <c r="P1437" s="33">
        <f>Orders!U1434</f>
        <v>11</v>
      </c>
      <c r="Q1437" s="33">
        <f>COUNTIFS(Demand!$A$2:$A$4481,B1437,Demand!$B$2:$B$4481,O1437,Demand!$C$2:$C$4481,P1437)</f>
        <v>1</v>
      </c>
      <c r="R1437" s="33">
        <f>IF(Q1437=1,SUMIFS(Demand!$E$2:$E$4481,Demand!$A$2:$A$4481,B1437,Demand!$B$2:$B$4481,O1437,Demand!$C$2:$C$4481,P1437),"")</f>
        <v>17</v>
      </c>
      <c r="S1437" s="33">
        <f>INDEX(Stores!$G$2:$G$21,MATCH(B1437,Stores!$A$2:$A$21,0))</f>
        <v>14</v>
      </c>
      <c r="T1437" s="34">
        <f>IF(R1437="","",R1437/S1437)</f>
        <v>1.21428571428571</v>
      </c>
      <c r="U1437" s="34">
        <f>IF(E1437=1,T1437,"")</f>
        <v>1.21428571428571</v>
      </c>
      <c r="V1437" s="34">
        <f>IF(AND(E1437=1,L1437=0),T1437,"")</f>
        <v>1.21428571428571</v>
      </c>
      <c r="W1437" s="33">
        <f>IF(U1437="","",IF(U1437&lt;=Breakdowns!$C$5,1,IF(U1437&lt;=Breakdowns!$C$6,2,IF(U1437&lt;=Breakdowns!$C$7,3,4))))</f>
        <v>3</v>
      </c>
      <c r="X1437" s="33">
        <f>IF(V1437="","",IF(V1437&lt;=Breakdowns!$D$5,1,IF(V1437&lt;=Breakdowns!$D$6,2,IF(V1437&lt;=Breakdowns!$D$7,3,4))))</f>
        <v>4</v>
      </c>
      <c r="Y1437" s="34">
        <f>INDEX(Stores!$F$2:$F$21,MATCH(B1437,Stores!$A$2:$A$21,0))</f>
        <v>4.89</v>
      </c>
      <c r="Z1437" s="33">
        <f>IF(Y1437&gt;Store_Summary!$M$2,1,0)</f>
        <v>0</v>
      </c>
      <c r="AA1437" s="33">
        <f>INDEX(Stores!$C$2:$C$21,MATCH(B1437,Stores!$A$2:$A$21,0))</f>
        <v>138</v>
      </c>
      <c r="AB1437" s="33">
        <f>IF(AA1437&lt;180,1,0)</f>
        <v>1</v>
      </c>
      <c r="AC1437" s="32" t="str">
        <f>IF(Orders!D1434="","",INDEX(Riders!$C$2:$C$81,MATCH(Orders!D1434,Riders!$A$2:$A$81,0)))</f>
        <v>EV scooter</v>
      </c>
      <c r="AD1437" s="33">
        <f>IF(Orders!D1434="","",INDEX(Riders!$D$2:$D$81,MATCH(Orders!D1434,Riders!$A$2:$A$81,0)))</f>
        <v>3</v>
      </c>
      <c r="AE1437" s="33">
        <f>IF(Orders!D1434="","",IF(INDEX(Riders!$B$2:$B$81,MATCH(Orders!D1434,Riders!$A$2:$A$81,0))=B1437,1,0))</f>
        <v>0</v>
      </c>
      <c r="AF1437" s="34">
        <f>IF(E1437=1,Orders!L1434,"")</f>
        <v>1.64</v>
      </c>
      <c r="AG1437" s="34">
        <f>IF(E1437=1,Orders!P1434,"")</f>
        <v>8.7</v>
      </c>
      <c r="AH1437" s="34">
        <f>IF(E1437=1,Orders!Q1434,"")</f>
        <v>19.7</v>
      </c>
      <c r="AI1437" s="34">
        <f>IF(E1437=1,Orders!M1434,"")</f>
        <v>4.8</v>
      </c>
      <c r="AJ1437" s="34">
        <f>IF(E1437=1,Orders!N1434,"")</f>
        <v>8.9</v>
      </c>
      <c r="AK1437" s="34">
        <f>IF(E1437=1,Orders!O1434,"")</f>
        <v>5.9</v>
      </c>
      <c r="AL1437" s="33">
        <f>IF(E1437=1,IF(ROUND(ABS(AI1437+AJ1437+AK1437-AH1437),6)&lt;=0.1,1,0),"")</f>
        <v>1</v>
      </c>
      <c r="AM1437" s="36">
        <f>IF(E1437=1,AI1437/AH1437,"")</f>
        <v>0.243654822335025</v>
      </c>
      <c r="AN1437" s="36">
        <f>IF(E1437=1,AJ1437/AH1437,"")</f>
        <v>0.451776649746193</v>
      </c>
      <c r="AO1437" s="36">
        <f>IF(E1437=1,AK1437/AH1437,"")</f>
        <v>0.299492385786802</v>
      </c>
      <c r="AP1437" s="34">
        <f>IF(E1437=1,Orders!Y1434,"")</f>
        <v>0.74</v>
      </c>
      <c r="AQ1437" s="33">
        <f>IF(Orders!X1434,1,0)</f>
        <v>0</v>
      </c>
      <c r="AR1437" s="34" t="str">
        <f>IF(AND(E1437=1,L1437=1),AJ1437,"")</f>
        <v/>
      </c>
      <c r="AS1437" s="34">
        <f>IF(AND(E1437=1,L1437=0),AJ1437,"")</f>
        <v>8.9</v>
      </c>
      <c r="AT1437" s="34" t="str">
        <f>IF(AND(E1437=1,L1437=1),AI1437,"")</f>
        <v/>
      </c>
      <c r="AU1437" s="34">
        <f>IF(AND(E1437=1,L1437=0),AI1437,"")</f>
        <v>4.8</v>
      </c>
      <c r="AV1437" s="34" t="str">
        <f>IF(AND(E1437=1,L1437=1),AG1437,"")</f>
        <v/>
      </c>
      <c r="AW1437" s="34">
        <f>IF(AND(E1437=1,L1437=0),AG1437,"")</f>
        <v>8.7</v>
      </c>
      <c r="AX1437" s="34" t="str">
        <f>IF(AND(E1437=1,L1437=1),AH1437,"")</f>
        <v/>
      </c>
      <c r="AY1437" s="34">
        <f>IF(AND(E1437=1,L1437=0),AH1437,"")</f>
        <v>19.7</v>
      </c>
      <c r="AZ1437" s="34">
        <f>IF(G1437=1,F1437,"")</f>
        <v>11</v>
      </c>
      <c r="BA1437" s="34" t="str">
        <f>IF(AND(G1437=1,L1437=1),F1437,"")</f>
        <v/>
      </c>
      <c r="BB1437" s="34">
        <f>IF(AND(G1437=1,L1437=0),F1437,"")</f>
        <v>11</v>
      </c>
      <c r="BC1437" s="33">
        <f>IF(E1437=1,IF(Orders!R1434&gt;3,1,0),"")</f>
        <v>1</v>
      </c>
      <c r="BD1437" s="33">
        <f>IF(E1437=1,IF(Orders!R1434&gt;7,1,0),"")</f>
        <v>1</v>
      </c>
      <c r="BE1437" s="32" t="str">
        <f>IF(E1437=1,IF(Orders!L1434&lt;=1.5,"Up to 1.5 km",IF(Orders!L1434&lt;=3,"1.5–3 km","Over 3 km")),"")</f>
        <v>1.5–3 km</v>
      </c>
      <c r="BF1437" s="33">
        <f>IF(E1437=1,IF(ABS((Orders!G1434-Orders!F1434)*1440-Orders!R1434)&lt;0.06,1,0),"")</f>
        <v>1</v>
      </c>
      <c r="BG1437" s="33">
        <f>IF(ABS((Orders!F1434-Orders!E1434)*1440-Orders!P1434)&lt;0.06,1,0)</f>
        <v>1</v>
      </c>
      <c r="BH1437" s="33">
        <f>IF(E1437=1,IF(IF(Orders!S1434,1,0)=1-G1437,1,0),"")</f>
        <v>1</v>
      </c>
      <c r="BI1437" s="32" t="str">
        <f>INDEX(Stores!$B$2:$B$21,MATCH(B1437,Stores!$A$2:$A$21,0))</f>
        <v>Delhi</v>
      </c>
    </row>
    <row r="1438">
      <c r="A1438" s="32" t="str">
        <f>Orders!A1435</f>
        <v>O01434</v>
      </c>
      <c r="B1438" s="32" t="str">
        <f>Orders!C1435</f>
        <v>S002</v>
      </c>
      <c r="C1438" s="32" t="str">
        <f>Orders!B1435</f>
        <v>C0157</v>
      </c>
      <c r="D1438" s="32" t="str">
        <f>Orders!H1435</f>
        <v>Delivered</v>
      </c>
      <c r="E1438" s="33">
        <f>IF(Orders!H1435="Delivered",1,0)</f>
        <v>1</v>
      </c>
      <c r="F1438" s="34">
        <f>IF(E1438=1,Orders!R1435,"")</f>
        <v>-0.1</v>
      </c>
      <c r="G1438" s="33">
        <f>IF(E1438=1,IF(Orders!R1435&gt;0,1,0),"")</f>
        <v>0</v>
      </c>
      <c r="H1438" s="33">
        <f>IF(E1438=1,IF(Orders!R1435&gt;5,1,0),"")</f>
        <v>0</v>
      </c>
      <c r="I1438" s="32" t="str">
        <f>IF(E1438=1,"",IF(OR(Orders!T1435="Rider unavailable",Orders!T1435="Item unavailable"),"Company-caused","Unresolved"))</f>
        <v/>
      </c>
      <c r="J1438" s="33">
        <f>IF(OR(E1438=1,I1438="Company-caused"),1,0)</f>
        <v>1</v>
      </c>
      <c r="K1438" s="32" t="str">
        <f>IF(E1438=0,IF(I1438="Company-caused",IF(Orders!T1435="Rider unavailable","C1 Rider unavailable","C2 Item unavailable"),"Outside root: unresolved"),IF(G1438=0,"A On time",IF(H1438=1,IF(L1438=1,"B2a Severe, peak","B2b Severe, off-peak"),IF(L1438=1,"B1a Slight, peak","B1b Slight, off-peak"))))</f>
        <v>A On time</v>
      </c>
      <c r="L1438" s="33">
        <f>IF(AND(Orders!U1435&gt;=19,Orders!U1435&lt;22),1,0)</f>
        <v>0</v>
      </c>
      <c r="M1438" s="33">
        <f>IF(L1438=IF(Orders!V1435,1,0),1,0)</f>
        <v>1</v>
      </c>
      <c r="N1438" s="32" t="str">
        <f>IF(Orders!W1435="","None",Orders!W1435)</f>
        <v>None</v>
      </c>
      <c r="O1438" s="35">
        <f>INT(Orders!E1435)</f>
        <v>46279.0</v>
      </c>
      <c r="P1438" s="33">
        <f>Orders!U1435</f>
        <v>9</v>
      </c>
      <c r="Q1438" s="33">
        <f>COUNTIFS(Demand!$A$2:$A$4481,B1438,Demand!$B$2:$B$4481,O1438,Demand!$C$2:$C$4481,P1438)</f>
        <v>1</v>
      </c>
      <c r="R1438" s="33">
        <f>IF(Q1438=1,SUMIFS(Demand!$E$2:$E$4481,Demand!$A$2:$A$4481,B1438,Demand!$B$2:$B$4481,O1438,Demand!$C$2:$C$4481,P1438),"")</f>
        <v>20</v>
      </c>
      <c r="S1438" s="33">
        <f>INDEX(Stores!$G$2:$G$21,MATCH(B1438,Stores!$A$2:$A$21,0))</f>
        <v>33</v>
      </c>
      <c r="T1438" s="34">
        <f>IF(R1438="","",R1438/S1438)</f>
        <v>0.606060606060606</v>
      </c>
      <c r="U1438" s="34">
        <f>IF(E1438=1,T1438,"")</f>
        <v>0.606060606060606</v>
      </c>
      <c r="V1438" s="34">
        <f>IF(AND(E1438=1,L1438=0),T1438,"")</f>
        <v>0.606060606060606</v>
      </c>
      <c r="W1438" s="33">
        <f>IF(U1438="","",IF(U1438&lt;=Breakdowns!$C$5,1,IF(U1438&lt;=Breakdowns!$C$6,2,IF(U1438&lt;=Breakdowns!$C$7,3,4))))</f>
        <v>1</v>
      </c>
      <c r="X1438" s="33">
        <f>IF(V1438="","",IF(V1438&lt;=Breakdowns!$D$5,1,IF(V1438&lt;=Breakdowns!$D$6,2,IF(V1438&lt;=Breakdowns!$D$7,3,4))))</f>
        <v>1</v>
      </c>
      <c r="Y1438" s="34">
        <f>INDEX(Stores!$F$2:$F$21,MATCH(B1438,Stores!$A$2:$A$21,0))</f>
        <v>2.39</v>
      </c>
      <c r="Z1438" s="33">
        <f>IF(Y1438&gt;Store_Summary!$M$2,1,0)</f>
        <v>0</v>
      </c>
      <c r="AA1438" s="33">
        <f>INDEX(Stores!$C$2:$C$21,MATCH(B1438,Stores!$A$2:$A$21,0))</f>
        <v>470</v>
      </c>
      <c r="AB1438" s="33">
        <f>IF(AA1438&lt;180,1,0)</f>
        <v>0</v>
      </c>
      <c r="AC1438" s="32" t="str">
        <f>IF(Orders!D1435="","",INDEX(Riders!$C$2:$C$81,MATCH(Orders!D1435,Riders!$A$2:$A$81,0)))</f>
        <v>EV scooter</v>
      </c>
      <c r="AD1438" s="33">
        <f>IF(Orders!D1435="","",INDEX(Riders!$D$2:$D$81,MATCH(Orders!D1435,Riders!$A$2:$A$81,0)))</f>
        <v>1</v>
      </c>
      <c r="AE1438" s="33">
        <f>IF(Orders!D1435="","",IF(INDEX(Riders!$B$2:$B$81,MATCH(Orders!D1435,Riders!$A$2:$A$81,0))=B1438,1,0))</f>
        <v>0</v>
      </c>
      <c r="AF1438" s="34">
        <f>IF(E1438=1,Orders!L1435,"")</f>
        <v>1.9</v>
      </c>
      <c r="AG1438" s="34">
        <f>IF(E1438=1,Orders!P1435,"")</f>
        <v>12.4</v>
      </c>
      <c r="AH1438" s="34">
        <f>IF(E1438=1,Orders!Q1435,"")</f>
        <v>12.3</v>
      </c>
      <c r="AI1438" s="34">
        <f>IF(E1438=1,Orders!M1435,"")</f>
        <v>2.8</v>
      </c>
      <c r="AJ1438" s="34">
        <f>IF(E1438=1,Orders!N1435,"")</f>
        <v>3.6</v>
      </c>
      <c r="AK1438" s="34">
        <f>IF(E1438=1,Orders!O1435,"")</f>
        <v>5.9</v>
      </c>
      <c r="AL1438" s="33">
        <f>IF(E1438=1,IF(ROUND(ABS(AI1438+AJ1438+AK1438-AH1438),6)&lt;=0.1,1,0),"")</f>
        <v>1</v>
      </c>
      <c r="AM1438" s="36">
        <f>IF(E1438=1,AI1438/AH1438,"")</f>
        <v>0.227642276422764</v>
      </c>
      <c r="AN1438" s="36">
        <f>IF(E1438=1,AJ1438/AH1438,"")</f>
        <v>0.292682926829268</v>
      </c>
      <c r="AO1438" s="36">
        <f>IF(E1438=1,AK1438/AH1438,"")</f>
        <v>0.479674796747968</v>
      </c>
      <c r="AP1438" s="34">
        <f>IF(E1438=1,Orders!Y1435,"")</f>
        <v>0.54</v>
      </c>
      <c r="AQ1438" s="33">
        <f>IF(Orders!X1435,1,0)</f>
        <v>0</v>
      </c>
      <c r="AR1438" s="34" t="str">
        <f>IF(AND(E1438=1,L1438=1),AJ1438,"")</f>
        <v/>
      </c>
      <c r="AS1438" s="34">
        <f>IF(AND(E1438=1,L1438=0),AJ1438,"")</f>
        <v>3.6</v>
      </c>
      <c r="AT1438" s="34" t="str">
        <f>IF(AND(E1438=1,L1438=1),AI1438,"")</f>
        <v/>
      </c>
      <c r="AU1438" s="34">
        <f>IF(AND(E1438=1,L1438=0),AI1438,"")</f>
        <v>2.8</v>
      </c>
      <c r="AV1438" s="34" t="str">
        <f>IF(AND(E1438=1,L1438=1),AG1438,"")</f>
        <v/>
      </c>
      <c r="AW1438" s="34">
        <f>IF(AND(E1438=1,L1438=0),AG1438,"")</f>
        <v>12.4</v>
      </c>
      <c r="AX1438" s="34" t="str">
        <f>IF(AND(E1438=1,L1438=1),AH1438,"")</f>
        <v/>
      </c>
      <c r="AY1438" s="34">
        <f>IF(AND(E1438=1,L1438=0),AH1438,"")</f>
        <v>12.3</v>
      </c>
      <c r="AZ1438" s="34" t="str">
        <f>IF(G1438=1,F1438,"")</f>
        <v/>
      </c>
      <c r="BA1438" s="34" t="str">
        <f>IF(AND(G1438=1,L1438=1),F1438,"")</f>
        <v/>
      </c>
      <c r="BB1438" s="34" t="str">
        <f>IF(AND(G1438=1,L1438=0),F1438,"")</f>
        <v/>
      </c>
      <c r="BC1438" s="33">
        <f>IF(E1438=1,IF(Orders!R1435&gt;3,1,0),"")</f>
        <v>0</v>
      </c>
      <c r="BD1438" s="33">
        <f>IF(E1438=1,IF(Orders!R1435&gt;7,1,0),"")</f>
        <v>0</v>
      </c>
      <c r="BE1438" s="32" t="str">
        <f>IF(E1438=1,IF(Orders!L1435&lt;=1.5,"Up to 1.5 km",IF(Orders!L1435&lt;=3,"1.5–3 km","Over 3 km")),"")</f>
        <v>1.5–3 km</v>
      </c>
      <c r="BF1438" s="33">
        <f>IF(E1438=1,IF(ABS((Orders!G1435-Orders!F1435)*1440-Orders!R1435)&lt;0.06,1,0),"")</f>
        <v>1</v>
      </c>
      <c r="BG1438" s="33">
        <f>IF(ABS((Orders!F1435-Orders!E1435)*1440-Orders!P1435)&lt;0.06,1,0)</f>
        <v>1</v>
      </c>
      <c r="BH1438" s="33">
        <f>IF(E1438=1,IF(IF(Orders!S1435,1,0)=1-G1438,1,0),"")</f>
        <v>1</v>
      </c>
      <c r="BI1438" s="32" t="str">
        <f>INDEX(Stores!$B$2:$B$21,MATCH(B1438,Stores!$A$2:$A$21,0))</f>
        <v>Hyderabad</v>
      </c>
    </row>
    <row r="1439">
      <c r="A1439" s="32" t="str">
        <f>Orders!A1436</f>
        <v>O01435</v>
      </c>
      <c r="B1439" s="32" t="str">
        <f>Orders!C1436</f>
        <v>S012</v>
      </c>
      <c r="C1439" s="32" t="str">
        <f>Orders!B1436</f>
        <v>C0158</v>
      </c>
      <c r="D1439" s="32" t="str">
        <f>Orders!H1436</f>
        <v>Delivered</v>
      </c>
      <c r="E1439" s="33">
        <f>IF(Orders!H1436="Delivered",1,0)</f>
        <v>1</v>
      </c>
      <c r="F1439" s="34">
        <f>IF(E1439=1,Orders!R1436,"")</f>
        <v>-0.3</v>
      </c>
      <c r="G1439" s="33">
        <f>IF(E1439=1,IF(Orders!R1436&gt;0,1,0),"")</f>
        <v>0</v>
      </c>
      <c r="H1439" s="33">
        <f>IF(E1439=1,IF(Orders!R1436&gt;5,1,0),"")</f>
        <v>0</v>
      </c>
      <c r="I1439" s="32" t="str">
        <f>IF(E1439=1,"",IF(OR(Orders!T1436="Rider unavailable",Orders!T1436="Item unavailable"),"Company-caused","Unresolved"))</f>
        <v/>
      </c>
      <c r="J1439" s="33">
        <f>IF(OR(E1439=1,I1439="Company-caused"),1,0)</f>
        <v>1</v>
      </c>
      <c r="K1439" s="32" t="str">
        <f>IF(E1439=0,IF(I1439="Company-caused",IF(Orders!T1436="Rider unavailable","C1 Rider unavailable","C2 Item unavailable"),"Outside root: unresolved"),IF(G1439=0,"A On time",IF(H1439=1,IF(L1439=1,"B2a Severe, peak","B2b Severe, off-peak"),IF(L1439=1,"B1a Slight, peak","B1b Slight, off-peak"))))</f>
        <v>A On time</v>
      </c>
      <c r="L1439" s="33">
        <f>IF(AND(Orders!U1436&gt;=19,Orders!U1436&lt;22),1,0)</f>
        <v>0</v>
      </c>
      <c r="M1439" s="33">
        <f>IF(L1439=IF(Orders!V1436,1,0),1,0)</f>
        <v>1</v>
      </c>
      <c r="N1439" s="32" t="str">
        <f>IF(Orders!W1436="","None",Orders!W1436)</f>
        <v>None</v>
      </c>
      <c r="O1439" s="35">
        <f>INT(Orders!E1436)</f>
        <v>46268.0</v>
      </c>
      <c r="P1439" s="33">
        <f>Orders!U1436</f>
        <v>14</v>
      </c>
      <c r="Q1439" s="33">
        <f>COUNTIFS(Demand!$A$2:$A$4481,B1439,Demand!$B$2:$B$4481,O1439,Demand!$C$2:$C$4481,P1439)</f>
        <v>1</v>
      </c>
      <c r="R1439" s="33">
        <f>IF(Q1439=1,SUMIFS(Demand!$E$2:$E$4481,Demand!$A$2:$A$4481,B1439,Demand!$B$2:$B$4481,O1439,Demand!$C$2:$C$4481,P1439),"")</f>
        <v>12</v>
      </c>
      <c r="S1439" s="33">
        <f>INDEX(Stores!$G$2:$G$21,MATCH(B1439,Stores!$A$2:$A$21,0))</f>
        <v>15</v>
      </c>
      <c r="T1439" s="34">
        <f>IF(R1439="","",R1439/S1439)</f>
        <v>0.8</v>
      </c>
      <c r="U1439" s="34">
        <f>IF(E1439=1,T1439,"")</f>
        <v>0.8</v>
      </c>
      <c r="V1439" s="34">
        <f>IF(AND(E1439=1,L1439=0),T1439,"")</f>
        <v>0.8</v>
      </c>
      <c r="W1439" s="33">
        <f>IF(U1439="","",IF(U1439&lt;=Breakdowns!$C$5,1,IF(U1439&lt;=Breakdowns!$C$6,2,IF(U1439&lt;=Breakdowns!$C$7,3,4))))</f>
        <v>2</v>
      </c>
      <c r="X1439" s="33">
        <f>IF(V1439="","",IF(V1439&lt;=Breakdowns!$D$5,1,IF(V1439&lt;=Breakdowns!$D$6,2,IF(V1439&lt;=Breakdowns!$D$7,3,4))))</f>
        <v>2</v>
      </c>
      <c r="Y1439" s="34">
        <f>INDEX(Stores!$F$2:$F$21,MATCH(B1439,Stores!$A$2:$A$21,0))</f>
        <v>5.23</v>
      </c>
      <c r="Z1439" s="33">
        <f>IF(Y1439&gt;Store_Summary!$M$2,1,0)</f>
        <v>1</v>
      </c>
      <c r="AA1439" s="33">
        <f>INDEX(Stores!$C$2:$C$21,MATCH(B1439,Stores!$A$2:$A$21,0))</f>
        <v>300</v>
      </c>
      <c r="AB1439" s="33">
        <f>IF(AA1439&lt;180,1,0)</f>
        <v>0</v>
      </c>
      <c r="AC1439" s="32" t="str">
        <f>IF(Orders!D1436="","",INDEX(Riders!$C$2:$C$81,MATCH(Orders!D1436,Riders!$A$2:$A$81,0)))</f>
        <v>Petrol scooter</v>
      </c>
      <c r="AD1439" s="33">
        <f>IF(Orders!D1436="","",INDEX(Riders!$D$2:$D$81,MATCH(Orders!D1436,Riders!$A$2:$A$81,0)))</f>
        <v>32</v>
      </c>
      <c r="AE1439" s="33">
        <f>IF(Orders!D1436="","",IF(INDEX(Riders!$B$2:$B$81,MATCH(Orders!D1436,Riders!$A$2:$A$81,0))=B1439,1,0))</f>
        <v>0</v>
      </c>
      <c r="AF1439" s="34">
        <f>IF(E1439=1,Orders!L1436,"")</f>
        <v>0.82</v>
      </c>
      <c r="AG1439" s="34">
        <f>IF(E1439=1,Orders!P1436,"")</f>
        <v>8.6</v>
      </c>
      <c r="AH1439" s="34">
        <f>IF(E1439=1,Orders!Q1436,"")</f>
        <v>8.3</v>
      </c>
      <c r="AI1439" s="34">
        <f>IF(E1439=1,Orders!M1436,"")</f>
        <v>3.9</v>
      </c>
      <c r="AJ1439" s="34">
        <f>IF(E1439=1,Orders!N1436,"")</f>
        <v>2.8</v>
      </c>
      <c r="AK1439" s="34">
        <f>IF(E1439=1,Orders!O1436,"")</f>
        <v>1.6</v>
      </c>
      <c r="AL1439" s="33">
        <f>IF(E1439=1,IF(ROUND(ABS(AI1439+AJ1439+AK1439-AH1439),6)&lt;=0.1,1,0),"")</f>
        <v>1</v>
      </c>
      <c r="AM1439" s="36">
        <f>IF(E1439=1,AI1439/AH1439,"")</f>
        <v>0.469879518072289</v>
      </c>
      <c r="AN1439" s="36">
        <f>IF(E1439=1,AJ1439/AH1439,"")</f>
        <v>0.337349397590361</v>
      </c>
      <c r="AO1439" s="36">
        <f>IF(E1439=1,AK1439/AH1439,"")</f>
        <v>0.192771084337349</v>
      </c>
      <c r="AP1439" s="34">
        <f>IF(E1439=1,Orders!Y1436,"")</f>
        <v>0.24</v>
      </c>
      <c r="AQ1439" s="33">
        <f>IF(Orders!X1436,1,0)</f>
        <v>0</v>
      </c>
      <c r="AR1439" s="34" t="str">
        <f>IF(AND(E1439=1,L1439=1),AJ1439,"")</f>
        <v/>
      </c>
      <c r="AS1439" s="34">
        <f>IF(AND(E1439=1,L1439=0),AJ1439,"")</f>
        <v>2.8</v>
      </c>
      <c r="AT1439" s="34" t="str">
        <f>IF(AND(E1439=1,L1439=1),AI1439,"")</f>
        <v/>
      </c>
      <c r="AU1439" s="34">
        <f>IF(AND(E1439=1,L1439=0),AI1439,"")</f>
        <v>3.9</v>
      </c>
      <c r="AV1439" s="34" t="str">
        <f>IF(AND(E1439=1,L1439=1),AG1439,"")</f>
        <v/>
      </c>
      <c r="AW1439" s="34">
        <f>IF(AND(E1439=1,L1439=0),AG1439,"")</f>
        <v>8.6</v>
      </c>
      <c r="AX1439" s="34" t="str">
        <f>IF(AND(E1439=1,L1439=1),AH1439,"")</f>
        <v/>
      </c>
      <c r="AY1439" s="34">
        <f>IF(AND(E1439=1,L1439=0),AH1439,"")</f>
        <v>8.3</v>
      </c>
      <c r="AZ1439" s="34" t="str">
        <f>IF(G1439=1,F1439,"")</f>
        <v/>
      </c>
      <c r="BA1439" s="34" t="str">
        <f>IF(AND(G1439=1,L1439=1),F1439,"")</f>
        <v/>
      </c>
      <c r="BB1439" s="34" t="str">
        <f>IF(AND(G1439=1,L1439=0),F1439,"")</f>
        <v/>
      </c>
      <c r="BC1439" s="33">
        <f>IF(E1439=1,IF(Orders!R1436&gt;3,1,0),"")</f>
        <v>0</v>
      </c>
      <c r="BD1439" s="33">
        <f>IF(E1439=1,IF(Orders!R1436&gt;7,1,0),"")</f>
        <v>0</v>
      </c>
      <c r="BE1439" s="32" t="str">
        <f>IF(E1439=1,IF(Orders!L1436&lt;=1.5,"Up to 1.5 km",IF(Orders!L1436&lt;=3,"1.5–3 km","Over 3 km")),"")</f>
        <v>Up to 1.5 km</v>
      </c>
      <c r="BF1439" s="33">
        <f>IF(E1439=1,IF(ABS((Orders!G1436-Orders!F1436)*1440-Orders!R1436)&lt;0.06,1,0),"")</f>
        <v>1</v>
      </c>
      <c r="BG1439" s="33">
        <f>IF(ABS((Orders!F1436-Orders!E1436)*1440-Orders!P1436)&lt;0.06,1,0)</f>
        <v>1</v>
      </c>
      <c r="BH1439" s="33">
        <f>IF(E1439=1,IF(IF(Orders!S1436,1,0)=1-G1439,1,0),"")</f>
        <v>1</v>
      </c>
      <c r="BI1439" s="32" t="str">
        <f>INDEX(Stores!$B$2:$B$21,MATCH(B1439,Stores!$A$2:$A$21,0))</f>
        <v>Hyderabad</v>
      </c>
    </row>
    <row r="1440">
      <c r="A1440" s="32" t="str">
        <f>Orders!A1437</f>
        <v>O01436</v>
      </c>
      <c r="B1440" s="32" t="str">
        <f>Orders!C1437</f>
        <v>S006</v>
      </c>
      <c r="C1440" s="32" t="str">
        <f>Orders!B1437</f>
        <v>C0205</v>
      </c>
      <c r="D1440" s="32" t="str">
        <f>Orders!H1437</f>
        <v>Delivered</v>
      </c>
      <c r="E1440" s="33">
        <f>IF(Orders!H1437="Delivered",1,0)</f>
        <v>1</v>
      </c>
      <c r="F1440" s="34">
        <f>IF(E1440=1,Orders!R1437,"")</f>
        <v>5.3</v>
      </c>
      <c r="G1440" s="33">
        <f>IF(E1440=1,IF(Orders!R1437&gt;0,1,0),"")</f>
        <v>1</v>
      </c>
      <c r="H1440" s="33">
        <f>IF(E1440=1,IF(Orders!R1437&gt;5,1,0),"")</f>
        <v>1</v>
      </c>
      <c r="I1440" s="32" t="str">
        <f>IF(E1440=1,"",IF(OR(Orders!T1437="Rider unavailable",Orders!T1437="Item unavailable"),"Company-caused","Unresolved"))</f>
        <v/>
      </c>
      <c r="J1440" s="33">
        <f>IF(OR(E1440=1,I1440="Company-caused"),1,0)</f>
        <v>1</v>
      </c>
      <c r="K1440" s="32" t="str">
        <f>IF(E1440=0,IF(I1440="Company-caused",IF(Orders!T1437="Rider unavailable","C1 Rider unavailable","C2 Item unavailable"),"Outside root: unresolved"),IF(G1440=0,"A On time",IF(H1440=1,IF(L1440=1,"B2a Severe, peak","B2b Severe, off-peak"),IF(L1440=1,"B1a Slight, peak","B1b Slight, off-peak"))))</f>
        <v>B2b Severe, off-peak</v>
      </c>
      <c r="L1440" s="33">
        <f>IF(AND(Orders!U1437&gt;=19,Orders!U1437&lt;22),1,0)</f>
        <v>0</v>
      </c>
      <c r="M1440" s="33">
        <f>IF(L1440=IF(Orders!V1437,1,0),1,0)</f>
        <v>1</v>
      </c>
      <c r="N1440" s="32" t="str">
        <f>IF(Orders!W1437="","None",Orders!W1437)</f>
        <v>Heavy</v>
      </c>
      <c r="O1440" s="35">
        <f>INT(Orders!E1437)</f>
        <v>46276.0</v>
      </c>
      <c r="P1440" s="33">
        <f>Orders!U1437</f>
        <v>9</v>
      </c>
      <c r="Q1440" s="33">
        <f>COUNTIFS(Demand!$A$2:$A$4481,B1440,Demand!$B$2:$B$4481,O1440,Demand!$C$2:$C$4481,P1440)</f>
        <v>1</v>
      </c>
      <c r="R1440" s="33">
        <f>IF(Q1440=1,SUMIFS(Demand!$E$2:$E$4481,Demand!$A$2:$A$4481,B1440,Demand!$B$2:$B$4481,O1440,Demand!$C$2:$C$4481,P1440),"")</f>
        <v>26</v>
      </c>
      <c r="S1440" s="33">
        <f>INDEX(Stores!$G$2:$G$21,MATCH(B1440,Stores!$A$2:$A$21,0))</f>
        <v>26</v>
      </c>
      <c r="T1440" s="34">
        <f>IF(R1440="","",R1440/S1440)</f>
        <v>1</v>
      </c>
      <c r="U1440" s="34">
        <f>IF(E1440=1,T1440,"")</f>
        <v>1</v>
      </c>
      <c r="V1440" s="34">
        <f>IF(AND(E1440=1,L1440=0),T1440,"")</f>
        <v>1</v>
      </c>
      <c r="W1440" s="33">
        <f>IF(U1440="","",IF(U1440&lt;=Breakdowns!$C$5,1,IF(U1440&lt;=Breakdowns!$C$6,2,IF(U1440&lt;=Breakdowns!$C$7,3,4))))</f>
        <v>2</v>
      </c>
      <c r="X1440" s="33">
        <f>IF(V1440="","",IF(V1440&lt;=Breakdowns!$D$5,1,IF(V1440&lt;=Breakdowns!$D$6,2,IF(V1440&lt;=Breakdowns!$D$7,3,4))))</f>
        <v>3</v>
      </c>
      <c r="Y1440" s="34">
        <f>INDEX(Stores!$F$2:$F$21,MATCH(B1440,Stores!$A$2:$A$21,0))</f>
        <v>5.22</v>
      </c>
      <c r="Z1440" s="33">
        <f>IF(Y1440&gt;Store_Summary!$M$2,1,0)</f>
        <v>1</v>
      </c>
      <c r="AA1440" s="33">
        <f>INDEX(Stores!$C$2:$C$21,MATCH(B1440,Stores!$A$2:$A$21,0))</f>
        <v>412</v>
      </c>
      <c r="AB1440" s="33">
        <f>IF(AA1440&lt;180,1,0)</f>
        <v>0</v>
      </c>
      <c r="AC1440" s="32" t="str">
        <f>IF(Orders!D1437="","",INDEX(Riders!$C$2:$C$81,MATCH(Orders!D1437,Riders!$A$2:$A$81,0)))</f>
        <v>Petrol scooter</v>
      </c>
      <c r="AD1440" s="33">
        <f>IF(Orders!D1437="","",INDEX(Riders!$D$2:$D$81,MATCH(Orders!D1437,Riders!$A$2:$A$81,0)))</f>
        <v>6</v>
      </c>
      <c r="AE1440" s="33">
        <f>IF(Orders!D1437="","",IF(INDEX(Riders!$B$2:$B$81,MATCH(Orders!D1437,Riders!$A$2:$A$81,0))=B1440,1,0))</f>
        <v>0</v>
      </c>
      <c r="AF1440" s="34">
        <f>IF(E1440=1,Orders!L1437,"")</f>
        <v>2.13</v>
      </c>
      <c r="AG1440" s="34">
        <f>IF(E1440=1,Orders!P1437,"")</f>
        <v>11.1</v>
      </c>
      <c r="AH1440" s="34">
        <f>IF(E1440=1,Orders!Q1437,"")</f>
        <v>16.4</v>
      </c>
      <c r="AI1440" s="34">
        <f>IF(E1440=1,Orders!M1437,"")</f>
        <v>6.6</v>
      </c>
      <c r="AJ1440" s="34">
        <f>IF(E1440=1,Orders!N1437,"")</f>
        <v>1.7</v>
      </c>
      <c r="AK1440" s="34">
        <f>IF(E1440=1,Orders!O1437,"")</f>
        <v>8</v>
      </c>
      <c r="AL1440" s="33">
        <f>IF(E1440=1,IF(ROUND(ABS(AI1440+AJ1440+AK1440-AH1440),6)&lt;=0.1,1,0),"")</f>
        <v>1</v>
      </c>
      <c r="AM1440" s="36">
        <f>IF(E1440=1,AI1440/AH1440,"")</f>
        <v>0.402439024390244</v>
      </c>
      <c r="AN1440" s="36">
        <f>IF(E1440=1,AJ1440/AH1440,"")</f>
        <v>0.103658536585366</v>
      </c>
      <c r="AO1440" s="36">
        <f>IF(E1440=1,AK1440/AH1440,"")</f>
        <v>0.487804878048781</v>
      </c>
      <c r="AP1440" s="34">
        <f>IF(E1440=1,Orders!Y1437,"")</f>
        <v>0.53</v>
      </c>
      <c r="AQ1440" s="33">
        <f>IF(Orders!X1437,1,0)</f>
        <v>0</v>
      </c>
      <c r="AR1440" s="34" t="str">
        <f>IF(AND(E1440=1,L1440=1),AJ1440,"")</f>
        <v/>
      </c>
      <c r="AS1440" s="34">
        <f>IF(AND(E1440=1,L1440=0),AJ1440,"")</f>
        <v>1.7</v>
      </c>
      <c r="AT1440" s="34" t="str">
        <f>IF(AND(E1440=1,L1440=1),AI1440,"")</f>
        <v/>
      </c>
      <c r="AU1440" s="34">
        <f>IF(AND(E1440=1,L1440=0),AI1440,"")</f>
        <v>6.6</v>
      </c>
      <c r="AV1440" s="34" t="str">
        <f>IF(AND(E1440=1,L1440=1),AG1440,"")</f>
        <v/>
      </c>
      <c r="AW1440" s="34">
        <f>IF(AND(E1440=1,L1440=0),AG1440,"")</f>
        <v>11.1</v>
      </c>
      <c r="AX1440" s="34" t="str">
        <f>IF(AND(E1440=1,L1440=1),AH1440,"")</f>
        <v/>
      </c>
      <c r="AY1440" s="34">
        <f>IF(AND(E1440=1,L1440=0),AH1440,"")</f>
        <v>16.4</v>
      </c>
      <c r="AZ1440" s="34">
        <f>IF(G1440=1,F1440,"")</f>
        <v>5.3</v>
      </c>
      <c r="BA1440" s="34" t="str">
        <f>IF(AND(G1440=1,L1440=1),F1440,"")</f>
        <v/>
      </c>
      <c r="BB1440" s="34">
        <f>IF(AND(G1440=1,L1440=0),F1440,"")</f>
        <v>5.3</v>
      </c>
      <c r="BC1440" s="33">
        <f>IF(E1440=1,IF(Orders!R1437&gt;3,1,0),"")</f>
        <v>1</v>
      </c>
      <c r="BD1440" s="33">
        <f>IF(E1440=1,IF(Orders!R1437&gt;7,1,0),"")</f>
        <v>0</v>
      </c>
      <c r="BE1440" s="32" t="str">
        <f>IF(E1440=1,IF(Orders!L1437&lt;=1.5,"Up to 1.5 km",IF(Orders!L1437&lt;=3,"1.5–3 km","Over 3 km")),"")</f>
        <v>1.5–3 km</v>
      </c>
      <c r="BF1440" s="33">
        <f>IF(E1440=1,IF(ABS((Orders!G1437-Orders!F1437)*1440-Orders!R1437)&lt;0.06,1,0),"")</f>
        <v>1</v>
      </c>
      <c r="BG1440" s="33">
        <f>IF(ABS((Orders!F1437-Orders!E1437)*1440-Orders!P1437)&lt;0.06,1,0)</f>
        <v>1</v>
      </c>
      <c r="BH1440" s="33">
        <f>IF(E1440=1,IF(IF(Orders!S1437,1,0)=1-G1440,1,0),"")</f>
        <v>1</v>
      </c>
      <c r="BI1440" s="32" t="str">
        <f>INDEX(Stores!$B$2:$B$21,MATCH(B1440,Stores!$A$2:$A$21,0))</f>
        <v>Bengaluru</v>
      </c>
    </row>
    <row r="1441">
      <c r="A1441" s="32" t="str">
        <f>Orders!A1438</f>
        <v>O01437</v>
      </c>
      <c r="B1441" s="32" t="str">
        <f>Orders!C1438</f>
        <v>S017</v>
      </c>
      <c r="C1441" s="32" t="str">
        <f>Orders!B1438</f>
        <v>C0095</v>
      </c>
      <c r="D1441" s="32" t="str">
        <f>Orders!H1438</f>
        <v>Delivered</v>
      </c>
      <c r="E1441" s="33">
        <f>IF(Orders!H1438="Delivered",1,0)</f>
        <v>1</v>
      </c>
      <c r="F1441" s="34">
        <f>IF(E1441=1,Orders!R1438,"")</f>
        <v>-1.1</v>
      </c>
      <c r="G1441" s="33">
        <f>IF(E1441=1,IF(Orders!R1438&gt;0,1,0),"")</f>
        <v>0</v>
      </c>
      <c r="H1441" s="33">
        <f>IF(E1441=1,IF(Orders!R1438&gt;5,1,0),"")</f>
        <v>0</v>
      </c>
      <c r="I1441" s="32" t="str">
        <f>IF(E1441=1,"",IF(OR(Orders!T1438="Rider unavailable",Orders!T1438="Item unavailable"),"Company-caused","Unresolved"))</f>
        <v/>
      </c>
      <c r="J1441" s="33">
        <f>IF(OR(E1441=1,I1441="Company-caused"),1,0)</f>
        <v>1</v>
      </c>
      <c r="K1441" s="32" t="str">
        <f>IF(E1441=0,IF(I1441="Company-caused",IF(Orders!T1438="Rider unavailable","C1 Rider unavailable","C2 Item unavailable"),"Outside root: unresolved"),IF(G1441=0,"A On time",IF(H1441=1,IF(L1441=1,"B2a Severe, peak","B2b Severe, off-peak"),IF(L1441=1,"B1a Slight, peak","B1b Slight, off-peak"))))</f>
        <v>A On time</v>
      </c>
      <c r="L1441" s="33">
        <f>IF(AND(Orders!U1438&gt;=19,Orders!U1438&lt;22),1,0)</f>
        <v>0</v>
      </c>
      <c r="M1441" s="33">
        <f>IF(L1441=IF(Orders!V1438,1,0),1,0)</f>
        <v>1</v>
      </c>
      <c r="N1441" s="32" t="str">
        <f>IF(Orders!W1438="","None",Orders!W1438)</f>
        <v>None</v>
      </c>
      <c r="O1441" s="35">
        <f>INT(Orders!E1438)</f>
        <v>46269.0</v>
      </c>
      <c r="P1441" s="33">
        <f>Orders!U1438</f>
        <v>8</v>
      </c>
      <c r="Q1441" s="33">
        <f>COUNTIFS(Demand!$A$2:$A$4481,B1441,Demand!$B$2:$B$4481,O1441,Demand!$C$2:$C$4481,P1441)</f>
        <v>1</v>
      </c>
      <c r="R1441" s="33">
        <f>IF(Q1441=1,SUMIFS(Demand!$E$2:$E$4481,Demand!$A$2:$A$4481,B1441,Demand!$B$2:$B$4481,O1441,Demand!$C$2:$C$4481,P1441),"")</f>
        <v>30</v>
      </c>
      <c r="S1441" s="33">
        <f>INDEX(Stores!$G$2:$G$21,MATCH(B1441,Stores!$A$2:$A$21,0))</f>
        <v>36</v>
      </c>
      <c r="T1441" s="34">
        <f>IF(R1441="","",R1441/S1441)</f>
        <v>0.833333333333333</v>
      </c>
      <c r="U1441" s="34">
        <f>IF(E1441=1,T1441,"")</f>
        <v>0.833333333333333</v>
      </c>
      <c r="V1441" s="34">
        <f>IF(AND(E1441=1,L1441=0),T1441,"")</f>
        <v>0.833333333333333</v>
      </c>
      <c r="W1441" s="33">
        <f>IF(U1441="","",IF(U1441&lt;=Breakdowns!$C$5,1,IF(U1441&lt;=Breakdowns!$C$6,2,IF(U1441&lt;=Breakdowns!$C$7,3,4))))</f>
        <v>2</v>
      </c>
      <c r="X1441" s="33">
        <f>IF(V1441="","",IF(V1441&lt;=Breakdowns!$D$5,1,IF(V1441&lt;=Breakdowns!$D$6,2,IF(V1441&lt;=Breakdowns!$D$7,3,4))))</f>
        <v>2</v>
      </c>
      <c r="Y1441" s="34">
        <f>INDEX(Stores!$F$2:$F$21,MATCH(B1441,Stores!$A$2:$A$21,0))</f>
        <v>2.16</v>
      </c>
      <c r="Z1441" s="33">
        <f>IF(Y1441&gt;Store_Summary!$M$2,1,0)</f>
        <v>0</v>
      </c>
      <c r="AA1441" s="33">
        <f>INDEX(Stores!$C$2:$C$21,MATCH(B1441,Stores!$A$2:$A$21,0))</f>
        <v>47</v>
      </c>
      <c r="AB1441" s="33">
        <f>IF(AA1441&lt;180,1,0)</f>
        <v>1</v>
      </c>
      <c r="AC1441" s="32" t="str">
        <f>IF(Orders!D1438="","",INDEX(Riders!$C$2:$C$81,MATCH(Orders!D1438,Riders!$A$2:$A$81,0)))</f>
        <v>Petrol scooter</v>
      </c>
      <c r="AD1441" s="33">
        <f>IF(Orders!D1438="","",INDEX(Riders!$D$2:$D$81,MATCH(Orders!D1438,Riders!$A$2:$A$81,0)))</f>
        <v>6</v>
      </c>
      <c r="AE1441" s="33">
        <f>IF(Orders!D1438="","",IF(INDEX(Riders!$B$2:$B$81,MATCH(Orders!D1438,Riders!$A$2:$A$81,0))=B1441,1,0))</f>
        <v>0</v>
      </c>
      <c r="AF1441" s="34">
        <f>IF(E1441=1,Orders!L1438,"")</f>
        <v>4</v>
      </c>
      <c r="AG1441" s="34">
        <f>IF(E1441=1,Orders!P1438,"")</f>
        <v>11.4</v>
      </c>
      <c r="AH1441" s="34">
        <f>IF(E1441=1,Orders!Q1438,"")</f>
        <v>10.3</v>
      </c>
      <c r="AI1441" s="34">
        <f>IF(E1441=1,Orders!M1438,"")</f>
        <v>1.6</v>
      </c>
      <c r="AJ1441" s="34">
        <f>IF(E1441=1,Orders!N1438,"")</f>
        <v>0.6</v>
      </c>
      <c r="AK1441" s="34">
        <f>IF(E1441=1,Orders!O1438,"")</f>
        <v>8.1</v>
      </c>
      <c r="AL1441" s="33">
        <f>IF(E1441=1,IF(ROUND(ABS(AI1441+AJ1441+AK1441-AH1441),6)&lt;=0.1,1,0),"")</f>
        <v>1</v>
      </c>
      <c r="AM1441" s="36">
        <f>IF(E1441=1,AI1441/AH1441,"")</f>
        <v>0.155339805825243</v>
      </c>
      <c r="AN1441" s="36">
        <f>IF(E1441=1,AJ1441/AH1441,"")</f>
        <v>0.058252427184466</v>
      </c>
      <c r="AO1441" s="36">
        <f>IF(E1441=1,AK1441/AH1441,"")</f>
        <v>0.786407766990291</v>
      </c>
      <c r="AP1441" s="34">
        <f>IF(E1441=1,Orders!Y1438,"")</f>
        <v>0.32</v>
      </c>
      <c r="AQ1441" s="33">
        <f>IF(Orders!X1438,1,0)</f>
        <v>0</v>
      </c>
      <c r="AR1441" s="34" t="str">
        <f>IF(AND(E1441=1,L1441=1),AJ1441,"")</f>
        <v/>
      </c>
      <c r="AS1441" s="34">
        <f>IF(AND(E1441=1,L1441=0),AJ1441,"")</f>
        <v>0.6</v>
      </c>
      <c r="AT1441" s="34" t="str">
        <f>IF(AND(E1441=1,L1441=1),AI1441,"")</f>
        <v/>
      </c>
      <c r="AU1441" s="34">
        <f>IF(AND(E1441=1,L1441=0),AI1441,"")</f>
        <v>1.6</v>
      </c>
      <c r="AV1441" s="34" t="str">
        <f>IF(AND(E1441=1,L1441=1),AG1441,"")</f>
        <v/>
      </c>
      <c r="AW1441" s="34">
        <f>IF(AND(E1441=1,L1441=0),AG1441,"")</f>
        <v>11.4</v>
      </c>
      <c r="AX1441" s="34" t="str">
        <f>IF(AND(E1441=1,L1441=1),AH1441,"")</f>
        <v/>
      </c>
      <c r="AY1441" s="34">
        <f>IF(AND(E1441=1,L1441=0),AH1441,"")</f>
        <v>10.3</v>
      </c>
      <c r="AZ1441" s="34" t="str">
        <f>IF(G1441=1,F1441,"")</f>
        <v/>
      </c>
      <c r="BA1441" s="34" t="str">
        <f>IF(AND(G1441=1,L1441=1),F1441,"")</f>
        <v/>
      </c>
      <c r="BB1441" s="34" t="str">
        <f>IF(AND(G1441=1,L1441=0),F1441,"")</f>
        <v/>
      </c>
      <c r="BC1441" s="33">
        <f>IF(E1441=1,IF(Orders!R1438&gt;3,1,0),"")</f>
        <v>0</v>
      </c>
      <c r="BD1441" s="33">
        <f>IF(E1441=1,IF(Orders!R1438&gt;7,1,0),"")</f>
        <v>0</v>
      </c>
      <c r="BE1441" s="32" t="str">
        <f>IF(E1441=1,IF(Orders!L1438&lt;=1.5,"Up to 1.5 km",IF(Orders!L1438&lt;=3,"1.5–3 km","Over 3 km")),"")</f>
        <v>Over 3 km</v>
      </c>
      <c r="BF1441" s="33">
        <f>IF(E1441=1,IF(ABS((Orders!G1438-Orders!F1438)*1440-Orders!R1438)&lt;0.06,1,0),"")</f>
        <v>1</v>
      </c>
      <c r="BG1441" s="33">
        <f>IF(ABS((Orders!F1438-Orders!E1438)*1440-Orders!P1438)&lt;0.06,1,0)</f>
        <v>1</v>
      </c>
      <c r="BH1441" s="33">
        <f>IF(E1441=1,IF(IF(Orders!S1438,1,0)=1-G1441,1,0),"")</f>
        <v>1</v>
      </c>
      <c r="BI1441" s="32" t="str">
        <f>INDEX(Stores!$B$2:$B$21,MATCH(B1441,Stores!$A$2:$A$21,0))</f>
        <v>Hyderabad</v>
      </c>
    </row>
    <row r="1442">
      <c r="A1442" s="32" t="str">
        <f>Orders!A1439</f>
        <v>O01438</v>
      </c>
      <c r="B1442" s="32" t="str">
        <f>Orders!C1439</f>
        <v>S009</v>
      </c>
      <c r="C1442" s="32" t="str">
        <f>Orders!B1439</f>
        <v>C0132</v>
      </c>
      <c r="D1442" s="32" t="str">
        <f>Orders!H1439</f>
        <v>Delivered</v>
      </c>
      <c r="E1442" s="33">
        <f>IF(Orders!H1439="Delivered",1,0)</f>
        <v>1</v>
      </c>
      <c r="F1442" s="34">
        <f>IF(E1442=1,Orders!R1439,"")</f>
        <v>-0.2</v>
      </c>
      <c r="G1442" s="33">
        <f>IF(E1442=1,IF(Orders!R1439&gt;0,1,0),"")</f>
        <v>0</v>
      </c>
      <c r="H1442" s="33">
        <f>IF(E1442=1,IF(Orders!R1439&gt;5,1,0),"")</f>
        <v>0</v>
      </c>
      <c r="I1442" s="32" t="str">
        <f>IF(E1442=1,"",IF(OR(Orders!T1439="Rider unavailable",Orders!T1439="Item unavailable"),"Company-caused","Unresolved"))</f>
        <v/>
      </c>
      <c r="J1442" s="33">
        <f>IF(OR(E1442=1,I1442="Company-caused"),1,0)</f>
        <v>1</v>
      </c>
      <c r="K1442" s="32" t="str">
        <f>IF(E1442=0,IF(I1442="Company-caused",IF(Orders!T1439="Rider unavailable","C1 Rider unavailable","C2 Item unavailable"),"Outside root: unresolved"),IF(G1442=0,"A On time",IF(H1442=1,IF(L1442=1,"B2a Severe, peak","B2b Severe, off-peak"),IF(L1442=1,"B1a Slight, peak","B1b Slight, off-peak"))))</f>
        <v>A On time</v>
      </c>
      <c r="L1442" s="33">
        <f>IF(AND(Orders!U1439&gt;=19,Orders!U1439&lt;22),1,0)</f>
        <v>0</v>
      </c>
      <c r="M1442" s="33">
        <f>IF(L1442=IF(Orders!V1439,1,0),1,0)</f>
        <v>1</v>
      </c>
      <c r="N1442" s="32" t="str">
        <f>IF(Orders!W1439="","None",Orders!W1439)</f>
        <v>None</v>
      </c>
      <c r="O1442" s="35">
        <f>INT(Orders!E1439)</f>
        <v>46268.0</v>
      </c>
      <c r="P1442" s="33">
        <f>Orders!U1439</f>
        <v>8</v>
      </c>
      <c r="Q1442" s="33">
        <f>COUNTIFS(Demand!$A$2:$A$4481,B1442,Demand!$B$2:$B$4481,O1442,Demand!$C$2:$C$4481,P1442)</f>
        <v>1</v>
      </c>
      <c r="R1442" s="33">
        <f>IF(Q1442=1,SUMIFS(Demand!$E$2:$E$4481,Demand!$A$2:$A$4481,B1442,Demand!$B$2:$B$4481,O1442,Demand!$C$2:$C$4481,P1442),"")</f>
        <v>21</v>
      </c>
      <c r="S1442" s="33">
        <f>INDEX(Stores!$G$2:$G$21,MATCH(B1442,Stores!$A$2:$A$21,0))</f>
        <v>29</v>
      </c>
      <c r="T1442" s="34">
        <f>IF(R1442="","",R1442/S1442)</f>
        <v>0.724137931034483</v>
      </c>
      <c r="U1442" s="34">
        <f>IF(E1442=1,T1442,"")</f>
        <v>0.724137931034483</v>
      </c>
      <c r="V1442" s="34">
        <f>IF(AND(E1442=1,L1442=0),T1442,"")</f>
        <v>0.724137931034483</v>
      </c>
      <c r="W1442" s="33">
        <f>IF(U1442="","",IF(U1442&lt;=Breakdowns!$C$5,1,IF(U1442&lt;=Breakdowns!$C$6,2,IF(U1442&lt;=Breakdowns!$C$7,3,4))))</f>
        <v>1</v>
      </c>
      <c r="X1442" s="33">
        <f>IF(V1442="","",IF(V1442&lt;=Breakdowns!$D$5,1,IF(V1442&lt;=Breakdowns!$D$6,2,IF(V1442&lt;=Breakdowns!$D$7,3,4))))</f>
        <v>1</v>
      </c>
      <c r="Y1442" s="34">
        <f>INDEX(Stores!$F$2:$F$21,MATCH(B1442,Stores!$A$2:$A$21,0))</f>
        <v>2.66</v>
      </c>
      <c r="Z1442" s="33">
        <f>IF(Y1442&gt;Store_Summary!$M$2,1,0)</f>
        <v>0</v>
      </c>
      <c r="AA1442" s="33">
        <f>INDEX(Stores!$C$2:$C$21,MATCH(B1442,Stores!$A$2:$A$21,0))</f>
        <v>645</v>
      </c>
      <c r="AB1442" s="33">
        <f>IF(AA1442&lt;180,1,0)</f>
        <v>0</v>
      </c>
      <c r="AC1442" s="32" t="str">
        <f>IF(Orders!D1439="","",INDEX(Riders!$C$2:$C$81,MATCH(Orders!D1439,Riders!$A$2:$A$81,0)))</f>
        <v>Bicycle</v>
      </c>
      <c r="AD1442" s="33">
        <f>IF(Orders!D1439="","",INDEX(Riders!$D$2:$D$81,MATCH(Orders!D1439,Riders!$A$2:$A$81,0)))</f>
        <v>2</v>
      </c>
      <c r="AE1442" s="33">
        <f>IF(Orders!D1439="","",IF(INDEX(Riders!$B$2:$B$81,MATCH(Orders!D1439,Riders!$A$2:$A$81,0))=B1442,1,0))</f>
        <v>0</v>
      </c>
      <c r="AF1442" s="34">
        <f>IF(E1442=1,Orders!L1439,"")</f>
        <v>2.65</v>
      </c>
      <c r="AG1442" s="34">
        <f>IF(E1442=1,Orders!P1439,"")</f>
        <v>8.7</v>
      </c>
      <c r="AH1442" s="34">
        <f>IF(E1442=1,Orders!Q1439,"")</f>
        <v>8.5</v>
      </c>
      <c r="AI1442" s="34">
        <f>IF(E1442=1,Orders!M1439,"")</f>
        <v>1.5</v>
      </c>
      <c r="AJ1442" s="34">
        <f>IF(E1442=1,Orders!N1439,"")</f>
        <v>3.6</v>
      </c>
      <c r="AK1442" s="34">
        <f>IF(E1442=1,Orders!O1439,"")</f>
        <v>3.4</v>
      </c>
      <c r="AL1442" s="33">
        <f>IF(E1442=1,IF(ROUND(ABS(AI1442+AJ1442+AK1442-AH1442),6)&lt;=0.1,1,0),"")</f>
        <v>1</v>
      </c>
      <c r="AM1442" s="36">
        <f>IF(E1442=1,AI1442/AH1442,"")</f>
        <v>0.176470588235294</v>
      </c>
      <c r="AN1442" s="36">
        <f>IF(E1442=1,AJ1442/AH1442,"")</f>
        <v>0.423529411764706</v>
      </c>
      <c r="AO1442" s="36">
        <f>IF(E1442=1,AK1442/AH1442,"")</f>
        <v>0.4</v>
      </c>
      <c r="AP1442" s="34">
        <f>IF(E1442=1,Orders!Y1439,"")</f>
        <v>0.21</v>
      </c>
      <c r="AQ1442" s="33">
        <f>IF(Orders!X1439,1,0)</f>
        <v>0</v>
      </c>
      <c r="AR1442" s="34" t="str">
        <f>IF(AND(E1442=1,L1442=1),AJ1442,"")</f>
        <v/>
      </c>
      <c r="AS1442" s="34">
        <f>IF(AND(E1442=1,L1442=0),AJ1442,"")</f>
        <v>3.6</v>
      </c>
      <c r="AT1442" s="34" t="str">
        <f>IF(AND(E1442=1,L1442=1),AI1442,"")</f>
        <v/>
      </c>
      <c r="AU1442" s="34">
        <f>IF(AND(E1442=1,L1442=0),AI1442,"")</f>
        <v>1.5</v>
      </c>
      <c r="AV1442" s="34" t="str">
        <f>IF(AND(E1442=1,L1442=1),AG1442,"")</f>
        <v/>
      </c>
      <c r="AW1442" s="34">
        <f>IF(AND(E1442=1,L1442=0),AG1442,"")</f>
        <v>8.7</v>
      </c>
      <c r="AX1442" s="34" t="str">
        <f>IF(AND(E1442=1,L1442=1),AH1442,"")</f>
        <v/>
      </c>
      <c r="AY1442" s="34">
        <f>IF(AND(E1442=1,L1442=0),AH1442,"")</f>
        <v>8.5</v>
      </c>
      <c r="AZ1442" s="34" t="str">
        <f>IF(G1442=1,F1442,"")</f>
        <v/>
      </c>
      <c r="BA1442" s="34" t="str">
        <f>IF(AND(G1442=1,L1442=1),F1442,"")</f>
        <v/>
      </c>
      <c r="BB1442" s="34" t="str">
        <f>IF(AND(G1442=1,L1442=0),F1442,"")</f>
        <v/>
      </c>
      <c r="BC1442" s="33">
        <f>IF(E1442=1,IF(Orders!R1439&gt;3,1,0),"")</f>
        <v>0</v>
      </c>
      <c r="BD1442" s="33">
        <f>IF(E1442=1,IF(Orders!R1439&gt;7,1,0),"")</f>
        <v>0</v>
      </c>
      <c r="BE1442" s="32" t="str">
        <f>IF(E1442=1,IF(Orders!L1439&lt;=1.5,"Up to 1.5 km",IF(Orders!L1439&lt;=3,"1.5–3 km","Over 3 km")),"")</f>
        <v>1.5–3 km</v>
      </c>
      <c r="BF1442" s="33">
        <f>IF(E1442=1,IF(ABS((Orders!G1439-Orders!F1439)*1440-Orders!R1439)&lt;0.06,1,0),"")</f>
        <v>1</v>
      </c>
      <c r="BG1442" s="33">
        <f>IF(ABS((Orders!F1439-Orders!E1439)*1440-Orders!P1439)&lt;0.06,1,0)</f>
        <v>1</v>
      </c>
      <c r="BH1442" s="33">
        <f>IF(E1442=1,IF(IF(Orders!S1439,1,0)=1-G1442,1,0),"")</f>
        <v>1</v>
      </c>
      <c r="BI1442" s="32" t="str">
        <f>INDEX(Stores!$B$2:$B$21,MATCH(B1442,Stores!$A$2:$A$21,0))</f>
        <v>Pune</v>
      </c>
    </row>
    <row r="1443">
      <c r="A1443" s="32" t="str">
        <f>Orders!A1440</f>
        <v>O01439</v>
      </c>
      <c r="B1443" s="32" t="str">
        <f>Orders!C1440</f>
        <v>S010</v>
      </c>
      <c r="C1443" s="32" t="str">
        <f>Orders!B1440</f>
        <v>C0062</v>
      </c>
      <c r="D1443" s="32" t="str">
        <f>Orders!H1440</f>
        <v>Delivered</v>
      </c>
      <c r="E1443" s="33">
        <f>IF(Orders!H1440="Delivered",1,0)</f>
        <v>1</v>
      </c>
      <c r="F1443" s="34">
        <f>IF(E1443=1,Orders!R1440,"")</f>
        <v>-0.6</v>
      </c>
      <c r="G1443" s="33">
        <f>IF(E1443=1,IF(Orders!R1440&gt;0,1,0),"")</f>
        <v>0</v>
      </c>
      <c r="H1443" s="33">
        <f>IF(E1443=1,IF(Orders!R1440&gt;5,1,0),"")</f>
        <v>0</v>
      </c>
      <c r="I1443" s="32" t="str">
        <f>IF(E1443=1,"",IF(OR(Orders!T1440="Rider unavailable",Orders!T1440="Item unavailable"),"Company-caused","Unresolved"))</f>
        <v/>
      </c>
      <c r="J1443" s="33">
        <f>IF(OR(E1443=1,I1443="Company-caused"),1,0)</f>
        <v>1</v>
      </c>
      <c r="K1443" s="32" t="str">
        <f>IF(E1443=0,IF(I1443="Company-caused",IF(Orders!T1440="Rider unavailable","C1 Rider unavailable","C2 Item unavailable"),"Outside root: unresolved"),IF(G1443=0,"A On time",IF(H1443=1,IF(L1443=1,"B2a Severe, peak","B2b Severe, off-peak"),IF(L1443=1,"B1a Slight, peak","B1b Slight, off-peak"))))</f>
        <v>A On time</v>
      </c>
      <c r="L1443" s="33">
        <f>IF(AND(Orders!U1440&gt;=19,Orders!U1440&lt;22),1,0)</f>
        <v>1</v>
      </c>
      <c r="M1443" s="33">
        <f>IF(L1443=IF(Orders!V1440,1,0),1,0)</f>
        <v>1</v>
      </c>
      <c r="N1443" s="32" t="str">
        <f>IF(Orders!W1440="","None",Orders!W1440)</f>
        <v>Light</v>
      </c>
      <c r="O1443" s="35">
        <f>INT(Orders!E1440)</f>
        <v>46274.0</v>
      </c>
      <c r="P1443" s="33">
        <f>Orders!U1440</f>
        <v>21</v>
      </c>
      <c r="Q1443" s="33">
        <f>COUNTIFS(Demand!$A$2:$A$4481,B1443,Demand!$B$2:$B$4481,O1443,Demand!$C$2:$C$4481,P1443)</f>
        <v>1</v>
      </c>
      <c r="R1443" s="33">
        <f>IF(Q1443=1,SUMIFS(Demand!$E$2:$E$4481,Demand!$A$2:$A$4481,B1443,Demand!$B$2:$B$4481,O1443,Demand!$C$2:$C$4481,P1443),"")</f>
        <v>29</v>
      </c>
      <c r="S1443" s="33">
        <f>INDEX(Stores!$G$2:$G$21,MATCH(B1443,Stores!$A$2:$A$21,0))</f>
        <v>22</v>
      </c>
      <c r="T1443" s="34">
        <f>IF(R1443="","",R1443/S1443)</f>
        <v>1.31818181818182</v>
      </c>
      <c r="U1443" s="34">
        <f>IF(E1443=1,T1443,"")</f>
        <v>1.31818181818182</v>
      </c>
      <c r="V1443" s="34" t="str">
        <f>IF(AND(E1443=1,L1443=0),T1443,"")</f>
        <v/>
      </c>
      <c r="W1443" s="33">
        <f>IF(U1443="","",IF(U1443&lt;=Breakdowns!$C$5,1,IF(U1443&lt;=Breakdowns!$C$6,2,IF(U1443&lt;=Breakdowns!$C$7,3,4))))</f>
        <v>4</v>
      </c>
      <c r="X1443" s="33" t="str">
        <f>IF(V1443="","",IF(V1443&lt;=Breakdowns!$D$5,1,IF(V1443&lt;=Breakdowns!$D$6,2,IF(V1443&lt;=Breakdowns!$D$7,3,4))))</f>
        <v/>
      </c>
      <c r="Y1443" s="34">
        <f>INDEX(Stores!$F$2:$F$21,MATCH(B1443,Stores!$A$2:$A$21,0))</f>
        <v>5.61</v>
      </c>
      <c r="Z1443" s="33">
        <f>IF(Y1443&gt;Store_Summary!$M$2,1,0)</f>
        <v>1</v>
      </c>
      <c r="AA1443" s="33">
        <f>INDEX(Stores!$C$2:$C$21,MATCH(B1443,Stores!$A$2:$A$21,0))</f>
        <v>744</v>
      </c>
      <c r="AB1443" s="33">
        <f>IF(AA1443&lt;180,1,0)</f>
        <v>0</v>
      </c>
      <c r="AC1443" s="32" t="str">
        <f>IF(Orders!D1440="","",INDEX(Riders!$C$2:$C$81,MATCH(Orders!D1440,Riders!$A$2:$A$81,0)))</f>
        <v>EV scooter</v>
      </c>
      <c r="AD1443" s="33">
        <f>IF(Orders!D1440="","",INDEX(Riders!$D$2:$D$81,MATCH(Orders!D1440,Riders!$A$2:$A$81,0)))</f>
        <v>2</v>
      </c>
      <c r="AE1443" s="33">
        <f>IF(Orders!D1440="","",IF(INDEX(Riders!$B$2:$B$81,MATCH(Orders!D1440,Riders!$A$2:$A$81,0))=B1443,1,0))</f>
        <v>0</v>
      </c>
      <c r="AF1443" s="34">
        <f>IF(E1443=1,Orders!L1440,"")</f>
        <v>3.41</v>
      </c>
      <c r="AG1443" s="34">
        <f>IF(E1443=1,Orders!P1440,"")</f>
        <v>8.9</v>
      </c>
      <c r="AH1443" s="34">
        <f>IF(E1443=1,Orders!Q1440,"")</f>
        <v>8.3</v>
      </c>
      <c r="AI1443" s="34">
        <f>IF(E1443=1,Orders!M1440,"")</f>
        <v>2.1</v>
      </c>
      <c r="AJ1443" s="34">
        <f>IF(E1443=1,Orders!N1440,"")</f>
        <v>2.3</v>
      </c>
      <c r="AK1443" s="34">
        <f>IF(E1443=1,Orders!O1440,"")</f>
        <v>3.9</v>
      </c>
      <c r="AL1443" s="33">
        <f>IF(E1443=1,IF(ROUND(ABS(AI1443+AJ1443+AK1443-AH1443),6)&lt;=0.1,1,0),"")</f>
        <v>1</v>
      </c>
      <c r="AM1443" s="36">
        <f>IF(E1443=1,AI1443/AH1443,"")</f>
        <v>0.253012048192771</v>
      </c>
      <c r="AN1443" s="36">
        <f>IF(E1443=1,AJ1443/AH1443,"")</f>
        <v>0.27710843373494</v>
      </c>
      <c r="AO1443" s="36">
        <f>IF(E1443=1,AK1443/AH1443,"")</f>
        <v>0.469879518072289</v>
      </c>
      <c r="AP1443" s="34">
        <f>IF(E1443=1,Orders!Y1440,"")</f>
        <v>0.53</v>
      </c>
      <c r="AQ1443" s="33">
        <f>IF(Orders!X1440,1,0)</f>
        <v>0</v>
      </c>
      <c r="AR1443" s="34">
        <f>IF(AND(E1443=1,L1443=1),AJ1443,"")</f>
        <v>2.3</v>
      </c>
      <c r="AS1443" s="34" t="str">
        <f>IF(AND(E1443=1,L1443=0),AJ1443,"")</f>
        <v/>
      </c>
      <c r="AT1443" s="34">
        <f>IF(AND(E1443=1,L1443=1),AI1443,"")</f>
        <v>2.1</v>
      </c>
      <c r="AU1443" s="34" t="str">
        <f>IF(AND(E1443=1,L1443=0),AI1443,"")</f>
        <v/>
      </c>
      <c r="AV1443" s="34">
        <f>IF(AND(E1443=1,L1443=1),AG1443,"")</f>
        <v>8.9</v>
      </c>
      <c r="AW1443" s="34" t="str">
        <f>IF(AND(E1443=1,L1443=0),AG1443,"")</f>
        <v/>
      </c>
      <c r="AX1443" s="34">
        <f>IF(AND(E1443=1,L1443=1),AH1443,"")</f>
        <v>8.3</v>
      </c>
      <c r="AY1443" s="34" t="str">
        <f>IF(AND(E1443=1,L1443=0),AH1443,"")</f>
        <v/>
      </c>
      <c r="AZ1443" s="34" t="str">
        <f>IF(G1443=1,F1443,"")</f>
        <v/>
      </c>
      <c r="BA1443" s="34" t="str">
        <f>IF(AND(G1443=1,L1443=1),F1443,"")</f>
        <v/>
      </c>
      <c r="BB1443" s="34" t="str">
        <f>IF(AND(G1443=1,L1443=0),F1443,"")</f>
        <v/>
      </c>
      <c r="BC1443" s="33">
        <f>IF(E1443=1,IF(Orders!R1440&gt;3,1,0),"")</f>
        <v>0</v>
      </c>
      <c r="BD1443" s="33">
        <f>IF(E1443=1,IF(Orders!R1440&gt;7,1,0),"")</f>
        <v>0</v>
      </c>
      <c r="BE1443" s="32" t="str">
        <f>IF(E1443=1,IF(Orders!L1440&lt;=1.5,"Up to 1.5 km",IF(Orders!L1440&lt;=3,"1.5–3 km","Over 3 km")),"")</f>
        <v>Over 3 km</v>
      </c>
      <c r="BF1443" s="33">
        <f>IF(E1443=1,IF(ABS((Orders!G1440-Orders!F1440)*1440-Orders!R1440)&lt;0.06,1,0),"")</f>
        <v>1</v>
      </c>
      <c r="BG1443" s="33">
        <f>IF(ABS((Orders!F1440-Orders!E1440)*1440-Orders!P1440)&lt;0.06,1,0)</f>
        <v>1</v>
      </c>
      <c r="BH1443" s="33">
        <f>IF(E1443=1,IF(IF(Orders!S1440,1,0)=1-G1443,1,0),"")</f>
        <v>1</v>
      </c>
      <c r="BI1443" s="32" t="str">
        <f>INDEX(Stores!$B$2:$B$21,MATCH(B1443,Stores!$A$2:$A$21,0))</f>
        <v>Delhi</v>
      </c>
    </row>
    <row r="1444">
      <c r="A1444" s="32" t="str">
        <f>Orders!A1441</f>
        <v>O01440</v>
      </c>
      <c r="B1444" s="32" t="str">
        <f>Orders!C1441</f>
        <v>S020</v>
      </c>
      <c r="C1444" s="32" t="str">
        <f>Orders!B1441</f>
        <v>C0106</v>
      </c>
      <c r="D1444" s="32" t="str">
        <f>Orders!H1441</f>
        <v>Delivered</v>
      </c>
      <c r="E1444" s="33">
        <f>IF(Orders!H1441="Delivered",1,0)</f>
        <v>1</v>
      </c>
      <c r="F1444" s="34">
        <f>IF(E1444=1,Orders!R1441,"")</f>
        <v>-0.7</v>
      </c>
      <c r="G1444" s="33">
        <f>IF(E1444=1,IF(Orders!R1441&gt;0,1,0),"")</f>
        <v>0</v>
      </c>
      <c r="H1444" s="33">
        <f>IF(E1444=1,IF(Orders!R1441&gt;5,1,0),"")</f>
        <v>0</v>
      </c>
      <c r="I1444" s="32" t="str">
        <f>IF(E1444=1,"",IF(OR(Orders!T1441="Rider unavailable",Orders!T1441="Item unavailable"),"Company-caused","Unresolved"))</f>
        <v/>
      </c>
      <c r="J1444" s="33">
        <f>IF(OR(E1444=1,I1444="Company-caused"),1,0)</f>
        <v>1</v>
      </c>
      <c r="K1444" s="32" t="str">
        <f>IF(E1444=0,IF(I1444="Company-caused",IF(Orders!T1441="Rider unavailable","C1 Rider unavailable","C2 Item unavailable"),"Outside root: unresolved"),IF(G1444=0,"A On time",IF(H1444=1,IF(L1444=1,"B2a Severe, peak","B2b Severe, off-peak"),IF(L1444=1,"B1a Slight, peak","B1b Slight, off-peak"))))</f>
        <v>A On time</v>
      </c>
      <c r="L1444" s="33">
        <f>IF(AND(Orders!U1441&gt;=19,Orders!U1441&lt;22),1,0)</f>
        <v>0</v>
      </c>
      <c r="M1444" s="33">
        <f>IF(L1444=IF(Orders!V1441,1,0),1,0)</f>
        <v>1</v>
      </c>
      <c r="N1444" s="32" t="str">
        <f>IF(Orders!W1441="","None",Orders!W1441)</f>
        <v>Light</v>
      </c>
      <c r="O1444" s="35">
        <f>INT(Orders!E1441)</f>
        <v>46272.0</v>
      </c>
      <c r="P1444" s="33">
        <f>Orders!U1441</f>
        <v>13</v>
      </c>
      <c r="Q1444" s="33">
        <f>COUNTIFS(Demand!$A$2:$A$4481,B1444,Demand!$B$2:$B$4481,O1444,Demand!$C$2:$C$4481,P1444)</f>
        <v>1</v>
      </c>
      <c r="R1444" s="33">
        <f>IF(Q1444=1,SUMIFS(Demand!$E$2:$E$4481,Demand!$A$2:$A$4481,B1444,Demand!$B$2:$B$4481,O1444,Demand!$C$2:$C$4481,P1444),"")</f>
        <v>13</v>
      </c>
      <c r="S1444" s="33">
        <f>INDEX(Stores!$G$2:$G$21,MATCH(B1444,Stores!$A$2:$A$21,0))</f>
        <v>15</v>
      </c>
      <c r="T1444" s="34">
        <f>IF(R1444="","",R1444/S1444)</f>
        <v>0.866666666666667</v>
      </c>
      <c r="U1444" s="34">
        <f>IF(E1444=1,T1444,"")</f>
        <v>0.866666666666667</v>
      </c>
      <c r="V1444" s="34">
        <f>IF(AND(E1444=1,L1444=0),T1444,"")</f>
        <v>0.866666666666667</v>
      </c>
      <c r="W1444" s="33">
        <f>IF(U1444="","",IF(U1444&lt;=Breakdowns!$C$5,1,IF(U1444&lt;=Breakdowns!$C$6,2,IF(U1444&lt;=Breakdowns!$C$7,3,4))))</f>
        <v>2</v>
      </c>
      <c r="X1444" s="33">
        <f>IF(V1444="","",IF(V1444&lt;=Breakdowns!$D$5,1,IF(V1444&lt;=Breakdowns!$D$6,2,IF(V1444&lt;=Breakdowns!$D$7,3,4))))</f>
        <v>2</v>
      </c>
      <c r="Y1444" s="34">
        <f>INDEX(Stores!$F$2:$F$21,MATCH(B1444,Stores!$A$2:$A$21,0))</f>
        <v>5.74</v>
      </c>
      <c r="Z1444" s="33">
        <f>IF(Y1444&gt;Store_Summary!$M$2,1,0)</f>
        <v>1</v>
      </c>
      <c r="AA1444" s="33">
        <f>INDEX(Stores!$C$2:$C$21,MATCH(B1444,Stores!$A$2:$A$21,0))</f>
        <v>647</v>
      </c>
      <c r="AB1444" s="33">
        <f>IF(AA1444&lt;180,1,0)</f>
        <v>0</v>
      </c>
      <c r="AC1444" s="32" t="str">
        <f>IF(Orders!D1441="","",INDEX(Riders!$C$2:$C$81,MATCH(Orders!D1441,Riders!$A$2:$A$81,0)))</f>
        <v>Petrol scooter</v>
      </c>
      <c r="AD1444" s="33">
        <f>IF(Orders!D1441="","",INDEX(Riders!$D$2:$D$81,MATCH(Orders!D1441,Riders!$A$2:$A$81,0)))</f>
        <v>19</v>
      </c>
      <c r="AE1444" s="33">
        <f>IF(Orders!D1441="","",IF(INDEX(Riders!$B$2:$B$81,MATCH(Orders!D1441,Riders!$A$2:$A$81,0))=B1444,1,0))</f>
        <v>0</v>
      </c>
      <c r="AF1444" s="34">
        <f>IF(E1444=1,Orders!L1441,"")</f>
        <v>3.8</v>
      </c>
      <c r="AG1444" s="34">
        <f>IF(E1444=1,Orders!P1441,"")</f>
        <v>9.6</v>
      </c>
      <c r="AH1444" s="34">
        <f>IF(E1444=1,Orders!Q1441,"")</f>
        <v>8.9</v>
      </c>
      <c r="AI1444" s="34">
        <f>IF(E1444=1,Orders!M1441,"")</f>
        <v>1.9</v>
      </c>
      <c r="AJ1444" s="34">
        <f>IF(E1444=1,Orders!N1441,"")</f>
        <v>3.1</v>
      </c>
      <c r="AK1444" s="34">
        <f>IF(E1444=1,Orders!O1441,"")</f>
        <v>3.9</v>
      </c>
      <c r="AL1444" s="33">
        <f>IF(E1444=1,IF(ROUND(ABS(AI1444+AJ1444+AK1444-AH1444),6)&lt;=0.1,1,0),"")</f>
        <v>1</v>
      </c>
      <c r="AM1444" s="36">
        <f>IF(E1444=1,AI1444/AH1444,"")</f>
        <v>0.213483146067416</v>
      </c>
      <c r="AN1444" s="36">
        <f>IF(E1444=1,AJ1444/AH1444,"")</f>
        <v>0.348314606741573</v>
      </c>
      <c r="AO1444" s="36">
        <f>IF(E1444=1,AK1444/AH1444,"")</f>
        <v>0.438202247191011</v>
      </c>
      <c r="AP1444" s="34">
        <f>IF(E1444=1,Orders!Y1441,"")</f>
        <v>0.41</v>
      </c>
      <c r="AQ1444" s="33">
        <f>IF(Orders!X1441,1,0)</f>
        <v>0</v>
      </c>
      <c r="AR1444" s="34" t="str">
        <f>IF(AND(E1444=1,L1444=1),AJ1444,"")</f>
        <v/>
      </c>
      <c r="AS1444" s="34">
        <f>IF(AND(E1444=1,L1444=0),AJ1444,"")</f>
        <v>3.1</v>
      </c>
      <c r="AT1444" s="34" t="str">
        <f>IF(AND(E1444=1,L1444=1),AI1444,"")</f>
        <v/>
      </c>
      <c r="AU1444" s="34">
        <f>IF(AND(E1444=1,L1444=0),AI1444,"")</f>
        <v>1.9</v>
      </c>
      <c r="AV1444" s="34" t="str">
        <f>IF(AND(E1444=1,L1444=1),AG1444,"")</f>
        <v/>
      </c>
      <c r="AW1444" s="34">
        <f>IF(AND(E1444=1,L1444=0),AG1444,"")</f>
        <v>9.6</v>
      </c>
      <c r="AX1444" s="34" t="str">
        <f>IF(AND(E1444=1,L1444=1),AH1444,"")</f>
        <v/>
      </c>
      <c r="AY1444" s="34">
        <f>IF(AND(E1444=1,L1444=0),AH1444,"")</f>
        <v>8.9</v>
      </c>
      <c r="AZ1444" s="34" t="str">
        <f>IF(G1444=1,F1444,"")</f>
        <v/>
      </c>
      <c r="BA1444" s="34" t="str">
        <f>IF(AND(G1444=1,L1444=1),F1444,"")</f>
        <v/>
      </c>
      <c r="BB1444" s="34" t="str">
        <f>IF(AND(G1444=1,L1444=0),F1444,"")</f>
        <v/>
      </c>
      <c r="BC1444" s="33">
        <f>IF(E1444=1,IF(Orders!R1441&gt;3,1,0),"")</f>
        <v>0</v>
      </c>
      <c r="BD1444" s="33">
        <f>IF(E1444=1,IF(Orders!R1441&gt;7,1,0),"")</f>
        <v>0</v>
      </c>
      <c r="BE1444" s="32" t="str">
        <f>IF(E1444=1,IF(Orders!L1441&lt;=1.5,"Up to 1.5 km",IF(Orders!L1441&lt;=3,"1.5–3 km","Over 3 km")),"")</f>
        <v>Over 3 km</v>
      </c>
      <c r="BF1444" s="33">
        <f>IF(E1444=1,IF(ABS((Orders!G1441-Orders!F1441)*1440-Orders!R1441)&lt;0.06,1,0),"")</f>
        <v>1</v>
      </c>
      <c r="BG1444" s="33">
        <f>IF(ABS((Orders!F1441-Orders!E1441)*1440-Orders!P1441)&lt;0.06,1,0)</f>
        <v>1</v>
      </c>
      <c r="BH1444" s="33">
        <f>IF(E1444=1,IF(IF(Orders!S1441,1,0)=1-G1444,1,0),"")</f>
        <v>1</v>
      </c>
      <c r="BI1444" s="32" t="str">
        <f>INDEX(Stores!$B$2:$B$21,MATCH(B1444,Stores!$A$2:$A$21,0))</f>
        <v>Delhi</v>
      </c>
    </row>
    <row r="1445">
      <c r="A1445" s="32" t="str">
        <f>Orders!A1442</f>
        <v>O01441</v>
      </c>
      <c r="B1445" s="32" t="str">
        <f>Orders!C1442</f>
        <v>S007</v>
      </c>
      <c r="C1445" s="32" t="str">
        <f>Orders!B1442</f>
        <v>C0053</v>
      </c>
      <c r="D1445" s="32" t="str">
        <f>Orders!H1442</f>
        <v>Cancelled</v>
      </c>
      <c r="E1445" s="33">
        <f>IF(Orders!H1442="Delivered",1,0)</f>
        <v>0</v>
      </c>
      <c r="F1445" s="34" t="str">
        <f>IF(E1445=1,Orders!R1442,"")</f>
        <v/>
      </c>
      <c r="G1445" s="33" t="str">
        <f>IF(E1445=1,IF(Orders!R1442&gt;0,1,0),"")</f>
        <v/>
      </c>
      <c r="H1445" s="33" t="str">
        <f>IF(E1445=1,IF(Orders!R1442&gt;5,1,0),"")</f>
        <v/>
      </c>
      <c r="I1445" s="32" t="str">
        <f>IF(E1445=1,"",IF(OR(Orders!T1442="Rider unavailable",Orders!T1442="Item unavailable"),"Company-caused","Unresolved"))</f>
        <v>Unresolved</v>
      </c>
      <c r="J1445" s="33">
        <f>IF(OR(E1445=1,I1445="Company-caused"),1,0)</f>
        <v>0</v>
      </c>
      <c r="K1445" s="32" t="str">
        <f>IF(E1445=0,IF(I1445="Company-caused",IF(Orders!T1442="Rider unavailable","C1 Rider unavailable","C2 Item unavailable"),"Outside root: unresolved"),IF(G1445=0,"A On time",IF(H1445=1,IF(L1445=1,"B2a Severe, peak","B2b Severe, off-peak"),IF(L1445=1,"B1a Slight, peak","B1b Slight, off-peak"))))</f>
        <v>Outside root: unresolved</v>
      </c>
      <c r="L1445" s="33">
        <f>IF(AND(Orders!U1442&gt;=19,Orders!U1442&lt;22),1,0)</f>
        <v>0</v>
      </c>
      <c r="M1445" s="33">
        <f>IF(L1445=IF(Orders!V1442,1,0),1,0)</f>
        <v>1</v>
      </c>
      <c r="N1445" s="32" t="str">
        <f>IF(Orders!W1442="","None",Orders!W1442)</f>
        <v>Light</v>
      </c>
      <c r="O1445" s="35">
        <f>INT(Orders!E1442)</f>
        <v>46272.0</v>
      </c>
      <c r="P1445" s="33">
        <f>Orders!U1442</f>
        <v>11</v>
      </c>
      <c r="Q1445" s="33">
        <f>COUNTIFS(Demand!$A$2:$A$4481,B1445,Demand!$B$2:$B$4481,O1445,Demand!$C$2:$C$4481,P1445)</f>
        <v>1</v>
      </c>
      <c r="R1445" s="33">
        <f>IF(Q1445=1,SUMIFS(Demand!$E$2:$E$4481,Demand!$A$2:$A$4481,B1445,Demand!$B$2:$B$4481,O1445,Demand!$C$2:$C$4481,P1445),"")</f>
        <v>37</v>
      </c>
      <c r="S1445" s="33">
        <f>INDEX(Stores!$G$2:$G$21,MATCH(B1445,Stores!$A$2:$A$21,0))</f>
        <v>37</v>
      </c>
      <c r="T1445" s="34">
        <f>IF(R1445="","",R1445/S1445)</f>
        <v>1</v>
      </c>
      <c r="U1445" s="34" t="str">
        <f>IF(E1445=1,T1445,"")</f>
        <v/>
      </c>
      <c r="V1445" s="34" t="str">
        <f>IF(AND(E1445=1,L1445=0),T1445,"")</f>
        <v/>
      </c>
      <c r="W1445" s="33" t="str">
        <f>IF(U1445="","",IF(U1445&lt;=Breakdowns!$C$5,1,IF(U1445&lt;=Breakdowns!$C$6,2,IF(U1445&lt;=Breakdowns!$C$7,3,4))))</f>
        <v/>
      </c>
      <c r="X1445" s="33" t="str">
        <f>IF(V1445="","",IF(V1445&lt;=Breakdowns!$D$5,1,IF(V1445&lt;=Breakdowns!$D$6,2,IF(V1445&lt;=Breakdowns!$D$7,3,4))))</f>
        <v/>
      </c>
      <c r="Y1445" s="34">
        <f>INDEX(Stores!$F$2:$F$21,MATCH(B1445,Stores!$A$2:$A$21,0))</f>
        <v>4.05</v>
      </c>
      <c r="Z1445" s="33">
        <f>IF(Y1445&gt;Store_Summary!$M$2,1,0)</f>
        <v>0</v>
      </c>
      <c r="AA1445" s="33">
        <f>INDEX(Stores!$C$2:$C$21,MATCH(B1445,Stores!$A$2:$A$21,0))</f>
        <v>661</v>
      </c>
      <c r="AB1445" s="33">
        <f>IF(AA1445&lt;180,1,0)</f>
        <v>0</v>
      </c>
      <c r="AC1445" s="32" t="str">
        <f>IF(Orders!D1442="","",INDEX(Riders!$C$2:$C$81,MATCH(Orders!D1442,Riders!$A$2:$A$81,0)))</f>
        <v/>
      </c>
      <c r="AD1445" s="33" t="str">
        <f>IF(Orders!D1442="","",INDEX(Riders!$D$2:$D$81,MATCH(Orders!D1442,Riders!$A$2:$A$81,0)))</f>
        <v/>
      </c>
      <c r="AE1445" s="33" t="str">
        <f>IF(Orders!D1442="","",IF(INDEX(Riders!$B$2:$B$81,MATCH(Orders!D1442,Riders!$A$2:$A$81,0))=B1445,1,0))</f>
        <v/>
      </c>
      <c r="AF1445" s="34" t="str">
        <f>IF(E1445=1,Orders!L1442,"")</f>
        <v/>
      </c>
      <c r="AG1445" s="34" t="str">
        <f>IF(E1445=1,Orders!P1442,"")</f>
        <v/>
      </c>
      <c r="AH1445" s="34" t="str">
        <f>IF(E1445=1,Orders!Q1442,"")</f>
        <v/>
      </c>
      <c r="AI1445" s="34" t="str">
        <f>IF(E1445=1,Orders!M1442,"")</f>
        <v/>
      </c>
      <c r="AJ1445" s="34" t="str">
        <f>IF(E1445=1,Orders!N1442,"")</f>
        <v/>
      </c>
      <c r="AK1445" s="34" t="str">
        <f>IF(E1445=1,Orders!O1442,"")</f>
        <v/>
      </c>
      <c r="AL1445" s="33" t="str">
        <f>IF(E1445=1,IF(ROUND(ABS(AI1445+AJ1445+AK1445-AH1445),6)&lt;=0.1,1,0),"")</f>
        <v/>
      </c>
      <c r="AM1445" s="36" t="str">
        <f>IF(E1445=1,AI1445/AH1445,"")</f>
        <v/>
      </c>
      <c r="AN1445" s="36" t="str">
        <f>IF(E1445=1,AJ1445/AH1445,"")</f>
        <v/>
      </c>
      <c r="AO1445" s="36" t="str">
        <f>IF(E1445=1,AK1445/AH1445,"")</f>
        <v/>
      </c>
      <c r="AP1445" s="34" t="str">
        <f>IF(E1445=1,Orders!Y1442,"")</f>
        <v/>
      </c>
      <c r="AQ1445" s="33">
        <f>IF(Orders!X1442,1,0)</f>
        <v>0</v>
      </c>
      <c r="AR1445" s="34" t="str">
        <f>IF(AND(E1445=1,L1445=1),AJ1445,"")</f>
        <v/>
      </c>
      <c r="AS1445" s="34" t="str">
        <f>IF(AND(E1445=1,L1445=0),AJ1445,"")</f>
        <v/>
      </c>
      <c r="AT1445" s="34" t="str">
        <f>IF(AND(E1445=1,L1445=1),AI1445,"")</f>
        <v/>
      </c>
      <c r="AU1445" s="34" t="str">
        <f>IF(AND(E1445=1,L1445=0),AI1445,"")</f>
        <v/>
      </c>
      <c r="AV1445" s="34" t="str">
        <f>IF(AND(E1445=1,L1445=1),AG1445,"")</f>
        <v/>
      </c>
      <c r="AW1445" s="34" t="str">
        <f>IF(AND(E1445=1,L1445=0),AG1445,"")</f>
        <v/>
      </c>
      <c r="AX1445" s="34" t="str">
        <f>IF(AND(E1445=1,L1445=1),AH1445,"")</f>
        <v/>
      </c>
      <c r="AY1445" s="34" t="str">
        <f>IF(AND(E1445=1,L1445=0),AH1445,"")</f>
        <v/>
      </c>
      <c r="AZ1445" s="34" t="str">
        <f>IF(G1445=1,F1445,"")</f>
        <v/>
      </c>
      <c r="BA1445" s="34" t="str">
        <f>IF(AND(G1445=1,L1445=1),F1445,"")</f>
        <v/>
      </c>
      <c r="BB1445" s="34" t="str">
        <f>IF(AND(G1445=1,L1445=0),F1445,"")</f>
        <v/>
      </c>
      <c r="BC1445" s="33" t="str">
        <f>IF(E1445=1,IF(Orders!R1442&gt;3,1,0),"")</f>
        <v/>
      </c>
      <c r="BD1445" s="33" t="str">
        <f>IF(E1445=1,IF(Orders!R1442&gt;7,1,0),"")</f>
        <v/>
      </c>
      <c r="BE1445" s="32" t="str">
        <f>IF(E1445=1,IF(Orders!L1442&lt;=1.5,"Up to 1.5 km",IF(Orders!L1442&lt;=3,"1.5–3 km","Over 3 km")),"")</f>
        <v/>
      </c>
      <c r="BF1445" s="33" t="str">
        <f>IF(E1445=1,IF(ABS((Orders!G1442-Orders!F1442)*1440-Orders!R1442)&lt;0.06,1,0),"")</f>
        <v/>
      </c>
      <c r="BG1445" s="33">
        <f>IF(ABS((Orders!F1442-Orders!E1442)*1440-Orders!P1442)&lt;0.06,1,0)</f>
        <v>1</v>
      </c>
      <c r="BH1445" s="33" t="str">
        <f>IF(E1445=1,IF(IF(Orders!S1442,1,0)=1-G1445,1,0),"")</f>
        <v/>
      </c>
      <c r="BI1445" s="32" t="str">
        <f>INDEX(Stores!$B$2:$B$21,MATCH(B1445,Stores!$A$2:$A$21,0))</f>
        <v>Hyderabad</v>
      </c>
    </row>
    <row r="1446">
      <c r="A1446" s="32" t="str">
        <f>Orders!A1443</f>
        <v>O01442</v>
      </c>
      <c r="B1446" s="32" t="str">
        <f>Orders!C1443</f>
        <v>S003</v>
      </c>
      <c r="C1446" s="32" t="str">
        <f>Orders!B1443</f>
        <v>C0149</v>
      </c>
      <c r="D1446" s="32" t="str">
        <f>Orders!H1443</f>
        <v>Delivered</v>
      </c>
      <c r="E1446" s="33">
        <f>IF(Orders!H1443="Delivered",1,0)</f>
        <v>1</v>
      </c>
      <c r="F1446" s="34">
        <f>IF(E1446=1,Orders!R1443,"")</f>
        <v>-0.5</v>
      </c>
      <c r="G1446" s="33">
        <f>IF(E1446=1,IF(Orders!R1443&gt;0,1,0),"")</f>
        <v>0</v>
      </c>
      <c r="H1446" s="33">
        <f>IF(E1446=1,IF(Orders!R1443&gt;5,1,0),"")</f>
        <v>0</v>
      </c>
      <c r="I1446" s="32" t="str">
        <f>IF(E1446=1,"",IF(OR(Orders!T1443="Rider unavailable",Orders!T1443="Item unavailable"),"Company-caused","Unresolved"))</f>
        <v/>
      </c>
      <c r="J1446" s="33">
        <f>IF(OR(E1446=1,I1446="Company-caused"),1,0)</f>
        <v>1</v>
      </c>
      <c r="K1446" s="32" t="str">
        <f>IF(E1446=0,IF(I1446="Company-caused",IF(Orders!T1443="Rider unavailable","C1 Rider unavailable","C2 Item unavailable"),"Outside root: unresolved"),IF(G1446=0,"A On time",IF(H1446=1,IF(L1446=1,"B2a Severe, peak","B2b Severe, off-peak"),IF(L1446=1,"B1a Slight, peak","B1b Slight, off-peak"))))</f>
        <v>A On time</v>
      </c>
      <c r="L1446" s="33">
        <f>IF(AND(Orders!U1443&gt;=19,Orders!U1443&lt;22),1,0)</f>
        <v>1</v>
      </c>
      <c r="M1446" s="33">
        <f>IF(L1446=IF(Orders!V1443,1,0),1,0)</f>
        <v>1</v>
      </c>
      <c r="N1446" s="32" t="str">
        <f>IF(Orders!W1443="","None",Orders!W1443)</f>
        <v>None</v>
      </c>
      <c r="O1446" s="35">
        <f>INT(Orders!E1443)</f>
        <v>46278.0</v>
      </c>
      <c r="P1446" s="33">
        <f>Orders!U1443</f>
        <v>20</v>
      </c>
      <c r="Q1446" s="33">
        <f>COUNTIFS(Demand!$A$2:$A$4481,B1446,Demand!$B$2:$B$4481,O1446,Demand!$C$2:$C$4481,P1446)</f>
        <v>1</v>
      </c>
      <c r="R1446" s="33">
        <f>IF(Q1446=1,SUMIFS(Demand!$E$2:$E$4481,Demand!$A$2:$A$4481,B1446,Demand!$B$2:$B$4481,O1446,Demand!$C$2:$C$4481,P1446),"")</f>
        <v>78</v>
      </c>
      <c r="S1446" s="33">
        <f>INDEX(Stores!$G$2:$G$21,MATCH(B1446,Stores!$A$2:$A$21,0))</f>
        <v>41</v>
      </c>
      <c r="T1446" s="34">
        <f>IF(R1446="","",R1446/S1446)</f>
        <v>1.90243902439024</v>
      </c>
      <c r="U1446" s="34">
        <f>IF(E1446=1,T1446,"")</f>
        <v>1.90243902439024</v>
      </c>
      <c r="V1446" s="34" t="str">
        <f>IF(AND(E1446=1,L1446=0),T1446,"")</f>
        <v/>
      </c>
      <c r="W1446" s="33">
        <f>IF(U1446="","",IF(U1446&lt;=Breakdowns!$C$5,1,IF(U1446&lt;=Breakdowns!$C$6,2,IF(U1446&lt;=Breakdowns!$C$7,3,4))))</f>
        <v>4</v>
      </c>
      <c r="X1446" s="33" t="str">
        <f>IF(V1446="","",IF(V1446&lt;=Breakdowns!$D$5,1,IF(V1446&lt;=Breakdowns!$D$6,2,IF(V1446&lt;=Breakdowns!$D$7,3,4))))</f>
        <v/>
      </c>
      <c r="Y1446" s="34">
        <f>INDEX(Stores!$F$2:$F$21,MATCH(B1446,Stores!$A$2:$A$21,0))</f>
        <v>3.84</v>
      </c>
      <c r="Z1446" s="33">
        <f>IF(Y1446&gt;Store_Summary!$M$2,1,0)</f>
        <v>0</v>
      </c>
      <c r="AA1446" s="33">
        <f>INDEX(Stores!$C$2:$C$21,MATCH(B1446,Stores!$A$2:$A$21,0))</f>
        <v>426</v>
      </c>
      <c r="AB1446" s="33">
        <f>IF(AA1446&lt;180,1,0)</f>
        <v>0</v>
      </c>
      <c r="AC1446" s="32" t="str">
        <f>IF(Orders!D1443="","",INDEX(Riders!$C$2:$C$81,MATCH(Orders!D1443,Riders!$A$2:$A$81,0)))</f>
        <v>Petrol scooter</v>
      </c>
      <c r="AD1446" s="33">
        <f>IF(Orders!D1443="","",INDEX(Riders!$D$2:$D$81,MATCH(Orders!D1443,Riders!$A$2:$A$81,0)))</f>
        <v>32</v>
      </c>
      <c r="AE1446" s="33">
        <f>IF(Orders!D1443="","",IF(INDEX(Riders!$B$2:$B$81,MATCH(Orders!D1443,Riders!$A$2:$A$81,0))=B1446,1,0))</f>
        <v>0</v>
      </c>
      <c r="AF1446" s="34">
        <f>IF(E1446=1,Orders!L1443,"")</f>
        <v>2.1</v>
      </c>
      <c r="AG1446" s="34">
        <f>IF(E1446=1,Orders!P1443,"")</f>
        <v>9.8</v>
      </c>
      <c r="AH1446" s="34">
        <f>IF(E1446=1,Orders!Q1443,"")</f>
        <v>9.3</v>
      </c>
      <c r="AI1446" s="34">
        <f>IF(E1446=1,Orders!M1443,"")</f>
        <v>2.3</v>
      </c>
      <c r="AJ1446" s="34">
        <f>IF(E1446=1,Orders!N1443,"")</f>
        <v>3.5</v>
      </c>
      <c r="AK1446" s="34">
        <f>IF(E1446=1,Orders!O1443,"")</f>
        <v>3.5</v>
      </c>
      <c r="AL1446" s="33">
        <f>IF(E1446=1,IF(ROUND(ABS(AI1446+AJ1446+AK1446-AH1446),6)&lt;=0.1,1,0),"")</f>
        <v>1</v>
      </c>
      <c r="AM1446" s="36">
        <f>IF(E1446=1,AI1446/AH1446,"")</f>
        <v>0.247311827956989</v>
      </c>
      <c r="AN1446" s="36">
        <f>IF(E1446=1,AJ1446/AH1446,"")</f>
        <v>0.376344086021505</v>
      </c>
      <c r="AO1446" s="36">
        <f>IF(E1446=1,AK1446/AH1446,"")</f>
        <v>0.376344086021505</v>
      </c>
      <c r="AP1446" s="34">
        <f>IF(E1446=1,Orders!Y1443,"")</f>
        <v>0.61</v>
      </c>
      <c r="AQ1446" s="33">
        <f>IF(Orders!X1443,1,0)</f>
        <v>0</v>
      </c>
      <c r="AR1446" s="34">
        <f>IF(AND(E1446=1,L1446=1),AJ1446,"")</f>
        <v>3.5</v>
      </c>
      <c r="AS1446" s="34" t="str">
        <f>IF(AND(E1446=1,L1446=0),AJ1446,"")</f>
        <v/>
      </c>
      <c r="AT1446" s="34">
        <f>IF(AND(E1446=1,L1446=1),AI1446,"")</f>
        <v>2.3</v>
      </c>
      <c r="AU1446" s="34" t="str">
        <f>IF(AND(E1446=1,L1446=0),AI1446,"")</f>
        <v/>
      </c>
      <c r="AV1446" s="34">
        <f>IF(AND(E1446=1,L1446=1),AG1446,"")</f>
        <v>9.8</v>
      </c>
      <c r="AW1446" s="34" t="str">
        <f>IF(AND(E1446=1,L1446=0),AG1446,"")</f>
        <v/>
      </c>
      <c r="AX1446" s="34">
        <f>IF(AND(E1446=1,L1446=1),AH1446,"")</f>
        <v>9.3</v>
      </c>
      <c r="AY1446" s="34" t="str">
        <f>IF(AND(E1446=1,L1446=0),AH1446,"")</f>
        <v/>
      </c>
      <c r="AZ1446" s="34" t="str">
        <f>IF(G1446=1,F1446,"")</f>
        <v/>
      </c>
      <c r="BA1446" s="34" t="str">
        <f>IF(AND(G1446=1,L1446=1),F1446,"")</f>
        <v/>
      </c>
      <c r="BB1446" s="34" t="str">
        <f>IF(AND(G1446=1,L1446=0),F1446,"")</f>
        <v/>
      </c>
      <c r="BC1446" s="33">
        <f>IF(E1446=1,IF(Orders!R1443&gt;3,1,0),"")</f>
        <v>0</v>
      </c>
      <c r="BD1446" s="33">
        <f>IF(E1446=1,IF(Orders!R1443&gt;7,1,0),"")</f>
        <v>0</v>
      </c>
      <c r="BE1446" s="32" t="str">
        <f>IF(E1446=1,IF(Orders!L1443&lt;=1.5,"Up to 1.5 km",IF(Orders!L1443&lt;=3,"1.5–3 km","Over 3 km")),"")</f>
        <v>1.5–3 km</v>
      </c>
      <c r="BF1446" s="33">
        <f>IF(E1446=1,IF(ABS((Orders!G1443-Orders!F1443)*1440-Orders!R1443)&lt;0.06,1,0),"")</f>
        <v>1</v>
      </c>
      <c r="BG1446" s="33">
        <f>IF(ABS((Orders!F1443-Orders!E1443)*1440-Orders!P1443)&lt;0.06,1,0)</f>
        <v>1</v>
      </c>
      <c r="BH1446" s="33">
        <f>IF(E1446=1,IF(IF(Orders!S1443,1,0)=1-G1446,1,0),"")</f>
        <v>1</v>
      </c>
      <c r="BI1446" s="32" t="str">
        <f>INDEX(Stores!$B$2:$B$21,MATCH(B1446,Stores!$A$2:$A$21,0))</f>
        <v>Mumbai</v>
      </c>
    </row>
    <row r="1447">
      <c r="A1447" s="32" t="str">
        <f>Orders!A1444</f>
        <v>O01443</v>
      </c>
      <c r="B1447" s="32" t="str">
        <f>Orders!C1444</f>
        <v>S011</v>
      </c>
      <c r="C1447" s="32" t="str">
        <f>Orders!B1444</f>
        <v>C0151</v>
      </c>
      <c r="D1447" s="32" t="str">
        <f>Orders!H1444</f>
        <v>Delivered</v>
      </c>
      <c r="E1447" s="33">
        <f>IF(Orders!H1444="Delivered",1,0)</f>
        <v>1</v>
      </c>
      <c r="F1447" s="34">
        <f>IF(E1447=1,Orders!R1444,"")</f>
        <v>1.9</v>
      </c>
      <c r="G1447" s="33">
        <f>IF(E1447=1,IF(Orders!R1444&gt;0,1,0),"")</f>
        <v>1</v>
      </c>
      <c r="H1447" s="33">
        <f>IF(E1447=1,IF(Orders!R1444&gt;5,1,0),"")</f>
        <v>0</v>
      </c>
      <c r="I1447" s="32" t="str">
        <f>IF(E1447=1,"",IF(OR(Orders!T1444="Rider unavailable",Orders!T1444="Item unavailable"),"Company-caused","Unresolved"))</f>
        <v/>
      </c>
      <c r="J1447" s="33">
        <f>IF(OR(E1447=1,I1447="Company-caused"),1,0)</f>
        <v>1</v>
      </c>
      <c r="K1447" s="32" t="str">
        <f>IF(E1447=0,IF(I1447="Company-caused",IF(Orders!T1444="Rider unavailable","C1 Rider unavailable","C2 Item unavailable"),"Outside root: unresolved"),IF(G1447=0,"A On time",IF(H1447=1,IF(L1447=1,"B2a Severe, peak","B2b Severe, off-peak"),IF(L1447=1,"B1a Slight, peak","B1b Slight, off-peak"))))</f>
        <v>B1b Slight, off-peak</v>
      </c>
      <c r="L1447" s="33">
        <f>IF(AND(Orders!U1444&gt;=19,Orders!U1444&lt;22),1,0)</f>
        <v>0</v>
      </c>
      <c r="M1447" s="33">
        <f>IF(L1447=IF(Orders!V1444,1,0),1,0)</f>
        <v>1</v>
      </c>
      <c r="N1447" s="32" t="str">
        <f>IF(Orders!W1444="","None",Orders!W1444)</f>
        <v>None</v>
      </c>
      <c r="O1447" s="35">
        <f>INT(Orders!E1444)</f>
        <v>46267.0</v>
      </c>
      <c r="P1447" s="33">
        <f>Orders!U1444</f>
        <v>9</v>
      </c>
      <c r="Q1447" s="33">
        <f>COUNTIFS(Demand!$A$2:$A$4481,B1447,Demand!$B$2:$B$4481,O1447,Demand!$C$2:$C$4481,P1447)</f>
        <v>1</v>
      </c>
      <c r="R1447" s="33">
        <f>IF(Q1447=1,SUMIFS(Demand!$E$2:$E$4481,Demand!$A$2:$A$4481,B1447,Demand!$B$2:$B$4481,O1447,Demand!$C$2:$C$4481,P1447),"")</f>
        <v>12</v>
      </c>
      <c r="S1447" s="33">
        <f>INDEX(Stores!$G$2:$G$21,MATCH(B1447,Stores!$A$2:$A$21,0))</f>
        <v>31</v>
      </c>
      <c r="T1447" s="34">
        <f>IF(R1447="","",R1447/S1447)</f>
        <v>0.387096774193548</v>
      </c>
      <c r="U1447" s="34">
        <f>IF(E1447=1,T1447,"")</f>
        <v>0.387096774193548</v>
      </c>
      <c r="V1447" s="34">
        <f>IF(AND(E1447=1,L1447=0),T1447,"")</f>
        <v>0.387096774193548</v>
      </c>
      <c r="W1447" s="33">
        <f>IF(U1447="","",IF(U1447&lt;=Breakdowns!$C$5,1,IF(U1447&lt;=Breakdowns!$C$6,2,IF(U1447&lt;=Breakdowns!$C$7,3,4))))</f>
        <v>1</v>
      </c>
      <c r="X1447" s="33">
        <f>IF(V1447="","",IF(V1447&lt;=Breakdowns!$D$5,1,IF(V1447&lt;=Breakdowns!$D$6,2,IF(V1447&lt;=Breakdowns!$D$7,3,4))))</f>
        <v>1</v>
      </c>
      <c r="Y1447" s="34">
        <f>INDEX(Stores!$F$2:$F$21,MATCH(B1447,Stores!$A$2:$A$21,0))</f>
        <v>5.67</v>
      </c>
      <c r="Z1447" s="33">
        <f>IF(Y1447&gt;Store_Summary!$M$2,1,0)</f>
        <v>1</v>
      </c>
      <c r="AA1447" s="33">
        <f>INDEX(Stores!$C$2:$C$21,MATCH(B1447,Stores!$A$2:$A$21,0))</f>
        <v>732</v>
      </c>
      <c r="AB1447" s="33">
        <f>IF(AA1447&lt;180,1,0)</f>
        <v>0</v>
      </c>
      <c r="AC1447" s="32" t="str">
        <f>IF(Orders!D1444="","",INDEX(Riders!$C$2:$C$81,MATCH(Orders!D1444,Riders!$A$2:$A$81,0)))</f>
        <v>EV scooter</v>
      </c>
      <c r="AD1447" s="33">
        <f>IF(Orders!D1444="","",INDEX(Riders!$D$2:$D$81,MATCH(Orders!D1444,Riders!$A$2:$A$81,0)))</f>
        <v>37</v>
      </c>
      <c r="AE1447" s="33">
        <f>IF(Orders!D1444="","",IF(INDEX(Riders!$B$2:$B$81,MATCH(Orders!D1444,Riders!$A$2:$A$81,0))=B1447,1,0))</f>
        <v>0</v>
      </c>
      <c r="AF1447" s="34">
        <f>IF(E1447=1,Orders!L1444,"")</f>
        <v>2.38</v>
      </c>
      <c r="AG1447" s="34">
        <f>IF(E1447=1,Orders!P1444,"")</f>
        <v>9.7</v>
      </c>
      <c r="AH1447" s="34">
        <f>IF(E1447=1,Orders!Q1444,"")</f>
        <v>11.6</v>
      </c>
      <c r="AI1447" s="34">
        <f>IF(E1447=1,Orders!M1444,"")</f>
        <v>4.9</v>
      </c>
      <c r="AJ1447" s="34">
        <f>IF(E1447=1,Orders!N1444,"")</f>
        <v>1.3</v>
      </c>
      <c r="AK1447" s="34">
        <f>IF(E1447=1,Orders!O1444,"")</f>
        <v>5.4</v>
      </c>
      <c r="AL1447" s="33">
        <f>IF(E1447=1,IF(ROUND(ABS(AI1447+AJ1447+AK1447-AH1447),6)&lt;=0.1,1,0),"")</f>
        <v>1</v>
      </c>
      <c r="AM1447" s="36">
        <f>IF(E1447=1,AI1447/AH1447,"")</f>
        <v>0.422413793103448</v>
      </c>
      <c r="AN1447" s="36">
        <f>IF(E1447=1,AJ1447/AH1447,"")</f>
        <v>0.112068965517241</v>
      </c>
      <c r="AO1447" s="36">
        <f>IF(E1447=1,AK1447/AH1447,"")</f>
        <v>0.46551724137931</v>
      </c>
      <c r="AP1447" s="34">
        <f>IF(E1447=1,Orders!Y1444,"")</f>
        <v>0.21</v>
      </c>
      <c r="AQ1447" s="33">
        <f>IF(Orders!X1444,1,0)</f>
        <v>0</v>
      </c>
      <c r="AR1447" s="34" t="str">
        <f>IF(AND(E1447=1,L1447=1),AJ1447,"")</f>
        <v/>
      </c>
      <c r="AS1447" s="34">
        <f>IF(AND(E1447=1,L1447=0),AJ1447,"")</f>
        <v>1.3</v>
      </c>
      <c r="AT1447" s="34" t="str">
        <f>IF(AND(E1447=1,L1447=1),AI1447,"")</f>
        <v/>
      </c>
      <c r="AU1447" s="34">
        <f>IF(AND(E1447=1,L1447=0),AI1447,"")</f>
        <v>4.9</v>
      </c>
      <c r="AV1447" s="34" t="str">
        <f>IF(AND(E1447=1,L1447=1),AG1447,"")</f>
        <v/>
      </c>
      <c r="AW1447" s="34">
        <f>IF(AND(E1447=1,L1447=0),AG1447,"")</f>
        <v>9.7</v>
      </c>
      <c r="AX1447" s="34" t="str">
        <f>IF(AND(E1447=1,L1447=1),AH1447,"")</f>
        <v/>
      </c>
      <c r="AY1447" s="34">
        <f>IF(AND(E1447=1,L1447=0),AH1447,"")</f>
        <v>11.6</v>
      </c>
      <c r="AZ1447" s="34">
        <f>IF(G1447=1,F1447,"")</f>
        <v>1.9</v>
      </c>
      <c r="BA1447" s="34" t="str">
        <f>IF(AND(G1447=1,L1447=1),F1447,"")</f>
        <v/>
      </c>
      <c r="BB1447" s="34">
        <f>IF(AND(G1447=1,L1447=0),F1447,"")</f>
        <v>1.9</v>
      </c>
      <c r="BC1447" s="33">
        <f>IF(E1447=1,IF(Orders!R1444&gt;3,1,0),"")</f>
        <v>0</v>
      </c>
      <c r="BD1447" s="33">
        <f>IF(E1447=1,IF(Orders!R1444&gt;7,1,0),"")</f>
        <v>0</v>
      </c>
      <c r="BE1447" s="32" t="str">
        <f>IF(E1447=1,IF(Orders!L1444&lt;=1.5,"Up to 1.5 km",IF(Orders!L1444&lt;=3,"1.5–3 km","Over 3 km")),"")</f>
        <v>1.5–3 km</v>
      </c>
      <c r="BF1447" s="33">
        <f>IF(E1447=1,IF(ABS((Orders!G1444-Orders!F1444)*1440-Orders!R1444)&lt;0.06,1,0),"")</f>
        <v>1</v>
      </c>
      <c r="BG1447" s="33">
        <f>IF(ABS((Orders!F1444-Orders!E1444)*1440-Orders!P1444)&lt;0.06,1,0)</f>
        <v>1</v>
      </c>
      <c r="BH1447" s="33">
        <f>IF(E1447=1,IF(IF(Orders!S1444,1,0)=1-G1447,1,0),"")</f>
        <v>1</v>
      </c>
      <c r="BI1447" s="32" t="str">
        <f>INDEX(Stores!$B$2:$B$21,MATCH(B1447,Stores!$A$2:$A$21,0))</f>
        <v>Bengaluru</v>
      </c>
    </row>
    <row r="1448">
      <c r="A1448" s="32" t="str">
        <f>Orders!A1445</f>
        <v>O01444</v>
      </c>
      <c r="B1448" s="32" t="str">
        <f>Orders!C1445</f>
        <v>S011</v>
      </c>
      <c r="C1448" s="32" t="str">
        <f>Orders!B1445</f>
        <v>C0012</v>
      </c>
      <c r="D1448" s="32" t="str">
        <f>Orders!H1445</f>
        <v>Delivered</v>
      </c>
      <c r="E1448" s="33">
        <f>IF(Orders!H1445="Delivered",1,0)</f>
        <v>1</v>
      </c>
      <c r="F1448" s="34">
        <f>IF(E1448=1,Orders!R1445,"")</f>
        <v>-0.5</v>
      </c>
      <c r="G1448" s="33">
        <f>IF(E1448=1,IF(Orders!R1445&gt;0,1,0),"")</f>
        <v>0</v>
      </c>
      <c r="H1448" s="33">
        <f>IF(E1448=1,IF(Orders!R1445&gt;5,1,0),"")</f>
        <v>0</v>
      </c>
      <c r="I1448" s="32" t="str">
        <f>IF(E1448=1,"",IF(OR(Orders!T1445="Rider unavailable",Orders!T1445="Item unavailable"),"Company-caused","Unresolved"))</f>
        <v/>
      </c>
      <c r="J1448" s="33">
        <f>IF(OR(E1448=1,I1448="Company-caused"),1,0)</f>
        <v>1</v>
      </c>
      <c r="K1448" s="32" t="str">
        <f>IF(E1448=0,IF(I1448="Company-caused",IF(Orders!T1445="Rider unavailable","C1 Rider unavailable","C2 Item unavailable"),"Outside root: unresolved"),IF(G1448=0,"A On time",IF(H1448=1,IF(L1448=1,"B2a Severe, peak","B2b Severe, off-peak"),IF(L1448=1,"B1a Slight, peak","B1b Slight, off-peak"))))</f>
        <v>A On time</v>
      </c>
      <c r="L1448" s="33">
        <f>IF(AND(Orders!U1445&gt;=19,Orders!U1445&lt;22),1,0)</f>
        <v>1</v>
      </c>
      <c r="M1448" s="33">
        <f>IF(L1448=IF(Orders!V1445,1,0),1,0)</f>
        <v>1</v>
      </c>
      <c r="N1448" s="32" t="str">
        <f>IF(Orders!W1445="","None",Orders!W1445)</f>
        <v>None</v>
      </c>
      <c r="O1448" s="35">
        <f>INT(Orders!E1445)</f>
        <v>46271.0</v>
      </c>
      <c r="P1448" s="33">
        <f>Orders!U1445</f>
        <v>21</v>
      </c>
      <c r="Q1448" s="33">
        <f>COUNTIFS(Demand!$A$2:$A$4481,B1448,Demand!$B$2:$B$4481,O1448,Demand!$C$2:$C$4481,P1448)</f>
        <v>1</v>
      </c>
      <c r="R1448" s="33">
        <f>IF(Q1448=1,SUMIFS(Demand!$E$2:$E$4481,Demand!$A$2:$A$4481,B1448,Demand!$B$2:$B$4481,O1448,Demand!$C$2:$C$4481,P1448),"")</f>
        <v>50</v>
      </c>
      <c r="S1448" s="33">
        <f>INDEX(Stores!$G$2:$G$21,MATCH(B1448,Stores!$A$2:$A$21,0))</f>
        <v>31</v>
      </c>
      <c r="T1448" s="34">
        <f>IF(R1448="","",R1448/S1448)</f>
        <v>1.61290322580645</v>
      </c>
      <c r="U1448" s="34">
        <f>IF(E1448=1,T1448,"")</f>
        <v>1.61290322580645</v>
      </c>
      <c r="V1448" s="34" t="str">
        <f>IF(AND(E1448=1,L1448=0),T1448,"")</f>
        <v/>
      </c>
      <c r="W1448" s="33">
        <f>IF(U1448="","",IF(U1448&lt;=Breakdowns!$C$5,1,IF(U1448&lt;=Breakdowns!$C$6,2,IF(U1448&lt;=Breakdowns!$C$7,3,4))))</f>
        <v>4</v>
      </c>
      <c r="X1448" s="33" t="str">
        <f>IF(V1448="","",IF(V1448&lt;=Breakdowns!$D$5,1,IF(V1448&lt;=Breakdowns!$D$6,2,IF(V1448&lt;=Breakdowns!$D$7,3,4))))</f>
        <v/>
      </c>
      <c r="Y1448" s="34">
        <f>INDEX(Stores!$F$2:$F$21,MATCH(B1448,Stores!$A$2:$A$21,0))</f>
        <v>5.67</v>
      </c>
      <c r="Z1448" s="33">
        <f>IF(Y1448&gt;Store_Summary!$M$2,1,0)</f>
        <v>1</v>
      </c>
      <c r="AA1448" s="33">
        <f>INDEX(Stores!$C$2:$C$21,MATCH(B1448,Stores!$A$2:$A$21,0))</f>
        <v>732</v>
      </c>
      <c r="AB1448" s="33">
        <f>IF(AA1448&lt;180,1,0)</f>
        <v>0</v>
      </c>
      <c r="AC1448" s="32" t="str">
        <f>IF(Orders!D1445="","",INDEX(Riders!$C$2:$C$81,MATCH(Orders!D1445,Riders!$A$2:$A$81,0)))</f>
        <v>EV scooter</v>
      </c>
      <c r="AD1448" s="33">
        <f>IF(Orders!D1445="","",INDEX(Riders!$D$2:$D$81,MATCH(Orders!D1445,Riders!$A$2:$A$81,0)))</f>
        <v>27</v>
      </c>
      <c r="AE1448" s="33">
        <f>IF(Orders!D1445="","",IF(INDEX(Riders!$B$2:$B$81,MATCH(Orders!D1445,Riders!$A$2:$A$81,0))=B1448,1,0))</f>
        <v>0</v>
      </c>
      <c r="AF1448" s="34">
        <f>IF(E1448=1,Orders!L1445,"")</f>
        <v>0.93</v>
      </c>
      <c r="AG1448" s="34">
        <f>IF(E1448=1,Orders!P1445,"")</f>
        <v>9.6</v>
      </c>
      <c r="AH1448" s="34">
        <f>IF(E1448=1,Orders!Q1445,"")</f>
        <v>9.1</v>
      </c>
      <c r="AI1448" s="34">
        <f>IF(E1448=1,Orders!M1445,"")</f>
        <v>2.7</v>
      </c>
      <c r="AJ1448" s="34">
        <f>IF(E1448=1,Orders!N1445,"")</f>
        <v>4</v>
      </c>
      <c r="AK1448" s="34">
        <f>IF(E1448=1,Orders!O1445,"")</f>
        <v>2.4</v>
      </c>
      <c r="AL1448" s="33">
        <f>IF(E1448=1,IF(ROUND(ABS(AI1448+AJ1448+AK1448-AH1448),6)&lt;=0.1,1,0),"")</f>
        <v>1</v>
      </c>
      <c r="AM1448" s="36">
        <f>IF(E1448=1,AI1448/AH1448,"")</f>
        <v>0.296703296703297</v>
      </c>
      <c r="AN1448" s="36">
        <f>IF(E1448=1,AJ1448/AH1448,"")</f>
        <v>0.43956043956044</v>
      </c>
      <c r="AO1448" s="36">
        <f>IF(E1448=1,AK1448/AH1448,"")</f>
        <v>0.263736263736264</v>
      </c>
      <c r="AP1448" s="34">
        <f>IF(E1448=1,Orders!Y1445,"")</f>
        <v>0.78</v>
      </c>
      <c r="AQ1448" s="33">
        <f>IF(Orders!X1445,1,0)</f>
        <v>0</v>
      </c>
      <c r="AR1448" s="34">
        <f>IF(AND(E1448=1,L1448=1),AJ1448,"")</f>
        <v>4</v>
      </c>
      <c r="AS1448" s="34" t="str">
        <f>IF(AND(E1448=1,L1448=0),AJ1448,"")</f>
        <v/>
      </c>
      <c r="AT1448" s="34">
        <f>IF(AND(E1448=1,L1448=1),AI1448,"")</f>
        <v>2.7</v>
      </c>
      <c r="AU1448" s="34" t="str">
        <f>IF(AND(E1448=1,L1448=0),AI1448,"")</f>
        <v/>
      </c>
      <c r="AV1448" s="34">
        <f>IF(AND(E1448=1,L1448=1),AG1448,"")</f>
        <v>9.6</v>
      </c>
      <c r="AW1448" s="34" t="str">
        <f>IF(AND(E1448=1,L1448=0),AG1448,"")</f>
        <v/>
      </c>
      <c r="AX1448" s="34">
        <f>IF(AND(E1448=1,L1448=1),AH1448,"")</f>
        <v>9.1</v>
      </c>
      <c r="AY1448" s="34" t="str">
        <f>IF(AND(E1448=1,L1448=0),AH1448,"")</f>
        <v/>
      </c>
      <c r="AZ1448" s="34" t="str">
        <f>IF(G1448=1,F1448,"")</f>
        <v/>
      </c>
      <c r="BA1448" s="34" t="str">
        <f>IF(AND(G1448=1,L1448=1),F1448,"")</f>
        <v/>
      </c>
      <c r="BB1448" s="34" t="str">
        <f>IF(AND(G1448=1,L1448=0),F1448,"")</f>
        <v/>
      </c>
      <c r="BC1448" s="33">
        <f>IF(E1448=1,IF(Orders!R1445&gt;3,1,0),"")</f>
        <v>0</v>
      </c>
      <c r="BD1448" s="33">
        <f>IF(E1448=1,IF(Orders!R1445&gt;7,1,0),"")</f>
        <v>0</v>
      </c>
      <c r="BE1448" s="32" t="str">
        <f>IF(E1448=1,IF(Orders!L1445&lt;=1.5,"Up to 1.5 km",IF(Orders!L1445&lt;=3,"1.5–3 km","Over 3 km")),"")</f>
        <v>Up to 1.5 km</v>
      </c>
      <c r="BF1448" s="33">
        <f>IF(E1448=1,IF(ABS((Orders!G1445-Orders!F1445)*1440-Orders!R1445)&lt;0.06,1,0),"")</f>
        <v>1</v>
      </c>
      <c r="BG1448" s="33">
        <f>IF(ABS((Orders!F1445-Orders!E1445)*1440-Orders!P1445)&lt;0.06,1,0)</f>
        <v>1</v>
      </c>
      <c r="BH1448" s="33">
        <f>IF(E1448=1,IF(IF(Orders!S1445,1,0)=1-G1448,1,0),"")</f>
        <v>1</v>
      </c>
      <c r="BI1448" s="32" t="str">
        <f>INDEX(Stores!$B$2:$B$21,MATCH(B1448,Stores!$A$2:$A$21,0))</f>
        <v>Bengaluru</v>
      </c>
    </row>
    <row r="1449">
      <c r="A1449" s="32" t="str">
        <f>Orders!A1446</f>
        <v>O01445</v>
      </c>
      <c r="B1449" s="32" t="str">
        <f>Orders!C1446</f>
        <v>S017</v>
      </c>
      <c r="C1449" s="32" t="str">
        <f>Orders!B1446</f>
        <v>C0235</v>
      </c>
      <c r="D1449" s="32" t="str">
        <f>Orders!H1446</f>
        <v>Delivered</v>
      </c>
      <c r="E1449" s="33">
        <f>IF(Orders!H1446="Delivered",1,0)</f>
        <v>1</v>
      </c>
      <c r="F1449" s="34">
        <f>IF(E1449=1,Orders!R1446,"")</f>
        <v>-1.1</v>
      </c>
      <c r="G1449" s="33">
        <f>IF(E1449=1,IF(Orders!R1446&gt;0,1,0),"")</f>
        <v>0</v>
      </c>
      <c r="H1449" s="33">
        <f>IF(E1449=1,IF(Orders!R1446&gt;5,1,0),"")</f>
        <v>0</v>
      </c>
      <c r="I1449" s="32" t="str">
        <f>IF(E1449=1,"",IF(OR(Orders!T1446="Rider unavailable",Orders!T1446="Item unavailable"),"Company-caused","Unresolved"))</f>
        <v/>
      </c>
      <c r="J1449" s="33">
        <f>IF(OR(E1449=1,I1449="Company-caused"),1,0)</f>
        <v>1</v>
      </c>
      <c r="K1449" s="32" t="str">
        <f>IF(E1449=0,IF(I1449="Company-caused",IF(Orders!T1446="Rider unavailable","C1 Rider unavailable","C2 Item unavailable"),"Outside root: unresolved"),IF(G1449=0,"A On time",IF(H1449=1,IF(L1449=1,"B2a Severe, peak","B2b Severe, off-peak"),IF(L1449=1,"B1a Slight, peak","B1b Slight, off-peak"))))</f>
        <v>A On time</v>
      </c>
      <c r="L1449" s="33">
        <f>IF(AND(Orders!U1446&gt;=19,Orders!U1446&lt;22),1,0)</f>
        <v>0</v>
      </c>
      <c r="M1449" s="33">
        <f>IF(L1449=IF(Orders!V1446,1,0),1,0)</f>
        <v>1</v>
      </c>
      <c r="N1449" s="32" t="str">
        <f>IF(Orders!W1446="","None",Orders!W1446)</f>
        <v>Light</v>
      </c>
      <c r="O1449" s="35">
        <f>INT(Orders!E1446)</f>
        <v>46274.0</v>
      </c>
      <c r="P1449" s="33">
        <f>Orders!U1446</f>
        <v>18</v>
      </c>
      <c r="Q1449" s="33">
        <f>COUNTIFS(Demand!$A$2:$A$4481,B1449,Demand!$B$2:$B$4481,O1449,Demand!$C$2:$C$4481,P1449)</f>
        <v>1</v>
      </c>
      <c r="R1449" s="33">
        <f>IF(Q1449=1,SUMIFS(Demand!$E$2:$E$4481,Demand!$A$2:$A$4481,B1449,Demand!$B$2:$B$4481,O1449,Demand!$C$2:$C$4481,P1449),"")</f>
        <v>42</v>
      </c>
      <c r="S1449" s="33">
        <f>INDEX(Stores!$G$2:$G$21,MATCH(B1449,Stores!$A$2:$A$21,0))</f>
        <v>36</v>
      </c>
      <c r="T1449" s="34">
        <f>IF(R1449="","",R1449/S1449)</f>
        <v>1.16666666666667</v>
      </c>
      <c r="U1449" s="34">
        <f>IF(E1449=1,T1449,"")</f>
        <v>1.16666666666667</v>
      </c>
      <c r="V1449" s="34">
        <f>IF(AND(E1449=1,L1449=0),T1449,"")</f>
        <v>1.16666666666667</v>
      </c>
      <c r="W1449" s="33">
        <f>IF(U1449="","",IF(U1449&lt;=Breakdowns!$C$5,1,IF(U1449&lt;=Breakdowns!$C$6,2,IF(U1449&lt;=Breakdowns!$C$7,3,4))))</f>
        <v>3</v>
      </c>
      <c r="X1449" s="33">
        <f>IF(V1449="","",IF(V1449&lt;=Breakdowns!$D$5,1,IF(V1449&lt;=Breakdowns!$D$6,2,IF(V1449&lt;=Breakdowns!$D$7,3,4))))</f>
        <v>4</v>
      </c>
      <c r="Y1449" s="34">
        <f>INDEX(Stores!$F$2:$F$21,MATCH(B1449,Stores!$A$2:$A$21,0))</f>
        <v>2.16</v>
      </c>
      <c r="Z1449" s="33">
        <f>IF(Y1449&gt;Store_Summary!$M$2,1,0)</f>
        <v>0</v>
      </c>
      <c r="AA1449" s="33">
        <f>INDEX(Stores!$C$2:$C$21,MATCH(B1449,Stores!$A$2:$A$21,0))</f>
        <v>47</v>
      </c>
      <c r="AB1449" s="33">
        <f>IF(AA1449&lt;180,1,0)</f>
        <v>1</v>
      </c>
      <c r="AC1449" s="32" t="str">
        <f>IF(Orders!D1446="","",INDEX(Riders!$C$2:$C$81,MATCH(Orders!D1446,Riders!$A$2:$A$81,0)))</f>
        <v>Petrol scooter</v>
      </c>
      <c r="AD1449" s="33">
        <f>IF(Orders!D1446="","",INDEX(Riders!$D$2:$D$81,MATCH(Orders!D1446,Riders!$A$2:$A$81,0)))</f>
        <v>24</v>
      </c>
      <c r="AE1449" s="33">
        <f>IF(Orders!D1446="","",IF(INDEX(Riders!$B$2:$B$81,MATCH(Orders!D1446,Riders!$A$2:$A$81,0))=B1449,1,0))</f>
        <v>0</v>
      </c>
      <c r="AF1449" s="34">
        <f>IF(E1449=1,Orders!L1446,"")</f>
        <v>1.12</v>
      </c>
      <c r="AG1449" s="34">
        <f>IF(E1449=1,Orders!P1446,"")</f>
        <v>8.4</v>
      </c>
      <c r="AH1449" s="34">
        <f>IF(E1449=1,Orders!Q1446,"")</f>
        <v>7.3</v>
      </c>
      <c r="AI1449" s="34">
        <f>IF(E1449=1,Orders!M1446,"")</f>
        <v>2.1</v>
      </c>
      <c r="AJ1449" s="34">
        <f>IF(E1449=1,Orders!N1446,"")</f>
        <v>2.5</v>
      </c>
      <c r="AK1449" s="34">
        <f>IF(E1449=1,Orders!O1446,"")</f>
        <v>2.7</v>
      </c>
      <c r="AL1449" s="33">
        <f>IF(E1449=1,IF(ROUND(ABS(AI1449+AJ1449+AK1449-AH1449),6)&lt;=0.1,1,0),"")</f>
        <v>1</v>
      </c>
      <c r="AM1449" s="36">
        <f>IF(E1449=1,AI1449/AH1449,"")</f>
        <v>0.287671232876712</v>
      </c>
      <c r="AN1449" s="36">
        <f>IF(E1449=1,AJ1449/AH1449,"")</f>
        <v>0.342465753424658</v>
      </c>
      <c r="AO1449" s="36">
        <f>IF(E1449=1,AK1449/AH1449,"")</f>
        <v>0.36986301369863</v>
      </c>
      <c r="AP1449" s="34">
        <f>IF(E1449=1,Orders!Y1446,"")</f>
        <v>0.4</v>
      </c>
      <c r="AQ1449" s="33">
        <f>IF(Orders!X1446,1,0)</f>
        <v>0</v>
      </c>
      <c r="AR1449" s="34" t="str">
        <f>IF(AND(E1449=1,L1449=1),AJ1449,"")</f>
        <v/>
      </c>
      <c r="AS1449" s="34">
        <f>IF(AND(E1449=1,L1449=0),AJ1449,"")</f>
        <v>2.5</v>
      </c>
      <c r="AT1449" s="34" t="str">
        <f>IF(AND(E1449=1,L1449=1),AI1449,"")</f>
        <v/>
      </c>
      <c r="AU1449" s="34">
        <f>IF(AND(E1449=1,L1449=0),AI1449,"")</f>
        <v>2.1</v>
      </c>
      <c r="AV1449" s="34" t="str">
        <f>IF(AND(E1449=1,L1449=1),AG1449,"")</f>
        <v/>
      </c>
      <c r="AW1449" s="34">
        <f>IF(AND(E1449=1,L1449=0),AG1449,"")</f>
        <v>8.4</v>
      </c>
      <c r="AX1449" s="34" t="str">
        <f>IF(AND(E1449=1,L1449=1),AH1449,"")</f>
        <v/>
      </c>
      <c r="AY1449" s="34">
        <f>IF(AND(E1449=1,L1449=0),AH1449,"")</f>
        <v>7.3</v>
      </c>
      <c r="AZ1449" s="34" t="str">
        <f>IF(G1449=1,F1449,"")</f>
        <v/>
      </c>
      <c r="BA1449" s="34" t="str">
        <f>IF(AND(G1449=1,L1449=1),F1449,"")</f>
        <v/>
      </c>
      <c r="BB1449" s="34" t="str">
        <f>IF(AND(G1449=1,L1449=0),F1449,"")</f>
        <v/>
      </c>
      <c r="BC1449" s="33">
        <f>IF(E1449=1,IF(Orders!R1446&gt;3,1,0),"")</f>
        <v>0</v>
      </c>
      <c r="BD1449" s="33">
        <f>IF(E1449=1,IF(Orders!R1446&gt;7,1,0),"")</f>
        <v>0</v>
      </c>
      <c r="BE1449" s="32" t="str">
        <f>IF(E1449=1,IF(Orders!L1446&lt;=1.5,"Up to 1.5 km",IF(Orders!L1446&lt;=3,"1.5–3 km","Over 3 km")),"")</f>
        <v>Up to 1.5 km</v>
      </c>
      <c r="BF1449" s="33">
        <f>IF(E1449=1,IF(ABS((Orders!G1446-Orders!F1446)*1440-Orders!R1446)&lt;0.06,1,0),"")</f>
        <v>1</v>
      </c>
      <c r="BG1449" s="33">
        <f>IF(ABS((Orders!F1446-Orders!E1446)*1440-Orders!P1446)&lt;0.06,1,0)</f>
        <v>1</v>
      </c>
      <c r="BH1449" s="33">
        <f>IF(E1449=1,IF(IF(Orders!S1446,1,0)=1-G1449,1,0),"")</f>
        <v>1</v>
      </c>
      <c r="BI1449" s="32" t="str">
        <f>INDEX(Stores!$B$2:$B$21,MATCH(B1449,Stores!$A$2:$A$21,0))</f>
        <v>Hyderabad</v>
      </c>
    </row>
    <row r="1450">
      <c r="A1450" s="32" t="str">
        <f>Orders!A1447</f>
        <v>O01446</v>
      </c>
      <c r="B1450" s="32" t="str">
        <f>Orders!C1447</f>
        <v>S012</v>
      </c>
      <c r="C1450" s="32" t="str">
        <f>Orders!B1447</f>
        <v>C0048</v>
      </c>
      <c r="D1450" s="32" t="str">
        <f>Orders!H1447</f>
        <v>Delivered</v>
      </c>
      <c r="E1450" s="33">
        <f>IF(Orders!H1447="Delivered",1,0)</f>
        <v>1</v>
      </c>
      <c r="F1450" s="34">
        <f>IF(E1450=1,Orders!R1447,"")</f>
        <v>-1.1</v>
      </c>
      <c r="G1450" s="33">
        <f>IF(E1450=1,IF(Orders!R1447&gt;0,1,0),"")</f>
        <v>0</v>
      </c>
      <c r="H1450" s="33">
        <f>IF(E1450=1,IF(Orders!R1447&gt;5,1,0),"")</f>
        <v>0</v>
      </c>
      <c r="I1450" s="32" t="str">
        <f>IF(E1450=1,"",IF(OR(Orders!T1447="Rider unavailable",Orders!T1447="Item unavailable"),"Company-caused","Unresolved"))</f>
        <v/>
      </c>
      <c r="J1450" s="33">
        <f>IF(OR(E1450=1,I1450="Company-caused"),1,0)</f>
        <v>1</v>
      </c>
      <c r="K1450" s="32" t="str">
        <f>IF(E1450=0,IF(I1450="Company-caused",IF(Orders!T1447="Rider unavailable","C1 Rider unavailable","C2 Item unavailable"),"Outside root: unresolved"),IF(G1450=0,"A On time",IF(H1450=1,IF(L1450=1,"B2a Severe, peak","B2b Severe, off-peak"),IF(L1450=1,"B1a Slight, peak","B1b Slight, off-peak"))))</f>
        <v>A On time</v>
      </c>
      <c r="L1450" s="33">
        <f>IF(AND(Orders!U1447&gt;=19,Orders!U1447&lt;22),1,0)</f>
        <v>0</v>
      </c>
      <c r="M1450" s="33">
        <f>IF(L1450=IF(Orders!V1447,1,0),1,0)</f>
        <v>1</v>
      </c>
      <c r="N1450" s="32" t="str">
        <f>IF(Orders!W1447="","None",Orders!W1447)</f>
        <v>None</v>
      </c>
      <c r="O1450" s="35">
        <f>INT(Orders!E1447)</f>
        <v>46275.0</v>
      </c>
      <c r="P1450" s="33">
        <f>Orders!U1447</f>
        <v>23</v>
      </c>
      <c r="Q1450" s="33">
        <f>COUNTIFS(Demand!$A$2:$A$4481,B1450,Demand!$B$2:$B$4481,O1450,Demand!$C$2:$C$4481,P1450)</f>
        <v>1</v>
      </c>
      <c r="R1450" s="33">
        <f>IF(Q1450=1,SUMIFS(Demand!$E$2:$E$4481,Demand!$A$2:$A$4481,B1450,Demand!$B$2:$B$4481,O1450,Demand!$C$2:$C$4481,P1450),"")</f>
        <v>11</v>
      </c>
      <c r="S1450" s="33">
        <f>INDEX(Stores!$G$2:$G$21,MATCH(B1450,Stores!$A$2:$A$21,0))</f>
        <v>15</v>
      </c>
      <c r="T1450" s="34">
        <f>IF(R1450="","",R1450/S1450)</f>
        <v>0.733333333333333</v>
      </c>
      <c r="U1450" s="34">
        <f>IF(E1450=1,T1450,"")</f>
        <v>0.733333333333333</v>
      </c>
      <c r="V1450" s="34">
        <f>IF(AND(E1450=1,L1450=0),T1450,"")</f>
        <v>0.733333333333333</v>
      </c>
      <c r="W1450" s="33">
        <f>IF(U1450="","",IF(U1450&lt;=Breakdowns!$C$5,1,IF(U1450&lt;=Breakdowns!$C$6,2,IF(U1450&lt;=Breakdowns!$C$7,3,4))))</f>
        <v>1</v>
      </c>
      <c r="X1450" s="33">
        <f>IF(V1450="","",IF(V1450&lt;=Breakdowns!$D$5,1,IF(V1450&lt;=Breakdowns!$D$6,2,IF(V1450&lt;=Breakdowns!$D$7,3,4))))</f>
        <v>1</v>
      </c>
      <c r="Y1450" s="34">
        <f>INDEX(Stores!$F$2:$F$21,MATCH(B1450,Stores!$A$2:$A$21,0))</f>
        <v>5.23</v>
      </c>
      <c r="Z1450" s="33">
        <f>IF(Y1450&gt;Store_Summary!$M$2,1,0)</f>
        <v>1</v>
      </c>
      <c r="AA1450" s="33">
        <f>INDEX(Stores!$C$2:$C$21,MATCH(B1450,Stores!$A$2:$A$21,0))</f>
        <v>300</v>
      </c>
      <c r="AB1450" s="33">
        <f>IF(AA1450&lt;180,1,0)</f>
        <v>0</v>
      </c>
      <c r="AC1450" s="32" t="str">
        <f>IF(Orders!D1447="","",INDEX(Riders!$C$2:$C$81,MATCH(Orders!D1447,Riders!$A$2:$A$81,0)))</f>
        <v>EV scooter</v>
      </c>
      <c r="AD1450" s="33">
        <f>IF(Orders!D1447="","",INDEX(Riders!$D$2:$D$81,MATCH(Orders!D1447,Riders!$A$2:$A$81,0)))</f>
        <v>22</v>
      </c>
      <c r="AE1450" s="33">
        <f>IF(Orders!D1447="","",IF(INDEX(Riders!$B$2:$B$81,MATCH(Orders!D1447,Riders!$A$2:$A$81,0))=B1450,1,0))</f>
        <v>0</v>
      </c>
      <c r="AF1450" s="34">
        <f>IF(E1450=1,Orders!L1447,"")</f>
        <v>1.78</v>
      </c>
      <c r="AG1450" s="34">
        <f>IF(E1450=1,Orders!P1447,"")</f>
        <v>8.4</v>
      </c>
      <c r="AH1450" s="34">
        <f>IF(E1450=1,Orders!Q1447,"")</f>
        <v>7.3</v>
      </c>
      <c r="AI1450" s="34">
        <f>IF(E1450=1,Orders!M1447,"")</f>
        <v>3.2</v>
      </c>
      <c r="AJ1450" s="34">
        <f>IF(E1450=1,Orders!N1447,"")</f>
        <v>1.4</v>
      </c>
      <c r="AK1450" s="34">
        <f>IF(E1450=1,Orders!O1447,"")</f>
        <v>2.7</v>
      </c>
      <c r="AL1450" s="33">
        <f>IF(E1450=1,IF(ROUND(ABS(AI1450+AJ1450+AK1450-AH1450),6)&lt;=0.1,1,0),"")</f>
        <v>1</v>
      </c>
      <c r="AM1450" s="36">
        <f>IF(E1450=1,AI1450/AH1450,"")</f>
        <v>0.438356164383562</v>
      </c>
      <c r="AN1450" s="36">
        <f>IF(E1450=1,AJ1450/AH1450,"")</f>
        <v>0.191780821917808</v>
      </c>
      <c r="AO1450" s="36">
        <f>IF(E1450=1,AK1450/AH1450,"")</f>
        <v>0.36986301369863</v>
      </c>
      <c r="AP1450" s="34">
        <f>IF(E1450=1,Orders!Y1447,"")</f>
        <v>0.64</v>
      </c>
      <c r="AQ1450" s="33">
        <f>IF(Orders!X1447,1,0)</f>
        <v>0</v>
      </c>
      <c r="AR1450" s="34" t="str">
        <f>IF(AND(E1450=1,L1450=1),AJ1450,"")</f>
        <v/>
      </c>
      <c r="AS1450" s="34">
        <f>IF(AND(E1450=1,L1450=0),AJ1450,"")</f>
        <v>1.4</v>
      </c>
      <c r="AT1450" s="34" t="str">
        <f>IF(AND(E1450=1,L1450=1),AI1450,"")</f>
        <v/>
      </c>
      <c r="AU1450" s="34">
        <f>IF(AND(E1450=1,L1450=0),AI1450,"")</f>
        <v>3.2</v>
      </c>
      <c r="AV1450" s="34" t="str">
        <f>IF(AND(E1450=1,L1450=1),AG1450,"")</f>
        <v/>
      </c>
      <c r="AW1450" s="34">
        <f>IF(AND(E1450=1,L1450=0),AG1450,"")</f>
        <v>8.4</v>
      </c>
      <c r="AX1450" s="34" t="str">
        <f>IF(AND(E1450=1,L1450=1),AH1450,"")</f>
        <v/>
      </c>
      <c r="AY1450" s="34">
        <f>IF(AND(E1450=1,L1450=0),AH1450,"")</f>
        <v>7.3</v>
      </c>
      <c r="AZ1450" s="34" t="str">
        <f>IF(G1450=1,F1450,"")</f>
        <v/>
      </c>
      <c r="BA1450" s="34" t="str">
        <f>IF(AND(G1450=1,L1450=1),F1450,"")</f>
        <v/>
      </c>
      <c r="BB1450" s="34" t="str">
        <f>IF(AND(G1450=1,L1450=0),F1450,"")</f>
        <v/>
      </c>
      <c r="BC1450" s="33">
        <f>IF(E1450=1,IF(Orders!R1447&gt;3,1,0),"")</f>
        <v>0</v>
      </c>
      <c r="BD1450" s="33">
        <f>IF(E1450=1,IF(Orders!R1447&gt;7,1,0),"")</f>
        <v>0</v>
      </c>
      <c r="BE1450" s="32" t="str">
        <f>IF(E1450=1,IF(Orders!L1447&lt;=1.5,"Up to 1.5 km",IF(Orders!L1447&lt;=3,"1.5–3 km","Over 3 km")),"")</f>
        <v>1.5–3 km</v>
      </c>
      <c r="BF1450" s="33">
        <f>IF(E1450=1,IF(ABS((Orders!G1447-Orders!F1447)*1440-Orders!R1447)&lt;0.06,1,0),"")</f>
        <v>1</v>
      </c>
      <c r="BG1450" s="33">
        <f>IF(ABS((Orders!F1447-Orders!E1447)*1440-Orders!P1447)&lt;0.06,1,0)</f>
        <v>1</v>
      </c>
      <c r="BH1450" s="33">
        <f>IF(E1450=1,IF(IF(Orders!S1447,1,0)=1-G1450,1,0),"")</f>
        <v>1</v>
      </c>
      <c r="BI1450" s="32" t="str">
        <f>INDEX(Stores!$B$2:$B$21,MATCH(B1450,Stores!$A$2:$A$21,0))</f>
        <v>Hyderabad</v>
      </c>
    </row>
    <row r="1451">
      <c r="A1451" s="32" t="str">
        <f>Orders!A1448</f>
        <v>O01447</v>
      </c>
      <c r="B1451" s="32" t="str">
        <f>Orders!C1448</f>
        <v>S006</v>
      </c>
      <c r="C1451" s="32" t="str">
        <f>Orders!B1448</f>
        <v>C0009</v>
      </c>
      <c r="D1451" s="32" t="str">
        <f>Orders!H1448</f>
        <v>Delivered</v>
      </c>
      <c r="E1451" s="33">
        <f>IF(Orders!H1448="Delivered",1,0)</f>
        <v>1</v>
      </c>
      <c r="F1451" s="34">
        <f>IF(E1451=1,Orders!R1448,"")</f>
        <v>-0.8</v>
      </c>
      <c r="G1451" s="33">
        <f>IF(E1451=1,IF(Orders!R1448&gt;0,1,0),"")</f>
        <v>0</v>
      </c>
      <c r="H1451" s="33">
        <f>IF(E1451=1,IF(Orders!R1448&gt;5,1,0),"")</f>
        <v>0</v>
      </c>
      <c r="I1451" s="32" t="str">
        <f>IF(E1451=1,"",IF(OR(Orders!T1448="Rider unavailable",Orders!T1448="Item unavailable"),"Company-caused","Unresolved"))</f>
        <v/>
      </c>
      <c r="J1451" s="33">
        <f>IF(OR(E1451=1,I1451="Company-caused"),1,0)</f>
        <v>1</v>
      </c>
      <c r="K1451" s="32" t="str">
        <f>IF(E1451=0,IF(I1451="Company-caused",IF(Orders!T1448="Rider unavailable","C1 Rider unavailable","C2 Item unavailable"),"Outside root: unresolved"),IF(G1451=0,"A On time",IF(H1451=1,IF(L1451=1,"B2a Severe, peak","B2b Severe, off-peak"),IF(L1451=1,"B1a Slight, peak","B1b Slight, off-peak"))))</f>
        <v>A On time</v>
      </c>
      <c r="L1451" s="33">
        <f>IF(AND(Orders!U1448&gt;=19,Orders!U1448&lt;22),1,0)</f>
        <v>0</v>
      </c>
      <c r="M1451" s="33">
        <f>IF(L1451=IF(Orders!V1448,1,0),1,0)</f>
        <v>1</v>
      </c>
      <c r="N1451" s="32" t="str">
        <f>IF(Orders!W1448="","None",Orders!W1448)</f>
        <v>None</v>
      </c>
      <c r="O1451" s="35">
        <f>INT(Orders!E1448)</f>
        <v>46267.0</v>
      </c>
      <c r="P1451" s="33">
        <f>Orders!U1448</f>
        <v>17</v>
      </c>
      <c r="Q1451" s="33">
        <f>COUNTIFS(Demand!$A$2:$A$4481,B1451,Demand!$B$2:$B$4481,O1451,Demand!$C$2:$C$4481,P1451)</f>
        <v>1</v>
      </c>
      <c r="R1451" s="33">
        <f>IF(Q1451=1,SUMIFS(Demand!$E$2:$E$4481,Demand!$A$2:$A$4481,B1451,Demand!$B$2:$B$4481,O1451,Demand!$C$2:$C$4481,P1451),"")</f>
        <v>32</v>
      </c>
      <c r="S1451" s="33">
        <f>INDEX(Stores!$G$2:$G$21,MATCH(B1451,Stores!$A$2:$A$21,0))</f>
        <v>26</v>
      </c>
      <c r="T1451" s="34">
        <f>IF(R1451="","",R1451/S1451)</f>
        <v>1.23076923076923</v>
      </c>
      <c r="U1451" s="34">
        <f>IF(E1451=1,T1451,"")</f>
        <v>1.23076923076923</v>
      </c>
      <c r="V1451" s="34">
        <f>IF(AND(E1451=1,L1451=0),T1451,"")</f>
        <v>1.23076923076923</v>
      </c>
      <c r="W1451" s="33">
        <f>IF(U1451="","",IF(U1451&lt;=Breakdowns!$C$5,1,IF(U1451&lt;=Breakdowns!$C$6,2,IF(U1451&lt;=Breakdowns!$C$7,3,4))))</f>
        <v>4</v>
      </c>
      <c r="X1451" s="33">
        <f>IF(V1451="","",IF(V1451&lt;=Breakdowns!$D$5,1,IF(V1451&lt;=Breakdowns!$D$6,2,IF(V1451&lt;=Breakdowns!$D$7,3,4))))</f>
        <v>4</v>
      </c>
      <c r="Y1451" s="34">
        <f>INDEX(Stores!$F$2:$F$21,MATCH(B1451,Stores!$A$2:$A$21,0))</f>
        <v>5.22</v>
      </c>
      <c r="Z1451" s="33">
        <f>IF(Y1451&gt;Store_Summary!$M$2,1,0)</f>
        <v>1</v>
      </c>
      <c r="AA1451" s="33">
        <f>INDEX(Stores!$C$2:$C$21,MATCH(B1451,Stores!$A$2:$A$21,0))</f>
        <v>412</v>
      </c>
      <c r="AB1451" s="33">
        <f>IF(AA1451&lt;180,1,0)</f>
        <v>0</v>
      </c>
      <c r="AC1451" s="32" t="str">
        <f>IF(Orders!D1448="","",INDEX(Riders!$C$2:$C$81,MATCH(Orders!D1448,Riders!$A$2:$A$81,0)))</f>
        <v>Petrol scooter</v>
      </c>
      <c r="AD1451" s="33">
        <f>IF(Orders!D1448="","",INDEX(Riders!$D$2:$D$81,MATCH(Orders!D1448,Riders!$A$2:$A$81,0)))</f>
        <v>20</v>
      </c>
      <c r="AE1451" s="33">
        <f>IF(Orders!D1448="","",IF(INDEX(Riders!$B$2:$B$81,MATCH(Orders!D1448,Riders!$A$2:$A$81,0))=B1451,1,0))</f>
        <v>0</v>
      </c>
      <c r="AF1451" s="34">
        <f>IF(E1451=1,Orders!L1448,"")</f>
        <v>1.08</v>
      </c>
      <c r="AG1451" s="34">
        <f>IF(E1451=1,Orders!P1448,"")</f>
        <v>10.2</v>
      </c>
      <c r="AH1451" s="34">
        <f>IF(E1451=1,Orders!Q1448,"")</f>
        <v>9.4</v>
      </c>
      <c r="AI1451" s="34">
        <f>IF(E1451=1,Orders!M1448,"")</f>
        <v>4</v>
      </c>
      <c r="AJ1451" s="34">
        <f>IF(E1451=1,Orders!N1448,"")</f>
        <v>3.5</v>
      </c>
      <c r="AK1451" s="34">
        <f>IF(E1451=1,Orders!O1448,"")</f>
        <v>1.9</v>
      </c>
      <c r="AL1451" s="33">
        <f>IF(E1451=1,IF(ROUND(ABS(AI1451+AJ1451+AK1451-AH1451),6)&lt;=0.1,1,0),"")</f>
        <v>1</v>
      </c>
      <c r="AM1451" s="36">
        <f>IF(E1451=1,AI1451/AH1451,"")</f>
        <v>0.425531914893617</v>
      </c>
      <c r="AN1451" s="36">
        <f>IF(E1451=1,AJ1451/AH1451,"")</f>
        <v>0.372340425531915</v>
      </c>
      <c r="AO1451" s="36">
        <f>IF(E1451=1,AK1451/AH1451,"")</f>
        <v>0.202127659574468</v>
      </c>
      <c r="AP1451" s="34">
        <f>IF(E1451=1,Orders!Y1448,"")</f>
        <v>0.24</v>
      </c>
      <c r="AQ1451" s="33">
        <f>IF(Orders!X1448,1,0)</f>
        <v>0</v>
      </c>
      <c r="AR1451" s="34" t="str">
        <f>IF(AND(E1451=1,L1451=1),AJ1451,"")</f>
        <v/>
      </c>
      <c r="AS1451" s="34">
        <f>IF(AND(E1451=1,L1451=0),AJ1451,"")</f>
        <v>3.5</v>
      </c>
      <c r="AT1451" s="34" t="str">
        <f>IF(AND(E1451=1,L1451=1),AI1451,"")</f>
        <v/>
      </c>
      <c r="AU1451" s="34">
        <f>IF(AND(E1451=1,L1451=0),AI1451,"")</f>
        <v>4</v>
      </c>
      <c r="AV1451" s="34" t="str">
        <f>IF(AND(E1451=1,L1451=1),AG1451,"")</f>
        <v/>
      </c>
      <c r="AW1451" s="34">
        <f>IF(AND(E1451=1,L1451=0),AG1451,"")</f>
        <v>10.2</v>
      </c>
      <c r="AX1451" s="34" t="str">
        <f>IF(AND(E1451=1,L1451=1),AH1451,"")</f>
        <v/>
      </c>
      <c r="AY1451" s="34">
        <f>IF(AND(E1451=1,L1451=0),AH1451,"")</f>
        <v>9.4</v>
      </c>
      <c r="AZ1451" s="34" t="str">
        <f>IF(G1451=1,F1451,"")</f>
        <v/>
      </c>
      <c r="BA1451" s="34" t="str">
        <f>IF(AND(G1451=1,L1451=1),F1451,"")</f>
        <v/>
      </c>
      <c r="BB1451" s="34" t="str">
        <f>IF(AND(G1451=1,L1451=0),F1451,"")</f>
        <v/>
      </c>
      <c r="BC1451" s="33">
        <f>IF(E1451=1,IF(Orders!R1448&gt;3,1,0),"")</f>
        <v>0</v>
      </c>
      <c r="BD1451" s="33">
        <f>IF(E1451=1,IF(Orders!R1448&gt;7,1,0),"")</f>
        <v>0</v>
      </c>
      <c r="BE1451" s="32" t="str">
        <f>IF(E1451=1,IF(Orders!L1448&lt;=1.5,"Up to 1.5 km",IF(Orders!L1448&lt;=3,"1.5–3 km","Over 3 km")),"")</f>
        <v>Up to 1.5 km</v>
      </c>
      <c r="BF1451" s="33">
        <f>IF(E1451=1,IF(ABS((Orders!G1448-Orders!F1448)*1440-Orders!R1448)&lt;0.06,1,0),"")</f>
        <v>1</v>
      </c>
      <c r="BG1451" s="33">
        <f>IF(ABS((Orders!F1448-Orders!E1448)*1440-Orders!P1448)&lt;0.06,1,0)</f>
        <v>1</v>
      </c>
      <c r="BH1451" s="33">
        <f>IF(E1451=1,IF(IF(Orders!S1448,1,0)=1-G1451,1,0),"")</f>
        <v>1</v>
      </c>
      <c r="BI1451" s="32" t="str">
        <f>INDEX(Stores!$B$2:$B$21,MATCH(B1451,Stores!$A$2:$A$21,0))</f>
        <v>Bengaluru</v>
      </c>
    </row>
    <row r="1452">
      <c r="A1452" s="32" t="str">
        <f>Orders!A1449</f>
        <v>O01448</v>
      </c>
      <c r="B1452" s="32" t="str">
        <f>Orders!C1449</f>
        <v>S007</v>
      </c>
      <c r="C1452" s="32" t="str">
        <f>Orders!B1449</f>
        <v>C0146</v>
      </c>
      <c r="D1452" s="32" t="str">
        <f>Orders!H1449</f>
        <v>Delivered</v>
      </c>
      <c r="E1452" s="33">
        <f>IF(Orders!H1449="Delivered",1,0)</f>
        <v>1</v>
      </c>
      <c r="F1452" s="34">
        <f>IF(E1452=1,Orders!R1449,"")</f>
        <v>-0.2</v>
      </c>
      <c r="G1452" s="33">
        <f>IF(E1452=1,IF(Orders!R1449&gt;0,1,0),"")</f>
        <v>0</v>
      </c>
      <c r="H1452" s="33">
        <f>IF(E1452=1,IF(Orders!R1449&gt;5,1,0),"")</f>
        <v>0</v>
      </c>
      <c r="I1452" s="32" t="str">
        <f>IF(E1452=1,"",IF(OR(Orders!T1449="Rider unavailable",Orders!T1449="Item unavailable"),"Company-caused","Unresolved"))</f>
        <v/>
      </c>
      <c r="J1452" s="33">
        <f>IF(OR(E1452=1,I1452="Company-caused"),1,0)</f>
        <v>1</v>
      </c>
      <c r="K1452" s="32" t="str">
        <f>IF(E1452=0,IF(I1452="Company-caused",IF(Orders!T1449="Rider unavailable","C1 Rider unavailable","C2 Item unavailable"),"Outside root: unresolved"),IF(G1452=0,"A On time",IF(H1452=1,IF(L1452=1,"B2a Severe, peak","B2b Severe, off-peak"),IF(L1452=1,"B1a Slight, peak","B1b Slight, off-peak"))))</f>
        <v>A On time</v>
      </c>
      <c r="L1452" s="33">
        <f>IF(AND(Orders!U1449&gt;=19,Orders!U1449&lt;22),1,0)</f>
        <v>0</v>
      </c>
      <c r="M1452" s="33">
        <f>IF(L1452=IF(Orders!V1449,1,0),1,0)</f>
        <v>1</v>
      </c>
      <c r="N1452" s="32" t="str">
        <f>IF(Orders!W1449="","None",Orders!W1449)</f>
        <v>None</v>
      </c>
      <c r="O1452" s="35">
        <f>INT(Orders!E1449)</f>
        <v>46266.0</v>
      </c>
      <c r="P1452" s="33">
        <f>Orders!U1449</f>
        <v>14</v>
      </c>
      <c r="Q1452" s="33">
        <f>COUNTIFS(Demand!$A$2:$A$4481,B1452,Demand!$B$2:$B$4481,O1452,Demand!$C$2:$C$4481,P1452)</f>
        <v>1</v>
      </c>
      <c r="R1452" s="33">
        <f>IF(Q1452=1,SUMIFS(Demand!$E$2:$E$4481,Demand!$A$2:$A$4481,B1452,Demand!$B$2:$B$4481,O1452,Demand!$C$2:$C$4481,P1452),"")</f>
        <v>27</v>
      </c>
      <c r="S1452" s="33">
        <f>INDEX(Stores!$G$2:$G$21,MATCH(B1452,Stores!$A$2:$A$21,0))</f>
        <v>37</v>
      </c>
      <c r="T1452" s="34">
        <f>IF(R1452="","",R1452/S1452)</f>
        <v>0.72972972972973</v>
      </c>
      <c r="U1452" s="34">
        <f>IF(E1452=1,T1452,"")</f>
        <v>0.72972972972973</v>
      </c>
      <c r="V1452" s="34">
        <f>IF(AND(E1452=1,L1452=0),T1452,"")</f>
        <v>0.72972972972973</v>
      </c>
      <c r="W1452" s="33">
        <f>IF(U1452="","",IF(U1452&lt;=Breakdowns!$C$5,1,IF(U1452&lt;=Breakdowns!$C$6,2,IF(U1452&lt;=Breakdowns!$C$7,3,4))))</f>
        <v>1</v>
      </c>
      <c r="X1452" s="33">
        <f>IF(V1452="","",IF(V1452&lt;=Breakdowns!$D$5,1,IF(V1452&lt;=Breakdowns!$D$6,2,IF(V1452&lt;=Breakdowns!$D$7,3,4))))</f>
        <v>1</v>
      </c>
      <c r="Y1452" s="34">
        <f>INDEX(Stores!$F$2:$F$21,MATCH(B1452,Stores!$A$2:$A$21,0))</f>
        <v>4.05</v>
      </c>
      <c r="Z1452" s="33">
        <f>IF(Y1452&gt;Store_Summary!$M$2,1,0)</f>
        <v>0</v>
      </c>
      <c r="AA1452" s="33">
        <f>INDEX(Stores!$C$2:$C$21,MATCH(B1452,Stores!$A$2:$A$21,0))</f>
        <v>661</v>
      </c>
      <c r="AB1452" s="33">
        <f>IF(AA1452&lt;180,1,0)</f>
        <v>0</v>
      </c>
      <c r="AC1452" s="32" t="str">
        <f>IF(Orders!D1449="","",INDEX(Riders!$C$2:$C$81,MATCH(Orders!D1449,Riders!$A$2:$A$81,0)))</f>
        <v>Bicycle</v>
      </c>
      <c r="AD1452" s="33">
        <f>IF(Orders!D1449="","",INDEX(Riders!$D$2:$D$81,MATCH(Orders!D1449,Riders!$A$2:$A$81,0)))</f>
        <v>40</v>
      </c>
      <c r="AE1452" s="33">
        <f>IF(Orders!D1449="","",IF(INDEX(Riders!$B$2:$B$81,MATCH(Orders!D1449,Riders!$A$2:$A$81,0))=B1452,1,0))</f>
        <v>0</v>
      </c>
      <c r="AF1452" s="34">
        <f>IF(E1452=1,Orders!L1449,"")</f>
        <v>0.53</v>
      </c>
      <c r="AG1452" s="34">
        <f>IF(E1452=1,Orders!P1449,"")</f>
        <v>10.9</v>
      </c>
      <c r="AH1452" s="34">
        <f>IF(E1452=1,Orders!Q1449,"")</f>
        <v>10.7</v>
      </c>
      <c r="AI1452" s="34">
        <f>IF(E1452=1,Orders!M1449,"")</f>
        <v>3.5</v>
      </c>
      <c r="AJ1452" s="34">
        <f>IF(E1452=1,Orders!N1449,"")</f>
        <v>4.3</v>
      </c>
      <c r="AK1452" s="34">
        <f>IF(E1452=1,Orders!O1449,"")</f>
        <v>2.9</v>
      </c>
      <c r="AL1452" s="33">
        <f>IF(E1452=1,IF(ROUND(ABS(AI1452+AJ1452+AK1452-AH1452),6)&lt;=0.1,1,0),"")</f>
        <v>1</v>
      </c>
      <c r="AM1452" s="36">
        <f>IF(E1452=1,AI1452/AH1452,"")</f>
        <v>0.327102803738318</v>
      </c>
      <c r="AN1452" s="36">
        <f>IF(E1452=1,AJ1452/AH1452,"")</f>
        <v>0.401869158878505</v>
      </c>
      <c r="AO1452" s="36">
        <f>IF(E1452=1,AK1452/AH1452,"")</f>
        <v>0.271028037383178</v>
      </c>
      <c r="AP1452" s="34">
        <f>IF(E1452=1,Orders!Y1449,"")</f>
        <v>0.59</v>
      </c>
      <c r="AQ1452" s="33">
        <f>IF(Orders!X1449,1,0)</f>
        <v>1</v>
      </c>
      <c r="AR1452" s="34" t="str">
        <f>IF(AND(E1452=1,L1452=1),AJ1452,"")</f>
        <v/>
      </c>
      <c r="AS1452" s="34">
        <f>IF(AND(E1452=1,L1452=0),AJ1452,"")</f>
        <v>4.3</v>
      </c>
      <c r="AT1452" s="34" t="str">
        <f>IF(AND(E1452=1,L1452=1),AI1452,"")</f>
        <v/>
      </c>
      <c r="AU1452" s="34">
        <f>IF(AND(E1452=1,L1452=0),AI1452,"")</f>
        <v>3.5</v>
      </c>
      <c r="AV1452" s="34" t="str">
        <f>IF(AND(E1452=1,L1452=1),AG1452,"")</f>
        <v/>
      </c>
      <c r="AW1452" s="34">
        <f>IF(AND(E1452=1,L1452=0),AG1452,"")</f>
        <v>10.9</v>
      </c>
      <c r="AX1452" s="34" t="str">
        <f>IF(AND(E1452=1,L1452=1),AH1452,"")</f>
        <v/>
      </c>
      <c r="AY1452" s="34">
        <f>IF(AND(E1452=1,L1452=0),AH1452,"")</f>
        <v>10.7</v>
      </c>
      <c r="AZ1452" s="34" t="str">
        <f>IF(G1452=1,F1452,"")</f>
        <v/>
      </c>
      <c r="BA1452" s="34" t="str">
        <f>IF(AND(G1452=1,L1452=1),F1452,"")</f>
        <v/>
      </c>
      <c r="BB1452" s="34" t="str">
        <f>IF(AND(G1452=1,L1452=0),F1452,"")</f>
        <v/>
      </c>
      <c r="BC1452" s="33">
        <f>IF(E1452=1,IF(Orders!R1449&gt;3,1,0),"")</f>
        <v>0</v>
      </c>
      <c r="BD1452" s="33">
        <f>IF(E1452=1,IF(Orders!R1449&gt;7,1,0),"")</f>
        <v>0</v>
      </c>
      <c r="BE1452" s="32" t="str">
        <f>IF(E1452=1,IF(Orders!L1449&lt;=1.5,"Up to 1.5 km",IF(Orders!L1449&lt;=3,"1.5–3 km","Over 3 km")),"")</f>
        <v>Up to 1.5 km</v>
      </c>
      <c r="BF1452" s="33">
        <f>IF(E1452=1,IF(ABS((Orders!G1449-Orders!F1449)*1440-Orders!R1449)&lt;0.06,1,0),"")</f>
        <v>1</v>
      </c>
      <c r="BG1452" s="33">
        <f>IF(ABS((Orders!F1449-Orders!E1449)*1440-Orders!P1449)&lt;0.06,1,0)</f>
        <v>1</v>
      </c>
      <c r="BH1452" s="33">
        <f>IF(E1452=1,IF(IF(Orders!S1449,1,0)=1-G1452,1,0),"")</f>
        <v>1</v>
      </c>
      <c r="BI1452" s="32" t="str">
        <f>INDEX(Stores!$B$2:$B$21,MATCH(B1452,Stores!$A$2:$A$21,0))</f>
        <v>Hyderabad</v>
      </c>
    </row>
    <row r="1453">
      <c r="A1453" s="32" t="str">
        <f>Orders!A1450</f>
        <v>O01449</v>
      </c>
      <c r="B1453" s="32" t="str">
        <f>Orders!C1450</f>
        <v>S009</v>
      </c>
      <c r="C1453" s="32" t="str">
        <f>Orders!B1450</f>
        <v>C0202</v>
      </c>
      <c r="D1453" s="32" t="str">
        <f>Orders!H1450</f>
        <v>Delivered</v>
      </c>
      <c r="E1453" s="33">
        <f>IF(Orders!H1450="Delivered",1,0)</f>
        <v>1</v>
      </c>
      <c r="F1453" s="34">
        <f>IF(E1453=1,Orders!R1450,"")</f>
        <v>-2.1</v>
      </c>
      <c r="G1453" s="33">
        <f>IF(E1453=1,IF(Orders!R1450&gt;0,1,0),"")</f>
        <v>0</v>
      </c>
      <c r="H1453" s="33">
        <f>IF(E1453=1,IF(Orders!R1450&gt;5,1,0),"")</f>
        <v>0</v>
      </c>
      <c r="I1453" s="32" t="str">
        <f>IF(E1453=1,"",IF(OR(Orders!T1450="Rider unavailable",Orders!T1450="Item unavailable"),"Company-caused","Unresolved"))</f>
        <v/>
      </c>
      <c r="J1453" s="33">
        <f>IF(OR(E1453=1,I1453="Company-caused"),1,0)</f>
        <v>1</v>
      </c>
      <c r="K1453" s="32" t="str">
        <f>IF(E1453=0,IF(I1453="Company-caused",IF(Orders!T1450="Rider unavailable","C1 Rider unavailable","C2 Item unavailable"),"Outside root: unresolved"),IF(G1453=0,"A On time",IF(H1453=1,IF(L1453=1,"B2a Severe, peak","B2b Severe, off-peak"),IF(L1453=1,"B1a Slight, peak","B1b Slight, off-peak"))))</f>
        <v>A On time</v>
      </c>
      <c r="L1453" s="33">
        <f>IF(AND(Orders!U1450&gt;=19,Orders!U1450&lt;22),1,0)</f>
        <v>0</v>
      </c>
      <c r="M1453" s="33">
        <f>IF(L1453=IF(Orders!V1450,1,0),1,0)</f>
        <v>1</v>
      </c>
      <c r="N1453" s="32" t="str">
        <f>IF(Orders!W1450="","None",Orders!W1450)</f>
        <v>None</v>
      </c>
      <c r="O1453" s="35">
        <f>INT(Orders!E1450)</f>
        <v>46269.0</v>
      </c>
      <c r="P1453" s="33">
        <f>Orders!U1450</f>
        <v>15</v>
      </c>
      <c r="Q1453" s="33">
        <f>COUNTIFS(Demand!$A$2:$A$4481,B1453,Demand!$B$2:$B$4481,O1453,Demand!$C$2:$C$4481,P1453)</f>
        <v>1</v>
      </c>
      <c r="R1453" s="33">
        <f>IF(Q1453=1,SUMIFS(Demand!$E$2:$E$4481,Demand!$A$2:$A$4481,B1453,Demand!$B$2:$B$4481,O1453,Demand!$C$2:$C$4481,P1453),"")</f>
        <v>17</v>
      </c>
      <c r="S1453" s="33">
        <f>INDEX(Stores!$G$2:$G$21,MATCH(B1453,Stores!$A$2:$A$21,0))</f>
        <v>29</v>
      </c>
      <c r="T1453" s="34">
        <f>IF(R1453="","",R1453/S1453)</f>
        <v>0.586206896551724</v>
      </c>
      <c r="U1453" s="34">
        <f>IF(E1453=1,T1453,"")</f>
        <v>0.586206896551724</v>
      </c>
      <c r="V1453" s="34">
        <f>IF(AND(E1453=1,L1453=0),T1453,"")</f>
        <v>0.586206896551724</v>
      </c>
      <c r="W1453" s="33">
        <f>IF(U1453="","",IF(U1453&lt;=Breakdowns!$C$5,1,IF(U1453&lt;=Breakdowns!$C$6,2,IF(U1453&lt;=Breakdowns!$C$7,3,4))))</f>
        <v>1</v>
      </c>
      <c r="X1453" s="33">
        <f>IF(V1453="","",IF(V1453&lt;=Breakdowns!$D$5,1,IF(V1453&lt;=Breakdowns!$D$6,2,IF(V1453&lt;=Breakdowns!$D$7,3,4))))</f>
        <v>1</v>
      </c>
      <c r="Y1453" s="34">
        <f>INDEX(Stores!$F$2:$F$21,MATCH(B1453,Stores!$A$2:$A$21,0))</f>
        <v>2.66</v>
      </c>
      <c r="Z1453" s="33">
        <f>IF(Y1453&gt;Store_Summary!$M$2,1,0)</f>
        <v>0</v>
      </c>
      <c r="AA1453" s="33">
        <f>INDEX(Stores!$C$2:$C$21,MATCH(B1453,Stores!$A$2:$A$21,0))</f>
        <v>645</v>
      </c>
      <c r="AB1453" s="33">
        <f>IF(AA1453&lt;180,1,0)</f>
        <v>0</v>
      </c>
      <c r="AC1453" s="32" t="str">
        <f>IF(Orders!D1450="","",INDEX(Riders!$C$2:$C$81,MATCH(Orders!D1450,Riders!$A$2:$A$81,0)))</f>
        <v>EV scooter</v>
      </c>
      <c r="AD1453" s="33">
        <f>IF(Orders!D1450="","",INDEX(Riders!$D$2:$D$81,MATCH(Orders!D1450,Riders!$A$2:$A$81,0)))</f>
        <v>46</v>
      </c>
      <c r="AE1453" s="33">
        <f>IF(Orders!D1450="","",IF(INDEX(Riders!$B$2:$B$81,MATCH(Orders!D1450,Riders!$A$2:$A$81,0))=B1453,1,0))</f>
        <v>0</v>
      </c>
      <c r="AF1453" s="34">
        <f>IF(E1453=1,Orders!L1450,"")</f>
        <v>2.13</v>
      </c>
      <c r="AG1453" s="34">
        <f>IF(E1453=1,Orders!P1450,"")</f>
        <v>11.9</v>
      </c>
      <c r="AH1453" s="34">
        <f>IF(E1453=1,Orders!Q1450,"")</f>
        <v>9.8</v>
      </c>
      <c r="AI1453" s="34">
        <f>IF(E1453=1,Orders!M1450,"")</f>
        <v>3</v>
      </c>
      <c r="AJ1453" s="34">
        <f>IF(E1453=1,Orders!N1450,"")</f>
        <v>1.1</v>
      </c>
      <c r="AK1453" s="34">
        <f>IF(E1453=1,Orders!O1450,"")</f>
        <v>5.7</v>
      </c>
      <c r="AL1453" s="33">
        <f>IF(E1453=1,IF(ROUND(ABS(AI1453+AJ1453+AK1453-AH1453),6)&lt;=0.1,1,0),"")</f>
        <v>1</v>
      </c>
      <c r="AM1453" s="36">
        <f>IF(E1453=1,AI1453/AH1453,"")</f>
        <v>0.306122448979592</v>
      </c>
      <c r="AN1453" s="36">
        <f>IF(E1453=1,AJ1453/AH1453,"")</f>
        <v>0.112244897959184</v>
      </c>
      <c r="AO1453" s="36">
        <f>IF(E1453=1,AK1453/AH1453,"")</f>
        <v>0.581632653061225</v>
      </c>
      <c r="AP1453" s="34">
        <f>IF(E1453=1,Orders!Y1450,"")</f>
        <v>0.67</v>
      </c>
      <c r="AQ1453" s="33">
        <f>IF(Orders!X1450,1,0)</f>
        <v>0</v>
      </c>
      <c r="AR1453" s="34" t="str">
        <f>IF(AND(E1453=1,L1453=1),AJ1453,"")</f>
        <v/>
      </c>
      <c r="AS1453" s="34">
        <f>IF(AND(E1453=1,L1453=0),AJ1453,"")</f>
        <v>1.1</v>
      </c>
      <c r="AT1453" s="34" t="str">
        <f>IF(AND(E1453=1,L1453=1),AI1453,"")</f>
        <v/>
      </c>
      <c r="AU1453" s="34">
        <f>IF(AND(E1453=1,L1453=0),AI1453,"")</f>
        <v>3</v>
      </c>
      <c r="AV1453" s="34" t="str">
        <f>IF(AND(E1453=1,L1453=1),AG1453,"")</f>
        <v/>
      </c>
      <c r="AW1453" s="34">
        <f>IF(AND(E1453=1,L1453=0),AG1453,"")</f>
        <v>11.9</v>
      </c>
      <c r="AX1453" s="34" t="str">
        <f>IF(AND(E1453=1,L1453=1),AH1453,"")</f>
        <v/>
      </c>
      <c r="AY1453" s="34">
        <f>IF(AND(E1453=1,L1453=0),AH1453,"")</f>
        <v>9.8</v>
      </c>
      <c r="AZ1453" s="34" t="str">
        <f>IF(G1453=1,F1453,"")</f>
        <v/>
      </c>
      <c r="BA1453" s="34" t="str">
        <f>IF(AND(G1453=1,L1453=1),F1453,"")</f>
        <v/>
      </c>
      <c r="BB1453" s="34" t="str">
        <f>IF(AND(G1453=1,L1453=0),F1453,"")</f>
        <v/>
      </c>
      <c r="BC1453" s="33">
        <f>IF(E1453=1,IF(Orders!R1450&gt;3,1,0),"")</f>
        <v>0</v>
      </c>
      <c r="BD1453" s="33">
        <f>IF(E1453=1,IF(Orders!R1450&gt;7,1,0),"")</f>
        <v>0</v>
      </c>
      <c r="BE1453" s="32" t="str">
        <f>IF(E1453=1,IF(Orders!L1450&lt;=1.5,"Up to 1.5 km",IF(Orders!L1450&lt;=3,"1.5–3 km","Over 3 km")),"")</f>
        <v>1.5–3 km</v>
      </c>
      <c r="BF1453" s="33">
        <f>IF(E1453=1,IF(ABS((Orders!G1450-Orders!F1450)*1440-Orders!R1450)&lt;0.06,1,0),"")</f>
        <v>1</v>
      </c>
      <c r="BG1453" s="33">
        <f>IF(ABS((Orders!F1450-Orders!E1450)*1440-Orders!P1450)&lt;0.06,1,0)</f>
        <v>1</v>
      </c>
      <c r="BH1453" s="33">
        <f>IF(E1453=1,IF(IF(Orders!S1450,1,0)=1-G1453,1,0),"")</f>
        <v>1</v>
      </c>
      <c r="BI1453" s="32" t="str">
        <f>INDEX(Stores!$B$2:$B$21,MATCH(B1453,Stores!$A$2:$A$21,0))</f>
        <v>Pune</v>
      </c>
    </row>
    <row r="1454">
      <c r="A1454" s="32" t="str">
        <f>Orders!A1451</f>
        <v>O01450</v>
      </c>
      <c r="B1454" s="32" t="str">
        <f>Orders!C1451</f>
        <v>S020</v>
      </c>
      <c r="C1454" s="32" t="str">
        <f>Orders!B1451</f>
        <v>C0152</v>
      </c>
      <c r="D1454" s="32" t="str">
        <f>Orders!H1451</f>
        <v>Delivered</v>
      </c>
      <c r="E1454" s="33">
        <f>IF(Orders!H1451="Delivered",1,0)</f>
        <v>1</v>
      </c>
      <c r="F1454" s="34">
        <f>IF(E1454=1,Orders!R1451,"")</f>
        <v>-0.8</v>
      </c>
      <c r="G1454" s="33">
        <f>IF(E1454=1,IF(Orders!R1451&gt;0,1,0),"")</f>
        <v>0</v>
      </c>
      <c r="H1454" s="33">
        <f>IF(E1454=1,IF(Orders!R1451&gt;5,1,0),"")</f>
        <v>0</v>
      </c>
      <c r="I1454" s="32" t="str">
        <f>IF(E1454=1,"",IF(OR(Orders!T1451="Rider unavailable",Orders!T1451="Item unavailable"),"Company-caused","Unresolved"))</f>
        <v/>
      </c>
      <c r="J1454" s="33">
        <f>IF(OR(E1454=1,I1454="Company-caused"),1,0)</f>
        <v>1</v>
      </c>
      <c r="K1454" s="32" t="str">
        <f>IF(E1454=0,IF(I1454="Company-caused",IF(Orders!T1451="Rider unavailable","C1 Rider unavailable","C2 Item unavailable"),"Outside root: unresolved"),IF(G1454=0,"A On time",IF(H1454=1,IF(L1454=1,"B2a Severe, peak","B2b Severe, off-peak"),IF(L1454=1,"B1a Slight, peak","B1b Slight, off-peak"))))</f>
        <v>A On time</v>
      </c>
      <c r="L1454" s="33">
        <f>IF(AND(Orders!U1451&gt;=19,Orders!U1451&lt;22),1,0)</f>
        <v>1</v>
      </c>
      <c r="M1454" s="33">
        <f>IF(L1454=IF(Orders!V1451,1,0),1,0)</f>
        <v>1</v>
      </c>
      <c r="N1454" s="32" t="str">
        <f>IF(Orders!W1451="","None",Orders!W1451)</f>
        <v>None</v>
      </c>
      <c r="O1454" s="35">
        <f>INT(Orders!E1451)</f>
        <v>46270.0</v>
      </c>
      <c r="P1454" s="33">
        <f>Orders!U1451</f>
        <v>20</v>
      </c>
      <c r="Q1454" s="33">
        <f>COUNTIFS(Demand!$A$2:$A$4481,B1454,Demand!$B$2:$B$4481,O1454,Demand!$C$2:$C$4481,P1454)</f>
        <v>1</v>
      </c>
      <c r="R1454" s="33">
        <f>IF(Q1454=1,SUMIFS(Demand!$E$2:$E$4481,Demand!$A$2:$A$4481,B1454,Demand!$B$2:$B$4481,O1454,Demand!$C$2:$C$4481,P1454),"")</f>
        <v>25</v>
      </c>
      <c r="S1454" s="33">
        <f>INDEX(Stores!$G$2:$G$21,MATCH(B1454,Stores!$A$2:$A$21,0))</f>
        <v>15</v>
      </c>
      <c r="T1454" s="34">
        <f>IF(R1454="","",R1454/S1454)</f>
        <v>1.66666666666667</v>
      </c>
      <c r="U1454" s="34">
        <f>IF(E1454=1,T1454,"")</f>
        <v>1.66666666666667</v>
      </c>
      <c r="V1454" s="34" t="str">
        <f>IF(AND(E1454=1,L1454=0),T1454,"")</f>
        <v/>
      </c>
      <c r="W1454" s="33">
        <f>IF(U1454="","",IF(U1454&lt;=Breakdowns!$C$5,1,IF(U1454&lt;=Breakdowns!$C$6,2,IF(U1454&lt;=Breakdowns!$C$7,3,4))))</f>
        <v>4</v>
      </c>
      <c r="X1454" s="33" t="str">
        <f>IF(V1454="","",IF(V1454&lt;=Breakdowns!$D$5,1,IF(V1454&lt;=Breakdowns!$D$6,2,IF(V1454&lt;=Breakdowns!$D$7,3,4))))</f>
        <v/>
      </c>
      <c r="Y1454" s="34">
        <f>INDEX(Stores!$F$2:$F$21,MATCH(B1454,Stores!$A$2:$A$21,0))</f>
        <v>5.74</v>
      </c>
      <c r="Z1454" s="33">
        <f>IF(Y1454&gt;Store_Summary!$M$2,1,0)</f>
        <v>1</v>
      </c>
      <c r="AA1454" s="33">
        <f>INDEX(Stores!$C$2:$C$21,MATCH(B1454,Stores!$A$2:$A$21,0))</f>
        <v>647</v>
      </c>
      <c r="AB1454" s="33">
        <f>IF(AA1454&lt;180,1,0)</f>
        <v>0</v>
      </c>
      <c r="AC1454" s="32" t="str">
        <f>IF(Orders!D1451="","",INDEX(Riders!$C$2:$C$81,MATCH(Orders!D1451,Riders!$A$2:$A$81,0)))</f>
        <v>EV scooter</v>
      </c>
      <c r="AD1454" s="33">
        <f>IF(Orders!D1451="","",INDEX(Riders!$D$2:$D$81,MATCH(Orders!D1451,Riders!$A$2:$A$81,0)))</f>
        <v>3</v>
      </c>
      <c r="AE1454" s="33">
        <f>IF(Orders!D1451="","",IF(INDEX(Riders!$B$2:$B$81,MATCH(Orders!D1451,Riders!$A$2:$A$81,0))=B1454,1,0))</f>
        <v>0</v>
      </c>
      <c r="AF1454" s="34">
        <f>IF(E1454=1,Orders!L1451,"")</f>
        <v>0.62</v>
      </c>
      <c r="AG1454" s="34">
        <f>IF(E1454=1,Orders!P1451,"")</f>
        <v>7.4</v>
      </c>
      <c r="AH1454" s="34">
        <f>IF(E1454=1,Orders!Q1451,"")</f>
        <v>6.6</v>
      </c>
      <c r="AI1454" s="34">
        <f>IF(E1454=1,Orders!M1451,"")</f>
        <v>1.9</v>
      </c>
      <c r="AJ1454" s="34">
        <f>IF(E1454=1,Orders!N1451,"")</f>
        <v>3.5</v>
      </c>
      <c r="AK1454" s="34">
        <f>IF(E1454=1,Orders!O1451,"")</f>
        <v>1.2</v>
      </c>
      <c r="AL1454" s="33">
        <f>IF(E1454=1,IF(ROUND(ABS(AI1454+AJ1454+AK1454-AH1454),6)&lt;=0.1,1,0),"")</f>
        <v>1</v>
      </c>
      <c r="AM1454" s="36">
        <f>IF(E1454=1,AI1454/AH1454,"")</f>
        <v>0.287878787878788</v>
      </c>
      <c r="AN1454" s="36">
        <f>IF(E1454=1,AJ1454/AH1454,"")</f>
        <v>0.53030303030303</v>
      </c>
      <c r="AO1454" s="36">
        <f>IF(E1454=1,AK1454/AH1454,"")</f>
        <v>0.181818181818182</v>
      </c>
      <c r="AP1454" s="34">
        <f>IF(E1454=1,Orders!Y1451,"")</f>
        <v>0.79</v>
      </c>
      <c r="AQ1454" s="33">
        <f>IF(Orders!X1451,1,0)</f>
        <v>0</v>
      </c>
      <c r="AR1454" s="34">
        <f>IF(AND(E1454=1,L1454=1),AJ1454,"")</f>
        <v>3.5</v>
      </c>
      <c r="AS1454" s="34" t="str">
        <f>IF(AND(E1454=1,L1454=0),AJ1454,"")</f>
        <v/>
      </c>
      <c r="AT1454" s="34">
        <f>IF(AND(E1454=1,L1454=1),AI1454,"")</f>
        <v>1.9</v>
      </c>
      <c r="AU1454" s="34" t="str">
        <f>IF(AND(E1454=1,L1454=0),AI1454,"")</f>
        <v/>
      </c>
      <c r="AV1454" s="34">
        <f>IF(AND(E1454=1,L1454=1),AG1454,"")</f>
        <v>7.4</v>
      </c>
      <c r="AW1454" s="34" t="str">
        <f>IF(AND(E1454=1,L1454=0),AG1454,"")</f>
        <v/>
      </c>
      <c r="AX1454" s="34">
        <f>IF(AND(E1454=1,L1454=1),AH1454,"")</f>
        <v>6.6</v>
      </c>
      <c r="AY1454" s="34" t="str">
        <f>IF(AND(E1454=1,L1454=0),AH1454,"")</f>
        <v/>
      </c>
      <c r="AZ1454" s="34" t="str">
        <f>IF(G1454=1,F1454,"")</f>
        <v/>
      </c>
      <c r="BA1454" s="34" t="str">
        <f>IF(AND(G1454=1,L1454=1),F1454,"")</f>
        <v/>
      </c>
      <c r="BB1454" s="34" t="str">
        <f>IF(AND(G1454=1,L1454=0),F1454,"")</f>
        <v/>
      </c>
      <c r="BC1454" s="33">
        <f>IF(E1454=1,IF(Orders!R1451&gt;3,1,0),"")</f>
        <v>0</v>
      </c>
      <c r="BD1454" s="33">
        <f>IF(E1454=1,IF(Orders!R1451&gt;7,1,0),"")</f>
        <v>0</v>
      </c>
      <c r="BE1454" s="32" t="str">
        <f>IF(E1454=1,IF(Orders!L1451&lt;=1.5,"Up to 1.5 km",IF(Orders!L1451&lt;=3,"1.5–3 km","Over 3 km")),"")</f>
        <v>Up to 1.5 km</v>
      </c>
      <c r="BF1454" s="33">
        <f>IF(E1454=1,IF(ABS((Orders!G1451-Orders!F1451)*1440-Orders!R1451)&lt;0.06,1,0),"")</f>
        <v>1</v>
      </c>
      <c r="BG1454" s="33">
        <f>IF(ABS((Orders!F1451-Orders!E1451)*1440-Orders!P1451)&lt;0.06,1,0)</f>
        <v>1</v>
      </c>
      <c r="BH1454" s="33">
        <f>IF(E1454=1,IF(IF(Orders!S1451,1,0)=1-G1454,1,0),"")</f>
        <v>1</v>
      </c>
      <c r="BI1454" s="32" t="str">
        <f>INDEX(Stores!$B$2:$B$21,MATCH(B1454,Stores!$A$2:$A$21,0))</f>
        <v>Delhi</v>
      </c>
    </row>
    <row r="1455">
      <c r="A1455" s="32" t="str">
        <f>Orders!A1452</f>
        <v>O01451</v>
      </c>
      <c r="B1455" s="32" t="str">
        <f>Orders!C1452</f>
        <v>S010</v>
      </c>
      <c r="C1455" s="32" t="str">
        <f>Orders!B1452</f>
        <v>C0137</v>
      </c>
      <c r="D1455" s="32" t="str">
        <f>Orders!H1452</f>
        <v>Delivered</v>
      </c>
      <c r="E1455" s="33">
        <f>IF(Orders!H1452="Delivered",1,0)</f>
        <v>1</v>
      </c>
      <c r="F1455" s="34">
        <f>IF(E1455=1,Orders!R1452,"")</f>
        <v>-0.8</v>
      </c>
      <c r="G1455" s="33">
        <f>IF(E1455=1,IF(Orders!R1452&gt;0,1,0),"")</f>
        <v>0</v>
      </c>
      <c r="H1455" s="33">
        <f>IF(E1455=1,IF(Orders!R1452&gt;5,1,0),"")</f>
        <v>0</v>
      </c>
      <c r="I1455" s="32" t="str">
        <f>IF(E1455=1,"",IF(OR(Orders!T1452="Rider unavailable",Orders!T1452="Item unavailable"),"Company-caused","Unresolved"))</f>
        <v/>
      </c>
      <c r="J1455" s="33">
        <f>IF(OR(E1455=1,I1455="Company-caused"),1,0)</f>
        <v>1</v>
      </c>
      <c r="K1455" s="32" t="str">
        <f>IF(E1455=0,IF(I1455="Company-caused",IF(Orders!T1452="Rider unavailable","C1 Rider unavailable","C2 Item unavailable"),"Outside root: unresolved"),IF(G1455=0,"A On time",IF(H1455=1,IF(L1455=1,"B2a Severe, peak","B2b Severe, off-peak"),IF(L1455=1,"B1a Slight, peak","B1b Slight, off-peak"))))</f>
        <v>A On time</v>
      </c>
      <c r="L1455" s="33">
        <f>IF(AND(Orders!U1452&gt;=19,Orders!U1452&lt;22),1,0)</f>
        <v>0</v>
      </c>
      <c r="M1455" s="33">
        <f>IF(L1455=IF(Orders!V1452,1,0),1,0)</f>
        <v>1</v>
      </c>
      <c r="N1455" s="32" t="str">
        <f>IF(Orders!W1452="","None",Orders!W1452)</f>
        <v>None</v>
      </c>
      <c r="O1455" s="35">
        <f>INT(Orders!E1452)</f>
        <v>46266.0</v>
      </c>
      <c r="P1455" s="33">
        <f>Orders!U1452</f>
        <v>15</v>
      </c>
      <c r="Q1455" s="33">
        <f>COUNTIFS(Demand!$A$2:$A$4481,B1455,Demand!$B$2:$B$4481,O1455,Demand!$C$2:$C$4481,P1455)</f>
        <v>1</v>
      </c>
      <c r="R1455" s="33">
        <f>IF(Q1455=1,SUMIFS(Demand!$E$2:$E$4481,Demand!$A$2:$A$4481,B1455,Demand!$B$2:$B$4481,O1455,Demand!$C$2:$C$4481,P1455),"")</f>
        <v>21</v>
      </c>
      <c r="S1455" s="33">
        <f>INDEX(Stores!$G$2:$G$21,MATCH(B1455,Stores!$A$2:$A$21,0))</f>
        <v>22</v>
      </c>
      <c r="T1455" s="34">
        <f>IF(R1455="","",R1455/S1455)</f>
        <v>0.954545454545455</v>
      </c>
      <c r="U1455" s="34">
        <f>IF(E1455=1,T1455,"")</f>
        <v>0.954545454545455</v>
      </c>
      <c r="V1455" s="34">
        <f>IF(AND(E1455=1,L1455=0),T1455,"")</f>
        <v>0.954545454545455</v>
      </c>
      <c r="W1455" s="33">
        <f>IF(U1455="","",IF(U1455&lt;=Breakdowns!$C$5,1,IF(U1455&lt;=Breakdowns!$C$6,2,IF(U1455&lt;=Breakdowns!$C$7,3,4))))</f>
        <v>2</v>
      </c>
      <c r="X1455" s="33">
        <f>IF(V1455="","",IF(V1455&lt;=Breakdowns!$D$5,1,IF(V1455&lt;=Breakdowns!$D$6,2,IF(V1455&lt;=Breakdowns!$D$7,3,4))))</f>
        <v>3</v>
      </c>
      <c r="Y1455" s="34">
        <f>INDEX(Stores!$F$2:$F$21,MATCH(B1455,Stores!$A$2:$A$21,0))</f>
        <v>5.61</v>
      </c>
      <c r="Z1455" s="33">
        <f>IF(Y1455&gt;Store_Summary!$M$2,1,0)</f>
        <v>1</v>
      </c>
      <c r="AA1455" s="33">
        <f>INDEX(Stores!$C$2:$C$21,MATCH(B1455,Stores!$A$2:$A$21,0))</f>
        <v>744</v>
      </c>
      <c r="AB1455" s="33">
        <f>IF(AA1455&lt;180,1,0)</f>
        <v>0</v>
      </c>
      <c r="AC1455" s="32" t="str">
        <f>IF(Orders!D1452="","",INDEX(Riders!$C$2:$C$81,MATCH(Orders!D1452,Riders!$A$2:$A$81,0)))</f>
        <v>EV scooter</v>
      </c>
      <c r="AD1455" s="33">
        <f>IF(Orders!D1452="","",INDEX(Riders!$D$2:$D$81,MATCH(Orders!D1452,Riders!$A$2:$A$81,0)))</f>
        <v>14</v>
      </c>
      <c r="AE1455" s="33">
        <f>IF(Orders!D1452="","",IF(INDEX(Riders!$B$2:$B$81,MATCH(Orders!D1452,Riders!$A$2:$A$81,0))=B1455,1,0))</f>
        <v>0</v>
      </c>
      <c r="AF1455" s="34">
        <f>IF(E1455=1,Orders!L1452,"")</f>
        <v>2.23</v>
      </c>
      <c r="AG1455" s="34">
        <f>IF(E1455=1,Orders!P1452,"")</f>
        <v>9.9</v>
      </c>
      <c r="AH1455" s="34">
        <f>IF(E1455=1,Orders!Q1452,"")</f>
        <v>9.1</v>
      </c>
      <c r="AI1455" s="34">
        <f>IF(E1455=1,Orders!M1452,"")</f>
        <v>3.2</v>
      </c>
      <c r="AJ1455" s="34">
        <f>IF(E1455=1,Orders!N1452,"")</f>
        <v>2.5</v>
      </c>
      <c r="AK1455" s="34">
        <f>IF(E1455=1,Orders!O1452,"")</f>
        <v>3.4</v>
      </c>
      <c r="AL1455" s="33">
        <f>IF(E1455=1,IF(ROUND(ABS(AI1455+AJ1455+AK1455-AH1455),6)&lt;=0.1,1,0),"")</f>
        <v>1</v>
      </c>
      <c r="AM1455" s="36">
        <f>IF(E1455=1,AI1455/AH1455,"")</f>
        <v>0.351648351648352</v>
      </c>
      <c r="AN1455" s="36">
        <f>IF(E1455=1,AJ1455/AH1455,"")</f>
        <v>0.274725274725275</v>
      </c>
      <c r="AO1455" s="36">
        <f>IF(E1455=1,AK1455/AH1455,"")</f>
        <v>0.373626373626374</v>
      </c>
      <c r="AP1455" s="34">
        <f>IF(E1455=1,Orders!Y1452,"")</f>
        <v>0.2</v>
      </c>
      <c r="AQ1455" s="33">
        <f>IF(Orders!X1452,1,0)</f>
        <v>0</v>
      </c>
      <c r="AR1455" s="34" t="str">
        <f>IF(AND(E1455=1,L1455=1),AJ1455,"")</f>
        <v/>
      </c>
      <c r="AS1455" s="34">
        <f>IF(AND(E1455=1,L1455=0),AJ1455,"")</f>
        <v>2.5</v>
      </c>
      <c r="AT1455" s="34" t="str">
        <f>IF(AND(E1455=1,L1455=1),AI1455,"")</f>
        <v/>
      </c>
      <c r="AU1455" s="34">
        <f>IF(AND(E1455=1,L1455=0),AI1455,"")</f>
        <v>3.2</v>
      </c>
      <c r="AV1455" s="34" t="str">
        <f>IF(AND(E1455=1,L1455=1),AG1455,"")</f>
        <v/>
      </c>
      <c r="AW1455" s="34">
        <f>IF(AND(E1455=1,L1455=0),AG1455,"")</f>
        <v>9.9</v>
      </c>
      <c r="AX1455" s="34" t="str">
        <f>IF(AND(E1455=1,L1455=1),AH1455,"")</f>
        <v/>
      </c>
      <c r="AY1455" s="34">
        <f>IF(AND(E1455=1,L1455=0),AH1455,"")</f>
        <v>9.1</v>
      </c>
      <c r="AZ1455" s="34" t="str">
        <f>IF(G1455=1,F1455,"")</f>
        <v/>
      </c>
      <c r="BA1455" s="34" t="str">
        <f>IF(AND(G1455=1,L1455=1),F1455,"")</f>
        <v/>
      </c>
      <c r="BB1455" s="34" t="str">
        <f>IF(AND(G1455=1,L1455=0),F1455,"")</f>
        <v/>
      </c>
      <c r="BC1455" s="33">
        <f>IF(E1455=1,IF(Orders!R1452&gt;3,1,0),"")</f>
        <v>0</v>
      </c>
      <c r="BD1455" s="33">
        <f>IF(E1455=1,IF(Orders!R1452&gt;7,1,0),"")</f>
        <v>0</v>
      </c>
      <c r="BE1455" s="32" t="str">
        <f>IF(E1455=1,IF(Orders!L1452&lt;=1.5,"Up to 1.5 km",IF(Orders!L1452&lt;=3,"1.5–3 km","Over 3 km")),"")</f>
        <v>1.5–3 km</v>
      </c>
      <c r="BF1455" s="33">
        <f>IF(E1455=1,IF(ABS((Orders!G1452-Orders!F1452)*1440-Orders!R1452)&lt;0.06,1,0),"")</f>
        <v>1</v>
      </c>
      <c r="BG1455" s="33">
        <f>IF(ABS((Orders!F1452-Orders!E1452)*1440-Orders!P1452)&lt;0.06,1,0)</f>
        <v>1</v>
      </c>
      <c r="BH1455" s="33">
        <f>IF(E1455=1,IF(IF(Orders!S1452,1,0)=1-G1455,1,0),"")</f>
        <v>1</v>
      </c>
      <c r="BI1455" s="32" t="str">
        <f>INDEX(Stores!$B$2:$B$21,MATCH(B1455,Stores!$A$2:$A$21,0))</f>
        <v>Delhi</v>
      </c>
    </row>
    <row r="1456">
      <c r="A1456" s="32" t="str">
        <f>Orders!A1453</f>
        <v>O01452</v>
      </c>
      <c r="B1456" s="32" t="str">
        <f>Orders!C1453</f>
        <v>S001</v>
      </c>
      <c r="C1456" s="32" t="str">
        <f>Orders!B1453</f>
        <v>C0082</v>
      </c>
      <c r="D1456" s="32" t="str">
        <f>Orders!H1453</f>
        <v>Delivered</v>
      </c>
      <c r="E1456" s="33">
        <f>IF(Orders!H1453="Delivered",1,0)</f>
        <v>1</v>
      </c>
      <c r="F1456" s="34">
        <f>IF(E1456=1,Orders!R1453,"")</f>
        <v>-0.9</v>
      </c>
      <c r="G1456" s="33">
        <f>IF(E1456=1,IF(Orders!R1453&gt;0,1,0),"")</f>
        <v>0</v>
      </c>
      <c r="H1456" s="33">
        <f>IF(E1456=1,IF(Orders!R1453&gt;5,1,0),"")</f>
        <v>0</v>
      </c>
      <c r="I1456" s="32" t="str">
        <f>IF(E1456=1,"",IF(OR(Orders!T1453="Rider unavailable",Orders!T1453="Item unavailable"),"Company-caused","Unresolved"))</f>
        <v/>
      </c>
      <c r="J1456" s="33">
        <f>IF(OR(E1456=1,I1456="Company-caused"),1,0)</f>
        <v>1</v>
      </c>
      <c r="K1456" s="32" t="str">
        <f>IF(E1456=0,IF(I1456="Company-caused",IF(Orders!T1453="Rider unavailable","C1 Rider unavailable","C2 Item unavailable"),"Outside root: unresolved"),IF(G1456=0,"A On time",IF(H1456=1,IF(L1456=1,"B2a Severe, peak","B2b Severe, off-peak"),IF(L1456=1,"B1a Slight, peak","B1b Slight, off-peak"))))</f>
        <v>A On time</v>
      </c>
      <c r="L1456" s="33">
        <f>IF(AND(Orders!U1453&gt;=19,Orders!U1453&lt;22),1,0)</f>
        <v>0</v>
      </c>
      <c r="M1456" s="33">
        <f>IF(L1456=IF(Orders!V1453,1,0),1,0)</f>
        <v>1</v>
      </c>
      <c r="N1456" s="32" t="str">
        <f>IF(Orders!W1453="","None",Orders!W1453)</f>
        <v>None</v>
      </c>
      <c r="O1456" s="35">
        <f>INT(Orders!E1453)</f>
        <v>46268.0</v>
      </c>
      <c r="P1456" s="33">
        <f>Orders!U1453</f>
        <v>8</v>
      </c>
      <c r="Q1456" s="33">
        <f>COUNTIFS(Demand!$A$2:$A$4481,B1456,Demand!$B$2:$B$4481,O1456,Demand!$C$2:$C$4481,P1456)</f>
        <v>1</v>
      </c>
      <c r="R1456" s="33">
        <f>IF(Q1456=1,SUMIFS(Demand!$E$2:$E$4481,Demand!$A$2:$A$4481,B1456,Demand!$B$2:$B$4481,O1456,Demand!$C$2:$C$4481,P1456),"")</f>
        <v>13</v>
      </c>
      <c r="S1456" s="33">
        <f>INDEX(Stores!$G$2:$G$21,MATCH(B1456,Stores!$A$2:$A$21,0))</f>
        <v>16</v>
      </c>
      <c r="T1456" s="34">
        <f>IF(R1456="","",R1456/S1456)</f>
        <v>0.8125</v>
      </c>
      <c r="U1456" s="34">
        <f>IF(E1456=1,T1456,"")</f>
        <v>0.8125</v>
      </c>
      <c r="V1456" s="34">
        <f>IF(AND(E1456=1,L1456=0),T1456,"")</f>
        <v>0.8125</v>
      </c>
      <c r="W1456" s="33">
        <f>IF(U1456="","",IF(U1456&lt;=Breakdowns!$C$5,1,IF(U1456&lt;=Breakdowns!$C$6,2,IF(U1456&lt;=Breakdowns!$C$7,3,4))))</f>
        <v>2</v>
      </c>
      <c r="X1456" s="33">
        <f>IF(V1456="","",IF(V1456&lt;=Breakdowns!$D$5,1,IF(V1456&lt;=Breakdowns!$D$6,2,IF(V1456&lt;=Breakdowns!$D$7,3,4))))</f>
        <v>2</v>
      </c>
      <c r="Y1456" s="34">
        <f>INDEX(Stores!$F$2:$F$21,MATCH(B1456,Stores!$A$2:$A$21,0))</f>
        <v>4.59</v>
      </c>
      <c r="Z1456" s="33">
        <f>IF(Y1456&gt;Store_Summary!$M$2,1,0)</f>
        <v>0</v>
      </c>
      <c r="AA1456" s="33">
        <f>INDEX(Stores!$C$2:$C$21,MATCH(B1456,Stores!$A$2:$A$21,0))</f>
        <v>362</v>
      </c>
      <c r="AB1456" s="33">
        <f>IF(AA1456&lt;180,1,0)</f>
        <v>0</v>
      </c>
      <c r="AC1456" s="32" t="str">
        <f>IF(Orders!D1453="","",INDEX(Riders!$C$2:$C$81,MATCH(Orders!D1453,Riders!$A$2:$A$81,0)))</f>
        <v>EV scooter</v>
      </c>
      <c r="AD1456" s="33">
        <f>IF(Orders!D1453="","",INDEX(Riders!$D$2:$D$81,MATCH(Orders!D1453,Riders!$A$2:$A$81,0)))</f>
        <v>11</v>
      </c>
      <c r="AE1456" s="33">
        <f>IF(Orders!D1453="","",IF(INDEX(Riders!$B$2:$B$81,MATCH(Orders!D1453,Riders!$A$2:$A$81,0))=B1456,1,0))</f>
        <v>0</v>
      </c>
      <c r="AF1456" s="34">
        <f>IF(E1456=1,Orders!L1453,"")</f>
        <v>0.98</v>
      </c>
      <c r="AG1456" s="34">
        <f>IF(E1456=1,Orders!P1453,"")</f>
        <v>12</v>
      </c>
      <c r="AH1456" s="34">
        <f>IF(E1456=1,Orders!Q1453,"")</f>
        <v>11.1</v>
      </c>
      <c r="AI1456" s="34">
        <f>IF(E1456=1,Orders!M1453,"")</f>
        <v>3.8</v>
      </c>
      <c r="AJ1456" s="34">
        <f>IF(E1456=1,Orders!N1453,"")</f>
        <v>3.7</v>
      </c>
      <c r="AK1456" s="34">
        <f>IF(E1456=1,Orders!O1453,"")</f>
        <v>3.6</v>
      </c>
      <c r="AL1456" s="33">
        <f>IF(E1456=1,IF(ROUND(ABS(AI1456+AJ1456+AK1456-AH1456),6)&lt;=0.1,1,0),"")</f>
        <v>1</v>
      </c>
      <c r="AM1456" s="36">
        <f>IF(E1456=1,AI1456/AH1456,"")</f>
        <v>0.342342342342342</v>
      </c>
      <c r="AN1456" s="36">
        <f>IF(E1456=1,AJ1456/AH1456,"")</f>
        <v>0.333333333333333</v>
      </c>
      <c r="AO1456" s="36">
        <f>IF(E1456=1,AK1456/AH1456,"")</f>
        <v>0.324324324324324</v>
      </c>
      <c r="AP1456" s="34">
        <f>IF(E1456=1,Orders!Y1453,"")</f>
        <v>0.44</v>
      </c>
      <c r="AQ1456" s="33">
        <f>IF(Orders!X1453,1,0)</f>
        <v>0</v>
      </c>
      <c r="AR1456" s="34" t="str">
        <f>IF(AND(E1456=1,L1456=1),AJ1456,"")</f>
        <v/>
      </c>
      <c r="AS1456" s="34">
        <f>IF(AND(E1456=1,L1456=0),AJ1456,"")</f>
        <v>3.7</v>
      </c>
      <c r="AT1456" s="34" t="str">
        <f>IF(AND(E1456=1,L1456=1),AI1456,"")</f>
        <v/>
      </c>
      <c r="AU1456" s="34">
        <f>IF(AND(E1456=1,L1456=0),AI1456,"")</f>
        <v>3.8</v>
      </c>
      <c r="AV1456" s="34" t="str">
        <f>IF(AND(E1456=1,L1456=1),AG1456,"")</f>
        <v/>
      </c>
      <c r="AW1456" s="34">
        <f>IF(AND(E1456=1,L1456=0),AG1456,"")</f>
        <v>12</v>
      </c>
      <c r="AX1456" s="34" t="str">
        <f>IF(AND(E1456=1,L1456=1),AH1456,"")</f>
        <v/>
      </c>
      <c r="AY1456" s="34">
        <f>IF(AND(E1456=1,L1456=0),AH1456,"")</f>
        <v>11.1</v>
      </c>
      <c r="AZ1456" s="34" t="str">
        <f>IF(G1456=1,F1456,"")</f>
        <v/>
      </c>
      <c r="BA1456" s="34" t="str">
        <f>IF(AND(G1456=1,L1456=1),F1456,"")</f>
        <v/>
      </c>
      <c r="BB1456" s="34" t="str">
        <f>IF(AND(G1456=1,L1456=0),F1456,"")</f>
        <v/>
      </c>
      <c r="BC1456" s="33">
        <f>IF(E1456=1,IF(Orders!R1453&gt;3,1,0),"")</f>
        <v>0</v>
      </c>
      <c r="BD1456" s="33">
        <f>IF(E1456=1,IF(Orders!R1453&gt;7,1,0),"")</f>
        <v>0</v>
      </c>
      <c r="BE1456" s="32" t="str">
        <f>IF(E1456=1,IF(Orders!L1453&lt;=1.5,"Up to 1.5 km",IF(Orders!L1453&lt;=3,"1.5–3 km","Over 3 km")),"")</f>
        <v>Up to 1.5 km</v>
      </c>
      <c r="BF1456" s="33">
        <f>IF(E1456=1,IF(ABS((Orders!G1453-Orders!F1453)*1440-Orders!R1453)&lt;0.06,1,0),"")</f>
        <v>1</v>
      </c>
      <c r="BG1456" s="33">
        <f>IF(ABS((Orders!F1453-Orders!E1453)*1440-Orders!P1453)&lt;0.06,1,0)</f>
        <v>1</v>
      </c>
      <c r="BH1456" s="33">
        <f>IF(E1456=1,IF(IF(Orders!S1453,1,0)=1-G1456,1,0),"")</f>
        <v>1</v>
      </c>
      <c r="BI1456" s="32" t="str">
        <f>INDEX(Stores!$B$2:$B$21,MATCH(B1456,Stores!$A$2:$A$21,0))</f>
        <v>Bengaluru</v>
      </c>
    </row>
    <row r="1457">
      <c r="A1457" s="32" t="str">
        <f>Orders!A1454</f>
        <v>O01453</v>
      </c>
      <c r="B1457" s="32" t="str">
        <f>Orders!C1454</f>
        <v>S002</v>
      </c>
      <c r="C1457" s="32" t="str">
        <f>Orders!B1454</f>
        <v>C0067</v>
      </c>
      <c r="D1457" s="32" t="str">
        <f>Orders!H1454</f>
        <v>Delivered</v>
      </c>
      <c r="E1457" s="33">
        <f>IF(Orders!H1454="Delivered",1,0)</f>
        <v>1</v>
      </c>
      <c r="F1457" s="34">
        <f>IF(E1457=1,Orders!R1454,"")</f>
        <v>3.3</v>
      </c>
      <c r="G1457" s="33">
        <f>IF(E1457=1,IF(Orders!R1454&gt;0,1,0),"")</f>
        <v>1</v>
      </c>
      <c r="H1457" s="33">
        <f>IF(E1457=1,IF(Orders!R1454&gt;5,1,0),"")</f>
        <v>0</v>
      </c>
      <c r="I1457" s="32" t="str">
        <f>IF(E1457=1,"",IF(OR(Orders!T1454="Rider unavailable",Orders!T1454="Item unavailable"),"Company-caused","Unresolved"))</f>
        <v/>
      </c>
      <c r="J1457" s="33">
        <f>IF(OR(E1457=1,I1457="Company-caused"),1,0)</f>
        <v>1</v>
      </c>
      <c r="K1457" s="32" t="str">
        <f>IF(E1457=0,IF(I1457="Company-caused",IF(Orders!T1454="Rider unavailable","C1 Rider unavailable","C2 Item unavailable"),"Outside root: unresolved"),IF(G1457=0,"A On time",IF(H1457=1,IF(L1457=1,"B2a Severe, peak","B2b Severe, off-peak"),IF(L1457=1,"B1a Slight, peak","B1b Slight, off-peak"))))</f>
        <v>B1b Slight, off-peak</v>
      </c>
      <c r="L1457" s="33">
        <f>IF(AND(Orders!U1454&gt;=19,Orders!U1454&lt;22),1,0)</f>
        <v>0</v>
      </c>
      <c r="M1457" s="33">
        <f>IF(L1457=IF(Orders!V1454,1,0),1,0)</f>
        <v>1</v>
      </c>
      <c r="N1457" s="32" t="str">
        <f>IF(Orders!W1454="","None",Orders!W1454)</f>
        <v>None</v>
      </c>
      <c r="O1457" s="35">
        <f>INT(Orders!E1454)</f>
        <v>46270.0</v>
      </c>
      <c r="P1457" s="33">
        <f>Orders!U1454</f>
        <v>13</v>
      </c>
      <c r="Q1457" s="33">
        <f>COUNTIFS(Demand!$A$2:$A$4481,B1457,Demand!$B$2:$B$4481,O1457,Demand!$C$2:$C$4481,P1457)</f>
        <v>1</v>
      </c>
      <c r="R1457" s="33">
        <f>IF(Q1457=1,SUMIFS(Demand!$E$2:$E$4481,Demand!$A$2:$A$4481,B1457,Demand!$B$2:$B$4481,O1457,Demand!$C$2:$C$4481,P1457),"")</f>
        <v>30</v>
      </c>
      <c r="S1457" s="33">
        <f>INDEX(Stores!$G$2:$G$21,MATCH(B1457,Stores!$A$2:$A$21,0))</f>
        <v>33</v>
      </c>
      <c r="T1457" s="34">
        <f>IF(R1457="","",R1457/S1457)</f>
        <v>0.909090909090909</v>
      </c>
      <c r="U1457" s="34">
        <f>IF(E1457=1,T1457,"")</f>
        <v>0.909090909090909</v>
      </c>
      <c r="V1457" s="34">
        <f>IF(AND(E1457=1,L1457=0),T1457,"")</f>
        <v>0.909090909090909</v>
      </c>
      <c r="W1457" s="33">
        <f>IF(U1457="","",IF(U1457&lt;=Breakdowns!$C$5,1,IF(U1457&lt;=Breakdowns!$C$6,2,IF(U1457&lt;=Breakdowns!$C$7,3,4))))</f>
        <v>2</v>
      </c>
      <c r="X1457" s="33">
        <f>IF(V1457="","",IF(V1457&lt;=Breakdowns!$D$5,1,IF(V1457&lt;=Breakdowns!$D$6,2,IF(V1457&lt;=Breakdowns!$D$7,3,4))))</f>
        <v>2</v>
      </c>
      <c r="Y1457" s="34">
        <f>INDEX(Stores!$F$2:$F$21,MATCH(B1457,Stores!$A$2:$A$21,0))</f>
        <v>2.39</v>
      </c>
      <c r="Z1457" s="33">
        <f>IF(Y1457&gt;Store_Summary!$M$2,1,0)</f>
        <v>0</v>
      </c>
      <c r="AA1457" s="33">
        <f>INDEX(Stores!$C$2:$C$21,MATCH(B1457,Stores!$A$2:$A$21,0))</f>
        <v>470</v>
      </c>
      <c r="AB1457" s="33">
        <f>IF(AA1457&lt;180,1,0)</f>
        <v>0</v>
      </c>
      <c r="AC1457" s="32" t="str">
        <f>IF(Orders!D1454="","",INDEX(Riders!$C$2:$C$81,MATCH(Orders!D1454,Riders!$A$2:$A$81,0)))</f>
        <v>EV scooter</v>
      </c>
      <c r="AD1457" s="33">
        <f>IF(Orders!D1454="","",INDEX(Riders!$D$2:$D$81,MATCH(Orders!D1454,Riders!$A$2:$A$81,0)))</f>
        <v>18</v>
      </c>
      <c r="AE1457" s="33">
        <f>IF(Orders!D1454="","",IF(INDEX(Riders!$B$2:$B$81,MATCH(Orders!D1454,Riders!$A$2:$A$81,0))=B1457,1,0))</f>
        <v>0</v>
      </c>
      <c r="AF1457" s="34">
        <f>IF(E1457=1,Orders!L1454,"")</f>
        <v>1.88</v>
      </c>
      <c r="AG1457" s="34">
        <f>IF(E1457=1,Orders!P1454,"")</f>
        <v>11</v>
      </c>
      <c r="AH1457" s="34">
        <f>IF(E1457=1,Orders!Q1454,"")</f>
        <v>14.3</v>
      </c>
      <c r="AI1457" s="34">
        <f>IF(E1457=1,Orders!M1454,"")</f>
        <v>3.7</v>
      </c>
      <c r="AJ1457" s="34">
        <f>IF(E1457=1,Orders!N1454,"")</f>
        <v>4.6</v>
      </c>
      <c r="AK1457" s="34">
        <f>IF(E1457=1,Orders!O1454,"")</f>
        <v>6.1</v>
      </c>
      <c r="AL1457" s="33">
        <f>IF(E1457=1,IF(ROUND(ABS(AI1457+AJ1457+AK1457-AH1457),6)&lt;=0.1,1,0),"")</f>
        <v>1</v>
      </c>
      <c r="AM1457" s="36">
        <f>IF(E1457=1,AI1457/AH1457,"")</f>
        <v>0.258741258741259</v>
      </c>
      <c r="AN1457" s="36">
        <f>IF(E1457=1,AJ1457/AH1457,"")</f>
        <v>0.321678321678322</v>
      </c>
      <c r="AO1457" s="36">
        <f>IF(E1457=1,AK1457/AH1457,"")</f>
        <v>0.426573426573427</v>
      </c>
      <c r="AP1457" s="34">
        <f>IF(E1457=1,Orders!Y1454,"")</f>
        <v>0.51</v>
      </c>
      <c r="AQ1457" s="33">
        <f>IF(Orders!X1454,1,0)</f>
        <v>0</v>
      </c>
      <c r="AR1457" s="34" t="str">
        <f>IF(AND(E1457=1,L1457=1),AJ1457,"")</f>
        <v/>
      </c>
      <c r="AS1457" s="34">
        <f>IF(AND(E1457=1,L1457=0),AJ1457,"")</f>
        <v>4.6</v>
      </c>
      <c r="AT1457" s="34" t="str">
        <f>IF(AND(E1457=1,L1457=1),AI1457,"")</f>
        <v/>
      </c>
      <c r="AU1457" s="34">
        <f>IF(AND(E1457=1,L1457=0),AI1457,"")</f>
        <v>3.7</v>
      </c>
      <c r="AV1457" s="34" t="str">
        <f>IF(AND(E1457=1,L1457=1),AG1457,"")</f>
        <v/>
      </c>
      <c r="AW1457" s="34">
        <f>IF(AND(E1457=1,L1457=0),AG1457,"")</f>
        <v>11</v>
      </c>
      <c r="AX1457" s="34" t="str">
        <f>IF(AND(E1457=1,L1457=1),AH1457,"")</f>
        <v/>
      </c>
      <c r="AY1457" s="34">
        <f>IF(AND(E1457=1,L1457=0),AH1457,"")</f>
        <v>14.3</v>
      </c>
      <c r="AZ1457" s="34">
        <f>IF(G1457=1,F1457,"")</f>
        <v>3.3</v>
      </c>
      <c r="BA1457" s="34" t="str">
        <f>IF(AND(G1457=1,L1457=1),F1457,"")</f>
        <v/>
      </c>
      <c r="BB1457" s="34">
        <f>IF(AND(G1457=1,L1457=0),F1457,"")</f>
        <v>3.3</v>
      </c>
      <c r="BC1457" s="33">
        <f>IF(E1457=1,IF(Orders!R1454&gt;3,1,0),"")</f>
        <v>1</v>
      </c>
      <c r="BD1457" s="33">
        <f>IF(E1457=1,IF(Orders!R1454&gt;7,1,0),"")</f>
        <v>0</v>
      </c>
      <c r="BE1457" s="32" t="str">
        <f>IF(E1457=1,IF(Orders!L1454&lt;=1.5,"Up to 1.5 km",IF(Orders!L1454&lt;=3,"1.5–3 km","Over 3 km")),"")</f>
        <v>1.5–3 km</v>
      </c>
      <c r="BF1457" s="33">
        <f>IF(E1457=1,IF(ABS((Orders!G1454-Orders!F1454)*1440-Orders!R1454)&lt;0.06,1,0),"")</f>
        <v>1</v>
      </c>
      <c r="BG1457" s="33">
        <f>IF(ABS((Orders!F1454-Orders!E1454)*1440-Orders!P1454)&lt;0.06,1,0)</f>
        <v>1</v>
      </c>
      <c r="BH1457" s="33">
        <f>IF(E1457=1,IF(IF(Orders!S1454,1,0)=1-G1457,1,0),"")</f>
        <v>1</v>
      </c>
      <c r="BI1457" s="32" t="str">
        <f>INDEX(Stores!$B$2:$B$21,MATCH(B1457,Stores!$A$2:$A$21,0))</f>
        <v>Hyderabad</v>
      </c>
    </row>
    <row r="1458">
      <c r="A1458" s="32" t="str">
        <f>Orders!A1455</f>
        <v>O01454</v>
      </c>
      <c r="B1458" s="32" t="str">
        <f>Orders!C1455</f>
        <v>S006</v>
      </c>
      <c r="C1458" s="32" t="str">
        <f>Orders!B1455</f>
        <v>C0196</v>
      </c>
      <c r="D1458" s="32" t="str">
        <f>Orders!H1455</f>
        <v>Delivered</v>
      </c>
      <c r="E1458" s="33">
        <f>IF(Orders!H1455="Delivered",1,0)</f>
        <v>1</v>
      </c>
      <c r="F1458" s="34">
        <f>IF(E1458=1,Orders!R1455,"")</f>
        <v>-0.8</v>
      </c>
      <c r="G1458" s="33">
        <f>IF(E1458=1,IF(Orders!R1455&gt;0,1,0),"")</f>
        <v>0</v>
      </c>
      <c r="H1458" s="33">
        <f>IF(E1458=1,IF(Orders!R1455&gt;5,1,0),"")</f>
        <v>0</v>
      </c>
      <c r="I1458" s="32" t="str">
        <f>IF(E1458=1,"",IF(OR(Orders!T1455="Rider unavailable",Orders!T1455="Item unavailable"),"Company-caused","Unresolved"))</f>
        <v/>
      </c>
      <c r="J1458" s="33">
        <f>IF(OR(E1458=1,I1458="Company-caused"),1,0)</f>
        <v>1</v>
      </c>
      <c r="K1458" s="32" t="str">
        <f>IF(E1458=0,IF(I1458="Company-caused",IF(Orders!T1455="Rider unavailable","C1 Rider unavailable","C2 Item unavailable"),"Outside root: unresolved"),IF(G1458=0,"A On time",IF(H1458=1,IF(L1458=1,"B2a Severe, peak","B2b Severe, off-peak"),IF(L1458=1,"B1a Slight, peak","B1b Slight, off-peak"))))</f>
        <v>A On time</v>
      </c>
      <c r="L1458" s="33">
        <f>IF(AND(Orders!U1455&gt;=19,Orders!U1455&lt;22),1,0)</f>
        <v>0</v>
      </c>
      <c r="M1458" s="33">
        <f>IF(L1458=IF(Orders!V1455,1,0),1,0)</f>
        <v>1</v>
      </c>
      <c r="N1458" s="32" t="str">
        <f>IF(Orders!W1455="","None",Orders!W1455)</f>
        <v>Light</v>
      </c>
      <c r="O1458" s="35">
        <f>INT(Orders!E1455)</f>
        <v>46267.0</v>
      </c>
      <c r="P1458" s="33">
        <f>Orders!U1455</f>
        <v>12</v>
      </c>
      <c r="Q1458" s="33">
        <f>COUNTIFS(Demand!$A$2:$A$4481,B1458,Demand!$B$2:$B$4481,O1458,Demand!$C$2:$C$4481,P1458)</f>
        <v>1</v>
      </c>
      <c r="R1458" s="33">
        <f>IF(Q1458=1,SUMIFS(Demand!$E$2:$E$4481,Demand!$A$2:$A$4481,B1458,Demand!$B$2:$B$4481,O1458,Demand!$C$2:$C$4481,P1458),"")</f>
        <v>25</v>
      </c>
      <c r="S1458" s="33">
        <f>INDEX(Stores!$G$2:$G$21,MATCH(B1458,Stores!$A$2:$A$21,0))</f>
        <v>26</v>
      </c>
      <c r="T1458" s="34">
        <f>IF(R1458="","",R1458/S1458)</f>
        <v>0.961538461538462</v>
      </c>
      <c r="U1458" s="34">
        <f>IF(E1458=1,T1458,"")</f>
        <v>0.961538461538462</v>
      </c>
      <c r="V1458" s="34">
        <f>IF(AND(E1458=1,L1458=0),T1458,"")</f>
        <v>0.961538461538462</v>
      </c>
      <c r="W1458" s="33">
        <f>IF(U1458="","",IF(U1458&lt;=Breakdowns!$C$5,1,IF(U1458&lt;=Breakdowns!$C$6,2,IF(U1458&lt;=Breakdowns!$C$7,3,4))))</f>
        <v>2</v>
      </c>
      <c r="X1458" s="33">
        <f>IF(V1458="","",IF(V1458&lt;=Breakdowns!$D$5,1,IF(V1458&lt;=Breakdowns!$D$6,2,IF(V1458&lt;=Breakdowns!$D$7,3,4))))</f>
        <v>3</v>
      </c>
      <c r="Y1458" s="34">
        <f>INDEX(Stores!$F$2:$F$21,MATCH(B1458,Stores!$A$2:$A$21,0))</f>
        <v>5.22</v>
      </c>
      <c r="Z1458" s="33">
        <f>IF(Y1458&gt;Store_Summary!$M$2,1,0)</f>
        <v>1</v>
      </c>
      <c r="AA1458" s="33">
        <f>INDEX(Stores!$C$2:$C$21,MATCH(B1458,Stores!$A$2:$A$21,0))</f>
        <v>412</v>
      </c>
      <c r="AB1458" s="33">
        <f>IF(AA1458&lt;180,1,0)</f>
        <v>0</v>
      </c>
      <c r="AC1458" s="32" t="str">
        <f>IF(Orders!D1455="","",INDEX(Riders!$C$2:$C$81,MATCH(Orders!D1455,Riders!$A$2:$A$81,0)))</f>
        <v>EV scooter</v>
      </c>
      <c r="AD1458" s="33">
        <f>IF(Orders!D1455="","",INDEX(Riders!$D$2:$D$81,MATCH(Orders!D1455,Riders!$A$2:$A$81,0)))</f>
        <v>21</v>
      </c>
      <c r="AE1458" s="33">
        <f>IF(Orders!D1455="","",IF(INDEX(Riders!$B$2:$B$81,MATCH(Orders!D1455,Riders!$A$2:$A$81,0))=B1458,1,0))</f>
        <v>0</v>
      </c>
      <c r="AF1458" s="34">
        <f>IF(E1458=1,Orders!L1455,"")</f>
        <v>0.5</v>
      </c>
      <c r="AG1458" s="34">
        <f>IF(E1458=1,Orders!P1455,"")</f>
        <v>9.2</v>
      </c>
      <c r="AH1458" s="34">
        <f>IF(E1458=1,Orders!Q1455,"")</f>
        <v>8.4</v>
      </c>
      <c r="AI1458" s="34">
        <f>IF(E1458=1,Orders!M1455,"")</f>
        <v>3.2</v>
      </c>
      <c r="AJ1458" s="34">
        <f>IF(E1458=1,Orders!N1455,"")</f>
        <v>3.9</v>
      </c>
      <c r="AK1458" s="34">
        <f>IF(E1458=1,Orders!O1455,"")</f>
        <v>1.3</v>
      </c>
      <c r="AL1458" s="33">
        <f>IF(E1458=1,IF(ROUND(ABS(AI1458+AJ1458+AK1458-AH1458),6)&lt;=0.1,1,0),"")</f>
        <v>1</v>
      </c>
      <c r="AM1458" s="36">
        <f>IF(E1458=1,AI1458/AH1458,"")</f>
        <v>0.380952380952381</v>
      </c>
      <c r="AN1458" s="36">
        <f>IF(E1458=1,AJ1458/AH1458,"")</f>
        <v>0.464285714285714</v>
      </c>
      <c r="AO1458" s="36">
        <f>IF(E1458=1,AK1458/AH1458,"")</f>
        <v>0.154761904761905</v>
      </c>
      <c r="AP1458" s="34">
        <f>IF(E1458=1,Orders!Y1455,"")</f>
        <v>0.32</v>
      </c>
      <c r="AQ1458" s="33">
        <f>IF(Orders!X1455,1,0)</f>
        <v>0</v>
      </c>
      <c r="AR1458" s="34" t="str">
        <f>IF(AND(E1458=1,L1458=1),AJ1458,"")</f>
        <v/>
      </c>
      <c r="AS1458" s="34">
        <f>IF(AND(E1458=1,L1458=0),AJ1458,"")</f>
        <v>3.9</v>
      </c>
      <c r="AT1458" s="34" t="str">
        <f>IF(AND(E1458=1,L1458=1),AI1458,"")</f>
        <v/>
      </c>
      <c r="AU1458" s="34">
        <f>IF(AND(E1458=1,L1458=0),AI1458,"")</f>
        <v>3.2</v>
      </c>
      <c r="AV1458" s="34" t="str">
        <f>IF(AND(E1458=1,L1458=1),AG1458,"")</f>
        <v/>
      </c>
      <c r="AW1458" s="34">
        <f>IF(AND(E1458=1,L1458=0),AG1458,"")</f>
        <v>9.2</v>
      </c>
      <c r="AX1458" s="34" t="str">
        <f>IF(AND(E1458=1,L1458=1),AH1458,"")</f>
        <v/>
      </c>
      <c r="AY1458" s="34">
        <f>IF(AND(E1458=1,L1458=0),AH1458,"")</f>
        <v>8.4</v>
      </c>
      <c r="AZ1458" s="34" t="str">
        <f>IF(G1458=1,F1458,"")</f>
        <v/>
      </c>
      <c r="BA1458" s="34" t="str">
        <f>IF(AND(G1458=1,L1458=1),F1458,"")</f>
        <v/>
      </c>
      <c r="BB1458" s="34" t="str">
        <f>IF(AND(G1458=1,L1458=0),F1458,"")</f>
        <v/>
      </c>
      <c r="BC1458" s="33">
        <f>IF(E1458=1,IF(Orders!R1455&gt;3,1,0),"")</f>
        <v>0</v>
      </c>
      <c r="BD1458" s="33">
        <f>IF(E1458=1,IF(Orders!R1455&gt;7,1,0),"")</f>
        <v>0</v>
      </c>
      <c r="BE1458" s="32" t="str">
        <f>IF(E1458=1,IF(Orders!L1455&lt;=1.5,"Up to 1.5 km",IF(Orders!L1455&lt;=3,"1.5–3 km","Over 3 km")),"")</f>
        <v>Up to 1.5 km</v>
      </c>
      <c r="BF1458" s="33">
        <f>IF(E1458=1,IF(ABS((Orders!G1455-Orders!F1455)*1440-Orders!R1455)&lt;0.06,1,0),"")</f>
        <v>1</v>
      </c>
      <c r="BG1458" s="33">
        <f>IF(ABS((Orders!F1455-Orders!E1455)*1440-Orders!P1455)&lt;0.06,1,0)</f>
        <v>1</v>
      </c>
      <c r="BH1458" s="33">
        <f>IF(E1458=1,IF(IF(Orders!S1455,1,0)=1-G1458,1,0),"")</f>
        <v>1</v>
      </c>
      <c r="BI1458" s="32" t="str">
        <f>INDEX(Stores!$B$2:$B$21,MATCH(B1458,Stores!$A$2:$A$21,0))</f>
        <v>Bengaluru</v>
      </c>
    </row>
    <row r="1459">
      <c r="A1459" s="32" t="str">
        <f>Orders!A1456</f>
        <v>O01455</v>
      </c>
      <c r="B1459" s="32" t="str">
        <f>Orders!C1456</f>
        <v>S008</v>
      </c>
      <c r="C1459" s="32" t="str">
        <f>Orders!B1456</f>
        <v>C0047</v>
      </c>
      <c r="D1459" s="32" t="str">
        <f>Orders!H1456</f>
        <v>Delivered</v>
      </c>
      <c r="E1459" s="33">
        <f>IF(Orders!H1456="Delivered",1,0)</f>
        <v>1</v>
      </c>
      <c r="F1459" s="34">
        <f>IF(E1459=1,Orders!R1456,"")</f>
        <v>-0.3</v>
      </c>
      <c r="G1459" s="33">
        <f>IF(E1459=1,IF(Orders!R1456&gt;0,1,0),"")</f>
        <v>0</v>
      </c>
      <c r="H1459" s="33">
        <f>IF(E1459=1,IF(Orders!R1456&gt;5,1,0),"")</f>
        <v>0</v>
      </c>
      <c r="I1459" s="32" t="str">
        <f>IF(E1459=1,"",IF(OR(Orders!T1456="Rider unavailable",Orders!T1456="Item unavailable"),"Company-caused","Unresolved"))</f>
        <v/>
      </c>
      <c r="J1459" s="33">
        <f>IF(OR(E1459=1,I1459="Company-caused"),1,0)</f>
        <v>1</v>
      </c>
      <c r="K1459" s="32" t="str">
        <f>IF(E1459=0,IF(I1459="Company-caused",IF(Orders!T1456="Rider unavailable","C1 Rider unavailable","C2 Item unavailable"),"Outside root: unresolved"),IF(G1459=0,"A On time",IF(H1459=1,IF(L1459=1,"B2a Severe, peak","B2b Severe, off-peak"),IF(L1459=1,"B1a Slight, peak","B1b Slight, off-peak"))))</f>
        <v>A On time</v>
      </c>
      <c r="L1459" s="33">
        <f>IF(AND(Orders!U1456&gt;=19,Orders!U1456&lt;22),1,0)</f>
        <v>0</v>
      </c>
      <c r="M1459" s="33">
        <f>IF(L1459=IF(Orders!V1456,1,0),1,0)</f>
        <v>1</v>
      </c>
      <c r="N1459" s="32" t="str">
        <f>IF(Orders!W1456="","None",Orders!W1456)</f>
        <v>Light</v>
      </c>
      <c r="O1459" s="35">
        <f>INT(Orders!E1456)</f>
        <v>46269.0</v>
      </c>
      <c r="P1459" s="33">
        <f>Orders!U1456</f>
        <v>13</v>
      </c>
      <c r="Q1459" s="33">
        <f>COUNTIFS(Demand!$A$2:$A$4481,B1459,Demand!$B$2:$B$4481,O1459,Demand!$C$2:$C$4481,P1459)</f>
        <v>1</v>
      </c>
      <c r="R1459" s="33">
        <f>IF(Q1459=1,SUMIFS(Demand!$E$2:$E$4481,Demand!$A$2:$A$4481,B1459,Demand!$B$2:$B$4481,O1459,Demand!$C$2:$C$4481,P1459),"")</f>
        <v>18</v>
      </c>
      <c r="S1459" s="33">
        <f>INDEX(Stores!$G$2:$G$21,MATCH(B1459,Stores!$A$2:$A$21,0))</f>
        <v>23</v>
      </c>
      <c r="T1459" s="34">
        <f>IF(R1459="","",R1459/S1459)</f>
        <v>0.782608695652174</v>
      </c>
      <c r="U1459" s="34">
        <f>IF(E1459=1,T1459,"")</f>
        <v>0.782608695652174</v>
      </c>
      <c r="V1459" s="34">
        <f>IF(AND(E1459=1,L1459=0),T1459,"")</f>
        <v>0.782608695652174</v>
      </c>
      <c r="W1459" s="33">
        <f>IF(U1459="","",IF(U1459&lt;=Breakdowns!$C$5,1,IF(U1459&lt;=Breakdowns!$C$6,2,IF(U1459&lt;=Breakdowns!$C$7,3,4))))</f>
        <v>1</v>
      </c>
      <c r="X1459" s="33">
        <f>IF(V1459="","",IF(V1459&lt;=Breakdowns!$D$5,1,IF(V1459&lt;=Breakdowns!$D$6,2,IF(V1459&lt;=Breakdowns!$D$7,3,4))))</f>
        <v>2</v>
      </c>
      <c r="Y1459" s="34">
        <f>INDEX(Stores!$F$2:$F$21,MATCH(B1459,Stores!$A$2:$A$21,0))</f>
        <v>3.46</v>
      </c>
      <c r="Z1459" s="33">
        <f>IF(Y1459&gt;Store_Summary!$M$2,1,0)</f>
        <v>0</v>
      </c>
      <c r="AA1459" s="33">
        <f>INDEX(Stores!$C$2:$C$21,MATCH(B1459,Stores!$A$2:$A$21,0))</f>
        <v>825</v>
      </c>
      <c r="AB1459" s="33">
        <f>IF(AA1459&lt;180,1,0)</f>
        <v>0</v>
      </c>
      <c r="AC1459" s="32" t="str">
        <f>IF(Orders!D1456="","",INDEX(Riders!$C$2:$C$81,MATCH(Orders!D1456,Riders!$A$2:$A$81,0)))</f>
        <v>Petrol scooter</v>
      </c>
      <c r="AD1459" s="33">
        <f>IF(Orders!D1456="","",INDEX(Riders!$D$2:$D$81,MATCH(Orders!D1456,Riders!$A$2:$A$81,0)))</f>
        <v>43</v>
      </c>
      <c r="AE1459" s="33">
        <f>IF(Orders!D1456="","",IF(INDEX(Riders!$B$2:$B$81,MATCH(Orders!D1456,Riders!$A$2:$A$81,0))=B1459,1,0))</f>
        <v>0</v>
      </c>
      <c r="AF1459" s="34">
        <f>IF(E1459=1,Orders!L1456,"")</f>
        <v>3.03</v>
      </c>
      <c r="AG1459" s="34">
        <f>IF(E1459=1,Orders!P1456,"")</f>
        <v>10.2</v>
      </c>
      <c r="AH1459" s="34">
        <f>IF(E1459=1,Orders!Q1456,"")</f>
        <v>9.9</v>
      </c>
      <c r="AI1459" s="34">
        <f>IF(E1459=1,Orders!M1456,"")</f>
        <v>2.9</v>
      </c>
      <c r="AJ1459" s="34">
        <f>IF(E1459=1,Orders!N1456,"")</f>
        <v>2.4</v>
      </c>
      <c r="AK1459" s="34">
        <f>IF(E1459=1,Orders!O1456,"")</f>
        <v>4.6</v>
      </c>
      <c r="AL1459" s="33">
        <f>IF(E1459=1,IF(ROUND(ABS(AI1459+AJ1459+AK1459-AH1459),6)&lt;=0.1,1,0),"")</f>
        <v>1</v>
      </c>
      <c r="AM1459" s="36">
        <f>IF(E1459=1,AI1459/AH1459,"")</f>
        <v>0.292929292929293</v>
      </c>
      <c r="AN1459" s="36">
        <f>IF(E1459=1,AJ1459/AH1459,"")</f>
        <v>0.242424242424242</v>
      </c>
      <c r="AO1459" s="36">
        <f>IF(E1459=1,AK1459/AH1459,"")</f>
        <v>0.464646464646465</v>
      </c>
      <c r="AP1459" s="34">
        <f>IF(E1459=1,Orders!Y1456,"")</f>
        <v>0.56</v>
      </c>
      <c r="AQ1459" s="33">
        <f>IF(Orders!X1456,1,0)</f>
        <v>0</v>
      </c>
      <c r="AR1459" s="34" t="str">
        <f>IF(AND(E1459=1,L1459=1),AJ1459,"")</f>
        <v/>
      </c>
      <c r="AS1459" s="34">
        <f>IF(AND(E1459=1,L1459=0),AJ1459,"")</f>
        <v>2.4</v>
      </c>
      <c r="AT1459" s="34" t="str">
        <f>IF(AND(E1459=1,L1459=1),AI1459,"")</f>
        <v/>
      </c>
      <c r="AU1459" s="34">
        <f>IF(AND(E1459=1,L1459=0),AI1459,"")</f>
        <v>2.9</v>
      </c>
      <c r="AV1459" s="34" t="str">
        <f>IF(AND(E1459=1,L1459=1),AG1459,"")</f>
        <v/>
      </c>
      <c r="AW1459" s="34">
        <f>IF(AND(E1459=1,L1459=0),AG1459,"")</f>
        <v>10.2</v>
      </c>
      <c r="AX1459" s="34" t="str">
        <f>IF(AND(E1459=1,L1459=1),AH1459,"")</f>
        <v/>
      </c>
      <c r="AY1459" s="34">
        <f>IF(AND(E1459=1,L1459=0),AH1459,"")</f>
        <v>9.9</v>
      </c>
      <c r="AZ1459" s="34" t="str">
        <f>IF(G1459=1,F1459,"")</f>
        <v/>
      </c>
      <c r="BA1459" s="34" t="str">
        <f>IF(AND(G1459=1,L1459=1),F1459,"")</f>
        <v/>
      </c>
      <c r="BB1459" s="34" t="str">
        <f>IF(AND(G1459=1,L1459=0),F1459,"")</f>
        <v/>
      </c>
      <c r="BC1459" s="33">
        <f>IF(E1459=1,IF(Orders!R1456&gt;3,1,0),"")</f>
        <v>0</v>
      </c>
      <c r="BD1459" s="33">
        <f>IF(E1459=1,IF(Orders!R1456&gt;7,1,0),"")</f>
        <v>0</v>
      </c>
      <c r="BE1459" s="32" t="str">
        <f>IF(E1459=1,IF(Orders!L1456&lt;=1.5,"Up to 1.5 km",IF(Orders!L1456&lt;=3,"1.5–3 km","Over 3 km")),"")</f>
        <v>Over 3 km</v>
      </c>
      <c r="BF1459" s="33">
        <f>IF(E1459=1,IF(ABS((Orders!G1456-Orders!F1456)*1440-Orders!R1456)&lt;0.06,1,0),"")</f>
        <v>1</v>
      </c>
      <c r="BG1459" s="33">
        <f>IF(ABS((Orders!F1456-Orders!E1456)*1440-Orders!P1456)&lt;0.06,1,0)</f>
        <v>1</v>
      </c>
      <c r="BH1459" s="33">
        <f>IF(E1459=1,IF(IF(Orders!S1456,1,0)=1-G1459,1,0),"")</f>
        <v>1</v>
      </c>
      <c r="BI1459" s="32" t="str">
        <f>INDEX(Stores!$B$2:$B$21,MATCH(B1459,Stores!$A$2:$A$21,0))</f>
        <v>Mumbai</v>
      </c>
    </row>
    <row r="1460">
      <c r="A1460" s="32" t="str">
        <f>Orders!A1457</f>
        <v>O01456</v>
      </c>
      <c r="B1460" s="32" t="str">
        <f>Orders!C1457</f>
        <v>S015</v>
      </c>
      <c r="C1460" s="32" t="str">
        <f>Orders!B1457</f>
        <v>C0035</v>
      </c>
      <c r="D1460" s="32" t="str">
        <f>Orders!H1457</f>
        <v>Cancelled</v>
      </c>
      <c r="E1460" s="33">
        <f>IF(Orders!H1457="Delivered",1,0)</f>
        <v>0</v>
      </c>
      <c r="F1460" s="34" t="str">
        <f>IF(E1460=1,Orders!R1457,"")</f>
        <v/>
      </c>
      <c r="G1460" s="33" t="str">
        <f>IF(E1460=1,IF(Orders!R1457&gt;0,1,0),"")</f>
        <v/>
      </c>
      <c r="H1460" s="33" t="str">
        <f>IF(E1460=1,IF(Orders!R1457&gt;5,1,0),"")</f>
        <v/>
      </c>
      <c r="I1460" s="32" t="str">
        <f>IF(E1460=1,"",IF(OR(Orders!T1457="Rider unavailable",Orders!T1457="Item unavailable"),"Company-caused","Unresolved"))</f>
        <v>Company-caused</v>
      </c>
      <c r="J1460" s="33">
        <f>IF(OR(E1460=1,I1460="Company-caused"),1,0)</f>
        <v>1</v>
      </c>
      <c r="K1460" s="32" t="str">
        <f>IF(E1460=0,IF(I1460="Company-caused",IF(Orders!T1457="Rider unavailable","C1 Rider unavailable","C2 Item unavailable"),"Outside root: unresolved"),IF(G1460=0,"A On time",IF(H1460=1,IF(L1460=1,"B2a Severe, peak","B2b Severe, off-peak"),IF(L1460=1,"B1a Slight, peak","B1b Slight, off-peak"))))</f>
        <v>C1 Rider unavailable</v>
      </c>
      <c r="L1460" s="33">
        <f>IF(AND(Orders!U1457&gt;=19,Orders!U1457&lt;22),1,0)</f>
        <v>0</v>
      </c>
      <c r="M1460" s="33">
        <f>IF(L1460=IF(Orders!V1457,1,0),1,0)</f>
        <v>1</v>
      </c>
      <c r="N1460" s="32" t="str">
        <f>IF(Orders!W1457="","None",Orders!W1457)</f>
        <v>None</v>
      </c>
      <c r="O1460" s="35">
        <f>INT(Orders!E1457)</f>
        <v>46267.0</v>
      </c>
      <c r="P1460" s="33">
        <f>Orders!U1457</f>
        <v>12</v>
      </c>
      <c r="Q1460" s="33">
        <f>COUNTIFS(Demand!$A$2:$A$4481,B1460,Demand!$B$2:$B$4481,O1460,Demand!$C$2:$C$4481,P1460)</f>
        <v>1</v>
      </c>
      <c r="R1460" s="33">
        <f>IF(Q1460=1,SUMIFS(Demand!$E$2:$E$4481,Demand!$A$2:$A$4481,B1460,Demand!$B$2:$B$4481,O1460,Demand!$C$2:$C$4481,P1460),"")</f>
        <v>21</v>
      </c>
      <c r="S1460" s="33">
        <f>INDEX(Stores!$G$2:$G$21,MATCH(B1460,Stores!$A$2:$A$21,0))</f>
        <v>23</v>
      </c>
      <c r="T1460" s="34">
        <f>IF(R1460="","",R1460/S1460)</f>
        <v>0.91304347826087</v>
      </c>
      <c r="U1460" s="34" t="str">
        <f>IF(E1460=1,T1460,"")</f>
        <v/>
      </c>
      <c r="V1460" s="34" t="str">
        <f>IF(AND(E1460=1,L1460=0),T1460,"")</f>
        <v/>
      </c>
      <c r="W1460" s="33" t="str">
        <f>IF(U1460="","",IF(U1460&lt;=Breakdowns!$C$5,1,IF(U1460&lt;=Breakdowns!$C$6,2,IF(U1460&lt;=Breakdowns!$C$7,3,4))))</f>
        <v/>
      </c>
      <c r="X1460" s="33" t="str">
        <f>IF(V1460="","",IF(V1460&lt;=Breakdowns!$D$5,1,IF(V1460&lt;=Breakdowns!$D$6,2,IF(V1460&lt;=Breakdowns!$D$7,3,4))))</f>
        <v/>
      </c>
      <c r="Y1460" s="34">
        <f>INDEX(Stores!$F$2:$F$21,MATCH(B1460,Stores!$A$2:$A$21,0))</f>
        <v>4.66</v>
      </c>
      <c r="Z1460" s="33">
        <f>IF(Y1460&gt;Store_Summary!$M$2,1,0)</f>
        <v>0</v>
      </c>
      <c r="AA1460" s="33">
        <f>INDEX(Stores!$C$2:$C$21,MATCH(B1460,Stores!$A$2:$A$21,0))</f>
        <v>204</v>
      </c>
      <c r="AB1460" s="33">
        <f>IF(AA1460&lt;180,1,0)</f>
        <v>0</v>
      </c>
      <c r="AC1460" s="32" t="str">
        <f>IF(Orders!D1457="","",INDEX(Riders!$C$2:$C$81,MATCH(Orders!D1457,Riders!$A$2:$A$81,0)))</f>
        <v/>
      </c>
      <c r="AD1460" s="33" t="str">
        <f>IF(Orders!D1457="","",INDEX(Riders!$D$2:$D$81,MATCH(Orders!D1457,Riders!$A$2:$A$81,0)))</f>
        <v/>
      </c>
      <c r="AE1460" s="33" t="str">
        <f>IF(Orders!D1457="","",IF(INDEX(Riders!$B$2:$B$81,MATCH(Orders!D1457,Riders!$A$2:$A$81,0))=B1460,1,0))</f>
        <v/>
      </c>
      <c r="AF1460" s="34" t="str">
        <f>IF(E1460=1,Orders!L1457,"")</f>
        <v/>
      </c>
      <c r="AG1460" s="34" t="str">
        <f>IF(E1460=1,Orders!P1457,"")</f>
        <v/>
      </c>
      <c r="AH1460" s="34" t="str">
        <f>IF(E1460=1,Orders!Q1457,"")</f>
        <v/>
      </c>
      <c r="AI1460" s="34" t="str">
        <f>IF(E1460=1,Orders!M1457,"")</f>
        <v/>
      </c>
      <c r="AJ1460" s="34" t="str">
        <f>IF(E1460=1,Orders!N1457,"")</f>
        <v/>
      </c>
      <c r="AK1460" s="34" t="str">
        <f>IF(E1460=1,Orders!O1457,"")</f>
        <v/>
      </c>
      <c r="AL1460" s="33" t="str">
        <f>IF(E1460=1,IF(ROUND(ABS(AI1460+AJ1460+AK1460-AH1460),6)&lt;=0.1,1,0),"")</f>
        <v/>
      </c>
      <c r="AM1460" s="36" t="str">
        <f>IF(E1460=1,AI1460/AH1460,"")</f>
        <v/>
      </c>
      <c r="AN1460" s="36" t="str">
        <f>IF(E1460=1,AJ1460/AH1460,"")</f>
        <v/>
      </c>
      <c r="AO1460" s="36" t="str">
        <f>IF(E1460=1,AK1460/AH1460,"")</f>
        <v/>
      </c>
      <c r="AP1460" s="34" t="str">
        <f>IF(E1460=1,Orders!Y1457,"")</f>
        <v/>
      </c>
      <c r="AQ1460" s="33">
        <f>IF(Orders!X1457,1,0)</f>
        <v>0</v>
      </c>
      <c r="AR1460" s="34" t="str">
        <f>IF(AND(E1460=1,L1460=1),AJ1460,"")</f>
        <v/>
      </c>
      <c r="AS1460" s="34" t="str">
        <f>IF(AND(E1460=1,L1460=0),AJ1460,"")</f>
        <v/>
      </c>
      <c r="AT1460" s="34" t="str">
        <f>IF(AND(E1460=1,L1460=1),AI1460,"")</f>
        <v/>
      </c>
      <c r="AU1460" s="34" t="str">
        <f>IF(AND(E1460=1,L1460=0),AI1460,"")</f>
        <v/>
      </c>
      <c r="AV1460" s="34" t="str">
        <f>IF(AND(E1460=1,L1460=1),AG1460,"")</f>
        <v/>
      </c>
      <c r="AW1460" s="34" t="str">
        <f>IF(AND(E1460=1,L1460=0),AG1460,"")</f>
        <v/>
      </c>
      <c r="AX1460" s="34" t="str">
        <f>IF(AND(E1460=1,L1460=1),AH1460,"")</f>
        <v/>
      </c>
      <c r="AY1460" s="34" t="str">
        <f>IF(AND(E1460=1,L1460=0),AH1460,"")</f>
        <v/>
      </c>
      <c r="AZ1460" s="34" t="str">
        <f>IF(G1460=1,F1460,"")</f>
        <v/>
      </c>
      <c r="BA1460" s="34" t="str">
        <f>IF(AND(G1460=1,L1460=1),F1460,"")</f>
        <v/>
      </c>
      <c r="BB1460" s="34" t="str">
        <f>IF(AND(G1460=1,L1460=0),F1460,"")</f>
        <v/>
      </c>
      <c r="BC1460" s="33" t="str">
        <f>IF(E1460=1,IF(Orders!R1457&gt;3,1,0),"")</f>
        <v/>
      </c>
      <c r="BD1460" s="33" t="str">
        <f>IF(E1460=1,IF(Orders!R1457&gt;7,1,0),"")</f>
        <v/>
      </c>
      <c r="BE1460" s="32" t="str">
        <f>IF(E1460=1,IF(Orders!L1457&lt;=1.5,"Up to 1.5 km",IF(Orders!L1457&lt;=3,"1.5–3 km","Over 3 km")),"")</f>
        <v/>
      </c>
      <c r="BF1460" s="33" t="str">
        <f>IF(E1460=1,IF(ABS((Orders!G1457-Orders!F1457)*1440-Orders!R1457)&lt;0.06,1,0),"")</f>
        <v/>
      </c>
      <c r="BG1460" s="33">
        <f>IF(ABS((Orders!F1457-Orders!E1457)*1440-Orders!P1457)&lt;0.06,1,0)</f>
        <v>1</v>
      </c>
      <c r="BH1460" s="33" t="str">
        <f>IF(E1460=1,IF(IF(Orders!S1457,1,0)=1-G1460,1,0),"")</f>
        <v/>
      </c>
      <c r="BI1460" s="32" t="str">
        <f>INDEX(Stores!$B$2:$B$21,MATCH(B1460,Stores!$A$2:$A$21,0))</f>
        <v>Delhi</v>
      </c>
    </row>
    <row r="1461">
      <c r="A1461" s="32" t="str">
        <f>Orders!A1458</f>
        <v>O01457</v>
      </c>
      <c r="B1461" s="32" t="str">
        <f>Orders!C1458</f>
        <v>S009</v>
      </c>
      <c r="C1461" s="32" t="str">
        <f>Orders!B1458</f>
        <v>C0141</v>
      </c>
      <c r="D1461" s="32" t="str">
        <f>Orders!H1458</f>
        <v>Delivered</v>
      </c>
      <c r="E1461" s="33">
        <f>IF(Orders!H1458="Delivered",1,0)</f>
        <v>1</v>
      </c>
      <c r="F1461" s="34">
        <f>IF(E1461=1,Orders!R1458,"")</f>
        <v>-1</v>
      </c>
      <c r="G1461" s="33">
        <f>IF(E1461=1,IF(Orders!R1458&gt;0,1,0),"")</f>
        <v>0</v>
      </c>
      <c r="H1461" s="33">
        <f>IF(E1461=1,IF(Orders!R1458&gt;5,1,0),"")</f>
        <v>0</v>
      </c>
      <c r="I1461" s="32" t="str">
        <f>IF(E1461=1,"",IF(OR(Orders!T1458="Rider unavailable",Orders!T1458="Item unavailable"),"Company-caused","Unresolved"))</f>
        <v/>
      </c>
      <c r="J1461" s="33">
        <f>IF(OR(E1461=1,I1461="Company-caused"),1,0)</f>
        <v>1</v>
      </c>
      <c r="K1461" s="32" t="str">
        <f>IF(E1461=0,IF(I1461="Company-caused",IF(Orders!T1458="Rider unavailable","C1 Rider unavailable","C2 Item unavailable"),"Outside root: unresolved"),IF(G1461=0,"A On time",IF(H1461=1,IF(L1461=1,"B2a Severe, peak","B2b Severe, off-peak"),IF(L1461=1,"B1a Slight, peak","B1b Slight, off-peak"))))</f>
        <v>A On time</v>
      </c>
      <c r="L1461" s="33">
        <f>IF(AND(Orders!U1458&gt;=19,Orders!U1458&lt;22),1,0)</f>
        <v>0</v>
      </c>
      <c r="M1461" s="33">
        <f>IF(L1461=IF(Orders!V1458,1,0),1,0)</f>
        <v>1</v>
      </c>
      <c r="N1461" s="32" t="str">
        <f>IF(Orders!W1458="","None",Orders!W1458)</f>
        <v>None</v>
      </c>
      <c r="O1461" s="35">
        <f>INT(Orders!E1458)</f>
        <v>46274.0</v>
      </c>
      <c r="P1461" s="33">
        <f>Orders!U1458</f>
        <v>23</v>
      </c>
      <c r="Q1461" s="33">
        <f>COUNTIFS(Demand!$A$2:$A$4481,B1461,Demand!$B$2:$B$4481,O1461,Demand!$C$2:$C$4481,P1461)</f>
        <v>1</v>
      </c>
      <c r="R1461" s="33">
        <f>IF(Q1461=1,SUMIFS(Demand!$E$2:$E$4481,Demand!$A$2:$A$4481,B1461,Demand!$B$2:$B$4481,O1461,Demand!$C$2:$C$4481,P1461),"")</f>
        <v>29</v>
      </c>
      <c r="S1461" s="33">
        <f>INDEX(Stores!$G$2:$G$21,MATCH(B1461,Stores!$A$2:$A$21,0))</f>
        <v>29</v>
      </c>
      <c r="T1461" s="34">
        <f>IF(R1461="","",R1461/S1461)</f>
        <v>1</v>
      </c>
      <c r="U1461" s="34">
        <f>IF(E1461=1,T1461,"")</f>
        <v>1</v>
      </c>
      <c r="V1461" s="34">
        <f>IF(AND(E1461=1,L1461=0),T1461,"")</f>
        <v>1</v>
      </c>
      <c r="W1461" s="33">
        <f>IF(U1461="","",IF(U1461&lt;=Breakdowns!$C$5,1,IF(U1461&lt;=Breakdowns!$C$6,2,IF(U1461&lt;=Breakdowns!$C$7,3,4))))</f>
        <v>2</v>
      </c>
      <c r="X1461" s="33">
        <f>IF(V1461="","",IF(V1461&lt;=Breakdowns!$D$5,1,IF(V1461&lt;=Breakdowns!$D$6,2,IF(V1461&lt;=Breakdowns!$D$7,3,4))))</f>
        <v>3</v>
      </c>
      <c r="Y1461" s="34">
        <f>INDEX(Stores!$F$2:$F$21,MATCH(B1461,Stores!$A$2:$A$21,0))</f>
        <v>2.66</v>
      </c>
      <c r="Z1461" s="33">
        <f>IF(Y1461&gt;Store_Summary!$M$2,1,0)</f>
        <v>0</v>
      </c>
      <c r="AA1461" s="33">
        <f>INDEX(Stores!$C$2:$C$21,MATCH(B1461,Stores!$A$2:$A$21,0))</f>
        <v>645</v>
      </c>
      <c r="AB1461" s="33">
        <f>IF(AA1461&lt;180,1,0)</f>
        <v>0</v>
      </c>
      <c r="AC1461" s="32" t="str">
        <f>IF(Orders!D1458="","",INDEX(Riders!$C$2:$C$81,MATCH(Orders!D1458,Riders!$A$2:$A$81,0)))</f>
        <v>Petrol scooter</v>
      </c>
      <c r="AD1461" s="33">
        <f>IF(Orders!D1458="","",INDEX(Riders!$D$2:$D$81,MATCH(Orders!D1458,Riders!$A$2:$A$81,0)))</f>
        <v>32</v>
      </c>
      <c r="AE1461" s="33">
        <f>IF(Orders!D1458="","",IF(INDEX(Riders!$B$2:$B$81,MATCH(Orders!D1458,Riders!$A$2:$A$81,0))=B1461,1,0))</f>
        <v>0</v>
      </c>
      <c r="AF1461" s="34">
        <f>IF(E1461=1,Orders!L1458,"")</f>
        <v>2.8</v>
      </c>
      <c r="AG1461" s="34">
        <f>IF(E1461=1,Orders!P1458,"")</f>
        <v>12.2</v>
      </c>
      <c r="AH1461" s="34">
        <f>IF(E1461=1,Orders!Q1458,"")</f>
        <v>11.2</v>
      </c>
      <c r="AI1461" s="34">
        <f>IF(E1461=1,Orders!M1458,"")</f>
        <v>2.8</v>
      </c>
      <c r="AJ1461" s="34">
        <f>IF(E1461=1,Orders!N1458,"")</f>
        <v>3.8</v>
      </c>
      <c r="AK1461" s="34">
        <f>IF(E1461=1,Orders!O1458,"")</f>
        <v>4.6</v>
      </c>
      <c r="AL1461" s="33">
        <f>IF(E1461=1,IF(ROUND(ABS(AI1461+AJ1461+AK1461-AH1461),6)&lt;=0.1,1,0),"")</f>
        <v>1</v>
      </c>
      <c r="AM1461" s="36">
        <f>IF(E1461=1,AI1461/AH1461,"")</f>
        <v>0.25</v>
      </c>
      <c r="AN1461" s="36">
        <f>IF(E1461=1,AJ1461/AH1461,"")</f>
        <v>0.339285714285714</v>
      </c>
      <c r="AO1461" s="36">
        <f>IF(E1461=1,AK1461/AH1461,"")</f>
        <v>0.410714285714286</v>
      </c>
      <c r="AP1461" s="34">
        <f>IF(E1461=1,Orders!Y1458,"")</f>
        <v>0.36</v>
      </c>
      <c r="AQ1461" s="33">
        <f>IF(Orders!X1458,1,0)</f>
        <v>0</v>
      </c>
      <c r="AR1461" s="34" t="str">
        <f>IF(AND(E1461=1,L1461=1),AJ1461,"")</f>
        <v/>
      </c>
      <c r="AS1461" s="34">
        <f>IF(AND(E1461=1,L1461=0),AJ1461,"")</f>
        <v>3.8</v>
      </c>
      <c r="AT1461" s="34" t="str">
        <f>IF(AND(E1461=1,L1461=1),AI1461,"")</f>
        <v/>
      </c>
      <c r="AU1461" s="34">
        <f>IF(AND(E1461=1,L1461=0),AI1461,"")</f>
        <v>2.8</v>
      </c>
      <c r="AV1461" s="34" t="str">
        <f>IF(AND(E1461=1,L1461=1),AG1461,"")</f>
        <v/>
      </c>
      <c r="AW1461" s="34">
        <f>IF(AND(E1461=1,L1461=0),AG1461,"")</f>
        <v>12.2</v>
      </c>
      <c r="AX1461" s="34" t="str">
        <f>IF(AND(E1461=1,L1461=1),AH1461,"")</f>
        <v/>
      </c>
      <c r="AY1461" s="34">
        <f>IF(AND(E1461=1,L1461=0),AH1461,"")</f>
        <v>11.2</v>
      </c>
      <c r="AZ1461" s="34" t="str">
        <f>IF(G1461=1,F1461,"")</f>
        <v/>
      </c>
      <c r="BA1461" s="34" t="str">
        <f>IF(AND(G1461=1,L1461=1),F1461,"")</f>
        <v/>
      </c>
      <c r="BB1461" s="34" t="str">
        <f>IF(AND(G1461=1,L1461=0),F1461,"")</f>
        <v/>
      </c>
      <c r="BC1461" s="33">
        <f>IF(E1461=1,IF(Orders!R1458&gt;3,1,0),"")</f>
        <v>0</v>
      </c>
      <c r="BD1461" s="33">
        <f>IF(E1461=1,IF(Orders!R1458&gt;7,1,0),"")</f>
        <v>0</v>
      </c>
      <c r="BE1461" s="32" t="str">
        <f>IF(E1461=1,IF(Orders!L1458&lt;=1.5,"Up to 1.5 km",IF(Orders!L1458&lt;=3,"1.5–3 km","Over 3 km")),"")</f>
        <v>1.5–3 km</v>
      </c>
      <c r="BF1461" s="33">
        <f>IF(E1461=1,IF(ABS((Orders!G1458-Orders!F1458)*1440-Orders!R1458)&lt;0.06,1,0),"")</f>
        <v>1</v>
      </c>
      <c r="BG1461" s="33">
        <f>IF(ABS((Orders!F1458-Orders!E1458)*1440-Orders!P1458)&lt;0.06,1,0)</f>
        <v>1</v>
      </c>
      <c r="BH1461" s="33">
        <f>IF(E1461=1,IF(IF(Orders!S1458,1,0)=1-G1461,1,0),"")</f>
        <v>1</v>
      </c>
      <c r="BI1461" s="32" t="str">
        <f>INDEX(Stores!$B$2:$B$21,MATCH(B1461,Stores!$A$2:$A$21,0))</f>
        <v>Pune</v>
      </c>
    </row>
    <row r="1462">
      <c r="A1462" s="32" t="str">
        <f>Orders!A1459</f>
        <v>O01458</v>
      </c>
      <c r="B1462" s="32" t="str">
        <f>Orders!C1459</f>
        <v>S004</v>
      </c>
      <c r="C1462" s="32" t="str">
        <f>Orders!B1459</f>
        <v>C0025</v>
      </c>
      <c r="D1462" s="32" t="str">
        <f>Orders!H1459</f>
        <v>Delivered</v>
      </c>
      <c r="E1462" s="33">
        <f>IF(Orders!H1459="Delivered",1,0)</f>
        <v>1</v>
      </c>
      <c r="F1462" s="34">
        <f>IF(E1462=1,Orders!R1459,"")</f>
        <v>-0.9</v>
      </c>
      <c r="G1462" s="33">
        <f>IF(E1462=1,IF(Orders!R1459&gt;0,1,0),"")</f>
        <v>0</v>
      </c>
      <c r="H1462" s="33">
        <f>IF(E1462=1,IF(Orders!R1459&gt;5,1,0),"")</f>
        <v>0</v>
      </c>
      <c r="I1462" s="32" t="str">
        <f>IF(E1462=1,"",IF(OR(Orders!T1459="Rider unavailable",Orders!T1459="Item unavailable"),"Company-caused","Unresolved"))</f>
        <v/>
      </c>
      <c r="J1462" s="33">
        <f>IF(OR(E1462=1,I1462="Company-caused"),1,0)</f>
        <v>1</v>
      </c>
      <c r="K1462" s="32" t="str">
        <f>IF(E1462=0,IF(I1462="Company-caused",IF(Orders!T1459="Rider unavailable","C1 Rider unavailable","C2 Item unavailable"),"Outside root: unresolved"),IF(G1462=0,"A On time",IF(H1462=1,IF(L1462=1,"B2a Severe, peak","B2b Severe, off-peak"),IF(L1462=1,"B1a Slight, peak","B1b Slight, off-peak"))))</f>
        <v>A On time</v>
      </c>
      <c r="L1462" s="33">
        <f>IF(AND(Orders!U1459&gt;=19,Orders!U1459&lt;22),1,0)</f>
        <v>0</v>
      </c>
      <c r="M1462" s="33">
        <f>IF(L1462=IF(Orders!V1459,1,0),1,0)</f>
        <v>1</v>
      </c>
      <c r="N1462" s="32" t="str">
        <f>IF(Orders!W1459="","None",Orders!W1459)</f>
        <v>None</v>
      </c>
      <c r="O1462" s="35">
        <f>INT(Orders!E1459)</f>
        <v>46272.0</v>
      </c>
      <c r="P1462" s="33">
        <f>Orders!U1459</f>
        <v>16</v>
      </c>
      <c r="Q1462" s="33">
        <f>COUNTIFS(Demand!$A$2:$A$4481,B1462,Demand!$B$2:$B$4481,O1462,Demand!$C$2:$C$4481,P1462)</f>
        <v>1</v>
      </c>
      <c r="R1462" s="33">
        <f>IF(Q1462=1,SUMIFS(Demand!$E$2:$E$4481,Demand!$A$2:$A$4481,B1462,Demand!$B$2:$B$4481,O1462,Demand!$C$2:$C$4481,P1462),"")</f>
        <v>32</v>
      </c>
      <c r="S1462" s="33">
        <f>INDEX(Stores!$G$2:$G$21,MATCH(B1462,Stores!$A$2:$A$21,0))</f>
        <v>42</v>
      </c>
      <c r="T1462" s="34">
        <f>IF(R1462="","",R1462/S1462)</f>
        <v>0.761904761904762</v>
      </c>
      <c r="U1462" s="34">
        <f>IF(E1462=1,T1462,"")</f>
        <v>0.761904761904762</v>
      </c>
      <c r="V1462" s="34">
        <f>IF(AND(E1462=1,L1462=0),T1462,"")</f>
        <v>0.761904761904762</v>
      </c>
      <c r="W1462" s="33">
        <f>IF(U1462="","",IF(U1462&lt;=Breakdowns!$C$5,1,IF(U1462&lt;=Breakdowns!$C$6,2,IF(U1462&lt;=Breakdowns!$C$7,3,4))))</f>
        <v>1</v>
      </c>
      <c r="X1462" s="33">
        <f>IF(V1462="","",IF(V1462&lt;=Breakdowns!$D$5,1,IF(V1462&lt;=Breakdowns!$D$6,2,IF(V1462&lt;=Breakdowns!$D$7,3,4))))</f>
        <v>2</v>
      </c>
      <c r="Y1462" s="34">
        <f>INDEX(Stores!$F$2:$F$21,MATCH(B1462,Stores!$A$2:$A$21,0))</f>
        <v>2.19</v>
      </c>
      <c r="Z1462" s="33">
        <f>IF(Y1462&gt;Store_Summary!$M$2,1,0)</f>
        <v>0</v>
      </c>
      <c r="AA1462" s="33">
        <f>INDEX(Stores!$C$2:$C$21,MATCH(B1462,Stores!$A$2:$A$21,0))</f>
        <v>850</v>
      </c>
      <c r="AB1462" s="33">
        <f>IF(AA1462&lt;180,1,0)</f>
        <v>0</v>
      </c>
      <c r="AC1462" s="32" t="str">
        <f>IF(Orders!D1459="","",INDEX(Riders!$C$2:$C$81,MATCH(Orders!D1459,Riders!$A$2:$A$81,0)))</f>
        <v>Petrol scooter</v>
      </c>
      <c r="AD1462" s="33">
        <f>IF(Orders!D1459="","",INDEX(Riders!$D$2:$D$81,MATCH(Orders!D1459,Riders!$A$2:$A$81,0)))</f>
        <v>42</v>
      </c>
      <c r="AE1462" s="33">
        <f>IF(Orders!D1459="","",IF(INDEX(Riders!$B$2:$B$81,MATCH(Orders!D1459,Riders!$A$2:$A$81,0))=B1462,1,0))</f>
        <v>0</v>
      </c>
      <c r="AF1462" s="34">
        <f>IF(E1462=1,Orders!L1459,"")</f>
        <v>3.3</v>
      </c>
      <c r="AG1462" s="34">
        <f>IF(E1462=1,Orders!P1459,"")</f>
        <v>11.9</v>
      </c>
      <c r="AH1462" s="34">
        <f>IF(E1462=1,Orders!Q1459,"")</f>
        <v>11</v>
      </c>
      <c r="AI1462" s="34">
        <f>IF(E1462=1,Orders!M1459,"")</f>
        <v>2</v>
      </c>
      <c r="AJ1462" s="34">
        <f>IF(E1462=1,Orders!N1459,"")</f>
        <v>3.8</v>
      </c>
      <c r="AK1462" s="34">
        <f>IF(E1462=1,Orders!O1459,"")</f>
        <v>5.2</v>
      </c>
      <c r="AL1462" s="33">
        <f>IF(E1462=1,IF(ROUND(ABS(AI1462+AJ1462+AK1462-AH1462),6)&lt;=0.1,1,0),"")</f>
        <v>1</v>
      </c>
      <c r="AM1462" s="36">
        <f>IF(E1462=1,AI1462/AH1462,"")</f>
        <v>0.181818181818182</v>
      </c>
      <c r="AN1462" s="36">
        <f>IF(E1462=1,AJ1462/AH1462,"")</f>
        <v>0.345454545454545</v>
      </c>
      <c r="AO1462" s="36">
        <f>IF(E1462=1,AK1462/AH1462,"")</f>
        <v>0.472727272727273</v>
      </c>
      <c r="AP1462" s="34">
        <f>IF(E1462=1,Orders!Y1459,"")</f>
        <v>0.54</v>
      </c>
      <c r="AQ1462" s="33">
        <f>IF(Orders!X1459,1,0)</f>
        <v>0</v>
      </c>
      <c r="AR1462" s="34" t="str">
        <f>IF(AND(E1462=1,L1462=1),AJ1462,"")</f>
        <v/>
      </c>
      <c r="AS1462" s="34">
        <f>IF(AND(E1462=1,L1462=0),AJ1462,"")</f>
        <v>3.8</v>
      </c>
      <c r="AT1462" s="34" t="str">
        <f>IF(AND(E1462=1,L1462=1),AI1462,"")</f>
        <v/>
      </c>
      <c r="AU1462" s="34">
        <f>IF(AND(E1462=1,L1462=0),AI1462,"")</f>
        <v>2</v>
      </c>
      <c r="AV1462" s="34" t="str">
        <f>IF(AND(E1462=1,L1462=1),AG1462,"")</f>
        <v/>
      </c>
      <c r="AW1462" s="34">
        <f>IF(AND(E1462=1,L1462=0),AG1462,"")</f>
        <v>11.9</v>
      </c>
      <c r="AX1462" s="34" t="str">
        <f>IF(AND(E1462=1,L1462=1),AH1462,"")</f>
        <v/>
      </c>
      <c r="AY1462" s="34">
        <f>IF(AND(E1462=1,L1462=0),AH1462,"")</f>
        <v>11</v>
      </c>
      <c r="AZ1462" s="34" t="str">
        <f>IF(G1462=1,F1462,"")</f>
        <v/>
      </c>
      <c r="BA1462" s="34" t="str">
        <f>IF(AND(G1462=1,L1462=1),F1462,"")</f>
        <v/>
      </c>
      <c r="BB1462" s="34" t="str">
        <f>IF(AND(G1462=1,L1462=0),F1462,"")</f>
        <v/>
      </c>
      <c r="BC1462" s="33">
        <f>IF(E1462=1,IF(Orders!R1459&gt;3,1,0),"")</f>
        <v>0</v>
      </c>
      <c r="BD1462" s="33">
        <f>IF(E1462=1,IF(Orders!R1459&gt;7,1,0),"")</f>
        <v>0</v>
      </c>
      <c r="BE1462" s="32" t="str">
        <f>IF(E1462=1,IF(Orders!L1459&lt;=1.5,"Up to 1.5 km",IF(Orders!L1459&lt;=3,"1.5–3 km","Over 3 km")),"")</f>
        <v>Over 3 km</v>
      </c>
      <c r="BF1462" s="33">
        <f>IF(E1462=1,IF(ABS((Orders!G1459-Orders!F1459)*1440-Orders!R1459)&lt;0.06,1,0),"")</f>
        <v>1</v>
      </c>
      <c r="BG1462" s="33">
        <f>IF(ABS((Orders!F1459-Orders!E1459)*1440-Orders!P1459)&lt;0.06,1,0)</f>
        <v>1</v>
      </c>
      <c r="BH1462" s="33">
        <f>IF(E1462=1,IF(IF(Orders!S1459,1,0)=1-G1462,1,0),"")</f>
        <v>1</v>
      </c>
      <c r="BI1462" s="32" t="str">
        <f>INDEX(Stores!$B$2:$B$21,MATCH(B1462,Stores!$A$2:$A$21,0))</f>
        <v>Pune</v>
      </c>
    </row>
    <row r="1463">
      <c r="A1463" s="32" t="str">
        <f>Orders!A1460</f>
        <v>O01459</v>
      </c>
      <c r="B1463" s="32" t="str">
        <f>Orders!C1460</f>
        <v>S019</v>
      </c>
      <c r="C1463" s="32" t="str">
        <f>Orders!B1460</f>
        <v>C0239</v>
      </c>
      <c r="D1463" s="32" t="str">
        <f>Orders!H1460</f>
        <v>Delivered</v>
      </c>
      <c r="E1463" s="33">
        <f>IF(Orders!H1460="Delivered",1,0)</f>
        <v>1</v>
      </c>
      <c r="F1463" s="34">
        <f>IF(E1463=1,Orders!R1460,"")</f>
        <v>-0.4</v>
      </c>
      <c r="G1463" s="33">
        <f>IF(E1463=1,IF(Orders!R1460&gt;0,1,0),"")</f>
        <v>0</v>
      </c>
      <c r="H1463" s="33">
        <f>IF(E1463=1,IF(Orders!R1460&gt;5,1,0),"")</f>
        <v>0</v>
      </c>
      <c r="I1463" s="32" t="str">
        <f>IF(E1463=1,"",IF(OR(Orders!T1460="Rider unavailable",Orders!T1460="Item unavailable"),"Company-caused","Unresolved"))</f>
        <v/>
      </c>
      <c r="J1463" s="33">
        <f>IF(OR(E1463=1,I1463="Company-caused"),1,0)</f>
        <v>1</v>
      </c>
      <c r="K1463" s="32" t="str">
        <f>IF(E1463=0,IF(I1463="Company-caused",IF(Orders!T1460="Rider unavailable","C1 Rider unavailable","C2 Item unavailable"),"Outside root: unresolved"),IF(G1463=0,"A On time",IF(H1463=1,IF(L1463=1,"B2a Severe, peak","B2b Severe, off-peak"),IF(L1463=1,"B1a Slight, peak","B1b Slight, off-peak"))))</f>
        <v>A On time</v>
      </c>
      <c r="L1463" s="33">
        <f>IF(AND(Orders!U1460&gt;=19,Orders!U1460&lt;22),1,0)</f>
        <v>0</v>
      </c>
      <c r="M1463" s="33">
        <f>IF(L1463=IF(Orders!V1460,1,0),1,0)</f>
        <v>1</v>
      </c>
      <c r="N1463" s="32" t="str">
        <f>IF(Orders!W1460="","None",Orders!W1460)</f>
        <v>None</v>
      </c>
      <c r="O1463" s="35">
        <f>INT(Orders!E1460)</f>
        <v>46269.0</v>
      </c>
      <c r="P1463" s="33">
        <f>Orders!U1460</f>
        <v>15</v>
      </c>
      <c r="Q1463" s="33">
        <f>COUNTIFS(Demand!$A$2:$A$4481,B1463,Demand!$B$2:$B$4481,O1463,Demand!$C$2:$C$4481,P1463)</f>
        <v>1</v>
      </c>
      <c r="R1463" s="33">
        <f>IF(Q1463=1,SUMIFS(Demand!$E$2:$E$4481,Demand!$A$2:$A$4481,B1463,Demand!$B$2:$B$4481,O1463,Demand!$C$2:$C$4481,P1463),"")</f>
        <v>22</v>
      </c>
      <c r="S1463" s="33">
        <f>INDEX(Stores!$G$2:$G$21,MATCH(B1463,Stores!$A$2:$A$21,0))</f>
        <v>22</v>
      </c>
      <c r="T1463" s="34">
        <f>IF(R1463="","",R1463/S1463)</f>
        <v>1</v>
      </c>
      <c r="U1463" s="34">
        <f>IF(E1463=1,T1463,"")</f>
        <v>1</v>
      </c>
      <c r="V1463" s="34">
        <f>IF(AND(E1463=1,L1463=0),T1463,"")</f>
        <v>1</v>
      </c>
      <c r="W1463" s="33">
        <f>IF(U1463="","",IF(U1463&lt;=Breakdowns!$C$5,1,IF(U1463&lt;=Breakdowns!$C$6,2,IF(U1463&lt;=Breakdowns!$C$7,3,4))))</f>
        <v>2</v>
      </c>
      <c r="X1463" s="33">
        <f>IF(V1463="","",IF(V1463&lt;=Breakdowns!$D$5,1,IF(V1463&lt;=Breakdowns!$D$6,2,IF(V1463&lt;=Breakdowns!$D$7,3,4))))</f>
        <v>3</v>
      </c>
      <c r="Y1463" s="34">
        <f>INDEX(Stores!$F$2:$F$21,MATCH(B1463,Stores!$A$2:$A$21,0))</f>
        <v>4.99</v>
      </c>
      <c r="Z1463" s="33">
        <f>IF(Y1463&gt;Store_Summary!$M$2,1,0)</f>
        <v>1</v>
      </c>
      <c r="AA1463" s="33">
        <f>INDEX(Stores!$C$2:$C$21,MATCH(B1463,Stores!$A$2:$A$21,0))</f>
        <v>851</v>
      </c>
      <c r="AB1463" s="33">
        <f>IF(AA1463&lt;180,1,0)</f>
        <v>0</v>
      </c>
      <c r="AC1463" s="32" t="str">
        <f>IF(Orders!D1460="","",INDEX(Riders!$C$2:$C$81,MATCH(Orders!D1460,Riders!$A$2:$A$81,0)))</f>
        <v>EV scooter</v>
      </c>
      <c r="AD1463" s="33">
        <f>IF(Orders!D1460="","",INDEX(Riders!$D$2:$D$81,MATCH(Orders!D1460,Riders!$A$2:$A$81,0)))</f>
        <v>4</v>
      </c>
      <c r="AE1463" s="33">
        <f>IF(Orders!D1460="","",IF(INDEX(Riders!$B$2:$B$81,MATCH(Orders!D1460,Riders!$A$2:$A$81,0))=B1463,1,0))</f>
        <v>0</v>
      </c>
      <c r="AF1463" s="34">
        <f>IF(E1463=1,Orders!L1460,"")</f>
        <v>1.07</v>
      </c>
      <c r="AG1463" s="34">
        <f>IF(E1463=1,Orders!P1460,"")</f>
        <v>9.9</v>
      </c>
      <c r="AH1463" s="34">
        <f>IF(E1463=1,Orders!Q1460,"")</f>
        <v>9.5</v>
      </c>
      <c r="AI1463" s="34">
        <f>IF(E1463=1,Orders!M1460,"")</f>
        <v>4.4</v>
      </c>
      <c r="AJ1463" s="34">
        <f>IF(E1463=1,Orders!N1460,"")</f>
        <v>2.7</v>
      </c>
      <c r="AK1463" s="34">
        <f>IF(E1463=1,Orders!O1460,"")</f>
        <v>2.4</v>
      </c>
      <c r="AL1463" s="33">
        <f>IF(E1463=1,IF(ROUND(ABS(AI1463+AJ1463+AK1463-AH1463),6)&lt;=0.1,1,0),"")</f>
        <v>1</v>
      </c>
      <c r="AM1463" s="36">
        <f>IF(E1463=1,AI1463/AH1463,"")</f>
        <v>0.463157894736842</v>
      </c>
      <c r="AN1463" s="36">
        <f>IF(E1463=1,AJ1463/AH1463,"")</f>
        <v>0.284210526315789</v>
      </c>
      <c r="AO1463" s="36">
        <f>IF(E1463=1,AK1463/AH1463,"")</f>
        <v>0.252631578947368</v>
      </c>
      <c r="AP1463" s="34">
        <f>IF(E1463=1,Orders!Y1460,"")</f>
        <v>0.25</v>
      </c>
      <c r="AQ1463" s="33">
        <f>IF(Orders!X1460,1,0)</f>
        <v>0</v>
      </c>
      <c r="AR1463" s="34" t="str">
        <f>IF(AND(E1463=1,L1463=1),AJ1463,"")</f>
        <v/>
      </c>
      <c r="AS1463" s="34">
        <f>IF(AND(E1463=1,L1463=0),AJ1463,"")</f>
        <v>2.7</v>
      </c>
      <c r="AT1463" s="34" t="str">
        <f>IF(AND(E1463=1,L1463=1),AI1463,"")</f>
        <v/>
      </c>
      <c r="AU1463" s="34">
        <f>IF(AND(E1463=1,L1463=0),AI1463,"")</f>
        <v>4.4</v>
      </c>
      <c r="AV1463" s="34" t="str">
        <f>IF(AND(E1463=1,L1463=1),AG1463,"")</f>
        <v/>
      </c>
      <c r="AW1463" s="34">
        <f>IF(AND(E1463=1,L1463=0),AG1463,"")</f>
        <v>9.9</v>
      </c>
      <c r="AX1463" s="34" t="str">
        <f>IF(AND(E1463=1,L1463=1),AH1463,"")</f>
        <v/>
      </c>
      <c r="AY1463" s="34">
        <f>IF(AND(E1463=1,L1463=0),AH1463,"")</f>
        <v>9.5</v>
      </c>
      <c r="AZ1463" s="34" t="str">
        <f>IF(G1463=1,F1463,"")</f>
        <v/>
      </c>
      <c r="BA1463" s="34" t="str">
        <f>IF(AND(G1463=1,L1463=1),F1463,"")</f>
        <v/>
      </c>
      <c r="BB1463" s="34" t="str">
        <f>IF(AND(G1463=1,L1463=0),F1463,"")</f>
        <v/>
      </c>
      <c r="BC1463" s="33">
        <f>IF(E1463=1,IF(Orders!R1460&gt;3,1,0),"")</f>
        <v>0</v>
      </c>
      <c r="BD1463" s="33">
        <f>IF(E1463=1,IF(Orders!R1460&gt;7,1,0),"")</f>
        <v>0</v>
      </c>
      <c r="BE1463" s="32" t="str">
        <f>IF(E1463=1,IF(Orders!L1460&lt;=1.5,"Up to 1.5 km",IF(Orders!L1460&lt;=3,"1.5–3 km","Over 3 km")),"")</f>
        <v>Up to 1.5 km</v>
      </c>
      <c r="BF1463" s="33">
        <f>IF(E1463=1,IF(ABS((Orders!G1460-Orders!F1460)*1440-Orders!R1460)&lt;0.06,1,0),"")</f>
        <v>1</v>
      </c>
      <c r="BG1463" s="33">
        <f>IF(ABS((Orders!F1460-Orders!E1460)*1440-Orders!P1460)&lt;0.06,1,0)</f>
        <v>1</v>
      </c>
      <c r="BH1463" s="33">
        <f>IF(E1463=1,IF(IF(Orders!S1460,1,0)=1-G1463,1,0),"")</f>
        <v>1</v>
      </c>
      <c r="BI1463" s="32" t="str">
        <f>INDEX(Stores!$B$2:$B$21,MATCH(B1463,Stores!$A$2:$A$21,0))</f>
        <v>Pune</v>
      </c>
    </row>
    <row r="1464">
      <c r="A1464" s="32" t="str">
        <f>Orders!A1461</f>
        <v>O01460</v>
      </c>
      <c r="B1464" s="32" t="str">
        <f>Orders!C1461</f>
        <v>S001</v>
      </c>
      <c r="C1464" s="32" t="str">
        <f>Orders!B1461</f>
        <v>C0238</v>
      </c>
      <c r="D1464" s="32" t="str">
        <f>Orders!H1461</f>
        <v>Delivered</v>
      </c>
      <c r="E1464" s="33">
        <f>IF(Orders!H1461="Delivered",1,0)</f>
        <v>1</v>
      </c>
      <c r="F1464" s="34">
        <f>IF(E1464=1,Orders!R1461,"")</f>
        <v>-0.9</v>
      </c>
      <c r="G1464" s="33">
        <f>IF(E1464=1,IF(Orders!R1461&gt;0,1,0),"")</f>
        <v>0</v>
      </c>
      <c r="H1464" s="33">
        <f>IF(E1464=1,IF(Orders!R1461&gt;5,1,0),"")</f>
        <v>0</v>
      </c>
      <c r="I1464" s="32" t="str">
        <f>IF(E1464=1,"",IF(OR(Orders!T1461="Rider unavailable",Orders!T1461="Item unavailable"),"Company-caused","Unresolved"))</f>
        <v/>
      </c>
      <c r="J1464" s="33">
        <f>IF(OR(E1464=1,I1464="Company-caused"),1,0)</f>
        <v>1</v>
      </c>
      <c r="K1464" s="32" t="str">
        <f>IF(E1464=0,IF(I1464="Company-caused",IF(Orders!T1461="Rider unavailable","C1 Rider unavailable","C2 Item unavailable"),"Outside root: unresolved"),IF(G1464=0,"A On time",IF(H1464=1,IF(L1464=1,"B2a Severe, peak","B2b Severe, off-peak"),IF(L1464=1,"B1a Slight, peak","B1b Slight, off-peak"))))</f>
        <v>A On time</v>
      </c>
      <c r="L1464" s="33">
        <f>IF(AND(Orders!U1461&gt;=19,Orders!U1461&lt;22),1,0)</f>
        <v>0</v>
      </c>
      <c r="M1464" s="33">
        <f>IF(L1464=IF(Orders!V1461,1,0),1,0)</f>
        <v>1</v>
      </c>
      <c r="N1464" s="32" t="str">
        <f>IF(Orders!W1461="","None",Orders!W1461)</f>
        <v>None</v>
      </c>
      <c r="O1464" s="35">
        <f>INT(Orders!E1461)</f>
        <v>46274.0</v>
      </c>
      <c r="P1464" s="33">
        <f>Orders!U1461</f>
        <v>22</v>
      </c>
      <c r="Q1464" s="33">
        <f>COUNTIFS(Demand!$A$2:$A$4481,B1464,Demand!$B$2:$B$4481,O1464,Demand!$C$2:$C$4481,P1464)</f>
        <v>1</v>
      </c>
      <c r="R1464" s="33">
        <f>IF(Q1464=1,SUMIFS(Demand!$E$2:$E$4481,Demand!$A$2:$A$4481,B1464,Demand!$B$2:$B$4481,O1464,Demand!$C$2:$C$4481,P1464),"")</f>
        <v>17</v>
      </c>
      <c r="S1464" s="33">
        <f>INDEX(Stores!$G$2:$G$21,MATCH(B1464,Stores!$A$2:$A$21,0))</f>
        <v>16</v>
      </c>
      <c r="T1464" s="34">
        <f>IF(R1464="","",R1464/S1464)</f>
        <v>1.0625</v>
      </c>
      <c r="U1464" s="34">
        <f>IF(E1464=1,T1464,"")</f>
        <v>1.0625</v>
      </c>
      <c r="V1464" s="34">
        <f>IF(AND(E1464=1,L1464=0),T1464,"")</f>
        <v>1.0625</v>
      </c>
      <c r="W1464" s="33">
        <f>IF(U1464="","",IF(U1464&lt;=Breakdowns!$C$5,1,IF(U1464&lt;=Breakdowns!$C$6,2,IF(U1464&lt;=Breakdowns!$C$7,3,4))))</f>
        <v>3</v>
      </c>
      <c r="X1464" s="33">
        <f>IF(V1464="","",IF(V1464&lt;=Breakdowns!$D$5,1,IF(V1464&lt;=Breakdowns!$D$6,2,IF(V1464&lt;=Breakdowns!$D$7,3,4))))</f>
        <v>3</v>
      </c>
      <c r="Y1464" s="34">
        <f>INDEX(Stores!$F$2:$F$21,MATCH(B1464,Stores!$A$2:$A$21,0))</f>
        <v>4.59</v>
      </c>
      <c r="Z1464" s="33">
        <f>IF(Y1464&gt;Store_Summary!$M$2,1,0)</f>
        <v>0</v>
      </c>
      <c r="AA1464" s="33">
        <f>INDEX(Stores!$C$2:$C$21,MATCH(B1464,Stores!$A$2:$A$21,0))</f>
        <v>362</v>
      </c>
      <c r="AB1464" s="33">
        <f>IF(AA1464&lt;180,1,0)</f>
        <v>0</v>
      </c>
      <c r="AC1464" s="32" t="str">
        <f>IF(Orders!D1461="","",INDEX(Riders!$C$2:$C$81,MATCH(Orders!D1461,Riders!$A$2:$A$81,0)))</f>
        <v>EV scooter</v>
      </c>
      <c r="AD1464" s="33">
        <f>IF(Orders!D1461="","",INDEX(Riders!$D$2:$D$81,MATCH(Orders!D1461,Riders!$A$2:$A$81,0)))</f>
        <v>45</v>
      </c>
      <c r="AE1464" s="33">
        <f>IF(Orders!D1461="","",IF(INDEX(Riders!$B$2:$B$81,MATCH(Orders!D1461,Riders!$A$2:$A$81,0))=B1464,1,0))</f>
        <v>0</v>
      </c>
      <c r="AF1464" s="34">
        <f>IF(E1464=1,Orders!L1461,"")</f>
        <v>0.76</v>
      </c>
      <c r="AG1464" s="34">
        <f>IF(E1464=1,Orders!P1461,"")</f>
        <v>8.6</v>
      </c>
      <c r="AH1464" s="34">
        <f>IF(E1464=1,Orders!Q1461,"")</f>
        <v>7.7</v>
      </c>
      <c r="AI1464" s="34">
        <f>IF(E1464=1,Orders!M1461,"")</f>
        <v>3.7</v>
      </c>
      <c r="AJ1464" s="34">
        <f>IF(E1464=1,Orders!N1461,"")</f>
        <v>2.4</v>
      </c>
      <c r="AK1464" s="34">
        <f>IF(E1464=1,Orders!O1461,"")</f>
        <v>1.6</v>
      </c>
      <c r="AL1464" s="33">
        <f>IF(E1464=1,IF(ROUND(ABS(AI1464+AJ1464+AK1464-AH1464),6)&lt;=0.1,1,0),"")</f>
        <v>1</v>
      </c>
      <c r="AM1464" s="36">
        <f>IF(E1464=1,AI1464/AH1464,"")</f>
        <v>0.480519480519481</v>
      </c>
      <c r="AN1464" s="36">
        <f>IF(E1464=1,AJ1464/AH1464,"")</f>
        <v>0.311688311688312</v>
      </c>
      <c r="AO1464" s="36">
        <f>IF(E1464=1,AK1464/AH1464,"")</f>
        <v>0.207792207792208</v>
      </c>
      <c r="AP1464" s="34">
        <f>IF(E1464=1,Orders!Y1461,"")</f>
        <v>0.31</v>
      </c>
      <c r="AQ1464" s="33">
        <f>IF(Orders!X1461,1,0)</f>
        <v>0</v>
      </c>
      <c r="AR1464" s="34" t="str">
        <f>IF(AND(E1464=1,L1464=1),AJ1464,"")</f>
        <v/>
      </c>
      <c r="AS1464" s="34">
        <f>IF(AND(E1464=1,L1464=0),AJ1464,"")</f>
        <v>2.4</v>
      </c>
      <c r="AT1464" s="34" t="str">
        <f>IF(AND(E1464=1,L1464=1),AI1464,"")</f>
        <v/>
      </c>
      <c r="AU1464" s="34">
        <f>IF(AND(E1464=1,L1464=0),AI1464,"")</f>
        <v>3.7</v>
      </c>
      <c r="AV1464" s="34" t="str">
        <f>IF(AND(E1464=1,L1464=1),AG1464,"")</f>
        <v/>
      </c>
      <c r="AW1464" s="34">
        <f>IF(AND(E1464=1,L1464=0),AG1464,"")</f>
        <v>8.6</v>
      </c>
      <c r="AX1464" s="34" t="str">
        <f>IF(AND(E1464=1,L1464=1),AH1464,"")</f>
        <v/>
      </c>
      <c r="AY1464" s="34">
        <f>IF(AND(E1464=1,L1464=0),AH1464,"")</f>
        <v>7.7</v>
      </c>
      <c r="AZ1464" s="34" t="str">
        <f>IF(G1464=1,F1464,"")</f>
        <v/>
      </c>
      <c r="BA1464" s="34" t="str">
        <f>IF(AND(G1464=1,L1464=1),F1464,"")</f>
        <v/>
      </c>
      <c r="BB1464" s="34" t="str">
        <f>IF(AND(G1464=1,L1464=0),F1464,"")</f>
        <v/>
      </c>
      <c r="BC1464" s="33">
        <f>IF(E1464=1,IF(Orders!R1461&gt;3,1,0),"")</f>
        <v>0</v>
      </c>
      <c r="BD1464" s="33">
        <f>IF(E1464=1,IF(Orders!R1461&gt;7,1,0),"")</f>
        <v>0</v>
      </c>
      <c r="BE1464" s="32" t="str">
        <f>IF(E1464=1,IF(Orders!L1461&lt;=1.5,"Up to 1.5 km",IF(Orders!L1461&lt;=3,"1.5–3 km","Over 3 km")),"")</f>
        <v>Up to 1.5 km</v>
      </c>
      <c r="BF1464" s="33">
        <f>IF(E1464=1,IF(ABS((Orders!G1461-Orders!F1461)*1440-Orders!R1461)&lt;0.06,1,0),"")</f>
        <v>1</v>
      </c>
      <c r="BG1464" s="33">
        <f>IF(ABS((Orders!F1461-Orders!E1461)*1440-Orders!P1461)&lt;0.06,1,0)</f>
        <v>1</v>
      </c>
      <c r="BH1464" s="33">
        <f>IF(E1464=1,IF(IF(Orders!S1461,1,0)=1-G1464,1,0),"")</f>
        <v>1</v>
      </c>
      <c r="BI1464" s="32" t="str">
        <f>INDEX(Stores!$B$2:$B$21,MATCH(B1464,Stores!$A$2:$A$21,0))</f>
        <v>Bengaluru</v>
      </c>
    </row>
    <row r="1465">
      <c r="A1465" s="32" t="str">
        <f>Orders!A1462</f>
        <v>O01461</v>
      </c>
      <c r="B1465" s="32" t="str">
        <f>Orders!C1462</f>
        <v>S003</v>
      </c>
      <c r="C1465" s="32" t="str">
        <f>Orders!B1462</f>
        <v>C0047</v>
      </c>
      <c r="D1465" s="32" t="str">
        <f>Orders!H1462</f>
        <v>Delivered</v>
      </c>
      <c r="E1465" s="33">
        <f>IF(Orders!H1462="Delivered",1,0)</f>
        <v>1</v>
      </c>
      <c r="F1465" s="34">
        <f>IF(E1465=1,Orders!R1462,"")</f>
        <v>-0.8</v>
      </c>
      <c r="G1465" s="33">
        <f>IF(E1465=1,IF(Orders!R1462&gt;0,1,0),"")</f>
        <v>0</v>
      </c>
      <c r="H1465" s="33">
        <f>IF(E1465=1,IF(Orders!R1462&gt;5,1,0),"")</f>
        <v>0</v>
      </c>
      <c r="I1465" s="32" t="str">
        <f>IF(E1465=1,"",IF(OR(Orders!T1462="Rider unavailable",Orders!T1462="Item unavailable"),"Company-caused","Unresolved"))</f>
        <v/>
      </c>
      <c r="J1465" s="33">
        <f>IF(OR(E1465=1,I1465="Company-caused"),1,0)</f>
        <v>1</v>
      </c>
      <c r="K1465" s="32" t="str">
        <f>IF(E1465=0,IF(I1465="Company-caused",IF(Orders!T1462="Rider unavailable","C1 Rider unavailable","C2 Item unavailable"),"Outside root: unresolved"),IF(G1465=0,"A On time",IF(H1465=1,IF(L1465=1,"B2a Severe, peak","B2b Severe, off-peak"),IF(L1465=1,"B1a Slight, peak","B1b Slight, off-peak"))))</f>
        <v>A On time</v>
      </c>
      <c r="L1465" s="33">
        <f>IF(AND(Orders!U1462&gt;=19,Orders!U1462&lt;22),1,0)</f>
        <v>0</v>
      </c>
      <c r="M1465" s="33">
        <f>IF(L1465=IF(Orders!V1462,1,0),1,0)</f>
        <v>1</v>
      </c>
      <c r="N1465" s="32" t="str">
        <f>IF(Orders!W1462="","None",Orders!W1462)</f>
        <v>None</v>
      </c>
      <c r="O1465" s="35">
        <f>INT(Orders!E1462)</f>
        <v>46267.0</v>
      </c>
      <c r="P1465" s="33">
        <f>Orders!U1462</f>
        <v>8</v>
      </c>
      <c r="Q1465" s="33">
        <f>COUNTIFS(Demand!$A$2:$A$4481,B1465,Demand!$B$2:$B$4481,O1465,Demand!$C$2:$C$4481,P1465)</f>
        <v>1</v>
      </c>
      <c r="R1465" s="33">
        <f>IF(Q1465=1,SUMIFS(Demand!$E$2:$E$4481,Demand!$A$2:$A$4481,B1465,Demand!$B$2:$B$4481,O1465,Demand!$C$2:$C$4481,P1465),"")</f>
        <v>26</v>
      </c>
      <c r="S1465" s="33">
        <f>INDEX(Stores!$G$2:$G$21,MATCH(B1465,Stores!$A$2:$A$21,0))</f>
        <v>41</v>
      </c>
      <c r="T1465" s="34">
        <f>IF(R1465="","",R1465/S1465)</f>
        <v>0.634146341463415</v>
      </c>
      <c r="U1465" s="34">
        <f>IF(E1465=1,T1465,"")</f>
        <v>0.634146341463415</v>
      </c>
      <c r="V1465" s="34">
        <f>IF(AND(E1465=1,L1465=0),T1465,"")</f>
        <v>0.634146341463415</v>
      </c>
      <c r="W1465" s="33">
        <f>IF(U1465="","",IF(U1465&lt;=Breakdowns!$C$5,1,IF(U1465&lt;=Breakdowns!$C$6,2,IF(U1465&lt;=Breakdowns!$C$7,3,4))))</f>
        <v>1</v>
      </c>
      <c r="X1465" s="33">
        <f>IF(V1465="","",IF(V1465&lt;=Breakdowns!$D$5,1,IF(V1465&lt;=Breakdowns!$D$6,2,IF(V1465&lt;=Breakdowns!$D$7,3,4))))</f>
        <v>1</v>
      </c>
      <c r="Y1465" s="34">
        <f>INDEX(Stores!$F$2:$F$21,MATCH(B1465,Stores!$A$2:$A$21,0))</f>
        <v>3.84</v>
      </c>
      <c r="Z1465" s="33">
        <f>IF(Y1465&gt;Store_Summary!$M$2,1,0)</f>
        <v>0</v>
      </c>
      <c r="AA1465" s="33">
        <f>INDEX(Stores!$C$2:$C$21,MATCH(B1465,Stores!$A$2:$A$21,0))</f>
        <v>426</v>
      </c>
      <c r="AB1465" s="33">
        <f>IF(AA1465&lt;180,1,0)</f>
        <v>0</v>
      </c>
      <c r="AC1465" s="32" t="str">
        <f>IF(Orders!D1462="","",INDEX(Riders!$C$2:$C$81,MATCH(Orders!D1462,Riders!$A$2:$A$81,0)))</f>
        <v>EV scooter</v>
      </c>
      <c r="AD1465" s="33">
        <f>IF(Orders!D1462="","",INDEX(Riders!$D$2:$D$81,MATCH(Orders!D1462,Riders!$A$2:$A$81,0)))</f>
        <v>32</v>
      </c>
      <c r="AE1465" s="33">
        <f>IF(Orders!D1462="","",IF(INDEX(Riders!$B$2:$B$81,MATCH(Orders!D1462,Riders!$A$2:$A$81,0))=B1465,1,0))</f>
        <v>1</v>
      </c>
      <c r="AF1465" s="34">
        <f>IF(E1465=1,Orders!L1462,"")</f>
        <v>2.1</v>
      </c>
      <c r="AG1465" s="34">
        <f>IF(E1465=1,Orders!P1462,"")</f>
        <v>9.8</v>
      </c>
      <c r="AH1465" s="34">
        <f>IF(E1465=1,Orders!Q1462,"")</f>
        <v>9</v>
      </c>
      <c r="AI1465" s="34">
        <f>IF(E1465=1,Orders!M1462,"")</f>
        <v>3.2</v>
      </c>
      <c r="AJ1465" s="34">
        <f>IF(E1465=1,Orders!N1462,"")</f>
        <v>2.5</v>
      </c>
      <c r="AK1465" s="34">
        <f>IF(E1465=1,Orders!O1462,"")</f>
        <v>3.3</v>
      </c>
      <c r="AL1465" s="33">
        <f>IF(E1465=1,IF(ROUND(ABS(AI1465+AJ1465+AK1465-AH1465),6)&lt;=0.1,1,0),"")</f>
        <v>1</v>
      </c>
      <c r="AM1465" s="36">
        <f>IF(E1465=1,AI1465/AH1465,"")</f>
        <v>0.355555555555556</v>
      </c>
      <c r="AN1465" s="36">
        <f>IF(E1465=1,AJ1465/AH1465,"")</f>
        <v>0.277777777777778</v>
      </c>
      <c r="AO1465" s="36">
        <f>IF(E1465=1,AK1465/AH1465,"")</f>
        <v>0.366666666666667</v>
      </c>
      <c r="AP1465" s="34">
        <f>IF(E1465=1,Orders!Y1462,"")</f>
        <v>0.36</v>
      </c>
      <c r="AQ1465" s="33">
        <f>IF(Orders!X1462,1,0)</f>
        <v>0</v>
      </c>
      <c r="AR1465" s="34" t="str">
        <f>IF(AND(E1465=1,L1465=1),AJ1465,"")</f>
        <v/>
      </c>
      <c r="AS1465" s="34">
        <f>IF(AND(E1465=1,L1465=0),AJ1465,"")</f>
        <v>2.5</v>
      </c>
      <c r="AT1465" s="34" t="str">
        <f>IF(AND(E1465=1,L1465=1),AI1465,"")</f>
        <v/>
      </c>
      <c r="AU1465" s="34">
        <f>IF(AND(E1465=1,L1465=0),AI1465,"")</f>
        <v>3.2</v>
      </c>
      <c r="AV1465" s="34" t="str">
        <f>IF(AND(E1465=1,L1465=1),AG1465,"")</f>
        <v/>
      </c>
      <c r="AW1465" s="34">
        <f>IF(AND(E1465=1,L1465=0),AG1465,"")</f>
        <v>9.8</v>
      </c>
      <c r="AX1465" s="34" t="str">
        <f>IF(AND(E1465=1,L1465=1),AH1465,"")</f>
        <v/>
      </c>
      <c r="AY1465" s="34">
        <f>IF(AND(E1465=1,L1465=0),AH1465,"")</f>
        <v>9</v>
      </c>
      <c r="AZ1465" s="34" t="str">
        <f>IF(G1465=1,F1465,"")</f>
        <v/>
      </c>
      <c r="BA1465" s="34" t="str">
        <f>IF(AND(G1465=1,L1465=1),F1465,"")</f>
        <v/>
      </c>
      <c r="BB1465" s="34" t="str">
        <f>IF(AND(G1465=1,L1465=0),F1465,"")</f>
        <v/>
      </c>
      <c r="BC1465" s="33">
        <f>IF(E1465=1,IF(Orders!R1462&gt;3,1,0),"")</f>
        <v>0</v>
      </c>
      <c r="BD1465" s="33">
        <f>IF(E1465=1,IF(Orders!R1462&gt;7,1,0),"")</f>
        <v>0</v>
      </c>
      <c r="BE1465" s="32" t="str">
        <f>IF(E1465=1,IF(Orders!L1462&lt;=1.5,"Up to 1.5 km",IF(Orders!L1462&lt;=3,"1.5–3 km","Over 3 km")),"")</f>
        <v>1.5–3 km</v>
      </c>
      <c r="BF1465" s="33">
        <f>IF(E1465=1,IF(ABS((Orders!G1462-Orders!F1462)*1440-Orders!R1462)&lt;0.06,1,0),"")</f>
        <v>1</v>
      </c>
      <c r="BG1465" s="33">
        <f>IF(ABS((Orders!F1462-Orders!E1462)*1440-Orders!P1462)&lt;0.06,1,0)</f>
        <v>1</v>
      </c>
      <c r="BH1465" s="33">
        <f>IF(E1465=1,IF(IF(Orders!S1462,1,0)=1-G1465,1,0),"")</f>
        <v>1</v>
      </c>
      <c r="BI1465" s="32" t="str">
        <f>INDEX(Stores!$B$2:$B$21,MATCH(B1465,Stores!$A$2:$A$21,0))</f>
        <v>Mumbai</v>
      </c>
    </row>
    <row r="1466">
      <c r="A1466" s="32" t="str">
        <f>Orders!A1463</f>
        <v>O01462</v>
      </c>
      <c r="B1466" s="32" t="str">
        <f>Orders!C1463</f>
        <v>S011</v>
      </c>
      <c r="C1466" s="32" t="str">
        <f>Orders!B1463</f>
        <v>C0040</v>
      </c>
      <c r="D1466" s="32" t="str">
        <f>Orders!H1463</f>
        <v>Delivered</v>
      </c>
      <c r="E1466" s="33">
        <f>IF(Orders!H1463="Delivered",1,0)</f>
        <v>1</v>
      </c>
      <c r="F1466" s="34">
        <f>IF(E1466=1,Orders!R1463,"")</f>
        <v>5.7</v>
      </c>
      <c r="G1466" s="33">
        <f>IF(E1466=1,IF(Orders!R1463&gt;0,1,0),"")</f>
        <v>1</v>
      </c>
      <c r="H1466" s="33">
        <f>IF(E1466=1,IF(Orders!R1463&gt;5,1,0),"")</f>
        <v>1</v>
      </c>
      <c r="I1466" s="32" t="str">
        <f>IF(E1466=1,"",IF(OR(Orders!T1463="Rider unavailable",Orders!T1463="Item unavailable"),"Company-caused","Unresolved"))</f>
        <v/>
      </c>
      <c r="J1466" s="33">
        <f>IF(OR(E1466=1,I1466="Company-caused"),1,0)</f>
        <v>1</v>
      </c>
      <c r="K1466" s="32" t="str">
        <f>IF(E1466=0,IF(I1466="Company-caused",IF(Orders!T1463="Rider unavailable","C1 Rider unavailable","C2 Item unavailable"),"Outside root: unresolved"),IF(G1466=0,"A On time",IF(H1466=1,IF(L1466=1,"B2a Severe, peak","B2b Severe, off-peak"),IF(L1466=1,"B1a Slight, peak","B1b Slight, off-peak"))))</f>
        <v>B2b Severe, off-peak</v>
      </c>
      <c r="L1466" s="33">
        <f>IF(AND(Orders!U1463&gt;=19,Orders!U1463&lt;22),1,0)</f>
        <v>0</v>
      </c>
      <c r="M1466" s="33">
        <f>IF(L1466=IF(Orders!V1463,1,0),1,0)</f>
        <v>1</v>
      </c>
      <c r="N1466" s="32" t="str">
        <f>IF(Orders!W1463="","None",Orders!W1463)</f>
        <v>Light</v>
      </c>
      <c r="O1466" s="35">
        <f>INT(Orders!E1463)</f>
        <v>46275.0</v>
      </c>
      <c r="P1466" s="33">
        <f>Orders!U1463</f>
        <v>23</v>
      </c>
      <c r="Q1466" s="33">
        <f>COUNTIFS(Demand!$A$2:$A$4481,B1466,Demand!$B$2:$B$4481,O1466,Demand!$C$2:$C$4481,P1466)</f>
        <v>1</v>
      </c>
      <c r="R1466" s="33">
        <f>IF(Q1466=1,SUMIFS(Demand!$E$2:$E$4481,Demand!$A$2:$A$4481,B1466,Demand!$B$2:$B$4481,O1466,Demand!$C$2:$C$4481,P1466),"")</f>
        <v>29</v>
      </c>
      <c r="S1466" s="33">
        <f>INDEX(Stores!$G$2:$G$21,MATCH(B1466,Stores!$A$2:$A$21,0))</f>
        <v>31</v>
      </c>
      <c r="T1466" s="34">
        <f>IF(R1466="","",R1466/S1466)</f>
        <v>0.935483870967742</v>
      </c>
      <c r="U1466" s="34">
        <f>IF(E1466=1,T1466,"")</f>
        <v>0.935483870967742</v>
      </c>
      <c r="V1466" s="34">
        <f>IF(AND(E1466=1,L1466=0),T1466,"")</f>
        <v>0.935483870967742</v>
      </c>
      <c r="W1466" s="33">
        <f>IF(U1466="","",IF(U1466&lt;=Breakdowns!$C$5,1,IF(U1466&lt;=Breakdowns!$C$6,2,IF(U1466&lt;=Breakdowns!$C$7,3,4))))</f>
        <v>2</v>
      </c>
      <c r="X1466" s="33">
        <f>IF(V1466="","",IF(V1466&lt;=Breakdowns!$D$5,1,IF(V1466&lt;=Breakdowns!$D$6,2,IF(V1466&lt;=Breakdowns!$D$7,3,4))))</f>
        <v>3</v>
      </c>
      <c r="Y1466" s="34">
        <f>INDEX(Stores!$F$2:$F$21,MATCH(B1466,Stores!$A$2:$A$21,0))</f>
        <v>5.67</v>
      </c>
      <c r="Z1466" s="33">
        <f>IF(Y1466&gt;Store_Summary!$M$2,1,0)</f>
        <v>1</v>
      </c>
      <c r="AA1466" s="33">
        <f>INDEX(Stores!$C$2:$C$21,MATCH(B1466,Stores!$A$2:$A$21,0))</f>
        <v>732</v>
      </c>
      <c r="AB1466" s="33">
        <f>IF(AA1466&lt;180,1,0)</f>
        <v>0</v>
      </c>
      <c r="AC1466" s="32" t="str">
        <f>IF(Orders!D1463="","",INDEX(Riders!$C$2:$C$81,MATCH(Orders!D1463,Riders!$A$2:$A$81,0)))</f>
        <v>EV scooter</v>
      </c>
      <c r="AD1466" s="33">
        <f>IF(Orders!D1463="","",INDEX(Riders!$D$2:$D$81,MATCH(Orders!D1463,Riders!$A$2:$A$81,0)))</f>
        <v>27</v>
      </c>
      <c r="AE1466" s="33">
        <f>IF(Orders!D1463="","",IF(INDEX(Riders!$B$2:$B$81,MATCH(Orders!D1463,Riders!$A$2:$A$81,0))=B1466,1,0))</f>
        <v>0</v>
      </c>
      <c r="AF1466" s="34">
        <f>IF(E1466=1,Orders!L1463,"")</f>
        <v>2.12</v>
      </c>
      <c r="AG1466" s="34">
        <f>IF(E1466=1,Orders!P1463,"")</f>
        <v>10.8</v>
      </c>
      <c r="AH1466" s="34">
        <f>IF(E1466=1,Orders!Q1463,"")</f>
        <v>16.5</v>
      </c>
      <c r="AI1466" s="34">
        <f>IF(E1466=1,Orders!M1463,"")</f>
        <v>6.5</v>
      </c>
      <c r="AJ1466" s="34">
        <f>IF(E1466=1,Orders!N1463,"")</f>
        <v>3.5</v>
      </c>
      <c r="AK1466" s="34">
        <f>IF(E1466=1,Orders!O1463,"")</f>
        <v>6.4</v>
      </c>
      <c r="AL1466" s="33">
        <f>IF(E1466=1,IF(ROUND(ABS(AI1466+AJ1466+AK1466-AH1466),6)&lt;=0.1,1,0),"")</f>
        <v>1</v>
      </c>
      <c r="AM1466" s="36">
        <f>IF(E1466=1,AI1466/AH1466,"")</f>
        <v>0.393939393939394</v>
      </c>
      <c r="AN1466" s="36">
        <f>IF(E1466=1,AJ1466/AH1466,"")</f>
        <v>0.212121212121212</v>
      </c>
      <c r="AO1466" s="36">
        <f>IF(E1466=1,AK1466/AH1466,"")</f>
        <v>0.387878787878788</v>
      </c>
      <c r="AP1466" s="34">
        <f>IF(E1466=1,Orders!Y1463,"")</f>
        <v>0.39</v>
      </c>
      <c r="AQ1466" s="33">
        <f>IF(Orders!X1463,1,0)</f>
        <v>0</v>
      </c>
      <c r="AR1466" s="34" t="str">
        <f>IF(AND(E1466=1,L1466=1),AJ1466,"")</f>
        <v/>
      </c>
      <c r="AS1466" s="34">
        <f>IF(AND(E1466=1,L1466=0),AJ1466,"")</f>
        <v>3.5</v>
      </c>
      <c r="AT1466" s="34" t="str">
        <f>IF(AND(E1466=1,L1466=1),AI1466,"")</f>
        <v/>
      </c>
      <c r="AU1466" s="34">
        <f>IF(AND(E1466=1,L1466=0),AI1466,"")</f>
        <v>6.5</v>
      </c>
      <c r="AV1466" s="34" t="str">
        <f>IF(AND(E1466=1,L1466=1),AG1466,"")</f>
        <v/>
      </c>
      <c r="AW1466" s="34">
        <f>IF(AND(E1466=1,L1466=0),AG1466,"")</f>
        <v>10.8</v>
      </c>
      <c r="AX1466" s="34" t="str">
        <f>IF(AND(E1466=1,L1466=1),AH1466,"")</f>
        <v/>
      </c>
      <c r="AY1466" s="34">
        <f>IF(AND(E1466=1,L1466=0),AH1466,"")</f>
        <v>16.5</v>
      </c>
      <c r="AZ1466" s="34">
        <f>IF(G1466=1,F1466,"")</f>
        <v>5.7</v>
      </c>
      <c r="BA1466" s="34" t="str">
        <f>IF(AND(G1466=1,L1466=1),F1466,"")</f>
        <v/>
      </c>
      <c r="BB1466" s="34">
        <f>IF(AND(G1466=1,L1466=0),F1466,"")</f>
        <v>5.7</v>
      </c>
      <c r="BC1466" s="33">
        <f>IF(E1466=1,IF(Orders!R1463&gt;3,1,0),"")</f>
        <v>1</v>
      </c>
      <c r="BD1466" s="33">
        <f>IF(E1466=1,IF(Orders!R1463&gt;7,1,0),"")</f>
        <v>0</v>
      </c>
      <c r="BE1466" s="32" t="str">
        <f>IF(E1466=1,IF(Orders!L1463&lt;=1.5,"Up to 1.5 km",IF(Orders!L1463&lt;=3,"1.5–3 km","Over 3 km")),"")</f>
        <v>1.5–3 km</v>
      </c>
      <c r="BF1466" s="33">
        <f>IF(E1466=1,IF(ABS((Orders!G1463-Orders!F1463)*1440-Orders!R1463)&lt;0.06,1,0),"")</f>
        <v>1</v>
      </c>
      <c r="BG1466" s="33">
        <f>IF(ABS((Orders!F1463-Orders!E1463)*1440-Orders!P1463)&lt;0.06,1,0)</f>
        <v>1</v>
      </c>
      <c r="BH1466" s="33">
        <f>IF(E1466=1,IF(IF(Orders!S1463,1,0)=1-G1466,1,0),"")</f>
        <v>1</v>
      </c>
      <c r="BI1466" s="32" t="str">
        <f>INDEX(Stores!$B$2:$B$21,MATCH(B1466,Stores!$A$2:$A$21,0))</f>
        <v>Bengaluru</v>
      </c>
    </row>
    <row r="1467">
      <c r="A1467" s="32" t="str">
        <f>Orders!A1464</f>
        <v>O01463</v>
      </c>
      <c r="B1467" s="32" t="str">
        <f>Orders!C1464</f>
        <v>S016</v>
      </c>
      <c r="C1467" s="32" t="str">
        <f>Orders!B1464</f>
        <v>C0009</v>
      </c>
      <c r="D1467" s="32" t="str">
        <f>Orders!H1464</f>
        <v>Delivered</v>
      </c>
      <c r="E1467" s="33">
        <f>IF(Orders!H1464="Delivered",1,0)</f>
        <v>1</v>
      </c>
      <c r="F1467" s="34">
        <f>IF(E1467=1,Orders!R1464,"")</f>
        <v>10</v>
      </c>
      <c r="G1467" s="33">
        <f>IF(E1467=1,IF(Orders!R1464&gt;0,1,0),"")</f>
        <v>1</v>
      </c>
      <c r="H1467" s="33">
        <f>IF(E1467=1,IF(Orders!R1464&gt;5,1,0),"")</f>
        <v>1</v>
      </c>
      <c r="I1467" s="32" t="str">
        <f>IF(E1467=1,"",IF(OR(Orders!T1464="Rider unavailable",Orders!T1464="Item unavailable"),"Company-caused","Unresolved"))</f>
        <v/>
      </c>
      <c r="J1467" s="33">
        <f>IF(OR(E1467=1,I1467="Company-caused"),1,0)</f>
        <v>1</v>
      </c>
      <c r="K1467" s="32" t="str">
        <f>IF(E1467=0,IF(I1467="Company-caused",IF(Orders!T1464="Rider unavailable","C1 Rider unavailable","C2 Item unavailable"),"Outside root: unresolved"),IF(G1467=0,"A On time",IF(H1467=1,IF(L1467=1,"B2a Severe, peak","B2b Severe, off-peak"),IF(L1467=1,"B1a Slight, peak","B1b Slight, off-peak"))))</f>
        <v>B2a Severe, peak</v>
      </c>
      <c r="L1467" s="33">
        <f>IF(AND(Orders!U1464&gt;=19,Orders!U1464&lt;22),1,0)</f>
        <v>1</v>
      </c>
      <c r="M1467" s="33">
        <f>IF(L1467=IF(Orders!V1464,1,0),1,0)</f>
        <v>1</v>
      </c>
      <c r="N1467" s="32" t="str">
        <f>IF(Orders!W1464="","None",Orders!W1464)</f>
        <v>None</v>
      </c>
      <c r="O1467" s="35">
        <f>INT(Orders!E1464)</f>
        <v>46267.0</v>
      </c>
      <c r="P1467" s="33">
        <f>Orders!U1464</f>
        <v>21</v>
      </c>
      <c r="Q1467" s="33">
        <f>COUNTIFS(Demand!$A$2:$A$4481,B1467,Demand!$B$2:$B$4481,O1467,Demand!$C$2:$C$4481,P1467)</f>
        <v>1</v>
      </c>
      <c r="R1467" s="33">
        <f>IF(Q1467=1,SUMIFS(Demand!$E$2:$E$4481,Demand!$A$2:$A$4481,B1467,Demand!$B$2:$B$4481,O1467,Demand!$C$2:$C$4481,P1467),"")</f>
        <v>35</v>
      </c>
      <c r="S1467" s="33">
        <f>INDEX(Stores!$G$2:$G$21,MATCH(B1467,Stores!$A$2:$A$21,0))</f>
        <v>25</v>
      </c>
      <c r="T1467" s="34">
        <f>IF(R1467="","",R1467/S1467)</f>
        <v>1.4</v>
      </c>
      <c r="U1467" s="34">
        <f>IF(E1467=1,T1467,"")</f>
        <v>1.4</v>
      </c>
      <c r="V1467" s="34" t="str">
        <f>IF(AND(E1467=1,L1467=0),T1467,"")</f>
        <v/>
      </c>
      <c r="W1467" s="33">
        <f>IF(U1467="","",IF(U1467&lt;=Breakdowns!$C$5,1,IF(U1467&lt;=Breakdowns!$C$6,2,IF(U1467&lt;=Breakdowns!$C$7,3,4))))</f>
        <v>4</v>
      </c>
      <c r="X1467" s="33" t="str">
        <f>IF(V1467="","",IF(V1467&lt;=Breakdowns!$D$5,1,IF(V1467&lt;=Breakdowns!$D$6,2,IF(V1467&lt;=Breakdowns!$D$7,3,4))))</f>
        <v/>
      </c>
      <c r="Y1467" s="34">
        <f>INDEX(Stores!$F$2:$F$21,MATCH(B1467,Stores!$A$2:$A$21,0))</f>
        <v>5.51</v>
      </c>
      <c r="Z1467" s="33">
        <f>IF(Y1467&gt;Store_Summary!$M$2,1,0)</f>
        <v>1</v>
      </c>
      <c r="AA1467" s="33">
        <f>INDEX(Stores!$C$2:$C$21,MATCH(B1467,Stores!$A$2:$A$21,0))</f>
        <v>792</v>
      </c>
      <c r="AB1467" s="33">
        <f>IF(AA1467&lt;180,1,0)</f>
        <v>0</v>
      </c>
      <c r="AC1467" s="32" t="str">
        <f>IF(Orders!D1464="","",INDEX(Riders!$C$2:$C$81,MATCH(Orders!D1464,Riders!$A$2:$A$81,0)))</f>
        <v>EV scooter</v>
      </c>
      <c r="AD1467" s="33">
        <f>IF(Orders!D1464="","",INDEX(Riders!$D$2:$D$81,MATCH(Orders!D1464,Riders!$A$2:$A$81,0)))</f>
        <v>45</v>
      </c>
      <c r="AE1467" s="33">
        <f>IF(Orders!D1464="","",IF(INDEX(Riders!$B$2:$B$81,MATCH(Orders!D1464,Riders!$A$2:$A$81,0))=B1467,1,0))</f>
        <v>0</v>
      </c>
      <c r="AF1467" s="34">
        <f>IF(E1467=1,Orders!L1464,"")</f>
        <v>1.71</v>
      </c>
      <c r="AG1467" s="34">
        <f>IF(E1467=1,Orders!P1464,"")</f>
        <v>10.5</v>
      </c>
      <c r="AH1467" s="34">
        <f>IF(E1467=1,Orders!Q1464,"")</f>
        <v>20.5</v>
      </c>
      <c r="AI1467" s="34">
        <f>IF(E1467=1,Orders!M1464,"")</f>
        <v>7</v>
      </c>
      <c r="AJ1467" s="34">
        <f>IF(E1467=1,Orders!N1464,"")</f>
        <v>8.8</v>
      </c>
      <c r="AK1467" s="34">
        <f>IF(E1467=1,Orders!O1464,"")</f>
        <v>4.8</v>
      </c>
      <c r="AL1467" s="33">
        <f>IF(E1467=1,IF(ROUND(ABS(AI1467+AJ1467+AK1467-AH1467),6)&lt;=0.1,1,0),"")</f>
        <v>1</v>
      </c>
      <c r="AM1467" s="36">
        <f>IF(E1467=1,AI1467/AH1467,"")</f>
        <v>0.341463414634146</v>
      </c>
      <c r="AN1467" s="36">
        <f>IF(E1467=1,AJ1467/AH1467,"")</f>
        <v>0.429268292682927</v>
      </c>
      <c r="AO1467" s="36">
        <f>IF(E1467=1,AK1467/AH1467,"")</f>
        <v>0.234146341463415</v>
      </c>
      <c r="AP1467" s="34">
        <f>IF(E1467=1,Orders!Y1464,"")</f>
        <v>0.5</v>
      </c>
      <c r="AQ1467" s="33">
        <f>IF(Orders!X1464,1,0)</f>
        <v>0</v>
      </c>
      <c r="AR1467" s="34">
        <f>IF(AND(E1467=1,L1467=1),AJ1467,"")</f>
        <v>8.8</v>
      </c>
      <c r="AS1467" s="34" t="str">
        <f>IF(AND(E1467=1,L1467=0),AJ1467,"")</f>
        <v/>
      </c>
      <c r="AT1467" s="34">
        <f>IF(AND(E1467=1,L1467=1),AI1467,"")</f>
        <v>7</v>
      </c>
      <c r="AU1467" s="34" t="str">
        <f>IF(AND(E1467=1,L1467=0),AI1467,"")</f>
        <v/>
      </c>
      <c r="AV1467" s="34">
        <f>IF(AND(E1467=1,L1467=1),AG1467,"")</f>
        <v>10.5</v>
      </c>
      <c r="AW1467" s="34" t="str">
        <f>IF(AND(E1467=1,L1467=0),AG1467,"")</f>
        <v/>
      </c>
      <c r="AX1467" s="34">
        <f>IF(AND(E1467=1,L1467=1),AH1467,"")</f>
        <v>20.5</v>
      </c>
      <c r="AY1467" s="34" t="str">
        <f>IF(AND(E1467=1,L1467=0),AH1467,"")</f>
        <v/>
      </c>
      <c r="AZ1467" s="34">
        <f>IF(G1467=1,F1467,"")</f>
        <v>10</v>
      </c>
      <c r="BA1467" s="34">
        <f>IF(AND(G1467=1,L1467=1),F1467,"")</f>
        <v>10</v>
      </c>
      <c r="BB1467" s="34" t="str">
        <f>IF(AND(G1467=1,L1467=0),F1467,"")</f>
        <v/>
      </c>
      <c r="BC1467" s="33">
        <f>IF(E1467=1,IF(Orders!R1464&gt;3,1,0),"")</f>
        <v>1</v>
      </c>
      <c r="BD1467" s="33">
        <f>IF(E1467=1,IF(Orders!R1464&gt;7,1,0),"")</f>
        <v>1</v>
      </c>
      <c r="BE1467" s="32" t="str">
        <f>IF(E1467=1,IF(Orders!L1464&lt;=1.5,"Up to 1.5 km",IF(Orders!L1464&lt;=3,"1.5–3 km","Over 3 km")),"")</f>
        <v>1.5–3 km</v>
      </c>
      <c r="BF1467" s="33">
        <f>IF(E1467=1,IF(ABS((Orders!G1464-Orders!F1464)*1440-Orders!R1464)&lt;0.06,1,0),"")</f>
        <v>1</v>
      </c>
      <c r="BG1467" s="33">
        <f>IF(ABS((Orders!F1464-Orders!E1464)*1440-Orders!P1464)&lt;0.06,1,0)</f>
        <v>1</v>
      </c>
      <c r="BH1467" s="33">
        <f>IF(E1467=1,IF(IF(Orders!S1464,1,0)=1-G1467,1,0),"")</f>
        <v>1</v>
      </c>
      <c r="BI1467" s="32" t="str">
        <f>INDEX(Stores!$B$2:$B$21,MATCH(B1467,Stores!$A$2:$A$21,0))</f>
        <v>Bengaluru</v>
      </c>
    </row>
    <row r="1468">
      <c r="A1468" s="32" t="str">
        <f>Orders!A1465</f>
        <v>O01464</v>
      </c>
      <c r="B1468" s="32" t="str">
        <f>Orders!C1465</f>
        <v>S013</v>
      </c>
      <c r="C1468" s="32" t="str">
        <f>Orders!B1465</f>
        <v>C0195</v>
      </c>
      <c r="D1468" s="32" t="str">
        <f>Orders!H1465</f>
        <v>Delivered</v>
      </c>
      <c r="E1468" s="33">
        <f>IF(Orders!H1465="Delivered",1,0)</f>
        <v>1</v>
      </c>
      <c r="F1468" s="34">
        <f>IF(E1468=1,Orders!R1465,"")</f>
        <v>-1.1</v>
      </c>
      <c r="G1468" s="33">
        <f>IF(E1468=1,IF(Orders!R1465&gt;0,1,0),"")</f>
        <v>0</v>
      </c>
      <c r="H1468" s="33">
        <f>IF(E1468=1,IF(Orders!R1465&gt;5,1,0),"")</f>
        <v>0</v>
      </c>
      <c r="I1468" s="32" t="str">
        <f>IF(E1468=1,"",IF(OR(Orders!T1465="Rider unavailable",Orders!T1465="Item unavailable"),"Company-caused","Unresolved"))</f>
        <v/>
      </c>
      <c r="J1468" s="33">
        <f>IF(OR(E1468=1,I1468="Company-caused"),1,0)</f>
        <v>1</v>
      </c>
      <c r="K1468" s="32" t="str">
        <f>IF(E1468=0,IF(I1468="Company-caused",IF(Orders!T1465="Rider unavailable","C1 Rider unavailable","C2 Item unavailable"),"Outside root: unresolved"),IF(G1468=0,"A On time",IF(H1468=1,IF(L1468=1,"B2a Severe, peak","B2b Severe, off-peak"),IF(L1468=1,"B1a Slight, peak","B1b Slight, off-peak"))))</f>
        <v>A On time</v>
      </c>
      <c r="L1468" s="33">
        <f>IF(AND(Orders!U1465&gt;=19,Orders!U1465&lt;22),1,0)</f>
        <v>0</v>
      </c>
      <c r="M1468" s="33">
        <f>IF(L1468=IF(Orders!V1465,1,0),1,0)</f>
        <v>1</v>
      </c>
      <c r="N1468" s="32" t="str">
        <f>IF(Orders!W1465="","None",Orders!W1465)</f>
        <v>None</v>
      </c>
      <c r="O1468" s="35">
        <f>INT(Orders!E1465)</f>
        <v>46269.0</v>
      </c>
      <c r="P1468" s="33">
        <f>Orders!U1465</f>
        <v>16</v>
      </c>
      <c r="Q1468" s="33">
        <f>COUNTIFS(Demand!$A$2:$A$4481,B1468,Demand!$B$2:$B$4481,O1468,Demand!$C$2:$C$4481,P1468)</f>
        <v>1</v>
      </c>
      <c r="R1468" s="33">
        <f>IF(Q1468=1,SUMIFS(Demand!$E$2:$E$4481,Demand!$A$2:$A$4481,B1468,Demand!$B$2:$B$4481,O1468,Demand!$C$2:$C$4481,P1468),"")</f>
        <v>61</v>
      </c>
      <c r="S1468" s="33">
        <f>INDEX(Stores!$G$2:$G$21,MATCH(B1468,Stores!$A$2:$A$21,0))</f>
        <v>49</v>
      </c>
      <c r="T1468" s="34">
        <f>IF(R1468="","",R1468/S1468)</f>
        <v>1.24489795918367</v>
      </c>
      <c r="U1468" s="34">
        <f>IF(E1468=1,T1468,"")</f>
        <v>1.24489795918367</v>
      </c>
      <c r="V1468" s="34">
        <f>IF(AND(E1468=1,L1468=0),T1468,"")</f>
        <v>1.24489795918367</v>
      </c>
      <c r="W1468" s="33">
        <f>IF(U1468="","",IF(U1468&lt;=Breakdowns!$C$5,1,IF(U1468&lt;=Breakdowns!$C$6,2,IF(U1468&lt;=Breakdowns!$C$7,3,4))))</f>
        <v>4</v>
      </c>
      <c r="X1468" s="33">
        <f>IF(V1468="","",IF(V1468&lt;=Breakdowns!$D$5,1,IF(V1468&lt;=Breakdowns!$D$6,2,IF(V1468&lt;=Breakdowns!$D$7,3,4))))</f>
        <v>4</v>
      </c>
      <c r="Y1468" s="34">
        <f>INDEX(Stores!$F$2:$F$21,MATCH(B1468,Stores!$A$2:$A$21,0))</f>
        <v>5.82</v>
      </c>
      <c r="Z1468" s="33">
        <f>IF(Y1468&gt;Store_Summary!$M$2,1,0)</f>
        <v>1</v>
      </c>
      <c r="AA1468" s="33">
        <f>INDEX(Stores!$C$2:$C$21,MATCH(B1468,Stores!$A$2:$A$21,0))</f>
        <v>705</v>
      </c>
      <c r="AB1468" s="33">
        <f>IF(AA1468&lt;180,1,0)</f>
        <v>0</v>
      </c>
      <c r="AC1468" s="32" t="str">
        <f>IF(Orders!D1465="","",INDEX(Riders!$C$2:$C$81,MATCH(Orders!D1465,Riders!$A$2:$A$81,0)))</f>
        <v>Bicycle</v>
      </c>
      <c r="AD1468" s="33">
        <f>IF(Orders!D1465="","",INDEX(Riders!$D$2:$D$81,MATCH(Orders!D1465,Riders!$A$2:$A$81,0)))</f>
        <v>14</v>
      </c>
      <c r="AE1468" s="33">
        <f>IF(Orders!D1465="","",IF(INDEX(Riders!$B$2:$B$81,MATCH(Orders!D1465,Riders!$A$2:$A$81,0))=B1468,1,0))</f>
        <v>0</v>
      </c>
      <c r="AF1468" s="34">
        <f>IF(E1468=1,Orders!L1465,"")</f>
        <v>3</v>
      </c>
      <c r="AG1468" s="34">
        <f>IF(E1468=1,Orders!P1465,"")</f>
        <v>9.3</v>
      </c>
      <c r="AH1468" s="34">
        <f>IF(E1468=1,Orders!Q1465,"")</f>
        <v>8.2</v>
      </c>
      <c r="AI1468" s="34">
        <f>IF(E1468=1,Orders!M1465,"")</f>
        <v>3.3</v>
      </c>
      <c r="AJ1468" s="34">
        <f>IF(E1468=1,Orders!N1465,"")</f>
        <v>0.7</v>
      </c>
      <c r="AK1468" s="34">
        <f>IF(E1468=1,Orders!O1465,"")</f>
        <v>4.2</v>
      </c>
      <c r="AL1468" s="33">
        <f>IF(E1468=1,IF(ROUND(ABS(AI1468+AJ1468+AK1468-AH1468),6)&lt;=0.1,1,0),"")</f>
        <v>1</v>
      </c>
      <c r="AM1468" s="36">
        <f>IF(E1468=1,AI1468/AH1468,"")</f>
        <v>0.402439024390244</v>
      </c>
      <c r="AN1468" s="36">
        <f>IF(E1468=1,AJ1468/AH1468,"")</f>
        <v>0.0853658536585366</v>
      </c>
      <c r="AO1468" s="36">
        <f>IF(E1468=1,AK1468/AH1468,"")</f>
        <v>0.51219512195122</v>
      </c>
      <c r="AP1468" s="34">
        <f>IF(E1468=1,Orders!Y1465,"")</f>
        <v>0.25</v>
      </c>
      <c r="AQ1468" s="33">
        <f>IF(Orders!X1465,1,0)</f>
        <v>0</v>
      </c>
      <c r="AR1468" s="34" t="str">
        <f>IF(AND(E1468=1,L1468=1),AJ1468,"")</f>
        <v/>
      </c>
      <c r="AS1468" s="34">
        <f>IF(AND(E1468=1,L1468=0),AJ1468,"")</f>
        <v>0.7</v>
      </c>
      <c r="AT1468" s="34" t="str">
        <f>IF(AND(E1468=1,L1468=1),AI1468,"")</f>
        <v/>
      </c>
      <c r="AU1468" s="34">
        <f>IF(AND(E1468=1,L1468=0),AI1468,"")</f>
        <v>3.3</v>
      </c>
      <c r="AV1468" s="34" t="str">
        <f>IF(AND(E1468=1,L1468=1),AG1468,"")</f>
        <v/>
      </c>
      <c r="AW1468" s="34">
        <f>IF(AND(E1468=1,L1468=0),AG1468,"")</f>
        <v>9.3</v>
      </c>
      <c r="AX1468" s="34" t="str">
        <f>IF(AND(E1468=1,L1468=1),AH1468,"")</f>
        <v/>
      </c>
      <c r="AY1468" s="34">
        <f>IF(AND(E1468=1,L1468=0),AH1468,"")</f>
        <v>8.2</v>
      </c>
      <c r="AZ1468" s="34" t="str">
        <f>IF(G1468=1,F1468,"")</f>
        <v/>
      </c>
      <c r="BA1468" s="34" t="str">
        <f>IF(AND(G1468=1,L1468=1),F1468,"")</f>
        <v/>
      </c>
      <c r="BB1468" s="34" t="str">
        <f>IF(AND(G1468=1,L1468=0),F1468,"")</f>
        <v/>
      </c>
      <c r="BC1468" s="33">
        <f>IF(E1468=1,IF(Orders!R1465&gt;3,1,0),"")</f>
        <v>0</v>
      </c>
      <c r="BD1468" s="33">
        <f>IF(E1468=1,IF(Orders!R1465&gt;7,1,0),"")</f>
        <v>0</v>
      </c>
      <c r="BE1468" s="32" t="str">
        <f>IF(E1468=1,IF(Orders!L1465&lt;=1.5,"Up to 1.5 km",IF(Orders!L1465&lt;=3,"1.5–3 km","Over 3 km")),"")</f>
        <v>1.5–3 km</v>
      </c>
      <c r="BF1468" s="33">
        <f>IF(E1468=1,IF(ABS((Orders!G1465-Orders!F1465)*1440-Orders!R1465)&lt;0.06,1,0),"")</f>
        <v>1</v>
      </c>
      <c r="BG1468" s="33">
        <f>IF(ABS((Orders!F1465-Orders!E1465)*1440-Orders!P1465)&lt;0.06,1,0)</f>
        <v>1</v>
      </c>
      <c r="BH1468" s="33">
        <f>IF(E1468=1,IF(IF(Orders!S1465,1,0)=1-G1468,1,0),"")</f>
        <v>1</v>
      </c>
      <c r="BI1468" s="32" t="str">
        <f>INDEX(Stores!$B$2:$B$21,MATCH(B1468,Stores!$A$2:$A$21,0))</f>
        <v>Mumbai</v>
      </c>
    </row>
    <row r="1469">
      <c r="A1469" s="32" t="str">
        <f>Orders!A1466</f>
        <v>O01465</v>
      </c>
      <c r="B1469" s="32" t="str">
        <f>Orders!C1466</f>
        <v>S007</v>
      </c>
      <c r="C1469" s="32" t="str">
        <f>Orders!B1466</f>
        <v>C0192</v>
      </c>
      <c r="D1469" s="32" t="str">
        <f>Orders!H1466</f>
        <v>Delivered</v>
      </c>
      <c r="E1469" s="33">
        <f>IF(Orders!H1466="Delivered",1,0)</f>
        <v>1</v>
      </c>
      <c r="F1469" s="34">
        <f>IF(E1469=1,Orders!R1466,"")</f>
        <v>-1.1</v>
      </c>
      <c r="G1469" s="33">
        <f>IF(E1469=1,IF(Orders!R1466&gt;0,1,0),"")</f>
        <v>0</v>
      </c>
      <c r="H1469" s="33">
        <f>IF(E1469=1,IF(Orders!R1466&gt;5,1,0),"")</f>
        <v>0</v>
      </c>
      <c r="I1469" s="32" t="str">
        <f>IF(E1469=1,"",IF(OR(Orders!T1466="Rider unavailable",Orders!T1466="Item unavailable"),"Company-caused","Unresolved"))</f>
        <v/>
      </c>
      <c r="J1469" s="33">
        <f>IF(OR(E1469=1,I1469="Company-caused"),1,0)</f>
        <v>1</v>
      </c>
      <c r="K1469" s="32" t="str">
        <f>IF(E1469=0,IF(I1469="Company-caused",IF(Orders!T1466="Rider unavailable","C1 Rider unavailable","C2 Item unavailable"),"Outside root: unresolved"),IF(G1469=0,"A On time",IF(H1469=1,IF(L1469=1,"B2a Severe, peak","B2b Severe, off-peak"),IF(L1469=1,"B1a Slight, peak","B1b Slight, off-peak"))))</f>
        <v>A On time</v>
      </c>
      <c r="L1469" s="33">
        <f>IF(AND(Orders!U1466&gt;=19,Orders!U1466&lt;22),1,0)</f>
        <v>0</v>
      </c>
      <c r="M1469" s="33">
        <f>IF(L1469=IF(Orders!V1466,1,0),1,0)</f>
        <v>1</v>
      </c>
      <c r="N1469" s="32" t="str">
        <f>IF(Orders!W1466="","None",Orders!W1466)</f>
        <v>None</v>
      </c>
      <c r="O1469" s="35">
        <f>INT(Orders!E1466)</f>
        <v>46268.0</v>
      </c>
      <c r="P1469" s="33">
        <f>Orders!U1466</f>
        <v>10</v>
      </c>
      <c r="Q1469" s="33">
        <f>COUNTIFS(Demand!$A$2:$A$4481,B1469,Demand!$B$2:$B$4481,O1469,Demand!$C$2:$C$4481,P1469)</f>
        <v>1</v>
      </c>
      <c r="R1469" s="33">
        <f>IF(Q1469=1,SUMIFS(Demand!$E$2:$E$4481,Demand!$A$2:$A$4481,B1469,Demand!$B$2:$B$4481,O1469,Demand!$C$2:$C$4481,P1469),"")</f>
        <v>27</v>
      </c>
      <c r="S1469" s="33">
        <f>INDEX(Stores!$G$2:$G$21,MATCH(B1469,Stores!$A$2:$A$21,0))</f>
        <v>37</v>
      </c>
      <c r="T1469" s="34">
        <f>IF(R1469="","",R1469/S1469)</f>
        <v>0.72972972972973</v>
      </c>
      <c r="U1469" s="34">
        <f>IF(E1469=1,T1469,"")</f>
        <v>0.72972972972973</v>
      </c>
      <c r="V1469" s="34">
        <f>IF(AND(E1469=1,L1469=0),T1469,"")</f>
        <v>0.72972972972973</v>
      </c>
      <c r="W1469" s="33">
        <f>IF(U1469="","",IF(U1469&lt;=Breakdowns!$C$5,1,IF(U1469&lt;=Breakdowns!$C$6,2,IF(U1469&lt;=Breakdowns!$C$7,3,4))))</f>
        <v>1</v>
      </c>
      <c r="X1469" s="33">
        <f>IF(V1469="","",IF(V1469&lt;=Breakdowns!$D$5,1,IF(V1469&lt;=Breakdowns!$D$6,2,IF(V1469&lt;=Breakdowns!$D$7,3,4))))</f>
        <v>1</v>
      </c>
      <c r="Y1469" s="34">
        <f>INDEX(Stores!$F$2:$F$21,MATCH(B1469,Stores!$A$2:$A$21,0))</f>
        <v>4.05</v>
      </c>
      <c r="Z1469" s="33">
        <f>IF(Y1469&gt;Store_Summary!$M$2,1,0)</f>
        <v>0</v>
      </c>
      <c r="AA1469" s="33">
        <f>INDEX(Stores!$C$2:$C$21,MATCH(B1469,Stores!$A$2:$A$21,0))</f>
        <v>661</v>
      </c>
      <c r="AB1469" s="33">
        <f>IF(AA1469&lt;180,1,0)</f>
        <v>0</v>
      </c>
      <c r="AC1469" s="32" t="str">
        <f>IF(Orders!D1466="","",INDEX(Riders!$C$2:$C$81,MATCH(Orders!D1466,Riders!$A$2:$A$81,0)))</f>
        <v>EV scooter</v>
      </c>
      <c r="AD1469" s="33">
        <f>IF(Orders!D1466="","",INDEX(Riders!$D$2:$D$81,MATCH(Orders!D1466,Riders!$A$2:$A$81,0)))</f>
        <v>41</v>
      </c>
      <c r="AE1469" s="33">
        <f>IF(Orders!D1466="","",IF(INDEX(Riders!$B$2:$B$81,MATCH(Orders!D1466,Riders!$A$2:$A$81,0))=B1469,1,0))</f>
        <v>0</v>
      </c>
      <c r="AF1469" s="34">
        <f>IF(E1469=1,Orders!L1466,"")</f>
        <v>2.02</v>
      </c>
      <c r="AG1469" s="34">
        <f>IF(E1469=1,Orders!P1466,"")</f>
        <v>10.3</v>
      </c>
      <c r="AH1469" s="34">
        <f>IF(E1469=1,Orders!Q1466,"")</f>
        <v>9.2</v>
      </c>
      <c r="AI1469" s="34">
        <f>IF(E1469=1,Orders!M1466,"")</f>
        <v>2.1</v>
      </c>
      <c r="AJ1469" s="34">
        <f>IF(E1469=1,Orders!N1466,"")</f>
        <v>4.5</v>
      </c>
      <c r="AK1469" s="34">
        <f>IF(E1469=1,Orders!O1466,"")</f>
        <v>2.6</v>
      </c>
      <c r="AL1469" s="33">
        <f>IF(E1469=1,IF(ROUND(ABS(AI1469+AJ1469+AK1469-AH1469),6)&lt;=0.1,1,0),"")</f>
        <v>1</v>
      </c>
      <c r="AM1469" s="36">
        <f>IF(E1469=1,AI1469/AH1469,"")</f>
        <v>0.228260869565217</v>
      </c>
      <c r="AN1469" s="36">
        <f>IF(E1469=1,AJ1469/AH1469,"")</f>
        <v>0.489130434782609</v>
      </c>
      <c r="AO1469" s="36">
        <f>IF(E1469=1,AK1469/AH1469,"")</f>
        <v>0.282608695652174</v>
      </c>
      <c r="AP1469" s="34">
        <f>IF(E1469=1,Orders!Y1466,"")</f>
        <v>0.32</v>
      </c>
      <c r="AQ1469" s="33">
        <f>IF(Orders!X1466,1,0)</f>
        <v>0</v>
      </c>
      <c r="AR1469" s="34" t="str">
        <f>IF(AND(E1469=1,L1469=1),AJ1469,"")</f>
        <v/>
      </c>
      <c r="AS1469" s="34">
        <f>IF(AND(E1469=1,L1469=0),AJ1469,"")</f>
        <v>4.5</v>
      </c>
      <c r="AT1469" s="34" t="str">
        <f>IF(AND(E1469=1,L1469=1),AI1469,"")</f>
        <v/>
      </c>
      <c r="AU1469" s="34">
        <f>IF(AND(E1469=1,L1469=0),AI1469,"")</f>
        <v>2.1</v>
      </c>
      <c r="AV1469" s="34" t="str">
        <f>IF(AND(E1469=1,L1469=1),AG1469,"")</f>
        <v/>
      </c>
      <c r="AW1469" s="34">
        <f>IF(AND(E1469=1,L1469=0),AG1469,"")</f>
        <v>10.3</v>
      </c>
      <c r="AX1469" s="34" t="str">
        <f>IF(AND(E1469=1,L1469=1),AH1469,"")</f>
        <v/>
      </c>
      <c r="AY1469" s="34">
        <f>IF(AND(E1469=1,L1469=0),AH1469,"")</f>
        <v>9.2</v>
      </c>
      <c r="AZ1469" s="34" t="str">
        <f>IF(G1469=1,F1469,"")</f>
        <v/>
      </c>
      <c r="BA1469" s="34" t="str">
        <f>IF(AND(G1469=1,L1469=1),F1469,"")</f>
        <v/>
      </c>
      <c r="BB1469" s="34" t="str">
        <f>IF(AND(G1469=1,L1469=0),F1469,"")</f>
        <v/>
      </c>
      <c r="BC1469" s="33">
        <f>IF(E1469=1,IF(Orders!R1466&gt;3,1,0),"")</f>
        <v>0</v>
      </c>
      <c r="BD1469" s="33">
        <f>IF(E1469=1,IF(Orders!R1466&gt;7,1,0),"")</f>
        <v>0</v>
      </c>
      <c r="BE1469" s="32" t="str">
        <f>IF(E1469=1,IF(Orders!L1466&lt;=1.5,"Up to 1.5 km",IF(Orders!L1466&lt;=3,"1.5–3 km","Over 3 km")),"")</f>
        <v>1.5–3 km</v>
      </c>
      <c r="BF1469" s="33">
        <f>IF(E1469=1,IF(ABS((Orders!G1466-Orders!F1466)*1440-Orders!R1466)&lt;0.06,1,0),"")</f>
        <v>1</v>
      </c>
      <c r="BG1469" s="33">
        <f>IF(ABS((Orders!F1466-Orders!E1466)*1440-Orders!P1466)&lt;0.06,1,0)</f>
        <v>1</v>
      </c>
      <c r="BH1469" s="33">
        <f>IF(E1469=1,IF(IF(Orders!S1466,1,0)=1-G1469,1,0),"")</f>
        <v>1</v>
      </c>
      <c r="BI1469" s="32" t="str">
        <f>INDEX(Stores!$B$2:$B$21,MATCH(B1469,Stores!$A$2:$A$21,0))</f>
        <v>Hyderabad</v>
      </c>
    </row>
    <row r="1470">
      <c r="A1470" s="32" t="str">
        <f>Orders!A1467</f>
        <v>O01466</v>
      </c>
      <c r="B1470" s="32" t="str">
        <f>Orders!C1467</f>
        <v>S007</v>
      </c>
      <c r="C1470" s="32" t="str">
        <f>Orders!B1467</f>
        <v>C0055</v>
      </c>
      <c r="D1470" s="32" t="str">
        <f>Orders!H1467</f>
        <v>Delivered</v>
      </c>
      <c r="E1470" s="33">
        <f>IF(Orders!H1467="Delivered",1,0)</f>
        <v>1</v>
      </c>
      <c r="F1470" s="34">
        <f>IF(E1470=1,Orders!R1467,"")</f>
        <v>-0.3</v>
      </c>
      <c r="G1470" s="33">
        <f>IF(E1470=1,IF(Orders!R1467&gt;0,1,0),"")</f>
        <v>0</v>
      </c>
      <c r="H1470" s="33">
        <f>IF(E1470=1,IF(Orders!R1467&gt;5,1,0),"")</f>
        <v>0</v>
      </c>
      <c r="I1470" s="32" t="str">
        <f>IF(E1470=1,"",IF(OR(Orders!T1467="Rider unavailable",Orders!T1467="Item unavailable"),"Company-caused","Unresolved"))</f>
        <v/>
      </c>
      <c r="J1470" s="33">
        <f>IF(OR(E1470=1,I1470="Company-caused"),1,0)</f>
        <v>1</v>
      </c>
      <c r="K1470" s="32" t="str">
        <f>IF(E1470=0,IF(I1470="Company-caused",IF(Orders!T1467="Rider unavailable","C1 Rider unavailable","C2 Item unavailable"),"Outside root: unresolved"),IF(G1470=0,"A On time",IF(H1470=1,IF(L1470=1,"B2a Severe, peak","B2b Severe, off-peak"),IF(L1470=1,"B1a Slight, peak","B1b Slight, off-peak"))))</f>
        <v>A On time</v>
      </c>
      <c r="L1470" s="33">
        <f>IF(AND(Orders!U1467&gt;=19,Orders!U1467&lt;22),1,0)</f>
        <v>0</v>
      </c>
      <c r="M1470" s="33">
        <f>IF(L1470=IF(Orders!V1467,1,0),1,0)</f>
        <v>1</v>
      </c>
      <c r="N1470" s="32" t="str">
        <f>IF(Orders!W1467="","None",Orders!W1467)</f>
        <v>None</v>
      </c>
      <c r="O1470" s="35">
        <f>INT(Orders!E1467)</f>
        <v>46275.0</v>
      </c>
      <c r="P1470" s="33">
        <f>Orders!U1467</f>
        <v>9</v>
      </c>
      <c r="Q1470" s="33">
        <f>COUNTIFS(Demand!$A$2:$A$4481,B1470,Demand!$B$2:$B$4481,O1470,Demand!$C$2:$C$4481,P1470)</f>
        <v>1</v>
      </c>
      <c r="R1470" s="33">
        <f>IF(Q1470=1,SUMIFS(Demand!$E$2:$E$4481,Demand!$A$2:$A$4481,B1470,Demand!$B$2:$B$4481,O1470,Demand!$C$2:$C$4481,P1470),"")</f>
        <v>30</v>
      </c>
      <c r="S1470" s="33">
        <f>INDEX(Stores!$G$2:$G$21,MATCH(B1470,Stores!$A$2:$A$21,0))</f>
        <v>37</v>
      </c>
      <c r="T1470" s="34">
        <f>IF(R1470="","",R1470/S1470)</f>
        <v>0.810810810810811</v>
      </c>
      <c r="U1470" s="34">
        <f>IF(E1470=1,T1470,"")</f>
        <v>0.810810810810811</v>
      </c>
      <c r="V1470" s="34">
        <f>IF(AND(E1470=1,L1470=0),T1470,"")</f>
        <v>0.810810810810811</v>
      </c>
      <c r="W1470" s="33">
        <f>IF(U1470="","",IF(U1470&lt;=Breakdowns!$C$5,1,IF(U1470&lt;=Breakdowns!$C$6,2,IF(U1470&lt;=Breakdowns!$C$7,3,4))))</f>
        <v>2</v>
      </c>
      <c r="X1470" s="33">
        <f>IF(V1470="","",IF(V1470&lt;=Breakdowns!$D$5,1,IF(V1470&lt;=Breakdowns!$D$6,2,IF(V1470&lt;=Breakdowns!$D$7,3,4))))</f>
        <v>2</v>
      </c>
      <c r="Y1470" s="34">
        <f>INDEX(Stores!$F$2:$F$21,MATCH(B1470,Stores!$A$2:$A$21,0))</f>
        <v>4.05</v>
      </c>
      <c r="Z1470" s="33">
        <f>IF(Y1470&gt;Store_Summary!$M$2,1,0)</f>
        <v>0</v>
      </c>
      <c r="AA1470" s="33">
        <f>INDEX(Stores!$C$2:$C$21,MATCH(B1470,Stores!$A$2:$A$21,0))</f>
        <v>661</v>
      </c>
      <c r="AB1470" s="33">
        <f>IF(AA1470&lt;180,1,0)</f>
        <v>0</v>
      </c>
      <c r="AC1470" s="32" t="str">
        <f>IF(Orders!D1467="","",INDEX(Riders!$C$2:$C$81,MATCH(Orders!D1467,Riders!$A$2:$A$81,0)))</f>
        <v>EV scooter</v>
      </c>
      <c r="AD1470" s="33">
        <f>IF(Orders!D1467="","",INDEX(Riders!$D$2:$D$81,MATCH(Orders!D1467,Riders!$A$2:$A$81,0)))</f>
        <v>3</v>
      </c>
      <c r="AE1470" s="33">
        <f>IF(Orders!D1467="","",IF(INDEX(Riders!$B$2:$B$81,MATCH(Orders!D1467,Riders!$A$2:$A$81,0))=B1470,1,0))</f>
        <v>0</v>
      </c>
      <c r="AF1470" s="34">
        <f>IF(E1470=1,Orders!L1467,"")</f>
        <v>3.22</v>
      </c>
      <c r="AG1470" s="34">
        <f>IF(E1470=1,Orders!P1467,"")</f>
        <v>9.8</v>
      </c>
      <c r="AH1470" s="34">
        <f>IF(E1470=1,Orders!Q1467,"")</f>
        <v>9.5</v>
      </c>
      <c r="AI1470" s="34">
        <f>IF(E1470=1,Orders!M1467,"")</f>
        <v>2</v>
      </c>
      <c r="AJ1470" s="34">
        <f>IF(E1470=1,Orders!N1467,"")</f>
        <v>3.7</v>
      </c>
      <c r="AK1470" s="34">
        <f>IF(E1470=1,Orders!O1467,"")</f>
        <v>3.8</v>
      </c>
      <c r="AL1470" s="33">
        <f>IF(E1470=1,IF(ROUND(ABS(AI1470+AJ1470+AK1470-AH1470),6)&lt;=0.1,1,0),"")</f>
        <v>1</v>
      </c>
      <c r="AM1470" s="36">
        <f>IF(E1470=1,AI1470/AH1470,"")</f>
        <v>0.210526315789474</v>
      </c>
      <c r="AN1470" s="36">
        <f>IF(E1470=1,AJ1470/AH1470,"")</f>
        <v>0.389473684210526</v>
      </c>
      <c r="AO1470" s="36">
        <f>IF(E1470=1,AK1470/AH1470,"")</f>
        <v>0.4</v>
      </c>
      <c r="AP1470" s="34">
        <f>IF(E1470=1,Orders!Y1467,"")</f>
        <v>0.62</v>
      </c>
      <c r="AQ1470" s="33">
        <f>IF(Orders!X1467,1,0)</f>
        <v>0</v>
      </c>
      <c r="AR1470" s="34" t="str">
        <f>IF(AND(E1470=1,L1470=1),AJ1470,"")</f>
        <v/>
      </c>
      <c r="AS1470" s="34">
        <f>IF(AND(E1470=1,L1470=0),AJ1470,"")</f>
        <v>3.7</v>
      </c>
      <c r="AT1470" s="34" t="str">
        <f>IF(AND(E1470=1,L1470=1),AI1470,"")</f>
        <v/>
      </c>
      <c r="AU1470" s="34">
        <f>IF(AND(E1470=1,L1470=0),AI1470,"")</f>
        <v>2</v>
      </c>
      <c r="AV1470" s="34" t="str">
        <f>IF(AND(E1470=1,L1470=1),AG1470,"")</f>
        <v/>
      </c>
      <c r="AW1470" s="34">
        <f>IF(AND(E1470=1,L1470=0),AG1470,"")</f>
        <v>9.8</v>
      </c>
      <c r="AX1470" s="34" t="str">
        <f>IF(AND(E1470=1,L1470=1),AH1470,"")</f>
        <v/>
      </c>
      <c r="AY1470" s="34">
        <f>IF(AND(E1470=1,L1470=0),AH1470,"")</f>
        <v>9.5</v>
      </c>
      <c r="AZ1470" s="34" t="str">
        <f>IF(G1470=1,F1470,"")</f>
        <v/>
      </c>
      <c r="BA1470" s="34" t="str">
        <f>IF(AND(G1470=1,L1470=1),F1470,"")</f>
        <v/>
      </c>
      <c r="BB1470" s="34" t="str">
        <f>IF(AND(G1470=1,L1470=0),F1470,"")</f>
        <v/>
      </c>
      <c r="BC1470" s="33">
        <f>IF(E1470=1,IF(Orders!R1467&gt;3,1,0),"")</f>
        <v>0</v>
      </c>
      <c r="BD1470" s="33">
        <f>IF(E1470=1,IF(Orders!R1467&gt;7,1,0),"")</f>
        <v>0</v>
      </c>
      <c r="BE1470" s="32" t="str">
        <f>IF(E1470=1,IF(Orders!L1467&lt;=1.5,"Up to 1.5 km",IF(Orders!L1467&lt;=3,"1.5–3 km","Over 3 km")),"")</f>
        <v>Over 3 km</v>
      </c>
      <c r="BF1470" s="33">
        <f>IF(E1470=1,IF(ABS((Orders!G1467-Orders!F1467)*1440-Orders!R1467)&lt;0.06,1,0),"")</f>
        <v>1</v>
      </c>
      <c r="BG1470" s="33">
        <f>IF(ABS((Orders!F1467-Orders!E1467)*1440-Orders!P1467)&lt;0.06,1,0)</f>
        <v>1</v>
      </c>
      <c r="BH1470" s="33">
        <f>IF(E1470=1,IF(IF(Orders!S1467,1,0)=1-G1470,1,0),"")</f>
        <v>1</v>
      </c>
      <c r="BI1470" s="32" t="str">
        <f>INDEX(Stores!$B$2:$B$21,MATCH(B1470,Stores!$A$2:$A$21,0))</f>
        <v>Hyderabad</v>
      </c>
    </row>
    <row r="1471">
      <c r="A1471" s="32" t="str">
        <f>Orders!A1468</f>
        <v>O01467</v>
      </c>
      <c r="B1471" s="32" t="str">
        <f>Orders!C1468</f>
        <v>S009</v>
      </c>
      <c r="C1471" s="32" t="str">
        <f>Orders!B1468</f>
        <v>C0022</v>
      </c>
      <c r="D1471" s="32" t="str">
        <f>Orders!H1468</f>
        <v>Delivered</v>
      </c>
      <c r="E1471" s="33">
        <f>IF(Orders!H1468="Delivered",1,0)</f>
        <v>1</v>
      </c>
      <c r="F1471" s="34">
        <f>IF(E1471=1,Orders!R1468,"")</f>
        <v>-1.1</v>
      </c>
      <c r="G1471" s="33">
        <f>IF(E1471=1,IF(Orders!R1468&gt;0,1,0),"")</f>
        <v>0</v>
      </c>
      <c r="H1471" s="33">
        <f>IF(E1471=1,IF(Orders!R1468&gt;5,1,0),"")</f>
        <v>0</v>
      </c>
      <c r="I1471" s="32" t="str">
        <f>IF(E1471=1,"",IF(OR(Orders!T1468="Rider unavailable",Orders!T1468="Item unavailable"),"Company-caused","Unresolved"))</f>
        <v/>
      </c>
      <c r="J1471" s="33">
        <f>IF(OR(E1471=1,I1471="Company-caused"),1,0)</f>
        <v>1</v>
      </c>
      <c r="K1471" s="32" t="str">
        <f>IF(E1471=0,IF(I1471="Company-caused",IF(Orders!T1468="Rider unavailable","C1 Rider unavailable","C2 Item unavailable"),"Outside root: unresolved"),IF(G1471=0,"A On time",IF(H1471=1,IF(L1471=1,"B2a Severe, peak","B2b Severe, off-peak"),IF(L1471=1,"B1a Slight, peak","B1b Slight, off-peak"))))</f>
        <v>A On time</v>
      </c>
      <c r="L1471" s="33">
        <f>IF(AND(Orders!U1468&gt;=19,Orders!U1468&lt;22),1,0)</f>
        <v>1</v>
      </c>
      <c r="M1471" s="33">
        <f>IF(L1471=IF(Orders!V1468,1,0),1,0)</f>
        <v>1</v>
      </c>
      <c r="N1471" s="32" t="str">
        <f>IF(Orders!W1468="","None",Orders!W1468)</f>
        <v>None</v>
      </c>
      <c r="O1471" s="35">
        <f>INT(Orders!E1468)</f>
        <v>46266.0</v>
      </c>
      <c r="P1471" s="33">
        <f>Orders!U1468</f>
        <v>20</v>
      </c>
      <c r="Q1471" s="33">
        <f>COUNTIFS(Demand!$A$2:$A$4481,B1471,Demand!$B$2:$B$4481,O1471,Demand!$C$2:$C$4481,P1471)</f>
        <v>1</v>
      </c>
      <c r="R1471" s="33">
        <f>IF(Q1471=1,SUMIFS(Demand!$E$2:$E$4481,Demand!$A$2:$A$4481,B1471,Demand!$B$2:$B$4481,O1471,Demand!$C$2:$C$4481,P1471),"")</f>
        <v>50</v>
      </c>
      <c r="S1471" s="33">
        <f>INDEX(Stores!$G$2:$G$21,MATCH(B1471,Stores!$A$2:$A$21,0))</f>
        <v>29</v>
      </c>
      <c r="T1471" s="34">
        <f>IF(R1471="","",R1471/S1471)</f>
        <v>1.72413793103448</v>
      </c>
      <c r="U1471" s="34">
        <f>IF(E1471=1,T1471,"")</f>
        <v>1.72413793103448</v>
      </c>
      <c r="V1471" s="34" t="str">
        <f>IF(AND(E1471=1,L1471=0),T1471,"")</f>
        <v/>
      </c>
      <c r="W1471" s="33">
        <f>IF(U1471="","",IF(U1471&lt;=Breakdowns!$C$5,1,IF(U1471&lt;=Breakdowns!$C$6,2,IF(U1471&lt;=Breakdowns!$C$7,3,4))))</f>
        <v>4</v>
      </c>
      <c r="X1471" s="33" t="str">
        <f>IF(V1471="","",IF(V1471&lt;=Breakdowns!$D$5,1,IF(V1471&lt;=Breakdowns!$D$6,2,IF(V1471&lt;=Breakdowns!$D$7,3,4))))</f>
        <v/>
      </c>
      <c r="Y1471" s="34">
        <f>INDEX(Stores!$F$2:$F$21,MATCH(B1471,Stores!$A$2:$A$21,0))</f>
        <v>2.66</v>
      </c>
      <c r="Z1471" s="33">
        <f>IF(Y1471&gt;Store_Summary!$M$2,1,0)</f>
        <v>0</v>
      </c>
      <c r="AA1471" s="33">
        <f>INDEX(Stores!$C$2:$C$21,MATCH(B1471,Stores!$A$2:$A$21,0))</f>
        <v>645</v>
      </c>
      <c r="AB1471" s="33">
        <f>IF(AA1471&lt;180,1,0)</f>
        <v>0</v>
      </c>
      <c r="AC1471" s="32" t="str">
        <f>IF(Orders!D1468="","",INDEX(Riders!$C$2:$C$81,MATCH(Orders!D1468,Riders!$A$2:$A$81,0)))</f>
        <v>EV scooter</v>
      </c>
      <c r="AD1471" s="33">
        <f>IF(Orders!D1468="","",INDEX(Riders!$D$2:$D$81,MATCH(Orders!D1468,Riders!$A$2:$A$81,0)))</f>
        <v>33</v>
      </c>
      <c r="AE1471" s="33">
        <f>IF(Orders!D1468="","",IF(INDEX(Riders!$B$2:$B$81,MATCH(Orders!D1468,Riders!$A$2:$A$81,0))=B1471,1,0))</f>
        <v>0</v>
      </c>
      <c r="AF1471" s="34">
        <f>IF(E1471=1,Orders!L1468,"")</f>
        <v>1.24</v>
      </c>
      <c r="AG1471" s="34">
        <f>IF(E1471=1,Orders!P1468,"")</f>
        <v>8.9</v>
      </c>
      <c r="AH1471" s="34">
        <f>IF(E1471=1,Orders!Q1468,"")</f>
        <v>7.8</v>
      </c>
      <c r="AI1471" s="34">
        <f>IF(E1471=1,Orders!M1468,"")</f>
        <v>1.6</v>
      </c>
      <c r="AJ1471" s="34">
        <f>IF(E1471=1,Orders!N1468,"")</f>
        <v>4.4</v>
      </c>
      <c r="AK1471" s="34">
        <f>IF(E1471=1,Orders!O1468,"")</f>
        <v>1.8</v>
      </c>
      <c r="AL1471" s="33">
        <f>IF(E1471=1,IF(ROUND(ABS(AI1471+AJ1471+AK1471-AH1471),6)&lt;=0.1,1,0),"")</f>
        <v>1</v>
      </c>
      <c r="AM1471" s="36">
        <f>IF(E1471=1,AI1471/AH1471,"")</f>
        <v>0.205128205128205</v>
      </c>
      <c r="AN1471" s="36">
        <f>IF(E1471=1,AJ1471/AH1471,"")</f>
        <v>0.564102564102564</v>
      </c>
      <c r="AO1471" s="36">
        <f>IF(E1471=1,AK1471/AH1471,"")</f>
        <v>0.230769230769231</v>
      </c>
      <c r="AP1471" s="34">
        <f>IF(E1471=1,Orders!Y1468,"")</f>
        <v>0.42</v>
      </c>
      <c r="AQ1471" s="33">
        <f>IF(Orders!X1468,1,0)</f>
        <v>1</v>
      </c>
      <c r="AR1471" s="34">
        <f>IF(AND(E1471=1,L1471=1),AJ1471,"")</f>
        <v>4.4</v>
      </c>
      <c r="AS1471" s="34" t="str">
        <f>IF(AND(E1471=1,L1471=0),AJ1471,"")</f>
        <v/>
      </c>
      <c r="AT1471" s="34">
        <f>IF(AND(E1471=1,L1471=1),AI1471,"")</f>
        <v>1.6</v>
      </c>
      <c r="AU1471" s="34" t="str">
        <f>IF(AND(E1471=1,L1471=0),AI1471,"")</f>
        <v/>
      </c>
      <c r="AV1471" s="34">
        <f>IF(AND(E1471=1,L1471=1),AG1471,"")</f>
        <v>8.9</v>
      </c>
      <c r="AW1471" s="34" t="str">
        <f>IF(AND(E1471=1,L1471=0),AG1471,"")</f>
        <v/>
      </c>
      <c r="AX1471" s="34">
        <f>IF(AND(E1471=1,L1471=1),AH1471,"")</f>
        <v>7.8</v>
      </c>
      <c r="AY1471" s="34" t="str">
        <f>IF(AND(E1471=1,L1471=0),AH1471,"")</f>
        <v/>
      </c>
      <c r="AZ1471" s="34" t="str">
        <f>IF(G1471=1,F1471,"")</f>
        <v/>
      </c>
      <c r="BA1471" s="34" t="str">
        <f>IF(AND(G1471=1,L1471=1),F1471,"")</f>
        <v/>
      </c>
      <c r="BB1471" s="34" t="str">
        <f>IF(AND(G1471=1,L1471=0),F1471,"")</f>
        <v/>
      </c>
      <c r="BC1471" s="33">
        <f>IF(E1471=1,IF(Orders!R1468&gt;3,1,0),"")</f>
        <v>0</v>
      </c>
      <c r="BD1471" s="33">
        <f>IF(E1471=1,IF(Orders!R1468&gt;7,1,0),"")</f>
        <v>0</v>
      </c>
      <c r="BE1471" s="32" t="str">
        <f>IF(E1471=1,IF(Orders!L1468&lt;=1.5,"Up to 1.5 km",IF(Orders!L1468&lt;=3,"1.5–3 km","Over 3 km")),"")</f>
        <v>Up to 1.5 km</v>
      </c>
      <c r="BF1471" s="33">
        <f>IF(E1471=1,IF(ABS((Orders!G1468-Orders!F1468)*1440-Orders!R1468)&lt;0.06,1,0),"")</f>
        <v>1</v>
      </c>
      <c r="BG1471" s="33">
        <f>IF(ABS((Orders!F1468-Orders!E1468)*1440-Orders!P1468)&lt;0.06,1,0)</f>
        <v>1</v>
      </c>
      <c r="BH1471" s="33">
        <f>IF(E1471=1,IF(IF(Orders!S1468,1,0)=1-G1471,1,0),"")</f>
        <v>1</v>
      </c>
      <c r="BI1471" s="32" t="str">
        <f>INDEX(Stores!$B$2:$B$21,MATCH(B1471,Stores!$A$2:$A$21,0))</f>
        <v>Pune</v>
      </c>
    </row>
    <row r="1472">
      <c r="A1472" s="32" t="str">
        <f>Orders!A1469</f>
        <v>O01468</v>
      </c>
      <c r="B1472" s="32" t="str">
        <f>Orders!C1469</f>
        <v>S013</v>
      </c>
      <c r="C1472" s="32" t="str">
        <f>Orders!B1469</f>
        <v>C0047</v>
      </c>
      <c r="D1472" s="32" t="str">
        <f>Orders!H1469</f>
        <v>Delivered</v>
      </c>
      <c r="E1472" s="33">
        <f>IF(Orders!H1469="Delivered",1,0)</f>
        <v>1</v>
      </c>
      <c r="F1472" s="34">
        <f>IF(E1472=1,Orders!R1469,"")</f>
        <v>-0.4</v>
      </c>
      <c r="G1472" s="33">
        <f>IF(E1472=1,IF(Orders!R1469&gt;0,1,0),"")</f>
        <v>0</v>
      </c>
      <c r="H1472" s="33">
        <f>IF(E1472=1,IF(Orders!R1469&gt;5,1,0),"")</f>
        <v>0</v>
      </c>
      <c r="I1472" s="32" t="str">
        <f>IF(E1472=1,"",IF(OR(Orders!T1469="Rider unavailable",Orders!T1469="Item unavailable"),"Company-caused","Unresolved"))</f>
        <v/>
      </c>
      <c r="J1472" s="33">
        <f>IF(OR(E1472=1,I1472="Company-caused"),1,0)</f>
        <v>1</v>
      </c>
      <c r="K1472" s="32" t="str">
        <f>IF(E1472=0,IF(I1472="Company-caused",IF(Orders!T1469="Rider unavailable","C1 Rider unavailable","C2 Item unavailable"),"Outside root: unresolved"),IF(G1472=0,"A On time",IF(H1472=1,IF(L1472=1,"B2a Severe, peak","B2b Severe, off-peak"),IF(L1472=1,"B1a Slight, peak","B1b Slight, off-peak"))))</f>
        <v>A On time</v>
      </c>
      <c r="L1472" s="33">
        <f>IF(AND(Orders!U1469&gt;=19,Orders!U1469&lt;22),1,0)</f>
        <v>1</v>
      </c>
      <c r="M1472" s="33">
        <f>IF(L1472=IF(Orders!V1469,1,0),1,0)</f>
        <v>1</v>
      </c>
      <c r="N1472" s="32" t="str">
        <f>IF(Orders!W1469="","None",Orders!W1469)</f>
        <v>Light</v>
      </c>
      <c r="O1472" s="35">
        <f>INT(Orders!E1469)</f>
        <v>46268.0</v>
      </c>
      <c r="P1472" s="33">
        <f>Orders!U1469</f>
        <v>19</v>
      </c>
      <c r="Q1472" s="33">
        <f>COUNTIFS(Demand!$A$2:$A$4481,B1472,Demand!$B$2:$B$4481,O1472,Demand!$C$2:$C$4481,P1472)</f>
        <v>1</v>
      </c>
      <c r="R1472" s="33">
        <f>IF(Q1472=1,SUMIFS(Demand!$E$2:$E$4481,Demand!$A$2:$A$4481,B1472,Demand!$B$2:$B$4481,O1472,Demand!$C$2:$C$4481,P1472),"")</f>
        <v>83</v>
      </c>
      <c r="S1472" s="33">
        <f>INDEX(Stores!$G$2:$G$21,MATCH(B1472,Stores!$A$2:$A$21,0))</f>
        <v>49</v>
      </c>
      <c r="T1472" s="34">
        <f>IF(R1472="","",R1472/S1472)</f>
        <v>1.69387755102041</v>
      </c>
      <c r="U1472" s="34">
        <f>IF(E1472=1,T1472,"")</f>
        <v>1.69387755102041</v>
      </c>
      <c r="V1472" s="34" t="str">
        <f>IF(AND(E1472=1,L1472=0),T1472,"")</f>
        <v/>
      </c>
      <c r="W1472" s="33">
        <f>IF(U1472="","",IF(U1472&lt;=Breakdowns!$C$5,1,IF(U1472&lt;=Breakdowns!$C$6,2,IF(U1472&lt;=Breakdowns!$C$7,3,4))))</f>
        <v>4</v>
      </c>
      <c r="X1472" s="33" t="str">
        <f>IF(V1472="","",IF(V1472&lt;=Breakdowns!$D$5,1,IF(V1472&lt;=Breakdowns!$D$6,2,IF(V1472&lt;=Breakdowns!$D$7,3,4))))</f>
        <v/>
      </c>
      <c r="Y1472" s="34">
        <f>INDEX(Stores!$F$2:$F$21,MATCH(B1472,Stores!$A$2:$A$21,0))</f>
        <v>5.82</v>
      </c>
      <c r="Z1472" s="33">
        <f>IF(Y1472&gt;Store_Summary!$M$2,1,0)</f>
        <v>1</v>
      </c>
      <c r="AA1472" s="33">
        <f>INDEX(Stores!$C$2:$C$21,MATCH(B1472,Stores!$A$2:$A$21,0))</f>
        <v>705</v>
      </c>
      <c r="AB1472" s="33">
        <f>IF(AA1472&lt;180,1,0)</f>
        <v>0</v>
      </c>
      <c r="AC1472" s="32" t="str">
        <f>IF(Orders!D1469="","",INDEX(Riders!$C$2:$C$81,MATCH(Orders!D1469,Riders!$A$2:$A$81,0)))</f>
        <v>Petrol scooter</v>
      </c>
      <c r="AD1472" s="33">
        <f>IF(Orders!D1469="","",INDEX(Riders!$D$2:$D$81,MATCH(Orders!D1469,Riders!$A$2:$A$81,0)))</f>
        <v>10</v>
      </c>
      <c r="AE1472" s="33">
        <f>IF(Orders!D1469="","",IF(INDEX(Riders!$B$2:$B$81,MATCH(Orders!D1469,Riders!$A$2:$A$81,0))=B1472,1,0))</f>
        <v>0</v>
      </c>
      <c r="AF1472" s="34">
        <f>IF(E1472=1,Orders!L1469,"")</f>
        <v>1.6</v>
      </c>
      <c r="AG1472" s="34">
        <f>IF(E1472=1,Orders!P1469,"")</f>
        <v>8</v>
      </c>
      <c r="AH1472" s="34">
        <f>IF(E1472=1,Orders!Q1469,"")</f>
        <v>7.6</v>
      </c>
      <c r="AI1472" s="34">
        <f>IF(E1472=1,Orders!M1469,"")</f>
        <v>2.5</v>
      </c>
      <c r="AJ1472" s="34">
        <f>IF(E1472=1,Orders!N1469,"")</f>
        <v>2</v>
      </c>
      <c r="AK1472" s="34">
        <f>IF(E1472=1,Orders!O1469,"")</f>
        <v>3.1</v>
      </c>
      <c r="AL1472" s="33">
        <f>IF(E1472=1,IF(ROUND(ABS(AI1472+AJ1472+AK1472-AH1472),6)&lt;=0.1,1,0),"")</f>
        <v>1</v>
      </c>
      <c r="AM1472" s="36">
        <f>IF(E1472=1,AI1472/AH1472,"")</f>
        <v>0.328947368421053</v>
      </c>
      <c r="AN1472" s="36">
        <f>IF(E1472=1,AJ1472/AH1472,"")</f>
        <v>0.263157894736842</v>
      </c>
      <c r="AO1472" s="36">
        <f>IF(E1472=1,AK1472/AH1472,"")</f>
        <v>0.407894736842105</v>
      </c>
      <c r="AP1472" s="34">
        <f>IF(E1472=1,Orders!Y1469,"")</f>
        <v>0.74</v>
      </c>
      <c r="AQ1472" s="33">
        <f>IF(Orders!X1469,1,0)</f>
        <v>0</v>
      </c>
      <c r="AR1472" s="34">
        <f>IF(AND(E1472=1,L1472=1),AJ1472,"")</f>
        <v>2</v>
      </c>
      <c r="AS1472" s="34" t="str">
        <f>IF(AND(E1472=1,L1472=0),AJ1472,"")</f>
        <v/>
      </c>
      <c r="AT1472" s="34">
        <f>IF(AND(E1472=1,L1472=1),AI1472,"")</f>
        <v>2.5</v>
      </c>
      <c r="AU1472" s="34" t="str">
        <f>IF(AND(E1472=1,L1472=0),AI1472,"")</f>
        <v/>
      </c>
      <c r="AV1472" s="34">
        <f>IF(AND(E1472=1,L1472=1),AG1472,"")</f>
        <v>8</v>
      </c>
      <c r="AW1472" s="34" t="str">
        <f>IF(AND(E1472=1,L1472=0),AG1472,"")</f>
        <v/>
      </c>
      <c r="AX1472" s="34">
        <f>IF(AND(E1472=1,L1472=1),AH1472,"")</f>
        <v>7.6</v>
      </c>
      <c r="AY1472" s="34" t="str">
        <f>IF(AND(E1472=1,L1472=0),AH1472,"")</f>
        <v/>
      </c>
      <c r="AZ1472" s="34" t="str">
        <f>IF(G1472=1,F1472,"")</f>
        <v/>
      </c>
      <c r="BA1472" s="34" t="str">
        <f>IF(AND(G1472=1,L1472=1),F1472,"")</f>
        <v/>
      </c>
      <c r="BB1472" s="34" t="str">
        <f>IF(AND(G1472=1,L1472=0),F1472,"")</f>
        <v/>
      </c>
      <c r="BC1472" s="33">
        <f>IF(E1472=1,IF(Orders!R1469&gt;3,1,0),"")</f>
        <v>0</v>
      </c>
      <c r="BD1472" s="33">
        <f>IF(E1472=1,IF(Orders!R1469&gt;7,1,0),"")</f>
        <v>0</v>
      </c>
      <c r="BE1472" s="32" t="str">
        <f>IF(E1472=1,IF(Orders!L1469&lt;=1.5,"Up to 1.5 km",IF(Orders!L1469&lt;=3,"1.5–3 km","Over 3 km")),"")</f>
        <v>1.5–3 km</v>
      </c>
      <c r="BF1472" s="33">
        <f>IF(E1472=1,IF(ABS((Orders!G1469-Orders!F1469)*1440-Orders!R1469)&lt;0.06,1,0),"")</f>
        <v>1</v>
      </c>
      <c r="BG1472" s="33">
        <f>IF(ABS((Orders!F1469-Orders!E1469)*1440-Orders!P1469)&lt;0.06,1,0)</f>
        <v>1</v>
      </c>
      <c r="BH1472" s="33">
        <f>IF(E1472=1,IF(IF(Orders!S1469,1,0)=1-G1472,1,0),"")</f>
        <v>1</v>
      </c>
      <c r="BI1472" s="32" t="str">
        <f>INDEX(Stores!$B$2:$B$21,MATCH(B1472,Stores!$A$2:$A$21,0))</f>
        <v>Mumbai</v>
      </c>
    </row>
    <row r="1473">
      <c r="A1473" s="32" t="str">
        <f>Orders!A1470</f>
        <v>O01469</v>
      </c>
      <c r="B1473" s="32" t="str">
        <f>Orders!C1470</f>
        <v>S008</v>
      </c>
      <c r="C1473" s="32" t="str">
        <f>Orders!B1470</f>
        <v>C0234</v>
      </c>
      <c r="D1473" s="32" t="str">
        <f>Orders!H1470</f>
        <v>Delivered</v>
      </c>
      <c r="E1473" s="33">
        <f>IF(Orders!H1470="Delivered",1,0)</f>
        <v>1</v>
      </c>
      <c r="F1473" s="34">
        <f>IF(E1473=1,Orders!R1470,"")</f>
        <v>-0.7</v>
      </c>
      <c r="G1473" s="33">
        <f>IF(E1473=1,IF(Orders!R1470&gt;0,1,0),"")</f>
        <v>0</v>
      </c>
      <c r="H1473" s="33">
        <f>IF(E1473=1,IF(Orders!R1470&gt;5,1,0),"")</f>
        <v>0</v>
      </c>
      <c r="I1473" s="32" t="str">
        <f>IF(E1473=1,"",IF(OR(Orders!T1470="Rider unavailable",Orders!T1470="Item unavailable"),"Company-caused","Unresolved"))</f>
        <v/>
      </c>
      <c r="J1473" s="33">
        <f>IF(OR(E1473=1,I1473="Company-caused"),1,0)</f>
        <v>1</v>
      </c>
      <c r="K1473" s="32" t="str">
        <f>IF(E1473=0,IF(I1473="Company-caused",IF(Orders!T1470="Rider unavailable","C1 Rider unavailable","C2 Item unavailable"),"Outside root: unresolved"),IF(G1473=0,"A On time",IF(H1473=1,IF(L1473=1,"B2a Severe, peak","B2b Severe, off-peak"),IF(L1473=1,"B1a Slight, peak","B1b Slight, off-peak"))))</f>
        <v>A On time</v>
      </c>
      <c r="L1473" s="33">
        <f>IF(AND(Orders!U1470&gt;=19,Orders!U1470&lt;22),1,0)</f>
        <v>0</v>
      </c>
      <c r="M1473" s="33">
        <f>IF(L1473=IF(Orders!V1470,1,0),1,0)</f>
        <v>1</v>
      </c>
      <c r="N1473" s="32" t="str">
        <f>IF(Orders!W1470="","None",Orders!W1470)</f>
        <v>None</v>
      </c>
      <c r="O1473" s="35">
        <f>INT(Orders!E1470)</f>
        <v>46274.0</v>
      </c>
      <c r="P1473" s="33">
        <f>Orders!U1470</f>
        <v>8</v>
      </c>
      <c r="Q1473" s="33">
        <f>COUNTIFS(Demand!$A$2:$A$4481,B1473,Demand!$B$2:$B$4481,O1473,Demand!$C$2:$C$4481,P1473)</f>
        <v>1</v>
      </c>
      <c r="R1473" s="33">
        <f>IF(Q1473=1,SUMIFS(Demand!$E$2:$E$4481,Demand!$A$2:$A$4481,B1473,Demand!$B$2:$B$4481,O1473,Demand!$C$2:$C$4481,P1473),"")</f>
        <v>20</v>
      </c>
      <c r="S1473" s="33">
        <f>INDEX(Stores!$G$2:$G$21,MATCH(B1473,Stores!$A$2:$A$21,0))</f>
        <v>23</v>
      </c>
      <c r="T1473" s="34">
        <f>IF(R1473="","",R1473/S1473)</f>
        <v>0.869565217391304</v>
      </c>
      <c r="U1473" s="34">
        <f>IF(E1473=1,T1473,"")</f>
        <v>0.869565217391304</v>
      </c>
      <c r="V1473" s="34">
        <f>IF(AND(E1473=1,L1473=0),T1473,"")</f>
        <v>0.869565217391304</v>
      </c>
      <c r="W1473" s="33">
        <f>IF(U1473="","",IF(U1473&lt;=Breakdowns!$C$5,1,IF(U1473&lt;=Breakdowns!$C$6,2,IF(U1473&lt;=Breakdowns!$C$7,3,4))))</f>
        <v>2</v>
      </c>
      <c r="X1473" s="33">
        <f>IF(V1473="","",IF(V1473&lt;=Breakdowns!$D$5,1,IF(V1473&lt;=Breakdowns!$D$6,2,IF(V1473&lt;=Breakdowns!$D$7,3,4))))</f>
        <v>2</v>
      </c>
      <c r="Y1473" s="34">
        <f>INDEX(Stores!$F$2:$F$21,MATCH(B1473,Stores!$A$2:$A$21,0))</f>
        <v>3.46</v>
      </c>
      <c r="Z1473" s="33">
        <f>IF(Y1473&gt;Store_Summary!$M$2,1,0)</f>
        <v>0</v>
      </c>
      <c r="AA1473" s="33">
        <f>INDEX(Stores!$C$2:$C$21,MATCH(B1473,Stores!$A$2:$A$21,0))</f>
        <v>825</v>
      </c>
      <c r="AB1473" s="33">
        <f>IF(AA1473&lt;180,1,0)</f>
        <v>0</v>
      </c>
      <c r="AC1473" s="32" t="str">
        <f>IF(Orders!D1470="","",INDEX(Riders!$C$2:$C$81,MATCH(Orders!D1470,Riders!$A$2:$A$81,0)))</f>
        <v>Petrol scooter</v>
      </c>
      <c r="AD1473" s="33">
        <f>IF(Orders!D1470="","",INDEX(Riders!$D$2:$D$81,MATCH(Orders!D1470,Riders!$A$2:$A$81,0)))</f>
        <v>37</v>
      </c>
      <c r="AE1473" s="33">
        <f>IF(Orders!D1470="","",IF(INDEX(Riders!$B$2:$B$81,MATCH(Orders!D1470,Riders!$A$2:$A$81,0))=B1473,1,0))</f>
        <v>1</v>
      </c>
      <c r="AF1473" s="34">
        <f>IF(E1473=1,Orders!L1470,"")</f>
        <v>1.75</v>
      </c>
      <c r="AG1473" s="34">
        <f>IF(E1473=1,Orders!P1470,"")</f>
        <v>9.5</v>
      </c>
      <c r="AH1473" s="34">
        <f>IF(E1473=1,Orders!Q1470,"")</f>
        <v>8.8</v>
      </c>
      <c r="AI1473" s="34">
        <f>IF(E1473=1,Orders!M1470,"")</f>
        <v>2.9</v>
      </c>
      <c r="AJ1473" s="34">
        <f>IF(E1473=1,Orders!N1470,"")</f>
        <v>3.2</v>
      </c>
      <c r="AK1473" s="34">
        <f>IF(E1473=1,Orders!O1470,"")</f>
        <v>2.7</v>
      </c>
      <c r="AL1473" s="33">
        <f>IF(E1473=1,IF(ROUND(ABS(AI1473+AJ1473+AK1473-AH1473),6)&lt;=0.1,1,0),"")</f>
        <v>1</v>
      </c>
      <c r="AM1473" s="36">
        <f>IF(E1473=1,AI1473/AH1473,"")</f>
        <v>0.329545454545455</v>
      </c>
      <c r="AN1473" s="36">
        <f>IF(E1473=1,AJ1473/AH1473,"")</f>
        <v>0.363636363636364</v>
      </c>
      <c r="AO1473" s="36">
        <f>IF(E1473=1,AK1473/AH1473,"")</f>
        <v>0.306818181818182</v>
      </c>
      <c r="AP1473" s="34">
        <f>IF(E1473=1,Orders!Y1470,"")</f>
        <v>0.37</v>
      </c>
      <c r="AQ1473" s="33">
        <f>IF(Orders!X1470,1,0)</f>
        <v>0</v>
      </c>
      <c r="AR1473" s="34" t="str">
        <f>IF(AND(E1473=1,L1473=1),AJ1473,"")</f>
        <v/>
      </c>
      <c r="AS1473" s="34">
        <f>IF(AND(E1473=1,L1473=0),AJ1473,"")</f>
        <v>3.2</v>
      </c>
      <c r="AT1473" s="34" t="str">
        <f>IF(AND(E1473=1,L1473=1),AI1473,"")</f>
        <v/>
      </c>
      <c r="AU1473" s="34">
        <f>IF(AND(E1473=1,L1473=0),AI1473,"")</f>
        <v>2.9</v>
      </c>
      <c r="AV1473" s="34" t="str">
        <f>IF(AND(E1473=1,L1473=1),AG1473,"")</f>
        <v/>
      </c>
      <c r="AW1473" s="34">
        <f>IF(AND(E1473=1,L1473=0),AG1473,"")</f>
        <v>9.5</v>
      </c>
      <c r="AX1473" s="34" t="str">
        <f>IF(AND(E1473=1,L1473=1),AH1473,"")</f>
        <v/>
      </c>
      <c r="AY1473" s="34">
        <f>IF(AND(E1473=1,L1473=0),AH1473,"")</f>
        <v>8.8</v>
      </c>
      <c r="AZ1473" s="34" t="str">
        <f>IF(G1473=1,F1473,"")</f>
        <v/>
      </c>
      <c r="BA1473" s="34" t="str">
        <f>IF(AND(G1473=1,L1473=1),F1473,"")</f>
        <v/>
      </c>
      <c r="BB1473" s="34" t="str">
        <f>IF(AND(G1473=1,L1473=0),F1473,"")</f>
        <v/>
      </c>
      <c r="BC1473" s="33">
        <f>IF(E1473=1,IF(Orders!R1470&gt;3,1,0),"")</f>
        <v>0</v>
      </c>
      <c r="BD1473" s="33">
        <f>IF(E1473=1,IF(Orders!R1470&gt;7,1,0),"")</f>
        <v>0</v>
      </c>
      <c r="BE1473" s="32" t="str">
        <f>IF(E1473=1,IF(Orders!L1470&lt;=1.5,"Up to 1.5 km",IF(Orders!L1470&lt;=3,"1.5–3 km","Over 3 km")),"")</f>
        <v>1.5–3 km</v>
      </c>
      <c r="BF1473" s="33">
        <f>IF(E1473=1,IF(ABS((Orders!G1470-Orders!F1470)*1440-Orders!R1470)&lt;0.06,1,0),"")</f>
        <v>1</v>
      </c>
      <c r="BG1473" s="33">
        <f>IF(ABS((Orders!F1470-Orders!E1470)*1440-Orders!P1470)&lt;0.06,1,0)</f>
        <v>1</v>
      </c>
      <c r="BH1473" s="33">
        <f>IF(E1473=1,IF(IF(Orders!S1470,1,0)=1-G1473,1,0),"")</f>
        <v>1</v>
      </c>
      <c r="BI1473" s="32" t="str">
        <f>INDEX(Stores!$B$2:$B$21,MATCH(B1473,Stores!$A$2:$A$21,0))</f>
        <v>Mumbai</v>
      </c>
    </row>
    <row r="1474">
      <c r="A1474" s="32" t="str">
        <f>Orders!A1471</f>
        <v>O01470</v>
      </c>
      <c r="B1474" s="32" t="str">
        <f>Orders!C1471</f>
        <v>S008</v>
      </c>
      <c r="C1474" s="32" t="str">
        <f>Orders!B1471</f>
        <v>C0163</v>
      </c>
      <c r="D1474" s="32" t="str">
        <f>Orders!H1471</f>
        <v>Delivered</v>
      </c>
      <c r="E1474" s="33">
        <f>IF(Orders!H1471="Delivered",1,0)</f>
        <v>1</v>
      </c>
      <c r="F1474" s="34">
        <f>IF(E1474=1,Orders!R1471,"")</f>
        <v>4.1</v>
      </c>
      <c r="G1474" s="33">
        <f>IF(E1474=1,IF(Orders!R1471&gt;0,1,0),"")</f>
        <v>1</v>
      </c>
      <c r="H1474" s="33">
        <f>IF(E1474=1,IF(Orders!R1471&gt;5,1,0),"")</f>
        <v>0</v>
      </c>
      <c r="I1474" s="32" t="str">
        <f>IF(E1474=1,"",IF(OR(Orders!T1471="Rider unavailable",Orders!T1471="Item unavailable"),"Company-caused","Unresolved"))</f>
        <v/>
      </c>
      <c r="J1474" s="33">
        <f>IF(OR(E1474=1,I1474="Company-caused"),1,0)</f>
        <v>1</v>
      </c>
      <c r="K1474" s="32" t="str">
        <f>IF(E1474=0,IF(I1474="Company-caused",IF(Orders!T1471="Rider unavailable","C1 Rider unavailable","C2 Item unavailable"),"Outside root: unresolved"),IF(G1474=0,"A On time",IF(H1474=1,IF(L1474=1,"B2a Severe, peak","B2b Severe, off-peak"),IF(L1474=1,"B1a Slight, peak","B1b Slight, off-peak"))))</f>
        <v>B1b Slight, off-peak</v>
      </c>
      <c r="L1474" s="33">
        <f>IF(AND(Orders!U1471&gt;=19,Orders!U1471&lt;22),1,0)</f>
        <v>0</v>
      </c>
      <c r="M1474" s="33">
        <f>IF(L1474=IF(Orders!V1471,1,0),1,0)</f>
        <v>1</v>
      </c>
      <c r="N1474" s="32" t="str">
        <f>IF(Orders!W1471="","None",Orders!W1471)</f>
        <v>None</v>
      </c>
      <c r="O1474" s="35">
        <f>INT(Orders!E1471)</f>
        <v>46271.0</v>
      </c>
      <c r="P1474" s="33">
        <f>Orders!U1471</f>
        <v>17</v>
      </c>
      <c r="Q1474" s="33">
        <f>COUNTIFS(Demand!$A$2:$A$4481,B1474,Demand!$B$2:$B$4481,O1474,Demand!$C$2:$C$4481,P1474)</f>
        <v>1</v>
      </c>
      <c r="R1474" s="33">
        <f>IF(Q1474=1,SUMIFS(Demand!$E$2:$E$4481,Demand!$A$2:$A$4481,B1474,Demand!$B$2:$B$4481,O1474,Demand!$C$2:$C$4481,P1474),"")</f>
        <v>29</v>
      </c>
      <c r="S1474" s="33">
        <f>INDEX(Stores!$G$2:$G$21,MATCH(B1474,Stores!$A$2:$A$21,0))</f>
        <v>23</v>
      </c>
      <c r="T1474" s="34">
        <f>IF(R1474="","",R1474/S1474)</f>
        <v>1.26086956521739</v>
      </c>
      <c r="U1474" s="34">
        <f>IF(E1474=1,T1474,"")</f>
        <v>1.26086956521739</v>
      </c>
      <c r="V1474" s="34">
        <f>IF(AND(E1474=1,L1474=0),T1474,"")</f>
        <v>1.26086956521739</v>
      </c>
      <c r="W1474" s="33">
        <f>IF(U1474="","",IF(U1474&lt;=Breakdowns!$C$5,1,IF(U1474&lt;=Breakdowns!$C$6,2,IF(U1474&lt;=Breakdowns!$C$7,3,4))))</f>
        <v>4</v>
      </c>
      <c r="X1474" s="33">
        <f>IF(V1474="","",IF(V1474&lt;=Breakdowns!$D$5,1,IF(V1474&lt;=Breakdowns!$D$6,2,IF(V1474&lt;=Breakdowns!$D$7,3,4))))</f>
        <v>4</v>
      </c>
      <c r="Y1474" s="34">
        <f>INDEX(Stores!$F$2:$F$21,MATCH(B1474,Stores!$A$2:$A$21,0))</f>
        <v>3.46</v>
      </c>
      <c r="Z1474" s="33">
        <f>IF(Y1474&gt;Store_Summary!$M$2,1,0)</f>
        <v>0</v>
      </c>
      <c r="AA1474" s="33">
        <f>INDEX(Stores!$C$2:$C$21,MATCH(B1474,Stores!$A$2:$A$21,0))</f>
        <v>825</v>
      </c>
      <c r="AB1474" s="33">
        <f>IF(AA1474&lt;180,1,0)</f>
        <v>0</v>
      </c>
      <c r="AC1474" s="32" t="str">
        <f>IF(Orders!D1471="","",INDEX(Riders!$C$2:$C$81,MATCH(Orders!D1471,Riders!$A$2:$A$81,0)))</f>
        <v>Petrol scooter</v>
      </c>
      <c r="AD1474" s="33">
        <f>IF(Orders!D1471="","",INDEX(Riders!$D$2:$D$81,MATCH(Orders!D1471,Riders!$A$2:$A$81,0)))</f>
        <v>19</v>
      </c>
      <c r="AE1474" s="33">
        <f>IF(Orders!D1471="","",IF(INDEX(Riders!$B$2:$B$81,MATCH(Orders!D1471,Riders!$A$2:$A$81,0))=B1474,1,0))</f>
        <v>0</v>
      </c>
      <c r="AF1474" s="34">
        <f>IF(E1474=1,Orders!L1471,"")</f>
        <v>0.94</v>
      </c>
      <c r="AG1474" s="34">
        <f>IF(E1474=1,Orders!P1471,"")</f>
        <v>10.4</v>
      </c>
      <c r="AH1474" s="34">
        <f>IF(E1474=1,Orders!Q1471,"")</f>
        <v>14.5</v>
      </c>
      <c r="AI1474" s="34">
        <f>IF(E1474=1,Orders!M1471,"")</f>
        <v>3.5</v>
      </c>
      <c r="AJ1474" s="34">
        <f>IF(E1474=1,Orders!N1471,"")</f>
        <v>8.2</v>
      </c>
      <c r="AK1474" s="34">
        <f>IF(E1474=1,Orders!O1471,"")</f>
        <v>2.8</v>
      </c>
      <c r="AL1474" s="33">
        <f>IF(E1474=1,IF(ROUND(ABS(AI1474+AJ1474+AK1474-AH1474),6)&lt;=0.1,1,0),"")</f>
        <v>1</v>
      </c>
      <c r="AM1474" s="36">
        <f>IF(E1474=1,AI1474/AH1474,"")</f>
        <v>0.241379310344828</v>
      </c>
      <c r="AN1474" s="36">
        <f>IF(E1474=1,AJ1474/AH1474,"")</f>
        <v>0.56551724137931</v>
      </c>
      <c r="AO1474" s="36">
        <f>IF(E1474=1,AK1474/AH1474,"")</f>
        <v>0.193103448275862</v>
      </c>
      <c r="AP1474" s="34">
        <f>IF(E1474=1,Orders!Y1471,"")</f>
        <v>0.35</v>
      </c>
      <c r="AQ1474" s="33">
        <f>IF(Orders!X1471,1,0)</f>
        <v>0</v>
      </c>
      <c r="AR1474" s="34" t="str">
        <f>IF(AND(E1474=1,L1474=1),AJ1474,"")</f>
        <v/>
      </c>
      <c r="AS1474" s="34">
        <f>IF(AND(E1474=1,L1474=0),AJ1474,"")</f>
        <v>8.2</v>
      </c>
      <c r="AT1474" s="34" t="str">
        <f>IF(AND(E1474=1,L1474=1),AI1474,"")</f>
        <v/>
      </c>
      <c r="AU1474" s="34">
        <f>IF(AND(E1474=1,L1474=0),AI1474,"")</f>
        <v>3.5</v>
      </c>
      <c r="AV1474" s="34" t="str">
        <f>IF(AND(E1474=1,L1474=1),AG1474,"")</f>
        <v/>
      </c>
      <c r="AW1474" s="34">
        <f>IF(AND(E1474=1,L1474=0),AG1474,"")</f>
        <v>10.4</v>
      </c>
      <c r="AX1474" s="34" t="str">
        <f>IF(AND(E1474=1,L1474=1),AH1474,"")</f>
        <v/>
      </c>
      <c r="AY1474" s="34">
        <f>IF(AND(E1474=1,L1474=0),AH1474,"")</f>
        <v>14.5</v>
      </c>
      <c r="AZ1474" s="34">
        <f>IF(G1474=1,F1474,"")</f>
        <v>4.1</v>
      </c>
      <c r="BA1474" s="34" t="str">
        <f>IF(AND(G1474=1,L1474=1),F1474,"")</f>
        <v/>
      </c>
      <c r="BB1474" s="34">
        <f>IF(AND(G1474=1,L1474=0),F1474,"")</f>
        <v>4.1</v>
      </c>
      <c r="BC1474" s="33">
        <f>IF(E1474=1,IF(Orders!R1471&gt;3,1,0),"")</f>
        <v>1</v>
      </c>
      <c r="BD1474" s="33">
        <f>IF(E1474=1,IF(Orders!R1471&gt;7,1,0),"")</f>
        <v>0</v>
      </c>
      <c r="BE1474" s="32" t="str">
        <f>IF(E1474=1,IF(Orders!L1471&lt;=1.5,"Up to 1.5 km",IF(Orders!L1471&lt;=3,"1.5–3 km","Over 3 km")),"")</f>
        <v>Up to 1.5 km</v>
      </c>
      <c r="BF1474" s="33">
        <f>IF(E1474=1,IF(ABS((Orders!G1471-Orders!F1471)*1440-Orders!R1471)&lt;0.06,1,0),"")</f>
        <v>1</v>
      </c>
      <c r="BG1474" s="33">
        <f>IF(ABS((Orders!F1471-Orders!E1471)*1440-Orders!P1471)&lt;0.06,1,0)</f>
        <v>1</v>
      </c>
      <c r="BH1474" s="33">
        <f>IF(E1474=1,IF(IF(Orders!S1471,1,0)=1-G1474,1,0),"")</f>
        <v>1</v>
      </c>
      <c r="BI1474" s="32" t="str">
        <f>INDEX(Stores!$B$2:$B$21,MATCH(B1474,Stores!$A$2:$A$21,0))</f>
        <v>Mumbai</v>
      </c>
    </row>
    <row r="1475">
      <c r="A1475" s="32" t="str">
        <f>Orders!A1472</f>
        <v>O01471</v>
      </c>
      <c r="B1475" s="32" t="str">
        <f>Orders!C1472</f>
        <v>S009</v>
      </c>
      <c r="C1475" s="32" t="str">
        <f>Orders!B1472</f>
        <v>C0069</v>
      </c>
      <c r="D1475" s="32" t="str">
        <f>Orders!H1472</f>
        <v>Delivered</v>
      </c>
      <c r="E1475" s="33">
        <f>IF(Orders!H1472="Delivered",1,0)</f>
        <v>1</v>
      </c>
      <c r="F1475" s="34">
        <f>IF(E1475=1,Orders!R1472,"")</f>
        <v>-0.9</v>
      </c>
      <c r="G1475" s="33">
        <f>IF(E1475=1,IF(Orders!R1472&gt;0,1,0),"")</f>
        <v>0</v>
      </c>
      <c r="H1475" s="33">
        <f>IF(E1475=1,IF(Orders!R1472&gt;5,1,0),"")</f>
        <v>0</v>
      </c>
      <c r="I1475" s="32" t="str">
        <f>IF(E1475=1,"",IF(OR(Orders!T1472="Rider unavailable",Orders!T1472="Item unavailable"),"Company-caused","Unresolved"))</f>
        <v/>
      </c>
      <c r="J1475" s="33">
        <f>IF(OR(E1475=1,I1475="Company-caused"),1,0)</f>
        <v>1</v>
      </c>
      <c r="K1475" s="32" t="str">
        <f>IF(E1475=0,IF(I1475="Company-caused",IF(Orders!T1472="Rider unavailable","C1 Rider unavailable","C2 Item unavailable"),"Outside root: unresolved"),IF(G1475=0,"A On time",IF(H1475=1,IF(L1475=1,"B2a Severe, peak","B2b Severe, off-peak"),IF(L1475=1,"B1a Slight, peak","B1b Slight, off-peak"))))</f>
        <v>A On time</v>
      </c>
      <c r="L1475" s="33">
        <f>IF(AND(Orders!U1472&gt;=19,Orders!U1472&lt;22),1,0)</f>
        <v>0</v>
      </c>
      <c r="M1475" s="33">
        <f>IF(L1475=IF(Orders!V1472,1,0),1,0)</f>
        <v>1</v>
      </c>
      <c r="N1475" s="32" t="str">
        <f>IF(Orders!W1472="","None",Orders!W1472)</f>
        <v>None</v>
      </c>
      <c r="O1475" s="35">
        <f>INT(Orders!E1472)</f>
        <v>46271.0</v>
      </c>
      <c r="P1475" s="33">
        <f>Orders!U1472</f>
        <v>14</v>
      </c>
      <c r="Q1475" s="33">
        <f>COUNTIFS(Demand!$A$2:$A$4481,B1475,Demand!$B$2:$B$4481,O1475,Demand!$C$2:$C$4481,P1475)</f>
        <v>1</v>
      </c>
      <c r="R1475" s="33">
        <f>IF(Q1475=1,SUMIFS(Demand!$E$2:$E$4481,Demand!$A$2:$A$4481,B1475,Demand!$B$2:$B$4481,O1475,Demand!$C$2:$C$4481,P1475),"")</f>
        <v>24</v>
      </c>
      <c r="S1475" s="33">
        <f>INDEX(Stores!$G$2:$G$21,MATCH(B1475,Stores!$A$2:$A$21,0))</f>
        <v>29</v>
      </c>
      <c r="T1475" s="34">
        <f>IF(R1475="","",R1475/S1475)</f>
        <v>0.827586206896552</v>
      </c>
      <c r="U1475" s="34">
        <f>IF(E1475=1,T1475,"")</f>
        <v>0.827586206896552</v>
      </c>
      <c r="V1475" s="34">
        <f>IF(AND(E1475=1,L1475=0),T1475,"")</f>
        <v>0.827586206896552</v>
      </c>
      <c r="W1475" s="33">
        <f>IF(U1475="","",IF(U1475&lt;=Breakdowns!$C$5,1,IF(U1475&lt;=Breakdowns!$C$6,2,IF(U1475&lt;=Breakdowns!$C$7,3,4))))</f>
        <v>2</v>
      </c>
      <c r="X1475" s="33">
        <f>IF(V1475="","",IF(V1475&lt;=Breakdowns!$D$5,1,IF(V1475&lt;=Breakdowns!$D$6,2,IF(V1475&lt;=Breakdowns!$D$7,3,4))))</f>
        <v>2</v>
      </c>
      <c r="Y1475" s="34">
        <f>INDEX(Stores!$F$2:$F$21,MATCH(B1475,Stores!$A$2:$A$21,0))</f>
        <v>2.66</v>
      </c>
      <c r="Z1475" s="33">
        <f>IF(Y1475&gt;Store_Summary!$M$2,1,0)</f>
        <v>0</v>
      </c>
      <c r="AA1475" s="33">
        <f>INDEX(Stores!$C$2:$C$21,MATCH(B1475,Stores!$A$2:$A$21,0))</f>
        <v>645</v>
      </c>
      <c r="AB1475" s="33">
        <f>IF(AA1475&lt;180,1,0)</f>
        <v>0</v>
      </c>
      <c r="AC1475" s="32" t="str">
        <f>IF(Orders!D1472="","",INDEX(Riders!$C$2:$C$81,MATCH(Orders!D1472,Riders!$A$2:$A$81,0)))</f>
        <v>Petrol scooter</v>
      </c>
      <c r="AD1475" s="33">
        <f>IF(Orders!D1472="","",INDEX(Riders!$D$2:$D$81,MATCH(Orders!D1472,Riders!$A$2:$A$81,0)))</f>
        <v>48</v>
      </c>
      <c r="AE1475" s="33">
        <f>IF(Orders!D1472="","",IF(INDEX(Riders!$B$2:$B$81,MATCH(Orders!D1472,Riders!$A$2:$A$81,0))=B1475,1,0))</f>
        <v>0</v>
      </c>
      <c r="AF1475" s="34">
        <f>IF(E1475=1,Orders!L1472,"")</f>
        <v>1.78</v>
      </c>
      <c r="AG1475" s="34">
        <f>IF(E1475=1,Orders!P1472,"")</f>
        <v>11.7</v>
      </c>
      <c r="AH1475" s="34">
        <f>IF(E1475=1,Orders!Q1472,"")</f>
        <v>10.8</v>
      </c>
      <c r="AI1475" s="34">
        <f>IF(E1475=1,Orders!M1472,"")</f>
        <v>2.6</v>
      </c>
      <c r="AJ1475" s="34">
        <f>IF(E1475=1,Orders!N1472,"")</f>
        <v>5.6</v>
      </c>
      <c r="AK1475" s="34">
        <f>IF(E1475=1,Orders!O1472,"")</f>
        <v>2.6</v>
      </c>
      <c r="AL1475" s="33">
        <f>IF(E1475=1,IF(ROUND(ABS(AI1475+AJ1475+AK1475-AH1475),6)&lt;=0.1,1,0),"")</f>
        <v>1</v>
      </c>
      <c r="AM1475" s="36">
        <f>IF(E1475=1,AI1475/AH1475,"")</f>
        <v>0.240740740740741</v>
      </c>
      <c r="AN1475" s="36">
        <f>IF(E1475=1,AJ1475/AH1475,"")</f>
        <v>0.518518518518519</v>
      </c>
      <c r="AO1475" s="36">
        <f>IF(E1475=1,AK1475/AH1475,"")</f>
        <v>0.240740740740741</v>
      </c>
      <c r="AP1475" s="34">
        <f>IF(E1475=1,Orders!Y1472,"")</f>
        <v>0.38</v>
      </c>
      <c r="AQ1475" s="33">
        <f>IF(Orders!X1472,1,0)</f>
        <v>0</v>
      </c>
      <c r="AR1475" s="34" t="str">
        <f>IF(AND(E1475=1,L1475=1),AJ1475,"")</f>
        <v/>
      </c>
      <c r="AS1475" s="34">
        <f>IF(AND(E1475=1,L1475=0),AJ1475,"")</f>
        <v>5.6</v>
      </c>
      <c r="AT1475" s="34" t="str">
        <f>IF(AND(E1475=1,L1475=1),AI1475,"")</f>
        <v/>
      </c>
      <c r="AU1475" s="34">
        <f>IF(AND(E1475=1,L1475=0),AI1475,"")</f>
        <v>2.6</v>
      </c>
      <c r="AV1475" s="34" t="str">
        <f>IF(AND(E1475=1,L1475=1),AG1475,"")</f>
        <v/>
      </c>
      <c r="AW1475" s="34">
        <f>IF(AND(E1475=1,L1475=0),AG1475,"")</f>
        <v>11.7</v>
      </c>
      <c r="AX1475" s="34" t="str">
        <f>IF(AND(E1475=1,L1475=1),AH1475,"")</f>
        <v/>
      </c>
      <c r="AY1475" s="34">
        <f>IF(AND(E1475=1,L1475=0),AH1475,"")</f>
        <v>10.8</v>
      </c>
      <c r="AZ1475" s="34" t="str">
        <f>IF(G1475=1,F1475,"")</f>
        <v/>
      </c>
      <c r="BA1475" s="34" t="str">
        <f>IF(AND(G1475=1,L1475=1),F1475,"")</f>
        <v/>
      </c>
      <c r="BB1475" s="34" t="str">
        <f>IF(AND(G1475=1,L1475=0),F1475,"")</f>
        <v/>
      </c>
      <c r="BC1475" s="33">
        <f>IF(E1475=1,IF(Orders!R1472&gt;3,1,0),"")</f>
        <v>0</v>
      </c>
      <c r="BD1475" s="33">
        <f>IF(E1475=1,IF(Orders!R1472&gt;7,1,0),"")</f>
        <v>0</v>
      </c>
      <c r="BE1475" s="32" t="str">
        <f>IF(E1475=1,IF(Orders!L1472&lt;=1.5,"Up to 1.5 km",IF(Orders!L1472&lt;=3,"1.5–3 km","Over 3 km")),"")</f>
        <v>1.5–3 km</v>
      </c>
      <c r="BF1475" s="33">
        <f>IF(E1475=1,IF(ABS((Orders!G1472-Orders!F1472)*1440-Orders!R1472)&lt;0.06,1,0),"")</f>
        <v>1</v>
      </c>
      <c r="BG1475" s="33">
        <f>IF(ABS((Orders!F1472-Orders!E1472)*1440-Orders!P1472)&lt;0.06,1,0)</f>
        <v>1</v>
      </c>
      <c r="BH1475" s="33">
        <f>IF(E1475=1,IF(IF(Orders!S1472,1,0)=1-G1475,1,0),"")</f>
        <v>1</v>
      </c>
      <c r="BI1475" s="32" t="str">
        <f>INDEX(Stores!$B$2:$B$21,MATCH(B1475,Stores!$A$2:$A$21,0))</f>
        <v>Pune</v>
      </c>
    </row>
    <row r="1476">
      <c r="A1476" s="32" t="str">
        <f>Orders!A1473</f>
        <v>O01472</v>
      </c>
      <c r="B1476" s="32" t="str">
        <f>Orders!C1473</f>
        <v>S003</v>
      </c>
      <c r="C1476" s="32" t="str">
        <f>Orders!B1473</f>
        <v>C0056</v>
      </c>
      <c r="D1476" s="32" t="str">
        <f>Orders!H1473</f>
        <v>Delivered</v>
      </c>
      <c r="E1476" s="33">
        <f>IF(Orders!H1473="Delivered",1,0)</f>
        <v>1</v>
      </c>
      <c r="F1476" s="34">
        <f>IF(E1476=1,Orders!R1473,"")</f>
        <v>-0.6</v>
      </c>
      <c r="G1476" s="33">
        <f>IF(E1476=1,IF(Orders!R1473&gt;0,1,0),"")</f>
        <v>0</v>
      </c>
      <c r="H1476" s="33">
        <f>IF(E1476=1,IF(Orders!R1473&gt;5,1,0),"")</f>
        <v>0</v>
      </c>
      <c r="I1476" s="32" t="str">
        <f>IF(E1476=1,"",IF(OR(Orders!T1473="Rider unavailable",Orders!T1473="Item unavailable"),"Company-caused","Unresolved"))</f>
        <v/>
      </c>
      <c r="J1476" s="33">
        <f>IF(OR(E1476=1,I1476="Company-caused"),1,0)</f>
        <v>1</v>
      </c>
      <c r="K1476" s="32" t="str">
        <f>IF(E1476=0,IF(I1476="Company-caused",IF(Orders!T1473="Rider unavailable","C1 Rider unavailable","C2 Item unavailable"),"Outside root: unresolved"),IF(G1476=0,"A On time",IF(H1476=1,IF(L1476=1,"B2a Severe, peak","B2b Severe, off-peak"),IF(L1476=1,"B1a Slight, peak","B1b Slight, off-peak"))))</f>
        <v>A On time</v>
      </c>
      <c r="L1476" s="33">
        <f>IF(AND(Orders!U1473&gt;=19,Orders!U1473&lt;22),1,0)</f>
        <v>0</v>
      </c>
      <c r="M1476" s="33">
        <f>IF(L1476=IF(Orders!V1473,1,0),1,0)</f>
        <v>1</v>
      </c>
      <c r="N1476" s="32" t="str">
        <f>IF(Orders!W1473="","None",Orders!W1473)</f>
        <v>None</v>
      </c>
      <c r="O1476" s="35">
        <f>INT(Orders!E1473)</f>
        <v>46275.0</v>
      </c>
      <c r="P1476" s="33">
        <f>Orders!U1473</f>
        <v>11</v>
      </c>
      <c r="Q1476" s="33">
        <f>COUNTIFS(Demand!$A$2:$A$4481,B1476,Demand!$B$2:$B$4481,O1476,Demand!$C$2:$C$4481,P1476)</f>
        <v>1</v>
      </c>
      <c r="R1476" s="33">
        <f>IF(Q1476=1,SUMIFS(Demand!$E$2:$E$4481,Demand!$A$2:$A$4481,B1476,Demand!$B$2:$B$4481,O1476,Demand!$C$2:$C$4481,P1476),"")</f>
        <v>42</v>
      </c>
      <c r="S1476" s="33">
        <f>INDEX(Stores!$G$2:$G$21,MATCH(B1476,Stores!$A$2:$A$21,0))</f>
        <v>41</v>
      </c>
      <c r="T1476" s="34">
        <f>IF(R1476="","",R1476/S1476)</f>
        <v>1.02439024390244</v>
      </c>
      <c r="U1476" s="34">
        <f>IF(E1476=1,T1476,"")</f>
        <v>1.02439024390244</v>
      </c>
      <c r="V1476" s="34">
        <f>IF(AND(E1476=1,L1476=0),T1476,"")</f>
        <v>1.02439024390244</v>
      </c>
      <c r="W1476" s="33">
        <f>IF(U1476="","",IF(U1476&lt;=Breakdowns!$C$5,1,IF(U1476&lt;=Breakdowns!$C$6,2,IF(U1476&lt;=Breakdowns!$C$7,3,4))))</f>
        <v>3</v>
      </c>
      <c r="X1476" s="33">
        <f>IF(V1476="","",IF(V1476&lt;=Breakdowns!$D$5,1,IF(V1476&lt;=Breakdowns!$D$6,2,IF(V1476&lt;=Breakdowns!$D$7,3,4))))</f>
        <v>3</v>
      </c>
      <c r="Y1476" s="34">
        <f>INDEX(Stores!$F$2:$F$21,MATCH(B1476,Stores!$A$2:$A$21,0))</f>
        <v>3.84</v>
      </c>
      <c r="Z1476" s="33">
        <f>IF(Y1476&gt;Store_Summary!$M$2,1,0)</f>
        <v>0</v>
      </c>
      <c r="AA1476" s="33">
        <f>INDEX(Stores!$C$2:$C$21,MATCH(B1476,Stores!$A$2:$A$21,0))</f>
        <v>426</v>
      </c>
      <c r="AB1476" s="33">
        <f>IF(AA1476&lt;180,1,0)</f>
        <v>0</v>
      </c>
      <c r="AC1476" s="32" t="str">
        <f>IF(Orders!D1473="","",INDEX(Riders!$C$2:$C$81,MATCH(Orders!D1473,Riders!$A$2:$A$81,0)))</f>
        <v>EV scooter</v>
      </c>
      <c r="AD1476" s="33">
        <f>IF(Orders!D1473="","",INDEX(Riders!$D$2:$D$81,MATCH(Orders!D1473,Riders!$A$2:$A$81,0)))</f>
        <v>39</v>
      </c>
      <c r="AE1476" s="33">
        <f>IF(Orders!D1473="","",IF(INDEX(Riders!$B$2:$B$81,MATCH(Orders!D1473,Riders!$A$2:$A$81,0))=B1476,1,0))</f>
        <v>0</v>
      </c>
      <c r="AF1476" s="34">
        <f>IF(E1476=1,Orders!L1473,"")</f>
        <v>0.67</v>
      </c>
      <c r="AG1476" s="34">
        <f>IF(E1476=1,Orders!P1473,"")</f>
        <v>10.3</v>
      </c>
      <c r="AH1476" s="34">
        <f>IF(E1476=1,Orders!Q1473,"")</f>
        <v>9.7</v>
      </c>
      <c r="AI1476" s="34">
        <f>IF(E1476=1,Orders!M1473,"")</f>
        <v>3.5</v>
      </c>
      <c r="AJ1476" s="34">
        <f>IF(E1476=1,Orders!N1473,"")</f>
        <v>4.4</v>
      </c>
      <c r="AK1476" s="34">
        <f>IF(E1476=1,Orders!O1473,"")</f>
        <v>1.8</v>
      </c>
      <c r="AL1476" s="33">
        <f>IF(E1476=1,IF(ROUND(ABS(AI1476+AJ1476+AK1476-AH1476),6)&lt;=0.1,1,0),"")</f>
        <v>1</v>
      </c>
      <c r="AM1476" s="36">
        <f>IF(E1476=1,AI1476/AH1476,"")</f>
        <v>0.360824742268041</v>
      </c>
      <c r="AN1476" s="36">
        <f>IF(E1476=1,AJ1476/AH1476,"")</f>
        <v>0.45360824742268</v>
      </c>
      <c r="AO1476" s="36">
        <f>IF(E1476=1,AK1476/AH1476,"")</f>
        <v>0.185567010309278</v>
      </c>
      <c r="AP1476" s="34">
        <f>IF(E1476=1,Orders!Y1473,"")</f>
        <v>0.31</v>
      </c>
      <c r="AQ1476" s="33">
        <f>IF(Orders!X1473,1,0)</f>
        <v>0</v>
      </c>
      <c r="AR1476" s="34" t="str">
        <f>IF(AND(E1476=1,L1476=1),AJ1476,"")</f>
        <v/>
      </c>
      <c r="AS1476" s="34">
        <f>IF(AND(E1476=1,L1476=0),AJ1476,"")</f>
        <v>4.4</v>
      </c>
      <c r="AT1476" s="34" t="str">
        <f>IF(AND(E1476=1,L1476=1),AI1476,"")</f>
        <v/>
      </c>
      <c r="AU1476" s="34">
        <f>IF(AND(E1476=1,L1476=0),AI1476,"")</f>
        <v>3.5</v>
      </c>
      <c r="AV1476" s="34" t="str">
        <f>IF(AND(E1476=1,L1476=1),AG1476,"")</f>
        <v/>
      </c>
      <c r="AW1476" s="34">
        <f>IF(AND(E1476=1,L1476=0),AG1476,"")</f>
        <v>10.3</v>
      </c>
      <c r="AX1476" s="34" t="str">
        <f>IF(AND(E1476=1,L1476=1),AH1476,"")</f>
        <v/>
      </c>
      <c r="AY1476" s="34">
        <f>IF(AND(E1476=1,L1476=0),AH1476,"")</f>
        <v>9.7</v>
      </c>
      <c r="AZ1476" s="34" t="str">
        <f>IF(G1476=1,F1476,"")</f>
        <v/>
      </c>
      <c r="BA1476" s="34" t="str">
        <f>IF(AND(G1476=1,L1476=1),F1476,"")</f>
        <v/>
      </c>
      <c r="BB1476" s="34" t="str">
        <f>IF(AND(G1476=1,L1476=0),F1476,"")</f>
        <v/>
      </c>
      <c r="BC1476" s="33">
        <f>IF(E1476=1,IF(Orders!R1473&gt;3,1,0),"")</f>
        <v>0</v>
      </c>
      <c r="BD1476" s="33">
        <f>IF(E1476=1,IF(Orders!R1473&gt;7,1,0),"")</f>
        <v>0</v>
      </c>
      <c r="BE1476" s="32" t="str">
        <f>IF(E1476=1,IF(Orders!L1473&lt;=1.5,"Up to 1.5 km",IF(Orders!L1473&lt;=3,"1.5–3 km","Over 3 km")),"")</f>
        <v>Up to 1.5 km</v>
      </c>
      <c r="BF1476" s="33">
        <f>IF(E1476=1,IF(ABS((Orders!G1473-Orders!F1473)*1440-Orders!R1473)&lt;0.06,1,0),"")</f>
        <v>1</v>
      </c>
      <c r="BG1476" s="33">
        <f>IF(ABS((Orders!F1473-Orders!E1473)*1440-Orders!P1473)&lt;0.06,1,0)</f>
        <v>1</v>
      </c>
      <c r="BH1476" s="33">
        <f>IF(E1476=1,IF(IF(Orders!S1473,1,0)=1-G1476,1,0),"")</f>
        <v>1</v>
      </c>
      <c r="BI1476" s="32" t="str">
        <f>INDEX(Stores!$B$2:$B$21,MATCH(B1476,Stores!$A$2:$A$21,0))</f>
        <v>Mumbai</v>
      </c>
    </row>
    <row r="1477">
      <c r="A1477" s="32" t="str">
        <f>Orders!A1474</f>
        <v>O01473</v>
      </c>
      <c r="B1477" s="32" t="str">
        <f>Orders!C1474</f>
        <v>S006</v>
      </c>
      <c r="C1477" s="32" t="str">
        <f>Orders!B1474</f>
        <v>C0160</v>
      </c>
      <c r="D1477" s="32" t="str">
        <f>Orders!H1474</f>
        <v>Delivered</v>
      </c>
      <c r="E1477" s="33">
        <f>IF(Orders!H1474="Delivered",1,0)</f>
        <v>1</v>
      </c>
      <c r="F1477" s="34">
        <f>IF(E1477=1,Orders!R1474,"")</f>
        <v>5.9</v>
      </c>
      <c r="G1477" s="33">
        <f>IF(E1477=1,IF(Orders!R1474&gt;0,1,0),"")</f>
        <v>1</v>
      </c>
      <c r="H1477" s="33">
        <f>IF(E1477=1,IF(Orders!R1474&gt;5,1,0),"")</f>
        <v>1</v>
      </c>
      <c r="I1477" s="32" t="str">
        <f>IF(E1477=1,"",IF(OR(Orders!T1474="Rider unavailable",Orders!T1474="Item unavailable"),"Company-caused","Unresolved"))</f>
        <v/>
      </c>
      <c r="J1477" s="33">
        <f>IF(OR(E1477=1,I1477="Company-caused"),1,0)</f>
        <v>1</v>
      </c>
      <c r="K1477" s="32" t="str">
        <f>IF(E1477=0,IF(I1477="Company-caused",IF(Orders!T1474="Rider unavailable","C1 Rider unavailable","C2 Item unavailable"),"Outside root: unresolved"),IF(G1477=0,"A On time",IF(H1477=1,IF(L1477=1,"B2a Severe, peak","B2b Severe, off-peak"),IF(L1477=1,"B1a Slight, peak","B1b Slight, off-peak"))))</f>
        <v>B2b Severe, off-peak</v>
      </c>
      <c r="L1477" s="33">
        <f>IF(AND(Orders!U1474&gt;=19,Orders!U1474&lt;22),1,0)</f>
        <v>0</v>
      </c>
      <c r="M1477" s="33">
        <f>IF(L1477=IF(Orders!V1474,1,0),1,0)</f>
        <v>1</v>
      </c>
      <c r="N1477" s="32" t="str">
        <f>IF(Orders!W1474="","None",Orders!W1474)</f>
        <v>None</v>
      </c>
      <c r="O1477" s="35">
        <f>INT(Orders!E1474)</f>
        <v>46278.0</v>
      </c>
      <c r="P1477" s="33">
        <f>Orders!U1474</f>
        <v>18</v>
      </c>
      <c r="Q1477" s="33">
        <f>COUNTIFS(Demand!$A$2:$A$4481,B1477,Demand!$B$2:$B$4481,O1477,Demand!$C$2:$C$4481,P1477)</f>
        <v>1</v>
      </c>
      <c r="R1477" s="33">
        <f>IF(Q1477=1,SUMIFS(Demand!$E$2:$E$4481,Demand!$A$2:$A$4481,B1477,Demand!$B$2:$B$4481,O1477,Demand!$C$2:$C$4481,P1477),"")</f>
        <v>20</v>
      </c>
      <c r="S1477" s="33">
        <f>INDEX(Stores!$G$2:$G$21,MATCH(B1477,Stores!$A$2:$A$21,0))</f>
        <v>26</v>
      </c>
      <c r="T1477" s="34">
        <f>IF(R1477="","",R1477/S1477)</f>
        <v>0.769230769230769</v>
      </c>
      <c r="U1477" s="34">
        <f>IF(E1477=1,T1477,"")</f>
        <v>0.769230769230769</v>
      </c>
      <c r="V1477" s="34">
        <f>IF(AND(E1477=1,L1477=0),T1477,"")</f>
        <v>0.769230769230769</v>
      </c>
      <c r="W1477" s="33">
        <f>IF(U1477="","",IF(U1477&lt;=Breakdowns!$C$5,1,IF(U1477&lt;=Breakdowns!$C$6,2,IF(U1477&lt;=Breakdowns!$C$7,3,4))))</f>
        <v>1</v>
      </c>
      <c r="X1477" s="33">
        <f>IF(V1477="","",IF(V1477&lt;=Breakdowns!$D$5,1,IF(V1477&lt;=Breakdowns!$D$6,2,IF(V1477&lt;=Breakdowns!$D$7,3,4))))</f>
        <v>2</v>
      </c>
      <c r="Y1477" s="34">
        <f>INDEX(Stores!$F$2:$F$21,MATCH(B1477,Stores!$A$2:$A$21,0))</f>
        <v>5.22</v>
      </c>
      <c r="Z1477" s="33">
        <f>IF(Y1477&gt;Store_Summary!$M$2,1,0)</f>
        <v>1</v>
      </c>
      <c r="AA1477" s="33">
        <f>INDEX(Stores!$C$2:$C$21,MATCH(B1477,Stores!$A$2:$A$21,0))</f>
        <v>412</v>
      </c>
      <c r="AB1477" s="33">
        <f>IF(AA1477&lt;180,1,0)</f>
        <v>0</v>
      </c>
      <c r="AC1477" s="32" t="str">
        <f>IF(Orders!D1474="","",INDEX(Riders!$C$2:$C$81,MATCH(Orders!D1474,Riders!$A$2:$A$81,0)))</f>
        <v>EV scooter</v>
      </c>
      <c r="AD1477" s="33">
        <f>IF(Orders!D1474="","",INDEX(Riders!$D$2:$D$81,MATCH(Orders!D1474,Riders!$A$2:$A$81,0)))</f>
        <v>39</v>
      </c>
      <c r="AE1477" s="33">
        <f>IF(Orders!D1474="","",IF(INDEX(Riders!$B$2:$B$81,MATCH(Orders!D1474,Riders!$A$2:$A$81,0))=B1477,1,0))</f>
        <v>0</v>
      </c>
      <c r="AF1477" s="34">
        <f>IF(E1477=1,Orders!L1474,"")</f>
        <v>1.58</v>
      </c>
      <c r="AG1477" s="34">
        <f>IF(E1477=1,Orders!P1474,"")</f>
        <v>9.1</v>
      </c>
      <c r="AH1477" s="34">
        <f>IF(E1477=1,Orders!Q1474,"")</f>
        <v>15</v>
      </c>
      <c r="AI1477" s="34">
        <f>IF(E1477=1,Orders!M1474,"")</f>
        <v>7.2</v>
      </c>
      <c r="AJ1477" s="34">
        <f>IF(E1477=1,Orders!N1474,"")</f>
        <v>2.8</v>
      </c>
      <c r="AK1477" s="34">
        <f>IF(E1477=1,Orders!O1474,"")</f>
        <v>5</v>
      </c>
      <c r="AL1477" s="33">
        <f>IF(E1477=1,IF(ROUND(ABS(AI1477+AJ1477+AK1477-AH1477),6)&lt;=0.1,1,0),"")</f>
        <v>1</v>
      </c>
      <c r="AM1477" s="36">
        <f>IF(E1477=1,AI1477/AH1477,"")</f>
        <v>0.48</v>
      </c>
      <c r="AN1477" s="36">
        <f>IF(E1477=1,AJ1477/AH1477,"")</f>
        <v>0.186666666666667</v>
      </c>
      <c r="AO1477" s="36">
        <f>IF(E1477=1,AK1477/AH1477,"")</f>
        <v>0.333333333333333</v>
      </c>
      <c r="AP1477" s="34">
        <f>IF(E1477=1,Orders!Y1474,"")</f>
        <v>0.62</v>
      </c>
      <c r="AQ1477" s="33">
        <f>IF(Orders!X1474,1,0)</f>
        <v>0</v>
      </c>
      <c r="AR1477" s="34" t="str">
        <f>IF(AND(E1477=1,L1477=1),AJ1477,"")</f>
        <v/>
      </c>
      <c r="AS1477" s="34">
        <f>IF(AND(E1477=1,L1477=0),AJ1477,"")</f>
        <v>2.8</v>
      </c>
      <c r="AT1477" s="34" t="str">
        <f>IF(AND(E1477=1,L1477=1),AI1477,"")</f>
        <v/>
      </c>
      <c r="AU1477" s="34">
        <f>IF(AND(E1477=1,L1477=0),AI1477,"")</f>
        <v>7.2</v>
      </c>
      <c r="AV1477" s="34" t="str">
        <f>IF(AND(E1477=1,L1477=1),AG1477,"")</f>
        <v/>
      </c>
      <c r="AW1477" s="34">
        <f>IF(AND(E1477=1,L1477=0),AG1477,"")</f>
        <v>9.1</v>
      </c>
      <c r="AX1477" s="34" t="str">
        <f>IF(AND(E1477=1,L1477=1),AH1477,"")</f>
        <v/>
      </c>
      <c r="AY1477" s="34">
        <f>IF(AND(E1477=1,L1477=0),AH1477,"")</f>
        <v>15</v>
      </c>
      <c r="AZ1477" s="34">
        <f>IF(G1477=1,F1477,"")</f>
        <v>5.9</v>
      </c>
      <c r="BA1477" s="34" t="str">
        <f>IF(AND(G1477=1,L1477=1),F1477,"")</f>
        <v/>
      </c>
      <c r="BB1477" s="34">
        <f>IF(AND(G1477=1,L1477=0),F1477,"")</f>
        <v>5.9</v>
      </c>
      <c r="BC1477" s="33">
        <f>IF(E1477=1,IF(Orders!R1474&gt;3,1,0),"")</f>
        <v>1</v>
      </c>
      <c r="BD1477" s="33">
        <f>IF(E1477=1,IF(Orders!R1474&gt;7,1,0),"")</f>
        <v>0</v>
      </c>
      <c r="BE1477" s="32" t="str">
        <f>IF(E1477=1,IF(Orders!L1474&lt;=1.5,"Up to 1.5 km",IF(Orders!L1474&lt;=3,"1.5–3 km","Over 3 km")),"")</f>
        <v>1.5–3 km</v>
      </c>
      <c r="BF1477" s="33">
        <f>IF(E1477=1,IF(ABS((Orders!G1474-Orders!F1474)*1440-Orders!R1474)&lt;0.06,1,0),"")</f>
        <v>1</v>
      </c>
      <c r="BG1477" s="33">
        <f>IF(ABS((Orders!F1474-Orders!E1474)*1440-Orders!P1474)&lt;0.06,1,0)</f>
        <v>1</v>
      </c>
      <c r="BH1477" s="33">
        <f>IF(E1477=1,IF(IF(Orders!S1474,1,0)=1-G1477,1,0),"")</f>
        <v>1</v>
      </c>
      <c r="BI1477" s="32" t="str">
        <f>INDEX(Stores!$B$2:$B$21,MATCH(B1477,Stores!$A$2:$A$21,0))</f>
        <v>Bengaluru</v>
      </c>
    </row>
    <row r="1478">
      <c r="A1478" s="32" t="str">
        <f>Orders!A1475</f>
        <v>O01474</v>
      </c>
      <c r="B1478" s="32" t="str">
        <f>Orders!C1475</f>
        <v>S004</v>
      </c>
      <c r="C1478" s="32" t="str">
        <f>Orders!B1475</f>
        <v>C0219</v>
      </c>
      <c r="D1478" s="32" t="str">
        <f>Orders!H1475</f>
        <v>Cancelled</v>
      </c>
      <c r="E1478" s="33">
        <f>IF(Orders!H1475="Delivered",1,0)</f>
        <v>0</v>
      </c>
      <c r="F1478" s="34" t="str">
        <f>IF(E1478=1,Orders!R1475,"")</f>
        <v/>
      </c>
      <c r="G1478" s="33" t="str">
        <f>IF(E1478=1,IF(Orders!R1475&gt;0,1,0),"")</f>
        <v/>
      </c>
      <c r="H1478" s="33" t="str">
        <f>IF(E1478=1,IF(Orders!R1475&gt;5,1,0),"")</f>
        <v/>
      </c>
      <c r="I1478" s="32" t="str">
        <f>IF(E1478=1,"",IF(OR(Orders!T1475="Rider unavailable",Orders!T1475="Item unavailable"),"Company-caused","Unresolved"))</f>
        <v>Unresolved</v>
      </c>
      <c r="J1478" s="33">
        <f>IF(OR(E1478=1,I1478="Company-caused"),1,0)</f>
        <v>0</v>
      </c>
      <c r="K1478" s="32" t="str">
        <f>IF(E1478=0,IF(I1478="Company-caused",IF(Orders!T1475="Rider unavailable","C1 Rider unavailable","C2 Item unavailable"),"Outside root: unresolved"),IF(G1478=0,"A On time",IF(H1478=1,IF(L1478=1,"B2a Severe, peak","B2b Severe, off-peak"),IF(L1478=1,"B1a Slight, peak","B1b Slight, off-peak"))))</f>
        <v>Outside root: unresolved</v>
      </c>
      <c r="L1478" s="33">
        <f>IF(AND(Orders!U1475&gt;=19,Orders!U1475&lt;22),1,0)</f>
        <v>0</v>
      </c>
      <c r="M1478" s="33">
        <f>IF(L1478=IF(Orders!V1475,1,0),1,0)</f>
        <v>1</v>
      </c>
      <c r="N1478" s="32" t="str">
        <f>IF(Orders!W1475="","None",Orders!W1475)</f>
        <v>None</v>
      </c>
      <c r="O1478" s="35">
        <f>INT(Orders!E1475)</f>
        <v>46278.0</v>
      </c>
      <c r="P1478" s="33">
        <f>Orders!U1475</f>
        <v>18</v>
      </c>
      <c r="Q1478" s="33">
        <f>COUNTIFS(Demand!$A$2:$A$4481,B1478,Demand!$B$2:$B$4481,O1478,Demand!$C$2:$C$4481,P1478)</f>
        <v>1</v>
      </c>
      <c r="R1478" s="33">
        <f>IF(Q1478=1,SUMIFS(Demand!$E$2:$E$4481,Demand!$A$2:$A$4481,B1478,Demand!$B$2:$B$4481,O1478,Demand!$C$2:$C$4481,P1478),"")</f>
        <v>48</v>
      </c>
      <c r="S1478" s="33">
        <f>INDEX(Stores!$G$2:$G$21,MATCH(B1478,Stores!$A$2:$A$21,0))</f>
        <v>42</v>
      </c>
      <c r="T1478" s="34">
        <f>IF(R1478="","",R1478/S1478)</f>
        <v>1.14285714285714</v>
      </c>
      <c r="U1478" s="34" t="str">
        <f>IF(E1478=1,T1478,"")</f>
        <v/>
      </c>
      <c r="V1478" s="34" t="str">
        <f>IF(AND(E1478=1,L1478=0),T1478,"")</f>
        <v/>
      </c>
      <c r="W1478" s="33" t="str">
        <f>IF(U1478="","",IF(U1478&lt;=Breakdowns!$C$5,1,IF(U1478&lt;=Breakdowns!$C$6,2,IF(U1478&lt;=Breakdowns!$C$7,3,4))))</f>
        <v/>
      </c>
      <c r="X1478" s="33" t="str">
        <f>IF(V1478="","",IF(V1478&lt;=Breakdowns!$D$5,1,IF(V1478&lt;=Breakdowns!$D$6,2,IF(V1478&lt;=Breakdowns!$D$7,3,4))))</f>
        <v/>
      </c>
      <c r="Y1478" s="34">
        <f>INDEX(Stores!$F$2:$F$21,MATCH(B1478,Stores!$A$2:$A$21,0))</f>
        <v>2.19</v>
      </c>
      <c r="Z1478" s="33">
        <f>IF(Y1478&gt;Store_Summary!$M$2,1,0)</f>
        <v>0</v>
      </c>
      <c r="AA1478" s="33">
        <f>INDEX(Stores!$C$2:$C$21,MATCH(B1478,Stores!$A$2:$A$21,0))</f>
        <v>850</v>
      </c>
      <c r="AB1478" s="33">
        <f>IF(AA1478&lt;180,1,0)</f>
        <v>0</v>
      </c>
      <c r="AC1478" s="32" t="str">
        <f>IF(Orders!D1475="","",INDEX(Riders!$C$2:$C$81,MATCH(Orders!D1475,Riders!$A$2:$A$81,0)))</f>
        <v/>
      </c>
      <c r="AD1478" s="33" t="str">
        <f>IF(Orders!D1475="","",INDEX(Riders!$D$2:$D$81,MATCH(Orders!D1475,Riders!$A$2:$A$81,0)))</f>
        <v/>
      </c>
      <c r="AE1478" s="33" t="str">
        <f>IF(Orders!D1475="","",IF(INDEX(Riders!$B$2:$B$81,MATCH(Orders!D1475,Riders!$A$2:$A$81,0))=B1478,1,0))</f>
        <v/>
      </c>
      <c r="AF1478" s="34" t="str">
        <f>IF(E1478=1,Orders!L1475,"")</f>
        <v/>
      </c>
      <c r="AG1478" s="34" t="str">
        <f>IF(E1478=1,Orders!P1475,"")</f>
        <v/>
      </c>
      <c r="AH1478" s="34" t="str">
        <f>IF(E1478=1,Orders!Q1475,"")</f>
        <v/>
      </c>
      <c r="AI1478" s="34" t="str">
        <f>IF(E1478=1,Orders!M1475,"")</f>
        <v/>
      </c>
      <c r="AJ1478" s="34" t="str">
        <f>IF(E1478=1,Orders!N1475,"")</f>
        <v/>
      </c>
      <c r="AK1478" s="34" t="str">
        <f>IF(E1478=1,Orders!O1475,"")</f>
        <v/>
      </c>
      <c r="AL1478" s="33" t="str">
        <f>IF(E1478=1,IF(ROUND(ABS(AI1478+AJ1478+AK1478-AH1478),6)&lt;=0.1,1,0),"")</f>
        <v/>
      </c>
      <c r="AM1478" s="36" t="str">
        <f>IF(E1478=1,AI1478/AH1478,"")</f>
        <v/>
      </c>
      <c r="AN1478" s="36" t="str">
        <f>IF(E1478=1,AJ1478/AH1478,"")</f>
        <v/>
      </c>
      <c r="AO1478" s="36" t="str">
        <f>IF(E1478=1,AK1478/AH1478,"")</f>
        <v/>
      </c>
      <c r="AP1478" s="34" t="str">
        <f>IF(E1478=1,Orders!Y1475,"")</f>
        <v/>
      </c>
      <c r="AQ1478" s="33">
        <f>IF(Orders!X1475,1,0)</f>
        <v>1</v>
      </c>
      <c r="AR1478" s="34" t="str">
        <f>IF(AND(E1478=1,L1478=1),AJ1478,"")</f>
        <v/>
      </c>
      <c r="AS1478" s="34" t="str">
        <f>IF(AND(E1478=1,L1478=0),AJ1478,"")</f>
        <v/>
      </c>
      <c r="AT1478" s="34" t="str">
        <f>IF(AND(E1478=1,L1478=1),AI1478,"")</f>
        <v/>
      </c>
      <c r="AU1478" s="34" t="str">
        <f>IF(AND(E1478=1,L1478=0),AI1478,"")</f>
        <v/>
      </c>
      <c r="AV1478" s="34" t="str">
        <f>IF(AND(E1478=1,L1478=1),AG1478,"")</f>
        <v/>
      </c>
      <c r="AW1478" s="34" t="str">
        <f>IF(AND(E1478=1,L1478=0),AG1478,"")</f>
        <v/>
      </c>
      <c r="AX1478" s="34" t="str">
        <f>IF(AND(E1478=1,L1478=1),AH1478,"")</f>
        <v/>
      </c>
      <c r="AY1478" s="34" t="str">
        <f>IF(AND(E1478=1,L1478=0),AH1478,"")</f>
        <v/>
      </c>
      <c r="AZ1478" s="34" t="str">
        <f>IF(G1478=1,F1478,"")</f>
        <v/>
      </c>
      <c r="BA1478" s="34" t="str">
        <f>IF(AND(G1478=1,L1478=1),F1478,"")</f>
        <v/>
      </c>
      <c r="BB1478" s="34" t="str">
        <f>IF(AND(G1478=1,L1478=0),F1478,"")</f>
        <v/>
      </c>
      <c r="BC1478" s="33" t="str">
        <f>IF(E1478=1,IF(Orders!R1475&gt;3,1,0),"")</f>
        <v/>
      </c>
      <c r="BD1478" s="33" t="str">
        <f>IF(E1478=1,IF(Orders!R1475&gt;7,1,0),"")</f>
        <v/>
      </c>
      <c r="BE1478" s="32" t="str">
        <f>IF(E1478=1,IF(Orders!L1475&lt;=1.5,"Up to 1.5 km",IF(Orders!L1475&lt;=3,"1.5–3 km","Over 3 km")),"")</f>
        <v/>
      </c>
      <c r="BF1478" s="33" t="str">
        <f>IF(E1478=1,IF(ABS((Orders!G1475-Orders!F1475)*1440-Orders!R1475)&lt;0.06,1,0),"")</f>
        <v/>
      </c>
      <c r="BG1478" s="33">
        <f>IF(ABS((Orders!F1475-Orders!E1475)*1440-Orders!P1475)&lt;0.06,1,0)</f>
        <v>1</v>
      </c>
      <c r="BH1478" s="33" t="str">
        <f>IF(E1478=1,IF(IF(Orders!S1475,1,0)=1-G1478,1,0),"")</f>
        <v/>
      </c>
      <c r="BI1478" s="32" t="str">
        <f>INDEX(Stores!$B$2:$B$21,MATCH(B1478,Stores!$A$2:$A$21,0))</f>
        <v>Pune</v>
      </c>
    </row>
    <row r="1479">
      <c r="A1479" s="32" t="str">
        <f>Orders!A1476</f>
        <v>O01475</v>
      </c>
      <c r="B1479" s="32" t="str">
        <f>Orders!C1476</f>
        <v>S020</v>
      </c>
      <c r="C1479" s="32" t="str">
        <f>Orders!B1476</f>
        <v>C0052</v>
      </c>
      <c r="D1479" s="32" t="str">
        <f>Orders!H1476</f>
        <v>Delivered</v>
      </c>
      <c r="E1479" s="33">
        <f>IF(Orders!H1476="Delivered",1,0)</f>
        <v>1</v>
      </c>
      <c r="F1479" s="34">
        <f>IF(E1479=1,Orders!R1476,"")</f>
        <v>-0.8</v>
      </c>
      <c r="G1479" s="33">
        <f>IF(E1479=1,IF(Orders!R1476&gt;0,1,0),"")</f>
        <v>0</v>
      </c>
      <c r="H1479" s="33">
        <f>IF(E1479=1,IF(Orders!R1476&gt;5,1,0),"")</f>
        <v>0</v>
      </c>
      <c r="I1479" s="32" t="str">
        <f>IF(E1479=1,"",IF(OR(Orders!T1476="Rider unavailable",Orders!T1476="Item unavailable"),"Company-caused","Unresolved"))</f>
        <v/>
      </c>
      <c r="J1479" s="33">
        <f>IF(OR(E1479=1,I1479="Company-caused"),1,0)</f>
        <v>1</v>
      </c>
      <c r="K1479" s="32" t="str">
        <f>IF(E1479=0,IF(I1479="Company-caused",IF(Orders!T1476="Rider unavailable","C1 Rider unavailable","C2 Item unavailable"),"Outside root: unresolved"),IF(G1479=0,"A On time",IF(H1479=1,IF(L1479=1,"B2a Severe, peak","B2b Severe, off-peak"),IF(L1479=1,"B1a Slight, peak","B1b Slight, off-peak"))))</f>
        <v>A On time</v>
      </c>
      <c r="L1479" s="33">
        <f>IF(AND(Orders!U1476&gt;=19,Orders!U1476&lt;22),1,0)</f>
        <v>1</v>
      </c>
      <c r="M1479" s="33">
        <f>IF(L1479=IF(Orders!V1476,1,0),1,0)</f>
        <v>1</v>
      </c>
      <c r="N1479" s="32" t="str">
        <f>IF(Orders!W1476="","None",Orders!W1476)</f>
        <v>Light</v>
      </c>
      <c r="O1479" s="35">
        <f>INT(Orders!E1476)</f>
        <v>46279.0</v>
      </c>
      <c r="P1479" s="33">
        <f>Orders!U1476</f>
        <v>21</v>
      </c>
      <c r="Q1479" s="33">
        <f>COUNTIFS(Demand!$A$2:$A$4481,B1479,Demand!$B$2:$B$4481,O1479,Demand!$C$2:$C$4481,P1479)</f>
        <v>1</v>
      </c>
      <c r="R1479" s="33">
        <f>IF(Q1479=1,SUMIFS(Demand!$E$2:$E$4481,Demand!$A$2:$A$4481,B1479,Demand!$B$2:$B$4481,O1479,Demand!$C$2:$C$4481,P1479),"")</f>
        <v>21</v>
      </c>
      <c r="S1479" s="33">
        <f>INDEX(Stores!$G$2:$G$21,MATCH(B1479,Stores!$A$2:$A$21,0))</f>
        <v>15</v>
      </c>
      <c r="T1479" s="34">
        <f>IF(R1479="","",R1479/S1479)</f>
        <v>1.4</v>
      </c>
      <c r="U1479" s="34">
        <f>IF(E1479=1,T1479,"")</f>
        <v>1.4</v>
      </c>
      <c r="V1479" s="34" t="str">
        <f>IF(AND(E1479=1,L1479=0),T1479,"")</f>
        <v/>
      </c>
      <c r="W1479" s="33">
        <f>IF(U1479="","",IF(U1479&lt;=Breakdowns!$C$5,1,IF(U1479&lt;=Breakdowns!$C$6,2,IF(U1479&lt;=Breakdowns!$C$7,3,4))))</f>
        <v>4</v>
      </c>
      <c r="X1479" s="33" t="str">
        <f>IF(V1479="","",IF(V1479&lt;=Breakdowns!$D$5,1,IF(V1479&lt;=Breakdowns!$D$6,2,IF(V1479&lt;=Breakdowns!$D$7,3,4))))</f>
        <v/>
      </c>
      <c r="Y1479" s="34">
        <f>INDEX(Stores!$F$2:$F$21,MATCH(B1479,Stores!$A$2:$A$21,0))</f>
        <v>5.74</v>
      </c>
      <c r="Z1479" s="33">
        <f>IF(Y1479&gt;Store_Summary!$M$2,1,0)</f>
        <v>1</v>
      </c>
      <c r="AA1479" s="33">
        <f>INDEX(Stores!$C$2:$C$21,MATCH(B1479,Stores!$A$2:$A$21,0))</f>
        <v>647</v>
      </c>
      <c r="AB1479" s="33">
        <f>IF(AA1479&lt;180,1,0)</f>
        <v>0</v>
      </c>
      <c r="AC1479" s="32" t="str">
        <f>IF(Orders!D1476="","",INDEX(Riders!$C$2:$C$81,MATCH(Orders!D1476,Riders!$A$2:$A$81,0)))</f>
        <v>Petrol scooter</v>
      </c>
      <c r="AD1479" s="33">
        <f>IF(Orders!D1476="","",INDEX(Riders!$D$2:$D$81,MATCH(Orders!D1476,Riders!$A$2:$A$81,0)))</f>
        <v>15</v>
      </c>
      <c r="AE1479" s="33">
        <f>IF(Orders!D1476="","",IF(INDEX(Riders!$B$2:$B$81,MATCH(Orders!D1476,Riders!$A$2:$A$81,0))=B1479,1,0))</f>
        <v>0</v>
      </c>
      <c r="AF1479" s="34">
        <f>IF(E1479=1,Orders!L1476,"")</f>
        <v>1.58</v>
      </c>
      <c r="AG1479" s="34">
        <f>IF(E1479=1,Orders!P1476,"")</f>
        <v>10.6</v>
      </c>
      <c r="AH1479" s="34">
        <f>IF(E1479=1,Orders!Q1476,"")</f>
        <v>9.8</v>
      </c>
      <c r="AI1479" s="34">
        <f>IF(E1479=1,Orders!M1476,"")</f>
        <v>3.5</v>
      </c>
      <c r="AJ1479" s="34">
        <f>IF(E1479=1,Orders!N1476,"")</f>
        <v>2.3</v>
      </c>
      <c r="AK1479" s="34">
        <f>IF(E1479=1,Orders!O1476,"")</f>
        <v>4</v>
      </c>
      <c r="AL1479" s="33">
        <f>IF(E1479=1,IF(ROUND(ABS(AI1479+AJ1479+AK1479-AH1479),6)&lt;=0.1,1,0),"")</f>
        <v>1</v>
      </c>
      <c r="AM1479" s="36">
        <f>IF(E1479=1,AI1479/AH1479,"")</f>
        <v>0.357142857142857</v>
      </c>
      <c r="AN1479" s="36">
        <f>IF(E1479=1,AJ1479/AH1479,"")</f>
        <v>0.23469387755102</v>
      </c>
      <c r="AO1479" s="36">
        <f>IF(E1479=1,AK1479/AH1479,"")</f>
        <v>0.408163265306122</v>
      </c>
      <c r="AP1479" s="34">
        <f>IF(E1479=1,Orders!Y1476,"")</f>
        <v>0.74</v>
      </c>
      <c r="AQ1479" s="33">
        <f>IF(Orders!X1476,1,0)</f>
        <v>0</v>
      </c>
      <c r="AR1479" s="34">
        <f>IF(AND(E1479=1,L1479=1),AJ1479,"")</f>
        <v>2.3</v>
      </c>
      <c r="AS1479" s="34" t="str">
        <f>IF(AND(E1479=1,L1479=0),AJ1479,"")</f>
        <v/>
      </c>
      <c r="AT1479" s="34">
        <f>IF(AND(E1479=1,L1479=1),AI1479,"")</f>
        <v>3.5</v>
      </c>
      <c r="AU1479" s="34" t="str">
        <f>IF(AND(E1479=1,L1479=0),AI1479,"")</f>
        <v/>
      </c>
      <c r="AV1479" s="34">
        <f>IF(AND(E1479=1,L1479=1),AG1479,"")</f>
        <v>10.6</v>
      </c>
      <c r="AW1479" s="34" t="str">
        <f>IF(AND(E1479=1,L1479=0),AG1479,"")</f>
        <v/>
      </c>
      <c r="AX1479" s="34">
        <f>IF(AND(E1479=1,L1479=1),AH1479,"")</f>
        <v>9.8</v>
      </c>
      <c r="AY1479" s="34" t="str">
        <f>IF(AND(E1479=1,L1479=0),AH1479,"")</f>
        <v/>
      </c>
      <c r="AZ1479" s="34" t="str">
        <f>IF(G1479=1,F1479,"")</f>
        <v/>
      </c>
      <c r="BA1479" s="34" t="str">
        <f>IF(AND(G1479=1,L1479=1),F1479,"")</f>
        <v/>
      </c>
      <c r="BB1479" s="34" t="str">
        <f>IF(AND(G1479=1,L1479=0),F1479,"")</f>
        <v/>
      </c>
      <c r="BC1479" s="33">
        <f>IF(E1479=1,IF(Orders!R1476&gt;3,1,0),"")</f>
        <v>0</v>
      </c>
      <c r="BD1479" s="33">
        <f>IF(E1479=1,IF(Orders!R1476&gt;7,1,0),"")</f>
        <v>0</v>
      </c>
      <c r="BE1479" s="32" t="str">
        <f>IF(E1479=1,IF(Orders!L1476&lt;=1.5,"Up to 1.5 km",IF(Orders!L1476&lt;=3,"1.5–3 km","Over 3 km")),"")</f>
        <v>1.5–3 km</v>
      </c>
      <c r="BF1479" s="33">
        <f>IF(E1479=1,IF(ABS((Orders!G1476-Orders!F1476)*1440-Orders!R1476)&lt;0.06,1,0),"")</f>
        <v>1</v>
      </c>
      <c r="BG1479" s="33">
        <f>IF(ABS((Orders!F1476-Orders!E1476)*1440-Orders!P1476)&lt;0.06,1,0)</f>
        <v>1</v>
      </c>
      <c r="BH1479" s="33">
        <f>IF(E1479=1,IF(IF(Orders!S1476,1,0)=1-G1479,1,0),"")</f>
        <v>1</v>
      </c>
      <c r="BI1479" s="32" t="str">
        <f>INDEX(Stores!$B$2:$B$21,MATCH(B1479,Stores!$A$2:$A$21,0))</f>
        <v>Delhi</v>
      </c>
    </row>
    <row r="1480">
      <c r="A1480" s="32" t="str">
        <f>Orders!A1477</f>
        <v>O01476</v>
      </c>
      <c r="B1480" s="32" t="str">
        <f>Orders!C1477</f>
        <v>S011</v>
      </c>
      <c r="C1480" s="32" t="str">
        <f>Orders!B1477</f>
        <v>C0039</v>
      </c>
      <c r="D1480" s="32" t="str">
        <f>Orders!H1477</f>
        <v>Delivered</v>
      </c>
      <c r="E1480" s="33">
        <f>IF(Orders!H1477="Delivered",1,0)</f>
        <v>1</v>
      </c>
      <c r="F1480" s="34">
        <f>IF(E1480=1,Orders!R1477,"")</f>
        <v>-0.2</v>
      </c>
      <c r="G1480" s="33">
        <f>IF(E1480=1,IF(Orders!R1477&gt;0,1,0),"")</f>
        <v>0</v>
      </c>
      <c r="H1480" s="33">
        <f>IF(E1480=1,IF(Orders!R1477&gt;5,1,0),"")</f>
        <v>0</v>
      </c>
      <c r="I1480" s="32" t="str">
        <f>IF(E1480=1,"",IF(OR(Orders!T1477="Rider unavailable",Orders!T1477="Item unavailable"),"Company-caused","Unresolved"))</f>
        <v/>
      </c>
      <c r="J1480" s="33">
        <f>IF(OR(E1480=1,I1480="Company-caused"),1,0)</f>
        <v>1</v>
      </c>
      <c r="K1480" s="32" t="str">
        <f>IF(E1480=0,IF(I1480="Company-caused",IF(Orders!T1477="Rider unavailable","C1 Rider unavailable","C2 Item unavailable"),"Outside root: unresolved"),IF(G1480=0,"A On time",IF(H1480=1,IF(L1480=1,"B2a Severe, peak","B2b Severe, off-peak"),IF(L1480=1,"B1a Slight, peak","B1b Slight, off-peak"))))</f>
        <v>A On time</v>
      </c>
      <c r="L1480" s="33">
        <f>IF(AND(Orders!U1477&gt;=19,Orders!U1477&lt;22),1,0)</f>
        <v>1</v>
      </c>
      <c r="M1480" s="33">
        <f>IF(L1480=IF(Orders!V1477,1,0),1,0)</f>
        <v>1</v>
      </c>
      <c r="N1480" s="32" t="str">
        <f>IF(Orders!W1477="","None",Orders!W1477)</f>
        <v>None</v>
      </c>
      <c r="O1480" s="35">
        <f>INT(Orders!E1477)</f>
        <v>46266.0</v>
      </c>
      <c r="P1480" s="33">
        <f>Orders!U1477</f>
        <v>20</v>
      </c>
      <c r="Q1480" s="33">
        <f>COUNTIFS(Demand!$A$2:$A$4481,B1480,Demand!$B$2:$B$4481,O1480,Demand!$C$2:$C$4481,P1480)</f>
        <v>1</v>
      </c>
      <c r="R1480" s="33">
        <f>IF(Q1480=1,SUMIFS(Demand!$E$2:$E$4481,Demand!$A$2:$A$4481,B1480,Demand!$B$2:$B$4481,O1480,Demand!$C$2:$C$4481,P1480),"")</f>
        <v>58</v>
      </c>
      <c r="S1480" s="33">
        <f>INDEX(Stores!$G$2:$G$21,MATCH(B1480,Stores!$A$2:$A$21,0))</f>
        <v>31</v>
      </c>
      <c r="T1480" s="34">
        <f>IF(R1480="","",R1480/S1480)</f>
        <v>1.87096774193548</v>
      </c>
      <c r="U1480" s="34">
        <f>IF(E1480=1,T1480,"")</f>
        <v>1.87096774193548</v>
      </c>
      <c r="V1480" s="34" t="str">
        <f>IF(AND(E1480=1,L1480=0),T1480,"")</f>
        <v/>
      </c>
      <c r="W1480" s="33">
        <f>IF(U1480="","",IF(U1480&lt;=Breakdowns!$C$5,1,IF(U1480&lt;=Breakdowns!$C$6,2,IF(U1480&lt;=Breakdowns!$C$7,3,4))))</f>
        <v>4</v>
      </c>
      <c r="X1480" s="33" t="str">
        <f>IF(V1480="","",IF(V1480&lt;=Breakdowns!$D$5,1,IF(V1480&lt;=Breakdowns!$D$6,2,IF(V1480&lt;=Breakdowns!$D$7,3,4))))</f>
        <v/>
      </c>
      <c r="Y1480" s="34">
        <f>INDEX(Stores!$F$2:$F$21,MATCH(B1480,Stores!$A$2:$A$21,0))</f>
        <v>5.67</v>
      </c>
      <c r="Z1480" s="33">
        <f>IF(Y1480&gt;Store_Summary!$M$2,1,0)</f>
        <v>1</v>
      </c>
      <c r="AA1480" s="33">
        <f>INDEX(Stores!$C$2:$C$21,MATCH(B1480,Stores!$A$2:$A$21,0))</f>
        <v>732</v>
      </c>
      <c r="AB1480" s="33">
        <f>IF(AA1480&lt;180,1,0)</f>
        <v>0</v>
      </c>
      <c r="AC1480" s="32" t="str">
        <f>IF(Orders!D1477="","",INDEX(Riders!$C$2:$C$81,MATCH(Orders!D1477,Riders!$A$2:$A$81,0)))</f>
        <v>Petrol scooter</v>
      </c>
      <c r="AD1480" s="33">
        <f>IF(Orders!D1477="","",INDEX(Riders!$D$2:$D$81,MATCH(Orders!D1477,Riders!$A$2:$A$81,0)))</f>
        <v>48</v>
      </c>
      <c r="AE1480" s="33">
        <f>IF(Orders!D1477="","",IF(INDEX(Riders!$B$2:$B$81,MATCH(Orders!D1477,Riders!$A$2:$A$81,0))=B1480,1,0))</f>
        <v>0</v>
      </c>
      <c r="AF1480" s="34">
        <f>IF(E1480=1,Orders!L1477,"")</f>
        <v>1.47</v>
      </c>
      <c r="AG1480" s="34">
        <f>IF(E1480=1,Orders!P1477,"")</f>
        <v>9.8</v>
      </c>
      <c r="AH1480" s="34">
        <f>IF(E1480=1,Orders!Q1477,"")</f>
        <v>9.6</v>
      </c>
      <c r="AI1480" s="34">
        <f>IF(E1480=1,Orders!M1477,"")</f>
        <v>3</v>
      </c>
      <c r="AJ1480" s="34">
        <f>IF(E1480=1,Orders!N1477,"")</f>
        <v>3.9</v>
      </c>
      <c r="AK1480" s="34">
        <f>IF(E1480=1,Orders!O1477,"")</f>
        <v>2.7</v>
      </c>
      <c r="AL1480" s="33">
        <f>IF(E1480=1,IF(ROUND(ABS(AI1480+AJ1480+AK1480-AH1480),6)&lt;=0.1,1,0),"")</f>
        <v>1</v>
      </c>
      <c r="AM1480" s="36">
        <f>IF(E1480=1,AI1480/AH1480,"")</f>
        <v>0.3125</v>
      </c>
      <c r="AN1480" s="36">
        <f>IF(E1480=1,AJ1480/AH1480,"")</f>
        <v>0.40625</v>
      </c>
      <c r="AO1480" s="36">
        <f>IF(E1480=1,AK1480/AH1480,"")</f>
        <v>0.28125</v>
      </c>
      <c r="AP1480" s="34">
        <f>IF(E1480=1,Orders!Y1477,"")</f>
        <v>0.56</v>
      </c>
      <c r="AQ1480" s="33">
        <f>IF(Orders!X1477,1,0)</f>
        <v>0</v>
      </c>
      <c r="AR1480" s="34">
        <f>IF(AND(E1480=1,L1480=1),AJ1480,"")</f>
        <v>3.9</v>
      </c>
      <c r="AS1480" s="34" t="str">
        <f>IF(AND(E1480=1,L1480=0),AJ1480,"")</f>
        <v/>
      </c>
      <c r="AT1480" s="34">
        <f>IF(AND(E1480=1,L1480=1),AI1480,"")</f>
        <v>3</v>
      </c>
      <c r="AU1480" s="34" t="str">
        <f>IF(AND(E1480=1,L1480=0),AI1480,"")</f>
        <v/>
      </c>
      <c r="AV1480" s="34">
        <f>IF(AND(E1480=1,L1480=1),AG1480,"")</f>
        <v>9.8</v>
      </c>
      <c r="AW1480" s="34" t="str">
        <f>IF(AND(E1480=1,L1480=0),AG1480,"")</f>
        <v/>
      </c>
      <c r="AX1480" s="34">
        <f>IF(AND(E1480=1,L1480=1),AH1480,"")</f>
        <v>9.6</v>
      </c>
      <c r="AY1480" s="34" t="str">
        <f>IF(AND(E1480=1,L1480=0),AH1480,"")</f>
        <v/>
      </c>
      <c r="AZ1480" s="34" t="str">
        <f>IF(G1480=1,F1480,"")</f>
        <v/>
      </c>
      <c r="BA1480" s="34" t="str">
        <f>IF(AND(G1480=1,L1480=1),F1480,"")</f>
        <v/>
      </c>
      <c r="BB1480" s="34" t="str">
        <f>IF(AND(G1480=1,L1480=0),F1480,"")</f>
        <v/>
      </c>
      <c r="BC1480" s="33">
        <f>IF(E1480=1,IF(Orders!R1477&gt;3,1,0),"")</f>
        <v>0</v>
      </c>
      <c r="BD1480" s="33">
        <f>IF(E1480=1,IF(Orders!R1477&gt;7,1,0),"")</f>
        <v>0</v>
      </c>
      <c r="BE1480" s="32" t="str">
        <f>IF(E1480=1,IF(Orders!L1477&lt;=1.5,"Up to 1.5 km",IF(Orders!L1477&lt;=3,"1.5–3 km","Over 3 km")),"")</f>
        <v>Up to 1.5 km</v>
      </c>
      <c r="BF1480" s="33">
        <f>IF(E1480=1,IF(ABS((Orders!G1477-Orders!F1477)*1440-Orders!R1477)&lt;0.06,1,0),"")</f>
        <v>1</v>
      </c>
      <c r="BG1480" s="33">
        <f>IF(ABS((Orders!F1477-Orders!E1477)*1440-Orders!P1477)&lt;0.06,1,0)</f>
        <v>1</v>
      </c>
      <c r="BH1480" s="33">
        <f>IF(E1480=1,IF(IF(Orders!S1477,1,0)=1-G1480,1,0),"")</f>
        <v>1</v>
      </c>
      <c r="BI1480" s="32" t="str">
        <f>INDEX(Stores!$B$2:$B$21,MATCH(B1480,Stores!$A$2:$A$21,0))</f>
        <v>Bengaluru</v>
      </c>
    </row>
    <row r="1481">
      <c r="A1481" s="32" t="str">
        <f>Orders!A1478</f>
        <v>O01477</v>
      </c>
      <c r="B1481" s="32" t="str">
        <f>Orders!C1478</f>
        <v>S019</v>
      </c>
      <c r="C1481" s="32" t="str">
        <f>Orders!B1478</f>
        <v>C0224</v>
      </c>
      <c r="D1481" s="32" t="str">
        <f>Orders!H1478</f>
        <v>Delivered</v>
      </c>
      <c r="E1481" s="33">
        <f>IF(Orders!H1478="Delivered",1,0)</f>
        <v>1</v>
      </c>
      <c r="F1481" s="34">
        <f>IF(E1481=1,Orders!R1478,"")</f>
        <v>-0.8</v>
      </c>
      <c r="G1481" s="33">
        <f>IF(E1481=1,IF(Orders!R1478&gt;0,1,0),"")</f>
        <v>0</v>
      </c>
      <c r="H1481" s="33">
        <f>IF(E1481=1,IF(Orders!R1478&gt;5,1,0),"")</f>
        <v>0</v>
      </c>
      <c r="I1481" s="32" t="str">
        <f>IF(E1481=1,"",IF(OR(Orders!T1478="Rider unavailable",Orders!T1478="Item unavailable"),"Company-caused","Unresolved"))</f>
        <v/>
      </c>
      <c r="J1481" s="33">
        <f>IF(OR(E1481=1,I1481="Company-caused"),1,0)</f>
        <v>1</v>
      </c>
      <c r="K1481" s="32" t="str">
        <f>IF(E1481=0,IF(I1481="Company-caused",IF(Orders!T1478="Rider unavailable","C1 Rider unavailable","C2 Item unavailable"),"Outside root: unresolved"),IF(G1481=0,"A On time",IF(H1481=1,IF(L1481=1,"B2a Severe, peak","B2b Severe, off-peak"),IF(L1481=1,"B1a Slight, peak","B1b Slight, off-peak"))))</f>
        <v>A On time</v>
      </c>
      <c r="L1481" s="33">
        <f>IF(AND(Orders!U1478&gt;=19,Orders!U1478&lt;22),1,0)</f>
        <v>0</v>
      </c>
      <c r="M1481" s="33">
        <f>IF(L1481=IF(Orders!V1478,1,0),1,0)</f>
        <v>1</v>
      </c>
      <c r="N1481" s="32" t="str">
        <f>IF(Orders!W1478="","None",Orders!W1478)</f>
        <v>None</v>
      </c>
      <c r="O1481" s="35">
        <f>INT(Orders!E1478)</f>
        <v>46274.0</v>
      </c>
      <c r="P1481" s="33">
        <f>Orders!U1478</f>
        <v>23</v>
      </c>
      <c r="Q1481" s="33">
        <f>COUNTIFS(Demand!$A$2:$A$4481,B1481,Demand!$B$2:$B$4481,O1481,Demand!$C$2:$C$4481,P1481)</f>
        <v>1</v>
      </c>
      <c r="R1481" s="33">
        <f>IF(Q1481=1,SUMIFS(Demand!$E$2:$E$4481,Demand!$A$2:$A$4481,B1481,Demand!$B$2:$B$4481,O1481,Demand!$C$2:$C$4481,P1481),"")</f>
        <v>22</v>
      </c>
      <c r="S1481" s="33">
        <f>INDEX(Stores!$G$2:$G$21,MATCH(B1481,Stores!$A$2:$A$21,0))</f>
        <v>22</v>
      </c>
      <c r="T1481" s="34">
        <f>IF(R1481="","",R1481/S1481)</f>
        <v>1</v>
      </c>
      <c r="U1481" s="34">
        <f>IF(E1481=1,T1481,"")</f>
        <v>1</v>
      </c>
      <c r="V1481" s="34">
        <f>IF(AND(E1481=1,L1481=0),T1481,"")</f>
        <v>1</v>
      </c>
      <c r="W1481" s="33">
        <f>IF(U1481="","",IF(U1481&lt;=Breakdowns!$C$5,1,IF(U1481&lt;=Breakdowns!$C$6,2,IF(U1481&lt;=Breakdowns!$C$7,3,4))))</f>
        <v>2</v>
      </c>
      <c r="X1481" s="33">
        <f>IF(V1481="","",IF(V1481&lt;=Breakdowns!$D$5,1,IF(V1481&lt;=Breakdowns!$D$6,2,IF(V1481&lt;=Breakdowns!$D$7,3,4))))</f>
        <v>3</v>
      </c>
      <c r="Y1481" s="34">
        <f>INDEX(Stores!$F$2:$F$21,MATCH(B1481,Stores!$A$2:$A$21,0))</f>
        <v>4.99</v>
      </c>
      <c r="Z1481" s="33">
        <f>IF(Y1481&gt;Store_Summary!$M$2,1,0)</f>
        <v>1</v>
      </c>
      <c r="AA1481" s="33">
        <f>INDEX(Stores!$C$2:$C$21,MATCH(B1481,Stores!$A$2:$A$21,0))</f>
        <v>851</v>
      </c>
      <c r="AB1481" s="33">
        <f>IF(AA1481&lt;180,1,0)</f>
        <v>0</v>
      </c>
      <c r="AC1481" s="32" t="str">
        <f>IF(Orders!D1478="","",INDEX(Riders!$C$2:$C$81,MATCH(Orders!D1478,Riders!$A$2:$A$81,0)))</f>
        <v>EV scooter</v>
      </c>
      <c r="AD1481" s="33">
        <f>IF(Orders!D1478="","",INDEX(Riders!$D$2:$D$81,MATCH(Orders!D1478,Riders!$A$2:$A$81,0)))</f>
        <v>33</v>
      </c>
      <c r="AE1481" s="33">
        <f>IF(Orders!D1478="","",IF(INDEX(Riders!$B$2:$B$81,MATCH(Orders!D1478,Riders!$A$2:$A$81,0))=B1481,1,0))</f>
        <v>0</v>
      </c>
      <c r="AF1481" s="34">
        <f>IF(E1481=1,Orders!L1478,"")</f>
        <v>1.12</v>
      </c>
      <c r="AG1481" s="34">
        <f>IF(E1481=1,Orders!P1478,"")</f>
        <v>10.4</v>
      </c>
      <c r="AH1481" s="34">
        <f>IF(E1481=1,Orders!Q1478,"")</f>
        <v>9.6</v>
      </c>
      <c r="AI1481" s="34">
        <f>IF(E1481=1,Orders!M1478,"")</f>
        <v>2.7</v>
      </c>
      <c r="AJ1481" s="34">
        <f>IF(E1481=1,Orders!N1478,"")</f>
        <v>5</v>
      </c>
      <c r="AK1481" s="34">
        <f>IF(E1481=1,Orders!O1478,"")</f>
        <v>1.9</v>
      </c>
      <c r="AL1481" s="33">
        <f>IF(E1481=1,IF(ROUND(ABS(AI1481+AJ1481+AK1481-AH1481),6)&lt;=0.1,1,0),"")</f>
        <v>1</v>
      </c>
      <c r="AM1481" s="36">
        <f>IF(E1481=1,AI1481/AH1481,"")</f>
        <v>0.28125</v>
      </c>
      <c r="AN1481" s="36">
        <f>IF(E1481=1,AJ1481/AH1481,"")</f>
        <v>0.520833333333333</v>
      </c>
      <c r="AO1481" s="36">
        <f>IF(E1481=1,AK1481/AH1481,"")</f>
        <v>0.197916666666667</v>
      </c>
      <c r="AP1481" s="34">
        <f>IF(E1481=1,Orders!Y1478,"")</f>
        <v>0.47</v>
      </c>
      <c r="AQ1481" s="33">
        <f>IF(Orders!X1478,1,0)</f>
        <v>0</v>
      </c>
      <c r="AR1481" s="34" t="str">
        <f>IF(AND(E1481=1,L1481=1),AJ1481,"")</f>
        <v/>
      </c>
      <c r="AS1481" s="34">
        <f>IF(AND(E1481=1,L1481=0),AJ1481,"")</f>
        <v>5</v>
      </c>
      <c r="AT1481" s="34" t="str">
        <f>IF(AND(E1481=1,L1481=1),AI1481,"")</f>
        <v/>
      </c>
      <c r="AU1481" s="34">
        <f>IF(AND(E1481=1,L1481=0),AI1481,"")</f>
        <v>2.7</v>
      </c>
      <c r="AV1481" s="34" t="str">
        <f>IF(AND(E1481=1,L1481=1),AG1481,"")</f>
        <v/>
      </c>
      <c r="AW1481" s="34">
        <f>IF(AND(E1481=1,L1481=0),AG1481,"")</f>
        <v>10.4</v>
      </c>
      <c r="AX1481" s="34" t="str">
        <f>IF(AND(E1481=1,L1481=1),AH1481,"")</f>
        <v/>
      </c>
      <c r="AY1481" s="34">
        <f>IF(AND(E1481=1,L1481=0),AH1481,"")</f>
        <v>9.6</v>
      </c>
      <c r="AZ1481" s="34" t="str">
        <f>IF(G1481=1,F1481,"")</f>
        <v/>
      </c>
      <c r="BA1481" s="34" t="str">
        <f>IF(AND(G1481=1,L1481=1),F1481,"")</f>
        <v/>
      </c>
      <c r="BB1481" s="34" t="str">
        <f>IF(AND(G1481=1,L1481=0),F1481,"")</f>
        <v/>
      </c>
      <c r="BC1481" s="33">
        <f>IF(E1481=1,IF(Orders!R1478&gt;3,1,0),"")</f>
        <v>0</v>
      </c>
      <c r="BD1481" s="33">
        <f>IF(E1481=1,IF(Orders!R1478&gt;7,1,0),"")</f>
        <v>0</v>
      </c>
      <c r="BE1481" s="32" t="str">
        <f>IF(E1481=1,IF(Orders!L1478&lt;=1.5,"Up to 1.5 km",IF(Orders!L1478&lt;=3,"1.5–3 km","Over 3 km")),"")</f>
        <v>Up to 1.5 km</v>
      </c>
      <c r="BF1481" s="33">
        <f>IF(E1481=1,IF(ABS((Orders!G1478-Orders!F1478)*1440-Orders!R1478)&lt;0.06,1,0),"")</f>
        <v>1</v>
      </c>
      <c r="BG1481" s="33">
        <f>IF(ABS((Orders!F1478-Orders!E1478)*1440-Orders!P1478)&lt;0.06,1,0)</f>
        <v>1</v>
      </c>
      <c r="BH1481" s="33">
        <f>IF(E1481=1,IF(IF(Orders!S1478,1,0)=1-G1481,1,0),"")</f>
        <v>1</v>
      </c>
      <c r="BI1481" s="32" t="str">
        <f>INDEX(Stores!$B$2:$B$21,MATCH(B1481,Stores!$A$2:$A$21,0))</f>
        <v>Pune</v>
      </c>
    </row>
    <row r="1482">
      <c r="A1482" s="32" t="str">
        <f>Orders!A1479</f>
        <v>O01478</v>
      </c>
      <c r="B1482" s="32" t="str">
        <f>Orders!C1479</f>
        <v>S009</v>
      </c>
      <c r="C1482" s="32" t="str">
        <f>Orders!B1479</f>
        <v>C0224</v>
      </c>
      <c r="D1482" s="32" t="str">
        <f>Orders!H1479</f>
        <v>Cancelled</v>
      </c>
      <c r="E1482" s="33">
        <f>IF(Orders!H1479="Delivered",1,0)</f>
        <v>0</v>
      </c>
      <c r="F1482" s="34" t="str">
        <f>IF(E1482=1,Orders!R1479,"")</f>
        <v/>
      </c>
      <c r="G1482" s="33" t="str">
        <f>IF(E1482=1,IF(Orders!R1479&gt;0,1,0),"")</f>
        <v/>
      </c>
      <c r="H1482" s="33" t="str">
        <f>IF(E1482=1,IF(Orders!R1479&gt;5,1,0),"")</f>
        <v/>
      </c>
      <c r="I1482" s="32" t="str">
        <f>IF(E1482=1,"",IF(OR(Orders!T1479="Rider unavailable",Orders!T1479="Item unavailable"),"Company-caused","Unresolved"))</f>
        <v>Unresolved</v>
      </c>
      <c r="J1482" s="33">
        <f>IF(OR(E1482=1,I1482="Company-caused"),1,0)</f>
        <v>0</v>
      </c>
      <c r="K1482" s="32" t="str">
        <f>IF(E1482=0,IF(I1482="Company-caused",IF(Orders!T1479="Rider unavailable","C1 Rider unavailable","C2 Item unavailable"),"Outside root: unresolved"),IF(G1482=0,"A On time",IF(H1482=1,IF(L1482=1,"B2a Severe, peak","B2b Severe, off-peak"),IF(L1482=1,"B1a Slight, peak","B1b Slight, off-peak"))))</f>
        <v>Outside root: unresolved</v>
      </c>
      <c r="L1482" s="33">
        <f>IF(AND(Orders!U1479&gt;=19,Orders!U1479&lt;22),1,0)</f>
        <v>0</v>
      </c>
      <c r="M1482" s="33">
        <f>IF(L1482=IF(Orders!V1479,1,0),1,0)</f>
        <v>1</v>
      </c>
      <c r="N1482" s="32" t="str">
        <f>IF(Orders!W1479="","None",Orders!W1479)</f>
        <v>None</v>
      </c>
      <c r="O1482" s="35">
        <f>INT(Orders!E1479)</f>
        <v>46277.0</v>
      </c>
      <c r="P1482" s="33">
        <f>Orders!U1479</f>
        <v>22</v>
      </c>
      <c r="Q1482" s="33">
        <f>COUNTIFS(Demand!$A$2:$A$4481,B1482,Demand!$B$2:$B$4481,O1482,Demand!$C$2:$C$4481,P1482)</f>
        <v>1</v>
      </c>
      <c r="R1482" s="33">
        <f>IF(Q1482=1,SUMIFS(Demand!$E$2:$E$4481,Demand!$A$2:$A$4481,B1482,Demand!$B$2:$B$4481,O1482,Demand!$C$2:$C$4481,P1482),"")</f>
        <v>28</v>
      </c>
      <c r="S1482" s="33">
        <f>INDEX(Stores!$G$2:$G$21,MATCH(B1482,Stores!$A$2:$A$21,0))</f>
        <v>29</v>
      </c>
      <c r="T1482" s="34">
        <f>IF(R1482="","",R1482/S1482)</f>
        <v>0.96551724137931</v>
      </c>
      <c r="U1482" s="34" t="str">
        <f>IF(E1482=1,T1482,"")</f>
        <v/>
      </c>
      <c r="V1482" s="34" t="str">
        <f>IF(AND(E1482=1,L1482=0),T1482,"")</f>
        <v/>
      </c>
      <c r="W1482" s="33" t="str">
        <f>IF(U1482="","",IF(U1482&lt;=Breakdowns!$C$5,1,IF(U1482&lt;=Breakdowns!$C$6,2,IF(U1482&lt;=Breakdowns!$C$7,3,4))))</f>
        <v/>
      </c>
      <c r="X1482" s="33" t="str">
        <f>IF(V1482="","",IF(V1482&lt;=Breakdowns!$D$5,1,IF(V1482&lt;=Breakdowns!$D$6,2,IF(V1482&lt;=Breakdowns!$D$7,3,4))))</f>
        <v/>
      </c>
      <c r="Y1482" s="34">
        <f>INDEX(Stores!$F$2:$F$21,MATCH(B1482,Stores!$A$2:$A$21,0))</f>
        <v>2.66</v>
      </c>
      <c r="Z1482" s="33">
        <f>IF(Y1482&gt;Store_Summary!$M$2,1,0)</f>
        <v>0</v>
      </c>
      <c r="AA1482" s="33">
        <f>INDEX(Stores!$C$2:$C$21,MATCH(B1482,Stores!$A$2:$A$21,0))</f>
        <v>645</v>
      </c>
      <c r="AB1482" s="33">
        <f>IF(AA1482&lt;180,1,0)</f>
        <v>0</v>
      </c>
      <c r="AC1482" s="32" t="str">
        <f>IF(Orders!D1479="","",INDEX(Riders!$C$2:$C$81,MATCH(Orders!D1479,Riders!$A$2:$A$81,0)))</f>
        <v/>
      </c>
      <c r="AD1482" s="33" t="str">
        <f>IF(Orders!D1479="","",INDEX(Riders!$D$2:$D$81,MATCH(Orders!D1479,Riders!$A$2:$A$81,0)))</f>
        <v/>
      </c>
      <c r="AE1482" s="33" t="str">
        <f>IF(Orders!D1479="","",IF(INDEX(Riders!$B$2:$B$81,MATCH(Orders!D1479,Riders!$A$2:$A$81,0))=B1482,1,0))</f>
        <v/>
      </c>
      <c r="AF1482" s="34" t="str">
        <f>IF(E1482=1,Orders!L1479,"")</f>
        <v/>
      </c>
      <c r="AG1482" s="34" t="str">
        <f>IF(E1482=1,Orders!P1479,"")</f>
        <v/>
      </c>
      <c r="AH1482" s="34" t="str">
        <f>IF(E1482=1,Orders!Q1479,"")</f>
        <v/>
      </c>
      <c r="AI1482" s="34" t="str">
        <f>IF(E1482=1,Orders!M1479,"")</f>
        <v/>
      </c>
      <c r="AJ1482" s="34" t="str">
        <f>IF(E1482=1,Orders!N1479,"")</f>
        <v/>
      </c>
      <c r="AK1482" s="34" t="str">
        <f>IF(E1482=1,Orders!O1479,"")</f>
        <v/>
      </c>
      <c r="AL1482" s="33" t="str">
        <f>IF(E1482=1,IF(ROUND(ABS(AI1482+AJ1482+AK1482-AH1482),6)&lt;=0.1,1,0),"")</f>
        <v/>
      </c>
      <c r="AM1482" s="36" t="str">
        <f>IF(E1482=1,AI1482/AH1482,"")</f>
        <v/>
      </c>
      <c r="AN1482" s="36" t="str">
        <f>IF(E1482=1,AJ1482/AH1482,"")</f>
        <v/>
      </c>
      <c r="AO1482" s="36" t="str">
        <f>IF(E1482=1,AK1482/AH1482,"")</f>
        <v/>
      </c>
      <c r="AP1482" s="34" t="str">
        <f>IF(E1482=1,Orders!Y1479,"")</f>
        <v/>
      </c>
      <c r="AQ1482" s="33">
        <f>IF(Orders!X1479,1,0)</f>
        <v>0</v>
      </c>
      <c r="AR1482" s="34" t="str">
        <f>IF(AND(E1482=1,L1482=1),AJ1482,"")</f>
        <v/>
      </c>
      <c r="AS1482" s="34" t="str">
        <f>IF(AND(E1482=1,L1482=0),AJ1482,"")</f>
        <v/>
      </c>
      <c r="AT1482" s="34" t="str">
        <f>IF(AND(E1482=1,L1482=1),AI1482,"")</f>
        <v/>
      </c>
      <c r="AU1482" s="34" t="str">
        <f>IF(AND(E1482=1,L1482=0),AI1482,"")</f>
        <v/>
      </c>
      <c r="AV1482" s="34" t="str">
        <f>IF(AND(E1482=1,L1482=1),AG1482,"")</f>
        <v/>
      </c>
      <c r="AW1482" s="34" t="str">
        <f>IF(AND(E1482=1,L1482=0),AG1482,"")</f>
        <v/>
      </c>
      <c r="AX1482" s="34" t="str">
        <f>IF(AND(E1482=1,L1482=1),AH1482,"")</f>
        <v/>
      </c>
      <c r="AY1482" s="34" t="str">
        <f>IF(AND(E1482=1,L1482=0),AH1482,"")</f>
        <v/>
      </c>
      <c r="AZ1482" s="34" t="str">
        <f>IF(G1482=1,F1482,"")</f>
        <v/>
      </c>
      <c r="BA1482" s="34" t="str">
        <f>IF(AND(G1482=1,L1482=1),F1482,"")</f>
        <v/>
      </c>
      <c r="BB1482" s="34" t="str">
        <f>IF(AND(G1482=1,L1482=0),F1482,"")</f>
        <v/>
      </c>
      <c r="BC1482" s="33" t="str">
        <f>IF(E1482=1,IF(Orders!R1479&gt;3,1,0),"")</f>
        <v/>
      </c>
      <c r="BD1482" s="33" t="str">
        <f>IF(E1482=1,IF(Orders!R1479&gt;7,1,0),"")</f>
        <v/>
      </c>
      <c r="BE1482" s="32" t="str">
        <f>IF(E1482=1,IF(Orders!L1479&lt;=1.5,"Up to 1.5 km",IF(Orders!L1479&lt;=3,"1.5–3 km","Over 3 km")),"")</f>
        <v/>
      </c>
      <c r="BF1482" s="33" t="str">
        <f>IF(E1482=1,IF(ABS((Orders!G1479-Orders!F1479)*1440-Orders!R1479)&lt;0.06,1,0),"")</f>
        <v/>
      </c>
      <c r="BG1482" s="33">
        <f>IF(ABS((Orders!F1479-Orders!E1479)*1440-Orders!P1479)&lt;0.06,1,0)</f>
        <v>1</v>
      </c>
      <c r="BH1482" s="33" t="str">
        <f>IF(E1482=1,IF(IF(Orders!S1479,1,0)=1-G1482,1,0),"")</f>
        <v/>
      </c>
      <c r="BI1482" s="32" t="str">
        <f>INDEX(Stores!$B$2:$B$21,MATCH(B1482,Stores!$A$2:$A$21,0))</f>
        <v>Pune</v>
      </c>
    </row>
    <row r="1483">
      <c r="A1483" s="32" t="str">
        <f>Orders!A1480</f>
        <v>O01479</v>
      </c>
      <c r="B1483" s="32" t="str">
        <f>Orders!C1480</f>
        <v>S007</v>
      </c>
      <c r="C1483" s="32" t="str">
        <f>Orders!B1480</f>
        <v>C0003</v>
      </c>
      <c r="D1483" s="32" t="str">
        <f>Orders!H1480</f>
        <v>Delivered</v>
      </c>
      <c r="E1483" s="33">
        <f>IF(Orders!H1480="Delivered",1,0)</f>
        <v>1</v>
      </c>
      <c r="F1483" s="34">
        <f>IF(E1483=1,Orders!R1480,"")</f>
        <v>-0.2</v>
      </c>
      <c r="G1483" s="33">
        <f>IF(E1483=1,IF(Orders!R1480&gt;0,1,0),"")</f>
        <v>0</v>
      </c>
      <c r="H1483" s="33">
        <f>IF(E1483=1,IF(Orders!R1480&gt;5,1,0),"")</f>
        <v>0</v>
      </c>
      <c r="I1483" s="32" t="str">
        <f>IF(E1483=1,"",IF(OR(Orders!T1480="Rider unavailable",Orders!T1480="Item unavailable"),"Company-caused","Unresolved"))</f>
        <v/>
      </c>
      <c r="J1483" s="33">
        <f>IF(OR(E1483=1,I1483="Company-caused"),1,0)</f>
        <v>1</v>
      </c>
      <c r="K1483" s="32" t="str">
        <f>IF(E1483=0,IF(I1483="Company-caused",IF(Orders!T1480="Rider unavailable","C1 Rider unavailable","C2 Item unavailable"),"Outside root: unresolved"),IF(G1483=0,"A On time",IF(H1483=1,IF(L1483=1,"B2a Severe, peak","B2b Severe, off-peak"),IF(L1483=1,"B1a Slight, peak","B1b Slight, off-peak"))))</f>
        <v>A On time</v>
      </c>
      <c r="L1483" s="33">
        <f>IF(AND(Orders!U1480&gt;=19,Orders!U1480&lt;22),1,0)</f>
        <v>0</v>
      </c>
      <c r="M1483" s="33">
        <f>IF(L1483=IF(Orders!V1480,1,0),1,0)</f>
        <v>1</v>
      </c>
      <c r="N1483" s="32" t="str">
        <f>IF(Orders!W1480="","None",Orders!W1480)</f>
        <v>Light</v>
      </c>
      <c r="O1483" s="35">
        <f>INT(Orders!E1480)</f>
        <v>46274.0</v>
      </c>
      <c r="P1483" s="33">
        <f>Orders!U1480</f>
        <v>14</v>
      </c>
      <c r="Q1483" s="33">
        <f>COUNTIFS(Demand!$A$2:$A$4481,B1483,Demand!$B$2:$B$4481,O1483,Demand!$C$2:$C$4481,P1483)</f>
        <v>1</v>
      </c>
      <c r="R1483" s="33">
        <f>IF(Q1483=1,SUMIFS(Demand!$E$2:$E$4481,Demand!$A$2:$A$4481,B1483,Demand!$B$2:$B$4481,O1483,Demand!$C$2:$C$4481,P1483),"")</f>
        <v>32</v>
      </c>
      <c r="S1483" s="33">
        <f>INDEX(Stores!$G$2:$G$21,MATCH(B1483,Stores!$A$2:$A$21,0))</f>
        <v>37</v>
      </c>
      <c r="T1483" s="34">
        <f>IF(R1483="","",R1483/S1483)</f>
        <v>0.864864864864865</v>
      </c>
      <c r="U1483" s="34">
        <f>IF(E1483=1,T1483,"")</f>
        <v>0.864864864864865</v>
      </c>
      <c r="V1483" s="34">
        <f>IF(AND(E1483=1,L1483=0),T1483,"")</f>
        <v>0.864864864864865</v>
      </c>
      <c r="W1483" s="33">
        <f>IF(U1483="","",IF(U1483&lt;=Breakdowns!$C$5,1,IF(U1483&lt;=Breakdowns!$C$6,2,IF(U1483&lt;=Breakdowns!$C$7,3,4))))</f>
        <v>2</v>
      </c>
      <c r="X1483" s="33">
        <f>IF(V1483="","",IF(V1483&lt;=Breakdowns!$D$5,1,IF(V1483&lt;=Breakdowns!$D$6,2,IF(V1483&lt;=Breakdowns!$D$7,3,4))))</f>
        <v>2</v>
      </c>
      <c r="Y1483" s="34">
        <f>INDEX(Stores!$F$2:$F$21,MATCH(B1483,Stores!$A$2:$A$21,0))</f>
        <v>4.05</v>
      </c>
      <c r="Z1483" s="33">
        <f>IF(Y1483&gt;Store_Summary!$M$2,1,0)</f>
        <v>0</v>
      </c>
      <c r="AA1483" s="33">
        <f>INDEX(Stores!$C$2:$C$21,MATCH(B1483,Stores!$A$2:$A$21,0))</f>
        <v>661</v>
      </c>
      <c r="AB1483" s="33">
        <f>IF(AA1483&lt;180,1,0)</f>
        <v>0</v>
      </c>
      <c r="AC1483" s="32" t="str">
        <f>IF(Orders!D1480="","",INDEX(Riders!$C$2:$C$81,MATCH(Orders!D1480,Riders!$A$2:$A$81,0)))</f>
        <v>EV scooter</v>
      </c>
      <c r="AD1483" s="33">
        <f>IF(Orders!D1480="","",INDEX(Riders!$D$2:$D$81,MATCH(Orders!D1480,Riders!$A$2:$A$81,0)))</f>
        <v>1</v>
      </c>
      <c r="AE1483" s="33">
        <f>IF(Orders!D1480="","",IF(INDEX(Riders!$B$2:$B$81,MATCH(Orders!D1480,Riders!$A$2:$A$81,0))=B1483,1,0))</f>
        <v>0</v>
      </c>
      <c r="AF1483" s="34">
        <f>IF(E1483=1,Orders!L1480,"")</f>
        <v>3.98</v>
      </c>
      <c r="AG1483" s="34">
        <f>IF(E1483=1,Orders!P1480,"")</f>
        <v>9.4</v>
      </c>
      <c r="AH1483" s="34">
        <f>IF(E1483=1,Orders!Q1480,"")</f>
        <v>9.2</v>
      </c>
      <c r="AI1483" s="34">
        <f>IF(E1483=1,Orders!M1480,"")</f>
        <v>2.6</v>
      </c>
      <c r="AJ1483" s="34">
        <f>IF(E1483=1,Orders!N1480,"")</f>
        <v>1.7</v>
      </c>
      <c r="AK1483" s="34">
        <f>IF(E1483=1,Orders!O1480,"")</f>
        <v>4.9</v>
      </c>
      <c r="AL1483" s="33">
        <f>IF(E1483=1,IF(ROUND(ABS(AI1483+AJ1483+AK1483-AH1483),6)&lt;=0.1,1,0),"")</f>
        <v>1</v>
      </c>
      <c r="AM1483" s="36">
        <f>IF(E1483=1,AI1483/AH1483,"")</f>
        <v>0.282608695652174</v>
      </c>
      <c r="AN1483" s="36">
        <f>IF(E1483=1,AJ1483/AH1483,"")</f>
        <v>0.184782608695652</v>
      </c>
      <c r="AO1483" s="36">
        <f>IF(E1483=1,AK1483/AH1483,"")</f>
        <v>0.532608695652174</v>
      </c>
      <c r="AP1483" s="34">
        <f>IF(E1483=1,Orders!Y1480,"")</f>
        <v>0.38</v>
      </c>
      <c r="AQ1483" s="33">
        <f>IF(Orders!X1480,1,0)</f>
        <v>0</v>
      </c>
      <c r="AR1483" s="34" t="str">
        <f>IF(AND(E1483=1,L1483=1),AJ1483,"")</f>
        <v/>
      </c>
      <c r="AS1483" s="34">
        <f>IF(AND(E1483=1,L1483=0),AJ1483,"")</f>
        <v>1.7</v>
      </c>
      <c r="AT1483" s="34" t="str">
        <f>IF(AND(E1483=1,L1483=1),AI1483,"")</f>
        <v/>
      </c>
      <c r="AU1483" s="34">
        <f>IF(AND(E1483=1,L1483=0),AI1483,"")</f>
        <v>2.6</v>
      </c>
      <c r="AV1483" s="34" t="str">
        <f>IF(AND(E1483=1,L1483=1),AG1483,"")</f>
        <v/>
      </c>
      <c r="AW1483" s="34">
        <f>IF(AND(E1483=1,L1483=0),AG1483,"")</f>
        <v>9.4</v>
      </c>
      <c r="AX1483" s="34" t="str">
        <f>IF(AND(E1483=1,L1483=1),AH1483,"")</f>
        <v/>
      </c>
      <c r="AY1483" s="34">
        <f>IF(AND(E1483=1,L1483=0),AH1483,"")</f>
        <v>9.2</v>
      </c>
      <c r="AZ1483" s="34" t="str">
        <f>IF(G1483=1,F1483,"")</f>
        <v/>
      </c>
      <c r="BA1483" s="34" t="str">
        <f>IF(AND(G1483=1,L1483=1),F1483,"")</f>
        <v/>
      </c>
      <c r="BB1483" s="34" t="str">
        <f>IF(AND(G1483=1,L1483=0),F1483,"")</f>
        <v/>
      </c>
      <c r="BC1483" s="33">
        <f>IF(E1483=1,IF(Orders!R1480&gt;3,1,0),"")</f>
        <v>0</v>
      </c>
      <c r="BD1483" s="33">
        <f>IF(E1483=1,IF(Orders!R1480&gt;7,1,0),"")</f>
        <v>0</v>
      </c>
      <c r="BE1483" s="32" t="str">
        <f>IF(E1483=1,IF(Orders!L1480&lt;=1.5,"Up to 1.5 km",IF(Orders!L1480&lt;=3,"1.5–3 km","Over 3 km")),"")</f>
        <v>Over 3 km</v>
      </c>
      <c r="BF1483" s="33">
        <f>IF(E1483=1,IF(ABS((Orders!G1480-Orders!F1480)*1440-Orders!R1480)&lt;0.06,1,0),"")</f>
        <v>1</v>
      </c>
      <c r="BG1483" s="33">
        <f>IF(ABS((Orders!F1480-Orders!E1480)*1440-Orders!P1480)&lt;0.06,1,0)</f>
        <v>1</v>
      </c>
      <c r="BH1483" s="33">
        <f>IF(E1483=1,IF(IF(Orders!S1480,1,0)=1-G1483,1,0),"")</f>
        <v>1</v>
      </c>
      <c r="BI1483" s="32" t="str">
        <f>INDEX(Stores!$B$2:$B$21,MATCH(B1483,Stores!$A$2:$A$21,0))</f>
        <v>Hyderabad</v>
      </c>
    </row>
    <row r="1484">
      <c r="A1484" s="32" t="str">
        <f>Orders!A1481</f>
        <v>O01480</v>
      </c>
      <c r="B1484" s="32" t="str">
        <f>Orders!C1481</f>
        <v>S010</v>
      </c>
      <c r="C1484" s="32" t="str">
        <f>Orders!B1481</f>
        <v>C0062</v>
      </c>
      <c r="D1484" s="32" t="str">
        <f>Orders!H1481</f>
        <v>Delivered</v>
      </c>
      <c r="E1484" s="33">
        <f>IF(Orders!H1481="Delivered",1,0)</f>
        <v>1</v>
      </c>
      <c r="F1484" s="34">
        <f>IF(E1484=1,Orders!R1481,"")</f>
        <v>-0.3</v>
      </c>
      <c r="G1484" s="33">
        <f>IF(E1484=1,IF(Orders!R1481&gt;0,1,0),"")</f>
        <v>0</v>
      </c>
      <c r="H1484" s="33">
        <f>IF(E1484=1,IF(Orders!R1481&gt;5,1,0),"")</f>
        <v>0</v>
      </c>
      <c r="I1484" s="32" t="str">
        <f>IF(E1484=1,"",IF(OR(Orders!T1481="Rider unavailable",Orders!T1481="Item unavailable"),"Company-caused","Unresolved"))</f>
        <v/>
      </c>
      <c r="J1484" s="33">
        <f>IF(OR(E1484=1,I1484="Company-caused"),1,0)</f>
        <v>1</v>
      </c>
      <c r="K1484" s="32" t="str">
        <f>IF(E1484=0,IF(I1484="Company-caused",IF(Orders!T1481="Rider unavailable","C1 Rider unavailable","C2 Item unavailable"),"Outside root: unresolved"),IF(G1484=0,"A On time",IF(H1484=1,IF(L1484=1,"B2a Severe, peak","B2b Severe, off-peak"),IF(L1484=1,"B1a Slight, peak","B1b Slight, off-peak"))))</f>
        <v>A On time</v>
      </c>
      <c r="L1484" s="33">
        <f>IF(AND(Orders!U1481&gt;=19,Orders!U1481&lt;22),1,0)</f>
        <v>0</v>
      </c>
      <c r="M1484" s="33">
        <f>IF(L1484=IF(Orders!V1481,1,0),1,0)</f>
        <v>1</v>
      </c>
      <c r="N1484" s="32" t="str">
        <f>IF(Orders!W1481="","None",Orders!W1481)</f>
        <v>None</v>
      </c>
      <c r="O1484" s="35">
        <f>INT(Orders!E1481)</f>
        <v>46275.0</v>
      </c>
      <c r="P1484" s="33">
        <f>Orders!U1481</f>
        <v>15</v>
      </c>
      <c r="Q1484" s="33">
        <f>COUNTIFS(Demand!$A$2:$A$4481,B1484,Demand!$B$2:$B$4481,O1484,Demand!$C$2:$C$4481,P1484)</f>
        <v>1</v>
      </c>
      <c r="R1484" s="33">
        <f>IF(Q1484=1,SUMIFS(Demand!$E$2:$E$4481,Demand!$A$2:$A$4481,B1484,Demand!$B$2:$B$4481,O1484,Demand!$C$2:$C$4481,P1484),"")</f>
        <v>16</v>
      </c>
      <c r="S1484" s="33">
        <f>INDEX(Stores!$G$2:$G$21,MATCH(B1484,Stores!$A$2:$A$21,0))</f>
        <v>22</v>
      </c>
      <c r="T1484" s="34">
        <f>IF(R1484="","",R1484/S1484)</f>
        <v>0.727272727272727</v>
      </c>
      <c r="U1484" s="34">
        <f>IF(E1484=1,T1484,"")</f>
        <v>0.727272727272727</v>
      </c>
      <c r="V1484" s="34">
        <f>IF(AND(E1484=1,L1484=0),T1484,"")</f>
        <v>0.727272727272727</v>
      </c>
      <c r="W1484" s="33">
        <f>IF(U1484="","",IF(U1484&lt;=Breakdowns!$C$5,1,IF(U1484&lt;=Breakdowns!$C$6,2,IF(U1484&lt;=Breakdowns!$C$7,3,4))))</f>
        <v>1</v>
      </c>
      <c r="X1484" s="33">
        <f>IF(V1484="","",IF(V1484&lt;=Breakdowns!$D$5,1,IF(V1484&lt;=Breakdowns!$D$6,2,IF(V1484&lt;=Breakdowns!$D$7,3,4))))</f>
        <v>1</v>
      </c>
      <c r="Y1484" s="34">
        <f>INDEX(Stores!$F$2:$F$21,MATCH(B1484,Stores!$A$2:$A$21,0))</f>
        <v>5.61</v>
      </c>
      <c r="Z1484" s="33">
        <f>IF(Y1484&gt;Store_Summary!$M$2,1,0)</f>
        <v>1</v>
      </c>
      <c r="AA1484" s="33">
        <f>INDEX(Stores!$C$2:$C$21,MATCH(B1484,Stores!$A$2:$A$21,0))</f>
        <v>744</v>
      </c>
      <c r="AB1484" s="33">
        <f>IF(AA1484&lt;180,1,0)</f>
        <v>0</v>
      </c>
      <c r="AC1484" s="32" t="str">
        <f>IF(Orders!D1481="","",INDEX(Riders!$C$2:$C$81,MATCH(Orders!D1481,Riders!$A$2:$A$81,0)))</f>
        <v>Bicycle</v>
      </c>
      <c r="AD1484" s="33">
        <f>IF(Orders!D1481="","",INDEX(Riders!$D$2:$D$81,MATCH(Orders!D1481,Riders!$A$2:$A$81,0)))</f>
        <v>2</v>
      </c>
      <c r="AE1484" s="33">
        <f>IF(Orders!D1481="","",IF(INDEX(Riders!$B$2:$B$81,MATCH(Orders!D1481,Riders!$A$2:$A$81,0))=B1484,1,0))</f>
        <v>0</v>
      </c>
      <c r="AF1484" s="34">
        <f>IF(E1484=1,Orders!L1481,"")</f>
        <v>2.34</v>
      </c>
      <c r="AG1484" s="34">
        <f>IF(E1484=1,Orders!P1481,"")</f>
        <v>13.7</v>
      </c>
      <c r="AH1484" s="34">
        <f>IF(E1484=1,Orders!Q1481,"")</f>
        <v>13.4</v>
      </c>
      <c r="AI1484" s="34">
        <f>IF(E1484=1,Orders!M1481,"")</f>
        <v>5</v>
      </c>
      <c r="AJ1484" s="34">
        <f>IF(E1484=1,Orders!N1481,"")</f>
        <v>3.7</v>
      </c>
      <c r="AK1484" s="34">
        <f>IF(E1484=1,Orders!O1481,"")</f>
        <v>4.7</v>
      </c>
      <c r="AL1484" s="33">
        <f>IF(E1484=1,IF(ROUND(ABS(AI1484+AJ1484+AK1484-AH1484),6)&lt;=0.1,1,0),"")</f>
        <v>1</v>
      </c>
      <c r="AM1484" s="36">
        <f>IF(E1484=1,AI1484/AH1484,"")</f>
        <v>0.373134328358209</v>
      </c>
      <c r="AN1484" s="36">
        <f>IF(E1484=1,AJ1484/AH1484,"")</f>
        <v>0.276119402985075</v>
      </c>
      <c r="AO1484" s="36">
        <f>IF(E1484=1,AK1484/AH1484,"")</f>
        <v>0.350746268656716</v>
      </c>
      <c r="AP1484" s="34">
        <f>IF(E1484=1,Orders!Y1481,"")</f>
        <v>0.49</v>
      </c>
      <c r="AQ1484" s="33">
        <f>IF(Orders!X1481,1,0)</f>
        <v>0</v>
      </c>
      <c r="AR1484" s="34" t="str">
        <f>IF(AND(E1484=1,L1484=1),AJ1484,"")</f>
        <v/>
      </c>
      <c r="AS1484" s="34">
        <f>IF(AND(E1484=1,L1484=0),AJ1484,"")</f>
        <v>3.7</v>
      </c>
      <c r="AT1484" s="34" t="str">
        <f>IF(AND(E1484=1,L1484=1),AI1484,"")</f>
        <v/>
      </c>
      <c r="AU1484" s="34">
        <f>IF(AND(E1484=1,L1484=0),AI1484,"")</f>
        <v>5</v>
      </c>
      <c r="AV1484" s="34" t="str">
        <f>IF(AND(E1484=1,L1484=1),AG1484,"")</f>
        <v/>
      </c>
      <c r="AW1484" s="34">
        <f>IF(AND(E1484=1,L1484=0),AG1484,"")</f>
        <v>13.7</v>
      </c>
      <c r="AX1484" s="34" t="str">
        <f>IF(AND(E1484=1,L1484=1),AH1484,"")</f>
        <v/>
      </c>
      <c r="AY1484" s="34">
        <f>IF(AND(E1484=1,L1484=0),AH1484,"")</f>
        <v>13.4</v>
      </c>
      <c r="AZ1484" s="34" t="str">
        <f>IF(G1484=1,F1484,"")</f>
        <v/>
      </c>
      <c r="BA1484" s="34" t="str">
        <f>IF(AND(G1484=1,L1484=1),F1484,"")</f>
        <v/>
      </c>
      <c r="BB1484" s="34" t="str">
        <f>IF(AND(G1484=1,L1484=0),F1484,"")</f>
        <v/>
      </c>
      <c r="BC1484" s="33">
        <f>IF(E1484=1,IF(Orders!R1481&gt;3,1,0),"")</f>
        <v>0</v>
      </c>
      <c r="BD1484" s="33">
        <f>IF(E1484=1,IF(Orders!R1481&gt;7,1,0),"")</f>
        <v>0</v>
      </c>
      <c r="BE1484" s="32" t="str">
        <f>IF(E1484=1,IF(Orders!L1481&lt;=1.5,"Up to 1.5 km",IF(Orders!L1481&lt;=3,"1.5–3 km","Over 3 km")),"")</f>
        <v>1.5–3 km</v>
      </c>
      <c r="BF1484" s="33">
        <f>IF(E1484=1,IF(ABS((Orders!G1481-Orders!F1481)*1440-Orders!R1481)&lt;0.06,1,0),"")</f>
        <v>1</v>
      </c>
      <c r="BG1484" s="33">
        <f>IF(ABS((Orders!F1481-Orders!E1481)*1440-Orders!P1481)&lt;0.06,1,0)</f>
        <v>1</v>
      </c>
      <c r="BH1484" s="33">
        <f>IF(E1484=1,IF(IF(Orders!S1481,1,0)=1-G1484,1,0),"")</f>
        <v>1</v>
      </c>
      <c r="BI1484" s="32" t="str">
        <f>INDEX(Stores!$B$2:$B$21,MATCH(B1484,Stores!$A$2:$A$21,0))</f>
        <v>Delhi</v>
      </c>
    </row>
    <row r="1485">
      <c r="A1485" s="32" t="str">
        <f>Orders!A1482</f>
        <v>O01481</v>
      </c>
      <c r="B1485" s="32" t="str">
        <f>Orders!C1482</f>
        <v>S012</v>
      </c>
      <c r="C1485" s="32" t="str">
        <f>Orders!B1482</f>
        <v>C0200</v>
      </c>
      <c r="D1485" s="32" t="str">
        <f>Orders!H1482</f>
        <v>Delivered</v>
      </c>
      <c r="E1485" s="33">
        <f>IF(Orders!H1482="Delivered",1,0)</f>
        <v>1</v>
      </c>
      <c r="F1485" s="34">
        <f>IF(E1485=1,Orders!R1482,"")</f>
        <v>-0.8</v>
      </c>
      <c r="G1485" s="33">
        <f>IF(E1485=1,IF(Orders!R1482&gt;0,1,0),"")</f>
        <v>0</v>
      </c>
      <c r="H1485" s="33">
        <f>IF(E1485=1,IF(Orders!R1482&gt;5,1,0),"")</f>
        <v>0</v>
      </c>
      <c r="I1485" s="32" t="str">
        <f>IF(E1485=1,"",IF(OR(Orders!T1482="Rider unavailable",Orders!T1482="Item unavailable"),"Company-caused","Unresolved"))</f>
        <v/>
      </c>
      <c r="J1485" s="33">
        <f>IF(OR(E1485=1,I1485="Company-caused"),1,0)</f>
        <v>1</v>
      </c>
      <c r="K1485" s="32" t="str">
        <f>IF(E1485=0,IF(I1485="Company-caused",IF(Orders!T1482="Rider unavailable","C1 Rider unavailable","C2 Item unavailable"),"Outside root: unresolved"),IF(G1485=0,"A On time",IF(H1485=1,IF(L1485=1,"B2a Severe, peak","B2b Severe, off-peak"),IF(L1485=1,"B1a Slight, peak","B1b Slight, off-peak"))))</f>
        <v>A On time</v>
      </c>
      <c r="L1485" s="33">
        <f>IF(AND(Orders!U1482&gt;=19,Orders!U1482&lt;22),1,0)</f>
        <v>0</v>
      </c>
      <c r="M1485" s="33">
        <f>IF(L1485=IF(Orders!V1482,1,0),1,0)</f>
        <v>1</v>
      </c>
      <c r="N1485" s="32" t="str">
        <f>IF(Orders!W1482="","None",Orders!W1482)</f>
        <v>None</v>
      </c>
      <c r="O1485" s="35">
        <f>INT(Orders!E1482)</f>
        <v>46268.0</v>
      </c>
      <c r="P1485" s="33">
        <f>Orders!U1482</f>
        <v>22</v>
      </c>
      <c r="Q1485" s="33">
        <f>COUNTIFS(Demand!$A$2:$A$4481,B1485,Demand!$B$2:$B$4481,O1485,Demand!$C$2:$C$4481,P1485)</f>
        <v>1</v>
      </c>
      <c r="R1485" s="33">
        <f>IF(Q1485=1,SUMIFS(Demand!$E$2:$E$4481,Demand!$A$2:$A$4481,B1485,Demand!$B$2:$B$4481,O1485,Demand!$C$2:$C$4481,P1485),"")</f>
        <v>14</v>
      </c>
      <c r="S1485" s="33">
        <f>INDEX(Stores!$G$2:$G$21,MATCH(B1485,Stores!$A$2:$A$21,0))</f>
        <v>15</v>
      </c>
      <c r="T1485" s="34">
        <f>IF(R1485="","",R1485/S1485)</f>
        <v>0.933333333333333</v>
      </c>
      <c r="U1485" s="34">
        <f>IF(E1485=1,T1485,"")</f>
        <v>0.933333333333333</v>
      </c>
      <c r="V1485" s="34">
        <f>IF(AND(E1485=1,L1485=0),T1485,"")</f>
        <v>0.933333333333333</v>
      </c>
      <c r="W1485" s="33">
        <f>IF(U1485="","",IF(U1485&lt;=Breakdowns!$C$5,1,IF(U1485&lt;=Breakdowns!$C$6,2,IF(U1485&lt;=Breakdowns!$C$7,3,4))))</f>
        <v>2</v>
      </c>
      <c r="X1485" s="33">
        <f>IF(V1485="","",IF(V1485&lt;=Breakdowns!$D$5,1,IF(V1485&lt;=Breakdowns!$D$6,2,IF(V1485&lt;=Breakdowns!$D$7,3,4))))</f>
        <v>3</v>
      </c>
      <c r="Y1485" s="34">
        <f>INDEX(Stores!$F$2:$F$21,MATCH(B1485,Stores!$A$2:$A$21,0))</f>
        <v>5.23</v>
      </c>
      <c r="Z1485" s="33">
        <f>IF(Y1485&gt;Store_Summary!$M$2,1,0)</f>
        <v>1</v>
      </c>
      <c r="AA1485" s="33">
        <f>INDEX(Stores!$C$2:$C$21,MATCH(B1485,Stores!$A$2:$A$21,0))</f>
        <v>300</v>
      </c>
      <c r="AB1485" s="33">
        <f>IF(AA1485&lt;180,1,0)</f>
        <v>0</v>
      </c>
      <c r="AC1485" s="32" t="str">
        <f>IF(Orders!D1482="","",INDEX(Riders!$C$2:$C$81,MATCH(Orders!D1482,Riders!$A$2:$A$81,0)))</f>
        <v>Petrol scooter</v>
      </c>
      <c r="AD1485" s="33">
        <f>IF(Orders!D1482="","",INDEX(Riders!$D$2:$D$81,MATCH(Orders!D1482,Riders!$A$2:$A$81,0)))</f>
        <v>48</v>
      </c>
      <c r="AE1485" s="33">
        <f>IF(Orders!D1482="","",IF(INDEX(Riders!$B$2:$B$81,MATCH(Orders!D1482,Riders!$A$2:$A$81,0))=B1485,1,0))</f>
        <v>0</v>
      </c>
      <c r="AF1485" s="34">
        <f>IF(E1485=1,Orders!L1482,"")</f>
        <v>2.31</v>
      </c>
      <c r="AG1485" s="34">
        <f>IF(E1485=1,Orders!P1482,"")</f>
        <v>10.4</v>
      </c>
      <c r="AH1485" s="34">
        <f>IF(E1485=1,Orders!Q1482,"")</f>
        <v>9.6</v>
      </c>
      <c r="AI1485" s="34">
        <f>IF(E1485=1,Orders!M1482,"")</f>
        <v>3.1</v>
      </c>
      <c r="AJ1485" s="34">
        <f>IF(E1485=1,Orders!N1482,"")</f>
        <v>3.8</v>
      </c>
      <c r="AK1485" s="34">
        <f>IF(E1485=1,Orders!O1482,"")</f>
        <v>2.7</v>
      </c>
      <c r="AL1485" s="33">
        <f>IF(E1485=1,IF(ROUND(ABS(AI1485+AJ1485+AK1485-AH1485),6)&lt;=0.1,1,0),"")</f>
        <v>1</v>
      </c>
      <c r="AM1485" s="36">
        <f>IF(E1485=1,AI1485/AH1485,"")</f>
        <v>0.322916666666667</v>
      </c>
      <c r="AN1485" s="36">
        <f>IF(E1485=1,AJ1485/AH1485,"")</f>
        <v>0.395833333333333</v>
      </c>
      <c r="AO1485" s="36">
        <f>IF(E1485=1,AK1485/AH1485,"")</f>
        <v>0.28125</v>
      </c>
      <c r="AP1485" s="34">
        <f>IF(E1485=1,Orders!Y1482,"")</f>
        <v>0.23</v>
      </c>
      <c r="AQ1485" s="33">
        <f>IF(Orders!X1482,1,0)</f>
        <v>0</v>
      </c>
      <c r="AR1485" s="34" t="str">
        <f>IF(AND(E1485=1,L1485=1),AJ1485,"")</f>
        <v/>
      </c>
      <c r="AS1485" s="34">
        <f>IF(AND(E1485=1,L1485=0),AJ1485,"")</f>
        <v>3.8</v>
      </c>
      <c r="AT1485" s="34" t="str">
        <f>IF(AND(E1485=1,L1485=1),AI1485,"")</f>
        <v/>
      </c>
      <c r="AU1485" s="34">
        <f>IF(AND(E1485=1,L1485=0),AI1485,"")</f>
        <v>3.1</v>
      </c>
      <c r="AV1485" s="34" t="str">
        <f>IF(AND(E1485=1,L1485=1),AG1485,"")</f>
        <v/>
      </c>
      <c r="AW1485" s="34">
        <f>IF(AND(E1485=1,L1485=0),AG1485,"")</f>
        <v>10.4</v>
      </c>
      <c r="AX1485" s="34" t="str">
        <f>IF(AND(E1485=1,L1485=1),AH1485,"")</f>
        <v/>
      </c>
      <c r="AY1485" s="34">
        <f>IF(AND(E1485=1,L1485=0),AH1485,"")</f>
        <v>9.6</v>
      </c>
      <c r="AZ1485" s="34" t="str">
        <f>IF(G1485=1,F1485,"")</f>
        <v/>
      </c>
      <c r="BA1485" s="34" t="str">
        <f>IF(AND(G1485=1,L1485=1),F1485,"")</f>
        <v/>
      </c>
      <c r="BB1485" s="34" t="str">
        <f>IF(AND(G1485=1,L1485=0),F1485,"")</f>
        <v/>
      </c>
      <c r="BC1485" s="33">
        <f>IF(E1485=1,IF(Orders!R1482&gt;3,1,0),"")</f>
        <v>0</v>
      </c>
      <c r="BD1485" s="33">
        <f>IF(E1485=1,IF(Orders!R1482&gt;7,1,0),"")</f>
        <v>0</v>
      </c>
      <c r="BE1485" s="32" t="str">
        <f>IF(E1485=1,IF(Orders!L1482&lt;=1.5,"Up to 1.5 km",IF(Orders!L1482&lt;=3,"1.5–3 km","Over 3 km")),"")</f>
        <v>1.5–3 km</v>
      </c>
      <c r="BF1485" s="33">
        <f>IF(E1485=1,IF(ABS((Orders!G1482-Orders!F1482)*1440-Orders!R1482)&lt;0.06,1,0),"")</f>
        <v>1</v>
      </c>
      <c r="BG1485" s="33">
        <f>IF(ABS((Orders!F1482-Orders!E1482)*1440-Orders!P1482)&lt;0.06,1,0)</f>
        <v>1</v>
      </c>
      <c r="BH1485" s="33">
        <f>IF(E1485=1,IF(IF(Orders!S1482,1,0)=1-G1485,1,0),"")</f>
        <v>1</v>
      </c>
      <c r="BI1485" s="32" t="str">
        <f>INDEX(Stores!$B$2:$B$21,MATCH(B1485,Stores!$A$2:$A$21,0))</f>
        <v>Hyderabad</v>
      </c>
    </row>
    <row r="1486">
      <c r="A1486" s="32" t="str">
        <f>Orders!A1483</f>
        <v>O01482</v>
      </c>
      <c r="B1486" s="32" t="str">
        <f>Orders!C1483</f>
        <v>S015</v>
      </c>
      <c r="C1486" s="32" t="str">
        <f>Orders!B1483</f>
        <v>C0122</v>
      </c>
      <c r="D1486" s="32" t="str">
        <f>Orders!H1483</f>
        <v>Delivered</v>
      </c>
      <c r="E1486" s="33">
        <f>IF(Orders!H1483="Delivered",1,0)</f>
        <v>1</v>
      </c>
      <c r="F1486" s="34">
        <f>IF(E1486=1,Orders!R1483,"")</f>
        <v>-0.6</v>
      </c>
      <c r="G1486" s="33">
        <f>IF(E1486=1,IF(Orders!R1483&gt;0,1,0),"")</f>
        <v>0</v>
      </c>
      <c r="H1486" s="33">
        <f>IF(E1486=1,IF(Orders!R1483&gt;5,1,0),"")</f>
        <v>0</v>
      </c>
      <c r="I1486" s="32" t="str">
        <f>IF(E1486=1,"",IF(OR(Orders!T1483="Rider unavailable",Orders!T1483="Item unavailable"),"Company-caused","Unresolved"))</f>
        <v/>
      </c>
      <c r="J1486" s="33">
        <f>IF(OR(E1486=1,I1486="Company-caused"),1,0)</f>
        <v>1</v>
      </c>
      <c r="K1486" s="32" t="str">
        <f>IF(E1486=0,IF(I1486="Company-caused",IF(Orders!T1483="Rider unavailable","C1 Rider unavailable","C2 Item unavailable"),"Outside root: unresolved"),IF(G1486=0,"A On time",IF(H1486=1,IF(L1486=1,"B2a Severe, peak","B2b Severe, off-peak"),IF(L1486=1,"B1a Slight, peak","B1b Slight, off-peak"))))</f>
        <v>A On time</v>
      </c>
      <c r="L1486" s="33">
        <f>IF(AND(Orders!U1483&gt;=19,Orders!U1483&lt;22),1,0)</f>
        <v>0</v>
      </c>
      <c r="M1486" s="33">
        <f>IF(L1486=IF(Orders!V1483,1,0),1,0)</f>
        <v>1</v>
      </c>
      <c r="N1486" s="32" t="str">
        <f>IF(Orders!W1483="","None",Orders!W1483)</f>
        <v>None</v>
      </c>
      <c r="O1486" s="35">
        <f>INT(Orders!E1483)</f>
        <v>46270.0</v>
      </c>
      <c r="P1486" s="33">
        <f>Orders!U1483</f>
        <v>9</v>
      </c>
      <c r="Q1486" s="33">
        <f>COUNTIFS(Demand!$A$2:$A$4481,B1486,Demand!$B$2:$B$4481,O1486,Demand!$C$2:$C$4481,P1486)</f>
        <v>1</v>
      </c>
      <c r="R1486" s="33">
        <f>IF(Q1486=1,SUMIFS(Demand!$E$2:$E$4481,Demand!$A$2:$A$4481,B1486,Demand!$B$2:$B$4481,O1486,Demand!$C$2:$C$4481,P1486),"")</f>
        <v>13</v>
      </c>
      <c r="S1486" s="33">
        <f>INDEX(Stores!$G$2:$G$21,MATCH(B1486,Stores!$A$2:$A$21,0))</f>
        <v>23</v>
      </c>
      <c r="T1486" s="34">
        <f>IF(R1486="","",R1486/S1486)</f>
        <v>0.565217391304348</v>
      </c>
      <c r="U1486" s="34">
        <f>IF(E1486=1,T1486,"")</f>
        <v>0.565217391304348</v>
      </c>
      <c r="V1486" s="34">
        <f>IF(AND(E1486=1,L1486=0),T1486,"")</f>
        <v>0.565217391304348</v>
      </c>
      <c r="W1486" s="33">
        <f>IF(U1486="","",IF(U1486&lt;=Breakdowns!$C$5,1,IF(U1486&lt;=Breakdowns!$C$6,2,IF(U1486&lt;=Breakdowns!$C$7,3,4))))</f>
        <v>1</v>
      </c>
      <c r="X1486" s="33">
        <f>IF(V1486="","",IF(V1486&lt;=Breakdowns!$D$5,1,IF(V1486&lt;=Breakdowns!$D$6,2,IF(V1486&lt;=Breakdowns!$D$7,3,4))))</f>
        <v>1</v>
      </c>
      <c r="Y1486" s="34">
        <f>INDEX(Stores!$F$2:$F$21,MATCH(B1486,Stores!$A$2:$A$21,0))</f>
        <v>4.66</v>
      </c>
      <c r="Z1486" s="33">
        <f>IF(Y1486&gt;Store_Summary!$M$2,1,0)</f>
        <v>0</v>
      </c>
      <c r="AA1486" s="33">
        <f>INDEX(Stores!$C$2:$C$21,MATCH(B1486,Stores!$A$2:$A$21,0))</f>
        <v>204</v>
      </c>
      <c r="AB1486" s="33">
        <f>IF(AA1486&lt;180,1,0)</f>
        <v>0</v>
      </c>
      <c r="AC1486" s="32" t="str">
        <f>IF(Orders!D1483="","",INDEX(Riders!$C$2:$C$81,MATCH(Orders!D1483,Riders!$A$2:$A$81,0)))</f>
        <v>Petrol scooter</v>
      </c>
      <c r="AD1486" s="33">
        <f>IF(Orders!D1483="","",INDEX(Riders!$D$2:$D$81,MATCH(Orders!D1483,Riders!$A$2:$A$81,0)))</f>
        <v>37</v>
      </c>
      <c r="AE1486" s="33">
        <f>IF(Orders!D1483="","",IF(INDEX(Riders!$B$2:$B$81,MATCH(Orders!D1483,Riders!$A$2:$A$81,0))=B1486,1,0))</f>
        <v>0</v>
      </c>
      <c r="AF1486" s="34">
        <f>IF(E1486=1,Orders!L1483,"")</f>
        <v>3.3</v>
      </c>
      <c r="AG1486" s="34">
        <f>IF(E1486=1,Orders!P1483,"")</f>
        <v>12</v>
      </c>
      <c r="AH1486" s="34">
        <f>IF(E1486=1,Orders!Q1483,"")</f>
        <v>11.4</v>
      </c>
      <c r="AI1486" s="34">
        <f>IF(E1486=1,Orders!M1483,"")</f>
        <v>2.8</v>
      </c>
      <c r="AJ1486" s="34">
        <f>IF(E1486=1,Orders!N1483,"")</f>
        <v>3.3</v>
      </c>
      <c r="AK1486" s="34">
        <f>IF(E1486=1,Orders!O1483,"")</f>
        <v>5.3</v>
      </c>
      <c r="AL1486" s="33">
        <f>IF(E1486=1,IF(ROUND(ABS(AI1486+AJ1486+AK1486-AH1486),6)&lt;=0.1,1,0),"")</f>
        <v>1</v>
      </c>
      <c r="AM1486" s="36">
        <f>IF(E1486=1,AI1486/AH1486,"")</f>
        <v>0.245614035087719</v>
      </c>
      <c r="AN1486" s="36">
        <f>IF(E1486=1,AJ1486/AH1486,"")</f>
        <v>0.289473684210526</v>
      </c>
      <c r="AO1486" s="36">
        <f>IF(E1486=1,AK1486/AH1486,"")</f>
        <v>0.464912280701754</v>
      </c>
      <c r="AP1486" s="34">
        <f>IF(E1486=1,Orders!Y1483,"")</f>
        <v>0.42</v>
      </c>
      <c r="AQ1486" s="33">
        <f>IF(Orders!X1483,1,0)</f>
        <v>0</v>
      </c>
      <c r="AR1486" s="34" t="str">
        <f>IF(AND(E1486=1,L1486=1),AJ1486,"")</f>
        <v/>
      </c>
      <c r="AS1486" s="34">
        <f>IF(AND(E1486=1,L1486=0),AJ1486,"")</f>
        <v>3.3</v>
      </c>
      <c r="AT1486" s="34" t="str">
        <f>IF(AND(E1486=1,L1486=1),AI1486,"")</f>
        <v/>
      </c>
      <c r="AU1486" s="34">
        <f>IF(AND(E1486=1,L1486=0),AI1486,"")</f>
        <v>2.8</v>
      </c>
      <c r="AV1486" s="34" t="str">
        <f>IF(AND(E1486=1,L1486=1),AG1486,"")</f>
        <v/>
      </c>
      <c r="AW1486" s="34">
        <f>IF(AND(E1486=1,L1486=0),AG1486,"")</f>
        <v>12</v>
      </c>
      <c r="AX1486" s="34" t="str">
        <f>IF(AND(E1486=1,L1486=1),AH1486,"")</f>
        <v/>
      </c>
      <c r="AY1486" s="34">
        <f>IF(AND(E1486=1,L1486=0),AH1486,"")</f>
        <v>11.4</v>
      </c>
      <c r="AZ1486" s="34" t="str">
        <f>IF(G1486=1,F1486,"")</f>
        <v/>
      </c>
      <c r="BA1486" s="34" t="str">
        <f>IF(AND(G1486=1,L1486=1),F1486,"")</f>
        <v/>
      </c>
      <c r="BB1486" s="34" t="str">
        <f>IF(AND(G1486=1,L1486=0),F1486,"")</f>
        <v/>
      </c>
      <c r="BC1486" s="33">
        <f>IF(E1486=1,IF(Orders!R1483&gt;3,1,0),"")</f>
        <v>0</v>
      </c>
      <c r="BD1486" s="33">
        <f>IF(E1486=1,IF(Orders!R1483&gt;7,1,0),"")</f>
        <v>0</v>
      </c>
      <c r="BE1486" s="32" t="str">
        <f>IF(E1486=1,IF(Orders!L1483&lt;=1.5,"Up to 1.5 km",IF(Orders!L1483&lt;=3,"1.5–3 km","Over 3 km")),"")</f>
        <v>Over 3 km</v>
      </c>
      <c r="BF1486" s="33">
        <f>IF(E1486=1,IF(ABS((Orders!G1483-Orders!F1483)*1440-Orders!R1483)&lt;0.06,1,0),"")</f>
        <v>1</v>
      </c>
      <c r="BG1486" s="33">
        <f>IF(ABS((Orders!F1483-Orders!E1483)*1440-Orders!P1483)&lt;0.06,1,0)</f>
        <v>1</v>
      </c>
      <c r="BH1486" s="33">
        <f>IF(E1486=1,IF(IF(Orders!S1483,1,0)=1-G1486,1,0),"")</f>
        <v>1</v>
      </c>
      <c r="BI1486" s="32" t="str">
        <f>INDEX(Stores!$B$2:$B$21,MATCH(B1486,Stores!$A$2:$A$21,0))</f>
        <v>Delhi</v>
      </c>
    </row>
    <row r="1487">
      <c r="A1487" s="32" t="str">
        <f>Orders!A1484</f>
        <v>O01483</v>
      </c>
      <c r="B1487" s="32" t="str">
        <f>Orders!C1484</f>
        <v>S011</v>
      </c>
      <c r="C1487" s="32" t="str">
        <f>Orders!B1484</f>
        <v>C0109</v>
      </c>
      <c r="D1487" s="32" t="str">
        <f>Orders!H1484</f>
        <v>Delivered</v>
      </c>
      <c r="E1487" s="33">
        <f>IF(Orders!H1484="Delivered",1,0)</f>
        <v>1</v>
      </c>
      <c r="F1487" s="34">
        <f>IF(E1487=1,Orders!R1484,"")</f>
        <v>-0.3</v>
      </c>
      <c r="G1487" s="33">
        <f>IF(E1487=1,IF(Orders!R1484&gt;0,1,0),"")</f>
        <v>0</v>
      </c>
      <c r="H1487" s="33">
        <f>IF(E1487=1,IF(Orders!R1484&gt;5,1,0),"")</f>
        <v>0</v>
      </c>
      <c r="I1487" s="32" t="str">
        <f>IF(E1487=1,"",IF(OR(Orders!T1484="Rider unavailable",Orders!T1484="Item unavailable"),"Company-caused","Unresolved"))</f>
        <v/>
      </c>
      <c r="J1487" s="33">
        <f>IF(OR(E1487=1,I1487="Company-caused"),1,0)</f>
        <v>1</v>
      </c>
      <c r="K1487" s="32" t="str">
        <f>IF(E1487=0,IF(I1487="Company-caused",IF(Orders!T1484="Rider unavailable","C1 Rider unavailable","C2 Item unavailable"),"Outside root: unresolved"),IF(G1487=0,"A On time",IF(H1487=1,IF(L1487=1,"B2a Severe, peak","B2b Severe, off-peak"),IF(L1487=1,"B1a Slight, peak","B1b Slight, off-peak"))))</f>
        <v>A On time</v>
      </c>
      <c r="L1487" s="33">
        <f>IF(AND(Orders!U1484&gt;=19,Orders!U1484&lt;22),1,0)</f>
        <v>0</v>
      </c>
      <c r="M1487" s="33">
        <f>IF(L1487=IF(Orders!V1484,1,0),1,0)</f>
        <v>1</v>
      </c>
      <c r="N1487" s="32" t="str">
        <f>IF(Orders!W1484="","None",Orders!W1484)</f>
        <v>Light</v>
      </c>
      <c r="O1487" s="35">
        <f>INT(Orders!E1484)</f>
        <v>46272.0</v>
      </c>
      <c r="P1487" s="33">
        <f>Orders!U1484</f>
        <v>8</v>
      </c>
      <c r="Q1487" s="33">
        <f>COUNTIFS(Demand!$A$2:$A$4481,B1487,Demand!$B$2:$B$4481,O1487,Demand!$C$2:$C$4481,P1487)</f>
        <v>1</v>
      </c>
      <c r="R1487" s="33">
        <f>IF(Q1487=1,SUMIFS(Demand!$E$2:$E$4481,Demand!$A$2:$A$4481,B1487,Demand!$B$2:$B$4481,O1487,Demand!$C$2:$C$4481,P1487),"")</f>
        <v>21</v>
      </c>
      <c r="S1487" s="33">
        <f>INDEX(Stores!$G$2:$G$21,MATCH(B1487,Stores!$A$2:$A$21,0))</f>
        <v>31</v>
      </c>
      <c r="T1487" s="34">
        <f>IF(R1487="","",R1487/S1487)</f>
        <v>0.67741935483871</v>
      </c>
      <c r="U1487" s="34">
        <f>IF(E1487=1,T1487,"")</f>
        <v>0.67741935483871</v>
      </c>
      <c r="V1487" s="34">
        <f>IF(AND(E1487=1,L1487=0),T1487,"")</f>
        <v>0.67741935483871</v>
      </c>
      <c r="W1487" s="33">
        <f>IF(U1487="","",IF(U1487&lt;=Breakdowns!$C$5,1,IF(U1487&lt;=Breakdowns!$C$6,2,IF(U1487&lt;=Breakdowns!$C$7,3,4))))</f>
        <v>1</v>
      </c>
      <c r="X1487" s="33">
        <f>IF(V1487="","",IF(V1487&lt;=Breakdowns!$D$5,1,IF(V1487&lt;=Breakdowns!$D$6,2,IF(V1487&lt;=Breakdowns!$D$7,3,4))))</f>
        <v>1</v>
      </c>
      <c r="Y1487" s="34">
        <f>INDEX(Stores!$F$2:$F$21,MATCH(B1487,Stores!$A$2:$A$21,0))</f>
        <v>5.67</v>
      </c>
      <c r="Z1487" s="33">
        <f>IF(Y1487&gt;Store_Summary!$M$2,1,0)</f>
        <v>1</v>
      </c>
      <c r="AA1487" s="33">
        <f>INDEX(Stores!$C$2:$C$21,MATCH(B1487,Stores!$A$2:$A$21,0))</f>
        <v>732</v>
      </c>
      <c r="AB1487" s="33">
        <f>IF(AA1487&lt;180,1,0)</f>
        <v>0</v>
      </c>
      <c r="AC1487" s="32" t="str">
        <f>IF(Orders!D1484="","",INDEX(Riders!$C$2:$C$81,MATCH(Orders!D1484,Riders!$A$2:$A$81,0)))</f>
        <v>EV scooter</v>
      </c>
      <c r="AD1487" s="33">
        <f>IF(Orders!D1484="","",INDEX(Riders!$D$2:$D$81,MATCH(Orders!D1484,Riders!$A$2:$A$81,0)))</f>
        <v>18</v>
      </c>
      <c r="AE1487" s="33">
        <f>IF(Orders!D1484="","",IF(INDEX(Riders!$B$2:$B$81,MATCH(Orders!D1484,Riders!$A$2:$A$81,0))=B1487,1,0))</f>
        <v>0</v>
      </c>
      <c r="AF1487" s="34">
        <f>IF(E1487=1,Orders!L1484,"")</f>
        <v>3.3</v>
      </c>
      <c r="AG1487" s="34">
        <f>IF(E1487=1,Orders!P1484,"")</f>
        <v>11.9</v>
      </c>
      <c r="AH1487" s="34">
        <f>IF(E1487=1,Orders!Q1484,"")</f>
        <v>11.6</v>
      </c>
      <c r="AI1487" s="34">
        <f>IF(E1487=1,Orders!M1484,"")</f>
        <v>4.2</v>
      </c>
      <c r="AJ1487" s="34">
        <f>IF(E1487=1,Orders!N1484,"")</f>
        <v>2.1</v>
      </c>
      <c r="AK1487" s="34">
        <f>IF(E1487=1,Orders!O1484,"")</f>
        <v>5.3</v>
      </c>
      <c r="AL1487" s="33">
        <f>IF(E1487=1,IF(ROUND(ABS(AI1487+AJ1487+AK1487-AH1487),6)&lt;=0.1,1,0),"")</f>
        <v>1</v>
      </c>
      <c r="AM1487" s="36">
        <f>IF(E1487=1,AI1487/AH1487,"")</f>
        <v>0.362068965517241</v>
      </c>
      <c r="AN1487" s="36">
        <f>IF(E1487=1,AJ1487/AH1487,"")</f>
        <v>0.181034482758621</v>
      </c>
      <c r="AO1487" s="36">
        <f>IF(E1487=1,AK1487/AH1487,"")</f>
        <v>0.456896551724138</v>
      </c>
      <c r="AP1487" s="34">
        <f>IF(E1487=1,Orders!Y1484,"")</f>
        <v>0.44</v>
      </c>
      <c r="AQ1487" s="33">
        <f>IF(Orders!X1484,1,0)</f>
        <v>0</v>
      </c>
      <c r="AR1487" s="34" t="str">
        <f>IF(AND(E1487=1,L1487=1),AJ1487,"")</f>
        <v/>
      </c>
      <c r="AS1487" s="34">
        <f>IF(AND(E1487=1,L1487=0),AJ1487,"")</f>
        <v>2.1</v>
      </c>
      <c r="AT1487" s="34" t="str">
        <f>IF(AND(E1487=1,L1487=1),AI1487,"")</f>
        <v/>
      </c>
      <c r="AU1487" s="34">
        <f>IF(AND(E1487=1,L1487=0),AI1487,"")</f>
        <v>4.2</v>
      </c>
      <c r="AV1487" s="34" t="str">
        <f>IF(AND(E1487=1,L1487=1),AG1487,"")</f>
        <v/>
      </c>
      <c r="AW1487" s="34">
        <f>IF(AND(E1487=1,L1487=0),AG1487,"")</f>
        <v>11.9</v>
      </c>
      <c r="AX1487" s="34" t="str">
        <f>IF(AND(E1487=1,L1487=1),AH1487,"")</f>
        <v/>
      </c>
      <c r="AY1487" s="34">
        <f>IF(AND(E1487=1,L1487=0),AH1487,"")</f>
        <v>11.6</v>
      </c>
      <c r="AZ1487" s="34" t="str">
        <f>IF(G1487=1,F1487,"")</f>
        <v/>
      </c>
      <c r="BA1487" s="34" t="str">
        <f>IF(AND(G1487=1,L1487=1),F1487,"")</f>
        <v/>
      </c>
      <c r="BB1487" s="34" t="str">
        <f>IF(AND(G1487=1,L1487=0),F1487,"")</f>
        <v/>
      </c>
      <c r="BC1487" s="33">
        <f>IF(E1487=1,IF(Orders!R1484&gt;3,1,0),"")</f>
        <v>0</v>
      </c>
      <c r="BD1487" s="33">
        <f>IF(E1487=1,IF(Orders!R1484&gt;7,1,0),"")</f>
        <v>0</v>
      </c>
      <c r="BE1487" s="32" t="str">
        <f>IF(E1487=1,IF(Orders!L1484&lt;=1.5,"Up to 1.5 km",IF(Orders!L1484&lt;=3,"1.5–3 km","Over 3 km")),"")</f>
        <v>Over 3 km</v>
      </c>
      <c r="BF1487" s="33">
        <f>IF(E1487=1,IF(ABS((Orders!G1484-Orders!F1484)*1440-Orders!R1484)&lt;0.06,1,0),"")</f>
        <v>1</v>
      </c>
      <c r="BG1487" s="33">
        <f>IF(ABS((Orders!F1484-Orders!E1484)*1440-Orders!P1484)&lt;0.06,1,0)</f>
        <v>1</v>
      </c>
      <c r="BH1487" s="33">
        <f>IF(E1487=1,IF(IF(Orders!S1484,1,0)=1-G1487,1,0),"")</f>
        <v>1</v>
      </c>
      <c r="BI1487" s="32" t="str">
        <f>INDEX(Stores!$B$2:$B$21,MATCH(B1487,Stores!$A$2:$A$21,0))</f>
        <v>Bengaluru</v>
      </c>
    </row>
    <row r="1488">
      <c r="A1488" s="32" t="str">
        <f>Orders!A1485</f>
        <v>O01484</v>
      </c>
      <c r="B1488" s="32" t="str">
        <f>Orders!C1485</f>
        <v>S004</v>
      </c>
      <c r="C1488" s="32" t="str">
        <f>Orders!B1485</f>
        <v>C0131</v>
      </c>
      <c r="D1488" s="32" t="str">
        <f>Orders!H1485</f>
        <v>Delivered</v>
      </c>
      <c r="E1488" s="33">
        <f>IF(Orders!H1485="Delivered",1,0)</f>
        <v>1</v>
      </c>
      <c r="F1488" s="34">
        <f>IF(E1488=1,Orders!R1485,"")</f>
        <v>-0.7</v>
      </c>
      <c r="G1488" s="33">
        <f>IF(E1488=1,IF(Orders!R1485&gt;0,1,0),"")</f>
        <v>0</v>
      </c>
      <c r="H1488" s="33">
        <f>IF(E1488=1,IF(Orders!R1485&gt;5,1,0),"")</f>
        <v>0</v>
      </c>
      <c r="I1488" s="32" t="str">
        <f>IF(E1488=1,"",IF(OR(Orders!T1485="Rider unavailable",Orders!T1485="Item unavailable"),"Company-caused","Unresolved"))</f>
        <v/>
      </c>
      <c r="J1488" s="33">
        <f>IF(OR(E1488=1,I1488="Company-caused"),1,0)</f>
        <v>1</v>
      </c>
      <c r="K1488" s="32" t="str">
        <f>IF(E1488=0,IF(I1488="Company-caused",IF(Orders!T1485="Rider unavailable","C1 Rider unavailable","C2 Item unavailable"),"Outside root: unresolved"),IF(G1488=0,"A On time",IF(H1488=1,IF(L1488=1,"B2a Severe, peak","B2b Severe, off-peak"),IF(L1488=1,"B1a Slight, peak","B1b Slight, off-peak"))))</f>
        <v>A On time</v>
      </c>
      <c r="L1488" s="33">
        <f>IF(AND(Orders!U1485&gt;=19,Orders!U1485&lt;22),1,0)</f>
        <v>0</v>
      </c>
      <c r="M1488" s="33">
        <f>IF(L1488=IF(Orders!V1485,1,0),1,0)</f>
        <v>1</v>
      </c>
      <c r="N1488" s="32" t="str">
        <f>IF(Orders!W1485="","None",Orders!W1485)</f>
        <v>None</v>
      </c>
      <c r="O1488" s="35">
        <f>INT(Orders!E1485)</f>
        <v>46271.0</v>
      </c>
      <c r="P1488" s="33">
        <f>Orders!U1485</f>
        <v>13</v>
      </c>
      <c r="Q1488" s="33">
        <f>COUNTIFS(Demand!$A$2:$A$4481,B1488,Demand!$B$2:$B$4481,O1488,Demand!$C$2:$C$4481,P1488)</f>
        <v>1</v>
      </c>
      <c r="R1488" s="33">
        <f>IF(Q1488=1,SUMIFS(Demand!$E$2:$E$4481,Demand!$A$2:$A$4481,B1488,Demand!$B$2:$B$4481,O1488,Demand!$C$2:$C$4481,P1488),"")</f>
        <v>34</v>
      </c>
      <c r="S1488" s="33">
        <f>INDEX(Stores!$G$2:$G$21,MATCH(B1488,Stores!$A$2:$A$21,0))</f>
        <v>42</v>
      </c>
      <c r="T1488" s="34">
        <f>IF(R1488="","",R1488/S1488)</f>
        <v>0.80952380952381</v>
      </c>
      <c r="U1488" s="34">
        <f>IF(E1488=1,T1488,"")</f>
        <v>0.80952380952381</v>
      </c>
      <c r="V1488" s="34">
        <f>IF(AND(E1488=1,L1488=0),T1488,"")</f>
        <v>0.80952380952381</v>
      </c>
      <c r="W1488" s="33">
        <f>IF(U1488="","",IF(U1488&lt;=Breakdowns!$C$5,1,IF(U1488&lt;=Breakdowns!$C$6,2,IF(U1488&lt;=Breakdowns!$C$7,3,4))))</f>
        <v>2</v>
      </c>
      <c r="X1488" s="33">
        <f>IF(V1488="","",IF(V1488&lt;=Breakdowns!$D$5,1,IF(V1488&lt;=Breakdowns!$D$6,2,IF(V1488&lt;=Breakdowns!$D$7,3,4))))</f>
        <v>2</v>
      </c>
      <c r="Y1488" s="34">
        <f>INDEX(Stores!$F$2:$F$21,MATCH(B1488,Stores!$A$2:$A$21,0))</f>
        <v>2.19</v>
      </c>
      <c r="Z1488" s="33">
        <f>IF(Y1488&gt;Store_Summary!$M$2,1,0)</f>
        <v>0</v>
      </c>
      <c r="AA1488" s="33">
        <f>INDEX(Stores!$C$2:$C$21,MATCH(B1488,Stores!$A$2:$A$21,0))</f>
        <v>850</v>
      </c>
      <c r="AB1488" s="33">
        <f>IF(AA1488&lt;180,1,0)</f>
        <v>0</v>
      </c>
      <c r="AC1488" s="32" t="str">
        <f>IF(Orders!D1485="","",INDEX(Riders!$C$2:$C$81,MATCH(Orders!D1485,Riders!$A$2:$A$81,0)))</f>
        <v>EV scooter</v>
      </c>
      <c r="AD1488" s="33">
        <f>IF(Orders!D1485="","",INDEX(Riders!$D$2:$D$81,MATCH(Orders!D1485,Riders!$A$2:$A$81,0)))</f>
        <v>46</v>
      </c>
      <c r="AE1488" s="33">
        <f>IF(Orders!D1485="","",IF(INDEX(Riders!$B$2:$B$81,MATCH(Orders!D1485,Riders!$A$2:$A$81,0))=B1488,1,0))</f>
        <v>0</v>
      </c>
      <c r="AF1488" s="34">
        <f>IF(E1488=1,Orders!L1485,"")</f>
        <v>3.26</v>
      </c>
      <c r="AG1488" s="34">
        <f>IF(E1488=1,Orders!P1485,"")</f>
        <v>10.6</v>
      </c>
      <c r="AH1488" s="34">
        <f>IF(E1488=1,Orders!Q1485,"")</f>
        <v>9.9</v>
      </c>
      <c r="AI1488" s="34">
        <f>IF(E1488=1,Orders!M1485,"")</f>
        <v>2.5</v>
      </c>
      <c r="AJ1488" s="34">
        <f>IF(E1488=1,Orders!N1485,"")</f>
        <v>2.4</v>
      </c>
      <c r="AK1488" s="34">
        <f>IF(E1488=1,Orders!O1485,"")</f>
        <v>5</v>
      </c>
      <c r="AL1488" s="33">
        <f>IF(E1488=1,IF(ROUND(ABS(AI1488+AJ1488+AK1488-AH1488),6)&lt;=0.1,1,0),"")</f>
        <v>1</v>
      </c>
      <c r="AM1488" s="36">
        <f>IF(E1488=1,AI1488/AH1488,"")</f>
        <v>0.252525252525253</v>
      </c>
      <c r="AN1488" s="36">
        <f>IF(E1488=1,AJ1488/AH1488,"")</f>
        <v>0.242424242424242</v>
      </c>
      <c r="AO1488" s="36">
        <f>IF(E1488=1,AK1488/AH1488,"")</f>
        <v>0.505050505050505</v>
      </c>
      <c r="AP1488" s="34">
        <f>IF(E1488=1,Orders!Y1485,"")</f>
        <v>0.26</v>
      </c>
      <c r="AQ1488" s="33">
        <f>IF(Orders!X1485,1,0)</f>
        <v>0</v>
      </c>
      <c r="AR1488" s="34" t="str">
        <f>IF(AND(E1488=1,L1488=1),AJ1488,"")</f>
        <v/>
      </c>
      <c r="AS1488" s="34">
        <f>IF(AND(E1488=1,L1488=0),AJ1488,"")</f>
        <v>2.4</v>
      </c>
      <c r="AT1488" s="34" t="str">
        <f>IF(AND(E1488=1,L1488=1),AI1488,"")</f>
        <v/>
      </c>
      <c r="AU1488" s="34">
        <f>IF(AND(E1488=1,L1488=0),AI1488,"")</f>
        <v>2.5</v>
      </c>
      <c r="AV1488" s="34" t="str">
        <f>IF(AND(E1488=1,L1488=1),AG1488,"")</f>
        <v/>
      </c>
      <c r="AW1488" s="34">
        <f>IF(AND(E1488=1,L1488=0),AG1488,"")</f>
        <v>10.6</v>
      </c>
      <c r="AX1488" s="34" t="str">
        <f>IF(AND(E1488=1,L1488=1),AH1488,"")</f>
        <v/>
      </c>
      <c r="AY1488" s="34">
        <f>IF(AND(E1488=1,L1488=0),AH1488,"")</f>
        <v>9.9</v>
      </c>
      <c r="AZ1488" s="34" t="str">
        <f>IF(G1488=1,F1488,"")</f>
        <v/>
      </c>
      <c r="BA1488" s="34" t="str">
        <f>IF(AND(G1488=1,L1488=1),F1488,"")</f>
        <v/>
      </c>
      <c r="BB1488" s="34" t="str">
        <f>IF(AND(G1488=1,L1488=0),F1488,"")</f>
        <v/>
      </c>
      <c r="BC1488" s="33">
        <f>IF(E1488=1,IF(Orders!R1485&gt;3,1,0),"")</f>
        <v>0</v>
      </c>
      <c r="BD1488" s="33">
        <f>IF(E1488=1,IF(Orders!R1485&gt;7,1,0),"")</f>
        <v>0</v>
      </c>
      <c r="BE1488" s="32" t="str">
        <f>IF(E1488=1,IF(Orders!L1485&lt;=1.5,"Up to 1.5 km",IF(Orders!L1485&lt;=3,"1.5–3 km","Over 3 km")),"")</f>
        <v>Over 3 km</v>
      </c>
      <c r="BF1488" s="33">
        <f>IF(E1488=1,IF(ABS((Orders!G1485-Orders!F1485)*1440-Orders!R1485)&lt;0.06,1,0),"")</f>
        <v>1</v>
      </c>
      <c r="BG1488" s="33">
        <f>IF(ABS((Orders!F1485-Orders!E1485)*1440-Orders!P1485)&lt;0.06,1,0)</f>
        <v>1</v>
      </c>
      <c r="BH1488" s="33">
        <f>IF(E1488=1,IF(IF(Orders!S1485,1,0)=1-G1488,1,0),"")</f>
        <v>1</v>
      </c>
      <c r="BI1488" s="32" t="str">
        <f>INDEX(Stores!$B$2:$B$21,MATCH(B1488,Stores!$A$2:$A$21,0))</f>
        <v>Pune</v>
      </c>
    </row>
    <row r="1489">
      <c r="A1489" s="32" t="str">
        <f>Orders!A1486</f>
        <v>O01485</v>
      </c>
      <c r="B1489" s="32" t="str">
        <f>Orders!C1486</f>
        <v>S005</v>
      </c>
      <c r="C1489" s="32" t="str">
        <f>Orders!B1486</f>
        <v>C0244</v>
      </c>
      <c r="D1489" s="32" t="str">
        <f>Orders!H1486</f>
        <v>Cancelled</v>
      </c>
      <c r="E1489" s="33">
        <f>IF(Orders!H1486="Delivered",1,0)</f>
        <v>0</v>
      </c>
      <c r="F1489" s="34" t="str">
        <f>IF(E1489=1,Orders!R1486,"")</f>
        <v/>
      </c>
      <c r="G1489" s="33" t="str">
        <f>IF(E1489=1,IF(Orders!R1486&gt;0,1,0),"")</f>
        <v/>
      </c>
      <c r="H1489" s="33" t="str">
        <f>IF(E1489=1,IF(Orders!R1486&gt;5,1,0),"")</f>
        <v/>
      </c>
      <c r="I1489" s="32" t="str">
        <f>IF(E1489=1,"",IF(OR(Orders!T1486="Rider unavailable",Orders!T1486="Item unavailable"),"Company-caused","Unresolved"))</f>
        <v>Company-caused</v>
      </c>
      <c r="J1489" s="33">
        <f>IF(OR(E1489=1,I1489="Company-caused"),1,0)</f>
        <v>1</v>
      </c>
      <c r="K1489" s="32" t="str">
        <f>IF(E1489=0,IF(I1489="Company-caused",IF(Orders!T1486="Rider unavailable","C1 Rider unavailable","C2 Item unavailable"),"Outside root: unresolved"),IF(G1489=0,"A On time",IF(H1489=1,IF(L1489=1,"B2a Severe, peak","B2b Severe, off-peak"),IF(L1489=1,"B1a Slight, peak","B1b Slight, off-peak"))))</f>
        <v>C1 Rider unavailable</v>
      </c>
      <c r="L1489" s="33">
        <f>IF(AND(Orders!U1486&gt;=19,Orders!U1486&lt;22),1,0)</f>
        <v>0</v>
      </c>
      <c r="M1489" s="33">
        <f>IF(L1489=IF(Orders!V1486,1,0),1,0)</f>
        <v>1</v>
      </c>
      <c r="N1489" s="32" t="str">
        <f>IF(Orders!W1486="","None",Orders!W1486)</f>
        <v>Light</v>
      </c>
      <c r="O1489" s="35">
        <f>INT(Orders!E1486)</f>
        <v>46270.0</v>
      </c>
      <c r="P1489" s="33">
        <f>Orders!U1486</f>
        <v>12</v>
      </c>
      <c r="Q1489" s="33">
        <f>COUNTIFS(Demand!$A$2:$A$4481,B1489,Demand!$B$2:$B$4481,O1489,Demand!$C$2:$C$4481,P1489)</f>
        <v>1</v>
      </c>
      <c r="R1489" s="33">
        <f>IF(Q1489=1,SUMIFS(Demand!$E$2:$E$4481,Demand!$A$2:$A$4481,B1489,Demand!$B$2:$B$4481,O1489,Demand!$C$2:$C$4481,P1489),"")</f>
        <v>17</v>
      </c>
      <c r="S1489" s="33">
        <f>INDEX(Stores!$G$2:$G$21,MATCH(B1489,Stores!$A$2:$A$21,0))</f>
        <v>14</v>
      </c>
      <c r="T1489" s="34">
        <f>IF(R1489="","",R1489/S1489)</f>
        <v>1.21428571428571</v>
      </c>
      <c r="U1489" s="34" t="str">
        <f>IF(E1489=1,T1489,"")</f>
        <v/>
      </c>
      <c r="V1489" s="34" t="str">
        <f>IF(AND(E1489=1,L1489=0),T1489,"")</f>
        <v/>
      </c>
      <c r="W1489" s="33" t="str">
        <f>IF(U1489="","",IF(U1489&lt;=Breakdowns!$C$5,1,IF(U1489&lt;=Breakdowns!$C$6,2,IF(U1489&lt;=Breakdowns!$C$7,3,4))))</f>
        <v/>
      </c>
      <c r="X1489" s="33" t="str">
        <f>IF(V1489="","",IF(V1489&lt;=Breakdowns!$D$5,1,IF(V1489&lt;=Breakdowns!$D$6,2,IF(V1489&lt;=Breakdowns!$D$7,3,4))))</f>
        <v/>
      </c>
      <c r="Y1489" s="34">
        <f>INDEX(Stores!$F$2:$F$21,MATCH(B1489,Stores!$A$2:$A$21,0))</f>
        <v>4.89</v>
      </c>
      <c r="Z1489" s="33">
        <f>IF(Y1489&gt;Store_Summary!$M$2,1,0)</f>
        <v>0</v>
      </c>
      <c r="AA1489" s="33">
        <f>INDEX(Stores!$C$2:$C$21,MATCH(B1489,Stores!$A$2:$A$21,0))</f>
        <v>138</v>
      </c>
      <c r="AB1489" s="33">
        <f>IF(AA1489&lt;180,1,0)</f>
        <v>1</v>
      </c>
      <c r="AC1489" s="32" t="str">
        <f>IF(Orders!D1486="","",INDEX(Riders!$C$2:$C$81,MATCH(Orders!D1486,Riders!$A$2:$A$81,0)))</f>
        <v/>
      </c>
      <c r="AD1489" s="33" t="str">
        <f>IF(Orders!D1486="","",INDEX(Riders!$D$2:$D$81,MATCH(Orders!D1486,Riders!$A$2:$A$81,0)))</f>
        <v/>
      </c>
      <c r="AE1489" s="33" t="str">
        <f>IF(Orders!D1486="","",IF(INDEX(Riders!$B$2:$B$81,MATCH(Orders!D1486,Riders!$A$2:$A$81,0))=B1489,1,0))</f>
        <v/>
      </c>
      <c r="AF1489" s="34" t="str">
        <f>IF(E1489=1,Orders!L1486,"")</f>
        <v/>
      </c>
      <c r="AG1489" s="34" t="str">
        <f>IF(E1489=1,Orders!P1486,"")</f>
        <v/>
      </c>
      <c r="AH1489" s="34" t="str">
        <f>IF(E1489=1,Orders!Q1486,"")</f>
        <v/>
      </c>
      <c r="AI1489" s="34" t="str">
        <f>IF(E1489=1,Orders!M1486,"")</f>
        <v/>
      </c>
      <c r="AJ1489" s="34" t="str">
        <f>IF(E1489=1,Orders!N1486,"")</f>
        <v/>
      </c>
      <c r="AK1489" s="34" t="str">
        <f>IF(E1489=1,Orders!O1486,"")</f>
        <v/>
      </c>
      <c r="AL1489" s="33" t="str">
        <f>IF(E1489=1,IF(ROUND(ABS(AI1489+AJ1489+AK1489-AH1489),6)&lt;=0.1,1,0),"")</f>
        <v/>
      </c>
      <c r="AM1489" s="36" t="str">
        <f>IF(E1489=1,AI1489/AH1489,"")</f>
        <v/>
      </c>
      <c r="AN1489" s="36" t="str">
        <f>IF(E1489=1,AJ1489/AH1489,"")</f>
        <v/>
      </c>
      <c r="AO1489" s="36" t="str">
        <f>IF(E1489=1,AK1489/AH1489,"")</f>
        <v/>
      </c>
      <c r="AP1489" s="34" t="str">
        <f>IF(E1489=1,Orders!Y1486,"")</f>
        <v/>
      </c>
      <c r="AQ1489" s="33">
        <f>IF(Orders!X1486,1,0)</f>
        <v>0</v>
      </c>
      <c r="AR1489" s="34" t="str">
        <f>IF(AND(E1489=1,L1489=1),AJ1489,"")</f>
        <v/>
      </c>
      <c r="AS1489" s="34" t="str">
        <f>IF(AND(E1489=1,L1489=0),AJ1489,"")</f>
        <v/>
      </c>
      <c r="AT1489" s="34" t="str">
        <f>IF(AND(E1489=1,L1489=1),AI1489,"")</f>
        <v/>
      </c>
      <c r="AU1489" s="34" t="str">
        <f>IF(AND(E1489=1,L1489=0),AI1489,"")</f>
        <v/>
      </c>
      <c r="AV1489" s="34" t="str">
        <f>IF(AND(E1489=1,L1489=1),AG1489,"")</f>
        <v/>
      </c>
      <c r="AW1489" s="34" t="str">
        <f>IF(AND(E1489=1,L1489=0),AG1489,"")</f>
        <v/>
      </c>
      <c r="AX1489" s="34" t="str">
        <f>IF(AND(E1489=1,L1489=1),AH1489,"")</f>
        <v/>
      </c>
      <c r="AY1489" s="34" t="str">
        <f>IF(AND(E1489=1,L1489=0),AH1489,"")</f>
        <v/>
      </c>
      <c r="AZ1489" s="34" t="str">
        <f>IF(G1489=1,F1489,"")</f>
        <v/>
      </c>
      <c r="BA1489" s="34" t="str">
        <f>IF(AND(G1489=1,L1489=1),F1489,"")</f>
        <v/>
      </c>
      <c r="BB1489" s="34" t="str">
        <f>IF(AND(G1489=1,L1489=0),F1489,"")</f>
        <v/>
      </c>
      <c r="BC1489" s="33" t="str">
        <f>IF(E1489=1,IF(Orders!R1486&gt;3,1,0),"")</f>
        <v/>
      </c>
      <c r="BD1489" s="33" t="str">
        <f>IF(E1489=1,IF(Orders!R1486&gt;7,1,0),"")</f>
        <v/>
      </c>
      <c r="BE1489" s="32" t="str">
        <f>IF(E1489=1,IF(Orders!L1486&lt;=1.5,"Up to 1.5 km",IF(Orders!L1486&lt;=3,"1.5–3 km","Over 3 km")),"")</f>
        <v/>
      </c>
      <c r="BF1489" s="33" t="str">
        <f>IF(E1489=1,IF(ABS((Orders!G1486-Orders!F1486)*1440-Orders!R1486)&lt;0.06,1,0),"")</f>
        <v/>
      </c>
      <c r="BG1489" s="33">
        <f>IF(ABS((Orders!F1486-Orders!E1486)*1440-Orders!P1486)&lt;0.06,1,0)</f>
        <v>1</v>
      </c>
      <c r="BH1489" s="33" t="str">
        <f>IF(E1489=1,IF(IF(Orders!S1486,1,0)=1-G1489,1,0),"")</f>
        <v/>
      </c>
      <c r="BI1489" s="32" t="str">
        <f>INDEX(Stores!$B$2:$B$21,MATCH(B1489,Stores!$A$2:$A$21,0))</f>
        <v>Delhi</v>
      </c>
    </row>
    <row r="1490">
      <c r="A1490" s="32" t="str">
        <f>Orders!A1487</f>
        <v>O01486</v>
      </c>
      <c r="B1490" s="32" t="str">
        <f>Orders!C1487</f>
        <v>S003</v>
      </c>
      <c r="C1490" s="32" t="str">
        <f>Orders!B1487</f>
        <v>C0153</v>
      </c>
      <c r="D1490" s="32" t="str">
        <f>Orders!H1487</f>
        <v>Delivered</v>
      </c>
      <c r="E1490" s="33">
        <f>IF(Orders!H1487="Delivered",1,0)</f>
        <v>1</v>
      </c>
      <c r="F1490" s="34">
        <f>IF(E1490=1,Orders!R1487,"")</f>
        <v>-1.2</v>
      </c>
      <c r="G1490" s="33">
        <f>IF(E1490=1,IF(Orders!R1487&gt;0,1,0),"")</f>
        <v>0</v>
      </c>
      <c r="H1490" s="33">
        <f>IF(E1490=1,IF(Orders!R1487&gt;5,1,0),"")</f>
        <v>0</v>
      </c>
      <c r="I1490" s="32" t="str">
        <f>IF(E1490=1,"",IF(OR(Orders!T1487="Rider unavailable",Orders!T1487="Item unavailable"),"Company-caused","Unresolved"))</f>
        <v/>
      </c>
      <c r="J1490" s="33">
        <f>IF(OR(E1490=1,I1490="Company-caused"),1,0)</f>
        <v>1</v>
      </c>
      <c r="K1490" s="32" t="str">
        <f>IF(E1490=0,IF(I1490="Company-caused",IF(Orders!T1487="Rider unavailable","C1 Rider unavailable","C2 Item unavailable"),"Outside root: unresolved"),IF(G1490=0,"A On time",IF(H1490=1,IF(L1490=1,"B2a Severe, peak","B2b Severe, off-peak"),IF(L1490=1,"B1a Slight, peak","B1b Slight, off-peak"))))</f>
        <v>A On time</v>
      </c>
      <c r="L1490" s="33">
        <f>IF(AND(Orders!U1487&gt;=19,Orders!U1487&lt;22),1,0)</f>
        <v>0</v>
      </c>
      <c r="M1490" s="33">
        <f>IF(L1490=IF(Orders!V1487,1,0),1,0)</f>
        <v>1</v>
      </c>
      <c r="N1490" s="32" t="str">
        <f>IF(Orders!W1487="","None",Orders!W1487)</f>
        <v>None</v>
      </c>
      <c r="O1490" s="35">
        <f>INT(Orders!E1487)</f>
        <v>46279.0</v>
      </c>
      <c r="P1490" s="33">
        <f>Orders!U1487</f>
        <v>15</v>
      </c>
      <c r="Q1490" s="33">
        <f>COUNTIFS(Demand!$A$2:$A$4481,B1490,Demand!$B$2:$B$4481,O1490,Demand!$C$2:$C$4481,P1490)</f>
        <v>1</v>
      </c>
      <c r="R1490" s="33">
        <f>IF(Q1490=1,SUMIFS(Demand!$E$2:$E$4481,Demand!$A$2:$A$4481,B1490,Demand!$B$2:$B$4481,O1490,Demand!$C$2:$C$4481,P1490),"")</f>
        <v>34</v>
      </c>
      <c r="S1490" s="33">
        <f>INDEX(Stores!$G$2:$G$21,MATCH(B1490,Stores!$A$2:$A$21,0))</f>
        <v>41</v>
      </c>
      <c r="T1490" s="34">
        <f>IF(R1490="","",R1490/S1490)</f>
        <v>0.829268292682927</v>
      </c>
      <c r="U1490" s="34">
        <f>IF(E1490=1,T1490,"")</f>
        <v>0.829268292682927</v>
      </c>
      <c r="V1490" s="34">
        <f>IF(AND(E1490=1,L1490=0),T1490,"")</f>
        <v>0.829268292682927</v>
      </c>
      <c r="W1490" s="33">
        <f>IF(U1490="","",IF(U1490&lt;=Breakdowns!$C$5,1,IF(U1490&lt;=Breakdowns!$C$6,2,IF(U1490&lt;=Breakdowns!$C$7,3,4))))</f>
        <v>2</v>
      </c>
      <c r="X1490" s="33">
        <f>IF(V1490="","",IF(V1490&lt;=Breakdowns!$D$5,1,IF(V1490&lt;=Breakdowns!$D$6,2,IF(V1490&lt;=Breakdowns!$D$7,3,4))))</f>
        <v>2</v>
      </c>
      <c r="Y1490" s="34">
        <f>INDEX(Stores!$F$2:$F$21,MATCH(B1490,Stores!$A$2:$A$21,0))</f>
        <v>3.84</v>
      </c>
      <c r="Z1490" s="33">
        <f>IF(Y1490&gt;Store_Summary!$M$2,1,0)</f>
        <v>0</v>
      </c>
      <c r="AA1490" s="33">
        <f>INDEX(Stores!$C$2:$C$21,MATCH(B1490,Stores!$A$2:$A$21,0))</f>
        <v>426</v>
      </c>
      <c r="AB1490" s="33">
        <f>IF(AA1490&lt;180,1,0)</f>
        <v>0</v>
      </c>
      <c r="AC1490" s="32" t="str">
        <f>IF(Orders!D1487="","",INDEX(Riders!$C$2:$C$81,MATCH(Orders!D1487,Riders!$A$2:$A$81,0)))</f>
        <v>EV scooter</v>
      </c>
      <c r="AD1490" s="33">
        <f>IF(Orders!D1487="","",INDEX(Riders!$D$2:$D$81,MATCH(Orders!D1487,Riders!$A$2:$A$81,0)))</f>
        <v>33</v>
      </c>
      <c r="AE1490" s="33">
        <f>IF(Orders!D1487="","",IF(INDEX(Riders!$B$2:$B$81,MATCH(Orders!D1487,Riders!$A$2:$A$81,0))=B1490,1,0))</f>
        <v>0</v>
      </c>
      <c r="AF1490" s="34">
        <f>IF(E1490=1,Orders!L1487,"")</f>
        <v>1.94</v>
      </c>
      <c r="AG1490" s="34">
        <f>IF(E1490=1,Orders!P1487,"")</f>
        <v>10</v>
      </c>
      <c r="AH1490" s="34">
        <f>IF(E1490=1,Orders!Q1487,"")</f>
        <v>8.8</v>
      </c>
      <c r="AI1490" s="34">
        <f>IF(E1490=1,Orders!M1487,"")</f>
        <v>2.3</v>
      </c>
      <c r="AJ1490" s="34">
        <f>IF(E1490=1,Orders!N1487,"")</f>
        <v>4.2</v>
      </c>
      <c r="AK1490" s="34">
        <f>IF(E1490=1,Orders!O1487,"")</f>
        <v>2.3</v>
      </c>
      <c r="AL1490" s="33">
        <f>IF(E1490=1,IF(ROUND(ABS(AI1490+AJ1490+AK1490-AH1490),6)&lt;=0.1,1,0),"")</f>
        <v>1</v>
      </c>
      <c r="AM1490" s="36">
        <f>IF(E1490=1,AI1490/AH1490,"")</f>
        <v>0.261363636363636</v>
      </c>
      <c r="AN1490" s="36">
        <f>IF(E1490=1,AJ1490/AH1490,"")</f>
        <v>0.477272727272727</v>
      </c>
      <c r="AO1490" s="36">
        <f>IF(E1490=1,AK1490/AH1490,"")</f>
        <v>0.261363636363636</v>
      </c>
      <c r="AP1490" s="34">
        <f>IF(E1490=1,Orders!Y1487,"")</f>
        <v>0.31</v>
      </c>
      <c r="AQ1490" s="33">
        <f>IF(Orders!X1487,1,0)</f>
        <v>0</v>
      </c>
      <c r="AR1490" s="34" t="str">
        <f>IF(AND(E1490=1,L1490=1),AJ1490,"")</f>
        <v/>
      </c>
      <c r="AS1490" s="34">
        <f>IF(AND(E1490=1,L1490=0),AJ1490,"")</f>
        <v>4.2</v>
      </c>
      <c r="AT1490" s="34" t="str">
        <f>IF(AND(E1490=1,L1490=1),AI1490,"")</f>
        <v/>
      </c>
      <c r="AU1490" s="34">
        <f>IF(AND(E1490=1,L1490=0),AI1490,"")</f>
        <v>2.3</v>
      </c>
      <c r="AV1490" s="34" t="str">
        <f>IF(AND(E1490=1,L1490=1),AG1490,"")</f>
        <v/>
      </c>
      <c r="AW1490" s="34">
        <f>IF(AND(E1490=1,L1490=0),AG1490,"")</f>
        <v>10</v>
      </c>
      <c r="AX1490" s="34" t="str">
        <f>IF(AND(E1490=1,L1490=1),AH1490,"")</f>
        <v/>
      </c>
      <c r="AY1490" s="34">
        <f>IF(AND(E1490=1,L1490=0),AH1490,"")</f>
        <v>8.8</v>
      </c>
      <c r="AZ1490" s="34" t="str">
        <f>IF(G1490=1,F1490,"")</f>
        <v/>
      </c>
      <c r="BA1490" s="34" t="str">
        <f>IF(AND(G1490=1,L1490=1),F1490,"")</f>
        <v/>
      </c>
      <c r="BB1490" s="34" t="str">
        <f>IF(AND(G1490=1,L1490=0),F1490,"")</f>
        <v/>
      </c>
      <c r="BC1490" s="33">
        <f>IF(E1490=1,IF(Orders!R1487&gt;3,1,0),"")</f>
        <v>0</v>
      </c>
      <c r="BD1490" s="33">
        <f>IF(E1490=1,IF(Orders!R1487&gt;7,1,0),"")</f>
        <v>0</v>
      </c>
      <c r="BE1490" s="32" t="str">
        <f>IF(E1490=1,IF(Orders!L1487&lt;=1.5,"Up to 1.5 km",IF(Orders!L1487&lt;=3,"1.5–3 km","Over 3 km")),"")</f>
        <v>1.5–3 km</v>
      </c>
      <c r="BF1490" s="33">
        <f>IF(E1490=1,IF(ABS((Orders!G1487-Orders!F1487)*1440-Orders!R1487)&lt;0.06,1,0),"")</f>
        <v>1</v>
      </c>
      <c r="BG1490" s="33">
        <f>IF(ABS((Orders!F1487-Orders!E1487)*1440-Orders!P1487)&lt;0.06,1,0)</f>
        <v>1</v>
      </c>
      <c r="BH1490" s="33">
        <f>IF(E1490=1,IF(IF(Orders!S1487,1,0)=1-G1490,1,0),"")</f>
        <v>1</v>
      </c>
      <c r="BI1490" s="32" t="str">
        <f>INDEX(Stores!$B$2:$B$21,MATCH(B1490,Stores!$A$2:$A$21,0))</f>
        <v>Mumbai</v>
      </c>
    </row>
    <row r="1491">
      <c r="A1491" s="32" t="str">
        <f>Orders!A1488</f>
        <v>O01487</v>
      </c>
      <c r="B1491" s="32" t="str">
        <f>Orders!C1488</f>
        <v>S004</v>
      </c>
      <c r="C1491" s="32" t="str">
        <f>Orders!B1488</f>
        <v>C0211</v>
      </c>
      <c r="D1491" s="32" t="str">
        <f>Orders!H1488</f>
        <v>Delivered</v>
      </c>
      <c r="E1491" s="33">
        <f>IF(Orders!H1488="Delivered",1,0)</f>
        <v>1</v>
      </c>
      <c r="F1491" s="34">
        <f>IF(E1491=1,Orders!R1488,"")</f>
        <v>-0.8</v>
      </c>
      <c r="G1491" s="33">
        <f>IF(E1491=1,IF(Orders!R1488&gt;0,1,0),"")</f>
        <v>0</v>
      </c>
      <c r="H1491" s="33">
        <f>IF(E1491=1,IF(Orders!R1488&gt;5,1,0),"")</f>
        <v>0</v>
      </c>
      <c r="I1491" s="32" t="str">
        <f>IF(E1491=1,"",IF(OR(Orders!T1488="Rider unavailable",Orders!T1488="Item unavailable"),"Company-caused","Unresolved"))</f>
        <v/>
      </c>
      <c r="J1491" s="33">
        <f>IF(OR(E1491=1,I1491="Company-caused"),1,0)</f>
        <v>1</v>
      </c>
      <c r="K1491" s="32" t="str">
        <f>IF(E1491=0,IF(I1491="Company-caused",IF(Orders!T1488="Rider unavailable","C1 Rider unavailable","C2 Item unavailable"),"Outside root: unresolved"),IF(G1491=0,"A On time",IF(H1491=1,IF(L1491=1,"B2a Severe, peak","B2b Severe, off-peak"),IF(L1491=1,"B1a Slight, peak","B1b Slight, off-peak"))))</f>
        <v>A On time</v>
      </c>
      <c r="L1491" s="33">
        <f>IF(AND(Orders!U1488&gt;=19,Orders!U1488&lt;22),1,0)</f>
        <v>1</v>
      </c>
      <c r="M1491" s="33">
        <f>IF(L1491=IF(Orders!V1488,1,0),1,0)</f>
        <v>1</v>
      </c>
      <c r="N1491" s="32" t="str">
        <f>IF(Orders!W1488="","None",Orders!W1488)</f>
        <v>None</v>
      </c>
      <c r="O1491" s="35">
        <f>INT(Orders!E1488)</f>
        <v>46276.0</v>
      </c>
      <c r="P1491" s="33">
        <f>Orders!U1488</f>
        <v>20</v>
      </c>
      <c r="Q1491" s="33">
        <f>COUNTIFS(Demand!$A$2:$A$4481,B1491,Demand!$B$2:$B$4481,O1491,Demand!$C$2:$C$4481,P1491)</f>
        <v>1</v>
      </c>
      <c r="R1491" s="33">
        <f>IF(Q1491=1,SUMIFS(Demand!$E$2:$E$4481,Demand!$A$2:$A$4481,B1491,Demand!$B$2:$B$4481,O1491,Demand!$C$2:$C$4481,P1491),"")</f>
        <v>59</v>
      </c>
      <c r="S1491" s="33">
        <f>INDEX(Stores!$G$2:$G$21,MATCH(B1491,Stores!$A$2:$A$21,0))</f>
        <v>42</v>
      </c>
      <c r="T1491" s="34">
        <f>IF(R1491="","",R1491/S1491)</f>
        <v>1.4047619047619</v>
      </c>
      <c r="U1491" s="34">
        <f>IF(E1491=1,T1491,"")</f>
        <v>1.4047619047619</v>
      </c>
      <c r="V1491" s="34" t="str">
        <f>IF(AND(E1491=1,L1491=0),T1491,"")</f>
        <v/>
      </c>
      <c r="W1491" s="33">
        <f>IF(U1491="","",IF(U1491&lt;=Breakdowns!$C$5,1,IF(U1491&lt;=Breakdowns!$C$6,2,IF(U1491&lt;=Breakdowns!$C$7,3,4))))</f>
        <v>4</v>
      </c>
      <c r="X1491" s="33" t="str">
        <f>IF(V1491="","",IF(V1491&lt;=Breakdowns!$D$5,1,IF(V1491&lt;=Breakdowns!$D$6,2,IF(V1491&lt;=Breakdowns!$D$7,3,4))))</f>
        <v/>
      </c>
      <c r="Y1491" s="34">
        <f>INDEX(Stores!$F$2:$F$21,MATCH(B1491,Stores!$A$2:$A$21,0))</f>
        <v>2.19</v>
      </c>
      <c r="Z1491" s="33">
        <f>IF(Y1491&gt;Store_Summary!$M$2,1,0)</f>
        <v>0</v>
      </c>
      <c r="AA1491" s="33">
        <f>INDEX(Stores!$C$2:$C$21,MATCH(B1491,Stores!$A$2:$A$21,0))</f>
        <v>850</v>
      </c>
      <c r="AB1491" s="33">
        <f>IF(AA1491&lt;180,1,0)</f>
        <v>0</v>
      </c>
      <c r="AC1491" s="32" t="str">
        <f>IF(Orders!D1488="","",INDEX(Riders!$C$2:$C$81,MATCH(Orders!D1488,Riders!$A$2:$A$81,0)))</f>
        <v>EV scooter</v>
      </c>
      <c r="AD1491" s="33">
        <f>IF(Orders!D1488="","",INDEX(Riders!$D$2:$D$81,MATCH(Orders!D1488,Riders!$A$2:$A$81,0)))</f>
        <v>11</v>
      </c>
      <c r="AE1491" s="33">
        <f>IF(Orders!D1488="","",IF(INDEX(Riders!$B$2:$B$81,MATCH(Orders!D1488,Riders!$A$2:$A$81,0))=B1491,1,0))</f>
        <v>0</v>
      </c>
      <c r="AF1491" s="34">
        <f>IF(E1491=1,Orders!L1488,"")</f>
        <v>2.68</v>
      </c>
      <c r="AG1491" s="34">
        <f>IF(E1491=1,Orders!P1488,"")</f>
        <v>9.5</v>
      </c>
      <c r="AH1491" s="34">
        <f>IF(E1491=1,Orders!Q1488,"")</f>
        <v>8.7</v>
      </c>
      <c r="AI1491" s="34">
        <f>IF(E1491=1,Orders!M1488,"")</f>
        <v>1.4</v>
      </c>
      <c r="AJ1491" s="34">
        <f>IF(E1491=1,Orders!N1488,"")</f>
        <v>3.5</v>
      </c>
      <c r="AK1491" s="34">
        <f>IF(E1491=1,Orders!O1488,"")</f>
        <v>3.8</v>
      </c>
      <c r="AL1491" s="33">
        <f>IF(E1491=1,IF(ROUND(ABS(AI1491+AJ1491+AK1491-AH1491),6)&lt;=0.1,1,0),"")</f>
        <v>1</v>
      </c>
      <c r="AM1491" s="36">
        <f>IF(E1491=1,AI1491/AH1491,"")</f>
        <v>0.160919540229885</v>
      </c>
      <c r="AN1491" s="36">
        <f>IF(E1491=1,AJ1491/AH1491,"")</f>
        <v>0.402298850574713</v>
      </c>
      <c r="AO1491" s="36">
        <f>IF(E1491=1,AK1491/AH1491,"")</f>
        <v>0.436781609195402</v>
      </c>
      <c r="AP1491" s="34">
        <f>IF(E1491=1,Orders!Y1488,"")</f>
        <v>0.14</v>
      </c>
      <c r="AQ1491" s="33">
        <f>IF(Orders!X1488,1,0)</f>
        <v>0</v>
      </c>
      <c r="AR1491" s="34">
        <f>IF(AND(E1491=1,L1491=1),AJ1491,"")</f>
        <v>3.5</v>
      </c>
      <c r="AS1491" s="34" t="str">
        <f>IF(AND(E1491=1,L1491=0),AJ1491,"")</f>
        <v/>
      </c>
      <c r="AT1491" s="34">
        <f>IF(AND(E1491=1,L1491=1),AI1491,"")</f>
        <v>1.4</v>
      </c>
      <c r="AU1491" s="34" t="str">
        <f>IF(AND(E1491=1,L1491=0),AI1491,"")</f>
        <v/>
      </c>
      <c r="AV1491" s="34">
        <f>IF(AND(E1491=1,L1491=1),AG1491,"")</f>
        <v>9.5</v>
      </c>
      <c r="AW1491" s="34" t="str">
        <f>IF(AND(E1491=1,L1491=0),AG1491,"")</f>
        <v/>
      </c>
      <c r="AX1491" s="34">
        <f>IF(AND(E1491=1,L1491=1),AH1491,"")</f>
        <v>8.7</v>
      </c>
      <c r="AY1491" s="34" t="str">
        <f>IF(AND(E1491=1,L1491=0),AH1491,"")</f>
        <v/>
      </c>
      <c r="AZ1491" s="34" t="str">
        <f>IF(G1491=1,F1491,"")</f>
        <v/>
      </c>
      <c r="BA1491" s="34" t="str">
        <f>IF(AND(G1491=1,L1491=1),F1491,"")</f>
        <v/>
      </c>
      <c r="BB1491" s="34" t="str">
        <f>IF(AND(G1491=1,L1491=0),F1491,"")</f>
        <v/>
      </c>
      <c r="BC1491" s="33">
        <f>IF(E1491=1,IF(Orders!R1488&gt;3,1,0),"")</f>
        <v>0</v>
      </c>
      <c r="BD1491" s="33">
        <f>IF(E1491=1,IF(Orders!R1488&gt;7,1,0),"")</f>
        <v>0</v>
      </c>
      <c r="BE1491" s="32" t="str">
        <f>IF(E1491=1,IF(Orders!L1488&lt;=1.5,"Up to 1.5 km",IF(Orders!L1488&lt;=3,"1.5–3 km","Over 3 km")),"")</f>
        <v>1.5–3 km</v>
      </c>
      <c r="BF1491" s="33">
        <f>IF(E1491=1,IF(ABS((Orders!G1488-Orders!F1488)*1440-Orders!R1488)&lt;0.06,1,0),"")</f>
        <v>1</v>
      </c>
      <c r="BG1491" s="33">
        <f>IF(ABS((Orders!F1488-Orders!E1488)*1440-Orders!P1488)&lt;0.06,1,0)</f>
        <v>1</v>
      </c>
      <c r="BH1491" s="33">
        <f>IF(E1491=1,IF(IF(Orders!S1488,1,0)=1-G1491,1,0),"")</f>
        <v>1</v>
      </c>
      <c r="BI1491" s="32" t="str">
        <f>INDEX(Stores!$B$2:$B$21,MATCH(B1491,Stores!$A$2:$A$21,0))</f>
        <v>Pune</v>
      </c>
    </row>
    <row r="1492">
      <c r="A1492" s="32" t="str">
        <f>Orders!A1489</f>
        <v>O01488</v>
      </c>
      <c r="B1492" s="32" t="str">
        <f>Orders!C1489</f>
        <v>S007</v>
      </c>
      <c r="C1492" s="32" t="str">
        <f>Orders!B1489</f>
        <v>C0208</v>
      </c>
      <c r="D1492" s="32" t="str">
        <f>Orders!H1489</f>
        <v>Delivered</v>
      </c>
      <c r="E1492" s="33">
        <f>IF(Orders!H1489="Delivered",1,0)</f>
        <v>1</v>
      </c>
      <c r="F1492" s="34">
        <f>IF(E1492=1,Orders!R1489,"")</f>
        <v>-1.1</v>
      </c>
      <c r="G1492" s="33">
        <f>IF(E1492=1,IF(Orders!R1489&gt;0,1,0),"")</f>
        <v>0</v>
      </c>
      <c r="H1492" s="33">
        <f>IF(E1492=1,IF(Orders!R1489&gt;5,1,0),"")</f>
        <v>0</v>
      </c>
      <c r="I1492" s="32" t="str">
        <f>IF(E1492=1,"",IF(OR(Orders!T1489="Rider unavailable",Orders!T1489="Item unavailable"),"Company-caused","Unresolved"))</f>
        <v/>
      </c>
      <c r="J1492" s="33">
        <f>IF(OR(E1492=1,I1492="Company-caused"),1,0)</f>
        <v>1</v>
      </c>
      <c r="K1492" s="32" t="str">
        <f>IF(E1492=0,IF(I1492="Company-caused",IF(Orders!T1489="Rider unavailable","C1 Rider unavailable","C2 Item unavailable"),"Outside root: unresolved"),IF(G1492=0,"A On time",IF(H1492=1,IF(L1492=1,"B2a Severe, peak","B2b Severe, off-peak"),IF(L1492=1,"B1a Slight, peak","B1b Slight, off-peak"))))</f>
        <v>A On time</v>
      </c>
      <c r="L1492" s="33">
        <f>IF(AND(Orders!U1489&gt;=19,Orders!U1489&lt;22),1,0)</f>
        <v>0</v>
      </c>
      <c r="M1492" s="33">
        <f>IF(L1492=IF(Orders!V1489,1,0),1,0)</f>
        <v>1</v>
      </c>
      <c r="N1492" s="32" t="str">
        <f>IF(Orders!W1489="","None",Orders!W1489)</f>
        <v>None</v>
      </c>
      <c r="O1492" s="35">
        <f>INT(Orders!E1489)</f>
        <v>46267.0</v>
      </c>
      <c r="P1492" s="33">
        <f>Orders!U1489</f>
        <v>12</v>
      </c>
      <c r="Q1492" s="33">
        <f>COUNTIFS(Demand!$A$2:$A$4481,B1492,Demand!$B$2:$B$4481,O1492,Demand!$C$2:$C$4481,P1492)</f>
        <v>1</v>
      </c>
      <c r="R1492" s="33">
        <f>IF(Q1492=1,SUMIFS(Demand!$E$2:$E$4481,Demand!$A$2:$A$4481,B1492,Demand!$B$2:$B$4481,O1492,Demand!$C$2:$C$4481,P1492),"")</f>
        <v>36</v>
      </c>
      <c r="S1492" s="33">
        <f>INDEX(Stores!$G$2:$G$21,MATCH(B1492,Stores!$A$2:$A$21,0))</f>
        <v>37</v>
      </c>
      <c r="T1492" s="34">
        <f>IF(R1492="","",R1492/S1492)</f>
        <v>0.972972972972973</v>
      </c>
      <c r="U1492" s="34">
        <f>IF(E1492=1,T1492,"")</f>
        <v>0.972972972972973</v>
      </c>
      <c r="V1492" s="34">
        <f>IF(AND(E1492=1,L1492=0),T1492,"")</f>
        <v>0.972972972972973</v>
      </c>
      <c r="W1492" s="33">
        <f>IF(U1492="","",IF(U1492&lt;=Breakdowns!$C$5,1,IF(U1492&lt;=Breakdowns!$C$6,2,IF(U1492&lt;=Breakdowns!$C$7,3,4))))</f>
        <v>2</v>
      </c>
      <c r="X1492" s="33">
        <f>IF(V1492="","",IF(V1492&lt;=Breakdowns!$D$5,1,IF(V1492&lt;=Breakdowns!$D$6,2,IF(V1492&lt;=Breakdowns!$D$7,3,4))))</f>
        <v>3</v>
      </c>
      <c r="Y1492" s="34">
        <f>INDEX(Stores!$F$2:$F$21,MATCH(B1492,Stores!$A$2:$A$21,0))</f>
        <v>4.05</v>
      </c>
      <c r="Z1492" s="33">
        <f>IF(Y1492&gt;Store_Summary!$M$2,1,0)</f>
        <v>0</v>
      </c>
      <c r="AA1492" s="33">
        <f>INDEX(Stores!$C$2:$C$21,MATCH(B1492,Stores!$A$2:$A$21,0))</f>
        <v>661</v>
      </c>
      <c r="AB1492" s="33">
        <f>IF(AA1492&lt;180,1,0)</f>
        <v>0</v>
      </c>
      <c r="AC1492" s="32" t="str">
        <f>IF(Orders!D1489="","",INDEX(Riders!$C$2:$C$81,MATCH(Orders!D1489,Riders!$A$2:$A$81,0)))</f>
        <v>Petrol scooter</v>
      </c>
      <c r="AD1492" s="33">
        <f>IF(Orders!D1489="","",INDEX(Riders!$D$2:$D$81,MATCH(Orders!D1489,Riders!$A$2:$A$81,0)))</f>
        <v>2</v>
      </c>
      <c r="AE1492" s="33">
        <f>IF(Orders!D1489="","",IF(INDEX(Riders!$B$2:$B$81,MATCH(Orders!D1489,Riders!$A$2:$A$81,0))=B1492,1,0))</f>
        <v>0</v>
      </c>
      <c r="AF1492" s="34">
        <f>IF(E1492=1,Orders!L1489,"")</f>
        <v>1.92</v>
      </c>
      <c r="AG1492" s="34">
        <f>IF(E1492=1,Orders!P1489,"")</f>
        <v>11.8</v>
      </c>
      <c r="AH1492" s="34">
        <f>IF(E1492=1,Orders!Q1489,"")</f>
        <v>10.7</v>
      </c>
      <c r="AI1492" s="34">
        <f>IF(E1492=1,Orders!M1489,"")</f>
        <v>2.9</v>
      </c>
      <c r="AJ1492" s="34">
        <f>IF(E1492=1,Orders!N1489,"")</f>
        <v>3.2</v>
      </c>
      <c r="AK1492" s="34">
        <f>IF(E1492=1,Orders!O1489,"")</f>
        <v>4.6</v>
      </c>
      <c r="AL1492" s="33">
        <f>IF(E1492=1,IF(ROUND(ABS(AI1492+AJ1492+AK1492-AH1492),6)&lt;=0.1,1,0),"")</f>
        <v>1</v>
      </c>
      <c r="AM1492" s="36">
        <f>IF(E1492=1,AI1492/AH1492,"")</f>
        <v>0.271028037383178</v>
      </c>
      <c r="AN1492" s="36">
        <f>IF(E1492=1,AJ1492/AH1492,"")</f>
        <v>0.299065420560748</v>
      </c>
      <c r="AO1492" s="36">
        <f>IF(E1492=1,AK1492/AH1492,"")</f>
        <v>0.429906542056075</v>
      </c>
      <c r="AP1492" s="34">
        <f>IF(E1492=1,Orders!Y1489,"")</f>
        <v>0.59</v>
      </c>
      <c r="AQ1492" s="33">
        <f>IF(Orders!X1489,1,0)</f>
        <v>0</v>
      </c>
      <c r="AR1492" s="34" t="str">
        <f>IF(AND(E1492=1,L1492=1),AJ1492,"")</f>
        <v/>
      </c>
      <c r="AS1492" s="34">
        <f>IF(AND(E1492=1,L1492=0),AJ1492,"")</f>
        <v>3.2</v>
      </c>
      <c r="AT1492" s="34" t="str">
        <f>IF(AND(E1492=1,L1492=1),AI1492,"")</f>
        <v/>
      </c>
      <c r="AU1492" s="34">
        <f>IF(AND(E1492=1,L1492=0),AI1492,"")</f>
        <v>2.9</v>
      </c>
      <c r="AV1492" s="34" t="str">
        <f>IF(AND(E1492=1,L1492=1),AG1492,"")</f>
        <v/>
      </c>
      <c r="AW1492" s="34">
        <f>IF(AND(E1492=1,L1492=0),AG1492,"")</f>
        <v>11.8</v>
      </c>
      <c r="AX1492" s="34" t="str">
        <f>IF(AND(E1492=1,L1492=1),AH1492,"")</f>
        <v/>
      </c>
      <c r="AY1492" s="34">
        <f>IF(AND(E1492=1,L1492=0),AH1492,"")</f>
        <v>10.7</v>
      </c>
      <c r="AZ1492" s="34" t="str">
        <f>IF(G1492=1,F1492,"")</f>
        <v/>
      </c>
      <c r="BA1492" s="34" t="str">
        <f>IF(AND(G1492=1,L1492=1),F1492,"")</f>
        <v/>
      </c>
      <c r="BB1492" s="34" t="str">
        <f>IF(AND(G1492=1,L1492=0),F1492,"")</f>
        <v/>
      </c>
      <c r="BC1492" s="33">
        <f>IF(E1492=1,IF(Orders!R1489&gt;3,1,0),"")</f>
        <v>0</v>
      </c>
      <c r="BD1492" s="33">
        <f>IF(E1492=1,IF(Orders!R1489&gt;7,1,0),"")</f>
        <v>0</v>
      </c>
      <c r="BE1492" s="32" t="str">
        <f>IF(E1492=1,IF(Orders!L1489&lt;=1.5,"Up to 1.5 km",IF(Orders!L1489&lt;=3,"1.5–3 km","Over 3 km")),"")</f>
        <v>1.5–3 km</v>
      </c>
      <c r="BF1492" s="33">
        <f>IF(E1492=1,IF(ABS((Orders!G1489-Orders!F1489)*1440-Orders!R1489)&lt;0.06,1,0),"")</f>
        <v>1</v>
      </c>
      <c r="BG1492" s="33">
        <f>IF(ABS((Orders!F1489-Orders!E1489)*1440-Orders!P1489)&lt;0.06,1,0)</f>
        <v>1</v>
      </c>
      <c r="BH1492" s="33">
        <f>IF(E1492=1,IF(IF(Orders!S1489,1,0)=1-G1492,1,0),"")</f>
        <v>1</v>
      </c>
      <c r="BI1492" s="32" t="str">
        <f>INDEX(Stores!$B$2:$B$21,MATCH(B1492,Stores!$A$2:$A$21,0))</f>
        <v>Hyderabad</v>
      </c>
    </row>
    <row r="1493">
      <c r="A1493" s="32" t="str">
        <f>Orders!A1490</f>
        <v>O01489</v>
      </c>
      <c r="B1493" s="32" t="str">
        <f>Orders!C1490</f>
        <v>S002</v>
      </c>
      <c r="C1493" s="32" t="str">
        <f>Orders!B1490</f>
        <v>C0125</v>
      </c>
      <c r="D1493" s="32" t="str">
        <f>Orders!H1490</f>
        <v>Delivered</v>
      </c>
      <c r="E1493" s="33">
        <f>IF(Orders!H1490="Delivered",1,0)</f>
        <v>1</v>
      </c>
      <c r="F1493" s="34">
        <f>IF(E1493=1,Orders!R1490,"")</f>
        <v>9.1</v>
      </c>
      <c r="G1493" s="33">
        <f>IF(E1493=1,IF(Orders!R1490&gt;0,1,0),"")</f>
        <v>1</v>
      </c>
      <c r="H1493" s="33">
        <f>IF(E1493=1,IF(Orders!R1490&gt;5,1,0),"")</f>
        <v>1</v>
      </c>
      <c r="I1493" s="32" t="str">
        <f>IF(E1493=1,"",IF(OR(Orders!T1490="Rider unavailable",Orders!T1490="Item unavailable"),"Company-caused","Unresolved"))</f>
        <v/>
      </c>
      <c r="J1493" s="33">
        <f>IF(OR(E1493=1,I1493="Company-caused"),1,0)</f>
        <v>1</v>
      </c>
      <c r="K1493" s="32" t="str">
        <f>IF(E1493=0,IF(I1493="Company-caused",IF(Orders!T1490="Rider unavailable","C1 Rider unavailable","C2 Item unavailable"),"Outside root: unresolved"),IF(G1493=0,"A On time",IF(H1493=1,IF(L1493=1,"B2a Severe, peak","B2b Severe, off-peak"),IF(L1493=1,"B1a Slight, peak","B1b Slight, off-peak"))))</f>
        <v>B2b Severe, off-peak</v>
      </c>
      <c r="L1493" s="33">
        <f>IF(AND(Orders!U1490&gt;=19,Orders!U1490&lt;22),1,0)</f>
        <v>0</v>
      </c>
      <c r="M1493" s="33">
        <f>IF(L1493=IF(Orders!V1490,1,0),1,0)</f>
        <v>1</v>
      </c>
      <c r="N1493" s="32" t="str">
        <f>IF(Orders!W1490="","None",Orders!W1490)</f>
        <v>None</v>
      </c>
      <c r="O1493" s="35">
        <f>INT(Orders!E1490)</f>
        <v>46276.0</v>
      </c>
      <c r="P1493" s="33">
        <f>Orders!U1490</f>
        <v>18</v>
      </c>
      <c r="Q1493" s="33">
        <f>COUNTIFS(Demand!$A$2:$A$4481,B1493,Demand!$B$2:$B$4481,O1493,Demand!$C$2:$C$4481,P1493)</f>
        <v>1</v>
      </c>
      <c r="R1493" s="33">
        <f>IF(Q1493=1,SUMIFS(Demand!$E$2:$E$4481,Demand!$A$2:$A$4481,B1493,Demand!$B$2:$B$4481,O1493,Demand!$C$2:$C$4481,P1493),"")</f>
        <v>35</v>
      </c>
      <c r="S1493" s="33">
        <f>INDEX(Stores!$G$2:$G$21,MATCH(B1493,Stores!$A$2:$A$21,0))</f>
        <v>33</v>
      </c>
      <c r="T1493" s="34">
        <f>IF(R1493="","",R1493/S1493)</f>
        <v>1.06060606060606</v>
      </c>
      <c r="U1493" s="34">
        <f>IF(E1493=1,T1493,"")</f>
        <v>1.06060606060606</v>
      </c>
      <c r="V1493" s="34">
        <f>IF(AND(E1493=1,L1493=0),T1493,"")</f>
        <v>1.06060606060606</v>
      </c>
      <c r="W1493" s="33">
        <f>IF(U1493="","",IF(U1493&lt;=Breakdowns!$C$5,1,IF(U1493&lt;=Breakdowns!$C$6,2,IF(U1493&lt;=Breakdowns!$C$7,3,4))))</f>
        <v>3</v>
      </c>
      <c r="X1493" s="33">
        <f>IF(V1493="","",IF(V1493&lt;=Breakdowns!$D$5,1,IF(V1493&lt;=Breakdowns!$D$6,2,IF(V1493&lt;=Breakdowns!$D$7,3,4))))</f>
        <v>3</v>
      </c>
      <c r="Y1493" s="34">
        <f>INDEX(Stores!$F$2:$F$21,MATCH(B1493,Stores!$A$2:$A$21,0))</f>
        <v>2.39</v>
      </c>
      <c r="Z1493" s="33">
        <f>IF(Y1493&gt;Store_Summary!$M$2,1,0)</f>
        <v>0</v>
      </c>
      <c r="AA1493" s="33">
        <f>INDEX(Stores!$C$2:$C$21,MATCH(B1493,Stores!$A$2:$A$21,0))</f>
        <v>470</v>
      </c>
      <c r="AB1493" s="33">
        <f>IF(AA1493&lt;180,1,0)</f>
        <v>0</v>
      </c>
      <c r="AC1493" s="32" t="str">
        <f>IF(Orders!D1490="","",INDEX(Riders!$C$2:$C$81,MATCH(Orders!D1490,Riders!$A$2:$A$81,0)))</f>
        <v>Petrol scooter</v>
      </c>
      <c r="AD1493" s="33">
        <f>IF(Orders!D1490="","",INDEX(Riders!$D$2:$D$81,MATCH(Orders!D1490,Riders!$A$2:$A$81,0)))</f>
        <v>40</v>
      </c>
      <c r="AE1493" s="33">
        <f>IF(Orders!D1490="","",IF(INDEX(Riders!$B$2:$B$81,MATCH(Orders!D1490,Riders!$A$2:$A$81,0))=B1493,1,0))</f>
        <v>0</v>
      </c>
      <c r="AF1493" s="34">
        <f>IF(E1493=1,Orders!L1490,"")</f>
        <v>5</v>
      </c>
      <c r="AG1493" s="34">
        <f>IF(E1493=1,Orders!P1490,"")</f>
        <v>12.9</v>
      </c>
      <c r="AH1493" s="34">
        <f>IF(E1493=1,Orders!Q1490,"")</f>
        <v>22</v>
      </c>
      <c r="AI1493" s="34">
        <f>IF(E1493=1,Orders!M1490,"")</f>
        <v>2.2</v>
      </c>
      <c r="AJ1493" s="34">
        <f>IF(E1493=1,Orders!N1490,"")</f>
        <v>6.3</v>
      </c>
      <c r="AK1493" s="34">
        <f>IF(E1493=1,Orders!O1490,"")</f>
        <v>13.4</v>
      </c>
      <c r="AL1493" s="33">
        <f>IF(E1493=1,IF(ROUND(ABS(AI1493+AJ1493+AK1493-AH1493),6)&lt;=0.1,1,0),"")</f>
        <v>1</v>
      </c>
      <c r="AM1493" s="36">
        <f>IF(E1493=1,AI1493/AH1493,"")</f>
        <v>0.1</v>
      </c>
      <c r="AN1493" s="36">
        <f>IF(E1493=1,AJ1493/AH1493,"")</f>
        <v>0.286363636363636</v>
      </c>
      <c r="AO1493" s="36">
        <f>IF(E1493=1,AK1493/AH1493,"")</f>
        <v>0.609090909090909</v>
      </c>
      <c r="AP1493" s="34">
        <f>IF(E1493=1,Orders!Y1490,"")</f>
        <v>0.72</v>
      </c>
      <c r="AQ1493" s="33">
        <f>IF(Orders!X1490,1,0)</f>
        <v>0</v>
      </c>
      <c r="AR1493" s="34" t="str">
        <f>IF(AND(E1493=1,L1493=1),AJ1493,"")</f>
        <v/>
      </c>
      <c r="AS1493" s="34">
        <f>IF(AND(E1493=1,L1493=0),AJ1493,"")</f>
        <v>6.3</v>
      </c>
      <c r="AT1493" s="34" t="str">
        <f>IF(AND(E1493=1,L1493=1),AI1493,"")</f>
        <v/>
      </c>
      <c r="AU1493" s="34">
        <f>IF(AND(E1493=1,L1493=0),AI1493,"")</f>
        <v>2.2</v>
      </c>
      <c r="AV1493" s="34" t="str">
        <f>IF(AND(E1493=1,L1493=1),AG1493,"")</f>
        <v/>
      </c>
      <c r="AW1493" s="34">
        <f>IF(AND(E1493=1,L1493=0),AG1493,"")</f>
        <v>12.9</v>
      </c>
      <c r="AX1493" s="34" t="str">
        <f>IF(AND(E1493=1,L1493=1),AH1493,"")</f>
        <v/>
      </c>
      <c r="AY1493" s="34">
        <f>IF(AND(E1493=1,L1493=0),AH1493,"")</f>
        <v>22</v>
      </c>
      <c r="AZ1493" s="34">
        <f>IF(G1493=1,F1493,"")</f>
        <v>9.1</v>
      </c>
      <c r="BA1493" s="34" t="str">
        <f>IF(AND(G1493=1,L1493=1),F1493,"")</f>
        <v/>
      </c>
      <c r="BB1493" s="34">
        <f>IF(AND(G1493=1,L1493=0),F1493,"")</f>
        <v>9.1</v>
      </c>
      <c r="BC1493" s="33">
        <f>IF(E1493=1,IF(Orders!R1490&gt;3,1,0),"")</f>
        <v>1</v>
      </c>
      <c r="BD1493" s="33">
        <f>IF(E1493=1,IF(Orders!R1490&gt;7,1,0),"")</f>
        <v>1</v>
      </c>
      <c r="BE1493" s="32" t="str">
        <f>IF(E1493=1,IF(Orders!L1490&lt;=1.5,"Up to 1.5 km",IF(Orders!L1490&lt;=3,"1.5–3 km","Over 3 km")),"")</f>
        <v>Over 3 km</v>
      </c>
      <c r="BF1493" s="33">
        <f>IF(E1493=1,IF(ABS((Orders!G1490-Orders!F1490)*1440-Orders!R1490)&lt;0.06,1,0),"")</f>
        <v>1</v>
      </c>
      <c r="BG1493" s="33">
        <f>IF(ABS((Orders!F1490-Orders!E1490)*1440-Orders!P1490)&lt;0.06,1,0)</f>
        <v>1</v>
      </c>
      <c r="BH1493" s="33">
        <f>IF(E1493=1,IF(IF(Orders!S1490,1,0)=1-G1493,1,0),"")</f>
        <v>1</v>
      </c>
      <c r="BI1493" s="32" t="str">
        <f>INDEX(Stores!$B$2:$B$21,MATCH(B1493,Stores!$A$2:$A$21,0))</f>
        <v>Hyderabad</v>
      </c>
    </row>
    <row r="1494">
      <c r="A1494" s="32" t="str">
        <f>Orders!A1491</f>
        <v>O01490</v>
      </c>
      <c r="B1494" s="32" t="str">
        <f>Orders!C1491</f>
        <v>S020</v>
      </c>
      <c r="C1494" s="32" t="str">
        <f>Orders!B1491</f>
        <v>C0087</v>
      </c>
      <c r="D1494" s="32" t="str">
        <f>Orders!H1491</f>
        <v>Delivered</v>
      </c>
      <c r="E1494" s="33">
        <f>IF(Orders!H1491="Delivered",1,0)</f>
        <v>1</v>
      </c>
      <c r="F1494" s="34">
        <f>IF(E1494=1,Orders!R1491,"")</f>
        <v>-1.1</v>
      </c>
      <c r="G1494" s="33">
        <f>IF(E1494=1,IF(Orders!R1491&gt;0,1,0),"")</f>
        <v>0</v>
      </c>
      <c r="H1494" s="33">
        <f>IF(E1494=1,IF(Orders!R1491&gt;5,1,0),"")</f>
        <v>0</v>
      </c>
      <c r="I1494" s="32" t="str">
        <f>IF(E1494=1,"",IF(OR(Orders!T1491="Rider unavailable",Orders!T1491="Item unavailable"),"Company-caused","Unresolved"))</f>
        <v/>
      </c>
      <c r="J1494" s="33">
        <f>IF(OR(E1494=1,I1494="Company-caused"),1,0)</f>
        <v>1</v>
      </c>
      <c r="K1494" s="32" t="str">
        <f>IF(E1494=0,IF(I1494="Company-caused",IF(Orders!T1491="Rider unavailable","C1 Rider unavailable","C2 Item unavailable"),"Outside root: unresolved"),IF(G1494=0,"A On time",IF(H1494=1,IF(L1494=1,"B2a Severe, peak","B2b Severe, off-peak"),IF(L1494=1,"B1a Slight, peak","B1b Slight, off-peak"))))</f>
        <v>A On time</v>
      </c>
      <c r="L1494" s="33">
        <f>IF(AND(Orders!U1491&gt;=19,Orders!U1491&lt;22),1,0)</f>
        <v>0</v>
      </c>
      <c r="M1494" s="33">
        <f>IF(L1494=IF(Orders!V1491,1,0),1,0)</f>
        <v>1</v>
      </c>
      <c r="N1494" s="32" t="str">
        <f>IF(Orders!W1491="","None",Orders!W1491)</f>
        <v>Light</v>
      </c>
      <c r="O1494" s="35">
        <f>INT(Orders!E1491)</f>
        <v>46267.0</v>
      </c>
      <c r="P1494" s="33">
        <f>Orders!U1491</f>
        <v>15</v>
      </c>
      <c r="Q1494" s="33">
        <f>COUNTIFS(Demand!$A$2:$A$4481,B1494,Demand!$B$2:$B$4481,O1494,Demand!$C$2:$C$4481,P1494)</f>
        <v>1</v>
      </c>
      <c r="R1494" s="33">
        <f>IF(Q1494=1,SUMIFS(Demand!$E$2:$E$4481,Demand!$A$2:$A$4481,B1494,Demand!$B$2:$B$4481,O1494,Demand!$C$2:$C$4481,P1494),"")</f>
        <v>14</v>
      </c>
      <c r="S1494" s="33">
        <f>INDEX(Stores!$G$2:$G$21,MATCH(B1494,Stores!$A$2:$A$21,0))</f>
        <v>15</v>
      </c>
      <c r="T1494" s="34">
        <f>IF(R1494="","",R1494/S1494)</f>
        <v>0.933333333333333</v>
      </c>
      <c r="U1494" s="34">
        <f>IF(E1494=1,T1494,"")</f>
        <v>0.933333333333333</v>
      </c>
      <c r="V1494" s="34">
        <f>IF(AND(E1494=1,L1494=0),T1494,"")</f>
        <v>0.933333333333333</v>
      </c>
      <c r="W1494" s="33">
        <f>IF(U1494="","",IF(U1494&lt;=Breakdowns!$C$5,1,IF(U1494&lt;=Breakdowns!$C$6,2,IF(U1494&lt;=Breakdowns!$C$7,3,4))))</f>
        <v>2</v>
      </c>
      <c r="X1494" s="33">
        <f>IF(V1494="","",IF(V1494&lt;=Breakdowns!$D$5,1,IF(V1494&lt;=Breakdowns!$D$6,2,IF(V1494&lt;=Breakdowns!$D$7,3,4))))</f>
        <v>3</v>
      </c>
      <c r="Y1494" s="34">
        <f>INDEX(Stores!$F$2:$F$21,MATCH(B1494,Stores!$A$2:$A$21,0))</f>
        <v>5.74</v>
      </c>
      <c r="Z1494" s="33">
        <f>IF(Y1494&gt;Store_Summary!$M$2,1,0)</f>
        <v>1</v>
      </c>
      <c r="AA1494" s="33">
        <f>INDEX(Stores!$C$2:$C$21,MATCH(B1494,Stores!$A$2:$A$21,0))</f>
        <v>647</v>
      </c>
      <c r="AB1494" s="33">
        <f>IF(AA1494&lt;180,1,0)</f>
        <v>0</v>
      </c>
      <c r="AC1494" s="32" t="str">
        <f>IF(Orders!D1491="","",INDEX(Riders!$C$2:$C$81,MATCH(Orders!D1491,Riders!$A$2:$A$81,0)))</f>
        <v>Petrol scooter</v>
      </c>
      <c r="AD1494" s="33">
        <f>IF(Orders!D1491="","",INDEX(Riders!$D$2:$D$81,MATCH(Orders!D1491,Riders!$A$2:$A$81,0)))</f>
        <v>35</v>
      </c>
      <c r="AE1494" s="33">
        <f>IF(Orders!D1491="","",IF(INDEX(Riders!$B$2:$B$81,MATCH(Orders!D1491,Riders!$A$2:$A$81,0))=B1494,1,0))</f>
        <v>0</v>
      </c>
      <c r="AF1494" s="34">
        <f>IF(E1494=1,Orders!L1491,"")</f>
        <v>1.32</v>
      </c>
      <c r="AG1494" s="34">
        <f>IF(E1494=1,Orders!P1491,"")</f>
        <v>11.1</v>
      </c>
      <c r="AH1494" s="34">
        <f>IF(E1494=1,Orders!Q1491,"")</f>
        <v>10</v>
      </c>
      <c r="AI1494" s="34">
        <f>IF(E1494=1,Orders!M1491,"")</f>
        <v>4.6</v>
      </c>
      <c r="AJ1494" s="34">
        <f>IF(E1494=1,Orders!N1491,"")</f>
        <v>2.9</v>
      </c>
      <c r="AK1494" s="34">
        <f>IF(E1494=1,Orders!O1491,"")</f>
        <v>2.5</v>
      </c>
      <c r="AL1494" s="33">
        <f>IF(E1494=1,IF(ROUND(ABS(AI1494+AJ1494+AK1494-AH1494),6)&lt;=0.1,1,0),"")</f>
        <v>1</v>
      </c>
      <c r="AM1494" s="36">
        <f>IF(E1494=1,AI1494/AH1494,"")</f>
        <v>0.46</v>
      </c>
      <c r="AN1494" s="36">
        <f>IF(E1494=1,AJ1494/AH1494,"")</f>
        <v>0.29</v>
      </c>
      <c r="AO1494" s="36">
        <f>IF(E1494=1,AK1494/AH1494,"")</f>
        <v>0.25</v>
      </c>
      <c r="AP1494" s="34">
        <f>IF(E1494=1,Orders!Y1491,"")</f>
        <v>0.25</v>
      </c>
      <c r="AQ1494" s="33">
        <f>IF(Orders!X1491,1,0)</f>
        <v>0</v>
      </c>
      <c r="AR1494" s="34" t="str">
        <f>IF(AND(E1494=1,L1494=1),AJ1494,"")</f>
        <v/>
      </c>
      <c r="AS1494" s="34">
        <f>IF(AND(E1494=1,L1494=0),AJ1494,"")</f>
        <v>2.9</v>
      </c>
      <c r="AT1494" s="34" t="str">
        <f>IF(AND(E1494=1,L1494=1),AI1494,"")</f>
        <v/>
      </c>
      <c r="AU1494" s="34">
        <f>IF(AND(E1494=1,L1494=0),AI1494,"")</f>
        <v>4.6</v>
      </c>
      <c r="AV1494" s="34" t="str">
        <f>IF(AND(E1494=1,L1494=1),AG1494,"")</f>
        <v/>
      </c>
      <c r="AW1494" s="34">
        <f>IF(AND(E1494=1,L1494=0),AG1494,"")</f>
        <v>11.1</v>
      </c>
      <c r="AX1494" s="34" t="str">
        <f>IF(AND(E1494=1,L1494=1),AH1494,"")</f>
        <v/>
      </c>
      <c r="AY1494" s="34">
        <f>IF(AND(E1494=1,L1494=0),AH1494,"")</f>
        <v>10</v>
      </c>
      <c r="AZ1494" s="34" t="str">
        <f>IF(G1494=1,F1494,"")</f>
        <v/>
      </c>
      <c r="BA1494" s="34" t="str">
        <f>IF(AND(G1494=1,L1494=1),F1494,"")</f>
        <v/>
      </c>
      <c r="BB1494" s="34" t="str">
        <f>IF(AND(G1494=1,L1494=0),F1494,"")</f>
        <v/>
      </c>
      <c r="BC1494" s="33">
        <f>IF(E1494=1,IF(Orders!R1491&gt;3,1,0),"")</f>
        <v>0</v>
      </c>
      <c r="BD1494" s="33">
        <f>IF(E1494=1,IF(Orders!R1491&gt;7,1,0),"")</f>
        <v>0</v>
      </c>
      <c r="BE1494" s="32" t="str">
        <f>IF(E1494=1,IF(Orders!L1491&lt;=1.5,"Up to 1.5 km",IF(Orders!L1491&lt;=3,"1.5–3 km","Over 3 km")),"")</f>
        <v>Up to 1.5 km</v>
      </c>
      <c r="BF1494" s="33">
        <f>IF(E1494=1,IF(ABS((Orders!G1491-Orders!F1491)*1440-Orders!R1491)&lt;0.06,1,0),"")</f>
        <v>1</v>
      </c>
      <c r="BG1494" s="33">
        <f>IF(ABS((Orders!F1491-Orders!E1491)*1440-Orders!P1491)&lt;0.06,1,0)</f>
        <v>1</v>
      </c>
      <c r="BH1494" s="33">
        <f>IF(E1494=1,IF(IF(Orders!S1491,1,0)=1-G1494,1,0),"")</f>
        <v>1</v>
      </c>
      <c r="BI1494" s="32" t="str">
        <f>INDEX(Stores!$B$2:$B$21,MATCH(B1494,Stores!$A$2:$A$21,0))</f>
        <v>Delhi</v>
      </c>
    </row>
    <row r="1495">
      <c r="A1495" s="32" t="str">
        <f>Orders!A1492</f>
        <v>O01491</v>
      </c>
      <c r="B1495" s="32" t="str">
        <f>Orders!C1492</f>
        <v>S002</v>
      </c>
      <c r="C1495" s="32" t="str">
        <f>Orders!B1492</f>
        <v>C0182</v>
      </c>
      <c r="D1495" s="32" t="str">
        <f>Orders!H1492</f>
        <v>Delivered</v>
      </c>
      <c r="E1495" s="33">
        <f>IF(Orders!H1492="Delivered",1,0)</f>
        <v>1</v>
      </c>
      <c r="F1495" s="34">
        <f>IF(E1495=1,Orders!R1492,"")</f>
        <v>-0.9</v>
      </c>
      <c r="G1495" s="33">
        <f>IF(E1495=1,IF(Orders!R1492&gt;0,1,0),"")</f>
        <v>0</v>
      </c>
      <c r="H1495" s="33">
        <f>IF(E1495=1,IF(Orders!R1492&gt;5,1,0),"")</f>
        <v>0</v>
      </c>
      <c r="I1495" s="32" t="str">
        <f>IF(E1495=1,"",IF(OR(Orders!T1492="Rider unavailable",Orders!T1492="Item unavailable"),"Company-caused","Unresolved"))</f>
        <v/>
      </c>
      <c r="J1495" s="33">
        <f>IF(OR(E1495=1,I1495="Company-caused"),1,0)</f>
        <v>1</v>
      </c>
      <c r="K1495" s="32" t="str">
        <f>IF(E1495=0,IF(I1495="Company-caused",IF(Orders!T1492="Rider unavailable","C1 Rider unavailable","C2 Item unavailable"),"Outside root: unresolved"),IF(G1495=0,"A On time",IF(H1495=1,IF(L1495=1,"B2a Severe, peak","B2b Severe, off-peak"),IF(L1495=1,"B1a Slight, peak","B1b Slight, off-peak"))))</f>
        <v>A On time</v>
      </c>
      <c r="L1495" s="33">
        <f>IF(AND(Orders!U1492&gt;=19,Orders!U1492&lt;22),1,0)</f>
        <v>0</v>
      </c>
      <c r="M1495" s="33">
        <f>IF(L1495=IF(Orders!V1492,1,0),1,0)</f>
        <v>1</v>
      </c>
      <c r="N1495" s="32" t="str">
        <f>IF(Orders!W1492="","None",Orders!W1492)</f>
        <v>None</v>
      </c>
      <c r="O1495" s="35">
        <f>INT(Orders!E1492)</f>
        <v>46269.0</v>
      </c>
      <c r="P1495" s="33">
        <f>Orders!U1492</f>
        <v>13</v>
      </c>
      <c r="Q1495" s="33">
        <f>COUNTIFS(Demand!$A$2:$A$4481,B1495,Demand!$B$2:$B$4481,O1495,Demand!$C$2:$C$4481,P1495)</f>
        <v>1</v>
      </c>
      <c r="R1495" s="33">
        <f>IF(Q1495=1,SUMIFS(Demand!$E$2:$E$4481,Demand!$A$2:$A$4481,B1495,Demand!$B$2:$B$4481,O1495,Demand!$C$2:$C$4481,P1495),"")</f>
        <v>34</v>
      </c>
      <c r="S1495" s="33">
        <f>INDEX(Stores!$G$2:$G$21,MATCH(B1495,Stores!$A$2:$A$21,0))</f>
        <v>33</v>
      </c>
      <c r="T1495" s="34">
        <f>IF(R1495="","",R1495/S1495)</f>
        <v>1.03030303030303</v>
      </c>
      <c r="U1495" s="34">
        <f>IF(E1495=1,T1495,"")</f>
        <v>1.03030303030303</v>
      </c>
      <c r="V1495" s="34">
        <f>IF(AND(E1495=1,L1495=0),T1495,"")</f>
        <v>1.03030303030303</v>
      </c>
      <c r="W1495" s="33">
        <f>IF(U1495="","",IF(U1495&lt;=Breakdowns!$C$5,1,IF(U1495&lt;=Breakdowns!$C$6,2,IF(U1495&lt;=Breakdowns!$C$7,3,4))))</f>
        <v>3</v>
      </c>
      <c r="X1495" s="33">
        <f>IF(V1495="","",IF(V1495&lt;=Breakdowns!$D$5,1,IF(V1495&lt;=Breakdowns!$D$6,2,IF(V1495&lt;=Breakdowns!$D$7,3,4))))</f>
        <v>3</v>
      </c>
      <c r="Y1495" s="34">
        <f>INDEX(Stores!$F$2:$F$21,MATCH(B1495,Stores!$A$2:$A$21,0))</f>
        <v>2.39</v>
      </c>
      <c r="Z1495" s="33">
        <f>IF(Y1495&gt;Store_Summary!$M$2,1,0)</f>
        <v>0</v>
      </c>
      <c r="AA1495" s="33">
        <f>INDEX(Stores!$C$2:$C$21,MATCH(B1495,Stores!$A$2:$A$21,0))</f>
        <v>470</v>
      </c>
      <c r="AB1495" s="33">
        <f>IF(AA1495&lt;180,1,0)</f>
        <v>0</v>
      </c>
      <c r="AC1495" s="32" t="str">
        <f>IF(Orders!D1492="","",INDEX(Riders!$C$2:$C$81,MATCH(Orders!D1492,Riders!$A$2:$A$81,0)))</f>
        <v>Petrol scooter</v>
      </c>
      <c r="AD1495" s="33">
        <f>IF(Orders!D1492="","",INDEX(Riders!$D$2:$D$81,MATCH(Orders!D1492,Riders!$A$2:$A$81,0)))</f>
        <v>35</v>
      </c>
      <c r="AE1495" s="33">
        <f>IF(Orders!D1492="","",IF(INDEX(Riders!$B$2:$B$81,MATCH(Orders!D1492,Riders!$A$2:$A$81,0))=B1495,1,0))</f>
        <v>0</v>
      </c>
      <c r="AF1495" s="34">
        <f>IF(E1495=1,Orders!L1492,"")</f>
        <v>0.78</v>
      </c>
      <c r="AG1495" s="34">
        <f>IF(E1495=1,Orders!P1492,"")</f>
        <v>8.5</v>
      </c>
      <c r="AH1495" s="34">
        <f>IF(E1495=1,Orders!Q1492,"")</f>
        <v>7.6</v>
      </c>
      <c r="AI1495" s="34">
        <f>IF(E1495=1,Orders!M1492,"")</f>
        <v>2.8</v>
      </c>
      <c r="AJ1495" s="34">
        <f>IF(E1495=1,Orders!N1492,"")</f>
        <v>3.3</v>
      </c>
      <c r="AK1495" s="34">
        <f>IF(E1495=1,Orders!O1492,"")</f>
        <v>1.5</v>
      </c>
      <c r="AL1495" s="33">
        <f>IF(E1495=1,IF(ROUND(ABS(AI1495+AJ1495+AK1495-AH1495),6)&lt;=0.1,1,0),"")</f>
        <v>1</v>
      </c>
      <c r="AM1495" s="36">
        <f>IF(E1495=1,AI1495/AH1495,"")</f>
        <v>0.368421052631579</v>
      </c>
      <c r="AN1495" s="36">
        <f>IF(E1495=1,AJ1495/AH1495,"")</f>
        <v>0.43421052631579</v>
      </c>
      <c r="AO1495" s="36">
        <f>IF(E1495=1,AK1495/AH1495,"")</f>
        <v>0.197368421052632</v>
      </c>
      <c r="AP1495" s="34">
        <f>IF(E1495=1,Orders!Y1492,"")</f>
        <v>0.21</v>
      </c>
      <c r="AQ1495" s="33">
        <f>IF(Orders!X1492,1,0)</f>
        <v>0</v>
      </c>
      <c r="AR1495" s="34" t="str">
        <f>IF(AND(E1495=1,L1495=1),AJ1495,"")</f>
        <v/>
      </c>
      <c r="AS1495" s="34">
        <f>IF(AND(E1495=1,L1495=0),AJ1495,"")</f>
        <v>3.3</v>
      </c>
      <c r="AT1495" s="34" t="str">
        <f>IF(AND(E1495=1,L1495=1),AI1495,"")</f>
        <v/>
      </c>
      <c r="AU1495" s="34">
        <f>IF(AND(E1495=1,L1495=0),AI1495,"")</f>
        <v>2.8</v>
      </c>
      <c r="AV1495" s="34" t="str">
        <f>IF(AND(E1495=1,L1495=1),AG1495,"")</f>
        <v/>
      </c>
      <c r="AW1495" s="34">
        <f>IF(AND(E1495=1,L1495=0),AG1495,"")</f>
        <v>8.5</v>
      </c>
      <c r="AX1495" s="34" t="str">
        <f>IF(AND(E1495=1,L1495=1),AH1495,"")</f>
        <v/>
      </c>
      <c r="AY1495" s="34">
        <f>IF(AND(E1495=1,L1495=0),AH1495,"")</f>
        <v>7.6</v>
      </c>
      <c r="AZ1495" s="34" t="str">
        <f>IF(G1495=1,F1495,"")</f>
        <v/>
      </c>
      <c r="BA1495" s="34" t="str">
        <f>IF(AND(G1495=1,L1495=1),F1495,"")</f>
        <v/>
      </c>
      <c r="BB1495" s="34" t="str">
        <f>IF(AND(G1495=1,L1495=0),F1495,"")</f>
        <v/>
      </c>
      <c r="BC1495" s="33">
        <f>IF(E1495=1,IF(Orders!R1492&gt;3,1,0),"")</f>
        <v>0</v>
      </c>
      <c r="BD1495" s="33">
        <f>IF(E1495=1,IF(Orders!R1492&gt;7,1,0),"")</f>
        <v>0</v>
      </c>
      <c r="BE1495" s="32" t="str">
        <f>IF(E1495=1,IF(Orders!L1492&lt;=1.5,"Up to 1.5 km",IF(Orders!L1492&lt;=3,"1.5–3 km","Over 3 km")),"")</f>
        <v>Up to 1.5 km</v>
      </c>
      <c r="BF1495" s="33">
        <f>IF(E1495=1,IF(ABS((Orders!G1492-Orders!F1492)*1440-Orders!R1492)&lt;0.06,1,0),"")</f>
        <v>1</v>
      </c>
      <c r="BG1495" s="33">
        <f>IF(ABS((Orders!F1492-Orders!E1492)*1440-Orders!P1492)&lt;0.06,1,0)</f>
        <v>1</v>
      </c>
      <c r="BH1495" s="33">
        <f>IF(E1495=1,IF(IF(Orders!S1492,1,0)=1-G1495,1,0),"")</f>
        <v>1</v>
      </c>
      <c r="BI1495" s="32" t="str">
        <f>INDEX(Stores!$B$2:$B$21,MATCH(B1495,Stores!$A$2:$A$21,0))</f>
        <v>Hyderabad</v>
      </c>
    </row>
    <row r="1496">
      <c r="A1496" s="32" t="str">
        <f>Orders!A1493</f>
        <v>O01492</v>
      </c>
      <c r="B1496" s="32" t="str">
        <f>Orders!C1493</f>
        <v>S005</v>
      </c>
      <c r="C1496" s="32" t="str">
        <f>Orders!B1493</f>
        <v>C0070</v>
      </c>
      <c r="D1496" s="32" t="str">
        <f>Orders!H1493</f>
        <v>Delivered</v>
      </c>
      <c r="E1496" s="33">
        <f>IF(Orders!H1493="Delivered",1,0)</f>
        <v>1</v>
      </c>
      <c r="F1496" s="34">
        <f>IF(E1496=1,Orders!R1493,"")</f>
        <v>4.7</v>
      </c>
      <c r="G1496" s="33">
        <f>IF(E1496=1,IF(Orders!R1493&gt;0,1,0),"")</f>
        <v>1</v>
      </c>
      <c r="H1496" s="33">
        <f>IF(E1496=1,IF(Orders!R1493&gt;5,1,0),"")</f>
        <v>0</v>
      </c>
      <c r="I1496" s="32" t="str">
        <f>IF(E1496=1,"",IF(OR(Orders!T1493="Rider unavailable",Orders!T1493="Item unavailable"),"Company-caused","Unresolved"))</f>
        <v/>
      </c>
      <c r="J1496" s="33">
        <f>IF(OR(E1496=1,I1496="Company-caused"),1,0)</f>
        <v>1</v>
      </c>
      <c r="K1496" s="32" t="str">
        <f>IF(E1496=0,IF(I1496="Company-caused",IF(Orders!T1493="Rider unavailable","C1 Rider unavailable","C2 Item unavailable"),"Outside root: unresolved"),IF(G1496=0,"A On time",IF(H1496=1,IF(L1496=1,"B2a Severe, peak","B2b Severe, off-peak"),IF(L1496=1,"B1a Slight, peak","B1b Slight, off-peak"))))</f>
        <v>B1b Slight, off-peak</v>
      </c>
      <c r="L1496" s="33">
        <f>IF(AND(Orders!U1493&gt;=19,Orders!U1493&lt;22),1,0)</f>
        <v>0</v>
      </c>
      <c r="M1496" s="33">
        <f>IF(L1496=IF(Orders!V1493,1,0),1,0)</f>
        <v>1</v>
      </c>
      <c r="N1496" s="32" t="str">
        <f>IF(Orders!W1493="","None",Orders!W1493)</f>
        <v>None</v>
      </c>
      <c r="O1496" s="35">
        <f>INT(Orders!E1493)</f>
        <v>46273.0</v>
      </c>
      <c r="P1496" s="33">
        <f>Orders!U1493</f>
        <v>18</v>
      </c>
      <c r="Q1496" s="33">
        <f>COUNTIFS(Demand!$A$2:$A$4481,B1496,Demand!$B$2:$B$4481,O1496,Demand!$C$2:$C$4481,P1496)</f>
        <v>1</v>
      </c>
      <c r="R1496" s="33">
        <f>IF(Q1496=1,SUMIFS(Demand!$E$2:$E$4481,Demand!$A$2:$A$4481,B1496,Demand!$B$2:$B$4481,O1496,Demand!$C$2:$C$4481,P1496),"")</f>
        <v>13</v>
      </c>
      <c r="S1496" s="33">
        <f>INDEX(Stores!$G$2:$G$21,MATCH(B1496,Stores!$A$2:$A$21,0))</f>
        <v>14</v>
      </c>
      <c r="T1496" s="34">
        <f>IF(R1496="","",R1496/S1496)</f>
        <v>0.928571428571429</v>
      </c>
      <c r="U1496" s="34">
        <f>IF(E1496=1,T1496,"")</f>
        <v>0.928571428571429</v>
      </c>
      <c r="V1496" s="34">
        <f>IF(AND(E1496=1,L1496=0),T1496,"")</f>
        <v>0.928571428571429</v>
      </c>
      <c r="W1496" s="33">
        <f>IF(U1496="","",IF(U1496&lt;=Breakdowns!$C$5,1,IF(U1496&lt;=Breakdowns!$C$6,2,IF(U1496&lt;=Breakdowns!$C$7,3,4))))</f>
        <v>2</v>
      </c>
      <c r="X1496" s="33">
        <f>IF(V1496="","",IF(V1496&lt;=Breakdowns!$D$5,1,IF(V1496&lt;=Breakdowns!$D$6,2,IF(V1496&lt;=Breakdowns!$D$7,3,4))))</f>
        <v>3</v>
      </c>
      <c r="Y1496" s="34">
        <f>INDEX(Stores!$F$2:$F$21,MATCH(B1496,Stores!$A$2:$A$21,0))</f>
        <v>4.89</v>
      </c>
      <c r="Z1496" s="33">
        <f>IF(Y1496&gt;Store_Summary!$M$2,1,0)</f>
        <v>0</v>
      </c>
      <c r="AA1496" s="33">
        <f>INDEX(Stores!$C$2:$C$21,MATCH(B1496,Stores!$A$2:$A$21,0))</f>
        <v>138</v>
      </c>
      <c r="AB1496" s="33">
        <f>IF(AA1496&lt;180,1,0)</f>
        <v>1</v>
      </c>
      <c r="AC1496" s="32" t="str">
        <f>IF(Orders!D1493="","",INDEX(Riders!$C$2:$C$81,MATCH(Orders!D1493,Riders!$A$2:$A$81,0)))</f>
        <v>EV scooter</v>
      </c>
      <c r="AD1496" s="33">
        <f>IF(Orders!D1493="","",INDEX(Riders!$D$2:$D$81,MATCH(Orders!D1493,Riders!$A$2:$A$81,0)))</f>
        <v>4</v>
      </c>
      <c r="AE1496" s="33">
        <f>IF(Orders!D1493="","",IF(INDEX(Riders!$B$2:$B$81,MATCH(Orders!D1493,Riders!$A$2:$A$81,0))=B1496,1,0))</f>
        <v>0</v>
      </c>
      <c r="AF1496" s="34">
        <f>IF(E1496=1,Orders!L1493,"")</f>
        <v>1.97</v>
      </c>
      <c r="AG1496" s="34">
        <f>IF(E1496=1,Orders!P1493,"")</f>
        <v>10.5</v>
      </c>
      <c r="AH1496" s="34">
        <f>IF(E1496=1,Orders!Q1493,"")</f>
        <v>15.2</v>
      </c>
      <c r="AI1496" s="34">
        <f>IF(E1496=1,Orders!M1493,"")</f>
        <v>4.8</v>
      </c>
      <c r="AJ1496" s="34">
        <f>IF(E1496=1,Orders!N1493,"")</f>
        <v>4.3</v>
      </c>
      <c r="AK1496" s="34">
        <f>IF(E1496=1,Orders!O1493,"")</f>
        <v>6</v>
      </c>
      <c r="AL1496" s="33">
        <f>IF(E1496=1,IF(ROUND(ABS(AI1496+AJ1496+AK1496-AH1496),6)&lt;=0.1,1,0),"")</f>
        <v>1</v>
      </c>
      <c r="AM1496" s="36">
        <f>IF(E1496=1,AI1496/AH1496,"")</f>
        <v>0.315789473684211</v>
      </c>
      <c r="AN1496" s="36">
        <f>IF(E1496=1,AJ1496/AH1496,"")</f>
        <v>0.282894736842105</v>
      </c>
      <c r="AO1496" s="36">
        <f>IF(E1496=1,AK1496/AH1496,"")</f>
        <v>0.394736842105263</v>
      </c>
      <c r="AP1496" s="34">
        <f>IF(E1496=1,Orders!Y1493,"")</f>
        <v>0.88</v>
      </c>
      <c r="AQ1496" s="33">
        <f>IF(Orders!X1493,1,0)</f>
        <v>0</v>
      </c>
      <c r="AR1496" s="34" t="str">
        <f>IF(AND(E1496=1,L1496=1),AJ1496,"")</f>
        <v/>
      </c>
      <c r="AS1496" s="34">
        <f>IF(AND(E1496=1,L1496=0),AJ1496,"")</f>
        <v>4.3</v>
      </c>
      <c r="AT1496" s="34" t="str">
        <f>IF(AND(E1496=1,L1496=1),AI1496,"")</f>
        <v/>
      </c>
      <c r="AU1496" s="34">
        <f>IF(AND(E1496=1,L1496=0),AI1496,"")</f>
        <v>4.8</v>
      </c>
      <c r="AV1496" s="34" t="str">
        <f>IF(AND(E1496=1,L1496=1),AG1496,"")</f>
        <v/>
      </c>
      <c r="AW1496" s="34">
        <f>IF(AND(E1496=1,L1496=0),AG1496,"")</f>
        <v>10.5</v>
      </c>
      <c r="AX1496" s="34" t="str">
        <f>IF(AND(E1496=1,L1496=1),AH1496,"")</f>
        <v/>
      </c>
      <c r="AY1496" s="34">
        <f>IF(AND(E1496=1,L1496=0),AH1496,"")</f>
        <v>15.2</v>
      </c>
      <c r="AZ1496" s="34">
        <f>IF(G1496=1,F1496,"")</f>
        <v>4.7</v>
      </c>
      <c r="BA1496" s="34" t="str">
        <f>IF(AND(G1496=1,L1496=1),F1496,"")</f>
        <v/>
      </c>
      <c r="BB1496" s="34">
        <f>IF(AND(G1496=1,L1496=0),F1496,"")</f>
        <v>4.7</v>
      </c>
      <c r="BC1496" s="33">
        <f>IF(E1496=1,IF(Orders!R1493&gt;3,1,0),"")</f>
        <v>1</v>
      </c>
      <c r="BD1496" s="33">
        <f>IF(E1496=1,IF(Orders!R1493&gt;7,1,0),"")</f>
        <v>0</v>
      </c>
      <c r="BE1496" s="32" t="str">
        <f>IF(E1496=1,IF(Orders!L1493&lt;=1.5,"Up to 1.5 km",IF(Orders!L1493&lt;=3,"1.5–3 km","Over 3 km")),"")</f>
        <v>1.5–3 km</v>
      </c>
      <c r="BF1496" s="33">
        <f>IF(E1496=1,IF(ABS((Orders!G1493-Orders!F1493)*1440-Orders!R1493)&lt;0.06,1,0),"")</f>
        <v>1</v>
      </c>
      <c r="BG1496" s="33">
        <f>IF(ABS((Orders!F1493-Orders!E1493)*1440-Orders!P1493)&lt;0.06,1,0)</f>
        <v>1</v>
      </c>
      <c r="BH1496" s="33">
        <f>IF(E1496=1,IF(IF(Orders!S1493,1,0)=1-G1496,1,0),"")</f>
        <v>1</v>
      </c>
      <c r="BI1496" s="32" t="str">
        <f>INDEX(Stores!$B$2:$B$21,MATCH(B1496,Stores!$A$2:$A$21,0))</f>
        <v>Delhi</v>
      </c>
    </row>
    <row r="1497">
      <c r="A1497" s="32" t="str">
        <f>Orders!A1494</f>
        <v>O01493</v>
      </c>
      <c r="B1497" s="32" t="str">
        <f>Orders!C1494</f>
        <v>S001</v>
      </c>
      <c r="C1497" s="32" t="str">
        <f>Orders!B1494</f>
        <v>C0204</v>
      </c>
      <c r="D1497" s="32" t="str">
        <f>Orders!H1494</f>
        <v>Delivered</v>
      </c>
      <c r="E1497" s="33">
        <f>IF(Orders!H1494="Delivered",1,0)</f>
        <v>1</v>
      </c>
      <c r="F1497" s="34">
        <f>IF(E1497=1,Orders!R1494,"")</f>
        <v>-1.1</v>
      </c>
      <c r="G1497" s="33">
        <f>IF(E1497=1,IF(Orders!R1494&gt;0,1,0),"")</f>
        <v>0</v>
      </c>
      <c r="H1497" s="33">
        <f>IF(E1497=1,IF(Orders!R1494&gt;5,1,0),"")</f>
        <v>0</v>
      </c>
      <c r="I1497" s="32" t="str">
        <f>IF(E1497=1,"",IF(OR(Orders!T1494="Rider unavailable",Orders!T1494="Item unavailable"),"Company-caused","Unresolved"))</f>
        <v/>
      </c>
      <c r="J1497" s="33">
        <f>IF(OR(E1497=1,I1497="Company-caused"),1,0)</f>
        <v>1</v>
      </c>
      <c r="K1497" s="32" t="str">
        <f>IF(E1497=0,IF(I1497="Company-caused",IF(Orders!T1494="Rider unavailable","C1 Rider unavailable","C2 Item unavailable"),"Outside root: unresolved"),IF(G1497=0,"A On time",IF(H1497=1,IF(L1497=1,"B2a Severe, peak","B2b Severe, off-peak"),IF(L1497=1,"B1a Slight, peak","B1b Slight, off-peak"))))</f>
        <v>A On time</v>
      </c>
      <c r="L1497" s="33">
        <f>IF(AND(Orders!U1494&gt;=19,Orders!U1494&lt;22),1,0)</f>
        <v>0</v>
      </c>
      <c r="M1497" s="33">
        <f>IF(L1497=IF(Orders!V1494,1,0),1,0)</f>
        <v>1</v>
      </c>
      <c r="N1497" s="32" t="str">
        <f>IF(Orders!W1494="","None",Orders!W1494)</f>
        <v>Light</v>
      </c>
      <c r="O1497" s="35">
        <f>INT(Orders!E1494)</f>
        <v>46270.0</v>
      </c>
      <c r="P1497" s="33">
        <f>Orders!U1494</f>
        <v>13</v>
      </c>
      <c r="Q1497" s="33">
        <f>COUNTIFS(Demand!$A$2:$A$4481,B1497,Demand!$B$2:$B$4481,O1497,Demand!$C$2:$C$4481,P1497)</f>
        <v>1</v>
      </c>
      <c r="R1497" s="33">
        <f>IF(Q1497=1,SUMIFS(Demand!$E$2:$E$4481,Demand!$A$2:$A$4481,B1497,Demand!$B$2:$B$4481,O1497,Demand!$C$2:$C$4481,P1497),"")</f>
        <v>14</v>
      </c>
      <c r="S1497" s="33">
        <f>INDEX(Stores!$G$2:$G$21,MATCH(B1497,Stores!$A$2:$A$21,0))</f>
        <v>16</v>
      </c>
      <c r="T1497" s="34">
        <f>IF(R1497="","",R1497/S1497)</f>
        <v>0.875</v>
      </c>
      <c r="U1497" s="34">
        <f>IF(E1497=1,T1497,"")</f>
        <v>0.875</v>
      </c>
      <c r="V1497" s="34">
        <f>IF(AND(E1497=1,L1497=0),T1497,"")</f>
        <v>0.875</v>
      </c>
      <c r="W1497" s="33">
        <f>IF(U1497="","",IF(U1497&lt;=Breakdowns!$C$5,1,IF(U1497&lt;=Breakdowns!$C$6,2,IF(U1497&lt;=Breakdowns!$C$7,3,4))))</f>
        <v>2</v>
      </c>
      <c r="X1497" s="33">
        <f>IF(V1497="","",IF(V1497&lt;=Breakdowns!$D$5,1,IF(V1497&lt;=Breakdowns!$D$6,2,IF(V1497&lt;=Breakdowns!$D$7,3,4))))</f>
        <v>2</v>
      </c>
      <c r="Y1497" s="34">
        <f>INDEX(Stores!$F$2:$F$21,MATCH(B1497,Stores!$A$2:$A$21,0))</f>
        <v>4.59</v>
      </c>
      <c r="Z1497" s="33">
        <f>IF(Y1497&gt;Store_Summary!$M$2,1,0)</f>
        <v>0</v>
      </c>
      <c r="AA1497" s="33">
        <f>INDEX(Stores!$C$2:$C$21,MATCH(B1497,Stores!$A$2:$A$21,0))</f>
        <v>362</v>
      </c>
      <c r="AB1497" s="33">
        <f>IF(AA1497&lt;180,1,0)</f>
        <v>0</v>
      </c>
      <c r="AC1497" s="32" t="str">
        <f>IF(Orders!D1494="","",INDEX(Riders!$C$2:$C$81,MATCH(Orders!D1494,Riders!$A$2:$A$81,0)))</f>
        <v>EV scooter</v>
      </c>
      <c r="AD1497" s="33">
        <f>IF(Orders!D1494="","",INDEX(Riders!$D$2:$D$81,MATCH(Orders!D1494,Riders!$A$2:$A$81,0)))</f>
        <v>27</v>
      </c>
      <c r="AE1497" s="33">
        <f>IF(Orders!D1494="","",IF(INDEX(Riders!$B$2:$B$81,MATCH(Orders!D1494,Riders!$A$2:$A$81,0))=B1497,1,0))</f>
        <v>0</v>
      </c>
      <c r="AF1497" s="34">
        <f>IF(E1497=1,Orders!L1494,"")</f>
        <v>0.87</v>
      </c>
      <c r="AG1497" s="34">
        <f>IF(E1497=1,Orders!P1494,"")</f>
        <v>11.3</v>
      </c>
      <c r="AH1497" s="34">
        <f>IF(E1497=1,Orders!Q1494,"")</f>
        <v>10.2</v>
      </c>
      <c r="AI1497" s="34">
        <f>IF(E1497=1,Orders!M1494,"")</f>
        <v>3.7</v>
      </c>
      <c r="AJ1497" s="34">
        <f>IF(E1497=1,Orders!N1494,"")</f>
        <v>3.8</v>
      </c>
      <c r="AK1497" s="34">
        <f>IF(E1497=1,Orders!O1494,"")</f>
        <v>2.7</v>
      </c>
      <c r="AL1497" s="33">
        <f>IF(E1497=1,IF(ROUND(ABS(AI1497+AJ1497+AK1497-AH1497),6)&lt;=0.1,1,0),"")</f>
        <v>1</v>
      </c>
      <c r="AM1497" s="36">
        <f>IF(E1497=1,AI1497/AH1497,"")</f>
        <v>0.362745098039216</v>
      </c>
      <c r="AN1497" s="36">
        <f>IF(E1497=1,AJ1497/AH1497,"")</f>
        <v>0.372549019607843</v>
      </c>
      <c r="AO1497" s="36">
        <f>IF(E1497=1,AK1497/AH1497,"")</f>
        <v>0.264705882352941</v>
      </c>
      <c r="AP1497" s="34">
        <f>IF(E1497=1,Orders!Y1494,"")</f>
        <v>0.16</v>
      </c>
      <c r="AQ1497" s="33">
        <f>IF(Orders!X1494,1,0)</f>
        <v>0</v>
      </c>
      <c r="AR1497" s="34" t="str">
        <f>IF(AND(E1497=1,L1497=1),AJ1497,"")</f>
        <v/>
      </c>
      <c r="AS1497" s="34">
        <f>IF(AND(E1497=1,L1497=0),AJ1497,"")</f>
        <v>3.8</v>
      </c>
      <c r="AT1497" s="34" t="str">
        <f>IF(AND(E1497=1,L1497=1),AI1497,"")</f>
        <v/>
      </c>
      <c r="AU1497" s="34">
        <f>IF(AND(E1497=1,L1497=0),AI1497,"")</f>
        <v>3.7</v>
      </c>
      <c r="AV1497" s="34" t="str">
        <f>IF(AND(E1497=1,L1497=1),AG1497,"")</f>
        <v/>
      </c>
      <c r="AW1497" s="34">
        <f>IF(AND(E1497=1,L1497=0),AG1497,"")</f>
        <v>11.3</v>
      </c>
      <c r="AX1497" s="34" t="str">
        <f>IF(AND(E1497=1,L1497=1),AH1497,"")</f>
        <v/>
      </c>
      <c r="AY1497" s="34">
        <f>IF(AND(E1497=1,L1497=0),AH1497,"")</f>
        <v>10.2</v>
      </c>
      <c r="AZ1497" s="34" t="str">
        <f>IF(G1497=1,F1497,"")</f>
        <v/>
      </c>
      <c r="BA1497" s="34" t="str">
        <f>IF(AND(G1497=1,L1497=1),F1497,"")</f>
        <v/>
      </c>
      <c r="BB1497" s="34" t="str">
        <f>IF(AND(G1497=1,L1497=0),F1497,"")</f>
        <v/>
      </c>
      <c r="BC1497" s="33">
        <f>IF(E1497=1,IF(Orders!R1494&gt;3,1,0),"")</f>
        <v>0</v>
      </c>
      <c r="BD1497" s="33">
        <f>IF(E1497=1,IF(Orders!R1494&gt;7,1,0),"")</f>
        <v>0</v>
      </c>
      <c r="BE1497" s="32" t="str">
        <f>IF(E1497=1,IF(Orders!L1494&lt;=1.5,"Up to 1.5 km",IF(Orders!L1494&lt;=3,"1.5–3 km","Over 3 km")),"")</f>
        <v>Up to 1.5 km</v>
      </c>
      <c r="BF1497" s="33">
        <f>IF(E1497=1,IF(ABS((Orders!G1494-Orders!F1494)*1440-Orders!R1494)&lt;0.06,1,0),"")</f>
        <v>1</v>
      </c>
      <c r="BG1497" s="33">
        <f>IF(ABS((Orders!F1494-Orders!E1494)*1440-Orders!P1494)&lt;0.06,1,0)</f>
        <v>1</v>
      </c>
      <c r="BH1497" s="33">
        <f>IF(E1497=1,IF(IF(Orders!S1494,1,0)=1-G1497,1,0),"")</f>
        <v>1</v>
      </c>
      <c r="BI1497" s="32" t="str">
        <f>INDEX(Stores!$B$2:$B$21,MATCH(B1497,Stores!$A$2:$A$21,0))</f>
        <v>Bengaluru</v>
      </c>
    </row>
    <row r="1498">
      <c r="A1498" s="32" t="str">
        <f>Orders!A1495</f>
        <v>O01494</v>
      </c>
      <c r="B1498" s="32" t="str">
        <f>Orders!C1495</f>
        <v>S018</v>
      </c>
      <c r="C1498" s="32" t="str">
        <f>Orders!B1495</f>
        <v>C0230</v>
      </c>
      <c r="D1498" s="32" t="str">
        <f>Orders!H1495</f>
        <v>Delivered</v>
      </c>
      <c r="E1498" s="33">
        <f>IF(Orders!H1495="Delivered",1,0)</f>
        <v>1</v>
      </c>
      <c r="F1498" s="34">
        <f>IF(E1498=1,Orders!R1495,"")</f>
        <v>-0.8</v>
      </c>
      <c r="G1498" s="33">
        <f>IF(E1498=1,IF(Orders!R1495&gt;0,1,0),"")</f>
        <v>0</v>
      </c>
      <c r="H1498" s="33">
        <f>IF(E1498=1,IF(Orders!R1495&gt;5,1,0),"")</f>
        <v>0</v>
      </c>
      <c r="I1498" s="32" t="str">
        <f>IF(E1498=1,"",IF(OR(Orders!T1495="Rider unavailable",Orders!T1495="Item unavailable"),"Company-caused","Unresolved"))</f>
        <v/>
      </c>
      <c r="J1498" s="33">
        <f>IF(OR(E1498=1,I1498="Company-caused"),1,0)</f>
        <v>1</v>
      </c>
      <c r="K1498" s="32" t="str">
        <f>IF(E1498=0,IF(I1498="Company-caused",IF(Orders!T1495="Rider unavailable","C1 Rider unavailable","C2 Item unavailable"),"Outside root: unresolved"),IF(G1498=0,"A On time",IF(H1498=1,IF(L1498=1,"B2a Severe, peak","B2b Severe, off-peak"),IF(L1498=1,"B1a Slight, peak","B1b Slight, off-peak"))))</f>
        <v>A On time</v>
      </c>
      <c r="L1498" s="33">
        <f>IF(AND(Orders!U1495&gt;=19,Orders!U1495&lt;22),1,0)</f>
        <v>0</v>
      </c>
      <c r="M1498" s="33">
        <f>IF(L1498=IF(Orders!V1495,1,0),1,0)</f>
        <v>1</v>
      </c>
      <c r="N1498" s="32" t="str">
        <f>IF(Orders!W1495="","None",Orders!W1495)</f>
        <v>Heavy</v>
      </c>
      <c r="O1498" s="35">
        <f>INT(Orders!E1495)</f>
        <v>46273.0</v>
      </c>
      <c r="P1498" s="33">
        <f>Orders!U1495</f>
        <v>22</v>
      </c>
      <c r="Q1498" s="33">
        <f>COUNTIFS(Demand!$A$2:$A$4481,B1498,Demand!$B$2:$B$4481,O1498,Demand!$C$2:$C$4481,P1498)</f>
        <v>1</v>
      </c>
      <c r="R1498" s="33">
        <f>IF(Q1498=1,SUMIFS(Demand!$E$2:$E$4481,Demand!$A$2:$A$4481,B1498,Demand!$B$2:$B$4481,O1498,Demand!$C$2:$C$4481,P1498),"")</f>
        <v>18</v>
      </c>
      <c r="S1498" s="33">
        <f>INDEX(Stores!$G$2:$G$21,MATCH(B1498,Stores!$A$2:$A$21,0))</f>
        <v>20</v>
      </c>
      <c r="T1498" s="34">
        <f>IF(R1498="","",R1498/S1498)</f>
        <v>0.9</v>
      </c>
      <c r="U1498" s="34">
        <f>IF(E1498=1,T1498,"")</f>
        <v>0.9</v>
      </c>
      <c r="V1498" s="34">
        <f>IF(AND(E1498=1,L1498=0),T1498,"")</f>
        <v>0.9</v>
      </c>
      <c r="W1498" s="33">
        <f>IF(U1498="","",IF(U1498&lt;=Breakdowns!$C$5,1,IF(U1498&lt;=Breakdowns!$C$6,2,IF(U1498&lt;=Breakdowns!$C$7,3,4))))</f>
        <v>2</v>
      </c>
      <c r="X1498" s="33">
        <f>IF(V1498="","",IF(V1498&lt;=Breakdowns!$D$5,1,IF(V1498&lt;=Breakdowns!$D$6,2,IF(V1498&lt;=Breakdowns!$D$7,3,4))))</f>
        <v>2</v>
      </c>
      <c r="Y1498" s="34">
        <f>INDEX(Stores!$F$2:$F$21,MATCH(B1498,Stores!$A$2:$A$21,0))</f>
        <v>5.31</v>
      </c>
      <c r="Z1498" s="33">
        <f>IF(Y1498&gt;Store_Summary!$M$2,1,0)</f>
        <v>1</v>
      </c>
      <c r="AA1498" s="33">
        <f>INDEX(Stores!$C$2:$C$21,MATCH(B1498,Stores!$A$2:$A$21,0))</f>
        <v>214</v>
      </c>
      <c r="AB1498" s="33">
        <f>IF(AA1498&lt;180,1,0)</f>
        <v>0</v>
      </c>
      <c r="AC1498" s="32" t="str">
        <f>IF(Orders!D1495="","",INDEX(Riders!$C$2:$C$81,MATCH(Orders!D1495,Riders!$A$2:$A$81,0)))</f>
        <v>Petrol scooter</v>
      </c>
      <c r="AD1498" s="33">
        <f>IF(Orders!D1495="","",INDEX(Riders!$D$2:$D$81,MATCH(Orders!D1495,Riders!$A$2:$A$81,0)))</f>
        <v>6</v>
      </c>
      <c r="AE1498" s="33">
        <f>IF(Orders!D1495="","",IF(INDEX(Riders!$B$2:$B$81,MATCH(Orders!D1495,Riders!$A$2:$A$81,0))=B1498,1,0))</f>
        <v>0</v>
      </c>
      <c r="AF1498" s="34">
        <f>IF(E1498=1,Orders!L1495,"")</f>
        <v>1.61</v>
      </c>
      <c r="AG1498" s="34">
        <f>IF(E1498=1,Orders!P1495,"")</f>
        <v>9.3</v>
      </c>
      <c r="AH1498" s="34">
        <f>IF(E1498=1,Orders!Q1495,"")</f>
        <v>8.5</v>
      </c>
      <c r="AI1498" s="34">
        <f>IF(E1498=1,Orders!M1495,"")</f>
        <v>3.7</v>
      </c>
      <c r="AJ1498" s="34">
        <f>IF(E1498=1,Orders!N1495,"")</f>
        <v>0.9</v>
      </c>
      <c r="AK1498" s="34">
        <f>IF(E1498=1,Orders!O1495,"")</f>
        <v>3.9</v>
      </c>
      <c r="AL1498" s="33">
        <f>IF(E1498=1,IF(ROUND(ABS(AI1498+AJ1498+AK1498-AH1498),6)&lt;=0.1,1,0),"")</f>
        <v>1</v>
      </c>
      <c r="AM1498" s="36">
        <f>IF(E1498=1,AI1498/AH1498,"")</f>
        <v>0.435294117647059</v>
      </c>
      <c r="AN1498" s="36">
        <f>IF(E1498=1,AJ1498/AH1498,"")</f>
        <v>0.105882352941176</v>
      </c>
      <c r="AO1498" s="36">
        <f>IF(E1498=1,AK1498/AH1498,"")</f>
        <v>0.458823529411765</v>
      </c>
      <c r="AP1498" s="34">
        <f>IF(E1498=1,Orders!Y1495,"")</f>
        <v>0.29</v>
      </c>
      <c r="AQ1498" s="33">
        <f>IF(Orders!X1495,1,0)</f>
        <v>0</v>
      </c>
      <c r="AR1498" s="34" t="str">
        <f>IF(AND(E1498=1,L1498=1),AJ1498,"")</f>
        <v/>
      </c>
      <c r="AS1498" s="34">
        <f>IF(AND(E1498=1,L1498=0),AJ1498,"")</f>
        <v>0.9</v>
      </c>
      <c r="AT1498" s="34" t="str">
        <f>IF(AND(E1498=1,L1498=1),AI1498,"")</f>
        <v/>
      </c>
      <c r="AU1498" s="34">
        <f>IF(AND(E1498=1,L1498=0),AI1498,"")</f>
        <v>3.7</v>
      </c>
      <c r="AV1498" s="34" t="str">
        <f>IF(AND(E1498=1,L1498=1),AG1498,"")</f>
        <v/>
      </c>
      <c r="AW1498" s="34">
        <f>IF(AND(E1498=1,L1498=0),AG1498,"")</f>
        <v>9.3</v>
      </c>
      <c r="AX1498" s="34" t="str">
        <f>IF(AND(E1498=1,L1498=1),AH1498,"")</f>
        <v/>
      </c>
      <c r="AY1498" s="34">
        <f>IF(AND(E1498=1,L1498=0),AH1498,"")</f>
        <v>8.5</v>
      </c>
      <c r="AZ1498" s="34" t="str">
        <f>IF(G1498=1,F1498,"")</f>
        <v/>
      </c>
      <c r="BA1498" s="34" t="str">
        <f>IF(AND(G1498=1,L1498=1),F1498,"")</f>
        <v/>
      </c>
      <c r="BB1498" s="34" t="str">
        <f>IF(AND(G1498=1,L1498=0),F1498,"")</f>
        <v/>
      </c>
      <c r="BC1498" s="33">
        <f>IF(E1498=1,IF(Orders!R1495&gt;3,1,0),"")</f>
        <v>0</v>
      </c>
      <c r="BD1498" s="33">
        <f>IF(E1498=1,IF(Orders!R1495&gt;7,1,0),"")</f>
        <v>0</v>
      </c>
      <c r="BE1498" s="32" t="str">
        <f>IF(E1498=1,IF(Orders!L1495&lt;=1.5,"Up to 1.5 km",IF(Orders!L1495&lt;=3,"1.5–3 km","Over 3 km")),"")</f>
        <v>1.5–3 km</v>
      </c>
      <c r="BF1498" s="33">
        <f>IF(E1498=1,IF(ABS((Orders!G1495-Orders!F1495)*1440-Orders!R1495)&lt;0.06,1,0),"")</f>
        <v>1</v>
      </c>
      <c r="BG1498" s="33">
        <f>IF(ABS((Orders!F1495-Orders!E1495)*1440-Orders!P1495)&lt;0.06,1,0)</f>
        <v>1</v>
      </c>
      <c r="BH1498" s="33">
        <f>IF(E1498=1,IF(IF(Orders!S1495,1,0)=1-G1498,1,0),"")</f>
        <v>1</v>
      </c>
      <c r="BI1498" s="32" t="str">
        <f>INDEX(Stores!$B$2:$B$21,MATCH(B1498,Stores!$A$2:$A$21,0))</f>
        <v>Mumbai</v>
      </c>
    </row>
    <row r="1499">
      <c r="A1499" s="32" t="str">
        <f>Orders!A1496</f>
        <v>O01495</v>
      </c>
      <c r="B1499" s="32" t="str">
        <f>Orders!C1496</f>
        <v>S010</v>
      </c>
      <c r="C1499" s="32" t="str">
        <f>Orders!B1496</f>
        <v>C0222</v>
      </c>
      <c r="D1499" s="32" t="str">
        <f>Orders!H1496</f>
        <v>Delivered</v>
      </c>
      <c r="E1499" s="33">
        <f>IF(Orders!H1496="Delivered",1,0)</f>
        <v>1</v>
      </c>
      <c r="F1499" s="34">
        <f>IF(E1499=1,Orders!R1496,"")</f>
        <v>0.5</v>
      </c>
      <c r="G1499" s="33">
        <f>IF(E1499=1,IF(Orders!R1496&gt;0,1,0),"")</f>
        <v>1</v>
      </c>
      <c r="H1499" s="33">
        <f>IF(E1499=1,IF(Orders!R1496&gt;5,1,0),"")</f>
        <v>0</v>
      </c>
      <c r="I1499" s="32" t="str">
        <f>IF(E1499=1,"",IF(OR(Orders!T1496="Rider unavailable",Orders!T1496="Item unavailable"),"Company-caused","Unresolved"))</f>
        <v/>
      </c>
      <c r="J1499" s="33">
        <f>IF(OR(E1499=1,I1499="Company-caused"),1,0)</f>
        <v>1</v>
      </c>
      <c r="K1499" s="32" t="str">
        <f>IF(E1499=0,IF(I1499="Company-caused",IF(Orders!T1496="Rider unavailable","C1 Rider unavailable","C2 Item unavailable"),"Outside root: unresolved"),IF(G1499=0,"A On time",IF(H1499=1,IF(L1499=1,"B2a Severe, peak","B2b Severe, off-peak"),IF(L1499=1,"B1a Slight, peak","B1b Slight, off-peak"))))</f>
        <v>B1b Slight, off-peak</v>
      </c>
      <c r="L1499" s="33">
        <f>IF(AND(Orders!U1496&gt;=19,Orders!U1496&lt;22),1,0)</f>
        <v>0</v>
      </c>
      <c r="M1499" s="33">
        <f>IF(L1499=IF(Orders!V1496,1,0),1,0)</f>
        <v>1</v>
      </c>
      <c r="N1499" s="32" t="str">
        <f>IF(Orders!W1496="","None",Orders!W1496)</f>
        <v>None</v>
      </c>
      <c r="O1499" s="35">
        <f>INT(Orders!E1496)</f>
        <v>46266.0</v>
      </c>
      <c r="P1499" s="33">
        <f>Orders!U1496</f>
        <v>22</v>
      </c>
      <c r="Q1499" s="33">
        <f>COUNTIFS(Demand!$A$2:$A$4481,B1499,Demand!$B$2:$B$4481,O1499,Demand!$C$2:$C$4481,P1499)</f>
        <v>1</v>
      </c>
      <c r="R1499" s="33">
        <f>IF(Q1499=1,SUMIFS(Demand!$E$2:$E$4481,Demand!$A$2:$A$4481,B1499,Demand!$B$2:$B$4481,O1499,Demand!$C$2:$C$4481,P1499),"")</f>
        <v>18</v>
      </c>
      <c r="S1499" s="33">
        <f>INDEX(Stores!$G$2:$G$21,MATCH(B1499,Stores!$A$2:$A$21,0))</f>
        <v>22</v>
      </c>
      <c r="T1499" s="34">
        <f>IF(R1499="","",R1499/S1499)</f>
        <v>0.818181818181818</v>
      </c>
      <c r="U1499" s="34">
        <f>IF(E1499=1,T1499,"")</f>
        <v>0.818181818181818</v>
      </c>
      <c r="V1499" s="34">
        <f>IF(AND(E1499=1,L1499=0),T1499,"")</f>
        <v>0.818181818181818</v>
      </c>
      <c r="W1499" s="33">
        <f>IF(U1499="","",IF(U1499&lt;=Breakdowns!$C$5,1,IF(U1499&lt;=Breakdowns!$C$6,2,IF(U1499&lt;=Breakdowns!$C$7,3,4))))</f>
        <v>2</v>
      </c>
      <c r="X1499" s="33">
        <f>IF(V1499="","",IF(V1499&lt;=Breakdowns!$D$5,1,IF(V1499&lt;=Breakdowns!$D$6,2,IF(V1499&lt;=Breakdowns!$D$7,3,4))))</f>
        <v>2</v>
      </c>
      <c r="Y1499" s="34">
        <f>INDEX(Stores!$F$2:$F$21,MATCH(B1499,Stores!$A$2:$A$21,0))</f>
        <v>5.61</v>
      </c>
      <c r="Z1499" s="33">
        <f>IF(Y1499&gt;Store_Summary!$M$2,1,0)</f>
        <v>1</v>
      </c>
      <c r="AA1499" s="33">
        <f>INDEX(Stores!$C$2:$C$21,MATCH(B1499,Stores!$A$2:$A$21,0))</f>
        <v>744</v>
      </c>
      <c r="AB1499" s="33">
        <f>IF(AA1499&lt;180,1,0)</f>
        <v>0</v>
      </c>
      <c r="AC1499" s="32" t="str">
        <f>IF(Orders!D1496="","",INDEX(Riders!$C$2:$C$81,MATCH(Orders!D1496,Riders!$A$2:$A$81,0)))</f>
        <v>Petrol scooter</v>
      </c>
      <c r="AD1499" s="33">
        <f>IF(Orders!D1496="","",INDEX(Riders!$D$2:$D$81,MATCH(Orders!D1496,Riders!$A$2:$A$81,0)))</f>
        <v>11</v>
      </c>
      <c r="AE1499" s="33">
        <f>IF(Orders!D1496="","",IF(INDEX(Riders!$B$2:$B$81,MATCH(Orders!D1496,Riders!$A$2:$A$81,0))=B1499,1,0))</f>
        <v>0</v>
      </c>
      <c r="AF1499" s="34">
        <f>IF(E1499=1,Orders!L1496,"")</f>
        <v>0.94</v>
      </c>
      <c r="AG1499" s="34">
        <f>IF(E1499=1,Orders!P1496,"")</f>
        <v>10.4</v>
      </c>
      <c r="AH1499" s="34">
        <f>IF(E1499=1,Orders!Q1496,"")</f>
        <v>10.9</v>
      </c>
      <c r="AI1499" s="34">
        <f>IF(E1499=1,Orders!M1496,"")</f>
        <v>7.4</v>
      </c>
      <c r="AJ1499" s="34">
        <f>IF(E1499=1,Orders!N1496,"")</f>
        <v>0</v>
      </c>
      <c r="AK1499" s="34">
        <f>IF(E1499=1,Orders!O1496,"")</f>
        <v>3.5</v>
      </c>
      <c r="AL1499" s="33">
        <f>IF(E1499=1,IF(ROUND(ABS(AI1499+AJ1499+AK1499-AH1499),6)&lt;=0.1,1,0),"")</f>
        <v>1</v>
      </c>
      <c r="AM1499" s="36">
        <f>IF(E1499=1,AI1499/AH1499,"")</f>
        <v>0.678899082568807</v>
      </c>
      <c r="AN1499" s="36">
        <f>IF(E1499=1,AJ1499/AH1499,"")</f>
        <v>0</v>
      </c>
      <c r="AO1499" s="36">
        <f>IF(E1499=1,AK1499/AH1499,"")</f>
        <v>0.321100917431193</v>
      </c>
      <c r="AP1499" s="34">
        <f>IF(E1499=1,Orders!Y1496,"")</f>
        <v>0.4</v>
      </c>
      <c r="AQ1499" s="33">
        <f>IF(Orders!X1496,1,0)</f>
        <v>0</v>
      </c>
      <c r="AR1499" s="34" t="str">
        <f>IF(AND(E1499=1,L1499=1),AJ1499,"")</f>
        <v/>
      </c>
      <c r="AS1499" s="34">
        <f>IF(AND(E1499=1,L1499=0),AJ1499,"")</f>
        <v>0</v>
      </c>
      <c r="AT1499" s="34" t="str">
        <f>IF(AND(E1499=1,L1499=1),AI1499,"")</f>
        <v/>
      </c>
      <c r="AU1499" s="34">
        <f>IF(AND(E1499=1,L1499=0),AI1499,"")</f>
        <v>7.4</v>
      </c>
      <c r="AV1499" s="34" t="str">
        <f>IF(AND(E1499=1,L1499=1),AG1499,"")</f>
        <v/>
      </c>
      <c r="AW1499" s="34">
        <f>IF(AND(E1499=1,L1499=0),AG1499,"")</f>
        <v>10.4</v>
      </c>
      <c r="AX1499" s="34" t="str">
        <f>IF(AND(E1499=1,L1499=1),AH1499,"")</f>
        <v/>
      </c>
      <c r="AY1499" s="34">
        <f>IF(AND(E1499=1,L1499=0),AH1499,"")</f>
        <v>10.9</v>
      </c>
      <c r="AZ1499" s="34">
        <f>IF(G1499=1,F1499,"")</f>
        <v>0.5</v>
      </c>
      <c r="BA1499" s="34" t="str">
        <f>IF(AND(G1499=1,L1499=1),F1499,"")</f>
        <v/>
      </c>
      <c r="BB1499" s="34">
        <f>IF(AND(G1499=1,L1499=0),F1499,"")</f>
        <v>0.5</v>
      </c>
      <c r="BC1499" s="33">
        <f>IF(E1499=1,IF(Orders!R1496&gt;3,1,0),"")</f>
        <v>0</v>
      </c>
      <c r="BD1499" s="33">
        <f>IF(E1499=1,IF(Orders!R1496&gt;7,1,0),"")</f>
        <v>0</v>
      </c>
      <c r="BE1499" s="32" t="str">
        <f>IF(E1499=1,IF(Orders!L1496&lt;=1.5,"Up to 1.5 km",IF(Orders!L1496&lt;=3,"1.5–3 km","Over 3 km")),"")</f>
        <v>Up to 1.5 km</v>
      </c>
      <c r="BF1499" s="33">
        <f>IF(E1499=1,IF(ABS((Orders!G1496-Orders!F1496)*1440-Orders!R1496)&lt;0.06,1,0),"")</f>
        <v>1</v>
      </c>
      <c r="BG1499" s="33">
        <f>IF(ABS((Orders!F1496-Orders!E1496)*1440-Orders!P1496)&lt;0.06,1,0)</f>
        <v>1</v>
      </c>
      <c r="BH1499" s="33">
        <f>IF(E1499=1,IF(IF(Orders!S1496,1,0)=1-G1499,1,0),"")</f>
        <v>1</v>
      </c>
      <c r="BI1499" s="32" t="str">
        <f>INDEX(Stores!$B$2:$B$21,MATCH(B1499,Stores!$A$2:$A$21,0))</f>
        <v>Delhi</v>
      </c>
    </row>
    <row r="1500">
      <c r="A1500" s="32" t="str">
        <f>Orders!A1497</f>
        <v>O01496</v>
      </c>
      <c r="B1500" s="32" t="str">
        <f>Orders!C1497</f>
        <v>S003</v>
      </c>
      <c r="C1500" s="32" t="str">
        <f>Orders!B1497</f>
        <v>C0139</v>
      </c>
      <c r="D1500" s="32" t="str">
        <f>Orders!H1497</f>
        <v>Delivered</v>
      </c>
      <c r="E1500" s="33">
        <f>IF(Orders!H1497="Delivered",1,0)</f>
        <v>1</v>
      </c>
      <c r="F1500" s="34">
        <f>IF(E1500=1,Orders!R1497,"")</f>
        <v>-0.4</v>
      </c>
      <c r="G1500" s="33">
        <f>IF(E1500=1,IF(Orders!R1497&gt;0,1,0),"")</f>
        <v>0</v>
      </c>
      <c r="H1500" s="33">
        <f>IF(E1500=1,IF(Orders!R1497&gt;5,1,0),"")</f>
        <v>0</v>
      </c>
      <c r="I1500" s="32" t="str">
        <f>IF(E1500=1,"",IF(OR(Orders!T1497="Rider unavailable",Orders!T1497="Item unavailable"),"Company-caused","Unresolved"))</f>
        <v/>
      </c>
      <c r="J1500" s="33">
        <f>IF(OR(E1500=1,I1500="Company-caused"),1,0)</f>
        <v>1</v>
      </c>
      <c r="K1500" s="32" t="str">
        <f>IF(E1500=0,IF(I1500="Company-caused",IF(Orders!T1497="Rider unavailable","C1 Rider unavailable","C2 Item unavailable"),"Outside root: unresolved"),IF(G1500=0,"A On time",IF(H1500=1,IF(L1500=1,"B2a Severe, peak","B2b Severe, off-peak"),IF(L1500=1,"B1a Slight, peak","B1b Slight, off-peak"))))</f>
        <v>A On time</v>
      </c>
      <c r="L1500" s="33">
        <f>IF(AND(Orders!U1497&gt;=19,Orders!U1497&lt;22),1,0)</f>
        <v>0</v>
      </c>
      <c r="M1500" s="33">
        <f>IF(L1500=IF(Orders!V1497,1,0),1,0)</f>
        <v>1</v>
      </c>
      <c r="N1500" s="32" t="str">
        <f>IF(Orders!W1497="","None",Orders!W1497)</f>
        <v>Light</v>
      </c>
      <c r="O1500" s="35">
        <f>INT(Orders!E1497)</f>
        <v>46267.0</v>
      </c>
      <c r="P1500" s="33">
        <f>Orders!U1497</f>
        <v>22</v>
      </c>
      <c r="Q1500" s="33">
        <f>COUNTIFS(Demand!$A$2:$A$4481,B1500,Demand!$B$2:$B$4481,O1500,Demand!$C$2:$C$4481,P1500)</f>
        <v>1</v>
      </c>
      <c r="R1500" s="33">
        <f>IF(Q1500=1,SUMIFS(Demand!$E$2:$E$4481,Demand!$A$2:$A$4481,B1500,Demand!$B$2:$B$4481,O1500,Demand!$C$2:$C$4481,P1500),"")</f>
        <v>40</v>
      </c>
      <c r="S1500" s="33">
        <f>INDEX(Stores!$G$2:$G$21,MATCH(B1500,Stores!$A$2:$A$21,0))</f>
        <v>41</v>
      </c>
      <c r="T1500" s="34">
        <f>IF(R1500="","",R1500/S1500)</f>
        <v>0.975609756097561</v>
      </c>
      <c r="U1500" s="34">
        <f>IF(E1500=1,T1500,"")</f>
        <v>0.975609756097561</v>
      </c>
      <c r="V1500" s="34">
        <f>IF(AND(E1500=1,L1500=0),T1500,"")</f>
        <v>0.975609756097561</v>
      </c>
      <c r="W1500" s="33">
        <f>IF(U1500="","",IF(U1500&lt;=Breakdowns!$C$5,1,IF(U1500&lt;=Breakdowns!$C$6,2,IF(U1500&lt;=Breakdowns!$C$7,3,4))))</f>
        <v>2</v>
      </c>
      <c r="X1500" s="33">
        <f>IF(V1500="","",IF(V1500&lt;=Breakdowns!$D$5,1,IF(V1500&lt;=Breakdowns!$D$6,2,IF(V1500&lt;=Breakdowns!$D$7,3,4))))</f>
        <v>3</v>
      </c>
      <c r="Y1500" s="34">
        <f>INDEX(Stores!$F$2:$F$21,MATCH(B1500,Stores!$A$2:$A$21,0))</f>
        <v>3.84</v>
      </c>
      <c r="Z1500" s="33">
        <f>IF(Y1500&gt;Store_Summary!$M$2,1,0)</f>
        <v>0</v>
      </c>
      <c r="AA1500" s="33">
        <f>INDEX(Stores!$C$2:$C$21,MATCH(B1500,Stores!$A$2:$A$21,0))</f>
        <v>426</v>
      </c>
      <c r="AB1500" s="33">
        <f>IF(AA1500&lt;180,1,0)</f>
        <v>0</v>
      </c>
      <c r="AC1500" s="32" t="str">
        <f>IF(Orders!D1497="","",INDEX(Riders!$C$2:$C$81,MATCH(Orders!D1497,Riders!$A$2:$A$81,0)))</f>
        <v>EV scooter</v>
      </c>
      <c r="AD1500" s="33">
        <f>IF(Orders!D1497="","",INDEX(Riders!$D$2:$D$81,MATCH(Orders!D1497,Riders!$A$2:$A$81,0)))</f>
        <v>11</v>
      </c>
      <c r="AE1500" s="33">
        <f>IF(Orders!D1497="","",IF(INDEX(Riders!$B$2:$B$81,MATCH(Orders!D1497,Riders!$A$2:$A$81,0))=B1500,1,0))</f>
        <v>0</v>
      </c>
      <c r="AF1500" s="34">
        <f>IF(E1500=1,Orders!L1497,"")</f>
        <v>1.79</v>
      </c>
      <c r="AG1500" s="34">
        <f>IF(E1500=1,Orders!P1497,"")</f>
        <v>9.2</v>
      </c>
      <c r="AH1500" s="34">
        <f>IF(E1500=1,Orders!Q1497,"")</f>
        <v>8.8</v>
      </c>
      <c r="AI1500" s="34">
        <f>IF(E1500=1,Orders!M1497,"")</f>
        <v>2.4</v>
      </c>
      <c r="AJ1500" s="34">
        <f>IF(E1500=1,Orders!N1497,"")</f>
        <v>2.9</v>
      </c>
      <c r="AK1500" s="34">
        <f>IF(E1500=1,Orders!O1497,"")</f>
        <v>3.5</v>
      </c>
      <c r="AL1500" s="33">
        <f>IF(E1500=1,IF(ROUND(ABS(AI1500+AJ1500+AK1500-AH1500),6)&lt;=0.1,1,0),"")</f>
        <v>1</v>
      </c>
      <c r="AM1500" s="36">
        <f>IF(E1500=1,AI1500/AH1500,"")</f>
        <v>0.272727272727273</v>
      </c>
      <c r="AN1500" s="36">
        <f>IF(E1500=1,AJ1500/AH1500,"")</f>
        <v>0.329545454545455</v>
      </c>
      <c r="AO1500" s="36">
        <f>IF(E1500=1,AK1500/AH1500,"")</f>
        <v>0.397727272727273</v>
      </c>
      <c r="AP1500" s="34">
        <f>IF(E1500=1,Orders!Y1497,"")</f>
        <v>0.53</v>
      </c>
      <c r="AQ1500" s="33">
        <f>IF(Orders!X1497,1,0)</f>
        <v>0</v>
      </c>
      <c r="AR1500" s="34" t="str">
        <f>IF(AND(E1500=1,L1500=1),AJ1500,"")</f>
        <v/>
      </c>
      <c r="AS1500" s="34">
        <f>IF(AND(E1500=1,L1500=0),AJ1500,"")</f>
        <v>2.9</v>
      </c>
      <c r="AT1500" s="34" t="str">
        <f>IF(AND(E1500=1,L1500=1),AI1500,"")</f>
        <v/>
      </c>
      <c r="AU1500" s="34">
        <f>IF(AND(E1500=1,L1500=0),AI1500,"")</f>
        <v>2.4</v>
      </c>
      <c r="AV1500" s="34" t="str">
        <f>IF(AND(E1500=1,L1500=1),AG1500,"")</f>
        <v/>
      </c>
      <c r="AW1500" s="34">
        <f>IF(AND(E1500=1,L1500=0),AG1500,"")</f>
        <v>9.2</v>
      </c>
      <c r="AX1500" s="34" t="str">
        <f>IF(AND(E1500=1,L1500=1),AH1500,"")</f>
        <v/>
      </c>
      <c r="AY1500" s="34">
        <f>IF(AND(E1500=1,L1500=0),AH1500,"")</f>
        <v>8.8</v>
      </c>
      <c r="AZ1500" s="34" t="str">
        <f>IF(G1500=1,F1500,"")</f>
        <v/>
      </c>
      <c r="BA1500" s="34" t="str">
        <f>IF(AND(G1500=1,L1500=1),F1500,"")</f>
        <v/>
      </c>
      <c r="BB1500" s="34" t="str">
        <f>IF(AND(G1500=1,L1500=0),F1500,"")</f>
        <v/>
      </c>
      <c r="BC1500" s="33">
        <f>IF(E1500=1,IF(Orders!R1497&gt;3,1,0),"")</f>
        <v>0</v>
      </c>
      <c r="BD1500" s="33">
        <f>IF(E1500=1,IF(Orders!R1497&gt;7,1,0),"")</f>
        <v>0</v>
      </c>
      <c r="BE1500" s="32" t="str">
        <f>IF(E1500=1,IF(Orders!L1497&lt;=1.5,"Up to 1.5 km",IF(Orders!L1497&lt;=3,"1.5–3 km","Over 3 km")),"")</f>
        <v>1.5–3 km</v>
      </c>
      <c r="BF1500" s="33">
        <f>IF(E1500=1,IF(ABS((Orders!G1497-Orders!F1497)*1440-Orders!R1497)&lt;0.06,1,0),"")</f>
        <v>1</v>
      </c>
      <c r="BG1500" s="33">
        <f>IF(ABS((Orders!F1497-Orders!E1497)*1440-Orders!P1497)&lt;0.06,1,0)</f>
        <v>1</v>
      </c>
      <c r="BH1500" s="33">
        <f>IF(E1500=1,IF(IF(Orders!S1497,1,0)=1-G1500,1,0),"")</f>
        <v>1</v>
      </c>
      <c r="BI1500" s="32" t="str">
        <f>INDEX(Stores!$B$2:$B$21,MATCH(B1500,Stores!$A$2:$A$21,0))</f>
        <v>Mumbai</v>
      </c>
    </row>
    <row r="1501">
      <c r="A1501" s="32" t="str">
        <f>Orders!A1498</f>
        <v>O01497</v>
      </c>
      <c r="B1501" s="32" t="str">
        <f>Orders!C1498</f>
        <v>S001</v>
      </c>
      <c r="C1501" s="32" t="str">
        <f>Orders!B1498</f>
        <v>C0151</v>
      </c>
      <c r="D1501" s="32" t="str">
        <f>Orders!H1498</f>
        <v>Delivered</v>
      </c>
      <c r="E1501" s="33">
        <f>IF(Orders!H1498="Delivered",1,0)</f>
        <v>1</v>
      </c>
      <c r="F1501" s="34">
        <f>IF(E1501=1,Orders!R1498,"")</f>
        <v>-0.8</v>
      </c>
      <c r="G1501" s="33">
        <f>IF(E1501=1,IF(Orders!R1498&gt;0,1,0),"")</f>
        <v>0</v>
      </c>
      <c r="H1501" s="33">
        <f>IF(E1501=1,IF(Orders!R1498&gt;5,1,0),"")</f>
        <v>0</v>
      </c>
      <c r="I1501" s="32" t="str">
        <f>IF(E1501=1,"",IF(OR(Orders!T1498="Rider unavailable",Orders!T1498="Item unavailable"),"Company-caused","Unresolved"))</f>
        <v/>
      </c>
      <c r="J1501" s="33">
        <f>IF(OR(E1501=1,I1501="Company-caused"),1,0)</f>
        <v>1</v>
      </c>
      <c r="K1501" s="32" t="str">
        <f>IF(E1501=0,IF(I1501="Company-caused",IF(Orders!T1498="Rider unavailable","C1 Rider unavailable","C2 Item unavailable"),"Outside root: unresolved"),IF(G1501=0,"A On time",IF(H1501=1,IF(L1501=1,"B2a Severe, peak","B2b Severe, off-peak"),IF(L1501=1,"B1a Slight, peak","B1b Slight, off-peak"))))</f>
        <v>A On time</v>
      </c>
      <c r="L1501" s="33">
        <f>IF(AND(Orders!U1498&gt;=19,Orders!U1498&lt;22),1,0)</f>
        <v>1</v>
      </c>
      <c r="M1501" s="33">
        <f>IF(L1501=IF(Orders!V1498,1,0),1,0)</f>
        <v>1</v>
      </c>
      <c r="N1501" s="32" t="str">
        <f>IF(Orders!W1498="","None",Orders!W1498)</f>
        <v>None</v>
      </c>
      <c r="O1501" s="35">
        <f>INT(Orders!E1498)</f>
        <v>46268.0</v>
      </c>
      <c r="P1501" s="33">
        <f>Orders!U1498</f>
        <v>20</v>
      </c>
      <c r="Q1501" s="33">
        <f>COUNTIFS(Demand!$A$2:$A$4481,B1501,Demand!$B$2:$B$4481,O1501,Demand!$C$2:$C$4481,P1501)</f>
        <v>1</v>
      </c>
      <c r="R1501" s="33">
        <f>IF(Q1501=1,SUMIFS(Demand!$E$2:$E$4481,Demand!$A$2:$A$4481,B1501,Demand!$B$2:$B$4481,O1501,Demand!$C$2:$C$4481,P1501),"")</f>
        <v>23</v>
      </c>
      <c r="S1501" s="33">
        <f>INDEX(Stores!$G$2:$G$21,MATCH(B1501,Stores!$A$2:$A$21,0))</f>
        <v>16</v>
      </c>
      <c r="T1501" s="34">
        <f>IF(R1501="","",R1501/S1501)</f>
        <v>1.4375</v>
      </c>
      <c r="U1501" s="34">
        <f>IF(E1501=1,T1501,"")</f>
        <v>1.4375</v>
      </c>
      <c r="V1501" s="34" t="str">
        <f>IF(AND(E1501=1,L1501=0),T1501,"")</f>
        <v/>
      </c>
      <c r="W1501" s="33">
        <f>IF(U1501="","",IF(U1501&lt;=Breakdowns!$C$5,1,IF(U1501&lt;=Breakdowns!$C$6,2,IF(U1501&lt;=Breakdowns!$C$7,3,4))))</f>
        <v>4</v>
      </c>
      <c r="X1501" s="33" t="str">
        <f>IF(V1501="","",IF(V1501&lt;=Breakdowns!$D$5,1,IF(V1501&lt;=Breakdowns!$D$6,2,IF(V1501&lt;=Breakdowns!$D$7,3,4))))</f>
        <v/>
      </c>
      <c r="Y1501" s="34">
        <f>INDEX(Stores!$F$2:$F$21,MATCH(B1501,Stores!$A$2:$A$21,0))</f>
        <v>4.59</v>
      </c>
      <c r="Z1501" s="33">
        <f>IF(Y1501&gt;Store_Summary!$M$2,1,0)</f>
        <v>0</v>
      </c>
      <c r="AA1501" s="33">
        <f>INDEX(Stores!$C$2:$C$21,MATCH(B1501,Stores!$A$2:$A$21,0))</f>
        <v>362</v>
      </c>
      <c r="AB1501" s="33">
        <f>IF(AA1501&lt;180,1,0)</f>
        <v>0</v>
      </c>
      <c r="AC1501" s="32" t="str">
        <f>IF(Orders!D1498="","",INDEX(Riders!$C$2:$C$81,MATCH(Orders!D1498,Riders!$A$2:$A$81,0)))</f>
        <v>Bicycle</v>
      </c>
      <c r="AD1501" s="33">
        <f>IF(Orders!D1498="","",INDEX(Riders!$D$2:$D$81,MATCH(Orders!D1498,Riders!$A$2:$A$81,0)))</f>
        <v>2</v>
      </c>
      <c r="AE1501" s="33">
        <f>IF(Orders!D1498="","",IF(INDEX(Riders!$B$2:$B$81,MATCH(Orders!D1498,Riders!$A$2:$A$81,0))=B1501,1,0))</f>
        <v>0</v>
      </c>
      <c r="AF1501" s="34">
        <f>IF(E1501=1,Orders!L1498,"")</f>
        <v>3.07</v>
      </c>
      <c r="AG1501" s="34">
        <f>IF(E1501=1,Orders!P1498,"")</f>
        <v>13.5</v>
      </c>
      <c r="AH1501" s="34">
        <f>IF(E1501=1,Orders!Q1498,"")</f>
        <v>12.7</v>
      </c>
      <c r="AI1501" s="34">
        <f>IF(E1501=1,Orders!M1498,"")</f>
        <v>2.8</v>
      </c>
      <c r="AJ1501" s="34">
        <f>IF(E1501=1,Orders!N1498,"")</f>
        <v>5.3</v>
      </c>
      <c r="AK1501" s="34">
        <f>IF(E1501=1,Orders!O1498,"")</f>
        <v>4.6</v>
      </c>
      <c r="AL1501" s="33">
        <f>IF(E1501=1,IF(ROUND(ABS(AI1501+AJ1501+AK1501-AH1501),6)&lt;=0.1,1,0),"")</f>
        <v>1</v>
      </c>
      <c r="AM1501" s="36">
        <f>IF(E1501=1,AI1501/AH1501,"")</f>
        <v>0.220472440944882</v>
      </c>
      <c r="AN1501" s="36">
        <f>IF(E1501=1,AJ1501/AH1501,"")</f>
        <v>0.417322834645669</v>
      </c>
      <c r="AO1501" s="36">
        <f>IF(E1501=1,AK1501/AH1501,"")</f>
        <v>0.362204724409449</v>
      </c>
      <c r="AP1501" s="34">
        <f>IF(E1501=1,Orders!Y1498,"")</f>
        <v>0.84</v>
      </c>
      <c r="AQ1501" s="33">
        <f>IF(Orders!X1498,1,0)</f>
        <v>0</v>
      </c>
      <c r="AR1501" s="34">
        <f>IF(AND(E1501=1,L1501=1),AJ1501,"")</f>
        <v>5.3</v>
      </c>
      <c r="AS1501" s="34" t="str">
        <f>IF(AND(E1501=1,L1501=0),AJ1501,"")</f>
        <v/>
      </c>
      <c r="AT1501" s="34">
        <f>IF(AND(E1501=1,L1501=1),AI1501,"")</f>
        <v>2.8</v>
      </c>
      <c r="AU1501" s="34" t="str">
        <f>IF(AND(E1501=1,L1501=0),AI1501,"")</f>
        <v/>
      </c>
      <c r="AV1501" s="34">
        <f>IF(AND(E1501=1,L1501=1),AG1501,"")</f>
        <v>13.5</v>
      </c>
      <c r="AW1501" s="34" t="str">
        <f>IF(AND(E1501=1,L1501=0),AG1501,"")</f>
        <v/>
      </c>
      <c r="AX1501" s="34">
        <f>IF(AND(E1501=1,L1501=1),AH1501,"")</f>
        <v>12.7</v>
      </c>
      <c r="AY1501" s="34" t="str">
        <f>IF(AND(E1501=1,L1501=0),AH1501,"")</f>
        <v/>
      </c>
      <c r="AZ1501" s="34" t="str">
        <f>IF(G1501=1,F1501,"")</f>
        <v/>
      </c>
      <c r="BA1501" s="34" t="str">
        <f>IF(AND(G1501=1,L1501=1),F1501,"")</f>
        <v/>
      </c>
      <c r="BB1501" s="34" t="str">
        <f>IF(AND(G1501=1,L1501=0),F1501,"")</f>
        <v/>
      </c>
      <c r="BC1501" s="33">
        <f>IF(E1501=1,IF(Orders!R1498&gt;3,1,0),"")</f>
        <v>0</v>
      </c>
      <c r="BD1501" s="33">
        <f>IF(E1501=1,IF(Orders!R1498&gt;7,1,0),"")</f>
        <v>0</v>
      </c>
      <c r="BE1501" s="32" t="str">
        <f>IF(E1501=1,IF(Orders!L1498&lt;=1.5,"Up to 1.5 km",IF(Orders!L1498&lt;=3,"1.5–3 km","Over 3 km")),"")</f>
        <v>Over 3 km</v>
      </c>
      <c r="BF1501" s="33">
        <f>IF(E1501=1,IF(ABS((Orders!G1498-Orders!F1498)*1440-Orders!R1498)&lt;0.06,1,0),"")</f>
        <v>1</v>
      </c>
      <c r="BG1501" s="33">
        <f>IF(ABS((Orders!F1498-Orders!E1498)*1440-Orders!P1498)&lt;0.06,1,0)</f>
        <v>1</v>
      </c>
      <c r="BH1501" s="33">
        <f>IF(E1501=1,IF(IF(Orders!S1498,1,0)=1-G1501,1,0),"")</f>
        <v>1</v>
      </c>
      <c r="BI1501" s="32" t="str">
        <f>INDEX(Stores!$B$2:$B$21,MATCH(B1501,Stores!$A$2:$A$21,0))</f>
        <v>Bengaluru</v>
      </c>
    </row>
    <row r="1502">
      <c r="A1502" s="32" t="str">
        <f>Orders!A1499</f>
        <v>O01498</v>
      </c>
      <c r="B1502" s="32" t="str">
        <f>Orders!C1499</f>
        <v>S007</v>
      </c>
      <c r="C1502" s="32" t="str">
        <f>Orders!B1499</f>
        <v>C0217</v>
      </c>
      <c r="D1502" s="32" t="str">
        <f>Orders!H1499</f>
        <v>Delivered</v>
      </c>
      <c r="E1502" s="33">
        <f>IF(Orders!H1499="Delivered",1,0)</f>
        <v>1</v>
      </c>
      <c r="F1502" s="34">
        <f>IF(E1502=1,Orders!R1499,"")</f>
        <v>-0.8</v>
      </c>
      <c r="G1502" s="33">
        <f>IF(E1502=1,IF(Orders!R1499&gt;0,1,0),"")</f>
        <v>0</v>
      </c>
      <c r="H1502" s="33">
        <f>IF(E1502=1,IF(Orders!R1499&gt;5,1,0),"")</f>
        <v>0</v>
      </c>
      <c r="I1502" s="32" t="str">
        <f>IF(E1502=1,"",IF(OR(Orders!T1499="Rider unavailable",Orders!T1499="Item unavailable"),"Company-caused","Unresolved"))</f>
        <v/>
      </c>
      <c r="J1502" s="33">
        <f>IF(OR(E1502=1,I1502="Company-caused"),1,0)</f>
        <v>1</v>
      </c>
      <c r="K1502" s="32" t="str">
        <f>IF(E1502=0,IF(I1502="Company-caused",IF(Orders!T1499="Rider unavailable","C1 Rider unavailable","C2 Item unavailable"),"Outside root: unresolved"),IF(G1502=0,"A On time",IF(H1502=1,IF(L1502=1,"B2a Severe, peak","B2b Severe, off-peak"),IF(L1502=1,"B1a Slight, peak","B1b Slight, off-peak"))))</f>
        <v>A On time</v>
      </c>
      <c r="L1502" s="33">
        <f>IF(AND(Orders!U1499&gt;=19,Orders!U1499&lt;22),1,0)</f>
        <v>0</v>
      </c>
      <c r="M1502" s="33">
        <f>IF(L1502=IF(Orders!V1499,1,0),1,0)</f>
        <v>1</v>
      </c>
      <c r="N1502" s="32" t="str">
        <f>IF(Orders!W1499="","None",Orders!W1499)</f>
        <v>None</v>
      </c>
      <c r="O1502" s="35">
        <f>INT(Orders!E1499)</f>
        <v>46266.0</v>
      </c>
      <c r="P1502" s="33">
        <f>Orders!U1499</f>
        <v>17</v>
      </c>
      <c r="Q1502" s="33">
        <f>COUNTIFS(Demand!$A$2:$A$4481,B1502,Demand!$B$2:$B$4481,O1502,Demand!$C$2:$C$4481,P1502)</f>
        <v>1</v>
      </c>
      <c r="R1502" s="33">
        <f>IF(Q1502=1,SUMIFS(Demand!$E$2:$E$4481,Demand!$A$2:$A$4481,B1502,Demand!$B$2:$B$4481,O1502,Demand!$C$2:$C$4481,P1502),"")</f>
        <v>44</v>
      </c>
      <c r="S1502" s="33">
        <f>INDEX(Stores!$G$2:$G$21,MATCH(B1502,Stores!$A$2:$A$21,0))</f>
        <v>37</v>
      </c>
      <c r="T1502" s="34">
        <f>IF(R1502="","",R1502/S1502)</f>
        <v>1.18918918918919</v>
      </c>
      <c r="U1502" s="34">
        <f>IF(E1502=1,T1502,"")</f>
        <v>1.18918918918919</v>
      </c>
      <c r="V1502" s="34">
        <f>IF(AND(E1502=1,L1502=0),T1502,"")</f>
        <v>1.18918918918919</v>
      </c>
      <c r="W1502" s="33">
        <f>IF(U1502="","",IF(U1502&lt;=Breakdowns!$C$5,1,IF(U1502&lt;=Breakdowns!$C$6,2,IF(U1502&lt;=Breakdowns!$C$7,3,4))))</f>
        <v>3</v>
      </c>
      <c r="X1502" s="33">
        <f>IF(V1502="","",IF(V1502&lt;=Breakdowns!$D$5,1,IF(V1502&lt;=Breakdowns!$D$6,2,IF(V1502&lt;=Breakdowns!$D$7,3,4))))</f>
        <v>4</v>
      </c>
      <c r="Y1502" s="34">
        <f>INDEX(Stores!$F$2:$F$21,MATCH(B1502,Stores!$A$2:$A$21,0))</f>
        <v>4.05</v>
      </c>
      <c r="Z1502" s="33">
        <f>IF(Y1502&gt;Store_Summary!$M$2,1,0)</f>
        <v>0</v>
      </c>
      <c r="AA1502" s="33">
        <f>INDEX(Stores!$C$2:$C$21,MATCH(B1502,Stores!$A$2:$A$21,0))</f>
        <v>661</v>
      </c>
      <c r="AB1502" s="33">
        <f>IF(AA1502&lt;180,1,0)</f>
        <v>0</v>
      </c>
      <c r="AC1502" s="32" t="str">
        <f>IF(Orders!D1499="","",INDEX(Riders!$C$2:$C$81,MATCH(Orders!D1499,Riders!$A$2:$A$81,0)))</f>
        <v>Petrol scooter</v>
      </c>
      <c r="AD1502" s="33">
        <f>IF(Orders!D1499="","",INDEX(Riders!$D$2:$D$81,MATCH(Orders!D1499,Riders!$A$2:$A$81,0)))</f>
        <v>40</v>
      </c>
      <c r="AE1502" s="33">
        <f>IF(Orders!D1499="","",IF(INDEX(Riders!$B$2:$B$81,MATCH(Orders!D1499,Riders!$A$2:$A$81,0))=B1502,1,0))</f>
        <v>0</v>
      </c>
      <c r="AF1502" s="34">
        <f>IF(E1502=1,Orders!L1499,"")</f>
        <v>4.09</v>
      </c>
      <c r="AG1502" s="34">
        <f>IF(E1502=1,Orders!P1499,"")</f>
        <v>11.8</v>
      </c>
      <c r="AH1502" s="34">
        <f>IF(E1502=1,Orders!Q1499,"")</f>
        <v>11</v>
      </c>
      <c r="AI1502" s="34">
        <f>IF(E1502=1,Orders!M1499,"")</f>
        <v>2.3</v>
      </c>
      <c r="AJ1502" s="34">
        <f>IF(E1502=1,Orders!N1499,"")</f>
        <v>2.7</v>
      </c>
      <c r="AK1502" s="34">
        <f>IF(E1502=1,Orders!O1499,"")</f>
        <v>6</v>
      </c>
      <c r="AL1502" s="33">
        <f>IF(E1502=1,IF(ROUND(ABS(AI1502+AJ1502+AK1502-AH1502),6)&lt;=0.1,1,0),"")</f>
        <v>1</v>
      </c>
      <c r="AM1502" s="36">
        <f>IF(E1502=1,AI1502/AH1502,"")</f>
        <v>0.209090909090909</v>
      </c>
      <c r="AN1502" s="36">
        <f>IF(E1502=1,AJ1502/AH1502,"")</f>
        <v>0.245454545454545</v>
      </c>
      <c r="AO1502" s="36">
        <f>IF(E1502=1,AK1502/AH1502,"")</f>
        <v>0.545454545454545</v>
      </c>
      <c r="AP1502" s="34">
        <f>IF(E1502=1,Orders!Y1499,"")</f>
        <v>0.48</v>
      </c>
      <c r="AQ1502" s="33">
        <f>IF(Orders!X1499,1,0)</f>
        <v>0</v>
      </c>
      <c r="AR1502" s="34" t="str">
        <f>IF(AND(E1502=1,L1502=1),AJ1502,"")</f>
        <v/>
      </c>
      <c r="AS1502" s="34">
        <f>IF(AND(E1502=1,L1502=0),AJ1502,"")</f>
        <v>2.7</v>
      </c>
      <c r="AT1502" s="34" t="str">
        <f>IF(AND(E1502=1,L1502=1),AI1502,"")</f>
        <v/>
      </c>
      <c r="AU1502" s="34">
        <f>IF(AND(E1502=1,L1502=0),AI1502,"")</f>
        <v>2.3</v>
      </c>
      <c r="AV1502" s="34" t="str">
        <f>IF(AND(E1502=1,L1502=1),AG1502,"")</f>
        <v/>
      </c>
      <c r="AW1502" s="34">
        <f>IF(AND(E1502=1,L1502=0),AG1502,"")</f>
        <v>11.8</v>
      </c>
      <c r="AX1502" s="34" t="str">
        <f>IF(AND(E1502=1,L1502=1),AH1502,"")</f>
        <v/>
      </c>
      <c r="AY1502" s="34">
        <f>IF(AND(E1502=1,L1502=0),AH1502,"")</f>
        <v>11</v>
      </c>
      <c r="AZ1502" s="34" t="str">
        <f>IF(G1502=1,F1502,"")</f>
        <v/>
      </c>
      <c r="BA1502" s="34" t="str">
        <f>IF(AND(G1502=1,L1502=1),F1502,"")</f>
        <v/>
      </c>
      <c r="BB1502" s="34" t="str">
        <f>IF(AND(G1502=1,L1502=0),F1502,"")</f>
        <v/>
      </c>
      <c r="BC1502" s="33">
        <f>IF(E1502=1,IF(Orders!R1499&gt;3,1,0),"")</f>
        <v>0</v>
      </c>
      <c r="BD1502" s="33">
        <f>IF(E1502=1,IF(Orders!R1499&gt;7,1,0),"")</f>
        <v>0</v>
      </c>
      <c r="BE1502" s="32" t="str">
        <f>IF(E1502=1,IF(Orders!L1499&lt;=1.5,"Up to 1.5 km",IF(Orders!L1499&lt;=3,"1.5–3 km","Over 3 km")),"")</f>
        <v>Over 3 km</v>
      </c>
      <c r="BF1502" s="33">
        <f>IF(E1502=1,IF(ABS((Orders!G1499-Orders!F1499)*1440-Orders!R1499)&lt;0.06,1,0),"")</f>
        <v>1</v>
      </c>
      <c r="BG1502" s="33">
        <f>IF(ABS((Orders!F1499-Orders!E1499)*1440-Orders!P1499)&lt;0.06,1,0)</f>
        <v>1</v>
      </c>
      <c r="BH1502" s="33">
        <f>IF(E1502=1,IF(IF(Orders!S1499,1,0)=1-G1502,1,0),"")</f>
        <v>1</v>
      </c>
      <c r="BI1502" s="32" t="str">
        <f>INDEX(Stores!$B$2:$B$21,MATCH(B1502,Stores!$A$2:$A$21,0))</f>
        <v>Hyderabad</v>
      </c>
    </row>
    <row r="1503">
      <c r="A1503" s="32" t="str">
        <f>Orders!A1500</f>
        <v>O01499</v>
      </c>
      <c r="B1503" s="32" t="str">
        <f>Orders!C1500</f>
        <v>S004</v>
      </c>
      <c r="C1503" s="32" t="str">
        <f>Orders!B1500</f>
        <v>C0170</v>
      </c>
      <c r="D1503" s="32" t="str">
        <f>Orders!H1500</f>
        <v>Delivered</v>
      </c>
      <c r="E1503" s="33">
        <f>IF(Orders!H1500="Delivered",1,0)</f>
        <v>1</v>
      </c>
      <c r="F1503" s="34">
        <f>IF(E1503=1,Orders!R1500,"")</f>
        <v>12.7</v>
      </c>
      <c r="G1503" s="33">
        <f>IF(E1503=1,IF(Orders!R1500&gt;0,1,0),"")</f>
        <v>1</v>
      </c>
      <c r="H1503" s="33">
        <f>IF(E1503=1,IF(Orders!R1500&gt;5,1,0),"")</f>
        <v>1</v>
      </c>
      <c r="I1503" s="32" t="str">
        <f>IF(E1503=1,"",IF(OR(Orders!T1500="Rider unavailable",Orders!T1500="Item unavailable"),"Company-caused","Unresolved"))</f>
        <v/>
      </c>
      <c r="J1503" s="33">
        <f>IF(OR(E1503=1,I1503="Company-caused"),1,0)</f>
        <v>1</v>
      </c>
      <c r="K1503" s="32" t="str">
        <f>IF(E1503=0,IF(I1503="Company-caused",IF(Orders!T1500="Rider unavailable","C1 Rider unavailable","C2 Item unavailable"),"Outside root: unresolved"),IF(G1503=0,"A On time",IF(H1503=1,IF(L1503=1,"B2a Severe, peak","B2b Severe, off-peak"),IF(L1503=1,"B1a Slight, peak","B1b Slight, off-peak"))))</f>
        <v>B2a Severe, peak</v>
      </c>
      <c r="L1503" s="33">
        <f>IF(AND(Orders!U1500&gt;=19,Orders!U1500&lt;22),1,0)</f>
        <v>1</v>
      </c>
      <c r="M1503" s="33">
        <f>IF(L1503=IF(Orders!V1500,1,0),1,0)</f>
        <v>1</v>
      </c>
      <c r="N1503" s="32" t="str">
        <f>IF(Orders!W1500="","None",Orders!W1500)</f>
        <v>None</v>
      </c>
      <c r="O1503" s="35">
        <f>INT(Orders!E1500)</f>
        <v>46276.0</v>
      </c>
      <c r="P1503" s="33">
        <f>Orders!U1500</f>
        <v>21</v>
      </c>
      <c r="Q1503" s="33">
        <f>COUNTIFS(Demand!$A$2:$A$4481,B1503,Demand!$B$2:$B$4481,O1503,Demand!$C$2:$C$4481,P1503)</f>
        <v>1</v>
      </c>
      <c r="R1503" s="33">
        <f>IF(Q1503=1,SUMIFS(Demand!$E$2:$E$4481,Demand!$A$2:$A$4481,B1503,Demand!$B$2:$B$4481,O1503,Demand!$C$2:$C$4481,P1503),"")</f>
        <v>62</v>
      </c>
      <c r="S1503" s="33">
        <f>INDEX(Stores!$G$2:$G$21,MATCH(B1503,Stores!$A$2:$A$21,0))</f>
        <v>42</v>
      </c>
      <c r="T1503" s="34">
        <f>IF(R1503="","",R1503/S1503)</f>
        <v>1.47619047619048</v>
      </c>
      <c r="U1503" s="34">
        <f>IF(E1503=1,T1503,"")</f>
        <v>1.47619047619048</v>
      </c>
      <c r="V1503" s="34" t="str">
        <f>IF(AND(E1503=1,L1503=0),T1503,"")</f>
        <v/>
      </c>
      <c r="W1503" s="33">
        <f>IF(U1503="","",IF(U1503&lt;=Breakdowns!$C$5,1,IF(U1503&lt;=Breakdowns!$C$6,2,IF(U1503&lt;=Breakdowns!$C$7,3,4))))</f>
        <v>4</v>
      </c>
      <c r="X1503" s="33" t="str">
        <f>IF(V1503="","",IF(V1503&lt;=Breakdowns!$D$5,1,IF(V1503&lt;=Breakdowns!$D$6,2,IF(V1503&lt;=Breakdowns!$D$7,3,4))))</f>
        <v/>
      </c>
      <c r="Y1503" s="34">
        <f>INDEX(Stores!$F$2:$F$21,MATCH(B1503,Stores!$A$2:$A$21,0))</f>
        <v>2.19</v>
      </c>
      <c r="Z1503" s="33">
        <f>IF(Y1503&gt;Store_Summary!$M$2,1,0)</f>
        <v>0</v>
      </c>
      <c r="AA1503" s="33">
        <f>INDEX(Stores!$C$2:$C$21,MATCH(B1503,Stores!$A$2:$A$21,0))</f>
        <v>850</v>
      </c>
      <c r="AB1503" s="33">
        <f>IF(AA1503&lt;180,1,0)</f>
        <v>0</v>
      </c>
      <c r="AC1503" s="32" t="str">
        <f>IF(Orders!D1500="","",INDEX(Riders!$C$2:$C$81,MATCH(Orders!D1500,Riders!$A$2:$A$81,0)))</f>
        <v>EV scooter</v>
      </c>
      <c r="AD1503" s="33">
        <f>IF(Orders!D1500="","",INDEX(Riders!$D$2:$D$81,MATCH(Orders!D1500,Riders!$A$2:$A$81,0)))</f>
        <v>10</v>
      </c>
      <c r="AE1503" s="33">
        <f>IF(Orders!D1500="","",IF(INDEX(Riders!$B$2:$B$81,MATCH(Orders!D1500,Riders!$A$2:$A$81,0))=B1503,1,0))</f>
        <v>0</v>
      </c>
      <c r="AF1503" s="34">
        <f>IF(E1503=1,Orders!L1500,"")</f>
        <v>3.3</v>
      </c>
      <c r="AG1503" s="34">
        <f>IF(E1503=1,Orders!P1500,"")</f>
        <v>9.4</v>
      </c>
      <c r="AH1503" s="34">
        <f>IF(E1503=1,Orders!Q1500,"")</f>
        <v>22.1</v>
      </c>
      <c r="AI1503" s="34">
        <f>IF(E1503=1,Orders!M1500,"")</f>
        <v>3.6</v>
      </c>
      <c r="AJ1503" s="34">
        <f>IF(E1503=1,Orders!N1500,"")</f>
        <v>10.9</v>
      </c>
      <c r="AK1503" s="34">
        <f>IF(E1503=1,Orders!O1500,"")</f>
        <v>7.5</v>
      </c>
      <c r="AL1503" s="33">
        <f>IF(E1503=1,IF(ROUND(ABS(AI1503+AJ1503+AK1503-AH1503),6)&lt;=0.1,1,0),"")</f>
        <v>1</v>
      </c>
      <c r="AM1503" s="36">
        <f>IF(E1503=1,AI1503/AH1503,"")</f>
        <v>0.16289592760181</v>
      </c>
      <c r="AN1503" s="36">
        <f>IF(E1503=1,AJ1503/AH1503,"")</f>
        <v>0.493212669683258</v>
      </c>
      <c r="AO1503" s="36">
        <f>IF(E1503=1,AK1503/AH1503,"")</f>
        <v>0.339366515837104</v>
      </c>
      <c r="AP1503" s="34">
        <f>IF(E1503=1,Orders!Y1500,"")</f>
        <v>0.46</v>
      </c>
      <c r="AQ1503" s="33">
        <f>IF(Orders!X1500,1,0)</f>
        <v>0</v>
      </c>
      <c r="AR1503" s="34">
        <f>IF(AND(E1503=1,L1503=1),AJ1503,"")</f>
        <v>10.9</v>
      </c>
      <c r="AS1503" s="34" t="str">
        <f>IF(AND(E1503=1,L1503=0),AJ1503,"")</f>
        <v/>
      </c>
      <c r="AT1503" s="34">
        <f>IF(AND(E1503=1,L1503=1),AI1503,"")</f>
        <v>3.6</v>
      </c>
      <c r="AU1503" s="34" t="str">
        <f>IF(AND(E1503=1,L1503=0),AI1503,"")</f>
        <v/>
      </c>
      <c r="AV1503" s="34">
        <f>IF(AND(E1503=1,L1503=1),AG1503,"")</f>
        <v>9.4</v>
      </c>
      <c r="AW1503" s="34" t="str">
        <f>IF(AND(E1503=1,L1503=0),AG1503,"")</f>
        <v/>
      </c>
      <c r="AX1503" s="34">
        <f>IF(AND(E1503=1,L1503=1),AH1503,"")</f>
        <v>22.1</v>
      </c>
      <c r="AY1503" s="34" t="str">
        <f>IF(AND(E1503=1,L1503=0),AH1503,"")</f>
        <v/>
      </c>
      <c r="AZ1503" s="34">
        <f>IF(G1503=1,F1503,"")</f>
        <v>12.7</v>
      </c>
      <c r="BA1503" s="34">
        <f>IF(AND(G1503=1,L1503=1),F1503,"")</f>
        <v>12.7</v>
      </c>
      <c r="BB1503" s="34" t="str">
        <f>IF(AND(G1503=1,L1503=0),F1503,"")</f>
        <v/>
      </c>
      <c r="BC1503" s="33">
        <f>IF(E1503=1,IF(Orders!R1500&gt;3,1,0),"")</f>
        <v>1</v>
      </c>
      <c r="BD1503" s="33">
        <f>IF(E1503=1,IF(Orders!R1500&gt;7,1,0),"")</f>
        <v>1</v>
      </c>
      <c r="BE1503" s="32" t="str">
        <f>IF(E1503=1,IF(Orders!L1500&lt;=1.5,"Up to 1.5 km",IF(Orders!L1500&lt;=3,"1.5–3 km","Over 3 km")),"")</f>
        <v>Over 3 km</v>
      </c>
      <c r="BF1503" s="33">
        <f>IF(E1503=1,IF(ABS((Orders!G1500-Orders!F1500)*1440-Orders!R1500)&lt;0.06,1,0),"")</f>
        <v>1</v>
      </c>
      <c r="BG1503" s="33">
        <f>IF(ABS((Orders!F1500-Orders!E1500)*1440-Orders!P1500)&lt;0.06,1,0)</f>
        <v>1</v>
      </c>
      <c r="BH1503" s="33">
        <f>IF(E1503=1,IF(IF(Orders!S1500,1,0)=1-G1503,1,0),"")</f>
        <v>1</v>
      </c>
      <c r="BI1503" s="32" t="str">
        <f>INDEX(Stores!$B$2:$B$21,MATCH(B1503,Stores!$A$2:$A$21,0))</f>
        <v>Pune</v>
      </c>
    </row>
    <row r="1504">
      <c r="A1504" s="32" t="str">
        <f>Orders!A1501</f>
        <v>O01500</v>
      </c>
      <c r="B1504" s="32" t="str">
        <f>Orders!C1501</f>
        <v>S013</v>
      </c>
      <c r="C1504" s="32" t="str">
        <f>Orders!B1501</f>
        <v>C0032</v>
      </c>
      <c r="D1504" s="32" t="str">
        <f>Orders!H1501</f>
        <v>Delivered</v>
      </c>
      <c r="E1504" s="33">
        <f>IF(Orders!H1501="Delivered",1,0)</f>
        <v>1</v>
      </c>
      <c r="F1504" s="34">
        <f>IF(E1504=1,Orders!R1501,"")</f>
        <v>-0.5</v>
      </c>
      <c r="G1504" s="33">
        <f>IF(E1504=1,IF(Orders!R1501&gt;0,1,0),"")</f>
        <v>0</v>
      </c>
      <c r="H1504" s="33">
        <f>IF(E1504=1,IF(Orders!R1501&gt;5,1,0),"")</f>
        <v>0</v>
      </c>
      <c r="I1504" s="32" t="str">
        <f>IF(E1504=1,"",IF(OR(Orders!T1501="Rider unavailable",Orders!T1501="Item unavailable"),"Company-caused","Unresolved"))</f>
        <v/>
      </c>
      <c r="J1504" s="33">
        <f>IF(OR(E1504=1,I1504="Company-caused"),1,0)</f>
        <v>1</v>
      </c>
      <c r="K1504" s="32" t="str">
        <f>IF(E1504=0,IF(I1504="Company-caused",IF(Orders!T1501="Rider unavailable","C1 Rider unavailable","C2 Item unavailable"),"Outside root: unresolved"),IF(G1504=0,"A On time",IF(H1504=1,IF(L1504=1,"B2a Severe, peak","B2b Severe, off-peak"),IF(L1504=1,"B1a Slight, peak","B1b Slight, off-peak"))))</f>
        <v>A On time</v>
      </c>
      <c r="L1504" s="33">
        <f>IF(AND(Orders!U1501&gt;=19,Orders!U1501&lt;22),1,0)</f>
        <v>0</v>
      </c>
      <c r="M1504" s="33">
        <f>IF(L1504=IF(Orders!V1501,1,0),1,0)</f>
        <v>1</v>
      </c>
      <c r="N1504" s="32" t="str">
        <f>IF(Orders!W1501="","None",Orders!W1501)</f>
        <v>Light</v>
      </c>
      <c r="O1504" s="35">
        <f>INT(Orders!E1501)</f>
        <v>46267.0</v>
      </c>
      <c r="P1504" s="33">
        <f>Orders!U1501</f>
        <v>18</v>
      </c>
      <c r="Q1504" s="33">
        <f>COUNTIFS(Demand!$A$2:$A$4481,B1504,Demand!$B$2:$B$4481,O1504,Demand!$C$2:$C$4481,P1504)</f>
        <v>1</v>
      </c>
      <c r="R1504" s="33">
        <f>IF(Q1504=1,SUMIFS(Demand!$E$2:$E$4481,Demand!$A$2:$A$4481,B1504,Demand!$B$2:$B$4481,O1504,Demand!$C$2:$C$4481,P1504),"")</f>
        <v>42</v>
      </c>
      <c r="S1504" s="33">
        <f>INDEX(Stores!$G$2:$G$21,MATCH(B1504,Stores!$A$2:$A$21,0))</f>
        <v>49</v>
      </c>
      <c r="T1504" s="34">
        <f>IF(R1504="","",R1504/S1504)</f>
        <v>0.857142857142857</v>
      </c>
      <c r="U1504" s="34">
        <f>IF(E1504=1,T1504,"")</f>
        <v>0.857142857142857</v>
      </c>
      <c r="V1504" s="34">
        <f>IF(AND(E1504=1,L1504=0),T1504,"")</f>
        <v>0.857142857142857</v>
      </c>
      <c r="W1504" s="33">
        <f>IF(U1504="","",IF(U1504&lt;=Breakdowns!$C$5,1,IF(U1504&lt;=Breakdowns!$C$6,2,IF(U1504&lt;=Breakdowns!$C$7,3,4))))</f>
        <v>2</v>
      </c>
      <c r="X1504" s="33">
        <f>IF(V1504="","",IF(V1504&lt;=Breakdowns!$D$5,1,IF(V1504&lt;=Breakdowns!$D$6,2,IF(V1504&lt;=Breakdowns!$D$7,3,4))))</f>
        <v>2</v>
      </c>
      <c r="Y1504" s="34">
        <f>INDEX(Stores!$F$2:$F$21,MATCH(B1504,Stores!$A$2:$A$21,0))</f>
        <v>5.82</v>
      </c>
      <c r="Z1504" s="33">
        <f>IF(Y1504&gt;Store_Summary!$M$2,1,0)</f>
        <v>1</v>
      </c>
      <c r="AA1504" s="33">
        <f>INDEX(Stores!$C$2:$C$21,MATCH(B1504,Stores!$A$2:$A$21,0))</f>
        <v>705</v>
      </c>
      <c r="AB1504" s="33">
        <f>IF(AA1504&lt;180,1,0)</f>
        <v>0</v>
      </c>
      <c r="AC1504" s="32" t="str">
        <f>IF(Orders!D1501="","",INDEX(Riders!$C$2:$C$81,MATCH(Orders!D1501,Riders!$A$2:$A$81,0)))</f>
        <v>EV scooter</v>
      </c>
      <c r="AD1504" s="33">
        <f>IF(Orders!D1501="","",INDEX(Riders!$D$2:$D$81,MATCH(Orders!D1501,Riders!$A$2:$A$81,0)))</f>
        <v>26</v>
      </c>
      <c r="AE1504" s="33">
        <f>IF(Orders!D1501="","",IF(INDEX(Riders!$B$2:$B$81,MATCH(Orders!D1501,Riders!$A$2:$A$81,0))=B1504,1,0))</f>
        <v>0</v>
      </c>
      <c r="AF1504" s="34">
        <f>IF(E1504=1,Orders!L1501,"")</f>
        <v>3</v>
      </c>
      <c r="AG1504" s="34">
        <f>IF(E1504=1,Orders!P1501,"")</f>
        <v>12.8</v>
      </c>
      <c r="AH1504" s="34">
        <f>IF(E1504=1,Orders!Q1501,"")</f>
        <v>12.3</v>
      </c>
      <c r="AI1504" s="34">
        <f>IF(E1504=1,Orders!M1501,"")</f>
        <v>2.9</v>
      </c>
      <c r="AJ1504" s="34">
        <f>IF(E1504=1,Orders!N1501,"")</f>
        <v>4.4</v>
      </c>
      <c r="AK1504" s="34">
        <f>IF(E1504=1,Orders!O1501,"")</f>
        <v>5</v>
      </c>
      <c r="AL1504" s="33">
        <f>IF(E1504=1,IF(ROUND(ABS(AI1504+AJ1504+AK1504-AH1504),6)&lt;=0.1,1,0),"")</f>
        <v>1</v>
      </c>
      <c r="AM1504" s="36">
        <f>IF(E1504=1,AI1504/AH1504,"")</f>
        <v>0.235772357723577</v>
      </c>
      <c r="AN1504" s="36">
        <f>IF(E1504=1,AJ1504/AH1504,"")</f>
        <v>0.357723577235772</v>
      </c>
      <c r="AO1504" s="36">
        <f>IF(E1504=1,AK1504/AH1504,"")</f>
        <v>0.40650406504065</v>
      </c>
      <c r="AP1504" s="34">
        <f>IF(E1504=1,Orders!Y1501,"")</f>
        <v>0.71</v>
      </c>
      <c r="AQ1504" s="33">
        <f>IF(Orders!X1501,1,0)</f>
        <v>0</v>
      </c>
      <c r="AR1504" s="34" t="str">
        <f>IF(AND(E1504=1,L1504=1),AJ1504,"")</f>
        <v/>
      </c>
      <c r="AS1504" s="34">
        <f>IF(AND(E1504=1,L1504=0),AJ1504,"")</f>
        <v>4.4</v>
      </c>
      <c r="AT1504" s="34" t="str">
        <f>IF(AND(E1504=1,L1504=1),AI1504,"")</f>
        <v/>
      </c>
      <c r="AU1504" s="34">
        <f>IF(AND(E1504=1,L1504=0),AI1504,"")</f>
        <v>2.9</v>
      </c>
      <c r="AV1504" s="34" t="str">
        <f>IF(AND(E1504=1,L1504=1),AG1504,"")</f>
        <v/>
      </c>
      <c r="AW1504" s="34">
        <f>IF(AND(E1504=1,L1504=0),AG1504,"")</f>
        <v>12.8</v>
      </c>
      <c r="AX1504" s="34" t="str">
        <f>IF(AND(E1504=1,L1504=1),AH1504,"")</f>
        <v/>
      </c>
      <c r="AY1504" s="34">
        <f>IF(AND(E1504=1,L1504=0),AH1504,"")</f>
        <v>12.3</v>
      </c>
      <c r="AZ1504" s="34" t="str">
        <f>IF(G1504=1,F1504,"")</f>
        <v/>
      </c>
      <c r="BA1504" s="34" t="str">
        <f>IF(AND(G1504=1,L1504=1),F1504,"")</f>
        <v/>
      </c>
      <c r="BB1504" s="34" t="str">
        <f>IF(AND(G1504=1,L1504=0),F1504,"")</f>
        <v/>
      </c>
      <c r="BC1504" s="33">
        <f>IF(E1504=1,IF(Orders!R1501&gt;3,1,0),"")</f>
        <v>0</v>
      </c>
      <c r="BD1504" s="33">
        <f>IF(E1504=1,IF(Orders!R1501&gt;7,1,0),"")</f>
        <v>0</v>
      </c>
      <c r="BE1504" s="32" t="str">
        <f>IF(E1504=1,IF(Orders!L1501&lt;=1.5,"Up to 1.5 km",IF(Orders!L1501&lt;=3,"1.5–3 km","Over 3 km")),"")</f>
        <v>1.5–3 km</v>
      </c>
      <c r="BF1504" s="33">
        <f>IF(E1504=1,IF(ABS((Orders!G1501-Orders!F1501)*1440-Orders!R1501)&lt;0.06,1,0),"")</f>
        <v>1</v>
      </c>
      <c r="BG1504" s="33">
        <f>IF(ABS((Orders!F1501-Orders!E1501)*1440-Orders!P1501)&lt;0.06,1,0)</f>
        <v>1</v>
      </c>
      <c r="BH1504" s="33">
        <f>IF(E1504=1,IF(IF(Orders!S1501,1,0)=1-G1504,1,0),"")</f>
        <v>1</v>
      </c>
      <c r="BI1504" s="32" t="str">
        <f>INDEX(Stores!$B$2:$B$21,MATCH(B1504,Stores!$A$2:$A$21,0))</f>
        <v>Mumbai</v>
      </c>
    </row>
  </sheetData>
  <autoFilter ref="A4:BI150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483"/>
  <sheetViews>
    <sheetView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7" customWidth="1" min="3" max="3"/>
    <col width="12" customWidth="1" min="4" max="4"/>
    <col width="10" customWidth="1" min="5" max="5"/>
    <col width="14" customWidth="1" min="6" max="6"/>
    <col width="13" customWidth="1" min="7" max="7"/>
    <col width="13" customWidth="1" min="8" max="8"/>
  </cols>
  <sheetData>
    <row r="1" ht="26" customHeight="1">
      <c r="A1" s="4" t="inlineStr">
        <is>
          <t>Calc_Demand: one row per store-hour in Demand</t>
        </is>
      </c>
    </row>
    <row r="2" ht="18" customHeight="1">
      <c r="A2" s="5" t="inlineStr">
        <is>
          <t>Shows how many Orders-sheet rows fall in each store-hour. Demand counts all 128,528 orders placed; the Orders sheet holds only some of them.</t>
        </is>
      </c>
    </row>
    <row r="3" ht="32" customHeight="1">
      <c r="A3" s="6" t="inlineStr">
        <is>
          <t>store_id</t>
        </is>
      </c>
      <c r="B3" s="6" t="inlineStr">
        <is>
          <t>date</t>
        </is>
      </c>
      <c r="C3" s="6" t="inlineStr">
        <is>
          <t>hour</t>
        </is>
      </c>
      <c r="D3" s="6" t="inlineStr">
        <is>
          <t>Orders placed (Demand)</t>
        </is>
      </c>
      <c r="E3" s="6" t="inlineStr">
        <is>
          <t>Peak window (1/0)</t>
        </is>
      </c>
      <c r="F3" s="6" t="inlineStr">
        <is>
          <t>Orders-sheet rows in this store-hour</t>
        </is>
      </c>
      <c r="G3" s="6" t="inlineStr">
        <is>
          <t>Has at least one Orders row (1/0)</t>
        </is>
      </c>
      <c r="H3" s="6" t="inlineStr">
        <is>
          <t>Demand rows with the same key</t>
        </is>
      </c>
    </row>
    <row r="4">
      <c r="A4" s="32" t="str">
        <f>Demand!A2</f>
        <v>S001</v>
      </c>
      <c r="B4" s="35">
        <f>Demand!B2</f>
        <v>46266.0</v>
      </c>
      <c r="C4" s="33">
        <f>Demand!C2</f>
        <v>8</v>
      </c>
      <c r="D4" s="33">
        <f>Demand!E2</f>
        <v>10</v>
      </c>
      <c r="E4" s="33">
        <f>IF(Demand!F2,1,0)</f>
        <v>0</v>
      </c>
      <c r="F4" s="33">
        <f>COUNTIFS(c_store,A4,c_date,B4,c_hour,C4)</f>
        <v>0</v>
      </c>
      <c r="G4" s="33">
        <f>IF(F4&gt;0,1,0)</f>
        <v>0</v>
      </c>
      <c r="H4" s="33">
        <f>COUNTIFS(Demand!$A$2:$A$4481,A4,Demand!$B$2:$B$4481,B4,Demand!$C$2:$C$4481,C4)</f>
        <v>1</v>
      </c>
    </row>
    <row r="5">
      <c r="A5" s="32" t="str">
        <f>Demand!A3</f>
        <v>S001</v>
      </c>
      <c r="B5" s="35">
        <f>Demand!B3</f>
        <v>46266.0</v>
      </c>
      <c r="C5" s="33">
        <f>Demand!C3</f>
        <v>9</v>
      </c>
      <c r="D5" s="33">
        <f>Demand!E3</f>
        <v>6</v>
      </c>
      <c r="E5" s="33">
        <f>IF(Demand!F3,1,0)</f>
        <v>0</v>
      </c>
      <c r="F5" s="33">
        <f>COUNTIFS(c_store,A5,c_date,B5,c_hour,C5)</f>
        <v>0</v>
      </c>
      <c r="G5" s="33">
        <f>IF(F5&gt;0,1,0)</f>
        <v>0</v>
      </c>
      <c r="H5" s="33">
        <f>COUNTIFS(Demand!$A$2:$A$4481,A5,Demand!$B$2:$B$4481,B5,Demand!$C$2:$C$4481,C5)</f>
        <v>1</v>
      </c>
    </row>
    <row r="6">
      <c r="A6" s="32" t="str">
        <f>Demand!A4</f>
        <v>S001</v>
      </c>
      <c r="B6" s="35">
        <f>Demand!B4</f>
        <v>46266.0</v>
      </c>
      <c r="C6" s="33">
        <f>Demand!C4</f>
        <v>10</v>
      </c>
      <c r="D6" s="33">
        <f>Demand!E4</f>
        <v>16</v>
      </c>
      <c r="E6" s="33">
        <f>IF(Demand!F4,1,0)</f>
        <v>0</v>
      </c>
      <c r="F6" s="33">
        <f>COUNTIFS(c_store,A6,c_date,B6,c_hour,C6)</f>
        <v>0</v>
      </c>
      <c r="G6" s="33">
        <f>IF(F6&gt;0,1,0)</f>
        <v>0</v>
      </c>
      <c r="H6" s="33">
        <f>COUNTIFS(Demand!$A$2:$A$4481,A6,Demand!$B$2:$B$4481,B6,Demand!$C$2:$C$4481,C6)</f>
        <v>1</v>
      </c>
    </row>
    <row r="7">
      <c r="A7" s="32" t="str">
        <f>Demand!A5</f>
        <v>S001</v>
      </c>
      <c r="B7" s="35">
        <f>Demand!B5</f>
        <v>46266.0</v>
      </c>
      <c r="C7" s="33">
        <f>Demand!C5</f>
        <v>11</v>
      </c>
      <c r="D7" s="33">
        <f>Demand!E5</f>
        <v>24</v>
      </c>
      <c r="E7" s="33">
        <f>IF(Demand!F5,1,0)</f>
        <v>0</v>
      </c>
      <c r="F7" s="33">
        <f>COUNTIFS(c_store,A7,c_date,B7,c_hour,C7)</f>
        <v>0</v>
      </c>
      <c r="G7" s="33">
        <f>IF(F7&gt;0,1,0)</f>
        <v>0</v>
      </c>
      <c r="H7" s="33">
        <f>COUNTIFS(Demand!$A$2:$A$4481,A7,Demand!$B$2:$B$4481,B7,Demand!$C$2:$C$4481,C7)</f>
        <v>1</v>
      </c>
    </row>
    <row r="8">
      <c r="A8" s="32" t="str">
        <f>Demand!A6</f>
        <v>S001</v>
      </c>
      <c r="B8" s="35">
        <f>Demand!B6</f>
        <v>46266.0</v>
      </c>
      <c r="C8" s="33">
        <f>Demand!C6</f>
        <v>12</v>
      </c>
      <c r="D8" s="33">
        <f>Demand!E6</f>
        <v>12</v>
      </c>
      <c r="E8" s="33">
        <f>IF(Demand!F6,1,0)</f>
        <v>0</v>
      </c>
      <c r="F8" s="33">
        <f>COUNTIFS(c_store,A8,c_date,B8,c_hour,C8)</f>
        <v>0</v>
      </c>
      <c r="G8" s="33">
        <f>IF(F8&gt;0,1,0)</f>
        <v>0</v>
      </c>
      <c r="H8" s="33">
        <f>COUNTIFS(Demand!$A$2:$A$4481,A8,Demand!$B$2:$B$4481,B8,Demand!$C$2:$C$4481,C8)</f>
        <v>1</v>
      </c>
    </row>
    <row r="9">
      <c r="A9" s="32" t="str">
        <f>Demand!A7</f>
        <v>S001</v>
      </c>
      <c r="B9" s="35">
        <f>Demand!B7</f>
        <v>46266.0</v>
      </c>
      <c r="C9" s="33">
        <f>Demand!C7</f>
        <v>13</v>
      </c>
      <c r="D9" s="33">
        <f>Demand!E7</f>
        <v>19</v>
      </c>
      <c r="E9" s="33">
        <f>IF(Demand!F7,1,0)</f>
        <v>0</v>
      </c>
      <c r="F9" s="33">
        <f>COUNTIFS(c_store,A9,c_date,B9,c_hour,C9)</f>
        <v>0</v>
      </c>
      <c r="G9" s="33">
        <f>IF(F9&gt;0,1,0)</f>
        <v>0</v>
      </c>
      <c r="H9" s="33">
        <f>COUNTIFS(Demand!$A$2:$A$4481,A9,Demand!$B$2:$B$4481,B9,Demand!$C$2:$C$4481,C9)</f>
        <v>1</v>
      </c>
    </row>
    <row r="10">
      <c r="A10" s="32" t="str">
        <f>Demand!A8</f>
        <v>S001</v>
      </c>
      <c r="B10" s="35">
        <f>Demand!B8</f>
        <v>46266.0</v>
      </c>
      <c r="C10" s="33">
        <f>Demand!C8</f>
        <v>14</v>
      </c>
      <c r="D10" s="33">
        <f>Demand!E8</f>
        <v>12</v>
      </c>
      <c r="E10" s="33">
        <f>IF(Demand!F8,1,0)</f>
        <v>0</v>
      </c>
      <c r="F10" s="33">
        <f>COUNTIFS(c_store,A10,c_date,B10,c_hour,C10)</f>
        <v>0</v>
      </c>
      <c r="G10" s="33">
        <f>IF(F10&gt;0,1,0)</f>
        <v>0</v>
      </c>
      <c r="H10" s="33">
        <f>COUNTIFS(Demand!$A$2:$A$4481,A10,Demand!$B$2:$B$4481,B10,Demand!$C$2:$C$4481,C10)</f>
        <v>1</v>
      </c>
    </row>
    <row r="11">
      <c r="A11" s="32" t="str">
        <f>Demand!A9</f>
        <v>S001</v>
      </c>
      <c r="B11" s="35">
        <f>Demand!B9</f>
        <v>46266.0</v>
      </c>
      <c r="C11" s="33">
        <f>Demand!C9</f>
        <v>15</v>
      </c>
      <c r="D11" s="33">
        <f>Demand!E9</f>
        <v>15</v>
      </c>
      <c r="E11" s="33">
        <f>IF(Demand!F9,1,0)</f>
        <v>0</v>
      </c>
      <c r="F11" s="33">
        <f>COUNTIFS(c_store,A11,c_date,B11,c_hour,C11)</f>
        <v>0</v>
      </c>
      <c r="G11" s="33">
        <f>IF(F11&gt;0,1,0)</f>
        <v>0</v>
      </c>
      <c r="H11" s="33">
        <f>COUNTIFS(Demand!$A$2:$A$4481,A11,Demand!$B$2:$B$4481,B11,Demand!$C$2:$C$4481,C11)</f>
        <v>1</v>
      </c>
    </row>
    <row r="12">
      <c r="A12" s="32" t="str">
        <f>Demand!A10</f>
        <v>S001</v>
      </c>
      <c r="B12" s="35">
        <f>Demand!B10</f>
        <v>46266.0</v>
      </c>
      <c r="C12" s="33">
        <f>Demand!C10</f>
        <v>16</v>
      </c>
      <c r="D12" s="33">
        <f>Demand!E10</f>
        <v>21</v>
      </c>
      <c r="E12" s="33">
        <f>IF(Demand!F10,1,0)</f>
        <v>0</v>
      </c>
      <c r="F12" s="33">
        <f>COUNTIFS(c_store,A12,c_date,B12,c_hour,C12)</f>
        <v>1</v>
      </c>
      <c r="G12" s="33">
        <f>IF(F12&gt;0,1,0)</f>
        <v>1</v>
      </c>
      <c r="H12" s="33">
        <f>COUNTIFS(Demand!$A$2:$A$4481,A12,Demand!$B$2:$B$4481,B12,Demand!$C$2:$C$4481,C12)</f>
        <v>1</v>
      </c>
    </row>
    <row r="13">
      <c r="A13" s="32" t="str">
        <f>Demand!A11</f>
        <v>S001</v>
      </c>
      <c r="B13" s="35">
        <f>Demand!B11</f>
        <v>46266.0</v>
      </c>
      <c r="C13" s="33">
        <f>Demand!C11</f>
        <v>17</v>
      </c>
      <c r="D13" s="33">
        <f>Demand!E11</f>
        <v>8</v>
      </c>
      <c r="E13" s="33">
        <f>IF(Demand!F11,1,0)</f>
        <v>0</v>
      </c>
      <c r="F13" s="33">
        <f>COUNTIFS(c_store,A13,c_date,B13,c_hour,C13)</f>
        <v>0</v>
      </c>
      <c r="G13" s="33">
        <f>IF(F13&gt;0,1,0)</f>
        <v>0</v>
      </c>
      <c r="H13" s="33">
        <f>COUNTIFS(Demand!$A$2:$A$4481,A13,Demand!$B$2:$B$4481,B13,Demand!$C$2:$C$4481,C13)</f>
        <v>1</v>
      </c>
    </row>
    <row r="14">
      <c r="A14" s="32" t="str">
        <f>Demand!A12</f>
        <v>S001</v>
      </c>
      <c r="B14" s="35">
        <f>Demand!B12</f>
        <v>46266.0</v>
      </c>
      <c r="C14" s="33">
        <f>Demand!C12</f>
        <v>18</v>
      </c>
      <c r="D14" s="33">
        <f>Demand!E12</f>
        <v>18</v>
      </c>
      <c r="E14" s="33">
        <f>IF(Demand!F12,1,0)</f>
        <v>0</v>
      </c>
      <c r="F14" s="33">
        <f>COUNTIFS(c_store,A14,c_date,B14,c_hour,C14)</f>
        <v>0</v>
      </c>
      <c r="G14" s="33">
        <f>IF(F14&gt;0,1,0)</f>
        <v>0</v>
      </c>
      <c r="H14" s="33">
        <f>COUNTIFS(Demand!$A$2:$A$4481,A14,Demand!$B$2:$B$4481,B14,Demand!$C$2:$C$4481,C14)</f>
        <v>1</v>
      </c>
    </row>
    <row r="15">
      <c r="A15" s="32" t="str">
        <f>Demand!A13</f>
        <v>S001</v>
      </c>
      <c r="B15" s="35">
        <f>Demand!B13</f>
        <v>46266.0</v>
      </c>
      <c r="C15" s="33">
        <f>Demand!C13</f>
        <v>19</v>
      </c>
      <c r="D15" s="33">
        <f>Demand!E13</f>
        <v>32</v>
      </c>
      <c r="E15" s="33">
        <f>IF(Demand!F13,1,0)</f>
        <v>1</v>
      </c>
      <c r="F15" s="33">
        <f>COUNTIFS(c_store,A15,c_date,B15,c_hour,C15)</f>
        <v>0</v>
      </c>
      <c r="G15" s="33">
        <f>IF(F15&gt;0,1,0)</f>
        <v>0</v>
      </c>
      <c r="H15" s="33">
        <f>COUNTIFS(Demand!$A$2:$A$4481,A15,Demand!$B$2:$B$4481,B15,Demand!$C$2:$C$4481,C15)</f>
        <v>1</v>
      </c>
    </row>
    <row r="16">
      <c r="A16" s="32" t="str">
        <f>Demand!A14</f>
        <v>S001</v>
      </c>
      <c r="B16" s="35">
        <f>Demand!B14</f>
        <v>46266.0</v>
      </c>
      <c r="C16" s="33">
        <f>Demand!C14</f>
        <v>20</v>
      </c>
      <c r="D16" s="33">
        <f>Demand!E14</f>
        <v>24</v>
      </c>
      <c r="E16" s="33">
        <f>IF(Demand!F14,1,0)</f>
        <v>1</v>
      </c>
      <c r="F16" s="33">
        <f>COUNTIFS(c_store,A16,c_date,B16,c_hour,C16)</f>
        <v>0</v>
      </c>
      <c r="G16" s="33">
        <f>IF(F16&gt;0,1,0)</f>
        <v>0</v>
      </c>
      <c r="H16" s="33">
        <f>COUNTIFS(Demand!$A$2:$A$4481,A16,Demand!$B$2:$B$4481,B16,Demand!$C$2:$C$4481,C16)</f>
        <v>1</v>
      </c>
    </row>
    <row r="17">
      <c r="A17" s="32" t="str">
        <f>Demand!A15</f>
        <v>S001</v>
      </c>
      <c r="B17" s="35">
        <f>Demand!B15</f>
        <v>46266.0</v>
      </c>
      <c r="C17" s="33">
        <f>Demand!C15</f>
        <v>21</v>
      </c>
      <c r="D17" s="33">
        <f>Demand!E15</f>
        <v>15</v>
      </c>
      <c r="E17" s="33">
        <f>IF(Demand!F15,1,0)</f>
        <v>1</v>
      </c>
      <c r="F17" s="33">
        <f>COUNTIFS(c_store,A17,c_date,B17,c_hour,C17)</f>
        <v>0</v>
      </c>
      <c r="G17" s="33">
        <f>IF(F17&gt;0,1,0)</f>
        <v>0</v>
      </c>
      <c r="H17" s="33">
        <f>COUNTIFS(Demand!$A$2:$A$4481,A17,Demand!$B$2:$B$4481,B17,Demand!$C$2:$C$4481,C17)</f>
        <v>1</v>
      </c>
    </row>
    <row r="18">
      <c r="A18" s="32" t="str">
        <f>Demand!A16</f>
        <v>S001</v>
      </c>
      <c r="B18" s="35">
        <f>Demand!B16</f>
        <v>46266.0</v>
      </c>
      <c r="C18" s="33">
        <f>Demand!C16</f>
        <v>22</v>
      </c>
      <c r="D18" s="33">
        <f>Demand!E16</f>
        <v>26</v>
      </c>
      <c r="E18" s="33">
        <f>IF(Demand!F16,1,0)</f>
        <v>0</v>
      </c>
      <c r="F18" s="33">
        <f>COUNTIFS(c_store,A18,c_date,B18,c_hour,C18)</f>
        <v>2</v>
      </c>
      <c r="G18" s="33">
        <f>IF(F18&gt;0,1,0)</f>
        <v>1</v>
      </c>
      <c r="H18" s="33">
        <f>COUNTIFS(Demand!$A$2:$A$4481,A18,Demand!$B$2:$B$4481,B18,Demand!$C$2:$C$4481,C18)</f>
        <v>1</v>
      </c>
    </row>
    <row r="19">
      <c r="A19" s="32" t="str">
        <f>Demand!A17</f>
        <v>S001</v>
      </c>
      <c r="B19" s="35">
        <f>Demand!B17</f>
        <v>46266.0</v>
      </c>
      <c r="C19" s="33">
        <f>Demand!C17</f>
        <v>23</v>
      </c>
      <c r="D19" s="33">
        <f>Demand!E17</f>
        <v>17</v>
      </c>
      <c r="E19" s="33">
        <f>IF(Demand!F17,1,0)</f>
        <v>0</v>
      </c>
      <c r="F19" s="33">
        <f>COUNTIFS(c_store,A19,c_date,B19,c_hour,C19)</f>
        <v>0</v>
      </c>
      <c r="G19" s="33">
        <f>IF(F19&gt;0,1,0)</f>
        <v>0</v>
      </c>
      <c r="H19" s="33">
        <f>COUNTIFS(Demand!$A$2:$A$4481,A19,Demand!$B$2:$B$4481,B19,Demand!$C$2:$C$4481,C19)</f>
        <v>1</v>
      </c>
    </row>
    <row r="20">
      <c r="A20" s="32" t="str">
        <f>Demand!A18</f>
        <v>S002</v>
      </c>
      <c r="B20" s="35">
        <f>Demand!B18</f>
        <v>46266.0</v>
      </c>
      <c r="C20" s="33">
        <f>Demand!C18</f>
        <v>8</v>
      </c>
      <c r="D20" s="33">
        <f>Demand!E18</f>
        <v>25</v>
      </c>
      <c r="E20" s="33">
        <f>IF(Demand!F18,1,0)</f>
        <v>0</v>
      </c>
      <c r="F20" s="33">
        <f>COUNTIFS(c_store,A20,c_date,B20,c_hour,C20)</f>
        <v>2</v>
      </c>
      <c r="G20" s="33">
        <f>IF(F20&gt;0,1,0)</f>
        <v>1</v>
      </c>
      <c r="H20" s="33">
        <f>COUNTIFS(Demand!$A$2:$A$4481,A20,Demand!$B$2:$B$4481,B20,Demand!$C$2:$C$4481,C20)</f>
        <v>1</v>
      </c>
    </row>
    <row r="21">
      <c r="A21" s="32" t="str">
        <f>Demand!A19</f>
        <v>S002</v>
      </c>
      <c r="B21" s="35">
        <f>Demand!B19</f>
        <v>46266.0</v>
      </c>
      <c r="C21" s="33">
        <f>Demand!C19</f>
        <v>9</v>
      </c>
      <c r="D21" s="33">
        <f>Demand!E19</f>
        <v>28</v>
      </c>
      <c r="E21" s="33">
        <f>IF(Demand!F19,1,0)</f>
        <v>0</v>
      </c>
      <c r="F21" s="33">
        <f>COUNTIFS(c_store,A21,c_date,B21,c_hour,C21)</f>
        <v>1</v>
      </c>
      <c r="G21" s="33">
        <f>IF(F21&gt;0,1,0)</f>
        <v>1</v>
      </c>
      <c r="H21" s="33">
        <f>COUNTIFS(Demand!$A$2:$A$4481,A21,Demand!$B$2:$B$4481,B21,Demand!$C$2:$C$4481,C21)</f>
        <v>1</v>
      </c>
    </row>
    <row r="22">
      <c r="A22" s="32" t="str">
        <f>Demand!A20</f>
        <v>S002</v>
      </c>
      <c r="B22" s="35">
        <f>Demand!B20</f>
        <v>46266.0</v>
      </c>
      <c r="C22" s="33">
        <f>Demand!C20</f>
        <v>10</v>
      </c>
      <c r="D22" s="33">
        <f>Demand!E20</f>
        <v>24</v>
      </c>
      <c r="E22" s="33">
        <f>IF(Demand!F20,1,0)</f>
        <v>0</v>
      </c>
      <c r="F22" s="33">
        <f>COUNTIFS(c_store,A22,c_date,B22,c_hour,C22)</f>
        <v>0</v>
      </c>
      <c r="G22" s="33">
        <f>IF(F22&gt;0,1,0)</f>
        <v>0</v>
      </c>
      <c r="H22" s="33">
        <f>COUNTIFS(Demand!$A$2:$A$4481,A22,Demand!$B$2:$B$4481,B22,Demand!$C$2:$C$4481,C22)</f>
        <v>1</v>
      </c>
    </row>
    <row r="23">
      <c r="A23" s="32" t="str">
        <f>Demand!A21</f>
        <v>S002</v>
      </c>
      <c r="B23" s="35">
        <f>Demand!B21</f>
        <v>46266.0</v>
      </c>
      <c r="C23" s="33">
        <f>Demand!C21</f>
        <v>11</v>
      </c>
      <c r="D23" s="33">
        <f>Demand!E21</f>
        <v>36</v>
      </c>
      <c r="E23" s="33">
        <f>IF(Demand!F21,1,0)</f>
        <v>0</v>
      </c>
      <c r="F23" s="33">
        <f>COUNTIFS(c_store,A23,c_date,B23,c_hour,C23)</f>
        <v>2</v>
      </c>
      <c r="G23" s="33">
        <f>IF(F23&gt;0,1,0)</f>
        <v>1</v>
      </c>
      <c r="H23" s="33">
        <f>COUNTIFS(Demand!$A$2:$A$4481,A23,Demand!$B$2:$B$4481,B23,Demand!$C$2:$C$4481,C23)</f>
        <v>1</v>
      </c>
    </row>
    <row r="24">
      <c r="A24" s="32" t="str">
        <f>Demand!A22</f>
        <v>S002</v>
      </c>
      <c r="B24" s="35">
        <f>Demand!B22</f>
        <v>46266.0</v>
      </c>
      <c r="C24" s="33">
        <f>Demand!C22</f>
        <v>12</v>
      </c>
      <c r="D24" s="33">
        <f>Demand!E22</f>
        <v>26</v>
      </c>
      <c r="E24" s="33">
        <f>IF(Demand!F22,1,0)</f>
        <v>0</v>
      </c>
      <c r="F24" s="33">
        <f>COUNTIFS(c_store,A24,c_date,B24,c_hour,C24)</f>
        <v>0</v>
      </c>
      <c r="G24" s="33">
        <f>IF(F24&gt;0,1,0)</f>
        <v>0</v>
      </c>
      <c r="H24" s="33">
        <f>COUNTIFS(Demand!$A$2:$A$4481,A24,Demand!$B$2:$B$4481,B24,Demand!$C$2:$C$4481,C24)</f>
        <v>1</v>
      </c>
    </row>
    <row r="25">
      <c r="A25" s="32" t="str">
        <f>Demand!A23</f>
        <v>S002</v>
      </c>
      <c r="B25" s="35">
        <f>Demand!B23</f>
        <v>46266.0</v>
      </c>
      <c r="C25" s="33">
        <f>Demand!C23</f>
        <v>13</v>
      </c>
      <c r="D25" s="33">
        <f>Demand!E23</f>
        <v>39</v>
      </c>
      <c r="E25" s="33">
        <f>IF(Demand!F23,1,0)</f>
        <v>0</v>
      </c>
      <c r="F25" s="33">
        <f>COUNTIFS(c_store,A25,c_date,B25,c_hour,C25)</f>
        <v>0</v>
      </c>
      <c r="G25" s="33">
        <f>IF(F25&gt;0,1,0)</f>
        <v>0</v>
      </c>
      <c r="H25" s="33">
        <f>COUNTIFS(Demand!$A$2:$A$4481,A25,Demand!$B$2:$B$4481,B25,Demand!$C$2:$C$4481,C25)</f>
        <v>1</v>
      </c>
    </row>
    <row r="26">
      <c r="A26" s="32" t="str">
        <f>Demand!A24</f>
        <v>S002</v>
      </c>
      <c r="B26" s="35">
        <f>Demand!B24</f>
        <v>46266.0</v>
      </c>
      <c r="C26" s="33">
        <f>Demand!C24</f>
        <v>14</v>
      </c>
      <c r="D26" s="33">
        <f>Demand!E24</f>
        <v>22</v>
      </c>
      <c r="E26" s="33">
        <f>IF(Demand!F24,1,0)</f>
        <v>0</v>
      </c>
      <c r="F26" s="33">
        <f>COUNTIFS(c_store,A26,c_date,B26,c_hour,C26)</f>
        <v>0</v>
      </c>
      <c r="G26" s="33">
        <f>IF(F26&gt;0,1,0)</f>
        <v>0</v>
      </c>
      <c r="H26" s="33">
        <f>COUNTIFS(Demand!$A$2:$A$4481,A26,Demand!$B$2:$B$4481,B26,Demand!$C$2:$C$4481,C26)</f>
        <v>1</v>
      </c>
    </row>
    <row r="27">
      <c r="A27" s="32" t="str">
        <f>Demand!A25</f>
        <v>S002</v>
      </c>
      <c r="B27" s="35">
        <f>Demand!B25</f>
        <v>46266.0</v>
      </c>
      <c r="C27" s="33">
        <f>Demand!C25</f>
        <v>15</v>
      </c>
      <c r="D27" s="33">
        <f>Demand!E25</f>
        <v>27</v>
      </c>
      <c r="E27" s="33">
        <f>IF(Demand!F25,1,0)</f>
        <v>0</v>
      </c>
      <c r="F27" s="33">
        <f>COUNTIFS(c_store,A27,c_date,B27,c_hour,C27)</f>
        <v>0</v>
      </c>
      <c r="G27" s="33">
        <f>IF(F27&gt;0,1,0)</f>
        <v>0</v>
      </c>
      <c r="H27" s="33">
        <f>COUNTIFS(Demand!$A$2:$A$4481,A27,Demand!$B$2:$B$4481,B27,Demand!$C$2:$C$4481,C27)</f>
        <v>1</v>
      </c>
    </row>
    <row r="28">
      <c r="A28" s="32" t="str">
        <f>Demand!A26</f>
        <v>S002</v>
      </c>
      <c r="B28" s="35">
        <f>Demand!B26</f>
        <v>46266.0</v>
      </c>
      <c r="C28" s="33">
        <f>Demand!C26</f>
        <v>16</v>
      </c>
      <c r="D28" s="33">
        <f>Demand!E26</f>
        <v>35</v>
      </c>
      <c r="E28" s="33">
        <f>IF(Demand!F26,1,0)</f>
        <v>0</v>
      </c>
      <c r="F28" s="33">
        <f>COUNTIFS(c_store,A28,c_date,B28,c_hour,C28)</f>
        <v>1</v>
      </c>
      <c r="G28" s="33">
        <f>IF(F28&gt;0,1,0)</f>
        <v>1</v>
      </c>
      <c r="H28" s="33">
        <f>COUNTIFS(Demand!$A$2:$A$4481,A28,Demand!$B$2:$B$4481,B28,Demand!$C$2:$C$4481,C28)</f>
        <v>1</v>
      </c>
    </row>
    <row r="29">
      <c r="A29" s="32" t="str">
        <f>Demand!A27</f>
        <v>S002</v>
      </c>
      <c r="B29" s="35">
        <f>Demand!B27</f>
        <v>46266.0</v>
      </c>
      <c r="C29" s="33">
        <f>Demand!C27</f>
        <v>17</v>
      </c>
      <c r="D29" s="33">
        <f>Demand!E27</f>
        <v>29</v>
      </c>
      <c r="E29" s="33">
        <f>IF(Demand!F27,1,0)</f>
        <v>0</v>
      </c>
      <c r="F29" s="33">
        <f>COUNTIFS(c_store,A29,c_date,B29,c_hour,C29)</f>
        <v>0</v>
      </c>
      <c r="G29" s="33">
        <f>IF(F29&gt;0,1,0)</f>
        <v>0</v>
      </c>
      <c r="H29" s="33">
        <f>COUNTIFS(Demand!$A$2:$A$4481,A29,Demand!$B$2:$B$4481,B29,Demand!$C$2:$C$4481,C29)</f>
        <v>1</v>
      </c>
    </row>
    <row r="30">
      <c r="A30" s="32" t="str">
        <f>Demand!A28</f>
        <v>S002</v>
      </c>
      <c r="B30" s="35">
        <f>Demand!B28</f>
        <v>46266.0</v>
      </c>
      <c r="C30" s="33">
        <f>Demand!C28</f>
        <v>18</v>
      </c>
      <c r="D30" s="33">
        <f>Demand!E28</f>
        <v>33</v>
      </c>
      <c r="E30" s="33">
        <f>IF(Demand!F28,1,0)</f>
        <v>0</v>
      </c>
      <c r="F30" s="33">
        <f>COUNTIFS(c_store,A30,c_date,B30,c_hour,C30)</f>
        <v>1</v>
      </c>
      <c r="G30" s="33">
        <f>IF(F30&gt;0,1,0)</f>
        <v>1</v>
      </c>
      <c r="H30" s="33">
        <f>COUNTIFS(Demand!$A$2:$A$4481,A30,Demand!$B$2:$B$4481,B30,Demand!$C$2:$C$4481,C30)</f>
        <v>1</v>
      </c>
    </row>
    <row r="31">
      <c r="A31" s="32" t="str">
        <f>Demand!A29</f>
        <v>S002</v>
      </c>
      <c r="B31" s="35">
        <f>Demand!B29</f>
        <v>46266.0</v>
      </c>
      <c r="C31" s="33">
        <f>Demand!C29</f>
        <v>19</v>
      </c>
      <c r="D31" s="33">
        <f>Demand!E29</f>
        <v>41</v>
      </c>
      <c r="E31" s="33">
        <f>IF(Demand!F29,1,0)</f>
        <v>1</v>
      </c>
      <c r="F31" s="33">
        <f>COUNTIFS(c_store,A31,c_date,B31,c_hour,C31)</f>
        <v>0</v>
      </c>
      <c r="G31" s="33">
        <f>IF(F31&gt;0,1,0)</f>
        <v>0</v>
      </c>
      <c r="H31" s="33">
        <f>COUNTIFS(Demand!$A$2:$A$4481,A31,Demand!$B$2:$B$4481,B31,Demand!$C$2:$C$4481,C31)</f>
        <v>1</v>
      </c>
    </row>
    <row r="32">
      <c r="A32" s="32" t="str">
        <f>Demand!A30</f>
        <v>S002</v>
      </c>
      <c r="B32" s="35">
        <f>Demand!B30</f>
        <v>46266.0</v>
      </c>
      <c r="C32" s="33">
        <f>Demand!C30</f>
        <v>20</v>
      </c>
      <c r="D32" s="33">
        <f>Demand!E30</f>
        <v>55</v>
      </c>
      <c r="E32" s="33">
        <f>IF(Demand!F30,1,0)</f>
        <v>1</v>
      </c>
      <c r="F32" s="33">
        <f>COUNTIFS(c_store,A32,c_date,B32,c_hour,C32)</f>
        <v>0</v>
      </c>
      <c r="G32" s="33">
        <f>IF(F32&gt;0,1,0)</f>
        <v>0</v>
      </c>
      <c r="H32" s="33">
        <f>COUNTIFS(Demand!$A$2:$A$4481,A32,Demand!$B$2:$B$4481,B32,Demand!$C$2:$C$4481,C32)</f>
        <v>1</v>
      </c>
    </row>
    <row r="33">
      <c r="A33" s="32" t="str">
        <f>Demand!A31</f>
        <v>S002</v>
      </c>
      <c r="B33" s="35">
        <f>Demand!B31</f>
        <v>46266.0</v>
      </c>
      <c r="C33" s="33">
        <f>Demand!C31</f>
        <v>21</v>
      </c>
      <c r="D33" s="33">
        <f>Demand!E31</f>
        <v>39</v>
      </c>
      <c r="E33" s="33">
        <f>IF(Demand!F31,1,0)</f>
        <v>1</v>
      </c>
      <c r="F33" s="33">
        <f>COUNTIFS(c_store,A33,c_date,B33,c_hour,C33)</f>
        <v>3</v>
      </c>
      <c r="G33" s="33">
        <f>IF(F33&gt;0,1,0)</f>
        <v>1</v>
      </c>
      <c r="H33" s="33">
        <f>COUNTIFS(Demand!$A$2:$A$4481,A33,Demand!$B$2:$B$4481,B33,Demand!$C$2:$C$4481,C33)</f>
        <v>1</v>
      </c>
    </row>
    <row r="34">
      <c r="A34" s="32" t="str">
        <f>Demand!A32</f>
        <v>S002</v>
      </c>
      <c r="B34" s="35">
        <f>Demand!B32</f>
        <v>46266.0</v>
      </c>
      <c r="C34" s="33">
        <f>Demand!C32</f>
        <v>22</v>
      </c>
      <c r="D34" s="33">
        <f>Demand!E32</f>
        <v>32</v>
      </c>
      <c r="E34" s="33">
        <f>IF(Demand!F32,1,0)</f>
        <v>0</v>
      </c>
      <c r="F34" s="33">
        <f>COUNTIFS(c_store,A34,c_date,B34,c_hour,C34)</f>
        <v>0</v>
      </c>
      <c r="G34" s="33">
        <f>IF(F34&gt;0,1,0)</f>
        <v>0</v>
      </c>
      <c r="H34" s="33">
        <f>COUNTIFS(Demand!$A$2:$A$4481,A34,Demand!$B$2:$B$4481,B34,Demand!$C$2:$C$4481,C34)</f>
        <v>1</v>
      </c>
    </row>
    <row r="35">
      <c r="A35" s="32" t="str">
        <f>Demand!A33</f>
        <v>S002</v>
      </c>
      <c r="B35" s="35">
        <f>Demand!B33</f>
        <v>46266.0</v>
      </c>
      <c r="C35" s="33">
        <f>Demand!C33</f>
        <v>23</v>
      </c>
      <c r="D35" s="33">
        <f>Demand!E33</f>
        <v>42</v>
      </c>
      <c r="E35" s="33">
        <f>IF(Demand!F33,1,0)</f>
        <v>0</v>
      </c>
      <c r="F35" s="33">
        <f>COUNTIFS(c_store,A35,c_date,B35,c_hour,C35)</f>
        <v>0</v>
      </c>
      <c r="G35" s="33">
        <f>IF(F35&gt;0,1,0)</f>
        <v>0</v>
      </c>
      <c r="H35" s="33">
        <f>COUNTIFS(Demand!$A$2:$A$4481,A35,Demand!$B$2:$B$4481,B35,Demand!$C$2:$C$4481,C35)</f>
        <v>1</v>
      </c>
    </row>
    <row r="36">
      <c r="A36" s="32" t="str">
        <f>Demand!A34</f>
        <v>S003</v>
      </c>
      <c r="B36" s="35">
        <f>Demand!B34</f>
        <v>46266.0</v>
      </c>
      <c r="C36" s="33">
        <f>Demand!C34</f>
        <v>8</v>
      </c>
      <c r="D36" s="33">
        <f>Demand!E34</f>
        <v>30</v>
      </c>
      <c r="E36" s="33">
        <f>IF(Demand!F34,1,0)</f>
        <v>0</v>
      </c>
      <c r="F36" s="33">
        <f>COUNTIFS(c_store,A36,c_date,B36,c_hour,C36)</f>
        <v>2</v>
      </c>
      <c r="G36" s="33">
        <f>IF(F36&gt;0,1,0)</f>
        <v>1</v>
      </c>
      <c r="H36" s="33">
        <f>COUNTIFS(Demand!$A$2:$A$4481,A36,Demand!$B$2:$B$4481,B36,Demand!$C$2:$C$4481,C36)</f>
        <v>1</v>
      </c>
    </row>
    <row r="37">
      <c r="A37" s="32" t="str">
        <f>Demand!A35</f>
        <v>S003</v>
      </c>
      <c r="B37" s="35">
        <f>Demand!B35</f>
        <v>46266.0</v>
      </c>
      <c r="C37" s="33">
        <f>Demand!C35</f>
        <v>9</v>
      </c>
      <c r="D37" s="33">
        <f>Demand!E35</f>
        <v>30</v>
      </c>
      <c r="E37" s="33">
        <f>IF(Demand!F35,1,0)</f>
        <v>0</v>
      </c>
      <c r="F37" s="33">
        <f>COUNTIFS(c_store,A37,c_date,B37,c_hour,C37)</f>
        <v>0</v>
      </c>
      <c r="G37" s="33">
        <f>IF(F37&gt;0,1,0)</f>
        <v>0</v>
      </c>
      <c r="H37" s="33">
        <f>COUNTIFS(Demand!$A$2:$A$4481,A37,Demand!$B$2:$B$4481,B37,Demand!$C$2:$C$4481,C37)</f>
        <v>1</v>
      </c>
    </row>
    <row r="38">
      <c r="A38" s="32" t="str">
        <f>Demand!A36</f>
        <v>S003</v>
      </c>
      <c r="B38" s="35">
        <f>Demand!B36</f>
        <v>46266.0</v>
      </c>
      <c r="C38" s="33">
        <f>Demand!C36</f>
        <v>10</v>
      </c>
      <c r="D38" s="33">
        <f>Demand!E36</f>
        <v>27</v>
      </c>
      <c r="E38" s="33">
        <f>IF(Demand!F36,1,0)</f>
        <v>0</v>
      </c>
      <c r="F38" s="33">
        <f>COUNTIFS(c_store,A38,c_date,B38,c_hour,C38)</f>
        <v>1</v>
      </c>
      <c r="G38" s="33">
        <f>IF(F38&gt;0,1,0)</f>
        <v>1</v>
      </c>
      <c r="H38" s="33">
        <f>COUNTIFS(Demand!$A$2:$A$4481,A38,Demand!$B$2:$B$4481,B38,Demand!$C$2:$C$4481,C38)</f>
        <v>1</v>
      </c>
    </row>
    <row r="39">
      <c r="A39" s="32" t="str">
        <f>Demand!A37</f>
        <v>S003</v>
      </c>
      <c r="B39" s="35">
        <f>Demand!B37</f>
        <v>46266.0</v>
      </c>
      <c r="C39" s="33">
        <f>Demand!C37</f>
        <v>11</v>
      </c>
      <c r="D39" s="33">
        <f>Demand!E37</f>
        <v>38</v>
      </c>
      <c r="E39" s="33">
        <f>IF(Demand!F37,1,0)</f>
        <v>0</v>
      </c>
      <c r="F39" s="33">
        <f>COUNTIFS(c_store,A39,c_date,B39,c_hour,C39)</f>
        <v>0</v>
      </c>
      <c r="G39" s="33">
        <f>IF(F39&gt;0,1,0)</f>
        <v>0</v>
      </c>
      <c r="H39" s="33">
        <f>COUNTIFS(Demand!$A$2:$A$4481,A39,Demand!$B$2:$B$4481,B39,Demand!$C$2:$C$4481,C39)</f>
        <v>1</v>
      </c>
    </row>
    <row r="40">
      <c r="A40" s="32" t="str">
        <f>Demand!A38</f>
        <v>S003</v>
      </c>
      <c r="B40" s="35">
        <f>Demand!B38</f>
        <v>46266.0</v>
      </c>
      <c r="C40" s="33">
        <f>Demand!C38</f>
        <v>12</v>
      </c>
      <c r="D40" s="33">
        <f>Demand!E38</f>
        <v>46</v>
      </c>
      <c r="E40" s="33">
        <f>IF(Demand!F38,1,0)</f>
        <v>0</v>
      </c>
      <c r="F40" s="33">
        <f>COUNTIFS(c_store,A40,c_date,B40,c_hour,C40)</f>
        <v>1</v>
      </c>
      <c r="G40" s="33">
        <f>IF(F40&gt;0,1,0)</f>
        <v>1</v>
      </c>
      <c r="H40" s="33">
        <f>COUNTIFS(Demand!$A$2:$A$4481,A40,Demand!$B$2:$B$4481,B40,Demand!$C$2:$C$4481,C40)</f>
        <v>1</v>
      </c>
    </row>
    <row r="41">
      <c r="A41" s="32" t="str">
        <f>Demand!A39</f>
        <v>S003</v>
      </c>
      <c r="B41" s="35">
        <f>Demand!B39</f>
        <v>46266.0</v>
      </c>
      <c r="C41" s="33">
        <f>Demand!C39</f>
        <v>13</v>
      </c>
      <c r="D41" s="33">
        <f>Demand!E39</f>
        <v>40</v>
      </c>
      <c r="E41" s="33">
        <f>IF(Demand!F39,1,0)</f>
        <v>0</v>
      </c>
      <c r="F41" s="33">
        <f>COUNTIFS(c_store,A41,c_date,B41,c_hour,C41)</f>
        <v>0</v>
      </c>
      <c r="G41" s="33">
        <f>IF(F41&gt;0,1,0)</f>
        <v>0</v>
      </c>
      <c r="H41" s="33">
        <f>COUNTIFS(Demand!$A$2:$A$4481,A41,Demand!$B$2:$B$4481,B41,Demand!$C$2:$C$4481,C41)</f>
        <v>1</v>
      </c>
    </row>
    <row r="42">
      <c r="A42" s="32" t="str">
        <f>Demand!A40</f>
        <v>S003</v>
      </c>
      <c r="B42" s="35">
        <f>Demand!B40</f>
        <v>46266.0</v>
      </c>
      <c r="C42" s="33">
        <f>Demand!C40</f>
        <v>14</v>
      </c>
      <c r="D42" s="33">
        <f>Demand!E40</f>
        <v>34</v>
      </c>
      <c r="E42" s="33">
        <f>IF(Demand!F40,1,0)</f>
        <v>0</v>
      </c>
      <c r="F42" s="33">
        <f>COUNTIFS(c_store,A42,c_date,B42,c_hour,C42)</f>
        <v>1</v>
      </c>
      <c r="G42" s="33">
        <f>IF(F42&gt;0,1,0)</f>
        <v>1</v>
      </c>
      <c r="H42" s="33">
        <f>COUNTIFS(Demand!$A$2:$A$4481,A42,Demand!$B$2:$B$4481,B42,Demand!$C$2:$C$4481,C42)</f>
        <v>1</v>
      </c>
    </row>
    <row r="43">
      <c r="A43" s="32" t="str">
        <f>Demand!A41</f>
        <v>S003</v>
      </c>
      <c r="B43" s="35">
        <f>Demand!B41</f>
        <v>46266.0</v>
      </c>
      <c r="C43" s="33">
        <f>Demand!C41</f>
        <v>15</v>
      </c>
      <c r="D43" s="33">
        <f>Demand!E41</f>
        <v>37</v>
      </c>
      <c r="E43" s="33">
        <f>IF(Demand!F41,1,0)</f>
        <v>0</v>
      </c>
      <c r="F43" s="33">
        <f>COUNTIFS(c_store,A43,c_date,B43,c_hour,C43)</f>
        <v>1</v>
      </c>
      <c r="G43" s="33">
        <f>IF(F43&gt;0,1,0)</f>
        <v>1</v>
      </c>
      <c r="H43" s="33">
        <f>COUNTIFS(Demand!$A$2:$A$4481,A43,Demand!$B$2:$B$4481,B43,Demand!$C$2:$C$4481,C43)</f>
        <v>1</v>
      </c>
    </row>
    <row r="44">
      <c r="A44" s="32" t="str">
        <f>Demand!A42</f>
        <v>S003</v>
      </c>
      <c r="B44" s="35">
        <f>Demand!B42</f>
        <v>46266.0</v>
      </c>
      <c r="C44" s="33">
        <f>Demand!C42</f>
        <v>16</v>
      </c>
      <c r="D44" s="33">
        <f>Demand!E42</f>
        <v>33</v>
      </c>
      <c r="E44" s="33">
        <f>IF(Demand!F42,1,0)</f>
        <v>0</v>
      </c>
      <c r="F44" s="33">
        <f>COUNTIFS(c_store,A44,c_date,B44,c_hour,C44)</f>
        <v>0</v>
      </c>
      <c r="G44" s="33">
        <f>IF(F44&gt;0,1,0)</f>
        <v>0</v>
      </c>
      <c r="H44" s="33">
        <f>COUNTIFS(Demand!$A$2:$A$4481,A44,Demand!$B$2:$B$4481,B44,Demand!$C$2:$C$4481,C44)</f>
        <v>1</v>
      </c>
    </row>
    <row r="45">
      <c r="A45" s="32" t="str">
        <f>Demand!A43</f>
        <v>S003</v>
      </c>
      <c r="B45" s="35">
        <f>Demand!B43</f>
        <v>46266.0</v>
      </c>
      <c r="C45" s="33">
        <f>Demand!C43</f>
        <v>17</v>
      </c>
      <c r="D45" s="33">
        <f>Demand!E43</f>
        <v>32</v>
      </c>
      <c r="E45" s="33">
        <f>IF(Demand!F43,1,0)</f>
        <v>0</v>
      </c>
      <c r="F45" s="33">
        <f>COUNTIFS(c_store,A45,c_date,B45,c_hour,C45)</f>
        <v>1</v>
      </c>
      <c r="G45" s="33">
        <f>IF(F45&gt;0,1,0)</f>
        <v>1</v>
      </c>
      <c r="H45" s="33">
        <f>COUNTIFS(Demand!$A$2:$A$4481,A45,Demand!$B$2:$B$4481,B45,Demand!$C$2:$C$4481,C45)</f>
        <v>1</v>
      </c>
    </row>
    <row r="46">
      <c r="A46" s="32" t="str">
        <f>Demand!A44</f>
        <v>S003</v>
      </c>
      <c r="B46" s="35">
        <f>Demand!B44</f>
        <v>46266.0</v>
      </c>
      <c r="C46" s="33">
        <f>Demand!C44</f>
        <v>18</v>
      </c>
      <c r="D46" s="33">
        <f>Demand!E44</f>
        <v>34</v>
      </c>
      <c r="E46" s="33">
        <f>IF(Demand!F44,1,0)</f>
        <v>0</v>
      </c>
      <c r="F46" s="33">
        <f>COUNTIFS(c_store,A46,c_date,B46,c_hour,C46)</f>
        <v>1</v>
      </c>
      <c r="G46" s="33">
        <f>IF(F46&gt;0,1,0)</f>
        <v>1</v>
      </c>
      <c r="H46" s="33">
        <f>COUNTIFS(Demand!$A$2:$A$4481,A46,Demand!$B$2:$B$4481,B46,Demand!$C$2:$C$4481,C46)</f>
        <v>1</v>
      </c>
    </row>
    <row r="47">
      <c r="A47" s="32" t="str">
        <f>Demand!A45</f>
        <v>S003</v>
      </c>
      <c r="B47" s="35">
        <f>Demand!B45</f>
        <v>46266.0</v>
      </c>
      <c r="C47" s="33">
        <f>Demand!C45</f>
        <v>19</v>
      </c>
      <c r="D47" s="33">
        <f>Demand!E45</f>
        <v>56</v>
      </c>
      <c r="E47" s="33">
        <f>IF(Demand!F45,1,0)</f>
        <v>1</v>
      </c>
      <c r="F47" s="33">
        <f>COUNTIFS(c_store,A47,c_date,B47,c_hour,C47)</f>
        <v>0</v>
      </c>
      <c r="G47" s="33">
        <f>IF(F47&gt;0,1,0)</f>
        <v>0</v>
      </c>
      <c r="H47" s="33">
        <f>COUNTIFS(Demand!$A$2:$A$4481,A47,Demand!$B$2:$B$4481,B47,Demand!$C$2:$C$4481,C47)</f>
        <v>1</v>
      </c>
    </row>
    <row r="48">
      <c r="A48" s="32" t="str">
        <f>Demand!A46</f>
        <v>S003</v>
      </c>
      <c r="B48" s="35">
        <f>Demand!B46</f>
        <v>46266.0</v>
      </c>
      <c r="C48" s="33">
        <f>Demand!C46</f>
        <v>20</v>
      </c>
      <c r="D48" s="33">
        <f>Demand!E46</f>
        <v>70</v>
      </c>
      <c r="E48" s="33">
        <f>IF(Demand!F46,1,0)</f>
        <v>1</v>
      </c>
      <c r="F48" s="33">
        <f>COUNTIFS(c_store,A48,c_date,B48,c_hour,C48)</f>
        <v>1</v>
      </c>
      <c r="G48" s="33">
        <f>IF(F48&gt;0,1,0)</f>
        <v>1</v>
      </c>
      <c r="H48" s="33">
        <f>COUNTIFS(Demand!$A$2:$A$4481,A48,Demand!$B$2:$B$4481,B48,Demand!$C$2:$C$4481,C48)</f>
        <v>1</v>
      </c>
    </row>
    <row r="49">
      <c r="A49" s="32" t="str">
        <f>Demand!A47</f>
        <v>S003</v>
      </c>
      <c r="B49" s="35">
        <f>Demand!B47</f>
        <v>46266.0</v>
      </c>
      <c r="C49" s="33">
        <f>Demand!C47</f>
        <v>21</v>
      </c>
      <c r="D49" s="33">
        <f>Demand!E47</f>
        <v>76</v>
      </c>
      <c r="E49" s="33">
        <f>IF(Demand!F47,1,0)</f>
        <v>1</v>
      </c>
      <c r="F49" s="33">
        <f>COUNTIFS(c_store,A49,c_date,B49,c_hour,C49)</f>
        <v>0</v>
      </c>
      <c r="G49" s="33">
        <f>IF(F49&gt;0,1,0)</f>
        <v>0</v>
      </c>
      <c r="H49" s="33">
        <f>COUNTIFS(Demand!$A$2:$A$4481,A49,Demand!$B$2:$B$4481,B49,Demand!$C$2:$C$4481,C49)</f>
        <v>1</v>
      </c>
    </row>
    <row r="50">
      <c r="A50" s="32" t="str">
        <f>Demand!A48</f>
        <v>S003</v>
      </c>
      <c r="B50" s="35">
        <f>Demand!B48</f>
        <v>46266.0</v>
      </c>
      <c r="C50" s="33">
        <f>Demand!C48</f>
        <v>22</v>
      </c>
      <c r="D50" s="33">
        <f>Demand!E48</f>
        <v>41</v>
      </c>
      <c r="E50" s="33">
        <f>IF(Demand!F48,1,0)</f>
        <v>0</v>
      </c>
      <c r="F50" s="33">
        <f>COUNTIFS(c_store,A50,c_date,B50,c_hour,C50)</f>
        <v>0</v>
      </c>
      <c r="G50" s="33">
        <f>IF(F50&gt;0,1,0)</f>
        <v>0</v>
      </c>
      <c r="H50" s="33">
        <f>COUNTIFS(Demand!$A$2:$A$4481,A50,Demand!$B$2:$B$4481,B50,Demand!$C$2:$C$4481,C50)</f>
        <v>1</v>
      </c>
    </row>
    <row r="51">
      <c r="A51" s="32" t="str">
        <f>Demand!A49</f>
        <v>S003</v>
      </c>
      <c r="B51" s="35">
        <f>Demand!B49</f>
        <v>46266.0</v>
      </c>
      <c r="C51" s="33">
        <f>Demand!C49</f>
        <v>23</v>
      </c>
      <c r="D51" s="33">
        <f>Demand!E49</f>
        <v>49</v>
      </c>
      <c r="E51" s="33">
        <f>IF(Demand!F49,1,0)</f>
        <v>0</v>
      </c>
      <c r="F51" s="33">
        <f>COUNTIFS(c_store,A51,c_date,B51,c_hour,C51)</f>
        <v>0</v>
      </c>
      <c r="G51" s="33">
        <f>IF(F51&gt;0,1,0)</f>
        <v>0</v>
      </c>
      <c r="H51" s="33">
        <f>COUNTIFS(Demand!$A$2:$A$4481,A51,Demand!$B$2:$B$4481,B51,Demand!$C$2:$C$4481,C51)</f>
        <v>1</v>
      </c>
    </row>
    <row r="52">
      <c r="A52" s="32" t="str">
        <f>Demand!A50</f>
        <v>S004</v>
      </c>
      <c r="B52" s="35">
        <f>Demand!B50</f>
        <v>46266.0</v>
      </c>
      <c r="C52" s="33">
        <f>Demand!C50</f>
        <v>8</v>
      </c>
      <c r="D52" s="33">
        <f>Demand!E50</f>
        <v>29</v>
      </c>
      <c r="E52" s="33">
        <f>IF(Demand!F50,1,0)</f>
        <v>0</v>
      </c>
      <c r="F52" s="33">
        <f>COUNTIFS(c_store,A52,c_date,B52,c_hour,C52)</f>
        <v>0</v>
      </c>
      <c r="G52" s="33">
        <f>IF(F52&gt;0,1,0)</f>
        <v>0</v>
      </c>
      <c r="H52" s="33">
        <f>COUNTIFS(Demand!$A$2:$A$4481,A52,Demand!$B$2:$B$4481,B52,Demand!$C$2:$C$4481,C52)</f>
        <v>1</v>
      </c>
    </row>
    <row r="53">
      <c r="A53" s="32" t="str">
        <f>Demand!A51</f>
        <v>S004</v>
      </c>
      <c r="B53" s="35">
        <f>Demand!B51</f>
        <v>46266.0</v>
      </c>
      <c r="C53" s="33">
        <f>Demand!C51</f>
        <v>9</v>
      </c>
      <c r="D53" s="33">
        <f>Demand!E51</f>
        <v>34</v>
      </c>
      <c r="E53" s="33">
        <f>IF(Demand!F51,1,0)</f>
        <v>0</v>
      </c>
      <c r="F53" s="33">
        <f>COUNTIFS(c_store,A53,c_date,B53,c_hour,C53)</f>
        <v>0</v>
      </c>
      <c r="G53" s="33">
        <f>IF(F53&gt;0,1,0)</f>
        <v>0</v>
      </c>
      <c r="H53" s="33">
        <f>COUNTIFS(Demand!$A$2:$A$4481,A53,Demand!$B$2:$B$4481,B53,Demand!$C$2:$C$4481,C53)</f>
        <v>1</v>
      </c>
    </row>
    <row r="54">
      <c r="A54" s="32" t="str">
        <f>Demand!A52</f>
        <v>S004</v>
      </c>
      <c r="B54" s="35">
        <f>Demand!B52</f>
        <v>46266.0</v>
      </c>
      <c r="C54" s="33">
        <f>Demand!C52</f>
        <v>10</v>
      </c>
      <c r="D54" s="33">
        <f>Demand!E52</f>
        <v>34</v>
      </c>
      <c r="E54" s="33">
        <f>IF(Demand!F52,1,0)</f>
        <v>0</v>
      </c>
      <c r="F54" s="33">
        <f>COUNTIFS(c_store,A54,c_date,B54,c_hour,C54)</f>
        <v>0</v>
      </c>
      <c r="G54" s="33">
        <f>IF(F54&gt;0,1,0)</f>
        <v>0</v>
      </c>
      <c r="H54" s="33">
        <f>COUNTIFS(Demand!$A$2:$A$4481,A54,Demand!$B$2:$B$4481,B54,Demand!$C$2:$C$4481,C54)</f>
        <v>1</v>
      </c>
    </row>
    <row r="55">
      <c r="A55" s="32" t="str">
        <f>Demand!A53</f>
        <v>S004</v>
      </c>
      <c r="B55" s="35">
        <f>Demand!B53</f>
        <v>46266.0</v>
      </c>
      <c r="C55" s="33">
        <f>Demand!C53</f>
        <v>11</v>
      </c>
      <c r="D55" s="33">
        <f>Demand!E53</f>
        <v>44</v>
      </c>
      <c r="E55" s="33">
        <f>IF(Demand!F53,1,0)</f>
        <v>0</v>
      </c>
      <c r="F55" s="33">
        <f>COUNTIFS(c_store,A55,c_date,B55,c_hour,C55)</f>
        <v>1</v>
      </c>
      <c r="G55" s="33">
        <f>IF(F55&gt;0,1,0)</f>
        <v>1</v>
      </c>
      <c r="H55" s="33">
        <f>COUNTIFS(Demand!$A$2:$A$4481,A55,Demand!$B$2:$B$4481,B55,Demand!$C$2:$C$4481,C55)</f>
        <v>1</v>
      </c>
    </row>
    <row r="56">
      <c r="A56" s="32" t="str">
        <f>Demand!A54</f>
        <v>S004</v>
      </c>
      <c r="B56" s="35">
        <f>Demand!B54</f>
        <v>46266.0</v>
      </c>
      <c r="C56" s="33">
        <f>Demand!C54</f>
        <v>12</v>
      </c>
      <c r="D56" s="33">
        <f>Demand!E54</f>
        <v>47</v>
      </c>
      <c r="E56" s="33">
        <f>IF(Demand!F54,1,0)</f>
        <v>0</v>
      </c>
      <c r="F56" s="33">
        <f>COUNTIFS(c_store,A56,c_date,B56,c_hour,C56)</f>
        <v>0</v>
      </c>
      <c r="G56" s="33">
        <f>IF(F56&gt;0,1,0)</f>
        <v>0</v>
      </c>
      <c r="H56" s="33">
        <f>COUNTIFS(Demand!$A$2:$A$4481,A56,Demand!$B$2:$B$4481,B56,Demand!$C$2:$C$4481,C56)</f>
        <v>1</v>
      </c>
    </row>
    <row r="57">
      <c r="A57" s="32" t="str">
        <f>Demand!A55</f>
        <v>S004</v>
      </c>
      <c r="B57" s="35">
        <f>Demand!B55</f>
        <v>46266.0</v>
      </c>
      <c r="C57" s="33">
        <f>Demand!C55</f>
        <v>13</v>
      </c>
      <c r="D57" s="33">
        <f>Demand!E55</f>
        <v>43</v>
      </c>
      <c r="E57" s="33">
        <f>IF(Demand!F55,1,0)</f>
        <v>0</v>
      </c>
      <c r="F57" s="33">
        <f>COUNTIFS(c_store,A57,c_date,B57,c_hour,C57)</f>
        <v>1</v>
      </c>
      <c r="G57" s="33">
        <f>IF(F57&gt;0,1,0)</f>
        <v>1</v>
      </c>
      <c r="H57" s="33">
        <f>COUNTIFS(Demand!$A$2:$A$4481,A57,Demand!$B$2:$B$4481,B57,Demand!$C$2:$C$4481,C57)</f>
        <v>1</v>
      </c>
    </row>
    <row r="58">
      <c r="A58" s="32" t="str">
        <f>Demand!A56</f>
        <v>S004</v>
      </c>
      <c r="B58" s="35">
        <f>Demand!B56</f>
        <v>46266.0</v>
      </c>
      <c r="C58" s="33">
        <f>Demand!C56</f>
        <v>14</v>
      </c>
      <c r="D58" s="33">
        <f>Demand!E56</f>
        <v>27</v>
      </c>
      <c r="E58" s="33">
        <f>IF(Demand!F56,1,0)</f>
        <v>0</v>
      </c>
      <c r="F58" s="33">
        <f>COUNTIFS(c_store,A58,c_date,B58,c_hour,C58)</f>
        <v>0</v>
      </c>
      <c r="G58" s="33">
        <f>IF(F58&gt;0,1,0)</f>
        <v>0</v>
      </c>
      <c r="H58" s="33">
        <f>COUNTIFS(Demand!$A$2:$A$4481,A58,Demand!$B$2:$B$4481,B58,Demand!$C$2:$C$4481,C58)</f>
        <v>1</v>
      </c>
    </row>
    <row r="59">
      <c r="A59" s="32" t="str">
        <f>Demand!A57</f>
        <v>S004</v>
      </c>
      <c r="B59" s="35">
        <f>Demand!B57</f>
        <v>46266.0</v>
      </c>
      <c r="C59" s="33">
        <f>Demand!C57</f>
        <v>15</v>
      </c>
      <c r="D59" s="33">
        <f>Demand!E57</f>
        <v>22</v>
      </c>
      <c r="E59" s="33">
        <f>IF(Demand!F57,1,0)</f>
        <v>0</v>
      </c>
      <c r="F59" s="33">
        <f>COUNTIFS(c_store,A59,c_date,B59,c_hour,C59)</f>
        <v>0</v>
      </c>
      <c r="G59" s="33">
        <f>IF(F59&gt;0,1,0)</f>
        <v>0</v>
      </c>
      <c r="H59" s="33">
        <f>COUNTIFS(Demand!$A$2:$A$4481,A59,Demand!$B$2:$B$4481,B59,Demand!$C$2:$C$4481,C59)</f>
        <v>1</v>
      </c>
    </row>
    <row r="60">
      <c r="A60" s="32" t="str">
        <f>Demand!A58</f>
        <v>S004</v>
      </c>
      <c r="B60" s="35">
        <f>Demand!B58</f>
        <v>46266.0</v>
      </c>
      <c r="C60" s="33">
        <f>Demand!C58</f>
        <v>16</v>
      </c>
      <c r="D60" s="33">
        <f>Demand!E58</f>
        <v>40</v>
      </c>
      <c r="E60" s="33">
        <f>IF(Demand!F58,1,0)</f>
        <v>0</v>
      </c>
      <c r="F60" s="33">
        <f>COUNTIFS(c_store,A60,c_date,B60,c_hour,C60)</f>
        <v>0</v>
      </c>
      <c r="G60" s="33">
        <f>IF(F60&gt;0,1,0)</f>
        <v>0</v>
      </c>
      <c r="H60" s="33">
        <f>COUNTIFS(Demand!$A$2:$A$4481,A60,Demand!$B$2:$B$4481,B60,Demand!$C$2:$C$4481,C60)</f>
        <v>1</v>
      </c>
    </row>
    <row r="61">
      <c r="A61" s="32" t="str">
        <f>Demand!A59</f>
        <v>S004</v>
      </c>
      <c r="B61" s="35">
        <f>Demand!B59</f>
        <v>46266.0</v>
      </c>
      <c r="C61" s="33">
        <f>Demand!C59</f>
        <v>17</v>
      </c>
      <c r="D61" s="33">
        <f>Demand!E59</f>
        <v>62</v>
      </c>
      <c r="E61" s="33">
        <f>IF(Demand!F59,1,0)</f>
        <v>0</v>
      </c>
      <c r="F61" s="33">
        <f>COUNTIFS(c_store,A61,c_date,B61,c_hour,C61)</f>
        <v>0</v>
      </c>
      <c r="G61" s="33">
        <f>IF(F61&gt;0,1,0)</f>
        <v>0</v>
      </c>
      <c r="H61" s="33">
        <f>COUNTIFS(Demand!$A$2:$A$4481,A61,Demand!$B$2:$B$4481,B61,Demand!$C$2:$C$4481,C61)</f>
        <v>1</v>
      </c>
    </row>
    <row r="62">
      <c r="A62" s="32" t="str">
        <f>Demand!A60</f>
        <v>S004</v>
      </c>
      <c r="B62" s="35">
        <f>Demand!B60</f>
        <v>46266.0</v>
      </c>
      <c r="C62" s="33">
        <f>Demand!C60</f>
        <v>18</v>
      </c>
      <c r="D62" s="33">
        <f>Demand!E60</f>
        <v>36</v>
      </c>
      <c r="E62" s="33">
        <f>IF(Demand!F60,1,0)</f>
        <v>0</v>
      </c>
      <c r="F62" s="33">
        <f>COUNTIFS(c_store,A62,c_date,B62,c_hour,C62)</f>
        <v>0</v>
      </c>
      <c r="G62" s="33">
        <f>IF(F62&gt;0,1,0)</f>
        <v>0</v>
      </c>
      <c r="H62" s="33">
        <f>COUNTIFS(Demand!$A$2:$A$4481,A62,Demand!$B$2:$B$4481,B62,Demand!$C$2:$C$4481,C62)</f>
        <v>1</v>
      </c>
    </row>
    <row r="63">
      <c r="A63" s="32" t="str">
        <f>Demand!A61</f>
        <v>S004</v>
      </c>
      <c r="B63" s="35">
        <f>Demand!B61</f>
        <v>46266.0</v>
      </c>
      <c r="C63" s="33">
        <f>Demand!C61</f>
        <v>19</v>
      </c>
      <c r="D63" s="33">
        <f>Demand!E61</f>
        <v>58</v>
      </c>
      <c r="E63" s="33">
        <f>IF(Demand!F61,1,0)</f>
        <v>1</v>
      </c>
      <c r="F63" s="33">
        <f>COUNTIFS(c_store,A63,c_date,B63,c_hour,C63)</f>
        <v>0</v>
      </c>
      <c r="G63" s="33">
        <f>IF(F63&gt;0,1,0)</f>
        <v>0</v>
      </c>
      <c r="H63" s="33">
        <f>COUNTIFS(Demand!$A$2:$A$4481,A63,Demand!$B$2:$B$4481,B63,Demand!$C$2:$C$4481,C63)</f>
        <v>1</v>
      </c>
    </row>
    <row r="64">
      <c r="A64" s="32" t="str">
        <f>Demand!A62</f>
        <v>S004</v>
      </c>
      <c r="B64" s="35">
        <f>Demand!B62</f>
        <v>46266.0</v>
      </c>
      <c r="C64" s="33">
        <f>Demand!C62</f>
        <v>20</v>
      </c>
      <c r="D64" s="33">
        <f>Demand!E62</f>
        <v>56</v>
      </c>
      <c r="E64" s="33">
        <f>IF(Demand!F62,1,0)</f>
        <v>1</v>
      </c>
      <c r="F64" s="33">
        <f>COUNTIFS(c_store,A64,c_date,B64,c_hour,C64)</f>
        <v>0</v>
      </c>
      <c r="G64" s="33">
        <f>IF(F64&gt;0,1,0)</f>
        <v>0</v>
      </c>
      <c r="H64" s="33">
        <f>COUNTIFS(Demand!$A$2:$A$4481,A64,Demand!$B$2:$B$4481,B64,Demand!$C$2:$C$4481,C64)</f>
        <v>1</v>
      </c>
    </row>
    <row r="65">
      <c r="A65" s="32" t="str">
        <f>Demand!A63</f>
        <v>S004</v>
      </c>
      <c r="B65" s="35">
        <f>Demand!B63</f>
        <v>46266.0</v>
      </c>
      <c r="C65" s="33">
        <f>Demand!C63</f>
        <v>21</v>
      </c>
      <c r="D65" s="33">
        <f>Demand!E63</f>
        <v>70</v>
      </c>
      <c r="E65" s="33">
        <f>IF(Demand!F63,1,0)</f>
        <v>1</v>
      </c>
      <c r="F65" s="33">
        <f>COUNTIFS(c_store,A65,c_date,B65,c_hour,C65)</f>
        <v>0</v>
      </c>
      <c r="G65" s="33">
        <f>IF(F65&gt;0,1,0)</f>
        <v>0</v>
      </c>
      <c r="H65" s="33">
        <f>COUNTIFS(Demand!$A$2:$A$4481,A65,Demand!$B$2:$B$4481,B65,Demand!$C$2:$C$4481,C65)</f>
        <v>1</v>
      </c>
    </row>
    <row r="66">
      <c r="A66" s="32" t="str">
        <f>Demand!A64</f>
        <v>S004</v>
      </c>
      <c r="B66" s="35">
        <f>Demand!B64</f>
        <v>46266.0</v>
      </c>
      <c r="C66" s="33">
        <f>Demand!C64</f>
        <v>22</v>
      </c>
      <c r="D66" s="33">
        <f>Demand!E64</f>
        <v>39</v>
      </c>
      <c r="E66" s="33">
        <f>IF(Demand!F64,1,0)</f>
        <v>0</v>
      </c>
      <c r="F66" s="33">
        <f>COUNTIFS(c_store,A66,c_date,B66,c_hour,C66)</f>
        <v>0</v>
      </c>
      <c r="G66" s="33">
        <f>IF(F66&gt;0,1,0)</f>
        <v>0</v>
      </c>
      <c r="H66" s="33">
        <f>COUNTIFS(Demand!$A$2:$A$4481,A66,Demand!$B$2:$B$4481,B66,Demand!$C$2:$C$4481,C66)</f>
        <v>1</v>
      </c>
    </row>
    <row r="67">
      <c r="A67" s="32" t="str">
        <f>Demand!A65</f>
        <v>S004</v>
      </c>
      <c r="B67" s="35">
        <f>Demand!B65</f>
        <v>46266.0</v>
      </c>
      <c r="C67" s="33">
        <f>Demand!C65</f>
        <v>23</v>
      </c>
      <c r="D67" s="33">
        <f>Demand!E65</f>
        <v>40</v>
      </c>
      <c r="E67" s="33">
        <f>IF(Demand!F65,1,0)</f>
        <v>0</v>
      </c>
      <c r="F67" s="33">
        <f>COUNTIFS(c_store,A67,c_date,B67,c_hour,C67)</f>
        <v>0</v>
      </c>
      <c r="G67" s="33">
        <f>IF(F67&gt;0,1,0)</f>
        <v>0</v>
      </c>
      <c r="H67" s="33">
        <f>COUNTIFS(Demand!$A$2:$A$4481,A67,Demand!$B$2:$B$4481,B67,Demand!$C$2:$C$4481,C67)</f>
        <v>1</v>
      </c>
    </row>
    <row r="68">
      <c r="A68" s="32" t="str">
        <f>Demand!A66</f>
        <v>S005</v>
      </c>
      <c r="B68" s="35">
        <f>Demand!B66</f>
        <v>46266.0</v>
      </c>
      <c r="C68" s="33">
        <f>Demand!C66</f>
        <v>8</v>
      </c>
      <c r="D68" s="33">
        <f>Demand!E66</f>
        <v>14</v>
      </c>
      <c r="E68" s="33">
        <f>IF(Demand!F66,1,0)</f>
        <v>0</v>
      </c>
      <c r="F68" s="33">
        <f>COUNTIFS(c_store,A68,c_date,B68,c_hour,C68)</f>
        <v>1</v>
      </c>
      <c r="G68" s="33">
        <f>IF(F68&gt;0,1,0)</f>
        <v>1</v>
      </c>
      <c r="H68" s="33">
        <f>COUNTIFS(Demand!$A$2:$A$4481,A68,Demand!$B$2:$B$4481,B68,Demand!$C$2:$C$4481,C68)</f>
        <v>1</v>
      </c>
    </row>
    <row r="69">
      <c r="A69" s="32" t="str">
        <f>Demand!A67</f>
        <v>S005</v>
      </c>
      <c r="B69" s="35">
        <f>Demand!B67</f>
        <v>46266.0</v>
      </c>
      <c r="C69" s="33">
        <f>Demand!C67</f>
        <v>9</v>
      </c>
      <c r="D69" s="33">
        <f>Demand!E67</f>
        <v>8</v>
      </c>
      <c r="E69" s="33">
        <f>IF(Demand!F67,1,0)</f>
        <v>0</v>
      </c>
      <c r="F69" s="33">
        <f>COUNTIFS(c_store,A69,c_date,B69,c_hour,C69)</f>
        <v>0</v>
      </c>
      <c r="G69" s="33">
        <f>IF(F69&gt;0,1,0)</f>
        <v>0</v>
      </c>
      <c r="H69" s="33">
        <f>COUNTIFS(Demand!$A$2:$A$4481,A69,Demand!$B$2:$B$4481,B69,Demand!$C$2:$C$4481,C69)</f>
        <v>1</v>
      </c>
    </row>
    <row r="70">
      <c r="A70" s="32" t="str">
        <f>Demand!A68</f>
        <v>S005</v>
      </c>
      <c r="B70" s="35">
        <f>Demand!B68</f>
        <v>46266.0</v>
      </c>
      <c r="C70" s="33">
        <f>Demand!C68</f>
        <v>10</v>
      </c>
      <c r="D70" s="33">
        <f>Demand!E68</f>
        <v>9</v>
      </c>
      <c r="E70" s="33">
        <f>IF(Demand!F68,1,0)</f>
        <v>0</v>
      </c>
      <c r="F70" s="33">
        <f>COUNTIFS(c_store,A70,c_date,B70,c_hour,C70)</f>
        <v>0</v>
      </c>
      <c r="G70" s="33">
        <f>IF(F70&gt;0,1,0)</f>
        <v>0</v>
      </c>
      <c r="H70" s="33">
        <f>COUNTIFS(Demand!$A$2:$A$4481,A70,Demand!$B$2:$B$4481,B70,Demand!$C$2:$C$4481,C70)</f>
        <v>1</v>
      </c>
    </row>
    <row r="71">
      <c r="A71" s="32" t="str">
        <f>Demand!A69</f>
        <v>S005</v>
      </c>
      <c r="B71" s="35">
        <f>Demand!B69</f>
        <v>46266.0</v>
      </c>
      <c r="C71" s="33">
        <f>Demand!C69</f>
        <v>11</v>
      </c>
      <c r="D71" s="33">
        <f>Demand!E69</f>
        <v>18</v>
      </c>
      <c r="E71" s="33">
        <f>IF(Demand!F69,1,0)</f>
        <v>0</v>
      </c>
      <c r="F71" s="33">
        <f>COUNTIFS(c_store,A71,c_date,B71,c_hour,C71)</f>
        <v>0</v>
      </c>
      <c r="G71" s="33">
        <f>IF(F71&gt;0,1,0)</f>
        <v>0</v>
      </c>
      <c r="H71" s="33">
        <f>COUNTIFS(Demand!$A$2:$A$4481,A71,Demand!$B$2:$B$4481,B71,Demand!$C$2:$C$4481,C71)</f>
        <v>1</v>
      </c>
    </row>
    <row r="72">
      <c r="A72" s="32" t="str">
        <f>Demand!A70</f>
        <v>S005</v>
      </c>
      <c r="B72" s="35">
        <f>Demand!B70</f>
        <v>46266.0</v>
      </c>
      <c r="C72" s="33">
        <f>Demand!C70</f>
        <v>12</v>
      </c>
      <c r="D72" s="33">
        <f>Demand!E70</f>
        <v>12</v>
      </c>
      <c r="E72" s="33">
        <f>IF(Demand!F70,1,0)</f>
        <v>0</v>
      </c>
      <c r="F72" s="33">
        <f>COUNTIFS(c_store,A72,c_date,B72,c_hour,C72)</f>
        <v>0</v>
      </c>
      <c r="G72" s="33">
        <f>IF(F72&gt;0,1,0)</f>
        <v>0</v>
      </c>
      <c r="H72" s="33">
        <f>COUNTIFS(Demand!$A$2:$A$4481,A72,Demand!$B$2:$B$4481,B72,Demand!$C$2:$C$4481,C72)</f>
        <v>1</v>
      </c>
    </row>
    <row r="73">
      <c r="A73" s="32" t="str">
        <f>Demand!A71</f>
        <v>S005</v>
      </c>
      <c r="B73" s="35">
        <f>Demand!B71</f>
        <v>46266.0</v>
      </c>
      <c r="C73" s="33">
        <f>Demand!C71</f>
        <v>13</v>
      </c>
      <c r="D73" s="33">
        <f>Demand!E71</f>
        <v>22</v>
      </c>
      <c r="E73" s="33">
        <f>IF(Demand!F71,1,0)</f>
        <v>0</v>
      </c>
      <c r="F73" s="33">
        <f>COUNTIFS(c_store,A73,c_date,B73,c_hour,C73)</f>
        <v>1</v>
      </c>
      <c r="G73" s="33">
        <f>IF(F73&gt;0,1,0)</f>
        <v>1</v>
      </c>
      <c r="H73" s="33">
        <f>COUNTIFS(Demand!$A$2:$A$4481,A73,Demand!$B$2:$B$4481,B73,Demand!$C$2:$C$4481,C73)</f>
        <v>1</v>
      </c>
    </row>
    <row r="74">
      <c r="A74" s="32" t="str">
        <f>Demand!A72</f>
        <v>S005</v>
      </c>
      <c r="B74" s="35">
        <f>Demand!B72</f>
        <v>46266.0</v>
      </c>
      <c r="C74" s="33">
        <f>Demand!C72</f>
        <v>14</v>
      </c>
      <c r="D74" s="33">
        <f>Demand!E72</f>
        <v>11</v>
      </c>
      <c r="E74" s="33">
        <f>IF(Demand!F72,1,0)</f>
        <v>0</v>
      </c>
      <c r="F74" s="33">
        <f>COUNTIFS(c_store,A74,c_date,B74,c_hour,C74)</f>
        <v>1</v>
      </c>
      <c r="G74" s="33">
        <f>IF(F74&gt;0,1,0)</f>
        <v>1</v>
      </c>
      <c r="H74" s="33">
        <f>COUNTIFS(Demand!$A$2:$A$4481,A74,Demand!$B$2:$B$4481,B74,Demand!$C$2:$C$4481,C74)</f>
        <v>1</v>
      </c>
    </row>
    <row r="75">
      <c r="A75" s="32" t="str">
        <f>Demand!A73</f>
        <v>S005</v>
      </c>
      <c r="B75" s="35">
        <f>Demand!B73</f>
        <v>46266.0</v>
      </c>
      <c r="C75" s="33">
        <f>Demand!C73</f>
        <v>15</v>
      </c>
      <c r="D75" s="33">
        <f>Demand!E73</f>
        <v>13</v>
      </c>
      <c r="E75" s="33">
        <f>IF(Demand!F73,1,0)</f>
        <v>0</v>
      </c>
      <c r="F75" s="33">
        <f>COUNTIFS(c_store,A75,c_date,B75,c_hour,C75)</f>
        <v>0</v>
      </c>
      <c r="G75" s="33">
        <f>IF(F75&gt;0,1,0)</f>
        <v>0</v>
      </c>
      <c r="H75" s="33">
        <f>COUNTIFS(Demand!$A$2:$A$4481,A75,Demand!$B$2:$B$4481,B75,Demand!$C$2:$C$4481,C75)</f>
        <v>1</v>
      </c>
    </row>
    <row r="76">
      <c r="A76" s="32" t="str">
        <f>Demand!A74</f>
        <v>S005</v>
      </c>
      <c r="B76" s="35">
        <f>Demand!B74</f>
        <v>46266.0</v>
      </c>
      <c r="C76" s="33">
        <f>Demand!C74</f>
        <v>16</v>
      </c>
      <c r="D76" s="33">
        <f>Demand!E74</f>
        <v>12</v>
      </c>
      <c r="E76" s="33">
        <f>IF(Demand!F74,1,0)</f>
        <v>0</v>
      </c>
      <c r="F76" s="33">
        <f>COUNTIFS(c_store,A76,c_date,B76,c_hour,C76)</f>
        <v>1</v>
      </c>
      <c r="G76" s="33">
        <f>IF(F76&gt;0,1,0)</f>
        <v>1</v>
      </c>
      <c r="H76" s="33">
        <f>COUNTIFS(Demand!$A$2:$A$4481,A76,Demand!$B$2:$B$4481,B76,Demand!$C$2:$C$4481,C76)</f>
        <v>1</v>
      </c>
    </row>
    <row r="77">
      <c r="A77" s="32" t="str">
        <f>Demand!A75</f>
        <v>S005</v>
      </c>
      <c r="B77" s="35">
        <f>Demand!B75</f>
        <v>46266.0</v>
      </c>
      <c r="C77" s="33">
        <f>Demand!C75</f>
        <v>17</v>
      </c>
      <c r="D77" s="33">
        <f>Demand!E75</f>
        <v>19</v>
      </c>
      <c r="E77" s="33">
        <f>IF(Demand!F75,1,0)</f>
        <v>0</v>
      </c>
      <c r="F77" s="33">
        <f>COUNTIFS(c_store,A77,c_date,B77,c_hour,C77)</f>
        <v>0</v>
      </c>
      <c r="G77" s="33">
        <f>IF(F77&gt;0,1,0)</f>
        <v>0</v>
      </c>
      <c r="H77" s="33">
        <f>COUNTIFS(Demand!$A$2:$A$4481,A77,Demand!$B$2:$B$4481,B77,Demand!$C$2:$C$4481,C77)</f>
        <v>1</v>
      </c>
    </row>
    <row r="78">
      <c r="A78" s="32" t="str">
        <f>Demand!A76</f>
        <v>S005</v>
      </c>
      <c r="B78" s="35">
        <f>Demand!B76</f>
        <v>46266.0</v>
      </c>
      <c r="C78" s="33">
        <f>Demand!C76</f>
        <v>18</v>
      </c>
      <c r="D78" s="33">
        <f>Demand!E76</f>
        <v>8</v>
      </c>
      <c r="E78" s="33">
        <f>IF(Demand!F76,1,0)</f>
        <v>0</v>
      </c>
      <c r="F78" s="33">
        <f>COUNTIFS(c_store,A78,c_date,B78,c_hour,C78)</f>
        <v>0</v>
      </c>
      <c r="G78" s="33">
        <f>IF(F78&gt;0,1,0)</f>
        <v>0</v>
      </c>
      <c r="H78" s="33">
        <f>COUNTIFS(Demand!$A$2:$A$4481,A78,Demand!$B$2:$B$4481,B78,Demand!$C$2:$C$4481,C78)</f>
        <v>1</v>
      </c>
    </row>
    <row r="79">
      <c r="A79" s="32" t="str">
        <f>Demand!A77</f>
        <v>S005</v>
      </c>
      <c r="B79" s="35">
        <f>Demand!B77</f>
        <v>46266.0</v>
      </c>
      <c r="C79" s="33">
        <f>Demand!C77</f>
        <v>19</v>
      </c>
      <c r="D79" s="33">
        <f>Demand!E77</f>
        <v>26</v>
      </c>
      <c r="E79" s="33">
        <f>IF(Demand!F77,1,0)</f>
        <v>1</v>
      </c>
      <c r="F79" s="33">
        <f>COUNTIFS(c_store,A79,c_date,B79,c_hour,C79)</f>
        <v>0</v>
      </c>
      <c r="G79" s="33">
        <f>IF(F79&gt;0,1,0)</f>
        <v>0</v>
      </c>
      <c r="H79" s="33">
        <f>COUNTIFS(Demand!$A$2:$A$4481,A79,Demand!$B$2:$B$4481,B79,Demand!$C$2:$C$4481,C79)</f>
        <v>1</v>
      </c>
    </row>
    <row r="80">
      <c r="A80" s="32" t="str">
        <f>Demand!A78</f>
        <v>S005</v>
      </c>
      <c r="B80" s="35">
        <f>Demand!B78</f>
        <v>46266.0</v>
      </c>
      <c r="C80" s="33">
        <f>Demand!C78</f>
        <v>20</v>
      </c>
      <c r="D80" s="33">
        <f>Demand!E78</f>
        <v>20</v>
      </c>
      <c r="E80" s="33">
        <f>IF(Demand!F78,1,0)</f>
        <v>1</v>
      </c>
      <c r="F80" s="33">
        <f>COUNTIFS(c_store,A80,c_date,B80,c_hour,C80)</f>
        <v>1</v>
      </c>
      <c r="G80" s="33">
        <f>IF(F80&gt;0,1,0)</f>
        <v>1</v>
      </c>
      <c r="H80" s="33">
        <f>COUNTIFS(Demand!$A$2:$A$4481,A80,Demand!$B$2:$B$4481,B80,Demand!$C$2:$C$4481,C80)</f>
        <v>1</v>
      </c>
    </row>
    <row r="81">
      <c r="A81" s="32" t="str">
        <f>Demand!A79</f>
        <v>S005</v>
      </c>
      <c r="B81" s="35">
        <f>Demand!B79</f>
        <v>46266.0</v>
      </c>
      <c r="C81" s="33">
        <f>Demand!C79</f>
        <v>21</v>
      </c>
      <c r="D81" s="33">
        <f>Demand!E79</f>
        <v>22</v>
      </c>
      <c r="E81" s="33">
        <f>IF(Demand!F79,1,0)</f>
        <v>1</v>
      </c>
      <c r="F81" s="33">
        <f>COUNTIFS(c_store,A81,c_date,B81,c_hour,C81)</f>
        <v>1</v>
      </c>
      <c r="G81" s="33">
        <f>IF(F81&gt;0,1,0)</f>
        <v>1</v>
      </c>
      <c r="H81" s="33">
        <f>COUNTIFS(Demand!$A$2:$A$4481,A81,Demand!$B$2:$B$4481,B81,Demand!$C$2:$C$4481,C81)</f>
        <v>1</v>
      </c>
    </row>
    <row r="82">
      <c r="A82" s="32" t="str">
        <f>Demand!A80</f>
        <v>S005</v>
      </c>
      <c r="B82" s="35">
        <f>Demand!B80</f>
        <v>46266.0</v>
      </c>
      <c r="C82" s="33">
        <f>Demand!C80</f>
        <v>22</v>
      </c>
      <c r="D82" s="33">
        <f>Demand!E80</f>
        <v>12</v>
      </c>
      <c r="E82" s="33">
        <f>IF(Demand!F80,1,0)</f>
        <v>0</v>
      </c>
      <c r="F82" s="33">
        <f>COUNTIFS(c_store,A82,c_date,B82,c_hour,C82)</f>
        <v>0</v>
      </c>
      <c r="G82" s="33">
        <f>IF(F82&gt;0,1,0)</f>
        <v>0</v>
      </c>
      <c r="H82" s="33">
        <f>COUNTIFS(Demand!$A$2:$A$4481,A82,Demand!$B$2:$B$4481,B82,Demand!$C$2:$C$4481,C82)</f>
        <v>1</v>
      </c>
    </row>
    <row r="83">
      <c r="A83" s="32" t="str">
        <f>Demand!A81</f>
        <v>S005</v>
      </c>
      <c r="B83" s="35">
        <f>Demand!B81</f>
        <v>46266.0</v>
      </c>
      <c r="C83" s="33">
        <f>Demand!C81</f>
        <v>23</v>
      </c>
      <c r="D83" s="33">
        <f>Demand!E81</f>
        <v>11</v>
      </c>
      <c r="E83" s="33">
        <f>IF(Demand!F81,1,0)</f>
        <v>0</v>
      </c>
      <c r="F83" s="33">
        <f>COUNTIFS(c_store,A83,c_date,B83,c_hour,C83)</f>
        <v>0</v>
      </c>
      <c r="G83" s="33">
        <f>IF(F83&gt;0,1,0)</f>
        <v>0</v>
      </c>
      <c r="H83" s="33">
        <f>COUNTIFS(Demand!$A$2:$A$4481,A83,Demand!$B$2:$B$4481,B83,Demand!$C$2:$C$4481,C83)</f>
        <v>1</v>
      </c>
    </row>
    <row r="84">
      <c r="A84" s="32" t="str">
        <f>Demand!A82</f>
        <v>S006</v>
      </c>
      <c r="B84" s="35">
        <f>Demand!B82</f>
        <v>46266.0</v>
      </c>
      <c r="C84" s="33">
        <f>Demand!C82</f>
        <v>8</v>
      </c>
      <c r="D84" s="33">
        <f>Demand!E82</f>
        <v>14</v>
      </c>
      <c r="E84" s="33">
        <f>IF(Demand!F82,1,0)</f>
        <v>0</v>
      </c>
      <c r="F84" s="33">
        <f>COUNTIFS(c_store,A84,c_date,B84,c_hour,C84)</f>
        <v>0</v>
      </c>
      <c r="G84" s="33">
        <f>IF(F84&gt;0,1,0)</f>
        <v>0</v>
      </c>
      <c r="H84" s="33">
        <f>COUNTIFS(Demand!$A$2:$A$4481,A84,Demand!$B$2:$B$4481,B84,Demand!$C$2:$C$4481,C84)</f>
        <v>1</v>
      </c>
    </row>
    <row r="85">
      <c r="A85" s="32" t="str">
        <f>Demand!A83</f>
        <v>S006</v>
      </c>
      <c r="B85" s="35">
        <f>Demand!B83</f>
        <v>46266.0</v>
      </c>
      <c r="C85" s="33">
        <f>Demand!C83</f>
        <v>9</v>
      </c>
      <c r="D85" s="33">
        <f>Demand!E83</f>
        <v>12</v>
      </c>
      <c r="E85" s="33">
        <f>IF(Demand!F83,1,0)</f>
        <v>0</v>
      </c>
      <c r="F85" s="33">
        <f>COUNTIFS(c_store,A85,c_date,B85,c_hour,C85)</f>
        <v>1</v>
      </c>
      <c r="G85" s="33">
        <f>IF(F85&gt;0,1,0)</f>
        <v>1</v>
      </c>
      <c r="H85" s="33">
        <f>COUNTIFS(Demand!$A$2:$A$4481,A85,Demand!$B$2:$B$4481,B85,Demand!$C$2:$C$4481,C85)</f>
        <v>1</v>
      </c>
    </row>
    <row r="86">
      <c r="A86" s="32" t="str">
        <f>Demand!A84</f>
        <v>S006</v>
      </c>
      <c r="B86" s="35">
        <f>Demand!B84</f>
        <v>46266.0</v>
      </c>
      <c r="C86" s="33">
        <f>Demand!C84</f>
        <v>10</v>
      </c>
      <c r="D86" s="33">
        <f>Demand!E84</f>
        <v>17</v>
      </c>
      <c r="E86" s="33">
        <f>IF(Demand!F84,1,0)</f>
        <v>0</v>
      </c>
      <c r="F86" s="33">
        <f>COUNTIFS(c_store,A86,c_date,B86,c_hour,C86)</f>
        <v>0</v>
      </c>
      <c r="G86" s="33">
        <f>IF(F86&gt;0,1,0)</f>
        <v>0</v>
      </c>
      <c r="H86" s="33">
        <f>COUNTIFS(Demand!$A$2:$A$4481,A86,Demand!$B$2:$B$4481,B86,Demand!$C$2:$C$4481,C86)</f>
        <v>1</v>
      </c>
    </row>
    <row r="87">
      <c r="A87" s="32" t="str">
        <f>Demand!A85</f>
        <v>S006</v>
      </c>
      <c r="B87" s="35">
        <f>Demand!B85</f>
        <v>46266.0</v>
      </c>
      <c r="C87" s="33">
        <f>Demand!C85</f>
        <v>11</v>
      </c>
      <c r="D87" s="33">
        <f>Demand!E85</f>
        <v>27</v>
      </c>
      <c r="E87" s="33">
        <f>IF(Demand!F85,1,0)</f>
        <v>0</v>
      </c>
      <c r="F87" s="33">
        <f>COUNTIFS(c_store,A87,c_date,B87,c_hour,C87)</f>
        <v>1</v>
      </c>
      <c r="G87" s="33">
        <f>IF(F87&gt;0,1,0)</f>
        <v>1</v>
      </c>
      <c r="H87" s="33">
        <f>COUNTIFS(Demand!$A$2:$A$4481,A87,Demand!$B$2:$B$4481,B87,Demand!$C$2:$C$4481,C87)</f>
        <v>1</v>
      </c>
    </row>
    <row r="88">
      <c r="A88" s="32" t="str">
        <f>Demand!A86</f>
        <v>S006</v>
      </c>
      <c r="B88" s="35">
        <f>Demand!B86</f>
        <v>46266.0</v>
      </c>
      <c r="C88" s="33">
        <f>Demand!C86</f>
        <v>12</v>
      </c>
      <c r="D88" s="33">
        <f>Demand!E86</f>
        <v>24</v>
      </c>
      <c r="E88" s="33">
        <f>IF(Demand!F86,1,0)</f>
        <v>0</v>
      </c>
      <c r="F88" s="33">
        <f>COUNTIFS(c_store,A88,c_date,B88,c_hour,C88)</f>
        <v>0</v>
      </c>
      <c r="G88" s="33">
        <f>IF(F88&gt;0,1,0)</f>
        <v>0</v>
      </c>
      <c r="H88" s="33">
        <f>COUNTIFS(Demand!$A$2:$A$4481,A88,Demand!$B$2:$B$4481,B88,Demand!$C$2:$C$4481,C88)</f>
        <v>1</v>
      </c>
    </row>
    <row r="89">
      <c r="A89" s="32" t="str">
        <f>Demand!A87</f>
        <v>S006</v>
      </c>
      <c r="B89" s="35">
        <f>Demand!B87</f>
        <v>46266.0</v>
      </c>
      <c r="C89" s="33">
        <f>Demand!C87</f>
        <v>13</v>
      </c>
      <c r="D89" s="33">
        <f>Demand!E87</f>
        <v>27</v>
      </c>
      <c r="E89" s="33">
        <f>IF(Demand!F87,1,0)</f>
        <v>0</v>
      </c>
      <c r="F89" s="33">
        <f>COUNTIFS(c_store,A89,c_date,B89,c_hour,C89)</f>
        <v>0</v>
      </c>
      <c r="G89" s="33">
        <f>IF(F89&gt;0,1,0)</f>
        <v>0</v>
      </c>
      <c r="H89" s="33">
        <f>COUNTIFS(Demand!$A$2:$A$4481,A89,Demand!$B$2:$B$4481,B89,Demand!$C$2:$C$4481,C89)</f>
        <v>1</v>
      </c>
    </row>
    <row r="90">
      <c r="A90" s="32" t="str">
        <f>Demand!A88</f>
        <v>S006</v>
      </c>
      <c r="B90" s="35">
        <f>Demand!B88</f>
        <v>46266.0</v>
      </c>
      <c r="C90" s="33">
        <f>Demand!C88</f>
        <v>14</v>
      </c>
      <c r="D90" s="33">
        <f>Demand!E88</f>
        <v>21</v>
      </c>
      <c r="E90" s="33">
        <f>IF(Demand!F88,1,0)</f>
        <v>0</v>
      </c>
      <c r="F90" s="33">
        <f>COUNTIFS(c_store,A90,c_date,B90,c_hour,C90)</f>
        <v>1</v>
      </c>
      <c r="G90" s="33">
        <f>IF(F90&gt;0,1,0)</f>
        <v>1</v>
      </c>
      <c r="H90" s="33">
        <f>COUNTIFS(Demand!$A$2:$A$4481,A90,Demand!$B$2:$B$4481,B90,Demand!$C$2:$C$4481,C90)</f>
        <v>1</v>
      </c>
    </row>
    <row r="91">
      <c r="A91" s="32" t="str">
        <f>Demand!A89</f>
        <v>S006</v>
      </c>
      <c r="B91" s="35">
        <f>Demand!B89</f>
        <v>46266.0</v>
      </c>
      <c r="C91" s="33">
        <f>Demand!C89</f>
        <v>15</v>
      </c>
      <c r="D91" s="33">
        <f>Demand!E89</f>
        <v>21</v>
      </c>
      <c r="E91" s="33">
        <f>IF(Demand!F89,1,0)</f>
        <v>0</v>
      </c>
      <c r="F91" s="33">
        <f>COUNTIFS(c_store,A91,c_date,B91,c_hour,C91)</f>
        <v>0</v>
      </c>
      <c r="G91" s="33">
        <f>IF(F91&gt;0,1,0)</f>
        <v>0</v>
      </c>
      <c r="H91" s="33">
        <f>COUNTIFS(Demand!$A$2:$A$4481,A91,Demand!$B$2:$B$4481,B91,Demand!$C$2:$C$4481,C91)</f>
        <v>1</v>
      </c>
    </row>
    <row r="92">
      <c r="A92" s="32" t="str">
        <f>Demand!A90</f>
        <v>S006</v>
      </c>
      <c r="B92" s="35">
        <f>Demand!B90</f>
        <v>46266.0</v>
      </c>
      <c r="C92" s="33">
        <f>Demand!C90</f>
        <v>16</v>
      </c>
      <c r="D92" s="33">
        <f>Demand!E90</f>
        <v>27</v>
      </c>
      <c r="E92" s="33">
        <f>IF(Demand!F90,1,0)</f>
        <v>0</v>
      </c>
      <c r="F92" s="33">
        <f>COUNTIFS(c_store,A92,c_date,B92,c_hour,C92)</f>
        <v>0</v>
      </c>
      <c r="G92" s="33">
        <f>IF(F92&gt;0,1,0)</f>
        <v>0</v>
      </c>
      <c r="H92" s="33">
        <f>COUNTIFS(Demand!$A$2:$A$4481,A92,Demand!$B$2:$B$4481,B92,Demand!$C$2:$C$4481,C92)</f>
        <v>1</v>
      </c>
    </row>
    <row r="93">
      <c r="A93" s="32" t="str">
        <f>Demand!A91</f>
        <v>S006</v>
      </c>
      <c r="B93" s="35">
        <f>Demand!B91</f>
        <v>46266.0</v>
      </c>
      <c r="C93" s="33">
        <f>Demand!C91</f>
        <v>17</v>
      </c>
      <c r="D93" s="33">
        <f>Demand!E91</f>
        <v>21</v>
      </c>
      <c r="E93" s="33">
        <f>IF(Demand!F91,1,0)</f>
        <v>0</v>
      </c>
      <c r="F93" s="33">
        <f>COUNTIFS(c_store,A93,c_date,B93,c_hour,C93)</f>
        <v>0</v>
      </c>
      <c r="G93" s="33">
        <f>IF(F93&gt;0,1,0)</f>
        <v>0</v>
      </c>
      <c r="H93" s="33">
        <f>COUNTIFS(Demand!$A$2:$A$4481,A93,Demand!$B$2:$B$4481,B93,Demand!$C$2:$C$4481,C93)</f>
        <v>1</v>
      </c>
    </row>
    <row r="94">
      <c r="A94" s="32" t="str">
        <f>Demand!A92</f>
        <v>S006</v>
      </c>
      <c r="B94" s="35">
        <f>Demand!B92</f>
        <v>46266.0</v>
      </c>
      <c r="C94" s="33">
        <f>Demand!C92</f>
        <v>18</v>
      </c>
      <c r="D94" s="33">
        <f>Demand!E92</f>
        <v>27</v>
      </c>
      <c r="E94" s="33">
        <f>IF(Demand!F92,1,0)</f>
        <v>0</v>
      </c>
      <c r="F94" s="33">
        <f>COUNTIFS(c_store,A94,c_date,B94,c_hour,C94)</f>
        <v>0</v>
      </c>
      <c r="G94" s="33">
        <f>IF(F94&gt;0,1,0)</f>
        <v>0</v>
      </c>
      <c r="H94" s="33">
        <f>COUNTIFS(Demand!$A$2:$A$4481,A94,Demand!$B$2:$B$4481,B94,Demand!$C$2:$C$4481,C94)</f>
        <v>1</v>
      </c>
    </row>
    <row r="95">
      <c r="A95" s="32" t="str">
        <f>Demand!A93</f>
        <v>S006</v>
      </c>
      <c r="B95" s="35">
        <f>Demand!B93</f>
        <v>46266.0</v>
      </c>
      <c r="C95" s="33">
        <f>Demand!C93</f>
        <v>19</v>
      </c>
      <c r="D95" s="33">
        <f>Demand!E93</f>
        <v>43</v>
      </c>
      <c r="E95" s="33">
        <f>IF(Demand!F93,1,0)</f>
        <v>1</v>
      </c>
      <c r="F95" s="33">
        <f>COUNTIFS(c_store,A95,c_date,B95,c_hour,C95)</f>
        <v>0</v>
      </c>
      <c r="G95" s="33">
        <f>IF(F95&gt;0,1,0)</f>
        <v>0</v>
      </c>
      <c r="H95" s="33">
        <f>COUNTIFS(Demand!$A$2:$A$4481,A95,Demand!$B$2:$B$4481,B95,Demand!$C$2:$C$4481,C95)</f>
        <v>1</v>
      </c>
    </row>
    <row r="96">
      <c r="A96" s="32" t="str">
        <f>Demand!A94</f>
        <v>S006</v>
      </c>
      <c r="B96" s="35">
        <f>Demand!B94</f>
        <v>46266.0</v>
      </c>
      <c r="C96" s="33">
        <f>Demand!C94</f>
        <v>20</v>
      </c>
      <c r="D96" s="33">
        <f>Demand!E94</f>
        <v>34</v>
      </c>
      <c r="E96" s="33">
        <f>IF(Demand!F94,1,0)</f>
        <v>1</v>
      </c>
      <c r="F96" s="33">
        <f>COUNTIFS(c_store,A96,c_date,B96,c_hour,C96)</f>
        <v>0</v>
      </c>
      <c r="G96" s="33">
        <f>IF(F96&gt;0,1,0)</f>
        <v>0</v>
      </c>
      <c r="H96" s="33">
        <f>COUNTIFS(Demand!$A$2:$A$4481,A96,Demand!$B$2:$B$4481,B96,Demand!$C$2:$C$4481,C96)</f>
        <v>1</v>
      </c>
    </row>
    <row r="97">
      <c r="A97" s="32" t="str">
        <f>Demand!A95</f>
        <v>S006</v>
      </c>
      <c r="B97" s="35">
        <f>Demand!B95</f>
        <v>46266.0</v>
      </c>
      <c r="C97" s="33">
        <f>Demand!C95</f>
        <v>21</v>
      </c>
      <c r="D97" s="33">
        <f>Demand!E95</f>
        <v>39</v>
      </c>
      <c r="E97" s="33">
        <f>IF(Demand!F95,1,0)</f>
        <v>1</v>
      </c>
      <c r="F97" s="33">
        <f>COUNTIFS(c_store,A97,c_date,B97,c_hour,C97)</f>
        <v>0</v>
      </c>
      <c r="G97" s="33">
        <f>IF(F97&gt;0,1,0)</f>
        <v>0</v>
      </c>
      <c r="H97" s="33">
        <f>COUNTIFS(Demand!$A$2:$A$4481,A97,Demand!$B$2:$B$4481,B97,Demand!$C$2:$C$4481,C97)</f>
        <v>1</v>
      </c>
    </row>
    <row r="98">
      <c r="A98" s="32" t="str">
        <f>Demand!A96</f>
        <v>S006</v>
      </c>
      <c r="B98" s="35">
        <f>Demand!B96</f>
        <v>46266.0</v>
      </c>
      <c r="C98" s="33">
        <f>Demand!C96</f>
        <v>22</v>
      </c>
      <c r="D98" s="33">
        <f>Demand!E96</f>
        <v>22</v>
      </c>
      <c r="E98" s="33">
        <f>IF(Demand!F96,1,0)</f>
        <v>0</v>
      </c>
      <c r="F98" s="33">
        <f>COUNTIFS(c_store,A98,c_date,B98,c_hour,C98)</f>
        <v>0</v>
      </c>
      <c r="G98" s="33">
        <f>IF(F98&gt;0,1,0)</f>
        <v>0</v>
      </c>
      <c r="H98" s="33">
        <f>COUNTIFS(Demand!$A$2:$A$4481,A98,Demand!$B$2:$B$4481,B98,Demand!$C$2:$C$4481,C98)</f>
        <v>1</v>
      </c>
    </row>
    <row r="99">
      <c r="A99" s="32" t="str">
        <f>Demand!A97</f>
        <v>S006</v>
      </c>
      <c r="B99" s="35">
        <f>Demand!B97</f>
        <v>46266.0</v>
      </c>
      <c r="C99" s="33">
        <f>Demand!C97</f>
        <v>23</v>
      </c>
      <c r="D99" s="33">
        <f>Demand!E97</f>
        <v>20</v>
      </c>
      <c r="E99" s="33">
        <f>IF(Demand!F97,1,0)</f>
        <v>0</v>
      </c>
      <c r="F99" s="33">
        <f>COUNTIFS(c_store,A99,c_date,B99,c_hour,C99)</f>
        <v>0</v>
      </c>
      <c r="G99" s="33">
        <f>IF(F99&gt;0,1,0)</f>
        <v>0</v>
      </c>
      <c r="H99" s="33">
        <f>COUNTIFS(Demand!$A$2:$A$4481,A99,Demand!$B$2:$B$4481,B99,Demand!$C$2:$C$4481,C99)</f>
        <v>1</v>
      </c>
    </row>
    <row r="100">
      <c r="A100" s="32" t="str">
        <f>Demand!A98</f>
        <v>S007</v>
      </c>
      <c r="B100" s="35">
        <f>Demand!B98</f>
        <v>46266.0</v>
      </c>
      <c r="C100" s="33">
        <f>Demand!C98</f>
        <v>8</v>
      </c>
      <c r="D100" s="33">
        <f>Demand!E98</f>
        <v>29</v>
      </c>
      <c r="E100" s="33">
        <f>IF(Demand!F98,1,0)</f>
        <v>0</v>
      </c>
      <c r="F100" s="33">
        <f>COUNTIFS(c_store,A100,c_date,B100,c_hour,C100)</f>
        <v>0</v>
      </c>
      <c r="G100" s="33">
        <f>IF(F100&gt;0,1,0)</f>
        <v>0</v>
      </c>
      <c r="H100" s="33">
        <f>COUNTIFS(Demand!$A$2:$A$4481,A100,Demand!$B$2:$B$4481,B100,Demand!$C$2:$C$4481,C100)</f>
        <v>1</v>
      </c>
    </row>
    <row r="101">
      <c r="A101" s="32" t="str">
        <f>Demand!A99</f>
        <v>S007</v>
      </c>
      <c r="B101" s="35">
        <f>Demand!B99</f>
        <v>46266.0</v>
      </c>
      <c r="C101" s="33">
        <f>Demand!C99</f>
        <v>9</v>
      </c>
      <c r="D101" s="33">
        <f>Demand!E99</f>
        <v>36</v>
      </c>
      <c r="E101" s="33">
        <f>IF(Demand!F99,1,0)</f>
        <v>0</v>
      </c>
      <c r="F101" s="33">
        <f>COUNTIFS(c_store,A101,c_date,B101,c_hour,C101)</f>
        <v>0</v>
      </c>
      <c r="G101" s="33">
        <f>IF(F101&gt;0,1,0)</f>
        <v>0</v>
      </c>
      <c r="H101" s="33">
        <f>COUNTIFS(Demand!$A$2:$A$4481,A101,Demand!$B$2:$B$4481,B101,Demand!$C$2:$C$4481,C101)</f>
        <v>1</v>
      </c>
    </row>
    <row r="102">
      <c r="A102" s="32" t="str">
        <f>Demand!A100</f>
        <v>S007</v>
      </c>
      <c r="B102" s="35">
        <f>Demand!B100</f>
        <v>46266.0</v>
      </c>
      <c r="C102" s="33">
        <f>Demand!C100</f>
        <v>10</v>
      </c>
      <c r="D102" s="33">
        <f>Demand!E100</f>
        <v>35</v>
      </c>
      <c r="E102" s="33">
        <f>IF(Demand!F100,1,0)</f>
        <v>0</v>
      </c>
      <c r="F102" s="33">
        <f>COUNTIFS(c_store,A102,c_date,B102,c_hour,C102)</f>
        <v>0</v>
      </c>
      <c r="G102" s="33">
        <f>IF(F102&gt;0,1,0)</f>
        <v>0</v>
      </c>
      <c r="H102" s="33">
        <f>COUNTIFS(Demand!$A$2:$A$4481,A102,Demand!$B$2:$B$4481,B102,Demand!$C$2:$C$4481,C102)</f>
        <v>1</v>
      </c>
    </row>
    <row r="103">
      <c r="A103" s="32" t="str">
        <f>Demand!A101</f>
        <v>S007</v>
      </c>
      <c r="B103" s="35">
        <f>Demand!B101</f>
        <v>46266.0</v>
      </c>
      <c r="C103" s="33">
        <f>Demand!C101</f>
        <v>11</v>
      </c>
      <c r="D103" s="33">
        <f>Demand!E101</f>
        <v>24</v>
      </c>
      <c r="E103" s="33">
        <f>IF(Demand!F101,1,0)</f>
        <v>0</v>
      </c>
      <c r="F103" s="33">
        <f>COUNTIFS(c_store,A103,c_date,B103,c_hour,C103)</f>
        <v>1</v>
      </c>
      <c r="G103" s="33">
        <f>IF(F103&gt;0,1,0)</f>
        <v>1</v>
      </c>
      <c r="H103" s="33">
        <f>COUNTIFS(Demand!$A$2:$A$4481,A103,Demand!$B$2:$B$4481,B103,Demand!$C$2:$C$4481,C103)</f>
        <v>1</v>
      </c>
    </row>
    <row r="104">
      <c r="A104" s="32" t="str">
        <f>Demand!A102</f>
        <v>S007</v>
      </c>
      <c r="B104" s="35">
        <f>Demand!B102</f>
        <v>46266.0</v>
      </c>
      <c r="C104" s="33">
        <f>Demand!C102</f>
        <v>12</v>
      </c>
      <c r="D104" s="33">
        <f>Demand!E102</f>
        <v>29</v>
      </c>
      <c r="E104" s="33">
        <f>IF(Demand!F102,1,0)</f>
        <v>0</v>
      </c>
      <c r="F104" s="33">
        <f>COUNTIFS(c_store,A104,c_date,B104,c_hour,C104)</f>
        <v>0</v>
      </c>
      <c r="G104" s="33">
        <f>IF(F104&gt;0,1,0)</f>
        <v>0</v>
      </c>
      <c r="H104" s="33">
        <f>COUNTIFS(Demand!$A$2:$A$4481,A104,Demand!$B$2:$B$4481,B104,Demand!$C$2:$C$4481,C104)</f>
        <v>1</v>
      </c>
    </row>
    <row r="105">
      <c r="A105" s="32" t="str">
        <f>Demand!A103</f>
        <v>S007</v>
      </c>
      <c r="B105" s="35">
        <f>Demand!B103</f>
        <v>46266.0</v>
      </c>
      <c r="C105" s="33">
        <f>Demand!C103</f>
        <v>13</v>
      </c>
      <c r="D105" s="33">
        <f>Demand!E103</f>
        <v>42</v>
      </c>
      <c r="E105" s="33">
        <f>IF(Demand!F103,1,0)</f>
        <v>0</v>
      </c>
      <c r="F105" s="33">
        <f>COUNTIFS(c_store,A105,c_date,B105,c_hour,C105)</f>
        <v>0</v>
      </c>
      <c r="G105" s="33">
        <f>IF(F105&gt;0,1,0)</f>
        <v>0</v>
      </c>
      <c r="H105" s="33">
        <f>COUNTIFS(Demand!$A$2:$A$4481,A105,Demand!$B$2:$B$4481,B105,Demand!$C$2:$C$4481,C105)</f>
        <v>1</v>
      </c>
    </row>
    <row r="106">
      <c r="A106" s="32" t="str">
        <f>Demand!A104</f>
        <v>S007</v>
      </c>
      <c r="B106" s="35">
        <f>Demand!B104</f>
        <v>46266.0</v>
      </c>
      <c r="C106" s="33">
        <f>Demand!C104</f>
        <v>14</v>
      </c>
      <c r="D106" s="33">
        <f>Demand!E104</f>
        <v>27</v>
      </c>
      <c r="E106" s="33">
        <f>IF(Demand!F104,1,0)</f>
        <v>0</v>
      </c>
      <c r="F106" s="33">
        <f>COUNTIFS(c_store,A106,c_date,B106,c_hour,C106)</f>
        <v>1</v>
      </c>
      <c r="G106" s="33">
        <f>IF(F106&gt;0,1,0)</f>
        <v>1</v>
      </c>
      <c r="H106" s="33">
        <f>COUNTIFS(Demand!$A$2:$A$4481,A106,Demand!$B$2:$B$4481,B106,Demand!$C$2:$C$4481,C106)</f>
        <v>1</v>
      </c>
    </row>
    <row r="107">
      <c r="A107" s="32" t="str">
        <f>Demand!A105</f>
        <v>S007</v>
      </c>
      <c r="B107" s="35">
        <f>Demand!B105</f>
        <v>46266.0</v>
      </c>
      <c r="C107" s="33">
        <f>Demand!C105</f>
        <v>15</v>
      </c>
      <c r="D107" s="33">
        <f>Demand!E105</f>
        <v>14</v>
      </c>
      <c r="E107" s="33">
        <f>IF(Demand!F105,1,0)</f>
        <v>0</v>
      </c>
      <c r="F107" s="33">
        <f>COUNTIFS(c_store,A107,c_date,B107,c_hour,C107)</f>
        <v>0</v>
      </c>
      <c r="G107" s="33">
        <f>IF(F107&gt;0,1,0)</f>
        <v>0</v>
      </c>
      <c r="H107" s="33">
        <f>COUNTIFS(Demand!$A$2:$A$4481,A107,Demand!$B$2:$B$4481,B107,Demand!$C$2:$C$4481,C107)</f>
        <v>1</v>
      </c>
    </row>
    <row r="108">
      <c r="A108" s="32" t="str">
        <f>Demand!A106</f>
        <v>S007</v>
      </c>
      <c r="B108" s="35">
        <f>Demand!B106</f>
        <v>46266.0</v>
      </c>
      <c r="C108" s="33">
        <f>Demand!C106</f>
        <v>16</v>
      </c>
      <c r="D108" s="33">
        <f>Demand!E106</f>
        <v>37</v>
      </c>
      <c r="E108" s="33">
        <f>IF(Demand!F106,1,0)</f>
        <v>0</v>
      </c>
      <c r="F108" s="33">
        <f>COUNTIFS(c_store,A108,c_date,B108,c_hour,C108)</f>
        <v>0</v>
      </c>
      <c r="G108" s="33">
        <f>IF(F108&gt;0,1,0)</f>
        <v>0</v>
      </c>
      <c r="H108" s="33">
        <f>COUNTIFS(Demand!$A$2:$A$4481,A108,Demand!$B$2:$B$4481,B108,Demand!$C$2:$C$4481,C108)</f>
        <v>1</v>
      </c>
    </row>
    <row r="109">
      <c r="A109" s="32" t="str">
        <f>Demand!A107</f>
        <v>S007</v>
      </c>
      <c r="B109" s="35">
        <f>Demand!B107</f>
        <v>46266.0</v>
      </c>
      <c r="C109" s="33">
        <f>Demand!C107</f>
        <v>17</v>
      </c>
      <c r="D109" s="33">
        <f>Demand!E107</f>
        <v>44</v>
      </c>
      <c r="E109" s="33">
        <f>IF(Demand!F107,1,0)</f>
        <v>0</v>
      </c>
      <c r="F109" s="33">
        <f>COUNTIFS(c_store,A109,c_date,B109,c_hour,C109)</f>
        <v>2</v>
      </c>
      <c r="G109" s="33">
        <f>IF(F109&gt;0,1,0)</f>
        <v>1</v>
      </c>
      <c r="H109" s="33">
        <f>COUNTIFS(Demand!$A$2:$A$4481,A109,Demand!$B$2:$B$4481,B109,Demand!$C$2:$C$4481,C109)</f>
        <v>1</v>
      </c>
    </row>
    <row r="110">
      <c r="A110" s="32" t="str">
        <f>Demand!A108</f>
        <v>S007</v>
      </c>
      <c r="B110" s="35">
        <f>Demand!B108</f>
        <v>46266.0</v>
      </c>
      <c r="C110" s="33">
        <f>Demand!C108</f>
        <v>18</v>
      </c>
      <c r="D110" s="33">
        <f>Demand!E108</f>
        <v>39</v>
      </c>
      <c r="E110" s="33">
        <f>IF(Demand!F108,1,0)</f>
        <v>0</v>
      </c>
      <c r="F110" s="33">
        <f>COUNTIFS(c_store,A110,c_date,B110,c_hour,C110)</f>
        <v>1</v>
      </c>
      <c r="G110" s="33">
        <f>IF(F110&gt;0,1,0)</f>
        <v>1</v>
      </c>
      <c r="H110" s="33">
        <f>COUNTIFS(Demand!$A$2:$A$4481,A110,Demand!$B$2:$B$4481,B110,Demand!$C$2:$C$4481,C110)</f>
        <v>1</v>
      </c>
    </row>
    <row r="111">
      <c r="A111" s="32" t="str">
        <f>Demand!A109</f>
        <v>S007</v>
      </c>
      <c r="B111" s="35">
        <f>Demand!B109</f>
        <v>46266.0</v>
      </c>
      <c r="C111" s="33">
        <f>Demand!C109</f>
        <v>19</v>
      </c>
      <c r="D111" s="33">
        <f>Demand!E109</f>
        <v>47</v>
      </c>
      <c r="E111" s="33">
        <f>IF(Demand!F109,1,0)</f>
        <v>1</v>
      </c>
      <c r="F111" s="33">
        <f>COUNTIFS(c_store,A111,c_date,B111,c_hour,C111)</f>
        <v>0</v>
      </c>
      <c r="G111" s="33">
        <f>IF(F111&gt;0,1,0)</f>
        <v>0</v>
      </c>
      <c r="H111" s="33">
        <f>COUNTIFS(Demand!$A$2:$A$4481,A111,Demand!$B$2:$B$4481,B111,Demand!$C$2:$C$4481,C111)</f>
        <v>1</v>
      </c>
    </row>
    <row r="112">
      <c r="A112" s="32" t="str">
        <f>Demand!A110</f>
        <v>S007</v>
      </c>
      <c r="B112" s="35">
        <f>Demand!B110</f>
        <v>46266.0</v>
      </c>
      <c r="C112" s="33">
        <f>Demand!C110</f>
        <v>20</v>
      </c>
      <c r="D112" s="33">
        <f>Demand!E110</f>
        <v>49</v>
      </c>
      <c r="E112" s="33">
        <f>IF(Demand!F110,1,0)</f>
        <v>1</v>
      </c>
      <c r="F112" s="33">
        <f>COUNTIFS(c_store,A112,c_date,B112,c_hour,C112)</f>
        <v>0</v>
      </c>
      <c r="G112" s="33">
        <f>IF(F112&gt;0,1,0)</f>
        <v>0</v>
      </c>
      <c r="H112" s="33">
        <f>COUNTIFS(Demand!$A$2:$A$4481,A112,Demand!$B$2:$B$4481,B112,Demand!$C$2:$C$4481,C112)</f>
        <v>1</v>
      </c>
    </row>
    <row r="113">
      <c r="A113" s="32" t="str">
        <f>Demand!A111</f>
        <v>S007</v>
      </c>
      <c r="B113" s="35">
        <f>Demand!B111</f>
        <v>46266.0</v>
      </c>
      <c r="C113" s="33">
        <f>Demand!C111</f>
        <v>21</v>
      </c>
      <c r="D113" s="33">
        <f>Demand!E111</f>
        <v>54</v>
      </c>
      <c r="E113" s="33">
        <f>IF(Demand!F111,1,0)</f>
        <v>1</v>
      </c>
      <c r="F113" s="33">
        <f>COUNTIFS(c_store,A113,c_date,B113,c_hour,C113)</f>
        <v>0</v>
      </c>
      <c r="G113" s="33">
        <f>IF(F113&gt;0,1,0)</f>
        <v>0</v>
      </c>
      <c r="H113" s="33">
        <f>COUNTIFS(Demand!$A$2:$A$4481,A113,Demand!$B$2:$B$4481,B113,Demand!$C$2:$C$4481,C113)</f>
        <v>1</v>
      </c>
    </row>
    <row r="114">
      <c r="A114" s="32" t="str">
        <f>Demand!A112</f>
        <v>S007</v>
      </c>
      <c r="B114" s="35">
        <f>Demand!B112</f>
        <v>46266.0</v>
      </c>
      <c r="C114" s="33">
        <f>Demand!C112</f>
        <v>22</v>
      </c>
      <c r="D114" s="33">
        <f>Demand!E112</f>
        <v>48</v>
      </c>
      <c r="E114" s="33">
        <f>IF(Demand!F112,1,0)</f>
        <v>0</v>
      </c>
      <c r="F114" s="33">
        <f>COUNTIFS(c_store,A114,c_date,B114,c_hour,C114)</f>
        <v>0</v>
      </c>
      <c r="G114" s="33">
        <f>IF(F114&gt;0,1,0)</f>
        <v>0</v>
      </c>
      <c r="H114" s="33">
        <f>COUNTIFS(Demand!$A$2:$A$4481,A114,Demand!$B$2:$B$4481,B114,Demand!$C$2:$C$4481,C114)</f>
        <v>1</v>
      </c>
    </row>
    <row r="115">
      <c r="A115" s="32" t="str">
        <f>Demand!A113</f>
        <v>S007</v>
      </c>
      <c r="B115" s="35">
        <f>Demand!B113</f>
        <v>46266.0</v>
      </c>
      <c r="C115" s="33">
        <f>Demand!C113</f>
        <v>23</v>
      </c>
      <c r="D115" s="33">
        <f>Demand!E113</f>
        <v>36</v>
      </c>
      <c r="E115" s="33">
        <f>IF(Demand!F113,1,0)</f>
        <v>0</v>
      </c>
      <c r="F115" s="33">
        <f>COUNTIFS(c_store,A115,c_date,B115,c_hour,C115)</f>
        <v>1</v>
      </c>
      <c r="G115" s="33">
        <f>IF(F115&gt;0,1,0)</f>
        <v>1</v>
      </c>
      <c r="H115" s="33">
        <f>COUNTIFS(Demand!$A$2:$A$4481,A115,Demand!$B$2:$B$4481,B115,Demand!$C$2:$C$4481,C115)</f>
        <v>1</v>
      </c>
    </row>
    <row r="116">
      <c r="A116" s="32" t="str">
        <f>Demand!A114</f>
        <v>S008</v>
      </c>
      <c r="B116" s="35">
        <f>Demand!B114</f>
        <v>46266.0</v>
      </c>
      <c r="C116" s="33">
        <f>Demand!C114</f>
        <v>8</v>
      </c>
      <c r="D116" s="33">
        <f>Demand!E114</f>
        <v>13</v>
      </c>
      <c r="E116" s="33">
        <f>IF(Demand!F114,1,0)</f>
        <v>0</v>
      </c>
      <c r="F116" s="33">
        <f>COUNTIFS(c_store,A116,c_date,B116,c_hour,C116)</f>
        <v>0</v>
      </c>
      <c r="G116" s="33">
        <f>IF(F116&gt;0,1,0)</f>
        <v>0</v>
      </c>
      <c r="H116" s="33">
        <f>COUNTIFS(Demand!$A$2:$A$4481,A116,Demand!$B$2:$B$4481,B116,Demand!$C$2:$C$4481,C116)</f>
        <v>1</v>
      </c>
    </row>
    <row r="117">
      <c r="A117" s="32" t="str">
        <f>Demand!A115</f>
        <v>S008</v>
      </c>
      <c r="B117" s="35">
        <f>Demand!B115</f>
        <v>46266.0</v>
      </c>
      <c r="C117" s="33">
        <f>Demand!C115</f>
        <v>9</v>
      </c>
      <c r="D117" s="33">
        <f>Demand!E115</f>
        <v>7</v>
      </c>
      <c r="E117" s="33">
        <f>IF(Demand!F115,1,0)</f>
        <v>0</v>
      </c>
      <c r="F117" s="33">
        <f>COUNTIFS(c_store,A117,c_date,B117,c_hour,C117)</f>
        <v>1</v>
      </c>
      <c r="G117" s="33">
        <f>IF(F117&gt;0,1,0)</f>
        <v>1</v>
      </c>
      <c r="H117" s="33">
        <f>COUNTIFS(Demand!$A$2:$A$4481,A117,Demand!$B$2:$B$4481,B117,Demand!$C$2:$C$4481,C117)</f>
        <v>1</v>
      </c>
    </row>
    <row r="118">
      <c r="A118" s="32" t="str">
        <f>Demand!A116</f>
        <v>S008</v>
      </c>
      <c r="B118" s="35">
        <f>Demand!B116</f>
        <v>46266.0</v>
      </c>
      <c r="C118" s="33">
        <f>Demand!C116</f>
        <v>10</v>
      </c>
      <c r="D118" s="33">
        <f>Demand!E116</f>
        <v>10</v>
      </c>
      <c r="E118" s="33">
        <f>IF(Demand!F116,1,0)</f>
        <v>0</v>
      </c>
      <c r="F118" s="33">
        <f>COUNTIFS(c_store,A118,c_date,B118,c_hour,C118)</f>
        <v>2</v>
      </c>
      <c r="G118" s="33">
        <f>IF(F118&gt;0,1,0)</f>
        <v>1</v>
      </c>
      <c r="H118" s="33">
        <f>COUNTIFS(Demand!$A$2:$A$4481,A118,Demand!$B$2:$B$4481,B118,Demand!$C$2:$C$4481,C118)</f>
        <v>1</v>
      </c>
    </row>
    <row r="119">
      <c r="A119" s="32" t="str">
        <f>Demand!A117</f>
        <v>S008</v>
      </c>
      <c r="B119" s="35">
        <f>Demand!B117</f>
        <v>46266.0</v>
      </c>
      <c r="C119" s="33">
        <f>Demand!C117</f>
        <v>11</v>
      </c>
      <c r="D119" s="33">
        <f>Demand!E117</f>
        <v>21</v>
      </c>
      <c r="E119" s="33">
        <f>IF(Demand!F117,1,0)</f>
        <v>0</v>
      </c>
      <c r="F119" s="33">
        <f>COUNTIFS(c_store,A119,c_date,B119,c_hour,C119)</f>
        <v>1</v>
      </c>
      <c r="G119" s="33">
        <f>IF(F119&gt;0,1,0)</f>
        <v>1</v>
      </c>
      <c r="H119" s="33">
        <f>COUNTIFS(Demand!$A$2:$A$4481,A119,Demand!$B$2:$B$4481,B119,Demand!$C$2:$C$4481,C119)</f>
        <v>1</v>
      </c>
    </row>
    <row r="120">
      <c r="A120" s="32" t="str">
        <f>Demand!A118</f>
        <v>S008</v>
      </c>
      <c r="B120" s="35">
        <f>Demand!B118</f>
        <v>46266.0</v>
      </c>
      <c r="C120" s="33">
        <f>Demand!C118</f>
        <v>12</v>
      </c>
      <c r="D120" s="33">
        <f>Demand!E118</f>
        <v>31</v>
      </c>
      <c r="E120" s="33">
        <f>IF(Demand!F118,1,0)</f>
        <v>0</v>
      </c>
      <c r="F120" s="33">
        <f>COUNTIFS(c_store,A120,c_date,B120,c_hour,C120)</f>
        <v>0</v>
      </c>
      <c r="G120" s="33">
        <f>IF(F120&gt;0,1,0)</f>
        <v>0</v>
      </c>
      <c r="H120" s="33">
        <f>COUNTIFS(Demand!$A$2:$A$4481,A120,Demand!$B$2:$B$4481,B120,Demand!$C$2:$C$4481,C120)</f>
        <v>1</v>
      </c>
    </row>
    <row r="121">
      <c r="A121" s="32" t="str">
        <f>Demand!A119</f>
        <v>S008</v>
      </c>
      <c r="B121" s="35">
        <f>Demand!B119</f>
        <v>46266.0</v>
      </c>
      <c r="C121" s="33">
        <f>Demand!C119</f>
        <v>13</v>
      </c>
      <c r="D121" s="33">
        <f>Demand!E119</f>
        <v>21</v>
      </c>
      <c r="E121" s="33">
        <f>IF(Demand!F119,1,0)</f>
        <v>0</v>
      </c>
      <c r="F121" s="33">
        <f>COUNTIFS(c_store,A121,c_date,B121,c_hour,C121)</f>
        <v>0</v>
      </c>
      <c r="G121" s="33">
        <f>IF(F121&gt;0,1,0)</f>
        <v>0</v>
      </c>
      <c r="H121" s="33">
        <f>COUNTIFS(Demand!$A$2:$A$4481,A121,Demand!$B$2:$B$4481,B121,Demand!$C$2:$C$4481,C121)</f>
        <v>1</v>
      </c>
    </row>
    <row r="122">
      <c r="A122" s="32" t="str">
        <f>Demand!A120</f>
        <v>S008</v>
      </c>
      <c r="B122" s="35">
        <f>Demand!B120</f>
        <v>46266.0</v>
      </c>
      <c r="C122" s="33">
        <f>Demand!C120</f>
        <v>14</v>
      </c>
      <c r="D122" s="33">
        <f>Demand!E120</f>
        <v>15</v>
      </c>
      <c r="E122" s="33">
        <f>IF(Demand!F120,1,0)</f>
        <v>0</v>
      </c>
      <c r="F122" s="33">
        <f>COUNTIFS(c_store,A122,c_date,B122,c_hour,C122)</f>
        <v>1</v>
      </c>
      <c r="G122" s="33">
        <f>IF(F122&gt;0,1,0)</f>
        <v>1</v>
      </c>
      <c r="H122" s="33">
        <f>COUNTIFS(Demand!$A$2:$A$4481,A122,Demand!$B$2:$B$4481,B122,Demand!$C$2:$C$4481,C122)</f>
        <v>1</v>
      </c>
    </row>
    <row r="123">
      <c r="A123" s="32" t="str">
        <f>Demand!A121</f>
        <v>S008</v>
      </c>
      <c r="B123" s="35">
        <f>Demand!B121</f>
        <v>46266.0</v>
      </c>
      <c r="C123" s="33">
        <f>Demand!C121</f>
        <v>15</v>
      </c>
      <c r="D123" s="33">
        <f>Demand!E121</f>
        <v>21</v>
      </c>
      <c r="E123" s="33">
        <f>IF(Demand!F121,1,0)</f>
        <v>0</v>
      </c>
      <c r="F123" s="33">
        <f>COUNTIFS(c_store,A123,c_date,B123,c_hour,C123)</f>
        <v>0</v>
      </c>
      <c r="G123" s="33">
        <f>IF(F123&gt;0,1,0)</f>
        <v>0</v>
      </c>
      <c r="H123" s="33">
        <f>COUNTIFS(Demand!$A$2:$A$4481,A123,Demand!$B$2:$B$4481,B123,Demand!$C$2:$C$4481,C123)</f>
        <v>1</v>
      </c>
    </row>
    <row r="124">
      <c r="A124" s="32" t="str">
        <f>Demand!A122</f>
        <v>S008</v>
      </c>
      <c r="B124" s="35">
        <f>Demand!B122</f>
        <v>46266.0</v>
      </c>
      <c r="C124" s="33">
        <f>Demand!C122</f>
        <v>16</v>
      </c>
      <c r="D124" s="33">
        <f>Demand!E122</f>
        <v>25</v>
      </c>
      <c r="E124" s="33">
        <f>IF(Demand!F122,1,0)</f>
        <v>0</v>
      </c>
      <c r="F124" s="33">
        <f>COUNTIFS(c_store,A124,c_date,B124,c_hour,C124)</f>
        <v>0</v>
      </c>
      <c r="G124" s="33">
        <f>IF(F124&gt;0,1,0)</f>
        <v>0</v>
      </c>
      <c r="H124" s="33">
        <f>COUNTIFS(Demand!$A$2:$A$4481,A124,Demand!$B$2:$B$4481,B124,Demand!$C$2:$C$4481,C124)</f>
        <v>1</v>
      </c>
    </row>
    <row r="125">
      <c r="A125" s="32" t="str">
        <f>Demand!A123</f>
        <v>S008</v>
      </c>
      <c r="B125" s="35">
        <f>Demand!B123</f>
        <v>46266.0</v>
      </c>
      <c r="C125" s="33">
        <f>Demand!C123</f>
        <v>17</v>
      </c>
      <c r="D125" s="33">
        <f>Demand!E123</f>
        <v>25</v>
      </c>
      <c r="E125" s="33">
        <f>IF(Demand!F123,1,0)</f>
        <v>0</v>
      </c>
      <c r="F125" s="33">
        <f>COUNTIFS(c_store,A125,c_date,B125,c_hour,C125)</f>
        <v>0</v>
      </c>
      <c r="G125" s="33">
        <f>IF(F125&gt;0,1,0)</f>
        <v>0</v>
      </c>
      <c r="H125" s="33">
        <f>COUNTIFS(Demand!$A$2:$A$4481,A125,Demand!$B$2:$B$4481,B125,Demand!$C$2:$C$4481,C125)</f>
        <v>1</v>
      </c>
    </row>
    <row r="126">
      <c r="A126" s="32" t="str">
        <f>Demand!A124</f>
        <v>S008</v>
      </c>
      <c r="B126" s="35">
        <f>Demand!B124</f>
        <v>46266.0</v>
      </c>
      <c r="C126" s="33">
        <f>Demand!C124</f>
        <v>18</v>
      </c>
      <c r="D126" s="33">
        <f>Demand!E124</f>
        <v>27</v>
      </c>
      <c r="E126" s="33">
        <f>IF(Demand!F124,1,0)</f>
        <v>0</v>
      </c>
      <c r="F126" s="33">
        <f>COUNTIFS(c_store,A126,c_date,B126,c_hour,C126)</f>
        <v>1</v>
      </c>
      <c r="G126" s="33">
        <f>IF(F126&gt;0,1,0)</f>
        <v>1</v>
      </c>
      <c r="H126" s="33">
        <f>COUNTIFS(Demand!$A$2:$A$4481,A126,Demand!$B$2:$B$4481,B126,Demand!$C$2:$C$4481,C126)</f>
        <v>1</v>
      </c>
    </row>
    <row r="127">
      <c r="A127" s="32" t="str">
        <f>Demand!A125</f>
        <v>S008</v>
      </c>
      <c r="B127" s="35">
        <f>Demand!B125</f>
        <v>46266.0</v>
      </c>
      <c r="C127" s="33">
        <f>Demand!C125</f>
        <v>19</v>
      </c>
      <c r="D127" s="33">
        <f>Demand!E125</f>
        <v>30</v>
      </c>
      <c r="E127" s="33">
        <f>IF(Demand!F125,1,0)</f>
        <v>1</v>
      </c>
      <c r="F127" s="33">
        <f>COUNTIFS(c_store,A127,c_date,B127,c_hour,C127)</f>
        <v>0</v>
      </c>
      <c r="G127" s="33">
        <f>IF(F127&gt;0,1,0)</f>
        <v>0</v>
      </c>
      <c r="H127" s="33">
        <f>COUNTIFS(Demand!$A$2:$A$4481,A127,Demand!$B$2:$B$4481,B127,Demand!$C$2:$C$4481,C127)</f>
        <v>1</v>
      </c>
    </row>
    <row r="128">
      <c r="A128" s="32" t="str">
        <f>Demand!A126</f>
        <v>S008</v>
      </c>
      <c r="B128" s="35">
        <f>Demand!B126</f>
        <v>46266.0</v>
      </c>
      <c r="C128" s="33">
        <f>Demand!C126</f>
        <v>20</v>
      </c>
      <c r="D128" s="33">
        <f>Demand!E126</f>
        <v>32</v>
      </c>
      <c r="E128" s="33">
        <f>IF(Demand!F126,1,0)</f>
        <v>1</v>
      </c>
      <c r="F128" s="33">
        <f>COUNTIFS(c_store,A128,c_date,B128,c_hour,C128)</f>
        <v>0</v>
      </c>
      <c r="G128" s="33">
        <f>IF(F128&gt;0,1,0)</f>
        <v>0</v>
      </c>
      <c r="H128" s="33">
        <f>COUNTIFS(Demand!$A$2:$A$4481,A128,Demand!$B$2:$B$4481,B128,Demand!$C$2:$C$4481,C128)</f>
        <v>1</v>
      </c>
    </row>
    <row r="129">
      <c r="A129" s="32" t="str">
        <f>Demand!A127</f>
        <v>S008</v>
      </c>
      <c r="B129" s="35">
        <f>Demand!B127</f>
        <v>46266.0</v>
      </c>
      <c r="C129" s="33">
        <f>Demand!C127</f>
        <v>21</v>
      </c>
      <c r="D129" s="33">
        <f>Demand!E127</f>
        <v>35</v>
      </c>
      <c r="E129" s="33">
        <f>IF(Demand!F127,1,0)</f>
        <v>1</v>
      </c>
      <c r="F129" s="33">
        <f>COUNTIFS(c_store,A129,c_date,B129,c_hour,C129)</f>
        <v>1</v>
      </c>
      <c r="G129" s="33">
        <f>IF(F129&gt;0,1,0)</f>
        <v>1</v>
      </c>
      <c r="H129" s="33">
        <f>COUNTIFS(Demand!$A$2:$A$4481,A129,Demand!$B$2:$B$4481,B129,Demand!$C$2:$C$4481,C129)</f>
        <v>1</v>
      </c>
    </row>
    <row r="130">
      <c r="A130" s="32" t="str">
        <f>Demand!A128</f>
        <v>S008</v>
      </c>
      <c r="B130" s="35">
        <f>Demand!B128</f>
        <v>46266.0</v>
      </c>
      <c r="C130" s="33">
        <f>Demand!C128</f>
        <v>22</v>
      </c>
      <c r="D130" s="33">
        <f>Demand!E128</f>
        <v>10</v>
      </c>
      <c r="E130" s="33">
        <f>IF(Demand!F128,1,0)</f>
        <v>0</v>
      </c>
      <c r="F130" s="33">
        <f>COUNTIFS(c_store,A130,c_date,B130,c_hour,C130)</f>
        <v>1</v>
      </c>
      <c r="G130" s="33">
        <f>IF(F130&gt;0,1,0)</f>
        <v>1</v>
      </c>
      <c r="H130" s="33">
        <f>COUNTIFS(Demand!$A$2:$A$4481,A130,Demand!$B$2:$B$4481,B130,Demand!$C$2:$C$4481,C130)</f>
        <v>1</v>
      </c>
    </row>
    <row r="131">
      <c r="A131" s="32" t="str">
        <f>Demand!A129</f>
        <v>S008</v>
      </c>
      <c r="B131" s="35">
        <f>Demand!B129</f>
        <v>46266.0</v>
      </c>
      <c r="C131" s="33">
        <f>Demand!C129</f>
        <v>23</v>
      </c>
      <c r="D131" s="33">
        <f>Demand!E129</f>
        <v>22</v>
      </c>
      <c r="E131" s="33">
        <f>IF(Demand!F129,1,0)</f>
        <v>0</v>
      </c>
      <c r="F131" s="33">
        <f>COUNTIFS(c_store,A131,c_date,B131,c_hour,C131)</f>
        <v>0</v>
      </c>
      <c r="G131" s="33">
        <f>IF(F131&gt;0,1,0)</f>
        <v>0</v>
      </c>
      <c r="H131" s="33">
        <f>COUNTIFS(Demand!$A$2:$A$4481,A131,Demand!$B$2:$B$4481,B131,Demand!$C$2:$C$4481,C131)</f>
        <v>1</v>
      </c>
    </row>
    <row r="132">
      <c r="A132" s="32" t="str">
        <f>Demand!A130</f>
        <v>S009</v>
      </c>
      <c r="B132" s="35">
        <f>Demand!B130</f>
        <v>46266.0</v>
      </c>
      <c r="C132" s="33">
        <f>Demand!C130</f>
        <v>8</v>
      </c>
      <c r="D132" s="33">
        <f>Demand!E130</f>
        <v>21</v>
      </c>
      <c r="E132" s="33">
        <f>IF(Demand!F130,1,0)</f>
        <v>0</v>
      </c>
      <c r="F132" s="33">
        <f>COUNTIFS(c_store,A132,c_date,B132,c_hour,C132)</f>
        <v>0</v>
      </c>
      <c r="G132" s="33">
        <f>IF(F132&gt;0,1,0)</f>
        <v>0</v>
      </c>
      <c r="H132" s="33">
        <f>COUNTIFS(Demand!$A$2:$A$4481,A132,Demand!$B$2:$B$4481,B132,Demand!$C$2:$C$4481,C132)</f>
        <v>1</v>
      </c>
    </row>
    <row r="133">
      <c r="A133" s="32" t="str">
        <f>Demand!A131</f>
        <v>S009</v>
      </c>
      <c r="B133" s="35">
        <f>Demand!B131</f>
        <v>46266.0</v>
      </c>
      <c r="C133" s="33">
        <f>Demand!C131</f>
        <v>9</v>
      </c>
      <c r="D133" s="33">
        <f>Demand!E131</f>
        <v>20</v>
      </c>
      <c r="E133" s="33">
        <f>IF(Demand!F131,1,0)</f>
        <v>0</v>
      </c>
      <c r="F133" s="33">
        <f>COUNTIFS(c_store,A133,c_date,B133,c_hour,C133)</f>
        <v>0</v>
      </c>
      <c r="G133" s="33">
        <f>IF(F133&gt;0,1,0)</f>
        <v>0</v>
      </c>
      <c r="H133" s="33">
        <f>COUNTIFS(Demand!$A$2:$A$4481,A133,Demand!$B$2:$B$4481,B133,Demand!$C$2:$C$4481,C133)</f>
        <v>1</v>
      </c>
    </row>
    <row r="134">
      <c r="A134" s="32" t="str">
        <f>Demand!A132</f>
        <v>S009</v>
      </c>
      <c r="B134" s="35">
        <f>Demand!B132</f>
        <v>46266.0</v>
      </c>
      <c r="C134" s="33">
        <f>Demand!C132</f>
        <v>10</v>
      </c>
      <c r="D134" s="33">
        <f>Demand!E132</f>
        <v>19</v>
      </c>
      <c r="E134" s="33">
        <f>IF(Demand!F132,1,0)</f>
        <v>0</v>
      </c>
      <c r="F134" s="33">
        <f>COUNTIFS(c_store,A134,c_date,B134,c_hour,C134)</f>
        <v>0</v>
      </c>
      <c r="G134" s="33">
        <f>IF(F134&gt;0,1,0)</f>
        <v>0</v>
      </c>
      <c r="H134" s="33">
        <f>COUNTIFS(Demand!$A$2:$A$4481,A134,Demand!$B$2:$B$4481,B134,Demand!$C$2:$C$4481,C134)</f>
        <v>1</v>
      </c>
    </row>
    <row r="135">
      <c r="A135" s="32" t="str">
        <f>Demand!A133</f>
        <v>S009</v>
      </c>
      <c r="B135" s="35">
        <f>Demand!B133</f>
        <v>46266.0</v>
      </c>
      <c r="C135" s="33">
        <f>Demand!C133</f>
        <v>11</v>
      </c>
      <c r="D135" s="33">
        <f>Demand!E133</f>
        <v>33</v>
      </c>
      <c r="E135" s="33">
        <f>IF(Demand!F133,1,0)</f>
        <v>0</v>
      </c>
      <c r="F135" s="33">
        <f>COUNTIFS(c_store,A135,c_date,B135,c_hour,C135)</f>
        <v>0</v>
      </c>
      <c r="G135" s="33">
        <f>IF(F135&gt;0,1,0)</f>
        <v>0</v>
      </c>
      <c r="H135" s="33">
        <f>COUNTIFS(Demand!$A$2:$A$4481,A135,Demand!$B$2:$B$4481,B135,Demand!$C$2:$C$4481,C135)</f>
        <v>1</v>
      </c>
    </row>
    <row r="136">
      <c r="A136" s="32" t="str">
        <f>Demand!A134</f>
        <v>S009</v>
      </c>
      <c r="B136" s="35">
        <f>Demand!B134</f>
        <v>46266.0</v>
      </c>
      <c r="C136" s="33">
        <f>Demand!C134</f>
        <v>12</v>
      </c>
      <c r="D136" s="33">
        <f>Demand!E134</f>
        <v>30</v>
      </c>
      <c r="E136" s="33">
        <f>IF(Demand!F134,1,0)</f>
        <v>0</v>
      </c>
      <c r="F136" s="33">
        <f>COUNTIFS(c_store,A136,c_date,B136,c_hour,C136)</f>
        <v>0</v>
      </c>
      <c r="G136" s="33">
        <f>IF(F136&gt;0,1,0)</f>
        <v>0</v>
      </c>
      <c r="H136" s="33">
        <f>COUNTIFS(Demand!$A$2:$A$4481,A136,Demand!$B$2:$B$4481,B136,Demand!$C$2:$C$4481,C136)</f>
        <v>1</v>
      </c>
    </row>
    <row r="137">
      <c r="A137" s="32" t="str">
        <f>Demand!A135</f>
        <v>S009</v>
      </c>
      <c r="B137" s="35">
        <f>Demand!B135</f>
        <v>46266.0</v>
      </c>
      <c r="C137" s="33">
        <f>Demand!C135</f>
        <v>13</v>
      </c>
      <c r="D137" s="33">
        <f>Demand!E135</f>
        <v>39</v>
      </c>
      <c r="E137" s="33">
        <f>IF(Demand!F135,1,0)</f>
        <v>0</v>
      </c>
      <c r="F137" s="33">
        <f>COUNTIFS(c_store,A137,c_date,B137,c_hour,C137)</f>
        <v>0</v>
      </c>
      <c r="G137" s="33">
        <f>IF(F137&gt;0,1,0)</f>
        <v>0</v>
      </c>
      <c r="H137" s="33">
        <f>COUNTIFS(Demand!$A$2:$A$4481,A137,Demand!$B$2:$B$4481,B137,Demand!$C$2:$C$4481,C137)</f>
        <v>1</v>
      </c>
    </row>
    <row r="138">
      <c r="A138" s="32" t="str">
        <f>Demand!A136</f>
        <v>S009</v>
      </c>
      <c r="B138" s="35">
        <f>Demand!B136</f>
        <v>46266.0</v>
      </c>
      <c r="C138" s="33">
        <f>Demand!C136</f>
        <v>14</v>
      </c>
      <c r="D138" s="33">
        <f>Demand!E136</f>
        <v>21</v>
      </c>
      <c r="E138" s="33">
        <f>IF(Demand!F136,1,0)</f>
        <v>0</v>
      </c>
      <c r="F138" s="33">
        <f>COUNTIFS(c_store,A138,c_date,B138,c_hour,C138)</f>
        <v>0</v>
      </c>
      <c r="G138" s="33">
        <f>IF(F138&gt;0,1,0)</f>
        <v>0</v>
      </c>
      <c r="H138" s="33">
        <f>COUNTIFS(Demand!$A$2:$A$4481,A138,Demand!$B$2:$B$4481,B138,Demand!$C$2:$C$4481,C138)</f>
        <v>1</v>
      </c>
    </row>
    <row r="139">
      <c r="A139" s="32" t="str">
        <f>Demand!A137</f>
        <v>S009</v>
      </c>
      <c r="B139" s="35">
        <f>Demand!B137</f>
        <v>46266.0</v>
      </c>
      <c r="C139" s="33">
        <f>Demand!C137</f>
        <v>15</v>
      </c>
      <c r="D139" s="33">
        <f>Demand!E137</f>
        <v>13</v>
      </c>
      <c r="E139" s="33">
        <f>IF(Demand!F137,1,0)</f>
        <v>0</v>
      </c>
      <c r="F139" s="33">
        <f>COUNTIFS(c_store,A139,c_date,B139,c_hour,C139)</f>
        <v>0</v>
      </c>
      <c r="G139" s="33">
        <f>IF(F139&gt;0,1,0)</f>
        <v>0</v>
      </c>
      <c r="H139" s="33">
        <f>COUNTIFS(Demand!$A$2:$A$4481,A139,Demand!$B$2:$B$4481,B139,Demand!$C$2:$C$4481,C139)</f>
        <v>1</v>
      </c>
    </row>
    <row r="140">
      <c r="A140" s="32" t="str">
        <f>Demand!A138</f>
        <v>S009</v>
      </c>
      <c r="B140" s="35">
        <f>Demand!B138</f>
        <v>46266.0</v>
      </c>
      <c r="C140" s="33">
        <f>Demand!C138</f>
        <v>16</v>
      </c>
      <c r="D140" s="33">
        <f>Demand!E138</f>
        <v>29</v>
      </c>
      <c r="E140" s="33">
        <f>IF(Demand!F138,1,0)</f>
        <v>0</v>
      </c>
      <c r="F140" s="33">
        <f>COUNTIFS(c_store,A140,c_date,B140,c_hour,C140)</f>
        <v>1</v>
      </c>
      <c r="G140" s="33">
        <f>IF(F140&gt;0,1,0)</f>
        <v>1</v>
      </c>
      <c r="H140" s="33">
        <f>COUNTIFS(Demand!$A$2:$A$4481,A140,Demand!$B$2:$B$4481,B140,Demand!$C$2:$C$4481,C140)</f>
        <v>1</v>
      </c>
    </row>
    <row r="141">
      <c r="A141" s="32" t="str">
        <f>Demand!A139</f>
        <v>S009</v>
      </c>
      <c r="B141" s="35">
        <f>Demand!B139</f>
        <v>46266.0</v>
      </c>
      <c r="C141" s="33">
        <f>Demand!C139</f>
        <v>17</v>
      </c>
      <c r="D141" s="33">
        <f>Demand!E139</f>
        <v>27</v>
      </c>
      <c r="E141" s="33">
        <f>IF(Demand!F139,1,0)</f>
        <v>0</v>
      </c>
      <c r="F141" s="33">
        <f>COUNTIFS(c_store,A141,c_date,B141,c_hour,C141)</f>
        <v>0</v>
      </c>
      <c r="G141" s="33">
        <f>IF(F141&gt;0,1,0)</f>
        <v>0</v>
      </c>
      <c r="H141" s="33">
        <f>COUNTIFS(Demand!$A$2:$A$4481,A141,Demand!$B$2:$B$4481,B141,Demand!$C$2:$C$4481,C141)</f>
        <v>1</v>
      </c>
    </row>
    <row r="142">
      <c r="A142" s="32" t="str">
        <f>Demand!A140</f>
        <v>S009</v>
      </c>
      <c r="B142" s="35">
        <f>Demand!B140</f>
        <v>46266.0</v>
      </c>
      <c r="C142" s="33">
        <f>Demand!C140</f>
        <v>18</v>
      </c>
      <c r="D142" s="33">
        <f>Demand!E140</f>
        <v>28</v>
      </c>
      <c r="E142" s="33">
        <f>IF(Demand!F140,1,0)</f>
        <v>0</v>
      </c>
      <c r="F142" s="33">
        <f>COUNTIFS(c_store,A142,c_date,B142,c_hour,C142)</f>
        <v>1</v>
      </c>
      <c r="G142" s="33">
        <f>IF(F142&gt;0,1,0)</f>
        <v>1</v>
      </c>
      <c r="H142" s="33">
        <f>COUNTIFS(Demand!$A$2:$A$4481,A142,Demand!$B$2:$B$4481,B142,Demand!$C$2:$C$4481,C142)</f>
        <v>1</v>
      </c>
    </row>
    <row r="143">
      <c r="A143" s="32" t="str">
        <f>Demand!A141</f>
        <v>S009</v>
      </c>
      <c r="B143" s="35">
        <f>Demand!B141</f>
        <v>46266.0</v>
      </c>
      <c r="C143" s="33">
        <f>Demand!C141</f>
        <v>19</v>
      </c>
      <c r="D143" s="33">
        <f>Demand!E141</f>
        <v>49</v>
      </c>
      <c r="E143" s="33">
        <f>IF(Demand!F141,1,0)</f>
        <v>1</v>
      </c>
      <c r="F143" s="33">
        <f>COUNTIFS(c_store,A143,c_date,B143,c_hour,C143)</f>
        <v>0</v>
      </c>
      <c r="G143" s="33">
        <f>IF(F143&gt;0,1,0)</f>
        <v>0</v>
      </c>
      <c r="H143" s="33">
        <f>COUNTIFS(Demand!$A$2:$A$4481,A143,Demand!$B$2:$B$4481,B143,Demand!$C$2:$C$4481,C143)</f>
        <v>1</v>
      </c>
    </row>
    <row r="144">
      <c r="A144" s="32" t="str">
        <f>Demand!A142</f>
        <v>S009</v>
      </c>
      <c r="B144" s="35">
        <f>Demand!B142</f>
        <v>46266.0</v>
      </c>
      <c r="C144" s="33">
        <f>Demand!C142</f>
        <v>20</v>
      </c>
      <c r="D144" s="33">
        <f>Demand!E142</f>
        <v>50</v>
      </c>
      <c r="E144" s="33">
        <f>IF(Demand!F142,1,0)</f>
        <v>1</v>
      </c>
      <c r="F144" s="33">
        <f>COUNTIFS(c_store,A144,c_date,B144,c_hour,C144)</f>
        <v>2</v>
      </c>
      <c r="G144" s="33">
        <f>IF(F144&gt;0,1,0)</f>
        <v>1</v>
      </c>
      <c r="H144" s="33">
        <f>COUNTIFS(Demand!$A$2:$A$4481,A144,Demand!$B$2:$B$4481,B144,Demand!$C$2:$C$4481,C144)</f>
        <v>1</v>
      </c>
    </row>
    <row r="145">
      <c r="A145" s="32" t="str">
        <f>Demand!A143</f>
        <v>S009</v>
      </c>
      <c r="B145" s="35">
        <f>Demand!B143</f>
        <v>46266.0</v>
      </c>
      <c r="C145" s="33">
        <f>Demand!C143</f>
        <v>21</v>
      </c>
      <c r="D145" s="33">
        <f>Demand!E143</f>
        <v>36</v>
      </c>
      <c r="E145" s="33">
        <f>IF(Demand!F143,1,0)</f>
        <v>1</v>
      </c>
      <c r="F145" s="33">
        <f>COUNTIFS(c_store,A145,c_date,B145,c_hour,C145)</f>
        <v>0</v>
      </c>
      <c r="G145" s="33">
        <f>IF(F145&gt;0,1,0)</f>
        <v>0</v>
      </c>
      <c r="H145" s="33">
        <f>COUNTIFS(Demand!$A$2:$A$4481,A145,Demand!$B$2:$B$4481,B145,Demand!$C$2:$C$4481,C145)</f>
        <v>1</v>
      </c>
    </row>
    <row r="146">
      <c r="A146" s="32" t="str">
        <f>Demand!A144</f>
        <v>S009</v>
      </c>
      <c r="B146" s="35">
        <f>Demand!B144</f>
        <v>46266.0</v>
      </c>
      <c r="C146" s="33">
        <f>Demand!C144</f>
        <v>22</v>
      </c>
      <c r="D146" s="33">
        <f>Demand!E144</f>
        <v>32</v>
      </c>
      <c r="E146" s="33">
        <f>IF(Demand!F144,1,0)</f>
        <v>0</v>
      </c>
      <c r="F146" s="33">
        <f>COUNTIFS(c_store,A146,c_date,B146,c_hour,C146)</f>
        <v>0</v>
      </c>
      <c r="G146" s="33">
        <f>IF(F146&gt;0,1,0)</f>
        <v>0</v>
      </c>
      <c r="H146" s="33">
        <f>COUNTIFS(Demand!$A$2:$A$4481,A146,Demand!$B$2:$B$4481,B146,Demand!$C$2:$C$4481,C146)</f>
        <v>1</v>
      </c>
    </row>
    <row r="147">
      <c r="A147" s="32" t="str">
        <f>Demand!A145</f>
        <v>S009</v>
      </c>
      <c r="B147" s="35">
        <f>Demand!B145</f>
        <v>46266.0</v>
      </c>
      <c r="C147" s="33">
        <f>Demand!C145</f>
        <v>23</v>
      </c>
      <c r="D147" s="33">
        <f>Demand!E145</f>
        <v>30</v>
      </c>
      <c r="E147" s="33">
        <f>IF(Demand!F145,1,0)</f>
        <v>0</v>
      </c>
      <c r="F147" s="33">
        <f>COUNTIFS(c_store,A147,c_date,B147,c_hour,C147)</f>
        <v>0</v>
      </c>
      <c r="G147" s="33">
        <f>IF(F147&gt;0,1,0)</f>
        <v>0</v>
      </c>
      <c r="H147" s="33">
        <f>COUNTIFS(Demand!$A$2:$A$4481,A147,Demand!$B$2:$B$4481,B147,Demand!$C$2:$C$4481,C147)</f>
        <v>1</v>
      </c>
    </row>
    <row r="148">
      <c r="A148" s="32" t="str">
        <f>Demand!A146</f>
        <v>S010</v>
      </c>
      <c r="B148" s="35">
        <f>Demand!B146</f>
        <v>46266.0</v>
      </c>
      <c r="C148" s="33">
        <f>Demand!C146</f>
        <v>8</v>
      </c>
      <c r="D148" s="33">
        <f>Demand!E146</f>
        <v>22</v>
      </c>
      <c r="E148" s="33">
        <f>IF(Demand!F146,1,0)</f>
        <v>0</v>
      </c>
      <c r="F148" s="33">
        <f>COUNTIFS(c_store,A148,c_date,B148,c_hour,C148)</f>
        <v>0</v>
      </c>
      <c r="G148" s="33">
        <f>IF(F148&gt;0,1,0)</f>
        <v>0</v>
      </c>
      <c r="H148" s="33">
        <f>COUNTIFS(Demand!$A$2:$A$4481,A148,Demand!$B$2:$B$4481,B148,Demand!$C$2:$C$4481,C148)</f>
        <v>1</v>
      </c>
    </row>
    <row r="149">
      <c r="A149" s="32" t="str">
        <f>Demand!A147</f>
        <v>S010</v>
      </c>
      <c r="B149" s="35">
        <f>Demand!B147</f>
        <v>46266.0</v>
      </c>
      <c r="C149" s="33">
        <f>Demand!C147</f>
        <v>9</v>
      </c>
      <c r="D149" s="33">
        <f>Demand!E147</f>
        <v>21</v>
      </c>
      <c r="E149" s="33">
        <f>IF(Demand!F147,1,0)</f>
        <v>0</v>
      </c>
      <c r="F149" s="33">
        <f>COUNTIFS(c_store,A149,c_date,B149,c_hour,C149)</f>
        <v>1</v>
      </c>
      <c r="G149" s="33">
        <f>IF(F149&gt;0,1,0)</f>
        <v>1</v>
      </c>
      <c r="H149" s="33">
        <f>COUNTIFS(Demand!$A$2:$A$4481,A149,Demand!$B$2:$B$4481,B149,Demand!$C$2:$C$4481,C149)</f>
        <v>1</v>
      </c>
    </row>
    <row r="150">
      <c r="A150" s="32" t="str">
        <f>Demand!A148</f>
        <v>S010</v>
      </c>
      <c r="B150" s="35">
        <f>Demand!B148</f>
        <v>46266.0</v>
      </c>
      <c r="C150" s="33">
        <f>Demand!C148</f>
        <v>10</v>
      </c>
      <c r="D150" s="33">
        <f>Demand!E148</f>
        <v>21</v>
      </c>
      <c r="E150" s="33">
        <f>IF(Demand!F148,1,0)</f>
        <v>0</v>
      </c>
      <c r="F150" s="33">
        <f>COUNTIFS(c_store,A150,c_date,B150,c_hour,C150)</f>
        <v>0</v>
      </c>
      <c r="G150" s="33">
        <f>IF(F150&gt;0,1,0)</f>
        <v>0</v>
      </c>
      <c r="H150" s="33">
        <f>COUNTIFS(Demand!$A$2:$A$4481,A150,Demand!$B$2:$B$4481,B150,Demand!$C$2:$C$4481,C150)</f>
        <v>1</v>
      </c>
    </row>
    <row r="151">
      <c r="A151" s="32" t="str">
        <f>Demand!A149</f>
        <v>S010</v>
      </c>
      <c r="B151" s="35">
        <f>Demand!B149</f>
        <v>46266.0</v>
      </c>
      <c r="C151" s="33">
        <f>Demand!C149</f>
        <v>11</v>
      </c>
      <c r="D151" s="33">
        <f>Demand!E149</f>
        <v>26</v>
      </c>
      <c r="E151" s="33">
        <f>IF(Demand!F149,1,0)</f>
        <v>0</v>
      </c>
      <c r="F151" s="33">
        <f>COUNTIFS(c_store,A151,c_date,B151,c_hour,C151)</f>
        <v>0</v>
      </c>
      <c r="G151" s="33">
        <f>IF(F151&gt;0,1,0)</f>
        <v>0</v>
      </c>
      <c r="H151" s="33">
        <f>COUNTIFS(Demand!$A$2:$A$4481,A151,Demand!$B$2:$B$4481,B151,Demand!$C$2:$C$4481,C151)</f>
        <v>1</v>
      </c>
    </row>
    <row r="152">
      <c r="A152" s="32" t="str">
        <f>Demand!A150</f>
        <v>S010</v>
      </c>
      <c r="B152" s="35">
        <f>Demand!B150</f>
        <v>46266.0</v>
      </c>
      <c r="C152" s="33">
        <f>Demand!C150</f>
        <v>12</v>
      </c>
      <c r="D152" s="33">
        <f>Demand!E150</f>
        <v>18</v>
      </c>
      <c r="E152" s="33">
        <f>IF(Demand!F150,1,0)</f>
        <v>0</v>
      </c>
      <c r="F152" s="33">
        <f>COUNTIFS(c_store,A152,c_date,B152,c_hour,C152)</f>
        <v>0</v>
      </c>
      <c r="G152" s="33">
        <f>IF(F152&gt;0,1,0)</f>
        <v>0</v>
      </c>
      <c r="H152" s="33">
        <f>COUNTIFS(Demand!$A$2:$A$4481,A152,Demand!$B$2:$B$4481,B152,Demand!$C$2:$C$4481,C152)</f>
        <v>1</v>
      </c>
    </row>
    <row r="153">
      <c r="A153" s="32" t="str">
        <f>Demand!A151</f>
        <v>S010</v>
      </c>
      <c r="B153" s="35">
        <f>Demand!B151</f>
        <v>46266.0</v>
      </c>
      <c r="C153" s="33">
        <f>Demand!C151</f>
        <v>13</v>
      </c>
      <c r="D153" s="33">
        <f>Demand!E151</f>
        <v>25</v>
      </c>
      <c r="E153" s="33">
        <f>IF(Demand!F151,1,0)</f>
        <v>0</v>
      </c>
      <c r="F153" s="33">
        <f>COUNTIFS(c_store,A153,c_date,B153,c_hour,C153)</f>
        <v>0</v>
      </c>
      <c r="G153" s="33">
        <f>IF(F153&gt;0,1,0)</f>
        <v>0</v>
      </c>
      <c r="H153" s="33">
        <f>COUNTIFS(Demand!$A$2:$A$4481,A153,Demand!$B$2:$B$4481,B153,Demand!$C$2:$C$4481,C153)</f>
        <v>1</v>
      </c>
    </row>
    <row r="154">
      <c r="A154" s="32" t="str">
        <f>Demand!A152</f>
        <v>S010</v>
      </c>
      <c r="B154" s="35">
        <f>Demand!B152</f>
        <v>46266.0</v>
      </c>
      <c r="C154" s="33">
        <f>Demand!C152</f>
        <v>14</v>
      </c>
      <c r="D154" s="33">
        <f>Demand!E152</f>
        <v>16</v>
      </c>
      <c r="E154" s="33">
        <f>IF(Demand!F152,1,0)</f>
        <v>0</v>
      </c>
      <c r="F154" s="33">
        <f>COUNTIFS(c_store,A154,c_date,B154,c_hour,C154)</f>
        <v>1</v>
      </c>
      <c r="G154" s="33">
        <f>IF(F154&gt;0,1,0)</f>
        <v>1</v>
      </c>
      <c r="H154" s="33">
        <f>COUNTIFS(Demand!$A$2:$A$4481,A154,Demand!$B$2:$B$4481,B154,Demand!$C$2:$C$4481,C154)</f>
        <v>1</v>
      </c>
    </row>
    <row r="155">
      <c r="A155" s="32" t="str">
        <f>Demand!A153</f>
        <v>S010</v>
      </c>
      <c r="B155" s="35">
        <f>Demand!B153</f>
        <v>46266.0</v>
      </c>
      <c r="C155" s="33">
        <f>Demand!C153</f>
        <v>15</v>
      </c>
      <c r="D155" s="33">
        <f>Demand!E153</f>
        <v>21</v>
      </c>
      <c r="E155" s="33">
        <f>IF(Demand!F153,1,0)</f>
        <v>0</v>
      </c>
      <c r="F155" s="33">
        <f>COUNTIFS(c_store,A155,c_date,B155,c_hour,C155)</f>
        <v>1</v>
      </c>
      <c r="G155" s="33">
        <f>IF(F155&gt;0,1,0)</f>
        <v>1</v>
      </c>
      <c r="H155" s="33">
        <f>COUNTIFS(Demand!$A$2:$A$4481,A155,Demand!$B$2:$B$4481,B155,Demand!$C$2:$C$4481,C155)</f>
        <v>1</v>
      </c>
    </row>
    <row r="156">
      <c r="A156" s="32" t="str">
        <f>Demand!A154</f>
        <v>S010</v>
      </c>
      <c r="B156" s="35">
        <f>Demand!B154</f>
        <v>46266.0</v>
      </c>
      <c r="C156" s="33">
        <f>Demand!C154</f>
        <v>16</v>
      </c>
      <c r="D156" s="33">
        <f>Demand!E154</f>
        <v>27</v>
      </c>
      <c r="E156" s="33">
        <f>IF(Demand!F154,1,0)</f>
        <v>0</v>
      </c>
      <c r="F156" s="33">
        <f>COUNTIFS(c_store,A156,c_date,B156,c_hour,C156)</f>
        <v>0</v>
      </c>
      <c r="G156" s="33">
        <f>IF(F156&gt;0,1,0)</f>
        <v>0</v>
      </c>
      <c r="H156" s="33">
        <f>COUNTIFS(Demand!$A$2:$A$4481,A156,Demand!$B$2:$B$4481,B156,Demand!$C$2:$C$4481,C156)</f>
        <v>1</v>
      </c>
    </row>
    <row r="157">
      <c r="A157" s="32" t="str">
        <f>Demand!A155</f>
        <v>S010</v>
      </c>
      <c r="B157" s="35">
        <f>Demand!B155</f>
        <v>46266.0</v>
      </c>
      <c r="C157" s="33">
        <f>Demand!C155</f>
        <v>17</v>
      </c>
      <c r="D157" s="33">
        <f>Demand!E155</f>
        <v>23</v>
      </c>
      <c r="E157" s="33">
        <f>IF(Demand!F155,1,0)</f>
        <v>0</v>
      </c>
      <c r="F157" s="33">
        <f>COUNTIFS(c_store,A157,c_date,B157,c_hour,C157)</f>
        <v>0</v>
      </c>
      <c r="G157" s="33">
        <f>IF(F157&gt;0,1,0)</f>
        <v>0</v>
      </c>
      <c r="H157" s="33">
        <f>COUNTIFS(Demand!$A$2:$A$4481,A157,Demand!$B$2:$B$4481,B157,Demand!$C$2:$C$4481,C157)</f>
        <v>1</v>
      </c>
    </row>
    <row r="158">
      <c r="A158" s="32" t="str">
        <f>Demand!A156</f>
        <v>S010</v>
      </c>
      <c r="B158" s="35">
        <f>Demand!B156</f>
        <v>46266.0</v>
      </c>
      <c r="C158" s="33">
        <f>Demand!C156</f>
        <v>18</v>
      </c>
      <c r="D158" s="33">
        <f>Demand!E156</f>
        <v>14</v>
      </c>
      <c r="E158" s="33">
        <f>IF(Demand!F156,1,0)</f>
        <v>0</v>
      </c>
      <c r="F158" s="33">
        <f>COUNTIFS(c_store,A158,c_date,B158,c_hour,C158)</f>
        <v>0</v>
      </c>
      <c r="G158" s="33">
        <f>IF(F158&gt;0,1,0)</f>
        <v>0</v>
      </c>
      <c r="H158" s="33">
        <f>COUNTIFS(Demand!$A$2:$A$4481,A158,Demand!$B$2:$B$4481,B158,Demand!$C$2:$C$4481,C158)</f>
        <v>1</v>
      </c>
    </row>
    <row r="159">
      <c r="A159" s="32" t="str">
        <f>Demand!A157</f>
        <v>S010</v>
      </c>
      <c r="B159" s="35">
        <f>Demand!B157</f>
        <v>46266.0</v>
      </c>
      <c r="C159" s="33">
        <f>Demand!C157</f>
        <v>19</v>
      </c>
      <c r="D159" s="33">
        <f>Demand!E157</f>
        <v>35</v>
      </c>
      <c r="E159" s="33">
        <f>IF(Demand!F157,1,0)</f>
        <v>1</v>
      </c>
      <c r="F159" s="33">
        <f>COUNTIFS(c_store,A159,c_date,B159,c_hour,C159)</f>
        <v>0</v>
      </c>
      <c r="G159" s="33">
        <f>IF(F159&gt;0,1,0)</f>
        <v>0</v>
      </c>
      <c r="H159" s="33">
        <f>COUNTIFS(Demand!$A$2:$A$4481,A159,Demand!$B$2:$B$4481,B159,Demand!$C$2:$C$4481,C159)</f>
        <v>1</v>
      </c>
    </row>
    <row r="160">
      <c r="A160" s="32" t="str">
        <f>Demand!A158</f>
        <v>S010</v>
      </c>
      <c r="B160" s="35">
        <f>Demand!B158</f>
        <v>46266.0</v>
      </c>
      <c r="C160" s="33">
        <f>Demand!C158</f>
        <v>20</v>
      </c>
      <c r="D160" s="33">
        <f>Demand!E158</f>
        <v>44</v>
      </c>
      <c r="E160" s="33">
        <f>IF(Demand!F158,1,0)</f>
        <v>1</v>
      </c>
      <c r="F160" s="33">
        <f>COUNTIFS(c_store,A160,c_date,B160,c_hour,C160)</f>
        <v>0</v>
      </c>
      <c r="G160" s="33">
        <f>IF(F160&gt;0,1,0)</f>
        <v>0</v>
      </c>
      <c r="H160" s="33">
        <f>COUNTIFS(Demand!$A$2:$A$4481,A160,Demand!$B$2:$B$4481,B160,Demand!$C$2:$C$4481,C160)</f>
        <v>1</v>
      </c>
    </row>
    <row r="161">
      <c r="A161" s="32" t="str">
        <f>Demand!A159</f>
        <v>S010</v>
      </c>
      <c r="B161" s="35">
        <f>Demand!B159</f>
        <v>46266.0</v>
      </c>
      <c r="C161" s="33">
        <f>Demand!C159</f>
        <v>21</v>
      </c>
      <c r="D161" s="33">
        <f>Demand!E159</f>
        <v>37</v>
      </c>
      <c r="E161" s="33">
        <f>IF(Demand!F159,1,0)</f>
        <v>1</v>
      </c>
      <c r="F161" s="33">
        <f>COUNTIFS(c_store,A161,c_date,B161,c_hour,C161)</f>
        <v>0</v>
      </c>
      <c r="G161" s="33">
        <f>IF(F161&gt;0,1,0)</f>
        <v>0</v>
      </c>
      <c r="H161" s="33">
        <f>COUNTIFS(Demand!$A$2:$A$4481,A161,Demand!$B$2:$B$4481,B161,Demand!$C$2:$C$4481,C161)</f>
        <v>1</v>
      </c>
    </row>
    <row r="162">
      <c r="A162" s="32" t="str">
        <f>Demand!A160</f>
        <v>S010</v>
      </c>
      <c r="B162" s="35">
        <f>Demand!B160</f>
        <v>46266.0</v>
      </c>
      <c r="C162" s="33">
        <f>Demand!C160</f>
        <v>22</v>
      </c>
      <c r="D162" s="33">
        <f>Demand!E160</f>
        <v>18</v>
      </c>
      <c r="E162" s="33">
        <f>IF(Demand!F160,1,0)</f>
        <v>0</v>
      </c>
      <c r="F162" s="33">
        <f>COUNTIFS(c_store,A162,c_date,B162,c_hour,C162)</f>
        <v>3</v>
      </c>
      <c r="G162" s="33">
        <f>IF(F162&gt;0,1,0)</f>
        <v>1</v>
      </c>
      <c r="H162" s="33">
        <f>COUNTIFS(Demand!$A$2:$A$4481,A162,Demand!$B$2:$B$4481,B162,Demand!$C$2:$C$4481,C162)</f>
        <v>1</v>
      </c>
    </row>
    <row r="163">
      <c r="A163" s="32" t="str">
        <f>Demand!A161</f>
        <v>S010</v>
      </c>
      <c r="B163" s="35">
        <f>Demand!B161</f>
        <v>46266.0</v>
      </c>
      <c r="C163" s="33">
        <f>Demand!C161</f>
        <v>23</v>
      </c>
      <c r="D163" s="33">
        <f>Demand!E161</f>
        <v>18</v>
      </c>
      <c r="E163" s="33">
        <f>IF(Demand!F161,1,0)</f>
        <v>0</v>
      </c>
      <c r="F163" s="33">
        <f>COUNTIFS(c_store,A163,c_date,B163,c_hour,C163)</f>
        <v>0</v>
      </c>
      <c r="G163" s="33">
        <f>IF(F163&gt;0,1,0)</f>
        <v>0</v>
      </c>
      <c r="H163" s="33">
        <f>COUNTIFS(Demand!$A$2:$A$4481,A163,Demand!$B$2:$B$4481,B163,Demand!$C$2:$C$4481,C163)</f>
        <v>1</v>
      </c>
    </row>
    <row r="164">
      <c r="A164" s="32" t="str">
        <f>Demand!A162</f>
        <v>S011</v>
      </c>
      <c r="B164" s="35">
        <f>Demand!B162</f>
        <v>46266.0</v>
      </c>
      <c r="C164" s="33">
        <f>Demand!C162</f>
        <v>8</v>
      </c>
      <c r="D164" s="33">
        <f>Demand!E162</f>
        <v>21</v>
      </c>
      <c r="E164" s="33">
        <f>IF(Demand!F162,1,0)</f>
        <v>0</v>
      </c>
      <c r="F164" s="33">
        <f>COUNTIFS(c_store,A164,c_date,B164,c_hour,C164)</f>
        <v>0</v>
      </c>
      <c r="G164" s="33">
        <f>IF(F164&gt;0,1,0)</f>
        <v>0</v>
      </c>
      <c r="H164" s="33">
        <f>COUNTIFS(Demand!$A$2:$A$4481,A164,Demand!$B$2:$B$4481,B164,Demand!$C$2:$C$4481,C164)</f>
        <v>1</v>
      </c>
    </row>
    <row r="165">
      <c r="A165" s="32" t="str">
        <f>Demand!A163</f>
        <v>S011</v>
      </c>
      <c r="B165" s="35">
        <f>Demand!B163</f>
        <v>46266.0</v>
      </c>
      <c r="C165" s="33">
        <f>Demand!C163</f>
        <v>9</v>
      </c>
      <c r="D165" s="33">
        <f>Demand!E163</f>
        <v>20</v>
      </c>
      <c r="E165" s="33">
        <f>IF(Demand!F163,1,0)</f>
        <v>0</v>
      </c>
      <c r="F165" s="33">
        <f>COUNTIFS(c_store,A165,c_date,B165,c_hour,C165)</f>
        <v>2</v>
      </c>
      <c r="G165" s="33">
        <f>IF(F165&gt;0,1,0)</f>
        <v>1</v>
      </c>
      <c r="H165" s="33">
        <f>COUNTIFS(Demand!$A$2:$A$4481,A165,Demand!$B$2:$B$4481,B165,Demand!$C$2:$C$4481,C165)</f>
        <v>1</v>
      </c>
    </row>
    <row r="166">
      <c r="A166" s="32" t="str">
        <f>Demand!A164</f>
        <v>S011</v>
      </c>
      <c r="B166" s="35">
        <f>Demand!B164</f>
        <v>46266.0</v>
      </c>
      <c r="C166" s="33">
        <f>Demand!C164</f>
        <v>10</v>
      </c>
      <c r="D166" s="33">
        <f>Demand!E164</f>
        <v>22</v>
      </c>
      <c r="E166" s="33">
        <f>IF(Demand!F164,1,0)</f>
        <v>0</v>
      </c>
      <c r="F166" s="33">
        <f>COUNTIFS(c_store,A166,c_date,B166,c_hour,C166)</f>
        <v>0</v>
      </c>
      <c r="G166" s="33">
        <f>IF(F166&gt;0,1,0)</f>
        <v>0</v>
      </c>
      <c r="H166" s="33">
        <f>COUNTIFS(Demand!$A$2:$A$4481,A166,Demand!$B$2:$B$4481,B166,Demand!$C$2:$C$4481,C166)</f>
        <v>1</v>
      </c>
    </row>
    <row r="167">
      <c r="A167" s="32" t="str">
        <f>Demand!A165</f>
        <v>S011</v>
      </c>
      <c r="B167" s="35">
        <f>Demand!B165</f>
        <v>46266.0</v>
      </c>
      <c r="C167" s="33">
        <f>Demand!C165</f>
        <v>11</v>
      </c>
      <c r="D167" s="33">
        <f>Demand!E165</f>
        <v>34</v>
      </c>
      <c r="E167" s="33">
        <f>IF(Demand!F165,1,0)</f>
        <v>0</v>
      </c>
      <c r="F167" s="33">
        <f>COUNTIFS(c_store,A167,c_date,B167,c_hour,C167)</f>
        <v>2</v>
      </c>
      <c r="G167" s="33">
        <f>IF(F167&gt;0,1,0)</f>
        <v>1</v>
      </c>
      <c r="H167" s="33">
        <f>COUNTIFS(Demand!$A$2:$A$4481,A167,Demand!$B$2:$B$4481,B167,Demand!$C$2:$C$4481,C167)</f>
        <v>1</v>
      </c>
    </row>
    <row r="168">
      <c r="A168" s="32" t="str">
        <f>Demand!A166</f>
        <v>S011</v>
      </c>
      <c r="B168" s="35">
        <f>Demand!B166</f>
        <v>46266.0</v>
      </c>
      <c r="C168" s="33">
        <f>Demand!C166</f>
        <v>12</v>
      </c>
      <c r="D168" s="33">
        <f>Demand!E166</f>
        <v>26</v>
      </c>
      <c r="E168" s="33">
        <f>IF(Demand!F166,1,0)</f>
        <v>0</v>
      </c>
      <c r="F168" s="33">
        <f>COUNTIFS(c_store,A168,c_date,B168,c_hour,C168)</f>
        <v>1</v>
      </c>
      <c r="G168" s="33">
        <f>IF(F168&gt;0,1,0)</f>
        <v>1</v>
      </c>
      <c r="H168" s="33">
        <f>COUNTIFS(Demand!$A$2:$A$4481,A168,Demand!$B$2:$B$4481,B168,Demand!$C$2:$C$4481,C168)</f>
        <v>1</v>
      </c>
    </row>
    <row r="169">
      <c r="A169" s="32" t="str">
        <f>Demand!A167</f>
        <v>S011</v>
      </c>
      <c r="B169" s="35">
        <f>Demand!B167</f>
        <v>46266.0</v>
      </c>
      <c r="C169" s="33">
        <f>Demand!C167</f>
        <v>13</v>
      </c>
      <c r="D169" s="33">
        <f>Demand!E167</f>
        <v>27</v>
      </c>
      <c r="E169" s="33">
        <f>IF(Demand!F167,1,0)</f>
        <v>0</v>
      </c>
      <c r="F169" s="33">
        <f>COUNTIFS(c_store,A169,c_date,B169,c_hour,C169)</f>
        <v>0</v>
      </c>
      <c r="G169" s="33">
        <f>IF(F169&gt;0,1,0)</f>
        <v>0</v>
      </c>
      <c r="H169" s="33">
        <f>COUNTIFS(Demand!$A$2:$A$4481,A169,Demand!$B$2:$B$4481,B169,Demand!$C$2:$C$4481,C169)</f>
        <v>1</v>
      </c>
    </row>
    <row r="170">
      <c r="A170" s="32" t="str">
        <f>Demand!A168</f>
        <v>S011</v>
      </c>
      <c r="B170" s="35">
        <f>Demand!B168</f>
        <v>46266.0</v>
      </c>
      <c r="C170" s="33">
        <f>Demand!C168</f>
        <v>14</v>
      </c>
      <c r="D170" s="33">
        <f>Demand!E168</f>
        <v>20</v>
      </c>
      <c r="E170" s="33">
        <f>IF(Demand!F168,1,0)</f>
        <v>0</v>
      </c>
      <c r="F170" s="33">
        <f>COUNTIFS(c_store,A170,c_date,B170,c_hour,C170)</f>
        <v>1</v>
      </c>
      <c r="G170" s="33">
        <f>IF(F170&gt;0,1,0)</f>
        <v>1</v>
      </c>
      <c r="H170" s="33">
        <f>COUNTIFS(Demand!$A$2:$A$4481,A170,Demand!$B$2:$B$4481,B170,Demand!$C$2:$C$4481,C170)</f>
        <v>1</v>
      </c>
    </row>
    <row r="171">
      <c r="A171" s="32" t="str">
        <f>Demand!A169</f>
        <v>S011</v>
      </c>
      <c r="B171" s="35">
        <f>Demand!B169</f>
        <v>46266.0</v>
      </c>
      <c r="C171" s="33">
        <f>Demand!C169</f>
        <v>15</v>
      </c>
      <c r="D171" s="33">
        <f>Demand!E169</f>
        <v>18</v>
      </c>
      <c r="E171" s="33">
        <f>IF(Demand!F169,1,0)</f>
        <v>0</v>
      </c>
      <c r="F171" s="33">
        <f>COUNTIFS(c_store,A171,c_date,B171,c_hour,C171)</f>
        <v>0</v>
      </c>
      <c r="G171" s="33">
        <f>IF(F171&gt;0,1,0)</f>
        <v>0</v>
      </c>
      <c r="H171" s="33">
        <f>COUNTIFS(Demand!$A$2:$A$4481,A171,Demand!$B$2:$B$4481,B171,Demand!$C$2:$C$4481,C171)</f>
        <v>1</v>
      </c>
    </row>
    <row r="172">
      <c r="A172" s="32" t="str">
        <f>Demand!A170</f>
        <v>S011</v>
      </c>
      <c r="B172" s="35">
        <f>Demand!B170</f>
        <v>46266.0</v>
      </c>
      <c r="C172" s="33">
        <f>Demand!C170</f>
        <v>16</v>
      </c>
      <c r="D172" s="33">
        <f>Demand!E170</f>
        <v>27</v>
      </c>
      <c r="E172" s="33">
        <f>IF(Demand!F170,1,0)</f>
        <v>0</v>
      </c>
      <c r="F172" s="33">
        <f>COUNTIFS(c_store,A172,c_date,B172,c_hour,C172)</f>
        <v>0</v>
      </c>
      <c r="G172" s="33">
        <f>IF(F172&gt;0,1,0)</f>
        <v>0</v>
      </c>
      <c r="H172" s="33">
        <f>COUNTIFS(Demand!$A$2:$A$4481,A172,Demand!$B$2:$B$4481,B172,Demand!$C$2:$C$4481,C172)</f>
        <v>1</v>
      </c>
    </row>
    <row r="173">
      <c r="A173" s="32" t="str">
        <f>Demand!A171</f>
        <v>S011</v>
      </c>
      <c r="B173" s="35">
        <f>Demand!B171</f>
        <v>46266.0</v>
      </c>
      <c r="C173" s="33">
        <f>Demand!C171</f>
        <v>17</v>
      </c>
      <c r="D173" s="33">
        <f>Demand!E171</f>
        <v>35</v>
      </c>
      <c r="E173" s="33">
        <f>IF(Demand!F171,1,0)</f>
        <v>0</v>
      </c>
      <c r="F173" s="33">
        <f>COUNTIFS(c_store,A173,c_date,B173,c_hour,C173)</f>
        <v>0</v>
      </c>
      <c r="G173" s="33">
        <f>IF(F173&gt;0,1,0)</f>
        <v>0</v>
      </c>
      <c r="H173" s="33">
        <f>COUNTIFS(Demand!$A$2:$A$4481,A173,Demand!$B$2:$B$4481,B173,Demand!$C$2:$C$4481,C173)</f>
        <v>1</v>
      </c>
    </row>
    <row r="174">
      <c r="A174" s="32" t="str">
        <f>Demand!A172</f>
        <v>S011</v>
      </c>
      <c r="B174" s="35">
        <f>Demand!B172</f>
        <v>46266.0</v>
      </c>
      <c r="C174" s="33">
        <f>Demand!C172</f>
        <v>18</v>
      </c>
      <c r="D174" s="33">
        <f>Demand!E172</f>
        <v>16</v>
      </c>
      <c r="E174" s="33">
        <f>IF(Demand!F172,1,0)</f>
        <v>0</v>
      </c>
      <c r="F174" s="33">
        <f>COUNTIFS(c_store,A174,c_date,B174,c_hour,C174)</f>
        <v>0</v>
      </c>
      <c r="G174" s="33">
        <f>IF(F174&gt;0,1,0)</f>
        <v>0</v>
      </c>
      <c r="H174" s="33">
        <f>COUNTIFS(Demand!$A$2:$A$4481,A174,Demand!$B$2:$B$4481,B174,Demand!$C$2:$C$4481,C174)</f>
        <v>1</v>
      </c>
    </row>
    <row r="175">
      <c r="A175" s="32" t="str">
        <f>Demand!A173</f>
        <v>S011</v>
      </c>
      <c r="B175" s="35">
        <f>Demand!B173</f>
        <v>46266.0</v>
      </c>
      <c r="C175" s="33">
        <f>Demand!C173</f>
        <v>19</v>
      </c>
      <c r="D175" s="33">
        <f>Demand!E173</f>
        <v>52</v>
      </c>
      <c r="E175" s="33">
        <f>IF(Demand!F173,1,0)</f>
        <v>1</v>
      </c>
      <c r="F175" s="33">
        <f>COUNTIFS(c_store,A175,c_date,B175,c_hour,C175)</f>
        <v>0</v>
      </c>
      <c r="G175" s="33">
        <f>IF(F175&gt;0,1,0)</f>
        <v>0</v>
      </c>
      <c r="H175" s="33">
        <f>COUNTIFS(Demand!$A$2:$A$4481,A175,Demand!$B$2:$B$4481,B175,Demand!$C$2:$C$4481,C175)</f>
        <v>1</v>
      </c>
    </row>
    <row r="176">
      <c r="A176" s="32" t="str">
        <f>Demand!A174</f>
        <v>S011</v>
      </c>
      <c r="B176" s="35">
        <f>Demand!B174</f>
        <v>46266.0</v>
      </c>
      <c r="C176" s="33">
        <f>Demand!C174</f>
        <v>20</v>
      </c>
      <c r="D176" s="33">
        <f>Demand!E174</f>
        <v>58</v>
      </c>
      <c r="E176" s="33">
        <f>IF(Demand!F174,1,0)</f>
        <v>1</v>
      </c>
      <c r="F176" s="33">
        <f>COUNTIFS(c_store,A176,c_date,B176,c_hour,C176)</f>
        <v>1</v>
      </c>
      <c r="G176" s="33">
        <f>IF(F176&gt;0,1,0)</f>
        <v>1</v>
      </c>
      <c r="H176" s="33">
        <f>COUNTIFS(Demand!$A$2:$A$4481,A176,Demand!$B$2:$B$4481,B176,Demand!$C$2:$C$4481,C176)</f>
        <v>1</v>
      </c>
    </row>
    <row r="177">
      <c r="A177" s="32" t="str">
        <f>Demand!A175</f>
        <v>S011</v>
      </c>
      <c r="B177" s="35">
        <f>Demand!B175</f>
        <v>46266.0</v>
      </c>
      <c r="C177" s="33">
        <f>Demand!C175</f>
        <v>21</v>
      </c>
      <c r="D177" s="33">
        <f>Demand!E175</f>
        <v>43</v>
      </c>
      <c r="E177" s="33">
        <f>IF(Demand!F175,1,0)</f>
        <v>1</v>
      </c>
      <c r="F177" s="33">
        <f>COUNTIFS(c_store,A177,c_date,B177,c_hour,C177)</f>
        <v>0</v>
      </c>
      <c r="G177" s="33">
        <f>IF(F177&gt;0,1,0)</f>
        <v>0</v>
      </c>
      <c r="H177" s="33">
        <f>COUNTIFS(Demand!$A$2:$A$4481,A177,Demand!$B$2:$B$4481,B177,Demand!$C$2:$C$4481,C177)</f>
        <v>1</v>
      </c>
    </row>
    <row r="178">
      <c r="A178" s="32" t="str">
        <f>Demand!A176</f>
        <v>S011</v>
      </c>
      <c r="B178" s="35">
        <f>Demand!B176</f>
        <v>46266.0</v>
      </c>
      <c r="C178" s="33">
        <f>Demand!C176</f>
        <v>22</v>
      </c>
      <c r="D178" s="33">
        <f>Demand!E176</f>
        <v>32</v>
      </c>
      <c r="E178" s="33">
        <f>IF(Demand!F176,1,0)</f>
        <v>0</v>
      </c>
      <c r="F178" s="33">
        <f>COUNTIFS(c_store,A178,c_date,B178,c_hour,C178)</f>
        <v>0</v>
      </c>
      <c r="G178" s="33">
        <f>IF(F178&gt;0,1,0)</f>
        <v>0</v>
      </c>
      <c r="H178" s="33">
        <f>COUNTIFS(Demand!$A$2:$A$4481,A178,Demand!$B$2:$B$4481,B178,Demand!$C$2:$C$4481,C178)</f>
        <v>1</v>
      </c>
    </row>
    <row r="179">
      <c r="A179" s="32" t="str">
        <f>Demand!A177</f>
        <v>S011</v>
      </c>
      <c r="B179" s="35">
        <f>Demand!B177</f>
        <v>46266.0</v>
      </c>
      <c r="C179" s="33">
        <f>Demand!C177</f>
        <v>23</v>
      </c>
      <c r="D179" s="33">
        <f>Demand!E177</f>
        <v>32</v>
      </c>
      <c r="E179" s="33">
        <f>IF(Demand!F177,1,0)</f>
        <v>0</v>
      </c>
      <c r="F179" s="33">
        <f>COUNTIFS(c_store,A179,c_date,B179,c_hour,C179)</f>
        <v>1</v>
      </c>
      <c r="G179" s="33">
        <f>IF(F179&gt;0,1,0)</f>
        <v>1</v>
      </c>
      <c r="H179" s="33">
        <f>COUNTIFS(Demand!$A$2:$A$4481,A179,Demand!$B$2:$B$4481,B179,Demand!$C$2:$C$4481,C179)</f>
        <v>1</v>
      </c>
    </row>
    <row r="180">
      <c r="A180" s="32" t="str">
        <f>Demand!A178</f>
        <v>S012</v>
      </c>
      <c r="B180" s="35">
        <f>Demand!B178</f>
        <v>46266.0</v>
      </c>
      <c r="C180" s="33">
        <f>Demand!C178</f>
        <v>8</v>
      </c>
      <c r="D180" s="33">
        <f>Demand!E178</f>
        <v>15</v>
      </c>
      <c r="E180" s="33">
        <f>IF(Demand!F178,1,0)</f>
        <v>0</v>
      </c>
      <c r="F180" s="33">
        <f>COUNTIFS(c_store,A180,c_date,B180,c_hour,C180)</f>
        <v>0</v>
      </c>
      <c r="G180" s="33">
        <f>IF(F180&gt;0,1,0)</f>
        <v>0</v>
      </c>
      <c r="H180" s="33">
        <f>COUNTIFS(Demand!$A$2:$A$4481,A180,Demand!$B$2:$B$4481,B180,Demand!$C$2:$C$4481,C180)</f>
        <v>1</v>
      </c>
    </row>
    <row r="181">
      <c r="A181" s="32" t="str">
        <f>Demand!A179</f>
        <v>S012</v>
      </c>
      <c r="B181" s="35">
        <f>Demand!B179</f>
        <v>46266.0</v>
      </c>
      <c r="C181" s="33">
        <f>Demand!C179</f>
        <v>9</v>
      </c>
      <c r="D181" s="33">
        <f>Demand!E179</f>
        <v>19</v>
      </c>
      <c r="E181" s="33">
        <f>IF(Demand!F179,1,0)</f>
        <v>0</v>
      </c>
      <c r="F181" s="33">
        <f>COUNTIFS(c_store,A181,c_date,B181,c_hour,C181)</f>
        <v>0</v>
      </c>
      <c r="G181" s="33">
        <f>IF(F181&gt;0,1,0)</f>
        <v>0</v>
      </c>
      <c r="H181" s="33">
        <f>COUNTIFS(Demand!$A$2:$A$4481,A181,Demand!$B$2:$B$4481,B181,Demand!$C$2:$C$4481,C181)</f>
        <v>1</v>
      </c>
    </row>
    <row r="182">
      <c r="A182" s="32" t="str">
        <f>Demand!A180</f>
        <v>S012</v>
      </c>
      <c r="B182" s="35">
        <f>Demand!B180</f>
        <v>46266.0</v>
      </c>
      <c r="C182" s="33">
        <f>Demand!C180</f>
        <v>10</v>
      </c>
      <c r="D182" s="33">
        <f>Demand!E180</f>
        <v>10</v>
      </c>
      <c r="E182" s="33">
        <f>IF(Demand!F180,1,0)</f>
        <v>0</v>
      </c>
      <c r="F182" s="33">
        <f>COUNTIFS(c_store,A182,c_date,B182,c_hour,C182)</f>
        <v>0</v>
      </c>
      <c r="G182" s="33">
        <f>IF(F182&gt;0,1,0)</f>
        <v>0</v>
      </c>
      <c r="H182" s="33">
        <f>COUNTIFS(Demand!$A$2:$A$4481,A182,Demand!$B$2:$B$4481,B182,Demand!$C$2:$C$4481,C182)</f>
        <v>1</v>
      </c>
    </row>
    <row r="183">
      <c r="A183" s="32" t="str">
        <f>Demand!A181</f>
        <v>S012</v>
      </c>
      <c r="B183" s="35">
        <f>Demand!B181</f>
        <v>46266.0</v>
      </c>
      <c r="C183" s="33">
        <f>Demand!C181</f>
        <v>11</v>
      </c>
      <c r="D183" s="33">
        <f>Demand!E181</f>
        <v>16</v>
      </c>
      <c r="E183" s="33">
        <f>IF(Demand!F181,1,0)</f>
        <v>0</v>
      </c>
      <c r="F183" s="33">
        <f>COUNTIFS(c_store,A183,c_date,B183,c_hour,C183)</f>
        <v>0</v>
      </c>
      <c r="G183" s="33">
        <f>IF(F183&gt;0,1,0)</f>
        <v>0</v>
      </c>
      <c r="H183" s="33">
        <f>COUNTIFS(Demand!$A$2:$A$4481,A183,Demand!$B$2:$B$4481,B183,Demand!$C$2:$C$4481,C183)</f>
        <v>1</v>
      </c>
    </row>
    <row r="184">
      <c r="A184" s="32" t="str">
        <f>Demand!A182</f>
        <v>S012</v>
      </c>
      <c r="B184" s="35">
        <f>Demand!B182</f>
        <v>46266.0</v>
      </c>
      <c r="C184" s="33">
        <f>Demand!C182</f>
        <v>12</v>
      </c>
      <c r="D184" s="33">
        <f>Demand!E182</f>
        <v>10</v>
      </c>
      <c r="E184" s="33">
        <f>IF(Demand!F182,1,0)</f>
        <v>0</v>
      </c>
      <c r="F184" s="33">
        <f>COUNTIFS(c_store,A184,c_date,B184,c_hour,C184)</f>
        <v>0</v>
      </c>
      <c r="G184" s="33">
        <f>IF(F184&gt;0,1,0)</f>
        <v>0</v>
      </c>
      <c r="H184" s="33">
        <f>COUNTIFS(Demand!$A$2:$A$4481,A184,Demand!$B$2:$B$4481,B184,Demand!$C$2:$C$4481,C184)</f>
        <v>1</v>
      </c>
    </row>
    <row r="185">
      <c r="A185" s="32" t="str">
        <f>Demand!A183</f>
        <v>S012</v>
      </c>
      <c r="B185" s="35">
        <f>Demand!B183</f>
        <v>46266.0</v>
      </c>
      <c r="C185" s="33">
        <f>Demand!C183</f>
        <v>13</v>
      </c>
      <c r="D185" s="33">
        <f>Demand!E183</f>
        <v>14</v>
      </c>
      <c r="E185" s="33">
        <f>IF(Demand!F183,1,0)</f>
        <v>0</v>
      </c>
      <c r="F185" s="33">
        <f>COUNTIFS(c_store,A185,c_date,B185,c_hour,C185)</f>
        <v>0</v>
      </c>
      <c r="G185" s="33">
        <f>IF(F185&gt;0,1,0)</f>
        <v>0</v>
      </c>
      <c r="H185" s="33">
        <f>COUNTIFS(Demand!$A$2:$A$4481,A185,Demand!$B$2:$B$4481,B185,Demand!$C$2:$C$4481,C185)</f>
        <v>1</v>
      </c>
    </row>
    <row r="186">
      <c r="A186" s="32" t="str">
        <f>Demand!A184</f>
        <v>S012</v>
      </c>
      <c r="B186" s="35">
        <f>Demand!B184</f>
        <v>46266.0</v>
      </c>
      <c r="C186" s="33">
        <f>Demand!C184</f>
        <v>14</v>
      </c>
      <c r="D186" s="33">
        <f>Demand!E184</f>
        <v>7</v>
      </c>
      <c r="E186" s="33">
        <f>IF(Demand!F184,1,0)</f>
        <v>0</v>
      </c>
      <c r="F186" s="33">
        <f>COUNTIFS(c_store,A186,c_date,B186,c_hour,C186)</f>
        <v>0</v>
      </c>
      <c r="G186" s="33">
        <f>IF(F186&gt;0,1,0)</f>
        <v>0</v>
      </c>
      <c r="H186" s="33">
        <f>COUNTIFS(Demand!$A$2:$A$4481,A186,Demand!$B$2:$B$4481,B186,Demand!$C$2:$C$4481,C186)</f>
        <v>1</v>
      </c>
    </row>
    <row r="187">
      <c r="A187" s="32" t="str">
        <f>Demand!A185</f>
        <v>S012</v>
      </c>
      <c r="B187" s="35">
        <f>Demand!B185</f>
        <v>46266.0</v>
      </c>
      <c r="C187" s="33">
        <f>Demand!C185</f>
        <v>15</v>
      </c>
      <c r="D187" s="33">
        <f>Demand!E185</f>
        <v>16</v>
      </c>
      <c r="E187" s="33">
        <f>IF(Demand!F185,1,0)</f>
        <v>0</v>
      </c>
      <c r="F187" s="33">
        <f>COUNTIFS(c_store,A187,c_date,B187,c_hour,C187)</f>
        <v>0</v>
      </c>
      <c r="G187" s="33">
        <f>IF(F187&gt;0,1,0)</f>
        <v>0</v>
      </c>
      <c r="H187" s="33">
        <f>COUNTIFS(Demand!$A$2:$A$4481,A187,Demand!$B$2:$B$4481,B187,Demand!$C$2:$C$4481,C187)</f>
        <v>1</v>
      </c>
    </row>
    <row r="188">
      <c r="A188" s="32" t="str">
        <f>Demand!A186</f>
        <v>S012</v>
      </c>
      <c r="B188" s="35">
        <f>Demand!B186</f>
        <v>46266.0</v>
      </c>
      <c r="C188" s="33">
        <f>Demand!C186</f>
        <v>16</v>
      </c>
      <c r="D188" s="33">
        <f>Demand!E186</f>
        <v>8</v>
      </c>
      <c r="E188" s="33">
        <f>IF(Demand!F186,1,0)</f>
        <v>0</v>
      </c>
      <c r="F188" s="33">
        <f>COUNTIFS(c_store,A188,c_date,B188,c_hour,C188)</f>
        <v>0</v>
      </c>
      <c r="G188" s="33">
        <f>IF(F188&gt;0,1,0)</f>
        <v>0</v>
      </c>
      <c r="H188" s="33">
        <f>COUNTIFS(Demand!$A$2:$A$4481,A188,Demand!$B$2:$B$4481,B188,Demand!$C$2:$C$4481,C188)</f>
        <v>1</v>
      </c>
    </row>
    <row r="189">
      <c r="A189" s="32" t="str">
        <f>Demand!A187</f>
        <v>S012</v>
      </c>
      <c r="B189" s="35">
        <f>Demand!B187</f>
        <v>46266.0</v>
      </c>
      <c r="C189" s="33">
        <f>Demand!C187</f>
        <v>17</v>
      </c>
      <c r="D189" s="33">
        <f>Demand!E187</f>
        <v>16</v>
      </c>
      <c r="E189" s="33">
        <f>IF(Demand!F187,1,0)</f>
        <v>0</v>
      </c>
      <c r="F189" s="33">
        <f>COUNTIFS(c_store,A189,c_date,B189,c_hour,C189)</f>
        <v>1</v>
      </c>
      <c r="G189" s="33">
        <f>IF(F189&gt;0,1,0)</f>
        <v>1</v>
      </c>
      <c r="H189" s="33">
        <f>COUNTIFS(Demand!$A$2:$A$4481,A189,Demand!$B$2:$B$4481,B189,Demand!$C$2:$C$4481,C189)</f>
        <v>1</v>
      </c>
    </row>
    <row r="190">
      <c r="A190" s="32" t="str">
        <f>Demand!A188</f>
        <v>S012</v>
      </c>
      <c r="B190" s="35">
        <f>Demand!B188</f>
        <v>46266.0</v>
      </c>
      <c r="C190" s="33">
        <f>Demand!C188</f>
        <v>18</v>
      </c>
      <c r="D190" s="33">
        <f>Demand!E188</f>
        <v>16</v>
      </c>
      <c r="E190" s="33">
        <f>IF(Demand!F188,1,0)</f>
        <v>0</v>
      </c>
      <c r="F190" s="33">
        <f>COUNTIFS(c_store,A190,c_date,B190,c_hour,C190)</f>
        <v>1</v>
      </c>
      <c r="G190" s="33">
        <f>IF(F190&gt;0,1,0)</f>
        <v>1</v>
      </c>
      <c r="H190" s="33">
        <f>COUNTIFS(Demand!$A$2:$A$4481,A190,Demand!$B$2:$B$4481,B190,Demand!$C$2:$C$4481,C190)</f>
        <v>1</v>
      </c>
    </row>
    <row r="191">
      <c r="A191" s="32" t="str">
        <f>Demand!A189</f>
        <v>S012</v>
      </c>
      <c r="B191" s="35">
        <f>Demand!B189</f>
        <v>46266.0</v>
      </c>
      <c r="C191" s="33">
        <f>Demand!C189</f>
        <v>19</v>
      </c>
      <c r="D191" s="33">
        <f>Demand!E189</f>
        <v>20</v>
      </c>
      <c r="E191" s="33">
        <f>IF(Demand!F189,1,0)</f>
        <v>1</v>
      </c>
      <c r="F191" s="33">
        <f>COUNTIFS(c_store,A191,c_date,B191,c_hour,C191)</f>
        <v>0</v>
      </c>
      <c r="G191" s="33">
        <f>IF(F191&gt;0,1,0)</f>
        <v>0</v>
      </c>
      <c r="H191" s="33">
        <f>COUNTIFS(Demand!$A$2:$A$4481,A191,Demand!$B$2:$B$4481,B191,Demand!$C$2:$C$4481,C191)</f>
        <v>1</v>
      </c>
    </row>
    <row r="192">
      <c r="A192" s="32" t="str">
        <f>Demand!A190</f>
        <v>S012</v>
      </c>
      <c r="B192" s="35">
        <f>Demand!B190</f>
        <v>46266.0</v>
      </c>
      <c r="C192" s="33">
        <f>Demand!C190</f>
        <v>20</v>
      </c>
      <c r="D192" s="33">
        <f>Demand!E190</f>
        <v>24</v>
      </c>
      <c r="E192" s="33">
        <f>IF(Demand!F190,1,0)</f>
        <v>1</v>
      </c>
      <c r="F192" s="33">
        <f>COUNTIFS(c_store,A192,c_date,B192,c_hour,C192)</f>
        <v>0</v>
      </c>
      <c r="G192" s="33">
        <f>IF(F192&gt;0,1,0)</f>
        <v>0</v>
      </c>
      <c r="H192" s="33">
        <f>COUNTIFS(Demand!$A$2:$A$4481,A192,Demand!$B$2:$B$4481,B192,Demand!$C$2:$C$4481,C192)</f>
        <v>1</v>
      </c>
    </row>
    <row r="193">
      <c r="A193" s="32" t="str">
        <f>Demand!A191</f>
        <v>S012</v>
      </c>
      <c r="B193" s="35">
        <f>Demand!B191</f>
        <v>46266.0</v>
      </c>
      <c r="C193" s="33">
        <f>Demand!C191</f>
        <v>21</v>
      </c>
      <c r="D193" s="33">
        <f>Demand!E191</f>
        <v>23</v>
      </c>
      <c r="E193" s="33">
        <f>IF(Demand!F191,1,0)</f>
        <v>1</v>
      </c>
      <c r="F193" s="33">
        <f>COUNTIFS(c_store,A193,c_date,B193,c_hour,C193)</f>
        <v>0</v>
      </c>
      <c r="G193" s="33">
        <f>IF(F193&gt;0,1,0)</f>
        <v>0</v>
      </c>
      <c r="H193" s="33">
        <f>COUNTIFS(Demand!$A$2:$A$4481,A193,Demand!$B$2:$B$4481,B193,Demand!$C$2:$C$4481,C193)</f>
        <v>1</v>
      </c>
    </row>
    <row r="194">
      <c r="A194" s="32" t="str">
        <f>Demand!A192</f>
        <v>S012</v>
      </c>
      <c r="B194" s="35">
        <f>Demand!B192</f>
        <v>46266.0</v>
      </c>
      <c r="C194" s="33">
        <f>Demand!C192</f>
        <v>22</v>
      </c>
      <c r="D194" s="33">
        <f>Demand!E192</f>
        <v>13</v>
      </c>
      <c r="E194" s="33">
        <f>IF(Demand!F192,1,0)</f>
        <v>0</v>
      </c>
      <c r="F194" s="33">
        <f>COUNTIFS(c_store,A194,c_date,B194,c_hour,C194)</f>
        <v>0</v>
      </c>
      <c r="G194" s="33">
        <f>IF(F194&gt;0,1,0)</f>
        <v>0</v>
      </c>
      <c r="H194" s="33">
        <f>COUNTIFS(Demand!$A$2:$A$4481,A194,Demand!$B$2:$B$4481,B194,Demand!$C$2:$C$4481,C194)</f>
        <v>1</v>
      </c>
    </row>
    <row r="195">
      <c r="A195" s="32" t="str">
        <f>Demand!A193</f>
        <v>S012</v>
      </c>
      <c r="B195" s="35">
        <f>Demand!B193</f>
        <v>46266.0</v>
      </c>
      <c r="C195" s="33">
        <f>Demand!C193</f>
        <v>23</v>
      </c>
      <c r="D195" s="33">
        <f>Demand!E193</f>
        <v>14</v>
      </c>
      <c r="E195" s="33">
        <f>IF(Demand!F193,1,0)</f>
        <v>0</v>
      </c>
      <c r="F195" s="33">
        <f>COUNTIFS(c_store,A195,c_date,B195,c_hour,C195)</f>
        <v>0</v>
      </c>
      <c r="G195" s="33">
        <f>IF(F195&gt;0,1,0)</f>
        <v>0</v>
      </c>
      <c r="H195" s="33">
        <f>COUNTIFS(Demand!$A$2:$A$4481,A195,Demand!$B$2:$B$4481,B195,Demand!$C$2:$C$4481,C195)</f>
        <v>1</v>
      </c>
    </row>
    <row r="196">
      <c r="A196" s="32" t="str">
        <f>Demand!A194</f>
        <v>S013</v>
      </c>
      <c r="B196" s="35">
        <f>Demand!B194</f>
        <v>46266.0</v>
      </c>
      <c r="C196" s="33">
        <f>Demand!C194</f>
        <v>8</v>
      </c>
      <c r="D196" s="33">
        <f>Demand!E194</f>
        <v>40</v>
      </c>
      <c r="E196" s="33">
        <f>IF(Demand!F194,1,0)</f>
        <v>0</v>
      </c>
      <c r="F196" s="33">
        <f>COUNTIFS(c_store,A196,c_date,B196,c_hour,C196)</f>
        <v>0</v>
      </c>
      <c r="G196" s="33">
        <f>IF(F196&gt;0,1,0)</f>
        <v>0</v>
      </c>
      <c r="H196" s="33">
        <f>COUNTIFS(Demand!$A$2:$A$4481,A196,Demand!$B$2:$B$4481,B196,Demand!$C$2:$C$4481,C196)</f>
        <v>1</v>
      </c>
    </row>
    <row r="197">
      <c r="A197" s="32" t="str">
        <f>Demand!A195</f>
        <v>S013</v>
      </c>
      <c r="B197" s="35">
        <f>Demand!B195</f>
        <v>46266.0</v>
      </c>
      <c r="C197" s="33">
        <f>Demand!C195</f>
        <v>9</v>
      </c>
      <c r="D197" s="33">
        <f>Demand!E195</f>
        <v>39</v>
      </c>
      <c r="E197" s="33">
        <f>IF(Demand!F195,1,0)</f>
        <v>0</v>
      </c>
      <c r="F197" s="33">
        <f>COUNTIFS(c_store,A197,c_date,B197,c_hour,C197)</f>
        <v>1</v>
      </c>
      <c r="G197" s="33">
        <f>IF(F197&gt;0,1,0)</f>
        <v>1</v>
      </c>
      <c r="H197" s="33">
        <f>COUNTIFS(Demand!$A$2:$A$4481,A197,Demand!$B$2:$B$4481,B197,Demand!$C$2:$C$4481,C197)</f>
        <v>1</v>
      </c>
    </row>
    <row r="198">
      <c r="A198" s="32" t="str">
        <f>Demand!A196</f>
        <v>S013</v>
      </c>
      <c r="B198" s="35">
        <f>Demand!B196</f>
        <v>46266.0</v>
      </c>
      <c r="C198" s="33">
        <f>Demand!C196</f>
        <v>10</v>
      </c>
      <c r="D198" s="33">
        <f>Demand!E196</f>
        <v>29</v>
      </c>
      <c r="E198" s="33">
        <f>IF(Demand!F196,1,0)</f>
        <v>0</v>
      </c>
      <c r="F198" s="33">
        <f>COUNTIFS(c_store,A198,c_date,B198,c_hour,C198)</f>
        <v>0</v>
      </c>
      <c r="G198" s="33">
        <f>IF(F198&gt;0,1,0)</f>
        <v>0</v>
      </c>
      <c r="H198" s="33">
        <f>COUNTIFS(Demand!$A$2:$A$4481,A198,Demand!$B$2:$B$4481,B198,Demand!$C$2:$C$4481,C198)</f>
        <v>1</v>
      </c>
    </row>
    <row r="199">
      <c r="A199" s="32" t="str">
        <f>Demand!A197</f>
        <v>S013</v>
      </c>
      <c r="B199" s="35">
        <f>Demand!B197</f>
        <v>46266.0</v>
      </c>
      <c r="C199" s="33">
        <f>Demand!C197</f>
        <v>11</v>
      </c>
      <c r="D199" s="33">
        <f>Demand!E197</f>
        <v>54</v>
      </c>
      <c r="E199" s="33">
        <f>IF(Demand!F197,1,0)</f>
        <v>0</v>
      </c>
      <c r="F199" s="33">
        <f>COUNTIFS(c_store,A199,c_date,B199,c_hour,C199)</f>
        <v>0</v>
      </c>
      <c r="G199" s="33">
        <f>IF(F199&gt;0,1,0)</f>
        <v>0</v>
      </c>
      <c r="H199" s="33">
        <f>COUNTIFS(Demand!$A$2:$A$4481,A199,Demand!$B$2:$B$4481,B199,Demand!$C$2:$C$4481,C199)</f>
        <v>1</v>
      </c>
    </row>
    <row r="200">
      <c r="A200" s="32" t="str">
        <f>Demand!A198</f>
        <v>S013</v>
      </c>
      <c r="B200" s="35">
        <f>Demand!B198</f>
        <v>46266.0</v>
      </c>
      <c r="C200" s="33">
        <f>Demand!C198</f>
        <v>12</v>
      </c>
      <c r="D200" s="33">
        <f>Demand!E198</f>
        <v>41</v>
      </c>
      <c r="E200" s="33">
        <f>IF(Demand!F198,1,0)</f>
        <v>0</v>
      </c>
      <c r="F200" s="33">
        <f>COUNTIFS(c_store,A200,c_date,B200,c_hour,C200)</f>
        <v>0</v>
      </c>
      <c r="G200" s="33">
        <f>IF(F200&gt;0,1,0)</f>
        <v>0</v>
      </c>
      <c r="H200" s="33">
        <f>COUNTIFS(Demand!$A$2:$A$4481,A200,Demand!$B$2:$B$4481,B200,Demand!$C$2:$C$4481,C200)</f>
        <v>1</v>
      </c>
    </row>
    <row r="201">
      <c r="A201" s="32" t="str">
        <f>Demand!A199</f>
        <v>S013</v>
      </c>
      <c r="B201" s="35">
        <f>Demand!B199</f>
        <v>46266.0</v>
      </c>
      <c r="C201" s="33">
        <f>Demand!C199</f>
        <v>13</v>
      </c>
      <c r="D201" s="33">
        <f>Demand!E199</f>
        <v>55</v>
      </c>
      <c r="E201" s="33">
        <f>IF(Demand!F199,1,0)</f>
        <v>0</v>
      </c>
      <c r="F201" s="33">
        <f>COUNTIFS(c_store,A201,c_date,B201,c_hour,C201)</f>
        <v>0</v>
      </c>
      <c r="G201" s="33">
        <f>IF(F201&gt;0,1,0)</f>
        <v>0</v>
      </c>
      <c r="H201" s="33">
        <f>COUNTIFS(Demand!$A$2:$A$4481,A201,Demand!$B$2:$B$4481,B201,Demand!$C$2:$C$4481,C201)</f>
        <v>1</v>
      </c>
    </row>
    <row r="202">
      <c r="A202" s="32" t="str">
        <f>Demand!A200</f>
        <v>S013</v>
      </c>
      <c r="B202" s="35">
        <f>Demand!B200</f>
        <v>46266.0</v>
      </c>
      <c r="C202" s="33">
        <f>Demand!C200</f>
        <v>14</v>
      </c>
      <c r="D202" s="33">
        <f>Demand!E200</f>
        <v>33</v>
      </c>
      <c r="E202" s="33">
        <f>IF(Demand!F200,1,0)</f>
        <v>0</v>
      </c>
      <c r="F202" s="33">
        <f>COUNTIFS(c_store,A202,c_date,B202,c_hour,C202)</f>
        <v>0</v>
      </c>
      <c r="G202" s="33">
        <f>IF(F202&gt;0,1,0)</f>
        <v>0</v>
      </c>
      <c r="H202" s="33">
        <f>COUNTIFS(Demand!$A$2:$A$4481,A202,Demand!$B$2:$B$4481,B202,Demand!$C$2:$C$4481,C202)</f>
        <v>1</v>
      </c>
    </row>
    <row r="203">
      <c r="A203" s="32" t="str">
        <f>Demand!A201</f>
        <v>S013</v>
      </c>
      <c r="B203" s="35">
        <f>Demand!B201</f>
        <v>46266.0</v>
      </c>
      <c r="C203" s="33">
        <f>Demand!C201</f>
        <v>15</v>
      </c>
      <c r="D203" s="33">
        <f>Demand!E201</f>
        <v>32</v>
      </c>
      <c r="E203" s="33">
        <f>IF(Demand!F201,1,0)</f>
        <v>0</v>
      </c>
      <c r="F203" s="33">
        <f>COUNTIFS(c_store,A203,c_date,B203,c_hour,C203)</f>
        <v>1</v>
      </c>
      <c r="G203" s="33">
        <f>IF(F203&gt;0,1,0)</f>
        <v>1</v>
      </c>
      <c r="H203" s="33">
        <f>COUNTIFS(Demand!$A$2:$A$4481,A203,Demand!$B$2:$B$4481,B203,Demand!$C$2:$C$4481,C203)</f>
        <v>1</v>
      </c>
    </row>
    <row r="204">
      <c r="A204" s="32" t="str">
        <f>Demand!A202</f>
        <v>S013</v>
      </c>
      <c r="B204" s="35">
        <f>Demand!B202</f>
        <v>46266.0</v>
      </c>
      <c r="C204" s="33">
        <f>Demand!C202</f>
        <v>16</v>
      </c>
      <c r="D204" s="33">
        <f>Demand!E202</f>
        <v>50</v>
      </c>
      <c r="E204" s="33">
        <f>IF(Demand!F202,1,0)</f>
        <v>0</v>
      </c>
      <c r="F204" s="33">
        <f>COUNTIFS(c_store,A204,c_date,B204,c_hour,C204)</f>
        <v>0</v>
      </c>
      <c r="G204" s="33">
        <f>IF(F204&gt;0,1,0)</f>
        <v>0</v>
      </c>
      <c r="H204" s="33">
        <f>COUNTIFS(Demand!$A$2:$A$4481,A204,Demand!$B$2:$B$4481,B204,Demand!$C$2:$C$4481,C204)</f>
        <v>1</v>
      </c>
    </row>
    <row r="205">
      <c r="A205" s="32" t="str">
        <f>Demand!A203</f>
        <v>S013</v>
      </c>
      <c r="B205" s="35">
        <f>Demand!B203</f>
        <v>46266.0</v>
      </c>
      <c r="C205" s="33">
        <f>Demand!C203</f>
        <v>17</v>
      </c>
      <c r="D205" s="33">
        <f>Demand!E203</f>
        <v>41</v>
      </c>
      <c r="E205" s="33">
        <f>IF(Demand!F203,1,0)</f>
        <v>0</v>
      </c>
      <c r="F205" s="33">
        <f>COUNTIFS(c_store,A205,c_date,B205,c_hour,C205)</f>
        <v>0</v>
      </c>
      <c r="G205" s="33">
        <f>IF(F205&gt;0,1,0)</f>
        <v>0</v>
      </c>
      <c r="H205" s="33">
        <f>COUNTIFS(Demand!$A$2:$A$4481,A205,Demand!$B$2:$B$4481,B205,Demand!$C$2:$C$4481,C205)</f>
        <v>1</v>
      </c>
    </row>
    <row r="206">
      <c r="A206" s="32" t="str">
        <f>Demand!A204</f>
        <v>S013</v>
      </c>
      <c r="B206" s="35">
        <f>Demand!B204</f>
        <v>46266.0</v>
      </c>
      <c r="C206" s="33">
        <f>Demand!C204</f>
        <v>18</v>
      </c>
      <c r="D206" s="33">
        <f>Demand!E204</f>
        <v>61</v>
      </c>
      <c r="E206" s="33">
        <f>IF(Demand!F204,1,0)</f>
        <v>0</v>
      </c>
      <c r="F206" s="33">
        <f>COUNTIFS(c_store,A206,c_date,B206,c_hour,C206)</f>
        <v>0</v>
      </c>
      <c r="G206" s="33">
        <f>IF(F206&gt;0,1,0)</f>
        <v>0</v>
      </c>
      <c r="H206" s="33">
        <f>COUNTIFS(Demand!$A$2:$A$4481,A206,Demand!$B$2:$B$4481,B206,Demand!$C$2:$C$4481,C206)</f>
        <v>1</v>
      </c>
    </row>
    <row r="207">
      <c r="A207" s="32" t="str">
        <f>Demand!A205</f>
        <v>S013</v>
      </c>
      <c r="B207" s="35">
        <f>Demand!B205</f>
        <v>46266.0</v>
      </c>
      <c r="C207" s="33">
        <f>Demand!C205</f>
        <v>19</v>
      </c>
      <c r="D207" s="33">
        <f>Demand!E205</f>
        <v>47</v>
      </c>
      <c r="E207" s="33">
        <f>IF(Demand!F205,1,0)</f>
        <v>1</v>
      </c>
      <c r="F207" s="33">
        <f>COUNTIFS(c_store,A207,c_date,B207,c_hour,C207)</f>
        <v>0</v>
      </c>
      <c r="G207" s="33">
        <f>IF(F207&gt;0,1,0)</f>
        <v>0</v>
      </c>
      <c r="H207" s="33">
        <f>COUNTIFS(Demand!$A$2:$A$4481,A207,Demand!$B$2:$B$4481,B207,Demand!$C$2:$C$4481,C207)</f>
        <v>1</v>
      </c>
    </row>
    <row r="208">
      <c r="A208" s="32" t="str">
        <f>Demand!A206</f>
        <v>S013</v>
      </c>
      <c r="B208" s="35">
        <f>Demand!B206</f>
        <v>46266.0</v>
      </c>
      <c r="C208" s="33">
        <f>Demand!C206</f>
        <v>20</v>
      </c>
      <c r="D208" s="33">
        <f>Demand!E206</f>
        <v>87</v>
      </c>
      <c r="E208" s="33">
        <f>IF(Demand!F206,1,0)</f>
        <v>1</v>
      </c>
      <c r="F208" s="33">
        <f>COUNTIFS(c_store,A208,c_date,B208,c_hour,C208)</f>
        <v>0</v>
      </c>
      <c r="G208" s="33">
        <f>IF(F208&gt;0,1,0)</f>
        <v>0</v>
      </c>
      <c r="H208" s="33">
        <f>COUNTIFS(Demand!$A$2:$A$4481,A208,Demand!$B$2:$B$4481,B208,Demand!$C$2:$C$4481,C208)</f>
        <v>1</v>
      </c>
    </row>
    <row r="209">
      <c r="A209" s="32" t="str">
        <f>Demand!A207</f>
        <v>S013</v>
      </c>
      <c r="B209" s="35">
        <f>Demand!B207</f>
        <v>46266.0</v>
      </c>
      <c r="C209" s="33">
        <f>Demand!C207</f>
        <v>21</v>
      </c>
      <c r="D209" s="33">
        <f>Demand!E207</f>
        <v>68</v>
      </c>
      <c r="E209" s="33">
        <f>IF(Demand!F207,1,0)</f>
        <v>1</v>
      </c>
      <c r="F209" s="33">
        <f>COUNTIFS(c_store,A209,c_date,B209,c_hour,C209)</f>
        <v>0</v>
      </c>
      <c r="G209" s="33">
        <f>IF(F209&gt;0,1,0)</f>
        <v>0</v>
      </c>
      <c r="H209" s="33">
        <f>COUNTIFS(Demand!$A$2:$A$4481,A209,Demand!$B$2:$B$4481,B209,Demand!$C$2:$C$4481,C209)</f>
        <v>1</v>
      </c>
    </row>
    <row r="210">
      <c r="A210" s="32" t="str">
        <f>Demand!A208</f>
        <v>S013</v>
      </c>
      <c r="B210" s="35">
        <f>Demand!B208</f>
        <v>46266.0</v>
      </c>
      <c r="C210" s="33">
        <f>Demand!C208</f>
        <v>22</v>
      </c>
      <c r="D210" s="33">
        <f>Demand!E208</f>
        <v>57</v>
      </c>
      <c r="E210" s="33">
        <f>IF(Demand!F208,1,0)</f>
        <v>0</v>
      </c>
      <c r="F210" s="33">
        <f>COUNTIFS(c_store,A210,c_date,B210,c_hour,C210)</f>
        <v>0</v>
      </c>
      <c r="G210" s="33">
        <f>IF(F210&gt;0,1,0)</f>
        <v>0</v>
      </c>
      <c r="H210" s="33">
        <f>COUNTIFS(Demand!$A$2:$A$4481,A210,Demand!$B$2:$B$4481,B210,Demand!$C$2:$C$4481,C210)</f>
        <v>1</v>
      </c>
    </row>
    <row r="211">
      <c r="A211" s="32" t="str">
        <f>Demand!A209</f>
        <v>S013</v>
      </c>
      <c r="B211" s="35">
        <f>Demand!B209</f>
        <v>46266.0</v>
      </c>
      <c r="C211" s="33">
        <f>Demand!C209</f>
        <v>23</v>
      </c>
      <c r="D211" s="33">
        <f>Demand!E209</f>
        <v>45</v>
      </c>
      <c r="E211" s="33">
        <f>IF(Demand!F209,1,0)</f>
        <v>0</v>
      </c>
      <c r="F211" s="33">
        <f>COUNTIFS(c_store,A211,c_date,B211,c_hour,C211)</f>
        <v>0</v>
      </c>
      <c r="G211" s="33">
        <f>IF(F211&gt;0,1,0)</f>
        <v>0</v>
      </c>
      <c r="H211" s="33">
        <f>COUNTIFS(Demand!$A$2:$A$4481,A211,Demand!$B$2:$B$4481,B211,Demand!$C$2:$C$4481,C211)</f>
        <v>1</v>
      </c>
    </row>
    <row r="212">
      <c r="A212" s="32" t="str">
        <f>Demand!A210</f>
        <v>S014</v>
      </c>
      <c r="B212" s="35">
        <f>Demand!B210</f>
        <v>46266.0</v>
      </c>
      <c r="C212" s="33">
        <f>Demand!C210</f>
        <v>8</v>
      </c>
      <c r="D212" s="33">
        <f>Demand!E210</f>
        <v>17</v>
      </c>
      <c r="E212" s="33">
        <f>IF(Demand!F210,1,0)</f>
        <v>0</v>
      </c>
      <c r="F212" s="33">
        <f>COUNTIFS(c_store,A212,c_date,B212,c_hour,C212)</f>
        <v>0</v>
      </c>
      <c r="G212" s="33">
        <f>IF(F212&gt;0,1,0)</f>
        <v>0</v>
      </c>
      <c r="H212" s="33">
        <f>COUNTIFS(Demand!$A$2:$A$4481,A212,Demand!$B$2:$B$4481,B212,Demand!$C$2:$C$4481,C212)</f>
        <v>1</v>
      </c>
    </row>
    <row r="213">
      <c r="A213" s="32" t="str">
        <f>Demand!A211</f>
        <v>S014</v>
      </c>
      <c r="B213" s="35">
        <f>Demand!B211</f>
        <v>46266.0</v>
      </c>
      <c r="C213" s="33">
        <f>Demand!C211</f>
        <v>9</v>
      </c>
      <c r="D213" s="33">
        <f>Demand!E211</f>
        <v>24</v>
      </c>
      <c r="E213" s="33">
        <f>IF(Demand!F211,1,0)</f>
        <v>0</v>
      </c>
      <c r="F213" s="33">
        <f>COUNTIFS(c_store,A213,c_date,B213,c_hour,C213)</f>
        <v>0</v>
      </c>
      <c r="G213" s="33">
        <f>IF(F213&gt;0,1,0)</f>
        <v>0</v>
      </c>
      <c r="H213" s="33">
        <f>COUNTIFS(Demand!$A$2:$A$4481,A213,Demand!$B$2:$B$4481,B213,Demand!$C$2:$C$4481,C213)</f>
        <v>1</v>
      </c>
    </row>
    <row r="214">
      <c r="A214" s="32" t="str">
        <f>Demand!A212</f>
        <v>S014</v>
      </c>
      <c r="B214" s="35">
        <f>Demand!B212</f>
        <v>46266.0</v>
      </c>
      <c r="C214" s="33">
        <f>Demand!C212</f>
        <v>10</v>
      </c>
      <c r="D214" s="33">
        <f>Demand!E212</f>
        <v>18</v>
      </c>
      <c r="E214" s="33">
        <f>IF(Demand!F212,1,0)</f>
        <v>0</v>
      </c>
      <c r="F214" s="33">
        <f>COUNTIFS(c_store,A214,c_date,B214,c_hour,C214)</f>
        <v>1</v>
      </c>
      <c r="G214" s="33">
        <f>IF(F214&gt;0,1,0)</f>
        <v>1</v>
      </c>
      <c r="H214" s="33">
        <f>COUNTIFS(Demand!$A$2:$A$4481,A214,Demand!$B$2:$B$4481,B214,Demand!$C$2:$C$4481,C214)</f>
        <v>1</v>
      </c>
    </row>
    <row r="215">
      <c r="A215" s="32" t="str">
        <f>Demand!A213</f>
        <v>S014</v>
      </c>
      <c r="B215" s="35">
        <f>Demand!B213</f>
        <v>46266.0</v>
      </c>
      <c r="C215" s="33">
        <f>Demand!C213</f>
        <v>11</v>
      </c>
      <c r="D215" s="33">
        <f>Demand!E213</f>
        <v>46</v>
      </c>
      <c r="E215" s="33">
        <f>IF(Demand!F213,1,0)</f>
        <v>0</v>
      </c>
      <c r="F215" s="33">
        <f>COUNTIFS(c_store,A215,c_date,B215,c_hour,C215)</f>
        <v>1</v>
      </c>
      <c r="G215" s="33">
        <f>IF(F215&gt;0,1,0)</f>
        <v>1</v>
      </c>
      <c r="H215" s="33">
        <f>COUNTIFS(Demand!$A$2:$A$4481,A215,Demand!$B$2:$B$4481,B215,Demand!$C$2:$C$4481,C215)</f>
        <v>1</v>
      </c>
    </row>
    <row r="216">
      <c r="A216" s="32" t="str">
        <f>Demand!A214</f>
        <v>S014</v>
      </c>
      <c r="B216" s="35">
        <f>Demand!B214</f>
        <v>46266.0</v>
      </c>
      <c r="C216" s="33">
        <f>Demand!C214</f>
        <v>12</v>
      </c>
      <c r="D216" s="33">
        <f>Demand!E214</f>
        <v>41</v>
      </c>
      <c r="E216" s="33">
        <f>IF(Demand!F214,1,0)</f>
        <v>0</v>
      </c>
      <c r="F216" s="33">
        <f>COUNTIFS(c_store,A216,c_date,B216,c_hour,C216)</f>
        <v>2</v>
      </c>
      <c r="G216" s="33">
        <f>IF(F216&gt;0,1,0)</f>
        <v>1</v>
      </c>
      <c r="H216" s="33">
        <f>COUNTIFS(Demand!$A$2:$A$4481,A216,Demand!$B$2:$B$4481,B216,Demand!$C$2:$C$4481,C216)</f>
        <v>1</v>
      </c>
    </row>
    <row r="217">
      <c r="A217" s="32" t="str">
        <f>Demand!A215</f>
        <v>S014</v>
      </c>
      <c r="B217" s="35">
        <f>Demand!B215</f>
        <v>46266.0</v>
      </c>
      <c r="C217" s="33">
        <f>Demand!C215</f>
        <v>13</v>
      </c>
      <c r="D217" s="33">
        <f>Demand!E215</f>
        <v>36</v>
      </c>
      <c r="E217" s="33">
        <f>IF(Demand!F215,1,0)</f>
        <v>0</v>
      </c>
      <c r="F217" s="33">
        <f>COUNTIFS(c_store,A217,c_date,B217,c_hour,C217)</f>
        <v>0</v>
      </c>
      <c r="G217" s="33">
        <f>IF(F217&gt;0,1,0)</f>
        <v>0</v>
      </c>
      <c r="H217" s="33">
        <f>COUNTIFS(Demand!$A$2:$A$4481,A217,Demand!$B$2:$B$4481,B217,Demand!$C$2:$C$4481,C217)</f>
        <v>1</v>
      </c>
    </row>
    <row r="218">
      <c r="A218" s="32" t="str">
        <f>Demand!A216</f>
        <v>S014</v>
      </c>
      <c r="B218" s="35">
        <f>Demand!B216</f>
        <v>46266.0</v>
      </c>
      <c r="C218" s="33">
        <f>Demand!C216</f>
        <v>14</v>
      </c>
      <c r="D218" s="33">
        <f>Demand!E216</f>
        <v>36</v>
      </c>
      <c r="E218" s="33">
        <f>IF(Demand!F216,1,0)</f>
        <v>0</v>
      </c>
      <c r="F218" s="33">
        <f>COUNTIFS(c_store,A218,c_date,B218,c_hour,C218)</f>
        <v>0</v>
      </c>
      <c r="G218" s="33">
        <f>IF(F218&gt;0,1,0)</f>
        <v>0</v>
      </c>
      <c r="H218" s="33">
        <f>COUNTIFS(Demand!$A$2:$A$4481,A218,Demand!$B$2:$B$4481,B218,Demand!$C$2:$C$4481,C218)</f>
        <v>1</v>
      </c>
    </row>
    <row r="219">
      <c r="A219" s="32" t="str">
        <f>Demand!A217</f>
        <v>S014</v>
      </c>
      <c r="B219" s="35">
        <f>Demand!B217</f>
        <v>46266.0</v>
      </c>
      <c r="C219" s="33">
        <f>Demand!C217</f>
        <v>15</v>
      </c>
      <c r="D219" s="33">
        <f>Demand!E217</f>
        <v>20</v>
      </c>
      <c r="E219" s="33">
        <f>IF(Demand!F217,1,0)</f>
        <v>0</v>
      </c>
      <c r="F219" s="33">
        <f>COUNTIFS(c_store,A219,c_date,B219,c_hour,C219)</f>
        <v>0</v>
      </c>
      <c r="G219" s="33">
        <f>IF(F219&gt;0,1,0)</f>
        <v>0</v>
      </c>
      <c r="H219" s="33">
        <f>COUNTIFS(Demand!$A$2:$A$4481,A219,Demand!$B$2:$B$4481,B219,Demand!$C$2:$C$4481,C219)</f>
        <v>1</v>
      </c>
    </row>
    <row r="220">
      <c r="A220" s="32" t="str">
        <f>Demand!A218</f>
        <v>S014</v>
      </c>
      <c r="B220" s="35">
        <f>Demand!B218</f>
        <v>46266.0</v>
      </c>
      <c r="C220" s="33">
        <f>Demand!C218</f>
        <v>16</v>
      </c>
      <c r="D220" s="33">
        <f>Demand!E218</f>
        <v>48</v>
      </c>
      <c r="E220" s="33">
        <f>IF(Demand!F218,1,0)</f>
        <v>0</v>
      </c>
      <c r="F220" s="33">
        <f>COUNTIFS(c_store,A220,c_date,B220,c_hour,C220)</f>
        <v>1</v>
      </c>
      <c r="G220" s="33">
        <f>IF(F220&gt;0,1,0)</f>
        <v>1</v>
      </c>
      <c r="H220" s="33">
        <f>COUNTIFS(Demand!$A$2:$A$4481,A220,Demand!$B$2:$B$4481,B220,Demand!$C$2:$C$4481,C220)</f>
        <v>1</v>
      </c>
    </row>
    <row r="221">
      <c r="A221" s="32" t="str">
        <f>Demand!A219</f>
        <v>S014</v>
      </c>
      <c r="B221" s="35">
        <f>Demand!B219</f>
        <v>46266.0</v>
      </c>
      <c r="C221" s="33">
        <f>Demand!C219</f>
        <v>17</v>
      </c>
      <c r="D221" s="33">
        <f>Demand!E219</f>
        <v>40</v>
      </c>
      <c r="E221" s="33">
        <f>IF(Demand!F219,1,0)</f>
        <v>0</v>
      </c>
      <c r="F221" s="33">
        <f>COUNTIFS(c_store,A221,c_date,B221,c_hour,C221)</f>
        <v>1</v>
      </c>
      <c r="G221" s="33">
        <f>IF(F221&gt;0,1,0)</f>
        <v>1</v>
      </c>
      <c r="H221" s="33">
        <f>COUNTIFS(Demand!$A$2:$A$4481,A221,Demand!$B$2:$B$4481,B221,Demand!$C$2:$C$4481,C221)</f>
        <v>1</v>
      </c>
    </row>
    <row r="222">
      <c r="A222" s="32" t="str">
        <f>Demand!A220</f>
        <v>S014</v>
      </c>
      <c r="B222" s="35">
        <f>Demand!B220</f>
        <v>46266.0</v>
      </c>
      <c r="C222" s="33">
        <f>Demand!C220</f>
        <v>18</v>
      </c>
      <c r="D222" s="33">
        <f>Demand!E220</f>
        <v>36</v>
      </c>
      <c r="E222" s="33">
        <f>IF(Demand!F220,1,0)</f>
        <v>0</v>
      </c>
      <c r="F222" s="33">
        <f>COUNTIFS(c_store,A222,c_date,B222,c_hour,C222)</f>
        <v>1</v>
      </c>
      <c r="G222" s="33">
        <f>IF(F222&gt;0,1,0)</f>
        <v>1</v>
      </c>
      <c r="H222" s="33">
        <f>COUNTIFS(Demand!$A$2:$A$4481,A222,Demand!$B$2:$B$4481,B222,Demand!$C$2:$C$4481,C222)</f>
        <v>1</v>
      </c>
    </row>
    <row r="223">
      <c r="A223" s="32" t="str">
        <f>Demand!A221</f>
        <v>S014</v>
      </c>
      <c r="B223" s="35">
        <f>Demand!B221</f>
        <v>46266.0</v>
      </c>
      <c r="C223" s="33">
        <f>Demand!C221</f>
        <v>19</v>
      </c>
      <c r="D223" s="33">
        <f>Demand!E221</f>
        <v>58</v>
      </c>
      <c r="E223" s="33">
        <f>IF(Demand!F221,1,0)</f>
        <v>1</v>
      </c>
      <c r="F223" s="33">
        <f>COUNTIFS(c_store,A223,c_date,B223,c_hour,C223)</f>
        <v>0</v>
      </c>
      <c r="G223" s="33">
        <f>IF(F223&gt;0,1,0)</f>
        <v>0</v>
      </c>
      <c r="H223" s="33">
        <f>COUNTIFS(Demand!$A$2:$A$4481,A223,Demand!$B$2:$B$4481,B223,Demand!$C$2:$C$4481,C223)</f>
        <v>1</v>
      </c>
    </row>
    <row r="224">
      <c r="A224" s="32" t="str">
        <f>Demand!A222</f>
        <v>S014</v>
      </c>
      <c r="B224" s="35">
        <f>Demand!B222</f>
        <v>46266.0</v>
      </c>
      <c r="C224" s="33">
        <f>Demand!C222</f>
        <v>20</v>
      </c>
      <c r="D224" s="33">
        <f>Demand!E222</f>
        <v>42</v>
      </c>
      <c r="E224" s="33">
        <f>IF(Demand!F222,1,0)</f>
        <v>1</v>
      </c>
      <c r="F224" s="33">
        <f>COUNTIFS(c_store,A224,c_date,B224,c_hour,C224)</f>
        <v>0</v>
      </c>
      <c r="G224" s="33">
        <f>IF(F224&gt;0,1,0)</f>
        <v>0</v>
      </c>
      <c r="H224" s="33">
        <f>COUNTIFS(Demand!$A$2:$A$4481,A224,Demand!$B$2:$B$4481,B224,Demand!$C$2:$C$4481,C224)</f>
        <v>1</v>
      </c>
    </row>
    <row r="225">
      <c r="A225" s="32" t="str">
        <f>Demand!A223</f>
        <v>S014</v>
      </c>
      <c r="B225" s="35">
        <f>Demand!B223</f>
        <v>46266.0</v>
      </c>
      <c r="C225" s="33">
        <f>Demand!C223</f>
        <v>21</v>
      </c>
      <c r="D225" s="33">
        <f>Demand!E223</f>
        <v>56</v>
      </c>
      <c r="E225" s="33">
        <f>IF(Demand!F223,1,0)</f>
        <v>1</v>
      </c>
      <c r="F225" s="33">
        <f>COUNTIFS(c_store,A225,c_date,B225,c_hour,C225)</f>
        <v>0</v>
      </c>
      <c r="G225" s="33">
        <f>IF(F225&gt;0,1,0)</f>
        <v>0</v>
      </c>
      <c r="H225" s="33">
        <f>COUNTIFS(Demand!$A$2:$A$4481,A225,Demand!$B$2:$B$4481,B225,Demand!$C$2:$C$4481,C225)</f>
        <v>1</v>
      </c>
    </row>
    <row r="226">
      <c r="A226" s="32" t="str">
        <f>Demand!A224</f>
        <v>S014</v>
      </c>
      <c r="B226" s="35">
        <f>Demand!B224</f>
        <v>46266.0</v>
      </c>
      <c r="C226" s="33">
        <f>Demand!C224</f>
        <v>22</v>
      </c>
      <c r="D226" s="33">
        <f>Demand!E224</f>
        <v>36</v>
      </c>
      <c r="E226" s="33">
        <f>IF(Demand!F224,1,0)</f>
        <v>0</v>
      </c>
      <c r="F226" s="33">
        <f>COUNTIFS(c_store,A226,c_date,B226,c_hour,C226)</f>
        <v>0</v>
      </c>
      <c r="G226" s="33">
        <f>IF(F226&gt;0,1,0)</f>
        <v>0</v>
      </c>
      <c r="H226" s="33">
        <f>COUNTIFS(Demand!$A$2:$A$4481,A226,Demand!$B$2:$B$4481,B226,Demand!$C$2:$C$4481,C226)</f>
        <v>1</v>
      </c>
    </row>
    <row r="227">
      <c r="A227" s="32" t="str">
        <f>Demand!A225</f>
        <v>S014</v>
      </c>
      <c r="B227" s="35">
        <f>Demand!B225</f>
        <v>46266.0</v>
      </c>
      <c r="C227" s="33">
        <f>Demand!C225</f>
        <v>23</v>
      </c>
      <c r="D227" s="33">
        <f>Demand!E225</f>
        <v>46</v>
      </c>
      <c r="E227" s="33">
        <f>IF(Demand!F225,1,0)</f>
        <v>0</v>
      </c>
      <c r="F227" s="33">
        <f>COUNTIFS(c_store,A227,c_date,B227,c_hour,C227)</f>
        <v>0</v>
      </c>
      <c r="G227" s="33">
        <f>IF(F227&gt;0,1,0)</f>
        <v>0</v>
      </c>
      <c r="H227" s="33">
        <f>COUNTIFS(Demand!$A$2:$A$4481,A227,Demand!$B$2:$B$4481,B227,Demand!$C$2:$C$4481,C227)</f>
        <v>1</v>
      </c>
    </row>
    <row r="228">
      <c r="A228" s="32" t="str">
        <f>Demand!A226</f>
        <v>S015</v>
      </c>
      <c r="B228" s="35">
        <f>Demand!B226</f>
        <v>46266.0</v>
      </c>
      <c r="C228" s="33">
        <f>Demand!C226</f>
        <v>8</v>
      </c>
      <c r="D228" s="33">
        <f>Demand!E226</f>
        <v>16</v>
      </c>
      <c r="E228" s="33">
        <f>IF(Demand!F226,1,0)</f>
        <v>0</v>
      </c>
      <c r="F228" s="33">
        <f>COUNTIFS(c_store,A228,c_date,B228,c_hour,C228)</f>
        <v>0</v>
      </c>
      <c r="G228" s="33">
        <f>IF(F228&gt;0,1,0)</f>
        <v>0</v>
      </c>
      <c r="H228" s="33">
        <f>COUNTIFS(Demand!$A$2:$A$4481,A228,Demand!$B$2:$B$4481,B228,Demand!$C$2:$C$4481,C228)</f>
        <v>1</v>
      </c>
    </row>
    <row r="229">
      <c r="A229" s="32" t="str">
        <f>Demand!A227</f>
        <v>S015</v>
      </c>
      <c r="B229" s="35">
        <f>Demand!B227</f>
        <v>46266.0</v>
      </c>
      <c r="C229" s="33">
        <f>Demand!C227</f>
        <v>9</v>
      </c>
      <c r="D229" s="33">
        <f>Demand!E227</f>
        <v>11</v>
      </c>
      <c r="E229" s="33">
        <f>IF(Demand!F227,1,0)</f>
        <v>0</v>
      </c>
      <c r="F229" s="33">
        <f>COUNTIFS(c_store,A229,c_date,B229,c_hour,C229)</f>
        <v>1</v>
      </c>
      <c r="G229" s="33">
        <f>IF(F229&gt;0,1,0)</f>
        <v>1</v>
      </c>
      <c r="H229" s="33">
        <f>COUNTIFS(Demand!$A$2:$A$4481,A229,Demand!$B$2:$B$4481,B229,Demand!$C$2:$C$4481,C229)</f>
        <v>1</v>
      </c>
    </row>
    <row r="230">
      <c r="A230" s="32" t="str">
        <f>Demand!A228</f>
        <v>S015</v>
      </c>
      <c r="B230" s="35">
        <f>Demand!B228</f>
        <v>46266.0</v>
      </c>
      <c r="C230" s="33">
        <f>Demand!C228</f>
        <v>10</v>
      </c>
      <c r="D230" s="33">
        <f>Demand!E228</f>
        <v>13</v>
      </c>
      <c r="E230" s="33">
        <f>IF(Demand!F228,1,0)</f>
        <v>0</v>
      </c>
      <c r="F230" s="33">
        <f>COUNTIFS(c_store,A230,c_date,B230,c_hour,C230)</f>
        <v>1</v>
      </c>
      <c r="G230" s="33">
        <f>IF(F230&gt;0,1,0)</f>
        <v>1</v>
      </c>
      <c r="H230" s="33">
        <f>COUNTIFS(Demand!$A$2:$A$4481,A230,Demand!$B$2:$B$4481,B230,Demand!$C$2:$C$4481,C230)</f>
        <v>1</v>
      </c>
    </row>
    <row r="231">
      <c r="A231" s="32" t="str">
        <f>Demand!A229</f>
        <v>S015</v>
      </c>
      <c r="B231" s="35">
        <f>Demand!B229</f>
        <v>46266.0</v>
      </c>
      <c r="C231" s="33">
        <f>Demand!C229</f>
        <v>11</v>
      </c>
      <c r="D231" s="33">
        <f>Demand!E229</f>
        <v>17</v>
      </c>
      <c r="E231" s="33">
        <f>IF(Demand!F229,1,0)</f>
        <v>0</v>
      </c>
      <c r="F231" s="33">
        <f>COUNTIFS(c_store,A231,c_date,B231,c_hour,C231)</f>
        <v>0</v>
      </c>
      <c r="G231" s="33">
        <f>IF(F231&gt;0,1,0)</f>
        <v>0</v>
      </c>
      <c r="H231" s="33">
        <f>COUNTIFS(Demand!$A$2:$A$4481,A231,Demand!$B$2:$B$4481,B231,Demand!$C$2:$C$4481,C231)</f>
        <v>1</v>
      </c>
    </row>
    <row r="232">
      <c r="A232" s="32" t="str">
        <f>Demand!A230</f>
        <v>S015</v>
      </c>
      <c r="B232" s="35">
        <f>Demand!B230</f>
        <v>46266.0</v>
      </c>
      <c r="C232" s="33">
        <f>Demand!C230</f>
        <v>12</v>
      </c>
      <c r="D232" s="33">
        <f>Demand!E230</f>
        <v>24</v>
      </c>
      <c r="E232" s="33">
        <f>IF(Demand!F230,1,0)</f>
        <v>0</v>
      </c>
      <c r="F232" s="33">
        <f>COUNTIFS(c_store,A232,c_date,B232,c_hour,C232)</f>
        <v>0</v>
      </c>
      <c r="G232" s="33">
        <f>IF(F232&gt;0,1,0)</f>
        <v>0</v>
      </c>
      <c r="H232" s="33">
        <f>COUNTIFS(Demand!$A$2:$A$4481,A232,Demand!$B$2:$B$4481,B232,Demand!$C$2:$C$4481,C232)</f>
        <v>1</v>
      </c>
    </row>
    <row r="233">
      <c r="A233" s="32" t="str">
        <f>Demand!A231</f>
        <v>S015</v>
      </c>
      <c r="B233" s="35">
        <f>Demand!B231</f>
        <v>46266.0</v>
      </c>
      <c r="C233" s="33">
        <f>Demand!C231</f>
        <v>13</v>
      </c>
      <c r="D233" s="33">
        <f>Demand!E231</f>
        <v>15</v>
      </c>
      <c r="E233" s="33">
        <f>IF(Demand!F231,1,0)</f>
        <v>0</v>
      </c>
      <c r="F233" s="33">
        <f>COUNTIFS(c_store,A233,c_date,B233,c_hour,C233)</f>
        <v>0</v>
      </c>
      <c r="G233" s="33">
        <f>IF(F233&gt;0,1,0)</f>
        <v>0</v>
      </c>
      <c r="H233" s="33">
        <f>COUNTIFS(Demand!$A$2:$A$4481,A233,Demand!$B$2:$B$4481,B233,Demand!$C$2:$C$4481,C233)</f>
        <v>1</v>
      </c>
    </row>
    <row r="234">
      <c r="A234" s="32" t="str">
        <f>Demand!A232</f>
        <v>S015</v>
      </c>
      <c r="B234" s="35">
        <f>Demand!B232</f>
        <v>46266.0</v>
      </c>
      <c r="C234" s="33">
        <f>Demand!C232</f>
        <v>14</v>
      </c>
      <c r="D234" s="33">
        <f>Demand!E232</f>
        <v>18</v>
      </c>
      <c r="E234" s="33">
        <f>IF(Demand!F232,1,0)</f>
        <v>0</v>
      </c>
      <c r="F234" s="33">
        <f>COUNTIFS(c_store,A234,c_date,B234,c_hour,C234)</f>
        <v>0</v>
      </c>
      <c r="G234" s="33">
        <f>IF(F234&gt;0,1,0)</f>
        <v>0</v>
      </c>
      <c r="H234" s="33">
        <f>COUNTIFS(Demand!$A$2:$A$4481,A234,Demand!$B$2:$B$4481,B234,Demand!$C$2:$C$4481,C234)</f>
        <v>1</v>
      </c>
    </row>
    <row r="235">
      <c r="A235" s="32" t="str">
        <f>Demand!A233</f>
        <v>S015</v>
      </c>
      <c r="B235" s="35">
        <f>Demand!B233</f>
        <v>46266.0</v>
      </c>
      <c r="C235" s="33">
        <f>Demand!C233</f>
        <v>15</v>
      </c>
      <c r="D235" s="33">
        <f>Demand!E233</f>
        <v>17</v>
      </c>
      <c r="E235" s="33">
        <f>IF(Demand!F233,1,0)</f>
        <v>0</v>
      </c>
      <c r="F235" s="33">
        <f>COUNTIFS(c_store,A235,c_date,B235,c_hour,C235)</f>
        <v>2</v>
      </c>
      <c r="G235" s="33">
        <f>IF(F235&gt;0,1,0)</f>
        <v>1</v>
      </c>
      <c r="H235" s="33">
        <f>COUNTIFS(Demand!$A$2:$A$4481,A235,Demand!$B$2:$B$4481,B235,Demand!$C$2:$C$4481,C235)</f>
        <v>1</v>
      </c>
    </row>
    <row r="236">
      <c r="A236" s="32" t="str">
        <f>Demand!A234</f>
        <v>S015</v>
      </c>
      <c r="B236" s="35">
        <f>Demand!B234</f>
        <v>46266.0</v>
      </c>
      <c r="C236" s="33">
        <f>Demand!C234</f>
        <v>16</v>
      </c>
      <c r="D236" s="33">
        <f>Demand!E234</f>
        <v>23</v>
      </c>
      <c r="E236" s="33">
        <f>IF(Demand!F234,1,0)</f>
        <v>0</v>
      </c>
      <c r="F236" s="33">
        <f>COUNTIFS(c_store,A236,c_date,B236,c_hour,C236)</f>
        <v>1</v>
      </c>
      <c r="G236" s="33">
        <f>IF(F236&gt;0,1,0)</f>
        <v>1</v>
      </c>
      <c r="H236" s="33">
        <f>COUNTIFS(Demand!$A$2:$A$4481,A236,Demand!$B$2:$B$4481,B236,Demand!$C$2:$C$4481,C236)</f>
        <v>1</v>
      </c>
    </row>
    <row r="237">
      <c r="A237" s="32" t="str">
        <f>Demand!A235</f>
        <v>S015</v>
      </c>
      <c r="B237" s="35">
        <f>Demand!B235</f>
        <v>46266.0</v>
      </c>
      <c r="C237" s="33">
        <f>Demand!C235</f>
        <v>17</v>
      </c>
      <c r="D237" s="33">
        <f>Demand!E235</f>
        <v>20</v>
      </c>
      <c r="E237" s="33">
        <f>IF(Demand!F235,1,0)</f>
        <v>0</v>
      </c>
      <c r="F237" s="33">
        <f>COUNTIFS(c_store,A237,c_date,B237,c_hour,C237)</f>
        <v>1</v>
      </c>
      <c r="G237" s="33">
        <f>IF(F237&gt;0,1,0)</f>
        <v>1</v>
      </c>
      <c r="H237" s="33">
        <f>COUNTIFS(Demand!$A$2:$A$4481,A237,Demand!$B$2:$B$4481,B237,Demand!$C$2:$C$4481,C237)</f>
        <v>1</v>
      </c>
    </row>
    <row r="238">
      <c r="A238" s="32" t="str">
        <f>Demand!A236</f>
        <v>S015</v>
      </c>
      <c r="B238" s="35">
        <f>Demand!B236</f>
        <v>46266.0</v>
      </c>
      <c r="C238" s="33">
        <f>Demand!C236</f>
        <v>18</v>
      </c>
      <c r="D238" s="33">
        <f>Demand!E236</f>
        <v>29</v>
      </c>
      <c r="E238" s="33">
        <f>IF(Demand!F236,1,0)</f>
        <v>0</v>
      </c>
      <c r="F238" s="33">
        <f>COUNTIFS(c_store,A238,c_date,B238,c_hour,C238)</f>
        <v>0</v>
      </c>
      <c r="G238" s="33">
        <f>IF(F238&gt;0,1,0)</f>
        <v>0</v>
      </c>
      <c r="H238" s="33">
        <f>COUNTIFS(Demand!$A$2:$A$4481,A238,Demand!$B$2:$B$4481,B238,Demand!$C$2:$C$4481,C238)</f>
        <v>1</v>
      </c>
    </row>
    <row r="239">
      <c r="A239" s="32" t="str">
        <f>Demand!A237</f>
        <v>S015</v>
      </c>
      <c r="B239" s="35">
        <f>Demand!B237</f>
        <v>46266.0</v>
      </c>
      <c r="C239" s="33">
        <f>Demand!C237</f>
        <v>19</v>
      </c>
      <c r="D239" s="33">
        <f>Demand!E237</f>
        <v>32</v>
      </c>
      <c r="E239" s="33">
        <f>IF(Demand!F237,1,0)</f>
        <v>1</v>
      </c>
      <c r="F239" s="33">
        <f>COUNTIFS(c_store,A239,c_date,B239,c_hour,C239)</f>
        <v>0</v>
      </c>
      <c r="G239" s="33">
        <f>IF(F239&gt;0,1,0)</f>
        <v>0</v>
      </c>
      <c r="H239" s="33">
        <f>COUNTIFS(Demand!$A$2:$A$4481,A239,Demand!$B$2:$B$4481,B239,Demand!$C$2:$C$4481,C239)</f>
        <v>1</v>
      </c>
    </row>
    <row r="240">
      <c r="A240" s="32" t="str">
        <f>Demand!A238</f>
        <v>S015</v>
      </c>
      <c r="B240" s="35">
        <f>Demand!B238</f>
        <v>46266.0</v>
      </c>
      <c r="C240" s="33">
        <f>Demand!C238</f>
        <v>20</v>
      </c>
      <c r="D240" s="33">
        <f>Demand!E238</f>
        <v>31</v>
      </c>
      <c r="E240" s="33">
        <f>IF(Demand!F238,1,0)</f>
        <v>1</v>
      </c>
      <c r="F240" s="33">
        <f>COUNTIFS(c_store,A240,c_date,B240,c_hour,C240)</f>
        <v>0</v>
      </c>
      <c r="G240" s="33">
        <f>IF(F240&gt;0,1,0)</f>
        <v>0</v>
      </c>
      <c r="H240" s="33">
        <f>COUNTIFS(Demand!$A$2:$A$4481,A240,Demand!$B$2:$B$4481,B240,Demand!$C$2:$C$4481,C240)</f>
        <v>1</v>
      </c>
    </row>
    <row r="241">
      <c r="A241" s="32" t="str">
        <f>Demand!A239</f>
        <v>S015</v>
      </c>
      <c r="B241" s="35">
        <f>Demand!B239</f>
        <v>46266.0</v>
      </c>
      <c r="C241" s="33">
        <f>Demand!C239</f>
        <v>21</v>
      </c>
      <c r="D241" s="33">
        <f>Demand!E239</f>
        <v>39</v>
      </c>
      <c r="E241" s="33">
        <f>IF(Demand!F239,1,0)</f>
        <v>1</v>
      </c>
      <c r="F241" s="33">
        <f>COUNTIFS(c_store,A241,c_date,B241,c_hour,C241)</f>
        <v>0</v>
      </c>
      <c r="G241" s="33">
        <f>IF(F241&gt;0,1,0)</f>
        <v>0</v>
      </c>
      <c r="H241" s="33">
        <f>COUNTIFS(Demand!$A$2:$A$4481,A241,Demand!$B$2:$B$4481,B241,Demand!$C$2:$C$4481,C241)</f>
        <v>1</v>
      </c>
    </row>
    <row r="242">
      <c r="A242" s="32" t="str">
        <f>Demand!A240</f>
        <v>S015</v>
      </c>
      <c r="B242" s="35">
        <f>Demand!B240</f>
        <v>46266.0</v>
      </c>
      <c r="C242" s="33">
        <f>Demand!C240</f>
        <v>22</v>
      </c>
      <c r="D242" s="33">
        <f>Demand!E240</f>
        <v>28</v>
      </c>
      <c r="E242" s="33">
        <f>IF(Demand!F240,1,0)</f>
        <v>0</v>
      </c>
      <c r="F242" s="33">
        <f>COUNTIFS(c_store,A242,c_date,B242,c_hour,C242)</f>
        <v>1</v>
      </c>
      <c r="G242" s="33">
        <f>IF(F242&gt;0,1,0)</f>
        <v>1</v>
      </c>
      <c r="H242" s="33">
        <f>COUNTIFS(Demand!$A$2:$A$4481,A242,Demand!$B$2:$B$4481,B242,Demand!$C$2:$C$4481,C242)</f>
        <v>1</v>
      </c>
    </row>
    <row r="243">
      <c r="A243" s="32" t="str">
        <f>Demand!A241</f>
        <v>S015</v>
      </c>
      <c r="B243" s="35">
        <f>Demand!B241</f>
        <v>46266.0</v>
      </c>
      <c r="C243" s="33">
        <f>Demand!C241</f>
        <v>23</v>
      </c>
      <c r="D243" s="33">
        <f>Demand!E241</f>
        <v>26</v>
      </c>
      <c r="E243" s="33">
        <f>IF(Demand!F241,1,0)</f>
        <v>0</v>
      </c>
      <c r="F243" s="33">
        <f>COUNTIFS(c_store,A243,c_date,B243,c_hour,C243)</f>
        <v>0</v>
      </c>
      <c r="G243" s="33">
        <f>IF(F243&gt;0,1,0)</f>
        <v>0</v>
      </c>
      <c r="H243" s="33">
        <f>COUNTIFS(Demand!$A$2:$A$4481,A243,Demand!$B$2:$B$4481,B243,Demand!$C$2:$C$4481,C243)</f>
        <v>1</v>
      </c>
    </row>
    <row r="244">
      <c r="A244" s="32" t="str">
        <f>Demand!A242</f>
        <v>S016</v>
      </c>
      <c r="B244" s="35">
        <f>Demand!B242</f>
        <v>46266.0</v>
      </c>
      <c r="C244" s="33">
        <f>Demand!C242</f>
        <v>8</v>
      </c>
      <c r="D244" s="33">
        <f>Demand!E242</f>
        <v>17</v>
      </c>
      <c r="E244" s="33">
        <f>IF(Demand!F242,1,0)</f>
        <v>0</v>
      </c>
      <c r="F244" s="33">
        <f>COUNTIFS(c_store,A244,c_date,B244,c_hour,C244)</f>
        <v>0</v>
      </c>
      <c r="G244" s="33">
        <f>IF(F244&gt;0,1,0)</f>
        <v>0</v>
      </c>
      <c r="H244" s="33">
        <f>COUNTIFS(Demand!$A$2:$A$4481,A244,Demand!$B$2:$B$4481,B244,Demand!$C$2:$C$4481,C244)</f>
        <v>1</v>
      </c>
    </row>
    <row r="245">
      <c r="A245" s="32" t="str">
        <f>Demand!A243</f>
        <v>S016</v>
      </c>
      <c r="B245" s="35">
        <f>Demand!B243</f>
        <v>46266.0</v>
      </c>
      <c r="C245" s="33">
        <f>Demand!C243</f>
        <v>9</v>
      </c>
      <c r="D245" s="33">
        <f>Demand!E243</f>
        <v>19</v>
      </c>
      <c r="E245" s="33">
        <f>IF(Demand!F243,1,0)</f>
        <v>0</v>
      </c>
      <c r="F245" s="33">
        <f>COUNTIFS(c_store,A245,c_date,B245,c_hour,C245)</f>
        <v>1</v>
      </c>
      <c r="G245" s="33">
        <f>IF(F245&gt;0,1,0)</f>
        <v>1</v>
      </c>
      <c r="H245" s="33">
        <f>COUNTIFS(Demand!$A$2:$A$4481,A245,Demand!$B$2:$B$4481,B245,Demand!$C$2:$C$4481,C245)</f>
        <v>1</v>
      </c>
    </row>
    <row r="246">
      <c r="A246" s="32" t="str">
        <f>Demand!A244</f>
        <v>S016</v>
      </c>
      <c r="B246" s="35">
        <f>Demand!B244</f>
        <v>46266.0</v>
      </c>
      <c r="C246" s="33">
        <f>Demand!C244</f>
        <v>10</v>
      </c>
      <c r="D246" s="33">
        <f>Demand!E244</f>
        <v>19</v>
      </c>
      <c r="E246" s="33">
        <f>IF(Demand!F244,1,0)</f>
        <v>0</v>
      </c>
      <c r="F246" s="33">
        <f>COUNTIFS(c_store,A246,c_date,B246,c_hour,C246)</f>
        <v>1</v>
      </c>
      <c r="G246" s="33">
        <f>IF(F246&gt;0,1,0)</f>
        <v>1</v>
      </c>
      <c r="H246" s="33">
        <f>COUNTIFS(Demand!$A$2:$A$4481,A246,Demand!$B$2:$B$4481,B246,Demand!$C$2:$C$4481,C246)</f>
        <v>1</v>
      </c>
    </row>
    <row r="247">
      <c r="A247" s="32" t="str">
        <f>Demand!A245</f>
        <v>S016</v>
      </c>
      <c r="B247" s="35">
        <f>Demand!B245</f>
        <v>46266.0</v>
      </c>
      <c r="C247" s="33">
        <f>Demand!C245</f>
        <v>11</v>
      </c>
      <c r="D247" s="33">
        <f>Demand!E245</f>
        <v>25</v>
      </c>
      <c r="E247" s="33">
        <f>IF(Demand!F245,1,0)</f>
        <v>0</v>
      </c>
      <c r="F247" s="33">
        <f>COUNTIFS(c_store,A247,c_date,B247,c_hour,C247)</f>
        <v>0</v>
      </c>
      <c r="G247" s="33">
        <f>IF(F247&gt;0,1,0)</f>
        <v>0</v>
      </c>
      <c r="H247" s="33">
        <f>COUNTIFS(Demand!$A$2:$A$4481,A247,Demand!$B$2:$B$4481,B247,Demand!$C$2:$C$4481,C247)</f>
        <v>1</v>
      </c>
    </row>
    <row r="248">
      <c r="A248" s="32" t="str">
        <f>Demand!A246</f>
        <v>S016</v>
      </c>
      <c r="B248" s="35">
        <f>Demand!B246</f>
        <v>46266.0</v>
      </c>
      <c r="C248" s="33">
        <f>Demand!C246</f>
        <v>12</v>
      </c>
      <c r="D248" s="33">
        <f>Demand!E246</f>
        <v>19</v>
      </c>
      <c r="E248" s="33">
        <f>IF(Demand!F246,1,0)</f>
        <v>0</v>
      </c>
      <c r="F248" s="33">
        <f>COUNTIFS(c_store,A248,c_date,B248,c_hour,C248)</f>
        <v>0</v>
      </c>
      <c r="G248" s="33">
        <f>IF(F248&gt;0,1,0)</f>
        <v>0</v>
      </c>
      <c r="H248" s="33">
        <f>COUNTIFS(Demand!$A$2:$A$4481,A248,Demand!$B$2:$B$4481,B248,Demand!$C$2:$C$4481,C248)</f>
        <v>1</v>
      </c>
    </row>
    <row r="249">
      <c r="A249" s="32" t="str">
        <f>Demand!A247</f>
        <v>S016</v>
      </c>
      <c r="B249" s="35">
        <f>Demand!B247</f>
        <v>46266.0</v>
      </c>
      <c r="C249" s="33">
        <f>Demand!C247</f>
        <v>13</v>
      </c>
      <c r="D249" s="33">
        <f>Demand!E247</f>
        <v>27</v>
      </c>
      <c r="E249" s="33">
        <f>IF(Demand!F247,1,0)</f>
        <v>0</v>
      </c>
      <c r="F249" s="33">
        <f>COUNTIFS(c_store,A249,c_date,B249,c_hour,C249)</f>
        <v>1</v>
      </c>
      <c r="G249" s="33">
        <f>IF(F249&gt;0,1,0)</f>
        <v>1</v>
      </c>
      <c r="H249" s="33">
        <f>COUNTIFS(Demand!$A$2:$A$4481,A249,Demand!$B$2:$B$4481,B249,Demand!$C$2:$C$4481,C249)</f>
        <v>1</v>
      </c>
    </row>
    <row r="250">
      <c r="A250" s="32" t="str">
        <f>Demand!A248</f>
        <v>S016</v>
      </c>
      <c r="B250" s="35">
        <f>Demand!B248</f>
        <v>46266.0</v>
      </c>
      <c r="C250" s="33">
        <f>Demand!C248</f>
        <v>14</v>
      </c>
      <c r="D250" s="33">
        <f>Demand!E248</f>
        <v>16</v>
      </c>
      <c r="E250" s="33">
        <f>IF(Demand!F248,1,0)</f>
        <v>0</v>
      </c>
      <c r="F250" s="33">
        <f>COUNTIFS(c_store,A250,c_date,B250,c_hour,C250)</f>
        <v>0</v>
      </c>
      <c r="G250" s="33">
        <f>IF(F250&gt;0,1,0)</f>
        <v>0</v>
      </c>
      <c r="H250" s="33">
        <f>COUNTIFS(Demand!$A$2:$A$4481,A250,Demand!$B$2:$B$4481,B250,Demand!$C$2:$C$4481,C250)</f>
        <v>1</v>
      </c>
    </row>
    <row r="251">
      <c r="A251" s="32" t="str">
        <f>Demand!A249</f>
        <v>S016</v>
      </c>
      <c r="B251" s="35">
        <f>Demand!B249</f>
        <v>46266.0</v>
      </c>
      <c r="C251" s="33">
        <f>Demand!C249</f>
        <v>15</v>
      </c>
      <c r="D251" s="33">
        <f>Demand!E249</f>
        <v>12</v>
      </c>
      <c r="E251" s="33">
        <f>IF(Demand!F249,1,0)</f>
        <v>0</v>
      </c>
      <c r="F251" s="33">
        <f>COUNTIFS(c_store,A251,c_date,B251,c_hour,C251)</f>
        <v>0</v>
      </c>
      <c r="G251" s="33">
        <f>IF(F251&gt;0,1,0)</f>
        <v>0</v>
      </c>
      <c r="H251" s="33">
        <f>COUNTIFS(Demand!$A$2:$A$4481,A251,Demand!$B$2:$B$4481,B251,Demand!$C$2:$C$4481,C251)</f>
        <v>1</v>
      </c>
    </row>
    <row r="252">
      <c r="A252" s="32" t="str">
        <f>Demand!A250</f>
        <v>S016</v>
      </c>
      <c r="B252" s="35">
        <f>Demand!B250</f>
        <v>46266.0</v>
      </c>
      <c r="C252" s="33">
        <f>Demand!C250</f>
        <v>16</v>
      </c>
      <c r="D252" s="33">
        <f>Demand!E250</f>
        <v>18</v>
      </c>
      <c r="E252" s="33">
        <f>IF(Demand!F250,1,0)</f>
        <v>0</v>
      </c>
      <c r="F252" s="33">
        <f>COUNTIFS(c_store,A252,c_date,B252,c_hour,C252)</f>
        <v>1</v>
      </c>
      <c r="G252" s="33">
        <f>IF(F252&gt;0,1,0)</f>
        <v>1</v>
      </c>
      <c r="H252" s="33">
        <f>COUNTIFS(Demand!$A$2:$A$4481,A252,Demand!$B$2:$B$4481,B252,Demand!$C$2:$C$4481,C252)</f>
        <v>1</v>
      </c>
    </row>
    <row r="253">
      <c r="A253" s="32" t="str">
        <f>Demand!A251</f>
        <v>S016</v>
      </c>
      <c r="B253" s="35">
        <f>Demand!B251</f>
        <v>46266.0</v>
      </c>
      <c r="C253" s="33">
        <f>Demand!C251</f>
        <v>17</v>
      </c>
      <c r="D253" s="33">
        <f>Demand!E251</f>
        <v>18</v>
      </c>
      <c r="E253" s="33">
        <f>IF(Demand!F251,1,0)</f>
        <v>0</v>
      </c>
      <c r="F253" s="33">
        <f>COUNTIFS(c_store,A253,c_date,B253,c_hour,C253)</f>
        <v>0</v>
      </c>
      <c r="G253" s="33">
        <f>IF(F253&gt;0,1,0)</f>
        <v>0</v>
      </c>
      <c r="H253" s="33">
        <f>COUNTIFS(Demand!$A$2:$A$4481,A253,Demand!$B$2:$B$4481,B253,Demand!$C$2:$C$4481,C253)</f>
        <v>1</v>
      </c>
    </row>
    <row r="254">
      <c r="A254" s="32" t="str">
        <f>Demand!A252</f>
        <v>S016</v>
      </c>
      <c r="B254" s="35">
        <f>Demand!B252</f>
        <v>46266.0</v>
      </c>
      <c r="C254" s="33">
        <f>Demand!C252</f>
        <v>18</v>
      </c>
      <c r="D254" s="33">
        <f>Demand!E252</f>
        <v>24</v>
      </c>
      <c r="E254" s="33">
        <f>IF(Demand!F252,1,0)</f>
        <v>0</v>
      </c>
      <c r="F254" s="33">
        <f>COUNTIFS(c_store,A254,c_date,B254,c_hour,C254)</f>
        <v>0</v>
      </c>
      <c r="G254" s="33">
        <f>IF(F254&gt;0,1,0)</f>
        <v>0</v>
      </c>
      <c r="H254" s="33">
        <f>COUNTIFS(Demand!$A$2:$A$4481,A254,Demand!$B$2:$B$4481,B254,Demand!$C$2:$C$4481,C254)</f>
        <v>1</v>
      </c>
    </row>
    <row r="255">
      <c r="A255" s="32" t="str">
        <f>Demand!A253</f>
        <v>S016</v>
      </c>
      <c r="B255" s="35">
        <f>Demand!B253</f>
        <v>46266.0</v>
      </c>
      <c r="C255" s="33">
        <f>Demand!C253</f>
        <v>19</v>
      </c>
      <c r="D255" s="33">
        <f>Demand!E253</f>
        <v>50</v>
      </c>
      <c r="E255" s="33">
        <f>IF(Demand!F253,1,0)</f>
        <v>1</v>
      </c>
      <c r="F255" s="33">
        <f>COUNTIFS(c_store,A255,c_date,B255,c_hour,C255)</f>
        <v>0</v>
      </c>
      <c r="G255" s="33">
        <f>IF(F255&gt;0,1,0)</f>
        <v>0</v>
      </c>
      <c r="H255" s="33">
        <f>COUNTIFS(Demand!$A$2:$A$4481,A255,Demand!$B$2:$B$4481,B255,Demand!$C$2:$C$4481,C255)</f>
        <v>1</v>
      </c>
    </row>
    <row r="256">
      <c r="A256" s="32" t="str">
        <f>Demand!A254</f>
        <v>S016</v>
      </c>
      <c r="B256" s="35">
        <f>Demand!B254</f>
        <v>46266.0</v>
      </c>
      <c r="C256" s="33">
        <f>Demand!C254</f>
        <v>20</v>
      </c>
      <c r="D256" s="33">
        <f>Demand!E254</f>
        <v>37</v>
      </c>
      <c r="E256" s="33">
        <f>IF(Demand!F254,1,0)</f>
        <v>1</v>
      </c>
      <c r="F256" s="33">
        <f>COUNTIFS(c_store,A256,c_date,B256,c_hour,C256)</f>
        <v>0</v>
      </c>
      <c r="G256" s="33">
        <f>IF(F256&gt;0,1,0)</f>
        <v>0</v>
      </c>
      <c r="H256" s="33">
        <f>COUNTIFS(Demand!$A$2:$A$4481,A256,Demand!$B$2:$B$4481,B256,Demand!$C$2:$C$4481,C256)</f>
        <v>1</v>
      </c>
    </row>
    <row r="257">
      <c r="A257" s="32" t="str">
        <f>Demand!A255</f>
        <v>S016</v>
      </c>
      <c r="B257" s="35">
        <f>Demand!B255</f>
        <v>46266.0</v>
      </c>
      <c r="C257" s="33">
        <f>Demand!C255</f>
        <v>21</v>
      </c>
      <c r="D257" s="33">
        <f>Demand!E255</f>
        <v>42</v>
      </c>
      <c r="E257" s="33">
        <f>IF(Demand!F255,1,0)</f>
        <v>1</v>
      </c>
      <c r="F257" s="33">
        <f>COUNTIFS(c_store,A257,c_date,B257,c_hour,C257)</f>
        <v>1</v>
      </c>
      <c r="G257" s="33">
        <f>IF(F257&gt;0,1,0)</f>
        <v>1</v>
      </c>
      <c r="H257" s="33">
        <f>COUNTIFS(Demand!$A$2:$A$4481,A257,Demand!$B$2:$B$4481,B257,Demand!$C$2:$C$4481,C257)</f>
        <v>1</v>
      </c>
    </row>
    <row r="258">
      <c r="A258" s="32" t="str">
        <f>Demand!A256</f>
        <v>S016</v>
      </c>
      <c r="B258" s="35">
        <f>Demand!B256</f>
        <v>46266.0</v>
      </c>
      <c r="C258" s="33">
        <f>Demand!C256</f>
        <v>22</v>
      </c>
      <c r="D258" s="33">
        <f>Demand!E256</f>
        <v>22</v>
      </c>
      <c r="E258" s="33">
        <f>IF(Demand!F256,1,0)</f>
        <v>0</v>
      </c>
      <c r="F258" s="33">
        <f>COUNTIFS(c_store,A258,c_date,B258,c_hour,C258)</f>
        <v>0</v>
      </c>
      <c r="G258" s="33">
        <f>IF(F258&gt;0,1,0)</f>
        <v>0</v>
      </c>
      <c r="H258" s="33">
        <f>COUNTIFS(Demand!$A$2:$A$4481,A258,Demand!$B$2:$B$4481,B258,Demand!$C$2:$C$4481,C258)</f>
        <v>1</v>
      </c>
    </row>
    <row r="259">
      <c r="A259" s="32" t="str">
        <f>Demand!A257</f>
        <v>S016</v>
      </c>
      <c r="B259" s="35">
        <f>Demand!B257</f>
        <v>46266.0</v>
      </c>
      <c r="C259" s="33">
        <f>Demand!C257</f>
        <v>23</v>
      </c>
      <c r="D259" s="33">
        <f>Demand!E257</f>
        <v>30</v>
      </c>
      <c r="E259" s="33">
        <f>IF(Demand!F257,1,0)</f>
        <v>0</v>
      </c>
      <c r="F259" s="33">
        <f>COUNTIFS(c_store,A259,c_date,B259,c_hour,C259)</f>
        <v>0</v>
      </c>
      <c r="G259" s="33">
        <f>IF(F259&gt;0,1,0)</f>
        <v>0</v>
      </c>
      <c r="H259" s="33">
        <f>COUNTIFS(Demand!$A$2:$A$4481,A259,Demand!$B$2:$B$4481,B259,Demand!$C$2:$C$4481,C259)</f>
        <v>1</v>
      </c>
    </row>
    <row r="260">
      <c r="A260" s="32" t="str">
        <f>Demand!A258</f>
        <v>S017</v>
      </c>
      <c r="B260" s="35">
        <f>Demand!B258</f>
        <v>46266.0</v>
      </c>
      <c r="C260" s="33">
        <f>Demand!C258</f>
        <v>8</v>
      </c>
      <c r="D260" s="33">
        <f>Demand!E258</f>
        <v>39</v>
      </c>
      <c r="E260" s="33">
        <f>IF(Demand!F258,1,0)</f>
        <v>0</v>
      </c>
      <c r="F260" s="33">
        <f>COUNTIFS(c_store,A260,c_date,B260,c_hour,C260)</f>
        <v>0</v>
      </c>
      <c r="G260" s="33">
        <f>IF(F260&gt;0,1,0)</f>
        <v>0</v>
      </c>
      <c r="H260" s="33">
        <f>COUNTIFS(Demand!$A$2:$A$4481,A260,Demand!$B$2:$B$4481,B260,Demand!$C$2:$C$4481,C260)</f>
        <v>1</v>
      </c>
    </row>
    <row r="261">
      <c r="A261" s="32" t="str">
        <f>Demand!A259</f>
        <v>S017</v>
      </c>
      <c r="B261" s="35">
        <f>Demand!B259</f>
        <v>46266.0</v>
      </c>
      <c r="C261" s="33">
        <f>Demand!C259</f>
        <v>9</v>
      </c>
      <c r="D261" s="33">
        <f>Demand!E259</f>
        <v>14</v>
      </c>
      <c r="E261" s="33">
        <f>IF(Demand!F259,1,0)</f>
        <v>0</v>
      </c>
      <c r="F261" s="33">
        <f>COUNTIFS(c_store,A261,c_date,B261,c_hour,C261)</f>
        <v>0</v>
      </c>
      <c r="G261" s="33">
        <f>IF(F261&gt;0,1,0)</f>
        <v>0</v>
      </c>
      <c r="H261" s="33">
        <f>COUNTIFS(Demand!$A$2:$A$4481,A261,Demand!$B$2:$B$4481,B261,Demand!$C$2:$C$4481,C261)</f>
        <v>1</v>
      </c>
    </row>
    <row r="262">
      <c r="A262" s="32" t="str">
        <f>Demand!A260</f>
        <v>S017</v>
      </c>
      <c r="B262" s="35">
        <f>Demand!B260</f>
        <v>46266.0</v>
      </c>
      <c r="C262" s="33">
        <f>Demand!C260</f>
        <v>10</v>
      </c>
      <c r="D262" s="33">
        <f>Demand!E260</f>
        <v>18</v>
      </c>
      <c r="E262" s="33">
        <f>IF(Demand!F260,1,0)</f>
        <v>0</v>
      </c>
      <c r="F262" s="33">
        <f>COUNTIFS(c_store,A262,c_date,B262,c_hour,C262)</f>
        <v>0</v>
      </c>
      <c r="G262" s="33">
        <f>IF(F262&gt;0,1,0)</f>
        <v>0</v>
      </c>
      <c r="H262" s="33">
        <f>COUNTIFS(Demand!$A$2:$A$4481,A262,Demand!$B$2:$B$4481,B262,Demand!$C$2:$C$4481,C262)</f>
        <v>1</v>
      </c>
    </row>
    <row r="263">
      <c r="A263" s="32" t="str">
        <f>Demand!A261</f>
        <v>S017</v>
      </c>
      <c r="B263" s="35">
        <f>Demand!B261</f>
        <v>46266.0</v>
      </c>
      <c r="C263" s="33">
        <f>Demand!C261</f>
        <v>11</v>
      </c>
      <c r="D263" s="33">
        <f>Demand!E261</f>
        <v>22</v>
      </c>
      <c r="E263" s="33">
        <f>IF(Demand!F261,1,0)</f>
        <v>0</v>
      </c>
      <c r="F263" s="33">
        <f>COUNTIFS(c_store,A263,c_date,B263,c_hour,C263)</f>
        <v>0</v>
      </c>
      <c r="G263" s="33">
        <f>IF(F263&gt;0,1,0)</f>
        <v>0</v>
      </c>
      <c r="H263" s="33">
        <f>COUNTIFS(Demand!$A$2:$A$4481,A263,Demand!$B$2:$B$4481,B263,Demand!$C$2:$C$4481,C263)</f>
        <v>1</v>
      </c>
    </row>
    <row r="264">
      <c r="A264" s="32" t="str">
        <f>Demand!A262</f>
        <v>S017</v>
      </c>
      <c r="B264" s="35">
        <f>Demand!B262</f>
        <v>46266.0</v>
      </c>
      <c r="C264" s="33">
        <f>Demand!C262</f>
        <v>12</v>
      </c>
      <c r="D264" s="33">
        <f>Demand!E262</f>
        <v>42</v>
      </c>
      <c r="E264" s="33">
        <f>IF(Demand!F262,1,0)</f>
        <v>0</v>
      </c>
      <c r="F264" s="33">
        <f>COUNTIFS(c_store,A264,c_date,B264,c_hour,C264)</f>
        <v>0</v>
      </c>
      <c r="G264" s="33">
        <f>IF(F264&gt;0,1,0)</f>
        <v>0</v>
      </c>
      <c r="H264" s="33">
        <f>COUNTIFS(Demand!$A$2:$A$4481,A264,Demand!$B$2:$B$4481,B264,Demand!$C$2:$C$4481,C264)</f>
        <v>1</v>
      </c>
    </row>
    <row r="265">
      <c r="A265" s="32" t="str">
        <f>Demand!A263</f>
        <v>S017</v>
      </c>
      <c r="B265" s="35">
        <f>Demand!B263</f>
        <v>46266.0</v>
      </c>
      <c r="C265" s="33">
        <f>Demand!C263</f>
        <v>13</v>
      </c>
      <c r="D265" s="33">
        <f>Demand!E263</f>
        <v>23</v>
      </c>
      <c r="E265" s="33">
        <f>IF(Demand!F263,1,0)</f>
        <v>0</v>
      </c>
      <c r="F265" s="33">
        <f>COUNTIFS(c_store,A265,c_date,B265,c_hour,C265)</f>
        <v>0</v>
      </c>
      <c r="G265" s="33">
        <f>IF(F265&gt;0,1,0)</f>
        <v>0</v>
      </c>
      <c r="H265" s="33">
        <f>COUNTIFS(Demand!$A$2:$A$4481,A265,Demand!$B$2:$B$4481,B265,Demand!$C$2:$C$4481,C265)</f>
        <v>1</v>
      </c>
    </row>
    <row r="266">
      <c r="A266" s="32" t="str">
        <f>Demand!A264</f>
        <v>S017</v>
      </c>
      <c r="B266" s="35">
        <f>Demand!B264</f>
        <v>46266.0</v>
      </c>
      <c r="C266" s="33">
        <f>Demand!C264</f>
        <v>14</v>
      </c>
      <c r="D266" s="33">
        <f>Demand!E264</f>
        <v>38</v>
      </c>
      <c r="E266" s="33">
        <f>IF(Demand!F264,1,0)</f>
        <v>0</v>
      </c>
      <c r="F266" s="33">
        <f>COUNTIFS(c_store,A266,c_date,B266,c_hour,C266)</f>
        <v>0</v>
      </c>
      <c r="G266" s="33">
        <f>IF(F266&gt;0,1,0)</f>
        <v>0</v>
      </c>
      <c r="H266" s="33">
        <f>COUNTIFS(Demand!$A$2:$A$4481,A266,Demand!$B$2:$B$4481,B266,Demand!$C$2:$C$4481,C266)</f>
        <v>1</v>
      </c>
    </row>
    <row r="267">
      <c r="A267" s="32" t="str">
        <f>Demand!A265</f>
        <v>S017</v>
      </c>
      <c r="B267" s="35">
        <f>Demand!B265</f>
        <v>46266.0</v>
      </c>
      <c r="C267" s="33">
        <f>Demand!C265</f>
        <v>15</v>
      </c>
      <c r="D267" s="33">
        <f>Demand!E265</f>
        <v>28</v>
      </c>
      <c r="E267" s="33">
        <f>IF(Demand!F265,1,0)</f>
        <v>0</v>
      </c>
      <c r="F267" s="33">
        <f>COUNTIFS(c_store,A267,c_date,B267,c_hour,C267)</f>
        <v>0</v>
      </c>
      <c r="G267" s="33">
        <f>IF(F267&gt;0,1,0)</f>
        <v>0</v>
      </c>
      <c r="H267" s="33">
        <f>COUNTIFS(Demand!$A$2:$A$4481,A267,Demand!$B$2:$B$4481,B267,Demand!$C$2:$C$4481,C267)</f>
        <v>1</v>
      </c>
    </row>
    <row r="268">
      <c r="A268" s="32" t="str">
        <f>Demand!A266</f>
        <v>S017</v>
      </c>
      <c r="B268" s="35">
        <f>Demand!B266</f>
        <v>46266.0</v>
      </c>
      <c r="C268" s="33">
        <f>Demand!C266</f>
        <v>16</v>
      </c>
      <c r="D268" s="33">
        <f>Demand!E266</f>
        <v>42</v>
      </c>
      <c r="E268" s="33">
        <f>IF(Demand!F266,1,0)</f>
        <v>0</v>
      </c>
      <c r="F268" s="33">
        <f>COUNTIFS(c_store,A268,c_date,B268,c_hour,C268)</f>
        <v>0</v>
      </c>
      <c r="G268" s="33">
        <f>IF(F268&gt;0,1,0)</f>
        <v>0</v>
      </c>
      <c r="H268" s="33">
        <f>COUNTIFS(Demand!$A$2:$A$4481,A268,Demand!$B$2:$B$4481,B268,Demand!$C$2:$C$4481,C268)</f>
        <v>1</v>
      </c>
    </row>
    <row r="269">
      <c r="A269" s="32" t="str">
        <f>Demand!A267</f>
        <v>S017</v>
      </c>
      <c r="B269" s="35">
        <f>Demand!B267</f>
        <v>46266.0</v>
      </c>
      <c r="C269" s="33">
        <f>Demand!C267</f>
        <v>17</v>
      </c>
      <c r="D269" s="33">
        <f>Demand!E267</f>
        <v>35</v>
      </c>
      <c r="E269" s="33">
        <f>IF(Demand!F267,1,0)</f>
        <v>0</v>
      </c>
      <c r="F269" s="33">
        <f>COUNTIFS(c_store,A269,c_date,B269,c_hour,C269)</f>
        <v>2</v>
      </c>
      <c r="G269" s="33">
        <f>IF(F269&gt;0,1,0)</f>
        <v>1</v>
      </c>
      <c r="H269" s="33">
        <f>COUNTIFS(Demand!$A$2:$A$4481,A269,Demand!$B$2:$B$4481,B269,Demand!$C$2:$C$4481,C269)</f>
        <v>1</v>
      </c>
    </row>
    <row r="270">
      <c r="A270" s="32" t="str">
        <f>Demand!A268</f>
        <v>S017</v>
      </c>
      <c r="B270" s="35">
        <f>Demand!B268</f>
        <v>46266.0</v>
      </c>
      <c r="C270" s="33">
        <f>Demand!C268</f>
        <v>18</v>
      </c>
      <c r="D270" s="33">
        <f>Demand!E268</f>
        <v>31</v>
      </c>
      <c r="E270" s="33">
        <f>IF(Demand!F268,1,0)</f>
        <v>0</v>
      </c>
      <c r="F270" s="33">
        <f>COUNTIFS(c_store,A270,c_date,B270,c_hour,C270)</f>
        <v>0</v>
      </c>
      <c r="G270" s="33">
        <f>IF(F270&gt;0,1,0)</f>
        <v>0</v>
      </c>
      <c r="H270" s="33">
        <f>COUNTIFS(Demand!$A$2:$A$4481,A270,Demand!$B$2:$B$4481,B270,Demand!$C$2:$C$4481,C270)</f>
        <v>1</v>
      </c>
    </row>
    <row r="271">
      <c r="A271" s="32" t="str">
        <f>Demand!A269</f>
        <v>S017</v>
      </c>
      <c r="B271" s="35">
        <f>Demand!B269</f>
        <v>46266.0</v>
      </c>
      <c r="C271" s="33">
        <f>Demand!C269</f>
        <v>19</v>
      </c>
      <c r="D271" s="33">
        <f>Demand!E269</f>
        <v>74</v>
      </c>
      <c r="E271" s="33">
        <f>IF(Demand!F269,1,0)</f>
        <v>1</v>
      </c>
      <c r="F271" s="33">
        <f>COUNTIFS(c_store,A271,c_date,B271,c_hour,C271)</f>
        <v>0</v>
      </c>
      <c r="G271" s="33">
        <f>IF(F271&gt;0,1,0)</f>
        <v>0</v>
      </c>
      <c r="H271" s="33">
        <f>COUNTIFS(Demand!$A$2:$A$4481,A271,Demand!$B$2:$B$4481,B271,Demand!$C$2:$C$4481,C271)</f>
        <v>1</v>
      </c>
    </row>
    <row r="272">
      <c r="A272" s="32" t="str">
        <f>Demand!A270</f>
        <v>S017</v>
      </c>
      <c r="B272" s="35">
        <f>Demand!B270</f>
        <v>46266.0</v>
      </c>
      <c r="C272" s="33">
        <f>Demand!C270</f>
        <v>20</v>
      </c>
      <c r="D272" s="33">
        <f>Demand!E270</f>
        <v>45</v>
      </c>
      <c r="E272" s="33">
        <f>IF(Demand!F270,1,0)</f>
        <v>1</v>
      </c>
      <c r="F272" s="33">
        <f>COUNTIFS(c_store,A272,c_date,B272,c_hour,C272)</f>
        <v>0</v>
      </c>
      <c r="G272" s="33">
        <f>IF(F272&gt;0,1,0)</f>
        <v>0</v>
      </c>
      <c r="H272" s="33">
        <f>COUNTIFS(Demand!$A$2:$A$4481,A272,Demand!$B$2:$B$4481,B272,Demand!$C$2:$C$4481,C272)</f>
        <v>1</v>
      </c>
    </row>
    <row r="273">
      <c r="A273" s="32" t="str">
        <f>Demand!A271</f>
        <v>S017</v>
      </c>
      <c r="B273" s="35">
        <f>Demand!B271</f>
        <v>46266.0</v>
      </c>
      <c r="C273" s="33">
        <f>Demand!C271</f>
        <v>21</v>
      </c>
      <c r="D273" s="33">
        <f>Demand!E271</f>
        <v>60</v>
      </c>
      <c r="E273" s="33">
        <f>IF(Demand!F271,1,0)</f>
        <v>1</v>
      </c>
      <c r="F273" s="33">
        <f>COUNTIFS(c_store,A273,c_date,B273,c_hour,C273)</f>
        <v>0</v>
      </c>
      <c r="G273" s="33">
        <f>IF(F273&gt;0,1,0)</f>
        <v>0</v>
      </c>
      <c r="H273" s="33">
        <f>COUNTIFS(Demand!$A$2:$A$4481,A273,Demand!$B$2:$B$4481,B273,Demand!$C$2:$C$4481,C273)</f>
        <v>1</v>
      </c>
    </row>
    <row r="274">
      <c r="A274" s="32" t="str">
        <f>Demand!A272</f>
        <v>S017</v>
      </c>
      <c r="B274" s="35">
        <f>Demand!B272</f>
        <v>46266.0</v>
      </c>
      <c r="C274" s="33">
        <f>Demand!C272</f>
        <v>22</v>
      </c>
      <c r="D274" s="33">
        <f>Demand!E272</f>
        <v>41</v>
      </c>
      <c r="E274" s="33">
        <f>IF(Demand!F272,1,0)</f>
        <v>0</v>
      </c>
      <c r="F274" s="33">
        <f>COUNTIFS(c_store,A274,c_date,B274,c_hour,C274)</f>
        <v>1</v>
      </c>
      <c r="G274" s="33">
        <f>IF(F274&gt;0,1,0)</f>
        <v>1</v>
      </c>
      <c r="H274" s="33">
        <f>COUNTIFS(Demand!$A$2:$A$4481,A274,Demand!$B$2:$B$4481,B274,Demand!$C$2:$C$4481,C274)</f>
        <v>1</v>
      </c>
    </row>
    <row r="275">
      <c r="A275" s="32" t="str">
        <f>Demand!A273</f>
        <v>S017</v>
      </c>
      <c r="B275" s="35">
        <f>Demand!B273</f>
        <v>46266.0</v>
      </c>
      <c r="C275" s="33">
        <f>Demand!C273</f>
        <v>23</v>
      </c>
      <c r="D275" s="33">
        <f>Demand!E273</f>
        <v>34</v>
      </c>
      <c r="E275" s="33">
        <f>IF(Demand!F273,1,0)</f>
        <v>0</v>
      </c>
      <c r="F275" s="33">
        <f>COUNTIFS(c_store,A275,c_date,B275,c_hour,C275)</f>
        <v>0</v>
      </c>
      <c r="G275" s="33">
        <f>IF(F275&gt;0,1,0)</f>
        <v>0</v>
      </c>
      <c r="H275" s="33">
        <f>COUNTIFS(Demand!$A$2:$A$4481,A275,Demand!$B$2:$B$4481,B275,Demand!$C$2:$C$4481,C275)</f>
        <v>1</v>
      </c>
    </row>
    <row r="276">
      <c r="A276" s="32" t="str">
        <f>Demand!A274</f>
        <v>S018</v>
      </c>
      <c r="B276" s="35">
        <f>Demand!B274</f>
        <v>46266.0</v>
      </c>
      <c r="C276" s="33">
        <f>Demand!C274</f>
        <v>8</v>
      </c>
      <c r="D276" s="33">
        <f>Demand!E274</f>
        <v>23</v>
      </c>
      <c r="E276" s="33">
        <f>IF(Demand!F274,1,0)</f>
        <v>0</v>
      </c>
      <c r="F276" s="33">
        <f>COUNTIFS(c_store,A276,c_date,B276,c_hour,C276)</f>
        <v>0</v>
      </c>
      <c r="G276" s="33">
        <f>IF(F276&gt;0,1,0)</f>
        <v>0</v>
      </c>
      <c r="H276" s="33">
        <f>COUNTIFS(Demand!$A$2:$A$4481,A276,Demand!$B$2:$B$4481,B276,Demand!$C$2:$C$4481,C276)</f>
        <v>1</v>
      </c>
    </row>
    <row r="277">
      <c r="A277" s="32" t="str">
        <f>Demand!A275</f>
        <v>S018</v>
      </c>
      <c r="B277" s="35">
        <f>Demand!B275</f>
        <v>46266.0</v>
      </c>
      <c r="C277" s="33">
        <f>Demand!C275</f>
        <v>9</v>
      </c>
      <c r="D277" s="33">
        <f>Demand!E275</f>
        <v>17</v>
      </c>
      <c r="E277" s="33">
        <f>IF(Demand!F275,1,0)</f>
        <v>0</v>
      </c>
      <c r="F277" s="33">
        <f>COUNTIFS(c_store,A277,c_date,B277,c_hour,C277)</f>
        <v>0</v>
      </c>
      <c r="G277" s="33">
        <f>IF(F277&gt;0,1,0)</f>
        <v>0</v>
      </c>
      <c r="H277" s="33">
        <f>COUNTIFS(Demand!$A$2:$A$4481,A277,Demand!$B$2:$B$4481,B277,Demand!$C$2:$C$4481,C277)</f>
        <v>1</v>
      </c>
    </row>
    <row r="278">
      <c r="A278" s="32" t="str">
        <f>Demand!A276</f>
        <v>S018</v>
      </c>
      <c r="B278" s="35">
        <f>Demand!B276</f>
        <v>46266.0</v>
      </c>
      <c r="C278" s="33">
        <f>Demand!C276</f>
        <v>10</v>
      </c>
      <c r="D278" s="33">
        <f>Demand!E276</f>
        <v>14</v>
      </c>
      <c r="E278" s="33">
        <f>IF(Demand!F276,1,0)</f>
        <v>0</v>
      </c>
      <c r="F278" s="33">
        <f>COUNTIFS(c_store,A278,c_date,B278,c_hour,C278)</f>
        <v>1</v>
      </c>
      <c r="G278" s="33">
        <f>IF(F278&gt;0,1,0)</f>
        <v>1</v>
      </c>
      <c r="H278" s="33">
        <f>COUNTIFS(Demand!$A$2:$A$4481,A278,Demand!$B$2:$B$4481,B278,Demand!$C$2:$C$4481,C278)</f>
        <v>1</v>
      </c>
    </row>
    <row r="279">
      <c r="A279" s="32" t="str">
        <f>Demand!A277</f>
        <v>S018</v>
      </c>
      <c r="B279" s="35">
        <f>Demand!B277</f>
        <v>46266.0</v>
      </c>
      <c r="C279" s="33">
        <f>Demand!C277</f>
        <v>11</v>
      </c>
      <c r="D279" s="33">
        <f>Demand!E277</f>
        <v>14</v>
      </c>
      <c r="E279" s="33">
        <f>IF(Demand!F277,1,0)</f>
        <v>0</v>
      </c>
      <c r="F279" s="33">
        <f>COUNTIFS(c_store,A279,c_date,B279,c_hour,C279)</f>
        <v>0</v>
      </c>
      <c r="G279" s="33">
        <f>IF(F279&gt;0,1,0)</f>
        <v>0</v>
      </c>
      <c r="H279" s="33">
        <f>COUNTIFS(Demand!$A$2:$A$4481,A279,Demand!$B$2:$B$4481,B279,Demand!$C$2:$C$4481,C279)</f>
        <v>1</v>
      </c>
    </row>
    <row r="280">
      <c r="A280" s="32" t="str">
        <f>Demand!A278</f>
        <v>S018</v>
      </c>
      <c r="B280" s="35">
        <f>Demand!B278</f>
        <v>46266.0</v>
      </c>
      <c r="C280" s="33">
        <f>Demand!C278</f>
        <v>12</v>
      </c>
      <c r="D280" s="33">
        <f>Demand!E278</f>
        <v>18</v>
      </c>
      <c r="E280" s="33">
        <f>IF(Demand!F278,1,0)</f>
        <v>0</v>
      </c>
      <c r="F280" s="33">
        <f>COUNTIFS(c_store,A280,c_date,B280,c_hour,C280)</f>
        <v>1</v>
      </c>
      <c r="G280" s="33">
        <f>IF(F280&gt;0,1,0)</f>
        <v>1</v>
      </c>
      <c r="H280" s="33">
        <f>COUNTIFS(Demand!$A$2:$A$4481,A280,Demand!$B$2:$B$4481,B280,Demand!$C$2:$C$4481,C280)</f>
        <v>1</v>
      </c>
    </row>
    <row r="281">
      <c r="A281" s="32" t="str">
        <f>Demand!A279</f>
        <v>S018</v>
      </c>
      <c r="B281" s="35">
        <f>Demand!B279</f>
        <v>46266.0</v>
      </c>
      <c r="C281" s="33">
        <f>Demand!C279</f>
        <v>13</v>
      </c>
      <c r="D281" s="33">
        <f>Demand!E279</f>
        <v>18</v>
      </c>
      <c r="E281" s="33">
        <f>IF(Demand!F279,1,0)</f>
        <v>0</v>
      </c>
      <c r="F281" s="33">
        <f>COUNTIFS(c_store,A281,c_date,B281,c_hour,C281)</f>
        <v>0</v>
      </c>
      <c r="G281" s="33">
        <f>IF(F281&gt;0,1,0)</f>
        <v>0</v>
      </c>
      <c r="H281" s="33">
        <f>COUNTIFS(Demand!$A$2:$A$4481,A281,Demand!$B$2:$B$4481,B281,Demand!$C$2:$C$4481,C281)</f>
        <v>1</v>
      </c>
    </row>
    <row r="282">
      <c r="A282" s="32" t="str">
        <f>Demand!A280</f>
        <v>S018</v>
      </c>
      <c r="B282" s="35">
        <f>Demand!B280</f>
        <v>46266.0</v>
      </c>
      <c r="C282" s="33">
        <f>Demand!C280</f>
        <v>14</v>
      </c>
      <c r="D282" s="33">
        <f>Demand!E280</f>
        <v>15</v>
      </c>
      <c r="E282" s="33">
        <f>IF(Demand!F280,1,0)</f>
        <v>0</v>
      </c>
      <c r="F282" s="33">
        <f>COUNTIFS(c_store,A282,c_date,B282,c_hour,C282)</f>
        <v>0</v>
      </c>
      <c r="G282" s="33">
        <f>IF(F282&gt;0,1,0)</f>
        <v>0</v>
      </c>
      <c r="H282" s="33">
        <f>COUNTIFS(Demand!$A$2:$A$4481,A282,Demand!$B$2:$B$4481,B282,Demand!$C$2:$C$4481,C282)</f>
        <v>1</v>
      </c>
    </row>
    <row r="283">
      <c r="A283" s="32" t="str">
        <f>Demand!A281</f>
        <v>S018</v>
      </c>
      <c r="B283" s="35">
        <f>Demand!B281</f>
        <v>46266.0</v>
      </c>
      <c r="C283" s="33">
        <f>Demand!C281</f>
        <v>15</v>
      </c>
      <c r="D283" s="33">
        <f>Demand!E281</f>
        <v>10</v>
      </c>
      <c r="E283" s="33">
        <f>IF(Demand!F281,1,0)</f>
        <v>0</v>
      </c>
      <c r="F283" s="33">
        <f>COUNTIFS(c_store,A283,c_date,B283,c_hour,C283)</f>
        <v>0</v>
      </c>
      <c r="G283" s="33">
        <f>IF(F283&gt;0,1,0)</f>
        <v>0</v>
      </c>
      <c r="H283" s="33">
        <f>COUNTIFS(Demand!$A$2:$A$4481,A283,Demand!$B$2:$B$4481,B283,Demand!$C$2:$C$4481,C283)</f>
        <v>1</v>
      </c>
    </row>
    <row r="284">
      <c r="A284" s="32" t="str">
        <f>Demand!A282</f>
        <v>S018</v>
      </c>
      <c r="B284" s="35">
        <f>Demand!B282</f>
        <v>46266.0</v>
      </c>
      <c r="C284" s="33">
        <f>Demand!C282</f>
        <v>16</v>
      </c>
      <c r="D284" s="33">
        <f>Demand!E282</f>
        <v>23</v>
      </c>
      <c r="E284" s="33">
        <f>IF(Demand!F282,1,0)</f>
        <v>0</v>
      </c>
      <c r="F284" s="33">
        <f>COUNTIFS(c_store,A284,c_date,B284,c_hour,C284)</f>
        <v>0</v>
      </c>
      <c r="G284" s="33">
        <f>IF(F284&gt;0,1,0)</f>
        <v>0</v>
      </c>
      <c r="H284" s="33">
        <f>COUNTIFS(Demand!$A$2:$A$4481,A284,Demand!$B$2:$B$4481,B284,Demand!$C$2:$C$4481,C284)</f>
        <v>1</v>
      </c>
    </row>
    <row r="285">
      <c r="A285" s="32" t="str">
        <f>Demand!A283</f>
        <v>S018</v>
      </c>
      <c r="B285" s="35">
        <f>Demand!B283</f>
        <v>46266.0</v>
      </c>
      <c r="C285" s="33">
        <f>Demand!C283</f>
        <v>17</v>
      </c>
      <c r="D285" s="33">
        <f>Demand!E283</f>
        <v>30</v>
      </c>
      <c r="E285" s="33">
        <f>IF(Demand!F283,1,0)</f>
        <v>0</v>
      </c>
      <c r="F285" s="33">
        <f>COUNTIFS(c_store,A285,c_date,B285,c_hour,C285)</f>
        <v>1</v>
      </c>
      <c r="G285" s="33">
        <f>IF(F285&gt;0,1,0)</f>
        <v>1</v>
      </c>
      <c r="H285" s="33">
        <f>COUNTIFS(Demand!$A$2:$A$4481,A285,Demand!$B$2:$B$4481,B285,Demand!$C$2:$C$4481,C285)</f>
        <v>1</v>
      </c>
    </row>
    <row r="286">
      <c r="A286" s="32" t="str">
        <f>Demand!A284</f>
        <v>S018</v>
      </c>
      <c r="B286" s="35">
        <f>Demand!B284</f>
        <v>46266.0</v>
      </c>
      <c r="C286" s="33">
        <f>Demand!C284</f>
        <v>18</v>
      </c>
      <c r="D286" s="33">
        <f>Demand!E284</f>
        <v>24</v>
      </c>
      <c r="E286" s="33">
        <f>IF(Demand!F284,1,0)</f>
        <v>0</v>
      </c>
      <c r="F286" s="33">
        <f>COUNTIFS(c_store,A286,c_date,B286,c_hour,C286)</f>
        <v>0</v>
      </c>
      <c r="G286" s="33">
        <f>IF(F286&gt;0,1,0)</f>
        <v>0</v>
      </c>
      <c r="H286" s="33">
        <f>COUNTIFS(Demand!$A$2:$A$4481,A286,Demand!$B$2:$B$4481,B286,Demand!$C$2:$C$4481,C286)</f>
        <v>1</v>
      </c>
    </row>
    <row r="287">
      <c r="A287" s="32" t="str">
        <f>Demand!A285</f>
        <v>S018</v>
      </c>
      <c r="B287" s="35">
        <f>Demand!B285</f>
        <v>46266.0</v>
      </c>
      <c r="C287" s="33">
        <f>Demand!C285</f>
        <v>19</v>
      </c>
      <c r="D287" s="33">
        <f>Demand!E285</f>
        <v>21</v>
      </c>
      <c r="E287" s="33">
        <f>IF(Demand!F285,1,0)</f>
        <v>1</v>
      </c>
      <c r="F287" s="33">
        <f>COUNTIFS(c_store,A287,c_date,B287,c_hour,C287)</f>
        <v>0</v>
      </c>
      <c r="G287" s="33">
        <f>IF(F287&gt;0,1,0)</f>
        <v>0</v>
      </c>
      <c r="H287" s="33">
        <f>COUNTIFS(Demand!$A$2:$A$4481,A287,Demand!$B$2:$B$4481,B287,Demand!$C$2:$C$4481,C287)</f>
        <v>1</v>
      </c>
    </row>
    <row r="288">
      <c r="A288" s="32" t="str">
        <f>Demand!A286</f>
        <v>S018</v>
      </c>
      <c r="B288" s="35">
        <f>Demand!B286</f>
        <v>46266.0</v>
      </c>
      <c r="C288" s="33">
        <f>Demand!C286</f>
        <v>20</v>
      </c>
      <c r="D288" s="33">
        <f>Demand!E286</f>
        <v>22</v>
      </c>
      <c r="E288" s="33">
        <f>IF(Demand!F286,1,0)</f>
        <v>1</v>
      </c>
      <c r="F288" s="33">
        <f>COUNTIFS(c_store,A288,c_date,B288,c_hour,C288)</f>
        <v>0</v>
      </c>
      <c r="G288" s="33">
        <f>IF(F288&gt;0,1,0)</f>
        <v>0</v>
      </c>
      <c r="H288" s="33">
        <f>COUNTIFS(Demand!$A$2:$A$4481,A288,Demand!$B$2:$B$4481,B288,Demand!$C$2:$C$4481,C288)</f>
        <v>1</v>
      </c>
    </row>
    <row r="289">
      <c r="A289" s="32" t="str">
        <f>Demand!A287</f>
        <v>S018</v>
      </c>
      <c r="B289" s="35">
        <f>Demand!B287</f>
        <v>46266.0</v>
      </c>
      <c r="C289" s="33">
        <f>Demand!C287</f>
        <v>21</v>
      </c>
      <c r="D289" s="33">
        <f>Demand!E287</f>
        <v>26</v>
      </c>
      <c r="E289" s="33">
        <f>IF(Demand!F287,1,0)</f>
        <v>1</v>
      </c>
      <c r="F289" s="33">
        <f>COUNTIFS(c_store,A289,c_date,B289,c_hour,C289)</f>
        <v>1</v>
      </c>
      <c r="G289" s="33">
        <f>IF(F289&gt;0,1,0)</f>
        <v>1</v>
      </c>
      <c r="H289" s="33">
        <f>COUNTIFS(Demand!$A$2:$A$4481,A289,Demand!$B$2:$B$4481,B289,Demand!$C$2:$C$4481,C289)</f>
        <v>1</v>
      </c>
    </row>
    <row r="290">
      <c r="A290" s="32" t="str">
        <f>Demand!A288</f>
        <v>S018</v>
      </c>
      <c r="B290" s="35">
        <f>Demand!B288</f>
        <v>46266.0</v>
      </c>
      <c r="C290" s="33">
        <f>Demand!C288</f>
        <v>22</v>
      </c>
      <c r="D290" s="33">
        <f>Demand!E288</f>
        <v>32</v>
      </c>
      <c r="E290" s="33">
        <f>IF(Demand!F288,1,0)</f>
        <v>0</v>
      </c>
      <c r="F290" s="33">
        <f>COUNTIFS(c_store,A290,c_date,B290,c_hour,C290)</f>
        <v>0</v>
      </c>
      <c r="G290" s="33">
        <f>IF(F290&gt;0,1,0)</f>
        <v>0</v>
      </c>
      <c r="H290" s="33">
        <f>COUNTIFS(Demand!$A$2:$A$4481,A290,Demand!$B$2:$B$4481,B290,Demand!$C$2:$C$4481,C290)</f>
        <v>1</v>
      </c>
    </row>
    <row r="291">
      <c r="A291" s="32" t="str">
        <f>Demand!A289</f>
        <v>S018</v>
      </c>
      <c r="B291" s="35">
        <f>Demand!B289</f>
        <v>46266.0</v>
      </c>
      <c r="C291" s="33">
        <f>Demand!C289</f>
        <v>23</v>
      </c>
      <c r="D291" s="33">
        <f>Demand!E289</f>
        <v>18</v>
      </c>
      <c r="E291" s="33">
        <f>IF(Demand!F289,1,0)</f>
        <v>0</v>
      </c>
      <c r="F291" s="33">
        <f>COUNTIFS(c_store,A291,c_date,B291,c_hour,C291)</f>
        <v>0</v>
      </c>
      <c r="G291" s="33">
        <f>IF(F291&gt;0,1,0)</f>
        <v>0</v>
      </c>
      <c r="H291" s="33">
        <f>COUNTIFS(Demand!$A$2:$A$4481,A291,Demand!$B$2:$B$4481,B291,Demand!$C$2:$C$4481,C291)</f>
        <v>1</v>
      </c>
    </row>
    <row r="292">
      <c r="A292" s="32" t="str">
        <f>Demand!A290</f>
        <v>S019</v>
      </c>
      <c r="B292" s="35">
        <f>Demand!B290</f>
        <v>46266.0</v>
      </c>
      <c r="C292" s="33">
        <f>Demand!C290</f>
        <v>8</v>
      </c>
      <c r="D292" s="33">
        <f>Demand!E290</f>
        <v>17</v>
      </c>
      <c r="E292" s="33">
        <f>IF(Demand!F290,1,0)</f>
        <v>0</v>
      </c>
      <c r="F292" s="33">
        <f>COUNTIFS(c_store,A292,c_date,B292,c_hour,C292)</f>
        <v>1</v>
      </c>
      <c r="G292" s="33">
        <f>IF(F292&gt;0,1,0)</f>
        <v>1</v>
      </c>
      <c r="H292" s="33">
        <f>COUNTIFS(Demand!$A$2:$A$4481,A292,Demand!$B$2:$B$4481,B292,Demand!$C$2:$C$4481,C292)</f>
        <v>1</v>
      </c>
    </row>
    <row r="293">
      <c r="A293" s="32" t="str">
        <f>Demand!A291</f>
        <v>S019</v>
      </c>
      <c r="B293" s="35">
        <f>Demand!B291</f>
        <v>46266.0</v>
      </c>
      <c r="C293" s="33">
        <f>Demand!C291</f>
        <v>9</v>
      </c>
      <c r="D293" s="33">
        <f>Demand!E291</f>
        <v>6</v>
      </c>
      <c r="E293" s="33">
        <f>IF(Demand!F291,1,0)</f>
        <v>0</v>
      </c>
      <c r="F293" s="33">
        <f>COUNTIFS(c_store,A293,c_date,B293,c_hour,C293)</f>
        <v>0</v>
      </c>
      <c r="G293" s="33">
        <f>IF(F293&gt;0,1,0)</f>
        <v>0</v>
      </c>
      <c r="H293" s="33">
        <f>COUNTIFS(Demand!$A$2:$A$4481,A293,Demand!$B$2:$B$4481,B293,Demand!$C$2:$C$4481,C293)</f>
        <v>1</v>
      </c>
    </row>
    <row r="294">
      <c r="A294" s="32" t="str">
        <f>Demand!A292</f>
        <v>S019</v>
      </c>
      <c r="B294" s="35">
        <f>Demand!B292</f>
        <v>46266.0</v>
      </c>
      <c r="C294" s="33">
        <f>Demand!C292</f>
        <v>10</v>
      </c>
      <c r="D294" s="33">
        <f>Demand!E292</f>
        <v>18</v>
      </c>
      <c r="E294" s="33">
        <f>IF(Demand!F292,1,0)</f>
        <v>0</v>
      </c>
      <c r="F294" s="33">
        <f>COUNTIFS(c_store,A294,c_date,B294,c_hour,C294)</f>
        <v>0</v>
      </c>
      <c r="G294" s="33">
        <f>IF(F294&gt;0,1,0)</f>
        <v>0</v>
      </c>
      <c r="H294" s="33">
        <f>COUNTIFS(Demand!$A$2:$A$4481,A294,Demand!$B$2:$B$4481,B294,Demand!$C$2:$C$4481,C294)</f>
        <v>1</v>
      </c>
    </row>
    <row r="295">
      <c r="A295" s="32" t="str">
        <f>Demand!A293</f>
        <v>S019</v>
      </c>
      <c r="B295" s="35">
        <f>Demand!B293</f>
        <v>46266.0</v>
      </c>
      <c r="C295" s="33">
        <f>Demand!C293</f>
        <v>11</v>
      </c>
      <c r="D295" s="33">
        <f>Demand!E293</f>
        <v>16</v>
      </c>
      <c r="E295" s="33">
        <f>IF(Demand!F293,1,0)</f>
        <v>0</v>
      </c>
      <c r="F295" s="33">
        <f>COUNTIFS(c_store,A295,c_date,B295,c_hour,C295)</f>
        <v>0</v>
      </c>
      <c r="G295" s="33">
        <f>IF(F295&gt;0,1,0)</f>
        <v>0</v>
      </c>
      <c r="H295" s="33">
        <f>COUNTIFS(Demand!$A$2:$A$4481,A295,Demand!$B$2:$B$4481,B295,Demand!$C$2:$C$4481,C295)</f>
        <v>1</v>
      </c>
    </row>
    <row r="296">
      <c r="A296" s="32" t="str">
        <f>Demand!A294</f>
        <v>S019</v>
      </c>
      <c r="B296" s="35">
        <f>Demand!B294</f>
        <v>46266.0</v>
      </c>
      <c r="C296" s="33">
        <f>Demand!C294</f>
        <v>12</v>
      </c>
      <c r="D296" s="33">
        <f>Demand!E294</f>
        <v>23</v>
      </c>
      <c r="E296" s="33">
        <f>IF(Demand!F294,1,0)</f>
        <v>0</v>
      </c>
      <c r="F296" s="33">
        <f>COUNTIFS(c_store,A296,c_date,B296,c_hour,C296)</f>
        <v>0</v>
      </c>
      <c r="G296" s="33">
        <f>IF(F296&gt;0,1,0)</f>
        <v>0</v>
      </c>
      <c r="H296" s="33">
        <f>COUNTIFS(Demand!$A$2:$A$4481,A296,Demand!$B$2:$B$4481,B296,Demand!$C$2:$C$4481,C296)</f>
        <v>1</v>
      </c>
    </row>
    <row r="297">
      <c r="A297" s="32" t="str">
        <f>Demand!A295</f>
        <v>S019</v>
      </c>
      <c r="B297" s="35">
        <f>Demand!B295</f>
        <v>46266.0</v>
      </c>
      <c r="C297" s="33">
        <f>Demand!C295</f>
        <v>13</v>
      </c>
      <c r="D297" s="33">
        <f>Demand!E295</f>
        <v>19</v>
      </c>
      <c r="E297" s="33">
        <f>IF(Demand!F295,1,0)</f>
        <v>0</v>
      </c>
      <c r="F297" s="33">
        <f>COUNTIFS(c_store,A297,c_date,B297,c_hour,C297)</f>
        <v>0</v>
      </c>
      <c r="G297" s="33">
        <f>IF(F297&gt;0,1,0)</f>
        <v>0</v>
      </c>
      <c r="H297" s="33">
        <f>COUNTIFS(Demand!$A$2:$A$4481,A297,Demand!$B$2:$B$4481,B297,Demand!$C$2:$C$4481,C297)</f>
        <v>1</v>
      </c>
    </row>
    <row r="298">
      <c r="A298" s="32" t="str">
        <f>Demand!A296</f>
        <v>S019</v>
      </c>
      <c r="B298" s="35">
        <f>Demand!B296</f>
        <v>46266.0</v>
      </c>
      <c r="C298" s="33">
        <f>Demand!C296</f>
        <v>14</v>
      </c>
      <c r="D298" s="33">
        <f>Demand!E296</f>
        <v>14</v>
      </c>
      <c r="E298" s="33">
        <f>IF(Demand!F296,1,0)</f>
        <v>0</v>
      </c>
      <c r="F298" s="33">
        <f>COUNTIFS(c_store,A298,c_date,B298,c_hour,C298)</f>
        <v>2</v>
      </c>
      <c r="G298" s="33">
        <f>IF(F298&gt;0,1,0)</f>
        <v>1</v>
      </c>
      <c r="H298" s="33">
        <f>COUNTIFS(Demand!$A$2:$A$4481,A298,Demand!$B$2:$B$4481,B298,Demand!$C$2:$C$4481,C298)</f>
        <v>1</v>
      </c>
    </row>
    <row r="299">
      <c r="A299" s="32" t="str">
        <f>Demand!A297</f>
        <v>S019</v>
      </c>
      <c r="B299" s="35">
        <f>Demand!B297</f>
        <v>46266.0</v>
      </c>
      <c r="C299" s="33">
        <f>Demand!C297</f>
        <v>15</v>
      </c>
      <c r="D299" s="33">
        <f>Demand!E297</f>
        <v>19</v>
      </c>
      <c r="E299" s="33">
        <f>IF(Demand!F297,1,0)</f>
        <v>0</v>
      </c>
      <c r="F299" s="33">
        <f>COUNTIFS(c_store,A299,c_date,B299,c_hour,C299)</f>
        <v>0</v>
      </c>
      <c r="G299" s="33">
        <f>IF(F299&gt;0,1,0)</f>
        <v>0</v>
      </c>
      <c r="H299" s="33">
        <f>COUNTIFS(Demand!$A$2:$A$4481,A299,Demand!$B$2:$B$4481,B299,Demand!$C$2:$C$4481,C299)</f>
        <v>1</v>
      </c>
    </row>
    <row r="300">
      <c r="A300" s="32" t="str">
        <f>Demand!A298</f>
        <v>S019</v>
      </c>
      <c r="B300" s="35">
        <f>Demand!B298</f>
        <v>46266.0</v>
      </c>
      <c r="C300" s="33">
        <f>Demand!C298</f>
        <v>16</v>
      </c>
      <c r="D300" s="33">
        <f>Demand!E298</f>
        <v>22</v>
      </c>
      <c r="E300" s="33">
        <f>IF(Demand!F298,1,0)</f>
        <v>0</v>
      </c>
      <c r="F300" s="33">
        <f>COUNTIFS(c_store,A300,c_date,B300,c_hour,C300)</f>
        <v>0</v>
      </c>
      <c r="G300" s="33">
        <f>IF(F300&gt;0,1,0)</f>
        <v>0</v>
      </c>
      <c r="H300" s="33">
        <f>COUNTIFS(Demand!$A$2:$A$4481,A300,Demand!$B$2:$B$4481,B300,Demand!$C$2:$C$4481,C300)</f>
        <v>1</v>
      </c>
    </row>
    <row r="301">
      <c r="A301" s="32" t="str">
        <f>Demand!A299</f>
        <v>S019</v>
      </c>
      <c r="B301" s="35">
        <f>Demand!B299</f>
        <v>46266.0</v>
      </c>
      <c r="C301" s="33">
        <f>Demand!C299</f>
        <v>17</v>
      </c>
      <c r="D301" s="33">
        <f>Demand!E299</f>
        <v>30</v>
      </c>
      <c r="E301" s="33">
        <f>IF(Demand!F299,1,0)</f>
        <v>0</v>
      </c>
      <c r="F301" s="33">
        <f>COUNTIFS(c_store,A301,c_date,B301,c_hour,C301)</f>
        <v>0</v>
      </c>
      <c r="G301" s="33">
        <f>IF(F301&gt;0,1,0)</f>
        <v>0</v>
      </c>
      <c r="H301" s="33">
        <f>COUNTIFS(Demand!$A$2:$A$4481,A301,Demand!$B$2:$B$4481,B301,Demand!$C$2:$C$4481,C301)</f>
        <v>1</v>
      </c>
    </row>
    <row r="302">
      <c r="A302" s="32" t="str">
        <f>Demand!A300</f>
        <v>S019</v>
      </c>
      <c r="B302" s="35">
        <f>Demand!B300</f>
        <v>46266.0</v>
      </c>
      <c r="C302" s="33">
        <f>Demand!C300</f>
        <v>18</v>
      </c>
      <c r="D302" s="33">
        <f>Demand!E300</f>
        <v>24</v>
      </c>
      <c r="E302" s="33">
        <f>IF(Demand!F300,1,0)</f>
        <v>0</v>
      </c>
      <c r="F302" s="33">
        <f>COUNTIFS(c_store,A302,c_date,B302,c_hour,C302)</f>
        <v>1</v>
      </c>
      <c r="G302" s="33">
        <f>IF(F302&gt;0,1,0)</f>
        <v>1</v>
      </c>
      <c r="H302" s="33">
        <f>COUNTIFS(Demand!$A$2:$A$4481,A302,Demand!$B$2:$B$4481,B302,Demand!$C$2:$C$4481,C302)</f>
        <v>1</v>
      </c>
    </row>
    <row r="303">
      <c r="A303" s="32" t="str">
        <f>Demand!A301</f>
        <v>S019</v>
      </c>
      <c r="B303" s="35">
        <f>Demand!B301</f>
        <v>46266.0</v>
      </c>
      <c r="C303" s="33">
        <f>Demand!C301</f>
        <v>19</v>
      </c>
      <c r="D303" s="33">
        <f>Demand!E301</f>
        <v>36</v>
      </c>
      <c r="E303" s="33">
        <f>IF(Demand!F301,1,0)</f>
        <v>1</v>
      </c>
      <c r="F303" s="33">
        <f>COUNTIFS(c_store,A303,c_date,B303,c_hour,C303)</f>
        <v>0</v>
      </c>
      <c r="G303" s="33">
        <f>IF(F303&gt;0,1,0)</f>
        <v>0</v>
      </c>
      <c r="H303" s="33">
        <f>COUNTIFS(Demand!$A$2:$A$4481,A303,Demand!$B$2:$B$4481,B303,Demand!$C$2:$C$4481,C303)</f>
        <v>1</v>
      </c>
    </row>
    <row r="304">
      <c r="A304" s="32" t="str">
        <f>Demand!A302</f>
        <v>S019</v>
      </c>
      <c r="B304" s="35">
        <f>Demand!B302</f>
        <v>46266.0</v>
      </c>
      <c r="C304" s="33">
        <f>Demand!C302</f>
        <v>20</v>
      </c>
      <c r="D304" s="33">
        <f>Demand!E302</f>
        <v>26</v>
      </c>
      <c r="E304" s="33">
        <f>IF(Demand!F302,1,0)</f>
        <v>1</v>
      </c>
      <c r="F304" s="33">
        <f>COUNTIFS(c_store,A304,c_date,B304,c_hour,C304)</f>
        <v>3</v>
      </c>
      <c r="G304" s="33">
        <f>IF(F304&gt;0,1,0)</f>
        <v>1</v>
      </c>
      <c r="H304" s="33">
        <f>COUNTIFS(Demand!$A$2:$A$4481,A304,Demand!$B$2:$B$4481,B304,Demand!$C$2:$C$4481,C304)</f>
        <v>1</v>
      </c>
    </row>
    <row r="305">
      <c r="A305" s="32" t="str">
        <f>Demand!A303</f>
        <v>S019</v>
      </c>
      <c r="B305" s="35">
        <f>Demand!B303</f>
        <v>46266.0</v>
      </c>
      <c r="C305" s="33">
        <f>Demand!C303</f>
        <v>21</v>
      </c>
      <c r="D305" s="33">
        <f>Demand!E303</f>
        <v>32</v>
      </c>
      <c r="E305" s="33">
        <f>IF(Demand!F303,1,0)</f>
        <v>1</v>
      </c>
      <c r="F305" s="33">
        <f>COUNTIFS(c_store,A305,c_date,B305,c_hour,C305)</f>
        <v>1</v>
      </c>
      <c r="G305" s="33">
        <f>IF(F305&gt;0,1,0)</f>
        <v>1</v>
      </c>
      <c r="H305" s="33">
        <f>COUNTIFS(Demand!$A$2:$A$4481,A305,Demand!$B$2:$B$4481,B305,Demand!$C$2:$C$4481,C305)</f>
        <v>1</v>
      </c>
    </row>
    <row r="306">
      <c r="A306" s="32" t="str">
        <f>Demand!A304</f>
        <v>S019</v>
      </c>
      <c r="B306" s="35">
        <f>Demand!B304</f>
        <v>46266.0</v>
      </c>
      <c r="C306" s="33">
        <f>Demand!C304</f>
        <v>22</v>
      </c>
      <c r="D306" s="33">
        <f>Demand!E304</f>
        <v>23</v>
      </c>
      <c r="E306" s="33">
        <f>IF(Demand!F304,1,0)</f>
        <v>0</v>
      </c>
      <c r="F306" s="33">
        <f>COUNTIFS(c_store,A306,c_date,B306,c_hour,C306)</f>
        <v>0</v>
      </c>
      <c r="G306" s="33">
        <f>IF(F306&gt;0,1,0)</f>
        <v>0</v>
      </c>
      <c r="H306" s="33">
        <f>COUNTIFS(Demand!$A$2:$A$4481,A306,Demand!$B$2:$B$4481,B306,Demand!$C$2:$C$4481,C306)</f>
        <v>1</v>
      </c>
    </row>
    <row r="307">
      <c r="A307" s="32" t="str">
        <f>Demand!A305</f>
        <v>S019</v>
      </c>
      <c r="B307" s="35">
        <f>Demand!B305</f>
        <v>46266.0</v>
      </c>
      <c r="C307" s="33">
        <f>Demand!C305</f>
        <v>23</v>
      </c>
      <c r="D307" s="33">
        <f>Demand!E305</f>
        <v>14</v>
      </c>
      <c r="E307" s="33">
        <f>IF(Demand!F305,1,0)</f>
        <v>0</v>
      </c>
      <c r="F307" s="33">
        <f>COUNTIFS(c_store,A307,c_date,B307,c_hour,C307)</f>
        <v>0</v>
      </c>
      <c r="G307" s="33">
        <f>IF(F307&gt;0,1,0)</f>
        <v>0</v>
      </c>
      <c r="H307" s="33">
        <f>COUNTIFS(Demand!$A$2:$A$4481,A307,Demand!$B$2:$B$4481,B307,Demand!$C$2:$C$4481,C307)</f>
        <v>1</v>
      </c>
    </row>
    <row r="308">
      <c r="A308" s="32" t="str">
        <f>Demand!A306</f>
        <v>S020</v>
      </c>
      <c r="B308" s="35">
        <f>Demand!B306</f>
        <v>46266.0</v>
      </c>
      <c r="C308" s="33">
        <f>Demand!C306</f>
        <v>8</v>
      </c>
      <c r="D308" s="33">
        <f>Demand!E306</f>
        <v>9</v>
      </c>
      <c r="E308" s="33">
        <f>IF(Demand!F306,1,0)</f>
        <v>0</v>
      </c>
      <c r="F308" s="33">
        <f>COUNTIFS(c_store,A308,c_date,B308,c_hour,C308)</f>
        <v>0</v>
      </c>
      <c r="G308" s="33">
        <f>IF(F308&gt;0,1,0)</f>
        <v>0</v>
      </c>
      <c r="H308" s="33">
        <f>COUNTIFS(Demand!$A$2:$A$4481,A308,Demand!$B$2:$B$4481,B308,Demand!$C$2:$C$4481,C308)</f>
        <v>1</v>
      </c>
    </row>
    <row r="309">
      <c r="A309" s="32" t="str">
        <f>Demand!A307</f>
        <v>S020</v>
      </c>
      <c r="B309" s="35">
        <f>Demand!B307</f>
        <v>46266.0</v>
      </c>
      <c r="C309" s="33">
        <f>Demand!C307</f>
        <v>9</v>
      </c>
      <c r="D309" s="33">
        <f>Demand!E307</f>
        <v>10</v>
      </c>
      <c r="E309" s="33">
        <f>IF(Demand!F307,1,0)</f>
        <v>0</v>
      </c>
      <c r="F309" s="33">
        <f>COUNTIFS(c_store,A309,c_date,B309,c_hour,C309)</f>
        <v>0</v>
      </c>
      <c r="G309" s="33">
        <f>IF(F309&gt;0,1,0)</f>
        <v>0</v>
      </c>
      <c r="H309" s="33">
        <f>COUNTIFS(Demand!$A$2:$A$4481,A309,Demand!$B$2:$B$4481,B309,Demand!$C$2:$C$4481,C309)</f>
        <v>1</v>
      </c>
    </row>
    <row r="310">
      <c r="A310" s="32" t="str">
        <f>Demand!A308</f>
        <v>S020</v>
      </c>
      <c r="B310" s="35">
        <f>Demand!B308</f>
        <v>46266.0</v>
      </c>
      <c r="C310" s="33">
        <f>Demand!C308</f>
        <v>10</v>
      </c>
      <c r="D310" s="33">
        <f>Demand!E308</f>
        <v>12</v>
      </c>
      <c r="E310" s="33">
        <f>IF(Demand!F308,1,0)</f>
        <v>0</v>
      </c>
      <c r="F310" s="33">
        <f>COUNTIFS(c_store,A310,c_date,B310,c_hour,C310)</f>
        <v>0</v>
      </c>
      <c r="G310" s="33">
        <f>IF(F310&gt;0,1,0)</f>
        <v>0</v>
      </c>
      <c r="H310" s="33">
        <f>COUNTIFS(Demand!$A$2:$A$4481,A310,Demand!$B$2:$B$4481,B310,Demand!$C$2:$C$4481,C310)</f>
        <v>1</v>
      </c>
    </row>
    <row r="311">
      <c r="A311" s="32" t="str">
        <f>Demand!A309</f>
        <v>S020</v>
      </c>
      <c r="B311" s="35">
        <f>Demand!B309</f>
        <v>46266.0</v>
      </c>
      <c r="C311" s="33">
        <f>Demand!C309</f>
        <v>11</v>
      </c>
      <c r="D311" s="33">
        <f>Demand!E309</f>
        <v>15</v>
      </c>
      <c r="E311" s="33">
        <f>IF(Demand!F309,1,0)</f>
        <v>0</v>
      </c>
      <c r="F311" s="33">
        <f>COUNTIFS(c_store,A311,c_date,B311,c_hour,C311)</f>
        <v>0</v>
      </c>
      <c r="G311" s="33">
        <f>IF(F311&gt;0,1,0)</f>
        <v>0</v>
      </c>
      <c r="H311" s="33">
        <f>COUNTIFS(Demand!$A$2:$A$4481,A311,Demand!$B$2:$B$4481,B311,Demand!$C$2:$C$4481,C311)</f>
        <v>1</v>
      </c>
    </row>
    <row r="312">
      <c r="A312" s="32" t="str">
        <f>Demand!A310</f>
        <v>S020</v>
      </c>
      <c r="B312" s="35">
        <f>Demand!B310</f>
        <v>46266.0</v>
      </c>
      <c r="C312" s="33">
        <f>Demand!C310</f>
        <v>12</v>
      </c>
      <c r="D312" s="33">
        <f>Demand!E310</f>
        <v>15</v>
      </c>
      <c r="E312" s="33">
        <f>IF(Demand!F310,1,0)</f>
        <v>0</v>
      </c>
      <c r="F312" s="33">
        <f>COUNTIFS(c_store,A312,c_date,B312,c_hour,C312)</f>
        <v>0</v>
      </c>
      <c r="G312" s="33">
        <f>IF(F312&gt;0,1,0)</f>
        <v>0</v>
      </c>
      <c r="H312" s="33">
        <f>COUNTIFS(Demand!$A$2:$A$4481,A312,Demand!$B$2:$B$4481,B312,Demand!$C$2:$C$4481,C312)</f>
        <v>1</v>
      </c>
    </row>
    <row r="313">
      <c r="A313" s="32" t="str">
        <f>Demand!A311</f>
        <v>S020</v>
      </c>
      <c r="B313" s="35">
        <f>Demand!B311</f>
        <v>46266.0</v>
      </c>
      <c r="C313" s="33">
        <f>Demand!C311</f>
        <v>13</v>
      </c>
      <c r="D313" s="33">
        <f>Demand!E311</f>
        <v>12</v>
      </c>
      <c r="E313" s="33">
        <f>IF(Demand!F311,1,0)</f>
        <v>0</v>
      </c>
      <c r="F313" s="33">
        <f>COUNTIFS(c_store,A313,c_date,B313,c_hour,C313)</f>
        <v>0</v>
      </c>
      <c r="G313" s="33">
        <f>IF(F313&gt;0,1,0)</f>
        <v>0</v>
      </c>
      <c r="H313" s="33">
        <f>COUNTIFS(Demand!$A$2:$A$4481,A313,Demand!$B$2:$B$4481,B313,Demand!$C$2:$C$4481,C313)</f>
        <v>1</v>
      </c>
    </row>
    <row r="314">
      <c r="A314" s="32" t="str">
        <f>Demand!A312</f>
        <v>S020</v>
      </c>
      <c r="B314" s="35">
        <f>Demand!B312</f>
        <v>46266.0</v>
      </c>
      <c r="C314" s="33">
        <f>Demand!C312</f>
        <v>14</v>
      </c>
      <c r="D314" s="33">
        <f>Demand!E312</f>
        <v>6</v>
      </c>
      <c r="E314" s="33">
        <f>IF(Demand!F312,1,0)</f>
        <v>0</v>
      </c>
      <c r="F314" s="33">
        <f>COUNTIFS(c_store,A314,c_date,B314,c_hour,C314)</f>
        <v>0</v>
      </c>
      <c r="G314" s="33">
        <f>IF(F314&gt;0,1,0)</f>
        <v>0</v>
      </c>
      <c r="H314" s="33">
        <f>COUNTIFS(Demand!$A$2:$A$4481,A314,Demand!$B$2:$B$4481,B314,Demand!$C$2:$C$4481,C314)</f>
        <v>1</v>
      </c>
    </row>
    <row r="315">
      <c r="A315" s="32" t="str">
        <f>Demand!A313</f>
        <v>S020</v>
      </c>
      <c r="B315" s="35">
        <f>Demand!B313</f>
        <v>46266.0</v>
      </c>
      <c r="C315" s="33">
        <f>Demand!C313</f>
        <v>15</v>
      </c>
      <c r="D315" s="33">
        <f>Demand!E313</f>
        <v>7</v>
      </c>
      <c r="E315" s="33">
        <f>IF(Demand!F313,1,0)</f>
        <v>0</v>
      </c>
      <c r="F315" s="33">
        <f>COUNTIFS(c_store,A315,c_date,B315,c_hour,C315)</f>
        <v>0</v>
      </c>
      <c r="G315" s="33">
        <f>IF(F315&gt;0,1,0)</f>
        <v>0</v>
      </c>
      <c r="H315" s="33">
        <f>COUNTIFS(Demand!$A$2:$A$4481,A315,Demand!$B$2:$B$4481,B315,Demand!$C$2:$C$4481,C315)</f>
        <v>1</v>
      </c>
    </row>
    <row r="316">
      <c r="A316" s="32" t="str">
        <f>Demand!A314</f>
        <v>S020</v>
      </c>
      <c r="B316" s="35">
        <f>Demand!B314</f>
        <v>46266.0</v>
      </c>
      <c r="C316" s="33">
        <f>Demand!C314</f>
        <v>16</v>
      </c>
      <c r="D316" s="33">
        <f>Demand!E314</f>
        <v>16</v>
      </c>
      <c r="E316" s="33">
        <f>IF(Demand!F314,1,0)</f>
        <v>0</v>
      </c>
      <c r="F316" s="33">
        <f>COUNTIFS(c_store,A316,c_date,B316,c_hour,C316)</f>
        <v>0</v>
      </c>
      <c r="G316" s="33">
        <f>IF(F316&gt;0,1,0)</f>
        <v>0</v>
      </c>
      <c r="H316" s="33">
        <f>COUNTIFS(Demand!$A$2:$A$4481,A316,Demand!$B$2:$B$4481,B316,Demand!$C$2:$C$4481,C316)</f>
        <v>1</v>
      </c>
    </row>
    <row r="317">
      <c r="A317" s="32" t="str">
        <f>Demand!A315</f>
        <v>S020</v>
      </c>
      <c r="B317" s="35">
        <f>Demand!B315</f>
        <v>46266.0</v>
      </c>
      <c r="C317" s="33">
        <f>Demand!C315</f>
        <v>17</v>
      </c>
      <c r="D317" s="33">
        <f>Demand!E315</f>
        <v>15</v>
      </c>
      <c r="E317" s="33">
        <f>IF(Demand!F315,1,0)</f>
        <v>0</v>
      </c>
      <c r="F317" s="33">
        <f>COUNTIFS(c_store,A317,c_date,B317,c_hour,C317)</f>
        <v>0</v>
      </c>
      <c r="G317" s="33">
        <f>IF(F317&gt;0,1,0)</f>
        <v>0</v>
      </c>
      <c r="H317" s="33">
        <f>COUNTIFS(Demand!$A$2:$A$4481,A317,Demand!$B$2:$B$4481,B317,Demand!$C$2:$C$4481,C317)</f>
        <v>1</v>
      </c>
    </row>
    <row r="318">
      <c r="A318" s="32" t="str">
        <f>Demand!A316</f>
        <v>S020</v>
      </c>
      <c r="B318" s="35">
        <f>Demand!B316</f>
        <v>46266.0</v>
      </c>
      <c r="C318" s="33">
        <f>Demand!C316</f>
        <v>18</v>
      </c>
      <c r="D318" s="33">
        <f>Demand!E316</f>
        <v>12</v>
      </c>
      <c r="E318" s="33">
        <f>IF(Demand!F316,1,0)</f>
        <v>0</v>
      </c>
      <c r="F318" s="33">
        <f>COUNTIFS(c_store,A318,c_date,B318,c_hour,C318)</f>
        <v>1</v>
      </c>
      <c r="G318" s="33">
        <f>IF(F318&gt;0,1,0)</f>
        <v>1</v>
      </c>
      <c r="H318" s="33">
        <f>COUNTIFS(Demand!$A$2:$A$4481,A318,Demand!$B$2:$B$4481,B318,Demand!$C$2:$C$4481,C318)</f>
        <v>1</v>
      </c>
    </row>
    <row r="319">
      <c r="A319" s="32" t="str">
        <f>Demand!A317</f>
        <v>S020</v>
      </c>
      <c r="B319" s="35">
        <f>Demand!B317</f>
        <v>46266.0</v>
      </c>
      <c r="C319" s="33">
        <f>Demand!C317</f>
        <v>19</v>
      </c>
      <c r="D319" s="33">
        <f>Demand!E317</f>
        <v>23</v>
      </c>
      <c r="E319" s="33">
        <f>IF(Demand!F317,1,0)</f>
        <v>1</v>
      </c>
      <c r="F319" s="33">
        <f>COUNTIFS(c_store,A319,c_date,B319,c_hour,C319)</f>
        <v>0</v>
      </c>
      <c r="G319" s="33">
        <f>IF(F319&gt;0,1,0)</f>
        <v>0</v>
      </c>
      <c r="H319" s="33">
        <f>COUNTIFS(Demand!$A$2:$A$4481,A319,Demand!$B$2:$B$4481,B319,Demand!$C$2:$C$4481,C319)</f>
        <v>1</v>
      </c>
    </row>
    <row r="320">
      <c r="A320" s="32" t="str">
        <f>Demand!A318</f>
        <v>S020</v>
      </c>
      <c r="B320" s="35">
        <f>Demand!B318</f>
        <v>46266.0</v>
      </c>
      <c r="C320" s="33">
        <f>Demand!C318</f>
        <v>20</v>
      </c>
      <c r="D320" s="33">
        <f>Demand!E318</f>
        <v>21</v>
      </c>
      <c r="E320" s="33">
        <f>IF(Demand!F318,1,0)</f>
        <v>1</v>
      </c>
      <c r="F320" s="33">
        <f>COUNTIFS(c_store,A320,c_date,B320,c_hour,C320)</f>
        <v>0</v>
      </c>
      <c r="G320" s="33">
        <f>IF(F320&gt;0,1,0)</f>
        <v>0</v>
      </c>
      <c r="H320" s="33">
        <f>COUNTIFS(Demand!$A$2:$A$4481,A320,Demand!$B$2:$B$4481,B320,Demand!$C$2:$C$4481,C320)</f>
        <v>1</v>
      </c>
    </row>
    <row r="321">
      <c r="A321" s="32" t="str">
        <f>Demand!A319</f>
        <v>S020</v>
      </c>
      <c r="B321" s="35">
        <f>Demand!B319</f>
        <v>46266.0</v>
      </c>
      <c r="C321" s="33">
        <f>Demand!C319</f>
        <v>21</v>
      </c>
      <c r="D321" s="33">
        <f>Demand!E319</f>
        <v>18</v>
      </c>
      <c r="E321" s="33">
        <f>IF(Demand!F319,1,0)</f>
        <v>1</v>
      </c>
      <c r="F321" s="33">
        <f>COUNTIFS(c_store,A321,c_date,B321,c_hour,C321)</f>
        <v>0</v>
      </c>
      <c r="G321" s="33">
        <f>IF(F321&gt;0,1,0)</f>
        <v>0</v>
      </c>
      <c r="H321" s="33">
        <f>COUNTIFS(Demand!$A$2:$A$4481,A321,Demand!$B$2:$B$4481,B321,Demand!$C$2:$C$4481,C321)</f>
        <v>1</v>
      </c>
    </row>
    <row r="322">
      <c r="A322" s="32" t="str">
        <f>Demand!A320</f>
        <v>S020</v>
      </c>
      <c r="B322" s="35">
        <f>Demand!B320</f>
        <v>46266.0</v>
      </c>
      <c r="C322" s="33">
        <f>Demand!C320</f>
        <v>22</v>
      </c>
      <c r="D322" s="33">
        <f>Demand!E320</f>
        <v>14</v>
      </c>
      <c r="E322" s="33">
        <f>IF(Demand!F320,1,0)</f>
        <v>0</v>
      </c>
      <c r="F322" s="33">
        <f>COUNTIFS(c_store,A322,c_date,B322,c_hour,C322)</f>
        <v>0</v>
      </c>
      <c r="G322" s="33">
        <f>IF(F322&gt;0,1,0)</f>
        <v>0</v>
      </c>
      <c r="H322" s="33">
        <f>COUNTIFS(Demand!$A$2:$A$4481,A322,Demand!$B$2:$B$4481,B322,Demand!$C$2:$C$4481,C322)</f>
        <v>1</v>
      </c>
    </row>
    <row r="323">
      <c r="A323" s="32" t="str">
        <f>Demand!A321</f>
        <v>S020</v>
      </c>
      <c r="B323" s="35">
        <f>Demand!B321</f>
        <v>46266.0</v>
      </c>
      <c r="C323" s="33">
        <f>Demand!C321</f>
        <v>23</v>
      </c>
      <c r="D323" s="33">
        <f>Demand!E321</f>
        <v>12</v>
      </c>
      <c r="E323" s="33">
        <f>IF(Demand!F321,1,0)</f>
        <v>0</v>
      </c>
      <c r="F323" s="33">
        <f>COUNTIFS(c_store,A323,c_date,B323,c_hour,C323)</f>
        <v>0</v>
      </c>
      <c r="G323" s="33">
        <f>IF(F323&gt;0,1,0)</f>
        <v>0</v>
      </c>
      <c r="H323" s="33">
        <f>COUNTIFS(Demand!$A$2:$A$4481,A323,Demand!$B$2:$B$4481,B323,Demand!$C$2:$C$4481,C323)</f>
        <v>1</v>
      </c>
    </row>
    <row r="324">
      <c r="A324" s="32" t="str">
        <f>Demand!A322</f>
        <v>S001</v>
      </c>
      <c r="B324" s="35">
        <f>Demand!B322</f>
        <v>46267.0</v>
      </c>
      <c r="C324" s="33">
        <f>Demand!C322</f>
        <v>8</v>
      </c>
      <c r="D324" s="33">
        <f>Demand!E322</f>
        <v>6</v>
      </c>
      <c r="E324" s="33">
        <f>IF(Demand!F322,1,0)</f>
        <v>0</v>
      </c>
      <c r="F324" s="33">
        <f>COUNTIFS(c_store,A324,c_date,B324,c_hour,C324)</f>
        <v>0</v>
      </c>
      <c r="G324" s="33">
        <f>IF(F324&gt;0,1,0)</f>
        <v>0</v>
      </c>
      <c r="H324" s="33">
        <f>COUNTIFS(Demand!$A$2:$A$4481,A324,Demand!$B$2:$B$4481,B324,Demand!$C$2:$C$4481,C324)</f>
        <v>1</v>
      </c>
    </row>
    <row r="325">
      <c r="A325" s="32" t="str">
        <f>Demand!A323</f>
        <v>S001</v>
      </c>
      <c r="B325" s="35">
        <f>Demand!B323</f>
        <v>46267.0</v>
      </c>
      <c r="C325" s="33">
        <f>Demand!C323</f>
        <v>9</v>
      </c>
      <c r="D325" s="33">
        <f>Demand!E323</f>
        <v>8</v>
      </c>
      <c r="E325" s="33">
        <f>IF(Demand!F323,1,0)</f>
        <v>0</v>
      </c>
      <c r="F325" s="33">
        <f>COUNTIFS(c_store,A325,c_date,B325,c_hour,C325)</f>
        <v>0</v>
      </c>
      <c r="G325" s="33">
        <f>IF(F325&gt;0,1,0)</f>
        <v>0</v>
      </c>
      <c r="H325" s="33">
        <f>COUNTIFS(Demand!$A$2:$A$4481,A325,Demand!$B$2:$B$4481,B325,Demand!$C$2:$C$4481,C325)</f>
        <v>1</v>
      </c>
    </row>
    <row r="326">
      <c r="A326" s="32" t="str">
        <f>Demand!A324</f>
        <v>S001</v>
      </c>
      <c r="B326" s="35">
        <f>Demand!B324</f>
        <v>46267.0</v>
      </c>
      <c r="C326" s="33">
        <f>Demand!C324</f>
        <v>10</v>
      </c>
      <c r="D326" s="33">
        <f>Demand!E324</f>
        <v>16</v>
      </c>
      <c r="E326" s="33">
        <f>IF(Demand!F324,1,0)</f>
        <v>0</v>
      </c>
      <c r="F326" s="33">
        <f>COUNTIFS(c_store,A326,c_date,B326,c_hour,C326)</f>
        <v>0</v>
      </c>
      <c r="G326" s="33">
        <f>IF(F326&gt;0,1,0)</f>
        <v>0</v>
      </c>
      <c r="H326" s="33">
        <f>COUNTIFS(Demand!$A$2:$A$4481,A326,Demand!$B$2:$B$4481,B326,Demand!$C$2:$C$4481,C326)</f>
        <v>1</v>
      </c>
    </row>
    <row r="327">
      <c r="A327" s="32" t="str">
        <f>Demand!A325</f>
        <v>S001</v>
      </c>
      <c r="B327" s="35">
        <f>Demand!B325</f>
        <v>46267.0</v>
      </c>
      <c r="C327" s="33">
        <f>Demand!C325</f>
        <v>11</v>
      </c>
      <c r="D327" s="33">
        <f>Demand!E325</f>
        <v>18</v>
      </c>
      <c r="E327" s="33">
        <f>IF(Demand!F325,1,0)</f>
        <v>0</v>
      </c>
      <c r="F327" s="33">
        <f>COUNTIFS(c_store,A327,c_date,B327,c_hour,C327)</f>
        <v>0</v>
      </c>
      <c r="G327" s="33">
        <f>IF(F327&gt;0,1,0)</f>
        <v>0</v>
      </c>
      <c r="H327" s="33">
        <f>COUNTIFS(Demand!$A$2:$A$4481,A327,Demand!$B$2:$B$4481,B327,Demand!$C$2:$C$4481,C327)</f>
        <v>1</v>
      </c>
    </row>
    <row r="328">
      <c r="A328" s="32" t="str">
        <f>Demand!A326</f>
        <v>S001</v>
      </c>
      <c r="B328" s="35">
        <f>Demand!B326</f>
        <v>46267.0</v>
      </c>
      <c r="C328" s="33">
        <f>Demand!C326</f>
        <v>12</v>
      </c>
      <c r="D328" s="33">
        <f>Demand!E326</f>
        <v>20</v>
      </c>
      <c r="E328" s="33">
        <f>IF(Demand!F326,1,0)</f>
        <v>0</v>
      </c>
      <c r="F328" s="33">
        <f>COUNTIFS(c_store,A328,c_date,B328,c_hour,C328)</f>
        <v>1</v>
      </c>
      <c r="G328" s="33">
        <f>IF(F328&gt;0,1,0)</f>
        <v>1</v>
      </c>
      <c r="H328" s="33">
        <f>COUNTIFS(Demand!$A$2:$A$4481,A328,Demand!$B$2:$B$4481,B328,Demand!$C$2:$C$4481,C328)</f>
        <v>1</v>
      </c>
    </row>
    <row r="329">
      <c r="A329" s="32" t="str">
        <f>Demand!A327</f>
        <v>S001</v>
      </c>
      <c r="B329" s="35">
        <f>Demand!B327</f>
        <v>46267.0</v>
      </c>
      <c r="C329" s="33">
        <f>Demand!C327</f>
        <v>13</v>
      </c>
      <c r="D329" s="33">
        <f>Demand!E327</f>
        <v>11</v>
      </c>
      <c r="E329" s="33">
        <f>IF(Demand!F327,1,0)</f>
        <v>0</v>
      </c>
      <c r="F329" s="33">
        <f>COUNTIFS(c_store,A329,c_date,B329,c_hour,C329)</f>
        <v>1</v>
      </c>
      <c r="G329" s="33">
        <f>IF(F329&gt;0,1,0)</f>
        <v>1</v>
      </c>
      <c r="H329" s="33">
        <f>COUNTIFS(Demand!$A$2:$A$4481,A329,Demand!$B$2:$B$4481,B329,Demand!$C$2:$C$4481,C329)</f>
        <v>1</v>
      </c>
    </row>
    <row r="330">
      <c r="A330" s="32" t="str">
        <f>Demand!A328</f>
        <v>S001</v>
      </c>
      <c r="B330" s="35">
        <f>Demand!B328</f>
        <v>46267.0</v>
      </c>
      <c r="C330" s="33">
        <f>Demand!C328</f>
        <v>14</v>
      </c>
      <c r="D330" s="33">
        <f>Demand!E328</f>
        <v>15</v>
      </c>
      <c r="E330" s="33">
        <f>IF(Demand!F328,1,0)</f>
        <v>0</v>
      </c>
      <c r="F330" s="33">
        <f>COUNTIFS(c_store,A330,c_date,B330,c_hour,C330)</f>
        <v>0</v>
      </c>
      <c r="G330" s="33">
        <f>IF(F330&gt;0,1,0)</f>
        <v>0</v>
      </c>
      <c r="H330" s="33">
        <f>COUNTIFS(Demand!$A$2:$A$4481,A330,Demand!$B$2:$B$4481,B330,Demand!$C$2:$C$4481,C330)</f>
        <v>1</v>
      </c>
    </row>
    <row r="331">
      <c r="A331" s="32" t="str">
        <f>Demand!A329</f>
        <v>S001</v>
      </c>
      <c r="B331" s="35">
        <f>Demand!B329</f>
        <v>46267.0</v>
      </c>
      <c r="C331" s="33">
        <f>Demand!C329</f>
        <v>15</v>
      </c>
      <c r="D331" s="33">
        <f>Demand!E329</f>
        <v>10</v>
      </c>
      <c r="E331" s="33">
        <f>IF(Demand!F329,1,0)</f>
        <v>0</v>
      </c>
      <c r="F331" s="33">
        <f>COUNTIFS(c_store,A331,c_date,B331,c_hour,C331)</f>
        <v>0</v>
      </c>
      <c r="G331" s="33">
        <f>IF(F331&gt;0,1,0)</f>
        <v>0</v>
      </c>
      <c r="H331" s="33">
        <f>COUNTIFS(Demand!$A$2:$A$4481,A331,Demand!$B$2:$B$4481,B331,Demand!$C$2:$C$4481,C331)</f>
        <v>1</v>
      </c>
    </row>
    <row r="332">
      <c r="A332" s="32" t="str">
        <f>Demand!A330</f>
        <v>S001</v>
      </c>
      <c r="B332" s="35">
        <f>Demand!B330</f>
        <v>46267.0</v>
      </c>
      <c r="C332" s="33">
        <f>Demand!C330</f>
        <v>16</v>
      </c>
      <c r="D332" s="33">
        <f>Demand!E330</f>
        <v>12</v>
      </c>
      <c r="E332" s="33">
        <f>IF(Demand!F330,1,0)</f>
        <v>0</v>
      </c>
      <c r="F332" s="33">
        <f>COUNTIFS(c_store,A332,c_date,B332,c_hour,C332)</f>
        <v>0</v>
      </c>
      <c r="G332" s="33">
        <f>IF(F332&gt;0,1,0)</f>
        <v>0</v>
      </c>
      <c r="H332" s="33">
        <f>COUNTIFS(Demand!$A$2:$A$4481,A332,Demand!$B$2:$B$4481,B332,Demand!$C$2:$C$4481,C332)</f>
        <v>1</v>
      </c>
    </row>
    <row r="333">
      <c r="A333" s="32" t="str">
        <f>Demand!A331</f>
        <v>S001</v>
      </c>
      <c r="B333" s="35">
        <f>Demand!B331</f>
        <v>46267.0</v>
      </c>
      <c r="C333" s="33">
        <f>Demand!C331</f>
        <v>17</v>
      </c>
      <c r="D333" s="33">
        <f>Demand!E331</f>
        <v>16</v>
      </c>
      <c r="E333" s="33">
        <f>IF(Demand!F331,1,0)</f>
        <v>0</v>
      </c>
      <c r="F333" s="33">
        <f>COUNTIFS(c_store,A333,c_date,B333,c_hour,C333)</f>
        <v>0</v>
      </c>
      <c r="G333" s="33">
        <f>IF(F333&gt;0,1,0)</f>
        <v>0</v>
      </c>
      <c r="H333" s="33">
        <f>COUNTIFS(Demand!$A$2:$A$4481,A333,Demand!$B$2:$B$4481,B333,Demand!$C$2:$C$4481,C333)</f>
        <v>1</v>
      </c>
    </row>
    <row r="334">
      <c r="A334" s="32" t="str">
        <f>Demand!A332</f>
        <v>S001</v>
      </c>
      <c r="B334" s="35">
        <f>Demand!B332</f>
        <v>46267.0</v>
      </c>
      <c r="C334" s="33">
        <f>Demand!C332</f>
        <v>18</v>
      </c>
      <c r="D334" s="33">
        <f>Demand!E332</f>
        <v>13</v>
      </c>
      <c r="E334" s="33">
        <f>IF(Demand!F332,1,0)</f>
        <v>0</v>
      </c>
      <c r="F334" s="33">
        <f>COUNTIFS(c_store,A334,c_date,B334,c_hour,C334)</f>
        <v>0</v>
      </c>
      <c r="G334" s="33">
        <f>IF(F334&gt;0,1,0)</f>
        <v>0</v>
      </c>
      <c r="H334" s="33">
        <f>COUNTIFS(Demand!$A$2:$A$4481,A334,Demand!$B$2:$B$4481,B334,Demand!$C$2:$C$4481,C334)</f>
        <v>1</v>
      </c>
    </row>
    <row r="335">
      <c r="A335" s="32" t="str">
        <f>Demand!A333</f>
        <v>S001</v>
      </c>
      <c r="B335" s="35">
        <f>Demand!B333</f>
        <v>46267.0</v>
      </c>
      <c r="C335" s="33">
        <f>Demand!C333</f>
        <v>19</v>
      </c>
      <c r="D335" s="33">
        <f>Demand!E333</f>
        <v>27</v>
      </c>
      <c r="E335" s="33">
        <f>IF(Demand!F333,1,0)</f>
        <v>1</v>
      </c>
      <c r="F335" s="33">
        <f>COUNTIFS(c_store,A335,c_date,B335,c_hour,C335)</f>
        <v>0</v>
      </c>
      <c r="G335" s="33">
        <f>IF(F335&gt;0,1,0)</f>
        <v>0</v>
      </c>
      <c r="H335" s="33">
        <f>COUNTIFS(Demand!$A$2:$A$4481,A335,Demand!$B$2:$B$4481,B335,Demand!$C$2:$C$4481,C335)</f>
        <v>1</v>
      </c>
    </row>
    <row r="336">
      <c r="A336" s="32" t="str">
        <f>Demand!A334</f>
        <v>S001</v>
      </c>
      <c r="B336" s="35">
        <f>Demand!B334</f>
        <v>46267.0</v>
      </c>
      <c r="C336" s="33">
        <f>Demand!C334</f>
        <v>20</v>
      </c>
      <c r="D336" s="33">
        <f>Demand!E334</f>
        <v>28</v>
      </c>
      <c r="E336" s="33">
        <f>IF(Demand!F334,1,0)</f>
        <v>1</v>
      </c>
      <c r="F336" s="33">
        <f>COUNTIFS(c_store,A336,c_date,B336,c_hour,C336)</f>
        <v>0</v>
      </c>
      <c r="G336" s="33">
        <f>IF(F336&gt;0,1,0)</f>
        <v>0</v>
      </c>
      <c r="H336" s="33">
        <f>COUNTIFS(Demand!$A$2:$A$4481,A336,Demand!$B$2:$B$4481,B336,Demand!$C$2:$C$4481,C336)</f>
        <v>1</v>
      </c>
    </row>
    <row r="337">
      <c r="A337" s="32" t="str">
        <f>Demand!A335</f>
        <v>S001</v>
      </c>
      <c r="B337" s="35">
        <f>Demand!B335</f>
        <v>46267.0</v>
      </c>
      <c r="C337" s="33">
        <f>Demand!C335</f>
        <v>21</v>
      </c>
      <c r="D337" s="33">
        <f>Demand!E335</f>
        <v>26</v>
      </c>
      <c r="E337" s="33">
        <f>IF(Demand!F335,1,0)</f>
        <v>1</v>
      </c>
      <c r="F337" s="33">
        <f>COUNTIFS(c_store,A337,c_date,B337,c_hour,C337)</f>
        <v>0</v>
      </c>
      <c r="G337" s="33">
        <f>IF(F337&gt;0,1,0)</f>
        <v>0</v>
      </c>
      <c r="H337" s="33">
        <f>COUNTIFS(Demand!$A$2:$A$4481,A337,Demand!$B$2:$B$4481,B337,Demand!$C$2:$C$4481,C337)</f>
        <v>1</v>
      </c>
    </row>
    <row r="338">
      <c r="A338" s="32" t="str">
        <f>Demand!A336</f>
        <v>S001</v>
      </c>
      <c r="B338" s="35">
        <f>Demand!B336</f>
        <v>46267.0</v>
      </c>
      <c r="C338" s="33">
        <f>Demand!C336</f>
        <v>22</v>
      </c>
      <c r="D338" s="33">
        <f>Demand!E336</f>
        <v>15</v>
      </c>
      <c r="E338" s="33">
        <f>IF(Demand!F336,1,0)</f>
        <v>0</v>
      </c>
      <c r="F338" s="33">
        <f>COUNTIFS(c_store,A338,c_date,B338,c_hour,C338)</f>
        <v>0</v>
      </c>
      <c r="G338" s="33">
        <f>IF(F338&gt;0,1,0)</f>
        <v>0</v>
      </c>
      <c r="H338" s="33">
        <f>COUNTIFS(Demand!$A$2:$A$4481,A338,Demand!$B$2:$B$4481,B338,Demand!$C$2:$C$4481,C338)</f>
        <v>1</v>
      </c>
    </row>
    <row r="339">
      <c r="A339" s="32" t="str">
        <f>Demand!A337</f>
        <v>S001</v>
      </c>
      <c r="B339" s="35">
        <f>Demand!B337</f>
        <v>46267.0</v>
      </c>
      <c r="C339" s="33">
        <f>Demand!C337</f>
        <v>23</v>
      </c>
      <c r="D339" s="33">
        <f>Demand!E337</f>
        <v>16</v>
      </c>
      <c r="E339" s="33">
        <f>IF(Demand!F337,1,0)</f>
        <v>0</v>
      </c>
      <c r="F339" s="33">
        <f>COUNTIFS(c_store,A339,c_date,B339,c_hour,C339)</f>
        <v>1</v>
      </c>
      <c r="G339" s="33">
        <f>IF(F339&gt;0,1,0)</f>
        <v>1</v>
      </c>
      <c r="H339" s="33">
        <f>COUNTIFS(Demand!$A$2:$A$4481,A339,Demand!$B$2:$B$4481,B339,Demand!$C$2:$C$4481,C339)</f>
        <v>1</v>
      </c>
    </row>
    <row r="340">
      <c r="A340" s="32" t="str">
        <f>Demand!A338</f>
        <v>S002</v>
      </c>
      <c r="B340" s="35">
        <f>Demand!B338</f>
        <v>46267.0</v>
      </c>
      <c r="C340" s="33">
        <f>Demand!C338</f>
        <v>8</v>
      </c>
      <c r="D340" s="33">
        <f>Demand!E338</f>
        <v>24</v>
      </c>
      <c r="E340" s="33">
        <f>IF(Demand!F338,1,0)</f>
        <v>0</v>
      </c>
      <c r="F340" s="33">
        <f>COUNTIFS(c_store,A340,c_date,B340,c_hour,C340)</f>
        <v>0</v>
      </c>
      <c r="G340" s="33">
        <f>IF(F340&gt;0,1,0)</f>
        <v>0</v>
      </c>
      <c r="H340" s="33">
        <f>COUNTIFS(Demand!$A$2:$A$4481,A340,Demand!$B$2:$B$4481,B340,Demand!$C$2:$C$4481,C340)</f>
        <v>1</v>
      </c>
    </row>
    <row r="341">
      <c r="A341" s="32" t="str">
        <f>Demand!A339</f>
        <v>S002</v>
      </c>
      <c r="B341" s="35">
        <f>Demand!B339</f>
        <v>46267.0</v>
      </c>
      <c r="C341" s="33">
        <f>Demand!C339</f>
        <v>9</v>
      </c>
      <c r="D341" s="33">
        <f>Demand!E339</f>
        <v>17</v>
      </c>
      <c r="E341" s="33">
        <f>IF(Demand!F339,1,0)</f>
        <v>0</v>
      </c>
      <c r="F341" s="33">
        <f>COUNTIFS(c_store,A341,c_date,B341,c_hour,C341)</f>
        <v>0</v>
      </c>
      <c r="G341" s="33">
        <f>IF(F341&gt;0,1,0)</f>
        <v>0</v>
      </c>
      <c r="H341" s="33">
        <f>COUNTIFS(Demand!$A$2:$A$4481,A341,Demand!$B$2:$B$4481,B341,Demand!$C$2:$C$4481,C341)</f>
        <v>1</v>
      </c>
    </row>
    <row r="342">
      <c r="A342" s="32" t="str">
        <f>Demand!A340</f>
        <v>S002</v>
      </c>
      <c r="B342" s="35">
        <f>Demand!B340</f>
        <v>46267.0</v>
      </c>
      <c r="C342" s="33">
        <f>Demand!C340</f>
        <v>10</v>
      </c>
      <c r="D342" s="33">
        <f>Demand!E340</f>
        <v>23</v>
      </c>
      <c r="E342" s="33">
        <f>IF(Demand!F340,1,0)</f>
        <v>0</v>
      </c>
      <c r="F342" s="33">
        <f>COUNTIFS(c_store,A342,c_date,B342,c_hour,C342)</f>
        <v>0</v>
      </c>
      <c r="G342" s="33">
        <f>IF(F342&gt;0,1,0)</f>
        <v>0</v>
      </c>
      <c r="H342" s="33">
        <f>COUNTIFS(Demand!$A$2:$A$4481,A342,Demand!$B$2:$B$4481,B342,Demand!$C$2:$C$4481,C342)</f>
        <v>1</v>
      </c>
    </row>
    <row r="343">
      <c r="A343" s="32" t="str">
        <f>Demand!A341</f>
        <v>S002</v>
      </c>
      <c r="B343" s="35">
        <f>Demand!B341</f>
        <v>46267.0</v>
      </c>
      <c r="C343" s="33">
        <f>Demand!C341</f>
        <v>11</v>
      </c>
      <c r="D343" s="33">
        <f>Demand!E341</f>
        <v>27</v>
      </c>
      <c r="E343" s="33">
        <f>IF(Demand!F341,1,0)</f>
        <v>0</v>
      </c>
      <c r="F343" s="33">
        <f>COUNTIFS(c_store,A343,c_date,B343,c_hour,C343)</f>
        <v>0</v>
      </c>
      <c r="G343" s="33">
        <f>IF(F343&gt;0,1,0)</f>
        <v>0</v>
      </c>
      <c r="H343" s="33">
        <f>COUNTIFS(Demand!$A$2:$A$4481,A343,Demand!$B$2:$B$4481,B343,Demand!$C$2:$C$4481,C343)</f>
        <v>1</v>
      </c>
    </row>
    <row r="344">
      <c r="A344" s="32" t="str">
        <f>Demand!A342</f>
        <v>S002</v>
      </c>
      <c r="B344" s="35">
        <f>Demand!B342</f>
        <v>46267.0</v>
      </c>
      <c r="C344" s="33">
        <f>Demand!C342</f>
        <v>12</v>
      </c>
      <c r="D344" s="33">
        <f>Demand!E342</f>
        <v>40</v>
      </c>
      <c r="E344" s="33">
        <f>IF(Demand!F342,1,0)</f>
        <v>0</v>
      </c>
      <c r="F344" s="33">
        <f>COUNTIFS(c_store,A344,c_date,B344,c_hour,C344)</f>
        <v>0</v>
      </c>
      <c r="G344" s="33">
        <f>IF(F344&gt;0,1,0)</f>
        <v>0</v>
      </c>
      <c r="H344" s="33">
        <f>COUNTIFS(Demand!$A$2:$A$4481,A344,Demand!$B$2:$B$4481,B344,Demand!$C$2:$C$4481,C344)</f>
        <v>1</v>
      </c>
    </row>
    <row r="345">
      <c r="A345" s="32" t="str">
        <f>Demand!A343</f>
        <v>S002</v>
      </c>
      <c r="B345" s="35">
        <f>Demand!B343</f>
        <v>46267.0</v>
      </c>
      <c r="C345" s="33">
        <f>Demand!C343</f>
        <v>13</v>
      </c>
      <c r="D345" s="33">
        <f>Demand!E343</f>
        <v>33</v>
      </c>
      <c r="E345" s="33">
        <f>IF(Demand!F343,1,0)</f>
        <v>0</v>
      </c>
      <c r="F345" s="33">
        <f>COUNTIFS(c_store,A345,c_date,B345,c_hour,C345)</f>
        <v>1</v>
      </c>
      <c r="G345" s="33">
        <f>IF(F345&gt;0,1,0)</f>
        <v>1</v>
      </c>
      <c r="H345" s="33">
        <f>COUNTIFS(Demand!$A$2:$A$4481,A345,Demand!$B$2:$B$4481,B345,Demand!$C$2:$C$4481,C345)</f>
        <v>1</v>
      </c>
    </row>
    <row r="346">
      <c r="A346" s="32" t="str">
        <f>Demand!A344</f>
        <v>S002</v>
      </c>
      <c r="B346" s="35">
        <f>Demand!B344</f>
        <v>46267.0</v>
      </c>
      <c r="C346" s="33">
        <f>Demand!C344</f>
        <v>14</v>
      </c>
      <c r="D346" s="33">
        <f>Demand!E344</f>
        <v>30</v>
      </c>
      <c r="E346" s="33">
        <f>IF(Demand!F344,1,0)</f>
        <v>0</v>
      </c>
      <c r="F346" s="33">
        <f>COUNTIFS(c_store,A346,c_date,B346,c_hour,C346)</f>
        <v>1</v>
      </c>
      <c r="G346" s="33">
        <f>IF(F346&gt;0,1,0)</f>
        <v>1</v>
      </c>
      <c r="H346" s="33">
        <f>COUNTIFS(Demand!$A$2:$A$4481,A346,Demand!$B$2:$B$4481,B346,Demand!$C$2:$C$4481,C346)</f>
        <v>1</v>
      </c>
    </row>
    <row r="347">
      <c r="A347" s="32" t="str">
        <f>Demand!A345</f>
        <v>S002</v>
      </c>
      <c r="B347" s="35">
        <f>Demand!B345</f>
        <v>46267.0</v>
      </c>
      <c r="C347" s="33">
        <f>Demand!C345</f>
        <v>15</v>
      </c>
      <c r="D347" s="33">
        <f>Demand!E345</f>
        <v>26</v>
      </c>
      <c r="E347" s="33">
        <f>IF(Demand!F345,1,0)</f>
        <v>0</v>
      </c>
      <c r="F347" s="33">
        <f>COUNTIFS(c_store,A347,c_date,B347,c_hour,C347)</f>
        <v>0</v>
      </c>
      <c r="G347" s="33">
        <f>IF(F347&gt;0,1,0)</f>
        <v>0</v>
      </c>
      <c r="H347" s="33">
        <f>COUNTIFS(Demand!$A$2:$A$4481,A347,Demand!$B$2:$B$4481,B347,Demand!$C$2:$C$4481,C347)</f>
        <v>1</v>
      </c>
    </row>
    <row r="348">
      <c r="A348" s="32" t="str">
        <f>Demand!A346</f>
        <v>S002</v>
      </c>
      <c r="B348" s="35">
        <f>Demand!B346</f>
        <v>46267.0</v>
      </c>
      <c r="C348" s="33">
        <f>Demand!C346</f>
        <v>16</v>
      </c>
      <c r="D348" s="33">
        <f>Demand!E346</f>
        <v>34</v>
      </c>
      <c r="E348" s="33">
        <f>IF(Demand!F346,1,0)</f>
        <v>0</v>
      </c>
      <c r="F348" s="33">
        <f>COUNTIFS(c_store,A348,c_date,B348,c_hour,C348)</f>
        <v>0</v>
      </c>
      <c r="G348" s="33">
        <f>IF(F348&gt;0,1,0)</f>
        <v>0</v>
      </c>
      <c r="H348" s="33">
        <f>COUNTIFS(Demand!$A$2:$A$4481,A348,Demand!$B$2:$B$4481,B348,Demand!$C$2:$C$4481,C348)</f>
        <v>1</v>
      </c>
    </row>
    <row r="349">
      <c r="A349" s="32" t="str">
        <f>Demand!A347</f>
        <v>S002</v>
      </c>
      <c r="B349" s="35">
        <f>Demand!B347</f>
        <v>46267.0</v>
      </c>
      <c r="C349" s="33">
        <f>Demand!C347</f>
        <v>17</v>
      </c>
      <c r="D349" s="33">
        <f>Demand!E347</f>
        <v>31</v>
      </c>
      <c r="E349" s="33">
        <f>IF(Demand!F347,1,0)</f>
        <v>0</v>
      </c>
      <c r="F349" s="33">
        <f>COUNTIFS(c_store,A349,c_date,B349,c_hour,C349)</f>
        <v>0</v>
      </c>
      <c r="G349" s="33">
        <f>IF(F349&gt;0,1,0)</f>
        <v>0</v>
      </c>
      <c r="H349" s="33">
        <f>COUNTIFS(Demand!$A$2:$A$4481,A349,Demand!$B$2:$B$4481,B349,Demand!$C$2:$C$4481,C349)</f>
        <v>1</v>
      </c>
    </row>
    <row r="350">
      <c r="A350" s="32" t="str">
        <f>Demand!A348</f>
        <v>S002</v>
      </c>
      <c r="B350" s="35">
        <f>Demand!B348</f>
        <v>46267.0</v>
      </c>
      <c r="C350" s="33">
        <f>Demand!C348</f>
        <v>18</v>
      </c>
      <c r="D350" s="33">
        <f>Demand!E348</f>
        <v>20</v>
      </c>
      <c r="E350" s="33">
        <f>IF(Demand!F348,1,0)</f>
        <v>0</v>
      </c>
      <c r="F350" s="33">
        <f>COUNTIFS(c_store,A350,c_date,B350,c_hour,C350)</f>
        <v>1</v>
      </c>
      <c r="G350" s="33">
        <f>IF(F350&gt;0,1,0)</f>
        <v>1</v>
      </c>
      <c r="H350" s="33">
        <f>COUNTIFS(Demand!$A$2:$A$4481,A350,Demand!$B$2:$B$4481,B350,Demand!$C$2:$C$4481,C350)</f>
        <v>1</v>
      </c>
    </row>
    <row r="351">
      <c r="A351" s="32" t="str">
        <f>Demand!A349</f>
        <v>S002</v>
      </c>
      <c r="B351" s="35">
        <f>Demand!B349</f>
        <v>46267.0</v>
      </c>
      <c r="C351" s="33">
        <f>Demand!C349</f>
        <v>19</v>
      </c>
      <c r="D351" s="33">
        <f>Demand!E349</f>
        <v>43</v>
      </c>
      <c r="E351" s="33">
        <f>IF(Demand!F349,1,0)</f>
        <v>1</v>
      </c>
      <c r="F351" s="33">
        <f>COUNTIFS(c_store,A351,c_date,B351,c_hour,C351)</f>
        <v>2</v>
      </c>
      <c r="G351" s="33">
        <f>IF(F351&gt;0,1,0)</f>
        <v>1</v>
      </c>
      <c r="H351" s="33">
        <f>COUNTIFS(Demand!$A$2:$A$4481,A351,Demand!$B$2:$B$4481,B351,Demand!$C$2:$C$4481,C351)</f>
        <v>1</v>
      </c>
    </row>
    <row r="352">
      <c r="A352" s="32" t="str">
        <f>Demand!A350</f>
        <v>S002</v>
      </c>
      <c r="B352" s="35">
        <f>Demand!B350</f>
        <v>46267.0</v>
      </c>
      <c r="C352" s="33">
        <f>Demand!C350</f>
        <v>20</v>
      </c>
      <c r="D352" s="33">
        <f>Demand!E350</f>
        <v>57</v>
      </c>
      <c r="E352" s="33">
        <f>IF(Demand!F350,1,0)</f>
        <v>1</v>
      </c>
      <c r="F352" s="33">
        <f>COUNTIFS(c_store,A352,c_date,B352,c_hour,C352)</f>
        <v>1</v>
      </c>
      <c r="G352" s="33">
        <f>IF(F352&gt;0,1,0)</f>
        <v>1</v>
      </c>
      <c r="H352" s="33">
        <f>COUNTIFS(Demand!$A$2:$A$4481,A352,Demand!$B$2:$B$4481,B352,Demand!$C$2:$C$4481,C352)</f>
        <v>1</v>
      </c>
    </row>
    <row r="353">
      <c r="A353" s="32" t="str">
        <f>Demand!A351</f>
        <v>S002</v>
      </c>
      <c r="B353" s="35">
        <f>Demand!B351</f>
        <v>46267.0</v>
      </c>
      <c r="C353" s="33">
        <f>Demand!C351</f>
        <v>21</v>
      </c>
      <c r="D353" s="33">
        <f>Demand!E351</f>
        <v>49</v>
      </c>
      <c r="E353" s="33">
        <f>IF(Demand!F351,1,0)</f>
        <v>1</v>
      </c>
      <c r="F353" s="33">
        <f>COUNTIFS(c_store,A353,c_date,B353,c_hour,C353)</f>
        <v>1</v>
      </c>
      <c r="G353" s="33">
        <f>IF(F353&gt;0,1,0)</f>
        <v>1</v>
      </c>
      <c r="H353" s="33">
        <f>COUNTIFS(Demand!$A$2:$A$4481,A353,Demand!$B$2:$B$4481,B353,Demand!$C$2:$C$4481,C353)</f>
        <v>1</v>
      </c>
    </row>
    <row r="354">
      <c r="A354" s="32" t="str">
        <f>Demand!A352</f>
        <v>S002</v>
      </c>
      <c r="B354" s="35">
        <f>Demand!B352</f>
        <v>46267.0</v>
      </c>
      <c r="C354" s="33">
        <f>Demand!C352</f>
        <v>22</v>
      </c>
      <c r="D354" s="33">
        <f>Demand!E352</f>
        <v>31</v>
      </c>
      <c r="E354" s="33">
        <f>IF(Demand!F352,1,0)</f>
        <v>0</v>
      </c>
      <c r="F354" s="33">
        <f>COUNTIFS(c_store,A354,c_date,B354,c_hour,C354)</f>
        <v>0</v>
      </c>
      <c r="G354" s="33">
        <f>IF(F354&gt;0,1,0)</f>
        <v>0</v>
      </c>
      <c r="H354" s="33">
        <f>COUNTIFS(Demand!$A$2:$A$4481,A354,Demand!$B$2:$B$4481,B354,Demand!$C$2:$C$4481,C354)</f>
        <v>1</v>
      </c>
    </row>
    <row r="355">
      <c r="A355" s="32" t="str">
        <f>Demand!A353</f>
        <v>S002</v>
      </c>
      <c r="B355" s="35">
        <f>Demand!B353</f>
        <v>46267.0</v>
      </c>
      <c r="C355" s="33">
        <f>Demand!C353</f>
        <v>23</v>
      </c>
      <c r="D355" s="33">
        <f>Demand!E353</f>
        <v>25</v>
      </c>
      <c r="E355" s="33">
        <f>IF(Demand!F353,1,0)</f>
        <v>0</v>
      </c>
      <c r="F355" s="33">
        <f>COUNTIFS(c_store,A355,c_date,B355,c_hour,C355)</f>
        <v>1</v>
      </c>
      <c r="G355" s="33">
        <f>IF(F355&gt;0,1,0)</f>
        <v>1</v>
      </c>
      <c r="H355" s="33">
        <f>COUNTIFS(Demand!$A$2:$A$4481,A355,Demand!$B$2:$B$4481,B355,Demand!$C$2:$C$4481,C355)</f>
        <v>1</v>
      </c>
    </row>
    <row r="356">
      <c r="A356" s="32" t="str">
        <f>Demand!A354</f>
        <v>S003</v>
      </c>
      <c r="B356" s="35">
        <f>Demand!B354</f>
        <v>46267.0</v>
      </c>
      <c r="C356" s="33">
        <f>Demand!C354</f>
        <v>8</v>
      </c>
      <c r="D356" s="33">
        <f>Demand!E354</f>
        <v>26</v>
      </c>
      <c r="E356" s="33">
        <f>IF(Demand!F354,1,0)</f>
        <v>0</v>
      </c>
      <c r="F356" s="33">
        <f>COUNTIFS(c_store,A356,c_date,B356,c_hour,C356)</f>
        <v>1</v>
      </c>
      <c r="G356" s="33">
        <f>IF(F356&gt;0,1,0)</f>
        <v>1</v>
      </c>
      <c r="H356" s="33">
        <f>COUNTIFS(Demand!$A$2:$A$4481,A356,Demand!$B$2:$B$4481,B356,Demand!$C$2:$C$4481,C356)</f>
        <v>1</v>
      </c>
    </row>
    <row r="357">
      <c r="A357" s="32" t="str">
        <f>Demand!A355</f>
        <v>S003</v>
      </c>
      <c r="B357" s="35">
        <f>Demand!B355</f>
        <v>46267.0</v>
      </c>
      <c r="C357" s="33">
        <f>Demand!C355</f>
        <v>9</v>
      </c>
      <c r="D357" s="33">
        <f>Demand!E355</f>
        <v>38</v>
      </c>
      <c r="E357" s="33">
        <f>IF(Demand!F355,1,0)</f>
        <v>0</v>
      </c>
      <c r="F357" s="33">
        <f>COUNTIFS(c_store,A357,c_date,B357,c_hour,C357)</f>
        <v>0</v>
      </c>
      <c r="G357" s="33">
        <f>IF(F357&gt;0,1,0)</f>
        <v>0</v>
      </c>
      <c r="H357" s="33">
        <f>COUNTIFS(Demand!$A$2:$A$4481,A357,Demand!$B$2:$B$4481,B357,Demand!$C$2:$C$4481,C357)</f>
        <v>1</v>
      </c>
    </row>
    <row r="358">
      <c r="A358" s="32" t="str">
        <f>Demand!A356</f>
        <v>S003</v>
      </c>
      <c r="B358" s="35">
        <f>Demand!B356</f>
        <v>46267.0</v>
      </c>
      <c r="C358" s="33">
        <f>Demand!C356</f>
        <v>10</v>
      </c>
      <c r="D358" s="33">
        <f>Demand!E356</f>
        <v>33</v>
      </c>
      <c r="E358" s="33">
        <f>IF(Demand!F356,1,0)</f>
        <v>0</v>
      </c>
      <c r="F358" s="33">
        <f>COUNTIFS(c_store,A358,c_date,B358,c_hour,C358)</f>
        <v>0</v>
      </c>
      <c r="G358" s="33">
        <f>IF(F358&gt;0,1,0)</f>
        <v>0</v>
      </c>
      <c r="H358" s="33">
        <f>COUNTIFS(Demand!$A$2:$A$4481,A358,Demand!$B$2:$B$4481,B358,Demand!$C$2:$C$4481,C358)</f>
        <v>1</v>
      </c>
    </row>
    <row r="359">
      <c r="A359" s="32" t="str">
        <f>Demand!A357</f>
        <v>S003</v>
      </c>
      <c r="B359" s="35">
        <f>Demand!B357</f>
        <v>46267.0</v>
      </c>
      <c r="C359" s="33">
        <f>Demand!C357</f>
        <v>11</v>
      </c>
      <c r="D359" s="33">
        <f>Demand!E357</f>
        <v>33</v>
      </c>
      <c r="E359" s="33">
        <f>IF(Demand!F357,1,0)</f>
        <v>0</v>
      </c>
      <c r="F359" s="33">
        <f>COUNTIFS(c_store,A359,c_date,B359,c_hour,C359)</f>
        <v>0</v>
      </c>
      <c r="G359" s="33">
        <f>IF(F359&gt;0,1,0)</f>
        <v>0</v>
      </c>
      <c r="H359" s="33">
        <f>COUNTIFS(Demand!$A$2:$A$4481,A359,Demand!$B$2:$B$4481,B359,Demand!$C$2:$C$4481,C359)</f>
        <v>1</v>
      </c>
    </row>
    <row r="360">
      <c r="A360" s="32" t="str">
        <f>Demand!A358</f>
        <v>S003</v>
      </c>
      <c r="B360" s="35">
        <f>Demand!B358</f>
        <v>46267.0</v>
      </c>
      <c r="C360" s="33">
        <f>Demand!C358</f>
        <v>12</v>
      </c>
      <c r="D360" s="33">
        <f>Demand!E358</f>
        <v>34</v>
      </c>
      <c r="E360" s="33">
        <f>IF(Demand!F358,1,0)</f>
        <v>0</v>
      </c>
      <c r="F360" s="33">
        <f>COUNTIFS(c_store,A360,c_date,B360,c_hour,C360)</f>
        <v>3</v>
      </c>
      <c r="G360" s="33">
        <f>IF(F360&gt;0,1,0)</f>
        <v>1</v>
      </c>
      <c r="H360" s="33">
        <f>COUNTIFS(Demand!$A$2:$A$4481,A360,Demand!$B$2:$B$4481,B360,Demand!$C$2:$C$4481,C360)</f>
        <v>1</v>
      </c>
    </row>
    <row r="361">
      <c r="A361" s="32" t="str">
        <f>Demand!A359</f>
        <v>S003</v>
      </c>
      <c r="B361" s="35">
        <f>Demand!B359</f>
        <v>46267.0</v>
      </c>
      <c r="C361" s="33">
        <f>Demand!C359</f>
        <v>13</v>
      </c>
      <c r="D361" s="33">
        <f>Demand!E359</f>
        <v>41</v>
      </c>
      <c r="E361" s="33">
        <f>IF(Demand!F359,1,0)</f>
        <v>0</v>
      </c>
      <c r="F361" s="33">
        <f>COUNTIFS(c_store,A361,c_date,B361,c_hour,C361)</f>
        <v>0</v>
      </c>
      <c r="G361" s="33">
        <f>IF(F361&gt;0,1,0)</f>
        <v>0</v>
      </c>
      <c r="H361" s="33">
        <f>COUNTIFS(Demand!$A$2:$A$4481,A361,Demand!$B$2:$B$4481,B361,Demand!$C$2:$C$4481,C361)</f>
        <v>1</v>
      </c>
    </row>
    <row r="362">
      <c r="A362" s="32" t="str">
        <f>Demand!A360</f>
        <v>S003</v>
      </c>
      <c r="B362" s="35">
        <f>Demand!B360</f>
        <v>46267.0</v>
      </c>
      <c r="C362" s="33">
        <f>Demand!C360</f>
        <v>14</v>
      </c>
      <c r="D362" s="33">
        <f>Demand!E360</f>
        <v>29</v>
      </c>
      <c r="E362" s="33">
        <f>IF(Demand!F360,1,0)</f>
        <v>0</v>
      </c>
      <c r="F362" s="33">
        <f>COUNTIFS(c_store,A362,c_date,B362,c_hour,C362)</f>
        <v>0</v>
      </c>
      <c r="G362" s="33">
        <f>IF(F362&gt;0,1,0)</f>
        <v>0</v>
      </c>
      <c r="H362" s="33">
        <f>COUNTIFS(Demand!$A$2:$A$4481,A362,Demand!$B$2:$B$4481,B362,Demand!$C$2:$C$4481,C362)</f>
        <v>1</v>
      </c>
    </row>
    <row r="363">
      <c r="A363" s="32" t="str">
        <f>Demand!A361</f>
        <v>S003</v>
      </c>
      <c r="B363" s="35">
        <f>Demand!B361</f>
        <v>46267.0</v>
      </c>
      <c r="C363" s="33">
        <f>Demand!C361</f>
        <v>15</v>
      </c>
      <c r="D363" s="33">
        <f>Demand!E361</f>
        <v>24</v>
      </c>
      <c r="E363" s="33">
        <f>IF(Demand!F361,1,0)</f>
        <v>0</v>
      </c>
      <c r="F363" s="33">
        <f>COUNTIFS(c_store,A363,c_date,B363,c_hour,C363)</f>
        <v>0</v>
      </c>
      <c r="G363" s="33">
        <f>IF(F363&gt;0,1,0)</f>
        <v>0</v>
      </c>
      <c r="H363" s="33">
        <f>COUNTIFS(Demand!$A$2:$A$4481,A363,Demand!$B$2:$B$4481,B363,Demand!$C$2:$C$4481,C363)</f>
        <v>1</v>
      </c>
    </row>
    <row r="364">
      <c r="A364" s="32" t="str">
        <f>Demand!A362</f>
        <v>S003</v>
      </c>
      <c r="B364" s="35">
        <f>Demand!B362</f>
        <v>46267.0</v>
      </c>
      <c r="C364" s="33">
        <f>Demand!C362</f>
        <v>16</v>
      </c>
      <c r="D364" s="33">
        <f>Demand!E362</f>
        <v>41</v>
      </c>
      <c r="E364" s="33">
        <f>IF(Demand!F362,1,0)</f>
        <v>0</v>
      </c>
      <c r="F364" s="33">
        <f>COUNTIFS(c_store,A364,c_date,B364,c_hour,C364)</f>
        <v>0</v>
      </c>
      <c r="G364" s="33">
        <f>IF(F364&gt;0,1,0)</f>
        <v>0</v>
      </c>
      <c r="H364" s="33">
        <f>COUNTIFS(Demand!$A$2:$A$4481,A364,Demand!$B$2:$B$4481,B364,Demand!$C$2:$C$4481,C364)</f>
        <v>1</v>
      </c>
    </row>
    <row r="365">
      <c r="A365" s="32" t="str">
        <f>Demand!A363</f>
        <v>S003</v>
      </c>
      <c r="B365" s="35">
        <f>Demand!B363</f>
        <v>46267.0</v>
      </c>
      <c r="C365" s="33">
        <f>Demand!C363</f>
        <v>17</v>
      </c>
      <c r="D365" s="33">
        <f>Demand!E363</f>
        <v>49</v>
      </c>
      <c r="E365" s="33">
        <f>IF(Demand!F363,1,0)</f>
        <v>0</v>
      </c>
      <c r="F365" s="33">
        <f>COUNTIFS(c_store,A365,c_date,B365,c_hour,C365)</f>
        <v>0</v>
      </c>
      <c r="G365" s="33">
        <f>IF(F365&gt;0,1,0)</f>
        <v>0</v>
      </c>
      <c r="H365" s="33">
        <f>COUNTIFS(Demand!$A$2:$A$4481,A365,Demand!$B$2:$B$4481,B365,Demand!$C$2:$C$4481,C365)</f>
        <v>1</v>
      </c>
    </row>
    <row r="366">
      <c r="A366" s="32" t="str">
        <f>Demand!A364</f>
        <v>S003</v>
      </c>
      <c r="B366" s="35">
        <f>Demand!B364</f>
        <v>46267.0</v>
      </c>
      <c r="C366" s="33">
        <f>Demand!C364</f>
        <v>18</v>
      </c>
      <c r="D366" s="33">
        <f>Demand!E364</f>
        <v>50</v>
      </c>
      <c r="E366" s="33">
        <f>IF(Demand!F364,1,0)</f>
        <v>0</v>
      </c>
      <c r="F366" s="33">
        <f>COUNTIFS(c_store,A366,c_date,B366,c_hour,C366)</f>
        <v>1</v>
      </c>
      <c r="G366" s="33">
        <f>IF(F366&gt;0,1,0)</f>
        <v>1</v>
      </c>
      <c r="H366" s="33">
        <f>COUNTIFS(Demand!$A$2:$A$4481,A366,Demand!$B$2:$B$4481,B366,Demand!$C$2:$C$4481,C366)</f>
        <v>1</v>
      </c>
    </row>
    <row r="367">
      <c r="A367" s="32" t="str">
        <f>Demand!A365</f>
        <v>S003</v>
      </c>
      <c r="B367" s="35">
        <f>Demand!B365</f>
        <v>46267.0</v>
      </c>
      <c r="C367" s="33">
        <f>Demand!C365</f>
        <v>19</v>
      </c>
      <c r="D367" s="33">
        <f>Demand!E365</f>
        <v>52</v>
      </c>
      <c r="E367" s="33">
        <f>IF(Demand!F365,1,0)</f>
        <v>1</v>
      </c>
      <c r="F367" s="33">
        <f>COUNTIFS(c_store,A367,c_date,B367,c_hour,C367)</f>
        <v>0</v>
      </c>
      <c r="G367" s="33">
        <f>IF(F367&gt;0,1,0)</f>
        <v>0</v>
      </c>
      <c r="H367" s="33">
        <f>COUNTIFS(Demand!$A$2:$A$4481,A367,Demand!$B$2:$B$4481,B367,Demand!$C$2:$C$4481,C367)</f>
        <v>1</v>
      </c>
    </row>
    <row r="368">
      <c r="A368" s="32" t="str">
        <f>Demand!A366</f>
        <v>S003</v>
      </c>
      <c r="B368" s="35">
        <f>Demand!B366</f>
        <v>46267.0</v>
      </c>
      <c r="C368" s="33">
        <f>Demand!C366</f>
        <v>20</v>
      </c>
      <c r="D368" s="33">
        <f>Demand!E366</f>
        <v>75</v>
      </c>
      <c r="E368" s="33">
        <f>IF(Demand!F366,1,0)</f>
        <v>1</v>
      </c>
      <c r="F368" s="33">
        <f>COUNTIFS(c_store,A368,c_date,B368,c_hour,C368)</f>
        <v>0</v>
      </c>
      <c r="G368" s="33">
        <f>IF(F368&gt;0,1,0)</f>
        <v>0</v>
      </c>
      <c r="H368" s="33">
        <f>COUNTIFS(Demand!$A$2:$A$4481,A368,Demand!$B$2:$B$4481,B368,Demand!$C$2:$C$4481,C368)</f>
        <v>1</v>
      </c>
    </row>
    <row r="369">
      <c r="A369" s="32" t="str">
        <f>Demand!A367</f>
        <v>S003</v>
      </c>
      <c r="B369" s="35">
        <f>Demand!B367</f>
        <v>46267.0</v>
      </c>
      <c r="C369" s="33">
        <f>Demand!C367</f>
        <v>21</v>
      </c>
      <c r="D369" s="33">
        <f>Demand!E367</f>
        <v>53</v>
      </c>
      <c r="E369" s="33">
        <f>IF(Demand!F367,1,0)</f>
        <v>1</v>
      </c>
      <c r="F369" s="33">
        <f>COUNTIFS(c_store,A369,c_date,B369,c_hour,C369)</f>
        <v>2</v>
      </c>
      <c r="G369" s="33">
        <f>IF(F369&gt;0,1,0)</f>
        <v>1</v>
      </c>
      <c r="H369" s="33">
        <f>COUNTIFS(Demand!$A$2:$A$4481,A369,Demand!$B$2:$B$4481,B369,Demand!$C$2:$C$4481,C369)</f>
        <v>1</v>
      </c>
    </row>
    <row r="370">
      <c r="A370" s="32" t="str">
        <f>Demand!A368</f>
        <v>S003</v>
      </c>
      <c r="B370" s="35">
        <f>Demand!B368</f>
        <v>46267.0</v>
      </c>
      <c r="C370" s="33">
        <f>Demand!C368</f>
        <v>22</v>
      </c>
      <c r="D370" s="33">
        <f>Demand!E368</f>
        <v>40</v>
      </c>
      <c r="E370" s="33">
        <f>IF(Demand!F368,1,0)</f>
        <v>0</v>
      </c>
      <c r="F370" s="33">
        <f>COUNTIFS(c_store,A370,c_date,B370,c_hour,C370)</f>
        <v>1</v>
      </c>
      <c r="G370" s="33">
        <f>IF(F370&gt;0,1,0)</f>
        <v>1</v>
      </c>
      <c r="H370" s="33">
        <f>COUNTIFS(Demand!$A$2:$A$4481,A370,Demand!$B$2:$B$4481,B370,Demand!$C$2:$C$4481,C370)</f>
        <v>1</v>
      </c>
    </row>
    <row r="371">
      <c r="A371" s="32" t="str">
        <f>Demand!A369</f>
        <v>S003</v>
      </c>
      <c r="B371" s="35">
        <f>Demand!B369</f>
        <v>46267.0</v>
      </c>
      <c r="C371" s="33">
        <f>Demand!C369</f>
        <v>23</v>
      </c>
      <c r="D371" s="33">
        <f>Demand!E369</f>
        <v>43</v>
      </c>
      <c r="E371" s="33">
        <f>IF(Demand!F369,1,0)</f>
        <v>0</v>
      </c>
      <c r="F371" s="33">
        <f>COUNTIFS(c_store,A371,c_date,B371,c_hour,C371)</f>
        <v>0</v>
      </c>
      <c r="G371" s="33">
        <f>IF(F371&gt;0,1,0)</f>
        <v>0</v>
      </c>
      <c r="H371" s="33">
        <f>COUNTIFS(Demand!$A$2:$A$4481,A371,Demand!$B$2:$B$4481,B371,Demand!$C$2:$C$4481,C371)</f>
        <v>1</v>
      </c>
    </row>
    <row r="372">
      <c r="A372" s="32" t="str">
        <f>Demand!A370</f>
        <v>S004</v>
      </c>
      <c r="B372" s="35">
        <f>Demand!B370</f>
        <v>46267.0</v>
      </c>
      <c r="C372" s="33">
        <f>Demand!C370</f>
        <v>8</v>
      </c>
      <c r="D372" s="33">
        <f>Demand!E370</f>
        <v>23</v>
      </c>
      <c r="E372" s="33">
        <f>IF(Demand!F370,1,0)</f>
        <v>0</v>
      </c>
      <c r="F372" s="33">
        <f>COUNTIFS(c_store,A372,c_date,B372,c_hour,C372)</f>
        <v>0</v>
      </c>
      <c r="G372" s="33">
        <f>IF(F372&gt;0,1,0)</f>
        <v>0</v>
      </c>
      <c r="H372" s="33">
        <f>COUNTIFS(Demand!$A$2:$A$4481,A372,Demand!$B$2:$B$4481,B372,Demand!$C$2:$C$4481,C372)</f>
        <v>1</v>
      </c>
    </row>
    <row r="373">
      <c r="A373" s="32" t="str">
        <f>Demand!A371</f>
        <v>S004</v>
      </c>
      <c r="B373" s="35">
        <f>Demand!B371</f>
        <v>46267.0</v>
      </c>
      <c r="C373" s="33">
        <f>Demand!C371</f>
        <v>9</v>
      </c>
      <c r="D373" s="33">
        <f>Demand!E371</f>
        <v>29</v>
      </c>
      <c r="E373" s="33">
        <f>IF(Demand!F371,1,0)</f>
        <v>0</v>
      </c>
      <c r="F373" s="33">
        <f>COUNTIFS(c_store,A373,c_date,B373,c_hour,C373)</f>
        <v>0</v>
      </c>
      <c r="G373" s="33">
        <f>IF(F373&gt;0,1,0)</f>
        <v>0</v>
      </c>
      <c r="H373" s="33">
        <f>COUNTIFS(Demand!$A$2:$A$4481,A373,Demand!$B$2:$B$4481,B373,Demand!$C$2:$C$4481,C373)</f>
        <v>1</v>
      </c>
    </row>
    <row r="374">
      <c r="A374" s="32" t="str">
        <f>Demand!A372</f>
        <v>S004</v>
      </c>
      <c r="B374" s="35">
        <f>Demand!B372</f>
        <v>46267.0</v>
      </c>
      <c r="C374" s="33">
        <f>Demand!C372</f>
        <v>10</v>
      </c>
      <c r="D374" s="33">
        <f>Demand!E372</f>
        <v>27</v>
      </c>
      <c r="E374" s="33">
        <f>IF(Demand!F372,1,0)</f>
        <v>0</v>
      </c>
      <c r="F374" s="33">
        <f>COUNTIFS(c_store,A374,c_date,B374,c_hour,C374)</f>
        <v>0</v>
      </c>
      <c r="G374" s="33">
        <f>IF(F374&gt;0,1,0)</f>
        <v>0</v>
      </c>
      <c r="H374" s="33">
        <f>COUNTIFS(Demand!$A$2:$A$4481,A374,Demand!$B$2:$B$4481,B374,Demand!$C$2:$C$4481,C374)</f>
        <v>1</v>
      </c>
    </row>
    <row r="375">
      <c r="A375" s="32" t="str">
        <f>Demand!A373</f>
        <v>S004</v>
      </c>
      <c r="B375" s="35">
        <f>Demand!B373</f>
        <v>46267.0</v>
      </c>
      <c r="C375" s="33">
        <f>Demand!C373</f>
        <v>11</v>
      </c>
      <c r="D375" s="33">
        <f>Demand!E373</f>
        <v>42</v>
      </c>
      <c r="E375" s="33">
        <f>IF(Demand!F373,1,0)</f>
        <v>0</v>
      </c>
      <c r="F375" s="33">
        <f>COUNTIFS(c_store,A375,c_date,B375,c_hour,C375)</f>
        <v>1</v>
      </c>
      <c r="G375" s="33">
        <f>IF(F375&gt;0,1,0)</f>
        <v>1</v>
      </c>
      <c r="H375" s="33">
        <f>COUNTIFS(Demand!$A$2:$A$4481,A375,Demand!$B$2:$B$4481,B375,Demand!$C$2:$C$4481,C375)</f>
        <v>1</v>
      </c>
    </row>
    <row r="376">
      <c r="A376" s="32" t="str">
        <f>Demand!A374</f>
        <v>S004</v>
      </c>
      <c r="B376" s="35">
        <f>Demand!B374</f>
        <v>46267.0</v>
      </c>
      <c r="C376" s="33">
        <f>Demand!C374</f>
        <v>12</v>
      </c>
      <c r="D376" s="33">
        <f>Demand!E374</f>
        <v>40</v>
      </c>
      <c r="E376" s="33">
        <f>IF(Demand!F374,1,0)</f>
        <v>0</v>
      </c>
      <c r="F376" s="33">
        <f>COUNTIFS(c_store,A376,c_date,B376,c_hour,C376)</f>
        <v>0</v>
      </c>
      <c r="G376" s="33">
        <f>IF(F376&gt;0,1,0)</f>
        <v>0</v>
      </c>
      <c r="H376" s="33">
        <f>COUNTIFS(Demand!$A$2:$A$4481,A376,Demand!$B$2:$B$4481,B376,Demand!$C$2:$C$4481,C376)</f>
        <v>1</v>
      </c>
    </row>
    <row r="377">
      <c r="A377" s="32" t="str">
        <f>Demand!A375</f>
        <v>S004</v>
      </c>
      <c r="B377" s="35">
        <f>Demand!B375</f>
        <v>46267.0</v>
      </c>
      <c r="C377" s="33">
        <f>Demand!C375</f>
        <v>13</v>
      </c>
      <c r="D377" s="33">
        <f>Demand!E375</f>
        <v>39</v>
      </c>
      <c r="E377" s="33">
        <f>IF(Demand!F375,1,0)</f>
        <v>0</v>
      </c>
      <c r="F377" s="33">
        <f>COUNTIFS(c_store,A377,c_date,B377,c_hour,C377)</f>
        <v>1</v>
      </c>
      <c r="G377" s="33">
        <f>IF(F377&gt;0,1,0)</f>
        <v>1</v>
      </c>
      <c r="H377" s="33">
        <f>COUNTIFS(Demand!$A$2:$A$4481,A377,Demand!$B$2:$B$4481,B377,Demand!$C$2:$C$4481,C377)</f>
        <v>1</v>
      </c>
    </row>
    <row r="378">
      <c r="A378" s="32" t="str">
        <f>Demand!A376</f>
        <v>S004</v>
      </c>
      <c r="B378" s="35">
        <f>Demand!B376</f>
        <v>46267.0</v>
      </c>
      <c r="C378" s="33">
        <f>Demand!C376</f>
        <v>14</v>
      </c>
      <c r="D378" s="33">
        <f>Demand!E376</f>
        <v>20</v>
      </c>
      <c r="E378" s="33">
        <f>IF(Demand!F376,1,0)</f>
        <v>0</v>
      </c>
      <c r="F378" s="33">
        <f>COUNTIFS(c_store,A378,c_date,B378,c_hour,C378)</f>
        <v>0</v>
      </c>
      <c r="G378" s="33">
        <f>IF(F378&gt;0,1,0)</f>
        <v>0</v>
      </c>
      <c r="H378" s="33">
        <f>COUNTIFS(Demand!$A$2:$A$4481,A378,Demand!$B$2:$B$4481,B378,Demand!$C$2:$C$4481,C378)</f>
        <v>1</v>
      </c>
    </row>
    <row r="379">
      <c r="A379" s="32" t="str">
        <f>Demand!A377</f>
        <v>S004</v>
      </c>
      <c r="B379" s="35">
        <f>Demand!B377</f>
        <v>46267.0</v>
      </c>
      <c r="C379" s="33">
        <f>Demand!C377</f>
        <v>15</v>
      </c>
      <c r="D379" s="33">
        <f>Demand!E377</f>
        <v>33</v>
      </c>
      <c r="E379" s="33">
        <f>IF(Demand!F377,1,0)</f>
        <v>0</v>
      </c>
      <c r="F379" s="33">
        <f>COUNTIFS(c_store,A379,c_date,B379,c_hour,C379)</f>
        <v>0</v>
      </c>
      <c r="G379" s="33">
        <f>IF(F379&gt;0,1,0)</f>
        <v>0</v>
      </c>
      <c r="H379" s="33">
        <f>COUNTIFS(Demand!$A$2:$A$4481,A379,Demand!$B$2:$B$4481,B379,Demand!$C$2:$C$4481,C379)</f>
        <v>1</v>
      </c>
    </row>
    <row r="380">
      <c r="A380" s="32" t="str">
        <f>Demand!A378</f>
        <v>S004</v>
      </c>
      <c r="B380" s="35">
        <f>Demand!B378</f>
        <v>46267.0</v>
      </c>
      <c r="C380" s="33">
        <f>Demand!C378</f>
        <v>16</v>
      </c>
      <c r="D380" s="33">
        <f>Demand!E378</f>
        <v>36</v>
      </c>
      <c r="E380" s="33">
        <f>IF(Demand!F378,1,0)</f>
        <v>0</v>
      </c>
      <c r="F380" s="33">
        <f>COUNTIFS(c_store,A380,c_date,B380,c_hour,C380)</f>
        <v>0</v>
      </c>
      <c r="G380" s="33">
        <f>IF(F380&gt;0,1,0)</f>
        <v>0</v>
      </c>
      <c r="H380" s="33">
        <f>COUNTIFS(Demand!$A$2:$A$4481,A380,Demand!$B$2:$B$4481,B380,Demand!$C$2:$C$4481,C380)</f>
        <v>1</v>
      </c>
    </row>
    <row r="381">
      <c r="A381" s="32" t="str">
        <f>Demand!A379</f>
        <v>S004</v>
      </c>
      <c r="B381" s="35">
        <f>Demand!B379</f>
        <v>46267.0</v>
      </c>
      <c r="C381" s="33">
        <f>Demand!C379</f>
        <v>17</v>
      </c>
      <c r="D381" s="33">
        <f>Demand!E379</f>
        <v>42</v>
      </c>
      <c r="E381" s="33">
        <f>IF(Demand!F379,1,0)</f>
        <v>0</v>
      </c>
      <c r="F381" s="33">
        <f>COUNTIFS(c_store,A381,c_date,B381,c_hour,C381)</f>
        <v>1</v>
      </c>
      <c r="G381" s="33">
        <f>IF(F381&gt;0,1,0)</f>
        <v>1</v>
      </c>
      <c r="H381" s="33">
        <f>COUNTIFS(Demand!$A$2:$A$4481,A381,Demand!$B$2:$B$4481,B381,Demand!$C$2:$C$4481,C381)</f>
        <v>1</v>
      </c>
    </row>
    <row r="382">
      <c r="A382" s="32" t="str">
        <f>Demand!A380</f>
        <v>S004</v>
      </c>
      <c r="B382" s="35">
        <f>Demand!B380</f>
        <v>46267.0</v>
      </c>
      <c r="C382" s="33">
        <f>Demand!C380</f>
        <v>18</v>
      </c>
      <c r="D382" s="33">
        <f>Demand!E380</f>
        <v>46</v>
      </c>
      <c r="E382" s="33">
        <f>IF(Demand!F380,1,0)</f>
        <v>0</v>
      </c>
      <c r="F382" s="33">
        <f>COUNTIFS(c_store,A382,c_date,B382,c_hour,C382)</f>
        <v>0</v>
      </c>
      <c r="G382" s="33">
        <f>IF(F382&gt;0,1,0)</f>
        <v>0</v>
      </c>
      <c r="H382" s="33">
        <f>COUNTIFS(Demand!$A$2:$A$4481,A382,Demand!$B$2:$B$4481,B382,Demand!$C$2:$C$4481,C382)</f>
        <v>1</v>
      </c>
    </row>
    <row r="383">
      <c r="A383" s="32" t="str">
        <f>Demand!A381</f>
        <v>S004</v>
      </c>
      <c r="B383" s="35">
        <f>Demand!B381</f>
        <v>46267.0</v>
      </c>
      <c r="C383" s="33">
        <f>Demand!C381</f>
        <v>19</v>
      </c>
      <c r="D383" s="33">
        <f>Demand!E381</f>
        <v>75</v>
      </c>
      <c r="E383" s="33">
        <f>IF(Demand!F381,1,0)</f>
        <v>1</v>
      </c>
      <c r="F383" s="33">
        <f>COUNTIFS(c_store,A383,c_date,B383,c_hour,C383)</f>
        <v>0</v>
      </c>
      <c r="G383" s="33">
        <f>IF(F383&gt;0,1,0)</f>
        <v>0</v>
      </c>
      <c r="H383" s="33">
        <f>COUNTIFS(Demand!$A$2:$A$4481,A383,Demand!$B$2:$B$4481,B383,Demand!$C$2:$C$4481,C383)</f>
        <v>1</v>
      </c>
    </row>
    <row r="384">
      <c r="A384" s="32" t="str">
        <f>Demand!A382</f>
        <v>S004</v>
      </c>
      <c r="B384" s="35">
        <f>Demand!B382</f>
        <v>46267.0</v>
      </c>
      <c r="C384" s="33">
        <f>Demand!C382</f>
        <v>20</v>
      </c>
      <c r="D384" s="33">
        <f>Demand!E382</f>
        <v>71</v>
      </c>
      <c r="E384" s="33">
        <f>IF(Demand!F382,1,0)</f>
        <v>1</v>
      </c>
      <c r="F384" s="33">
        <f>COUNTIFS(c_store,A384,c_date,B384,c_hour,C384)</f>
        <v>1</v>
      </c>
      <c r="G384" s="33">
        <f>IF(F384&gt;0,1,0)</f>
        <v>1</v>
      </c>
      <c r="H384" s="33">
        <f>COUNTIFS(Demand!$A$2:$A$4481,A384,Demand!$B$2:$B$4481,B384,Demand!$C$2:$C$4481,C384)</f>
        <v>1</v>
      </c>
    </row>
    <row r="385">
      <c r="A385" s="32" t="str">
        <f>Demand!A383</f>
        <v>S004</v>
      </c>
      <c r="B385" s="35">
        <f>Demand!B383</f>
        <v>46267.0</v>
      </c>
      <c r="C385" s="33">
        <f>Demand!C383</f>
        <v>21</v>
      </c>
      <c r="D385" s="33">
        <f>Demand!E383</f>
        <v>75</v>
      </c>
      <c r="E385" s="33">
        <f>IF(Demand!F383,1,0)</f>
        <v>1</v>
      </c>
      <c r="F385" s="33">
        <f>COUNTIFS(c_store,A385,c_date,B385,c_hour,C385)</f>
        <v>0</v>
      </c>
      <c r="G385" s="33">
        <f>IF(F385&gt;0,1,0)</f>
        <v>0</v>
      </c>
      <c r="H385" s="33">
        <f>COUNTIFS(Demand!$A$2:$A$4481,A385,Demand!$B$2:$B$4481,B385,Demand!$C$2:$C$4481,C385)</f>
        <v>1</v>
      </c>
    </row>
    <row r="386">
      <c r="A386" s="32" t="str">
        <f>Demand!A384</f>
        <v>S004</v>
      </c>
      <c r="B386" s="35">
        <f>Demand!B384</f>
        <v>46267.0</v>
      </c>
      <c r="C386" s="33">
        <f>Demand!C384</f>
        <v>22</v>
      </c>
      <c r="D386" s="33">
        <f>Demand!E384</f>
        <v>43</v>
      </c>
      <c r="E386" s="33">
        <f>IF(Demand!F384,1,0)</f>
        <v>0</v>
      </c>
      <c r="F386" s="33">
        <f>COUNTIFS(c_store,A386,c_date,B386,c_hour,C386)</f>
        <v>0</v>
      </c>
      <c r="G386" s="33">
        <f>IF(F386&gt;0,1,0)</f>
        <v>0</v>
      </c>
      <c r="H386" s="33">
        <f>COUNTIFS(Demand!$A$2:$A$4481,A386,Demand!$B$2:$B$4481,B386,Demand!$C$2:$C$4481,C386)</f>
        <v>1</v>
      </c>
    </row>
    <row r="387">
      <c r="A387" s="32" t="str">
        <f>Demand!A385</f>
        <v>S004</v>
      </c>
      <c r="B387" s="35">
        <f>Demand!B385</f>
        <v>46267.0</v>
      </c>
      <c r="C387" s="33">
        <f>Demand!C385</f>
        <v>23</v>
      </c>
      <c r="D387" s="33">
        <f>Demand!E385</f>
        <v>42</v>
      </c>
      <c r="E387" s="33">
        <f>IF(Demand!F385,1,0)</f>
        <v>0</v>
      </c>
      <c r="F387" s="33">
        <f>COUNTIFS(c_store,A387,c_date,B387,c_hour,C387)</f>
        <v>0</v>
      </c>
      <c r="G387" s="33">
        <f>IF(F387&gt;0,1,0)</f>
        <v>0</v>
      </c>
      <c r="H387" s="33">
        <f>COUNTIFS(Demand!$A$2:$A$4481,A387,Demand!$B$2:$B$4481,B387,Demand!$C$2:$C$4481,C387)</f>
        <v>1</v>
      </c>
    </row>
    <row r="388">
      <c r="A388" s="32" t="str">
        <f>Demand!A386</f>
        <v>S005</v>
      </c>
      <c r="B388" s="35">
        <f>Demand!B386</f>
        <v>46267.0</v>
      </c>
      <c r="C388" s="33">
        <f>Demand!C386</f>
        <v>8</v>
      </c>
      <c r="D388" s="33">
        <f>Demand!E386</f>
        <v>10</v>
      </c>
      <c r="E388" s="33">
        <f>IF(Demand!F386,1,0)</f>
        <v>0</v>
      </c>
      <c r="F388" s="33">
        <f>COUNTIFS(c_store,A388,c_date,B388,c_hour,C388)</f>
        <v>0</v>
      </c>
      <c r="G388" s="33">
        <f>IF(F388&gt;0,1,0)</f>
        <v>0</v>
      </c>
      <c r="H388" s="33">
        <f>COUNTIFS(Demand!$A$2:$A$4481,A388,Demand!$B$2:$B$4481,B388,Demand!$C$2:$C$4481,C388)</f>
        <v>1</v>
      </c>
    </row>
    <row r="389">
      <c r="A389" s="32" t="str">
        <f>Demand!A387</f>
        <v>S005</v>
      </c>
      <c r="B389" s="35">
        <f>Demand!B387</f>
        <v>46267.0</v>
      </c>
      <c r="C389" s="33">
        <f>Demand!C387</f>
        <v>9</v>
      </c>
      <c r="D389" s="33">
        <f>Demand!E387</f>
        <v>12</v>
      </c>
      <c r="E389" s="33">
        <f>IF(Demand!F387,1,0)</f>
        <v>0</v>
      </c>
      <c r="F389" s="33">
        <f>COUNTIFS(c_store,A389,c_date,B389,c_hour,C389)</f>
        <v>0</v>
      </c>
      <c r="G389" s="33">
        <f>IF(F389&gt;0,1,0)</f>
        <v>0</v>
      </c>
      <c r="H389" s="33">
        <f>COUNTIFS(Demand!$A$2:$A$4481,A389,Demand!$B$2:$B$4481,B389,Demand!$C$2:$C$4481,C389)</f>
        <v>1</v>
      </c>
    </row>
    <row r="390">
      <c r="A390" s="32" t="str">
        <f>Demand!A388</f>
        <v>S005</v>
      </c>
      <c r="B390" s="35">
        <f>Demand!B388</f>
        <v>46267.0</v>
      </c>
      <c r="C390" s="33">
        <f>Demand!C388</f>
        <v>10</v>
      </c>
      <c r="D390" s="33">
        <f>Demand!E388</f>
        <v>15</v>
      </c>
      <c r="E390" s="33">
        <f>IF(Demand!F388,1,0)</f>
        <v>0</v>
      </c>
      <c r="F390" s="33">
        <f>COUNTIFS(c_store,A390,c_date,B390,c_hour,C390)</f>
        <v>0</v>
      </c>
      <c r="G390" s="33">
        <f>IF(F390&gt;0,1,0)</f>
        <v>0</v>
      </c>
      <c r="H390" s="33">
        <f>COUNTIFS(Demand!$A$2:$A$4481,A390,Demand!$B$2:$B$4481,B390,Demand!$C$2:$C$4481,C390)</f>
        <v>1</v>
      </c>
    </row>
    <row r="391">
      <c r="A391" s="32" t="str">
        <f>Demand!A389</f>
        <v>S005</v>
      </c>
      <c r="B391" s="35">
        <f>Demand!B389</f>
        <v>46267.0</v>
      </c>
      <c r="C391" s="33">
        <f>Demand!C389</f>
        <v>11</v>
      </c>
      <c r="D391" s="33">
        <f>Demand!E389</f>
        <v>12</v>
      </c>
      <c r="E391" s="33">
        <f>IF(Demand!F389,1,0)</f>
        <v>0</v>
      </c>
      <c r="F391" s="33">
        <f>COUNTIFS(c_store,A391,c_date,B391,c_hour,C391)</f>
        <v>0</v>
      </c>
      <c r="G391" s="33">
        <f>IF(F391&gt;0,1,0)</f>
        <v>0</v>
      </c>
      <c r="H391" s="33">
        <f>COUNTIFS(Demand!$A$2:$A$4481,A391,Demand!$B$2:$B$4481,B391,Demand!$C$2:$C$4481,C391)</f>
        <v>1</v>
      </c>
    </row>
    <row r="392">
      <c r="A392" s="32" t="str">
        <f>Demand!A390</f>
        <v>S005</v>
      </c>
      <c r="B392" s="35">
        <f>Demand!B390</f>
        <v>46267.0</v>
      </c>
      <c r="C392" s="33">
        <f>Demand!C390</f>
        <v>12</v>
      </c>
      <c r="D392" s="33">
        <f>Demand!E390</f>
        <v>9</v>
      </c>
      <c r="E392" s="33">
        <f>IF(Demand!F390,1,0)</f>
        <v>0</v>
      </c>
      <c r="F392" s="33">
        <f>COUNTIFS(c_store,A392,c_date,B392,c_hour,C392)</f>
        <v>1</v>
      </c>
      <c r="G392" s="33">
        <f>IF(F392&gt;0,1,0)</f>
        <v>1</v>
      </c>
      <c r="H392" s="33">
        <f>COUNTIFS(Demand!$A$2:$A$4481,A392,Demand!$B$2:$B$4481,B392,Demand!$C$2:$C$4481,C392)</f>
        <v>1</v>
      </c>
    </row>
    <row r="393">
      <c r="A393" s="32" t="str">
        <f>Demand!A391</f>
        <v>S005</v>
      </c>
      <c r="B393" s="35">
        <f>Demand!B391</f>
        <v>46267.0</v>
      </c>
      <c r="C393" s="33">
        <f>Demand!C391</f>
        <v>13</v>
      </c>
      <c r="D393" s="33">
        <f>Demand!E391</f>
        <v>13</v>
      </c>
      <c r="E393" s="33">
        <f>IF(Demand!F391,1,0)</f>
        <v>0</v>
      </c>
      <c r="F393" s="33">
        <f>COUNTIFS(c_store,A393,c_date,B393,c_hour,C393)</f>
        <v>0</v>
      </c>
      <c r="G393" s="33">
        <f>IF(F393&gt;0,1,0)</f>
        <v>0</v>
      </c>
      <c r="H393" s="33">
        <f>COUNTIFS(Demand!$A$2:$A$4481,A393,Demand!$B$2:$B$4481,B393,Demand!$C$2:$C$4481,C393)</f>
        <v>1</v>
      </c>
    </row>
    <row r="394">
      <c r="A394" s="32" t="str">
        <f>Demand!A392</f>
        <v>S005</v>
      </c>
      <c r="B394" s="35">
        <f>Demand!B392</f>
        <v>46267.0</v>
      </c>
      <c r="C394" s="33">
        <f>Demand!C392</f>
        <v>14</v>
      </c>
      <c r="D394" s="33">
        <f>Demand!E392</f>
        <v>4</v>
      </c>
      <c r="E394" s="33">
        <f>IF(Demand!F392,1,0)</f>
        <v>0</v>
      </c>
      <c r="F394" s="33">
        <f>COUNTIFS(c_store,A394,c_date,B394,c_hour,C394)</f>
        <v>0</v>
      </c>
      <c r="G394" s="33">
        <f>IF(F394&gt;0,1,0)</f>
        <v>0</v>
      </c>
      <c r="H394" s="33">
        <f>COUNTIFS(Demand!$A$2:$A$4481,A394,Demand!$B$2:$B$4481,B394,Demand!$C$2:$C$4481,C394)</f>
        <v>1</v>
      </c>
    </row>
    <row r="395">
      <c r="A395" s="32" t="str">
        <f>Demand!A393</f>
        <v>S005</v>
      </c>
      <c r="B395" s="35">
        <f>Demand!B393</f>
        <v>46267.0</v>
      </c>
      <c r="C395" s="33">
        <f>Demand!C393</f>
        <v>15</v>
      </c>
      <c r="D395" s="33">
        <f>Demand!E393</f>
        <v>9</v>
      </c>
      <c r="E395" s="33">
        <f>IF(Demand!F393,1,0)</f>
        <v>0</v>
      </c>
      <c r="F395" s="33">
        <f>COUNTIFS(c_store,A395,c_date,B395,c_hour,C395)</f>
        <v>0</v>
      </c>
      <c r="G395" s="33">
        <f>IF(F395&gt;0,1,0)</f>
        <v>0</v>
      </c>
      <c r="H395" s="33">
        <f>COUNTIFS(Demand!$A$2:$A$4481,A395,Demand!$B$2:$B$4481,B395,Demand!$C$2:$C$4481,C395)</f>
        <v>1</v>
      </c>
    </row>
    <row r="396">
      <c r="A396" s="32" t="str">
        <f>Demand!A394</f>
        <v>S005</v>
      </c>
      <c r="B396" s="35">
        <f>Demand!B394</f>
        <v>46267.0</v>
      </c>
      <c r="C396" s="33">
        <f>Demand!C394</f>
        <v>16</v>
      </c>
      <c r="D396" s="33">
        <f>Demand!E394</f>
        <v>10</v>
      </c>
      <c r="E396" s="33">
        <f>IF(Demand!F394,1,0)</f>
        <v>0</v>
      </c>
      <c r="F396" s="33">
        <f>COUNTIFS(c_store,A396,c_date,B396,c_hour,C396)</f>
        <v>0</v>
      </c>
      <c r="G396" s="33">
        <f>IF(F396&gt;0,1,0)</f>
        <v>0</v>
      </c>
      <c r="H396" s="33">
        <f>COUNTIFS(Demand!$A$2:$A$4481,A396,Demand!$B$2:$B$4481,B396,Demand!$C$2:$C$4481,C396)</f>
        <v>1</v>
      </c>
    </row>
    <row r="397">
      <c r="A397" s="32" t="str">
        <f>Demand!A395</f>
        <v>S005</v>
      </c>
      <c r="B397" s="35">
        <f>Demand!B395</f>
        <v>46267.0</v>
      </c>
      <c r="C397" s="33">
        <f>Demand!C395</f>
        <v>17</v>
      </c>
      <c r="D397" s="33">
        <f>Demand!E395</f>
        <v>16</v>
      </c>
      <c r="E397" s="33">
        <f>IF(Demand!F395,1,0)</f>
        <v>0</v>
      </c>
      <c r="F397" s="33">
        <f>COUNTIFS(c_store,A397,c_date,B397,c_hour,C397)</f>
        <v>1</v>
      </c>
      <c r="G397" s="33">
        <f>IF(F397&gt;0,1,0)</f>
        <v>1</v>
      </c>
      <c r="H397" s="33">
        <f>COUNTIFS(Demand!$A$2:$A$4481,A397,Demand!$B$2:$B$4481,B397,Demand!$C$2:$C$4481,C397)</f>
        <v>1</v>
      </c>
    </row>
    <row r="398">
      <c r="A398" s="32" t="str">
        <f>Demand!A396</f>
        <v>S005</v>
      </c>
      <c r="B398" s="35">
        <f>Demand!B396</f>
        <v>46267.0</v>
      </c>
      <c r="C398" s="33">
        <f>Demand!C396</f>
        <v>18</v>
      </c>
      <c r="D398" s="33">
        <f>Demand!E396</f>
        <v>13</v>
      </c>
      <c r="E398" s="33">
        <f>IF(Demand!F396,1,0)</f>
        <v>0</v>
      </c>
      <c r="F398" s="33">
        <f>COUNTIFS(c_store,A398,c_date,B398,c_hour,C398)</f>
        <v>0</v>
      </c>
      <c r="G398" s="33">
        <f>IF(F398&gt;0,1,0)</f>
        <v>0</v>
      </c>
      <c r="H398" s="33">
        <f>COUNTIFS(Demand!$A$2:$A$4481,A398,Demand!$B$2:$B$4481,B398,Demand!$C$2:$C$4481,C398)</f>
        <v>1</v>
      </c>
    </row>
    <row r="399">
      <c r="A399" s="32" t="str">
        <f>Demand!A397</f>
        <v>S005</v>
      </c>
      <c r="B399" s="35">
        <f>Demand!B397</f>
        <v>46267.0</v>
      </c>
      <c r="C399" s="33">
        <f>Demand!C397</f>
        <v>19</v>
      </c>
      <c r="D399" s="33">
        <f>Demand!E397</f>
        <v>24</v>
      </c>
      <c r="E399" s="33">
        <f>IF(Demand!F397,1,0)</f>
        <v>1</v>
      </c>
      <c r="F399" s="33">
        <f>COUNTIFS(c_store,A399,c_date,B399,c_hour,C399)</f>
        <v>0</v>
      </c>
      <c r="G399" s="33">
        <f>IF(F399&gt;0,1,0)</f>
        <v>0</v>
      </c>
      <c r="H399" s="33">
        <f>COUNTIFS(Demand!$A$2:$A$4481,A399,Demand!$B$2:$B$4481,B399,Demand!$C$2:$C$4481,C399)</f>
        <v>1</v>
      </c>
    </row>
    <row r="400">
      <c r="A400" s="32" t="str">
        <f>Demand!A398</f>
        <v>S005</v>
      </c>
      <c r="B400" s="35">
        <f>Demand!B398</f>
        <v>46267.0</v>
      </c>
      <c r="C400" s="33">
        <f>Demand!C398</f>
        <v>20</v>
      </c>
      <c r="D400" s="33">
        <f>Demand!E398</f>
        <v>22</v>
      </c>
      <c r="E400" s="33">
        <f>IF(Demand!F398,1,0)</f>
        <v>1</v>
      </c>
      <c r="F400" s="33">
        <f>COUNTIFS(c_store,A400,c_date,B400,c_hour,C400)</f>
        <v>1</v>
      </c>
      <c r="G400" s="33">
        <f>IF(F400&gt;0,1,0)</f>
        <v>1</v>
      </c>
      <c r="H400" s="33">
        <f>COUNTIFS(Demand!$A$2:$A$4481,A400,Demand!$B$2:$B$4481,B400,Demand!$C$2:$C$4481,C400)</f>
        <v>1</v>
      </c>
    </row>
    <row r="401">
      <c r="A401" s="32" t="str">
        <f>Demand!A399</f>
        <v>S005</v>
      </c>
      <c r="B401" s="35">
        <f>Demand!B399</f>
        <v>46267.0</v>
      </c>
      <c r="C401" s="33">
        <f>Demand!C399</f>
        <v>21</v>
      </c>
      <c r="D401" s="33">
        <f>Demand!E399</f>
        <v>24</v>
      </c>
      <c r="E401" s="33">
        <f>IF(Demand!F399,1,0)</f>
        <v>1</v>
      </c>
      <c r="F401" s="33">
        <f>COUNTIFS(c_store,A401,c_date,B401,c_hour,C401)</f>
        <v>0</v>
      </c>
      <c r="G401" s="33">
        <f>IF(F401&gt;0,1,0)</f>
        <v>0</v>
      </c>
      <c r="H401" s="33">
        <f>COUNTIFS(Demand!$A$2:$A$4481,A401,Demand!$B$2:$B$4481,B401,Demand!$C$2:$C$4481,C401)</f>
        <v>1</v>
      </c>
    </row>
    <row r="402">
      <c r="A402" s="32" t="str">
        <f>Demand!A400</f>
        <v>S005</v>
      </c>
      <c r="B402" s="35">
        <f>Demand!B400</f>
        <v>46267.0</v>
      </c>
      <c r="C402" s="33">
        <f>Demand!C400</f>
        <v>22</v>
      </c>
      <c r="D402" s="33">
        <f>Demand!E400</f>
        <v>19</v>
      </c>
      <c r="E402" s="33">
        <f>IF(Demand!F400,1,0)</f>
        <v>0</v>
      </c>
      <c r="F402" s="33">
        <f>COUNTIFS(c_store,A402,c_date,B402,c_hour,C402)</f>
        <v>0</v>
      </c>
      <c r="G402" s="33">
        <f>IF(F402&gt;0,1,0)</f>
        <v>0</v>
      </c>
      <c r="H402" s="33">
        <f>COUNTIFS(Demand!$A$2:$A$4481,A402,Demand!$B$2:$B$4481,B402,Demand!$C$2:$C$4481,C402)</f>
        <v>1</v>
      </c>
    </row>
    <row r="403">
      <c r="A403" s="32" t="str">
        <f>Demand!A401</f>
        <v>S005</v>
      </c>
      <c r="B403" s="35">
        <f>Demand!B401</f>
        <v>46267.0</v>
      </c>
      <c r="C403" s="33">
        <f>Demand!C401</f>
        <v>23</v>
      </c>
      <c r="D403" s="33">
        <f>Demand!E401</f>
        <v>18</v>
      </c>
      <c r="E403" s="33">
        <f>IF(Demand!F401,1,0)</f>
        <v>0</v>
      </c>
      <c r="F403" s="33">
        <f>COUNTIFS(c_store,A403,c_date,B403,c_hour,C403)</f>
        <v>0</v>
      </c>
      <c r="G403" s="33">
        <f>IF(F403&gt;0,1,0)</f>
        <v>0</v>
      </c>
      <c r="H403" s="33">
        <f>COUNTIFS(Demand!$A$2:$A$4481,A403,Demand!$B$2:$B$4481,B403,Demand!$C$2:$C$4481,C403)</f>
        <v>1</v>
      </c>
    </row>
    <row r="404">
      <c r="A404" s="32" t="str">
        <f>Demand!A402</f>
        <v>S006</v>
      </c>
      <c r="B404" s="35">
        <f>Demand!B402</f>
        <v>46267.0</v>
      </c>
      <c r="C404" s="33">
        <f>Demand!C402</f>
        <v>8</v>
      </c>
      <c r="D404" s="33">
        <f>Demand!E402</f>
        <v>13</v>
      </c>
      <c r="E404" s="33">
        <f>IF(Demand!F402,1,0)</f>
        <v>0</v>
      </c>
      <c r="F404" s="33">
        <f>COUNTIFS(c_store,A404,c_date,B404,c_hour,C404)</f>
        <v>0</v>
      </c>
      <c r="G404" s="33">
        <f>IF(F404&gt;0,1,0)</f>
        <v>0</v>
      </c>
      <c r="H404" s="33">
        <f>COUNTIFS(Demand!$A$2:$A$4481,A404,Demand!$B$2:$B$4481,B404,Demand!$C$2:$C$4481,C404)</f>
        <v>1</v>
      </c>
    </row>
    <row r="405">
      <c r="A405" s="32" t="str">
        <f>Demand!A403</f>
        <v>S006</v>
      </c>
      <c r="B405" s="35">
        <f>Demand!B403</f>
        <v>46267.0</v>
      </c>
      <c r="C405" s="33">
        <f>Demand!C403</f>
        <v>9</v>
      </c>
      <c r="D405" s="33">
        <f>Demand!E403</f>
        <v>21</v>
      </c>
      <c r="E405" s="33">
        <f>IF(Demand!F403,1,0)</f>
        <v>0</v>
      </c>
      <c r="F405" s="33">
        <f>COUNTIFS(c_store,A405,c_date,B405,c_hour,C405)</f>
        <v>0</v>
      </c>
      <c r="G405" s="33">
        <f>IF(F405&gt;0,1,0)</f>
        <v>0</v>
      </c>
      <c r="H405" s="33">
        <f>COUNTIFS(Demand!$A$2:$A$4481,A405,Demand!$B$2:$B$4481,B405,Demand!$C$2:$C$4481,C405)</f>
        <v>1</v>
      </c>
    </row>
    <row r="406">
      <c r="A406" s="32" t="str">
        <f>Demand!A404</f>
        <v>S006</v>
      </c>
      <c r="B406" s="35">
        <f>Demand!B404</f>
        <v>46267.0</v>
      </c>
      <c r="C406" s="33">
        <f>Demand!C404</f>
        <v>10</v>
      </c>
      <c r="D406" s="33">
        <f>Demand!E404</f>
        <v>15</v>
      </c>
      <c r="E406" s="33">
        <f>IF(Demand!F404,1,0)</f>
        <v>0</v>
      </c>
      <c r="F406" s="33">
        <f>COUNTIFS(c_store,A406,c_date,B406,c_hour,C406)</f>
        <v>2</v>
      </c>
      <c r="G406" s="33">
        <f>IF(F406&gt;0,1,0)</f>
        <v>1</v>
      </c>
      <c r="H406" s="33">
        <f>COUNTIFS(Demand!$A$2:$A$4481,A406,Demand!$B$2:$B$4481,B406,Demand!$C$2:$C$4481,C406)</f>
        <v>1</v>
      </c>
    </row>
    <row r="407">
      <c r="A407" s="32" t="str">
        <f>Demand!A405</f>
        <v>S006</v>
      </c>
      <c r="B407" s="35">
        <f>Demand!B405</f>
        <v>46267.0</v>
      </c>
      <c r="C407" s="33">
        <f>Demand!C405</f>
        <v>11</v>
      </c>
      <c r="D407" s="33">
        <f>Demand!E405</f>
        <v>33</v>
      </c>
      <c r="E407" s="33">
        <f>IF(Demand!F405,1,0)</f>
        <v>0</v>
      </c>
      <c r="F407" s="33">
        <f>COUNTIFS(c_store,A407,c_date,B407,c_hour,C407)</f>
        <v>0</v>
      </c>
      <c r="G407" s="33">
        <f>IF(F407&gt;0,1,0)</f>
        <v>0</v>
      </c>
      <c r="H407" s="33">
        <f>COUNTIFS(Demand!$A$2:$A$4481,A407,Demand!$B$2:$B$4481,B407,Demand!$C$2:$C$4481,C407)</f>
        <v>1</v>
      </c>
    </row>
    <row r="408">
      <c r="A408" s="32" t="str">
        <f>Demand!A406</f>
        <v>S006</v>
      </c>
      <c r="B408" s="35">
        <f>Demand!B406</f>
        <v>46267.0</v>
      </c>
      <c r="C408" s="33">
        <f>Demand!C406</f>
        <v>12</v>
      </c>
      <c r="D408" s="33">
        <f>Demand!E406</f>
        <v>25</v>
      </c>
      <c r="E408" s="33">
        <f>IF(Demand!F406,1,0)</f>
        <v>0</v>
      </c>
      <c r="F408" s="33">
        <f>COUNTIFS(c_store,A408,c_date,B408,c_hour,C408)</f>
        <v>1</v>
      </c>
      <c r="G408" s="33">
        <f>IF(F408&gt;0,1,0)</f>
        <v>1</v>
      </c>
      <c r="H408" s="33">
        <f>COUNTIFS(Demand!$A$2:$A$4481,A408,Demand!$B$2:$B$4481,B408,Demand!$C$2:$C$4481,C408)</f>
        <v>1</v>
      </c>
    </row>
    <row r="409">
      <c r="A409" s="32" t="str">
        <f>Demand!A407</f>
        <v>S006</v>
      </c>
      <c r="B409" s="35">
        <f>Demand!B407</f>
        <v>46267.0</v>
      </c>
      <c r="C409" s="33">
        <f>Demand!C407</f>
        <v>13</v>
      </c>
      <c r="D409" s="33">
        <f>Demand!E407</f>
        <v>21</v>
      </c>
      <c r="E409" s="33">
        <f>IF(Demand!F407,1,0)</f>
        <v>0</v>
      </c>
      <c r="F409" s="33">
        <f>COUNTIFS(c_store,A409,c_date,B409,c_hour,C409)</f>
        <v>0</v>
      </c>
      <c r="G409" s="33">
        <f>IF(F409&gt;0,1,0)</f>
        <v>0</v>
      </c>
      <c r="H409" s="33">
        <f>COUNTIFS(Demand!$A$2:$A$4481,A409,Demand!$B$2:$B$4481,B409,Demand!$C$2:$C$4481,C409)</f>
        <v>1</v>
      </c>
    </row>
    <row r="410">
      <c r="A410" s="32" t="str">
        <f>Demand!A408</f>
        <v>S006</v>
      </c>
      <c r="B410" s="35">
        <f>Demand!B408</f>
        <v>46267.0</v>
      </c>
      <c r="C410" s="33">
        <f>Demand!C408</f>
        <v>14</v>
      </c>
      <c r="D410" s="33">
        <f>Demand!E408</f>
        <v>17</v>
      </c>
      <c r="E410" s="33">
        <f>IF(Demand!F408,1,0)</f>
        <v>0</v>
      </c>
      <c r="F410" s="33">
        <f>COUNTIFS(c_store,A410,c_date,B410,c_hour,C410)</f>
        <v>0</v>
      </c>
      <c r="G410" s="33">
        <f>IF(F410&gt;0,1,0)</f>
        <v>0</v>
      </c>
      <c r="H410" s="33">
        <f>COUNTIFS(Demand!$A$2:$A$4481,A410,Demand!$B$2:$B$4481,B410,Demand!$C$2:$C$4481,C410)</f>
        <v>1</v>
      </c>
    </row>
    <row r="411">
      <c r="A411" s="32" t="str">
        <f>Demand!A409</f>
        <v>S006</v>
      </c>
      <c r="B411" s="35">
        <f>Demand!B409</f>
        <v>46267.0</v>
      </c>
      <c r="C411" s="33">
        <f>Demand!C409</f>
        <v>15</v>
      </c>
      <c r="D411" s="33">
        <f>Demand!E409</f>
        <v>20</v>
      </c>
      <c r="E411" s="33">
        <f>IF(Demand!F409,1,0)</f>
        <v>0</v>
      </c>
      <c r="F411" s="33">
        <f>COUNTIFS(c_store,A411,c_date,B411,c_hour,C411)</f>
        <v>0</v>
      </c>
      <c r="G411" s="33">
        <f>IF(F411&gt;0,1,0)</f>
        <v>0</v>
      </c>
      <c r="H411" s="33">
        <f>COUNTIFS(Demand!$A$2:$A$4481,A411,Demand!$B$2:$B$4481,B411,Demand!$C$2:$C$4481,C411)</f>
        <v>1</v>
      </c>
    </row>
    <row r="412">
      <c r="A412" s="32" t="str">
        <f>Demand!A410</f>
        <v>S006</v>
      </c>
      <c r="B412" s="35">
        <f>Demand!B410</f>
        <v>46267.0</v>
      </c>
      <c r="C412" s="33">
        <f>Demand!C410</f>
        <v>16</v>
      </c>
      <c r="D412" s="33">
        <f>Demand!E410</f>
        <v>19</v>
      </c>
      <c r="E412" s="33">
        <f>IF(Demand!F410,1,0)</f>
        <v>0</v>
      </c>
      <c r="F412" s="33">
        <f>COUNTIFS(c_store,A412,c_date,B412,c_hour,C412)</f>
        <v>0</v>
      </c>
      <c r="G412" s="33">
        <f>IF(F412&gt;0,1,0)</f>
        <v>0</v>
      </c>
      <c r="H412" s="33">
        <f>COUNTIFS(Demand!$A$2:$A$4481,A412,Demand!$B$2:$B$4481,B412,Demand!$C$2:$C$4481,C412)</f>
        <v>1</v>
      </c>
    </row>
    <row r="413">
      <c r="A413" s="32" t="str">
        <f>Demand!A411</f>
        <v>S006</v>
      </c>
      <c r="B413" s="35">
        <f>Demand!B411</f>
        <v>46267.0</v>
      </c>
      <c r="C413" s="33">
        <f>Demand!C411</f>
        <v>17</v>
      </c>
      <c r="D413" s="33">
        <f>Demand!E411</f>
        <v>32</v>
      </c>
      <c r="E413" s="33">
        <f>IF(Demand!F411,1,0)</f>
        <v>0</v>
      </c>
      <c r="F413" s="33">
        <f>COUNTIFS(c_store,A413,c_date,B413,c_hour,C413)</f>
        <v>1</v>
      </c>
      <c r="G413" s="33">
        <f>IF(F413&gt;0,1,0)</f>
        <v>1</v>
      </c>
      <c r="H413" s="33">
        <f>COUNTIFS(Demand!$A$2:$A$4481,A413,Demand!$B$2:$B$4481,B413,Demand!$C$2:$C$4481,C413)</f>
        <v>1</v>
      </c>
    </row>
    <row r="414">
      <c r="A414" s="32" t="str">
        <f>Demand!A412</f>
        <v>S006</v>
      </c>
      <c r="B414" s="35">
        <f>Demand!B412</f>
        <v>46267.0</v>
      </c>
      <c r="C414" s="33">
        <f>Demand!C412</f>
        <v>18</v>
      </c>
      <c r="D414" s="33">
        <f>Demand!E412</f>
        <v>29</v>
      </c>
      <c r="E414" s="33">
        <f>IF(Demand!F412,1,0)</f>
        <v>0</v>
      </c>
      <c r="F414" s="33">
        <f>COUNTIFS(c_store,A414,c_date,B414,c_hour,C414)</f>
        <v>1</v>
      </c>
      <c r="G414" s="33">
        <f>IF(F414&gt;0,1,0)</f>
        <v>1</v>
      </c>
      <c r="H414" s="33">
        <f>COUNTIFS(Demand!$A$2:$A$4481,A414,Demand!$B$2:$B$4481,B414,Demand!$C$2:$C$4481,C414)</f>
        <v>1</v>
      </c>
    </row>
    <row r="415">
      <c r="A415" s="32" t="str">
        <f>Demand!A413</f>
        <v>S006</v>
      </c>
      <c r="B415" s="35">
        <f>Demand!B413</f>
        <v>46267.0</v>
      </c>
      <c r="C415" s="33">
        <f>Demand!C413</f>
        <v>19</v>
      </c>
      <c r="D415" s="33">
        <f>Demand!E413</f>
        <v>35</v>
      </c>
      <c r="E415" s="33">
        <f>IF(Demand!F413,1,0)</f>
        <v>1</v>
      </c>
      <c r="F415" s="33">
        <f>COUNTIFS(c_store,A415,c_date,B415,c_hour,C415)</f>
        <v>0</v>
      </c>
      <c r="G415" s="33">
        <f>IF(F415&gt;0,1,0)</f>
        <v>0</v>
      </c>
      <c r="H415" s="33">
        <f>COUNTIFS(Demand!$A$2:$A$4481,A415,Demand!$B$2:$B$4481,B415,Demand!$C$2:$C$4481,C415)</f>
        <v>1</v>
      </c>
    </row>
    <row r="416">
      <c r="A416" s="32" t="str">
        <f>Demand!A414</f>
        <v>S006</v>
      </c>
      <c r="B416" s="35">
        <f>Demand!B414</f>
        <v>46267.0</v>
      </c>
      <c r="C416" s="33">
        <f>Demand!C414</f>
        <v>20</v>
      </c>
      <c r="D416" s="33">
        <f>Demand!E414</f>
        <v>49</v>
      </c>
      <c r="E416" s="33">
        <f>IF(Demand!F414,1,0)</f>
        <v>1</v>
      </c>
      <c r="F416" s="33">
        <f>COUNTIFS(c_store,A416,c_date,B416,c_hour,C416)</f>
        <v>1</v>
      </c>
      <c r="G416" s="33">
        <f>IF(F416&gt;0,1,0)</f>
        <v>1</v>
      </c>
      <c r="H416" s="33">
        <f>COUNTIFS(Demand!$A$2:$A$4481,A416,Demand!$B$2:$B$4481,B416,Demand!$C$2:$C$4481,C416)</f>
        <v>1</v>
      </c>
    </row>
    <row r="417">
      <c r="A417" s="32" t="str">
        <f>Demand!A415</f>
        <v>S006</v>
      </c>
      <c r="B417" s="35">
        <f>Demand!B415</f>
        <v>46267.0</v>
      </c>
      <c r="C417" s="33">
        <f>Demand!C415</f>
        <v>21</v>
      </c>
      <c r="D417" s="33">
        <f>Demand!E415</f>
        <v>48</v>
      </c>
      <c r="E417" s="33">
        <f>IF(Demand!F415,1,0)</f>
        <v>1</v>
      </c>
      <c r="F417" s="33">
        <f>COUNTIFS(c_store,A417,c_date,B417,c_hour,C417)</f>
        <v>0</v>
      </c>
      <c r="G417" s="33">
        <f>IF(F417&gt;0,1,0)</f>
        <v>0</v>
      </c>
      <c r="H417" s="33">
        <f>COUNTIFS(Demand!$A$2:$A$4481,A417,Demand!$B$2:$B$4481,B417,Demand!$C$2:$C$4481,C417)</f>
        <v>1</v>
      </c>
    </row>
    <row r="418">
      <c r="A418" s="32" t="str">
        <f>Demand!A416</f>
        <v>S006</v>
      </c>
      <c r="B418" s="35">
        <f>Demand!B416</f>
        <v>46267.0</v>
      </c>
      <c r="C418" s="33">
        <f>Demand!C416</f>
        <v>22</v>
      </c>
      <c r="D418" s="33">
        <f>Demand!E416</f>
        <v>29</v>
      </c>
      <c r="E418" s="33">
        <f>IF(Demand!F416,1,0)</f>
        <v>0</v>
      </c>
      <c r="F418" s="33">
        <f>COUNTIFS(c_store,A418,c_date,B418,c_hour,C418)</f>
        <v>0</v>
      </c>
      <c r="G418" s="33">
        <f>IF(F418&gt;0,1,0)</f>
        <v>0</v>
      </c>
      <c r="H418" s="33">
        <f>COUNTIFS(Demand!$A$2:$A$4481,A418,Demand!$B$2:$B$4481,B418,Demand!$C$2:$C$4481,C418)</f>
        <v>1</v>
      </c>
    </row>
    <row r="419">
      <c r="A419" s="32" t="str">
        <f>Demand!A417</f>
        <v>S006</v>
      </c>
      <c r="B419" s="35">
        <f>Demand!B417</f>
        <v>46267.0</v>
      </c>
      <c r="C419" s="33">
        <f>Demand!C417</f>
        <v>23</v>
      </c>
      <c r="D419" s="33">
        <f>Demand!E417</f>
        <v>35</v>
      </c>
      <c r="E419" s="33">
        <f>IF(Demand!F417,1,0)</f>
        <v>0</v>
      </c>
      <c r="F419" s="33">
        <f>COUNTIFS(c_store,A419,c_date,B419,c_hour,C419)</f>
        <v>2</v>
      </c>
      <c r="G419" s="33">
        <f>IF(F419&gt;0,1,0)</f>
        <v>1</v>
      </c>
      <c r="H419" s="33">
        <f>COUNTIFS(Demand!$A$2:$A$4481,A419,Demand!$B$2:$B$4481,B419,Demand!$C$2:$C$4481,C419)</f>
        <v>1</v>
      </c>
    </row>
    <row r="420">
      <c r="A420" s="32" t="str">
        <f>Demand!A418</f>
        <v>S007</v>
      </c>
      <c r="B420" s="35">
        <f>Demand!B418</f>
        <v>46267.0</v>
      </c>
      <c r="C420" s="33">
        <f>Demand!C418</f>
        <v>8</v>
      </c>
      <c r="D420" s="33">
        <f>Demand!E418</f>
        <v>28</v>
      </c>
      <c r="E420" s="33">
        <f>IF(Demand!F418,1,0)</f>
        <v>0</v>
      </c>
      <c r="F420" s="33">
        <f>COUNTIFS(c_store,A420,c_date,B420,c_hour,C420)</f>
        <v>1</v>
      </c>
      <c r="G420" s="33">
        <f>IF(F420&gt;0,1,0)</f>
        <v>1</v>
      </c>
      <c r="H420" s="33">
        <f>COUNTIFS(Demand!$A$2:$A$4481,A420,Demand!$B$2:$B$4481,B420,Demand!$C$2:$C$4481,C420)</f>
        <v>1</v>
      </c>
    </row>
    <row r="421">
      <c r="A421" s="32" t="str">
        <f>Demand!A419</f>
        <v>S007</v>
      </c>
      <c r="B421" s="35">
        <f>Demand!B419</f>
        <v>46267.0</v>
      </c>
      <c r="C421" s="33">
        <f>Demand!C419</f>
        <v>9</v>
      </c>
      <c r="D421" s="33">
        <f>Demand!E419</f>
        <v>36</v>
      </c>
      <c r="E421" s="33">
        <f>IF(Demand!F419,1,0)</f>
        <v>0</v>
      </c>
      <c r="F421" s="33">
        <f>COUNTIFS(c_store,A421,c_date,B421,c_hour,C421)</f>
        <v>0</v>
      </c>
      <c r="G421" s="33">
        <f>IF(F421&gt;0,1,0)</f>
        <v>0</v>
      </c>
      <c r="H421" s="33">
        <f>COUNTIFS(Demand!$A$2:$A$4481,A421,Demand!$B$2:$B$4481,B421,Demand!$C$2:$C$4481,C421)</f>
        <v>1</v>
      </c>
    </row>
    <row r="422">
      <c r="A422" s="32" t="str">
        <f>Demand!A420</f>
        <v>S007</v>
      </c>
      <c r="B422" s="35">
        <f>Demand!B420</f>
        <v>46267.0</v>
      </c>
      <c r="C422" s="33">
        <f>Demand!C420</f>
        <v>10</v>
      </c>
      <c r="D422" s="33">
        <f>Demand!E420</f>
        <v>28</v>
      </c>
      <c r="E422" s="33">
        <f>IF(Demand!F420,1,0)</f>
        <v>0</v>
      </c>
      <c r="F422" s="33">
        <f>COUNTIFS(c_store,A422,c_date,B422,c_hour,C422)</f>
        <v>0</v>
      </c>
      <c r="G422" s="33">
        <f>IF(F422&gt;0,1,0)</f>
        <v>0</v>
      </c>
      <c r="H422" s="33">
        <f>COUNTIFS(Demand!$A$2:$A$4481,A422,Demand!$B$2:$B$4481,B422,Demand!$C$2:$C$4481,C422)</f>
        <v>1</v>
      </c>
    </row>
    <row r="423">
      <c r="A423" s="32" t="str">
        <f>Demand!A421</f>
        <v>S007</v>
      </c>
      <c r="B423" s="35">
        <f>Demand!B421</f>
        <v>46267.0</v>
      </c>
      <c r="C423" s="33">
        <f>Demand!C421</f>
        <v>11</v>
      </c>
      <c r="D423" s="33">
        <f>Demand!E421</f>
        <v>40</v>
      </c>
      <c r="E423" s="33">
        <f>IF(Demand!F421,1,0)</f>
        <v>0</v>
      </c>
      <c r="F423" s="33">
        <f>COUNTIFS(c_store,A423,c_date,B423,c_hour,C423)</f>
        <v>0</v>
      </c>
      <c r="G423" s="33">
        <f>IF(F423&gt;0,1,0)</f>
        <v>0</v>
      </c>
      <c r="H423" s="33">
        <f>COUNTIFS(Demand!$A$2:$A$4481,A423,Demand!$B$2:$B$4481,B423,Demand!$C$2:$C$4481,C423)</f>
        <v>1</v>
      </c>
    </row>
    <row r="424">
      <c r="A424" s="32" t="str">
        <f>Demand!A422</f>
        <v>S007</v>
      </c>
      <c r="B424" s="35">
        <f>Demand!B422</f>
        <v>46267.0</v>
      </c>
      <c r="C424" s="33">
        <f>Demand!C422</f>
        <v>12</v>
      </c>
      <c r="D424" s="33">
        <f>Demand!E422</f>
        <v>36</v>
      </c>
      <c r="E424" s="33">
        <f>IF(Demand!F422,1,0)</f>
        <v>0</v>
      </c>
      <c r="F424" s="33">
        <f>COUNTIFS(c_store,A424,c_date,B424,c_hour,C424)</f>
        <v>2</v>
      </c>
      <c r="G424" s="33">
        <f>IF(F424&gt;0,1,0)</f>
        <v>1</v>
      </c>
      <c r="H424" s="33">
        <f>COUNTIFS(Demand!$A$2:$A$4481,A424,Demand!$B$2:$B$4481,B424,Demand!$C$2:$C$4481,C424)</f>
        <v>1</v>
      </c>
    </row>
    <row r="425">
      <c r="A425" s="32" t="str">
        <f>Demand!A423</f>
        <v>S007</v>
      </c>
      <c r="B425" s="35">
        <f>Demand!B423</f>
        <v>46267.0</v>
      </c>
      <c r="C425" s="33">
        <f>Demand!C423</f>
        <v>13</v>
      </c>
      <c r="D425" s="33">
        <f>Demand!E423</f>
        <v>32</v>
      </c>
      <c r="E425" s="33">
        <f>IF(Demand!F423,1,0)</f>
        <v>0</v>
      </c>
      <c r="F425" s="33">
        <f>COUNTIFS(c_store,A425,c_date,B425,c_hour,C425)</f>
        <v>0</v>
      </c>
      <c r="G425" s="33">
        <f>IF(F425&gt;0,1,0)</f>
        <v>0</v>
      </c>
      <c r="H425" s="33">
        <f>COUNTIFS(Demand!$A$2:$A$4481,A425,Demand!$B$2:$B$4481,B425,Demand!$C$2:$C$4481,C425)</f>
        <v>1</v>
      </c>
    </row>
    <row r="426">
      <c r="A426" s="32" t="str">
        <f>Demand!A424</f>
        <v>S007</v>
      </c>
      <c r="B426" s="35">
        <f>Demand!B424</f>
        <v>46267.0</v>
      </c>
      <c r="C426" s="33">
        <f>Demand!C424</f>
        <v>14</v>
      </c>
      <c r="D426" s="33">
        <f>Demand!E424</f>
        <v>26</v>
      </c>
      <c r="E426" s="33">
        <f>IF(Demand!F424,1,0)</f>
        <v>0</v>
      </c>
      <c r="F426" s="33">
        <f>COUNTIFS(c_store,A426,c_date,B426,c_hour,C426)</f>
        <v>0</v>
      </c>
      <c r="G426" s="33">
        <f>IF(F426&gt;0,1,0)</f>
        <v>0</v>
      </c>
      <c r="H426" s="33">
        <f>COUNTIFS(Demand!$A$2:$A$4481,A426,Demand!$B$2:$B$4481,B426,Demand!$C$2:$C$4481,C426)</f>
        <v>1</v>
      </c>
    </row>
    <row r="427">
      <c r="A427" s="32" t="str">
        <f>Demand!A425</f>
        <v>S007</v>
      </c>
      <c r="B427" s="35">
        <f>Demand!B425</f>
        <v>46267.0</v>
      </c>
      <c r="C427" s="33">
        <f>Demand!C425</f>
        <v>15</v>
      </c>
      <c r="D427" s="33">
        <f>Demand!E425</f>
        <v>27</v>
      </c>
      <c r="E427" s="33">
        <f>IF(Demand!F425,1,0)</f>
        <v>0</v>
      </c>
      <c r="F427" s="33">
        <f>COUNTIFS(c_store,A427,c_date,B427,c_hour,C427)</f>
        <v>0</v>
      </c>
      <c r="G427" s="33">
        <f>IF(F427&gt;0,1,0)</f>
        <v>0</v>
      </c>
      <c r="H427" s="33">
        <f>COUNTIFS(Demand!$A$2:$A$4481,A427,Demand!$B$2:$B$4481,B427,Demand!$C$2:$C$4481,C427)</f>
        <v>1</v>
      </c>
    </row>
    <row r="428">
      <c r="A428" s="32" t="str">
        <f>Demand!A426</f>
        <v>S007</v>
      </c>
      <c r="B428" s="35">
        <f>Demand!B426</f>
        <v>46267.0</v>
      </c>
      <c r="C428" s="33">
        <f>Demand!C426</f>
        <v>16</v>
      </c>
      <c r="D428" s="33">
        <f>Demand!E426</f>
        <v>34</v>
      </c>
      <c r="E428" s="33">
        <f>IF(Demand!F426,1,0)</f>
        <v>0</v>
      </c>
      <c r="F428" s="33">
        <f>COUNTIFS(c_store,A428,c_date,B428,c_hour,C428)</f>
        <v>0</v>
      </c>
      <c r="G428" s="33">
        <f>IF(F428&gt;0,1,0)</f>
        <v>0</v>
      </c>
      <c r="H428" s="33">
        <f>COUNTIFS(Demand!$A$2:$A$4481,A428,Demand!$B$2:$B$4481,B428,Demand!$C$2:$C$4481,C428)</f>
        <v>1</v>
      </c>
    </row>
    <row r="429">
      <c r="A429" s="32" t="str">
        <f>Demand!A427</f>
        <v>S007</v>
      </c>
      <c r="B429" s="35">
        <f>Demand!B427</f>
        <v>46267.0</v>
      </c>
      <c r="C429" s="33">
        <f>Demand!C427</f>
        <v>17</v>
      </c>
      <c r="D429" s="33">
        <f>Demand!E427</f>
        <v>27</v>
      </c>
      <c r="E429" s="33">
        <f>IF(Demand!F427,1,0)</f>
        <v>0</v>
      </c>
      <c r="F429" s="33">
        <f>COUNTIFS(c_store,A429,c_date,B429,c_hour,C429)</f>
        <v>0</v>
      </c>
      <c r="G429" s="33">
        <f>IF(F429&gt;0,1,0)</f>
        <v>0</v>
      </c>
      <c r="H429" s="33">
        <f>COUNTIFS(Demand!$A$2:$A$4481,A429,Demand!$B$2:$B$4481,B429,Demand!$C$2:$C$4481,C429)</f>
        <v>1</v>
      </c>
    </row>
    <row r="430">
      <c r="A430" s="32" t="str">
        <f>Demand!A428</f>
        <v>S007</v>
      </c>
      <c r="B430" s="35">
        <f>Demand!B428</f>
        <v>46267.0</v>
      </c>
      <c r="C430" s="33">
        <f>Demand!C428</f>
        <v>18</v>
      </c>
      <c r="D430" s="33">
        <f>Demand!E428</f>
        <v>49</v>
      </c>
      <c r="E430" s="33">
        <f>IF(Demand!F428,1,0)</f>
        <v>0</v>
      </c>
      <c r="F430" s="33">
        <f>COUNTIFS(c_store,A430,c_date,B430,c_hour,C430)</f>
        <v>0</v>
      </c>
      <c r="G430" s="33">
        <f>IF(F430&gt;0,1,0)</f>
        <v>0</v>
      </c>
      <c r="H430" s="33">
        <f>COUNTIFS(Demand!$A$2:$A$4481,A430,Demand!$B$2:$B$4481,B430,Demand!$C$2:$C$4481,C430)</f>
        <v>1</v>
      </c>
    </row>
    <row r="431">
      <c r="A431" s="32" t="str">
        <f>Demand!A429</f>
        <v>S007</v>
      </c>
      <c r="B431" s="35">
        <f>Demand!B429</f>
        <v>46267.0</v>
      </c>
      <c r="C431" s="33">
        <f>Demand!C429</f>
        <v>19</v>
      </c>
      <c r="D431" s="33">
        <f>Demand!E429</f>
        <v>63</v>
      </c>
      <c r="E431" s="33">
        <f>IF(Demand!F429,1,0)</f>
        <v>1</v>
      </c>
      <c r="F431" s="33">
        <f>COUNTIFS(c_store,A431,c_date,B431,c_hour,C431)</f>
        <v>0</v>
      </c>
      <c r="G431" s="33">
        <f>IF(F431&gt;0,1,0)</f>
        <v>0</v>
      </c>
      <c r="H431" s="33">
        <f>COUNTIFS(Demand!$A$2:$A$4481,A431,Demand!$B$2:$B$4481,B431,Demand!$C$2:$C$4481,C431)</f>
        <v>1</v>
      </c>
    </row>
    <row r="432">
      <c r="A432" s="32" t="str">
        <f>Demand!A430</f>
        <v>S007</v>
      </c>
      <c r="B432" s="35">
        <f>Demand!B430</f>
        <v>46267.0</v>
      </c>
      <c r="C432" s="33">
        <f>Demand!C430</f>
        <v>20</v>
      </c>
      <c r="D432" s="33">
        <f>Demand!E430</f>
        <v>52</v>
      </c>
      <c r="E432" s="33">
        <f>IF(Demand!F430,1,0)</f>
        <v>1</v>
      </c>
      <c r="F432" s="33">
        <f>COUNTIFS(c_store,A432,c_date,B432,c_hour,C432)</f>
        <v>2</v>
      </c>
      <c r="G432" s="33">
        <f>IF(F432&gt;0,1,0)</f>
        <v>1</v>
      </c>
      <c r="H432" s="33">
        <f>COUNTIFS(Demand!$A$2:$A$4481,A432,Demand!$B$2:$B$4481,B432,Demand!$C$2:$C$4481,C432)</f>
        <v>1</v>
      </c>
    </row>
    <row r="433">
      <c r="A433" s="32" t="str">
        <f>Demand!A431</f>
        <v>S007</v>
      </c>
      <c r="B433" s="35">
        <f>Demand!B431</f>
        <v>46267.0</v>
      </c>
      <c r="C433" s="33">
        <f>Demand!C431</f>
        <v>21</v>
      </c>
      <c r="D433" s="33">
        <f>Demand!E431</f>
        <v>59</v>
      </c>
      <c r="E433" s="33">
        <f>IF(Demand!F431,1,0)</f>
        <v>1</v>
      </c>
      <c r="F433" s="33">
        <f>COUNTIFS(c_store,A433,c_date,B433,c_hour,C433)</f>
        <v>0</v>
      </c>
      <c r="G433" s="33">
        <f>IF(F433&gt;0,1,0)</f>
        <v>0</v>
      </c>
      <c r="H433" s="33">
        <f>COUNTIFS(Demand!$A$2:$A$4481,A433,Demand!$B$2:$B$4481,B433,Demand!$C$2:$C$4481,C433)</f>
        <v>1</v>
      </c>
    </row>
    <row r="434">
      <c r="A434" s="32" t="str">
        <f>Demand!A432</f>
        <v>S007</v>
      </c>
      <c r="B434" s="35">
        <f>Demand!B432</f>
        <v>46267.0</v>
      </c>
      <c r="C434" s="33">
        <f>Demand!C432</f>
        <v>22</v>
      </c>
      <c r="D434" s="33">
        <f>Demand!E432</f>
        <v>46</v>
      </c>
      <c r="E434" s="33">
        <f>IF(Demand!F432,1,0)</f>
        <v>0</v>
      </c>
      <c r="F434" s="33">
        <f>COUNTIFS(c_store,A434,c_date,B434,c_hour,C434)</f>
        <v>0</v>
      </c>
      <c r="G434" s="33">
        <f>IF(F434&gt;0,1,0)</f>
        <v>0</v>
      </c>
      <c r="H434" s="33">
        <f>COUNTIFS(Demand!$A$2:$A$4481,A434,Demand!$B$2:$B$4481,B434,Demand!$C$2:$C$4481,C434)</f>
        <v>1</v>
      </c>
    </row>
    <row r="435">
      <c r="A435" s="32" t="str">
        <f>Demand!A433</f>
        <v>S007</v>
      </c>
      <c r="B435" s="35">
        <f>Demand!B433</f>
        <v>46267.0</v>
      </c>
      <c r="C435" s="33">
        <f>Demand!C433</f>
        <v>23</v>
      </c>
      <c r="D435" s="33">
        <f>Demand!E433</f>
        <v>45</v>
      </c>
      <c r="E435" s="33">
        <f>IF(Demand!F433,1,0)</f>
        <v>0</v>
      </c>
      <c r="F435" s="33">
        <f>COUNTIFS(c_store,A435,c_date,B435,c_hour,C435)</f>
        <v>1</v>
      </c>
      <c r="G435" s="33">
        <f>IF(F435&gt;0,1,0)</f>
        <v>1</v>
      </c>
      <c r="H435" s="33">
        <f>COUNTIFS(Demand!$A$2:$A$4481,A435,Demand!$B$2:$B$4481,B435,Demand!$C$2:$C$4481,C435)</f>
        <v>1</v>
      </c>
    </row>
    <row r="436">
      <c r="A436" s="32" t="str">
        <f>Demand!A434</f>
        <v>S008</v>
      </c>
      <c r="B436" s="35">
        <f>Demand!B434</f>
        <v>46267.0</v>
      </c>
      <c r="C436" s="33">
        <f>Demand!C434</f>
        <v>8</v>
      </c>
      <c r="D436" s="33">
        <f>Demand!E434</f>
        <v>12</v>
      </c>
      <c r="E436" s="33">
        <f>IF(Demand!F434,1,0)</f>
        <v>0</v>
      </c>
      <c r="F436" s="33">
        <f>COUNTIFS(c_store,A436,c_date,B436,c_hour,C436)</f>
        <v>0</v>
      </c>
      <c r="G436" s="33">
        <f>IF(F436&gt;0,1,0)</f>
        <v>0</v>
      </c>
      <c r="H436" s="33">
        <f>COUNTIFS(Demand!$A$2:$A$4481,A436,Demand!$B$2:$B$4481,B436,Demand!$C$2:$C$4481,C436)</f>
        <v>1</v>
      </c>
    </row>
    <row r="437">
      <c r="A437" s="32" t="str">
        <f>Demand!A435</f>
        <v>S008</v>
      </c>
      <c r="B437" s="35">
        <f>Demand!B435</f>
        <v>46267.0</v>
      </c>
      <c r="C437" s="33">
        <f>Demand!C435</f>
        <v>9</v>
      </c>
      <c r="D437" s="33">
        <f>Demand!E435</f>
        <v>18</v>
      </c>
      <c r="E437" s="33">
        <f>IF(Demand!F435,1,0)</f>
        <v>0</v>
      </c>
      <c r="F437" s="33">
        <f>COUNTIFS(c_store,A437,c_date,B437,c_hour,C437)</f>
        <v>0</v>
      </c>
      <c r="G437" s="33">
        <f>IF(F437&gt;0,1,0)</f>
        <v>0</v>
      </c>
      <c r="H437" s="33">
        <f>COUNTIFS(Demand!$A$2:$A$4481,A437,Demand!$B$2:$B$4481,B437,Demand!$C$2:$C$4481,C437)</f>
        <v>1</v>
      </c>
    </row>
    <row r="438">
      <c r="A438" s="32" t="str">
        <f>Demand!A436</f>
        <v>S008</v>
      </c>
      <c r="B438" s="35">
        <f>Demand!B436</f>
        <v>46267.0</v>
      </c>
      <c r="C438" s="33">
        <f>Demand!C436</f>
        <v>10</v>
      </c>
      <c r="D438" s="33">
        <f>Demand!E436</f>
        <v>16</v>
      </c>
      <c r="E438" s="33">
        <f>IF(Demand!F436,1,0)</f>
        <v>0</v>
      </c>
      <c r="F438" s="33">
        <f>COUNTIFS(c_store,A438,c_date,B438,c_hour,C438)</f>
        <v>0</v>
      </c>
      <c r="G438" s="33">
        <f>IF(F438&gt;0,1,0)</f>
        <v>0</v>
      </c>
      <c r="H438" s="33">
        <f>COUNTIFS(Demand!$A$2:$A$4481,A438,Demand!$B$2:$B$4481,B438,Demand!$C$2:$C$4481,C438)</f>
        <v>1</v>
      </c>
    </row>
    <row r="439">
      <c r="A439" s="32" t="str">
        <f>Demand!A437</f>
        <v>S008</v>
      </c>
      <c r="B439" s="35">
        <f>Demand!B437</f>
        <v>46267.0</v>
      </c>
      <c r="C439" s="33">
        <f>Demand!C437</f>
        <v>11</v>
      </c>
      <c r="D439" s="33">
        <f>Demand!E437</f>
        <v>29</v>
      </c>
      <c r="E439" s="33">
        <f>IF(Demand!F437,1,0)</f>
        <v>0</v>
      </c>
      <c r="F439" s="33">
        <f>COUNTIFS(c_store,A439,c_date,B439,c_hour,C439)</f>
        <v>0</v>
      </c>
      <c r="G439" s="33">
        <f>IF(F439&gt;0,1,0)</f>
        <v>0</v>
      </c>
      <c r="H439" s="33">
        <f>COUNTIFS(Demand!$A$2:$A$4481,A439,Demand!$B$2:$B$4481,B439,Demand!$C$2:$C$4481,C439)</f>
        <v>1</v>
      </c>
    </row>
    <row r="440">
      <c r="A440" s="32" t="str">
        <f>Demand!A438</f>
        <v>S008</v>
      </c>
      <c r="B440" s="35">
        <f>Demand!B438</f>
        <v>46267.0</v>
      </c>
      <c r="C440" s="33">
        <f>Demand!C438</f>
        <v>12</v>
      </c>
      <c r="D440" s="33">
        <f>Demand!E438</f>
        <v>31</v>
      </c>
      <c r="E440" s="33">
        <f>IF(Demand!F438,1,0)</f>
        <v>0</v>
      </c>
      <c r="F440" s="33">
        <f>COUNTIFS(c_store,A440,c_date,B440,c_hour,C440)</f>
        <v>0</v>
      </c>
      <c r="G440" s="33">
        <f>IF(F440&gt;0,1,0)</f>
        <v>0</v>
      </c>
      <c r="H440" s="33">
        <f>COUNTIFS(Demand!$A$2:$A$4481,A440,Demand!$B$2:$B$4481,B440,Demand!$C$2:$C$4481,C440)</f>
        <v>1</v>
      </c>
    </row>
    <row r="441">
      <c r="A441" s="32" t="str">
        <f>Demand!A439</f>
        <v>S008</v>
      </c>
      <c r="B441" s="35">
        <f>Demand!B439</f>
        <v>46267.0</v>
      </c>
      <c r="C441" s="33">
        <f>Demand!C439</f>
        <v>13</v>
      </c>
      <c r="D441" s="33">
        <f>Demand!E439</f>
        <v>19</v>
      </c>
      <c r="E441" s="33">
        <f>IF(Demand!F439,1,0)</f>
        <v>0</v>
      </c>
      <c r="F441" s="33">
        <f>COUNTIFS(c_store,A441,c_date,B441,c_hour,C441)</f>
        <v>0</v>
      </c>
      <c r="G441" s="33">
        <f>IF(F441&gt;0,1,0)</f>
        <v>0</v>
      </c>
      <c r="H441" s="33">
        <f>COUNTIFS(Demand!$A$2:$A$4481,A441,Demand!$B$2:$B$4481,B441,Demand!$C$2:$C$4481,C441)</f>
        <v>1</v>
      </c>
    </row>
    <row r="442">
      <c r="A442" s="32" t="str">
        <f>Demand!A440</f>
        <v>S008</v>
      </c>
      <c r="B442" s="35">
        <f>Demand!B440</f>
        <v>46267.0</v>
      </c>
      <c r="C442" s="33">
        <f>Demand!C440</f>
        <v>14</v>
      </c>
      <c r="D442" s="33">
        <f>Demand!E440</f>
        <v>22</v>
      </c>
      <c r="E442" s="33">
        <f>IF(Demand!F440,1,0)</f>
        <v>0</v>
      </c>
      <c r="F442" s="33">
        <f>COUNTIFS(c_store,A442,c_date,B442,c_hour,C442)</f>
        <v>0</v>
      </c>
      <c r="G442" s="33">
        <f>IF(F442&gt;0,1,0)</f>
        <v>0</v>
      </c>
      <c r="H442" s="33">
        <f>COUNTIFS(Demand!$A$2:$A$4481,A442,Demand!$B$2:$B$4481,B442,Demand!$C$2:$C$4481,C442)</f>
        <v>1</v>
      </c>
    </row>
    <row r="443">
      <c r="A443" s="32" t="str">
        <f>Demand!A441</f>
        <v>S008</v>
      </c>
      <c r="B443" s="35">
        <f>Demand!B441</f>
        <v>46267.0</v>
      </c>
      <c r="C443" s="33">
        <f>Demand!C441</f>
        <v>15</v>
      </c>
      <c r="D443" s="33">
        <f>Demand!E441</f>
        <v>17</v>
      </c>
      <c r="E443" s="33">
        <f>IF(Demand!F441,1,0)</f>
        <v>0</v>
      </c>
      <c r="F443" s="33">
        <f>COUNTIFS(c_store,A443,c_date,B443,c_hour,C443)</f>
        <v>0</v>
      </c>
      <c r="G443" s="33">
        <f>IF(F443&gt;0,1,0)</f>
        <v>0</v>
      </c>
      <c r="H443" s="33">
        <f>COUNTIFS(Demand!$A$2:$A$4481,A443,Demand!$B$2:$B$4481,B443,Demand!$C$2:$C$4481,C443)</f>
        <v>1</v>
      </c>
    </row>
    <row r="444">
      <c r="A444" s="32" t="str">
        <f>Demand!A442</f>
        <v>S008</v>
      </c>
      <c r="B444" s="35">
        <f>Demand!B442</f>
        <v>46267.0</v>
      </c>
      <c r="C444" s="33">
        <f>Demand!C442</f>
        <v>16</v>
      </c>
      <c r="D444" s="33">
        <f>Demand!E442</f>
        <v>18</v>
      </c>
      <c r="E444" s="33">
        <f>IF(Demand!F442,1,0)</f>
        <v>0</v>
      </c>
      <c r="F444" s="33">
        <f>COUNTIFS(c_store,A444,c_date,B444,c_hour,C444)</f>
        <v>0</v>
      </c>
      <c r="G444" s="33">
        <f>IF(F444&gt;0,1,0)</f>
        <v>0</v>
      </c>
      <c r="H444" s="33">
        <f>COUNTIFS(Demand!$A$2:$A$4481,A444,Demand!$B$2:$B$4481,B444,Demand!$C$2:$C$4481,C444)</f>
        <v>1</v>
      </c>
    </row>
    <row r="445">
      <c r="A445" s="32" t="str">
        <f>Demand!A443</f>
        <v>S008</v>
      </c>
      <c r="B445" s="35">
        <f>Demand!B443</f>
        <v>46267.0</v>
      </c>
      <c r="C445" s="33">
        <f>Demand!C443</f>
        <v>17</v>
      </c>
      <c r="D445" s="33">
        <f>Demand!E443</f>
        <v>20</v>
      </c>
      <c r="E445" s="33">
        <f>IF(Demand!F443,1,0)</f>
        <v>0</v>
      </c>
      <c r="F445" s="33">
        <f>COUNTIFS(c_store,A445,c_date,B445,c_hour,C445)</f>
        <v>1</v>
      </c>
      <c r="G445" s="33">
        <f>IF(F445&gt;0,1,0)</f>
        <v>1</v>
      </c>
      <c r="H445" s="33">
        <f>COUNTIFS(Demand!$A$2:$A$4481,A445,Demand!$B$2:$B$4481,B445,Demand!$C$2:$C$4481,C445)</f>
        <v>1</v>
      </c>
    </row>
    <row r="446">
      <c r="A446" s="32" t="str">
        <f>Demand!A444</f>
        <v>S008</v>
      </c>
      <c r="B446" s="35">
        <f>Demand!B444</f>
        <v>46267.0</v>
      </c>
      <c r="C446" s="33">
        <f>Demand!C444</f>
        <v>18</v>
      </c>
      <c r="D446" s="33">
        <f>Demand!E444</f>
        <v>28</v>
      </c>
      <c r="E446" s="33">
        <f>IF(Demand!F444,1,0)</f>
        <v>0</v>
      </c>
      <c r="F446" s="33">
        <f>COUNTIFS(c_store,A446,c_date,B446,c_hour,C446)</f>
        <v>0</v>
      </c>
      <c r="G446" s="33">
        <f>IF(F446&gt;0,1,0)</f>
        <v>0</v>
      </c>
      <c r="H446" s="33">
        <f>COUNTIFS(Demand!$A$2:$A$4481,A446,Demand!$B$2:$B$4481,B446,Demand!$C$2:$C$4481,C446)</f>
        <v>1</v>
      </c>
    </row>
    <row r="447">
      <c r="A447" s="32" t="str">
        <f>Demand!A445</f>
        <v>S008</v>
      </c>
      <c r="B447" s="35">
        <f>Demand!B445</f>
        <v>46267.0</v>
      </c>
      <c r="C447" s="33">
        <f>Demand!C445</f>
        <v>19</v>
      </c>
      <c r="D447" s="33">
        <f>Demand!E445</f>
        <v>38</v>
      </c>
      <c r="E447" s="33">
        <f>IF(Demand!F445,1,0)</f>
        <v>1</v>
      </c>
      <c r="F447" s="33">
        <f>COUNTIFS(c_store,A447,c_date,B447,c_hour,C447)</f>
        <v>0</v>
      </c>
      <c r="G447" s="33">
        <f>IF(F447&gt;0,1,0)</f>
        <v>0</v>
      </c>
      <c r="H447" s="33">
        <f>COUNTIFS(Demand!$A$2:$A$4481,A447,Demand!$B$2:$B$4481,B447,Demand!$C$2:$C$4481,C447)</f>
        <v>1</v>
      </c>
    </row>
    <row r="448">
      <c r="A448" s="32" t="str">
        <f>Demand!A446</f>
        <v>S008</v>
      </c>
      <c r="B448" s="35">
        <f>Demand!B446</f>
        <v>46267.0</v>
      </c>
      <c r="C448" s="33">
        <f>Demand!C446</f>
        <v>20</v>
      </c>
      <c r="D448" s="33">
        <f>Demand!E446</f>
        <v>37</v>
      </c>
      <c r="E448" s="33">
        <f>IF(Demand!F446,1,0)</f>
        <v>1</v>
      </c>
      <c r="F448" s="33">
        <f>COUNTIFS(c_store,A448,c_date,B448,c_hour,C448)</f>
        <v>0</v>
      </c>
      <c r="G448" s="33">
        <f>IF(F448&gt;0,1,0)</f>
        <v>0</v>
      </c>
      <c r="H448" s="33">
        <f>COUNTIFS(Demand!$A$2:$A$4481,A448,Demand!$B$2:$B$4481,B448,Demand!$C$2:$C$4481,C448)</f>
        <v>1</v>
      </c>
    </row>
    <row r="449">
      <c r="A449" s="32" t="str">
        <f>Demand!A447</f>
        <v>S008</v>
      </c>
      <c r="B449" s="35">
        <f>Demand!B447</f>
        <v>46267.0</v>
      </c>
      <c r="C449" s="33">
        <f>Demand!C447</f>
        <v>21</v>
      </c>
      <c r="D449" s="33">
        <f>Demand!E447</f>
        <v>25</v>
      </c>
      <c r="E449" s="33">
        <f>IF(Demand!F447,1,0)</f>
        <v>1</v>
      </c>
      <c r="F449" s="33">
        <f>COUNTIFS(c_store,A449,c_date,B449,c_hour,C449)</f>
        <v>1</v>
      </c>
      <c r="G449" s="33">
        <f>IF(F449&gt;0,1,0)</f>
        <v>1</v>
      </c>
      <c r="H449" s="33">
        <f>COUNTIFS(Demand!$A$2:$A$4481,A449,Demand!$B$2:$B$4481,B449,Demand!$C$2:$C$4481,C449)</f>
        <v>1</v>
      </c>
    </row>
    <row r="450">
      <c r="A450" s="32" t="str">
        <f>Demand!A448</f>
        <v>S008</v>
      </c>
      <c r="B450" s="35">
        <f>Demand!B448</f>
        <v>46267.0</v>
      </c>
      <c r="C450" s="33">
        <f>Demand!C448</f>
        <v>22</v>
      </c>
      <c r="D450" s="33">
        <f>Demand!E448</f>
        <v>20</v>
      </c>
      <c r="E450" s="33">
        <f>IF(Demand!F448,1,0)</f>
        <v>0</v>
      </c>
      <c r="F450" s="33">
        <f>COUNTIFS(c_store,A450,c_date,B450,c_hour,C450)</f>
        <v>1</v>
      </c>
      <c r="G450" s="33">
        <f>IF(F450&gt;0,1,0)</f>
        <v>1</v>
      </c>
      <c r="H450" s="33">
        <f>COUNTIFS(Demand!$A$2:$A$4481,A450,Demand!$B$2:$B$4481,B450,Demand!$C$2:$C$4481,C450)</f>
        <v>1</v>
      </c>
    </row>
    <row r="451">
      <c r="A451" s="32" t="str">
        <f>Demand!A449</f>
        <v>S008</v>
      </c>
      <c r="B451" s="35">
        <f>Demand!B449</f>
        <v>46267.0</v>
      </c>
      <c r="C451" s="33">
        <f>Demand!C449</f>
        <v>23</v>
      </c>
      <c r="D451" s="33">
        <f>Demand!E449</f>
        <v>23</v>
      </c>
      <c r="E451" s="33">
        <f>IF(Demand!F449,1,0)</f>
        <v>0</v>
      </c>
      <c r="F451" s="33">
        <f>COUNTIFS(c_store,A451,c_date,B451,c_hour,C451)</f>
        <v>0</v>
      </c>
      <c r="G451" s="33">
        <f>IF(F451&gt;0,1,0)</f>
        <v>0</v>
      </c>
      <c r="H451" s="33">
        <f>COUNTIFS(Demand!$A$2:$A$4481,A451,Demand!$B$2:$B$4481,B451,Demand!$C$2:$C$4481,C451)</f>
        <v>1</v>
      </c>
    </row>
    <row r="452">
      <c r="A452" s="32" t="str">
        <f>Demand!A450</f>
        <v>S009</v>
      </c>
      <c r="B452" s="35">
        <f>Demand!B450</f>
        <v>46267.0</v>
      </c>
      <c r="C452" s="33">
        <f>Demand!C450</f>
        <v>8</v>
      </c>
      <c r="D452" s="33">
        <f>Demand!E450</f>
        <v>24</v>
      </c>
      <c r="E452" s="33">
        <f>IF(Demand!F450,1,0)</f>
        <v>0</v>
      </c>
      <c r="F452" s="33">
        <f>COUNTIFS(c_store,A452,c_date,B452,c_hour,C452)</f>
        <v>0</v>
      </c>
      <c r="G452" s="33">
        <f>IF(F452&gt;0,1,0)</f>
        <v>0</v>
      </c>
      <c r="H452" s="33">
        <f>COUNTIFS(Demand!$A$2:$A$4481,A452,Demand!$B$2:$B$4481,B452,Demand!$C$2:$C$4481,C452)</f>
        <v>1</v>
      </c>
    </row>
    <row r="453">
      <c r="A453" s="32" t="str">
        <f>Demand!A451</f>
        <v>S009</v>
      </c>
      <c r="B453" s="35">
        <f>Demand!B451</f>
        <v>46267.0</v>
      </c>
      <c r="C453" s="33">
        <f>Demand!C451</f>
        <v>9</v>
      </c>
      <c r="D453" s="33">
        <f>Demand!E451</f>
        <v>23</v>
      </c>
      <c r="E453" s="33">
        <f>IF(Demand!F451,1,0)</f>
        <v>0</v>
      </c>
      <c r="F453" s="33">
        <f>COUNTIFS(c_store,A453,c_date,B453,c_hour,C453)</f>
        <v>0</v>
      </c>
      <c r="G453" s="33">
        <f>IF(F453&gt;0,1,0)</f>
        <v>0</v>
      </c>
      <c r="H453" s="33">
        <f>COUNTIFS(Demand!$A$2:$A$4481,A453,Demand!$B$2:$B$4481,B453,Demand!$C$2:$C$4481,C453)</f>
        <v>1</v>
      </c>
    </row>
    <row r="454">
      <c r="A454" s="32" t="str">
        <f>Demand!A452</f>
        <v>S009</v>
      </c>
      <c r="B454" s="35">
        <f>Demand!B452</f>
        <v>46267.0</v>
      </c>
      <c r="C454" s="33">
        <f>Demand!C452</f>
        <v>10</v>
      </c>
      <c r="D454" s="33">
        <f>Demand!E452</f>
        <v>18</v>
      </c>
      <c r="E454" s="33">
        <f>IF(Demand!F452,1,0)</f>
        <v>0</v>
      </c>
      <c r="F454" s="33">
        <f>COUNTIFS(c_store,A454,c_date,B454,c_hour,C454)</f>
        <v>0</v>
      </c>
      <c r="G454" s="33">
        <f>IF(F454&gt;0,1,0)</f>
        <v>0</v>
      </c>
      <c r="H454" s="33">
        <f>COUNTIFS(Demand!$A$2:$A$4481,A454,Demand!$B$2:$B$4481,B454,Demand!$C$2:$C$4481,C454)</f>
        <v>1</v>
      </c>
    </row>
    <row r="455">
      <c r="A455" s="32" t="str">
        <f>Demand!A453</f>
        <v>S009</v>
      </c>
      <c r="B455" s="35">
        <f>Demand!B453</f>
        <v>46267.0</v>
      </c>
      <c r="C455" s="33">
        <f>Demand!C453</f>
        <v>11</v>
      </c>
      <c r="D455" s="33">
        <f>Demand!E453</f>
        <v>35</v>
      </c>
      <c r="E455" s="33">
        <f>IF(Demand!F453,1,0)</f>
        <v>0</v>
      </c>
      <c r="F455" s="33">
        <f>COUNTIFS(c_store,A455,c_date,B455,c_hour,C455)</f>
        <v>0</v>
      </c>
      <c r="G455" s="33">
        <f>IF(F455&gt;0,1,0)</f>
        <v>0</v>
      </c>
      <c r="H455" s="33">
        <f>COUNTIFS(Demand!$A$2:$A$4481,A455,Demand!$B$2:$B$4481,B455,Demand!$C$2:$C$4481,C455)</f>
        <v>1</v>
      </c>
    </row>
    <row r="456">
      <c r="A456" s="32" t="str">
        <f>Demand!A454</f>
        <v>S009</v>
      </c>
      <c r="B456" s="35">
        <f>Demand!B454</f>
        <v>46267.0</v>
      </c>
      <c r="C456" s="33">
        <f>Demand!C454</f>
        <v>12</v>
      </c>
      <c r="D456" s="33">
        <f>Demand!E454</f>
        <v>35</v>
      </c>
      <c r="E456" s="33">
        <f>IF(Demand!F454,1,0)</f>
        <v>0</v>
      </c>
      <c r="F456" s="33">
        <f>COUNTIFS(c_store,A456,c_date,B456,c_hour,C456)</f>
        <v>0</v>
      </c>
      <c r="G456" s="33">
        <f>IF(F456&gt;0,1,0)</f>
        <v>0</v>
      </c>
      <c r="H456" s="33">
        <f>COUNTIFS(Demand!$A$2:$A$4481,A456,Demand!$B$2:$B$4481,B456,Demand!$C$2:$C$4481,C456)</f>
        <v>1</v>
      </c>
    </row>
    <row r="457">
      <c r="A457" s="32" t="str">
        <f>Demand!A455</f>
        <v>S009</v>
      </c>
      <c r="B457" s="35">
        <f>Demand!B455</f>
        <v>46267.0</v>
      </c>
      <c r="C457" s="33">
        <f>Demand!C455</f>
        <v>13</v>
      </c>
      <c r="D457" s="33">
        <f>Demand!E455</f>
        <v>26</v>
      </c>
      <c r="E457" s="33">
        <f>IF(Demand!F455,1,0)</f>
        <v>0</v>
      </c>
      <c r="F457" s="33">
        <f>COUNTIFS(c_store,A457,c_date,B457,c_hour,C457)</f>
        <v>1</v>
      </c>
      <c r="G457" s="33">
        <f>IF(F457&gt;0,1,0)</f>
        <v>1</v>
      </c>
      <c r="H457" s="33">
        <f>COUNTIFS(Demand!$A$2:$A$4481,A457,Demand!$B$2:$B$4481,B457,Demand!$C$2:$C$4481,C457)</f>
        <v>1</v>
      </c>
    </row>
    <row r="458">
      <c r="A458" s="32" t="str">
        <f>Demand!A456</f>
        <v>S009</v>
      </c>
      <c r="B458" s="35">
        <f>Demand!B456</f>
        <v>46267.0</v>
      </c>
      <c r="C458" s="33">
        <f>Demand!C456</f>
        <v>14</v>
      </c>
      <c r="D458" s="33">
        <f>Demand!E456</f>
        <v>18</v>
      </c>
      <c r="E458" s="33">
        <f>IF(Demand!F456,1,0)</f>
        <v>0</v>
      </c>
      <c r="F458" s="33">
        <f>COUNTIFS(c_store,A458,c_date,B458,c_hour,C458)</f>
        <v>0</v>
      </c>
      <c r="G458" s="33">
        <f>IF(F458&gt;0,1,0)</f>
        <v>0</v>
      </c>
      <c r="H458" s="33">
        <f>COUNTIFS(Demand!$A$2:$A$4481,A458,Demand!$B$2:$B$4481,B458,Demand!$C$2:$C$4481,C458)</f>
        <v>1</v>
      </c>
    </row>
    <row r="459">
      <c r="A459" s="32" t="str">
        <f>Demand!A457</f>
        <v>S009</v>
      </c>
      <c r="B459" s="35">
        <f>Demand!B457</f>
        <v>46267.0</v>
      </c>
      <c r="C459" s="33">
        <f>Demand!C457</f>
        <v>15</v>
      </c>
      <c r="D459" s="33">
        <f>Demand!E457</f>
        <v>19</v>
      </c>
      <c r="E459" s="33">
        <f>IF(Demand!F457,1,0)</f>
        <v>0</v>
      </c>
      <c r="F459" s="33">
        <f>COUNTIFS(c_store,A459,c_date,B459,c_hour,C459)</f>
        <v>0</v>
      </c>
      <c r="G459" s="33">
        <f>IF(F459&gt;0,1,0)</f>
        <v>0</v>
      </c>
      <c r="H459" s="33">
        <f>COUNTIFS(Demand!$A$2:$A$4481,A459,Demand!$B$2:$B$4481,B459,Demand!$C$2:$C$4481,C459)</f>
        <v>1</v>
      </c>
    </row>
    <row r="460">
      <c r="A460" s="32" t="str">
        <f>Demand!A458</f>
        <v>S009</v>
      </c>
      <c r="B460" s="35">
        <f>Demand!B458</f>
        <v>46267.0</v>
      </c>
      <c r="C460" s="33">
        <f>Demand!C458</f>
        <v>16</v>
      </c>
      <c r="D460" s="33">
        <f>Demand!E458</f>
        <v>22</v>
      </c>
      <c r="E460" s="33">
        <f>IF(Demand!F458,1,0)</f>
        <v>0</v>
      </c>
      <c r="F460" s="33">
        <f>COUNTIFS(c_store,A460,c_date,B460,c_hour,C460)</f>
        <v>0</v>
      </c>
      <c r="G460" s="33">
        <f>IF(F460&gt;0,1,0)</f>
        <v>0</v>
      </c>
      <c r="H460" s="33">
        <f>COUNTIFS(Demand!$A$2:$A$4481,A460,Demand!$B$2:$B$4481,B460,Demand!$C$2:$C$4481,C460)</f>
        <v>1</v>
      </c>
    </row>
    <row r="461">
      <c r="A461" s="32" t="str">
        <f>Demand!A459</f>
        <v>S009</v>
      </c>
      <c r="B461" s="35">
        <f>Demand!B459</f>
        <v>46267.0</v>
      </c>
      <c r="C461" s="33">
        <f>Demand!C459</f>
        <v>17</v>
      </c>
      <c r="D461" s="33">
        <f>Demand!E459</f>
        <v>34</v>
      </c>
      <c r="E461" s="33">
        <f>IF(Demand!F459,1,0)</f>
        <v>0</v>
      </c>
      <c r="F461" s="33">
        <f>COUNTIFS(c_store,A461,c_date,B461,c_hour,C461)</f>
        <v>0</v>
      </c>
      <c r="G461" s="33">
        <f>IF(F461&gt;0,1,0)</f>
        <v>0</v>
      </c>
      <c r="H461" s="33">
        <f>COUNTIFS(Demand!$A$2:$A$4481,A461,Demand!$B$2:$B$4481,B461,Demand!$C$2:$C$4481,C461)</f>
        <v>1</v>
      </c>
    </row>
    <row r="462">
      <c r="A462" s="32" t="str">
        <f>Demand!A460</f>
        <v>S009</v>
      </c>
      <c r="B462" s="35">
        <f>Demand!B460</f>
        <v>46267.0</v>
      </c>
      <c r="C462" s="33">
        <f>Demand!C460</f>
        <v>18</v>
      </c>
      <c r="D462" s="33">
        <f>Demand!E460</f>
        <v>32</v>
      </c>
      <c r="E462" s="33">
        <f>IF(Demand!F460,1,0)</f>
        <v>0</v>
      </c>
      <c r="F462" s="33">
        <f>COUNTIFS(c_store,A462,c_date,B462,c_hour,C462)</f>
        <v>0</v>
      </c>
      <c r="G462" s="33">
        <f>IF(F462&gt;0,1,0)</f>
        <v>0</v>
      </c>
      <c r="H462" s="33">
        <f>COUNTIFS(Demand!$A$2:$A$4481,A462,Demand!$B$2:$B$4481,B462,Demand!$C$2:$C$4481,C462)</f>
        <v>1</v>
      </c>
    </row>
    <row r="463">
      <c r="A463" s="32" t="str">
        <f>Demand!A461</f>
        <v>S009</v>
      </c>
      <c r="B463" s="35">
        <f>Demand!B461</f>
        <v>46267.0</v>
      </c>
      <c r="C463" s="33">
        <f>Demand!C461</f>
        <v>19</v>
      </c>
      <c r="D463" s="33">
        <f>Demand!E461</f>
        <v>49</v>
      </c>
      <c r="E463" s="33">
        <f>IF(Demand!F461,1,0)</f>
        <v>1</v>
      </c>
      <c r="F463" s="33">
        <f>COUNTIFS(c_store,A463,c_date,B463,c_hour,C463)</f>
        <v>0</v>
      </c>
      <c r="G463" s="33">
        <f>IF(F463&gt;0,1,0)</f>
        <v>0</v>
      </c>
      <c r="H463" s="33">
        <f>COUNTIFS(Demand!$A$2:$A$4481,A463,Demand!$B$2:$B$4481,B463,Demand!$C$2:$C$4481,C463)</f>
        <v>1</v>
      </c>
    </row>
    <row r="464">
      <c r="A464" s="32" t="str">
        <f>Demand!A462</f>
        <v>S009</v>
      </c>
      <c r="B464" s="35">
        <f>Demand!B462</f>
        <v>46267.0</v>
      </c>
      <c r="C464" s="33">
        <f>Demand!C462</f>
        <v>20</v>
      </c>
      <c r="D464" s="33">
        <f>Demand!E462</f>
        <v>46</v>
      </c>
      <c r="E464" s="33">
        <f>IF(Demand!F462,1,0)</f>
        <v>1</v>
      </c>
      <c r="F464" s="33">
        <f>COUNTIFS(c_store,A464,c_date,B464,c_hour,C464)</f>
        <v>0</v>
      </c>
      <c r="G464" s="33">
        <f>IF(F464&gt;0,1,0)</f>
        <v>0</v>
      </c>
      <c r="H464" s="33">
        <f>COUNTIFS(Demand!$A$2:$A$4481,A464,Demand!$B$2:$B$4481,B464,Demand!$C$2:$C$4481,C464)</f>
        <v>1</v>
      </c>
    </row>
    <row r="465">
      <c r="A465" s="32" t="str">
        <f>Demand!A463</f>
        <v>S009</v>
      </c>
      <c r="B465" s="35">
        <f>Demand!B463</f>
        <v>46267.0</v>
      </c>
      <c r="C465" s="33">
        <f>Demand!C463</f>
        <v>21</v>
      </c>
      <c r="D465" s="33">
        <f>Demand!E463</f>
        <v>43</v>
      </c>
      <c r="E465" s="33">
        <f>IF(Demand!F463,1,0)</f>
        <v>1</v>
      </c>
      <c r="F465" s="33">
        <f>COUNTIFS(c_store,A465,c_date,B465,c_hour,C465)</f>
        <v>0</v>
      </c>
      <c r="G465" s="33">
        <f>IF(F465&gt;0,1,0)</f>
        <v>0</v>
      </c>
      <c r="H465" s="33">
        <f>COUNTIFS(Demand!$A$2:$A$4481,A465,Demand!$B$2:$B$4481,B465,Demand!$C$2:$C$4481,C465)</f>
        <v>1</v>
      </c>
    </row>
    <row r="466">
      <c r="A466" s="32" t="str">
        <f>Demand!A464</f>
        <v>S009</v>
      </c>
      <c r="B466" s="35">
        <f>Demand!B464</f>
        <v>46267.0</v>
      </c>
      <c r="C466" s="33">
        <f>Demand!C464</f>
        <v>22</v>
      </c>
      <c r="D466" s="33">
        <f>Demand!E464</f>
        <v>28</v>
      </c>
      <c r="E466" s="33">
        <f>IF(Demand!F464,1,0)</f>
        <v>0</v>
      </c>
      <c r="F466" s="33">
        <f>COUNTIFS(c_store,A466,c_date,B466,c_hour,C466)</f>
        <v>0</v>
      </c>
      <c r="G466" s="33">
        <f>IF(F466&gt;0,1,0)</f>
        <v>0</v>
      </c>
      <c r="H466" s="33">
        <f>COUNTIFS(Demand!$A$2:$A$4481,A466,Demand!$B$2:$B$4481,B466,Demand!$C$2:$C$4481,C466)</f>
        <v>1</v>
      </c>
    </row>
    <row r="467">
      <c r="A467" s="32" t="str">
        <f>Demand!A465</f>
        <v>S009</v>
      </c>
      <c r="B467" s="35">
        <f>Demand!B465</f>
        <v>46267.0</v>
      </c>
      <c r="C467" s="33">
        <f>Demand!C465</f>
        <v>23</v>
      </c>
      <c r="D467" s="33">
        <f>Demand!E465</f>
        <v>31</v>
      </c>
      <c r="E467" s="33">
        <f>IF(Demand!F465,1,0)</f>
        <v>0</v>
      </c>
      <c r="F467" s="33">
        <f>COUNTIFS(c_store,A467,c_date,B467,c_hour,C467)</f>
        <v>0</v>
      </c>
      <c r="G467" s="33">
        <f>IF(F467&gt;0,1,0)</f>
        <v>0</v>
      </c>
      <c r="H467" s="33">
        <f>COUNTIFS(Demand!$A$2:$A$4481,A467,Demand!$B$2:$B$4481,B467,Demand!$C$2:$C$4481,C467)</f>
        <v>1</v>
      </c>
    </row>
    <row r="468">
      <c r="A468" s="32" t="str">
        <f>Demand!A466</f>
        <v>S010</v>
      </c>
      <c r="B468" s="35">
        <f>Demand!B466</f>
        <v>46267.0</v>
      </c>
      <c r="C468" s="33">
        <f>Demand!C466</f>
        <v>8</v>
      </c>
      <c r="D468" s="33">
        <f>Demand!E466</f>
        <v>11</v>
      </c>
      <c r="E468" s="33">
        <f>IF(Demand!F466,1,0)</f>
        <v>0</v>
      </c>
      <c r="F468" s="33">
        <f>COUNTIFS(c_store,A468,c_date,B468,c_hour,C468)</f>
        <v>0</v>
      </c>
      <c r="G468" s="33">
        <f>IF(F468&gt;0,1,0)</f>
        <v>0</v>
      </c>
      <c r="H468" s="33">
        <f>COUNTIFS(Demand!$A$2:$A$4481,A468,Demand!$B$2:$B$4481,B468,Demand!$C$2:$C$4481,C468)</f>
        <v>1</v>
      </c>
    </row>
    <row r="469">
      <c r="A469" s="32" t="str">
        <f>Demand!A467</f>
        <v>S010</v>
      </c>
      <c r="B469" s="35">
        <f>Demand!B467</f>
        <v>46267.0</v>
      </c>
      <c r="C469" s="33">
        <f>Demand!C467</f>
        <v>9</v>
      </c>
      <c r="D469" s="33">
        <f>Demand!E467</f>
        <v>15</v>
      </c>
      <c r="E469" s="33">
        <f>IF(Demand!F467,1,0)</f>
        <v>0</v>
      </c>
      <c r="F469" s="33">
        <f>COUNTIFS(c_store,A469,c_date,B469,c_hour,C469)</f>
        <v>0</v>
      </c>
      <c r="G469" s="33">
        <f>IF(F469&gt;0,1,0)</f>
        <v>0</v>
      </c>
      <c r="H469" s="33">
        <f>COUNTIFS(Demand!$A$2:$A$4481,A469,Demand!$B$2:$B$4481,B469,Demand!$C$2:$C$4481,C469)</f>
        <v>1</v>
      </c>
    </row>
    <row r="470">
      <c r="A470" s="32" t="str">
        <f>Demand!A468</f>
        <v>S010</v>
      </c>
      <c r="B470" s="35">
        <f>Demand!B468</f>
        <v>46267.0</v>
      </c>
      <c r="C470" s="33">
        <f>Demand!C468</f>
        <v>10</v>
      </c>
      <c r="D470" s="33">
        <f>Demand!E468</f>
        <v>13</v>
      </c>
      <c r="E470" s="33">
        <f>IF(Demand!F468,1,0)</f>
        <v>0</v>
      </c>
      <c r="F470" s="33">
        <f>COUNTIFS(c_store,A470,c_date,B470,c_hour,C470)</f>
        <v>0</v>
      </c>
      <c r="G470" s="33">
        <f>IF(F470&gt;0,1,0)</f>
        <v>0</v>
      </c>
      <c r="H470" s="33">
        <f>COUNTIFS(Demand!$A$2:$A$4481,A470,Demand!$B$2:$B$4481,B470,Demand!$C$2:$C$4481,C470)</f>
        <v>1</v>
      </c>
    </row>
    <row r="471">
      <c r="A471" s="32" t="str">
        <f>Demand!A469</f>
        <v>S010</v>
      </c>
      <c r="B471" s="35">
        <f>Demand!B469</f>
        <v>46267.0</v>
      </c>
      <c r="C471" s="33">
        <f>Demand!C469</f>
        <v>11</v>
      </c>
      <c r="D471" s="33">
        <f>Demand!E469</f>
        <v>22</v>
      </c>
      <c r="E471" s="33">
        <f>IF(Demand!F469,1,0)</f>
        <v>0</v>
      </c>
      <c r="F471" s="33">
        <f>COUNTIFS(c_store,A471,c_date,B471,c_hour,C471)</f>
        <v>0</v>
      </c>
      <c r="G471" s="33">
        <f>IF(F471&gt;0,1,0)</f>
        <v>0</v>
      </c>
      <c r="H471" s="33">
        <f>COUNTIFS(Demand!$A$2:$A$4481,A471,Demand!$B$2:$B$4481,B471,Demand!$C$2:$C$4481,C471)</f>
        <v>1</v>
      </c>
    </row>
    <row r="472">
      <c r="A472" s="32" t="str">
        <f>Demand!A470</f>
        <v>S010</v>
      </c>
      <c r="B472" s="35">
        <f>Demand!B470</f>
        <v>46267.0</v>
      </c>
      <c r="C472" s="33">
        <f>Demand!C470</f>
        <v>12</v>
      </c>
      <c r="D472" s="33">
        <f>Demand!E470</f>
        <v>17</v>
      </c>
      <c r="E472" s="33">
        <f>IF(Demand!F470,1,0)</f>
        <v>0</v>
      </c>
      <c r="F472" s="33">
        <f>COUNTIFS(c_store,A472,c_date,B472,c_hour,C472)</f>
        <v>0</v>
      </c>
      <c r="G472" s="33">
        <f>IF(F472&gt;0,1,0)</f>
        <v>0</v>
      </c>
      <c r="H472" s="33">
        <f>COUNTIFS(Demand!$A$2:$A$4481,A472,Demand!$B$2:$B$4481,B472,Demand!$C$2:$C$4481,C472)</f>
        <v>1</v>
      </c>
    </row>
    <row r="473">
      <c r="A473" s="32" t="str">
        <f>Demand!A471</f>
        <v>S010</v>
      </c>
      <c r="B473" s="35">
        <f>Demand!B471</f>
        <v>46267.0</v>
      </c>
      <c r="C473" s="33">
        <f>Demand!C471</f>
        <v>13</v>
      </c>
      <c r="D473" s="33">
        <f>Demand!E471</f>
        <v>22</v>
      </c>
      <c r="E473" s="33">
        <f>IF(Demand!F471,1,0)</f>
        <v>0</v>
      </c>
      <c r="F473" s="33">
        <f>COUNTIFS(c_store,A473,c_date,B473,c_hour,C473)</f>
        <v>0</v>
      </c>
      <c r="G473" s="33">
        <f>IF(F473&gt;0,1,0)</f>
        <v>0</v>
      </c>
      <c r="H473" s="33">
        <f>COUNTIFS(Demand!$A$2:$A$4481,A473,Demand!$B$2:$B$4481,B473,Demand!$C$2:$C$4481,C473)</f>
        <v>1</v>
      </c>
    </row>
    <row r="474">
      <c r="A474" s="32" t="str">
        <f>Demand!A472</f>
        <v>S010</v>
      </c>
      <c r="B474" s="35">
        <f>Demand!B472</f>
        <v>46267.0</v>
      </c>
      <c r="C474" s="33">
        <f>Demand!C472</f>
        <v>14</v>
      </c>
      <c r="D474" s="33">
        <f>Demand!E472</f>
        <v>21</v>
      </c>
      <c r="E474" s="33">
        <f>IF(Demand!F472,1,0)</f>
        <v>0</v>
      </c>
      <c r="F474" s="33">
        <f>COUNTIFS(c_store,A474,c_date,B474,c_hour,C474)</f>
        <v>0</v>
      </c>
      <c r="G474" s="33">
        <f>IF(F474&gt;0,1,0)</f>
        <v>0</v>
      </c>
      <c r="H474" s="33">
        <f>COUNTIFS(Demand!$A$2:$A$4481,A474,Demand!$B$2:$B$4481,B474,Demand!$C$2:$C$4481,C474)</f>
        <v>1</v>
      </c>
    </row>
    <row r="475">
      <c r="A475" s="32" t="str">
        <f>Demand!A473</f>
        <v>S010</v>
      </c>
      <c r="B475" s="35">
        <f>Demand!B473</f>
        <v>46267.0</v>
      </c>
      <c r="C475" s="33">
        <f>Demand!C473</f>
        <v>15</v>
      </c>
      <c r="D475" s="33">
        <f>Demand!E473</f>
        <v>11</v>
      </c>
      <c r="E475" s="33">
        <f>IF(Demand!F473,1,0)</f>
        <v>0</v>
      </c>
      <c r="F475" s="33">
        <f>COUNTIFS(c_store,A475,c_date,B475,c_hour,C475)</f>
        <v>0</v>
      </c>
      <c r="G475" s="33">
        <f>IF(F475&gt;0,1,0)</f>
        <v>0</v>
      </c>
      <c r="H475" s="33">
        <f>COUNTIFS(Demand!$A$2:$A$4481,A475,Demand!$B$2:$B$4481,B475,Demand!$C$2:$C$4481,C475)</f>
        <v>1</v>
      </c>
    </row>
    <row r="476">
      <c r="A476" s="32" t="str">
        <f>Demand!A474</f>
        <v>S010</v>
      </c>
      <c r="B476" s="35">
        <f>Demand!B474</f>
        <v>46267.0</v>
      </c>
      <c r="C476" s="33">
        <f>Demand!C474</f>
        <v>16</v>
      </c>
      <c r="D476" s="33">
        <f>Demand!E474</f>
        <v>26</v>
      </c>
      <c r="E476" s="33">
        <f>IF(Demand!F474,1,0)</f>
        <v>0</v>
      </c>
      <c r="F476" s="33">
        <f>COUNTIFS(c_store,A476,c_date,B476,c_hour,C476)</f>
        <v>0</v>
      </c>
      <c r="G476" s="33">
        <f>IF(F476&gt;0,1,0)</f>
        <v>0</v>
      </c>
      <c r="H476" s="33">
        <f>COUNTIFS(Demand!$A$2:$A$4481,A476,Demand!$B$2:$B$4481,B476,Demand!$C$2:$C$4481,C476)</f>
        <v>1</v>
      </c>
    </row>
    <row r="477">
      <c r="A477" s="32" t="str">
        <f>Demand!A475</f>
        <v>S010</v>
      </c>
      <c r="B477" s="35">
        <f>Demand!B475</f>
        <v>46267.0</v>
      </c>
      <c r="C477" s="33">
        <f>Demand!C475</f>
        <v>17</v>
      </c>
      <c r="D477" s="33">
        <f>Demand!E475</f>
        <v>20</v>
      </c>
      <c r="E477" s="33">
        <f>IF(Demand!F475,1,0)</f>
        <v>0</v>
      </c>
      <c r="F477" s="33">
        <f>COUNTIFS(c_store,A477,c_date,B477,c_hour,C477)</f>
        <v>0</v>
      </c>
      <c r="G477" s="33">
        <f>IF(F477&gt;0,1,0)</f>
        <v>0</v>
      </c>
      <c r="H477" s="33">
        <f>COUNTIFS(Demand!$A$2:$A$4481,A477,Demand!$B$2:$B$4481,B477,Demand!$C$2:$C$4481,C477)</f>
        <v>1</v>
      </c>
    </row>
    <row r="478">
      <c r="A478" s="32" t="str">
        <f>Demand!A476</f>
        <v>S010</v>
      </c>
      <c r="B478" s="35">
        <f>Demand!B476</f>
        <v>46267.0</v>
      </c>
      <c r="C478" s="33">
        <f>Demand!C476</f>
        <v>18</v>
      </c>
      <c r="D478" s="33">
        <f>Demand!E476</f>
        <v>27</v>
      </c>
      <c r="E478" s="33">
        <f>IF(Demand!F476,1,0)</f>
        <v>0</v>
      </c>
      <c r="F478" s="33">
        <f>COUNTIFS(c_store,A478,c_date,B478,c_hour,C478)</f>
        <v>0</v>
      </c>
      <c r="G478" s="33">
        <f>IF(F478&gt;0,1,0)</f>
        <v>0</v>
      </c>
      <c r="H478" s="33">
        <f>COUNTIFS(Demand!$A$2:$A$4481,A478,Demand!$B$2:$B$4481,B478,Demand!$C$2:$C$4481,C478)</f>
        <v>1</v>
      </c>
    </row>
    <row r="479">
      <c r="A479" s="32" t="str">
        <f>Demand!A477</f>
        <v>S010</v>
      </c>
      <c r="B479" s="35">
        <f>Demand!B477</f>
        <v>46267.0</v>
      </c>
      <c r="C479" s="33">
        <f>Demand!C477</f>
        <v>19</v>
      </c>
      <c r="D479" s="33">
        <f>Demand!E477</f>
        <v>35</v>
      </c>
      <c r="E479" s="33">
        <f>IF(Demand!F477,1,0)</f>
        <v>1</v>
      </c>
      <c r="F479" s="33">
        <f>COUNTIFS(c_store,A479,c_date,B479,c_hour,C479)</f>
        <v>0</v>
      </c>
      <c r="G479" s="33">
        <f>IF(F479&gt;0,1,0)</f>
        <v>0</v>
      </c>
      <c r="H479" s="33">
        <f>COUNTIFS(Demand!$A$2:$A$4481,A479,Demand!$B$2:$B$4481,B479,Demand!$C$2:$C$4481,C479)</f>
        <v>1</v>
      </c>
    </row>
    <row r="480">
      <c r="A480" s="32" t="str">
        <f>Demand!A478</f>
        <v>S010</v>
      </c>
      <c r="B480" s="35">
        <f>Demand!B478</f>
        <v>46267.0</v>
      </c>
      <c r="C480" s="33">
        <f>Demand!C478</f>
        <v>20</v>
      </c>
      <c r="D480" s="33">
        <f>Demand!E478</f>
        <v>33</v>
      </c>
      <c r="E480" s="33">
        <f>IF(Demand!F478,1,0)</f>
        <v>1</v>
      </c>
      <c r="F480" s="33">
        <f>COUNTIFS(c_store,A480,c_date,B480,c_hour,C480)</f>
        <v>0</v>
      </c>
      <c r="G480" s="33">
        <f>IF(F480&gt;0,1,0)</f>
        <v>0</v>
      </c>
      <c r="H480" s="33">
        <f>COUNTIFS(Demand!$A$2:$A$4481,A480,Demand!$B$2:$B$4481,B480,Demand!$C$2:$C$4481,C480)</f>
        <v>1</v>
      </c>
    </row>
    <row r="481">
      <c r="A481" s="32" t="str">
        <f>Demand!A479</f>
        <v>S010</v>
      </c>
      <c r="B481" s="35">
        <f>Demand!B479</f>
        <v>46267.0</v>
      </c>
      <c r="C481" s="33">
        <f>Demand!C479</f>
        <v>21</v>
      </c>
      <c r="D481" s="33">
        <f>Demand!E479</f>
        <v>30</v>
      </c>
      <c r="E481" s="33">
        <f>IF(Demand!F479,1,0)</f>
        <v>1</v>
      </c>
      <c r="F481" s="33">
        <f>COUNTIFS(c_store,A481,c_date,B481,c_hour,C481)</f>
        <v>1</v>
      </c>
      <c r="G481" s="33">
        <f>IF(F481&gt;0,1,0)</f>
        <v>1</v>
      </c>
      <c r="H481" s="33">
        <f>COUNTIFS(Demand!$A$2:$A$4481,A481,Demand!$B$2:$B$4481,B481,Demand!$C$2:$C$4481,C481)</f>
        <v>1</v>
      </c>
    </row>
    <row r="482">
      <c r="A482" s="32" t="str">
        <f>Demand!A480</f>
        <v>S010</v>
      </c>
      <c r="B482" s="35">
        <f>Demand!B480</f>
        <v>46267.0</v>
      </c>
      <c r="C482" s="33">
        <f>Demand!C480</f>
        <v>22</v>
      </c>
      <c r="D482" s="33">
        <f>Demand!E480</f>
        <v>22</v>
      </c>
      <c r="E482" s="33">
        <f>IF(Demand!F480,1,0)</f>
        <v>0</v>
      </c>
      <c r="F482" s="33">
        <f>COUNTIFS(c_store,A482,c_date,B482,c_hour,C482)</f>
        <v>0</v>
      </c>
      <c r="G482" s="33">
        <f>IF(F482&gt;0,1,0)</f>
        <v>0</v>
      </c>
      <c r="H482" s="33">
        <f>COUNTIFS(Demand!$A$2:$A$4481,A482,Demand!$B$2:$B$4481,B482,Demand!$C$2:$C$4481,C482)</f>
        <v>1</v>
      </c>
    </row>
    <row r="483">
      <c r="A483" s="32" t="str">
        <f>Demand!A481</f>
        <v>S010</v>
      </c>
      <c r="B483" s="35">
        <f>Demand!B481</f>
        <v>46267.0</v>
      </c>
      <c r="C483" s="33">
        <f>Demand!C481</f>
        <v>23</v>
      </c>
      <c r="D483" s="33">
        <f>Demand!E481</f>
        <v>23</v>
      </c>
      <c r="E483" s="33">
        <f>IF(Demand!F481,1,0)</f>
        <v>0</v>
      </c>
      <c r="F483" s="33">
        <f>COUNTIFS(c_store,A483,c_date,B483,c_hour,C483)</f>
        <v>0</v>
      </c>
      <c r="G483" s="33">
        <f>IF(F483&gt;0,1,0)</f>
        <v>0</v>
      </c>
      <c r="H483" s="33">
        <f>COUNTIFS(Demand!$A$2:$A$4481,A483,Demand!$B$2:$B$4481,B483,Demand!$C$2:$C$4481,C483)</f>
        <v>1</v>
      </c>
    </row>
    <row r="484">
      <c r="A484" s="32" t="str">
        <f>Demand!A482</f>
        <v>S011</v>
      </c>
      <c r="B484" s="35">
        <f>Demand!B482</f>
        <v>46267.0</v>
      </c>
      <c r="C484" s="33">
        <f>Demand!C482</f>
        <v>8</v>
      </c>
      <c r="D484" s="33">
        <f>Demand!E482</f>
        <v>27</v>
      </c>
      <c r="E484" s="33">
        <f>IF(Demand!F482,1,0)</f>
        <v>0</v>
      </c>
      <c r="F484" s="33">
        <f>COUNTIFS(c_store,A484,c_date,B484,c_hour,C484)</f>
        <v>0</v>
      </c>
      <c r="G484" s="33">
        <f>IF(F484&gt;0,1,0)</f>
        <v>0</v>
      </c>
      <c r="H484" s="33">
        <f>COUNTIFS(Demand!$A$2:$A$4481,A484,Demand!$B$2:$B$4481,B484,Demand!$C$2:$C$4481,C484)</f>
        <v>1</v>
      </c>
    </row>
    <row r="485">
      <c r="A485" s="32" t="str">
        <f>Demand!A483</f>
        <v>S011</v>
      </c>
      <c r="B485" s="35">
        <f>Demand!B483</f>
        <v>46267.0</v>
      </c>
      <c r="C485" s="33">
        <f>Demand!C483</f>
        <v>9</v>
      </c>
      <c r="D485" s="33">
        <f>Demand!E483</f>
        <v>12</v>
      </c>
      <c r="E485" s="33">
        <f>IF(Demand!F483,1,0)</f>
        <v>0</v>
      </c>
      <c r="F485" s="33">
        <f>COUNTIFS(c_store,A485,c_date,B485,c_hour,C485)</f>
        <v>1</v>
      </c>
      <c r="G485" s="33">
        <f>IF(F485&gt;0,1,0)</f>
        <v>1</v>
      </c>
      <c r="H485" s="33">
        <f>COUNTIFS(Demand!$A$2:$A$4481,A485,Demand!$B$2:$B$4481,B485,Demand!$C$2:$C$4481,C485)</f>
        <v>1</v>
      </c>
    </row>
    <row r="486">
      <c r="A486" s="32" t="str">
        <f>Demand!A484</f>
        <v>S011</v>
      </c>
      <c r="B486" s="35">
        <f>Demand!B484</f>
        <v>46267.0</v>
      </c>
      <c r="C486" s="33">
        <f>Demand!C484</f>
        <v>10</v>
      </c>
      <c r="D486" s="33">
        <f>Demand!E484</f>
        <v>28</v>
      </c>
      <c r="E486" s="33">
        <f>IF(Demand!F484,1,0)</f>
        <v>0</v>
      </c>
      <c r="F486" s="33">
        <f>COUNTIFS(c_store,A486,c_date,B486,c_hour,C486)</f>
        <v>0</v>
      </c>
      <c r="G486" s="33">
        <f>IF(F486&gt;0,1,0)</f>
        <v>0</v>
      </c>
      <c r="H486" s="33">
        <f>COUNTIFS(Demand!$A$2:$A$4481,A486,Demand!$B$2:$B$4481,B486,Demand!$C$2:$C$4481,C486)</f>
        <v>1</v>
      </c>
    </row>
    <row r="487">
      <c r="A487" s="32" t="str">
        <f>Demand!A485</f>
        <v>S011</v>
      </c>
      <c r="B487" s="35">
        <f>Demand!B485</f>
        <v>46267.0</v>
      </c>
      <c r="C487" s="33">
        <f>Demand!C485</f>
        <v>11</v>
      </c>
      <c r="D487" s="33">
        <f>Demand!E485</f>
        <v>20</v>
      </c>
      <c r="E487" s="33">
        <f>IF(Demand!F485,1,0)</f>
        <v>0</v>
      </c>
      <c r="F487" s="33">
        <f>COUNTIFS(c_store,A487,c_date,B487,c_hour,C487)</f>
        <v>0</v>
      </c>
      <c r="G487" s="33">
        <f>IF(F487&gt;0,1,0)</f>
        <v>0</v>
      </c>
      <c r="H487" s="33">
        <f>COUNTIFS(Demand!$A$2:$A$4481,A487,Demand!$B$2:$B$4481,B487,Demand!$C$2:$C$4481,C487)</f>
        <v>1</v>
      </c>
    </row>
    <row r="488">
      <c r="A488" s="32" t="str">
        <f>Demand!A486</f>
        <v>S011</v>
      </c>
      <c r="B488" s="35">
        <f>Demand!B486</f>
        <v>46267.0</v>
      </c>
      <c r="C488" s="33">
        <f>Demand!C486</f>
        <v>12</v>
      </c>
      <c r="D488" s="33">
        <f>Demand!E486</f>
        <v>28</v>
      </c>
      <c r="E488" s="33">
        <f>IF(Demand!F486,1,0)</f>
        <v>0</v>
      </c>
      <c r="F488" s="33">
        <f>COUNTIFS(c_store,A488,c_date,B488,c_hour,C488)</f>
        <v>0</v>
      </c>
      <c r="G488" s="33">
        <f>IF(F488&gt;0,1,0)</f>
        <v>0</v>
      </c>
      <c r="H488" s="33">
        <f>COUNTIFS(Demand!$A$2:$A$4481,A488,Demand!$B$2:$B$4481,B488,Demand!$C$2:$C$4481,C488)</f>
        <v>1</v>
      </c>
    </row>
    <row r="489">
      <c r="A489" s="32" t="str">
        <f>Demand!A487</f>
        <v>S011</v>
      </c>
      <c r="B489" s="35">
        <f>Demand!B487</f>
        <v>46267.0</v>
      </c>
      <c r="C489" s="33">
        <f>Demand!C487</f>
        <v>13</v>
      </c>
      <c r="D489" s="33">
        <f>Demand!E487</f>
        <v>36</v>
      </c>
      <c r="E489" s="33">
        <f>IF(Demand!F487,1,0)</f>
        <v>0</v>
      </c>
      <c r="F489" s="33">
        <f>COUNTIFS(c_store,A489,c_date,B489,c_hour,C489)</f>
        <v>0</v>
      </c>
      <c r="G489" s="33">
        <f>IF(F489&gt;0,1,0)</f>
        <v>0</v>
      </c>
      <c r="H489" s="33">
        <f>COUNTIFS(Demand!$A$2:$A$4481,A489,Demand!$B$2:$B$4481,B489,Demand!$C$2:$C$4481,C489)</f>
        <v>1</v>
      </c>
    </row>
    <row r="490">
      <c r="A490" s="32" t="str">
        <f>Demand!A488</f>
        <v>S011</v>
      </c>
      <c r="B490" s="35">
        <f>Demand!B488</f>
        <v>46267.0</v>
      </c>
      <c r="C490" s="33">
        <f>Demand!C488</f>
        <v>14</v>
      </c>
      <c r="D490" s="33">
        <f>Demand!E488</f>
        <v>21</v>
      </c>
      <c r="E490" s="33">
        <f>IF(Demand!F488,1,0)</f>
        <v>0</v>
      </c>
      <c r="F490" s="33">
        <f>COUNTIFS(c_store,A490,c_date,B490,c_hour,C490)</f>
        <v>0</v>
      </c>
      <c r="G490" s="33">
        <f>IF(F490&gt;0,1,0)</f>
        <v>0</v>
      </c>
      <c r="H490" s="33">
        <f>COUNTIFS(Demand!$A$2:$A$4481,A490,Demand!$B$2:$B$4481,B490,Demand!$C$2:$C$4481,C490)</f>
        <v>1</v>
      </c>
    </row>
    <row r="491">
      <c r="A491" s="32" t="str">
        <f>Demand!A489</f>
        <v>S011</v>
      </c>
      <c r="B491" s="35">
        <f>Demand!B489</f>
        <v>46267.0</v>
      </c>
      <c r="C491" s="33">
        <f>Demand!C489</f>
        <v>15</v>
      </c>
      <c r="D491" s="33">
        <f>Demand!E489</f>
        <v>23</v>
      </c>
      <c r="E491" s="33">
        <f>IF(Demand!F489,1,0)</f>
        <v>0</v>
      </c>
      <c r="F491" s="33">
        <f>COUNTIFS(c_store,A491,c_date,B491,c_hour,C491)</f>
        <v>0</v>
      </c>
      <c r="G491" s="33">
        <f>IF(F491&gt;0,1,0)</f>
        <v>0</v>
      </c>
      <c r="H491" s="33">
        <f>COUNTIFS(Demand!$A$2:$A$4481,A491,Demand!$B$2:$B$4481,B491,Demand!$C$2:$C$4481,C491)</f>
        <v>1</v>
      </c>
    </row>
    <row r="492">
      <c r="A492" s="32" t="str">
        <f>Demand!A490</f>
        <v>S011</v>
      </c>
      <c r="B492" s="35">
        <f>Demand!B490</f>
        <v>46267.0</v>
      </c>
      <c r="C492" s="33">
        <f>Demand!C490</f>
        <v>16</v>
      </c>
      <c r="D492" s="33">
        <f>Demand!E490</f>
        <v>25</v>
      </c>
      <c r="E492" s="33">
        <f>IF(Demand!F490,1,0)</f>
        <v>0</v>
      </c>
      <c r="F492" s="33">
        <f>COUNTIFS(c_store,A492,c_date,B492,c_hour,C492)</f>
        <v>1</v>
      </c>
      <c r="G492" s="33">
        <f>IF(F492&gt;0,1,0)</f>
        <v>1</v>
      </c>
      <c r="H492" s="33">
        <f>COUNTIFS(Demand!$A$2:$A$4481,A492,Demand!$B$2:$B$4481,B492,Demand!$C$2:$C$4481,C492)</f>
        <v>1</v>
      </c>
    </row>
    <row r="493">
      <c r="A493" s="32" t="str">
        <f>Demand!A491</f>
        <v>S011</v>
      </c>
      <c r="B493" s="35">
        <f>Demand!B491</f>
        <v>46267.0</v>
      </c>
      <c r="C493" s="33">
        <f>Demand!C491</f>
        <v>17</v>
      </c>
      <c r="D493" s="33">
        <f>Demand!E491</f>
        <v>33</v>
      </c>
      <c r="E493" s="33">
        <f>IF(Demand!F491,1,0)</f>
        <v>0</v>
      </c>
      <c r="F493" s="33">
        <f>COUNTIFS(c_store,A493,c_date,B493,c_hour,C493)</f>
        <v>1</v>
      </c>
      <c r="G493" s="33">
        <f>IF(F493&gt;0,1,0)</f>
        <v>1</v>
      </c>
      <c r="H493" s="33">
        <f>COUNTIFS(Demand!$A$2:$A$4481,A493,Demand!$B$2:$B$4481,B493,Demand!$C$2:$C$4481,C493)</f>
        <v>1</v>
      </c>
    </row>
    <row r="494">
      <c r="A494" s="32" t="str">
        <f>Demand!A492</f>
        <v>S011</v>
      </c>
      <c r="B494" s="35">
        <f>Demand!B492</f>
        <v>46267.0</v>
      </c>
      <c r="C494" s="33">
        <f>Demand!C492</f>
        <v>18</v>
      </c>
      <c r="D494" s="33">
        <f>Demand!E492</f>
        <v>30</v>
      </c>
      <c r="E494" s="33">
        <f>IF(Demand!F492,1,0)</f>
        <v>0</v>
      </c>
      <c r="F494" s="33">
        <f>COUNTIFS(c_store,A494,c_date,B494,c_hour,C494)</f>
        <v>1</v>
      </c>
      <c r="G494" s="33">
        <f>IF(F494&gt;0,1,0)</f>
        <v>1</v>
      </c>
      <c r="H494" s="33">
        <f>COUNTIFS(Demand!$A$2:$A$4481,A494,Demand!$B$2:$B$4481,B494,Demand!$C$2:$C$4481,C494)</f>
        <v>1</v>
      </c>
    </row>
    <row r="495">
      <c r="A495" s="32" t="str">
        <f>Demand!A493</f>
        <v>S011</v>
      </c>
      <c r="B495" s="35">
        <f>Demand!B493</f>
        <v>46267.0</v>
      </c>
      <c r="C495" s="33">
        <f>Demand!C493</f>
        <v>19</v>
      </c>
      <c r="D495" s="33">
        <f>Demand!E493</f>
        <v>42</v>
      </c>
      <c r="E495" s="33">
        <f>IF(Demand!F493,1,0)</f>
        <v>1</v>
      </c>
      <c r="F495" s="33">
        <f>COUNTIFS(c_store,A495,c_date,B495,c_hour,C495)</f>
        <v>0</v>
      </c>
      <c r="G495" s="33">
        <f>IF(F495&gt;0,1,0)</f>
        <v>0</v>
      </c>
      <c r="H495" s="33">
        <f>COUNTIFS(Demand!$A$2:$A$4481,A495,Demand!$B$2:$B$4481,B495,Demand!$C$2:$C$4481,C495)</f>
        <v>1</v>
      </c>
    </row>
    <row r="496">
      <c r="A496" s="32" t="str">
        <f>Demand!A494</f>
        <v>S011</v>
      </c>
      <c r="B496" s="35">
        <f>Demand!B494</f>
        <v>46267.0</v>
      </c>
      <c r="C496" s="33">
        <f>Demand!C494</f>
        <v>20</v>
      </c>
      <c r="D496" s="33">
        <f>Demand!E494</f>
        <v>41</v>
      </c>
      <c r="E496" s="33">
        <f>IF(Demand!F494,1,0)</f>
        <v>1</v>
      </c>
      <c r="F496" s="33">
        <f>COUNTIFS(c_store,A496,c_date,B496,c_hour,C496)</f>
        <v>0</v>
      </c>
      <c r="G496" s="33">
        <f>IF(F496&gt;0,1,0)</f>
        <v>0</v>
      </c>
      <c r="H496" s="33">
        <f>COUNTIFS(Demand!$A$2:$A$4481,A496,Demand!$B$2:$B$4481,B496,Demand!$C$2:$C$4481,C496)</f>
        <v>1</v>
      </c>
    </row>
    <row r="497">
      <c r="A497" s="32" t="str">
        <f>Demand!A495</f>
        <v>S011</v>
      </c>
      <c r="B497" s="35">
        <f>Demand!B495</f>
        <v>46267.0</v>
      </c>
      <c r="C497" s="33">
        <f>Demand!C495</f>
        <v>21</v>
      </c>
      <c r="D497" s="33">
        <f>Demand!E495</f>
        <v>50</v>
      </c>
      <c r="E497" s="33">
        <f>IF(Demand!F495,1,0)</f>
        <v>1</v>
      </c>
      <c r="F497" s="33">
        <f>COUNTIFS(c_store,A497,c_date,B497,c_hour,C497)</f>
        <v>1</v>
      </c>
      <c r="G497" s="33">
        <f>IF(F497&gt;0,1,0)</f>
        <v>1</v>
      </c>
      <c r="H497" s="33">
        <f>COUNTIFS(Demand!$A$2:$A$4481,A497,Demand!$B$2:$B$4481,B497,Demand!$C$2:$C$4481,C497)</f>
        <v>1</v>
      </c>
    </row>
    <row r="498">
      <c r="A498" s="32" t="str">
        <f>Demand!A496</f>
        <v>S011</v>
      </c>
      <c r="B498" s="35">
        <f>Demand!B496</f>
        <v>46267.0</v>
      </c>
      <c r="C498" s="33">
        <f>Demand!C496</f>
        <v>22</v>
      </c>
      <c r="D498" s="33">
        <f>Demand!E496</f>
        <v>24</v>
      </c>
      <c r="E498" s="33">
        <f>IF(Demand!F496,1,0)</f>
        <v>0</v>
      </c>
      <c r="F498" s="33">
        <f>COUNTIFS(c_store,A498,c_date,B498,c_hour,C498)</f>
        <v>0</v>
      </c>
      <c r="G498" s="33">
        <f>IF(F498&gt;0,1,0)</f>
        <v>0</v>
      </c>
      <c r="H498" s="33">
        <f>COUNTIFS(Demand!$A$2:$A$4481,A498,Demand!$B$2:$B$4481,B498,Demand!$C$2:$C$4481,C498)</f>
        <v>1</v>
      </c>
    </row>
    <row r="499">
      <c r="A499" s="32" t="str">
        <f>Demand!A497</f>
        <v>S011</v>
      </c>
      <c r="B499" s="35">
        <f>Demand!B497</f>
        <v>46267.0</v>
      </c>
      <c r="C499" s="33">
        <f>Demand!C497</f>
        <v>23</v>
      </c>
      <c r="D499" s="33">
        <f>Demand!E497</f>
        <v>29</v>
      </c>
      <c r="E499" s="33">
        <f>IF(Demand!F497,1,0)</f>
        <v>0</v>
      </c>
      <c r="F499" s="33">
        <f>COUNTIFS(c_store,A499,c_date,B499,c_hour,C499)</f>
        <v>1</v>
      </c>
      <c r="G499" s="33">
        <f>IF(F499&gt;0,1,0)</f>
        <v>1</v>
      </c>
      <c r="H499" s="33">
        <f>COUNTIFS(Demand!$A$2:$A$4481,A499,Demand!$B$2:$B$4481,B499,Demand!$C$2:$C$4481,C499)</f>
        <v>1</v>
      </c>
    </row>
    <row r="500">
      <c r="A500" s="32" t="str">
        <f>Demand!A498</f>
        <v>S012</v>
      </c>
      <c r="B500" s="35">
        <f>Demand!B498</f>
        <v>46267.0</v>
      </c>
      <c r="C500" s="33">
        <f>Demand!C498</f>
        <v>8</v>
      </c>
      <c r="D500" s="33">
        <f>Demand!E498</f>
        <v>9</v>
      </c>
      <c r="E500" s="33">
        <f>IF(Demand!F498,1,0)</f>
        <v>0</v>
      </c>
      <c r="F500" s="33">
        <f>COUNTIFS(c_store,A500,c_date,B500,c_hour,C500)</f>
        <v>0</v>
      </c>
      <c r="G500" s="33">
        <f>IF(F500&gt;0,1,0)</f>
        <v>0</v>
      </c>
      <c r="H500" s="33">
        <f>COUNTIFS(Demand!$A$2:$A$4481,A500,Demand!$B$2:$B$4481,B500,Demand!$C$2:$C$4481,C500)</f>
        <v>1</v>
      </c>
    </row>
    <row r="501">
      <c r="A501" s="32" t="str">
        <f>Demand!A499</f>
        <v>S012</v>
      </c>
      <c r="B501" s="35">
        <f>Demand!B499</f>
        <v>46267.0</v>
      </c>
      <c r="C501" s="33">
        <f>Demand!C499</f>
        <v>9</v>
      </c>
      <c r="D501" s="33">
        <f>Demand!E499</f>
        <v>8</v>
      </c>
      <c r="E501" s="33">
        <f>IF(Demand!F499,1,0)</f>
        <v>0</v>
      </c>
      <c r="F501" s="33">
        <f>COUNTIFS(c_store,A501,c_date,B501,c_hour,C501)</f>
        <v>0</v>
      </c>
      <c r="G501" s="33">
        <f>IF(F501&gt;0,1,0)</f>
        <v>0</v>
      </c>
      <c r="H501" s="33">
        <f>COUNTIFS(Demand!$A$2:$A$4481,A501,Demand!$B$2:$B$4481,B501,Demand!$C$2:$C$4481,C501)</f>
        <v>1</v>
      </c>
    </row>
    <row r="502">
      <c r="A502" s="32" t="str">
        <f>Demand!A500</f>
        <v>S012</v>
      </c>
      <c r="B502" s="35">
        <f>Demand!B500</f>
        <v>46267.0</v>
      </c>
      <c r="C502" s="33">
        <f>Demand!C500</f>
        <v>10</v>
      </c>
      <c r="D502" s="33">
        <f>Demand!E500</f>
        <v>14</v>
      </c>
      <c r="E502" s="33">
        <f>IF(Demand!F500,1,0)</f>
        <v>0</v>
      </c>
      <c r="F502" s="33">
        <f>COUNTIFS(c_store,A502,c_date,B502,c_hour,C502)</f>
        <v>0</v>
      </c>
      <c r="G502" s="33">
        <f>IF(F502&gt;0,1,0)</f>
        <v>0</v>
      </c>
      <c r="H502" s="33">
        <f>COUNTIFS(Demand!$A$2:$A$4481,A502,Demand!$B$2:$B$4481,B502,Demand!$C$2:$C$4481,C502)</f>
        <v>1</v>
      </c>
    </row>
    <row r="503">
      <c r="A503" s="32" t="str">
        <f>Demand!A501</f>
        <v>S012</v>
      </c>
      <c r="B503" s="35">
        <f>Demand!B501</f>
        <v>46267.0</v>
      </c>
      <c r="C503" s="33">
        <f>Demand!C501</f>
        <v>11</v>
      </c>
      <c r="D503" s="33">
        <f>Demand!E501</f>
        <v>16</v>
      </c>
      <c r="E503" s="33">
        <f>IF(Demand!F501,1,0)</f>
        <v>0</v>
      </c>
      <c r="F503" s="33">
        <f>COUNTIFS(c_store,A503,c_date,B503,c_hour,C503)</f>
        <v>0</v>
      </c>
      <c r="G503" s="33">
        <f>IF(F503&gt;0,1,0)</f>
        <v>0</v>
      </c>
      <c r="H503" s="33">
        <f>COUNTIFS(Demand!$A$2:$A$4481,A503,Demand!$B$2:$B$4481,B503,Demand!$C$2:$C$4481,C503)</f>
        <v>1</v>
      </c>
    </row>
    <row r="504">
      <c r="A504" s="32" t="str">
        <f>Demand!A502</f>
        <v>S012</v>
      </c>
      <c r="B504" s="35">
        <f>Demand!B502</f>
        <v>46267.0</v>
      </c>
      <c r="C504" s="33">
        <f>Demand!C502</f>
        <v>12</v>
      </c>
      <c r="D504" s="33">
        <f>Demand!E502</f>
        <v>14</v>
      </c>
      <c r="E504" s="33">
        <f>IF(Demand!F502,1,0)</f>
        <v>0</v>
      </c>
      <c r="F504" s="33">
        <f>COUNTIFS(c_store,A504,c_date,B504,c_hour,C504)</f>
        <v>0</v>
      </c>
      <c r="G504" s="33">
        <f>IF(F504&gt;0,1,0)</f>
        <v>0</v>
      </c>
      <c r="H504" s="33">
        <f>COUNTIFS(Demand!$A$2:$A$4481,A504,Demand!$B$2:$B$4481,B504,Demand!$C$2:$C$4481,C504)</f>
        <v>1</v>
      </c>
    </row>
    <row r="505">
      <c r="A505" s="32" t="str">
        <f>Demand!A503</f>
        <v>S012</v>
      </c>
      <c r="B505" s="35">
        <f>Demand!B503</f>
        <v>46267.0</v>
      </c>
      <c r="C505" s="33">
        <f>Demand!C503</f>
        <v>13</v>
      </c>
      <c r="D505" s="33">
        <f>Demand!E503</f>
        <v>12</v>
      </c>
      <c r="E505" s="33">
        <f>IF(Demand!F503,1,0)</f>
        <v>0</v>
      </c>
      <c r="F505" s="33">
        <f>COUNTIFS(c_store,A505,c_date,B505,c_hour,C505)</f>
        <v>0</v>
      </c>
      <c r="G505" s="33">
        <f>IF(F505&gt;0,1,0)</f>
        <v>0</v>
      </c>
      <c r="H505" s="33">
        <f>COUNTIFS(Demand!$A$2:$A$4481,A505,Demand!$B$2:$B$4481,B505,Demand!$C$2:$C$4481,C505)</f>
        <v>1</v>
      </c>
    </row>
    <row r="506">
      <c r="A506" s="32" t="str">
        <f>Demand!A504</f>
        <v>S012</v>
      </c>
      <c r="B506" s="35">
        <f>Demand!B504</f>
        <v>46267.0</v>
      </c>
      <c r="C506" s="33">
        <f>Demand!C504</f>
        <v>14</v>
      </c>
      <c r="D506" s="33">
        <f>Demand!E504</f>
        <v>8</v>
      </c>
      <c r="E506" s="33">
        <f>IF(Demand!F504,1,0)</f>
        <v>0</v>
      </c>
      <c r="F506" s="33">
        <f>COUNTIFS(c_store,A506,c_date,B506,c_hour,C506)</f>
        <v>0</v>
      </c>
      <c r="G506" s="33">
        <f>IF(F506&gt;0,1,0)</f>
        <v>0</v>
      </c>
      <c r="H506" s="33">
        <f>COUNTIFS(Demand!$A$2:$A$4481,A506,Demand!$B$2:$B$4481,B506,Demand!$C$2:$C$4481,C506)</f>
        <v>1</v>
      </c>
    </row>
    <row r="507">
      <c r="A507" s="32" t="str">
        <f>Demand!A505</f>
        <v>S012</v>
      </c>
      <c r="B507" s="35">
        <f>Demand!B505</f>
        <v>46267.0</v>
      </c>
      <c r="C507" s="33">
        <f>Demand!C505</f>
        <v>15</v>
      </c>
      <c r="D507" s="33">
        <f>Demand!E505</f>
        <v>7</v>
      </c>
      <c r="E507" s="33">
        <f>IF(Demand!F505,1,0)</f>
        <v>0</v>
      </c>
      <c r="F507" s="33">
        <f>COUNTIFS(c_store,A507,c_date,B507,c_hour,C507)</f>
        <v>1</v>
      </c>
      <c r="G507" s="33">
        <f>IF(F507&gt;0,1,0)</f>
        <v>1</v>
      </c>
      <c r="H507" s="33">
        <f>COUNTIFS(Demand!$A$2:$A$4481,A507,Demand!$B$2:$B$4481,B507,Demand!$C$2:$C$4481,C507)</f>
        <v>1</v>
      </c>
    </row>
    <row r="508">
      <c r="A508" s="32" t="str">
        <f>Demand!A506</f>
        <v>S012</v>
      </c>
      <c r="B508" s="35">
        <f>Demand!B506</f>
        <v>46267.0</v>
      </c>
      <c r="C508" s="33">
        <f>Demand!C506</f>
        <v>16</v>
      </c>
      <c r="D508" s="33">
        <f>Demand!E506</f>
        <v>15</v>
      </c>
      <c r="E508" s="33">
        <f>IF(Demand!F506,1,0)</f>
        <v>0</v>
      </c>
      <c r="F508" s="33">
        <f>COUNTIFS(c_store,A508,c_date,B508,c_hour,C508)</f>
        <v>0</v>
      </c>
      <c r="G508" s="33">
        <f>IF(F508&gt;0,1,0)</f>
        <v>0</v>
      </c>
      <c r="H508" s="33">
        <f>COUNTIFS(Demand!$A$2:$A$4481,A508,Demand!$B$2:$B$4481,B508,Demand!$C$2:$C$4481,C508)</f>
        <v>1</v>
      </c>
    </row>
    <row r="509">
      <c r="A509" s="32" t="str">
        <f>Demand!A507</f>
        <v>S012</v>
      </c>
      <c r="B509" s="35">
        <f>Demand!B507</f>
        <v>46267.0</v>
      </c>
      <c r="C509" s="33">
        <f>Demand!C507</f>
        <v>17</v>
      </c>
      <c r="D509" s="33">
        <f>Demand!E507</f>
        <v>19</v>
      </c>
      <c r="E509" s="33">
        <f>IF(Demand!F507,1,0)</f>
        <v>0</v>
      </c>
      <c r="F509" s="33">
        <f>COUNTIFS(c_store,A509,c_date,B509,c_hour,C509)</f>
        <v>0</v>
      </c>
      <c r="G509" s="33">
        <f>IF(F509&gt;0,1,0)</f>
        <v>0</v>
      </c>
      <c r="H509" s="33">
        <f>COUNTIFS(Demand!$A$2:$A$4481,A509,Demand!$B$2:$B$4481,B509,Demand!$C$2:$C$4481,C509)</f>
        <v>1</v>
      </c>
    </row>
    <row r="510">
      <c r="A510" s="32" t="str">
        <f>Demand!A508</f>
        <v>S012</v>
      </c>
      <c r="B510" s="35">
        <f>Demand!B508</f>
        <v>46267.0</v>
      </c>
      <c r="C510" s="33">
        <f>Demand!C508</f>
        <v>18</v>
      </c>
      <c r="D510" s="33">
        <f>Demand!E508</f>
        <v>16</v>
      </c>
      <c r="E510" s="33">
        <f>IF(Demand!F508,1,0)</f>
        <v>0</v>
      </c>
      <c r="F510" s="33">
        <f>COUNTIFS(c_store,A510,c_date,B510,c_hour,C510)</f>
        <v>0</v>
      </c>
      <c r="G510" s="33">
        <f>IF(F510&gt;0,1,0)</f>
        <v>0</v>
      </c>
      <c r="H510" s="33">
        <f>COUNTIFS(Demand!$A$2:$A$4481,A510,Demand!$B$2:$B$4481,B510,Demand!$C$2:$C$4481,C510)</f>
        <v>1</v>
      </c>
    </row>
    <row r="511">
      <c r="A511" s="32" t="str">
        <f>Demand!A509</f>
        <v>S012</v>
      </c>
      <c r="B511" s="35">
        <f>Demand!B509</f>
        <v>46267.0</v>
      </c>
      <c r="C511" s="33">
        <f>Demand!C509</f>
        <v>19</v>
      </c>
      <c r="D511" s="33">
        <f>Demand!E509</f>
        <v>14</v>
      </c>
      <c r="E511" s="33">
        <f>IF(Demand!F509,1,0)</f>
        <v>1</v>
      </c>
      <c r="F511" s="33">
        <f>COUNTIFS(c_store,A511,c_date,B511,c_hour,C511)</f>
        <v>0</v>
      </c>
      <c r="G511" s="33">
        <f>IF(F511&gt;0,1,0)</f>
        <v>0</v>
      </c>
      <c r="H511" s="33">
        <f>COUNTIFS(Demand!$A$2:$A$4481,A511,Demand!$B$2:$B$4481,B511,Demand!$C$2:$C$4481,C511)</f>
        <v>1</v>
      </c>
    </row>
    <row r="512">
      <c r="A512" s="32" t="str">
        <f>Demand!A510</f>
        <v>S012</v>
      </c>
      <c r="B512" s="35">
        <f>Demand!B510</f>
        <v>46267.0</v>
      </c>
      <c r="C512" s="33">
        <f>Demand!C510</f>
        <v>20</v>
      </c>
      <c r="D512" s="33">
        <f>Demand!E510</f>
        <v>28</v>
      </c>
      <c r="E512" s="33">
        <f>IF(Demand!F510,1,0)</f>
        <v>1</v>
      </c>
      <c r="F512" s="33">
        <f>COUNTIFS(c_store,A512,c_date,B512,c_hour,C512)</f>
        <v>0</v>
      </c>
      <c r="G512" s="33">
        <f>IF(F512&gt;0,1,0)</f>
        <v>0</v>
      </c>
      <c r="H512" s="33">
        <f>COUNTIFS(Demand!$A$2:$A$4481,A512,Demand!$B$2:$B$4481,B512,Demand!$C$2:$C$4481,C512)</f>
        <v>1</v>
      </c>
    </row>
    <row r="513">
      <c r="A513" s="32" t="str">
        <f>Demand!A511</f>
        <v>S012</v>
      </c>
      <c r="B513" s="35">
        <f>Demand!B511</f>
        <v>46267.0</v>
      </c>
      <c r="C513" s="33">
        <f>Demand!C511</f>
        <v>21</v>
      </c>
      <c r="D513" s="33">
        <f>Demand!E511</f>
        <v>25</v>
      </c>
      <c r="E513" s="33">
        <f>IF(Demand!F511,1,0)</f>
        <v>1</v>
      </c>
      <c r="F513" s="33">
        <f>COUNTIFS(c_store,A513,c_date,B513,c_hour,C513)</f>
        <v>0</v>
      </c>
      <c r="G513" s="33">
        <f>IF(F513&gt;0,1,0)</f>
        <v>0</v>
      </c>
      <c r="H513" s="33">
        <f>COUNTIFS(Demand!$A$2:$A$4481,A513,Demand!$B$2:$B$4481,B513,Demand!$C$2:$C$4481,C513)</f>
        <v>1</v>
      </c>
    </row>
    <row r="514">
      <c r="A514" s="32" t="str">
        <f>Demand!A512</f>
        <v>S012</v>
      </c>
      <c r="B514" s="35">
        <f>Demand!B512</f>
        <v>46267.0</v>
      </c>
      <c r="C514" s="33">
        <f>Demand!C512</f>
        <v>22</v>
      </c>
      <c r="D514" s="33">
        <f>Demand!E512</f>
        <v>10</v>
      </c>
      <c r="E514" s="33">
        <f>IF(Demand!F512,1,0)</f>
        <v>0</v>
      </c>
      <c r="F514" s="33">
        <f>COUNTIFS(c_store,A514,c_date,B514,c_hour,C514)</f>
        <v>0</v>
      </c>
      <c r="G514" s="33">
        <f>IF(F514&gt;0,1,0)</f>
        <v>0</v>
      </c>
      <c r="H514" s="33">
        <f>COUNTIFS(Demand!$A$2:$A$4481,A514,Demand!$B$2:$B$4481,B514,Demand!$C$2:$C$4481,C514)</f>
        <v>1</v>
      </c>
    </row>
    <row r="515">
      <c r="A515" s="32" t="str">
        <f>Demand!A513</f>
        <v>S012</v>
      </c>
      <c r="B515" s="35">
        <f>Demand!B513</f>
        <v>46267.0</v>
      </c>
      <c r="C515" s="33">
        <f>Demand!C513</f>
        <v>23</v>
      </c>
      <c r="D515" s="33">
        <f>Demand!E513</f>
        <v>18</v>
      </c>
      <c r="E515" s="33">
        <f>IF(Demand!F513,1,0)</f>
        <v>0</v>
      </c>
      <c r="F515" s="33">
        <f>COUNTIFS(c_store,A515,c_date,B515,c_hour,C515)</f>
        <v>1</v>
      </c>
      <c r="G515" s="33">
        <f>IF(F515&gt;0,1,0)</f>
        <v>1</v>
      </c>
      <c r="H515" s="33">
        <f>COUNTIFS(Demand!$A$2:$A$4481,A515,Demand!$B$2:$B$4481,B515,Demand!$C$2:$C$4481,C515)</f>
        <v>1</v>
      </c>
    </row>
    <row r="516">
      <c r="A516" s="32" t="str">
        <f>Demand!A514</f>
        <v>S013</v>
      </c>
      <c r="B516" s="35">
        <f>Demand!B514</f>
        <v>46267.0</v>
      </c>
      <c r="C516" s="33">
        <f>Demand!C514</f>
        <v>8</v>
      </c>
      <c r="D516" s="33">
        <f>Demand!E514</f>
        <v>42</v>
      </c>
      <c r="E516" s="33">
        <f>IF(Demand!F514,1,0)</f>
        <v>0</v>
      </c>
      <c r="F516" s="33">
        <f>COUNTIFS(c_store,A516,c_date,B516,c_hour,C516)</f>
        <v>0</v>
      </c>
      <c r="G516" s="33">
        <f>IF(F516&gt;0,1,0)</f>
        <v>0</v>
      </c>
      <c r="H516" s="33">
        <f>COUNTIFS(Demand!$A$2:$A$4481,A516,Demand!$B$2:$B$4481,B516,Demand!$C$2:$C$4481,C516)</f>
        <v>1</v>
      </c>
    </row>
    <row r="517">
      <c r="A517" s="32" t="str">
        <f>Demand!A515</f>
        <v>S013</v>
      </c>
      <c r="B517" s="35">
        <f>Demand!B515</f>
        <v>46267.0</v>
      </c>
      <c r="C517" s="33">
        <f>Demand!C515</f>
        <v>9</v>
      </c>
      <c r="D517" s="33">
        <f>Demand!E515</f>
        <v>33</v>
      </c>
      <c r="E517" s="33">
        <f>IF(Demand!F515,1,0)</f>
        <v>0</v>
      </c>
      <c r="F517" s="33">
        <f>COUNTIFS(c_store,A517,c_date,B517,c_hour,C517)</f>
        <v>1</v>
      </c>
      <c r="G517" s="33">
        <f>IF(F517&gt;0,1,0)</f>
        <v>1</v>
      </c>
      <c r="H517" s="33">
        <f>COUNTIFS(Demand!$A$2:$A$4481,A517,Demand!$B$2:$B$4481,B517,Demand!$C$2:$C$4481,C517)</f>
        <v>1</v>
      </c>
    </row>
    <row r="518">
      <c r="A518" s="32" t="str">
        <f>Demand!A516</f>
        <v>S013</v>
      </c>
      <c r="B518" s="35">
        <f>Demand!B516</f>
        <v>46267.0</v>
      </c>
      <c r="C518" s="33">
        <f>Demand!C516</f>
        <v>10</v>
      </c>
      <c r="D518" s="33">
        <f>Demand!E516</f>
        <v>45</v>
      </c>
      <c r="E518" s="33">
        <f>IF(Demand!F516,1,0)</f>
        <v>0</v>
      </c>
      <c r="F518" s="33">
        <f>COUNTIFS(c_store,A518,c_date,B518,c_hour,C518)</f>
        <v>0</v>
      </c>
      <c r="G518" s="33">
        <f>IF(F518&gt;0,1,0)</f>
        <v>0</v>
      </c>
      <c r="H518" s="33">
        <f>COUNTIFS(Demand!$A$2:$A$4481,A518,Demand!$B$2:$B$4481,B518,Demand!$C$2:$C$4481,C518)</f>
        <v>1</v>
      </c>
    </row>
    <row r="519">
      <c r="A519" s="32" t="str">
        <f>Demand!A517</f>
        <v>S013</v>
      </c>
      <c r="B519" s="35">
        <f>Demand!B517</f>
        <v>46267.0</v>
      </c>
      <c r="C519" s="33">
        <f>Demand!C517</f>
        <v>11</v>
      </c>
      <c r="D519" s="33">
        <f>Demand!E517</f>
        <v>46</v>
      </c>
      <c r="E519" s="33">
        <f>IF(Demand!F517,1,0)</f>
        <v>0</v>
      </c>
      <c r="F519" s="33">
        <f>COUNTIFS(c_store,A519,c_date,B519,c_hour,C519)</f>
        <v>1</v>
      </c>
      <c r="G519" s="33">
        <f>IF(F519&gt;0,1,0)</f>
        <v>1</v>
      </c>
      <c r="H519" s="33">
        <f>COUNTIFS(Demand!$A$2:$A$4481,A519,Demand!$B$2:$B$4481,B519,Demand!$C$2:$C$4481,C519)</f>
        <v>1</v>
      </c>
    </row>
    <row r="520">
      <c r="A520" s="32" t="str">
        <f>Demand!A518</f>
        <v>S013</v>
      </c>
      <c r="B520" s="35">
        <f>Demand!B518</f>
        <v>46267.0</v>
      </c>
      <c r="C520" s="33">
        <f>Demand!C518</f>
        <v>12</v>
      </c>
      <c r="D520" s="33">
        <f>Demand!E518</f>
        <v>50</v>
      </c>
      <c r="E520" s="33">
        <f>IF(Demand!F518,1,0)</f>
        <v>0</v>
      </c>
      <c r="F520" s="33">
        <f>COUNTIFS(c_store,A520,c_date,B520,c_hour,C520)</f>
        <v>0</v>
      </c>
      <c r="G520" s="33">
        <f>IF(F520&gt;0,1,0)</f>
        <v>0</v>
      </c>
      <c r="H520" s="33">
        <f>COUNTIFS(Demand!$A$2:$A$4481,A520,Demand!$B$2:$B$4481,B520,Demand!$C$2:$C$4481,C520)</f>
        <v>1</v>
      </c>
    </row>
    <row r="521">
      <c r="A521" s="32" t="str">
        <f>Demand!A519</f>
        <v>S013</v>
      </c>
      <c r="B521" s="35">
        <f>Demand!B519</f>
        <v>46267.0</v>
      </c>
      <c r="C521" s="33">
        <f>Demand!C519</f>
        <v>13</v>
      </c>
      <c r="D521" s="33">
        <f>Demand!E519</f>
        <v>49</v>
      </c>
      <c r="E521" s="33">
        <f>IF(Demand!F519,1,0)</f>
        <v>0</v>
      </c>
      <c r="F521" s="33">
        <f>COUNTIFS(c_store,A521,c_date,B521,c_hour,C521)</f>
        <v>2</v>
      </c>
      <c r="G521" s="33">
        <f>IF(F521&gt;0,1,0)</f>
        <v>1</v>
      </c>
      <c r="H521" s="33">
        <f>COUNTIFS(Demand!$A$2:$A$4481,A521,Demand!$B$2:$B$4481,B521,Demand!$C$2:$C$4481,C521)</f>
        <v>1</v>
      </c>
    </row>
    <row r="522">
      <c r="A522" s="32" t="str">
        <f>Demand!A520</f>
        <v>S013</v>
      </c>
      <c r="B522" s="35">
        <f>Demand!B520</f>
        <v>46267.0</v>
      </c>
      <c r="C522" s="33">
        <f>Demand!C520</f>
        <v>14</v>
      </c>
      <c r="D522" s="33">
        <f>Demand!E520</f>
        <v>39</v>
      </c>
      <c r="E522" s="33">
        <f>IF(Demand!F520,1,0)</f>
        <v>0</v>
      </c>
      <c r="F522" s="33">
        <f>COUNTIFS(c_store,A522,c_date,B522,c_hour,C522)</f>
        <v>1</v>
      </c>
      <c r="G522" s="33">
        <f>IF(F522&gt;0,1,0)</f>
        <v>1</v>
      </c>
      <c r="H522" s="33">
        <f>COUNTIFS(Demand!$A$2:$A$4481,A522,Demand!$B$2:$B$4481,B522,Demand!$C$2:$C$4481,C522)</f>
        <v>1</v>
      </c>
    </row>
    <row r="523">
      <c r="A523" s="32" t="str">
        <f>Demand!A521</f>
        <v>S013</v>
      </c>
      <c r="B523" s="35">
        <f>Demand!B521</f>
        <v>46267.0</v>
      </c>
      <c r="C523" s="33">
        <f>Demand!C521</f>
        <v>15</v>
      </c>
      <c r="D523" s="33">
        <f>Demand!E521</f>
        <v>37</v>
      </c>
      <c r="E523" s="33">
        <f>IF(Demand!F521,1,0)</f>
        <v>0</v>
      </c>
      <c r="F523" s="33">
        <f>COUNTIFS(c_store,A523,c_date,B523,c_hour,C523)</f>
        <v>0</v>
      </c>
      <c r="G523" s="33">
        <f>IF(F523&gt;0,1,0)</f>
        <v>0</v>
      </c>
      <c r="H523" s="33">
        <f>COUNTIFS(Demand!$A$2:$A$4481,A523,Demand!$B$2:$B$4481,B523,Demand!$C$2:$C$4481,C523)</f>
        <v>1</v>
      </c>
    </row>
    <row r="524">
      <c r="A524" s="32" t="str">
        <f>Demand!A522</f>
        <v>S013</v>
      </c>
      <c r="B524" s="35">
        <f>Demand!B522</f>
        <v>46267.0</v>
      </c>
      <c r="C524" s="33">
        <f>Demand!C522</f>
        <v>16</v>
      </c>
      <c r="D524" s="33">
        <f>Demand!E522</f>
        <v>45</v>
      </c>
      <c r="E524" s="33">
        <f>IF(Demand!F522,1,0)</f>
        <v>0</v>
      </c>
      <c r="F524" s="33">
        <f>COUNTIFS(c_store,A524,c_date,B524,c_hour,C524)</f>
        <v>1</v>
      </c>
      <c r="G524" s="33">
        <f>IF(F524&gt;0,1,0)</f>
        <v>1</v>
      </c>
      <c r="H524" s="33">
        <f>COUNTIFS(Demand!$A$2:$A$4481,A524,Demand!$B$2:$B$4481,B524,Demand!$C$2:$C$4481,C524)</f>
        <v>1</v>
      </c>
    </row>
    <row r="525">
      <c r="A525" s="32" t="str">
        <f>Demand!A523</f>
        <v>S013</v>
      </c>
      <c r="B525" s="35">
        <f>Demand!B523</f>
        <v>46267.0</v>
      </c>
      <c r="C525" s="33">
        <f>Demand!C523</f>
        <v>17</v>
      </c>
      <c r="D525" s="33">
        <f>Demand!E523</f>
        <v>54</v>
      </c>
      <c r="E525" s="33">
        <f>IF(Demand!F523,1,0)</f>
        <v>0</v>
      </c>
      <c r="F525" s="33">
        <f>COUNTIFS(c_store,A525,c_date,B525,c_hour,C525)</f>
        <v>0</v>
      </c>
      <c r="G525" s="33">
        <f>IF(F525&gt;0,1,0)</f>
        <v>0</v>
      </c>
      <c r="H525" s="33">
        <f>COUNTIFS(Demand!$A$2:$A$4481,A525,Demand!$B$2:$B$4481,B525,Demand!$C$2:$C$4481,C525)</f>
        <v>1</v>
      </c>
    </row>
    <row r="526">
      <c r="A526" s="32" t="str">
        <f>Demand!A524</f>
        <v>S013</v>
      </c>
      <c r="B526" s="35">
        <f>Demand!B524</f>
        <v>46267.0</v>
      </c>
      <c r="C526" s="33">
        <f>Demand!C524</f>
        <v>18</v>
      </c>
      <c r="D526" s="33">
        <f>Demand!E524</f>
        <v>42</v>
      </c>
      <c r="E526" s="33">
        <f>IF(Demand!F524,1,0)</f>
        <v>0</v>
      </c>
      <c r="F526" s="33">
        <f>COUNTIFS(c_store,A526,c_date,B526,c_hour,C526)</f>
        <v>1</v>
      </c>
      <c r="G526" s="33">
        <f>IF(F526&gt;0,1,0)</f>
        <v>1</v>
      </c>
      <c r="H526" s="33">
        <f>COUNTIFS(Demand!$A$2:$A$4481,A526,Demand!$B$2:$B$4481,B526,Demand!$C$2:$C$4481,C526)</f>
        <v>1</v>
      </c>
    </row>
    <row r="527">
      <c r="A527" s="32" t="str">
        <f>Demand!A525</f>
        <v>S013</v>
      </c>
      <c r="B527" s="35">
        <f>Demand!B525</f>
        <v>46267.0</v>
      </c>
      <c r="C527" s="33">
        <f>Demand!C525</f>
        <v>19</v>
      </c>
      <c r="D527" s="33">
        <f>Demand!E525</f>
        <v>78</v>
      </c>
      <c r="E527" s="33">
        <f>IF(Demand!F525,1,0)</f>
        <v>1</v>
      </c>
      <c r="F527" s="33">
        <f>COUNTIFS(c_store,A527,c_date,B527,c_hour,C527)</f>
        <v>0</v>
      </c>
      <c r="G527" s="33">
        <f>IF(F527&gt;0,1,0)</f>
        <v>0</v>
      </c>
      <c r="H527" s="33">
        <f>COUNTIFS(Demand!$A$2:$A$4481,A527,Demand!$B$2:$B$4481,B527,Demand!$C$2:$C$4481,C527)</f>
        <v>1</v>
      </c>
    </row>
    <row r="528">
      <c r="A528" s="32" t="str">
        <f>Demand!A526</f>
        <v>S013</v>
      </c>
      <c r="B528" s="35">
        <f>Demand!B526</f>
        <v>46267.0</v>
      </c>
      <c r="C528" s="33">
        <f>Demand!C526</f>
        <v>20</v>
      </c>
      <c r="D528" s="33">
        <f>Demand!E526</f>
        <v>64</v>
      </c>
      <c r="E528" s="33">
        <f>IF(Demand!F526,1,0)</f>
        <v>1</v>
      </c>
      <c r="F528" s="33">
        <f>COUNTIFS(c_store,A528,c_date,B528,c_hour,C528)</f>
        <v>0</v>
      </c>
      <c r="G528" s="33">
        <f>IF(F528&gt;0,1,0)</f>
        <v>0</v>
      </c>
      <c r="H528" s="33">
        <f>COUNTIFS(Demand!$A$2:$A$4481,A528,Demand!$B$2:$B$4481,B528,Demand!$C$2:$C$4481,C528)</f>
        <v>1</v>
      </c>
    </row>
    <row r="529">
      <c r="A529" s="32" t="str">
        <f>Demand!A527</f>
        <v>S013</v>
      </c>
      <c r="B529" s="35">
        <f>Demand!B527</f>
        <v>46267.0</v>
      </c>
      <c r="C529" s="33">
        <f>Demand!C527</f>
        <v>21</v>
      </c>
      <c r="D529" s="33">
        <f>Demand!E527</f>
        <v>69</v>
      </c>
      <c r="E529" s="33">
        <f>IF(Demand!F527,1,0)</f>
        <v>1</v>
      </c>
      <c r="F529" s="33">
        <f>COUNTIFS(c_store,A529,c_date,B529,c_hour,C529)</f>
        <v>0</v>
      </c>
      <c r="G529" s="33">
        <f>IF(F529&gt;0,1,0)</f>
        <v>0</v>
      </c>
      <c r="H529" s="33">
        <f>COUNTIFS(Demand!$A$2:$A$4481,A529,Demand!$B$2:$B$4481,B529,Demand!$C$2:$C$4481,C529)</f>
        <v>1</v>
      </c>
    </row>
    <row r="530">
      <c r="A530" s="32" t="str">
        <f>Demand!A528</f>
        <v>S013</v>
      </c>
      <c r="B530" s="35">
        <f>Demand!B528</f>
        <v>46267.0</v>
      </c>
      <c r="C530" s="33">
        <f>Demand!C528</f>
        <v>22</v>
      </c>
      <c r="D530" s="33">
        <f>Demand!E528</f>
        <v>41</v>
      </c>
      <c r="E530" s="33">
        <f>IF(Demand!F528,1,0)</f>
        <v>0</v>
      </c>
      <c r="F530" s="33">
        <f>COUNTIFS(c_store,A530,c_date,B530,c_hour,C530)</f>
        <v>0</v>
      </c>
      <c r="G530" s="33">
        <f>IF(F530&gt;0,1,0)</f>
        <v>0</v>
      </c>
      <c r="H530" s="33">
        <f>COUNTIFS(Demand!$A$2:$A$4481,A530,Demand!$B$2:$B$4481,B530,Demand!$C$2:$C$4481,C530)</f>
        <v>1</v>
      </c>
    </row>
    <row r="531">
      <c r="A531" s="32" t="str">
        <f>Demand!A529</f>
        <v>S013</v>
      </c>
      <c r="B531" s="35">
        <f>Demand!B529</f>
        <v>46267.0</v>
      </c>
      <c r="C531" s="33">
        <f>Demand!C529</f>
        <v>23</v>
      </c>
      <c r="D531" s="33">
        <f>Demand!E529</f>
        <v>52</v>
      </c>
      <c r="E531" s="33">
        <f>IF(Demand!F529,1,0)</f>
        <v>0</v>
      </c>
      <c r="F531" s="33">
        <f>COUNTIFS(c_store,A531,c_date,B531,c_hour,C531)</f>
        <v>0</v>
      </c>
      <c r="G531" s="33">
        <f>IF(F531&gt;0,1,0)</f>
        <v>0</v>
      </c>
      <c r="H531" s="33">
        <f>COUNTIFS(Demand!$A$2:$A$4481,A531,Demand!$B$2:$B$4481,B531,Demand!$C$2:$C$4481,C531)</f>
        <v>1</v>
      </c>
    </row>
    <row r="532">
      <c r="A532" s="32" t="str">
        <f>Demand!A530</f>
        <v>S014</v>
      </c>
      <c r="B532" s="35">
        <f>Demand!B530</f>
        <v>46267.0</v>
      </c>
      <c r="C532" s="33">
        <f>Demand!C530</f>
        <v>8</v>
      </c>
      <c r="D532" s="33">
        <f>Demand!E530</f>
        <v>31</v>
      </c>
      <c r="E532" s="33">
        <f>IF(Demand!F530,1,0)</f>
        <v>0</v>
      </c>
      <c r="F532" s="33">
        <f>COUNTIFS(c_store,A532,c_date,B532,c_hour,C532)</f>
        <v>0</v>
      </c>
      <c r="G532" s="33">
        <f>IF(F532&gt;0,1,0)</f>
        <v>0</v>
      </c>
      <c r="H532" s="33">
        <f>COUNTIFS(Demand!$A$2:$A$4481,A532,Demand!$B$2:$B$4481,B532,Demand!$C$2:$C$4481,C532)</f>
        <v>1</v>
      </c>
    </row>
    <row r="533">
      <c r="A533" s="32" t="str">
        <f>Demand!A531</f>
        <v>S014</v>
      </c>
      <c r="B533" s="35">
        <f>Demand!B531</f>
        <v>46267.0</v>
      </c>
      <c r="C533" s="33">
        <f>Demand!C531</f>
        <v>9</v>
      </c>
      <c r="D533" s="33">
        <f>Demand!E531</f>
        <v>31</v>
      </c>
      <c r="E533" s="33">
        <f>IF(Demand!F531,1,0)</f>
        <v>0</v>
      </c>
      <c r="F533" s="33">
        <f>COUNTIFS(c_store,A533,c_date,B533,c_hour,C533)</f>
        <v>0</v>
      </c>
      <c r="G533" s="33">
        <f>IF(F533&gt;0,1,0)</f>
        <v>0</v>
      </c>
      <c r="H533" s="33">
        <f>COUNTIFS(Demand!$A$2:$A$4481,A533,Demand!$B$2:$B$4481,B533,Demand!$C$2:$C$4481,C533)</f>
        <v>1</v>
      </c>
    </row>
    <row r="534">
      <c r="A534" s="32" t="str">
        <f>Demand!A532</f>
        <v>S014</v>
      </c>
      <c r="B534" s="35">
        <f>Demand!B532</f>
        <v>46267.0</v>
      </c>
      <c r="C534" s="33">
        <f>Demand!C532</f>
        <v>10</v>
      </c>
      <c r="D534" s="33">
        <f>Demand!E532</f>
        <v>28</v>
      </c>
      <c r="E534" s="33">
        <f>IF(Demand!F532,1,0)</f>
        <v>0</v>
      </c>
      <c r="F534" s="33">
        <f>COUNTIFS(c_store,A534,c_date,B534,c_hour,C534)</f>
        <v>0</v>
      </c>
      <c r="G534" s="33">
        <f>IF(F534&gt;0,1,0)</f>
        <v>0</v>
      </c>
      <c r="H534" s="33">
        <f>COUNTIFS(Demand!$A$2:$A$4481,A534,Demand!$B$2:$B$4481,B534,Demand!$C$2:$C$4481,C534)</f>
        <v>1</v>
      </c>
    </row>
    <row r="535">
      <c r="A535" s="32" t="str">
        <f>Demand!A533</f>
        <v>S014</v>
      </c>
      <c r="B535" s="35">
        <f>Demand!B533</f>
        <v>46267.0</v>
      </c>
      <c r="C535" s="33">
        <f>Demand!C533</f>
        <v>11</v>
      </c>
      <c r="D535" s="33">
        <f>Demand!E533</f>
        <v>44</v>
      </c>
      <c r="E535" s="33">
        <f>IF(Demand!F533,1,0)</f>
        <v>0</v>
      </c>
      <c r="F535" s="33">
        <f>COUNTIFS(c_store,A535,c_date,B535,c_hour,C535)</f>
        <v>0</v>
      </c>
      <c r="G535" s="33">
        <f>IF(F535&gt;0,1,0)</f>
        <v>0</v>
      </c>
      <c r="H535" s="33">
        <f>COUNTIFS(Demand!$A$2:$A$4481,A535,Demand!$B$2:$B$4481,B535,Demand!$C$2:$C$4481,C535)</f>
        <v>1</v>
      </c>
    </row>
    <row r="536">
      <c r="A536" s="32" t="str">
        <f>Demand!A534</f>
        <v>S014</v>
      </c>
      <c r="B536" s="35">
        <f>Demand!B534</f>
        <v>46267.0</v>
      </c>
      <c r="C536" s="33">
        <f>Demand!C534</f>
        <v>12</v>
      </c>
      <c r="D536" s="33">
        <f>Demand!E534</f>
        <v>30</v>
      </c>
      <c r="E536" s="33">
        <f>IF(Demand!F534,1,0)</f>
        <v>0</v>
      </c>
      <c r="F536" s="33">
        <f>COUNTIFS(c_store,A536,c_date,B536,c_hour,C536)</f>
        <v>2</v>
      </c>
      <c r="G536" s="33">
        <f>IF(F536&gt;0,1,0)</f>
        <v>1</v>
      </c>
      <c r="H536" s="33">
        <f>COUNTIFS(Demand!$A$2:$A$4481,A536,Demand!$B$2:$B$4481,B536,Demand!$C$2:$C$4481,C536)</f>
        <v>1</v>
      </c>
    </row>
    <row r="537">
      <c r="A537" s="32" t="str">
        <f>Demand!A535</f>
        <v>S014</v>
      </c>
      <c r="B537" s="35">
        <f>Demand!B535</f>
        <v>46267.0</v>
      </c>
      <c r="C537" s="33">
        <f>Demand!C535</f>
        <v>13</v>
      </c>
      <c r="D537" s="33">
        <f>Demand!E535</f>
        <v>29</v>
      </c>
      <c r="E537" s="33">
        <f>IF(Demand!F535,1,0)</f>
        <v>0</v>
      </c>
      <c r="F537" s="33">
        <f>COUNTIFS(c_store,A537,c_date,B537,c_hour,C537)</f>
        <v>0</v>
      </c>
      <c r="G537" s="33">
        <f>IF(F537&gt;0,1,0)</f>
        <v>0</v>
      </c>
      <c r="H537" s="33">
        <f>COUNTIFS(Demand!$A$2:$A$4481,A537,Demand!$B$2:$B$4481,B537,Demand!$C$2:$C$4481,C537)</f>
        <v>1</v>
      </c>
    </row>
    <row r="538">
      <c r="A538" s="32" t="str">
        <f>Demand!A536</f>
        <v>S014</v>
      </c>
      <c r="B538" s="35">
        <f>Demand!B536</f>
        <v>46267.0</v>
      </c>
      <c r="C538" s="33">
        <f>Demand!C536</f>
        <v>14</v>
      </c>
      <c r="D538" s="33">
        <f>Demand!E536</f>
        <v>23</v>
      </c>
      <c r="E538" s="33">
        <f>IF(Demand!F536,1,0)</f>
        <v>0</v>
      </c>
      <c r="F538" s="33">
        <f>COUNTIFS(c_store,A538,c_date,B538,c_hour,C538)</f>
        <v>0</v>
      </c>
      <c r="G538" s="33">
        <f>IF(F538&gt;0,1,0)</f>
        <v>0</v>
      </c>
      <c r="H538" s="33">
        <f>COUNTIFS(Demand!$A$2:$A$4481,A538,Demand!$B$2:$B$4481,B538,Demand!$C$2:$C$4481,C538)</f>
        <v>1</v>
      </c>
    </row>
    <row r="539">
      <c r="A539" s="32" t="str">
        <f>Demand!A537</f>
        <v>S014</v>
      </c>
      <c r="B539" s="35">
        <f>Demand!B537</f>
        <v>46267.0</v>
      </c>
      <c r="C539" s="33">
        <f>Demand!C537</f>
        <v>15</v>
      </c>
      <c r="D539" s="33">
        <f>Demand!E537</f>
        <v>22</v>
      </c>
      <c r="E539" s="33">
        <f>IF(Demand!F537,1,0)</f>
        <v>0</v>
      </c>
      <c r="F539" s="33">
        <f>COUNTIFS(c_store,A539,c_date,B539,c_hour,C539)</f>
        <v>0</v>
      </c>
      <c r="G539" s="33">
        <f>IF(F539&gt;0,1,0)</f>
        <v>0</v>
      </c>
      <c r="H539" s="33">
        <f>COUNTIFS(Demand!$A$2:$A$4481,A539,Demand!$B$2:$B$4481,B539,Demand!$C$2:$C$4481,C539)</f>
        <v>1</v>
      </c>
    </row>
    <row r="540">
      <c r="A540" s="32" t="str">
        <f>Demand!A538</f>
        <v>S014</v>
      </c>
      <c r="B540" s="35">
        <f>Demand!B538</f>
        <v>46267.0</v>
      </c>
      <c r="C540" s="33">
        <f>Demand!C538</f>
        <v>16</v>
      </c>
      <c r="D540" s="33">
        <f>Demand!E538</f>
        <v>42</v>
      </c>
      <c r="E540" s="33">
        <f>IF(Demand!F538,1,0)</f>
        <v>0</v>
      </c>
      <c r="F540" s="33">
        <f>COUNTIFS(c_store,A540,c_date,B540,c_hour,C540)</f>
        <v>0</v>
      </c>
      <c r="G540" s="33">
        <f>IF(F540&gt;0,1,0)</f>
        <v>0</v>
      </c>
      <c r="H540" s="33">
        <f>COUNTIFS(Demand!$A$2:$A$4481,A540,Demand!$B$2:$B$4481,B540,Demand!$C$2:$C$4481,C540)</f>
        <v>1</v>
      </c>
    </row>
    <row r="541">
      <c r="A541" s="32" t="str">
        <f>Demand!A539</f>
        <v>S014</v>
      </c>
      <c r="B541" s="35">
        <f>Demand!B539</f>
        <v>46267.0</v>
      </c>
      <c r="C541" s="33">
        <f>Demand!C539</f>
        <v>17</v>
      </c>
      <c r="D541" s="33">
        <f>Demand!E539</f>
        <v>43</v>
      </c>
      <c r="E541" s="33">
        <f>IF(Demand!F539,1,0)</f>
        <v>0</v>
      </c>
      <c r="F541" s="33">
        <f>COUNTIFS(c_store,A541,c_date,B541,c_hour,C541)</f>
        <v>0</v>
      </c>
      <c r="G541" s="33">
        <f>IF(F541&gt;0,1,0)</f>
        <v>0</v>
      </c>
      <c r="H541" s="33">
        <f>COUNTIFS(Demand!$A$2:$A$4481,A541,Demand!$B$2:$B$4481,B541,Demand!$C$2:$C$4481,C541)</f>
        <v>1</v>
      </c>
    </row>
    <row r="542">
      <c r="A542" s="32" t="str">
        <f>Demand!A540</f>
        <v>S014</v>
      </c>
      <c r="B542" s="35">
        <f>Demand!B540</f>
        <v>46267.0</v>
      </c>
      <c r="C542" s="33">
        <f>Demand!C540</f>
        <v>18</v>
      </c>
      <c r="D542" s="33">
        <f>Demand!E540</f>
        <v>40</v>
      </c>
      <c r="E542" s="33">
        <f>IF(Demand!F540,1,0)</f>
        <v>0</v>
      </c>
      <c r="F542" s="33">
        <f>COUNTIFS(c_store,A542,c_date,B542,c_hour,C542)</f>
        <v>0</v>
      </c>
      <c r="G542" s="33">
        <f>IF(F542&gt;0,1,0)</f>
        <v>0</v>
      </c>
      <c r="H542" s="33">
        <f>COUNTIFS(Demand!$A$2:$A$4481,A542,Demand!$B$2:$B$4481,B542,Demand!$C$2:$C$4481,C542)</f>
        <v>1</v>
      </c>
    </row>
    <row r="543">
      <c r="A543" s="32" t="str">
        <f>Demand!A541</f>
        <v>S014</v>
      </c>
      <c r="B543" s="35">
        <f>Demand!B541</f>
        <v>46267.0</v>
      </c>
      <c r="C543" s="33">
        <f>Demand!C541</f>
        <v>19</v>
      </c>
      <c r="D543" s="33">
        <f>Demand!E541</f>
        <v>63</v>
      </c>
      <c r="E543" s="33">
        <f>IF(Demand!F541,1,0)</f>
        <v>1</v>
      </c>
      <c r="F543" s="33">
        <f>COUNTIFS(c_store,A543,c_date,B543,c_hour,C543)</f>
        <v>0</v>
      </c>
      <c r="G543" s="33">
        <f>IF(F543&gt;0,1,0)</f>
        <v>0</v>
      </c>
      <c r="H543" s="33">
        <f>COUNTIFS(Demand!$A$2:$A$4481,A543,Demand!$B$2:$B$4481,B543,Demand!$C$2:$C$4481,C543)</f>
        <v>1</v>
      </c>
    </row>
    <row r="544">
      <c r="A544" s="32" t="str">
        <f>Demand!A542</f>
        <v>S014</v>
      </c>
      <c r="B544" s="35">
        <f>Demand!B542</f>
        <v>46267.0</v>
      </c>
      <c r="C544" s="33">
        <f>Demand!C542</f>
        <v>20</v>
      </c>
      <c r="D544" s="33">
        <f>Demand!E542</f>
        <v>66</v>
      </c>
      <c r="E544" s="33">
        <f>IF(Demand!F542,1,0)</f>
        <v>1</v>
      </c>
      <c r="F544" s="33">
        <f>COUNTIFS(c_store,A544,c_date,B544,c_hour,C544)</f>
        <v>0</v>
      </c>
      <c r="G544" s="33">
        <f>IF(F544&gt;0,1,0)</f>
        <v>0</v>
      </c>
      <c r="H544" s="33">
        <f>COUNTIFS(Demand!$A$2:$A$4481,A544,Demand!$B$2:$B$4481,B544,Demand!$C$2:$C$4481,C544)</f>
        <v>1</v>
      </c>
    </row>
    <row r="545">
      <c r="A545" s="32" t="str">
        <f>Demand!A543</f>
        <v>S014</v>
      </c>
      <c r="B545" s="35">
        <f>Demand!B543</f>
        <v>46267.0</v>
      </c>
      <c r="C545" s="33">
        <f>Demand!C543</f>
        <v>21</v>
      </c>
      <c r="D545" s="33">
        <f>Demand!E543</f>
        <v>55</v>
      </c>
      <c r="E545" s="33">
        <f>IF(Demand!F543,1,0)</f>
        <v>1</v>
      </c>
      <c r="F545" s="33">
        <f>COUNTIFS(c_store,A545,c_date,B545,c_hour,C545)</f>
        <v>1</v>
      </c>
      <c r="G545" s="33">
        <f>IF(F545&gt;0,1,0)</f>
        <v>1</v>
      </c>
      <c r="H545" s="33">
        <f>COUNTIFS(Demand!$A$2:$A$4481,A545,Demand!$B$2:$B$4481,B545,Demand!$C$2:$C$4481,C545)</f>
        <v>1</v>
      </c>
    </row>
    <row r="546">
      <c r="A546" s="32" t="str">
        <f>Demand!A544</f>
        <v>S014</v>
      </c>
      <c r="B546" s="35">
        <f>Demand!B544</f>
        <v>46267.0</v>
      </c>
      <c r="C546" s="33">
        <f>Demand!C544</f>
        <v>22</v>
      </c>
      <c r="D546" s="33">
        <f>Demand!E544</f>
        <v>44</v>
      </c>
      <c r="E546" s="33">
        <f>IF(Demand!F544,1,0)</f>
        <v>0</v>
      </c>
      <c r="F546" s="33">
        <f>COUNTIFS(c_store,A546,c_date,B546,c_hour,C546)</f>
        <v>0</v>
      </c>
      <c r="G546" s="33">
        <f>IF(F546&gt;0,1,0)</f>
        <v>0</v>
      </c>
      <c r="H546" s="33">
        <f>COUNTIFS(Demand!$A$2:$A$4481,A546,Demand!$B$2:$B$4481,B546,Demand!$C$2:$C$4481,C546)</f>
        <v>1</v>
      </c>
    </row>
    <row r="547">
      <c r="A547" s="32" t="str">
        <f>Demand!A545</f>
        <v>S014</v>
      </c>
      <c r="B547" s="35">
        <f>Demand!B545</f>
        <v>46267.0</v>
      </c>
      <c r="C547" s="33">
        <f>Demand!C545</f>
        <v>23</v>
      </c>
      <c r="D547" s="33">
        <f>Demand!E545</f>
        <v>42</v>
      </c>
      <c r="E547" s="33">
        <f>IF(Demand!F545,1,0)</f>
        <v>0</v>
      </c>
      <c r="F547" s="33">
        <f>COUNTIFS(c_store,A547,c_date,B547,c_hour,C547)</f>
        <v>0</v>
      </c>
      <c r="G547" s="33">
        <f>IF(F547&gt;0,1,0)</f>
        <v>0</v>
      </c>
      <c r="H547" s="33">
        <f>COUNTIFS(Demand!$A$2:$A$4481,A547,Demand!$B$2:$B$4481,B547,Demand!$C$2:$C$4481,C547)</f>
        <v>1</v>
      </c>
    </row>
    <row r="548">
      <c r="A548" s="32" t="str">
        <f>Demand!A546</f>
        <v>S015</v>
      </c>
      <c r="B548" s="35">
        <f>Demand!B546</f>
        <v>46267.0</v>
      </c>
      <c r="C548" s="33">
        <f>Demand!C546</f>
        <v>8</v>
      </c>
      <c r="D548" s="33">
        <f>Demand!E546</f>
        <v>20</v>
      </c>
      <c r="E548" s="33">
        <f>IF(Demand!F546,1,0)</f>
        <v>0</v>
      </c>
      <c r="F548" s="33">
        <f>COUNTIFS(c_store,A548,c_date,B548,c_hour,C548)</f>
        <v>0</v>
      </c>
      <c r="G548" s="33">
        <f>IF(F548&gt;0,1,0)</f>
        <v>0</v>
      </c>
      <c r="H548" s="33">
        <f>COUNTIFS(Demand!$A$2:$A$4481,A548,Demand!$B$2:$B$4481,B548,Demand!$C$2:$C$4481,C548)</f>
        <v>1</v>
      </c>
    </row>
    <row r="549">
      <c r="A549" s="32" t="str">
        <f>Demand!A547</f>
        <v>S015</v>
      </c>
      <c r="B549" s="35">
        <f>Demand!B547</f>
        <v>46267.0</v>
      </c>
      <c r="C549" s="33">
        <f>Demand!C547</f>
        <v>9</v>
      </c>
      <c r="D549" s="33">
        <f>Demand!E547</f>
        <v>21</v>
      </c>
      <c r="E549" s="33">
        <f>IF(Demand!F547,1,0)</f>
        <v>0</v>
      </c>
      <c r="F549" s="33">
        <f>COUNTIFS(c_store,A549,c_date,B549,c_hour,C549)</f>
        <v>0</v>
      </c>
      <c r="G549" s="33">
        <f>IF(F549&gt;0,1,0)</f>
        <v>0</v>
      </c>
      <c r="H549" s="33">
        <f>COUNTIFS(Demand!$A$2:$A$4481,A549,Demand!$B$2:$B$4481,B549,Demand!$C$2:$C$4481,C549)</f>
        <v>1</v>
      </c>
    </row>
    <row r="550">
      <c r="A550" s="32" t="str">
        <f>Demand!A548</f>
        <v>S015</v>
      </c>
      <c r="B550" s="35">
        <f>Demand!B548</f>
        <v>46267.0</v>
      </c>
      <c r="C550" s="33">
        <f>Demand!C548</f>
        <v>10</v>
      </c>
      <c r="D550" s="33">
        <f>Demand!E548</f>
        <v>18</v>
      </c>
      <c r="E550" s="33">
        <f>IF(Demand!F548,1,0)</f>
        <v>0</v>
      </c>
      <c r="F550" s="33">
        <f>COUNTIFS(c_store,A550,c_date,B550,c_hour,C550)</f>
        <v>0</v>
      </c>
      <c r="G550" s="33">
        <f>IF(F550&gt;0,1,0)</f>
        <v>0</v>
      </c>
      <c r="H550" s="33">
        <f>COUNTIFS(Demand!$A$2:$A$4481,A550,Demand!$B$2:$B$4481,B550,Demand!$C$2:$C$4481,C550)</f>
        <v>1</v>
      </c>
    </row>
    <row r="551">
      <c r="A551" s="32" t="str">
        <f>Demand!A549</f>
        <v>S015</v>
      </c>
      <c r="B551" s="35">
        <f>Demand!B549</f>
        <v>46267.0</v>
      </c>
      <c r="C551" s="33">
        <f>Demand!C549</f>
        <v>11</v>
      </c>
      <c r="D551" s="33">
        <f>Demand!E549</f>
        <v>35</v>
      </c>
      <c r="E551" s="33">
        <f>IF(Demand!F549,1,0)</f>
        <v>0</v>
      </c>
      <c r="F551" s="33">
        <f>COUNTIFS(c_store,A551,c_date,B551,c_hour,C551)</f>
        <v>1</v>
      </c>
      <c r="G551" s="33">
        <f>IF(F551&gt;0,1,0)</f>
        <v>1</v>
      </c>
      <c r="H551" s="33">
        <f>COUNTIFS(Demand!$A$2:$A$4481,A551,Demand!$B$2:$B$4481,B551,Demand!$C$2:$C$4481,C551)</f>
        <v>1</v>
      </c>
    </row>
    <row r="552">
      <c r="A552" s="32" t="str">
        <f>Demand!A550</f>
        <v>S015</v>
      </c>
      <c r="B552" s="35">
        <f>Demand!B550</f>
        <v>46267.0</v>
      </c>
      <c r="C552" s="33">
        <f>Demand!C550</f>
        <v>12</v>
      </c>
      <c r="D552" s="33">
        <f>Demand!E550</f>
        <v>21</v>
      </c>
      <c r="E552" s="33">
        <f>IF(Demand!F550,1,0)</f>
        <v>0</v>
      </c>
      <c r="F552" s="33">
        <f>COUNTIFS(c_store,A552,c_date,B552,c_hour,C552)</f>
        <v>2</v>
      </c>
      <c r="G552" s="33">
        <f>IF(F552&gt;0,1,0)</f>
        <v>1</v>
      </c>
      <c r="H552" s="33">
        <f>COUNTIFS(Demand!$A$2:$A$4481,A552,Demand!$B$2:$B$4481,B552,Demand!$C$2:$C$4481,C552)</f>
        <v>1</v>
      </c>
    </row>
    <row r="553">
      <c r="A553" s="32" t="str">
        <f>Demand!A551</f>
        <v>S015</v>
      </c>
      <c r="B553" s="35">
        <f>Demand!B551</f>
        <v>46267.0</v>
      </c>
      <c r="C553" s="33">
        <f>Demand!C551</f>
        <v>13</v>
      </c>
      <c r="D553" s="33">
        <f>Demand!E551</f>
        <v>25</v>
      </c>
      <c r="E553" s="33">
        <f>IF(Demand!F551,1,0)</f>
        <v>0</v>
      </c>
      <c r="F553" s="33">
        <f>COUNTIFS(c_store,A553,c_date,B553,c_hour,C553)</f>
        <v>1</v>
      </c>
      <c r="G553" s="33">
        <f>IF(F553&gt;0,1,0)</f>
        <v>1</v>
      </c>
      <c r="H553" s="33">
        <f>COUNTIFS(Demand!$A$2:$A$4481,A553,Demand!$B$2:$B$4481,B553,Demand!$C$2:$C$4481,C553)</f>
        <v>1</v>
      </c>
    </row>
    <row r="554">
      <c r="A554" s="32" t="str">
        <f>Demand!A552</f>
        <v>S015</v>
      </c>
      <c r="B554" s="35">
        <f>Demand!B552</f>
        <v>46267.0</v>
      </c>
      <c r="C554" s="33">
        <f>Demand!C552</f>
        <v>14</v>
      </c>
      <c r="D554" s="33">
        <f>Demand!E552</f>
        <v>17</v>
      </c>
      <c r="E554" s="33">
        <f>IF(Demand!F552,1,0)</f>
        <v>0</v>
      </c>
      <c r="F554" s="33">
        <f>COUNTIFS(c_store,A554,c_date,B554,c_hour,C554)</f>
        <v>1</v>
      </c>
      <c r="G554" s="33">
        <f>IF(F554&gt;0,1,0)</f>
        <v>1</v>
      </c>
      <c r="H554" s="33">
        <f>COUNTIFS(Demand!$A$2:$A$4481,A554,Demand!$B$2:$B$4481,B554,Demand!$C$2:$C$4481,C554)</f>
        <v>1</v>
      </c>
    </row>
    <row r="555">
      <c r="A555" s="32" t="str">
        <f>Demand!A553</f>
        <v>S015</v>
      </c>
      <c r="B555" s="35">
        <f>Demand!B553</f>
        <v>46267.0</v>
      </c>
      <c r="C555" s="33">
        <f>Demand!C553</f>
        <v>15</v>
      </c>
      <c r="D555" s="33">
        <f>Demand!E553</f>
        <v>18</v>
      </c>
      <c r="E555" s="33">
        <f>IF(Demand!F553,1,0)</f>
        <v>0</v>
      </c>
      <c r="F555" s="33">
        <f>COUNTIFS(c_store,A555,c_date,B555,c_hour,C555)</f>
        <v>0</v>
      </c>
      <c r="G555" s="33">
        <f>IF(F555&gt;0,1,0)</f>
        <v>0</v>
      </c>
      <c r="H555" s="33">
        <f>COUNTIFS(Demand!$A$2:$A$4481,A555,Demand!$B$2:$B$4481,B555,Demand!$C$2:$C$4481,C555)</f>
        <v>1</v>
      </c>
    </row>
    <row r="556">
      <c r="A556" s="32" t="str">
        <f>Demand!A554</f>
        <v>S015</v>
      </c>
      <c r="B556" s="35">
        <f>Demand!B554</f>
        <v>46267.0</v>
      </c>
      <c r="C556" s="33">
        <f>Demand!C554</f>
        <v>16</v>
      </c>
      <c r="D556" s="33">
        <f>Demand!E554</f>
        <v>28</v>
      </c>
      <c r="E556" s="33">
        <f>IF(Demand!F554,1,0)</f>
        <v>0</v>
      </c>
      <c r="F556" s="33">
        <f>COUNTIFS(c_store,A556,c_date,B556,c_hour,C556)</f>
        <v>1</v>
      </c>
      <c r="G556" s="33">
        <f>IF(F556&gt;0,1,0)</f>
        <v>1</v>
      </c>
      <c r="H556" s="33">
        <f>COUNTIFS(Demand!$A$2:$A$4481,A556,Demand!$B$2:$B$4481,B556,Demand!$C$2:$C$4481,C556)</f>
        <v>1</v>
      </c>
    </row>
    <row r="557">
      <c r="A557" s="32" t="str">
        <f>Demand!A555</f>
        <v>S015</v>
      </c>
      <c r="B557" s="35">
        <f>Demand!B555</f>
        <v>46267.0</v>
      </c>
      <c r="C557" s="33">
        <f>Demand!C555</f>
        <v>17</v>
      </c>
      <c r="D557" s="33">
        <f>Demand!E555</f>
        <v>27</v>
      </c>
      <c r="E557" s="33">
        <f>IF(Demand!F555,1,0)</f>
        <v>0</v>
      </c>
      <c r="F557" s="33">
        <f>COUNTIFS(c_store,A557,c_date,B557,c_hour,C557)</f>
        <v>0</v>
      </c>
      <c r="G557" s="33">
        <f>IF(F557&gt;0,1,0)</f>
        <v>0</v>
      </c>
      <c r="H557" s="33">
        <f>COUNTIFS(Demand!$A$2:$A$4481,A557,Demand!$B$2:$B$4481,B557,Demand!$C$2:$C$4481,C557)</f>
        <v>1</v>
      </c>
    </row>
    <row r="558">
      <c r="A558" s="32" t="str">
        <f>Demand!A556</f>
        <v>S015</v>
      </c>
      <c r="B558" s="35">
        <f>Demand!B556</f>
        <v>46267.0</v>
      </c>
      <c r="C558" s="33">
        <f>Demand!C556</f>
        <v>18</v>
      </c>
      <c r="D558" s="33">
        <f>Demand!E556</f>
        <v>19</v>
      </c>
      <c r="E558" s="33">
        <f>IF(Demand!F556,1,0)</f>
        <v>0</v>
      </c>
      <c r="F558" s="33">
        <f>COUNTIFS(c_store,A558,c_date,B558,c_hour,C558)</f>
        <v>1</v>
      </c>
      <c r="G558" s="33">
        <f>IF(F558&gt;0,1,0)</f>
        <v>1</v>
      </c>
      <c r="H558" s="33">
        <f>COUNTIFS(Demand!$A$2:$A$4481,A558,Demand!$B$2:$B$4481,B558,Demand!$C$2:$C$4481,C558)</f>
        <v>1</v>
      </c>
    </row>
    <row r="559">
      <c r="A559" s="32" t="str">
        <f>Demand!A557</f>
        <v>S015</v>
      </c>
      <c r="B559" s="35">
        <f>Demand!B557</f>
        <v>46267.0</v>
      </c>
      <c r="C559" s="33">
        <f>Demand!C557</f>
        <v>19</v>
      </c>
      <c r="D559" s="33">
        <f>Demand!E557</f>
        <v>37</v>
      </c>
      <c r="E559" s="33">
        <f>IF(Demand!F557,1,0)</f>
        <v>1</v>
      </c>
      <c r="F559" s="33">
        <f>COUNTIFS(c_store,A559,c_date,B559,c_hour,C559)</f>
        <v>0</v>
      </c>
      <c r="G559" s="33">
        <f>IF(F559&gt;0,1,0)</f>
        <v>0</v>
      </c>
      <c r="H559" s="33">
        <f>COUNTIFS(Demand!$A$2:$A$4481,A559,Demand!$B$2:$B$4481,B559,Demand!$C$2:$C$4481,C559)</f>
        <v>1</v>
      </c>
    </row>
    <row r="560">
      <c r="A560" s="32" t="str">
        <f>Demand!A558</f>
        <v>S015</v>
      </c>
      <c r="B560" s="35">
        <f>Demand!B558</f>
        <v>46267.0</v>
      </c>
      <c r="C560" s="33">
        <f>Demand!C558</f>
        <v>20</v>
      </c>
      <c r="D560" s="33">
        <f>Demand!E558</f>
        <v>27</v>
      </c>
      <c r="E560" s="33">
        <f>IF(Demand!F558,1,0)</f>
        <v>1</v>
      </c>
      <c r="F560" s="33">
        <f>COUNTIFS(c_store,A560,c_date,B560,c_hour,C560)</f>
        <v>0</v>
      </c>
      <c r="G560" s="33">
        <f>IF(F560&gt;0,1,0)</f>
        <v>0</v>
      </c>
      <c r="H560" s="33">
        <f>COUNTIFS(Demand!$A$2:$A$4481,A560,Demand!$B$2:$B$4481,B560,Demand!$C$2:$C$4481,C560)</f>
        <v>1</v>
      </c>
    </row>
    <row r="561">
      <c r="A561" s="32" t="str">
        <f>Demand!A559</f>
        <v>S015</v>
      </c>
      <c r="B561" s="35">
        <f>Demand!B559</f>
        <v>46267.0</v>
      </c>
      <c r="C561" s="33">
        <f>Demand!C559</f>
        <v>21</v>
      </c>
      <c r="D561" s="33">
        <f>Demand!E559</f>
        <v>31</v>
      </c>
      <c r="E561" s="33">
        <f>IF(Demand!F559,1,0)</f>
        <v>1</v>
      </c>
      <c r="F561" s="33">
        <f>COUNTIFS(c_store,A561,c_date,B561,c_hour,C561)</f>
        <v>0</v>
      </c>
      <c r="G561" s="33">
        <f>IF(F561&gt;0,1,0)</f>
        <v>0</v>
      </c>
      <c r="H561" s="33">
        <f>COUNTIFS(Demand!$A$2:$A$4481,A561,Demand!$B$2:$B$4481,B561,Demand!$C$2:$C$4481,C561)</f>
        <v>1</v>
      </c>
    </row>
    <row r="562">
      <c r="A562" s="32" t="str">
        <f>Demand!A560</f>
        <v>S015</v>
      </c>
      <c r="B562" s="35">
        <f>Demand!B560</f>
        <v>46267.0</v>
      </c>
      <c r="C562" s="33">
        <f>Demand!C560</f>
        <v>22</v>
      </c>
      <c r="D562" s="33">
        <f>Demand!E560</f>
        <v>27</v>
      </c>
      <c r="E562" s="33">
        <f>IF(Demand!F560,1,0)</f>
        <v>0</v>
      </c>
      <c r="F562" s="33">
        <f>COUNTIFS(c_store,A562,c_date,B562,c_hour,C562)</f>
        <v>1</v>
      </c>
      <c r="G562" s="33">
        <f>IF(F562&gt;0,1,0)</f>
        <v>1</v>
      </c>
      <c r="H562" s="33">
        <f>COUNTIFS(Demand!$A$2:$A$4481,A562,Demand!$B$2:$B$4481,B562,Demand!$C$2:$C$4481,C562)</f>
        <v>1</v>
      </c>
    </row>
    <row r="563">
      <c r="A563" s="32" t="str">
        <f>Demand!A561</f>
        <v>S015</v>
      </c>
      <c r="B563" s="35">
        <f>Demand!B561</f>
        <v>46267.0</v>
      </c>
      <c r="C563" s="33">
        <f>Demand!C561</f>
        <v>23</v>
      </c>
      <c r="D563" s="33">
        <f>Demand!E561</f>
        <v>24</v>
      </c>
      <c r="E563" s="33">
        <f>IF(Demand!F561,1,0)</f>
        <v>0</v>
      </c>
      <c r="F563" s="33">
        <f>COUNTIFS(c_store,A563,c_date,B563,c_hour,C563)</f>
        <v>1</v>
      </c>
      <c r="G563" s="33">
        <f>IF(F563&gt;0,1,0)</f>
        <v>1</v>
      </c>
      <c r="H563" s="33">
        <f>COUNTIFS(Demand!$A$2:$A$4481,A563,Demand!$B$2:$B$4481,B563,Demand!$C$2:$C$4481,C563)</f>
        <v>1</v>
      </c>
    </row>
    <row r="564">
      <c r="A564" s="32" t="str">
        <f>Demand!A562</f>
        <v>S016</v>
      </c>
      <c r="B564" s="35">
        <f>Demand!B562</f>
        <v>46267.0</v>
      </c>
      <c r="C564" s="33">
        <f>Demand!C562</f>
        <v>8</v>
      </c>
      <c r="D564" s="33">
        <f>Demand!E562</f>
        <v>23</v>
      </c>
      <c r="E564" s="33">
        <f>IF(Demand!F562,1,0)</f>
        <v>0</v>
      </c>
      <c r="F564" s="33">
        <f>COUNTIFS(c_store,A564,c_date,B564,c_hour,C564)</f>
        <v>0</v>
      </c>
      <c r="G564" s="33">
        <f>IF(F564&gt;0,1,0)</f>
        <v>0</v>
      </c>
      <c r="H564" s="33">
        <f>COUNTIFS(Demand!$A$2:$A$4481,A564,Demand!$B$2:$B$4481,B564,Demand!$C$2:$C$4481,C564)</f>
        <v>1</v>
      </c>
    </row>
    <row r="565">
      <c r="A565" s="32" t="str">
        <f>Demand!A563</f>
        <v>S016</v>
      </c>
      <c r="B565" s="35">
        <f>Demand!B563</f>
        <v>46267.0</v>
      </c>
      <c r="C565" s="33">
        <f>Demand!C563</f>
        <v>9</v>
      </c>
      <c r="D565" s="33">
        <f>Demand!E563</f>
        <v>21</v>
      </c>
      <c r="E565" s="33">
        <f>IF(Demand!F563,1,0)</f>
        <v>0</v>
      </c>
      <c r="F565" s="33">
        <f>COUNTIFS(c_store,A565,c_date,B565,c_hour,C565)</f>
        <v>0</v>
      </c>
      <c r="G565" s="33">
        <f>IF(F565&gt;0,1,0)</f>
        <v>0</v>
      </c>
      <c r="H565" s="33">
        <f>COUNTIFS(Demand!$A$2:$A$4481,A565,Demand!$B$2:$B$4481,B565,Demand!$C$2:$C$4481,C565)</f>
        <v>1</v>
      </c>
    </row>
    <row r="566">
      <c r="A566" s="32" t="str">
        <f>Demand!A564</f>
        <v>S016</v>
      </c>
      <c r="B566" s="35">
        <f>Demand!B564</f>
        <v>46267.0</v>
      </c>
      <c r="C566" s="33">
        <f>Demand!C564</f>
        <v>10</v>
      </c>
      <c r="D566" s="33">
        <f>Demand!E564</f>
        <v>18</v>
      </c>
      <c r="E566" s="33">
        <f>IF(Demand!F564,1,0)</f>
        <v>0</v>
      </c>
      <c r="F566" s="33">
        <f>COUNTIFS(c_store,A566,c_date,B566,c_hour,C566)</f>
        <v>0</v>
      </c>
      <c r="G566" s="33">
        <f>IF(F566&gt;0,1,0)</f>
        <v>0</v>
      </c>
      <c r="H566" s="33">
        <f>COUNTIFS(Demand!$A$2:$A$4481,A566,Demand!$B$2:$B$4481,B566,Demand!$C$2:$C$4481,C566)</f>
        <v>1</v>
      </c>
    </row>
    <row r="567">
      <c r="A567" s="32" t="str">
        <f>Demand!A565</f>
        <v>S016</v>
      </c>
      <c r="B567" s="35">
        <f>Demand!B565</f>
        <v>46267.0</v>
      </c>
      <c r="C567" s="33">
        <f>Demand!C565</f>
        <v>11</v>
      </c>
      <c r="D567" s="33">
        <f>Demand!E565</f>
        <v>16</v>
      </c>
      <c r="E567" s="33">
        <f>IF(Demand!F565,1,0)</f>
        <v>0</v>
      </c>
      <c r="F567" s="33">
        <f>COUNTIFS(c_store,A567,c_date,B567,c_hour,C567)</f>
        <v>0</v>
      </c>
      <c r="G567" s="33">
        <f>IF(F567&gt;0,1,0)</f>
        <v>0</v>
      </c>
      <c r="H567" s="33">
        <f>COUNTIFS(Demand!$A$2:$A$4481,A567,Demand!$B$2:$B$4481,B567,Demand!$C$2:$C$4481,C567)</f>
        <v>1</v>
      </c>
    </row>
    <row r="568">
      <c r="A568" s="32" t="str">
        <f>Demand!A566</f>
        <v>S016</v>
      </c>
      <c r="B568" s="35">
        <f>Demand!B566</f>
        <v>46267.0</v>
      </c>
      <c r="C568" s="33">
        <f>Demand!C566</f>
        <v>12</v>
      </c>
      <c r="D568" s="33">
        <f>Demand!E566</f>
        <v>29</v>
      </c>
      <c r="E568" s="33">
        <f>IF(Demand!F566,1,0)</f>
        <v>0</v>
      </c>
      <c r="F568" s="33">
        <f>COUNTIFS(c_store,A568,c_date,B568,c_hour,C568)</f>
        <v>0</v>
      </c>
      <c r="G568" s="33">
        <f>IF(F568&gt;0,1,0)</f>
        <v>0</v>
      </c>
      <c r="H568" s="33">
        <f>COUNTIFS(Demand!$A$2:$A$4481,A568,Demand!$B$2:$B$4481,B568,Demand!$C$2:$C$4481,C568)</f>
        <v>1</v>
      </c>
    </row>
    <row r="569">
      <c r="A569" s="32" t="str">
        <f>Demand!A567</f>
        <v>S016</v>
      </c>
      <c r="B569" s="35">
        <f>Demand!B567</f>
        <v>46267.0</v>
      </c>
      <c r="C569" s="33">
        <f>Demand!C567</f>
        <v>13</v>
      </c>
      <c r="D569" s="33">
        <f>Demand!E567</f>
        <v>13</v>
      </c>
      <c r="E569" s="33">
        <f>IF(Demand!F567,1,0)</f>
        <v>0</v>
      </c>
      <c r="F569" s="33">
        <f>COUNTIFS(c_store,A569,c_date,B569,c_hour,C569)</f>
        <v>2</v>
      </c>
      <c r="G569" s="33">
        <f>IF(F569&gt;0,1,0)</f>
        <v>1</v>
      </c>
      <c r="H569" s="33">
        <f>COUNTIFS(Demand!$A$2:$A$4481,A569,Demand!$B$2:$B$4481,B569,Demand!$C$2:$C$4481,C569)</f>
        <v>1</v>
      </c>
    </row>
    <row r="570">
      <c r="A570" s="32" t="str">
        <f>Demand!A568</f>
        <v>S016</v>
      </c>
      <c r="B570" s="35">
        <f>Demand!B568</f>
        <v>46267.0</v>
      </c>
      <c r="C570" s="33">
        <f>Demand!C568</f>
        <v>14</v>
      </c>
      <c r="D570" s="33">
        <f>Demand!E568</f>
        <v>13</v>
      </c>
      <c r="E570" s="33">
        <f>IF(Demand!F568,1,0)</f>
        <v>0</v>
      </c>
      <c r="F570" s="33">
        <f>COUNTIFS(c_store,A570,c_date,B570,c_hour,C570)</f>
        <v>0</v>
      </c>
      <c r="G570" s="33">
        <f>IF(F570&gt;0,1,0)</f>
        <v>0</v>
      </c>
      <c r="H570" s="33">
        <f>COUNTIFS(Demand!$A$2:$A$4481,A570,Demand!$B$2:$B$4481,B570,Demand!$C$2:$C$4481,C570)</f>
        <v>1</v>
      </c>
    </row>
    <row r="571">
      <c r="A571" s="32" t="str">
        <f>Demand!A569</f>
        <v>S016</v>
      </c>
      <c r="B571" s="35">
        <f>Demand!B569</f>
        <v>46267.0</v>
      </c>
      <c r="C571" s="33">
        <f>Demand!C569</f>
        <v>15</v>
      </c>
      <c r="D571" s="33">
        <f>Demand!E569</f>
        <v>18</v>
      </c>
      <c r="E571" s="33">
        <f>IF(Demand!F569,1,0)</f>
        <v>0</v>
      </c>
      <c r="F571" s="33">
        <f>COUNTIFS(c_store,A571,c_date,B571,c_hour,C571)</f>
        <v>0</v>
      </c>
      <c r="G571" s="33">
        <f>IF(F571&gt;0,1,0)</f>
        <v>0</v>
      </c>
      <c r="H571" s="33">
        <f>COUNTIFS(Demand!$A$2:$A$4481,A571,Demand!$B$2:$B$4481,B571,Demand!$C$2:$C$4481,C571)</f>
        <v>1</v>
      </c>
    </row>
    <row r="572">
      <c r="A572" s="32" t="str">
        <f>Demand!A570</f>
        <v>S016</v>
      </c>
      <c r="B572" s="35">
        <f>Demand!B570</f>
        <v>46267.0</v>
      </c>
      <c r="C572" s="33">
        <f>Demand!C570</f>
        <v>16</v>
      </c>
      <c r="D572" s="33">
        <f>Demand!E570</f>
        <v>18</v>
      </c>
      <c r="E572" s="33">
        <f>IF(Demand!F570,1,0)</f>
        <v>0</v>
      </c>
      <c r="F572" s="33">
        <f>COUNTIFS(c_store,A572,c_date,B572,c_hour,C572)</f>
        <v>0</v>
      </c>
      <c r="G572" s="33">
        <f>IF(F572&gt;0,1,0)</f>
        <v>0</v>
      </c>
      <c r="H572" s="33">
        <f>COUNTIFS(Demand!$A$2:$A$4481,A572,Demand!$B$2:$B$4481,B572,Demand!$C$2:$C$4481,C572)</f>
        <v>1</v>
      </c>
    </row>
    <row r="573">
      <c r="A573" s="32" t="str">
        <f>Demand!A571</f>
        <v>S016</v>
      </c>
      <c r="B573" s="35">
        <f>Demand!B571</f>
        <v>46267.0</v>
      </c>
      <c r="C573" s="33">
        <f>Demand!C571</f>
        <v>17</v>
      </c>
      <c r="D573" s="33">
        <f>Demand!E571</f>
        <v>35</v>
      </c>
      <c r="E573" s="33">
        <f>IF(Demand!F571,1,0)</f>
        <v>0</v>
      </c>
      <c r="F573" s="33">
        <f>COUNTIFS(c_store,A573,c_date,B573,c_hour,C573)</f>
        <v>0</v>
      </c>
      <c r="G573" s="33">
        <f>IF(F573&gt;0,1,0)</f>
        <v>0</v>
      </c>
      <c r="H573" s="33">
        <f>COUNTIFS(Demand!$A$2:$A$4481,A573,Demand!$B$2:$B$4481,B573,Demand!$C$2:$C$4481,C573)</f>
        <v>1</v>
      </c>
    </row>
    <row r="574">
      <c r="A574" s="32" t="str">
        <f>Demand!A572</f>
        <v>S016</v>
      </c>
      <c r="B574" s="35">
        <f>Demand!B572</f>
        <v>46267.0</v>
      </c>
      <c r="C574" s="33">
        <f>Demand!C572</f>
        <v>18</v>
      </c>
      <c r="D574" s="33">
        <f>Demand!E572</f>
        <v>30</v>
      </c>
      <c r="E574" s="33">
        <f>IF(Demand!F572,1,0)</f>
        <v>0</v>
      </c>
      <c r="F574" s="33">
        <f>COUNTIFS(c_store,A574,c_date,B574,c_hour,C574)</f>
        <v>0</v>
      </c>
      <c r="G574" s="33">
        <f>IF(F574&gt;0,1,0)</f>
        <v>0</v>
      </c>
      <c r="H574" s="33">
        <f>COUNTIFS(Demand!$A$2:$A$4481,A574,Demand!$B$2:$B$4481,B574,Demand!$C$2:$C$4481,C574)</f>
        <v>1</v>
      </c>
    </row>
    <row r="575">
      <c r="A575" s="32" t="str">
        <f>Demand!A573</f>
        <v>S016</v>
      </c>
      <c r="B575" s="35">
        <f>Demand!B573</f>
        <v>46267.0</v>
      </c>
      <c r="C575" s="33">
        <f>Demand!C573</f>
        <v>19</v>
      </c>
      <c r="D575" s="33">
        <f>Demand!E573</f>
        <v>32</v>
      </c>
      <c r="E575" s="33">
        <f>IF(Demand!F573,1,0)</f>
        <v>1</v>
      </c>
      <c r="F575" s="33">
        <f>COUNTIFS(c_store,A575,c_date,B575,c_hour,C575)</f>
        <v>1</v>
      </c>
      <c r="G575" s="33">
        <f>IF(F575&gt;0,1,0)</f>
        <v>1</v>
      </c>
      <c r="H575" s="33">
        <f>COUNTIFS(Demand!$A$2:$A$4481,A575,Demand!$B$2:$B$4481,B575,Demand!$C$2:$C$4481,C575)</f>
        <v>1</v>
      </c>
    </row>
    <row r="576">
      <c r="A576" s="32" t="str">
        <f>Demand!A574</f>
        <v>S016</v>
      </c>
      <c r="B576" s="35">
        <f>Demand!B574</f>
        <v>46267.0</v>
      </c>
      <c r="C576" s="33">
        <f>Demand!C574</f>
        <v>20</v>
      </c>
      <c r="D576" s="33">
        <f>Demand!E574</f>
        <v>37</v>
      </c>
      <c r="E576" s="33">
        <f>IF(Demand!F574,1,0)</f>
        <v>1</v>
      </c>
      <c r="F576" s="33">
        <f>COUNTIFS(c_store,A576,c_date,B576,c_hour,C576)</f>
        <v>0</v>
      </c>
      <c r="G576" s="33">
        <f>IF(F576&gt;0,1,0)</f>
        <v>0</v>
      </c>
      <c r="H576" s="33">
        <f>COUNTIFS(Demand!$A$2:$A$4481,A576,Demand!$B$2:$B$4481,B576,Demand!$C$2:$C$4481,C576)</f>
        <v>1</v>
      </c>
    </row>
    <row r="577">
      <c r="A577" s="32" t="str">
        <f>Demand!A575</f>
        <v>S016</v>
      </c>
      <c r="B577" s="35">
        <f>Demand!B575</f>
        <v>46267.0</v>
      </c>
      <c r="C577" s="33">
        <f>Demand!C575</f>
        <v>21</v>
      </c>
      <c r="D577" s="33">
        <f>Demand!E575</f>
        <v>35</v>
      </c>
      <c r="E577" s="33">
        <f>IF(Demand!F575,1,0)</f>
        <v>1</v>
      </c>
      <c r="F577" s="33">
        <f>COUNTIFS(c_store,A577,c_date,B577,c_hour,C577)</f>
        <v>1</v>
      </c>
      <c r="G577" s="33">
        <f>IF(F577&gt;0,1,0)</f>
        <v>1</v>
      </c>
      <c r="H577" s="33">
        <f>COUNTIFS(Demand!$A$2:$A$4481,A577,Demand!$B$2:$B$4481,B577,Demand!$C$2:$C$4481,C577)</f>
        <v>1</v>
      </c>
    </row>
    <row r="578">
      <c r="A578" s="32" t="str">
        <f>Demand!A576</f>
        <v>S016</v>
      </c>
      <c r="B578" s="35">
        <f>Demand!B576</f>
        <v>46267.0</v>
      </c>
      <c r="C578" s="33">
        <f>Demand!C576</f>
        <v>22</v>
      </c>
      <c r="D578" s="33">
        <f>Demand!E576</f>
        <v>24</v>
      </c>
      <c r="E578" s="33">
        <f>IF(Demand!F576,1,0)</f>
        <v>0</v>
      </c>
      <c r="F578" s="33">
        <f>COUNTIFS(c_store,A578,c_date,B578,c_hour,C578)</f>
        <v>0</v>
      </c>
      <c r="G578" s="33">
        <f>IF(F578&gt;0,1,0)</f>
        <v>0</v>
      </c>
      <c r="H578" s="33">
        <f>COUNTIFS(Demand!$A$2:$A$4481,A578,Demand!$B$2:$B$4481,B578,Demand!$C$2:$C$4481,C578)</f>
        <v>1</v>
      </c>
    </row>
    <row r="579">
      <c r="A579" s="32" t="str">
        <f>Demand!A577</f>
        <v>S016</v>
      </c>
      <c r="B579" s="35">
        <f>Demand!B577</f>
        <v>46267.0</v>
      </c>
      <c r="C579" s="33">
        <f>Demand!C577</f>
        <v>23</v>
      </c>
      <c r="D579" s="33">
        <f>Demand!E577</f>
        <v>33</v>
      </c>
      <c r="E579" s="33">
        <f>IF(Demand!F577,1,0)</f>
        <v>0</v>
      </c>
      <c r="F579" s="33">
        <f>COUNTIFS(c_store,A579,c_date,B579,c_hour,C579)</f>
        <v>0</v>
      </c>
      <c r="G579" s="33">
        <f>IF(F579&gt;0,1,0)</f>
        <v>0</v>
      </c>
      <c r="H579" s="33">
        <f>COUNTIFS(Demand!$A$2:$A$4481,A579,Demand!$B$2:$B$4481,B579,Demand!$C$2:$C$4481,C579)</f>
        <v>1</v>
      </c>
    </row>
    <row r="580">
      <c r="A580" s="32" t="str">
        <f>Demand!A578</f>
        <v>S017</v>
      </c>
      <c r="B580" s="35">
        <f>Demand!B578</f>
        <v>46267.0</v>
      </c>
      <c r="C580" s="33">
        <f>Demand!C578</f>
        <v>8</v>
      </c>
      <c r="D580" s="33">
        <f>Demand!E578</f>
        <v>25</v>
      </c>
      <c r="E580" s="33">
        <f>IF(Demand!F578,1,0)</f>
        <v>0</v>
      </c>
      <c r="F580" s="33">
        <f>COUNTIFS(c_store,A580,c_date,B580,c_hour,C580)</f>
        <v>0</v>
      </c>
      <c r="G580" s="33">
        <f>IF(F580&gt;0,1,0)</f>
        <v>0</v>
      </c>
      <c r="H580" s="33">
        <f>COUNTIFS(Demand!$A$2:$A$4481,A580,Demand!$B$2:$B$4481,B580,Demand!$C$2:$C$4481,C580)</f>
        <v>1</v>
      </c>
    </row>
    <row r="581">
      <c r="A581" s="32" t="str">
        <f>Demand!A579</f>
        <v>S017</v>
      </c>
      <c r="B581" s="35">
        <f>Demand!B579</f>
        <v>46267.0</v>
      </c>
      <c r="C581" s="33">
        <f>Demand!C579</f>
        <v>9</v>
      </c>
      <c r="D581" s="33">
        <f>Demand!E579</f>
        <v>21</v>
      </c>
      <c r="E581" s="33">
        <f>IF(Demand!F579,1,0)</f>
        <v>0</v>
      </c>
      <c r="F581" s="33">
        <f>COUNTIFS(c_store,A581,c_date,B581,c_hour,C581)</f>
        <v>0</v>
      </c>
      <c r="G581" s="33">
        <f>IF(F581&gt;0,1,0)</f>
        <v>0</v>
      </c>
      <c r="H581" s="33">
        <f>COUNTIFS(Demand!$A$2:$A$4481,A581,Demand!$B$2:$B$4481,B581,Demand!$C$2:$C$4481,C581)</f>
        <v>1</v>
      </c>
    </row>
    <row r="582">
      <c r="A582" s="32" t="str">
        <f>Demand!A580</f>
        <v>S017</v>
      </c>
      <c r="B582" s="35">
        <f>Demand!B580</f>
        <v>46267.0</v>
      </c>
      <c r="C582" s="33">
        <f>Demand!C580</f>
        <v>10</v>
      </c>
      <c r="D582" s="33">
        <f>Demand!E580</f>
        <v>26</v>
      </c>
      <c r="E582" s="33">
        <f>IF(Demand!F580,1,0)</f>
        <v>0</v>
      </c>
      <c r="F582" s="33">
        <f>COUNTIFS(c_store,A582,c_date,B582,c_hour,C582)</f>
        <v>0</v>
      </c>
      <c r="G582" s="33">
        <f>IF(F582&gt;0,1,0)</f>
        <v>0</v>
      </c>
      <c r="H582" s="33">
        <f>COUNTIFS(Demand!$A$2:$A$4481,A582,Demand!$B$2:$B$4481,B582,Demand!$C$2:$C$4481,C582)</f>
        <v>1</v>
      </c>
    </row>
    <row r="583">
      <c r="A583" s="32" t="str">
        <f>Demand!A581</f>
        <v>S017</v>
      </c>
      <c r="B583" s="35">
        <f>Demand!B581</f>
        <v>46267.0</v>
      </c>
      <c r="C583" s="33">
        <f>Demand!C581</f>
        <v>11</v>
      </c>
      <c r="D583" s="33">
        <f>Demand!E581</f>
        <v>31</v>
      </c>
      <c r="E583" s="33">
        <f>IF(Demand!F581,1,0)</f>
        <v>0</v>
      </c>
      <c r="F583" s="33">
        <f>COUNTIFS(c_store,A583,c_date,B583,c_hour,C583)</f>
        <v>0</v>
      </c>
      <c r="G583" s="33">
        <f>IF(F583&gt;0,1,0)</f>
        <v>0</v>
      </c>
      <c r="H583" s="33">
        <f>COUNTIFS(Demand!$A$2:$A$4481,A583,Demand!$B$2:$B$4481,B583,Demand!$C$2:$C$4481,C583)</f>
        <v>1</v>
      </c>
    </row>
    <row r="584">
      <c r="A584" s="32" t="str">
        <f>Demand!A582</f>
        <v>S017</v>
      </c>
      <c r="B584" s="35">
        <f>Demand!B582</f>
        <v>46267.0</v>
      </c>
      <c r="C584" s="33">
        <f>Demand!C582</f>
        <v>12</v>
      </c>
      <c r="D584" s="33">
        <f>Demand!E582</f>
        <v>31</v>
      </c>
      <c r="E584" s="33">
        <f>IF(Demand!F582,1,0)</f>
        <v>0</v>
      </c>
      <c r="F584" s="33">
        <f>COUNTIFS(c_store,A584,c_date,B584,c_hour,C584)</f>
        <v>0</v>
      </c>
      <c r="G584" s="33">
        <f>IF(F584&gt;0,1,0)</f>
        <v>0</v>
      </c>
      <c r="H584" s="33">
        <f>COUNTIFS(Demand!$A$2:$A$4481,A584,Demand!$B$2:$B$4481,B584,Demand!$C$2:$C$4481,C584)</f>
        <v>1</v>
      </c>
    </row>
    <row r="585">
      <c r="A585" s="32" t="str">
        <f>Demand!A583</f>
        <v>S017</v>
      </c>
      <c r="B585" s="35">
        <f>Demand!B583</f>
        <v>46267.0</v>
      </c>
      <c r="C585" s="33">
        <f>Demand!C583</f>
        <v>13</v>
      </c>
      <c r="D585" s="33">
        <f>Demand!E583</f>
        <v>37</v>
      </c>
      <c r="E585" s="33">
        <f>IF(Demand!F583,1,0)</f>
        <v>0</v>
      </c>
      <c r="F585" s="33">
        <f>COUNTIFS(c_store,A585,c_date,B585,c_hour,C585)</f>
        <v>2</v>
      </c>
      <c r="G585" s="33">
        <f>IF(F585&gt;0,1,0)</f>
        <v>1</v>
      </c>
      <c r="H585" s="33">
        <f>COUNTIFS(Demand!$A$2:$A$4481,A585,Demand!$B$2:$B$4481,B585,Demand!$C$2:$C$4481,C585)</f>
        <v>1</v>
      </c>
    </row>
    <row r="586">
      <c r="A586" s="32" t="str">
        <f>Demand!A584</f>
        <v>S017</v>
      </c>
      <c r="B586" s="35">
        <f>Demand!B584</f>
        <v>46267.0</v>
      </c>
      <c r="C586" s="33">
        <f>Demand!C584</f>
        <v>14</v>
      </c>
      <c r="D586" s="33">
        <f>Demand!E584</f>
        <v>23</v>
      </c>
      <c r="E586" s="33">
        <f>IF(Demand!F584,1,0)</f>
        <v>0</v>
      </c>
      <c r="F586" s="33">
        <f>COUNTIFS(c_store,A586,c_date,B586,c_hour,C586)</f>
        <v>0</v>
      </c>
      <c r="G586" s="33">
        <f>IF(F586&gt;0,1,0)</f>
        <v>0</v>
      </c>
      <c r="H586" s="33">
        <f>COUNTIFS(Demand!$A$2:$A$4481,A586,Demand!$B$2:$B$4481,B586,Demand!$C$2:$C$4481,C586)</f>
        <v>1</v>
      </c>
    </row>
    <row r="587">
      <c r="A587" s="32" t="str">
        <f>Demand!A585</f>
        <v>S017</v>
      </c>
      <c r="B587" s="35">
        <f>Demand!B585</f>
        <v>46267.0</v>
      </c>
      <c r="C587" s="33">
        <f>Demand!C585</f>
        <v>15</v>
      </c>
      <c r="D587" s="33">
        <f>Demand!E585</f>
        <v>30</v>
      </c>
      <c r="E587" s="33">
        <f>IF(Demand!F585,1,0)</f>
        <v>0</v>
      </c>
      <c r="F587" s="33">
        <f>COUNTIFS(c_store,A587,c_date,B587,c_hour,C587)</f>
        <v>0</v>
      </c>
      <c r="G587" s="33">
        <f>IF(F587&gt;0,1,0)</f>
        <v>0</v>
      </c>
      <c r="H587" s="33">
        <f>COUNTIFS(Demand!$A$2:$A$4481,A587,Demand!$B$2:$B$4481,B587,Demand!$C$2:$C$4481,C587)</f>
        <v>1</v>
      </c>
    </row>
    <row r="588">
      <c r="A588" s="32" t="str">
        <f>Demand!A586</f>
        <v>S017</v>
      </c>
      <c r="B588" s="35">
        <f>Demand!B586</f>
        <v>46267.0</v>
      </c>
      <c r="C588" s="33">
        <f>Demand!C586</f>
        <v>16</v>
      </c>
      <c r="D588" s="33">
        <f>Demand!E586</f>
        <v>31</v>
      </c>
      <c r="E588" s="33">
        <f>IF(Demand!F586,1,0)</f>
        <v>0</v>
      </c>
      <c r="F588" s="33">
        <f>COUNTIFS(c_store,A588,c_date,B588,c_hour,C588)</f>
        <v>0</v>
      </c>
      <c r="G588" s="33">
        <f>IF(F588&gt;0,1,0)</f>
        <v>0</v>
      </c>
      <c r="H588" s="33">
        <f>COUNTIFS(Demand!$A$2:$A$4481,A588,Demand!$B$2:$B$4481,B588,Demand!$C$2:$C$4481,C588)</f>
        <v>1</v>
      </c>
    </row>
    <row r="589">
      <c r="A589" s="32" t="str">
        <f>Demand!A587</f>
        <v>S017</v>
      </c>
      <c r="B589" s="35">
        <f>Demand!B587</f>
        <v>46267.0</v>
      </c>
      <c r="C589" s="33">
        <f>Demand!C587</f>
        <v>17</v>
      </c>
      <c r="D589" s="33">
        <f>Demand!E587</f>
        <v>39</v>
      </c>
      <c r="E589" s="33">
        <f>IF(Demand!F587,1,0)</f>
        <v>0</v>
      </c>
      <c r="F589" s="33">
        <f>COUNTIFS(c_store,A589,c_date,B589,c_hour,C589)</f>
        <v>0</v>
      </c>
      <c r="G589" s="33">
        <f>IF(F589&gt;0,1,0)</f>
        <v>0</v>
      </c>
      <c r="H589" s="33">
        <f>COUNTIFS(Demand!$A$2:$A$4481,A589,Demand!$B$2:$B$4481,B589,Demand!$C$2:$C$4481,C589)</f>
        <v>1</v>
      </c>
    </row>
    <row r="590">
      <c r="A590" s="32" t="str">
        <f>Demand!A588</f>
        <v>S017</v>
      </c>
      <c r="B590" s="35">
        <f>Demand!B588</f>
        <v>46267.0</v>
      </c>
      <c r="C590" s="33">
        <f>Demand!C588</f>
        <v>18</v>
      </c>
      <c r="D590" s="33">
        <f>Demand!E588</f>
        <v>35</v>
      </c>
      <c r="E590" s="33">
        <f>IF(Demand!F588,1,0)</f>
        <v>0</v>
      </c>
      <c r="F590" s="33">
        <f>COUNTIFS(c_store,A590,c_date,B590,c_hour,C590)</f>
        <v>0</v>
      </c>
      <c r="G590" s="33">
        <f>IF(F590&gt;0,1,0)</f>
        <v>0</v>
      </c>
      <c r="H590" s="33">
        <f>COUNTIFS(Demand!$A$2:$A$4481,A590,Demand!$B$2:$B$4481,B590,Demand!$C$2:$C$4481,C590)</f>
        <v>1</v>
      </c>
    </row>
    <row r="591">
      <c r="A591" s="32" t="str">
        <f>Demand!A589</f>
        <v>S017</v>
      </c>
      <c r="B591" s="35">
        <f>Demand!B589</f>
        <v>46267.0</v>
      </c>
      <c r="C591" s="33">
        <f>Demand!C589</f>
        <v>19</v>
      </c>
      <c r="D591" s="33">
        <f>Demand!E589</f>
        <v>55</v>
      </c>
      <c r="E591" s="33">
        <f>IF(Demand!F589,1,0)</f>
        <v>1</v>
      </c>
      <c r="F591" s="33">
        <f>COUNTIFS(c_store,A591,c_date,B591,c_hour,C591)</f>
        <v>0</v>
      </c>
      <c r="G591" s="33">
        <f>IF(F591&gt;0,1,0)</f>
        <v>0</v>
      </c>
      <c r="H591" s="33">
        <f>COUNTIFS(Demand!$A$2:$A$4481,A591,Demand!$B$2:$B$4481,B591,Demand!$C$2:$C$4481,C591)</f>
        <v>1</v>
      </c>
    </row>
    <row r="592">
      <c r="A592" s="32" t="str">
        <f>Demand!A590</f>
        <v>S017</v>
      </c>
      <c r="B592" s="35">
        <f>Demand!B590</f>
        <v>46267.0</v>
      </c>
      <c r="C592" s="33">
        <f>Demand!C590</f>
        <v>20</v>
      </c>
      <c r="D592" s="33">
        <f>Demand!E590</f>
        <v>45</v>
      </c>
      <c r="E592" s="33">
        <f>IF(Demand!F590,1,0)</f>
        <v>1</v>
      </c>
      <c r="F592" s="33">
        <f>COUNTIFS(c_store,A592,c_date,B592,c_hour,C592)</f>
        <v>0</v>
      </c>
      <c r="G592" s="33">
        <f>IF(F592&gt;0,1,0)</f>
        <v>0</v>
      </c>
      <c r="H592" s="33">
        <f>COUNTIFS(Demand!$A$2:$A$4481,A592,Demand!$B$2:$B$4481,B592,Demand!$C$2:$C$4481,C592)</f>
        <v>1</v>
      </c>
    </row>
    <row r="593">
      <c r="A593" s="32" t="str">
        <f>Demand!A591</f>
        <v>S017</v>
      </c>
      <c r="B593" s="35">
        <f>Demand!B591</f>
        <v>46267.0</v>
      </c>
      <c r="C593" s="33">
        <f>Demand!C591</f>
        <v>21</v>
      </c>
      <c r="D593" s="33">
        <f>Demand!E591</f>
        <v>48</v>
      </c>
      <c r="E593" s="33">
        <f>IF(Demand!F591,1,0)</f>
        <v>1</v>
      </c>
      <c r="F593" s="33">
        <f>COUNTIFS(c_store,A593,c_date,B593,c_hour,C593)</f>
        <v>0</v>
      </c>
      <c r="G593" s="33">
        <f>IF(F593&gt;0,1,0)</f>
        <v>0</v>
      </c>
      <c r="H593" s="33">
        <f>COUNTIFS(Demand!$A$2:$A$4481,A593,Demand!$B$2:$B$4481,B593,Demand!$C$2:$C$4481,C593)</f>
        <v>1</v>
      </c>
    </row>
    <row r="594">
      <c r="A594" s="32" t="str">
        <f>Demand!A592</f>
        <v>S017</v>
      </c>
      <c r="B594" s="35">
        <f>Demand!B592</f>
        <v>46267.0</v>
      </c>
      <c r="C594" s="33">
        <f>Demand!C592</f>
        <v>22</v>
      </c>
      <c r="D594" s="33">
        <f>Demand!E592</f>
        <v>33</v>
      </c>
      <c r="E594" s="33">
        <f>IF(Demand!F592,1,0)</f>
        <v>0</v>
      </c>
      <c r="F594" s="33">
        <f>COUNTIFS(c_store,A594,c_date,B594,c_hour,C594)</f>
        <v>0</v>
      </c>
      <c r="G594" s="33">
        <f>IF(F594&gt;0,1,0)</f>
        <v>0</v>
      </c>
      <c r="H594" s="33">
        <f>COUNTIFS(Demand!$A$2:$A$4481,A594,Demand!$B$2:$B$4481,B594,Demand!$C$2:$C$4481,C594)</f>
        <v>1</v>
      </c>
    </row>
    <row r="595">
      <c r="A595" s="32" t="str">
        <f>Demand!A593</f>
        <v>S017</v>
      </c>
      <c r="B595" s="35">
        <f>Demand!B593</f>
        <v>46267.0</v>
      </c>
      <c r="C595" s="33">
        <f>Demand!C593</f>
        <v>23</v>
      </c>
      <c r="D595" s="33">
        <f>Demand!E593</f>
        <v>44</v>
      </c>
      <c r="E595" s="33">
        <f>IF(Demand!F593,1,0)</f>
        <v>0</v>
      </c>
      <c r="F595" s="33">
        <f>COUNTIFS(c_store,A595,c_date,B595,c_hour,C595)</f>
        <v>0</v>
      </c>
      <c r="G595" s="33">
        <f>IF(F595&gt;0,1,0)</f>
        <v>0</v>
      </c>
      <c r="H595" s="33">
        <f>COUNTIFS(Demand!$A$2:$A$4481,A595,Demand!$B$2:$B$4481,B595,Demand!$C$2:$C$4481,C595)</f>
        <v>1</v>
      </c>
    </row>
    <row r="596">
      <c r="A596" s="32" t="str">
        <f>Demand!A594</f>
        <v>S018</v>
      </c>
      <c r="B596" s="35">
        <f>Demand!B594</f>
        <v>46267.0</v>
      </c>
      <c r="C596" s="33">
        <f>Demand!C594</f>
        <v>8</v>
      </c>
      <c r="D596" s="33">
        <f>Demand!E594</f>
        <v>16</v>
      </c>
      <c r="E596" s="33">
        <f>IF(Demand!F594,1,0)</f>
        <v>0</v>
      </c>
      <c r="F596" s="33">
        <f>COUNTIFS(c_store,A596,c_date,B596,c_hour,C596)</f>
        <v>0</v>
      </c>
      <c r="G596" s="33">
        <f>IF(F596&gt;0,1,0)</f>
        <v>0</v>
      </c>
      <c r="H596" s="33">
        <f>COUNTIFS(Demand!$A$2:$A$4481,A596,Demand!$B$2:$B$4481,B596,Demand!$C$2:$C$4481,C596)</f>
        <v>1</v>
      </c>
    </row>
    <row r="597">
      <c r="A597" s="32" t="str">
        <f>Demand!A595</f>
        <v>S018</v>
      </c>
      <c r="B597" s="35">
        <f>Demand!B595</f>
        <v>46267.0</v>
      </c>
      <c r="C597" s="33">
        <f>Demand!C595</f>
        <v>9</v>
      </c>
      <c r="D597" s="33">
        <f>Demand!E595</f>
        <v>7</v>
      </c>
      <c r="E597" s="33">
        <f>IF(Demand!F595,1,0)</f>
        <v>0</v>
      </c>
      <c r="F597" s="33">
        <f>COUNTIFS(c_store,A597,c_date,B597,c_hour,C597)</f>
        <v>0</v>
      </c>
      <c r="G597" s="33">
        <f>IF(F597&gt;0,1,0)</f>
        <v>0</v>
      </c>
      <c r="H597" s="33">
        <f>COUNTIFS(Demand!$A$2:$A$4481,A597,Demand!$B$2:$B$4481,B597,Demand!$C$2:$C$4481,C597)</f>
        <v>1</v>
      </c>
    </row>
    <row r="598">
      <c r="A598" s="32" t="str">
        <f>Demand!A596</f>
        <v>S018</v>
      </c>
      <c r="B598" s="35">
        <f>Demand!B596</f>
        <v>46267.0</v>
      </c>
      <c r="C598" s="33">
        <f>Demand!C596</f>
        <v>10</v>
      </c>
      <c r="D598" s="33">
        <f>Demand!E596</f>
        <v>13</v>
      </c>
      <c r="E598" s="33">
        <f>IF(Demand!F596,1,0)</f>
        <v>0</v>
      </c>
      <c r="F598" s="33">
        <f>COUNTIFS(c_store,A598,c_date,B598,c_hour,C598)</f>
        <v>0</v>
      </c>
      <c r="G598" s="33">
        <f>IF(F598&gt;0,1,0)</f>
        <v>0</v>
      </c>
      <c r="H598" s="33">
        <f>COUNTIFS(Demand!$A$2:$A$4481,A598,Demand!$B$2:$B$4481,B598,Demand!$C$2:$C$4481,C598)</f>
        <v>1</v>
      </c>
    </row>
    <row r="599">
      <c r="A599" s="32" t="str">
        <f>Demand!A597</f>
        <v>S018</v>
      </c>
      <c r="B599" s="35">
        <f>Demand!B597</f>
        <v>46267.0</v>
      </c>
      <c r="C599" s="33">
        <f>Demand!C597</f>
        <v>11</v>
      </c>
      <c r="D599" s="33">
        <f>Demand!E597</f>
        <v>16</v>
      </c>
      <c r="E599" s="33">
        <f>IF(Demand!F597,1,0)</f>
        <v>0</v>
      </c>
      <c r="F599" s="33">
        <f>COUNTIFS(c_store,A599,c_date,B599,c_hour,C599)</f>
        <v>0</v>
      </c>
      <c r="G599" s="33">
        <f>IF(F599&gt;0,1,0)</f>
        <v>0</v>
      </c>
      <c r="H599" s="33">
        <f>COUNTIFS(Demand!$A$2:$A$4481,A599,Demand!$B$2:$B$4481,B599,Demand!$C$2:$C$4481,C599)</f>
        <v>1</v>
      </c>
    </row>
    <row r="600">
      <c r="A600" s="32" t="str">
        <f>Demand!A598</f>
        <v>S018</v>
      </c>
      <c r="B600" s="35">
        <f>Demand!B598</f>
        <v>46267.0</v>
      </c>
      <c r="C600" s="33">
        <f>Demand!C598</f>
        <v>12</v>
      </c>
      <c r="D600" s="33">
        <f>Demand!E598</f>
        <v>26</v>
      </c>
      <c r="E600" s="33">
        <f>IF(Demand!F598,1,0)</f>
        <v>0</v>
      </c>
      <c r="F600" s="33">
        <f>COUNTIFS(c_store,A600,c_date,B600,c_hour,C600)</f>
        <v>1</v>
      </c>
      <c r="G600" s="33">
        <f>IF(F600&gt;0,1,0)</f>
        <v>1</v>
      </c>
      <c r="H600" s="33">
        <f>COUNTIFS(Demand!$A$2:$A$4481,A600,Demand!$B$2:$B$4481,B600,Demand!$C$2:$C$4481,C600)</f>
        <v>1</v>
      </c>
    </row>
    <row r="601">
      <c r="A601" s="32" t="str">
        <f>Demand!A599</f>
        <v>S018</v>
      </c>
      <c r="B601" s="35">
        <f>Demand!B599</f>
        <v>46267.0</v>
      </c>
      <c r="C601" s="33">
        <f>Demand!C599</f>
        <v>13</v>
      </c>
      <c r="D601" s="33">
        <f>Demand!E599</f>
        <v>11</v>
      </c>
      <c r="E601" s="33">
        <f>IF(Demand!F599,1,0)</f>
        <v>0</v>
      </c>
      <c r="F601" s="33">
        <f>COUNTIFS(c_store,A601,c_date,B601,c_hour,C601)</f>
        <v>0</v>
      </c>
      <c r="G601" s="33">
        <f>IF(F601&gt;0,1,0)</f>
        <v>0</v>
      </c>
      <c r="H601" s="33">
        <f>COUNTIFS(Demand!$A$2:$A$4481,A601,Demand!$B$2:$B$4481,B601,Demand!$C$2:$C$4481,C601)</f>
        <v>1</v>
      </c>
    </row>
    <row r="602">
      <c r="A602" s="32" t="str">
        <f>Demand!A600</f>
        <v>S018</v>
      </c>
      <c r="B602" s="35">
        <f>Demand!B600</f>
        <v>46267.0</v>
      </c>
      <c r="C602" s="33">
        <f>Demand!C600</f>
        <v>14</v>
      </c>
      <c r="D602" s="33">
        <f>Demand!E600</f>
        <v>15</v>
      </c>
      <c r="E602" s="33">
        <f>IF(Demand!F600,1,0)</f>
        <v>0</v>
      </c>
      <c r="F602" s="33">
        <f>COUNTIFS(c_store,A602,c_date,B602,c_hour,C602)</f>
        <v>0</v>
      </c>
      <c r="G602" s="33">
        <f>IF(F602&gt;0,1,0)</f>
        <v>0</v>
      </c>
      <c r="H602" s="33">
        <f>COUNTIFS(Demand!$A$2:$A$4481,A602,Demand!$B$2:$B$4481,B602,Demand!$C$2:$C$4481,C602)</f>
        <v>1</v>
      </c>
    </row>
    <row r="603">
      <c r="A603" s="32" t="str">
        <f>Demand!A601</f>
        <v>S018</v>
      </c>
      <c r="B603" s="35">
        <f>Demand!B601</f>
        <v>46267.0</v>
      </c>
      <c r="C603" s="33">
        <f>Demand!C601</f>
        <v>15</v>
      </c>
      <c r="D603" s="33">
        <f>Demand!E601</f>
        <v>14</v>
      </c>
      <c r="E603" s="33">
        <f>IF(Demand!F601,1,0)</f>
        <v>0</v>
      </c>
      <c r="F603" s="33">
        <f>COUNTIFS(c_store,A603,c_date,B603,c_hour,C603)</f>
        <v>0</v>
      </c>
      <c r="G603" s="33">
        <f>IF(F603&gt;0,1,0)</f>
        <v>0</v>
      </c>
      <c r="H603" s="33">
        <f>COUNTIFS(Demand!$A$2:$A$4481,A603,Demand!$B$2:$B$4481,B603,Demand!$C$2:$C$4481,C603)</f>
        <v>1</v>
      </c>
    </row>
    <row r="604">
      <c r="A604" s="32" t="str">
        <f>Demand!A602</f>
        <v>S018</v>
      </c>
      <c r="B604" s="35">
        <f>Demand!B602</f>
        <v>46267.0</v>
      </c>
      <c r="C604" s="33">
        <f>Demand!C602</f>
        <v>16</v>
      </c>
      <c r="D604" s="33">
        <f>Demand!E602</f>
        <v>11</v>
      </c>
      <c r="E604" s="33">
        <f>IF(Demand!F602,1,0)</f>
        <v>0</v>
      </c>
      <c r="F604" s="33">
        <f>COUNTIFS(c_store,A604,c_date,B604,c_hour,C604)</f>
        <v>0</v>
      </c>
      <c r="G604" s="33">
        <f>IF(F604&gt;0,1,0)</f>
        <v>0</v>
      </c>
      <c r="H604" s="33">
        <f>COUNTIFS(Demand!$A$2:$A$4481,A604,Demand!$B$2:$B$4481,B604,Demand!$C$2:$C$4481,C604)</f>
        <v>1</v>
      </c>
    </row>
    <row r="605">
      <c r="A605" s="32" t="str">
        <f>Demand!A603</f>
        <v>S018</v>
      </c>
      <c r="B605" s="35">
        <f>Demand!B603</f>
        <v>46267.0</v>
      </c>
      <c r="C605" s="33">
        <f>Demand!C603</f>
        <v>17</v>
      </c>
      <c r="D605" s="33">
        <f>Demand!E603</f>
        <v>25</v>
      </c>
      <c r="E605" s="33">
        <f>IF(Demand!F603,1,0)</f>
        <v>0</v>
      </c>
      <c r="F605" s="33">
        <f>COUNTIFS(c_store,A605,c_date,B605,c_hour,C605)</f>
        <v>0</v>
      </c>
      <c r="G605" s="33">
        <f>IF(F605&gt;0,1,0)</f>
        <v>0</v>
      </c>
      <c r="H605" s="33">
        <f>COUNTIFS(Demand!$A$2:$A$4481,A605,Demand!$B$2:$B$4481,B605,Demand!$C$2:$C$4481,C605)</f>
        <v>1</v>
      </c>
    </row>
    <row r="606">
      <c r="A606" s="32" t="str">
        <f>Demand!A604</f>
        <v>S018</v>
      </c>
      <c r="B606" s="35">
        <f>Demand!B604</f>
        <v>46267.0</v>
      </c>
      <c r="C606" s="33">
        <f>Demand!C604</f>
        <v>18</v>
      </c>
      <c r="D606" s="33">
        <f>Demand!E604</f>
        <v>20</v>
      </c>
      <c r="E606" s="33">
        <f>IF(Demand!F604,1,0)</f>
        <v>0</v>
      </c>
      <c r="F606" s="33">
        <f>COUNTIFS(c_store,A606,c_date,B606,c_hour,C606)</f>
        <v>0</v>
      </c>
      <c r="G606" s="33">
        <f>IF(F606&gt;0,1,0)</f>
        <v>0</v>
      </c>
      <c r="H606" s="33">
        <f>COUNTIFS(Demand!$A$2:$A$4481,A606,Demand!$B$2:$B$4481,B606,Demand!$C$2:$C$4481,C606)</f>
        <v>1</v>
      </c>
    </row>
    <row r="607">
      <c r="A607" s="32" t="str">
        <f>Demand!A605</f>
        <v>S018</v>
      </c>
      <c r="B607" s="35">
        <f>Demand!B605</f>
        <v>46267.0</v>
      </c>
      <c r="C607" s="33">
        <f>Demand!C605</f>
        <v>19</v>
      </c>
      <c r="D607" s="33">
        <f>Demand!E605</f>
        <v>19</v>
      </c>
      <c r="E607" s="33">
        <f>IF(Demand!F605,1,0)</f>
        <v>1</v>
      </c>
      <c r="F607" s="33">
        <f>COUNTIFS(c_store,A607,c_date,B607,c_hour,C607)</f>
        <v>0</v>
      </c>
      <c r="G607" s="33">
        <f>IF(F607&gt;0,1,0)</f>
        <v>0</v>
      </c>
      <c r="H607" s="33">
        <f>COUNTIFS(Demand!$A$2:$A$4481,A607,Demand!$B$2:$B$4481,B607,Demand!$C$2:$C$4481,C607)</f>
        <v>1</v>
      </c>
    </row>
    <row r="608">
      <c r="A608" s="32" t="str">
        <f>Demand!A606</f>
        <v>S018</v>
      </c>
      <c r="B608" s="35">
        <f>Demand!B606</f>
        <v>46267.0</v>
      </c>
      <c r="C608" s="33">
        <f>Demand!C606</f>
        <v>20</v>
      </c>
      <c r="D608" s="33">
        <f>Demand!E606</f>
        <v>26</v>
      </c>
      <c r="E608" s="33">
        <f>IF(Demand!F606,1,0)</f>
        <v>1</v>
      </c>
      <c r="F608" s="33">
        <f>COUNTIFS(c_store,A608,c_date,B608,c_hour,C608)</f>
        <v>0</v>
      </c>
      <c r="G608" s="33">
        <f>IF(F608&gt;0,1,0)</f>
        <v>0</v>
      </c>
      <c r="H608" s="33">
        <f>COUNTIFS(Demand!$A$2:$A$4481,A608,Demand!$B$2:$B$4481,B608,Demand!$C$2:$C$4481,C608)</f>
        <v>1</v>
      </c>
    </row>
    <row r="609">
      <c r="A609" s="32" t="str">
        <f>Demand!A607</f>
        <v>S018</v>
      </c>
      <c r="B609" s="35">
        <f>Demand!B607</f>
        <v>46267.0</v>
      </c>
      <c r="C609" s="33">
        <f>Demand!C607</f>
        <v>21</v>
      </c>
      <c r="D609" s="33">
        <f>Demand!E607</f>
        <v>29</v>
      </c>
      <c r="E609" s="33">
        <f>IF(Demand!F607,1,0)</f>
        <v>1</v>
      </c>
      <c r="F609" s="33">
        <f>COUNTIFS(c_store,A609,c_date,B609,c_hour,C609)</f>
        <v>0</v>
      </c>
      <c r="G609" s="33">
        <f>IF(F609&gt;0,1,0)</f>
        <v>0</v>
      </c>
      <c r="H609" s="33">
        <f>COUNTIFS(Demand!$A$2:$A$4481,A609,Demand!$B$2:$B$4481,B609,Demand!$C$2:$C$4481,C609)</f>
        <v>1</v>
      </c>
    </row>
    <row r="610">
      <c r="A610" s="32" t="str">
        <f>Demand!A608</f>
        <v>S018</v>
      </c>
      <c r="B610" s="35">
        <f>Demand!B608</f>
        <v>46267.0</v>
      </c>
      <c r="C610" s="33">
        <f>Demand!C608</f>
        <v>22</v>
      </c>
      <c r="D610" s="33">
        <f>Demand!E608</f>
        <v>21</v>
      </c>
      <c r="E610" s="33">
        <f>IF(Demand!F608,1,0)</f>
        <v>0</v>
      </c>
      <c r="F610" s="33">
        <f>COUNTIFS(c_store,A610,c_date,B610,c_hour,C610)</f>
        <v>0</v>
      </c>
      <c r="G610" s="33">
        <f>IF(F610&gt;0,1,0)</f>
        <v>0</v>
      </c>
      <c r="H610" s="33">
        <f>COUNTIFS(Demand!$A$2:$A$4481,A610,Demand!$B$2:$B$4481,B610,Demand!$C$2:$C$4481,C610)</f>
        <v>1</v>
      </c>
    </row>
    <row r="611">
      <c r="A611" s="32" t="str">
        <f>Demand!A609</f>
        <v>S018</v>
      </c>
      <c r="B611" s="35">
        <f>Demand!B609</f>
        <v>46267.0</v>
      </c>
      <c r="C611" s="33">
        <f>Demand!C609</f>
        <v>23</v>
      </c>
      <c r="D611" s="33">
        <f>Demand!E609</f>
        <v>20</v>
      </c>
      <c r="E611" s="33">
        <f>IF(Demand!F609,1,0)</f>
        <v>0</v>
      </c>
      <c r="F611" s="33">
        <f>COUNTIFS(c_store,A611,c_date,B611,c_hour,C611)</f>
        <v>0</v>
      </c>
      <c r="G611" s="33">
        <f>IF(F611&gt;0,1,0)</f>
        <v>0</v>
      </c>
      <c r="H611" s="33">
        <f>COUNTIFS(Demand!$A$2:$A$4481,A611,Demand!$B$2:$B$4481,B611,Demand!$C$2:$C$4481,C611)</f>
        <v>1</v>
      </c>
    </row>
    <row r="612">
      <c r="A612" s="32" t="str">
        <f>Demand!A610</f>
        <v>S019</v>
      </c>
      <c r="B612" s="35">
        <f>Demand!B610</f>
        <v>46267.0</v>
      </c>
      <c r="C612" s="33">
        <f>Demand!C610</f>
        <v>8</v>
      </c>
      <c r="D612" s="33">
        <f>Demand!E610</f>
        <v>17</v>
      </c>
      <c r="E612" s="33">
        <f>IF(Demand!F610,1,0)</f>
        <v>0</v>
      </c>
      <c r="F612" s="33">
        <f>COUNTIFS(c_store,A612,c_date,B612,c_hour,C612)</f>
        <v>0</v>
      </c>
      <c r="G612" s="33">
        <f>IF(F612&gt;0,1,0)</f>
        <v>0</v>
      </c>
      <c r="H612" s="33">
        <f>COUNTIFS(Demand!$A$2:$A$4481,A612,Demand!$B$2:$B$4481,B612,Demand!$C$2:$C$4481,C612)</f>
        <v>1</v>
      </c>
    </row>
    <row r="613">
      <c r="A613" s="32" t="str">
        <f>Demand!A611</f>
        <v>S019</v>
      </c>
      <c r="B613" s="35">
        <f>Demand!B611</f>
        <v>46267.0</v>
      </c>
      <c r="C613" s="33">
        <f>Demand!C611</f>
        <v>9</v>
      </c>
      <c r="D613" s="33">
        <f>Demand!E611</f>
        <v>25</v>
      </c>
      <c r="E613" s="33">
        <f>IF(Demand!F611,1,0)</f>
        <v>0</v>
      </c>
      <c r="F613" s="33">
        <f>COUNTIFS(c_store,A613,c_date,B613,c_hour,C613)</f>
        <v>1</v>
      </c>
      <c r="G613" s="33">
        <f>IF(F613&gt;0,1,0)</f>
        <v>1</v>
      </c>
      <c r="H613" s="33">
        <f>COUNTIFS(Demand!$A$2:$A$4481,A613,Demand!$B$2:$B$4481,B613,Demand!$C$2:$C$4481,C613)</f>
        <v>1</v>
      </c>
    </row>
    <row r="614">
      <c r="A614" s="32" t="str">
        <f>Demand!A612</f>
        <v>S019</v>
      </c>
      <c r="B614" s="35">
        <f>Demand!B612</f>
        <v>46267.0</v>
      </c>
      <c r="C614" s="33">
        <f>Demand!C612</f>
        <v>10</v>
      </c>
      <c r="D614" s="33">
        <f>Demand!E612</f>
        <v>9</v>
      </c>
      <c r="E614" s="33">
        <f>IF(Demand!F612,1,0)</f>
        <v>0</v>
      </c>
      <c r="F614" s="33">
        <f>COUNTIFS(c_store,A614,c_date,B614,c_hour,C614)</f>
        <v>0</v>
      </c>
      <c r="G614" s="33">
        <f>IF(F614&gt;0,1,0)</f>
        <v>0</v>
      </c>
      <c r="H614" s="33">
        <f>COUNTIFS(Demand!$A$2:$A$4481,A614,Demand!$B$2:$B$4481,B614,Demand!$C$2:$C$4481,C614)</f>
        <v>1</v>
      </c>
    </row>
    <row r="615">
      <c r="A615" s="32" t="str">
        <f>Demand!A613</f>
        <v>S019</v>
      </c>
      <c r="B615" s="35">
        <f>Demand!B613</f>
        <v>46267.0</v>
      </c>
      <c r="C615" s="33">
        <f>Demand!C613</f>
        <v>11</v>
      </c>
      <c r="D615" s="33">
        <f>Demand!E613</f>
        <v>22</v>
      </c>
      <c r="E615" s="33">
        <f>IF(Demand!F613,1,0)</f>
        <v>0</v>
      </c>
      <c r="F615" s="33">
        <f>COUNTIFS(c_store,A615,c_date,B615,c_hour,C615)</f>
        <v>1</v>
      </c>
      <c r="G615" s="33">
        <f>IF(F615&gt;0,1,0)</f>
        <v>1</v>
      </c>
      <c r="H615" s="33">
        <f>COUNTIFS(Demand!$A$2:$A$4481,A615,Demand!$B$2:$B$4481,B615,Demand!$C$2:$C$4481,C615)</f>
        <v>1</v>
      </c>
    </row>
    <row r="616">
      <c r="A616" s="32" t="str">
        <f>Demand!A614</f>
        <v>S019</v>
      </c>
      <c r="B616" s="35">
        <f>Demand!B614</f>
        <v>46267.0</v>
      </c>
      <c r="C616" s="33">
        <f>Demand!C614</f>
        <v>12</v>
      </c>
      <c r="D616" s="33">
        <f>Demand!E614</f>
        <v>16</v>
      </c>
      <c r="E616" s="33">
        <f>IF(Demand!F614,1,0)</f>
        <v>0</v>
      </c>
      <c r="F616" s="33">
        <f>COUNTIFS(c_store,A616,c_date,B616,c_hour,C616)</f>
        <v>0</v>
      </c>
      <c r="G616" s="33">
        <f>IF(F616&gt;0,1,0)</f>
        <v>0</v>
      </c>
      <c r="H616" s="33">
        <f>COUNTIFS(Demand!$A$2:$A$4481,A616,Demand!$B$2:$B$4481,B616,Demand!$C$2:$C$4481,C616)</f>
        <v>1</v>
      </c>
    </row>
    <row r="617">
      <c r="A617" s="32" t="str">
        <f>Demand!A615</f>
        <v>S019</v>
      </c>
      <c r="B617" s="35">
        <f>Demand!B615</f>
        <v>46267.0</v>
      </c>
      <c r="C617" s="33">
        <f>Demand!C615</f>
        <v>13</v>
      </c>
      <c r="D617" s="33">
        <f>Demand!E615</f>
        <v>25</v>
      </c>
      <c r="E617" s="33">
        <f>IF(Demand!F615,1,0)</f>
        <v>0</v>
      </c>
      <c r="F617" s="33">
        <f>COUNTIFS(c_store,A617,c_date,B617,c_hour,C617)</f>
        <v>1</v>
      </c>
      <c r="G617" s="33">
        <f>IF(F617&gt;0,1,0)</f>
        <v>1</v>
      </c>
      <c r="H617" s="33">
        <f>COUNTIFS(Demand!$A$2:$A$4481,A617,Demand!$B$2:$B$4481,B617,Demand!$C$2:$C$4481,C617)</f>
        <v>1</v>
      </c>
    </row>
    <row r="618">
      <c r="A618" s="32" t="str">
        <f>Demand!A616</f>
        <v>S019</v>
      </c>
      <c r="B618" s="35">
        <f>Demand!B616</f>
        <v>46267.0</v>
      </c>
      <c r="C618" s="33">
        <f>Demand!C616</f>
        <v>14</v>
      </c>
      <c r="D618" s="33">
        <f>Demand!E616</f>
        <v>19</v>
      </c>
      <c r="E618" s="33">
        <f>IF(Demand!F616,1,0)</f>
        <v>0</v>
      </c>
      <c r="F618" s="33">
        <f>COUNTIFS(c_store,A618,c_date,B618,c_hour,C618)</f>
        <v>0</v>
      </c>
      <c r="G618" s="33">
        <f>IF(F618&gt;0,1,0)</f>
        <v>0</v>
      </c>
      <c r="H618" s="33">
        <f>COUNTIFS(Demand!$A$2:$A$4481,A618,Demand!$B$2:$B$4481,B618,Demand!$C$2:$C$4481,C618)</f>
        <v>1</v>
      </c>
    </row>
    <row r="619">
      <c r="A619" s="32" t="str">
        <f>Demand!A617</f>
        <v>S019</v>
      </c>
      <c r="B619" s="35">
        <f>Demand!B617</f>
        <v>46267.0</v>
      </c>
      <c r="C619" s="33">
        <f>Demand!C617</f>
        <v>15</v>
      </c>
      <c r="D619" s="33">
        <f>Demand!E617</f>
        <v>20</v>
      </c>
      <c r="E619" s="33">
        <f>IF(Demand!F617,1,0)</f>
        <v>0</v>
      </c>
      <c r="F619" s="33">
        <f>COUNTIFS(c_store,A619,c_date,B619,c_hour,C619)</f>
        <v>0</v>
      </c>
      <c r="G619" s="33">
        <f>IF(F619&gt;0,1,0)</f>
        <v>0</v>
      </c>
      <c r="H619" s="33">
        <f>COUNTIFS(Demand!$A$2:$A$4481,A619,Demand!$B$2:$B$4481,B619,Demand!$C$2:$C$4481,C619)</f>
        <v>1</v>
      </c>
    </row>
    <row r="620">
      <c r="A620" s="32" t="str">
        <f>Demand!A618</f>
        <v>S019</v>
      </c>
      <c r="B620" s="35">
        <f>Demand!B618</f>
        <v>46267.0</v>
      </c>
      <c r="C620" s="33">
        <f>Demand!C618</f>
        <v>16</v>
      </c>
      <c r="D620" s="33">
        <f>Demand!E618</f>
        <v>19</v>
      </c>
      <c r="E620" s="33">
        <f>IF(Demand!F618,1,0)</f>
        <v>0</v>
      </c>
      <c r="F620" s="33">
        <f>COUNTIFS(c_store,A620,c_date,B620,c_hour,C620)</f>
        <v>1</v>
      </c>
      <c r="G620" s="33">
        <f>IF(F620&gt;0,1,0)</f>
        <v>1</v>
      </c>
      <c r="H620" s="33">
        <f>COUNTIFS(Demand!$A$2:$A$4481,A620,Demand!$B$2:$B$4481,B620,Demand!$C$2:$C$4481,C620)</f>
        <v>1</v>
      </c>
    </row>
    <row r="621">
      <c r="A621" s="32" t="str">
        <f>Demand!A619</f>
        <v>S019</v>
      </c>
      <c r="B621" s="35">
        <f>Demand!B619</f>
        <v>46267.0</v>
      </c>
      <c r="C621" s="33">
        <f>Demand!C619</f>
        <v>17</v>
      </c>
      <c r="D621" s="33">
        <f>Demand!E619</f>
        <v>22</v>
      </c>
      <c r="E621" s="33">
        <f>IF(Demand!F619,1,0)</f>
        <v>0</v>
      </c>
      <c r="F621" s="33">
        <f>COUNTIFS(c_store,A621,c_date,B621,c_hour,C621)</f>
        <v>0</v>
      </c>
      <c r="G621" s="33">
        <f>IF(F621&gt;0,1,0)</f>
        <v>0</v>
      </c>
      <c r="H621" s="33">
        <f>COUNTIFS(Demand!$A$2:$A$4481,A621,Demand!$B$2:$B$4481,B621,Demand!$C$2:$C$4481,C621)</f>
        <v>1</v>
      </c>
    </row>
    <row r="622">
      <c r="A622" s="32" t="str">
        <f>Demand!A620</f>
        <v>S019</v>
      </c>
      <c r="B622" s="35">
        <f>Demand!B620</f>
        <v>46267.0</v>
      </c>
      <c r="C622" s="33">
        <f>Demand!C620</f>
        <v>18</v>
      </c>
      <c r="D622" s="33">
        <f>Demand!E620</f>
        <v>26</v>
      </c>
      <c r="E622" s="33">
        <f>IF(Demand!F620,1,0)</f>
        <v>0</v>
      </c>
      <c r="F622" s="33">
        <f>COUNTIFS(c_store,A622,c_date,B622,c_hour,C622)</f>
        <v>0</v>
      </c>
      <c r="G622" s="33">
        <f>IF(F622&gt;0,1,0)</f>
        <v>0</v>
      </c>
      <c r="H622" s="33">
        <f>COUNTIFS(Demand!$A$2:$A$4481,A622,Demand!$B$2:$B$4481,B622,Demand!$C$2:$C$4481,C622)</f>
        <v>1</v>
      </c>
    </row>
    <row r="623">
      <c r="A623" s="32" t="str">
        <f>Demand!A621</f>
        <v>S019</v>
      </c>
      <c r="B623" s="35">
        <f>Demand!B621</f>
        <v>46267.0</v>
      </c>
      <c r="C623" s="33">
        <f>Demand!C621</f>
        <v>19</v>
      </c>
      <c r="D623" s="33">
        <f>Demand!E621</f>
        <v>39</v>
      </c>
      <c r="E623" s="33">
        <f>IF(Demand!F621,1,0)</f>
        <v>1</v>
      </c>
      <c r="F623" s="33">
        <f>COUNTIFS(c_store,A623,c_date,B623,c_hour,C623)</f>
        <v>0</v>
      </c>
      <c r="G623" s="33">
        <f>IF(F623&gt;0,1,0)</f>
        <v>0</v>
      </c>
      <c r="H623" s="33">
        <f>COUNTIFS(Demand!$A$2:$A$4481,A623,Demand!$B$2:$B$4481,B623,Demand!$C$2:$C$4481,C623)</f>
        <v>1</v>
      </c>
    </row>
    <row r="624">
      <c r="A624" s="32" t="str">
        <f>Demand!A622</f>
        <v>S019</v>
      </c>
      <c r="B624" s="35">
        <f>Demand!B622</f>
        <v>46267.0</v>
      </c>
      <c r="C624" s="33">
        <f>Demand!C622</f>
        <v>20</v>
      </c>
      <c r="D624" s="33">
        <f>Demand!E622</f>
        <v>39</v>
      </c>
      <c r="E624" s="33">
        <f>IF(Demand!F622,1,0)</f>
        <v>1</v>
      </c>
      <c r="F624" s="33">
        <f>COUNTIFS(c_store,A624,c_date,B624,c_hour,C624)</f>
        <v>0</v>
      </c>
      <c r="G624" s="33">
        <f>IF(F624&gt;0,1,0)</f>
        <v>0</v>
      </c>
      <c r="H624" s="33">
        <f>COUNTIFS(Demand!$A$2:$A$4481,A624,Demand!$B$2:$B$4481,B624,Demand!$C$2:$C$4481,C624)</f>
        <v>1</v>
      </c>
    </row>
    <row r="625">
      <c r="A625" s="32" t="str">
        <f>Demand!A623</f>
        <v>S019</v>
      </c>
      <c r="B625" s="35">
        <f>Demand!B623</f>
        <v>46267.0</v>
      </c>
      <c r="C625" s="33">
        <f>Demand!C623</f>
        <v>21</v>
      </c>
      <c r="D625" s="33">
        <f>Demand!E623</f>
        <v>39</v>
      </c>
      <c r="E625" s="33">
        <f>IF(Demand!F623,1,0)</f>
        <v>1</v>
      </c>
      <c r="F625" s="33">
        <f>COUNTIFS(c_store,A625,c_date,B625,c_hour,C625)</f>
        <v>0</v>
      </c>
      <c r="G625" s="33">
        <f>IF(F625&gt;0,1,0)</f>
        <v>0</v>
      </c>
      <c r="H625" s="33">
        <f>COUNTIFS(Demand!$A$2:$A$4481,A625,Demand!$B$2:$B$4481,B625,Demand!$C$2:$C$4481,C625)</f>
        <v>1</v>
      </c>
    </row>
    <row r="626">
      <c r="A626" s="32" t="str">
        <f>Demand!A624</f>
        <v>S019</v>
      </c>
      <c r="B626" s="35">
        <f>Demand!B624</f>
        <v>46267.0</v>
      </c>
      <c r="C626" s="33">
        <f>Demand!C624</f>
        <v>22</v>
      </c>
      <c r="D626" s="33">
        <f>Demand!E624</f>
        <v>17</v>
      </c>
      <c r="E626" s="33">
        <f>IF(Demand!F624,1,0)</f>
        <v>0</v>
      </c>
      <c r="F626" s="33">
        <f>COUNTIFS(c_store,A626,c_date,B626,c_hour,C626)</f>
        <v>0</v>
      </c>
      <c r="G626" s="33">
        <f>IF(F626&gt;0,1,0)</f>
        <v>0</v>
      </c>
      <c r="H626" s="33">
        <f>COUNTIFS(Demand!$A$2:$A$4481,A626,Demand!$B$2:$B$4481,B626,Demand!$C$2:$C$4481,C626)</f>
        <v>1</v>
      </c>
    </row>
    <row r="627">
      <c r="A627" s="32" t="str">
        <f>Demand!A625</f>
        <v>S019</v>
      </c>
      <c r="B627" s="35">
        <f>Demand!B625</f>
        <v>46267.0</v>
      </c>
      <c r="C627" s="33">
        <f>Demand!C625</f>
        <v>23</v>
      </c>
      <c r="D627" s="33">
        <f>Demand!E625</f>
        <v>30</v>
      </c>
      <c r="E627" s="33">
        <f>IF(Demand!F625,1,0)</f>
        <v>0</v>
      </c>
      <c r="F627" s="33">
        <f>COUNTIFS(c_store,A627,c_date,B627,c_hour,C627)</f>
        <v>1</v>
      </c>
      <c r="G627" s="33">
        <f>IF(F627&gt;0,1,0)</f>
        <v>1</v>
      </c>
      <c r="H627" s="33">
        <f>COUNTIFS(Demand!$A$2:$A$4481,A627,Demand!$B$2:$B$4481,B627,Demand!$C$2:$C$4481,C627)</f>
        <v>1</v>
      </c>
    </row>
    <row r="628">
      <c r="A628" s="32" t="str">
        <f>Demand!A626</f>
        <v>S020</v>
      </c>
      <c r="B628" s="35">
        <f>Demand!B626</f>
        <v>46267.0</v>
      </c>
      <c r="C628" s="33">
        <f>Demand!C626</f>
        <v>8</v>
      </c>
      <c r="D628" s="33">
        <f>Demand!E626</f>
        <v>12</v>
      </c>
      <c r="E628" s="33">
        <f>IF(Demand!F626,1,0)</f>
        <v>0</v>
      </c>
      <c r="F628" s="33">
        <f>COUNTIFS(c_store,A628,c_date,B628,c_hour,C628)</f>
        <v>0</v>
      </c>
      <c r="G628" s="33">
        <f>IF(F628&gt;0,1,0)</f>
        <v>0</v>
      </c>
      <c r="H628" s="33">
        <f>COUNTIFS(Demand!$A$2:$A$4481,A628,Demand!$B$2:$B$4481,B628,Demand!$C$2:$C$4481,C628)</f>
        <v>1</v>
      </c>
    </row>
    <row r="629">
      <c r="A629" s="32" t="str">
        <f>Demand!A627</f>
        <v>S020</v>
      </c>
      <c r="B629" s="35">
        <f>Demand!B627</f>
        <v>46267.0</v>
      </c>
      <c r="C629" s="33">
        <f>Demand!C627</f>
        <v>9</v>
      </c>
      <c r="D629" s="33">
        <f>Demand!E627</f>
        <v>9</v>
      </c>
      <c r="E629" s="33">
        <f>IF(Demand!F627,1,0)</f>
        <v>0</v>
      </c>
      <c r="F629" s="33">
        <f>COUNTIFS(c_store,A629,c_date,B629,c_hour,C629)</f>
        <v>0</v>
      </c>
      <c r="G629" s="33">
        <f>IF(F629&gt;0,1,0)</f>
        <v>0</v>
      </c>
      <c r="H629" s="33">
        <f>COUNTIFS(Demand!$A$2:$A$4481,A629,Demand!$B$2:$B$4481,B629,Demand!$C$2:$C$4481,C629)</f>
        <v>1</v>
      </c>
    </row>
    <row r="630">
      <c r="A630" s="32" t="str">
        <f>Demand!A628</f>
        <v>S020</v>
      </c>
      <c r="B630" s="35">
        <f>Demand!B628</f>
        <v>46267.0</v>
      </c>
      <c r="C630" s="33">
        <f>Demand!C628</f>
        <v>10</v>
      </c>
      <c r="D630" s="33">
        <f>Demand!E628</f>
        <v>6</v>
      </c>
      <c r="E630" s="33">
        <f>IF(Demand!F628,1,0)</f>
        <v>0</v>
      </c>
      <c r="F630" s="33">
        <f>COUNTIFS(c_store,A630,c_date,B630,c_hour,C630)</f>
        <v>0</v>
      </c>
      <c r="G630" s="33">
        <f>IF(F630&gt;0,1,0)</f>
        <v>0</v>
      </c>
      <c r="H630" s="33">
        <f>COUNTIFS(Demand!$A$2:$A$4481,A630,Demand!$B$2:$B$4481,B630,Demand!$C$2:$C$4481,C630)</f>
        <v>1</v>
      </c>
    </row>
    <row r="631">
      <c r="A631" s="32" t="str">
        <f>Demand!A629</f>
        <v>S020</v>
      </c>
      <c r="B631" s="35">
        <f>Demand!B629</f>
        <v>46267.0</v>
      </c>
      <c r="C631" s="33">
        <f>Demand!C629</f>
        <v>11</v>
      </c>
      <c r="D631" s="33">
        <f>Demand!E629</f>
        <v>12</v>
      </c>
      <c r="E631" s="33">
        <f>IF(Demand!F629,1,0)</f>
        <v>0</v>
      </c>
      <c r="F631" s="33">
        <f>COUNTIFS(c_store,A631,c_date,B631,c_hour,C631)</f>
        <v>0</v>
      </c>
      <c r="G631" s="33">
        <f>IF(F631&gt;0,1,0)</f>
        <v>0</v>
      </c>
      <c r="H631" s="33">
        <f>COUNTIFS(Demand!$A$2:$A$4481,A631,Demand!$B$2:$B$4481,B631,Demand!$C$2:$C$4481,C631)</f>
        <v>1</v>
      </c>
    </row>
    <row r="632">
      <c r="A632" s="32" t="str">
        <f>Demand!A630</f>
        <v>S020</v>
      </c>
      <c r="B632" s="35">
        <f>Demand!B630</f>
        <v>46267.0</v>
      </c>
      <c r="C632" s="33">
        <f>Demand!C630</f>
        <v>12</v>
      </c>
      <c r="D632" s="33">
        <f>Demand!E630</f>
        <v>15</v>
      </c>
      <c r="E632" s="33">
        <f>IF(Demand!F630,1,0)</f>
        <v>0</v>
      </c>
      <c r="F632" s="33">
        <f>COUNTIFS(c_store,A632,c_date,B632,c_hour,C632)</f>
        <v>0</v>
      </c>
      <c r="G632" s="33">
        <f>IF(F632&gt;0,1,0)</f>
        <v>0</v>
      </c>
      <c r="H632" s="33">
        <f>COUNTIFS(Demand!$A$2:$A$4481,A632,Demand!$B$2:$B$4481,B632,Demand!$C$2:$C$4481,C632)</f>
        <v>1</v>
      </c>
    </row>
    <row r="633">
      <c r="A633" s="32" t="str">
        <f>Demand!A631</f>
        <v>S020</v>
      </c>
      <c r="B633" s="35">
        <f>Demand!B631</f>
        <v>46267.0</v>
      </c>
      <c r="C633" s="33">
        <f>Demand!C631</f>
        <v>13</v>
      </c>
      <c r="D633" s="33">
        <f>Demand!E631</f>
        <v>17</v>
      </c>
      <c r="E633" s="33">
        <f>IF(Demand!F631,1,0)</f>
        <v>0</v>
      </c>
      <c r="F633" s="33">
        <f>COUNTIFS(c_store,A633,c_date,B633,c_hour,C633)</f>
        <v>0</v>
      </c>
      <c r="G633" s="33">
        <f>IF(F633&gt;0,1,0)</f>
        <v>0</v>
      </c>
      <c r="H633" s="33">
        <f>COUNTIFS(Demand!$A$2:$A$4481,A633,Demand!$B$2:$B$4481,B633,Demand!$C$2:$C$4481,C633)</f>
        <v>1</v>
      </c>
    </row>
    <row r="634">
      <c r="A634" s="32" t="str">
        <f>Demand!A632</f>
        <v>S020</v>
      </c>
      <c r="B634" s="35">
        <f>Demand!B632</f>
        <v>46267.0</v>
      </c>
      <c r="C634" s="33">
        <f>Demand!C632</f>
        <v>14</v>
      </c>
      <c r="D634" s="33">
        <f>Demand!E632</f>
        <v>12</v>
      </c>
      <c r="E634" s="33">
        <f>IF(Demand!F632,1,0)</f>
        <v>0</v>
      </c>
      <c r="F634" s="33">
        <f>COUNTIFS(c_store,A634,c_date,B634,c_hour,C634)</f>
        <v>1</v>
      </c>
      <c r="G634" s="33">
        <f>IF(F634&gt;0,1,0)</f>
        <v>1</v>
      </c>
      <c r="H634" s="33">
        <f>COUNTIFS(Demand!$A$2:$A$4481,A634,Demand!$B$2:$B$4481,B634,Demand!$C$2:$C$4481,C634)</f>
        <v>1</v>
      </c>
    </row>
    <row r="635">
      <c r="A635" s="32" t="str">
        <f>Demand!A633</f>
        <v>S020</v>
      </c>
      <c r="B635" s="35">
        <f>Demand!B633</f>
        <v>46267.0</v>
      </c>
      <c r="C635" s="33">
        <f>Demand!C633</f>
        <v>15</v>
      </c>
      <c r="D635" s="33">
        <f>Demand!E633</f>
        <v>14</v>
      </c>
      <c r="E635" s="33">
        <f>IF(Demand!F633,1,0)</f>
        <v>0</v>
      </c>
      <c r="F635" s="33">
        <f>COUNTIFS(c_store,A635,c_date,B635,c_hour,C635)</f>
        <v>1</v>
      </c>
      <c r="G635" s="33">
        <f>IF(F635&gt;0,1,0)</f>
        <v>1</v>
      </c>
      <c r="H635" s="33">
        <f>COUNTIFS(Demand!$A$2:$A$4481,A635,Demand!$B$2:$B$4481,B635,Demand!$C$2:$C$4481,C635)</f>
        <v>1</v>
      </c>
    </row>
    <row r="636">
      <c r="A636" s="32" t="str">
        <f>Demand!A634</f>
        <v>S020</v>
      </c>
      <c r="B636" s="35">
        <f>Demand!B634</f>
        <v>46267.0</v>
      </c>
      <c r="C636" s="33">
        <f>Demand!C634</f>
        <v>16</v>
      </c>
      <c r="D636" s="33">
        <f>Demand!E634</f>
        <v>13</v>
      </c>
      <c r="E636" s="33">
        <f>IF(Demand!F634,1,0)</f>
        <v>0</v>
      </c>
      <c r="F636" s="33">
        <f>COUNTIFS(c_store,A636,c_date,B636,c_hour,C636)</f>
        <v>1</v>
      </c>
      <c r="G636" s="33">
        <f>IF(F636&gt;0,1,0)</f>
        <v>1</v>
      </c>
      <c r="H636" s="33">
        <f>COUNTIFS(Demand!$A$2:$A$4481,A636,Demand!$B$2:$B$4481,B636,Demand!$C$2:$C$4481,C636)</f>
        <v>1</v>
      </c>
    </row>
    <row r="637">
      <c r="A637" s="32" t="str">
        <f>Demand!A635</f>
        <v>S020</v>
      </c>
      <c r="B637" s="35">
        <f>Demand!B635</f>
        <v>46267.0</v>
      </c>
      <c r="C637" s="33">
        <f>Demand!C635</f>
        <v>17</v>
      </c>
      <c r="D637" s="33">
        <f>Demand!E635</f>
        <v>19</v>
      </c>
      <c r="E637" s="33">
        <f>IF(Demand!F635,1,0)</f>
        <v>0</v>
      </c>
      <c r="F637" s="33">
        <f>COUNTIFS(c_store,A637,c_date,B637,c_hour,C637)</f>
        <v>0</v>
      </c>
      <c r="G637" s="33">
        <f>IF(F637&gt;0,1,0)</f>
        <v>0</v>
      </c>
      <c r="H637" s="33">
        <f>COUNTIFS(Demand!$A$2:$A$4481,A637,Demand!$B$2:$B$4481,B637,Demand!$C$2:$C$4481,C637)</f>
        <v>1</v>
      </c>
    </row>
    <row r="638">
      <c r="A638" s="32" t="str">
        <f>Demand!A636</f>
        <v>S020</v>
      </c>
      <c r="B638" s="35">
        <f>Demand!B636</f>
        <v>46267.0</v>
      </c>
      <c r="C638" s="33">
        <f>Demand!C636</f>
        <v>18</v>
      </c>
      <c r="D638" s="33">
        <f>Demand!E636</f>
        <v>20</v>
      </c>
      <c r="E638" s="33">
        <f>IF(Demand!F636,1,0)</f>
        <v>0</v>
      </c>
      <c r="F638" s="33">
        <f>COUNTIFS(c_store,A638,c_date,B638,c_hour,C638)</f>
        <v>1</v>
      </c>
      <c r="G638" s="33">
        <f>IF(F638&gt;0,1,0)</f>
        <v>1</v>
      </c>
      <c r="H638" s="33">
        <f>COUNTIFS(Demand!$A$2:$A$4481,A638,Demand!$B$2:$B$4481,B638,Demand!$C$2:$C$4481,C638)</f>
        <v>1</v>
      </c>
    </row>
    <row r="639">
      <c r="A639" s="32" t="str">
        <f>Demand!A637</f>
        <v>S020</v>
      </c>
      <c r="B639" s="35">
        <f>Demand!B637</f>
        <v>46267.0</v>
      </c>
      <c r="C639" s="33">
        <f>Demand!C637</f>
        <v>19</v>
      </c>
      <c r="D639" s="33">
        <f>Demand!E637</f>
        <v>26</v>
      </c>
      <c r="E639" s="33">
        <f>IF(Demand!F637,1,0)</f>
        <v>1</v>
      </c>
      <c r="F639" s="33">
        <f>COUNTIFS(c_store,A639,c_date,B639,c_hour,C639)</f>
        <v>0</v>
      </c>
      <c r="G639" s="33">
        <f>IF(F639&gt;0,1,0)</f>
        <v>0</v>
      </c>
      <c r="H639" s="33">
        <f>COUNTIFS(Demand!$A$2:$A$4481,A639,Demand!$B$2:$B$4481,B639,Demand!$C$2:$C$4481,C639)</f>
        <v>1</v>
      </c>
    </row>
    <row r="640">
      <c r="A640" s="32" t="str">
        <f>Demand!A638</f>
        <v>S020</v>
      </c>
      <c r="B640" s="35">
        <f>Demand!B638</f>
        <v>46267.0</v>
      </c>
      <c r="C640" s="33">
        <f>Demand!C638</f>
        <v>20</v>
      </c>
      <c r="D640" s="33">
        <f>Demand!E638</f>
        <v>23</v>
      </c>
      <c r="E640" s="33">
        <f>IF(Demand!F638,1,0)</f>
        <v>1</v>
      </c>
      <c r="F640" s="33">
        <f>COUNTIFS(c_store,A640,c_date,B640,c_hour,C640)</f>
        <v>1</v>
      </c>
      <c r="G640" s="33">
        <f>IF(F640&gt;0,1,0)</f>
        <v>1</v>
      </c>
      <c r="H640" s="33">
        <f>COUNTIFS(Demand!$A$2:$A$4481,A640,Demand!$B$2:$B$4481,B640,Demand!$C$2:$C$4481,C640)</f>
        <v>1</v>
      </c>
    </row>
    <row r="641">
      <c r="A641" s="32" t="str">
        <f>Demand!A639</f>
        <v>S020</v>
      </c>
      <c r="B641" s="35">
        <f>Demand!B639</f>
        <v>46267.0</v>
      </c>
      <c r="C641" s="33">
        <f>Demand!C639</f>
        <v>21</v>
      </c>
      <c r="D641" s="33">
        <f>Demand!E639</f>
        <v>25</v>
      </c>
      <c r="E641" s="33">
        <f>IF(Demand!F639,1,0)</f>
        <v>1</v>
      </c>
      <c r="F641" s="33">
        <f>COUNTIFS(c_store,A641,c_date,B641,c_hour,C641)</f>
        <v>1</v>
      </c>
      <c r="G641" s="33">
        <f>IF(F641&gt;0,1,0)</f>
        <v>1</v>
      </c>
      <c r="H641" s="33">
        <f>COUNTIFS(Demand!$A$2:$A$4481,A641,Demand!$B$2:$B$4481,B641,Demand!$C$2:$C$4481,C641)</f>
        <v>1</v>
      </c>
    </row>
    <row r="642">
      <c r="A642" s="32" t="str">
        <f>Demand!A640</f>
        <v>S020</v>
      </c>
      <c r="B642" s="35">
        <f>Demand!B640</f>
        <v>46267.0</v>
      </c>
      <c r="C642" s="33">
        <f>Demand!C640</f>
        <v>22</v>
      </c>
      <c r="D642" s="33">
        <f>Demand!E640</f>
        <v>17</v>
      </c>
      <c r="E642" s="33">
        <f>IF(Demand!F640,1,0)</f>
        <v>0</v>
      </c>
      <c r="F642" s="33">
        <f>COUNTIFS(c_store,A642,c_date,B642,c_hour,C642)</f>
        <v>0</v>
      </c>
      <c r="G642" s="33">
        <f>IF(F642&gt;0,1,0)</f>
        <v>0</v>
      </c>
      <c r="H642" s="33">
        <f>COUNTIFS(Demand!$A$2:$A$4481,A642,Demand!$B$2:$B$4481,B642,Demand!$C$2:$C$4481,C642)</f>
        <v>1</v>
      </c>
    </row>
    <row r="643">
      <c r="A643" s="32" t="str">
        <f>Demand!A641</f>
        <v>S020</v>
      </c>
      <c r="B643" s="35">
        <f>Demand!B641</f>
        <v>46267.0</v>
      </c>
      <c r="C643" s="33">
        <f>Demand!C641</f>
        <v>23</v>
      </c>
      <c r="D643" s="33">
        <f>Demand!E641</f>
        <v>8</v>
      </c>
      <c r="E643" s="33">
        <f>IF(Demand!F641,1,0)</f>
        <v>0</v>
      </c>
      <c r="F643" s="33">
        <f>COUNTIFS(c_store,A643,c_date,B643,c_hour,C643)</f>
        <v>0</v>
      </c>
      <c r="G643" s="33">
        <f>IF(F643&gt;0,1,0)</f>
        <v>0</v>
      </c>
      <c r="H643" s="33">
        <f>COUNTIFS(Demand!$A$2:$A$4481,A643,Demand!$B$2:$B$4481,B643,Demand!$C$2:$C$4481,C643)</f>
        <v>1</v>
      </c>
    </row>
    <row r="644">
      <c r="A644" s="32" t="str">
        <f>Demand!A642</f>
        <v>S001</v>
      </c>
      <c r="B644" s="35">
        <f>Demand!B642</f>
        <v>46268.0</v>
      </c>
      <c r="C644" s="33">
        <f>Demand!C642</f>
        <v>8</v>
      </c>
      <c r="D644" s="33">
        <f>Demand!E642</f>
        <v>13</v>
      </c>
      <c r="E644" s="33">
        <f>IF(Demand!F642,1,0)</f>
        <v>0</v>
      </c>
      <c r="F644" s="33">
        <f>COUNTIFS(c_store,A644,c_date,B644,c_hour,C644)</f>
        <v>2</v>
      </c>
      <c r="G644" s="33">
        <f>IF(F644&gt;0,1,0)</f>
        <v>1</v>
      </c>
      <c r="H644" s="33">
        <f>COUNTIFS(Demand!$A$2:$A$4481,A644,Demand!$B$2:$B$4481,B644,Demand!$C$2:$C$4481,C644)</f>
        <v>1</v>
      </c>
    </row>
    <row r="645">
      <c r="A645" s="32" t="str">
        <f>Demand!A643</f>
        <v>S001</v>
      </c>
      <c r="B645" s="35">
        <f>Demand!B643</f>
        <v>46268.0</v>
      </c>
      <c r="C645" s="33">
        <f>Demand!C643</f>
        <v>9</v>
      </c>
      <c r="D645" s="33">
        <f>Demand!E643</f>
        <v>12</v>
      </c>
      <c r="E645" s="33">
        <f>IF(Demand!F643,1,0)</f>
        <v>0</v>
      </c>
      <c r="F645" s="33">
        <f>COUNTIFS(c_store,A645,c_date,B645,c_hour,C645)</f>
        <v>1</v>
      </c>
      <c r="G645" s="33">
        <f>IF(F645&gt;0,1,0)</f>
        <v>1</v>
      </c>
      <c r="H645" s="33">
        <f>COUNTIFS(Demand!$A$2:$A$4481,A645,Demand!$B$2:$B$4481,B645,Demand!$C$2:$C$4481,C645)</f>
        <v>1</v>
      </c>
    </row>
    <row r="646">
      <c r="A646" s="32" t="str">
        <f>Demand!A644</f>
        <v>S001</v>
      </c>
      <c r="B646" s="35">
        <f>Demand!B644</f>
        <v>46268.0</v>
      </c>
      <c r="C646" s="33">
        <f>Demand!C644</f>
        <v>10</v>
      </c>
      <c r="D646" s="33">
        <f>Demand!E644</f>
        <v>12</v>
      </c>
      <c r="E646" s="33">
        <f>IF(Demand!F644,1,0)</f>
        <v>0</v>
      </c>
      <c r="F646" s="33">
        <f>COUNTIFS(c_store,A646,c_date,B646,c_hour,C646)</f>
        <v>2</v>
      </c>
      <c r="G646" s="33">
        <f>IF(F646&gt;0,1,0)</f>
        <v>1</v>
      </c>
      <c r="H646" s="33">
        <f>COUNTIFS(Demand!$A$2:$A$4481,A646,Demand!$B$2:$B$4481,B646,Demand!$C$2:$C$4481,C646)</f>
        <v>1</v>
      </c>
    </row>
    <row r="647">
      <c r="A647" s="32" t="str">
        <f>Demand!A645</f>
        <v>S001</v>
      </c>
      <c r="B647" s="35">
        <f>Demand!B645</f>
        <v>46268.0</v>
      </c>
      <c r="C647" s="33">
        <f>Demand!C645</f>
        <v>11</v>
      </c>
      <c r="D647" s="33">
        <f>Demand!E645</f>
        <v>19</v>
      </c>
      <c r="E647" s="33">
        <f>IF(Demand!F645,1,0)</f>
        <v>0</v>
      </c>
      <c r="F647" s="33">
        <f>COUNTIFS(c_store,A647,c_date,B647,c_hour,C647)</f>
        <v>0</v>
      </c>
      <c r="G647" s="33">
        <f>IF(F647&gt;0,1,0)</f>
        <v>0</v>
      </c>
      <c r="H647" s="33">
        <f>COUNTIFS(Demand!$A$2:$A$4481,A647,Demand!$B$2:$B$4481,B647,Demand!$C$2:$C$4481,C647)</f>
        <v>1</v>
      </c>
    </row>
    <row r="648">
      <c r="A648" s="32" t="str">
        <f>Demand!A646</f>
        <v>S001</v>
      </c>
      <c r="B648" s="35">
        <f>Demand!B646</f>
        <v>46268.0</v>
      </c>
      <c r="C648" s="33">
        <f>Demand!C646</f>
        <v>12</v>
      </c>
      <c r="D648" s="33">
        <f>Demand!E646</f>
        <v>9</v>
      </c>
      <c r="E648" s="33">
        <f>IF(Demand!F646,1,0)</f>
        <v>0</v>
      </c>
      <c r="F648" s="33">
        <f>COUNTIFS(c_store,A648,c_date,B648,c_hour,C648)</f>
        <v>0</v>
      </c>
      <c r="G648" s="33">
        <f>IF(F648&gt;0,1,0)</f>
        <v>0</v>
      </c>
      <c r="H648" s="33">
        <f>COUNTIFS(Demand!$A$2:$A$4481,A648,Demand!$B$2:$B$4481,B648,Demand!$C$2:$C$4481,C648)</f>
        <v>1</v>
      </c>
    </row>
    <row r="649">
      <c r="A649" s="32" t="str">
        <f>Demand!A647</f>
        <v>S001</v>
      </c>
      <c r="B649" s="35">
        <f>Demand!B647</f>
        <v>46268.0</v>
      </c>
      <c r="C649" s="33">
        <f>Demand!C647</f>
        <v>13</v>
      </c>
      <c r="D649" s="33">
        <f>Demand!E647</f>
        <v>17</v>
      </c>
      <c r="E649" s="33">
        <f>IF(Demand!F647,1,0)</f>
        <v>0</v>
      </c>
      <c r="F649" s="33">
        <f>COUNTIFS(c_store,A649,c_date,B649,c_hour,C649)</f>
        <v>0</v>
      </c>
      <c r="G649" s="33">
        <f>IF(F649&gt;0,1,0)</f>
        <v>0</v>
      </c>
      <c r="H649" s="33">
        <f>COUNTIFS(Demand!$A$2:$A$4481,A649,Demand!$B$2:$B$4481,B649,Demand!$C$2:$C$4481,C649)</f>
        <v>1</v>
      </c>
    </row>
    <row r="650">
      <c r="A650" s="32" t="str">
        <f>Demand!A648</f>
        <v>S001</v>
      </c>
      <c r="B650" s="35">
        <f>Demand!B648</f>
        <v>46268.0</v>
      </c>
      <c r="C650" s="33">
        <f>Demand!C648</f>
        <v>14</v>
      </c>
      <c r="D650" s="33">
        <f>Demand!E648</f>
        <v>10</v>
      </c>
      <c r="E650" s="33">
        <f>IF(Demand!F648,1,0)</f>
        <v>0</v>
      </c>
      <c r="F650" s="33">
        <f>COUNTIFS(c_store,A650,c_date,B650,c_hour,C650)</f>
        <v>0</v>
      </c>
      <c r="G650" s="33">
        <f>IF(F650&gt;0,1,0)</f>
        <v>0</v>
      </c>
      <c r="H650" s="33">
        <f>COUNTIFS(Demand!$A$2:$A$4481,A650,Demand!$B$2:$B$4481,B650,Demand!$C$2:$C$4481,C650)</f>
        <v>1</v>
      </c>
    </row>
    <row r="651">
      <c r="A651" s="32" t="str">
        <f>Demand!A649</f>
        <v>S001</v>
      </c>
      <c r="B651" s="35">
        <f>Demand!B649</f>
        <v>46268.0</v>
      </c>
      <c r="C651" s="33">
        <f>Demand!C649</f>
        <v>15</v>
      </c>
      <c r="D651" s="33">
        <f>Demand!E649</f>
        <v>9</v>
      </c>
      <c r="E651" s="33">
        <f>IF(Demand!F649,1,0)</f>
        <v>0</v>
      </c>
      <c r="F651" s="33">
        <f>COUNTIFS(c_store,A651,c_date,B651,c_hour,C651)</f>
        <v>0</v>
      </c>
      <c r="G651" s="33">
        <f>IF(F651&gt;0,1,0)</f>
        <v>0</v>
      </c>
      <c r="H651" s="33">
        <f>COUNTIFS(Demand!$A$2:$A$4481,A651,Demand!$B$2:$B$4481,B651,Demand!$C$2:$C$4481,C651)</f>
        <v>1</v>
      </c>
    </row>
    <row r="652">
      <c r="A652" s="32" t="str">
        <f>Demand!A650</f>
        <v>S001</v>
      </c>
      <c r="B652" s="35">
        <f>Demand!B650</f>
        <v>46268.0</v>
      </c>
      <c r="C652" s="33">
        <f>Demand!C650</f>
        <v>16</v>
      </c>
      <c r="D652" s="33">
        <f>Demand!E650</f>
        <v>22</v>
      </c>
      <c r="E652" s="33">
        <f>IF(Demand!F650,1,0)</f>
        <v>0</v>
      </c>
      <c r="F652" s="33">
        <f>COUNTIFS(c_store,A652,c_date,B652,c_hour,C652)</f>
        <v>1</v>
      </c>
      <c r="G652" s="33">
        <f>IF(F652&gt;0,1,0)</f>
        <v>1</v>
      </c>
      <c r="H652" s="33">
        <f>COUNTIFS(Demand!$A$2:$A$4481,A652,Demand!$B$2:$B$4481,B652,Demand!$C$2:$C$4481,C652)</f>
        <v>1</v>
      </c>
    </row>
    <row r="653">
      <c r="A653" s="32" t="str">
        <f>Demand!A651</f>
        <v>S001</v>
      </c>
      <c r="B653" s="35">
        <f>Demand!B651</f>
        <v>46268.0</v>
      </c>
      <c r="C653" s="33">
        <f>Demand!C651</f>
        <v>17</v>
      </c>
      <c r="D653" s="33">
        <f>Demand!E651</f>
        <v>17</v>
      </c>
      <c r="E653" s="33">
        <f>IF(Demand!F651,1,0)</f>
        <v>0</v>
      </c>
      <c r="F653" s="33">
        <f>COUNTIFS(c_store,A653,c_date,B653,c_hour,C653)</f>
        <v>0</v>
      </c>
      <c r="G653" s="33">
        <f>IF(F653&gt;0,1,0)</f>
        <v>0</v>
      </c>
      <c r="H653" s="33">
        <f>COUNTIFS(Demand!$A$2:$A$4481,A653,Demand!$B$2:$B$4481,B653,Demand!$C$2:$C$4481,C653)</f>
        <v>1</v>
      </c>
    </row>
    <row r="654">
      <c r="A654" s="32" t="str">
        <f>Demand!A652</f>
        <v>S001</v>
      </c>
      <c r="B654" s="35">
        <f>Demand!B652</f>
        <v>46268.0</v>
      </c>
      <c r="C654" s="33">
        <f>Demand!C652</f>
        <v>18</v>
      </c>
      <c r="D654" s="33">
        <f>Demand!E652</f>
        <v>15</v>
      </c>
      <c r="E654" s="33">
        <f>IF(Demand!F652,1,0)</f>
        <v>0</v>
      </c>
      <c r="F654" s="33">
        <f>COUNTIFS(c_store,A654,c_date,B654,c_hour,C654)</f>
        <v>1</v>
      </c>
      <c r="G654" s="33">
        <f>IF(F654&gt;0,1,0)</f>
        <v>1</v>
      </c>
      <c r="H654" s="33">
        <f>COUNTIFS(Demand!$A$2:$A$4481,A654,Demand!$B$2:$B$4481,B654,Demand!$C$2:$C$4481,C654)</f>
        <v>1</v>
      </c>
    </row>
    <row r="655">
      <c r="A655" s="32" t="str">
        <f>Demand!A653</f>
        <v>S001</v>
      </c>
      <c r="B655" s="35">
        <f>Demand!B653</f>
        <v>46268.0</v>
      </c>
      <c r="C655" s="33">
        <f>Demand!C653</f>
        <v>19</v>
      </c>
      <c r="D655" s="33">
        <f>Demand!E653</f>
        <v>28</v>
      </c>
      <c r="E655" s="33">
        <f>IF(Demand!F653,1,0)</f>
        <v>1</v>
      </c>
      <c r="F655" s="33">
        <f>COUNTIFS(c_store,A655,c_date,B655,c_hour,C655)</f>
        <v>1</v>
      </c>
      <c r="G655" s="33">
        <f>IF(F655&gt;0,1,0)</f>
        <v>1</v>
      </c>
      <c r="H655" s="33">
        <f>COUNTIFS(Demand!$A$2:$A$4481,A655,Demand!$B$2:$B$4481,B655,Demand!$C$2:$C$4481,C655)</f>
        <v>1</v>
      </c>
    </row>
    <row r="656">
      <c r="A656" s="32" t="str">
        <f>Demand!A654</f>
        <v>S001</v>
      </c>
      <c r="B656" s="35">
        <f>Demand!B654</f>
        <v>46268.0</v>
      </c>
      <c r="C656" s="33">
        <f>Demand!C654</f>
        <v>20</v>
      </c>
      <c r="D656" s="33">
        <f>Demand!E654</f>
        <v>23</v>
      </c>
      <c r="E656" s="33">
        <f>IF(Demand!F654,1,0)</f>
        <v>1</v>
      </c>
      <c r="F656" s="33">
        <f>COUNTIFS(c_store,A656,c_date,B656,c_hour,C656)</f>
        <v>1</v>
      </c>
      <c r="G656" s="33">
        <f>IF(F656&gt;0,1,0)</f>
        <v>1</v>
      </c>
      <c r="H656" s="33">
        <f>COUNTIFS(Demand!$A$2:$A$4481,A656,Demand!$B$2:$B$4481,B656,Demand!$C$2:$C$4481,C656)</f>
        <v>1</v>
      </c>
    </row>
    <row r="657">
      <c r="A657" s="32" t="str">
        <f>Demand!A655</f>
        <v>S001</v>
      </c>
      <c r="B657" s="35">
        <f>Demand!B655</f>
        <v>46268.0</v>
      </c>
      <c r="C657" s="33">
        <f>Demand!C655</f>
        <v>21</v>
      </c>
      <c r="D657" s="33">
        <f>Demand!E655</f>
        <v>21</v>
      </c>
      <c r="E657" s="33">
        <f>IF(Demand!F655,1,0)</f>
        <v>1</v>
      </c>
      <c r="F657" s="33">
        <f>COUNTIFS(c_store,A657,c_date,B657,c_hour,C657)</f>
        <v>0</v>
      </c>
      <c r="G657" s="33">
        <f>IF(F657&gt;0,1,0)</f>
        <v>0</v>
      </c>
      <c r="H657" s="33">
        <f>COUNTIFS(Demand!$A$2:$A$4481,A657,Demand!$B$2:$B$4481,B657,Demand!$C$2:$C$4481,C657)</f>
        <v>1</v>
      </c>
    </row>
    <row r="658">
      <c r="A658" s="32" t="str">
        <f>Demand!A656</f>
        <v>S001</v>
      </c>
      <c r="B658" s="35">
        <f>Demand!B656</f>
        <v>46268.0</v>
      </c>
      <c r="C658" s="33">
        <f>Demand!C656</f>
        <v>22</v>
      </c>
      <c r="D658" s="33">
        <f>Demand!E656</f>
        <v>7</v>
      </c>
      <c r="E658" s="33">
        <f>IF(Demand!F656,1,0)</f>
        <v>0</v>
      </c>
      <c r="F658" s="33">
        <f>COUNTIFS(c_store,A658,c_date,B658,c_hour,C658)</f>
        <v>0</v>
      </c>
      <c r="G658" s="33">
        <f>IF(F658&gt;0,1,0)</f>
        <v>0</v>
      </c>
      <c r="H658" s="33">
        <f>COUNTIFS(Demand!$A$2:$A$4481,A658,Demand!$B$2:$B$4481,B658,Demand!$C$2:$C$4481,C658)</f>
        <v>1</v>
      </c>
    </row>
    <row r="659">
      <c r="A659" s="32" t="str">
        <f>Demand!A657</f>
        <v>S001</v>
      </c>
      <c r="B659" s="35">
        <f>Demand!B657</f>
        <v>46268.0</v>
      </c>
      <c r="C659" s="33">
        <f>Demand!C657</f>
        <v>23</v>
      </c>
      <c r="D659" s="33">
        <f>Demand!E657</f>
        <v>11</v>
      </c>
      <c r="E659" s="33">
        <f>IF(Demand!F657,1,0)</f>
        <v>0</v>
      </c>
      <c r="F659" s="33">
        <f>COUNTIFS(c_store,A659,c_date,B659,c_hour,C659)</f>
        <v>0</v>
      </c>
      <c r="G659" s="33">
        <f>IF(F659&gt;0,1,0)</f>
        <v>0</v>
      </c>
      <c r="H659" s="33">
        <f>COUNTIFS(Demand!$A$2:$A$4481,A659,Demand!$B$2:$B$4481,B659,Demand!$C$2:$C$4481,C659)</f>
        <v>1</v>
      </c>
    </row>
    <row r="660">
      <c r="A660" s="32" t="str">
        <f>Demand!A658</f>
        <v>S002</v>
      </c>
      <c r="B660" s="35">
        <f>Demand!B658</f>
        <v>46268.0</v>
      </c>
      <c r="C660" s="33">
        <f>Demand!C658</f>
        <v>8</v>
      </c>
      <c r="D660" s="33">
        <f>Demand!E658</f>
        <v>22</v>
      </c>
      <c r="E660" s="33">
        <f>IF(Demand!F658,1,0)</f>
        <v>0</v>
      </c>
      <c r="F660" s="33">
        <f>COUNTIFS(c_store,A660,c_date,B660,c_hour,C660)</f>
        <v>0</v>
      </c>
      <c r="G660" s="33">
        <f>IF(F660&gt;0,1,0)</f>
        <v>0</v>
      </c>
      <c r="H660" s="33">
        <f>COUNTIFS(Demand!$A$2:$A$4481,A660,Demand!$B$2:$B$4481,B660,Demand!$C$2:$C$4481,C660)</f>
        <v>1</v>
      </c>
    </row>
    <row r="661">
      <c r="A661" s="32" t="str">
        <f>Demand!A659</f>
        <v>S002</v>
      </c>
      <c r="B661" s="35">
        <f>Demand!B659</f>
        <v>46268.0</v>
      </c>
      <c r="C661" s="33">
        <f>Demand!C659</f>
        <v>9</v>
      </c>
      <c r="D661" s="33">
        <f>Demand!E659</f>
        <v>20</v>
      </c>
      <c r="E661" s="33">
        <f>IF(Demand!F659,1,0)</f>
        <v>0</v>
      </c>
      <c r="F661" s="33">
        <f>COUNTIFS(c_store,A661,c_date,B661,c_hour,C661)</f>
        <v>0</v>
      </c>
      <c r="G661" s="33">
        <f>IF(F661&gt;0,1,0)</f>
        <v>0</v>
      </c>
      <c r="H661" s="33">
        <f>COUNTIFS(Demand!$A$2:$A$4481,A661,Demand!$B$2:$B$4481,B661,Demand!$C$2:$C$4481,C661)</f>
        <v>1</v>
      </c>
    </row>
    <row r="662">
      <c r="A662" s="32" t="str">
        <f>Demand!A660</f>
        <v>S002</v>
      </c>
      <c r="B662" s="35">
        <f>Demand!B660</f>
        <v>46268.0</v>
      </c>
      <c r="C662" s="33">
        <f>Demand!C660</f>
        <v>10</v>
      </c>
      <c r="D662" s="33">
        <f>Demand!E660</f>
        <v>20</v>
      </c>
      <c r="E662" s="33">
        <f>IF(Demand!F660,1,0)</f>
        <v>0</v>
      </c>
      <c r="F662" s="33">
        <f>COUNTIFS(c_store,A662,c_date,B662,c_hour,C662)</f>
        <v>0</v>
      </c>
      <c r="G662" s="33">
        <f>IF(F662&gt;0,1,0)</f>
        <v>0</v>
      </c>
      <c r="H662" s="33">
        <f>COUNTIFS(Demand!$A$2:$A$4481,A662,Demand!$B$2:$B$4481,B662,Demand!$C$2:$C$4481,C662)</f>
        <v>1</v>
      </c>
    </row>
    <row r="663">
      <c r="A663" s="32" t="str">
        <f>Demand!A661</f>
        <v>S002</v>
      </c>
      <c r="B663" s="35">
        <f>Demand!B661</f>
        <v>46268.0</v>
      </c>
      <c r="C663" s="33">
        <f>Demand!C661</f>
        <v>11</v>
      </c>
      <c r="D663" s="33">
        <f>Demand!E661</f>
        <v>38</v>
      </c>
      <c r="E663" s="33">
        <f>IF(Demand!F661,1,0)</f>
        <v>0</v>
      </c>
      <c r="F663" s="33">
        <f>COUNTIFS(c_store,A663,c_date,B663,c_hour,C663)</f>
        <v>1</v>
      </c>
      <c r="G663" s="33">
        <f>IF(F663&gt;0,1,0)</f>
        <v>1</v>
      </c>
      <c r="H663" s="33">
        <f>COUNTIFS(Demand!$A$2:$A$4481,A663,Demand!$B$2:$B$4481,B663,Demand!$C$2:$C$4481,C663)</f>
        <v>1</v>
      </c>
    </row>
    <row r="664">
      <c r="A664" s="32" t="str">
        <f>Demand!A662</f>
        <v>S002</v>
      </c>
      <c r="B664" s="35">
        <f>Demand!B662</f>
        <v>46268.0</v>
      </c>
      <c r="C664" s="33">
        <f>Demand!C662</f>
        <v>12</v>
      </c>
      <c r="D664" s="33">
        <f>Demand!E662</f>
        <v>35</v>
      </c>
      <c r="E664" s="33">
        <f>IF(Demand!F662,1,0)</f>
        <v>0</v>
      </c>
      <c r="F664" s="33">
        <f>COUNTIFS(c_store,A664,c_date,B664,c_hour,C664)</f>
        <v>0</v>
      </c>
      <c r="G664" s="33">
        <f>IF(F664&gt;0,1,0)</f>
        <v>0</v>
      </c>
      <c r="H664" s="33">
        <f>COUNTIFS(Demand!$A$2:$A$4481,A664,Demand!$B$2:$B$4481,B664,Demand!$C$2:$C$4481,C664)</f>
        <v>1</v>
      </c>
    </row>
    <row r="665">
      <c r="A665" s="32" t="str">
        <f>Demand!A663</f>
        <v>S002</v>
      </c>
      <c r="B665" s="35">
        <f>Demand!B663</f>
        <v>46268.0</v>
      </c>
      <c r="C665" s="33">
        <f>Demand!C663</f>
        <v>13</v>
      </c>
      <c r="D665" s="33">
        <f>Demand!E663</f>
        <v>38</v>
      </c>
      <c r="E665" s="33">
        <f>IF(Demand!F663,1,0)</f>
        <v>0</v>
      </c>
      <c r="F665" s="33">
        <f>COUNTIFS(c_store,A665,c_date,B665,c_hour,C665)</f>
        <v>0</v>
      </c>
      <c r="G665" s="33">
        <f>IF(F665&gt;0,1,0)</f>
        <v>0</v>
      </c>
      <c r="H665" s="33">
        <f>COUNTIFS(Demand!$A$2:$A$4481,A665,Demand!$B$2:$B$4481,B665,Demand!$C$2:$C$4481,C665)</f>
        <v>1</v>
      </c>
    </row>
    <row r="666">
      <c r="A666" s="32" t="str">
        <f>Demand!A664</f>
        <v>S002</v>
      </c>
      <c r="B666" s="35">
        <f>Demand!B664</f>
        <v>46268.0</v>
      </c>
      <c r="C666" s="33">
        <f>Demand!C664</f>
        <v>14</v>
      </c>
      <c r="D666" s="33">
        <f>Demand!E664</f>
        <v>30</v>
      </c>
      <c r="E666" s="33">
        <f>IF(Demand!F664,1,0)</f>
        <v>0</v>
      </c>
      <c r="F666" s="33">
        <f>COUNTIFS(c_store,A666,c_date,B666,c_hour,C666)</f>
        <v>0</v>
      </c>
      <c r="G666" s="33">
        <f>IF(F666&gt;0,1,0)</f>
        <v>0</v>
      </c>
      <c r="H666" s="33">
        <f>COUNTIFS(Demand!$A$2:$A$4481,A666,Demand!$B$2:$B$4481,B666,Demand!$C$2:$C$4481,C666)</f>
        <v>1</v>
      </c>
    </row>
    <row r="667">
      <c r="A667" s="32" t="str">
        <f>Demand!A665</f>
        <v>S002</v>
      </c>
      <c r="B667" s="35">
        <f>Demand!B665</f>
        <v>46268.0</v>
      </c>
      <c r="C667" s="33">
        <f>Demand!C665</f>
        <v>15</v>
      </c>
      <c r="D667" s="33">
        <f>Demand!E665</f>
        <v>25</v>
      </c>
      <c r="E667" s="33">
        <f>IF(Demand!F665,1,0)</f>
        <v>0</v>
      </c>
      <c r="F667" s="33">
        <f>COUNTIFS(c_store,A667,c_date,B667,c_hour,C667)</f>
        <v>0</v>
      </c>
      <c r="G667" s="33">
        <f>IF(F667&gt;0,1,0)</f>
        <v>0</v>
      </c>
      <c r="H667" s="33">
        <f>COUNTIFS(Demand!$A$2:$A$4481,A667,Demand!$B$2:$B$4481,B667,Demand!$C$2:$C$4481,C667)</f>
        <v>1</v>
      </c>
    </row>
    <row r="668">
      <c r="A668" s="32" t="str">
        <f>Demand!A666</f>
        <v>S002</v>
      </c>
      <c r="B668" s="35">
        <f>Demand!B666</f>
        <v>46268.0</v>
      </c>
      <c r="C668" s="33">
        <f>Demand!C666</f>
        <v>16</v>
      </c>
      <c r="D668" s="33">
        <f>Demand!E666</f>
        <v>27</v>
      </c>
      <c r="E668" s="33">
        <f>IF(Demand!F666,1,0)</f>
        <v>0</v>
      </c>
      <c r="F668" s="33">
        <f>COUNTIFS(c_store,A668,c_date,B668,c_hour,C668)</f>
        <v>0</v>
      </c>
      <c r="G668" s="33">
        <f>IF(F668&gt;0,1,0)</f>
        <v>0</v>
      </c>
      <c r="H668" s="33">
        <f>COUNTIFS(Demand!$A$2:$A$4481,A668,Demand!$B$2:$B$4481,B668,Demand!$C$2:$C$4481,C668)</f>
        <v>1</v>
      </c>
    </row>
    <row r="669">
      <c r="A669" s="32" t="str">
        <f>Demand!A667</f>
        <v>S002</v>
      </c>
      <c r="B669" s="35">
        <f>Demand!B667</f>
        <v>46268.0</v>
      </c>
      <c r="C669" s="33">
        <f>Demand!C667</f>
        <v>17</v>
      </c>
      <c r="D669" s="33">
        <f>Demand!E667</f>
        <v>34</v>
      </c>
      <c r="E669" s="33">
        <f>IF(Demand!F667,1,0)</f>
        <v>0</v>
      </c>
      <c r="F669" s="33">
        <f>COUNTIFS(c_store,A669,c_date,B669,c_hour,C669)</f>
        <v>0</v>
      </c>
      <c r="G669" s="33">
        <f>IF(F669&gt;0,1,0)</f>
        <v>0</v>
      </c>
      <c r="H669" s="33">
        <f>COUNTIFS(Demand!$A$2:$A$4481,A669,Demand!$B$2:$B$4481,B669,Demand!$C$2:$C$4481,C669)</f>
        <v>1</v>
      </c>
    </row>
    <row r="670">
      <c r="A670" s="32" t="str">
        <f>Demand!A668</f>
        <v>S002</v>
      </c>
      <c r="B670" s="35">
        <f>Demand!B668</f>
        <v>46268.0</v>
      </c>
      <c r="C670" s="33">
        <f>Demand!C668</f>
        <v>18</v>
      </c>
      <c r="D670" s="33">
        <f>Demand!E668</f>
        <v>22</v>
      </c>
      <c r="E670" s="33">
        <f>IF(Demand!F668,1,0)</f>
        <v>0</v>
      </c>
      <c r="F670" s="33">
        <f>COUNTIFS(c_store,A670,c_date,B670,c_hour,C670)</f>
        <v>0</v>
      </c>
      <c r="G670" s="33">
        <f>IF(F670&gt;0,1,0)</f>
        <v>0</v>
      </c>
      <c r="H670" s="33">
        <f>COUNTIFS(Demand!$A$2:$A$4481,A670,Demand!$B$2:$B$4481,B670,Demand!$C$2:$C$4481,C670)</f>
        <v>1</v>
      </c>
    </row>
    <row r="671">
      <c r="A671" s="32" t="str">
        <f>Demand!A669</f>
        <v>S002</v>
      </c>
      <c r="B671" s="35">
        <f>Demand!B669</f>
        <v>46268.0</v>
      </c>
      <c r="C671" s="33">
        <f>Demand!C669</f>
        <v>19</v>
      </c>
      <c r="D671" s="33">
        <f>Demand!E669</f>
        <v>42</v>
      </c>
      <c r="E671" s="33">
        <f>IF(Demand!F669,1,0)</f>
        <v>1</v>
      </c>
      <c r="F671" s="33">
        <f>COUNTIFS(c_store,A671,c_date,B671,c_hour,C671)</f>
        <v>1</v>
      </c>
      <c r="G671" s="33">
        <f>IF(F671&gt;0,1,0)</f>
        <v>1</v>
      </c>
      <c r="H671" s="33">
        <f>COUNTIFS(Demand!$A$2:$A$4481,A671,Demand!$B$2:$B$4481,B671,Demand!$C$2:$C$4481,C671)</f>
        <v>1</v>
      </c>
    </row>
    <row r="672">
      <c r="A672" s="32" t="str">
        <f>Demand!A670</f>
        <v>S002</v>
      </c>
      <c r="B672" s="35">
        <f>Demand!B670</f>
        <v>46268.0</v>
      </c>
      <c r="C672" s="33">
        <f>Demand!C670</f>
        <v>20</v>
      </c>
      <c r="D672" s="33">
        <f>Demand!E670</f>
        <v>47</v>
      </c>
      <c r="E672" s="33">
        <f>IF(Demand!F670,1,0)</f>
        <v>1</v>
      </c>
      <c r="F672" s="33">
        <f>COUNTIFS(c_store,A672,c_date,B672,c_hour,C672)</f>
        <v>0</v>
      </c>
      <c r="G672" s="33">
        <f>IF(F672&gt;0,1,0)</f>
        <v>0</v>
      </c>
      <c r="H672" s="33">
        <f>COUNTIFS(Demand!$A$2:$A$4481,A672,Demand!$B$2:$B$4481,B672,Demand!$C$2:$C$4481,C672)</f>
        <v>1</v>
      </c>
    </row>
    <row r="673">
      <c r="A673" s="32" t="str">
        <f>Demand!A671</f>
        <v>S002</v>
      </c>
      <c r="B673" s="35">
        <f>Demand!B671</f>
        <v>46268.0</v>
      </c>
      <c r="C673" s="33">
        <f>Demand!C671</f>
        <v>21</v>
      </c>
      <c r="D673" s="33">
        <f>Demand!E671</f>
        <v>47</v>
      </c>
      <c r="E673" s="33">
        <f>IF(Demand!F671,1,0)</f>
        <v>1</v>
      </c>
      <c r="F673" s="33">
        <f>COUNTIFS(c_store,A673,c_date,B673,c_hour,C673)</f>
        <v>1</v>
      </c>
      <c r="G673" s="33">
        <f>IF(F673&gt;0,1,0)</f>
        <v>1</v>
      </c>
      <c r="H673" s="33">
        <f>COUNTIFS(Demand!$A$2:$A$4481,A673,Demand!$B$2:$B$4481,B673,Demand!$C$2:$C$4481,C673)</f>
        <v>1</v>
      </c>
    </row>
    <row r="674">
      <c r="A674" s="32" t="str">
        <f>Demand!A672</f>
        <v>S002</v>
      </c>
      <c r="B674" s="35">
        <f>Demand!B672</f>
        <v>46268.0</v>
      </c>
      <c r="C674" s="33">
        <f>Demand!C672</f>
        <v>22</v>
      </c>
      <c r="D674" s="33">
        <f>Demand!E672</f>
        <v>28</v>
      </c>
      <c r="E674" s="33">
        <f>IF(Demand!F672,1,0)</f>
        <v>0</v>
      </c>
      <c r="F674" s="33">
        <f>COUNTIFS(c_store,A674,c_date,B674,c_hour,C674)</f>
        <v>1</v>
      </c>
      <c r="G674" s="33">
        <f>IF(F674&gt;0,1,0)</f>
        <v>1</v>
      </c>
      <c r="H674" s="33">
        <f>COUNTIFS(Demand!$A$2:$A$4481,A674,Demand!$B$2:$B$4481,B674,Demand!$C$2:$C$4481,C674)</f>
        <v>1</v>
      </c>
    </row>
    <row r="675">
      <c r="A675" s="32" t="str">
        <f>Demand!A673</f>
        <v>S002</v>
      </c>
      <c r="B675" s="35">
        <f>Demand!B673</f>
        <v>46268.0</v>
      </c>
      <c r="C675" s="33">
        <f>Demand!C673</f>
        <v>23</v>
      </c>
      <c r="D675" s="33">
        <f>Demand!E673</f>
        <v>30</v>
      </c>
      <c r="E675" s="33">
        <f>IF(Demand!F673,1,0)</f>
        <v>0</v>
      </c>
      <c r="F675" s="33">
        <f>COUNTIFS(c_store,A675,c_date,B675,c_hour,C675)</f>
        <v>0</v>
      </c>
      <c r="G675" s="33">
        <f>IF(F675&gt;0,1,0)</f>
        <v>0</v>
      </c>
      <c r="H675" s="33">
        <f>COUNTIFS(Demand!$A$2:$A$4481,A675,Demand!$B$2:$B$4481,B675,Demand!$C$2:$C$4481,C675)</f>
        <v>1</v>
      </c>
    </row>
    <row r="676">
      <c r="A676" s="32" t="str">
        <f>Demand!A674</f>
        <v>S003</v>
      </c>
      <c r="B676" s="35">
        <f>Demand!B674</f>
        <v>46268.0</v>
      </c>
      <c r="C676" s="33">
        <f>Demand!C674</f>
        <v>8</v>
      </c>
      <c r="D676" s="33">
        <f>Demand!E674</f>
        <v>32</v>
      </c>
      <c r="E676" s="33">
        <f>IF(Demand!F674,1,0)</f>
        <v>0</v>
      </c>
      <c r="F676" s="33">
        <f>COUNTIFS(c_store,A676,c_date,B676,c_hour,C676)</f>
        <v>0</v>
      </c>
      <c r="G676" s="33">
        <f>IF(F676&gt;0,1,0)</f>
        <v>0</v>
      </c>
      <c r="H676" s="33">
        <f>COUNTIFS(Demand!$A$2:$A$4481,A676,Demand!$B$2:$B$4481,B676,Demand!$C$2:$C$4481,C676)</f>
        <v>1</v>
      </c>
    </row>
    <row r="677">
      <c r="A677" s="32" t="str">
        <f>Demand!A675</f>
        <v>S003</v>
      </c>
      <c r="B677" s="35">
        <f>Demand!B675</f>
        <v>46268.0</v>
      </c>
      <c r="C677" s="33">
        <f>Demand!C675</f>
        <v>9</v>
      </c>
      <c r="D677" s="33">
        <f>Demand!E675</f>
        <v>31</v>
      </c>
      <c r="E677" s="33">
        <f>IF(Demand!F675,1,0)</f>
        <v>0</v>
      </c>
      <c r="F677" s="33">
        <f>COUNTIFS(c_store,A677,c_date,B677,c_hour,C677)</f>
        <v>0</v>
      </c>
      <c r="G677" s="33">
        <f>IF(F677&gt;0,1,0)</f>
        <v>0</v>
      </c>
      <c r="H677" s="33">
        <f>COUNTIFS(Demand!$A$2:$A$4481,A677,Demand!$B$2:$B$4481,B677,Demand!$C$2:$C$4481,C677)</f>
        <v>1</v>
      </c>
    </row>
    <row r="678">
      <c r="A678" s="32" t="str">
        <f>Demand!A676</f>
        <v>S003</v>
      </c>
      <c r="B678" s="35">
        <f>Demand!B676</f>
        <v>46268.0</v>
      </c>
      <c r="C678" s="33">
        <f>Demand!C676</f>
        <v>10</v>
      </c>
      <c r="D678" s="33">
        <f>Demand!E676</f>
        <v>22</v>
      </c>
      <c r="E678" s="33">
        <f>IF(Demand!F676,1,0)</f>
        <v>0</v>
      </c>
      <c r="F678" s="33">
        <f>COUNTIFS(c_store,A678,c_date,B678,c_hour,C678)</f>
        <v>0</v>
      </c>
      <c r="G678" s="33">
        <f>IF(F678&gt;0,1,0)</f>
        <v>0</v>
      </c>
      <c r="H678" s="33">
        <f>COUNTIFS(Demand!$A$2:$A$4481,A678,Demand!$B$2:$B$4481,B678,Demand!$C$2:$C$4481,C678)</f>
        <v>1</v>
      </c>
    </row>
    <row r="679">
      <c r="A679" s="32" t="str">
        <f>Demand!A677</f>
        <v>S003</v>
      </c>
      <c r="B679" s="35">
        <f>Demand!B677</f>
        <v>46268.0</v>
      </c>
      <c r="C679" s="33">
        <f>Demand!C677</f>
        <v>11</v>
      </c>
      <c r="D679" s="33">
        <f>Demand!E677</f>
        <v>40</v>
      </c>
      <c r="E679" s="33">
        <f>IF(Demand!F677,1,0)</f>
        <v>0</v>
      </c>
      <c r="F679" s="33">
        <f>COUNTIFS(c_store,A679,c_date,B679,c_hour,C679)</f>
        <v>0</v>
      </c>
      <c r="G679" s="33">
        <f>IF(F679&gt;0,1,0)</f>
        <v>0</v>
      </c>
      <c r="H679" s="33">
        <f>COUNTIFS(Demand!$A$2:$A$4481,A679,Demand!$B$2:$B$4481,B679,Demand!$C$2:$C$4481,C679)</f>
        <v>1</v>
      </c>
    </row>
    <row r="680">
      <c r="A680" s="32" t="str">
        <f>Demand!A678</f>
        <v>S003</v>
      </c>
      <c r="B680" s="35">
        <f>Demand!B678</f>
        <v>46268.0</v>
      </c>
      <c r="C680" s="33">
        <f>Demand!C678</f>
        <v>12</v>
      </c>
      <c r="D680" s="33">
        <f>Demand!E678</f>
        <v>36</v>
      </c>
      <c r="E680" s="33">
        <f>IF(Demand!F678,1,0)</f>
        <v>0</v>
      </c>
      <c r="F680" s="33">
        <f>COUNTIFS(c_store,A680,c_date,B680,c_hour,C680)</f>
        <v>0</v>
      </c>
      <c r="G680" s="33">
        <f>IF(F680&gt;0,1,0)</f>
        <v>0</v>
      </c>
      <c r="H680" s="33">
        <f>COUNTIFS(Demand!$A$2:$A$4481,A680,Demand!$B$2:$B$4481,B680,Demand!$C$2:$C$4481,C680)</f>
        <v>1</v>
      </c>
    </row>
    <row r="681">
      <c r="A681" s="32" t="str">
        <f>Demand!A679</f>
        <v>S003</v>
      </c>
      <c r="B681" s="35">
        <f>Demand!B679</f>
        <v>46268.0</v>
      </c>
      <c r="C681" s="33">
        <f>Demand!C679</f>
        <v>13</v>
      </c>
      <c r="D681" s="33">
        <f>Demand!E679</f>
        <v>33</v>
      </c>
      <c r="E681" s="33">
        <f>IF(Demand!F679,1,0)</f>
        <v>0</v>
      </c>
      <c r="F681" s="33">
        <f>COUNTIFS(c_store,A681,c_date,B681,c_hour,C681)</f>
        <v>0</v>
      </c>
      <c r="G681" s="33">
        <f>IF(F681&gt;0,1,0)</f>
        <v>0</v>
      </c>
      <c r="H681" s="33">
        <f>COUNTIFS(Demand!$A$2:$A$4481,A681,Demand!$B$2:$B$4481,B681,Demand!$C$2:$C$4481,C681)</f>
        <v>1</v>
      </c>
    </row>
    <row r="682">
      <c r="A682" s="32" t="str">
        <f>Demand!A680</f>
        <v>S003</v>
      </c>
      <c r="B682" s="35">
        <f>Demand!B680</f>
        <v>46268.0</v>
      </c>
      <c r="C682" s="33">
        <f>Demand!C680</f>
        <v>14</v>
      </c>
      <c r="D682" s="33">
        <f>Demand!E680</f>
        <v>32</v>
      </c>
      <c r="E682" s="33">
        <f>IF(Demand!F680,1,0)</f>
        <v>0</v>
      </c>
      <c r="F682" s="33">
        <f>COUNTIFS(c_store,A682,c_date,B682,c_hour,C682)</f>
        <v>0</v>
      </c>
      <c r="G682" s="33">
        <f>IF(F682&gt;0,1,0)</f>
        <v>0</v>
      </c>
      <c r="H682" s="33">
        <f>COUNTIFS(Demand!$A$2:$A$4481,A682,Demand!$B$2:$B$4481,B682,Demand!$C$2:$C$4481,C682)</f>
        <v>1</v>
      </c>
    </row>
    <row r="683">
      <c r="A683" s="32" t="str">
        <f>Demand!A681</f>
        <v>S003</v>
      </c>
      <c r="B683" s="35">
        <f>Demand!B681</f>
        <v>46268.0</v>
      </c>
      <c r="C683" s="33">
        <f>Demand!C681</f>
        <v>15</v>
      </c>
      <c r="D683" s="33">
        <f>Demand!E681</f>
        <v>32</v>
      </c>
      <c r="E683" s="33">
        <f>IF(Demand!F681,1,0)</f>
        <v>0</v>
      </c>
      <c r="F683" s="33">
        <f>COUNTIFS(c_store,A683,c_date,B683,c_hour,C683)</f>
        <v>2</v>
      </c>
      <c r="G683" s="33">
        <f>IF(F683&gt;0,1,0)</f>
        <v>1</v>
      </c>
      <c r="H683" s="33">
        <f>COUNTIFS(Demand!$A$2:$A$4481,A683,Demand!$B$2:$B$4481,B683,Demand!$C$2:$C$4481,C683)</f>
        <v>1</v>
      </c>
    </row>
    <row r="684">
      <c r="A684" s="32" t="str">
        <f>Demand!A682</f>
        <v>S003</v>
      </c>
      <c r="B684" s="35">
        <f>Demand!B682</f>
        <v>46268.0</v>
      </c>
      <c r="C684" s="33">
        <f>Demand!C682</f>
        <v>16</v>
      </c>
      <c r="D684" s="33">
        <f>Demand!E682</f>
        <v>50</v>
      </c>
      <c r="E684" s="33">
        <f>IF(Demand!F682,1,0)</f>
        <v>0</v>
      </c>
      <c r="F684" s="33">
        <f>COUNTIFS(c_store,A684,c_date,B684,c_hour,C684)</f>
        <v>0</v>
      </c>
      <c r="G684" s="33">
        <f>IF(F684&gt;0,1,0)</f>
        <v>0</v>
      </c>
      <c r="H684" s="33">
        <f>COUNTIFS(Demand!$A$2:$A$4481,A684,Demand!$B$2:$B$4481,B684,Demand!$C$2:$C$4481,C684)</f>
        <v>1</v>
      </c>
    </row>
    <row r="685">
      <c r="A685" s="32" t="str">
        <f>Demand!A683</f>
        <v>S003</v>
      </c>
      <c r="B685" s="35">
        <f>Demand!B683</f>
        <v>46268.0</v>
      </c>
      <c r="C685" s="33">
        <f>Demand!C683</f>
        <v>17</v>
      </c>
      <c r="D685" s="33">
        <f>Demand!E683</f>
        <v>35</v>
      </c>
      <c r="E685" s="33">
        <f>IF(Demand!F683,1,0)</f>
        <v>0</v>
      </c>
      <c r="F685" s="33">
        <f>COUNTIFS(c_store,A685,c_date,B685,c_hour,C685)</f>
        <v>0</v>
      </c>
      <c r="G685" s="33">
        <f>IF(F685&gt;0,1,0)</f>
        <v>0</v>
      </c>
      <c r="H685" s="33">
        <f>COUNTIFS(Demand!$A$2:$A$4481,A685,Demand!$B$2:$B$4481,B685,Demand!$C$2:$C$4481,C685)</f>
        <v>1</v>
      </c>
    </row>
    <row r="686">
      <c r="A686" s="32" t="str">
        <f>Demand!A684</f>
        <v>S003</v>
      </c>
      <c r="B686" s="35">
        <f>Demand!B684</f>
        <v>46268.0</v>
      </c>
      <c r="C686" s="33">
        <f>Demand!C684</f>
        <v>18</v>
      </c>
      <c r="D686" s="33">
        <f>Demand!E684</f>
        <v>38</v>
      </c>
      <c r="E686" s="33">
        <f>IF(Demand!F684,1,0)</f>
        <v>0</v>
      </c>
      <c r="F686" s="33">
        <f>COUNTIFS(c_store,A686,c_date,B686,c_hour,C686)</f>
        <v>0</v>
      </c>
      <c r="G686" s="33">
        <f>IF(F686&gt;0,1,0)</f>
        <v>0</v>
      </c>
      <c r="H686" s="33">
        <f>COUNTIFS(Demand!$A$2:$A$4481,A686,Demand!$B$2:$B$4481,B686,Demand!$C$2:$C$4481,C686)</f>
        <v>1</v>
      </c>
    </row>
    <row r="687">
      <c r="A687" s="32" t="str">
        <f>Demand!A685</f>
        <v>S003</v>
      </c>
      <c r="B687" s="35">
        <f>Demand!B685</f>
        <v>46268.0</v>
      </c>
      <c r="C687" s="33">
        <f>Demand!C685</f>
        <v>19</v>
      </c>
      <c r="D687" s="33">
        <f>Demand!E685</f>
        <v>74</v>
      </c>
      <c r="E687" s="33">
        <f>IF(Demand!F685,1,0)</f>
        <v>1</v>
      </c>
      <c r="F687" s="33">
        <f>COUNTIFS(c_store,A687,c_date,B687,c_hour,C687)</f>
        <v>0</v>
      </c>
      <c r="G687" s="33">
        <f>IF(F687&gt;0,1,0)</f>
        <v>0</v>
      </c>
      <c r="H687" s="33">
        <f>COUNTIFS(Demand!$A$2:$A$4481,A687,Demand!$B$2:$B$4481,B687,Demand!$C$2:$C$4481,C687)</f>
        <v>1</v>
      </c>
    </row>
    <row r="688">
      <c r="A688" s="32" t="str">
        <f>Demand!A686</f>
        <v>S003</v>
      </c>
      <c r="B688" s="35">
        <f>Demand!B686</f>
        <v>46268.0</v>
      </c>
      <c r="C688" s="33">
        <f>Demand!C686</f>
        <v>20</v>
      </c>
      <c r="D688" s="33">
        <f>Demand!E686</f>
        <v>57</v>
      </c>
      <c r="E688" s="33">
        <f>IF(Demand!F686,1,0)</f>
        <v>1</v>
      </c>
      <c r="F688" s="33">
        <f>COUNTIFS(c_store,A688,c_date,B688,c_hour,C688)</f>
        <v>1</v>
      </c>
      <c r="G688" s="33">
        <f>IF(F688&gt;0,1,0)</f>
        <v>1</v>
      </c>
      <c r="H688" s="33">
        <f>COUNTIFS(Demand!$A$2:$A$4481,A688,Demand!$B$2:$B$4481,B688,Demand!$C$2:$C$4481,C688)</f>
        <v>1</v>
      </c>
    </row>
    <row r="689">
      <c r="A689" s="32" t="str">
        <f>Demand!A687</f>
        <v>S003</v>
      </c>
      <c r="B689" s="35">
        <f>Demand!B687</f>
        <v>46268.0</v>
      </c>
      <c r="C689" s="33">
        <f>Demand!C687</f>
        <v>21</v>
      </c>
      <c r="D689" s="33">
        <f>Demand!E687</f>
        <v>56</v>
      </c>
      <c r="E689" s="33">
        <f>IF(Demand!F687,1,0)</f>
        <v>1</v>
      </c>
      <c r="F689" s="33">
        <f>COUNTIFS(c_store,A689,c_date,B689,c_hour,C689)</f>
        <v>0</v>
      </c>
      <c r="G689" s="33">
        <f>IF(F689&gt;0,1,0)</f>
        <v>0</v>
      </c>
      <c r="H689" s="33">
        <f>COUNTIFS(Demand!$A$2:$A$4481,A689,Demand!$B$2:$B$4481,B689,Demand!$C$2:$C$4481,C689)</f>
        <v>1</v>
      </c>
    </row>
    <row r="690">
      <c r="A690" s="32" t="str">
        <f>Demand!A688</f>
        <v>S003</v>
      </c>
      <c r="B690" s="35">
        <f>Demand!B688</f>
        <v>46268.0</v>
      </c>
      <c r="C690" s="33">
        <f>Demand!C688</f>
        <v>22</v>
      </c>
      <c r="D690" s="33">
        <f>Demand!E688</f>
        <v>46</v>
      </c>
      <c r="E690" s="33">
        <f>IF(Demand!F688,1,0)</f>
        <v>0</v>
      </c>
      <c r="F690" s="33">
        <f>COUNTIFS(c_store,A690,c_date,B690,c_hour,C690)</f>
        <v>1</v>
      </c>
      <c r="G690" s="33">
        <f>IF(F690&gt;0,1,0)</f>
        <v>1</v>
      </c>
      <c r="H690" s="33">
        <f>COUNTIFS(Demand!$A$2:$A$4481,A690,Demand!$B$2:$B$4481,B690,Demand!$C$2:$C$4481,C690)</f>
        <v>1</v>
      </c>
    </row>
    <row r="691">
      <c r="A691" s="32" t="str">
        <f>Demand!A689</f>
        <v>S003</v>
      </c>
      <c r="B691" s="35">
        <f>Demand!B689</f>
        <v>46268.0</v>
      </c>
      <c r="C691" s="33">
        <f>Demand!C689</f>
        <v>23</v>
      </c>
      <c r="D691" s="33">
        <f>Demand!E689</f>
        <v>53</v>
      </c>
      <c r="E691" s="33">
        <f>IF(Demand!F689,1,0)</f>
        <v>0</v>
      </c>
      <c r="F691" s="33">
        <f>COUNTIFS(c_store,A691,c_date,B691,c_hour,C691)</f>
        <v>0</v>
      </c>
      <c r="G691" s="33">
        <f>IF(F691&gt;0,1,0)</f>
        <v>0</v>
      </c>
      <c r="H691" s="33">
        <f>COUNTIFS(Demand!$A$2:$A$4481,A691,Demand!$B$2:$B$4481,B691,Demand!$C$2:$C$4481,C691)</f>
        <v>1</v>
      </c>
    </row>
    <row r="692">
      <c r="A692" s="32" t="str">
        <f>Demand!A690</f>
        <v>S004</v>
      </c>
      <c r="B692" s="35">
        <f>Demand!B690</f>
        <v>46268.0</v>
      </c>
      <c r="C692" s="33">
        <f>Demand!C690</f>
        <v>8</v>
      </c>
      <c r="D692" s="33">
        <f>Demand!E690</f>
        <v>29</v>
      </c>
      <c r="E692" s="33">
        <f>IF(Demand!F690,1,0)</f>
        <v>0</v>
      </c>
      <c r="F692" s="33">
        <f>COUNTIFS(c_store,A692,c_date,B692,c_hour,C692)</f>
        <v>0</v>
      </c>
      <c r="G692" s="33">
        <f>IF(F692&gt;0,1,0)</f>
        <v>0</v>
      </c>
      <c r="H692" s="33">
        <f>COUNTIFS(Demand!$A$2:$A$4481,A692,Demand!$B$2:$B$4481,B692,Demand!$C$2:$C$4481,C692)</f>
        <v>1</v>
      </c>
    </row>
    <row r="693">
      <c r="A693" s="32" t="str">
        <f>Demand!A691</f>
        <v>S004</v>
      </c>
      <c r="B693" s="35">
        <f>Demand!B691</f>
        <v>46268.0</v>
      </c>
      <c r="C693" s="33">
        <f>Demand!C691</f>
        <v>9</v>
      </c>
      <c r="D693" s="33">
        <f>Demand!E691</f>
        <v>23</v>
      </c>
      <c r="E693" s="33">
        <f>IF(Demand!F691,1,0)</f>
        <v>0</v>
      </c>
      <c r="F693" s="33">
        <f>COUNTIFS(c_store,A693,c_date,B693,c_hour,C693)</f>
        <v>0</v>
      </c>
      <c r="G693" s="33">
        <f>IF(F693&gt;0,1,0)</f>
        <v>0</v>
      </c>
      <c r="H693" s="33">
        <f>COUNTIFS(Demand!$A$2:$A$4481,A693,Demand!$B$2:$B$4481,B693,Demand!$C$2:$C$4481,C693)</f>
        <v>1</v>
      </c>
    </row>
    <row r="694">
      <c r="A694" s="32" t="str">
        <f>Demand!A692</f>
        <v>S004</v>
      </c>
      <c r="B694" s="35">
        <f>Demand!B692</f>
        <v>46268.0</v>
      </c>
      <c r="C694" s="33">
        <f>Demand!C692</f>
        <v>10</v>
      </c>
      <c r="D694" s="33">
        <f>Demand!E692</f>
        <v>31</v>
      </c>
      <c r="E694" s="33">
        <f>IF(Demand!F692,1,0)</f>
        <v>0</v>
      </c>
      <c r="F694" s="33">
        <f>COUNTIFS(c_store,A694,c_date,B694,c_hour,C694)</f>
        <v>1</v>
      </c>
      <c r="G694" s="33">
        <f>IF(F694&gt;0,1,0)</f>
        <v>1</v>
      </c>
      <c r="H694" s="33">
        <f>COUNTIFS(Demand!$A$2:$A$4481,A694,Demand!$B$2:$B$4481,B694,Demand!$C$2:$C$4481,C694)</f>
        <v>1</v>
      </c>
    </row>
    <row r="695">
      <c r="A695" s="32" t="str">
        <f>Demand!A693</f>
        <v>S004</v>
      </c>
      <c r="B695" s="35">
        <f>Demand!B693</f>
        <v>46268.0</v>
      </c>
      <c r="C695" s="33">
        <f>Demand!C693</f>
        <v>11</v>
      </c>
      <c r="D695" s="33">
        <f>Demand!E693</f>
        <v>55</v>
      </c>
      <c r="E695" s="33">
        <f>IF(Demand!F693,1,0)</f>
        <v>0</v>
      </c>
      <c r="F695" s="33">
        <f>COUNTIFS(c_store,A695,c_date,B695,c_hour,C695)</f>
        <v>1</v>
      </c>
      <c r="G695" s="33">
        <f>IF(F695&gt;0,1,0)</f>
        <v>1</v>
      </c>
      <c r="H695" s="33">
        <f>COUNTIFS(Demand!$A$2:$A$4481,A695,Demand!$B$2:$B$4481,B695,Demand!$C$2:$C$4481,C695)</f>
        <v>1</v>
      </c>
    </row>
    <row r="696">
      <c r="A696" s="32" t="str">
        <f>Demand!A694</f>
        <v>S004</v>
      </c>
      <c r="B696" s="35">
        <f>Demand!B694</f>
        <v>46268.0</v>
      </c>
      <c r="C696" s="33">
        <f>Demand!C694</f>
        <v>12</v>
      </c>
      <c r="D696" s="33">
        <f>Demand!E694</f>
        <v>41</v>
      </c>
      <c r="E696" s="33">
        <f>IF(Demand!F694,1,0)</f>
        <v>0</v>
      </c>
      <c r="F696" s="33">
        <f>COUNTIFS(c_store,A696,c_date,B696,c_hour,C696)</f>
        <v>0</v>
      </c>
      <c r="G696" s="33">
        <f>IF(F696&gt;0,1,0)</f>
        <v>0</v>
      </c>
      <c r="H696" s="33">
        <f>COUNTIFS(Demand!$A$2:$A$4481,A696,Demand!$B$2:$B$4481,B696,Demand!$C$2:$C$4481,C696)</f>
        <v>1</v>
      </c>
    </row>
    <row r="697">
      <c r="A697" s="32" t="str">
        <f>Demand!A695</f>
        <v>S004</v>
      </c>
      <c r="B697" s="35">
        <f>Demand!B695</f>
        <v>46268.0</v>
      </c>
      <c r="C697" s="33">
        <f>Demand!C695</f>
        <v>13</v>
      </c>
      <c r="D697" s="33">
        <f>Demand!E695</f>
        <v>34</v>
      </c>
      <c r="E697" s="33">
        <f>IF(Demand!F695,1,0)</f>
        <v>0</v>
      </c>
      <c r="F697" s="33">
        <f>COUNTIFS(c_store,A697,c_date,B697,c_hour,C697)</f>
        <v>0</v>
      </c>
      <c r="G697" s="33">
        <f>IF(F697&gt;0,1,0)</f>
        <v>0</v>
      </c>
      <c r="H697" s="33">
        <f>COUNTIFS(Demand!$A$2:$A$4481,A697,Demand!$B$2:$B$4481,B697,Demand!$C$2:$C$4481,C697)</f>
        <v>1</v>
      </c>
    </row>
    <row r="698">
      <c r="A698" s="32" t="str">
        <f>Demand!A696</f>
        <v>S004</v>
      </c>
      <c r="B698" s="35">
        <f>Demand!B696</f>
        <v>46268.0</v>
      </c>
      <c r="C698" s="33">
        <f>Demand!C696</f>
        <v>14</v>
      </c>
      <c r="D698" s="33">
        <f>Demand!E696</f>
        <v>34</v>
      </c>
      <c r="E698" s="33">
        <f>IF(Demand!F696,1,0)</f>
        <v>0</v>
      </c>
      <c r="F698" s="33">
        <f>COUNTIFS(c_store,A698,c_date,B698,c_hour,C698)</f>
        <v>3</v>
      </c>
      <c r="G698" s="33">
        <f>IF(F698&gt;0,1,0)</f>
        <v>1</v>
      </c>
      <c r="H698" s="33">
        <f>COUNTIFS(Demand!$A$2:$A$4481,A698,Demand!$B$2:$B$4481,B698,Demand!$C$2:$C$4481,C698)</f>
        <v>1</v>
      </c>
    </row>
    <row r="699">
      <c r="A699" s="32" t="str">
        <f>Demand!A697</f>
        <v>S004</v>
      </c>
      <c r="B699" s="35">
        <f>Demand!B697</f>
        <v>46268.0</v>
      </c>
      <c r="C699" s="33">
        <f>Demand!C697</f>
        <v>15</v>
      </c>
      <c r="D699" s="33">
        <f>Demand!E697</f>
        <v>42</v>
      </c>
      <c r="E699" s="33">
        <f>IF(Demand!F697,1,0)</f>
        <v>0</v>
      </c>
      <c r="F699" s="33">
        <f>COUNTIFS(c_store,A699,c_date,B699,c_hour,C699)</f>
        <v>0</v>
      </c>
      <c r="G699" s="33">
        <f>IF(F699&gt;0,1,0)</f>
        <v>0</v>
      </c>
      <c r="H699" s="33">
        <f>COUNTIFS(Demand!$A$2:$A$4481,A699,Demand!$B$2:$B$4481,B699,Demand!$C$2:$C$4481,C699)</f>
        <v>1</v>
      </c>
    </row>
    <row r="700">
      <c r="A700" s="32" t="str">
        <f>Demand!A698</f>
        <v>S004</v>
      </c>
      <c r="B700" s="35">
        <f>Demand!B698</f>
        <v>46268.0</v>
      </c>
      <c r="C700" s="33">
        <f>Demand!C698</f>
        <v>16</v>
      </c>
      <c r="D700" s="33">
        <f>Demand!E698</f>
        <v>43</v>
      </c>
      <c r="E700" s="33">
        <f>IF(Demand!F698,1,0)</f>
        <v>0</v>
      </c>
      <c r="F700" s="33">
        <f>COUNTIFS(c_store,A700,c_date,B700,c_hour,C700)</f>
        <v>0</v>
      </c>
      <c r="G700" s="33">
        <f>IF(F700&gt;0,1,0)</f>
        <v>0</v>
      </c>
      <c r="H700" s="33">
        <f>COUNTIFS(Demand!$A$2:$A$4481,A700,Demand!$B$2:$B$4481,B700,Demand!$C$2:$C$4481,C700)</f>
        <v>1</v>
      </c>
    </row>
    <row r="701">
      <c r="A701" s="32" t="str">
        <f>Demand!A699</f>
        <v>S004</v>
      </c>
      <c r="B701" s="35">
        <f>Demand!B699</f>
        <v>46268.0</v>
      </c>
      <c r="C701" s="33">
        <f>Demand!C699</f>
        <v>17</v>
      </c>
      <c r="D701" s="33">
        <f>Demand!E699</f>
        <v>38</v>
      </c>
      <c r="E701" s="33">
        <f>IF(Demand!F699,1,0)</f>
        <v>0</v>
      </c>
      <c r="F701" s="33">
        <f>COUNTIFS(c_store,A701,c_date,B701,c_hour,C701)</f>
        <v>0</v>
      </c>
      <c r="G701" s="33">
        <f>IF(F701&gt;0,1,0)</f>
        <v>0</v>
      </c>
      <c r="H701" s="33">
        <f>COUNTIFS(Demand!$A$2:$A$4481,A701,Demand!$B$2:$B$4481,B701,Demand!$C$2:$C$4481,C701)</f>
        <v>1</v>
      </c>
    </row>
    <row r="702">
      <c r="A702" s="32" t="str">
        <f>Demand!A700</f>
        <v>S004</v>
      </c>
      <c r="B702" s="35">
        <f>Demand!B700</f>
        <v>46268.0</v>
      </c>
      <c r="C702" s="33">
        <f>Demand!C700</f>
        <v>18</v>
      </c>
      <c r="D702" s="33">
        <f>Demand!E700</f>
        <v>36</v>
      </c>
      <c r="E702" s="33">
        <f>IF(Demand!F700,1,0)</f>
        <v>0</v>
      </c>
      <c r="F702" s="33">
        <f>COUNTIFS(c_store,A702,c_date,B702,c_hour,C702)</f>
        <v>0</v>
      </c>
      <c r="G702" s="33">
        <f>IF(F702&gt;0,1,0)</f>
        <v>0</v>
      </c>
      <c r="H702" s="33">
        <f>COUNTIFS(Demand!$A$2:$A$4481,A702,Demand!$B$2:$B$4481,B702,Demand!$C$2:$C$4481,C702)</f>
        <v>1</v>
      </c>
    </row>
    <row r="703">
      <c r="A703" s="32" t="str">
        <f>Demand!A701</f>
        <v>S004</v>
      </c>
      <c r="B703" s="35">
        <f>Demand!B701</f>
        <v>46268.0</v>
      </c>
      <c r="C703" s="33">
        <f>Demand!C701</f>
        <v>19</v>
      </c>
      <c r="D703" s="33">
        <f>Demand!E701</f>
        <v>60</v>
      </c>
      <c r="E703" s="33">
        <f>IF(Demand!F701,1,0)</f>
        <v>1</v>
      </c>
      <c r="F703" s="33">
        <f>COUNTIFS(c_store,A703,c_date,B703,c_hour,C703)</f>
        <v>1</v>
      </c>
      <c r="G703" s="33">
        <f>IF(F703&gt;0,1,0)</f>
        <v>1</v>
      </c>
      <c r="H703" s="33">
        <f>COUNTIFS(Demand!$A$2:$A$4481,A703,Demand!$B$2:$B$4481,B703,Demand!$C$2:$C$4481,C703)</f>
        <v>1</v>
      </c>
    </row>
    <row r="704">
      <c r="A704" s="32" t="str">
        <f>Demand!A702</f>
        <v>S004</v>
      </c>
      <c r="B704" s="35">
        <f>Demand!B702</f>
        <v>46268.0</v>
      </c>
      <c r="C704" s="33">
        <f>Demand!C702</f>
        <v>20</v>
      </c>
      <c r="D704" s="33">
        <f>Demand!E702</f>
        <v>45</v>
      </c>
      <c r="E704" s="33">
        <f>IF(Demand!F702,1,0)</f>
        <v>1</v>
      </c>
      <c r="F704" s="33">
        <f>COUNTIFS(c_store,A704,c_date,B704,c_hour,C704)</f>
        <v>0</v>
      </c>
      <c r="G704" s="33">
        <f>IF(F704&gt;0,1,0)</f>
        <v>0</v>
      </c>
      <c r="H704" s="33">
        <f>COUNTIFS(Demand!$A$2:$A$4481,A704,Demand!$B$2:$B$4481,B704,Demand!$C$2:$C$4481,C704)</f>
        <v>1</v>
      </c>
    </row>
    <row r="705">
      <c r="A705" s="32" t="str">
        <f>Demand!A703</f>
        <v>S004</v>
      </c>
      <c r="B705" s="35">
        <f>Demand!B703</f>
        <v>46268.0</v>
      </c>
      <c r="C705" s="33">
        <f>Demand!C703</f>
        <v>21</v>
      </c>
      <c r="D705" s="33">
        <f>Demand!E703</f>
        <v>72</v>
      </c>
      <c r="E705" s="33">
        <f>IF(Demand!F703,1,0)</f>
        <v>1</v>
      </c>
      <c r="F705" s="33">
        <f>COUNTIFS(c_store,A705,c_date,B705,c_hour,C705)</f>
        <v>0</v>
      </c>
      <c r="G705" s="33">
        <f>IF(F705&gt;0,1,0)</f>
        <v>0</v>
      </c>
      <c r="H705" s="33">
        <f>COUNTIFS(Demand!$A$2:$A$4481,A705,Demand!$B$2:$B$4481,B705,Demand!$C$2:$C$4481,C705)</f>
        <v>1</v>
      </c>
    </row>
    <row r="706">
      <c r="A706" s="32" t="str">
        <f>Demand!A704</f>
        <v>S004</v>
      </c>
      <c r="B706" s="35">
        <f>Demand!B704</f>
        <v>46268.0</v>
      </c>
      <c r="C706" s="33">
        <f>Demand!C704</f>
        <v>22</v>
      </c>
      <c r="D706" s="33">
        <f>Demand!E704</f>
        <v>33</v>
      </c>
      <c r="E706" s="33">
        <f>IF(Demand!F704,1,0)</f>
        <v>0</v>
      </c>
      <c r="F706" s="33">
        <f>COUNTIFS(c_store,A706,c_date,B706,c_hour,C706)</f>
        <v>0</v>
      </c>
      <c r="G706" s="33">
        <f>IF(F706&gt;0,1,0)</f>
        <v>0</v>
      </c>
      <c r="H706" s="33">
        <f>COUNTIFS(Demand!$A$2:$A$4481,A706,Demand!$B$2:$B$4481,B706,Demand!$C$2:$C$4481,C706)</f>
        <v>1</v>
      </c>
    </row>
    <row r="707">
      <c r="A707" s="32" t="str">
        <f>Demand!A705</f>
        <v>S004</v>
      </c>
      <c r="B707" s="35">
        <f>Demand!B705</f>
        <v>46268.0</v>
      </c>
      <c r="C707" s="33">
        <f>Demand!C705</f>
        <v>23</v>
      </c>
      <c r="D707" s="33">
        <f>Demand!E705</f>
        <v>37</v>
      </c>
      <c r="E707" s="33">
        <f>IF(Demand!F705,1,0)</f>
        <v>0</v>
      </c>
      <c r="F707" s="33">
        <f>COUNTIFS(c_store,A707,c_date,B707,c_hour,C707)</f>
        <v>0</v>
      </c>
      <c r="G707" s="33">
        <f>IF(F707&gt;0,1,0)</f>
        <v>0</v>
      </c>
      <c r="H707" s="33">
        <f>COUNTIFS(Demand!$A$2:$A$4481,A707,Demand!$B$2:$B$4481,B707,Demand!$C$2:$C$4481,C707)</f>
        <v>1</v>
      </c>
    </row>
    <row r="708">
      <c r="A708" s="32" t="str">
        <f>Demand!A706</f>
        <v>S005</v>
      </c>
      <c r="B708" s="35">
        <f>Demand!B706</f>
        <v>46268.0</v>
      </c>
      <c r="C708" s="33">
        <f>Demand!C706</f>
        <v>8</v>
      </c>
      <c r="D708" s="33">
        <f>Demand!E706</f>
        <v>8</v>
      </c>
      <c r="E708" s="33">
        <f>IF(Demand!F706,1,0)</f>
        <v>0</v>
      </c>
      <c r="F708" s="33">
        <f>COUNTIFS(c_store,A708,c_date,B708,c_hour,C708)</f>
        <v>0</v>
      </c>
      <c r="G708" s="33">
        <f>IF(F708&gt;0,1,0)</f>
        <v>0</v>
      </c>
      <c r="H708" s="33">
        <f>COUNTIFS(Demand!$A$2:$A$4481,A708,Demand!$B$2:$B$4481,B708,Demand!$C$2:$C$4481,C708)</f>
        <v>1</v>
      </c>
    </row>
    <row r="709">
      <c r="A709" s="32" t="str">
        <f>Demand!A707</f>
        <v>S005</v>
      </c>
      <c r="B709" s="35">
        <f>Demand!B707</f>
        <v>46268.0</v>
      </c>
      <c r="C709" s="33">
        <f>Demand!C707</f>
        <v>9</v>
      </c>
      <c r="D709" s="33">
        <f>Demand!E707</f>
        <v>7</v>
      </c>
      <c r="E709" s="33">
        <f>IF(Demand!F707,1,0)</f>
        <v>0</v>
      </c>
      <c r="F709" s="33">
        <f>COUNTIFS(c_store,A709,c_date,B709,c_hour,C709)</f>
        <v>1</v>
      </c>
      <c r="G709" s="33">
        <f>IF(F709&gt;0,1,0)</f>
        <v>1</v>
      </c>
      <c r="H709" s="33">
        <f>COUNTIFS(Demand!$A$2:$A$4481,A709,Demand!$B$2:$B$4481,B709,Demand!$C$2:$C$4481,C709)</f>
        <v>1</v>
      </c>
    </row>
    <row r="710">
      <c r="A710" s="32" t="str">
        <f>Demand!A708</f>
        <v>S005</v>
      </c>
      <c r="B710" s="35">
        <f>Demand!B708</f>
        <v>46268.0</v>
      </c>
      <c r="C710" s="33">
        <f>Demand!C708</f>
        <v>10</v>
      </c>
      <c r="D710" s="33">
        <f>Demand!E708</f>
        <v>17</v>
      </c>
      <c r="E710" s="33">
        <f>IF(Demand!F708,1,0)</f>
        <v>0</v>
      </c>
      <c r="F710" s="33">
        <f>COUNTIFS(c_store,A710,c_date,B710,c_hour,C710)</f>
        <v>0</v>
      </c>
      <c r="G710" s="33">
        <f>IF(F710&gt;0,1,0)</f>
        <v>0</v>
      </c>
      <c r="H710" s="33">
        <f>COUNTIFS(Demand!$A$2:$A$4481,A710,Demand!$B$2:$B$4481,B710,Demand!$C$2:$C$4481,C710)</f>
        <v>1</v>
      </c>
    </row>
    <row r="711">
      <c r="A711" s="32" t="str">
        <f>Demand!A709</f>
        <v>S005</v>
      </c>
      <c r="B711" s="35">
        <f>Demand!B709</f>
        <v>46268.0</v>
      </c>
      <c r="C711" s="33">
        <f>Demand!C709</f>
        <v>11</v>
      </c>
      <c r="D711" s="33">
        <f>Demand!E709</f>
        <v>13</v>
      </c>
      <c r="E711" s="33">
        <f>IF(Demand!F709,1,0)</f>
        <v>0</v>
      </c>
      <c r="F711" s="33">
        <f>COUNTIFS(c_store,A711,c_date,B711,c_hour,C711)</f>
        <v>0</v>
      </c>
      <c r="G711" s="33">
        <f>IF(F711&gt;0,1,0)</f>
        <v>0</v>
      </c>
      <c r="H711" s="33">
        <f>COUNTIFS(Demand!$A$2:$A$4481,A711,Demand!$B$2:$B$4481,B711,Demand!$C$2:$C$4481,C711)</f>
        <v>1</v>
      </c>
    </row>
    <row r="712">
      <c r="A712" s="32" t="str">
        <f>Demand!A710</f>
        <v>S005</v>
      </c>
      <c r="B712" s="35">
        <f>Demand!B710</f>
        <v>46268.0</v>
      </c>
      <c r="C712" s="33">
        <f>Demand!C710</f>
        <v>12</v>
      </c>
      <c r="D712" s="33">
        <f>Demand!E710</f>
        <v>12</v>
      </c>
      <c r="E712" s="33">
        <f>IF(Demand!F710,1,0)</f>
        <v>0</v>
      </c>
      <c r="F712" s="33">
        <f>COUNTIFS(c_store,A712,c_date,B712,c_hour,C712)</f>
        <v>0</v>
      </c>
      <c r="G712" s="33">
        <f>IF(F712&gt;0,1,0)</f>
        <v>0</v>
      </c>
      <c r="H712" s="33">
        <f>COUNTIFS(Demand!$A$2:$A$4481,A712,Demand!$B$2:$B$4481,B712,Demand!$C$2:$C$4481,C712)</f>
        <v>1</v>
      </c>
    </row>
    <row r="713">
      <c r="A713" s="32" t="str">
        <f>Demand!A711</f>
        <v>S005</v>
      </c>
      <c r="B713" s="35">
        <f>Demand!B711</f>
        <v>46268.0</v>
      </c>
      <c r="C713" s="33">
        <f>Demand!C711</f>
        <v>13</v>
      </c>
      <c r="D713" s="33">
        <f>Demand!E711</f>
        <v>10</v>
      </c>
      <c r="E713" s="33">
        <f>IF(Demand!F711,1,0)</f>
        <v>0</v>
      </c>
      <c r="F713" s="33">
        <f>COUNTIFS(c_store,A713,c_date,B713,c_hour,C713)</f>
        <v>0</v>
      </c>
      <c r="G713" s="33">
        <f>IF(F713&gt;0,1,0)</f>
        <v>0</v>
      </c>
      <c r="H713" s="33">
        <f>COUNTIFS(Demand!$A$2:$A$4481,A713,Demand!$B$2:$B$4481,B713,Demand!$C$2:$C$4481,C713)</f>
        <v>1</v>
      </c>
    </row>
    <row r="714">
      <c r="A714" s="32" t="str">
        <f>Demand!A712</f>
        <v>S005</v>
      </c>
      <c r="B714" s="35">
        <f>Demand!B712</f>
        <v>46268.0</v>
      </c>
      <c r="C714" s="33">
        <f>Demand!C712</f>
        <v>14</v>
      </c>
      <c r="D714" s="33">
        <f>Demand!E712</f>
        <v>6</v>
      </c>
      <c r="E714" s="33">
        <f>IF(Demand!F712,1,0)</f>
        <v>0</v>
      </c>
      <c r="F714" s="33">
        <f>COUNTIFS(c_store,A714,c_date,B714,c_hour,C714)</f>
        <v>0</v>
      </c>
      <c r="G714" s="33">
        <f>IF(F714&gt;0,1,0)</f>
        <v>0</v>
      </c>
      <c r="H714" s="33">
        <f>COUNTIFS(Demand!$A$2:$A$4481,A714,Demand!$B$2:$B$4481,B714,Demand!$C$2:$C$4481,C714)</f>
        <v>1</v>
      </c>
    </row>
    <row r="715">
      <c r="A715" s="32" t="str">
        <f>Demand!A713</f>
        <v>S005</v>
      </c>
      <c r="B715" s="35">
        <f>Demand!B713</f>
        <v>46268.0</v>
      </c>
      <c r="C715" s="33">
        <f>Demand!C713</f>
        <v>15</v>
      </c>
      <c r="D715" s="33">
        <f>Demand!E713</f>
        <v>9</v>
      </c>
      <c r="E715" s="33">
        <f>IF(Demand!F713,1,0)</f>
        <v>0</v>
      </c>
      <c r="F715" s="33">
        <f>COUNTIFS(c_store,A715,c_date,B715,c_hour,C715)</f>
        <v>0</v>
      </c>
      <c r="G715" s="33">
        <f>IF(F715&gt;0,1,0)</f>
        <v>0</v>
      </c>
      <c r="H715" s="33">
        <f>COUNTIFS(Demand!$A$2:$A$4481,A715,Demand!$B$2:$B$4481,B715,Demand!$C$2:$C$4481,C715)</f>
        <v>1</v>
      </c>
    </row>
    <row r="716">
      <c r="A716" s="32" t="str">
        <f>Demand!A714</f>
        <v>S005</v>
      </c>
      <c r="B716" s="35">
        <f>Demand!B714</f>
        <v>46268.0</v>
      </c>
      <c r="C716" s="33">
        <f>Demand!C714</f>
        <v>16</v>
      </c>
      <c r="D716" s="33">
        <f>Demand!E714</f>
        <v>15</v>
      </c>
      <c r="E716" s="33">
        <f>IF(Demand!F714,1,0)</f>
        <v>0</v>
      </c>
      <c r="F716" s="33">
        <f>COUNTIFS(c_store,A716,c_date,B716,c_hour,C716)</f>
        <v>0</v>
      </c>
      <c r="G716" s="33">
        <f>IF(F716&gt;0,1,0)</f>
        <v>0</v>
      </c>
      <c r="H716" s="33">
        <f>COUNTIFS(Demand!$A$2:$A$4481,A716,Demand!$B$2:$B$4481,B716,Demand!$C$2:$C$4481,C716)</f>
        <v>1</v>
      </c>
    </row>
    <row r="717">
      <c r="A717" s="32" t="str">
        <f>Demand!A715</f>
        <v>S005</v>
      </c>
      <c r="B717" s="35">
        <f>Demand!B715</f>
        <v>46268.0</v>
      </c>
      <c r="C717" s="33">
        <f>Demand!C715</f>
        <v>17</v>
      </c>
      <c r="D717" s="33">
        <f>Demand!E715</f>
        <v>12</v>
      </c>
      <c r="E717" s="33">
        <f>IF(Demand!F715,1,0)</f>
        <v>0</v>
      </c>
      <c r="F717" s="33">
        <f>COUNTIFS(c_store,A717,c_date,B717,c_hour,C717)</f>
        <v>0</v>
      </c>
      <c r="G717" s="33">
        <f>IF(F717&gt;0,1,0)</f>
        <v>0</v>
      </c>
      <c r="H717" s="33">
        <f>COUNTIFS(Demand!$A$2:$A$4481,A717,Demand!$B$2:$B$4481,B717,Demand!$C$2:$C$4481,C717)</f>
        <v>1</v>
      </c>
    </row>
    <row r="718">
      <c r="A718" s="32" t="str">
        <f>Demand!A716</f>
        <v>S005</v>
      </c>
      <c r="B718" s="35">
        <f>Demand!B716</f>
        <v>46268.0</v>
      </c>
      <c r="C718" s="33">
        <f>Demand!C716</f>
        <v>18</v>
      </c>
      <c r="D718" s="33">
        <f>Demand!E716</f>
        <v>9</v>
      </c>
      <c r="E718" s="33">
        <f>IF(Demand!F716,1,0)</f>
        <v>0</v>
      </c>
      <c r="F718" s="33">
        <f>COUNTIFS(c_store,A718,c_date,B718,c_hour,C718)</f>
        <v>0</v>
      </c>
      <c r="G718" s="33">
        <f>IF(F718&gt;0,1,0)</f>
        <v>0</v>
      </c>
      <c r="H718" s="33">
        <f>COUNTIFS(Demand!$A$2:$A$4481,A718,Demand!$B$2:$B$4481,B718,Demand!$C$2:$C$4481,C718)</f>
        <v>1</v>
      </c>
    </row>
    <row r="719">
      <c r="A719" s="32" t="str">
        <f>Demand!A717</f>
        <v>S005</v>
      </c>
      <c r="B719" s="35">
        <f>Demand!B717</f>
        <v>46268.0</v>
      </c>
      <c r="C719" s="33">
        <f>Demand!C717</f>
        <v>19</v>
      </c>
      <c r="D719" s="33">
        <f>Demand!E717</f>
        <v>24</v>
      </c>
      <c r="E719" s="33">
        <f>IF(Demand!F717,1,0)</f>
        <v>1</v>
      </c>
      <c r="F719" s="33">
        <f>COUNTIFS(c_store,A719,c_date,B719,c_hour,C719)</f>
        <v>0</v>
      </c>
      <c r="G719" s="33">
        <f>IF(F719&gt;0,1,0)</f>
        <v>0</v>
      </c>
      <c r="H719" s="33">
        <f>COUNTIFS(Demand!$A$2:$A$4481,A719,Demand!$B$2:$B$4481,B719,Demand!$C$2:$C$4481,C719)</f>
        <v>1</v>
      </c>
    </row>
    <row r="720">
      <c r="A720" s="32" t="str">
        <f>Demand!A718</f>
        <v>S005</v>
      </c>
      <c r="B720" s="35">
        <f>Demand!B718</f>
        <v>46268.0</v>
      </c>
      <c r="C720" s="33">
        <f>Demand!C718</f>
        <v>20</v>
      </c>
      <c r="D720" s="33">
        <f>Demand!E718</f>
        <v>23</v>
      </c>
      <c r="E720" s="33">
        <f>IF(Demand!F718,1,0)</f>
        <v>1</v>
      </c>
      <c r="F720" s="33">
        <f>COUNTIFS(c_store,A720,c_date,B720,c_hour,C720)</f>
        <v>0</v>
      </c>
      <c r="G720" s="33">
        <f>IF(F720&gt;0,1,0)</f>
        <v>0</v>
      </c>
      <c r="H720" s="33">
        <f>COUNTIFS(Demand!$A$2:$A$4481,A720,Demand!$B$2:$B$4481,B720,Demand!$C$2:$C$4481,C720)</f>
        <v>1</v>
      </c>
    </row>
    <row r="721">
      <c r="A721" s="32" t="str">
        <f>Demand!A719</f>
        <v>S005</v>
      </c>
      <c r="B721" s="35">
        <f>Demand!B719</f>
        <v>46268.0</v>
      </c>
      <c r="C721" s="33">
        <f>Demand!C719</f>
        <v>21</v>
      </c>
      <c r="D721" s="33">
        <f>Demand!E719</f>
        <v>19</v>
      </c>
      <c r="E721" s="33">
        <f>IF(Demand!F719,1,0)</f>
        <v>1</v>
      </c>
      <c r="F721" s="33">
        <f>COUNTIFS(c_store,A721,c_date,B721,c_hour,C721)</f>
        <v>0</v>
      </c>
      <c r="G721" s="33">
        <f>IF(F721&gt;0,1,0)</f>
        <v>0</v>
      </c>
      <c r="H721" s="33">
        <f>COUNTIFS(Demand!$A$2:$A$4481,A721,Demand!$B$2:$B$4481,B721,Demand!$C$2:$C$4481,C721)</f>
        <v>1</v>
      </c>
    </row>
    <row r="722">
      <c r="A722" s="32" t="str">
        <f>Demand!A720</f>
        <v>S005</v>
      </c>
      <c r="B722" s="35">
        <f>Demand!B720</f>
        <v>46268.0</v>
      </c>
      <c r="C722" s="33">
        <f>Demand!C720</f>
        <v>22</v>
      </c>
      <c r="D722" s="33">
        <f>Demand!E720</f>
        <v>16</v>
      </c>
      <c r="E722" s="33">
        <f>IF(Demand!F720,1,0)</f>
        <v>0</v>
      </c>
      <c r="F722" s="33">
        <f>COUNTIFS(c_store,A722,c_date,B722,c_hour,C722)</f>
        <v>0</v>
      </c>
      <c r="G722" s="33">
        <f>IF(F722&gt;0,1,0)</f>
        <v>0</v>
      </c>
      <c r="H722" s="33">
        <f>COUNTIFS(Demand!$A$2:$A$4481,A722,Demand!$B$2:$B$4481,B722,Demand!$C$2:$C$4481,C722)</f>
        <v>1</v>
      </c>
    </row>
    <row r="723">
      <c r="A723" s="32" t="str">
        <f>Demand!A721</f>
        <v>S005</v>
      </c>
      <c r="B723" s="35">
        <f>Demand!B721</f>
        <v>46268.0</v>
      </c>
      <c r="C723" s="33">
        <f>Demand!C721</f>
        <v>23</v>
      </c>
      <c r="D723" s="33">
        <f>Demand!E721</f>
        <v>16</v>
      </c>
      <c r="E723" s="33">
        <f>IF(Demand!F721,1,0)</f>
        <v>0</v>
      </c>
      <c r="F723" s="33">
        <f>COUNTIFS(c_store,A723,c_date,B723,c_hour,C723)</f>
        <v>1</v>
      </c>
      <c r="G723" s="33">
        <f>IF(F723&gt;0,1,0)</f>
        <v>1</v>
      </c>
      <c r="H723" s="33">
        <f>COUNTIFS(Demand!$A$2:$A$4481,A723,Demand!$B$2:$B$4481,B723,Demand!$C$2:$C$4481,C723)</f>
        <v>1</v>
      </c>
    </row>
    <row r="724">
      <c r="A724" s="32" t="str">
        <f>Demand!A722</f>
        <v>S006</v>
      </c>
      <c r="B724" s="35">
        <f>Demand!B722</f>
        <v>46268.0</v>
      </c>
      <c r="C724" s="33">
        <f>Demand!C722</f>
        <v>8</v>
      </c>
      <c r="D724" s="33">
        <f>Demand!E722</f>
        <v>16</v>
      </c>
      <c r="E724" s="33">
        <f>IF(Demand!F722,1,0)</f>
        <v>0</v>
      </c>
      <c r="F724" s="33">
        <f>COUNTIFS(c_store,A724,c_date,B724,c_hour,C724)</f>
        <v>0</v>
      </c>
      <c r="G724" s="33">
        <f>IF(F724&gt;0,1,0)</f>
        <v>0</v>
      </c>
      <c r="H724" s="33">
        <f>COUNTIFS(Demand!$A$2:$A$4481,A724,Demand!$B$2:$B$4481,B724,Demand!$C$2:$C$4481,C724)</f>
        <v>1</v>
      </c>
    </row>
    <row r="725">
      <c r="A725" s="32" t="str">
        <f>Demand!A723</f>
        <v>S006</v>
      </c>
      <c r="B725" s="35">
        <f>Demand!B723</f>
        <v>46268.0</v>
      </c>
      <c r="C725" s="33">
        <f>Demand!C723</f>
        <v>9</v>
      </c>
      <c r="D725" s="33">
        <f>Demand!E723</f>
        <v>13</v>
      </c>
      <c r="E725" s="33">
        <f>IF(Demand!F723,1,0)</f>
        <v>0</v>
      </c>
      <c r="F725" s="33">
        <f>COUNTIFS(c_store,A725,c_date,B725,c_hour,C725)</f>
        <v>1</v>
      </c>
      <c r="G725" s="33">
        <f>IF(F725&gt;0,1,0)</f>
        <v>1</v>
      </c>
      <c r="H725" s="33">
        <f>COUNTIFS(Demand!$A$2:$A$4481,A725,Demand!$B$2:$B$4481,B725,Demand!$C$2:$C$4481,C725)</f>
        <v>1</v>
      </c>
    </row>
    <row r="726">
      <c r="A726" s="32" t="str">
        <f>Demand!A724</f>
        <v>S006</v>
      </c>
      <c r="B726" s="35">
        <f>Demand!B724</f>
        <v>46268.0</v>
      </c>
      <c r="C726" s="33">
        <f>Demand!C724</f>
        <v>10</v>
      </c>
      <c r="D726" s="33">
        <f>Demand!E724</f>
        <v>25</v>
      </c>
      <c r="E726" s="33">
        <f>IF(Demand!F724,1,0)</f>
        <v>0</v>
      </c>
      <c r="F726" s="33">
        <f>COUNTIFS(c_store,A726,c_date,B726,c_hour,C726)</f>
        <v>1</v>
      </c>
      <c r="G726" s="33">
        <f>IF(F726&gt;0,1,0)</f>
        <v>1</v>
      </c>
      <c r="H726" s="33">
        <f>COUNTIFS(Demand!$A$2:$A$4481,A726,Demand!$B$2:$B$4481,B726,Demand!$C$2:$C$4481,C726)</f>
        <v>1</v>
      </c>
    </row>
    <row r="727">
      <c r="A727" s="32" t="str">
        <f>Demand!A725</f>
        <v>S006</v>
      </c>
      <c r="B727" s="35">
        <f>Demand!B725</f>
        <v>46268.0</v>
      </c>
      <c r="C727" s="33">
        <f>Demand!C725</f>
        <v>11</v>
      </c>
      <c r="D727" s="33">
        <f>Demand!E725</f>
        <v>22</v>
      </c>
      <c r="E727" s="33">
        <f>IF(Demand!F725,1,0)</f>
        <v>0</v>
      </c>
      <c r="F727" s="33">
        <f>COUNTIFS(c_store,A727,c_date,B727,c_hour,C727)</f>
        <v>0</v>
      </c>
      <c r="G727" s="33">
        <f>IF(F727&gt;0,1,0)</f>
        <v>0</v>
      </c>
      <c r="H727" s="33">
        <f>COUNTIFS(Demand!$A$2:$A$4481,A727,Demand!$B$2:$B$4481,B727,Demand!$C$2:$C$4481,C727)</f>
        <v>1</v>
      </c>
    </row>
    <row r="728">
      <c r="A728" s="32" t="str">
        <f>Demand!A726</f>
        <v>S006</v>
      </c>
      <c r="B728" s="35">
        <f>Demand!B726</f>
        <v>46268.0</v>
      </c>
      <c r="C728" s="33">
        <f>Demand!C726</f>
        <v>12</v>
      </c>
      <c r="D728" s="33">
        <f>Demand!E726</f>
        <v>24</v>
      </c>
      <c r="E728" s="33">
        <f>IF(Demand!F726,1,0)</f>
        <v>0</v>
      </c>
      <c r="F728" s="33">
        <f>COUNTIFS(c_store,A728,c_date,B728,c_hour,C728)</f>
        <v>0</v>
      </c>
      <c r="G728" s="33">
        <f>IF(F728&gt;0,1,0)</f>
        <v>0</v>
      </c>
      <c r="H728" s="33">
        <f>COUNTIFS(Demand!$A$2:$A$4481,A728,Demand!$B$2:$B$4481,B728,Demand!$C$2:$C$4481,C728)</f>
        <v>1</v>
      </c>
    </row>
    <row r="729">
      <c r="A729" s="32" t="str">
        <f>Demand!A727</f>
        <v>S006</v>
      </c>
      <c r="B729" s="35">
        <f>Demand!B727</f>
        <v>46268.0</v>
      </c>
      <c r="C729" s="33">
        <f>Demand!C727</f>
        <v>13</v>
      </c>
      <c r="D729" s="33">
        <f>Demand!E727</f>
        <v>19</v>
      </c>
      <c r="E729" s="33">
        <f>IF(Demand!F727,1,0)</f>
        <v>0</v>
      </c>
      <c r="F729" s="33">
        <f>COUNTIFS(c_store,A729,c_date,B729,c_hour,C729)</f>
        <v>0</v>
      </c>
      <c r="G729" s="33">
        <f>IF(F729&gt;0,1,0)</f>
        <v>0</v>
      </c>
      <c r="H729" s="33">
        <f>COUNTIFS(Demand!$A$2:$A$4481,A729,Demand!$B$2:$B$4481,B729,Demand!$C$2:$C$4481,C729)</f>
        <v>1</v>
      </c>
    </row>
    <row r="730">
      <c r="A730" s="32" t="str">
        <f>Demand!A728</f>
        <v>S006</v>
      </c>
      <c r="B730" s="35">
        <f>Demand!B728</f>
        <v>46268.0</v>
      </c>
      <c r="C730" s="33">
        <f>Demand!C728</f>
        <v>14</v>
      </c>
      <c r="D730" s="33">
        <f>Demand!E728</f>
        <v>14</v>
      </c>
      <c r="E730" s="33">
        <f>IF(Demand!F728,1,0)</f>
        <v>0</v>
      </c>
      <c r="F730" s="33">
        <f>COUNTIFS(c_store,A730,c_date,B730,c_hour,C730)</f>
        <v>1</v>
      </c>
      <c r="G730" s="33">
        <f>IF(F730&gt;0,1,0)</f>
        <v>1</v>
      </c>
      <c r="H730" s="33">
        <f>COUNTIFS(Demand!$A$2:$A$4481,A730,Demand!$B$2:$B$4481,B730,Demand!$C$2:$C$4481,C730)</f>
        <v>1</v>
      </c>
    </row>
    <row r="731">
      <c r="A731" s="32" t="str">
        <f>Demand!A729</f>
        <v>S006</v>
      </c>
      <c r="B731" s="35">
        <f>Demand!B729</f>
        <v>46268.0</v>
      </c>
      <c r="C731" s="33">
        <f>Demand!C729</f>
        <v>15</v>
      </c>
      <c r="D731" s="33">
        <f>Demand!E729</f>
        <v>19</v>
      </c>
      <c r="E731" s="33">
        <f>IF(Demand!F729,1,0)</f>
        <v>0</v>
      </c>
      <c r="F731" s="33">
        <f>COUNTIFS(c_store,A731,c_date,B731,c_hour,C731)</f>
        <v>1</v>
      </c>
      <c r="G731" s="33">
        <f>IF(F731&gt;0,1,0)</f>
        <v>1</v>
      </c>
      <c r="H731" s="33">
        <f>COUNTIFS(Demand!$A$2:$A$4481,A731,Demand!$B$2:$B$4481,B731,Demand!$C$2:$C$4481,C731)</f>
        <v>1</v>
      </c>
    </row>
    <row r="732">
      <c r="A732" s="32" t="str">
        <f>Demand!A730</f>
        <v>S006</v>
      </c>
      <c r="B732" s="35">
        <f>Demand!B730</f>
        <v>46268.0</v>
      </c>
      <c r="C732" s="33">
        <f>Demand!C730</f>
        <v>16</v>
      </c>
      <c r="D732" s="33">
        <f>Demand!E730</f>
        <v>34</v>
      </c>
      <c r="E732" s="33">
        <f>IF(Demand!F730,1,0)</f>
        <v>0</v>
      </c>
      <c r="F732" s="33">
        <f>COUNTIFS(c_store,A732,c_date,B732,c_hour,C732)</f>
        <v>0</v>
      </c>
      <c r="G732" s="33">
        <f>IF(F732&gt;0,1,0)</f>
        <v>0</v>
      </c>
      <c r="H732" s="33">
        <f>COUNTIFS(Demand!$A$2:$A$4481,A732,Demand!$B$2:$B$4481,B732,Demand!$C$2:$C$4481,C732)</f>
        <v>1</v>
      </c>
    </row>
    <row r="733">
      <c r="A733" s="32" t="str">
        <f>Demand!A731</f>
        <v>S006</v>
      </c>
      <c r="B733" s="35">
        <f>Demand!B731</f>
        <v>46268.0</v>
      </c>
      <c r="C733" s="33">
        <f>Demand!C731</f>
        <v>17</v>
      </c>
      <c r="D733" s="33">
        <f>Demand!E731</f>
        <v>37</v>
      </c>
      <c r="E733" s="33">
        <f>IF(Demand!F731,1,0)</f>
        <v>0</v>
      </c>
      <c r="F733" s="33">
        <f>COUNTIFS(c_store,A733,c_date,B733,c_hour,C733)</f>
        <v>0</v>
      </c>
      <c r="G733" s="33">
        <f>IF(F733&gt;0,1,0)</f>
        <v>0</v>
      </c>
      <c r="H733" s="33">
        <f>COUNTIFS(Demand!$A$2:$A$4481,A733,Demand!$B$2:$B$4481,B733,Demand!$C$2:$C$4481,C733)</f>
        <v>1</v>
      </c>
    </row>
    <row r="734">
      <c r="A734" s="32" t="str">
        <f>Demand!A732</f>
        <v>S006</v>
      </c>
      <c r="B734" s="35">
        <f>Demand!B732</f>
        <v>46268.0</v>
      </c>
      <c r="C734" s="33">
        <f>Demand!C732</f>
        <v>18</v>
      </c>
      <c r="D734" s="33">
        <f>Demand!E732</f>
        <v>26</v>
      </c>
      <c r="E734" s="33">
        <f>IF(Demand!F732,1,0)</f>
        <v>0</v>
      </c>
      <c r="F734" s="33">
        <f>COUNTIFS(c_store,A734,c_date,B734,c_hour,C734)</f>
        <v>0</v>
      </c>
      <c r="G734" s="33">
        <f>IF(F734&gt;0,1,0)</f>
        <v>0</v>
      </c>
      <c r="H734" s="33">
        <f>COUNTIFS(Demand!$A$2:$A$4481,A734,Demand!$B$2:$B$4481,B734,Demand!$C$2:$C$4481,C734)</f>
        <v>1</v>
      </c>
    </row>
    <row r="735">
      <c r="A735" s="32" t="str">
        <f>Demand!A733</f>
        <v>S006</v>
      </c>
      <c r="B735" s="35">
        <f>Demand!B733</f>
        <v>46268.0</v>
      </c>
      <c r="C735" s="33">
        <f>Demand!C733</f>
        <v>19</v>
      </c>
      <c r="D735" s="33">
        <f>Demand!E733</f>
        <v>42</v>
      </c>
      <c r="E735" s="33">
        <f>IF(Demand!F733,1,0)</f>
        <v>1</v>
      </c>
      <c r="F735" s="33">
        <f>COUNTIFS(c_store,A735,c_date,B735,c_hour,C735)</f>
        <v>0</v>
      </c>
      <c r="G735" s="33">
        <f>IF(F735&gt;0,1,0)</f>
        <v>0</v>
      </c>
      <c r="H735" s="33">
        <f>COUNTIFS(Demand!$A$2:$A$4481,A735,Demand!$B$2:$B$4481,B735,Demand!$C$2:$C$4481,C735)</f>
        <v>1</v>
      </c>
    </row>
    <row r="736">
      <c r="A736" s="32" t="str">
        <f>Demand!A734</f>
        <v>S006</v>
      </c>
      <c r="B736" s="35">
        <f>Demand!B734</f>
        <v>46268.0</v>
      </c>
      <c r="C736" s="33">
        <f>Demand!C734</f>
        <v>20</v>
      </c>
      <c r="D736" s="33">
        <f>Demand!E734</f>
        <v>31</v>
      </c>
      <c r="E736" s="33">
        <f>IF(Demand!F734,1,0)</f>
        <v>1</v>
      </c>
      <c r="F736" s="33">
        <f>COUNTIFS(c_store,A736,c_date,B736,c_hour,C736)</f>
        <v>0</v>
      </c>
      <c r="G736" s="33">
        <f>IF(F736&gt;0,1,0)</f>
        <v>0</v>
      </c>
      <c r="H736" s="33">
        <f>COUNTIFS(Demand!$A$2:$A$4481,A736,Demand!$B$2:$B$4481,B736,Demand!$C$2:$C$4481,C736)</f>
        <v>1</v>
      </c>
    </row>
    <row r="737">
      <c r="A737" s="32" t="str">
        <f>Demand!A735</f>
        <v>S006</v>
      </c>
      <c r="B737" s="35">
        <f>Demand!B735</f>
        <v>46268.0</v>
      </c>
      <c r="C737" s="33">
        <f>Demand!C735</f>
        <v>21</v>
      </c>
      <c r="D737" s="33">
        <f>Demand!E735</f>
        <v>39</v>
      </c>
      <c r="E737" s="33">
        <f>IF(Demand!F735,1,0)</f>
        <v>1</v>
      </c>
      <c r="F737" s="33">
        <f>COUNTIFS(c_store,A737,c_date,B737,c_hour,C737)</f>
        <v>0</v>
      </c>
      <c r="G737" s="33">
        <f>IF(F737&gt;0,1,0)</f>
        <v>0</v>
      </c>
      <c r="H737" s="33">
        <f>COUNTIFS(Demand!$A$2:$A$4481,A737,Demand!$B$2:$B$4481,B737,Demand!$C$2:$C$4481,C737)</f>
        <v>1</v>
      </c>
    </row>
    <row r="738">
      <c r="A738" s="32" t="str">
        <f>Demand!A736</f>
        <v>S006</v>
      </c>
      <c r="B738" s="35">
        <f>Demand!B736</f>
        <v>46268.0</v>
      </c>
      <c r="C738" s="33">
        <f>Demand!C736</f>
        <v>22</v>
      </c>
      <c r="D738" s="33">
        <f>Demand!E736</f>
        <v>28</v>
      </c>
      <c r="E738" s="33">
        <f>IF(Demand!F736,1,0)</f>
        <v>0</v>
      </c>
      <c r="F738" s="33">
        <f>COUNTIFS(c_store,A738,c_date,B738,c_hour,C738)</f>
        <v>0</v>
      </c>
      <c r="G738" s="33">
        <f>IF(F738&gt;0,1,0)</f>
        <v>0</v>
      </c>
      <c r="H738" s="33">
        <f>COUNTIFS(Demand!$A$2:$A$4481,A738,Demand!$B$2:$B$4481,B738,Demand!$C$2:$C$4481,C738)</f>
        <v>1</v>
      </c>
    </row>
    <row r="739">
      <c r="A739" s="32" t="str">
        <f>Demand!A737</f>
        <v>S006</v>
      </c>
      <c r="B739" s="35">
        <f>Demand!B737</f>
        <v>46268.0</v>
      </c>
      <c r="C739" s="33">
        <f>Demand!C737</f>
        <v>23</v>
      </c>
      <c r="D739" s="33">
        <f>Demand!E737</f>
        <v>20</v>
      </c>
      <c r="E739" s="33">
        <f>IF(Demand!F737,1,0)</f>
        <v>0</v>
      </c>
      <c r="F739" s="33">
        <f>COUNTIFS(c_store,A739,c_date,B739,c_hour,C739)</f>
        <v>0</v>
      </c>
      <c r="G739" s="33">
        <f>IF(F739&gt;0,1,0)</f>
        <v>0</v>
      </c>
      <c r="H739" s="33">
        <f>COUNTIFS(Demand!$A$2:$A$4481,A739,Demand!$B$2:$B$4481,B739,Demand!$C$2:$C$4481,C739)</f>
        <v>1</v>
      </c>
    </row>
    <row r="740">
      <c r="A740" s="32" t="str">
        <f>Demand!A738</f>
        <v>S007</v>
      </c>
      <c r="B740" s="35">
        <f>Demand!B738</f>
        <v>46268.0</v>
      </c>
      <c r="C740" s="33">
        <f>Demand!C738</f>
        <v>8</v>
      </c>
      <c r="D740" s="33">
        <f>Demand!E738</f>
        <v>32</v>
      </c>
      <c r="E740" s="33">
        <f>IF(Demand!F738,1,0)</f>
        <v>0</v>
      </c>
      <c r="F740" s="33">
        <f>COUNTIFS(c_store,A740,c_date,B740,c_hour,C740)</f>
        <v>0</v>
      </c>
      <c r="G740" s="33">
        <f>IF(F740&gt;0,1,0)</f>
        <v>0</v>
      </c>
      <c r="H740" s="33">
        <f>COUNTIFS(Demand!$A$2:$A$4481,A740,Demand!$B$2:$B$4481,B740,Demand!$C$2:$C$4481,C740)</f>
        <v>1</v>
      </c>
    </row>
    <row r="741">
      <c r="A741" s="32" t="str">
        <f>Demand!A739</f>
        <v>S007</v>
      </c>
      <c r="B741" s="35">
        <f>Demand!B739</f>
        <v>46268.0</v>
      </c>
      <c r="C741" s="33">
        <f>Demand!C739</f>
        <v>9</v>
      </c>
      <c r="D741" s="33">
        <f>Demand!E739</f>
        <v>19</v>
      </c>
      <c r="E741" s="33">
        <f>IF(Demand!F739,1,0)</f>
        <v>0</v>
      </c>
      <c r="F741" s="33">
        <f>COUNTIFS(c_store,A741,c_date,B741,c_hour,C741)</f>
        <v>0</v>
      </c>
      <c r="G741" s="33">
        <f>IF(F741&gt;0,1,0)</f>
        <v>0</v>
      </c>
      <c r="H741" s="33">
        <f>COUNTIFS(Demand!$A$2:$A$4481,A741,Demand!$B$2:$B$4481,B741,Demand!$C$2:$C$4481,C741)</f>
        <v>1</v>
      </c>
    </row>
    <row r="742">
      <c r="A742" s="32" t="str">
        <f>Demand!A740</f>
        <v>S007</v>
      </c>
      <c r="B742" s="35">
        <f>Demand!B740</f>
        <v>46268.0</v>
      </c>
      <c r="C742" s="33">
        <f>Demand!C740</f>
        <v>10</v>
      </c>
      <c r="D742" s="33">
        <f>Demand!E740</f>
        <v>27</v>
      </c>
      <c r="E742" s="33">
        <f>IF(Demand!F740,1,0)</f>
        <v>0</v>
      </c>
      <c r="F742" s="33">
        <f>COUNTIFS(c_store,A742,c_date,B742,c_hour,C742)</f>
        <v>1</v>
      </c>
      <c r="G742" s="33">
        <f>IF(F742&gt;0,1,0)</f>
        <v>1</v>
      </c>
      <c r="H742" s="33">
        <f>COUNTIFS(Demand!$A$2:$A$4481,A742,Demand!$B$2:$B$4481,B742,Demand!$C$2:$C$4481,C742)</f>
        <v>1</v>
      </c>
    </row>
    <row r="743">
      <c r="A743" s="32" t="str">
        <f>Demand!A741</f>
        <v>S007</v>
      </c>
      <c r="B743" s="35">
        <f>Demand!B741</f>
        <v>46268.0</v>
      </c>
      <c r="C743" s="33">
        <f>Demand!C741</f>
        <v>11</v>
      </c>
      <c r="D743" s="33">
        <f>Demand!E741</f>
        <v>45</v>
      </c>
      <c r="E743" s="33">
        <f>IF(Demand!F741,1,0)</f>
        <v>0</v>
      </c>
      <c r="F743" s="33">
        <f>COUNTIFS(c_store,A743,c_date,B743,c_hour,C743)</f>
        <v>0</v>
      </c>
      <c r="G743" s="33">
        <f>IF(F743&gt;0,1,0)</f>
        <v>0</v>
      </c>
      <c r="H743" s="33">
        <f>COUNTIFS(Demand!$A$2:$A$4481,A743,Demand!$B$2:$B$4481,B743,Demand!$C$2:$C$4481,C743)</f>
        <v>1</v>
      </c>
    </row>
    <row r="744">
      <c r="A744" s="32" t="str">
        <f>Demand!A742</f>
        <v>S007</v>
      </c>
      <c r="B744" s="35">
        <f>Demand!B742</f>
        <v>46268.0</v>
      </c>
      <c r="C744" s="33">
        <f>Demand!C742</f>
        <v>12</v>
      </c>
      <c r="D744" s="33">
        <f>Demand!E742</f>
        <v>49</v>
      </c>
      <c r="E744" s="33">
        <f>IF(Demand!F742,1,0)</f>
        <v>0</v>
      </c>
      <c r="F744" s="33">
        <f>COUNTIFS(c_store,A744,c_date,B744,c_hour,C744)</f>
        <v>0</v>
      </c>
      <c r="G744" s="33">
        <f>IF(F744&gt;0,1,0)</f>
        <v>0</v>
      </c>
      <c r="H744" s="33">
        <f>COUNTIFS(Demand!$A$2:$A$4481,A744,Demand!$B$2:$B$4481,B744,Demand!$C$2:$C$4481,C744)</f>
        <v>1</v>
      </c>
    </row>
    <row r="745">
      <c r="A745" s="32" t="str">
        <f>Demand!A743</f>
        <v>S007</v>
      </c>
      <c r="B745" s="35">
        <f>Demand!B743</f>
        <v>46268.0</v>
      </c>
      <c r="C745" s="33">
        <f>Demand!C743</f>
        <v>13</v>
      </c>
      <c r="D745" s="33">
        <f>Demand!E743</f>
        <v>41</v>
      </c>
      <c r="E745" s="33">
        <f>IF(Demand!F743,1,0)</f>
        <v>0</v>
      </c>
      <c r="F745" s="33">
        <f>COUNTIFS(c_store,A745,c_date,B745,c_hour,C745)</f>
        <v>1</v>
      </c>
      <c r="G745" s="33">
        <f>IF(F745&gt;0,1,0)</f>
        <v>1</v>
      </c>
      <c r="H745" s="33">
        <f>COUNTIFS(Demand!$A$2:$A$4481,A745,Demand!$B$2:$B$4481,B745,Demand!$C$2:$C$4481,C745)</f>
        <v>1</v>
      </c>
    </row>
    <row r="746">
      <c r="A746" s="32" t="str">
        <f>Demand!A744</f>
        <v>S007</v>
      </c>
      <c r="B746" s="35">
        <f>Demand!B744</f>
        <v>46268.0</v>
      </c>
      <c r="C746" s="33">
        <f>Demand!C744</f>
        <v>14</v>
      </c>
      <c r="D746" s="33">
        <f>Demand!E744</f>
        <v>32</v>
      </c>
      <c r="E746" s="33">
        <f>IF(Demand!F744,1,0)</f>
        <v>0</v>
      </c>
      <c r="F746" s="33">
        <f>COUNTIFS(c_store,A746,c_date,B746,c_hour,C746)</f>
        <v>0</v>
      </c>
      <c r="G746" s="33">
        <f>IF(F746&gt;0,1,0)</f>
        <v>0</v>
      </c>
      <c r="H746" s="33">
        <f>COUNTIFS(Demand!$A$2:$A$4481,A746,Demand!$B$2:$B$4481,B746,Demand!$C$2:$C$4481,C746)</f>
        <v>1</v>
      </c>
    </row>
    <row r="747">
      <c r="A747" s="32" t="str">
        <f>Demand!A745</f>
        <v>S007</v>
      </c>
      <c r="B747" s="35">
        <f>Demand!B745</f>
        <v>46268.0</v>
      </c>
      <c r="C747" s="33">
        <f>Demand!C745</f>
        <v>15</v>
      </c>
      <c r="D747" s="33">
        <f>Demand!E745</f>
        <v>22</v>
      </c>
      <c r="E747" s="33">
        <f>IF(Demand!F745,1,0)</f>
        <v>0</v>
      </c>
      <c r="F747" s="33">
        <f>COUNTIFS(c_store,A747,c_date,B747,c_hour,C747)</f>
        <v>0</v>
      </c>
      <c r="G747" s="33">
        <f>IF(F747&gt;0,1,0)</f>
        <v>0</v>
      </c>
      <c r="H747" s="33">
        <f>COUNTIFS(Demand!$A$2:$A$4481,A747,Demand!$B$2:$B$4481,B747,Demand!$C$2:$C$4481,C747)</f>
        <v>1</v>
      </c>
    </row>
    <row r="748">
      <c r="A748" s="32" t="str">
        <f>Demand!A746</f>
        <v>S007</v>
      </c>
      <c r="B748" s="35">
        <f>Demand!B746</f>
        <v>46268.0</v>
      </c>
      <c r="C748" s="33">
        <f>Demand!C746</f>
        <v>16</v>
      </c>
      <c r="D748" s="33">
        <f>Demand!E746</f>
        <v>33</v>
      </c>
      <c r="E748" s="33">
        <f>IF(Demand!F746,1,0)</f>
        <v>0</v>
      </c>
      <c r="F748" s="33">
        <f>COUNTIFS(c_store,A748,c_date,B748,c_hour,C748)</f>
        <v>1</v>
      </c>
      <c r="G748" s="33">
        <f>IF(F748&gt;0,1,0)</f>
        <v>1</v>
      </c>
      <c r="H748" s="33">
        <f>COUNTIFS(Demand!$A$2:$A$4481,A748,Demand!$B$2:$B$4481,B748,Demand!$C$2:$C$4481,C748)</f>
        <v>1</v>
      </c>
    </row>
    <row r="749">
      <c r="A749" s="32" t="str">
        <f>Demand!A747</f>
        <v>S007</v>
      </c>
      <c r="B749" s="35">
        <f>Demand!B747</f>
        <v>46268.0</v>
      </c>
      <c r="C749" s="33">
        <f>Demand!C747</f>
        <v>17</v>
      </c>
      <c r="D749" s="33">
        <f>Demand!E747</f>
        <v>41</v>
      </c>
      <c r="E749" s="33">
        <f>IF(Demand!F747,1,0)</f>
        <v>0</v>
      </c>
      <c r="F749" s="33">
        <f>COUNTIFS(c_store,A749,c_date,B749,c_hour,C749)</f>
        <v>0</v>
      </c>
      <c r="G749" s="33">
        <f>IF(F749&gt;0,1,0)</f>
        <v>0</v>
      </c>
      <c r="H749" s="33">
        <f>COUNTIFS(Demand!$A$2:$A$4481,A749,Demand!$B$2:$B$4481,B749,Demand!$C$2:$C$4481,C749)</f>
        <v>1</v>
      </c>
    </row>
    <row r="750">
      <c r="A750" s="32" t="str">
        <f>Demand!A748</f>
        <v>S007</v>
      </c>
      <c r="B750" s="35">
        <f>Demand!B748</f>
        <v>46268.0</v>
      </c>
      <c r="C750" s="33">
        <f>Demand!C748</f>
        <v>18</v>
      </c>
      <c r="D750" s="33">
        <f>Demand!E748</f>
        <v>45</v>
      </c>
      <c r="E750" s="33">
        <f>IF(Demand!F748,1,0)</f>
        <v>0</v>
      </c>
      <c r="F750" s="33">
        <f>COUNTIFS(c_store,A750,c_date,B750,c_hour,C750)</f>
        <v>0</v>
      </c>
      <c r="G750" s="33">
        <f>IF(F750&gt;0,1,0)</f>
        <v>0</v>
      </c>
      <c r="H750" s="33">
        <f>COUNTIFS(Demand!$A$2:$A$4481,A750,Demand!$B$2:$B$4481,B750,Demand!$C$2:$C$4481,C750)</f>
        <v>1</v>
      </c>
    </row>
    <row r="751">
      <c r="A751" s="32" t="str">
        <f>Demand!A749</f>
        <v>S007</v>
      </c>
      <c r="B751" s="35">
        <f>Demand!B749</f>
        <v>46268.0</v>
      </c>
      <c r="C751" s="33">
        <f>Demand!C749</f>
        <v>19</v>
      </c>
      <c r="D751" s="33">
        <f>Demand!E749</f>
        <v>58</v>
      </c>
      <c r="E751" s="33">
        <f>IF(Demand!F749,1,0)</f>
        <v>1</v>
      </c>
      <c r="F751" s="33">
        <f>COUNTIFS(c_store,A751,c_date,B751,c_hour,C751)</f>
        <v>0</v>
      </c>
      <c r="G751" s="33">
        <f>IF(F751&gt;0,1,0)</f>
        <v>0</v>
      </c>
      <c r="H751" s="33">
        <f>COUNTIFS(Demand!$A$2:$A$4481,A751,Demand!$B$2:$B$4481,B751,Demand!$C$2:$C$4481,C751)</f>
        <v>1</v>
      </c>
    </row>
    <row r="752">
      <c r="A752" s="32" t="str">
        <f>Demand!A750</f>
        <v>S007</v>
      </c>
      <c r="B752" s="35">
        <f>Demand!B750</f>
        <v>46268.0</v>
      </c>
      <c r="C752" s="33">
        <f>Demand!C750</f>
        <v>20</v>
      </c>
      <c r="D752" s="33">
        <f>Demand!E750</f>
        <v>52</v>
      </c>
      <c r="E752" s="33">
        <f>IF(Demand!F750,1,0)</f>
        <v>1</v>
      </c>
      <c r="F752" s="33">
        <f>COUNTIFS(c_store,A752,c_date,B752,c_hour,C752)</f>
        <v>0</v>
      </c>
      <c r="G752" s="33">
        <f>IF(F752&gt;0,1,0)</f>
        <v>0</v>
      </c>
      <c r="H752" s="33">
        <f>COUNTIFS(Demand!$A$2:$A$4481,A752,Demand!$B$2:$B$4481,B752,Demand!$C$2:$C$4481,C752)</f>
        <v>1</v>
      </c>
    </row>
    <row r="753">
      <c r="A753" s="32" t="str">
        <f>Demand!A751</f>
        <v>S007</v>
      </c>
      <c r="B753" s="35">
        <f>Demand!B751</f>
        <v>46268.0</v>
      </c>
      <c r="C753" s="33">
        <f>Demand!C751</f>
        <v>21</v>
      </c>
      <c r="D753" s="33">
        <f>Demand!E751</f>
        <v>59</v>
      </c>
      <c r="E753" s="33">
        <f>IF(Demand!F751,1,0)</f>
        <v>1</v>
      </c>
      <c r="F753" s="33">
        <f>COUNTIFS(c_store,A753,c_date,B753,c_hour,C753)</f>
        <v>1</v>
      </c>
      <c r="G753" s="33">
        <f>IF(F753&gt;0,1,0)</f>
        <v>1</v>
      </c>
      <c r="H753" s="33">
        <f>COUNTIFS(Demand!$A$2:$A$4481,A753,Demand!$B$2:$B$4481,B753,Demand!$C$2:$C$4481,C753)</f>
        <v>1</v>
      </c>
    </row>
    <row r="754">
      <c r="A754" s="32" t="str">
        <f>Demand!A752</f>
        <v>S007</v>
      </c>
      <c r="B754" s="35">
        <f>Demand!B752</f>
        <v>46268.0</v>
      </c>
      <c r="C754" s="33">
        <f>Demand!C752</f>
        <v>22</v>
      </c>
      <c r="D754" s="33">
        <f>Demand!E752</f>
        <v>42</v>
      </c>
      <c r="E754" s="33">
        <f>IF(Demand!F752,1,0)</f>
        <v>0</v>
      </c>
      <c r="F754" s="33">
        <f>COUNTIFS(c_store,A754,c_date,B754,c_hour,C754)</f>
        <v>1</v>
      </c>
      <c r="G754" s="33">
        <f>IF(F754&gt;0,1,0)</f>
        <v>1</v>
      </c>
      <c r="H754" s="33">
        <f>COUNTIFS(Demand!$A$2:$A$4481,A754,Demand!$B$2:$B$4481,B754,Demand!$C$2:$C$4481,C754)</f>
        <v>1</v>
      </c>
    </row>
    <row r="755">
      <c r="A755" s="32" t="str">
        <f>Demand!A753</f>
        <v>S007</v>
      </c>
      <c r="B755" s="35">
        <f>Demand!B753</f>
        <v>46268.0</v>
      </c>
      <c r="C755" s="33">
        <f>Demand!C753</f>
        <v>23</v>
      </c>
      <c r="D755" s="33">
        <f>Demand!E753</f>
        <v>45</v>
      </c>
      <c r="E755" s="33">
        <f>IF(Demand!F753,1,0)</f>
        <v>0</v>
      </c>
      <c r="F755" s="33">
        <f>COUNTIFS(c_store,A755,c_date,B755,c_hour,C755)</f>
        <v>0</v>
      </c>
      <c r="G755" s="33">
        <f>IF(F755&gt;0,1,0)</f>
        <v>0</v>
      </c>
      <c r="H755" s="33">
        <f>COUNTIFS(Demand!$A$2:$A$4481,A755,Demand!$B$2:$B$4481,B755,Demand!$C$2:$C$4481,C755)</f>
        <v>1</v>
      </c>
    </row>
    <row r="756">
      <c r="A756" s="32" t="str">
        <f>Demand!A754</f>
        <v>S008</v>
      </c>
      <c r="B756" s="35">
        <f>Demand!B754</f>
        <v>46268.0</v>
      </c>
      <c r="C756" s="33">
        <f>Demand!C754</f>
        <v>8</v>
      </c>
      <c r="D756" s="33">
        <f>Demand!E754</f>
        <v>13</v>
      </c>
      <c r="E756" s="33">
        <f>IF(Demand!F754,1,0)</f>
        <v>0</v>
      </c>
      <c r="F756" s="33">
        <f>COUNTIFS(c_store,A756,c_date,B756,c_hour,C756)</f>
        <v>1</v>
      </c>
      <c r="G756" s="33">
        <f>IF(F756&gt;0,1,0)</f>
        <v>1</v>
      </c>
      <c r="H756" s="33">
        <f>COUNTIFS(Demand!$A$2:$A$4481,A756,Demand!$B$2:$B$4481,B756,Demand!$C$2:$C$4481,C756)</f>
        <v>1</v>
      </c>
    </row>
    <row r="757">
      <c r="A757" s="32" t="str">
        <f>Demand!A755</f>
        <v>S008</v>
      </c>
      <c r="B757" s="35">
        <f>Demand!B755</f>
        <v>46268.0</v>
      </c>
      <c r="C757" s="33">
        <f>Demand!C755</f>
        <v>9</v>
      </c>
      <c r="D757" s="33">
        <f>Demand!E755</f>
        <v>15</v>
      </c>
      <c r="E757" s="33">
        <f>IF(Demand!F755,1,0)</f>
        <v>0</v>
      </c>
      <c r="F757" s="33">
        <f>COUNTIFS(c_store,A757,c_date,B757,c_hour,C757)</f>
        <v>0</v>
      </c>
      <c r="G757" s="33">
        <f>IF(F757&gt;0,1,0)</f>
        <v>0</v>
      </c>
      <c r="H757" s="33">
        <f>COUNTIFS(Demand!$A$2:$A$4481,A757,Demand!$B$2:$B$4481,B757,Demand!$C$2:$C$4481,C757)</f>
        <v>1</v>
      </c>
    </row>
    <row r="758">
      <c r="A758" s="32" t="str">
        <f>Demand!A756</f>
        <v>S008</v>
      </c>
      <c r="B758" s="35">
        <f>Demand!B756</f>
        <v>46268.0</v>
      </c>
      <c r="C758" s="33">
        <f>Demand!C756</f>
        <v>10</v>
      </c>
      <c r="D758" s="33">
        <f>Demand!E756</f>
        <v>19</v>
      </c>
      <c r="E758" s="33">
        <f>IF(Demand!F756,1,0)</f>
        <v>0</v>
      </c>
      <c r="F758" s="33">
        <f>COUNTIFS(c_store,A758,c_date,B758,c_hour,C758)</f>
        <v>0</v>
      </c>
      <c r="G758" s="33">
        <f>IF(F758&gt;0,1,0)</f>
        <v>0</v>
      </c>
      <c r="H758" s="33">
        <f>COUNTIFS(Demand!$A$2:$A$4481,A758,Demand!$B$2:$B$4481,B758,Demand!$C$2:$C$4481,C758)</f>
        <v>1</v>
      </c>
    </row>
    <row r="759">
      <c r="A759" s="32" t="str">
        <f>Demand!A757</f>
        <v>S008</v>
      </c>
      <c r="B759" s="35">
        <f>Demand!B757</f>
        <v>46268.0</v>
      </c>
      <c r="C759" s="33">
        <f>Demand!C757</f>
        <v>11</v>
      </c>
      <c r="D759" s="33">
        <f>Demand!E757</f>
        <v>22</v>
      </c>
      <c r="E759" s="33">
        <f>IF(Demand!F757,1,0)</f>
        <v>0</v>
      </c>
      <c r="F759" s="33">
        <f>COUNTIFS(c_store,A759,c_date,B759,c_hour,C759)</f>
        <v>0</v>
      </c>
      <c r="G759" s="33">
        <f>IF(F759&gt;0,1,0)</f>
        <v>0</v>
      </c>
      <c r="H759" s="33">
        <f>COUNTIFS(Demand!$A$2:$A$4481,A759,Demand!$B$2:$B$4481,B759,Demand!$C$2:$C$4481,C759)</f>
        <v>1</v>
      </c>
    </row>
    <row r="760">
      <c r="A760" s="32" t="str">
        <f>Demand!A758</f>
        <v>S008</v>
      </c>
      <c r="B760" s="35">
        <f>Demand!B758</f>
        <v>46268.0</v>
      </c>
      <c r="C760" s="33">
        <f>Demand!C758</f>
        <v>12</v>
      </c>
      <c r="D760" s="33">
        <f>Demand!E758</f>
        <v>29</v>
      </c>
      <c r="E760" s="33">
        <f>IF(Demand!F758,1,0)</f>
        <v>0</v>
      </c>
      <c r="F760" s="33">
        <f>COUNTIFS(c_store,A760,c_date,B760,c_hour,C760)</f>
        <v>0</v>
      </c>
      <c r="G760" s="33">
        <f>IF(F760&gt;0,1,0)</f>
        <v>0</v>
      </c>
      <c r="H760" s="33">
        <f>COUNTIFS(Demand!$A$2:$A$4481,A760,Demand!$B$2:$B$4481,B760,Demand!$C$2:$C$4481,C760)</f>
        <v>1</v>
      </c>
    </row>
    <row r="761">
      <c r="A761" s="32" t="str">
        <f>Demand!A759</f>
        <v>S008</v>
      </c>
      <c r="B761" s="35">
        <f>Demand!B759</f>
        <v>46268.0</v>
      </c>
      <c r="C761" s="33">
        <f>Demand!C759</f>
        <v>13</v>
      </c>
      <c r="D761" s="33">
        <f>Demand!E759</f>
        <v>24</v>
      </c>
      <c r="E761" s="33">
        <f>IF(Demand!F759,1,0)</f>
        <v>0</v>
      </c>
      <c r="F761" s="33">
        <f>COUNTIFS(c_store,A761,c_date,B761,c_hour,C761)</f>
        <v>0</v>
      </c>
      <c r="G761" s="33">
        <f>IF(F761&gt;0,1,0)</f>
        <v>0</v>
      </c>
      <c r="H761" s="33">
        <f>COUNTIFS(Demand!$A$2:$A$4481,A761,Demand!$B$2:$B$4481,B761,Demand!$C$2:$C$4481,C761)</f>
        <v>1</v>
      </c>
    </row>
    <row r="762">
      <c r="A762" s="32" t="str">
        <f>Demand!A760</f>
        <v>S008</v>
      </c>
      <c r="B762" s="35">
        <f>Demand!B760</f>
        <v>46268.0</v>
      </c>
      <c r="C762" s="33">
        <f>Demand!C760</f>
        <v>14</v>
      </c>
      <c r="D762" s="33">
        <f>Demand!E760</f>
        <v>14</v>
      </c>
      <c r="E762" s="33">
        <f>IF(Demand!F760,1,0)</f>
        <v>0</v>
      </c>
      <c r="F762" s="33">
        <f>COUNTIFS(c_store,A762,c_date,B762,c_hour,C762)</f>
        <v>0</v>
      </c>
      <c r="G762" s="33">
        <f>IF(F762&gt;0,1,0)</f>
        <v>0</v>
      </c>
      <c r="H762" s="33">
        <f>COUNTIFS(Demand!$A$2:$A$4481,A762,Demand!$B$2:$B$4481,B762,Demand!$C$2:$C$4481,C762)</f>
        <v>1</v>
      </c>
    </row>
    <row r="763">
      <c r="A763" s="32" t="str">
        <f>Demand!A761</f>
        <v>S008</v>
      </c>
      <c r="B763" s="35">
        <f>Demand!B761</f>
        <v>46268.0</v>
      </c>
      <c r="C763" s="33">
        <f>Demand!C761</f>
        <v>15</v>
      </c>
      <c r="D763" s="33">
        <f>Demand!E761</f>
        <v>18</v>
      </c>
      <c r="E763" s="33">
        <f>IF(Demand!F761,1,0)</f>
        <v>0</v>
      </c>
      <c r="F763" s="33">
        <f>COUNTIFS(c_store,A763,c_date,B763,c_hour,C763)</f>
        <v>0</v>
      </c>
      <c r="G763" s="33">
        <f>IF(F763&gt;0,1,0)</f>
        <v>0</v>
      </c>
      <c r="H763" s="33">
        <f>COUNTIFS(Demand!$A$2:$A$4481,A763,Demand!$B$2:$B$4481,B763,Demand!$C$2:$C$4481,C763)</f>
        <v>1</v>
      </c>
    </row>
    <row r="764">
      <c r="A764" s="32" t="str">
        <f>Demand!A762</f>
        <v>S008</v>
      </c>
      <c r="B764" s="35">
        <f>Demand!B762</f>
        <v>46268.0</v>
      </c>
      <c r="C764" s="33">
        <f>Demand!C762</f>
        <v>16</v>
      </c>
      <c r="D764" s="33">
        <f>Demand!E762</f>
        <v>19</v>
      </c>
      <c r="E764" s="33">
        <f>IF(Demand!F762,1,0)</f>
        <v>0</v>
      </c>
      <c r="F764" s="33">
        <f>COUNTIFS(c_store,A764,c_date,B764,c_hour,C764)</f>
        <v>0</v>
      </c>
      <c r="G764" s="33">
        <f>IF(F764&gt;0,1,0)</f>
        <v>0</v>
      </c>
      <c r="H764" s="33">
        <f>COUNTIFS(Demand!$A$2:$A$4481,A764,Demand!$B$2:$B$4481,B764,Demand!$C$2:$C$4481,C764)</f>
        <v>1</v>
      </c>
    </row>
    <row r="765">
      <c r="A765" s="32" t="str">
        <f>Demand!A763</f>
        <v>S008</v>
      </c>
      <c r="B765" s="35">
        <f>Demand!B763</f>
        <v>46268.0</v>
      </c>
      <c r="C765" s="33">
        <f>Demand!C763</f>
        <v>17</v>
      </c>
      <c r="D765" s="33">
        <f>Demand!E763</f>
        <v>26</v>
      </c>
      <c r="E765" s="33">
        <f>IF(Demand!F763,1,0)</f>
        <v>0</v>
      </c>
      <c r="F765" s="33">
        <f>COUNTIFS(c_store,A765,c_date,B765,c_hour,C765)</f>
        <v>0</v>
      </c>
      <c r="G765" s="33">
        <f>IF(F765&gt;0,1,0)</f>
        <v>0</v>
      </c>
      <c r="H765" s="33">
        <f>COUNTIFS(Demand!$A$2:$A$4481,A765,Demand!$B$2:$B$4481,B765,Demand!$C$2:$C$4481,C765)</f>
        <v>1</v>
      </c>
    </row>
    <row r="766">
      <c r="A766" s="32" t="str">
        <f>Demand!A764</f>
        <v>S008</v>
      </c>
      <c r="B766" s="35">
        <f>Demand!B764</f>
        <v>46268.0</v>
      </c>
      <c r="C766" s="33">
        <f>Demand!C764</f>
        <v>18</v>
      </c>
      <c r="D766" s="33">
        <f>Demand!E764</f>
        <v>16</v>
      </c>
      <c r="E766" s="33">
        <f>IF(Demand!F764,1,0)</f>
        <v>0</v>
      </c>
      <c r="F766" s="33">
        <f>COUNTIFS(c_store,A766,c_date,B766,c_hour,C766)</f>
        <v>1</v>
      </c>
      <c r="G766" s="33">
        <f>IF(F766&gt;0,1,0)</f>
        <v>1</v>
      </c>
      <c r="H766" s="33">
        <f>COUNTIFS(Demand!$A$2:$A$4481,A766,Demand!$B$2:$B$4481,B766,Demand!$C$2:$C$4481,C766)</f>
        <v>1</v>
      </c>
    </row>
    <row r="767">
      <c r="A767" s="32" t="str">
        <f>Demand!A765</f>
        <v>S008</v>
      </c>
      <c r="B767" s="35">
        <f>Demand!B765</f>
        <v>46268.0</v>
      </c>
      <c r="C767" s="33">
        <f>Demand!C765</f>
        <v>19</v>
      </c>
      <c r="D767" s="33">
        <f>Demand!E765</f>
        <v>34</v>
      </c>
      <c r="E767" s="33">
        <f>IF(Demand!F765,1,0)</f>
        <v>1</v>
      </c>
      <c r="F767" s="33">
        <f>COUNTIFS(c_store,A767,c_date,B767,c_hour,C767)</f>
        <v>1</v>
      </c>
      <c r="G767" s="33">
        <f>IF(F767&gt;0,1,0)</f>
        <v>1</v>
      </c>
      <c r="H767" s="33">
        <f>COUNTIFS(Demand!$A$2:$A$4481,A767,Demand!$B$2:$B$4481,B767,Demand!$C$2:$C$4481,C767)</f>
        <v>1</v>
      </c>
    </row>
    <row r="768">
      <c r="A768" s="32" t="str">
        <f>Demand!A766</f>
        <v>S008</v>
      </c>
      <c r="B768" s="35">
        <f>Demand!B766</f>
        <v>46268.0</v>
      </c>
      <c r="C768" s="33">
        <f>Demand!C766</f>
        <v>20</v>
      </c>
      <c r="D768" s="33">
        <f>Demand!E766</f>
        <v>34</v>
      </c>
      <c r="E768" s="33">
        <f>IF(Demand!F766,1,0)</f>
        <v>1</v>
      </c>
      <c r="F768" s="33">
        <f>COUNTIFS(c_store,A768,c_date,B768,c_hour,C768)</f>
        <v>0</v>
      </c>
      <c r="G768" s="33">
        <f>IF(F768&gt;0,1,0)</f>
        <v>0</v>
      </c>
      <c r="H768" s="33">
        <f>COUNTIFS(Demand!$A$2:$A$4481,A768,Demand!$B$2:$B$4481,B768,Demand!$C$2:$C$4481,C768)</f>
        <v>1</v>
      </c>
    </row>
    <row r="769">
      <c r="A769" s="32" t="str">
        <f>Demand!A767</f>
        <v>S008</v>
      </c>
      <c r="B769" s="35">
        <f>Demand!B767</f>
        <v>46268.0</v>
      </c>
      <c r="C769" s="33">
        <f>Demand!C767</f>
        <v>21</v>
      </c>
      <c r="D769" s="33">
        <f>Demand!E767</f>
        <v>37</v>
      </c>
      <c r="E769" s="33">
        <f>IF(Demand!F767,1,0)</f>
        <v>1</v>
      </c>
      <c r="F769" s="33">
        <f>COUNTIFS(c_store,A769,c_date,B769,c_hour,C769)</f>
        <v>0</v>
      </c>
      <c r="G769" s="33">
        <f>IF(F769&gt;0,1,0)</f>
        <v>0</v>
      </c>
      <c r="H769" s="33">
        <f>COUNTIFS(Demand!$A$2:$A$4481,A769,Demand!$B$2:$B$4481,B769,Demand!$C$2:$C$4481,C769)</f>
        <v>1</v>
      </c>
    </row>
    <row r="770">
      <c r="A770" s="32" t="str">
        <f>Demand!A768</f>
        <v>S008</v>
      </c>
      <c r="B770" s="35">
        <f>Demand!B768</f>
        <v>46268.0</v>
      </c>
      <c r="C770" s="33">
        <f>Demand!C768</f>
        <v>22</v>
      </c>
      <c r="D770" s="33">
        <f>Demand!E768</f>
        <v>18</v>
      </c>
      <c r="E770" s="33">
        <f>IF(Demand!F768,1,0)</f>
        <v>0</v>
      </c>
      <c r="F770" s="33">
        <f>COUNTIFS(c_store,A770,c_date,B770,c_hour,C770)</f>
        <v>0</v>
      </c>
      <c r="G770" s="33">
        <f>IF(F770&gt;0,1,0)</f>
        <v>0</v>
      </c>
      <c r="H770" s="33">
        <f>COUNTIFS(Demand!$A$2:$A$4481,A770,Demand!$B$2:$B$4481,B770,Demand!$C$2:$C$4481,C770)</f>
        <v>1</v>
      </c>
    </row>
    <row r="771">
      <c r="A771" s="32" t="str">
        <f>Demand!A769</f>
        <v>S008</v>
      </c>
      <c r="B771" s="35">
        <f>Demand!B769</f>
        <v>46268.0</v>
      </c>
      <c r="C771" s="33">
        <f>Demand!C769</f>
        <v>23</v>
      </c>
      <c r="D771" s="33">
        <f>Demand!E769</f>
        <v>18</v>
      </c>
      <c r="E771" s="33">
        <f>IF(Demand!F769,1,0)</f>
        <v>0</v>
      </c>
      <c r="F771" s="33">
        <f>COUNTIFS(c_store,A771,c_date,B771,c_hour,C771)</f>
        <v>1</v>
      </c>
      <c r="G771" s="33">
        <f>IF(F771&gt;0,1,0)</f>
        <v>1</v>
      </c>
      <c r="H771" s="33">
        <f>COUNTIFS(Demand!$A$2:$A$4481,A771,Demand!$B$2:$B$4481,B771,Demand!$C$2:$C$4481,C771)</f>
        <v>1</v>
      </c>
    </row>
    <row r="772">
      <c r="A772" s="32" t="str">
        <f>Demand!A770</f>
        <v>S009</v>
      </c>
      <c r="B772" s="35">
        <f>Demand!B770</f>
        <v>46268.0</v>
      </c>
      <c r="C772" s="33">
        <f>Demand!C770</f>
        <v>8</v>
      </c>
      <c r="D772" s="33">
        <f>Demand!E770</f>
        <v>21</v>
      </c>
      <c r="E772" s="33">
        <f>IF(Demand!F770,1,0)</f>
        <v>0</v>
      </c>
      <c r="F772" s="33">
        <f>COUNTIFS(c_store,A772,c_date,B772,c_hour,C772)</f>
        <v>1</v>
      </c>
      <c r="G772" s="33">
        <f>IF(F772&gt;0,1,0)</f>
        <v>1</v>
      </c>
      <c r="H772" s="33">
        <f>COUNTIFS(Demand!$A$2:$A$4481,A772,Demand!$B$2:$B$4481,B772,Demand!$C$2:$C$4481,C772)</f>
        <v>1</v>
      </c>
    </row>
    <row r="773">
      <c r="A773" s="32" t="str">
        <f>Demand!A771</f>
        <v>S009</v>
      </c>
      <c r="B773" s="35">
        <f>Demand!B771</f>
        <v>46268.0</v>
      </c>
      <c r="C773" s="33">
        <f>Demand!C771</f>
        <v>9</v>
      </c>
      <c r="D773" s="33">
        <f>Demand!E771</f>
        <v>13</v>
      </c>
      <c r="E773" s="33">
        <f>IF(Demand!F771,1,0)</f>
        <v>0</v>
      </c>
      <c r="F773" s="33">
        <f>COUNTIFS(c_store,A773,c_date,B773,c_hour,C773)</f>
        <v>0</v>
      </c>
      <c r="G773" s="33">
        <f>IF(F773&gt;0,1,0)</f>
        <v>0</v>
      </c>
      <c r="H773" s="33">
        <f>COUNTIFS(Demand!$A$2:$A$4481,A773,Demand!$B$2:$B$4481,B773,Demand!$C$2:$C$4481,C773)</f>
        <v>1</v>
      </c>
    </row>
    <row r="774">
      <c r="A774" s="32" t="str">
        <f>Demand!A772</f>
        <v>S009</v>
      </c>
      <c r="B774" s="35">
        <f>Demand!B772</f>
        <v>46268.0</v>
      </c>
      <c r="C774" s="33">
        <f>Demand!C772</f>
        <v>10</v>
      </c>
      <c r="D774" s="33">
        <f>Demand!E772</f>
        <v>22</v>
      </c>
      <c r="E774" s="33">
        <f>IF(Demand!F772,1,0)</f>
        <v>0</v>
      </c>
      <c r="F774" s="33">
        <f>COUNTIFS(c_store,A774,c_date,B774,c_hour,C774)</f>
        <v>0</v>
      </c>
      <c r="G774" s="33">
        <f>IF(F774&gt;0,1,0)</f>
        <v>0</v>
      </c>
      <c r="H774" s="33">
        <f>COUNTIFS(Demand!$A$2:$A$4481,A774,Demand!$B$2:$B$4481,B774,Demand!$C$2:$C$4481,C774)</f>
        <v>1</v>
      </c>
    </row>
    <row r="775">
      <c r="A775" s="32" t="str">
        <f>Demand!A773</f>
        <v>S009</v>
      </c>
      <c r="B775" s="35">
        <f>Demand!B773</f>
        <v>46268.0</v>
      </c>
      <c r="C775" s="33">
        <f>Demand!C773</f>
        <v>11</v>
      </c>
      <c r="D775" s="33">
        <f>Demand!E773</f>
        <v>31</v>
      </c>
      <c r="E775" s="33">
        <f>IF(Demand!F773,1,0)</f>
        <v>0</v>
      </c>
      <c r="F775" s="33">
        <f>COUNTIFS(c_store,A775,c_date,B775,c_hour,C775)</f>
        <v>0</v>
      </c>
      <c r="G775" s="33">
        <f>IF(F775&gt;0,1,0)</f>
        <v>0</v>
      </c>
      <c r="H775" s="33">
        <f>COUNTIFS(Demand!$A$2:$A$4481,A775,Demand!$B$2:$B$4481,B775,Demand!$C$2:$C$4481,C775)</f>
        <v>1</v>
      </c>
    </row>
    <row r="776">
      <c r="A776" s="32" t="str">
        <f>Demand!A774</f>
        <v>S009</v>
      </c>
      <c r="B776" s="35">
        <f>Demand!B774</f>
        <v>46268.0</v>
      </c>
      <c r="C776" s="33">
        <f>Demand!C774</f>
        <v>12</v>
      </c>
      <c r="D776" s="33">
        <f>Demand!E774</f>
        <v>28</v>
      </c>
      <c r="E776" s="33">
        <f>IF(Demand!F774,1,0)</f>
        <v>0</v>
      </c>
      <c r="F776" s="33">
        <f>COUNTIFS(c_store,A776,c_date,B776,c_hour,C776)</f>
        <v>0</v>
      </c>
      <c r="G776" s="33">
        <f>IF(F776&gt;0,1,0)</f>
        <v>0</v>
      </c>
      <c r="H776" s="33">
        <f>COUNTIFS(Demand!$A$2:$A$4481,A776,Demand!$B$2:$B$4481,B776,Demand!$C$2:$C$4481,C776)</f>
        <v>1</v>
      </c>
    </row>
    <row r="777">
      <c r="A777" s="32" t="str">
        <f>Demand!A775</f>
        <v>S009</v>
      </c>
      <c r="B777" s="35">
        <f>Demand!B775</f>
        <v>46268.0</v>
      </c>
      <c r="C777" s="33">
        <f>Demand!C775</f>
        <v>13</v>
      </c>
      <c r="D777" s="33">
        <f>Demand!E775</f>
        <v>24</v>
      </c>
      <c r="E777" s="33">
        <f>IF(Demand!F775,1,0)</f>
        <v>0</v>
      </c>
      <c r="F777" s="33">
        <f>COUNTIFS(c_store,A777,c_date,B777,c_hour,C777)</f>
        <v>0</v>
      </c>
      <c r="G777" s="33">
        <f>IF(F777&gt;0,1,0)</f>
        <v>0</v>
      </c>
      <c r="H777" s="33">
        <f>COUNTIFS(Demand!$A$2:$A$4481,A777,Demand!$B$2:$B$4481,B777,Demand!$C$2:$C$4481,C777)</f>
        <v>1</v>
      </c>
    </row>
    <row r="778">
      <c r="A778" s="32" t="str">
        <f>Demand!A776</f>
        <v>S009</v>
      </c>
      <c r="B778" s="35">
        <f>Demand!B776</f>
        <v>46268.0</v>
      </c>
      <c r="C778" s="33">
        <f>Demand!C776</f>
        <v>14</v>
      </c>
      <c r="D778" s="33">
        <f>Demand!E776</f>
        <v>19</v>
      </c>
      <c r="E778" s="33">
        <f>IF(Demand!F776,1,0)</f>
        <v>0</v>
      </c>
      <c r="F778" s="33">
        <f>COUNTIFS(c_store,A778,c_date,B778,c_hour,C778)</f>
        <v>1</v>
      </c>
      <c r="G778" s="33">
        <f>IF(F778&gt;0,1,0)</f>
        <v>1</v>
      </c>
      <c r="H778" s="33">
        <f>COUNTIFS(Demand!$A$2:$A$4481,A778,Demand!$B$2:$B$4481,B778,Demand!$C$2:$C$4481,C778)</f>
        <v>1</v>
      </c>
    </row>
    <row r="779">
      <c r="A779" s="32" t="str">
        <f>Demand!A777</f>
        <v>S009</v>
      </c>
      <c r="B779" s="35">
        <f>Demand!B777</f>
        <v>46268.0</v>
      </c>
      <c r="C779" s="33">
        <f>Demand!C777</f>
        <v>15</v>
      </c>
      <c r="D779" s="33">
        <f>Demand!E777</f>
        <v>23</v>
      </c>
      <c r="E779" s="33">
        <f>IF(Demand!F777,1,0)</f>
        <v>0</v>
      </c>
      <c r="F779" s="33">
        <f>COUNTIFS(c_store,A779,c_date,B779,c_hour,C779)</f>
        <v>0</v>
      </c>
      <c r="G779" s="33">
        <f>IF(F779&gt;0,1,0)</f>
        <v>0</v>
      </c>
      <c r="H779" s="33">
        <f>COUNTIFS(Demand!$A$2:$A$4481,A779,Demand!$B$2:$B$4481,B779,Demand!$C$2:$C$4481,C779)</f>
        <v>1</v>
      </c>
    </row>
    <row r="780">
      <c r="A780" s="32" t="str">
        <f>Demand!A778</f>
        <v>S009</v>
      </c>
      <c r="B780" s="35">
        <f>Demand!B778</f>
        <v>46268.0</v>
      </c>
      <c r="C780" s="33">
        <f>Demand!C778</f>
        <v>16</v>
      </c>
      <c r="D780" s="33">
        <f>Demand!E778</f>
        <v>28</v>
      </c>
      <c r="E780" s="33">
        <f>IF(Demand!F778,1,0)</f>
        <v>0</v>
      </c>
      <c r="F780" s="33">
        <f>COUNTIFS(c_store,A780,c_date,B780,c_hour,C780)</f>
        <v>1</v>
      </c>
      <c r="G780" s="33">
        <f>IF(F780&gt;0,1,0)</f>
        <v>1</v>
      </c>
      <c r="H780" s="33">
        <f>COUNTIFS(Demand!$A$2:$A$4481,A780,Demand!$B$2:$B$4481,B780,Demand!$C$2:$C$4481,C780)</f>
        <v>1</v>
      </c>
    </row>
    <row r="781">
      <c r="A781" s="32" t="str">
        <f>Demand!A779</f>
        <v>S009</v>
      </c>
      <c r="B781" s="35">
        <f>Demand!B779</f>
        <v>46268.0</v>
      </c>
      <c r="C781" s="33">
        <f>Demand!C779</f>
        <v>17</v>
      </c>
      <c r="D781" s="33">
        <f>Demand!E779</f>
        <v>25</v>
      </c>
      <c r="E781" s="33">
        <f>IF(Demand!F779,1,0)</f>
        <v>0</v>
      </c>
      <c r="F781" s="33">
        <f>COUNTIFS(c_store,A781,c_date,B781,c_hour,C781)</f>
        <v>2</v>
      </c>
      <c r="G781" s="33">
        <f>IF(F781&gt;0,1,0)</f>
        <v>1</v>
      </c>
      <c r="H781" s="33">
        <f>COUNTIFS(Demand!$A$2:$A$4481,A781,Demand!$B$2:$B$4481,B781,Demand!$C$2:$C$4481,C781)</f>
        <v>1</v>
      </c>
    </row>
    <row r="782">
      <c r="A782" s="32" t="str">
        <f>Demand!A780</f>
        <v>S009</v>
      </c>
      <c r="B782" s="35">
        <f>Demand!B780</f>
        <v>46268.0</v>
      </c>
      <c r="C782" s="33">
        <f>Demand!C780</f>
        <v>18</v>
      </c>
      <c r="D782" s="33">
        <f>Demand!E780</f>
        <v>33</v>
      </c>
      <c r="E782" s="33">
        <f>IF(Demand!F780,1,0)</f>
        <v>0</v>
      </c>
      <c r="F782" s="33">
        <f>COUNTIFS(c_store,A782,c_date,B782,c_hour,C782)</f>
        <v>0</v>
      </c>
      <c r="G782" s="33">
        <f>IF(F782&gt;0,1,0)</f>
        <v>0</v>
      </c>
      <c r="H782" s="33">
        <f>COUNTIFS(Demand!$A$2:$A$4481,A782,Demand!$B$2:$B$4481,B782,Demand!$C$2:$C$4481,C782)</f>
        <v>1</v>
      </c>
    </row>
    <row r="783">
      <c r="A783" s="32" t="str">
        <f>Demand!A781</f>
        <v>S009</v>
      </c>
      <c r="B783" s="35">
        <f>Demand!B781</f>
        <v>46268.0</v>
      </c>
      <c r="C783" s="33">
        <f>Demand!C781</f>
        <v>19</v>
      </c>
      <c r="D783" s="33">
        <f>Demand!E781</f>
        <v>37</v>
      </c>
      <c r="E783" s="33">
        <f>IF(Demand!F781,1,0)</f>
        <v>1</v>
      </c>
      <c r="F783" s="33">
        <f>COUNTIFS(c_store,A783,c_date,B783,c_hour,C783)</f>
        <v>1</v>
      </c>
      <c r="G783" s="33">
        <f>IF(F783&gt;0,1,0)</f>
        <v>1</v>
      </c>
      <c r="H783" s="33">
        <f>COUNTIFS(Demand!$A$2:$A$4481,A783,Demand!$B$2:$B$4481,B783,Demand!$C$2:$C$4481,C783)</f>
        <v>1</v>
      </c>
    </row>
    <row r="784">
      <c r="A784" s="32" t="str">
        <f>Demand!A782</f>
        <v>S009</v>
      </c>
      <c r="B784" s="35">
        <f>Demand!B782</f>
        <v>46268.0</v>
      </c>
      <c r="C784" s="33">
        <f>Demand!C782</f>
        <v>20</v>
      </c>
      <c r="D784" s="33">
        <f>Demand!E782</f>
        <v>31</v>
      </c>
      <c r="E784" s="33">
        <f>IF(Demand!F782,1,0)</f>
        <v>1</v>
      </c>
      <c r="F784" s="33">
        <f>COUNTIFS(c_store,A784,c_date,B784,c_hour,C784)</f>
        <v>0</v>
      </c>
      <c r="G784" s="33">
        <f>IF(F784&gt;0,1,0)</f>
        <v>0</v>
      </c>
      <c r="H784" s="33">
        <f>COUNTIFS(Demand!$A$2:$A$4481,A784,Demand!$B$2:$B$4481,B784,Demand!$C$2:$C$4481,C784)</f>
        <v>1</v>
      </c>
    </row>
    <row r="785">
      <c r="A785" s="32" t="str">
        <f>Demand!A783</f>
        <v>S009</v>
      </c>
      <c r="B785" s="35">
        <f>Demand!B783</f>
        <v>46268.0</v>
      </c>
      <c r="C785" s="33">
        <f>Demand!C783</f>
        <v>21</v>
      </c>
      <c r="D785" s="33">
        <f>Demand!E783</f>
        <v>37</v>
      </c>
      <c r="E785" s="33">
        <f>IF(Demand!F783,1,0)</f>
        <v>1</v>
      </c>
      <c r="F785" s="33">
        <f>COUNTIFS(c_store,A785,c_date,B785,c_hour,C785)</f>
        <v>0</v>
      </c>
      <c r="G785" s="33">
        <f>IF(F785&gt;0,1,0)</f>
        <v>0</v>
      </c>
      <c r="H785" s="33">
        <f>COUNTIFS(Demand!$A$2:$A$4481,A785,Demand!$B$2:$B$4481,B785,Demand!$C$2:$C$4481,C785)</f>
        <v>1</v>
      </c>
    </row>
    <row r="786">
      <c r="A786" s="32" t="str">
        <f>Demand!A784</f>
        <v>S009</v>
      </c>
      <c r="B786" s="35">
        <f>Demand!B784</f>
        <v>46268.0</v>
      </c>
      <c r="C786" s="33">
        <f>Demand!C784</f>
        <v>22</v>
      </c>
      <c r="D786" s="33">
        <f>Demand!E784</f>
        <v>27</v>
      </c>
      <c r="E786" s="33">
        <f>IF(Demand!F784,1,0)</f>
        <v>0</v>
      </c>
      <c r="F786" s="33">
        <f>COUNTIFS(c_store,A786,c_date,B786,c_hour,C786)</f>
        <v>1</v>
      </c>
      <c r="G786" s="33">
        <f>IF(F786&gt;0,1,0)</f>
        <v>1</v>
      </c>
      <c r="H786" s="33">
        <f>COUNTIFS(Demand!$A$2:$A$4481,A786,Demand!$B$2:$B$4481,B786,Demand!$C$2:$C$4481,C786)</f>
        <v>1</v>
      </c>
    </row>
    <row r="787">
      <c r="A787" s="32" t="str">
        <f>Demand!A785</f>
        <v>S009</v>
      </c>
      <c r="B787" s="35">
        <f>Demand!B785</f>
        <v>46268.0</v>
      </c>
      <c r="C787" s="33">
        <f>Demand!C785</f>
        <v>23</v>
      </c>
      <c r="D787" s="33">
        <f>Demand!E785</f>
        <v>28</v>
      </c>
      <c r="E787" s="33">
        <f>IF(Demand!F785,1,0)</f>
        <v>0</v>
      </c>
      <c r="F787" s="33">
        <f>COUNTIFS(c_store,A787,c_date,B787,c_hour,C787)</f>
        <v>0</v>
      </c>
      <c r="G787" s="33">
        <f>IF(F787&gt;0,1,0)</f>
        <v>0</v>
      </c>
      <c r="H787" s="33">
        <f>COUNTIFS(Demand!$A$2:$A$4481,A787,Demand!$B$2:$B$4481,B787,Demand!$C$2:$C$4481,C787)</f>
        <v>1</v>
      </c>
    </row>
    <row r="788">
      <c r="A788" s="32" t="str">
        <f>Demand!A786</f>
        <v>S010</v>
      </c>
      <c r="B788" s="35">
        <f>Demand!B786</f>
        <v>46268.0</v>
      </c>
      <c r="C788" s="33">
        <f>Demand!C786</f>
        <v>8</v>
      </c>
      <c r="D788" s="33">
        <f>Demand!E786</f>
        <v>14</v>
      </c>
      <c r="E788" s="33">
        <f>IF(Demand!F786,1,0)</f>
        <v>0</v>
      </c>
      <c r="F788" s="33">
        <f>COUNTIFS(c_store,A788,c_date,B788,c_hour,C788)</f>
        <v>0</v>
      </c>
      <c r="G788" s="33">
        <f>IF(F788&gt;0,1,0)</f>
        <v>0</v>
      </c>
      <c r="H788" s="33">
        <f>COUNTIFS(Demand!$A$2:$A$4481,A788,Demand!$B$2:$B$4481,B788,Demand!$C$2:$C$4481,C788)</f>
        <v>1</v>
      </c>
    </row>
    <row r="789">
      <c r="A789" s="32" t="str">
        <f>Demand!A787</f>
        <v>S010</v>
      </c>
      <c r="B789" s="35">
        <f>Demand!B787</f>
        <v>46268.0</v>
      </c>
      <c r="C789" s="33">
        <f>Demand!C787</f>
        <v>9</v>
      </c>
      <c r="D789" s="33">
        <f>Demand!E787</f>
        <v>18</v>
      </c>
      <c r="E789" s="33">
        <f>IF(Demand!F787,1,0)</f>
        <v>0</v>
      </c>
      <c r="F789" s="33">
        <f>COUNTIFS(c_store,A789,c_date,B789,c_hour,C789)</f>
        <v>0</v>
      </c>
      <c r="G789" s="33">
        <f>IF(F789&gt;0,1,0)</f>
        <v>0</v>
      </c>
      <c r="H789" s="33">
        <f>COUNTIFS(Demand!$A$2:$A$4481,A789,Demand!$B$2:$B$4481,B789,Demand!$C$2:$C$4481,C789)</f>
        <v>1</v>
      </c>
    </row>
    <row r="790">
      <c r="A790" s="32" t="str">
        <f>Demand!A788</f>
        <v>S010</v>
      </c>
      <c r="B790" s="35">
        <f>Demand!B788</f>
        <v>46268.0</v>
      </c>
      <c r="C790" s="33">
        <f>Demand!C788</f>
        <v>10</v>
      </c>
      <c r="D790" s="33">
        <f>Demand!E788</f>
        <v>23</v>
      </c>
      <c r="E790" s="33">
        <f>IF(Demand!F788,1,0)</f>
        <v>0</v>
      </c>
      <c r="F790" s="33">
        <f>COUNTIFS(c_store,A790,c_date,B790,c_hour,C790)</f>
        <v>1</v>
      </c>
      <c r="G790" s="33">
        <f>IF(F790&gt;0,1,0)</f>
        <v>1</v>
      </c>
      <c r="H790" s="33">
        <f>COUNTIFS(Demand!$A$2:$A$4481,A790,Demand!$B$2:$B$4481,B790,Demand!$C$2:$C$4481,C790)</f>
        <v>1</v>
      </c>
    </row>
    <row r="791">
      <c r="A791" s="32" t="str">
        <f>Demand!A789</f>
        <v>S010</v>
      </c>
      <c r="B791" s="35">
        <f>Demand!B789</f>
        <v>46268.0</v>
      </c>
      <c r="C791" s="33">
        <f>Demand!C789</f>
        <v>11</v>
      </c>
      <c r="D791" s="33">
        <f>Demand!E789</f>
        <v>22</v>
      </c>
      <c r="E791" s="33">
        <f>IF(Demand!F789,1,0)</f>
        <v>0</v>
      </c>
      <c r="F791" s="33">
        <f>COUNTIFS(c_store,A791,c_date,B791,c_hour,C791)</f>
        <v>1</v>
      </c>
      <c r="G791" s="33">
        <f>IF(F791&gt;0,1,0)</f>
        <v>1</v>
      </c>
      <c r="H791" s="33">
        <f>COUNTIFS(Demand!$A$2:$A$4481,A791,Demand!$B$2:$B$4481,B791,Demand!$C$2:$C$4481,C791)</f>
        <v>1</v>
      </c>
    </row>
    <row r="792">
      <c r="A792" s="32" t="str">
        <f>Demand!A790</f>
        <v>S010</v>
      </c>
      <c r="B792" s="35">
        <f>Demand!B790</f>
        <v>46268.0</v>
      </c>
      <c r="C792" s="33">
        <f>Demand!C790</f>
        <v>12</v>
      </c>
      <c r="D792" s="33">
        <f>Demand!E790</f>
        <v>19</v>
      </c>
      <c r="E792" s="33">
        <f>IF(Demand!F790,1,0)</f>
        <v>0</v>
      </c>
      <c r="F792" s="33">
        <f>COUNTIFS(c_store,A792,c_date,B792,c_hour,C792)</f>
        <v>0</v>
      </c>
      <c r="G792" s="33">
        <f>IF(F792&gt;0,1,0)</f>
        <v>0</v>
      </c>
      <c r="H792" s="33">
        <f>COUNTIFS(Demand!$A$2:$A$4481,A792,Demand!$B$2:$B$4481,B792,Demand!$C$2:$C$4481,C792)</f>
        <v>1</v>
      </c>
    </row>
    <row r="793">
      <c r="A793" s="32" t="str">
        <f>Demand!A791</f>
        <v>S010</v>
      </c>
      <c r="B793" s="35">
        <f>Demand!B791</f>
        <v>46268.0</v>
      </c>
      <c r="C793" s="33">
        <f>Demand!C791</f>
        <v>13</v>
      </c>
      <c r="D793" s="33">
        <f>Demand!E791</f>
        <v>26</v>
      </c>
      <c r="E793" s="33">
        <f>IF(Demand!F791,1,0)</f>
        <v>0</v>
      </c>
      <c r="F793" s="33">
        <f>COUNTIFS(c_store,A793,c_date,B793,c_hour,C793)</f>
        <v>0</v>
      </c>
      <c r="G793" s="33">
        <f>IF(F793&gt;0,1,0)</f>
        <v>0</v>
      </c>
      <c r="H793" s="33">
        <f>COUNTIFS(Demand!$A$2:$A$4481,A793,Demand!$B$2:$B$4481,B793,Demand!$C$2:$C$4481,C793)</f>
        <v>1</v>
      </c>
    </row>
    <row r="794">
      <c r="A794" s="32" t="str">
        <f>Demand!A792</f>
        <v>S010</v>
      </c>
      <c r="B794" s="35">
        <f>Demand!B792</f>
        <v>46268.0</v>
      </c>
      <c r="C794" s="33">
        <f>Demand!C792</f>
        <v>14</v>
      </c>
      <c r="D794" s="33">
        <f>Demand!E792</f>
        <v>19</v>
      </c>
      <c r="E794" s="33">
        <f>IF(Demand!F792,1,0)</f>
        <v>0</v>
      </c>
      <c r="F794" s="33">
        <f>COUNTIFS(c_store,A794,c_date,B794,c_hour,C794)</f>
        <v>0</v>
      </c>
      <c r="G794" s="33">
        <f>IF(F794&gt;0,1,0)</f>
        <v>0</v>
      </c>
      <c r="H794" s="33">
        <f>COUNTIFS(Demand!$A$2:$A$4481,A794,Demand!$B$2:$B$4481,B794,Demand!$C$2:$C$4481,C794)</f>
        <v>1</v>
      </c>
    </row>
    <row r="795">
      <c r="A795" s="32" t="str">
        <f>Demand!A793</f>
        <v>S010</v>
      </c>
      <c r="B795" s="35">
        <f>Demand!B793</f>
        <v>46268.0</v>
      </c>
      <c r="C795" s="33">
        <f>Demand!C793</f>
        <v>15</v>
      </c>
      <c r="D795" s="33">
        <f>Demand!E793</f>
        <v>19</v>
      </c>
      <c r="E795" s="33">
        <f>IF(Demand!F793,1,0)</f>
        <v>0</v>
      </c>
      <c r="F795" s="33">
        <f>COUNTIFS(c_store,A795,c_date,B795,c_hour,C795)</f>
        <v>2</v>
      </c>
      <c r="G795" s="33">
        <f>IF(F795&gt;0,1,0)</f>
        <v>1</v>
      </c>
      <c r="H795" s="33">
        <f>COUNTIFS(Demand!$A$2:$A$4481,A795,Demand!$B$2:$B$4481,B795,Demand!$C$2:$C$4481,C795)</f>
        <v>1</v>
      </c>
    </row>
    <row r="796">
      <c r="A796" s="32" t="str">
        <f>Demand!A794</f>
        <v>S010</v>
      </c>
      <c r="B796" s="35">
        <f>Demand!B794</f>
        <v>46268.0</v>
      </c>
      <c r="C796" s="33">
        <f>Demand!C794</f>
        <v>16</v>
      </c>
      <c r="D796" s="33">
        <f>Demand!E794</f>
        <v>24</v>
      </c>
      <c r="E796" s="33">
        <f>IF(Demand!F794,1,0)</f>
        <v>0</v>
      </c>
      <c r="F796" s="33">
        <f>COUNTIFS(c_store,A796,c_date,B796,c_hour,C796)</f>
        <v>1</v>
      </c>
      <c r="G796" s="33">
        <f>IF(F796&gt;0,1,0)</f>
        <v>1</v>
      </c>
      <c r="H796" s="33">
        <f>COUNTIFS(Demand!$A$2:$A$4481,A796,Demand!$B$2:$B$4481,B796,Demand!$C$2:$C$4481,C796)</f>
        <v>1</v>
      </c>
    </row>
    <row r="797">
      <c r="A797" s="32" t="str">
        <f>Demand!A795</f>
        <v>S010</v>
      </c>
      <c r="B797" s="35">
        <f>Demand!B795</f>
        <v>46268.0</v>
      </c>
      <c r="C797" s="33">
        <f>Demand!C795</f>
        <v>17</v>
      </c>
      <c r="D797" s="33">
        <f>Demand!E795</f>
        <v>20</v>
      </c>
      <c r="E797" s="33">
        <f>IF(Demand!F795,1,0)</f>
        <v>0</v>
      </c>
      <c r="F797" s="33">
        <f>COUNTIFS(c_store,A797,c_date,B797,c_hour,C797)</f>
        <v>0</v>
      </c>
      <c r="G797" s="33">
        <f>IF(F797&gt;0,1,0)</f>
        <v>0</v>
      </c>
      <c r="H797" s="33">
        <f>COUNTIFS(Demand!$A$2:$A$4481,A797,Demand!$B$2:$B$4481,B797,Demand!$C$2:$C$4481,C797)</f>
        <v>1</v>
      </c>
    </row>
    <row r="798">
      <c r="A798" s="32" t="str">
        <f>Demand!A796</f>
        <v>S010</v>
      </c>
      <c r="B798" s="35">
        <f>Demand!B796</f>
        <v>46268.0</v>
      </c>
      <c r="C798" s="33">
        <f>Demand!C796</f>
        <v>18</v>
      </c>
      <c r="D798" s="33">
        <f>Demand!E796</f>
        <v>25</v>
      </c>
      <c r="E798" s="33">
        <f>IF(Demand!F796,1,0)</f>
        <v>0</v>
      </c>
      <c r="F798" s="33">
        <f>COUNTIFS(c_store,A798,c_date,B798,c_hour,C798)</f>
        <v>2</v>
      </c>
      <c r="G798" s="33">
        <f>IF(F798&gt;0,1,0)</f>
        <v>1</v>
      </c>
      <c r="H798" s="33">
        <f>COUNTIFS(Demand!$A$2:$A$4481,A798,Demand!$B$2:$B$4481,B798,Demand!$C$2:$C$4481,C798)</f>
        <v>1</v>
      </c>
    </row>
    <row r="799">
      <c r="A799" s="32" t="str">
        <f>Demand!A797</f>
        <v>S010</v>
      </c>
      <c r="B799" s="35">
        <f>Demand!B797</f>
        <v>46268.0</v>
      </c>
      <c r="C799" s="33">
        <f>Demand!C797</f>
        <v>19</v>
      </c>
      <c r="D799" s="33">
        <f>Demand!E797</f>
        <v>28</v>
      </c>
      <c r="E799" s="33">
        <f>IF(Demand!F797,1,0)</f>
        <v>1</v>
      </c>
      <c r="F799" s="33">
        <f>COUNTIFS(c_store,A799,c_date,B799,c_hour,C799)</f>
        <v>0</v>
      </c>
      <c r="G799" s="33">
        <f>IF(F799&gt;0,1,0)</f>
        <v>0</v>
      </c>
      <c r="H799" s="33">
        <f>COUNTIFS(Demand!$A$2:$A$4481,A799,Demand!$B$2:$B$4481,B799,Demand!$C$2:$C$4481,C799)</f>
        <v>1</v>
      </c>
    </row>
    <row r="800">
      <c r="A800" s="32" t="str">
        <f>Demand!A798</f>
        <v>S010</v>
      </c>
      <c r="B800" s="35">
        <f>Demand!B798</f>
        <v>46268.0</v>
      </c>
      <c r="C800" s="33">
        <f>Demand!C798</f>
        <v>20</v>
      </c>
      <c r="D800" s="33">
        <f>Demand!E798</f>
        <v>28</v>
      </c>
      <c r="E800" s="33">
        <f>IF(Demand!F798,1,0)</f>
        <v>1</v>
      </c>
      <c r="F800" s="33">
        <f>COUNTIFS(c_store,A800,c_date,B800,c_hour,C800)</f>
        <v>0</v>
      </c>
      <c r="G800" s="33">
        <f>IF(F800&gt;0,1,0)</f>
        <v>0</v>
      </c>
      <c r="H800" s="33">
        <f>COUNTIFS(Demand!$A$2:$A$4481,A800,Demand!$B$2:$B$4481,B800,Demand!$C$2:$C$4481,C800)</f>
        <v>1</v>
      </c>
    </row>
    <row r="801">
      <c r="A801" s="32" t="str">
        <f>Demand!A799</f>
        <v>S010</v>
      </c>
      <c r="B801" s="35">
        <f>Demand!B799</f>
        <v>46268.0</v>
      </c>
      <c r="C801" s="33">
        <f>Demand!C799</f>
        <v>21</v>
      </c>
      <c r="D801" s="33">
        <f>Demand!E799</f>
        <v>36</v>
      </c>
      <c r="E801" s="33">
        <f>IF(Demand!F799,1,0)</f>
        <v>1</v>
      </c>
      <c r="F801" s="33">
        <f>COUNTIFS(c_store,A801,c_date,B801,c_hour,C801)</f>
        <v>1</v>
      </c>
      <c r="G801" s="33">
        <f>IF(F801&gt;0,1,0)</f>
        <v>1</v>
      </c>
      <c r="H801" s="33">
        <f>COUNTIFS(Demand!$A$2:$A$4481,A801,Demand!$B$2:$B$4481,B801,Demand!$C$2:$C$4481,C801)</f>
        <v>1</v>
      </c>
    </row>
    <row r="802">
      <c r="A802" s="32" t="str">
        <f>Demand!A800</f>
        <v>S010</v>
      </c>
      <c r="B802" s="35">
        <f>Demand!B800</f>
        <v>46268.0</v>
      </c>
      <c r="C802" s="33">
        <f>Demand!C800</f>
        <v>22</v>
      </c>
      <c r="D802" s="33">
        <f>Demand!E800</f>
        <v>25</v>
      </c>
      <c r="E802" s="33">
        <f>IF(Demand!F800,1,0)</f>
        <v>0</v>
      </c>
      <c r="F802" s="33">
        <f>COUNTIFS(c_store,A802,c_date,B802,c_hour,C802)</f>
        <v>1</v>
      </c>
      <c r="G802" s="33">
        <f>IF(F802&gt;0,1,0)</f>
        <v>1</v>
      </c>
      <c r="H802" s="33">
        <f>COUNTIFS(Demand!$A$2:$A$4481,A802,Demand!$B$2:$B$4481,B802,Demand!$C$2:$C$4481,C802)</f>
        <v>1</v>
      </c>
    </row>
    <row r="803">
      <c r="A803" s="32" t="str">
        <f>Demand!A801</f>
        <v>S010</v>
      </c>
      <c r="B803" s="35">
        <f>Demand!B801</f>
        <v>46268.0</v>
      </c>
      <c r="C803" s="33">
        <f>Demand!C801</f>
        <v>23</v>
      </c>
      <c r="D803" s="33">
        <f>Demand!E801</f>
        <v>22</v>
      </c>
      <c r="E803" s="33">
        <f>IF(Demand!F801,1,0)</f>
        <v>0</v>
      </c>
      <c r="F803" s="33">
        <f>COUNTIFS(c_store,A803,c_date,B803,c_hour,C803)</f>
        <v>1</v>
      </c>
      <c r="G803" s="33">
        <f>IF(F803&gt;0,1,0)</f>
        <v>1</v>
      </c>
      <c r="H803" s="33">
        <f>COUNTIFS(Demand!$A$2:$A$4481,A803,Demand!$B$2:$B$4481,B803,Demand!$C$2:$C$4481,C803)</f>
        <v>1</v>
      </c>
    </row>
    <row r="804">
      <c r="A804" s="32" t="str">
        <f>Demand!A802</f>
        <v>S011</v>
      </c>
      <c r="B804" s="35">
        <f>Demand!B802</f>
        <v>46268.0</v>
      </c>
      <c r="C804" s="33">
        <f>Demand!C802</f>
        <v>8</v>
      </c>
      <c r="D804" s="33">
        <f>Demand!E802</f>
        <v>14</v>
      </c>
      <c r="E804" s="33">
        <f>IF(Demand!F802,1,0)</f>
        <v>0</v>
      </c>
      <c r="F804" s="33">
        <f>COUNTIFS(c_store,A804,c_date,B804,c_hour,C804)</f>
        <v>0</v>
      </c>
      <c r="G804" s="33">
        <f>IF(F804&gt;0,1,0)</f>
        <v>0</v>
      </c>
      <c r="H804" s="33">
        <f>COUNTIFS(Demand!$A$2:$A$4481,A804,Demand!$B$2:$B$4481,B804,Demand!$C$2:$C$4481,C804)</f>
        <v>1</v>
      </c>
    </row>
    <row r="805">
      <c r="A805" s="32" t="str">
        <f>Demand!A803</f>
        <v>S011</v>
      </c>
      <c r="B805" s="35">
        <f>Demand!B803</f>
        <v>46268.0</v>
      </c>
      <c r="C805" s="33">
        <f>Demand!C803</f>
        <v>9</v>
      </c>
      <c r="D805" s="33">
        <f>Demand!E803</f>
        <v>16</v>
      </c>
      <c r="E805" s="33">
        <f>IF(Demand!F803,1,0)</f>
        <v>0</v>
      </c>
      <c r="F805" s="33">
        <f>COUNTIFS(c_store,A805,c_date,B805,c_hour,C805)</f>
        <v>2</v>
      </c>
      <c r="G805" s="33">
        <f>IF(F805&gt;0,1,0)</f>
        <v>1</v>
      </c>
      <c r="H805" s="33">
        <f>COUNTIFS(Demand!$A$2:$A$4481,A805,Demand!$B$2:$B$4481,B805,Demand!$C$2:$C$4481,C805)</f>
        <v>1</v>
      </c>
    </row>
    <row r="806">
      <c r="A806" s="32" t="str">
        <f>Demand!A804</f>
        <v>S011</v>
      </c>
      <c r="B806" s="35">
        <f>Demand!B804</f>
        <v>46268.0</v>
      </c>
      <c r="C806" s="33">
        <f>Demand!C804</f>
        <v>10</v>
      </c>
      <c r="D806" s="33">
        <f>Demand!E804</f>
        <v>24</v>
      </c>
      <c r="E806" s="33">
        <f>IF(Demand!F804,1,0)</f>
        <v>0</v>
      </c>
      <c r="F806" s="33">
        <f>COUNTIFS(c_store,A806,c_date,B806,c_hour,C806)</f>
        <v>0</v>
      </c>
      <c r="G806" s="33">
        <f>IF(F806&gt;0,1,0)</f>
        <v>0</v>
      </c>
      <c r="H806" s="33">
        <f>COUNTIFS(Demand!$A$2:$A$4481,A806,Demand!$B$2:$B$4481,B806,Demand!$C$2:$C$4481,C806)</f>
        <v>1</v>
      </c>
    </row>
    <row r="807">
      <c r="A807" s="32" t="str">
        <f>Demand!A805</f>
        <v>S011</v>
      </c>
      <c r="B807" s="35">
        <f>Demand!B805</f>
        <v>46268.0</v>
      </c>
      <c r="C807" s="33">
        <f>Demand!C805</f>
        <v>11</v>
      </c>
      <c r="D807" s="33">
        <f>Demand!E805</f>
        <v>32</v>
      </c>
      <c r="E807" s="33">
        <f>IF(Demand!F805,1,0)</f>
        <v>0</v>
      </c>
      <c r="F807" s="33">
        <f>COUNTIFS(c_store,A807,c_date,B807,c_hour,C807)</f>
        <v>1</v>
      </c>
      <c r="G807" s="33">
        <f>IF(F807&gt;0,1,0)</f>
        <v>1</v>
      </c>
      <c r="H807" s="33">
        <f>COUNTIFS(Demand!$A$2:$A$4481,A807,Demand!$B$2:$B$4481,B807,Demand!$C$2:$C$4481,C807)</f>
        <v>1</v>
      </c>
    </row>
    <row r="808">
      <c r="A808" s="32" t="str">
        <f>Demand!A806</f>
        <v>S011</v>
      </c>
      <c r="B808" s="35">
        <f>Demand!B806</f>
        <v>46268.0</v>
      </c>
      <c r="C808" s="33">
        <f>Demand!C806</f>
        <v>12</v>
      </c>
      <c r="D808" s="33">
        <f>Demand!E806</f>
        <v>34</v>
      </c>
      <c r="E808" s="33">
        <f>IF(Demand!F806,1,0)</f>
        <v>0</v>
      </c>
      <c r="F808" s="33">
        <f>COUNTIFS(c_store,A808,c_date,B808,c_hour,C808)</f>
        <v>0</v>
      </c>
      <c r="G808" s="33">
        <f>IF(F808&gt;0,1,0)</f>
        <v>0</v>
      </c>
      <c r="H808" s="33">
        <f>COUNTIFS(Demand!$A$2:$A$4481,A808,Demand!$B$2:$B$4481,B808,Demand!$C$2:$C$4481,C808)</f>
        <v>1</v>
      </c>
    </row>
    <row r="809">
      <c r="A809" s="32" t="str">
        <f>Demand!A807</f>
        <v>S011</v>
      </c>
      <c r="B809" s="35">
        <f>Demand!B807</f>
        <v>46268.0</v>
      </c>
      <c r="C809" s="33">
        <f>Demand!C807</f>
        <v>13</v>
      </c>
      <c r="D809" s="33">
        <f>Demand!E807</f>
        <v>29</v>
      </c>
      <c r="E809" s="33">
        <f>IF(Demand!F807,1,0)</f>
        <v>0</v>
      </c>
      <c r="F809" s="33">
        <f>COUNTIFS(c_store,A809,c_date,B809,c_hour,C809)</f>
        <v>1</v>
      </c>
      <c r="G809" s="33">
        <f>IF(F809&gt;0,1,0)</f>
        <v>1</v>
      </c>
      <c r="H809" s="33">
        <f>COUNTIFS(Demand!$A$2:$A$4481,A809,Demand!$B$2:$B$4481,B809,Demand!$C$2:$C$4481,C809)</f>
        <v>1</v>
      </c>
    </row>
    <row r="810">
      <c r="A810" s="32" t="str">
        <f>Demand!A808</f>
        <v>S011</v>
      </c>
      <c r="B810" s="35">
        <f>Demand!B808</f>
        <v>46268.0</v>
      </c>
      <c r="C810" s="33">
        <f>Demand!C808</f>
        <v>14</v>
      </c>
      <c r="D810" s="33">
        <f>Demand!E808</f>
        <v>21</v>
      </c>
      <c r="E810" s="33">
        <f>IF(Demand!F808,1,0)</f>
        <v>0</v>
      </c>
      <c r="F810" s="33">
        <f>COUNTIFS(c_store,A810,c_date,B810,c_hour,C810)</f>
        <v>1</v>
      </c>
      <c r="G810" s="33">
        <f>IF(F810&gt;0,1,0)</f>
        <v>1</v>
      </c>
      <c r="H810" s="33">
        <f>COUNTIFS(Demand!$A$2:$A$4481,A810,Demand!$B$2:$B$4481,B810,Demand!$C$2:$C$4481,C810)</f>
        <v>1</v>
      </c>
    </row>
    <row r="811">
      <c r="A811" s="32" t="str">
        <f>Demand!A809</f>
        <v>S011</v>
      </c>
      <c r="B811" s="35">
        <f>Demand!B809</f>
        <v>46268.0</v>
      </c>
      <c r="C811" s="33">
        <f>Demand!C809</f>
        <v>15</v>
      </c>
      <c r="D811" s="33">
        <f>Demand!E809</f>
        <v>26</v>
      </c>
      <c r="E811" s="33">
        <f>IF(Demand!F809,1,0)</f>
        <v>0</v>
      </c>
      <c r="F811" s="33">
        <f>COUNTIFS(c_store,A811,c_date,B811,c_hour,C811)</f>
        <v>0</v>
      </c>
      <c r="G811" s="33">
        <f>IF(F811&gt;0,1,0)</f>
        <v>0</v>
      </c>
      <c r="H811" s="33">
        <f>COUNTIFS(Demand!$A$2:$A$4481,A811,Demand!$B$2:$B$4481,B811,Demand!$C$2:$C$4481,C811)</f>
        <v>1</v>
      </c>
    </row>
    <row r="812">
      <c r="A812" s="32" t="str">
        <f>Demand!A810</f>
        <v>S011</v>
      </c>
      <c r="B812" s="35">
        <f>Demand!B810</f>
        <v>46268.0</v>
      </c>
      <c r="C812" s="33">
        <f>Demand!C810</f>
        <v>16</v>
      </c>
      <c r="D812" s="33">
        <f>Demand!E810</f>
        <v>31</v>
      </c>
      <c r="E812" s="33">
        <f>IF(Demand!F810,1,0)</f>
        <v>0</v>
      </c>
      <c r="F812" s="33">
        <f>COUNTIFS(c_store,A812,c_date,B812,c_hour,C812)</f>
        <v>1</v>
      </c>
      <c r="G812" s="33">
        <f>IF(F812&gt;0,1,0)</f>
        <v>1</v>
      </c>
      <c r="H812" s="33">
        <f>COUNTIFS(Demand!$A$2:$A$4481,A812,Demand!$B$2:$B$4481,B812,Demand!$C$2:$C$4481,C812)</f>
        <v>1</v>
      </c>
    </row>
    <row r="813">
      <c r="A813" s="32" t="str">
        <f>Demand!A811</f>
        <v>S011</v>
      </c>
      <c r="B813" s="35">
        <f>Demand!B811</f>
        <v>46268.0</v>
      </c>
      <c r="C813" s="33">
        <f>Demand!C811</f>
        <v>17</v>
      </c>
      <c r="D813" s="33">
        <f>Demand!E811</f>
        <v>29</v>
      </c>
      <c r="E813" s="33">
        <f>IF(Demand!F811,1,0)</f>
        <v>0</v>
      </c>
      <c r="F813" s="33">
        <f>COUNTIFS(c_store,A813,c_date,B813,c_hour,C813)</f>
        <v>0</v>
      </c>
      <c r="G813" s="33">
        <f>IF(F813&gt;0,1,0)</f>
        <v>0</v>
      </c>
      <c r="H813" s="33">
        <f>COUNTIFS(Demand!$A$2:$A$4481,A813,Demand!$B$2:$B$4481,B813,Demand!$C$2:$C$4481,C813)</f>
        <v>1</v>
      </c>
    </row>
    <row r="814">
      <c r="A814" s="32" t="str">
        <f>Demand!A812</f>
        <v>S011</v>
      </c>
      <c r="B814" s="35">
        <f>Demand!B812</f>
        <v>46268.0</v>
      </c>
      <c r="C814" s="33">
        <f>Demand!C812</f>
        <v>18</v>
      </c>
      <c r="D814" s="33">
        <f>Demand!E812</f>
        <v>24</v>
      </c>
      <c r="E814" s="33">
        <f>IF(Demand!F812,1,0)</f>
        <v>0</v>
      </c>
      <c r="F814" s="33">
        <f>COUNTIFS(c_store,A814,c_date,B814,c_hour,C814)</f>
        <v>1</v>
      </c>
      <c r="G814" s="33">
        <f>IF(F814&gt;0,1,0)</f>
        <v>1</v>
      </c>
      <c r="H814" s="33">
        <f>COUNTIFS(Demand!$A$2:$A$4481,A814,Demand!$B$2:$B$4481,B814,Demand!$C$2:$C$4481,C814)</f>
        <v>1</v>
      </c>
    </row>
    <row r="815">
      <c r="A815" s="32" t="str">
        <f>Demand!A813</f>
        <v>S011</v>
      </c>
      <c r="B815" s="35">
        <f>Demand!B813</f>
        <v>46268.0</v>
      </c>
      <c r="C815" s="33">
        <f>Demand!C813</f>
        <v>19</v>
      </c>
      <c r="D815" s="33">
        <f>Demand!E813</f>
        <v>40</v>
      </c>
      <c r="E815" s="33">
        <f>IF(Demand!F813,1,0)</f>
        <v>1</v>
      </c>
      <c r="F815" s="33">
        <f>COUNTIFS(c_store,A815,c_date,B815,c_hour,C815)</f>
        <v>1</v>
      </c>
      <c r="G815" s="33">
        <f>IF(F815&gt;0,1,0)</f>
        <v>1</v>
      </c>
      <c r="H815" s="33">
        <f>COUNTIFS(Demand!$A$2:$A$4481,A815,Demand!$B$2:$B$4481,B815,Demand!$C$2:$C$4481,C815)</f>
        <v>1</v>
      </c>
    </row>
    <row r="816">
      <c r="A816" s="32" t="str">
        <f>Demand!A814</f>
        <v>S011</v>
      </c>
      <c r="B816" s="35">
        <f>Demand!B814</f>
        <v>46268.0</v>
      </c>
      <c r="C816" s="33">
        <f>Demand!C814</f>
        <v>20</v>
      </c>
      <c r="D816" s="33">
        <f>Demand!E814</f>
        <v>34</v>
      </c>
      <c r="E816" s="33">
        <f>IF(Demand!F814,1,0)</f>
        <v>1</v>
      </c>
      <c r="F816" s="33">
        <f>COUNTIFS(c_store,A816,c_date,B816,c_hour,C816)</f>
        <v>0</v>
      </c>
      <c r="G816" s="33">
        <f>IF(F816&gt;0,1,0)</f>
        <v>0</v>
      </c>
      <c r="H816" s="33">
        <f>COUNTIFS(Demand!$A$2:$A$4481,A816,Demand!$B$2:$B$4481,B816,Demand!$C$2:$C$4481,C816)</f>
        <v>1</v>
      </c>
    </row>
    <row r="817">
      <c r="A817" s="32" t="str">
        <f>Demand!A815</f>
        <v>S011</v>
      </c>
      <c r="B817" s="35">
        <f>Demand!B815</f>
        <v>46268.0</v>
      </c>
      <c r="C817" s="33">
        <f>Demand!C815</f>
        <v>21</v>
      </c>
      <c r="D817" s="33">
        <f>Demand!E815</f>
        <v>46</v>
      </c>
      <c r="E817" s="33">
        <f>IF(Demand!F815,1,0)</f>
        <v>1</v>
      </c>
      <c r="F817" s="33">
        <f>COUNTIFS(c_store,A817,c_date,B817,c_hour,C817)</f>
        <v>0</v>
      </c>
      <c r="G817" s="33">
        <f>IF(F817&gt;0,1,0)</f>
        <v>0</v>
      </c>
      <c r="H817" s="33">
        <f>COUNTIFS(Demand!$A$2:$A$4481,A817,Demand!$B$2:$B$4481,B817,Demand!$C$2:$C$4481,C817)</f>
        <v>1</v>
      </c>
    </row>
    <row r="818">
      <c r="A818" s="32" t="str">
        <f>Demand!A816</f>
        <v>S011</v>
      </c>
      <c r="B818" s="35">
        <f>Demand!B816</f>
        <v>46268.0</v>
      </c>
      <c r="C818" s="33">
        <f>Demand!C816</f>
        <v>22</v>
      </c>
      <c r="D818" s="33">
        <f>Demand!E816</f>
        <v>33</v>
      </c>
      <c r="E818" s="33">
        <f>IF(Demand!F816,1,0)</f>
        <v>0</v>
      </c>
      <c r="F818" s="33">
        <f>COUNTIFS(c_store,A818,c_date,B818,c_hour,C818)</f>
        <v>0</v>
      </c>
      <c r="G818" s="33">
        <f>IF(F818&gt;0,1,0)</f>
        <v>0</v>
      </c>
      <c r="H818" s="33">
        <f>COUNTIFS(Demand!$A$2:$A$4481,A818,Demand!$B$2:$B$4481,B818,Demand!$C$2:$C$4481,C818)</f>
        <v>1</v>
      </c>
    </row>
    <row r="819">
      <c r="A819" s="32" t="str">
        <f>Demand!A817</f>
        <v>S011</v>
      </c>
      <c r="B819" s="35">
        <f>Demand!B817</f>
        <v>46268.0</v>
      </c>
      <c r="C819" s="33">
        <f>Demand!C817</f>
        <v>23</v>
      </c>
      <c r="D819" s="33">
        <f>Demand!E817</f>
        <v>22</v>
      </c>
      <c r="E819" s="33">
        <f>IF(Demand!F817,1,0)</f>
        <v>0</v>
      </c>
      <c r="F819" s="33">
        <f>COUNTIFS(c_store,A819,c_date,B819,c_hour,C819)</f>
        <v>0</v>
      </c>
      <c r="G819" s="33">
        <f>IF(F819&gt;0,1,0)</f>
        <v>0</v>
      </c>
      <c r="H819" s="33">
        <f>COUNTIFS(Demand!$A$2:$A$4481,A819,Demand!$B$2:$B$4481,B819,Demand!$C$2:$C$4481,C819)</f>
        <v>1</v>
      </c>
    </row>
    <row r="820">
      <c r="A820" s="32" t="str">
        <f>Demand!A818</f>
        <v>S012</v>
      </c>
      <c r="B820" s="35">
        <f>Demand!B818</f>
        <v>46268.0</v>
      </c>
      <c r="C820" s="33">
        <f>Demand!C818</f>
        <v>8</v>
      </c>
      <c r="D820" s="33">
        <f>Demand!E818</f>
        <v>15</v>
      </c>
      <c r="E820" s="33">
        <f>IF(Demand!F818,1,0)</f>
        <v>0</v>
      </c>
      <c r="F820" s="33">
        <f>COUNTIFS(c_store,A820,c_date,B820,c_hour,C820)</f>
        <v>0</v>
      </c>
      <c r="G820" s="33">
        <f>IF(F820&gt;0,1,0)</f>
        <v>0</v>
      </c>
      <c r="H820" s="33">
        <f>COUNTIFS(Demand!$A$2:$A$4481,A820,Demand!$B$2:$B$4481,B820,Demand!$C$2:$C$4481,C820)</f>
        <v>1</v>
      </c>
    </row>
    <row r="821">
      <c r="A821" s="32" t="str">
        <f>Demand!A819</f>
        <v>S012</v>
      </c>
      <c r="B821" s="35">
        <f>Demand!B819</f>
        <v>46268.0</v>
      </c>
      <c r="C821" s="33">
        <f>Demand!C819</f>
        <v>9</v>
      </c>
      <c r="D821" s="33">
        <f>Demand!E819</f>
        <v>11</v>
      </c>
      <c r="E821" s="33">
        <f>IF(Demand!F819,1,0)</f>
        <v>0</v>
      </c>
      <c r="F821" s="33">
        <f>COUNTIFS(c_store,A821,c_date,B821,c_hour,C821)</f>
        <v>1</v>
      </c>
      <c r="G821" s="33">
        <f>IF(F821&gt;0,1,0)</f>
        <v>1</v>
      </c>
      <c r="H821" s="33">
        <f>COUNTIFS(Demand!$A$2:$A$4481,A821,Demand!$B$2:$B$4481,B821,Demand!$C$2:$C$4481,C821)</f>
        <v>1</v>
      </c>
    </row>
    <row r="822">
      <c r="A822" s="32" t="str">
        <f>Demand!A820</f>
        <v>S012</v>
      </c>
      <c r="B822" s="35">
        <f>Demand!B820</f>
        <v>46268.0</v>
      </c>
      <c r="C822" s="33">
        <f>Demand!C820</f>
        <v>10</v>
      </c>
      <c r="D822" s="33">
        <f>Demand!E820</f>
        <v>14</v>
      </c>
      <c r="E822" s="33">
        <f>IF(Demand!F820,1,0)</f>
        <v>0</v>
      </c>
      <c r="F822" s="33">
        <f>COUNTIFS(c_store,A822,c_date,B822,c_hour,C822)</f>
        <v>0</v>
      </c>
      <c r="G822" s="33">
        <f>IF(F822&gt;0,1,0)</f>
        <v>0</v>
      </c>
      <c r="H822" s="33">
        <f>COUNTIFS(Demand!$A$2:$A$4481,A822,Demand!$B$2:$B$4481,B822,Demand!$C$2:$C$4481,C822)</f>
        <v>1</v>
      </c>
    </row>
    <row r="823">
      <c r="A823" s="32" t="str">
        <f>Demand!A821</f>
        <v>S012</v>
      </c>
      <c r="B823" s="35">
        <f>Demand!B821</f>
        <v>46268.0</v>
      </c>
      <c r="C823" s="33">
        <f>Demand!C821</f>
        <v>11</v>
      </c>
      <c r="D823" s="33">
        <f>Demand!E821</f>
        <v>20</v>
      </c>
      <c r="E823" s="33">
        <f>IF(Demand!F821,1,0)</f>
        <v>0</v>
      </c>
      <c r="F823" s="33">
        <f>COUNTIFS(c_store,A823,c_date,B823,c_hour,C823)</f>
        <v>0</v>
      </c>
      <c r="G823" s="33">
        <f>IF(F823&gt;0,1,0)</f>
        <v>0</v>
      </c>
      <c r="H823" s="33">
        <f>COUNTIFS(Demand!$A$2:$A$4481,A823,Demand!$B$2:$B$4481,B823,Demand!$C$2:$C$4481,C823)</f>
        <v>1</v>
      </c>
    </row>
    <row r="824">
      <c r="A824" s="32" t="str">
        <f>Demand!A822</f>
        <v>S012</v>
      </c>
      <c r="B824" s="35">
        <f>Demand!B822</f>
        <v>46268.0</v>
      </c>
      <c r="C824" s="33">
        <f>Demand!C822</f>
        <v>12</v>
      </c>
      <c r="D824" s="33">
        <f>Demand!E822</f>
        <v>13</v>
      </c>
      <c r="E824" s="33">
        <f>IF(Demand!F822,1,0)</f>
        <v>0</v>
      </c>
      <c r="F824" s="33">
        <f>COUNTIFS(c_store,A824,c_date,B824,c_hour,C824)</f>
        <v>0</v>
      </c>
      <c r="G824" s="33">
        <f>IF(F824&gt;0,1,0)</f>
        <v>0</v>
      </c>
      <c r="H824" s="33">
        <f>COUNTIFS(Demand!$A$2:$A$4481,A824,Demand!$B$2:$B$4481,B824,Demand!$C$2:$C$4481,C824)</f>
        <v>1</v>
      </c>
    </row>
    <row r="825">
      <c r="A825" s="32" t="str">
        <f>Demand!A823</f>
        <v>S012</v>
      </c>
      <c r="B825" s="35">
        <f>Demand!B823</f>
        <v>46268.0</v>
      </c>
      <c r="C825" s="33">
        <f>Demand!C823</f>
        <v>13</v>
      </c>
      <c r="D825" s="33">
        <f>Demand!E823</f>
        <v>13</v>
      </c>
      <c r="E825" s="33">
        <f>IF(Demand!F823,1,0)</f>
        <v>0</v>
      </c>
      <c r="F825" s="33">
        <f>COUNTIFS(c_store,A825,c_date,B825,c_hour,C825)</f>
        <v>0</v>
      </c>
      <c r="G825" s="33">
        <f>IF(F825&gt;0,1,0)</f>
        <v>0</v>
      </c>
      <c r="H825" s="33">
        <f>COUNTIFS(Demand!$A$2:$A$4481,A825,Demand!$B$2:$B$4481,B825,Demand!$C$2:$C$4481,C825)</f>
        <v>1</v>
      </c>
    </row>
    <row r="826">
      <c r="A826" s="32" t="str">
        <f>Demand!A824</f>
        <v>S012</v>
      </c>
      <c r="B826" s="35">
        <f>Demand!B824</f>
        <v>46268.0</v>
      </c>
      <c r="C826" s="33">
        <f>Demand!C824</f>
        <v>14</v>
      </c>
      <c r="D826" s="33">
        <f>Demand!E824</f>
        <v>12</v>
      </c>
      <c r="E826" s="33">
        <f>IF(Demand!F824,1,0)</f>
        <v>0</v>
      </c>
      <c r="F826" s="33">
        <f>COUNTIFS(c_store,A826,c_date,B826,c_hour,C826)</f>
        <v>1</v>
      </c>
      <c r="G826" s="33">
        <f>IF(F826&gt;0,1,0)</f>
        <v>1</v>
      </c>
      <c r="H826" s="33">
        <f>COUNTIFS(Demand!$A$2:$A$4481,A826,Demand!$B$2:$B$4481,B826,Demand!$C$2:$C$4481,C826)</f>
        <v>1</v>
      </c>
    </row>
    <row r="827">
      <c r="A827" s="32" t="str">
        <f>Demand!A825</f>
        <v>S012</v>
      </c>
      <c r="B827" s="35">
        <f>Demand!B825</f>
        <v>46268.0</v>
      </c>
      <c r="C827" s="33">
        <f>Demand!C825</f>
        <v>15</v>
      </c>
      <c r="D827" s="33">
        <f>Demand!E825</f>
        <v>11</v>
      </c>
      <c r="E827" s="33">
        <f>IF(Demand!F825,1,0)</f>
        <v>0</v>
      </c>
      <c r="F827" s="33">
        <f>COUNTIFS(c_store,A827,c_date,B827,c_hour,C827)</f>
        <v>0</v>
      </c>
      <c r="G827" s="33">
        <f>IF(F827&gt;0,1,0)</f>
        <v>0</v>
      </c>
      <c r="H827" s="33">
        <f>COUNTIFS(Demand!$A$2:$A$4481,A827,Demand!$B$2:$B$4481,B827,Demand!$C$2:$C$4481,C827)</f>
        <v>1</v>
      </c>
    </row>
    <row r="828">
      <c r="A828" s="32" t="str">
        <f>Demand!A826</f>
        <v>S012</v>
      </c>
      <c r="B828" s="35">
        <f>Demand!B826</f>
        <v>46268.0</v>
      </c>
      <c r="C828" s="33">
        <f>Demand!C826</f>
        <v>16</v>
      </c>
      <c r="D828" s="33">
        <f>Demand!E826</f>
        <v>13</v>
      </c>
      <c r="E828" s="33">
        <f>IF(Demand!F826,1,0)</f>
        <v>0</v>
      </c>
      <c r="F828" s="33">
        <f>COUNTIFS(c_store,A828,c_date,B828,c_hour,C828)</f>
        <v>2</v>
      </c>
      <c r="G828" s="33">
        <f>IF(F828&gt;0,1,0)</f>
        <v>1</v>
      </c>
      <c r="H828" s="33">
        <f>COUNTIFS(Demand!$A$2:$A$4481,A828,Demand!$B$2:$B$4481,B828,Demand!$C$2:$C$4481,C828)</f>
        <v>1</v>
      </c>
    </row>
    <row r="829">
      <c r="A829" s="32" t="str">
        <f>Demand!A827</f>
        <v>S012</v>
      </c>
      <c r="B829" s="35">
        <f>Demand!B827</f>
        <v>46268.0</v>
      </c>
      <c r="C829" s="33">
        <f>Demand!C827</f>
        <v>17</v>
      </c>
      <c r="D829" s="33">
        <f>Demand!E827</f>
        <v>13</v>
      </c>
      <c r="E829" s="33">
        <f>IF(Demand!F827,1,0)</f>
        <v>0</v>
      </c>
      <c r="F829" s="33">
        <f>COUNTIFS(c_store,A829,c_date,B829,c_hour,C829)</f>
        <v>0</v>
      </c>
      <c r="G829" s="33">
        <f>IF(F829&gt;0,1,0)</f>
        <v>0</v>
      </c>
      <c r="H829" s="33">
        <f>COUNTIFS(Demand!$A$2:$A$4481,A829,Demand!$B$2:$B$4481,B829,Demand!$C$2:$C$4481,C829)</f>
        <v>1</v>
      </c>
    </row>
    <row r="830">
      <c r="A830" s="32" t="str">
        <f>Demand!A828</f>
        <v>S012</v>
      </c>
      <c r="B830" s="35">
        <f>Demand!B828</f>
        <v>46268.0</v>
      </c>
      <c r="C830" s="33">
        <f>Demand!C828</f>
        <v>18</v>
      </c>
      <c r="D830" s="33">
        <f>Demand!E828</f>
        <v>13</v>
      </c>
      <c r="E830" s="33">
        <f>IF(Demand!F828,1,0)</f>
        <v>0</v>
      </c>
      <c r="F830" s="33">
        <f>COUNTIFS(c_store,A830,c_date,B830,c_hour,C830)</f>
        <v>0</v>
      </c>
      <c r="G830" s="33">
        <f>IF(F830&gt;0,1,0)</f>
        <v>0</v>
      </c>
      <c r="H830" s="33">
        <f>COUNTIFS(Demand!$A$2:$A$4481,A830,Demand!$B$2:$B$4481,B830,Demand!$C$2:$C$4481,C830)</f>
        <v>1</v>
      </c>
    </row>
    <row r="831">
      <c r="A831" s="32" t="str">
        <f>Demand!A829</f>
        <v>S012</v>
      </c>
      <c r="B831" s="35">
        <f>Demand!B829</f>
        <v>46268.0</v>
      </c>
      <c r="C831" s="33">
        <f>Demand!C829</f>
        <v>19</v>
      </c>
      <c r="D831" s="33">
        <f>Demand!E829</f>
        <v>24</v>
      </c>
      <c r="E831" s="33">
        <f>IF(Demand!F829,1,0)</f>
        <v>1</v>
      </c>
      <c r="F831" s="33">
        <f>COUNTIFS(c_store,A831,c_date,B831,c_hour,C831)</f>
        <v>0</v>
      </c>
      <c r="G831" s="33">
        <f>IF(F831&gt;0,1,0)</f>
        <v>0</v>
      </c>
      <c r="H831" s="33">
        <f>COUNTIFS(Demand!$A$2:$A$4481,A831,Demand!$B$2:$B$4481,B831,Demand!$C$2:$C$4481,C831)</f>
        <v>1</v>
      </c>
    </row>
    <row r="832">
      <c r="A832" s="32" t="str">
        <f>Demand!A830</f>
        <v>S012</v>
      </c>
      <c r="B832" s="35">
        <f>Demand!B830</f>
        <v>46268.0</v>
      </c>
      <c r="C832" s="33">
        <f>Demand!C830</f>
        <v>20</v>
      </c>
      <c r="D832" s="33">
        <f>Demand!E830</f>
        <v>24</v>
      </c>
      <c r="E832" s="33">
        <f>IF(Demand!F830,1,0)</f>
        <v>1</v>
      </c>
      <c r="F832" s="33">
        <f>COUNTIFS(c_store,A832,c_date,B832,c_hour,C832)</f>
        <v>0</v>
      </c>
      <c r="G832" s="33">
        <f>IF(F832&gt;0,1,0)</f>
        <v>0</v>
      </c>
      <c r="H832" s="33">
        <f>COUNTIFS(Demand!$A$2:$A$4481,A832,Demand!$B$2:$B$4481,B832,Demand!$C$2:$C$4481,C832)</f>
        <v>1</v>
      </c>
    </row>
    <row r="833">
      <c r="A833" s="32" t="str">
        <f>Demand!A831</f>
        <v>S012</v>
      </c>
      <c r="B833" s="35">
        <f>Demand!B831</f>
        <v>46268.0</v>
      </c>
      <c r="C833" s="33">
        <f>Demand!C831</f>
        <v>21</v>
      </c>
      <c r="D833" s="33">
        <f>Demand!E831</f>
        <v>18</v>
      </c>
      <c r="E833" s="33">
        <f>IF(Demand!F831,1,0)</f>
        <v>1</v>
      </c>
      <c r="F833" s="33">
        <f>COUNTIFS(c_store,A833,c_date,B833,c_hour,C833)</f>
        <v>0</v>
      </c>
      <c r="G833" s="33">
        <f>IF(F833&gt;0,1,0)</f>
        <v>0</v>
      </c>
      <c r="H833" s="33">
        <f>COUNTIFS(Demand!$A$2:$A$4481,A833,Demand!$B$2:$B$4481,B833,Demand!$C$2:$C$4481,C833)</f>
        <v>1</v>
      </c>
    </row>
    <row r="834">
      <c r="A834" s="32" t="str">
        <f>Demand!A832</f>
        <v>S012</v>
      </c>
      <c r="B834" s="35">
        <f>Demand!B832</f>
        <v>46268.0</v>
      </c>
      <c r="C834" s="33">
        <f>Demand!C832</f>
        <v>22</v>
      </c>
      <c r="D834" s="33">
        <f>Demand!E832</f>
        <v>14</v>
      </c>
      <c r="E834" s="33">
        <f>IF(Demand!F832,1,0)</f>
        <v>0</v>
      </c>
      <c r="F834" s="33">
        <f>COUNTIFS(c_store,A834,c_date,B834,c_hour,C834)</f>
        <v>1</v>
      </c>
      <c r="G834" s="33">
        <f>IF(F834&gt;0,1,0)</f>
        <v>1</v>
      </c>
      <c r="H834" s="33">
        <f>COUNTIFS(Demand!$A$2:$A$4481,A834,Demand!$B$2:$B$4481,B834,Demand!$C$2:$C$4481,C834)</f>
        <v>1</v>
      </c>
    </row>
    <row r="835">
      <c r="A835" s="32" t="str">
        <f>Demand!A833</f>
        <v>S012</v>
      </c>
      <c r="B835" s="35">
        <f>Demand!B833</f>
        <v>46268.0</v>
      </c>
      <c r="C835" s="33">
        <f>Demand!C833</f>
        <v>23</v>
      </c>
      <c r="D835" s="33">
        <f>Demand!E833</f>
        <v>18</v>
      </c>
      <c r="E835" s="33">
        <f>IF(Demand!F833,1,0)</f>
        <v>0</v>
      </c>
      <c r="F835" s="33">
        <f>COUNTIFS(c_store,A835,c_date,B835,c_hour,C835)</f>
        <v>0</v>
      </c>
      <c r="G835" s="33">
        <f>IF(F835&gt;0,1,0)</f>
        <v>0</v>
      </c>
      <c r="H835" s="33">
        <f>COUNTIFS(Demand!$A$2:$A$4481,A835,Demand!$B$2:$B$4481,B835,Demand!$C$2:$C$4481,C835)</f>
        <v>1</v>
      </c>
    </row>
    <row r="836">
      <c r="A836" s="32" t="str">
        <f>Demand!A834</f>
        <v>S013</v>
      </c>
      <c r="B836" s="35">
        <f>Demand!B834</f>
        <v>46268.0</v>
      </c>
      <c r="C836" s="33">
        <f>Demand!C834</f>
        <v>8</v>
      </c>
      <c r="D836" s="33">
        <f>Demand!E834</f>
        <v>38</v>
      </c>
      <c r="E836" s="33">
        <f>IF(Demand!F834,1,0)</f>
        <v>0</v>
      </c>
      <c r="F836" s="33">
        <f>COUNTIFS(c_store,A836,c_date,B836,c_hour,C836)</f>
        <v>1</v>
      </c>
      <c r="G836" s="33">
        <f>IF(F836&gt;0,1,0)</f>
        <v>1</v>
      </c>
      <c r="H836" s="33">
        <f>COUNTIFS(Demand!$A$2:$A$4481,A836,Demand!$B$2:$B$4481,B836,Demand!$C$2:$C$4481,C836)</f>
        <v>1</v>
      </c>
    </row>
    <row r="837">
      <c r="A837" s="32" t="str">
        <f>Demand!A835</f>
        <v>S013</v>
      </c>
      <c r="B837" s="35">
        <f>Demand!B835</f>
        <v>46268.0</v>
      </c>
      <c r="C837" s="33">
        <f>Demand!C835</f>
        <v>9</v>
      </c>
      <c r="D837" s="33">
        <f>Demand!E835</f>
        <v>44</v>
      </c>
      <c r="E837" s="33">
        <f>IF(Demand!F835,1,0)</f>
        <v>0</v>
      </c>
      <c r="F837" s="33">
        <f>COUNTIFS(c_store,A837,c_date,B837,c_hour,C837)</f>
        <v>0</v>
      </c>
      <c r="G837" s="33">
        <f>IF(F837&gt;0,1,0)</f>
        <v>0</v>
      </c>
      <c r="H837" s="33">
        <f>COUNTIFS(Demand!$A$2:$A$4481,A837,Demand!$B$2:$B$4481,B837,Demand!$C$2:$C$4481,C837)</f>
        <v>1</v>
      </c>
    </row>
    <row r="838">
      <c r="A838" s="32" t="str">
        <f>Demand!A836</f>
        <v>S013</v>
      </c>
      <c r="B838" s="35">
        <f>Demand!B836</f>
        <v>46268.0</v>
      </c>
      <c r="C838" s="33">
        <f>Demand!C836</f>
        <v>10</v>
      </c>
      <c r="D838" s="33">
        <f>Demand!E836</f>
        <v>42</v>
      </c>
      <c r="E838" s="33">
        <f>IF(Demand!F836,1,0)</f>
        <v>0</v>
      </c>
      <c r="F838" s="33">
        <f>COUNTIFS(c_store,A838,c_date,B838,c_hour,C838)</f>
        <v>0</v>
      </c>
      <c r="G838" s="33">
        <f>IF(F838&gt;0,1,0)</f>
        <v>0</v>
      </c>
      <c r="H838" s="33">
        <f>COUNTIFS(Demand!$A$2:$A$4481,A838,Demand!$B$2:$B$4481,B838,Demand!$C$2:$C$4481,C838)</f>
        <v>1</v>
      </c>
    </row>
    <row r="839">
      <c r="A839" s="32" t="str">
        <f>Demand!A837</f>
        <v>S013</v>
      </c>
      <c r="B839" s="35">
        <f>Demand!B837</f>
        <v>46268.0</v>
      </c>
      <c r="C839" s="33">
        <f>Demand!C837</f>
        <v>11</v>
      </c>
      <c r="D839" s="33">
        <f>Demand!E837</f>
        <v>50</v>
      </c>
      <c r="E839" s="33">
        <f>IF(Demand!F837,1,0)</f>
        <v>0</v>
      </c>
      <c r="F839" s="33">
        <f>COUNTIFS(c_store,A839,c_date,B839,c_hour,C839)</f>
        <v>1</v>
      </c>
      <c r="G839" s="33">
        <f>IF(F839&gt;0,1,0)</f>
        <v>1</v>
      </c>
      <c r="H839" s="33">
        <f>COUNTIFS(Demand!$A$2:$A$4481,A839,Demand!$B$2:$B$4481,B839,Demand!$C$2:$C$4481,C839)</f>
        <v>1</v>
      </c>
    </row>
    <row r="840">
      <c r="A840" s="32" t="str">
        <f>Demand!A838</f>
        <v>S013</v>
      </c>
      <c r="B840" s="35">
        <f>Demand!B838</f>
        <v>46268.0</v>
      </c>
      <c r="C840" s="33">
        <f>Demand!C838</f>
        <v>12</v>
      </c>
      <c r="D840" s="33">
        <f>Demand!E838</f>
        <v>58</v>
      </c>
      <c r="E840" s="33">
        <f>IF(Demand!F838,1,0)</f>
        <v>0</v>
      </c>
      <c r="F840" s="33">
        <f>COUNTIFS(c_store,A840,c_date,B840,c_hour,C840)</f>
        <v>0</v>
      </c>
      <c r="G840" s="33">
        <f>IF(F840&gt;0,1,0)</f>
        <v>0</v>
      </c>
      <c r="H840" s="33">
        <f>COUNTIFS(Demand!$A$2:$A$4481,A840,Demand!$B$2:$B$4481,B840,Demand!$C$2:$C$4481,C840)</f>
        <v>1</v>
      </c>
    </row>
    <row r="841">
      <c r="A841" s="32" t="str">
        <f>Demand!A839</f>
        <v>S013</v>
      </c>
      <c r="B841" s="35">
        <f>Demand!B839</f>
        <v>46268.0</v>
      </c>
      <c r="C841" s="33">
        <f>Demand!C839</f>
        <v>13</v>
      </c>
      <c r="D841" s="33">
        <f>Demand!E839</f>
        <v>49</v>
      </c>
      <c r="E841" s="33">
        <f>IF(Demand!F839,1,0)</f>
        <v>0</v>
      </c>
      <c r="F841" s="33">
        <f>COUNTIFS(c_store,A841,c_date,B841,c_hour,C841)</f>
        <v>0</v>
      </c>
      <c r="G841" s="33">
        <f>IF(F841&gt;0,1,0)</f>
        <v>0</v>
      </c>
      <c r="H841" s="33">
        <f>COUNTIFS(Demand!$A$2:$A$4481,A841,Demand!$B$2:$B$4481,B841,Demand!$C$2:$C$4481,C841)</f>
        <v>1</v>
      </c>
    </row>
    <row r="842">
      <c r="A842" s="32" t="str">
        <f>Demand!A840</f>
        <v>S013</v>
      </c>
      <c r="B842" s="35">
        <f>Demand!B840</f>
        <v>46268.0</v>
      </c>
      <c r="C842" s="33">
        <f>Demand!C840</f>
        <v>14</v>
      </c>
      <c r="D842" s="33">
        <f>Demand!E840</f>
        <v>33</v>
      </c>
      <c r="E842" s="33">
        <f>IF(Demand!F840,1,0)</f>
        <v>0</v>
      </c>
      <c r="F842" s="33">
        <f>COUNTIFS(c_store,A842,c_date,B842,c_hour,C842)</f>
        <v>0</v>
      </c>
      <c r="G842" s="33">
        <f>IF(F842&gt;0,1,0)</f>
        <v>0</v>
      </c>
      <c r="H842" s="33">
        <f>COUNTIFS(Demand!$A$2:$A$4481,A842,Demand!$B$2:$B$4481,B842,Demand!$C$2:$C$4481,C842)</f>
        <v>1</v>
      </c>
    </row>
    <row r="843">
      <c r="A843" s="32" t="str">
        <f>Demand!A841</f>
        <v>S013</v>
      </c>
      <c r="B843" s="35">
        <f>Demand!B841</f>
        <v>46268.0</v>
      </c>
      <c r="C843" s="33">
        <f>Demand!C841</f>
        <v>15</v>
      </c>
      <c r="D843" s="33">
        <f>Demand!E841</f>
        <v>32</v>
      </c>
      <c r="E843" s="33">
        <f>IF(Demand!F841,1,0)</f>
        <v>0</v>
      </c>
      <c r="F843" s="33">
        <f>COUNTIFS(c_store,A843,c_date,B843,c_hour,C843)</f>
        <v>0</v>
      </c>
      <c r="G843" s="33">
        <f>IF(F843&gt;0,1,0)</f>
        <v>0</v>
      </c>
      <c r="H843" s="33">
        <f>COUNTIFS(Demand!$A$2:$A$4481,A843,Demand!$B$2:$B$4481,B843,Demand!$C$2:$C$4481,C843)</f>
        <v>1</v>
      </c>
    </row>
    <row r="844">
      <c r="A844" s="32" t="str">
        <f>Demand!A842</f>
        <v>S013</v>
      </c>
      <c r="B844" s="35">
        <f>Demand!B842</f>
        <v>46268.0</v>
      </c>
      <c r="C844" s="33">
        <f>Demand!C842</f>
        <v>16</v>
      </c>
      <c r="D844" s="33">
        <f>Demand!E842</f>
        <v>58</v>
      </c>
      <c r="E844" s="33">
        <f>IF(Demand!F842,1,0)</f>
        <v>0</v>
      </c>
      <c r="F844" s="33">
        <f>COUNTIFS(c_store,A844,c_date,B844,c_hour,C844)</f>
        <v>0</v>
      </c>
      <c r="G844" s="33">
        <f>IF(F844&gt;0,1,0)</f>
        <v>0</v>
      </c>
      <c r="H844" s="33">
        <f>COUNTIFS(Demand!$A$2:$A$4481,A844,Demand!$B$2:$B$4481,B844,Demand!$C$2:$C$4481,C844)</f>
        <v>1</v>
      </c>
    </row>
    <row r="845">
      <c r="A845" s="32" t="str">
        <f>Demand!A843</f>
        <v>S013</v>
      </c>
      <c r="B845" s="35">
        <f>Demand!B843</f>
        <v>46268.0</v>
      </c>
      <c r="C845" s="33">
        <f>Demand!C843</f>
        <v>17</v>
      </c>
      <c r="D845" s="33">
        <f>Demand!E843</f>
        <v>45</v>
      </c>
      <c r="E845" s="33">
        <f>IF(Demand!F843,1,0)</f>
        <v>0</v>
      </c>
      <c r="F845" s="33">
        <f>COUNTIFS(c_store,A845,c_date,B845,c_hour,C845)</f>
        <v>0</v>
      </c>
      <c r="G845" s="33">
        <f>IF(F845&gt;0,1,0)</f>
        <v>0</v>
      </c>
      <c r="H845" s="33">
        <f>COUNTIFS(Demand!$A$2:$A$4481,A845,Demand!$B$2:$B$4481,B845,Demand!$C$2:$C$4481,C845)</f>
        <v>1</v>
      </c>
    </row>
    <row r="846">
      <c r="A846" s="32" t="str">
        <f>Demand!A844</f>
        <v>S013</v>
      </c>
      <c r="B846" s="35">
        <f>Demand!B844</f>
        <v>46268.0</v>
      </c>
      <c r="C846" s="33">
        <f>Demand!C844</f>
        <v>18</v>
      </c>
      <c r="D846" s="33">
        <f>Demand!E844</f>
        <v>60</v>
      </c>
      <c r="E846" s="33">
        <f>IF(Demand!F844,1,0)</f>
        <v>0</v>
      </c>
      <c r="F846" s="33">
        <f>COUNTIFS(c_store,A846,c_date,B846,c_hour,C846)</f>
        <v>0</v>
      </c>
      <c r="G846" s="33">
        <f>IF(F846&gt;0,1,0)</f>
        <v>0</v>
      </c>
      <c r="H846" s="33">
        <f>COUNTIFS(Demand!$A$2:$A$4481,A846,Demand!$B$2:$B$4481,B846,Demand!$C$2:$C$4481,C846)</f>
        <v>1</v>
      </c>
    </row>
    <row r="847">
      <c r="A847" s="32" t="str">
        <f>Demand!A845</f>
        <v>S013</v>
      </c>
      <c r="B847" s="35">
        <f>Demand!B845</f>
        <v>46268.0</v>
      </c>
      <c r="C847" s="33">
        <f>Demand!C845</f>
        <v>19</v>
      </c>
      <c r="D847" s="33">
        <f>Demand!E845</f>
        <v>83</v>
      </c>
      <c r="E847" s="33">
        <f>IF(Demand!F845,1,0)</f>
        <v>1</v>
      </c>
      <c r="F847" s="33">
        <f>COUNTIFS(c_store,A847,c_date,B847,c_hour,C847)</f>
        <v>1</v>
      </c>
      <c r="G847" s="33">
        <f>IF(F847&gt;0,1,0)</f>
        <v>1</v>
      </c>
      <c r="H847" s="33">
        <f>COUNTIFS(Demand!$A$2:$A$4481,A847,Demand!$B$2:$B$4481,B847,Demand!$C$2:$C$4481,C847)</f>
        <v>1</v>
      </c>
    </row>
    <row r="848">
      <c r="A848" s="32" t="str">
        <f>Demand!A846</f>
        <v>S013</v>
      </c>
      <c r="B848" s="35">
        <f>Demand!B846</f>
        <v>46268.0</v>
      </c>
      <c r="C848" s="33">
        <f>Demand!C846</f>
        <v>20</v>
      </c>
      <c r="D848" s="33">
        <f>Demand!E846</f>
        <v>64</v>
      </c>
      <c r="E848" s="33">
        <f>IF(Demand!F846,1,0)</f>
        <v>1</v>
      </c>
      <c r="F848" s="33">
        <f>COUNTIFS(c_store,A848,c_date,B848,c_hour,C848)</f>
        <v>0</v>
      </c>
      <c r="G848" s="33">
        <f>IF(F848&gt;0,1,0)</f>
        <v>0</v>
      </c>
      <c r="H848" s="33">
        <f>COUNTIFS(Demand!$A$2:$A$4481,A848,Demand!$B$2:$B$4481,B848,Demand!$C$2:$C$4481,C848)</f>
        <v>1</v>
      </c>
    </row>
    <row r="849">
      <c r="A849" s="32" t="str">
        <f>Demand!A847</f>
        <v>S013</v>
      </c>
      <c r="B849" s="35">
        <f>Demand!B847</f>
        <v>46268.0</v>
      </c>
      <c r="C849" s="33">
        <f>Demand!C847</f>
        <v>21</v>
      </c>
      <c r="D849" s="33">
        <f>Demand!E847</f>
        <v>65</v>
      </c>
      <c r="E849" s="33">
        <f>IF(Demand!F847,1,0)</f>
        <v>1</v>
      </c>
      <c r="F849" s="33">
        <f>COUNTIFS(c_store,A849,c_date,B849,c_hour,C849)</f>
        <v>1</v>
      </c>
      <c r="G849" s="33">
        <f>IF(F849&gt;0,1,0)</f>
        <v>1</v>
      </c>
      <c r="H849" s="33">
        <f>COUNTIFS(Demand!$A$2:$A$4481,A849,Demand!$B$2:$B$4481,B849,Demand!$C$2:$C$4481,C849)</f>
        <v>1</v>
      </c>
    </row>
    <row r="850">
      <c r="A850" s="32" t="str">
        <f>Demand!A848</f>
        <v>S013</v>
      </c>
      <c r="B850" s="35">
        <f>Demand!B848</f>
        <v>46268.0</v>
      </c>
      <c r="C850" s="33">
        <f>Demand!C848</f>
        <v>22</v>
      </c>
      <c r="D850" s="33">
        <f>Demand!E848</f>
        <v>53</v>
      </c>
      <c r="E850" s="33">
        <f>IF(Demand!F848,1,0)</f>
        <v>0</v>
      </c>
      <c r="F850" s="33">
        <f>COUNTIFS(c_store,A850,c_date,B850,c_hour,C850)</f>
        <v>0</v>
      </c>
      <c r="G850" s="33">
        <f>IF(F850&gt;0,1,0)</f>
        <v>0</v>
      </c>
      <c r="H850" s="33">
        <f>COUNTIFS(Demand!$A$2:$A$4481,A850,Demand!$B$2:$B$4481,B850,Demand!$C$2:$C$4481,C850)</f>
        <v>1</v>
      </c>
    </row>
    <row r="851">
      <c r="A851" s="32" t="str">
        <f>Demand!A849</f>
        <v>S013</v>
      </c>
      <c r="B851" s="35">
        <f>Demand!B849</f>
        <v>46268.0</v>
      </c>
      <c r="C851" s="33">
        <f>Demand!C849</f>
        <v>23</v>
      </c>
      <c r="D851" s="33">
        <f>Demand!E849</f>
        <v>46</v>
      </c>
      <c r="E851" s="33">
        <f>IF(Demand!F849,1,0)</f>
        <v>0</v>
      </c>
      <c r="F851" s="33">
        <f>COUNTIFS(c_store,A851,c_date,B851,c_hour,C851)</f>
        <v>0</v>
      </c>
      <c r="G851" s="33">
        <f>IF(F851&gt;0,1,0)</f>
        <v>0</v>
      </c>
      <c r="H851" s="33">
        <f>COUNTIFS(Demand!$A$2:$A$4481,A851,Demand!$B$2:$B$4481,B851,Demand!$C$2:$C$4481,C851)</f>
        <v>1</v>
      </c>
    </row>
    <row r="852">
      <c r="A852" s="32" t="str">
        <f>Demand!A850</f>
        <v>S014</v>
      </c>
      <c r="B852" s="35">
        <f>Demand!B850</f>
        <v>46268.0</v>
      </c>
      <c r="C852" s="33">
        <f>Demand!C850</f>
        <v>8</v>
      </c>
      <c r="D852" s="33">
        <f>Demand!E850</f>
        <v>22</v>
      </c>
      <c r="E852" s="33">
        <f>IF(Demand!F850,1,0)</f>
        <v>0</v>
      </c>
      <c r="F852" s="33">
        <f>COUNTIFS(c_store,A852,c_date,B852,c_hour,C852)</f>
        <v>0</v>
      </c>
      <c r="G852" s="33">
        <f>IF(F852&gt;0,1,0)</f>
        <v>0</v>
      </c>
      <c r="H852" s="33">
        <f>COUNTIFS(Demand!$A$2:$A$4481,A852,Demand!$B$2:$B$4481,B852,Demand!$C$2:$C$4481,C852)</f>
        <v>1</v>
      </c>
    </row>
    <row r="853">
      <c r="A853" s="32" t="str">
        <f>Demand!A851</f>
        <v>S014</v>
      </c>
      <c r="B853" s="35">
        <f>Demand!B851</f>
        <v>46268.0</v>
      </c>
      <c r="C853" s="33">
        <f>Demand!C851</f>
        <v>9</v>
      </c>
      <c r="D853" s="33">
        <f>Demand!E851</f>
        <v>25</v>
      </c>
      <c r="E853" s="33">
        <f>IF(Demand!F851,1,0)</f>
        <v>0</v>
      </c>
      <c r="F853" s="33">
        <f>COUNTIFS(c_store,A853,c_date,B853,c_hour,C853)</f>
        <v>1</v>
      </c>
      <c r="G853" s="33">
        <f>IF(F853&gt;0,1,0)</f>
        <v>1</v>
      </c>
      <c r="H853" s="33">
        <f>COUNTIFS(Demand!$A$2:$A$4481,A853,Demand!$B$2:$B$4481,B853,Demand!$C$2:$C$4481,C853)</f>
        <v>1</v>
      </c>
    </row>
    <row r="854">
      <c r="A854" s="32" t="str">
        <f>Demand!A852</f>
        <v>S014</v>
      </c>
      <c r="B854" s="35">
        <f>Demand!B852</f>
        <v>46268.0</v>
      </c>
      <c r="C854" s="33">
        <f>Demand!C852</f>
        <v>10</v>
      </c>
      <c r="D854" s="33">
        <f>Demand!E852</f>
        <v>34</v>
      </c>
      <c r="E854" s="33">
        <f>IF(Demand!F852,1,0)</f>
        <v>0</v>
      </c>
      <c r="F854" s="33">
        <f>COUNTIFS(c_store,A854,c_date,B854,c_hour,C854)</f>
        <v>1</v>
      </c>
      <c r="G854" s="33">
        <f>IF(F854&gt;0,1,0)</f>
        <v>1</v>
      </c>
      <c r="H854" s="33">
        <f>COUNTIFS(Demand!$A$2:$A$4481,A854,Demand!$B$2:$B$4481,B854,Demand!$C$2:$C$4481,C854)</f>
        <v>1</v>
      </c>
    </row>
    <row r="855">
      <c r="A855" s="32" t="str">
        <f>Demand!A853</f>
        <v>S014</v>
      </c>
      <c r="B855" s="35">
        <f>Demand!B853</f>
        <v>46268.0</v>
      </c>
      <c r="C855" s="33">
        <f>Demand!C853</f>
        <v>11</v>
      </c>
      <c r="D855" s="33">
        <f>Demand!E853</f>
        <v>40</v>
      </c>
      <c r="E855" s="33">
        <f>IF(Demand!F853,1,0)</f>
        <v>0</v>
      </c>
      <c r="F855" s="33">
        <f>COUNTIFS(c_store,A855,c_date,B855,c_hour,C855)</f>
        <v>0</v>
      </c>
      <c r="G855" s="33">
        <f>IF(F855&gt;0,1,0)</f>
        <v>0</v>
      </c>
      <c r="H855" s="33">
        <f>COUNTIFS(Demand!$A$2:$A$4481,A855,Demand!$B$2:$B$4481,B855,Demand!$C$2:$C$4481,C855)</f>
        <v>1</v>
      </c>
    </row>
    <row r="856">
      <c r="A856" s="32" t="str">
        <f>Demand!A854</f>
        <v>S014</v>
      </c>
      <c r="B856" s="35">
        <f>Demand!B854</f>
        <v>46268.0</v>
      </c>
      <c r="C856" s="33">
        <f>Demand!C854</f>
        <v>12</v>
      </c>
      <c r="D856" s="33">
        <f>Demand!E854</f>
        <v>35</v>
      </c>
      <c r="E856" s="33">
        <f>IF(Demand!F854,1,0)</f>
        <v>0</v>
      </c>
      <c r="F856" s="33">
        <f>COUNTIFS(c_store,A856,c_date,B856,c_hour,C856)</f>
        <v>2</v>
      </c>
      <c r="G856" s="33">
        <f>IF(F856&gt;0,1,0)</f>
        <v>1</v>
      </c>
      <c r="H856" s="33">
        <f>COUNTIFS(Demand!$A$2:$A$4481,A856,Demand!$B$2:$B$4481,B856,Demand!$C$2:$C$4481,C856)</f>
        <v>1</v>
      </c>
    </row>
    <row r="857">
      <c r="A857" s="32" t="str">
        <f>Demand!A855</f>
        <v>S014</v>
      </c>
      <c r="B857" s="35">
        <f>Demand!B855</f>
        <v>46268.0</v>
      </c>
      <c r="C857" s="33">
        <f>Demand!C855</f>
        <v>13</v>
      </c>
      <c r="D857" s="33">
        <f>Demand!E855</f>
        <v>39</v>
      </c>
      <c r="E857" s="33">
        <f>IF(Demand!F855,1,0)</f>
        <v>0</v>
      </c>
      <c r="F857" s="33">
        <f>COUNTIFS(c_store,A857,c_date,B857,c_hour,C857)</f>
        <v>0</v>
      </c>
      <c r="G857" s="33">
        <f>IF(F857&gt;0,1,0)</f>
        <v>0</v>
      </c>
      <c r="H857" s="33">
        <f>COUNTIFS(Demand!$A$2:$A$4481,A857,Demand!$B$2:$B$4481,B857,Demand!$C$2:$C$4481,C857)</f>
        <v>1</v>
      </c>
    </row>
    <row r="858">
      <c r="A858" s="32" t="str">
        <f>Demand!A856</f>
        <v>S014</v>
      </c>
      <c r="B858" s="35">
        <f>Demand!B856</f>
        <v>46268.0</v>
      </c>
      <c r="C858" s="33">
        <f>Demand!C856</f>
        <v>14</v>
      </c>
      <c r="D858" s="33">
        <f>Demand!E856</f>
        <v>26</v>
      </c>
      <c r="E858" s="33">
        <f>IF(Demand!F856,1,0)</f>
        <v>0</v>
      </c>
      <c r="F858" s="33">
        <f>COUNTIFS(c_store,A858,c_date,B858,c_hour,C858)</f>
        <v>0</v>
      </c>
      <c r="G858" s="33">
        <f>IF(F858&gt;0,1,0)</f>
        <v>0</v>
      </c>
      <c r="H858" s="33">
        <f>COUNTIFS(Demand!$A$2:$A$4481,A858,Demand!$B$2:$B$4481,B858,Demand!$C$2:$C$4481,C858)</f>
        <v>1</v>
      </c>
    </row>
    <row r="859">
      <c r="A859" s="32" t="str">
        <f>Demand!A857</f>
        <v>S014</v>
      </c>
      <c r="B859" s="35">
        <f>Demand!B857</f>
        <v>46268.0</v>
      </c>
      <c r="C859" s="33">
        <f>Demand!C857</f>
        <v>15</v>
      </c>
      <c r="D859" s="33">
        <f>Demand!E857</f>
        <v>30</v>
      </c>
      <c r="E859" s="33">
        <f>IF(Demand!F857,1,0)</f>
        <v>0</v>
      </c>
      <c r="F859" s="33">
        <f>COUNTIFS(c_store,A859,c_date,B859,c_hour,C859)</f>
        <v>0</v>
      </c>
      <c r="G859" s="33">
        <f>IF(F859&gt;0,1,0)</f>
        <v>0</v>
      </c>
      <c r="H859" s="33">
        <f>COUNTIFS(Demand!$A$2:$A$4481,A859,Demand!$B$2:$B$4481,B859,Demand!$C$2:$C$4481,C859)</f>
        <v>1</v>
      </c>
    </row>
    <row r="860">
      <c r="A860" s="32" t="str">
        <f>Demand!A858</f>
        <v>S014</v>
      </c>
      <c r="B860" s="35">
        <f>Demand!B858</f>
        <v>46268.0</v>
      </c>
      <c r="C860" s="33">
        <f>Demand!C858</f>
        <v>16</v>
      </c>
      <c r="D860" s="33">
        <f>Demand!E858</f>
        <v>48</v>
      </c>
      <c r="E860" s="33">
        <f>IF(Demand!F858,1,0)</f>
        <v>0</v>
      </c>
      <c r="F860" s="33">
        <f>COUNTIFS(c_store,A860,c_date,B860,c_hour,C860)</f>
        <v>0</v>
      </c>
      <c r="G860" s="33">
        <f>IF(F860&gt;0,1,0)</f>
        <v>0</v>
      </c>
      <c r="H860" s="33">
        <f>COUNTIFS(Demand!$A$2:$A$4481,A860,Demand!$B$2:$B$4481,B860,Demand!$C$2:$C$4481,C860)</f>
        <v>1</v>
      </c>
    </row>
    <row r="861">
      <c r="A861" s="32" t="str">
        <f>Demand!A859</f>
        <v>S014</v>
      </c>
      <c r="B861" s="35">
        <f>Demand!B859</f>
        <v>46268.0</v>
      </c>
      <c r="C861" s="33">
        <f>Demand!C859</f>
        <v>17</v>
      </c>
      <c r="D861" s="33">
        <f>Demand!E859</f>
        <v>42</v>
      </c>
      <c r="E861" s="33">
        <f>IF(Demand!F859,1,0)</f>
        <v>0</v>
      </c>
      <c r="F861" s="33">
        <f>COUNTIFS(c_store,A861,c_date,B861,c_hour,C861)</f>
        <v>1</v>
      </c>
      <c r="G861" s="33">
        <f>IF(F861&gt;0,1,0)</f>
        <v>1</v>
      </c>
      <c r="H861" s="33">
        <f>COUNTIFS(Demand!$A$2:$A$4481,A861,Demand!$B$2:$B$4481,B861,Demand!$C$2:$C$4481,C861)</f>
        <v>1</v>
      </c>
    </row>
    <row r="862">
      <c r="A862" s="32" t="str">
        <f>Demand!A860</f>
        <v>S014</v>
      </c>
      <c r="B862" s="35">
        <f>Demand!B860</f>
        <v>46268.0</v>
      </c>
      <c r="C862" s="33">
        <f>Demand!C860</f>
        <v>18</v>
      </c>
      <c r="D862" s="33">
        <f>Demand!E860</f>
        <v>35</v>
      </c>
      <c r="E862" s="33">
        <f>IF(Demand!F860,1,0)</f>
        <v>0</v>
      </c>
      <c r="F862" s="33">
        <f>COUNTIFS(c_store,A862,c_date,B862,c_hour,C862)</f>
        <v>0</v>
      </c>
      <c r="G862" s="33">
        <f>IF(F862&gt;0,1,0)</f>
        <v>0</v>
      </c>
      <c r="H862" s="33">
        <f>COUNTIFS(Demand!$A$2:$A$4481,A862,Demand!$B$2:$B$4481,B862,Demand!$C$2:$C$4481,C862)</f>
        <v>1</v>
      </c>
    </row>
    <row r="863">
      <c r="A863" s="32" t="str">
        <f>Demand!A861</f>
        <v>S014</v>
      </c>
      <c r="B863" s="35">
        <f>Demand!B861</f>
        <v>46268.0</v>
      </c>
      <c r="C863" s="33">
        <f>Demand!C861</f>
        <v>19</v>
      </c>
      <c r="D863" s="33">
        <f>Demand!E861</f>
        <v>54</v>
      </c>
      <c r="E863" s="33">
        <f>IF(Demand!F861,1,0)</f>
        <v>1</v>
      </c>
      <c r="F863" s="33">
        <f>COUNTIFS(c_store,A863,c_date,B863,c_hour,C863)</f>
        <v>1</v>
      </c>
      <c r="G863" s="33">
        <f>IF(F863&gt;0,1,0)</f>
        <v>1</v>
      </c>
      <c r="H863" s="33">
        <f>COUNTIFS(Demand!$A$2:$A$4481,A863,Demand!$B$2:$B$4481,B863,Demand!$C$2:$C$4481,C863)</f>
        <v>1</v>
      </c>
    </row>
    <row r="864">
      <c r="A864" s="32" t="str">
        <f>Demand!A862</f>
        <v>S014</v>
      </c>
      <c r="B864" s="35">
        <f>Demand!B862</f>
        <v>46268.0</v>
      </c>
      <c r="C864" s="33">
        <f>Demand!C862</f>
        <v>20</v>
      </c>
      <c r="D864" s="33">
        <f>Demand!E862</f>
        <v>60</v>
      </c>
      <c r="E864" s="33">
        <f>IF(Demand!F862,1,0)</f>
        <v>1</v>
      </c>
      <c r="F864" s="33">
        <f>COUNTIFS(c_store,A864,c_date,B864,c_hour,C864)</f>
        <v>1</v>
      </c>
      <c r="G864" s="33">
        <f>IF(F864&gt;0,1,0)</f>
        <v>1</v>
      </c>
      <c r="H864" s="33">
        <f>COUNTIFS(Demand!$A$2:$A$4481,A864,Demand!$B$2:$B$4481,B864,Demand!$C$2:$C$4481,C864)</f>
        <v>1</v>
      </c>
    </row>
    <row r="865">
      <c r="A865" s="32" t="str">
        <f>Demand!A863</f>
        <v>S014</v>
      </c>
      <c r="B865" s="35">
        <f>Demand!B863</f>
        <v>46268.0</v>
      </c>
      <c r="C865" s="33">
        <f>Demand!C863</f>
        <v>21</v>
      </c>
      <c r="D865" s="33">
        <f>Demand!E863</f>
        <v>52</v>
      </c>
      <c r="E865" s="33">
        <f>IF(Demand!F863,1,0)</f>
        <v>1</v>
      </c>
      <c r="F865" s="33">
        <f>COUNTIFS(c_store,A865,c_date,B865,c_hour,C865)</f>
        <v>1</v>
      </c>
      <c r="G865" s="33">
        <f>IF(F865&gt;0,1,0)</f>
        <v>1</v>
      </c>
      <c r="H865" s="33">
        <f>COUNTIFS(Demand!$A$2:$A$4481,A865,Demand!$B$2:$B$4481,B865,Demand!$C$2:$C$4481,C865)</f>
        <v>1</v>
      </c>
    </row>
    <row r="866">
      <c r="A866" s="32" t="str">
        <f>Demand!A864</f>
        <v>S014</v>
      </c>
      <c r="B866" s="35">
        <f>Demand!B864</f>
        <v>46268.0</v>
      </c>
      <c r="C866" s="33">
        <f>Demand!C864</f>
        <v>22</v>
      </c>
      <c r="D866" s="33">
        <f>Demand!E864</f>
        <v>42</v>
      </c>
      <c r="E866" s="33">
        <f>IF(Demand!F864,1,0)</f>
        <v>0</v>
      </c>
      <c r="F866" s="33">
        <f>COUNTIFS(c_store,A866,c_date,B866,c_hour,C866)</f>
        <v>1</v>
      </c>
      <c r="G866" s="33">
        <f>IF(F866&gt;0,1,0)</f>
        <v>1</v>
      </c>
      <c r="H866" s="33">
        <f>COUNTIFS(Demand!$A$2:$A$4481,A866,Demand!$B$2:$B$4481,B866,Demand!$C$2:$C$4481,C866)</f>
        <v>1</v>
      </c>
    </row>
    <row r="867">
      <c r="A867" s="32" t="str">
        <f>Demand!A865</f>
        <v>S014</v>
      </c>
      <c r="B867" s="35">
        <f>Demand!B865</f>
        <v>46268.0</v>
      </c>
      <c r="C867" s="33">
        <f>Demand!C865</f>
        <v>23</v>
      </c>
      <c r="D867" s="33">
        <f>Demand!E865</f>
        <v>42</v>
      </c>
      <c r="E867" s="33">
        <f>IF(Demand!F865,1,0)</f>
        <v>0</v>
      </c>
      <c r="F867" s="33">
        <f>COUNTIFS(c_store,A867,c_date,B867,c_hour,C867)</f>
        <v>0</v>
      </c>
      <c r="G867" s="33">
        <f>IF(F867&gt;0,1,0)</f>
        <v>0</v>
      </c>
      <c r="H867" s="33">
        <f>COUNTIFS(Demand!$A$2:$A$4481,A867,Demand!$B$2:$B$4481,B867,Demand!$C$2:$C$4481,C867)</f>
        <v>1</v>
      </c>
    </row>
    <row r="868">
      <c r="A868" s="32" t="str">
        <f>Demand!A866</f>
        <v>S015</v>
      </c>
      <c r="B868" s="35">
        <f>Demand!B866</f>
        <v>46268.0</v>
      </c>
      <c r="C868" s="33">
        <f>Demand!C866</f>
        <v>8</v>
      </c>
      <c r="D868" s="33">
        <f>Demand!E866</f>
        <v>16</v>
      </c>
      <c r="E868" s="33">
        <f>IF(Demand!F866,1,0)</f>
        <v>0</v>
      </c>
      <c r="F868" s="33">
        <f>COUNTIFS(c_store,A868,c_date,B868,c_hour,C868)</f>
        <v>1</v>
      </c>
      <c r="G868" s="33">
        <f>IF(F868&gt;0,1,0)</f>
        <v>1</v>
      </c>
      <c r="H868" s="33">
        <f>COUNTIFS(Demand!$A$2:$A$4481,A868,Demand!$B$2:$B$4481,B868,Demand!$C$2:$C$4481,C868)</f>
        <v>1</v>
      </c>
    </row>
    <row r="869">
      <c r="A869" s="32" t="str">
        <f>Demand!A867</f>
        <v>S015</v>
      </c>
      <c r="B869" s="35">
        <f>Demand!B867</f>
        <v>46268.0</v>
      </c>
      <c r="C869" s="33">
        <f>Demand!C867</f>
        <v>9</v>
      </c>
      <c r="D869" s="33">
        <f>Demand!E867</f>
        <v>15</v>
      </c>
      <c r="E869" s="33">
        <f>IF(Demand!F867,1,0)</f>
        <v>0</v>
      </c>
      <c r="F869" s="33">
        <f>COUNTIFS(c_store,A869,c_date,B869,c_hour,C869)</f>
        <v>0</v>
      </c>
      <c r="G869" s="33">
        <f>IF(F869&gt;0,1,0)</f>
        <v>0</v>
      </c>
      <c r="H869" s="33">
        <f>COUNTIFS(Demand!$A$2:$A$4481,A869,Demand!$B$2:$B$4481,B869,Demand!$C$2:$C$4481,C869)</f>
        <v>1</v>
      </c>
    </row>
    <row r="870">
      <c r="A870" s="32" t="str">
        <f>Demand!A868</f>
        <v>S015</v>
      </c>
      <c r="B870" s="35">
        <f>Demand!B868</f>
        <v>46268.0</v>
      </c>
      <c r="C870" s="33">
        <f>Demand!C868</f>
        <v>10</v>
      </c>
      <c r="D870" s="33">
        <f>Demand!E868</f>
        <v>11</v>
      </c>
      <c r="E870" s="33">
        <f>IF(Demand!F868,1,0)</f>
        <v>0</v>
      </c>
      <c r="F870" s="33">
        <f>COUNTIFS(c_store,A870,c_date,B870,c_hour,C870)</f>
        <v>1</v>
      </c>
      <c r="G870" s="33">
        <f>IF(F870&gt;0,1,0)</f>
        <v>1</v>
      </c>
      <c r="H870" s="33">
        <f>COUNTIFS(Demand!$A$2:$A$4481,A870,Demand!$B$2:$B$4481,B870,Demand!$C$2:$C$4481,C870)</f>
        <v>1</v>
      </c>
    </row>
    <row r="871">
      <c r="A871" s="32" t="str">
        <f>Demand!A869</f>
        <v>S015</v>
      </c>
      <c r="B871" s="35">
        <f>Demand!B869</f>
        <v>46268.0</v>
      </c>
      <c r="C871" s="33">
        <f>Demand!C869</f>
        <v>11</v>
      </c>
      <c r="D871" s="33">
        <f>Demand!E869</f>
        <v>17</v>
      </c>
      <c r="E871" s="33">
        <f>IF(Demand!F869,1,0)</f>
        <v>0</v>
      </c>
      <c r="F871" s="33">
        <f>COUNTIFS(c_store,A871,c_date,B871,c_hour,C871)</f>
        <v>0</v>
      </c>
      <c r="G871" s="33">
        <f>IF(F871&gt;0,1,0)</f>
        <v>0</v>
      </c>
      <c r="H871" s="33">
        <f>COUNTIFS(Demand!$A$2:$A$4481,A871,Demand!$B$2:$B$4481,B871,Demand!$C$2:$C$4481,C871)</f>
        <v>1</v>
      </c>
    </row>
    <row r="872">
      <c r="A872" s="32" t="str">
        <f>Demand!A870</f>
        <v>S015</v>
      </c>
      <c r="B872" s="35">
        <f>Demand!B870</f>
        <v>46268.0</v>
      </c>
      <c r="C872" s="33">
        <f>Demand!C870</f>
        <v>12</v>
      </c>
      <c r="D872" s="33">
        <f>Demand!E870</f>
        <v>19</v>
      </c>
      <c r="E872" s="33">
        <f>IF(Demand!F870,1,0)</f>
        <v>0</v>
      </c>
      <c r="F872" s="33">
        <f>COUNTIFS(c_store,A872,c_date,B872,c_hour,C872)</f>
        <v>1</v>
      </c>
      <c r="G872" s="33">
        <f>IF(F872&gt;0,1,0)</f>
        <v>1</v>
      </c>
      <c r="H872" s="33">
        <f>COUNTIFS(Demand!$A$2:$A$4481,A872,Demand!$B$2:$B$4481,B872,Demand!$C$2:$C$4481,C872)</f>
        <v>1</v>
      </c>
    </row>
    <row r="873">
      <c r="A873" s="32" t="str">
        <f>Demand!A871</f>
        <v>S015</v>
      </c>
      <c r="B873" s="35">
        <f>Demand!B871</f>
        <v>46268.0</v>
      </c>
      <c r="C873" s="33">
        <f>Demand!C871</f>
        <v>13</v>
      </c>
      <c r="D873" s="33">
        <f>Demand!E871</f>
        <v>31</v>
      </c>
      <c r="E873" s="33">
        <f>IF(Demand!F871,1,0)</f>
        <v>0</v>
      </c>
      <c r="F873" s="33">
        <f>COUNTIFS(c_store,A873,c_date,B873,c_hour,C873)</f>
        <v>1</v>
      </c>
      <c r="G873" s="33">
        <f>IF(F873&gt;0,1,0)</f>
        <v>1</v>
      </c>
      <c r="H873" s="33">
        <f>COUNTIFS(Demand!$A$2:$A$4481,A873,Demand!$B$2:$B$4481,B873,Demand!$C$2:$C$4481,C873)</f>
        <v>1</v>
      </c>
    </row>
    <row r="874">
      <c r="A874" s="32" t="str">
        <f>Demand!A872</f>
        <v>S015</v>
      </c>
      <c r="B874" s="35">
        <f>Demand!B872</f>
        <v>46268.0</v>
      </c>
      <c r="C874" s="33">
        <f>Demand!C872</f>
        <v>14</v>
      </c>
      <c r="D874" s="33">
        <f>Demand!E872</f>
        <v>17</v>
      </c>
      <c r="E874" s="33">
        <f>IF(Demand!F872,1,0)</f>
        <v>0</v>
      </c>
      <c r="F874" s="33">
        <f>COUNTIFS(c_store,A874,c_date,B874,c_hour,C874)</f>
        <v>0</v>
      </c>
      <c r="G874" s="33">
        <f>IF(F874&gt;0,1,0)</f>
        <v>0</v>
      </c>
      <c r="H874" s="33">
        <f>COUNTIFS(Demand!$A$2:$A$4481,A874,Demand!$B$2:$B$4481,B874,Demand!$C$2:$C$4481,C874)</f>
        <v>1</v>
      </c>
    </row>
    <row r="875">
      <c r="A875" s="32" t="str">
        <f>Demand!A873</f>
        <v>S015</v>
      </c>
      <c r="B875" s="35">
        <f>Demand!B873</f>
        <v>46268.0</v>
      </c>
      <c r="C875" s="33">
        <f>Demand!C873</f>
        <v>15</v>
      </c>
      <c r="D875" s="33">
        <f>Demand!E873</f>
        <v>19</v>
      </c>
      <c r="E875" s="33">
        <f>IF(Demand!F873,1,0)</f>
        <v>0</v>
      </c>
      <c r="F875" s="33">
        <f>COUNTIFS(c_store,A875,c_date,B875,c_hour,C875)</f>
        <v>0</v>
      </c>
      <c r="G875" s="33">
        <f>IF(F875&gt;0,1,0)</f>
        <v>0</v>
      </c>
      <c r="H875" s="33">
        <f>COUNTIFS(Demand!$A$2:$A$4481,A875,Demand!$B$2:$B$4481,B875,Demand!$C$2:$C$4481,C875)</f>
        <v>1</v>
      </c>
    </row>
    <row r="876">
      <c r="A876" s="32" t="str">
        <f>Demand!A874</f>
        <v>S015</v>
      </c>
      <c r="B876" s="35">
        <f>Demand!B874</f>
        <v>46268.0</v>
      </c>
      <c r="C876" s="33">
        <f>Demand!C874</f>
        <v>16</v>
      </c>
      <c r="D876" s="33">
        <f>Demand!E874</f>
        <v>24</v>
      </c>
      <c r="E876" s="33">
        <f>IF(Demand!F874,1,0)</f>
        <v>0</v>
      </c>
      <c r="F876" s="33">
        <f>COUNTIFS(c_store,A876,c_date,B876,c_hour,C876)</f>
        <v>0</v>
      </c>
      <c r="G876" s="33">
        <f>IF(F876&gt;0,1,0)</f>
        <v>0</v>
      </c>
      <c r="H876" s="33">
        <f>COUNTIFS(Demand!$A$2:$A$4481,A876,Demand!$B$2:$B$4481,B876,Demand!$C$2:$C$4481,C876)</f>
        <v>1</v>
      </c>
    </row>
    <row r="877">
      <c r="A877" s="32" t="str">
        <f>Demand!A875</f>
        <v>S015</v>
      </c>
      <c r="B877" s="35">
        <f>Demand!B875</f>
        <v>46268.0</v>
      </c>
      <c r="C877" s="33">
        <f>Demand!C875</f>
        <v>17</v>
      </c>
      <c r="D877" s="33">
        <f>Demand!E875</f>
        <v>24</v>
      </c>
      <c r="E877" s="33">
        <f>IF(Demand!F875,1,0)</f>
        <v>0</v>
      </c>
      <c r="F877" s="33">
        <f>COUNTIFS(c_store,A877,c_date,B877,c_hour,C877)</f>
        <v>1</v>
      </c>
      <c r="G877" s="33">
        <f>IF(F877&gt;0,1,0)</f>
        <v>1</v>
      </c>
      <c r="H877" s="33">
        <f>COUNTIFS(Demand!$A$2:$A$4481,A877,Demand!$B$2:$B$4481,B877,Demand!$C$2:$C$4481,C877)</f>
        <v>1</v>
      </c>
    </row>
    <row r="878">
      <c r="A878" s="32" t="str">
        <f>Demand!A876</f>
        <v>S015</v>
      </c>
      <c r="B878" s="35">
        <f>Demand!B876</f>
        <v>46268.0</v>
      </c>
      <c r="C878" s="33">
        <f>Demand!C876</f>
        <v>18</v>
      </c>
      <c r="D878" s="33">
        <f>Demand!E876</f>
        <v>23</v>
      </c>
      <c r="E878" s="33">
        <f>IF(Demand!F876,1,0)</f>
        <v>0</v>
      </c>
      <c r="F878" s="33">
        <f>COUNTIFS(c_store,A878,c_date,B878,c_hour,C878)</f>
        <v>1</v>
      </c>
      <c r="G878" s="33">
        <f>IF(F878&gt;0,1,0)</f>
        <v>1</v>
      </c>
      <c r="H878" s="33">
        <f>COUNTIFS(Demand!$A$2:$A$4481,A878,Demand!$B$2:$B$4481,B878,Demand!$C$2:$C$4481,C878)</f>
        <v>1</v>
      </c>
    </row>
    <row r="879">
      <c r="A879" s="32" t="str">
        <f>Demand!A877</f>
        <v>S015</v>
      </c>
      <c r="B879" s="35">
        <f>Demand!B877</f>
        <v>46268.0</v>
      </c>
      <c r="C879" s="33">
        <f>Demand!C877</f>
        <v>19</v>
      </c>
      <c r="D879" s="33">
        <f>Demand!E877</f>
        <v>34</v>
      </c>
      <c r="E879" s="33">
        <f>IF(Demand!F877,1,0)</f>
        <v>1</v>
      </c>
      <c r="F879" s="33">
        <f>COUNTIFS(c_store,A879,c_date,B879,c_hour,C879)</f>
        <v>0</v>
      </c>
      <c r="G879" s="33">
        <f>IF(F879&gt;0,1,0)</f>
        <v>0</v>
      </c>
      <c r="H879" s="33">
        <f>COUNTIFS(Demand!$A$2:$A$4481,A879,Demand!$B$2:$B$4481,B879,Demand!$C$2:$C$4481,C879)</f>
        <v>1</v>
      </c>
    </row>
    <row r="880">
      <c r="A880" s="32" t="str">
        <f>Demand!A878</f>
        <v>S015</v>
      </c>
      <c r="B880" s="35">
        <f>Demand!B878</f>
        <v>46268.0</v>
      </c>
      <c r="C880" s="33">
        <f>Demand!C878</f>
        <v>20</v>
      </c>
      <c r="D880" s="33">
        <f>Demand!E878</f>
        <v>32</v>
      </c>
      <c r="E880" s="33">
        <f>IF(Demand!F878,1,0)</f>
        <v>1</v>
      </c>
      <c r="F880" s="33">
        <f>COUNTIFS(c_store,A880,c_date,B880,c_hour,C880)</f>
        <v>0</v>
      </c>
      <c r="G880" s="33">
        <f>IF(F880&gt;0,1,0)</f>
        <v>0</v>
      </c>
      <c r="H880" s="33">
        <f>COUNTIFS(Demand!$A$2:$A$4481,A880,Demand!$B$2:$B$4481,B880,Demand!$C$2:$C$4481,C880)</f>
        <v>1</v>
      </c>
    </row>
    <row r="881">
      <c r="A881" s="32" t="str">
        <f>Demand!A879</f>
        <v>S015</v>
      </c>
      <c r="B881" s="35">
        <f>Demand!B879</f>
        <v>46268.0</v>
      </c>
      <c r="C881" s="33">
        <f>Demand!C879</f>
        <v>21</v>
      </c>
      <c r="D881" s="33">
        <f>Demand!E879</f>
        <v>44</v>
      </c>
      <c r="E881" s="33">
        <f>IF(Demand!F879,1,0)</f>
        <v>1</v>
      </c>
      <c r="F881" s="33">
        <f>COUNTIFS(c_store,A881,c_date,B881,c_hour,C881)</f>
        <v>1</v>
      </c>
      <c r="G881" s="33">
        <f>IF(F881&gt;0,1,0)</f>
        <v>1</v>
      </c>
      <c r="H881" s="33">
        <f>COUNTIFS(Demand!$A$2:$A$4481,A881,Demand!$B$2:$B$4481,B881,Demand!$C$2:$C$4481,C881)</f>
        <v>1</v>
      </c>
    </row>
    <row r="882">
      <c r="A882" s="32" t="str">
        <f>Demand!A880</f>
        <v>S015</v>
      </c>
      <c r="B882" s="35">
        <f>Demand!B880</f>
        <v>46268.0</v>
      </c>
      <c r="C882" s="33">
        <f>Demand!C880</f>
        <v>22</v>
      </c>
      <c r="D882" s="33">
        <f>Demand!E880</f>
        <v>25</v>
      </c>
      <c r="E882" s="33">
        <f>IF(Demand!F880,1,0)</f>
        <v>0</v>
      </c>
      <c r="F882" s="33">
        <f>COUNTIFS(c_store,A882,c_date,B882,c_hour,C882)</f>
        <v>0</v>
      </c>
      <c r="G882" s="33">
        <f>IF(F882&gt;0,1,0)</f>
        <v>0</v>
      </c>
      <c r="H882" s="33">
        <f>COUNTIFS(Demand!$A$2:$A$4481,A882,Demand!$B$2:$B$4481,B882,Demand!$C$2:$C$4481,C882)</f>
        <v>1</v>
      </c>
    </row>
    <row r="883">
      <c r="A883" s="32" t="str">
        <f>Demand!A881</f>
        <v>S015</v>
      </c>
      <c r="B883" s="35">
        <f>Demand!B881</f>
        <v>46268.0</v>
      </c>
      <c r="C883" s="33">
        <f>Demand!C881</f>
        <v>23</v>
      </c>
      <c r="D883" s="33">
        <f>Demand!E881</f>
        <v>20</v>
      </c>
      <c r="E883" s="33">
        <f>IF(Demand!F881,1,0)</f>
        <v>0</v>
      </c>
      <c r="F883" s="33">
        <f>COUNTIFS(c_store,A883,c_date,B883,c_hour,C883)</f>
        <v>1</v>
      </c>
      <c r="G883" s="33">
        <f>IF(F883&gt;0,1,0)</f>
        <v>1</v>
      </c>
      <c r="H883" s="33">
        <f>COUNTIFS(Demand!$A$2:$A$4481,A883,Demand!$B$2:$B$4481,B883,Demand!$C$2:$C$4481,C883)</f>
        <v>1</v>
      </c>
    </row>
    <row r="884">
      <c r="A884" s="32" t="str">
        <f>Demand!A882</f>
        <v>S016</v>
      </c>
      <c r="B884" s="35">
        <f>Demand!B882</f>
        <v>46268.0</v>
      </c>
      <c r="C884" s="33">
        <f>Demand!C882</f>
        <v>8</v>
      </c>
      <c r="D884" s="33">
        <f>Demand!E882</f>
        <v>20</v>
      </c>
      <c r="E884" s="33">
        <f>IF(Demand!F882,1,0)</f>
        <v>0</v>
      </c>
      <c r="F884" s="33">
        <f>COUNTIFS(c_store,A884,c_date,B884,c_hour,C884)</f>
        <v>0</v>
      </c>
      <c r="G884" s="33">
        <f>IF(F884&gt;0,1,0)</f>
        <v>0</v>
      </c>
      <c r="H884" s="33">
        <f>COUNTIFS(Demand!$A$2:$A$4481,A884,Demand!$B$2:$B$4481,B884,Demand!$C$2:$C$4481,C884)</f>
        <v>1</v>
      </c>
    </row>
    <row r="885">
      <c r="A885" s="32" t="str">
        <f>Demand!A883</f>
        <v>S016</v>
      </c>
      <c r="B885" s="35">
        <f>Demand!B883</f>
        <v>46268.0</v>
      </c>
      <c r="C885" s="33">
        <f>Demand!C883</f>
        <v>9</v>
      </c>
      <c r="D885" s="33">
        <f>Demand!E883</f>
        <v>18</v>
      </c>
      <c r="E885" s="33">
        <f>IF(Demand!F883,1,0)</f>
        <v>0</v>
      </c>
      <c r="F885" s="33">
        <f>COUNTIFS(c_store,A885,c_date,B885,c_hour,C885)</f>
        <v>1</v>
      </c>
      <c r="G885" s="33">
        <f>IF(F885&gt;0,1,0)</f>
        <v>1</v>
      </c>
      <c r="H885" s="33">
        <f>COUNTIFS(Demand!$A$2:$A$4481,A885,Demand!$B$2:$B$4481,B885,Demand!$C$2:$C$4481,C885)</f>
        <v>1</v>
      </c>
    </row>
    <row r="886">
      <c r="A886" s="32" t="str">
        <f>Demand!A884</f>
        <v>S016</v>
      </c>
      <c r="B886" s="35">
        <f>Demand!B884</f>
        <v>46268.0</v>
      </c>
      <c r="C886" s="33">
        <f>Demand!C884</f>
        <v>10</v>
      </c>
      <c r="D886" s="33">
        <f>Demand!E884</f>
        <v>11</v>
      </c>
      <c r="E886" s="33">
        <f>IF(Demand!F884,1,0)</f>
        <v>0</v>
      </c>
      <c r="F886" s="33">
        <f>COUNTIFS(c_store,A886,c_date,B886,c_hour,C886)</f>
        <v>0</v>
      </c>
      <c r="G886" s="33">
        <f>IF(F886&gt;0,1,0)</f>
        <v>0</v>
      </c>
      <c r="H886" s="33">
        <f>COUNTIFS(Demand!$A$2:$A$4481,A886,Demand!$B$2:$B$4481,B886,Demand!$C$2:$C$4481,C886)</f>
        <v>1</v>
      </c>
    </row>
    <row r="887">
      <c r="A887" s="32" t="str">
        <f>Demand!A885</f>
        <v>S016</v>
      </c>
      <c r="B887" s="35">
        <f>Demand!B885</f>
        <v>46268.0</v>
      </c>
      <c r="C887" s="33">
        <f>Demand!C885</f>
        <v>11</v>
      </c>
      <c r="D887" s="33">
        <f>Demand!E885</f>
        <v>30</v>
      </c>
      <c r="E887" s="33">
        <f>IF(Demand!F885,1,0)</f>
        <v>0</v>
      </c>
      <c r="F887" s="33">
        <f>COUNTIFS(c_store,A887,c_date,B887,c_hour,C887)</f>
        <v>1</v>
      </c>
      <c r="G887" s="33">
        <f>IF(F887&gt;0,1,0)</f>
        <v>1</v>
      </c>
      <c r="H887" s="33">
        <f>COUNTIFS(Demand!$A$2:$A$4481,A887,Demand!$B$2:$B$4481,B887,Demand!$C$2:$C$4481,C887)</f>
        <v>1</v>
      </c>
    </row>
    <row r="888">
      <c r="A888" s="32" t="str">
        <f>Demand!A886</f>
        <v>S016</v>
      </c>
      <c r="B888" s="35">
        <f>Demand!B886</f>
        <v>46268.0</v>
      </c>
      <c r="C888" s="33">
        <f>Demand!C886</f>
        <v>12</v>
      </c>
      <c r="D888" s="33">
        <f>Demand!E886</f>
        <v>27</v>
      </c>
      <c r="E888" s="33">
        <f>IF(Demand!F886,1,0)</f>
        <v>0</v>
      </c>
      <c r="F888" s="33">
        <f>COUNTIFS(c_store,A888,c_date,B888,c_hour,C888)</f>
        <v>0</v>
      </c>
      <c r="G888" s="33">
        <f>IF(F888&gt;0,1,0)</f>
        <v>0</v>
      </c>
      <c r="H888" s="33">
        <f>COUNTIFS(Demand!$A$2:$A$4481,A888,Demand!$B$2:$B$4481,B888,Demand!$C$2:$C$4481,C888)</f>
        <v>1</v>
      </c>
    </row>
    <row r="889">
      <c r="A889" s="32" t="str">
        <f>Demand!A887</f>
        <v>S016</v>
      </c>
      <c r="B889" s="35">
        <f>Demand!B887</f>
        <v>46268.0</v>
      </c>
      <c r="C889" s="33">
        <f>Demand!C887</f>
        <v>13</v>
      </c>
      <c r="D889" s="33">
        <f>Demand!E887</f>
        <v>22</v>
      </c>
      <c r="E889" s="33">
        <f>IF(Demand!F887,1,0)</f>
        <v>0</v>
      </c>
      <c r="F889" s="33">
        <f>COUNTIFS(c_store,A889,c_date,B889,c_hour,C889)</f>
        <v>0</v>
      </c>
      <c r="G889" s="33">
        <f>IF(F889&gt;0,1,0)</f>
        <v>0</v>
      </c>
      <c r="H889" s="33">
        <f>COUNTIFS(Demand!$A$2:$A$4481,A889,Demand!$B$2:$B$4481,B889,Demand!$C$2:$C$4481,C889)</f>
        <v>1</v>
      </c>
    </row>
    <row r="890">
      <c r="A890" s="32" t="str">
        <f>Demand!A888</f>
        <v>S016</v>
      </c>
      <c r="B890" s="35">
        <f>Demand!B888</f>
        <v>46268.0</v>
      </c>
      <c r="C890" s="33">
        <f>Demand!C888</f>
        <v>14</v>
      </c>
      <c r="D890" s="33">
        <f>Demand!E888</f>
        <v>32</v>
      </c>
      <c r="E890" s="33">
        <f>IF(Demand!F888,1,0)</f>
        <v>0</v>
      </c>
      <c r="F890" s="33">
        <f>COUNTIFS(c_store,A890,c_date,B890,c_hour,C890)</f>
        <v>0</v>
      </c>
      <c r="G890" s="33">
        <f>IF(F890&gt;0,1,0)</f>
        <v>0</v>
      </c>
      <c r="H890" s="33">
        <f>COUNTIFS(Demand!$A$2:$A$4481,A890,Demand!$B$2:$B$4481,B890,Demand!$C$2:$C$4481,C890)</f>
        <v>1</v>
      </c>
    </row>
    <row r="891">
      <c r="A891" s="32" t="str">
        <f>Demand!A889</f>
        <v>S016</v>
      </c>
      <c r="B891" s="35">
        <f>Demand!B889</f>
        <v>46268.0</v>
      </c>
      <c r="C891" s="33">
        <f>Demand!C889</f>
        <v>15</v>
      </c>
      <c r="D891" s="33">
        <f>Demand!E889</f>
        <v>21</v>
      </c>
      <c r="E891" s="33">
        <f>IF(Demand!F889,1,0)</f>
        <v>0</v>
      </c>
      <c r="F891" s="33">
        <f>COUNTIFS(c_store,A891,c_date,B891,c_hour,C891)</f>
        <v>1</v>
      </c>
      <c r="G891" s="33">
        <f>IF(F891&gt;0,1,0)</f>
        <v>1</v>
      </c>
      <c r="H891" s="33">
        <f>COUNTIFS(Demand!$A$2:$A$4481,A891,Demand!$B$2:$B$4481,B891,Demand!$C$2:$C$4481,C891)</f>
        <v>1</v>
      </c>
    </row>
    <row r="892">
      <c r="A892" s="32" t="str">
        <f>Demand!A890</f>
        <v>S016</v>
      </c>
      <c r="B892" s="35">
        <f>Demand!B890</f>
        <v>46268.0</v>
      </c>
      <c r="C892" s="33">
        <f>Demand!C890</f>
        <v>16</v>
      </c>
      <c r="D892" s="33">
        <f>Demand!E890</f>
        <v>30</v>
      </c>
      <c r="E892" s="33">
        <f>IF(Demand!F890,1,0)</f>
        <v>0</v>
      </c>
      <c r="F892" s="33">
        <f>COUNTIFS(c_store,A892,c_date,B892,c_hour,C892)</f>
        <v>0</v>
      </c>
      <c r="G892" s="33">
        <f>IF(F892&gt;0,1,0)</f>
        <v>0</v>
      </c>
      <c r="H892" s="33">
        <f>COUNTIFS(Demand!$A$2:$A$4481,A892,Demand!$B$2:$B$4481,B892,Demand!$C$2:$C$4481,C892)</f>
        <v>1</v>
      </c>
    </row>
    <row r="893">
      <c r="A893" s="32" t="str">
        <f>Demand!A891</f>
        <v>S016</v>
      </c>
      <c r="B893" s="35">
        <f>Demand!B891</f>
        <v>46268.0</v>
      </c>
      <c r="C893" s="33">
        <f>Demand!C891</f>
        <v>17</v>
      </c>
      <c r="D893" s="33">
        <f>Demand!E891</f>
        <v>19</v>
      </c>
      <c r="E893" s="33">
        <f>IF(Demand!F891,1,0)</f>
        <v>0</v>
      </c>
      <c r="F893" s="33">
        <f>COUNTIFS(c_store,A893,c_date,B893,c_hour,C893)</f>
        <v>0</v>
      </c>
      <c r="G893" s="33">
        <f>IF(F893&gt;0,1,0)</f>
        <v>0</v>
      </c>
      <c r="H893" s="33">
        <f>COUNTIFS(Demand!$A$2:$A$4481,A893,Demand!$B$2:$B$4481,B893,Demand!$C$2:$C$4481,C893)</f>
        <v>1</v>
      </c>
    </row>
    <row r="894">
      <c r="A894" s="32" t="str">
        <f>Demand!A892</f>
        <v>S016</v>
      </c>
      <c r="B894" s="35">
        <f>Demand!B892</f>
        <v>46268.0</v>
      </c>
      <c r="C894" s="33">
        <f>Demand!C892</f>
        <v>18</v>
      </c>
      <c r="D894" s="33">
        <f>Demand!E892</f>
        <v>21</v>
      </c>
      <c r="E894" s="33">
        <f>IF(Demand!F892,1,0)</f>
        <v>0</v>
      </c>
      <c r="F894" s="33">
        <f>COUNTIFS(c_store,A894,c_date,B894,c_hour,C894)</f>
        <v>0</v>
      </c>
      <c r="G894" s="33">
        <f>IF(F894&gt;0,1,0)</f>
        <v>0</v>
      </c>
      <c r="H894" s="33">
        <f>COUNTIFS(Demand!$A$2:$A$4481,A894,Demand!$B$2:$B$4481,B894,Demand!$C$2:$C$4481,C894)</f>
        <v>1</v>
      </c>
    </row>
    <row r="895">
      <c r="A895" s="32" t="str">
        <f>Demand!A893</f>
        <v>S016</v>
      </c>
      <c r="B895" s="35">
        <f>Demand!B893</f>
        <v>46268.0</v>
      </c>
      <c r="C895" s="33">
        <f>Demand!C893</f>
        <v>19</v>
      </c>
      <c r="D895" s="33">
        <f>Demand!E893</f>
        <v>42</v>
      </c>
      <c r="E895" s="33">
        <f>IF(Demand!F893,1,0)</f>
        <v>1</v>
      </c>
      <c r="F895" s="33">
        <f>COUNTIFS(c_store,A895,c_date,B895,c_hour,C895)</f>
        <v>0</v>
      </c>
      <c r="G895" s="33">
        <f>IF(F895&gt;0,1,0)</f>
        <v>0</v>
      </c>
      <c r="H895" s="33">
        <f>COUNTIFS(Demand!$A$2:$A$4481,A895,Demand!$B$2:$B$4481,B895,Demand!$C$2:$C$4481,C895)</f>
        <v>1</v>
      </c>
    </row>
    <row r="896">
      <c r="A896" s="32" t="str">
        <f>Demand!A894</f>
        <v>S016</v>
      </c>
      <c r="B896" s="35">
        <f>Demand!B894</f>
        <v>46268.0</v>
      </c>
      <c r="C896" s="33">
        <f>Demand!C894</f>
        <v>20</v>
      </c>
      <c r="D896" s="33">
        <f>Demand!E894</f>
        <v>31</v>
      </c>
      <c r="E896" s="33">
        <f>IF(Demand!F894,1,0)</f>
        <v>1</v>
      </c>
      <c r="F896" s="33">
        <f>COUNTIFS(c_store,A896,c_date,B896,c_hour,C896)</f>
        <v>0</v>
      </c>
      <c r="G896" s="33">
        <f>IF(F896&gt;0,1,0)</f>
        <v>0</v>
      </c>
      <c r="H896" s="33">
        <f>COUNTIFS(Demand!$A$2:$A$4481,A896,Demand!$B$2:$B$4481,B896,Demand!$C$2:$C$4481,C896)</f>
        <v>1</v>
      </c>
    </row>
    <row r="897">
      <c r="A897" s="32" t="str">
        <f>Demand!A895</f>
        <v>S016</v>
      </c>
      <c r="B897" s="35">
        <f>Demand!B895</f>
        <v>46268.0</v>
      </c>
      <c r="C897" s="33">
        <f>Demand!C895</f>
        <v>21</v>
      </c>
      <c r="D897" s="33">
        <f>Demand!E895</f>
        <v>40</v>
      </c>
      <c r="E897" s="33">
        <f>IF(Demand!F895,1,0)</f>
        <v>1</v>
      </c>
      <c r="F897" s="33">
        <f>COUNTIFS(c_store,A897,c_date,B897,c_hour,C897)</f>
        <v>1</v>
      </c>
      <c r="G897" s="33">
        <f>IF(F897&gt;0,1,0)</f>
        <v>1</v>
      </c>
      <c r="H897" s="33">
        <f>COUNTIFS(Demand!$A$2:$A$4481,A897,Demand!$B$2:$B$4481,B897,Demand!$C$2:$C$4481,C897)</f>
        <v>1</v>
      </c>
    </row>
    <row r="898">
      <c r="A898" s="32" t="str">
        <f>Demand!A896</f>
        <v>S016</v>
      </c>
      <c r="B898" s="35">
        <f>Demand!B896</f>
        <v>46268.0</v>
      </c>
      <c r="C898" s="33">
        <f>Demand!C896</f>
        <v>22</v>
      </c>
      <c r="D898" s="33">
        <f>Demand!E896</f>
        <v>11</v>
      </c>
      <c r="E898" s="33">
        <f>IF(Demand!F896,1,0)</f>
        <v>0</v>
      </c>
      <c r="F898" s="33">
        <f>COUNTIFS(c_store,A898,c_date,B898,c_hour,C898)</f>
        <v>1</v>
      </c>
      <c r="G898" s="33">
        <f>IF(F898&gt;0,1,0)</f>
        <v>1</v>
      </c>
      <c r="H898" s="33">
        <f>COUNTIFS(Demand!$A$2:$A$4481,A898,Demand!$B$2:$B$4481,B898,Demand!$C$2:$C$4481,C898)</f>
        <v>1</v>
      </c>
    </row>
    <row r="899">
      <c r="A899" s="32" t="str">
        <f>Demand!A897</f>
        <v>S016</v>
      </c>
      <c r="B899" s="35">
        <f>Demand!B897</f>
        <v>46268.0</v>
      </c>
      <c r="C899" s="33">
        <f>Demand!C897</f>
        <v>23</v>
      </c>
      <c r="D899" s="33">
        <f>Demand!E897</f>
        <v>18</v>
      </c>
      <c r="E899" s="33">
        <f>IF(Demand!F897,1,0)</f>
        <v>0</v>
      </c>
      <c r="F899" s="33">
        <f>COUNTIFS(c_store,A899,c_date,B899,c_hour,C899)</f>
        <v>0</v>
      </c>
      <c r="G899" s="33">
        <f>IF(F899&gt;0,1,0)</f>
        <v>0</v>
      </c>
      <c r="H899" s="33">
        <f>COUNTIFS(Demand!$A$2:$A$4481,A899,Demand!$B$2:$B$4481,B899,Demand!$C$2:$C$4481,C899)</f>
        <v>1</v>
      </c>
    </row>
    <row r="900">
      <c r="A900" s="32" t="str">
        <f>Demand!A898</f>
        <v>S017</v>
      </c>
      <c r="B900" s="35">
        <f>Demand!B898</f>
        <v>46268.0</v>
      </c>
      <c r="C900" s="33">
        <f>Demand!C898</f>
        <v>8</v>
      </c>
      <c r="D900" s="33">
        <f>Demand!E898</f>
        <v>32</v>
      </c>
      <c r="E900" s="33">
        <f>IF(Demand!F898,1,0)</f>
        <v>0</v>
      </c>
      <c r="F900" s="33">
        <f>COUNTIFS(c_store,A900,c_date,B900,c_hour,C900)</f>
        <v>0</v>
      </c>
      <c r="G900" s="33">
        <f>IF(F900&gt;0,1,0)</f>
        <v>0</v>
      </c>
      <c r="H900" s="33">
        <f>COUNTIFS(Demand!$A$2:$A$4481,A900,Demand!$B$2:$B$4481,B900,Demand!$C$2:$C$4481,C900)</f>
        <v>1</v>
      </c>
    </row>
    <row r="901">
      <c r="A901" s="32" t="str">
        <f>Demand!A899</f>
        <v>S017</v>
      </c>
      <c r="B901" s="35">
        <f>Demand!B899</f>
        <v>46268.0</v>
      </c>
      <c r="C901" s="33">
        <f>Demand!C899</f>
        <v>9</v>
      </c>
      <c r="D901" s="33">
        <f>Demand!E899</f>
        <v>23</v>
      </c>
      <c r="E901" s="33">
        <f>IF(Demand!F899,1,0)</f>
        <v>0</v>
      </c>
      <c r="F901" s="33">
        <f>COUNTIFS(c_store,A901,c_date,B901,c_hour,C901)</f>
        <v>1</v>
      </c>
      <c r="G901" s="33">
        <f>IF(F901&gt;0,1,0)</f>
        <v>1</v>
      </c>
      <c r="H901" s="33">
        <f>COUNTIFS(Demand!$A$2:$A$4481,A901,Demand!$B$2:$B$4481,B901,Demand!$C$2:$C$4481,C901)</f>
        <v>1</v>
      </c>
    </row>
    <row r="902">
      <c r="A902" s="32" t="str">
        <f>Demand!A900</f>
        <v>S017</v>
      </c>
      <c r="B902" s="35">
        <f>Demand!B900</f>
        <v>46268.0</v>
      </c>
      <c r="C902" s="33">
        <f>Demand!C900</f>
        <v>10</v>
      </c>
      <c r="D902" s="33">
        <f>Demand!E900</f>
        <v>27</v>
      </c>
      <c r="E902" s="33">
        <f>IF(Demand!F900,1,0)</f>
        <v>0</v>
      </c>
      <c r="F902" s="33">
        <f>COUNTIFS(c_store,A902,c_date,B902,c_hour,C902)</f>
        <v>0</v>
      </c>
      <c r="G902" s="33">
        <f>IF(F902&gt;0,1,0)</f>
        <v>0</v>
      </c>
      <c r="H902" s="33">
        <f>COUNTIFS(Demand!$A$2:$A$4481,A902,Demand!$B$2:$B$4481,B902,Demand!$C$2:$C$4481,C902)</f>
        <v>1</v>
      </c>
    </row>
    <row r="903">
      <c r="A903" s="32" t="str">
        <f>Demand!A901</f>
        <v>S017</v>
      </c>
      <c r="B903" s="35">
        <f>Demand!B901</f>
        <v>46268.0</v>
      </c>
      <c r="C903" s="33">
        <f>Demand!C901</f>
        <v>11</v>
      </c>
      <c r="D903" s="33">
        <f>Demand!E901</f>
        <v>35</v>
      </c>
      <c r="E903" s="33">
        <f>IF(Demand!F901,1,0)</f>
        <v>0</v>
      </c>
      <c r="F903" s="33">
        <f>COUNTIFS(c_store,A903,c_date,B903,c_hour,C903)</f>
        <v>1</v>
      </c>
      <c r="G903" s="33">
        <f>IF(F903&gt;0,1,0)</f>
        <v>1</v>
      </c>
      <c r="H903" s="33">
        <f>COUNTIFS(Demand!$A$2:$A$4481,A903,Demand!$B$2:$B$4481,B903,Demand!$C$2:$C$4481,C903)</f>
        <v>1</v>
      </c>
    </row>
    <row r="904">
      <c r="A904" s="32" t="str">
        <f>Demand!A902</f>
        <v>S017</v>
      </c>
      <c r="B904" s="35">
        <f>Demand!B902</f>
        <v>46268.0</v>
      </c>
      <c r="C904" s="33">
        <f>Demand!C902</f>
        <v>12</v>
      </c>
      <c r="D904" s="33">
        <f>Demand!E902</f>
        <v>38</v>
      </c>
      <c r="E904" s="33">
        <f>IF(Demand!F902,1,0)</f>
        <v>0</v>
      </c>
      <c r="F904" s="33">
        <f>COUNTIFS(c_store,A904,c_date,B904,c_hour,C904)</f>
        <v>0</v>
      </c>
      <c r="G904" s="33">
        <f>IF(F904&gt;0,1,0)</f>
        <v>0</v>
      </c>
      <c r="H904" s="33">
        <f>COUNTIFS(Demand!$A$2:$A$4481,A904,Demand!$B$2:$B$4481,B904,Demand!$C$2:$C$4481,C904)</f>
        <v>1</v>
      </c>
    </row>
    <row r="905">
      <c r="A905" s="32" t="str">
        <f>Demand!A903</f>
        <v>S017</v>
      </c>
      <c r="B905" s="35">
        <f>Demand!B903</f>
        <v>46268.0</v>
      </c>
      <c r="C905" s="33">
        <f>Demand!C903</f>
        <v>13</v>
      </c>
      <c r="D905" s="33">
        <f>Demand!E903</f>
        <v>40</v>
      </c>
      <c r="E905" s="33">
        <f>IF(Demand!F903,1,0)</f>
        <v>0</v>
      </c>
      <c r="F905" s="33">
        <f>COUNTIFS(c_store,A905,c_date,B905,c_hour,C905)</f>
        <v>0</v>
      </c>
      <c r="G905" s="33">
        <f>IF(F905&gt;0,1,0)</f>
        <v>0</v>
      </c>
      <c r="H905" s="33">
        <f>COUNTIFS(Demand!$A$2:$A$4481,A905,Demand!$B$2:$B$4481,B905,Demand!$C$2:$C$4481,C905)</f>
        <v>1</v>
      </c>
    </row>
    <row r="906">
      <c r="A906" s="32" t="str">
        <f>Demand!A904</f>
        <v>S017</v>
      </c>
      <c r="B906" s="35">
        <f>Demand!B904</f>
        <v>46268.0</v>
      </c>
      <c r="C906" s="33">
        <f>Demand!C904</f>
        <v>14</v>
      </c>
      <c r="D906" s="33">
        <f>Demand!E904</f>
        <v>28</v>
      </c>
      <c r="E906" s="33">
        <f>IF(Demand!F904,1,0)</f>
        <v>0</v>
      </c>
      <c r="F906" s="33">
        <f>COUNTIFS(c_store,A906,c_date,B906,c_hour,C906)</f>
        <v>0</v>
      </c>
      <c r="G906" s="33">
        <f>IF(F906&gt;0,1,0)</f>
        <v>0</v>
      </c>
      <c r="H906" s="33">
        <f>COUNTIFS(Demand!$A$2:$A$4481,A906,Demand!$B$2:$B$4481,B906,Demand!$C$2:$C$4481,C906)</f>
        <v>1</v>
      </c>
    </row>
    <row r="907">
      <c r="A907" s="32" t="str">
        <f>Demand!A905</f>
        <v>S017</v>
      </c>
      <c r="B907" s="35">
        <f>Demand!B905</f>
        <v>46268.0</v>
      </c>
      <c r="C907" s="33">
        <f>Demand!C905</f>
        <v>15</v>
      </c>
      <c r="D907" s="33">
        <f>Demand!E905</f>
        <v>26</v>
      </c>
      <c r="E907" s="33">
        <f>IF(Demand!F905,1,0)</f>
        <v>0</v>
      </c>
      <c r="F907" s="33">
        <f>COUNTIFS(c_store,A907,c_date,B907,c_hour,C907)</f>
        <v>1</v>
      </c>
      <c r="G907" s="33">
        <f>IF(F907&gt;0,1,0)</f>
        <v>1</v>
      </c>
      <c r="H907" s="33">
        <f>COUNTIFS(Demand!$A$2:$A$4481,A907,Demand!$B$2:$B$4481,B907,Demand!$C$2:$C$4481,C907)</f>
        <v>1</v>
      </c>
    </row>
    <row r="908">
      <c r="A908" s="32" t="str">
        <f>Demand!A906</f>
        <v>S017</v>
      </c>
      <c r="B908" s="35">
        <f>Demand!B906</f>
        <v>46268.0</v>
      </c>
      <c r="C908" s="33">
        <f>Demand!C906</f>
        <v>16</v>
      </c>
      <c r="D908" s="33">
        <f>Demand!E906</f>
        <v>35</v>
      </c>
      <c r="E908" s="33">
        <f>IF(Demand!F906,1,0)</f>
        <v>0</v>
      </c>
      <c r="F908" s="33">
        <f>COUNTIFS(c_store,A908,c_date,B908,c_hour,C908)</f>
        <v>0</v>
      </c>
      <c r="G908" s="33">
        <f>IF(F908&gt;0,1,0)</f>
        <v>0</v>
      </c>
      <c r="H908" s="33">
        <f>COUNTIFS(Demand!$A$2:$A$4481,A908,Demand!$B$2:$B$4481,B908,Demand!$C$2:$C$4481,C908)</f>
        <v>1</v>
      </c>
    </row>
    <row r="909">
      <c r="A909" s="32" t="str">
        <f>Demand!A907</f>
        <v>S017</v>
      </c>
      <c r="B909" s="35">
        <f>Demand!B907</f>
        <v>46268.0</v>
      </c>
      <c r="C909" s="33">
        <f>Demand!C907</f>
        <v>17</v>
      </c>
      <c r="D909" s="33">
        <f>Demand!E907</f>
        <v>41</v>
      </c>
      <c r="E909" s="33">
        <f>IF(Demand!F907,1,0)</f>
        <v>0</v>
      </c>
      <c r="F909" s="33">
        <f>COUNTIFS(c_store,A909,c_date,B909,c_hour,C909)</f>
        <v>1</v>
      </c>
      <c r="G909" s="33">
        <f>IF(F909&gt;0,1,0)</f>
        <v>1</v>
      </c>
      <c r="H909" s="33">
        <f>COUNTIFS(Demand!$A$2:$A$4481,A909,Demand!$B$2:$B$4481,B909,Demand!$C$2:$C$4481,C909)</f>
        <v>1</v>
      </c>
    </row>
    <row r="910">
      <c r="A910" s="32" t="str">
        <f>Demand!A908</f>
        <v>S017</v>
      </c>
      <c r="B910" s="35">
        <f>Demand!B908</f>
        <v>46268.0</v>
      </c>
      <c r="C910" s="33">
        <f>Demand!C908</f>
        <v>18</v>
      </c>
      <c r="D910" s="33">
        <f>Demand!E908</f>
        <v>36</v>
      </c>
      <c r="E910" s="33">
        <f>IF(Demand!F908,1,0)</f>
        <v>0</v>
      </c>
      <c r="F910" s="33">
        <f>COUNTIFS(c_store,A910,c_date,B910,c_hour,C910)</f>
        <v>0</v>
      </c>
      <c r="G910" s="33">
        <f>IF(F910&gt;0,1,0)</f>
        <v>0</v>
      </c>
      <c r="H910" s="33">
        <f>COUNTIFS(Demand!$A$2:$A$4481,A910,Demand!$B$2:$B$4481,B910,Demand!$C$2:$C$4481,C910)</f>
        <v>1</v>
      </c>
    </row>
    <row r="911">
      <c r="A911" s="32" t="str">
        <f>Demand!A909</f>
        <v>S017</v>
      </c>
      <c r="B911" s="35">
        <f>Demand!B909</f>
        <v>46268.0</v>
      </c>
      <c r="C911" s="33">
        <f>Demand!C909</f>
        <v>19</v>
      </c>
      <c r="D911" s="33">
        <f>Demand!E909</f>
        <v>48</v>
      </c>
      <c r="E911" s="33">
        <f>IF(Demand!F909,1,0)</f>
        <v>1</v>
      </c>
      <c r="F911" s="33">
        <f>COUNTIFS(c_store,A911,c_date,B911,c_hour,C911)</f>
        <v>1</v>
      </c>
      <c r="G911" s="33">
        <f>IF(F911&gt;0,1,0)</f>
        <v>1</v>
      </c>
      <c r="H911" s="33">
        <f>COUNTIFS(Demand!$A$2:$A$4481,A911,Demand!$B$2:$B$4481,B911,Demand!$C$2:$C$4481,C911)</f>
        <v>1</v>
      </c>
    </row>
    <row r="912">
      <c r="A912" s="32" t="str">
        <f>Demand!A910</f>
        <v>S017</v>
      </c>
      <c r="B912" s="35">
        <f>Demand!B910</f>
        <v>46268.0</v>
      </c>
      <c r="C912" s="33">
        <f>Demand!C910</f>
        <v>20</v>
      </c>
      <c r="D912" s="33">
        <f>Demand!E910</f>
        <v>60</v>
      </c>
      <c r="E912" s="33">
        <f>IF(Demand!F910,1,0)</f>
        <v>1</v>
      </c>
      <c r="F912" s="33">
        <f>COUNTIFS(c_store,A912,c_date,B912,c_hour,C912)</f>
        <v>0</v>
      </c>
      <c r="G912" s="33">
        <f>IF(F912&gt;0,1,0)</f>
        <v>0</v>
      </c>
      <c r="H912" s="33">
        <f>COUNTIFS(Demand!$A$2:$A$4481,A912,Demand!$B$2:$B$4481,B912,Demand!$C$2:$C$4481,C912)</f>
        <v>1</v>
      </c>
    </row>
    <row r="913">
      <c r="A913" s="32" t="str">
        <f>Demand!A911</f>
        <v>S017</v>
      </c>
      <c r="B913" s="35">
        <f>Demand!B911</f>
        <v>46268.0</v>
      </c>
      <c r="C913" s="33">
        <f>Demand!C911</f>
        <v>21</v>
      </c>
      <c r="D913" s="33">
        <f>Demand!E911</f>
        <v>50</v>
      </c>
      <c r="E913" s="33">
        <f>IF(Demand!F911,1,0)</f>
        <v>1</v>
      </c>
      <c r="F913" s="33">
        <f>COUNTIFS(c_store,A913,c_date,B913,c_hour,C913)</f>
        <v>0</v>
      </c>
      <c r="G913" s="33">
        <f>IF(F913&gt;0,1,0)</f>
        <v>0</v>
      </c>
      <c r="H913" s="33">
        <f>COUNTIFS(Demand!$A$2:$A$4481,A913,Demand!$B$2:$B$4481,B913,Demand!$C$2:$C$4481,C913)</f>
        <v>1</v>
      </c>
    </row>
    <row r="914">
      <c r="A914" s="32" t="str">
        <f>Demand!A912</f>
        <v>S017</v>
      </c>
      <c r="B914" s="35">
        <f>Demand!B912</f>
        <v>46268.0</v>
      </c>
      <c r="C914" s="33">
        <f>Demand!C912</f>
        <v>22</v>
      </c>
      <c r="D914" s="33">
        <f>Demand!E912</f>
        <v>29</v>
      </c>
      <c r="E914" s="33">
        <f>IF(Demand!F912,1,0)</f>
        <v>0</v>
      </c>
      <c r="F914" s="33">
        <f>COUNTIFS(c_store,A914,c_date,B914,c_hour,C914)</f>
        <v>0</v>
      </c>
      <c r="G914" s="33">
        <f>IF(F914&gt;0,1,0)</f>
        <v>0</v>
      </c>
      <c r="H914" s="33">
        <f>COUNTIFS(Demand!$A$2:$A$4481,A914,Demand!$B$2:$B$4481,B914,Demand!$C$2:$C$4481,C914)</f>
        <v>1</v>
      </c>
    </row>
    <row r="915">
      <c r="A915" s="32" t="str">
        <f>Demand!A913</f>
        <v>S017</v>
      </c>
      <c r="B915" s="35">
        <f>Demand!B913</f>
        <v>46268.0</v>
      </c>
      <c r="C915" s="33">
        <f>Demand!C913</f>
        <v>23</v>
      </c>
      <c r="D915" s="33">
        <f>Demand!E913</f>
        <v>42</v>
      </c>
      <c r="E915" s="33">
        <f>IF(Demand!F913,1,0)</f>
        <v>0</v>
      </c>
      <c r="F915" s="33">
        <f>COUNTIFS(c_store,A915,c_date,B915,c_hour,C915)</f>
        <v>0</v>
      </c>
      <c r="G915" s="33">
        <f>IF(F915&gt;0,1,0)</f>
        <v>0</v>
      </c>
      <c r="H915" s="33">
        <f>COUNTIFS(Demand!$A$2:$A$4481,A915,Demand!$B$2:$B$4481,B915,Demand!$C$2:$C$4481,C915)</f>
        <v>1</v>
      </c>
    </row>
    <row r="916">
      <c r="A916" s="32" t="str">
        <f>Demand!A914</f>
        <v>S018</v>
      </c>
      <c r="B916" s="35">
        <f>Demand!B914</f>
        <v>46268.0</v>
      </c>
      <c r="C916" s="33">
        <f>Demand!C914</f>
        <v>8</v>
      </c>
      <c r="D916" s="33">
        <f>Demand!E914</f>
        <v>18</v>
      </c>
      <c r="E916" s="33">
        <f>IF(Demand!F914,1,0)</f>
        <v>0</v>
      </c>
      <c r="F916" s="33">
        <f>COUNTIFS(c_store,A916,c_date,B916,c_hour,C916)</f>
        <v>0</v>
      </c>
      <c r="G916" s="33">
        <f>IF(F916&gt;0,1,0)</f>
        <v>0</v>
      </c>
      <c r="H916" s="33">
        <f>COUNTIFS(Demand!$A$2:$A$4481,A916,Demand!$B$2:$B$4481,B916,Demand!$C$2:$C$4481,C916)</f>
        <v>1</v>
      </c>
    </row>
    <row r="917">
      <c r="A917" s="32" t="str">
        <f>Demand!A915</f>
        <v>S018</v>
      </c>
      <c r="B917" s="35">
        <f>Demand!B915</f>
        <v>46268.0</v>
      </c>
      <c r="C917" s="33">
        <f>Demand!C915</f>
        <v>9</v>
      </c>
      <c r="D917" s="33">
        <f>Demand!E915</f>
        <v>14</v>
      </c>
      <c r="E917" s="33">
        <f>IF(Demand!F915,1,0)</f>
        <v>0</v>
      </c>
      <c r="F917" s="33">
        <f>COUNTIFS(c_store,A917,c_date,B917,c_hour,C917)</f>
        <v>0</v>
      </c>
      <c r="G917" s="33">
        <f>IF(F917&gt;0,1,0)</f>
        <v>0</v>
      </c>
      <c r="H917" s="33">
        <f>COUNTIFS(Demand!$A$2:$A$4481,A917,Demand!$B$2:$B$4481,B917,Demand!$C$2:$C$4481,C917)</f>
        <v>1</v>
      </c>
    </row>
    <row r="918">
      <c r="A918" s="32" t="str">
        <f>Demand!A916</f>
        <v>S018</v>
      </c>
      <c r="B918" s="35">
        <f>Demand!B916</f>
        <v>46268.0</v>
      </c>
      <c r="C918" s="33">
        <f>Demand!C916</f>
        <v>10</v>
      </c>
      <c r="D918" s="33">
        <f>Demand!E916</f>
        <v>12</v>
      </c>
      <c r="E918" s="33">
        <f>IF(Demand!F916,1,0)</f>
        <v>0</v>
      </c>
      <c r="F918" s="33">
        <f>COUNTIFS(c_store,A918,c_date,B918,c_hour,C918)</f>
        <v>0</v>
      </c>
      <c r="G918" s="33">
        <f>IF(F918&gt;0,1,0)</f>
        <v>0</v>
      </c>
      <c r="H918" s="33">
        <f>COUNTIFS(Demand!$A$2:$A$4481,A918,Demand!$B$2:$B$4481,B918,Demand!$C$2:$C$4481,C918)</f>
        <v>1</v>
      </c>
    </row>
    <row r="919">
      <c r="A919" s="32" t="str">
        <f>Demand!A917</f>
        <v>S018</v>
      </c>
      <c r="B919" s="35">
        <f>Demand!B917</f>
        <v>46268.0</v>
      </c>
      <c r="C919" s="33">
        <f>Demand!C917</f>
        <v>11</v>
      </c>
      <c r="D919" s="33">
        <f>Demand!E917</f>
        <v>22</v>
      </c>
      <c r="E919" s="33">
        <f>IF(Demand!F917,1,0)</f>
        <v>0</v>
      </c>
      <c r="F919" s="33">
        <f>COUNTIFS(c_store,A919,c_date,B919,c_hour,C919)</f>
        <v>0</v>
      </c>
      <c r="G919" s="33">
        <f>IF(F919&gt;0,1,0)</f>
        <v>0</v>
      </c>
      <c r="H919" s="33">
        <f>COUNTIFS(Demand!$A$2:$A$4481,A919,Demand!$B$2:$B$4481,B919,Demand!$C$2:$C$4481,C919)</f>
        <v>1</v>
      </c>
    </row>
    <row r="920">
      <c r="A920" s="32" t="str">
        <f>Demand!A918</f>
        <v>S018</v>
      </c>
      <c r="B920" s="35">
        <f>Demand!B918</f>
        <v>46268.0</v>
      </c>
      <c r="C920" s="33">
        <f>Demand!C918</f>
        <v>12</v>
      </c>
      <c r="D920" s="33">
        <f>Demand!E918</f>
        <v>19</v>
      </c>
      <c r="E920" s="33">
        <f>IF(Demand!F918,1,0)</f>
        <v>0</v>
      </c>
      <c r="F920" s="33">
        <f>COUNTIFS(c_store,A920,c_date,B920,c_hour,C920)</f>
        <v>0</v>
      </c>
      <c r="G920" s="33">
        <f>IF(F920&gt;0,1,0)</f>
        <v>0</v>
      </c>
      <c r="H920" s="33">
        <f>COUNTIFS(Demand!$A$2:$A$4481,A920,Demand!$B$2:$B$4481,B920,Demand!$C$2:$C$4481,C920)</f>
        <v>1</v>
      </c>
    </row>
    <row r="921">
      <c r="A921" s="32" t="str">
        <f>Demand!A919</f>
        <v>S018</v>
      </c>
      <c r="B921" s="35">
        <f>Demand!B919</f>
        <v>46268.0</v>
      </c>
      <c r="C921" s="33">
        <f>Demand!C919</f>
        <v>13</v>
      </c>
      <c r="D921" s="33">
        <f>Demand!E919</f>
        <v>15</v>
      </c>
      <c r="E921" s="33">
        <f>IF(Demand!F919,1,0)</f>
        <v>0</v>
      </c>
      <c r="F921" s="33">
        <f>COUNTIFS(c_store,A921,c_date,B921,c_hour,C921)</f>
        <v>1</v>
      </c>
      <c r="G921" s="33">
        <f>IF(F921&gt;0,1,0)</f>
        <v>1</v>
      </c>
      <c r="H921" s="33">
        <f>COUNTIFS(Demand!$A$2:$A$4481,A921,Demand!$B$2:$B$4481,B921,Demand!$C$2:$C$4481,C921)</f>
        <v>1</v>
      </c>
    </row>
    <row r="922">
      <c r="A922" s="32" t="str">
        <f>Demand!A920</f>
        <v>S018</v>
      </c>
      <c r="B922" s="35">
        <f>Demand!B920</f>
        <v>46268.0</v>
      </c>
      <c r="C922" s="33">
        <f>Demand!C920</f>
        <v>14</v>
      </c>
      <c r="D922" s="33">
        <f>Demand!E920</f>
        <v>16</v>
      </c>
      <c r="E922" s="33">
        <f>IF(Demand!F920,1,0)</f>
        <v>0</v>
      </c>
      <c r="F922" s="33">
        <f>COUNTIFS(c_store,A922,c_date,B922,c_hour,C922)</f>
        <v>0</v>
      </c>
      <c r="G922" s="33">
        <f>IF(F922&gt;0,1,0)</f>
        <v>0</v>
      </c>
      <c r="H922" s="33">
        <f>COUNTIFS(Demand!$A$2:$A$4481,A922,Demand!$B$2:$B$4481,B922,Demand!$C$2:$C$4481,C922)</f>
        <v>1</v>
      </c>
    </row>
    <row r="923">
      <c r="A923" s="32" t="str">
        <f>Demand!A921</f>
        <v>S018</v>
      </c>
      <c r="B923" s="35">
        <f>Demand!B921</f>
        <v>46268.0</v>
      </c>
      <c r="C923" s="33">
        <f>Demand!C921</f>
        <v>15</v>
      </c>
      <c r="D923" s="33">
        <f>Demand!E921</f>
        <v>14</v>
      </c>
      <c r="E923" s="33">
        <f>IF(Demand!F921,1,0)</f>
        <v>0</v>
      </c>
      <c r="F923" s="33">
        <f>COUNTIFS(c_store,A923,c_date,B923,c_hour,C923)</f>
        <v>1</v>
      </c>
      <c r="G923" s="33">
        <f>IF(F923&gt;0,1,0)</f>
        <v>1</v>
      </c>
      <c r="H923" s="33">
        <f>COUNTIFS(Demand!$A$2:$A$4481,A923,Demand!$B$2:$B$4481,B923,Demand!$C$2:$C$4481,C923)</f>
        <v>1</v>
      </c>
    </row>
    <row r="924">
      <c r="A924" s="32" t="str">
        <f>Demand!A922</f>
        <v>S018</v>
      </c>
      <c r="B924" s="35">
        <f>Demand!B922</f>
        <v>46268.0</v>
      </c>
      <c r="C924" s="33">
        <f>Demand!C922</f>
        <v>16</v>
      </c>
      <c r="D924" s="33">
        <f>Demand!E922</f>
        <v>17</v>
      </c>
      <c r="E924" s="33">
        <f>IF(Demand!F922,1,0)</f>
        <v>0</v>
      </c>
      <c r="F924" s="33">
        <f>COUNTIFS(c_store,A924,c_date,B924,c_hour,C924)</f>
        <v>0</v>
      </c>
      <c r="G924" s="33">
        <f>IF(F924&gt;0,1,0)</f>
        <v>0</v>
      </c>
      <c r="H924" s="33">
        <f>COUNTIFS(Demand!$A$2:$A$4481,A924,Demand!$B$2:$B$4481,B924,Demand!$C$2:$C$4481,C924)</f>
        <v>1</v>
      </c>
    </row>
    <row r="925">
      <c r="A925" s="32" t="str">
        <f>Demand!A923</f>
        <v>S018</v>
      </c>
      <c r="B925" s="35">
        <f>Demand!B923</f>
        <v>46268.0</v>
      </c>
      <c r="C925" s="33">
        <f>Demand!C923</f>
        <v>17</v>
      </c>
      <c r="D925" s="33">
        <f>Demand!E923</f>
        <v>22</v>
      </c>
      <c r="E925" s="33">
        <f>IF(Demand!F923,1,0)</f>
        <v>0</v>
      </c>
      <c r="F925" s="33">
        <f>COUNTIFS(c_store,A925,c_date,B925,c_hour,C925)</f>
        <v>0</v>
      </c>
      <c r="G925" s="33">
        <f>IF(F925&gt;0,1,0)</f>
        <v>0</v>
      </c>
      <c r="H925" s="33">
        <f>COUNTIFS(Demand!$A$2:$A$4481,A925,Demand!$B$2:$B$4481,B925,Demand!$C$2:$C$4481,C925)</f>
        <v>1</v>
      </c>
    </row>
    <row r="926">
      <c r="A926" s="32" t="str">
        <f>Demand!A924</f>
        <v>S018</v>
      </c>
      <c r="B926" s="35">
        <f>Demand!B924</f>
        <v>46268.0</v>
      </c>
      <c r="C926" s="33">
        <f>Demand!C924</f>
        <v>18</v>
      </c>
      <c r="D926" s="33">
        <f>Demand!E924</f>
        <v>17</v>
      </c>
      <c r="E926" s="33">
        <f>IF(Demand!F924,1,0)</f>
        <v>0</v>
      </c>
      <c r="F926" s="33">
        <f>COUNTIFS(c_store,A926,c_date,B926,c_hour,C926)</f>
        <v>1</v>
      </c>
      <c r="G926" s="33">
        <f>IF(F926&gt;0,1,0)</f>
        <v>1</v>
      </c>
      <c r="H926" s="33">
        <f>COUNTIFS(Demand!$A$2:$A$4481,A926,Demand!$B$2:$B$4481,B926,Demand!$C$2:$C$4481,C926)</f>
        <v>1</v>
      </c>
    </row>
    <row r="927">
      <c r="A927" s="32" t="str">
        <f>Demand!A925</f>
        <v>S018</v>
      </c>
      <c r="B927" s="35">
        <f>Demand!B925</f>
        <v>46268.0</v>
      </c>
      <c r="C927" s="33">
        <f>Demand!C925</f>
        <v>19</v>
      </c>
      <c r="D927" s="33">
        <f>Demand!E925</f>
        <v>38</v>
      </c>
      <c r="E927" s="33">
        <f>IF(Demand!F925,1,0)</f>
        <v>1</v>
      </c>
      <c r="F927" s="33">
        <f>COUNTIFS(c_store,A927,c_date,B927,c_hour,C927)</f>
        <v>0</v>
      </c>
      <c r="G927" s="33">
        <f>IF(F927&gt;0,1,0)</f>
        <v>0</v>
      </c>
      <c r="H927" s="33">
        <f>COUNTIFS(Demand!$A$2:$A$4481,A927,Demand!$B$2:$B$4481,B927,Demand!$C$2:$C$4481,C927)</f>
        <v>1</v>
      </c>
    </row>
    <row r="928">
      <c r="A928" s="32" t="str">
        <f>Demand!A926</f>
        <v>S018</v>
      </c>
      <c r="B928" s="35">
        <f>Demand!B926</f>
        <v>46268.0</v>
      </c>
      <c r="C928" s="33">
        <f>Demand!C926</f>
        <v>20</v>
      </c>
      <c r="D928" s="33">
        <f>Demand!E926</f>
        <v>18</v>
      </c>
      <c r="E928" s="33">
        <f>IF(Demand!F926,1,0)</f>
        <v>1</v>
      </c>
      <c r="F928" s="33">
        <f>COUNTIFS(c_store,A928,c_date,B928,c_hour,C928)</f>
        <v>0</v>
      </c>
      <c r="G928" s="33">
        <f>IF(F928&gt;0,1,0)</f>
        <v>0</v>
      </c>
      <c r="H928" s="33">
        <f>COUNTIFS(Demand!$A$2:$A$4481,A928,Demand!$B$2:$B$4481,B928,Demand!$C$2:$C$4481,C928)</f>
        <v>1</v>
      </c>
    </row>
    <row r="929">
      <c r="A929" s="32" t="str">
        <f>Demand!A927</f>
        <v>S018</v>
      </c>
      <c r="B929" s="35">
        <f>Demand!B927</f>
        <v>46268.0</v>
      </c>
      <c r="C929" s="33">
        <f>Demand!C927</f>
        <v>21</v>
      </c>
      <c r="D929" s="33">
        <f>Demand!E927</f>
        <v>30</v>
      </c>
      <c r="E929" s="33">
        <f>IF(Demand!F927,1,0)</f>
        <v>1</v>
      </c>
      <c r="F929" s="33">
        <f>COUNTIFS(c_store,A929,c_date,B929,c_hour,C929)</f>
        <v>0</v>
      </c>
      <c r="G929" s="33">
        <f>IF(F929&gt;0,1,0)</f>
        <v>0</v>
      </c>
      <c r="H929" s="33">
        <f>COUNTIFS(Demand!$A$2:$A$4481,A929,Demand!$B$2:$B$4481,B929,Demand!$C$2:$C$4481,C929)</f>
        <v>1</v>
      </c>
    </row>
    <row r="930">
      <c r="A930" s="32" t="str">
        <f>Demand!A928</f>
        <v>S018</v>
      </c>
      <c r="B930" s="35">
        <f>Demand!B928</f>
        <v>46268.0</v>
      </c>
      <c r="C930" s="33">
        <f>Demand!C928</f>
        <v>22</v>
      </c>
      <c r="D930" s="33">
        <f>Demand!E928</f>
        <v>8</v>
      </c>
      <c r="E930" s="33">
        <f>IF(Demand!F928,1,0)</f>
        <v>0</v>
      </c>
      <c r="F930" s="33">
        <f>COUNTIFS(c_store,A930,c_date,B930,c_hour,C930)</f>
        <v>0</v>
      </c>
      <c r="G930" s="33">
        <f>IF(F930&gt;0,1,0)</f>
        <v>0</v>
      </c>
      <c r="H930" s="33">
        <f>COUNTIFS(Demand!$A$2:$A$4481,A930,Demand!$B$2:$B$4481,B930,Demand!$C$2:$C$4481,C930)</f>
        <v>1</v>
      </c>
    </row>
    <row r="931">
      <c r="A931" s="32" t="str">
        <f>Demand!A929</f>
        <v>S018</v>
      </c>
      <c r="B931" s="35">
        <f>Demand!B929</f>
        <v>46268.0</v>
      </c>
      <c r="C931" s="33">
        <f>Demand!C929</f>
        <v>23</v>
      </c>
      <c r="D931" s="33">
        <f>Demand!E929</f>
        <v>21</v>
      </c>
      <c r="E931" s="33">
        <f>IF(Demand!F929,1,0)</f>
        <v>0</v>
      </c>
      <c r="F931" s="33">
        <f>COUNTIFS(c_store,A931,c_date,B931,c_hour,C931)</f>
        <v>0</v>
      </c>
      <c r="G931" s="33">
        <f>IF(F931&gt;0,1,0)</f>
        <v>0</v>
      </c>
      <c r="H931" s="33">
        <f>COUNTIFS(Demand!$A$2:$A$4481,A931,Demand!$B$2:$B$4481,B931,Demand!$C$2:$C$4481,C931)</f>
        <v>1</v>
      </c>
    </row>
    <row r="932">
      <c r="A932" s="32" t="str">
        <f>Demand!A930</f>
        <v>S019</v>
      </c>
      <c r="B932" s="35">
        <f>Demand!B930</f>
        <v>46268.0</v>
      </c>
      <c r="C932" s="33">
        <f>Demand!C930</f>
        <v>8</v>
      </c>
      <c r="D932" s="33">
        <f>Demand!E930</f>
        <v>17</v>
      </c>
      <c r="E932" s="33">
        <f>IF(Demand!F930,1,0)</f>
        <v>0</v>
      </c>
      <c r="F932" s="33">
        <f>COUNTIFS(c_store,A932,c_date,B932,c_hour,C932)</f>
        <v>0</v>
      </c>
      <c r="G932" s="33">
        <f>IF(F932&gt;0,1,0)</f>
        <v>0</v>
      </c>
      <c r="H932" s="33">
        <f>COUNTIFS(Demand!$A$2:$A$4481,A932,Demand!$B$2:$B$4481,B932,Demand!$C$2:$C$4481,C932)</f>
        <v>1</v>
      </c>
    </row>
    <row r="933">
      <c r="A933" s="32" t="str">
        <f>Demand!A931</f>
        <v>S019</v>
      </c>
      <c r="B933" s="35">
        <f>Demand!B931</f>
        <v>46268.0</v>
      </c>
      <c r="C933" s="33">
        <f>Demand!C931</f>
        <v>9</v>
      </c>
      <c r="D933" s="33">
        <f>Demand!E931</f>
        <v>21</v>
      </c>
      <c r="E933" s="33">
        <f>IF(Demand!F931,1,0)</f>
        <v>0</v>
      </c>
      <c r="F933" s="33">
        <f>COUNTIFS(c_store,A933,c_date,B933,c_hour,C933)</f>
        <v>0</v>
      </c>
      <c r="G933" s="33">
        <f>IF(F933&gt;0,1,0)</f>
        <v>0</v>
      </c>
      <c r="H933" s="33">
        <f>COUNTIFS(Demand!$A$2:$A$4481,A933,Demand!$B$2:$B$4481,B933,Demand!$C$2:$C$4481,C933)</f>
        <v>1</v>
      </c>
    </row>
    <row r="934">
      <c r="A934" s="32" t="str">
        <f>Demand!A932</f>
        <v>S019</v>
      </c>
      <c r="B934" s="35">
        <f>Demand!B932</f>
        <v>46268.0</v>
      </c>
      <c r="C934" s="33">
        <f>Demand!C932</f>
        <v>10</v>
      </c>
      <c r="D934" s="33">
        <f>Demand!E932</f>
        <v>20</v>
      </c>
      <c r="E934" s="33">
        <f>IF(Demand!F932,1,0)</f>
        <v>0</v>
      </c>
      <c r="F934" s="33">
        <f>COUNTIFS(c_store,A934,c_date,B934,c_hour,C934)</f>
        <v>0</v>
      </c>
      <c r="G934" s="33">
        <f>IF(F934&gt;0,1,0)</f>
        <v>0</v>
      </c>
      <c r="H934" s="33">
        <f>COUNTIFS(Demand!$A$2:$A$4481,A934,Demand!$B$2:$B$4481,B934,Demand!$C$2:$C$4481,C934)</f>
        <v>1</v>
      </c>
    </row>
    <row r="935">
      <c r="A935" s="32" t="str">
        <f>Demand!A933</f>
        <v>S019</v>
      </c>
      <c r="B935" s="35">
        <f>Demand!B933</f>
        <v>46268.0</v>
      </c>
      <c r="C935" s="33">
        <f>Demand!C933</f>
        <v>11</v>
      </c>
      <c r="D935" s="33">
        <f>Demand!E933</f>
        <v>22</v>
      </c>
      <c r="E935" s="33">
        <f>IF(Demand!F933,1,0)</f>
        <v>0</v>
      </c>
      <c r="F935" s="33">
        <f>COUNTIFS(c_store,A935,c_date,B935,c_hour,C935)</f>
        <v>0</v>
      </c>
      <c r="G935" s="33">
        <f>IF(F935&gt;0,1,0)</f>
        <v>0</v>
      </c>
      <c r="H935" s="33">
        <f>COUNTIFS(Demand!$A$2:$A$4481,A935,Demand!$B$2:$B$4481,B935,Demand!$C$2:$C$4481,C935)</f>
        <v>1</v>
      </c>
    </row>
    <row r="936">
      <c r="A936" s="32" t="str">
        <f>Demand!A934</f>
        <v>S019</v>
      </c>
      <c r="B936" s="35">
        <f>Demand!B934</f>
        <v>46268.0</v>
      </c>
      <c r="C936" s="33">
        <f>Demand!C934</f>
        <v>12</v>
      </c>
      <c r="D936" s="33">
        <f>Demand!E934</f>
        <v>23</v>
      </c>
      <c r="E936" s="33">
        <f>IF(Demand!F934,1,0)</f>
        <v>0</v>
      </c>
      <c r="F936" s="33">
        <f>COUNTIFS(c_store,A936,c_date,B936,c_hour,C936)</f>
        <v>1</v>
      </c>
      <c r="G936" s="33">
        <f>IF(F936&gt;0,1,0)</f>
        <v>1</v>
      </c>
      <c r="H936" s="33">
        <f>COUNTIFS(Demand!$A$2:$A$4481,A936,Demand!$B$2:$B$4481,B936,Demand!$C$2:$C$4481,C936)</f>
        <v>1</v>
      </c>
    </row>
    <row r="937">
      <c r="A937" s="32" t="str">
        <f>Demand!A935</f>
        <v>S019</v>
      </c>
      <c r="B937" s="35">
        <f>Demand!B935</f>
        <v>46268.0</v>
      </c>
      <c r="C937" s="33">
        <f>Demand!C935</f>
        <v>13</v>
      </c>
      <c r="D937" s="33">
        <f>Demand!E935</f>
        <v>25</v>
      </c>
      <c r="E937" s="33">
        <f>IF(Demand!F935,1,0)</f>
        <v>0</v>
      </c>
      <c r="F937" s="33">
        <f>COUNTIFS(c_store,A937,c_date,B937,c_hour,C937)</f>
        <v>1</v>
      </c>
      <c r="G937" s="33">
        <f>IF(F937&gt;0,1,0)</f>
        <v>1</v>
      </c>
      <c r="H937" s="33">
        <f>COUNTIFS(Demand!$A$2:$A$4481,A937,Demand!$B$2:$B$4481,B937,Demand!$C$2:$C$4481,C937)</f>
        <v>1</v>
      </c>
    </row>
    <row r="938">
      <c r="A938" s="32" t="str">
        <f>Demand!A936</f>
        <v>S019</v>
      </c>
      <c r="B938" s="35">
        <f>Demand!B936</f>
        <v>46268.0</v>
      </c>
      <c r="C938" s="33">
        <f>Demand!C936</f>
        <v>14</v>
      </c>
      <c r="D938" s="33">
        <f>Demand!E936</f>
        <v>9</v>
      </c>
      <c r="E938" s="33">
        <f>IF(Demand!F936,1,0)</f>
        <v>0</v>
      </c>
      <c r="F938" s="33">
        <f>COUNTIFS(c_store,A938,c_date,B938,c_hour,C938)</f>
        <v>0</v>
      </c>
      <c r="G938" s="33">
        <f>IF(F938&gt;0,1,0)</f>
        <v>0</v>
      </c>
      <c r="H938" s="33">
        <f>COUNTIFS(Demand!$A$2:$A$4481,A938,Demand!$B$2:$B$4481,B938,Demand!$C$2:$C$4481,C938)</f>
        <v>1</v>
      </c>
    </row>
    <row r="939">
      <c r="A939" s="32" t="str">
        <f>Demand!A937</f>
        <v>S019</v>
      </c>
      <c r="B939" s="35">
        <f>Demand!B937</f>
        <v>46268.0</v>
      </c>
      <c r="C939" s="33">
        <f>Demand!C937</f>
        <v>15</v>
      </c>
      <c r="D939" s="33">
        <f>Demand!E937</f>
        <v>27</v>
      </c>
      <c r="E939" s="33">
        <f>IF(Demand!F937,1,0)</f>
        <v>0</v>
      </c>
      <c r="F939" s="33">
        <f>COUNTIFS(c_store,A939,c_date,B939,c_hour,C939)</f>
        <v>0</v>
      </c>
      <c r="G939" s="33">
        <f>IF(F939&gt;0,1,0)</f>
        <v>0</v>
      </c>
      <c r="H939" s="33">
        <f>COUNTIFS(Demand!$A$2:$A$4481,A939,Demand!$B$2:$B$4481,B939,Demand!$C$2:$C$4481,C939)</f>
        <v>1</v>
      </c>
    </row>
    <row r="940">
      <c r="A940" s="32" t="str">
        <f>Demand!A938</f>
        <v>S019</v>
      </c>
      <c r="B940" s="35">
        <f>Demand!B938</f>
        <v>46268.0</v>
      </c>
      <c r="C940" s="33">
        <f>Demand!C938</f>
        <v>16</v>
      </c>
      <c r="D940" s="33">
        <f>Demand!E938</f>
        <v>26</v>
      </c>
      <c r="E940" s="33">
        <f>IF(Demand!F938,1,0)</f>
        <v>0</v>
      </c>
      <c r="F940" s="33">
        <f>COUNTIFS(c_store,A940,c_date,B940,c_hour,C940)</f>
        <v>1</v>
      </c>
      <c r="G940" s="33">
        <f>IF(F940&gt;0,1,0)</f>
        <v>1</v>
      </c>
      <c r="H940" s="33">
        <f>COUNTIFS(Demand!$A$2:$A$4481,A940,Demand!$B$2:$B$4481,B940,Demand!$C$2:$C$4481,C940)</f>
        <v>1</v>
      </c>
    </row>
    <row r="941">
      <c r="A941" s="32" t="str">
        <f>Demand!A939</f>
        <v>S019</v>
      </c>
      <c r="B941" s="35">
        <f>Demand!B939</f>
        <v>46268.0</v>
      </c>
      <c r="C941" s="33">
        <f>Demand!C939</f>
        <v>17</v>
      </c>
      <c r="D941" s="33">
        <f>Demand!E939</f>
        <v>26</v>
      </c>
      <c r="E941" s="33">
        <f>IF(Demand!F939,1,0)</f>
        <v>0</v>
      </c>
      <c r="F941" s="33">
        <f>COUNTIFS(c_store,A941,c_date,B941,c_hour,C941)</f>
        <v>1</v>
      </c>
      <c r="G941" s="33">
        <f>IF(F941&gt;0,1,0)</f>
        <v>1</v>
      </c>
      <c r="H941" s="33">
        <f>COUNTIFS(Demand!$A$2:$A$4481,A941,Demand!$B$2:$B$4481,B941,Demand!$C$2:$C$4481,C941)</f>
        <v>1</v>
      </c>
    </row>
    <row r="942">
      <c r="A942" s="32" t="str">
        <f>Demand!A940</f>
        <v>S019</v>
      </c>
      <c r="B942" s="35">
        <f>Demand!B940</f>
        <v>46268.0</v>
      </c>
      <c r="C942" s="33">
        <f>Demand!C940</f>
        <v>18</v>
      </c>
      <c r="D942" s="33">
        <f>Demand!E940</f>
        <v>28</v>
      </c>
      <c r="E942" s="33">
        <f>IF(Demand!F940,1,0)</f>
        <v>0</v>
      </c>
      <c r="F942" s="33">
        <f>COUNTIFS(c_store,A942,c_date,B942,c_hour,C942)</f>
        <v>1</v>
      </c>
      <c r="G942" s="33">
        <f>IF(F942&gt;0,1,0)</f>
        <v>1</v>
      </c>
      <c r="H942" s="33">
        <f>COUNTIFS(Demand!$A$2:$A$4481,A942,Demand!$B$2:$B$4481,B942,Demand!$C$2:$C$4481,C942)</f>
        <v>1</v>
      </c>
    </row>
    <row r="943">
      <c r="A943" s="32" t="str">
        <f>Demand!A941</f>
        <v>S019</v>
      </c>
      <c r="B943" s="35">
        <f>Demand!B941</f>
        <v>46268.0</v>
      </c>
      <c r="C943" s="33">
        <f>Demand!C941</f>
        <v>19</v>
      </c>
      <c r="D943" s="33">
        <f>Demand!E941</f>
        <v>27</v>
      </c>
      <c r="E943" s="33">
        <f>IF(Demand!F941,1,0)</f>
        <v>1</v>
      </c>
      <c r="F943" s="33">
        <f>COUNTIFS(c_store,A943,c_date,B943,c_hour,C943)</f>
        <v>0</v>
      </c>
      <c r="G943" s="33">
        <f>IF(F943&gt;0,1,0)</f>
        <v>0</v>
      </c>
      <c r="H943" s="33">
        <f>COUNTIFS(Demand!$A$2:$A$4481,A943,Demand!$B$2:$B$4481,B943,Demand!$C$2:$C$4481,C943)</f>
        <v>1</v>
      </c>
    </row>
    <row r="944">
      <c r="A944" s="32" t="str">
        <f>Demand!A942</f>
        <v>S019</v>
      </c>
      <c r="B944" s="35">
        <f>Demand!B942</f>
        <v>46268.0</v>
      </c>
      <c r="C944" s="33">
        <f>Demand!C942</f>
        <v>20</v>
      </c>
      <c r="D944" s="33">
        <f>Demand!E942</f>
        <v>33</v>
      </c>
      <c r="E944" s="33">
        <f>IF(Demand!F942,1,0)</f>
        <v>1</v>
      </c>
      <c r="F944" s="33">
        <f>COUNTIFS(c_store,A944,c_date,B944,c_hour,C944)</f>
        <v>0</v>
      </c>
      <c r="G944" s="33">
        <f>IF(F944&gt;0,1,0)</f>
        <v>0</v>
      </c>
      <c r="H944" s="33">
        <f>COUNTIFS(Demand!$A$2:$A$4481,A944,Demand!$B$2:$B$4481,B944,Demand!$C$2:$C$4481,C944)</f>
        <v>1</v>
      </c>
    </row>
    <row r="945">
      <c r="A945" s="32" t="str">
        <f>Demand!A943</f>
        <v>S019</v>
      </c>
      <c r="B945" s="35">
        <f>Demand!B943</f>
        <v>46268.0</v>
      </c>
      <c r="C945" s="33">
        <f>Demand!C943</f>
        <v>21</v>
      </c>
      <c r="D945" s="33">
        <f>Demand!E943</f>
        <v>31</v>
      </c>
      <c r="E945" s="33">
        <f>IF(Demand!F943,1,0)</f>
        <v>1</v>
      </c>
      <c r="F945" s="33">
        <f>COUNTIFS(c_store,A945,c_date,B945,c_hour,C945)</f>
        <v>0</v>
      </c>
      <c r="G945" s="33">
        <f>IF(F945&gt;0,1,0)</f>
        <v>0</v>
      </c>
      <c r="H945" s="33">
        <f>COUNTIFS(Demand!$A$2:$A$4481,A945,Demand!$B$2:$B$4481,B945,Demand!$C$2:$C$4481,C945)</f>
        <v>1</v>
      </c>
    </row>
    <row r="946">
      <c r="A946" s="32" t="str">
        <f>Demand!A944</f>
        <v>S019</v>
      </c>
      <c r="B946" s="35">
        <f>Demand!B944</f>
        <v>46268.0</v>
      </c>
      <c r="C946" s="33">
        <f>Demand!C944</f>
        <v>22</v>
      </c>
      <c r="D946" s="33">
        <f>Demand!E944</f>
        <v>15</v>
      </c>
      <c r="E946" s="33">
        <f>IF(Demand!F944,1,0)</f>
        <v>0</v>
      </c>
      <c r="F946" s="33">
        <f>COUNTIFS(c_store,A946,c_date,B946,c_hour,C946)</f>
        <v>0</v>
      </c>
      <c r="G946" s="33">
        <f>IF(F946&gt;0,1,0)</f>
        <v>0</v>
      </c>
      <c r="H946" s="33">
        <f>COUNTIFS(Demand!$A$2:$A$4481,A946,Demand!$B$2:$B$4481,B946,Demand!$C$2:$C$4481,C946)</f>
        <v>1</v>
      </c>
    </row>
    <row r="947">
      <c r="A947" s="32" t="str">
        <f>Demand!A945</f>
        <v>S019</v>
      </c>
      <c r="B947" s="35">
        <f>Demand!B945</f>
        <v>46268.0</v>
      </c>
      <c r="C947" s="33">
        <f>Demand!C945</f>
        <v>23</v>
      </c>
      <c r="D947" s="33">
        <f>Demand!E945</f>
        <v>24</v>
      </c>
      <c r="E947" s="33">
        <f>IF(Demand!F945,1,0)</f>
        <v>0</v>
      </c>
      <c r="F947" s="33">
        <f>COUNTIFS(c_store,A947,c_date,B947,c_hour,C947)</f>
        <v>0</v>
      </c>
      <c r="G947" s="33">
        <f>IF(F947&gt;0,1,0)</f>
        <v>0</v>
      </c>
      <c r="H947" s="33">
        <f>COUNTIFS(Demand!$A$2:$A$4481,A947,Demand!$B$2:$B$4481,B947,Demand!$C$2:$C$4481,C947)</f>
        <v>1</v>
      </c>
    </row>
    <row r="948">
      <c r="A948" s="32" t="str">
        <f>Demand!A946</f>
        <v>S020</v>
      </c>
      <c r="B948" s="35">
        <f>Demand!B946</f>
        <v>46268.0</v>
      </c>
      <c r="C948" s="33">
        <f>Demand!C946</f>
        <v>8</v>
      </c>
      <c r="D948" s="33">
        <f>Demand!E946</f>
        <v>12</v>
      </c>
      <c r="E948" s="33">
        <f>IF(Demand!F946,1,0)</f>
        <v>0</v>
      </c>
      <c r="F948" s="33">
        <f>COUNTIFS(c_store,A948,c_date,B948,c_hour,C948)</f>
        <v>0</v>
      </c>
      <c r="G948" s="33">
        <f>IF(F948&gt;0,1,0)</f>
        <v>0</v>
      </c>
      <c r="H948" s="33">
        <f>COUNTIFS(Demand!$A$2:$A$4481,A948,Demand!$B$2:$B$4481,B948,Demand!$C$2:$C$4481,C948)</f>
        <v>1</v>
      </c>
    </row>
    <row r="949">
      <c r="A949" s="32" t="str">
        <f>Demand!A947</f>
        <v>S020</v>
      </c>
      <c r="B949" s="35">
        <f>Demand!B947</f>
        <v>46268.0</v>
      </c>
      <c r="C949" s="33">
        <f>Demand!C947</f>
        <v>9</v>
      </c>
      <c r="D949" s="33">
        <f>Demand!E947</f>
        <v>10</v>
      </c>
      <c r="E949" s="33">
        <f>IF(Demand!F947,1,0)</f>
        <v>0</v>
      </c>
      <c r="F949" s="33">
        <f>COUNTIFS(c_store,A949,c_date,B949,c_hour,C949)</f>
        <v>0</v>
      </c>
      <c r="G949" s="33">
        <f>IF(F949&gt;0,1,0)</f>
        <v>0</v>
      </c>
      <c r="H949" s="33">
        <f>COUNTIFS(Demand!$A$2:$A$4481,A949,Demand!$B$2:$B$4481,B949,Demand!$C$2:$C$4481,C949)</f>
        <v>1</v>
      </c>
    </row>
    <row r="950">
      <c r="A950" s="32" t="str">
        <f>Demand!A948</f>
        <v>S020</v>
      </c>
      <c r="B950" s="35">
        <f>Demand!B948</f>
        <v>46268.0</v>
      </c>
      <c r="C950" s="33">
        <f>Demand!C948</f>
        <v>10</v>
      </c>
      <c r="D950" s="33">
        <f>Demand!E948</f>
        <v>7</v>
      </c>
      <c r="E950" s="33">
        <f>IF(Demand!F948,1,0)</f>
        <v>0</v>
      </c>
      <c r="F950" s="33">
        <f>COUNTIFS(c_store,A950,c_date,B950,c_hour,C950)</f>
        <v>0</v>
      </c>
      <c r="G950" s="33">
        <f>IF(F950&gt;0,1,0)</f>
        <v>0</v>
      </c>
      <c r="H950" s="33">
        <f>COUNTIFS(Demand!$A$2:$A$4481,A950,Demand!$B$2:$B$4481,B950,Demand!$C$2:$C$4481,C950)</f>
        <v>1</v>
      </c>
    </row>
    <row r="951">
      <c r="A951" s="32" t="str">
        <f>Demand!A949</f>
        <v>S020</v>
      </c>
      <c r="B951" s="35">
        <f>Demand!B949</f>
        <v>46268.0</v>
      </c>
      <c r="C951" s="33">
        <f>Demand!C949</f>
        <v>11</v>
      </c>
      <c r="D951" s="33">
        <f>Demand!E949</f>
        <v>20</v>
      </c>
      <c r="E951" s="33">
        <f>IF(Demand!F949,1,0)</f>
        <v>0</v>
      </c>
      <c r="F951" s="33">
        <f>COUNTIFS(c_store,A951,c_date,B951,c_hour,C951)</f>
        <v>0</v>
      </c>
      <c r="G951" s="33">
        <f>IF(F951&gt;0,1,0)</f>
        <v>0</v>
      </c>
      <c r="H951" s="33">
        <f>COUNTIFS(Demand!$A$2:$A$4481,A951,Demand!$B$2:$B$4481,B951,Demand!$C$2:$C$4481,C951)</f>
        <v>1</v>
      </c>
    </row>
    <row r="952">
      <c r="A952" s="32" t="str">
        <f>Demand!A950</f>
        <v>S020</v>
      </c>
      <c r="B952" s="35">
        <f>Demand!B950</f>
        <v>46268.0</v>
      </c>
      <c r="C952" s="33">
        <f>Demand!C950</f>
        <v>12</v>
      </c>
      <c r="D952" s="33">
        <f>Demand!E950</f>
        <v>11</v>
      </c>
      <c r="E952" s="33">
        <f>IF(Demand!F950,1,0)</f>
        <v>0</v>
      </c>
      <c r="F952" s="33">
        <f>COUNTIFS(c_store,A952,c_date,B952,c_hour,C952)</f>
        <v>0</v>
      </c>
      <c r="G952" s="33">
        <f>IF(F952&gt;0,1,0)</f>
        <v>0</v>
      </c>
      <c r="H952" s="33">
        <f>COUNTIFS(Demand!$A$2:$A$4481,A952,Demand!$B$2:$B$4481,B952,Demand!$C$2:$C$4481,C952)</f>
        <v>1</v>
      </c>
    </row>
    <row r="953">
      <c r="A953" s="32" t="str">
        <f>Demand!A951</f>
        <v>S020</v>
      </c>
      <c r="B953" s="35">
        <f>Demand!B951</f>
        <v>46268.0</v>
      </c>
      <c r="C953" s="33">
        <f>Demand!C951</f>
        <v>13</v>
      </c>
      <c r="D953" s="33">
        <f>Demand!E951</f>
        <v>17</v>
      </c>
      <c r="E953" s="33">
        <f>IF(Demand!F951,1,0)</f>
        <v>0</v>
      </c>
      <c r="F953" s="33">
        <f>COUNTIFS(c_store,A953,c_date,B953,c_hour,C953)</f>
        <v>1</v>
      </c>
      <c r="G953" s="33">
        <f>IF(F953&gt;0,1,0)</f>
        <v>1</v>
      </c>
      <c r="H953" s="33">
        <f>COUNTIFS(Demand!$A$2:$A$4481,A953,Demand!$B$2:$B$4481,B953,Demand!$C$2:$C$4481,C953)</f>
        <v>1</v>
      </c>
    </row>
    <row r="954">
      <c r="A954" s="32" t="str">
        <f>Demand!A952</f>
        <v>S020</v>
      </c>
      <c r="B954" s="35">
        <f>Demand!B952</f>
        <v>46268.0</v>
      </c>
      <c r="C954" s="33">
        <f>Demand!C952</f>
        <v>14</v>
      </c>
      <c r="D954" s="33">
        <f>Demand!E952</f>
        <v>10</v>
      </c>
      <c r="E954" s="33">
        <f>IF(Demand!F952,1,0)</f>
        <v>0</v>
      </c>
      <c r="F954" s="33">
        <f>COUNTIFS(c_store,A954,c_date,B954,c_hour,C954)</f>
        <v>0</v>
      </c>
      <c r="G954" s="33">
        <f>IF(F954&gt;0,1,0)</f>
        <v>0</v>
      </c>
      <c r="H954" s="33">
        <f>COUNTIFS(Demand!$A$2:$A$4481,A954,Demand!$B$2:$B$4481,B954,Demand!$C$2:$C$4481,C954)</f>
        <v>1</v>
      </c>
    </row>
    <row r="955">
      <c r="A955" s="32" t="str">
        <f>Demand!A953</f>
        <v>S020</v>
      </c>
      <c r="B955" s="35">
        <f>Demand!B953</f>
        <v>46268.0</v>
      </c>
      <c r="C955" s="33">
        <f>Demand!C953</f>
        <v>15</v>
      </c>
      <c r="D955" s="33">
        <f>Demand!E953</f>
        <v>11</v>
      </c>
      <c r="E955" s="33">
        <f>IF(Demand!F953,1,0)</f>
        <v>0</v>
      </c>
      <c r="F955" s="33">
        <f>COUNTIFS(c_store,A955,c_date,B955,c_hour,C955)</f>
        <v>3</v>
      </c>
      <c r="G955" s="33">
        <f>IF(F955&gt;0,1,0)</f>
        <v>1</v>
      </c>
      <c r="H955" s="33">
        <f>COUNTIFS(Demand!$A$2:$A$4481,A955,Demand!$B$2:$B$4481,B955,Demand!$C$2:$C$4481,C955)</f>
        <v>1</v>
      </c>
    </row>
    <row r="956">
      <c r="A956" s="32" t="str">
        <f>Demand!A954</f>
        <v>S020</v>
      </c>
      <c r="B956" s="35">
        <f>Demand!B954</f>
        <v>46268.0</v>
      </c>
      <c r="C956" s="33">
        <f>Demand!C954</f>
        <v>16</v>
      </c>
      <c r="D956" s="33">
        <f>Demand!E954</f>
        <v>10</v>
      </c>
      <c r="E956" s="33">
        <f>IF(Demand!F954,1,0)</f>
        <v>0</v>
      </c>
      <c r="F956" s="33">
        <f>COUNTIFS(c_store,A956,c_date,B956,c_hour,C956)</f>
        <v>3</v>
      </c>
      <c r="G956" s="33">
        <f>IF(F956&gt;0,1,0)</f>
        <v>1</v>
      </c>
      <c r="H956" s="33">
        <f>COUNTIFS(Demand!$A$2:$A$4481,A956,Demand!$B$2:$B$4481,B956,Demand!$C$2:$C$4481,C956)</f>
        <v>1</v>
      </c>
    </row>
    <row r="957">
      <c r="A957" s="32" t="str">
        <f>Demand!A955</f>
        <v>S020</v>
      </c>
      <c r="B957" s="35">
        <f>Demand!B955</f>
        <v>46268.0</v>
      </c>
      <c r="C957" s="33">
        <f>Demand!C955</f>
        <v>17</v>
      </c>
      <c r="D957" s="33">
        <f>Demand!E955</f>
        <v>23</v>
      </c>
      <c r="E957" s="33">
        <f>IF(Demand!F955,1,0)</f>
        <v>0</v>
      </c>
      <c r="F957" s="33">
        <f>COUNTIFS(c_store,A957,c_date,B957,c_hour,C957)</f>
        <v>0</v>
      </c>
      <c r="G957" s="33">
        <f>IF(F957&gt;0,1,0)</f>
        <v>0</v>
      </c>
      <c r="H957" s="33">
        <f>COUNTIFS(Demand!$A$2:$A$4481,A957,Demand!$B$2:$B$4481,B957,Demand!$C$2:$C$4481,C957)</f>
        <v>1</v>
      </c>
    </row>
    <row r="958">
      <c r="A958" s="32" t="str">
        <f>Demand!A956</f>
        <v>S020</v>
      </c>
      <c r="B958" s="35">
        <f>Demand!B956</f>
        <v>46268.0</v>
      </c>
      <c r="C958" s="33">
        <f>Demand!C956</f>
        <v>18</v>
      </c>
      <c r="D958" s="33">
        <f>Demand!E956</f>
        <v>13</v>
      </c>
      <c r="E958" s="33">
        <f>IF(Demand!F956,1,0)</f>
        <v>0</v>
      </c>
      <c r="F958" s="33">
        <f>COUNTIFS(c_store,A958,c_date,B958,c_hour,C958)</f>
        <v>0</v>
      </c>
      <c r="G958" s="33">
        <f>IF(F958&gt;0,1,0)</f>
        <v>0</v>
      </c>
      <c r="H958" s="33">
        <f>COUNTIFS(Demand!$A$2:$A$4481,A958,Demand!$B$2:$B$4481,B958,Demand!$C$2:$C$4481,C958)</f>
        <v>1</v>
      </c>
    </row>
    <row r="959">
      <c r="A959" s="32" t="str">
        <f>Demand!A957</f>
        <v>S020</v>
      </c>
      <c r="B959" s="35">
        <f>Demand!B957</f>
        <v>46268.0</v>
      </c>
      <c r="C959" s="33">
        <f>Demand!C957</f>
        <v>19</v>
      </c>
      <c r="D959" s="33">
        <f>Demand!E957</f>
        <v>28</v>
      </c>
      <c r="E959" s="33">
        <f>IF(Demand!F957,1,0)</f>
        <v>1</v>
      </c>
      <c r="F959" s="33">
        <f>COUNTIFS(c_store,A959,c_date,B959,c_hour,C959)</f>
        <v>0</v>
      </c>
      <c r="G959" s="33">
        <f>IF(F959&gt;0,1,0)</f>
        <v>0</v>
      </c>
      <c r="H959" s="33">
        <f>COUNTIFS(Demand!$A$2:$A$4481,A959,Demand!$B$2:$B$4481,B959,Demand!$C$2:$C$4481,C959)</f>
        <v>1</v>
      </c>
    </row>
    <row r="960">
      <c r="A960" s="32" t="str">
        <f>Demand!A958</f>
        <v>S020</v>
      </c>
      <c r="B960" s="35">
        <f>Demand!B958</f>
        <v>46268.0</v>
      </c>
      <c r="C960" s="33">
        <f>Demand!C958</f>
        <v>20</v>
      </c>
      <c r="D960" s="33">
        <f>Demand!E958</f>
        <v>14</v>
      </c>
      <c r="E960" s="33">
        <f>IF(Demand!F958,1,0)</f>
        <v>1</v>
      </c>
      <c r="F960" s="33">
        <f>COUNTIFS(c_store,A960,c_date,B960,c_hour,C960)</f>
        <v>0</v>
      </c>
      <c r="G960" s="33">
        <f>IF(F960&gt;0,1,0)</f>
        <v>0</v>
      </c>
      <c r="H960" s="33">
        <f>COUNTIFS(Demand!$A$2:$A$4481,A960,Demand!$B$2:$B$4481,B960,Demand!$C$2:$C$4481,C960)</f>
        <v>1</v>
      </c>
    </row>
    <row r="961">
      <c r="A961" s="32" t="str">
        <f>Demand!A959</f>
        <v>S020</v>
      </c>
      <c r="B961" s="35">
        <f>Demand!B959</f>
        <v>46268.0</v>
      </c>
      <c r="C961" s="33">
        <f>Demand!C959</f>
        <v>21</v>
      </c>
      <c r="D961" s="33">
        <f>Demand!E959</f>
        <v>27</v>
      </c>
      <c r="E961" s="33">
        <f>IF(Demand!F959,1,0)</f>
        <v>1</v>
      </c>
      <c r="F961" s="33">
        <f>COUNTIFS(c_store,A961,c_date,B961,c_hour,C961)</f>
        <v>0</v>
      </c>
      <c r="G961" s="33">
        <f>IF(F961&gt;0,1,0)</f>
        <v>0</v>
      </c>
      <c r="H961" s="33">
        <f>COUNTIFS(Demand!$A$2:$A$4481,A961,Demand!$B$2:$B$4481,B961,Demand!$C$2:$C$4481,C961)</f>
        <v>1</v>
      </c>
    </row>
    <row r="962">
      <c r="A962" s="32" t="str">
        <f>Demand!A960</f>
        <v>S020</v>
      </c>
      <c r="B962" s="35">
        <f>Demand!B960</f>
        <v>46268.0</v>
      </c>
      <c r="C962" s="33">
        <f>Demand!C960</f>
        <v>22</v>
      </c>
      <c r="D962" s="33">
        <f>Demand!E960</f>
        <v>17</v>
      </c>
      <c r="E962" s="33">
        <f>IF(Demand!F960,1,0)</f>
        <v>0</v>
      </c>
      <c r="F962" s="33">
        <f>COUNTIFS(c_store,A962,c_date,B962,c_hour,C962)</f>
        <v>0</v>
      </c>
      <c r="G962" s="33">
        <f>IF(F962&gt;0,1,0)</f>
        <v>0</v>
      </c>
      <c r="H962" s="33">
        <f>COUNTIFS(Demand!$A$2:$A$4481,A962,Demand!$B$2:$B$4481,B962,Demand!$C$2:$C$4481,C962)</f>
        <v>1</v>
      </c>
    </row>
    <row r="963">
      <c r="A963" s="32" t="str">
        <f>Demand!A961</f>
        <v>S020</v>
      </c>
      <c r="B963" s="35">
        <f>Demand!B961</f>
        <v>46268.0</v>
      </c>
      <c r="C963" s="33">
        <f>Demand!C961</f>
        <v>23</v>
      </c>
      <c r="D963" s="33">
        <f>Demand!E961</f>
        <v>18</v>
      </c>
      <c r="E963" s="33">
        <f>IF(Demand!F961,1,0)</f>
        <v>0</v>
      </c>
      <c r="F963" s="33">
        <f>COUNTIFS(c_store,A963,c_date,B963,c_hour,C963)</f>
        <v>0</v>
      </c>
      <c r="G963" s="33">
        <f>IF(F963&gt;0,1,0)</f>
        <v>0</v>
      </c>
      <c r="H963" s="33">
        <f>COUNTIFS(Demand!$A$2:$A$4481,A963,Demand!$B$2:$B$4481,B963,Demand!$C$2:$C$4481,C963)</f>
        <v>1</v>
      </c>
    </row>
    <row r="964">
      <c r="A964" s="32" t="str">
        <f>Demand!A962</f>
        <v>S001</v>
      </c>
      <c r="B964" s="35">
        <f>Demand!B962</f>
        <v>46269.0</v>
      </c>
      <c r="C964" s="33">
        <f>Demand!C962</f>
        <v>8</v>
      </c>
      <c r="D964" s="33">
        <f>Demand!E962</f>
        <v>8</v>
      </c>
      <c r="E964" s="33">
        <f>IF(Demand!F962,1,0)</f>
        <v>0</v>
      </c>
      <c r="F964" s="33">
        <f>COUNTIFS(c_store,A964,c_date,B964,c_hour,C964)</f>
        <v>0</v>
      </c>
      <c r="G964" s="33">
        <f>IF(F964&gt;0,1,0)</f>
        <v>0</v>
      </c>
      <c r="H964" s="33">
        <f>COUNTIFS(Demand!$A$2:$A$4481,A964,Demand!$B$2:$B$4481,B964,Demand!$C$2:$C$4481,C964)</f>
        <v>1</v>
      </c>
    </row>
    <row r="965">
      <c r="A965" s="32" t="str">
        <f>Demand!A963</f>
        <v>S001</v>
      </c>
      <c r="B965" s="35">
        <f>Demand!B963</f>
        <v>46269.0</v>
      </c>
      <c r="C965" s="33">
        <f>Demand!C963</f>
        <v>9</v>
      </c>
      <c r="D965" s="33">
        <f>Demand!E963</f>
        <v>12</v>
      </c>
      <c r="E965" s="33">
        <f>IF(Demand!F963,1,0)</f>
        <v>0</v>
      </c>
      <c r="F965" s="33">
        <f>COUNTIFS(c_store,A965,c_date,B965,c_hour,C965)</f>
        <v>0</v>
      </c>
      <c r="G965" s="33">
        <f>IF(F965&gt;0,1,0)</f>
        <v>0</v>
      </c>
      <c r="H965" s="33">
        <f>COUNTIFS(Demand!$A$2:$A$4481,A965,Demand!$B$2:$B$4481,B965,Demand!$C$2:$C$4481,C965)</f>
        <v>1</v>
      </c>
    </row>
    <row r="966">
      <c r="A966" s="32" t="str">
        <f>Demand!A964</f>
        <v>S001</v>
      </c>
      <c r="B966" s="35">
        <f>Demand!B964</f>
        <v>46269.0</v>
      </c>
      <c r="C966" s="33">
        <f>Demand!C964</f>
        <v>10</v>
      </c>
      <c r="D966" s="33">
        <f>Demand!E964</f>
        <v>11</v>
      </c>
      <c r="E966" s="33">
        <f>IF(Demand!F964,1,0)</f>
        <v>0</v>
      </c>
      <c r="F966" s="33">
        <f>COUNTIFS(c_store,A966,c_date,B966,c_hour,C966)</f>
        <v>0</v>
      </c>
      <c r="G966" s="33">
        <f>IF(F966&gt;0,1,0)</f>
        <v>0</v>
      </c>
      <c r="H966" s="33">
        <f>COUNTIFS(Demand!$A$2:$A$4481,A966,Demand!$B$2:$B$4481,B966,Demand!$C$2:$C$4481,C966)</f>
        <v>1</v>
      </c>
    </row>
    <row r="967">
      <c r="A967" s="32" t="str">
        <f>Demand!A965</f>
        <v>S001</v>
      </c>
      <c r="B967" s="35">
        <f>Demand!B965</f>
        <v>46269.0</v>
      </c>
      <c r="C967" s="33">
        <f>Demand!C965</f>
        <v>11</v>
      </c>
      <c r="D967" s="33">
        <f>Demand!E965</f>
        <v>14</v>
      </c>
      <c r="E967" s="33">
        <f>IF(Demand!F965,1,0)</f>
        <v>0</v>
      </c>
      <c r="F967" s="33">
        <f>COUNTIFS(c_store,A967,c_date,B967,c_hour,C967)</f>
        <v>0</v>
      </c>
      <c r="G967" s="33">
        <f>IF(F967&gt;0,1,0)</f>
        <v>0</v>
      </c>
      <c r="H967" s="33">
        <f>COUNTIFS(Demand!$A$2:$A$4481,A967,Demand!$B$2:$B$4481,B967,Demand!$C$2:$C$4481,C967)</f>
        <v>1</v>
      </c>
    </row>
    <row r="968">
      <c r="A968" s="32" t="str">
        <f>Demand!A966</f>
        <v>S001</v>
      </c>
      <c r="B968" s="35">
        <f>Demand!B966</f>
        <v>46269.0</v>
      </c>
      <c r="C968" s="33">
        <f>Demand!C966</f>
        <v>12</v>
      </c>
      <c r="D968" s="33">
        <f>Demand!E966</f>
        <v>18</v>
      </c>
      <c r="E968" s="33">
        <f>IF(Demand!F966,1,0)</f>
        <v>0</v>
      </c>
      <c r="F968" s="33">
        <f>COUNTIFS(c_store,A968,c_date,B968,c_hour,C968)</f>
        <v>0</v>
      </c>
      <c r="G968" s="33">
        <f>IF(F968&gt;0,1,0)</f>
        <v>0</v>
      </c>
      <c r="H968" s="33">
        <f>COUNTIFS(Demand!$A$2:$A$4481,A968,Demand!$B$2:$B$4481,B968,Demand!$C$2:$C$4481,C968)</f>
        <v>1</v>
      </c>
    </row>
    <row r="969">
      <c r="A969" s="32" t="str">
        <f>Demand!A967</f>
        <v>S001</v>
      </c>
      <c r="B969" s="35">
        <f>Demand!B967</f>
        <v>46269.0</v>
      </c>
      <c r="C969" s="33">
        <f>Demand!C967</f>
        <v>13</v>
      </c>
      <c r="D969" s="33">
        <f>Demand!E967</f>
        <v>13</v>
      </c>
      <c r="E969" s="33">
        <f>IF(Demand!F967,1,0)</f>
        <v>0</v>
      </c>
      <c r="F969" s="33">
        <f>COUNTIFS(c_store,A969,c_date,B969,c_hour,C969)</f>
        <v>1</v>
      </c>
      <c r="G969" s="33">
        <f>IF(F969&gt;0,1,0)</f>
        <v>1</v>
      </c>
      <c r="H969" s="33">
        <f>COUNTIFS(Demand!$A$2:$A$4481,A969,Demand!$B$2:$B$4481,B969,Demand!$C$2:$C$4481,C969)</f>
        <v>1</v>
      </c>
    </row>
    <row r="970">
      <c r="A970" s="32" t="str">
        <f>Demand!A968</f>
        <v>S001</v>
      </c>
      <c r="B970" s="35">
        <f>Demand!B968</f>
        <v>46269.0</v>
      </c>
      <c r="C970" s="33">
        <f>Demand!C968</f>
        <v>14</v>
      </c>
      <c r="D970" s="33">
        <f>Demand!E968</f>
        <v>10</v>
      </c>
      <c r="E970" s="33">
        <f>IF(Demand!F968,1,0)</f>
        <v>0</v>
      </c>
      <c r="F970" s="33">
        <f>COUNTIFS(c_store,A970,c_date,B970,c_hour,C970)</f>
        <v>0</v>
      </c>
      <c r="G970" s="33">
        <f>IF(F970&gt;0,1,0)</f>
        <v>0</v>
      </c>
      <c r="H970" s="33">
        <f>COUNTIFS(Demand!$A$2:$A$4481,A970,Demand!$B$2:$B$4481,B970,Demand!$C$2:$C$4481,C970)</f>
        <v>1</v>
      </c>
    </row>
    <row r="971">
      <c r="A971" s="32" t="str">
        <f>Demand!A969</f>
        <v>S001</v>
      </c>
      <c r="B971" s="35">
        <f>Demand!B969</f>
        <v>46269.0</v>
      </c>
      <c r="C971" s="33">
        <f>Demand!C969</f>
        <v>15</v>
      </c>
      <c r="D971" s="33">
        <f>Demand!E969</f>
        <v>8</v>
      </c>
      <c r="E971" s="33">
        <f>IF(Demand!F969,1,0)</f>
        <v>0</v>
      </c>
      <c r="F971" s="33">
        <f>COUNTIFS(c_store,A971,c_date,B971,c_hour,C971)</f>
        <v>1</v>
      </c>
      <c r="G971" s="33">
        <f>IF(F971&gt;0,1,0)</f>
        <v>1</v>
      </c>
      <c r="H971" s="33">
        <f>COUNTIFS(Demand!$A$2:$A$4481,A971,Demand!$B$2:$B$4481,B971,Demand!$C$2:$C$4481,C971)</f>
        <v>1</v>
      </c>
    </row>
    <row r="972">
      <c r="A972" s="32" t="str">
        <f>Demand!A970</f>
        <v>S001</v>
      </c>
      <c r="B972" s="35">
        <f>Demand!B970</f>
        <v>46269.0</v>
      </c>
      <c r="C972" s="33">
        <f>Demand!C970</f>
        <v>16</v>
      </c>
      <c r="D972" s="33">
        <f>Demand!E970</f>
        <v>14</v>
      </c>
      <c r="E972" s="33">
        <f>IF(Demand!F970,1,0)</f>
        <v>0</v>
      </c>
      <c r="F972" s="33">
        <f>COUNTIFS(c_store,A972,c_date,B972,c_hour,C972)</f>
        <v>1</v>
      </c>
      <c r="G972" s="33">
        <f>IF(F972&gt;0,1,0)</f>
        <v>1</v>
      </c>
      <c r="H972" s="33">
        <f>COUNTIFS(Demand!$A$2:$A$4481,A972,Demand!$B$2:$B$4481,B972,Demand!$C$2:$C$4481,C972)</f>
        <v>1</v>
      </c>
    </row>
    <row r="973">
      <c r="A973" s="32" t="str">
        <f>Demand!A971</f>
        <v>S001</v>
      </c>
      <c r="B973" s="35">
        <f>Demand!B971</f>
        <v>46269.0</v>
      </c>
      <c r="C973" s="33">
        <f>Demand!C971</f>
        <v>17</v>
      </c>
      <c r="D973" s="33">
        <f>Demand!E971</f>
        <v>12</v>
      </c>
      <c r="E973" s="33">
        <f>IF(Demand!F971,1,0)</f>
        <v>0</v>
      </c>
      <c r="F973" s="33">
        <f>COUNTIFS(c_store,A973,c_date,B973,c_hour,C973)</f>
        <v>0</v>
      </c>
      <c r="G973" s="33">
        <f>IF(F973&gt;0,1,0)</f>
        <v>0</v>
      </c>
      <c r="H973" s="33">
        <f>COUNTIFS(Demand!$A$2:$A$4481,A973,Demand!$B$2:$B$4481,B973,Demand!$C$2:$C$4481,C973)</f>
        <v>1</v>
      </c>
    </row>
    <row r="974">
      <c r="A974" s="32" t="str">
        <f>Demand!A972</f>
        <v>S001</v>
      </c>
      <c r="B974" s="35">
        <f>Demand!B972</f>
        <v>46269.0</v>
      </c>
      <c r="C974" s="33">
        <f>Demand!C972</f>
        <v>18</v>
      </c>
      <c r="D974" s="33">
        <f>Demand!E972</f>
        <v>15</v>
      </c>
      <c r="E974" s="33">
        <f>IF(Demand!F972,1,0)</f>
        <v>0</v>
      </c>
      <c r="F974" s="33">
        <f>COUNTIFS(c_store,A974,c_date,B974,c_hour,C974)</f>
        <v>0</v>
      </c>
      <c r="G974" s="33">
        <f>IF(F974&gt;0,1,0)</f>
        <v>0</v>
      </c>
      <c r="H974" s="33">
        <f>COUNTIFS(Demand!$A$2:$A$4481,A974,Demand!$B$2:$B$4481,B974,Demand!$C$2:$C$4481,C974)</f>
        <v>1</v>
      </c>
    </row>
    <row r="975">
      <c r="A975" s="32" t="str">
        <f>Demand!A973</f>
        <v>S001</v>
      </c>
      <c r="B975" s="35">
        <f>Demand!B973</f>
        <v>46269.0</v>
      </c>
      <c r="C975" s="33">
        <f>Demand!C973</f>
        <v>19</v>
      </c>
      <c r="D975" s="33">
        <f>Demand!E973</f>
        <v>17</v>
      </c>
      <c r="E975" s="33">
        <f>IF(Demand!F973,1,0)</f>
        <v>1</v>
      </c>
      <c r="F975" s="33">
        <f>COUNTIFS(c_store,A975,c_date,B975,c_hour,C975)</f>
        <v>0</v>
      </c>
      <c r="G975" s="33">
        <f>IF(F975&gt;0,1,0)</f>
        <v>0</v>
      </c>
      <c r="H975" s="33">
        <f>COUNTIFS(Demand!$A$2:$A$4481,A975,Demand!$B$2:$B$4481,B975,Demand!$C$2:$C$4481,C975)</f>
        <v>1</v>
      </c>
    </row>
    <row r="976">
      <c r="A976" s="32" t="str">
        <f>Demand!A974</f>
        <v>S001</v>
      </c>
      <c r="B976" s="35">
        <f>Demand!B974</f>
        <v>46269.0</v>
      </c>
      <c r="C976" s="33">
        <f>Demand!C974</f>
        <v>20</v>
      </c>
      <c r="D976" s="33">
        <f>Demand!E974</f>
        <v>27</v>
      </c>
      <c r="E976" s="33">
        <f>IF(Demand!F974,1,0)</f>
        <v>1</v>
      </c>
      <c r="F976" s="33">
        <f>COUNTIFS(c_store,A976,c_date,B976,c_hour,C976)</f>
        <v>1</v>
      </c>
      <c r="G976" s="33">
        <f>IF(F976&gt;0,1,0)</f>
        <v>1</v>
      </c>
      <c r="H976" s="33">
        <f>COUNTIFS(Demand!$A$2:$A$4481,A976,Demand!$B$2:$B$4481,B976,Demand!$C$2:$C$4481,C976)</f>
        <v>1</v>
      </c>
    </row>
    <row r="977">
      <c r="A977" s="32" t="str">
        <f>Demand!A975</f>
        <v>S001</v>
      </c>
      <c r="B977" s="35">
        <f>Demand!B975</f>
        <v>46269.0</v>
      </c>
      <c r="C977" s="33">
        <f>Demand!C975</f>
        <v>21</v>
      </c>
      <c r="D977" s="33">
        <f>Demand!E975</f>
        <v>29</v>
      </c>
      <c r="E977" s="33">
        <f>IF(Demand!F975,1,0)</f>
        <v>1</v>
      </c>
      <c r="F977" s="33">
        <f>COUNTIFS(c_store,A977,c_date,B977,c_hour,C977)</f>
        <v>0</v>
      </c>
      <c r="G977" s="33">
        <f>IF(F977&gt;0,1,0)</f>
        <v>0</v>
      </c>
      <c r="H977" s="33">
        <f>COUNTIFS(Demand!$A$2:$A$4481,A977,Demand!$B$2:$B$4481,B977,Demand!$C$2:$C$4481,C977)</f>
        <v>1</v>
      </c>
    </row>
    <row r="978">
      <c r="A978" s="32" t="str">
        <f>Demand!A976</f>
        <v>S001</v>
      </c>
      <c r="B978" s="35">
        <f>Demand!B976</f>
        <v>46269.0</v>
      </c>
      <c r="C978" s="33">
        <f>Demand!C976</f>
        <v>22</v>
      </c>
      <c r="D978" s="33">
        <f>Demand!E976</f>
        <v>14</v>
      </c>
      <c r="E978" s="33">
        <f>IF(Demand!F976,1,0)</f>
        <v>0</v>
      </c>
      <c r="F978" s="33">
        <f>COUNTIFS(c_store,A978,c_date,B978,c_hour,C978)</f>
        <v>1</v>
      </c>
      <c r="G978" s="33">
        <f>IF(F978&gt;0,1,0)</f>
        <v>1</v>
      </c>
      <c r="H978" s="33">
        <f>COUNTIFS(Demand!$A$2:$A$4481,A978,Demand!$B$2:$B$4481,B978,Demand!$C$2:$C$4481,C978)</f>
        <v>1</v>
      </c>
    </row>
    <row r="979">
      <c r="A979" s="32" t="str">
        <f>Demand!A977</f>
        <v>S001</v>
      </c>
      <c r="B979" s="35">
        <f>Demand!B977</f>
        <v>46269.0</v>
      </c>
      <c r="C979" s="33">
        <f>Demand!C977</f>
        <v>23</v>
      </c>
      <c r="D979" s="33">
        <f>Demand!E977</f>
        <v>20</v>
      </c>
      <c r="E979" s="33">
        <f>IF(Demand!F977,1,0)</f>
        <v>0</v>
      </c>
      <c r="F979" s="33">
        <f>COUNTIFS(c_store,A979,c_date,B979,c_hour,C979)</f>
        <v>0</v>
      </c>
      <c r="G979" s="33">
        <f>IF(F979&gt;0,1,0)</f>
        <v>0</v>
      </c>
      <c r="H979" s="33">
        <f>COUNTIFS(Demand!$A$2:$A$4481,A979,Demand!$B$2:$B$4481,B979,Demand!$C$2:$C$4481,C979)</f>
        <v>1</v>
      </c>
    </row>
    <row r="980">
      <c r="A980" s="32" t="str">
        <f>Demand!A978</f>
        <v>S002</v>
      </c>
      <c r="B980" s="35">
        <f>Demand!B978</f>
        <v>46269.0</v>
      </c>
      <c r="C980" s="33">
        <f>Demand!C978</f>
        <v>8</v>
      </c>
      <c r="D980" s="33">
        <f>Demand!E978</f>
        <v>34</v>
      </c>
      <c r="E980" s="33">
        <f>IF(Demand!F978,1,0)</f>
        <v>0</v>
      </c>
      <c r="F980" s="33">
        <f>COUNTIFS(c_store,A980,c_date,B980,c_hour,C980)</f>
        <v>0</v>
      </c>
      <c r="G980" s="33">
        <f>IF(F980&gt;0,1,0)</f>
        <v>0</v>
      </c>
      <c r="H980" s="33">
        <f>COUNTIFS(Demand!$A$2:$A$4481,A980,Demand!$B$2:$B$4481,B980,Demand!$C$2:$C$4481,C980)</f>
        <v>1</v>
      </c>
    </row>
    <row r="981">
      <c r="A981" s="32" t="str">
        <f>Demand!A979</f>
        <v>S002</v>
      </c>
      <c r="B981" s="35">
        <f>Demand!B979</f>
        <v>46269.0</v>
      </c>
      <c r="C981" s="33">
        <f>Demand!C979</f>
        <v>9</v>
      </c>
      <c r="D981" s="33">
        <f>Demand!E979</f>
        <v>15</v>
      </c>
      <c r="E981" s="33">
        <f>IF(Demand!F979,1,0)</f>
        <v>0</v>
      </c>
      <c r="F981" s="33">
        <f>COUNTIFS(c_store,A981,c_date,B981,c_hour,C981)</f>
        <v>0</v>
      </c>
      <c r="G981" s="33">
        <f>IF(F981&gt;0,1,0)</f>
        <v>0</v>
      </c>
      <c r="H981" s="33">
        <f>COUNTIFS(Demand!$A$2:$A$4481,A981,Demand!$B$2:$B$4481,B981,Demand!$C$2:$C$4481,C981)</f>
        <v>1</v>
      </c>
    </row>
    <row r="982">
      <c r="A982" s="32" t="str">
        <f>Demand!A980</f>
        <v>S002</v>
      </c>
      <c r="B982" s="35">
        <f>Demand!B980</f>
        <v>46269.0</v>
      </c>
      <c r="C982" s="33">
        <f>Demand!C980</f>
        <v>10</v>
      </c>
      <c r="D982" s="33">
        <f>Demand!E980</f>
        <v>15</v>
      </c>
      <c r="E982" s="33">
        <f>IF(Demand!F980,1,0)</f>
        <v>0</v>
      </c>
      <c r="F982" s="33">
        <f>COUNTIFS(c_store,A982,c_date,B982,c_hour,C982)</f>
        <v>1</v>
      </c>
      <c r="G982" s="33">
        <f>IF(F982&gt;0,1,0)</f>
        <v>1</v>
      </c>
      <c r="H982" s="33">
        <f>COUNTIFS(Demand!$A$2:$A$4481,A982,Demand!$B$2:$B$4481,B982,Demand!$C$2:$C$4481,C982)</f>
        <v>1</v>
      </c>
    </row>
    <row r="983">
      <c r="A983" s="32" t="str">
        <f>Demand!A981</f>
        <v>S002</v>
      </c>
      <c r="B983" s="35">
        <f>Demand!B981</f>
        <v>46269.0</v>
      </c>
      <c r="C983" s="33">
        <f>Demand!C981</f>
        <v>11</v>
      </c>
      <c r="D983" s="33">
        <f>Demand!E981</f>
        <v>37</v>
      </c>
      <c r="E983" s="33">
        <f>IF(Demand!F981,1,0)</f>
        <v>0</v>
      </c>
      <c r="F983" s="33">
        <f>COUNTIFS(c_store,A983,c_date,B983,c_hour,C983)</f>
        <v>0</v>
      </c>
      <c r="G983" s="33">
        <f>IF(F983&gt;0,1,0)</f>
        <v>0</v>
      </c>
      <c r="H983" s="33">
        <f>COUNTIFS(Demand!$A$2:$A$4481,A983,Demand!$B$2:$B$4481,B983,Demand!$C$2:$C$4481,C983)</f>
        <v>1</v>
      </c>
    </row>
    <row r="984">
      <c r="A984" s="32" t="str">
        <f>Demand!A982</f>
        <v>S002</v>
      </c>
      <c r="B984" s="35">
        <f>Demand!B982</f>
        <v>46269.0</v>
      </c>
      <c r="C984" s="33">
        <f>Demand!C982</f>
        <v>12</v>
      </c>
      <c r="D984" s="33">
        <f>Demand!E982</f>
        <v>25</v>
      </c>
      <c r="E984" s="33">
        <f>IF(Demand!F982,1,0)</f>
        <v>0</v>
      </c>
      <c r="F984" s="33">
        <f>COUNTIFS(c_store,A984,c_date,B984,c_hour,C984)</f>
        <v>1</v>
      </c>
      <c r="G984" s="33">
        <f>IF(F984&gt;0,1,0)</f>
        <v>1</v>
      </c>
      <c r="H984" s="33">
        <f>COUNTIFS(Demand!$A$2:$A$4481,A984,Demand!$B$2:$B$4481,B984,Demand!$C$2:$C$4481,C984)</f>
        <v>1</v>
      </c>
    </row>
    <row r="985">
      <c r="A985" s="32" t="str">
        <f>Demand!A983</f>
        <v>S002</v>
      </c>
      <c r="B985" s="35">
        <f>Demand!B983</f>
        <v>46269.0</v>
      </c>
      <c r="C985" s="33">
        <f>Demand!C983</f>
        <v>13</v>
      </c>
      <c r="D985" s="33">
        <f>Demand!E983</f>
        <v>34</v>
      </c>
      <c r="E985" s="33">
        <f>IF(Demand!F983,1,0)</f>
        <v>0</v>
      </c>
      <c r="F985" s="33">
        <f>COUNTIFS(c_store,A985,c_date,B985,c_hour,C985)</f>
        <v>1</v>
      </c>
      <c r="G985" s="33">
        <f>IF(F985&gt;0,1,0)</f>
        <v>1</v>
      </c>
      <c r="H985" s="33">
        <f>COUNTIFS(Demand!$A$2:$A$4481,A985,Demand!$B$2:$B$4481,B985,Demand!$C$2:$C$4481,C985)</f>
        <v>1</v>
      </c>
    </row>
    <row r="986">
      <c r="A986" s="32" t="str">
        <f>Demand!A984</f>
        <v>S002</v>
      </c>
      <c r="B986" s="35">
        <f>Demand!B984</f>
        <v>46269.0</v>
      </c>
      <c r="C986" s="33">
        <f>Demand!C984</f>
        <v>14</v>
      </c>
      <c r="D986" s="33">
        <f>Demand!E984</f>
        <v>26</v>
      </c>
      <c r="E986" s="33">
        <f>IF(Demand!F984,1,0)</f>
        <v>0</v>
      </c>
      <c r="F986" s="33">
        <f>COUNTIFS(c_store,A986,c_date,B986,c_hour,C986)</f>
        <v>1</v>
      </c>
      <c r="G986" s="33">
        <f>IF(F986&gt;0,1,0)</f>
        <v>1</v>
      </c>
      <c r="H986" s="33">
        <f>COUNTIFS(Demand!$A$2:$A$4481,A986,Demand!$B$2:$B$4481,B986,Demand!$C$2:$C$4481,C986)</f>
        <v>1</v>
      </c>
    </row>
    <row r="987">
      <c r="A987" s="32" t="str">
        <f>Demand!A985</f>
        <v>S002</v>
      </c>
      <c r="B987" s="35">
        <f>Demand!B985</f>
        <v>46269.0</v>
      </c>
      <c r="C987" s="33">
        <f>Demand!C985</f>
        <v>15</v>
      </c>
      <c r="D987" s="33">
        <f>Demand!E985</f>
        <v>23</v>
      </c>
      <c r="E987" s="33">
        <f>IF(Demand!F985,1,0)</f>
        <v>0</v>
      </c>
      <c r="F987" s="33">
        <f>COUNTIFS(c_store,A987,c_date,B987,c_hour,C987)</f>
        <v>0</v>
      </c>
      <c r="G987" s="33">
        <f>IF(F987&gt;0,1,0)</f>
        <v>0</v>
      </c>
      <c r="H987" s="33">
        <f>COUNTIFS(Demand!$A$2:$A$4481,A987,Demand!$B$2:$B$4481,B987,Demand!$C$2:$C$4481,C987)</f>
        <v>1</v>
      </c>
    </row>
    <row r="988">
      <c r="A988" s="32" t="str">
        <f>Demand!A986</f>
        <v>S002</v>
      </c>
      <c r="B988" s="35">
        <f>Demand!B986</f>
        <v>46269.0</v>
      </c>
      <c r="C988" s="33">
        <f>Demand!C986</f>
        <v>16</v>
      </c>
      <c r="D988" s="33">
        <f>Demand!E986</f>
        <v>38</v>
      </c>
      <c r="E988" s="33">
        <f>IF(Demand!F986,1,0)</f>
        <v>0</v>
      </c>
      <c r="F988" s="33">
        <f>COUNTIFS(c_store,A988,c_date,B988,c_hour,C988)</f>
        <v>1</v>
      </c>
      <c r="G988" s="33">
        <f>IF(F988&gt;0,1,0)</f>
        <v>1</v>
      </c>
      <c r="H988" s="33">
        <f>COUNTIFS(Demand!$A$2:$A$4481,A988,Demand!$B$2:$B$4481,B988,Demand!$C$2:$C$4481,C988)</f>
        <v>1</v>
      </c>
    </row>
    <row r="989">
      <c r="A989" s="32" t="str">
        <f>Demand!A987</f>
        <v>S002</v>
      </c>
      <c r="B989" s="35">
        <f>Demand!B987</f>
        <v>46269.0</v>
      </c>
      <c r="C989" s="33">
        <f>Demand!C987</f>
        <v>17</v>
      </c>
      <c r="D989" s="33">
        <f>Demand!E987</f>
        <v>32</v>
      </c>
      <c r="E989" s="33">
        <f>IF(Demand!F987,1,0)</f>
        <v>0</v>
      </c>
      <c r="F989" s="33">
        <f>COUNTIFS(c_store,A989,c_date,B989,c_hour,C989)</f>
        <v>0</v>
      </c>
      <c r="G989" s="33">
        <f>IF(F989&gt;0,1,0)</f>
        <v>0</v>
      </c>
      <c r="H989" s="33">
        <f>COUNTIFS(Demand!$A$2:$A$4481,A989,Demand!$B$2:$B$4481,B989,Demand!$C$2:$C$4481,C989)</f>
        <v>1</v>
      </c>
    </row>
    <row r="990">
      <c r="A990" s="32" t="str">
        <f>Demand!A988</f>
        <v>S002</v>
      </c>
      <c r="B990" s="35">
        <f>Demand!B988</f>
        <v>46269.0</v>
      </c>
      <c r="C990" s="33">
        <f>Demand!C988</f>
        <v>18</v>
      </c>
      <c r="D990" s="33">
        <f>Demand!E988</f>
        <v>28</v>
      </c>
      <c r="E990" s="33">
        <f>IF(Demand!F988,1,0)</f>
        <v>0</v>
      </c>
      <c r="F990" s="33">
        <f>COUNTIFS(c_store,A990,c_date,B990,c_hour,C990)</f>
        <v>0</v>
      </c>
      <c r="G990" s="33">
        <f>IF(F990&gt;0,1,0)</f>
        <v>0</v>
      </c>
      <c r="H990" s="33">
        <f>COUNTIFS(Demand!$A$2:$A$4481,A990,Demand!$B$2:$B$4481,B990,Demand!$C$2:$C$4481,C990)</f>
        <v>1</v>
      </c>
    </row>
    <row r="991">
      <c r="A991" s="32" t="str">
        <f>Demand!A989</f>
        <v>S002</v>
      </c>
      <c r="B991" s="35">
        <f>Demand!B989</f>
        <v>46269.0</v>
      </c>
      <c r="C991" s="33">
        <f>Demand!C989</f>
        <v>19</v>
      </c>
      <c r="D991" s="33">
        <f>Demand!E989</f>
        <v>52</v>
      </c>
      <c r="E991" s="33">
        <f>IF(Demand!F989,1,0)</f>
        <v>1</v>
      </c>
      <c r="F991" s="33">
        <f>COUNTIFS(c_store,A991,c_date,B991,c_hour,C991)</f>
        <v>1</v>
      </c>
      <c r="G991" s="33">
        <f>IF(F991&gt;0,1,0)</f>
        <v>1</v>
      </c>
      <c r="H991" s="33">
        <f>COUNTIFS(Demand!$A$2:$A$4481,A991,Demand!$B$2:$B$4481,B991,Demand!$C$2:$C$4481,C991)</f>
        <v>1</v>
      </c>
    </row>
    <row r="992">
      <c r="A992" s="32" t="str">
        <f>Demand!A990</f>
        <v>S002</v>
      </c>
      <c r="B992" s="35">
        <f>Demand!B990</f>
        <v>46269.0</v>
      </c>
      <c r="C992" s="33">
        <f>Demand!C990</f>
        <v>20</v>
      </c>
      <c r="D992" s="33">
        <f>Demand!E990</f>
        <v>40</v>
      </c>
      <c r="E992" s="33">
        <f>IF(Demand!F990,1,0)</f>
        <v>1</v>
      </c>
      <c r="F992" s="33">
        <f>COUNTIFS(c_store,A992,c_date,B992,c_hour,C992)</f>
        <v>0</v>
      </c>
      <c r="G992" s="33">
        <f>IF(F992&gt;0,1,0)</f>
        <v>0</v>
      </c>
      <c r="H992" s="33">
        <f>COUNTIFS(Demand!$A$2:$A$4481,A992,Demand!$B$2:$B$4481,B992,Demand!$C$2:$C$4481,C992)</f>
        <v>1</v>
      </c>
    </row>
    <row r="993">
      <c r="A993" s="32" t="str">
        <f>Demand!A991</f>
        <v>S002</v>
      </c>
      <c r="B993" s="35">
        <f>Demand!B991</f>
        <v>46269.0</v>
      </c>
      <c r="C993" s="33">
        <f>Demand!C991</f>
        <v>21</v>
      </c>
      <c r="D993" s="33">
        <f>Demand!E991</f>
        <v>52</v>
      </c>
      <c r="E993" s="33">
        <f>IF(Demand!F991,1,0)</f>
        <v>1</v>
      </c>
      <c r="F993" s="33">
        <f>COUNTIFS(c_store,A993,c_date,B993,c_hour,C993)</f>
        <v>0</v>
      </c>
      <c r="G993" s="33">
        <f>IF(F993&gt;0,1,0)</f>
        <v>0</v>
      </c>
      <c r="H993" s="33">
        <f>COUNTIFS(Demand!$A$2:$A$4481,A993,Demand!$B$2:$B$4481,B993,Demand!$C$2:$C$4481,C993)</f>
        <v>1</v>
      </c>
    </row>
    <row r="994">
      <c r="A994" s="32" t="str">
        <f>Demand!A992</f>
        <v>S002</v>
      </c>
      <c r="B994" s="35">
        <f>Demand!B992</f>
        <v>46269.0</v>
      </c>
      <c r="C994" s="33">
        <f>Demand!C992</f>
        <v>22</v>
      </c>
      <c r="D994" s="33">
        <f>Demand!E992</f>
        <v>37</v>
      </c>
      <c r="E994" s="33">
        <f>IF(Demand!F992,1,0)</f>
        <v>0</v>
      </c>
      <c r="F994" s="33">
        <f>COUNTIFS(c_store,A994,c_date,B994,c_hour,C994)</f>
        <v>1</v>
      </c>
      <c r="G994" s="33">
        <f>IF(F994&gt;0,1,0)</f>
        <v>1</v>
      </c>
      <c r="H994" s="33">
        <f>COUNTIFS(Demand!$A$2:$A$4481,A994,Demand!$B$2:$B$4481,B994,Demand!$C$2:$C$4481,C994)</f>
        <v>1</v>
      </c>
    </row>
    <row r="995">
      <c r="A995" s="32" t="str">
        <f>Demand!A993</f>
        <v>S002</v>
      </c>
      <c r="B995" s="35">
        <f>Demand!B993</f>
        <v>46269.0</v>
      </c>
      <c r="C995" s="33">
        <f>Demand!C993</f>
        <v>23</v>
      </c>
      <c r="D995" s="33">
        <f>Demand!E993</f>
        <v>37</v>
      </c>
      <c r="E995" s="33">
        <f>IF(Demand!F993,1,0)</f>
        <v>0</v>
      </c>
      <c r="F995" s="33">
        <f>COUNTIFS(c_store,A995,c_date,B995,c_hour,C995)</f>
        <v>0</v>
      </c>
      <c r="G995" s="33">
        <f>IF(F995&gt;0,1,0)</f>
        <v>0</v>
      </c>
      <c r="H995" s="33">
        <f>COUNTIFS(Demand!$A$2:$A$4481,A995,Demand!$B$2:$B$4481,B995,Demand!$C$2:$C$4481,C995)</f>
        <v>1</v>
      </c>
    </row>
    <row r="996">
      <c r="A996" s="32" t="str">
        <f>Demand!A994</f>
        <v>S003</v>
      </c>
      <c r="B996" s="35">
        <f>Demand!B994</f>
        <v>46269.0</v>
      </c>
      <c r="C996" s="33">
        <f>Demand!C994</f>
        <v>8</v>
      </c>
      <c r="D996" s="33">
        <f>Demand!E994</f>
        <v>38</v>
      </c>
      <c r="E996" s="33">
        <f>IF(Demand!F994,1,0)</f>
        <v>0</v>
      </c>
      <c r="F996" s="33">
        <f>COUNTIFS(c_store,A996,c_date,B996,c_hour,C996)</f>
        <v>0</v>
      </c>
      <c r="G996" s="33">
        <f>IF(F996&gt;0,1,0)</f>
        <v>0</v>
      </c>
      <c r="H996" s="33">
        <f>COUNTIFS(Demand!$A$2:$A$4481,A996,Demand!$B$2:$B$4481,B996,Demand!$C$2:$C$4481,C996)</f>
        <v>1</v>
      </c>
    </row>
    <row r="997">
      <c r="A997" s="32" t="str">
        <f>Demand!A995</f>
        <v>S003</v>
      </c>
      <c r="B997" s="35">
        <f>Demand!B995</f>
        <v>46269.0</v>
      </c>
      <c r="C997" s="33">
        <f>Demand!C995</f>
        <v>9</v>
      </c>
      <c r="D997" s="33">
        <f>Demand!E995</f>
        <v>30</v>
      </c>
      <c r="E997" s="33">
        <f>IF(Demand!F995,1,0)</f>
        <v>0</v>
      </c>
      <c r="F997" s="33">
        <f>COUNTIFS(c_store,A997,c_date,B997,c_hour,C997)</f>
        <v>2</v>
      </c>
      <c r="G997" s="33">
        <f>IF(F997&gt;0,1,0)</f>
        <v>1</v>
      </c>
      <c r="H997" s="33">
        <f>COUNTIFS(Demand!$A$2:$A$4481,A997,Demand!$B$2:$B$4481,B997,Demand!$C$2:$C$4481,C997)</f>
        <v>1</v>
      </c>
    </row>
    <row r="998">
      <c r="A998" s="32" t="str">
        <f>Demand!A996</f>
        <v>S003</v>
      </c>
      <c r="B998" s="35">
        <f>Demand!B996</f>
        <v>46269.0</v>
      </c>
      <c r="C998" s="33">
        <f>Demand!C996</f>
        <v>10</v>
      </c>
      <c r="D998" s="33">
        <f>Demand!E996</f>
        <v>41</v>
      </c>
      <c r="E998" s="33">
        <f>IF(Demand!F996,1,0)</f>
        <v>0</v>
      </c>
      <c r="F998" s="33">
        <f>COUNTIFS(c_store,A998,c_date,B998,c_hour,C998)</f>
        <v>3</v>
      </c>
      <c r="G998" s="33">
        <f>IF(F998&gt;0,1,0)</f>
        <v>1</v>
      </c>
      <c r="H998" s="33">
        <f>COUNTIFS(Demand!$A$2:$A$4481,A998,Demand!$B$2:$B$4481,B998,Demand!$C$2:$C$4481,C998)</f>
        <v>1</v>
      </c>
    </row>
    <row r="999">
      <c r="A999" s="32" t="str">
        <f>Demand!A997</f>
        <v>S003</v>
      </c>
      <c r="B999" s="35">
        <f>Demand!B997</f>
        <v>46269.0</v>
      </c>
      <c r="C999" s="33">
        <f>Demand!C997</f>
        <v>11</v>
      </c>
      <c r="D999" s="33">
        <f>Demand!E997</f>
        <v>47</v>
      </c>
      <c r="E999" s="33">
        <f>IF(Demand!F997,1,0)</f>
        <v>0</v>
      </c>
      <c r="F999" s="33">
        <f>COUNTIFS(c_store,A999,c_date,B999,c_hour,C999)</f>
        <v>0</v>
      </c>
      <c r="G999" s="33">
        <f>IF(F999&gt;0,1,0)</f>
        <v>0</v>
      </c>
      <c r="H999" s="33">
        <f>COUNTIFS(Demand!$A$2:$A$4481,A999,Demand!$B$2:$B$4481,B999,Demand!$C$2:$C$4481,C999)</f>
        <v>1</v>
      </c>
    </row>
    <row r="1000">
      <c r="A1000" s="32" t="str">
        <f>Demand!A998</f>
        <v>S003</v>
      </c>
      <c r="B1000" s="35">
        <f>Demand!B998</f>
        <v>46269.0</v>
      </c>
      <c r="C1000" s="33">
        <f>Demand!C998</f>
        <v>12</v>
      </c>
      <c r="D1000" s="33">
        <f>Demand!E998</f>
        <v>51</v>
      </c>
      <c r="E1000" s="33">
        <f>IF(Demand!F998,1,0)</f>
        <v>0</v>
      </c>
      <c r="F1000" s="33">
        <f>COUNTIFS(c_store,A1000,c_date,B1000,c_hour,C1000)</f>
        <v>1</v>
      </c>
      <c r="G1000" s="33">
        <f>IF(F1000&gt;0,1,0)</f>
        <v>1</v>
      </c>
      <c r="H1000" s="33">
        <f>COUNTIFS(Demand!$A$2:$A$4481,A1000,Demand!$B$2:$B$4481,B1000,Demand!$C$2:$C$4481,C1000)</f>
        <v>1</v>
      </c>
    </row>
    <row r="1001">
      <c r="A1001" s="32" t="str">
        <f>Demand!A999</f>
        <v>S003</v>
      </c>
      <c r="B1001" s="35">
        <f>Demand!B999</f>
        <v>46269.0</v>
      </c>
      <c r="C1001" s="33">
        <f>Demand!C999</f>
        <v>13</v>
      </c>
      <c r="D1001" s="33">
        <f>Demand!E999</f>
        <v>40</v>
      </c>
      <c r="E1001" s="33">
        <f>IF(Demand!F999,1,0)</f>
        <v>0</v>
      </c>
      <c r="F1001" s="33">
        <f>COUNTIFS(c_store,A1001,c_date,B1001,c_hour,C1001)</f>
        <v>0</v>
      </c>
      <c r="G1001" s="33">
        <f>IF(F1001&gt;0,1,0)</f>
        <v>0</v>
      </c>
      <c r="H1001" s="33">
        <f>COUNTIFS(Demand!$A$2:$A$4481,A1001,Demand!$B$2:$B$4481,B1001,Demand!$C$2:$C$4481,C1001)</f>
        <v>1</v>
      </c>
    </row>
    <row r="1002">
      <c r="A1002" s="32" t="str">
        <f>Demand!A1000</f>
        <v>S003</v>
      </c>
      <c r="B1002" s="35">
        <f>Demand!B1000</f>
        <v>46269.0</v>
      </c>
      <c r="C1002" s="33">
        <f>Demand!C1000</f>
        <v>14</v>
      </c>
      <c r="D1002" s="33">
        <f>Demand!E1000</f>
        <v>34</v>
      </c>
      <c r="E1002" s="33">
        <f>IF(Demand!F1000,1,0)</f>
        <v>0</v>
      </c>
      <c r="F1002" s="33">
        <f>COUNTIFS(c_store,A1002,c_date,B1002,c_hour,C1002)</f>
        <v>0</v>
      </c>
      <c r="G1002" s="33">
        <f>IF(F1002&gt;0,1,0)</f>
        <v>0</v>
      </c>
      <c r="H1002" s="33">
        <f>COUNTIFS(Demand!$A$2:$A$4481,A1002,Demand!$B$2:$B$4481,B1002,Demand!$C$2:$C$4481,C1002)</f>
        <v>1</v>
      </c>
    </row>
    <row r="1003">
      <c r="A1003" s="32" t="str">
        <f>Demand!A1001</f>
        <v>S003</v>
      </c>
      <c r="B1003" s="35">
        <f>Demand!B1001</f>
        <v>46269.0</v>
      </c>
      <c r="C1003" s="33">
        <f>Demand!C1001</f>
        <v>15</v>
      </c>
      <c r="D1003" s="33">
        <f>Demand!E1001</f>
        <v>27</v>
      </c>
      <c r="E1003" s="33">
        <f>IF(Demand!F1001,1,0)</f>
        <v>0</v>
      </c>
      <c r="F1003" s="33">
        <f>COUNTIFS(c_store,A1003,c_date,B1003,c_hour,C1003)</f>
        <v>0</v>
      </c>
      <c r="G1003" s="33">
        <f>IF(F1003&gt;0,1,0)</f>
        <v>0</v>
      </c>
      <c r="H1003" s="33">
        <f>COUNTIFS(Demand!$A$2:$A$4481,A1003,Demand!$B$2:$B$4481,B1003,Demand!$C$2:$C$4481,C1003)</f>
        <v>1</v>
      </c>
    </row>
    <row r="1004">
      <c r="A1004" s="32" t="str">
        <f>Demand!A1002</f>
        <v>S003</v>
      </c>
      <c r="B1004" s="35">
        <f>Demand!B1002</f>
        <v>46269.0</v>
      </c>
      <c r="C1004" s="33">
        <f>Demand!C1002</f>
        <v>16</v>
      </c>
      <c r="D1004" s="33">
        <f>Demand!E1002</f>
        <v>32</v>
      </c>
      <c r="E1004" s="33">
        <f>IF(Demand!F1002,1,0)</f>
        <v>0</v>
      </c>
      <c r="F1004" s="33">
        <f>COUNTIFS(c_store,A1004,c_date,B1004,c_hour,C1004)</f>
        <v>0</v>
      </c>
      <c r="G1004" s="33">
        <f>IF(F1004&gt;0,1,0)</f>
        <v>0</v>
      </c>
      <c r="H1004" s="33">
        <f>COUNTIFS(Demand!$A$2:$A$4481,A1004,Demand!$B$2:$B$4481,B1004,Demand!$C$2:$C$4481,C1004)</f>
        <v>1</v>
      </c>
    </row>
    <row r="1005">
      <c r="A1005" s="32" t="str">
        <f>Demand!A1003</f>
        <v>S003</v>
      </c>
      <c r="B1005" s="35">
        <f>Demand!B1003</f>
        <v>46269.0</v>
      </c>
      <c r="C1005" s="33">
        <f>Demand!C1003</f>
        <v>17</v>
      </c>
      <c r="D1005" s="33">
        <f>Demand!E1003</f>
        <v>40</v>
      </c>
      <c r="E1005" s="33">
        <f>IF(Demand!F1003,1,0)</f>
        <v>0</v>
      </c>
      <c r="F1005" s="33">
        <f>COUNTIFS(c_store,A1005,c_date,B1005,c_hour,C1005)</f>
        <v>1</v>
      </c>
      <c r="G1005" s="33">
        <f>IF(F1005&gt;0,1,0)</f>
        <v>1</v>
      </c>
      <c r="H1005" s="33">
        <f>COUNTIFS(Demand!$A$2:$A$4481,A1005,Demand!$B$2:$B$4481,B1005,Demand!$C$2:$C$4481,C1005)</f>
        <v>1</v>
      </c>
    </row>
    <row r="1006">
      <c r="A1006" s="32" t="str">
        <f>Demand!A1004</f>
        <v>S003</v>
      </c>
      <c r="B1006" s="35">
        <f>Demand!B1004</f>
        <v>46269.0</v>
      </c>
      <c r="C1006" s="33">
        <f>Demand!C1004</f>
        <v>18</v>
      </c>
      <c r="D1006" s="33">
        <f>Demand!E1004</f>
        <v>37</v>
      </c>
      <c r="E1006" s="33">
        <f>IF(Demand!F1004,1,0)</f>
        <v>0</v>
      </c>
      <c r="F1006" s="33">
        <f>COUNTIFS(c_store,A1006,c_date,B1006,c_hour,C1006)</f>
        <v>0</v>
      </c>
      <c r="G1006" s="33">
        <f>IF(F1006&gt;0,1,0)</f>
        <v>0</v>
      </c>
      <c r="H1006" s="33">
        <f>COUNTIFS(Demand!$A$2:$A$4481,A1006,Demand!$B$2:$B$4481,B1006,Demand!$C$2:$C$4481,C1006)</f>
        <v>1</v>
      </c>
    </row>
    <row r="1007">
      <c r="A1007" s="32" t="str">
        <f>Demand!A1005</f>
        <v>S003</v>
      </c>
      <c r="B1007" s="35">
        <f>Demand!B1005</f>
        <v>46269.0</v>
      </c>
      <c r="C1007" s="33">
        <f>Demand!C1005</f>
        <v>19</v>
      </c>
      <c r="D1007" s="33">
        <f>Demand!E1005</f>
        <v>54</v>
      </c>
      <c r="E1007" s="33">
        <f>IF(Demand!F1005,1,0)</f>
        <v>1</v>
      </c>
      <c r="F1007" s="33">
        <f>COUNTIFS(c_store,A1007,c_date,B1007,c_hour,C1007)</f>
        <v>0</v>
      </c>
      <c r="G1007" s="33">
        <f>IF(F1007&gt;0,1,0)</f>
        <v>0</v>
      </c>
      <c r="H1007" s="33">
        <f>COUNTIFS(Demand!$A$2:$A$4481,A1007,Demand!$B$2:$B$4481,B1007,Demand!$C$2:$C$4481,C1007)</f>
        <v>1</v>
      </c>
    </row>
    <row r="1008">
      <c r="A1008" s="32" t="str">
        <f>Demand!A1006</f>
        <v>S003</v>
      </c>
      <c r="B1008" s="35">
        <f>Demand!B1006</f>
        <v>46269.0</v>
      </c>
      <c r="C1008" s="33">
        <f>Demand!C1006</f>
        <v>20</v>
      </c>
      <c r="D1008" s="33">
        <f>Demand!E1006</f>
        <v>79</v>
      </c>
      <c r="E1008" s="33">
        <f>IF(Demand!F1006,1,0)</f>
        <v>1</v>
      </c>
      <c r="F1008" s="33">
        <f>COUNTIFS(c_store,A1008,c_date,B1008,c_hour,C1008)</f>
        <v>1</v>
      </c>
      <c r="G1008" s="33">
        <f>IF(F1008&gt;0,1,0)</f>
        <v>1</v>
      </c>
      <c r="H1008" s="33">
        <f>COUNTIFS(Demand!$A$2:$A$4481,A1008,Demand!$B$2:$B$4481,B1008,Demand!$C$2:$C$4481,C1008)</f>
        <v>1</v>
      </c>
    </row>
    <row r="1009">
      <c r="A1009" s="32" t="str">
        <f>Demand!A1007</f>
        <v>S003</v>
      </c>
      <c r="B1009" s="35">
        <f>Demand!B1007</f>
        <v>46269.0</v>
      </c>
      <c r="C1009" s="33">
        <f>Demand!C1007</f>
        <v>21</v>
      </c>
      <c r="D1009" s="33">
        <f>Demand!E1007</f>
        <v>69</v>
      </c>
      <c r="E1009" s="33">
        <f>IF(Demand!F1007,1,0)</f>
        <v>1</v>
      </c>
      <c r="F1009" s="33">
        <f>COUNTIFS(c_store,A1009,c_date,B1009,c_hour,C1009)</f>
        <v>0</v>
      </c>
      <c r="G1009" s="33">
        <f>IF(F1009&gt;0,1,0)</f>
        <v>0</v>
      </c>
      <c r="H1009" s="33">
        <f>COUNTIFS(Demand!$A$2:$A$4481,A1009,Demand!$B$2:$B$4481,B1009,Demand!$C$2:$C$4481,C1009)</f>
        <v>1</v>
      </c>
    </row>
    <row r="1010">
      <c r="A1010" s="32" t="str">
        <f>Demand!A1008</f>
        <v>S003</v>
      </c>
      <c r="B1010" s="35">
        <f>Demand!B1008</f>
        <v>46269.0</v>
      </c>
      <c r="C1010" s="33">
        <f>Demand!C1008</f>
        <v>22</v>
      </c>
      <c r="D1010" s="33">
        <f>Demand!E1008</f>
        <v>36</v>
      </c>
      <c r="E1010" s="33">
        <f>IF(Demand!F1008,1,0)</f>
        <v>0</v>
      </c>
      <c r="F1010" s="33">
        <f>COUNTIFS(c_store,A1010,c_date,B1010,c_hour,C1010)</f>
        <v>1</v>
      </c>
      <c r="G1010" s="33">
        <f>IF(F1010&gt;0,1,0)</f>
        <v>1</v>
      </c>
      <c r="H1010" s="33">
        <f>COUNTIFS(Demand!$A$2:$A$4481,A1010,Demand!$B$2:$B$4481,B1010,Demand!$C$2:$C$4481,C1010)</f>
        <v>1</v>
      </c>
    </row>
    <row r="1011">
      <c r="A1011" s="32" t="str">
        <f>Demand!A1009</f>
        <v>S003</v>
      </c>
      <c r="B1011" s="35">
        <f>Demand!B1009</f>
        <v>46269.0</v>
      </c>
      <c r="C1011" s="33">
        <f>Demand!C1009</f>
        <v>23</v>
      </c>
      <c r="D1011" s="33">
        <f>Demand!E1009</f>
        <v>50</v>
      </c>
      <c r="E1011" s="33">
        <f>IF(Demand!F1009,1,0)</f>
        <v>0</v>
      </c>
      <c r="F1011" s="33">
        <f>COUNTIFS(c_store,A1011,c_date,B1011,c_hour,C1011)</f>
        <v>0</v>
      </c>
      <c r="G1011" s="33">
        <f>IF(F1011&gt;0,1,0)</f>
        <v>0</v>
      </c>
      <c r="H1011" s="33">
        <f>COUNTIFS(Demand!$A$2:$A$4481,A1011,Demand!$B$2:$B$4481,B1011,Demand!$C$2:$C$4481,C1011)</f>
        <v>1</v>
      </c>
    </row>
    <row r="1012">
      <c r="A1012" s="32" t="str">
        <f>Demand!A1010</f>
        <v>S004</v>
      </c>
      <c r="B1012" s="35">
        <f>Demand!B1010</f>
        <v>46269.0</v>
      </c>
      <c r="C1012" s="33">
        <f>Demand!C1010</f>
        <v>8</v>
      </c>
      <c r="D1012" s="33">
        <f>Demand!E1010</f>
        <v>32</v>
      </c>
      <c r="E1012" s="33">
        <f>IF(Demand!F1010,1,0)</f>
        <v>0</v>
      </c>
      <c r="F1012" s="33">
        <f>COUNTIFS(c_store,A1012,c_date,B1012,c_hour,C1012)</f>
        <v>0</v>
      </c>
      <c r="G1012" s="33">
        <f>IF(F1012&gt;0,1,0)</f>
        <v>0</v>
      </c>
      <c r="H1012" s="33">
        <f>COUNTIFS(Demand!$A$2:$A$4481,A1012,Demand!$B$2:$B$4481,B1012,Demand!$C$2:$C$4481,C1012)</f>
        <v>1</v>
      </c>
    </row>
    <row r="1013">
      <c r="A1013" s="32" t="str">
        <f>Demand!A1011</f>
        <v>S004</v>
      </c>
      <c r="B1013" s="35">
        <f>Demand!B1011</f>
        <v>46269.0</v>
      </c>
      <c r="C1013" s="33">
        <f>Demand!C1011</f>
        <v>9</v>
      </c>
      <c r="D1013" s="33">
        <f>Demand!E1011</f>
        <v>36</v>
      </c>
      <c r="E1013" s="33">
        <f>IF(Demand!F1011,1,0)</f>
        <v>0</v>
      </c>
      <c r="F1013" s="33">
        <f>COUNTIFS(c_store,A1013,c_date,B1013,c_hour,C1013)</f>
        <v>1</v>
      </c>
      <c r="G1013" s="33">
        <f>IF(F1013&gt;0,1,0)</f>
        <v>1</v>
      </c>
      <c r="H1013" s="33">
        <f>COUNTIFS(Demand!$A$2:$A$4481,A1013,Demand!$B$2:$B$4481,B1013,Demand!$C$2:$C$4481,C1013)</f>
        <v>1</v>
      </c>
    </row>
    <row r="1014">
      <c r="A1014" s="32" t="str">
        <f>Demand!A1012</f>
        <v>S004</v>
      </c>
      <c r="B1014" s="35">
        <f>Demand!B1012</f>
        <v>46269.0</v>
      </c>
      <c r="C1014" s="33">
        <f>Demand!C1012</f>
        <v>10</v>
      </c>
      <c r="D1014" s="33">
        <f>Demand!E1012</f>
        <v>29</v>
      </c>
      <c r="E1014" s="33">
        <f>IF(Demand!F1012,1,0)</f>
        <v>0</v>
      </c>
      <c r="F1014" s="33">
        <f>COUNTIFS(c_store,A1014,c_date,B1014,c_hour,C1014)</f>
        <v>2</v>
      </c>
      <c r="G1014" s="33">
        <f>IF(F1014&gt;0,1,0)</f>
        <v>1</v>
      </c>
      <c r="H1014" s="33">
        <f>COUNTIFS(Demand!$A$2:$A$4481,A1014,Demand!$B$2:$B$4481,B1014,Demand!$C$2:$C$4481,C1014)</f>
        <v>1</v>
      </c>
    </row>
    <row r="1015">
      <c r="A1015" s="32" t="str">
        <f>Demand!A1013</f>
        <v>S004</v>
      </c>
      <c r="B1015" s="35">
        <f>Demand!B1013</f>
        <v>46269.0</v>
      </c>
      <c r="C1015" s="33">
        <f>Demand!C1013</f>
        <v>11</v>
      </c>
      <c r="D1015" s="33">
        <f>Demand!E1013</f>
        <v>39</v>
      </c>
      <c r="E1015" s="33">
        <f>IF(Demand!F1013,1,0)</f>
        <v>0</v>
      </c>
      <c r="F1015" s="33">
        <f>COUNTIFS(c_store,A1015,c_date,B1015,c_hour,C1015)</f>
        <v>1</v>
      </c>
      <c r="G1015" s="33">
        <f>IF(F1015&gt;0,1,0)</f>
        <v>1</v>
      </c>
      <c r="H1015" s="33">
        <f>COUNTIFS(Demand!$A$2:$A$4481,A1015,Demand!$B$2:$B$4481,B1015,Demand!$C$2:$C$4481,C1015)</f>
        <v>1</v>
      </c>
    </row>
    <row r="1016">
      <c r="A1016" s="32" t="str">
        <f>Demand!A1014</f>
        <v>S004</v>
      </c>
      <c r="B1016" s="35">
        <f>Demand!B1014</f>
        <v>46269.0</v>
      </c>
      <c r="C1016" s="33">
        <f>Demand!C1014</f>
        <v>12</v>
      </c>
      <c r="D1016" s="33">
        <f>Demand!E1014</f>
        <v>49</v>
      </c>
      <c r="E1016" s="33">
        <f>IF(Demand!F1014,1,0)</f>
        <v>0</v>
      </c>
      <c r="F1016" s="33">
        <f>COUNTIFS(c_store,A1016,c_date,B1016,c_hour,C1016)</f>
        <v>0</v>
      </c>
      <c r="G1016" s="33">
        <f>IF(F1016&gt;0,1,0)</f>
        <v>0</v>
      </c>
      <c r="H1016" s="33">
        <f>COUNTIFS(Demand!$A$2:$A$4481,A1016,Demand!$B$2:$B$4481,B1016,Demand!$C$2:$C$4481,C1016)</f>
        <v>1</v>
      </c>
    </row>
    <row r="1017">
      <c r="A1017" s="32" t="str">
        <f>Demand!A1015</f>
        <v>S004</v>
      </c>
      <c r="B1017" s="35">
        <f>Demand!B1015</f>
        <v>46269.0</v>
      </c>
      <c r="C1017" s="33">
        <f>Demand!C1015</f>
        <v>13</v>
      </c>
      <c r="D1017" s="33">
        <f>Demand!E1015</f>
        <v>44</v>
      </c>
      <c r="E1017" s="33">
        <f>IF(Demand!F1015,1,0)</f>
        <v>0</v>
      </c>
      <c r="F1017" s="33">
        <f>COUNTIFS(c_store,A1017,c_date,B1017,c_hour,C1017)</f>
        <v>1</v>
      </c>
      <c r="G1017" s="33">
        <f>IF(F1017&gt;0,1,0)</f>
        <v>1</v>
      </c>
      <c r="H1017" s="33">
        <f>COUNTIFS(Demand!$A$2:$A$4481,A1017,Demand!$B$2:$B$4481,B1017,Demand!$C$2:$C$4481,C1017)</f>
        <v>1</v>
      </c>
    </row>
    <row r="1018">
      <c r="A1018" s="32" t="str">
        <f>Demand!A1016</f>
        <v>S004</v>
      </c>
      <c r="B1018" s="35">
        <f>Demand!B1016</f>
        <v>46269.0</v>
      </c>
      <c r="C1018" s="33">
        <f>Demand!C1016</f>
        <v>14</v>
      </c>
      <c r="D1018" s="33">
        <f>Demand!E1016</f>
        <v>28</v>
      </c>
      <c r="E1018" s="33">
        <f>IF(Demand!F1016,1,0)</f>
        <v>0</v>
      </c>
      <c r="F1018" s="33">
        <f>COUNTIFS(c_store,A1018,c_date,B1018,c_hour,C1018)</f>
        <v>0</v>
      </c>
      <c r="G1018" s="33">
        <f>IF(F1018&gt;0,1,0)</f>
        <v>0</v>
      </c>
      <c r="H1018" s="33">
        <f>COUNTIFS(Demand!$A$2:$A$4481,A1018,Demand!$B$2:$B$4481,B1018,Demand!$C$2:$C$4481,C1018)</f>
        <v>1</v>
      </c>
    </row>
    <row r="1019">
      <c r="A1019" s="32" t="str">
        <f>Demand!A1017</f>
        <v>S004</v>
      </c>
      <c r="B1019" s="35">
        <f>Demand!B1017</f>
        <v>46269.0</v>
      </c>
      <c r="C1019" s="33">
        <f>Demand!C1017</f>
        <v>15</v>
      </c>
      <c r="D1019" s="33">
        <f>Demand!E1017</f>
        <v>35</v>
      </c>
      <c r="E1019" s="33">
        <f>IF(Demand!F1017,1,0)</f>
        <v>0</v>
      </c>
      <c r="F1019" s="33">
        <f>COUNTIFS(c_store,A1019,c_date,B1019,c_hour,C1019)</f>
        <v>0</v>
      </c>
      <c r="G1019" s="33">
        <f>IF(F1019&gt;0,1,0)</f>
        <v>0</v>
      </c>
      <c r="H1019" s="33">
        <f>COUNTIFS(Demand!$A$2:$A$4481,A1019,Demand!$B$2:$B$4481,B1019,Demand!$C$2:$C$4481,C1019)</f>
        <v>1</v>
      </c>
    </row>
    <row r="1020">
      <c r="A1020" s="32" t="str">
        <f>Demand!A1018</f>
        <v>S004</v>
      </c>
      <c r="B1020" s="35">
        <f>Demand!B1018</f>
        <v>46269.0</v>
      </c>
      <c r="C1020" s="33">
        <f>Demand!C1018</f>
        <v>16</v>
      </c>
      <c r="D1020" s="33">
        <f>Demand!E1018</f>
        <v>51</v>
      </c>
      <c r="E1020" s="33">
        <f>IF(Demand!F1018,1,0)</f>
        <v>0</v>
      </c>
      <c r="F1020" s="33">
        <f>COUNTIFS(c_store,A1020,c_date,B1020,c_hour,C1020)</f>
        <v>0</v>
      </c>
      <c r="G1020" s="33">
        <f>IF(F1020&gt;0,1,0)</f>
        <v>0</v>
      </c>
      <c r="H1020" s="33">
        <f>COUNTIFS(Demand!$A$2:$A$4481,A1020,Demand!$B$2:$B$4481,B1020,Demand!$C$2:$C$4481,C1020)</f>
        <v>1</v>
      </c>
    </row>
    <row r="1021">
      <c r="A1021" s="32" t="str">
        <f>Demand!A1019</f>
        <v>S004</v>
      </c>
      <c r="B1021" s="35">
        <f>Demand!B1019</f>
        <v>46269.0</v>
      </c>
      <c r="C1021" s="33">
        <f>Demand!C1019</f>
        <v>17</v>
      </c>
      <c r="D1021" s="33">
        <f>Demand!E1019</f>
        <v>42</v>
      </c>
      <c r="E1021" s="33">
        <f>IF(Demand!F1019,1,0)</f>
        <v>0</v>
      </c>
      <c r="F1021" s="33">
        <f>COUNTIFS(c_store,A1021,c_date,B1021,c_hour,C1021)</f>
        <v>0</v>
      </c>
      <c r="G1021" s="33">
        <f>IF(F1021&gt;0,1,0)</f>
        <v>0</v>
      </c>
      <c r="H1021" s="33">
        <f>COUNTIFS(Demand!$A$2:$A$4481,A1021,Demand!$B$2:$B$4481,B1021,Demand!$C$2:$C$4481,C1021)</f>
        <v>1</v>
      </c>
    </row>
    <row r="1022">
      <c r="A1022" s="32" t="str">
        <f>Demand!A1020</f>
        <v>S004</v>
      </c>
      <c r="B1022" s="35">
        <f>Demand!B1020</f>
        <v>46269.0</v>
      </c>
      <c r="C1022" s="33">
        <f>Demand!C1020</f>
        <v>18</v>
      </c>
      <c r="D1022" s="33">
        <f>Demand!E1020</f>
        <v>41</v>
      </c>
      <c r="E1022" s="33">
        <f>IF(Demand!F1020,1,0)</f>
        <v>0</v>
      </c>
      <c r="F1022" s="33">
        <f>COUNTIFS(c_store,A1022,c_date,B1022,c_hour,C1022)</f>
        <v>0</v>
      </c>
      <c r="G1022" s="33">
        <f>IF(F1022&gt;0,1,0)</f>
        <v>0</v>
      </c>
      <c r="H1022" s="33">
        <f>COUNTIFS(Demand!$A$2:$A$4481,A1022,Demand!$B$2:$B$4481,B1022,Demand!$C$2:$C$4481,C1022)</f>
        <v>1</v>
      </c>
    </row>
    <row r="1023">
      <c r="A1023" s="32" t="str">
        <f>Demand!A1021</f>
        <v>S004</v>
      </c>
      <c r="B1023" s="35">
        <f>Demand!B1021</f>
        <v>46269.0</v>
      </c>
      <c r="C1023" s="33">
        <f>Demand!C1021</f>
        <v>19</v>
      </c>
      <c r="D1023" s="33">
        <f>Demand!E1021</f>
        <v>58</v>
      </c>
      <c r="E1023" s="33">
        <f>IF(Demand!F1021,1,0)</f>
        <v>1</v>
      </c>
      <c r="F1023" s="33">
        <f>COUNTIFS(c_store,A1023,c_date,B1023,c_hour,C1023)</f>
        <v>0</v>
      </c>
      <c r="G1023" s="33">
        <f>IF(F1023&gt;0,1,0)</f>
        <v>0</v>
      </c>
      <c r="H1023" s="33">
        <f>COUNTIFS(Demand!$A$2:$A$4481,A1023,Demand!$B$2:$B$4481,B1023,Demand!$C$2:$C$4481,C1023)</f>
        <v>1</v>
      </c>
    </row>
    <row r="1024">
      <c r="A1024" s="32" t="str">
        <f>Demand!A1022</f>
        <v>S004</v>
      </c>
      <c r="B1024" s="35">
        <f>Demand!B1022</f>
        <v>46269.0</v>
      </c>
      <c r="C1024" s="33">
        <f>Demand!C1022</f>
        <v>20</v>
      </c>
      <c r="D1024" s="33">
        <f>Demand!E1022</f>
        <v>69</v>
      </c>
      <c r="E1024" s="33">
        <f>IF(Demand!F1022,1,0)</f>
        <v>1</v>
      </c>
      <c r="F1024" s="33">
        <f>COUNTIFS(c_store,A1024,c_date,B1024,c_hour,C1024)</f>
        <v>0</v>
      </c>
      <c r="G1024" s="33">
        <f>IF(F1024&gt;0,1,0)</f>
        <v>0</v>
      </c>
      <c r="H1024" s="33">
        <f>COUNTIFS(Demand!$A$2:$A$4481,A1024,Demand!$B$2:$B$4481,B1024,Demand!$C$2:$C$4481,C1024)</f>
        <v>1</v>
      </c>
    </row>
    <row r="1025">
      <c r="A1025" s="32" t="str">
        <f>Demand!A1023</f>
        <v>S004</v>
      </c>
      <c r="B1025" s="35">
        <f>Demand!B1023</f>
        <v>46269.0</v>
      </c>
      <c r="C1025" s="33">
        <f>Demand!C1023</f>
        <v>21</v>
      </c>
      <c r="D1025" s="33">
        <f>Demand!E1023</f>
        <v>54</v>
      </c>
      <c r="E1025" s="33">
        <f>IF(Demand!F1023,1,0)</f>
        <v>1</v>
      </c>
      <c r="F1025" s="33">
        <f>COUNTIFS(c_store,A1025,c_date,B1025,c_hour,C1025)</f>
        <v>0</v>
      </c>
      <c r="G1025" s="33">
        <f>IF(F1025&gt;0,1,0)</f>
        <v>0</v>
      </c>
      <c r="H1025" s="33">
        <f>COUNTIFS(Demand!$A$2:$A$4481,A1025,Demand!$B$2:$B$4481,B1025,Demand!$C$2:$C$4481,C1025)</f>
        <v>1</v>
      </c>
    </row>
    <row r="1026">
      <c r="A1026" s="32" t="str">
        <f>Demand!A1024</f>
        <v>S004</v>
      </c>
      <c r="B1026" s="35">
        <f>Demand!B1024</f>
        <v>46269.0</v>
      </c>
      <c r="C1026" s="33">
        <f>Demand!C1024</f>
        <v>22</v>
      </c>
      <c r="D1026" s="33">
        <f>Demand!E1024</f>
        <v>48</v>
      </c>
      <c r="E1026" s="33">
        <f>IF(Demand!F1024,1,0)</f>
        <v>0</v>
      </c>
      <c r="F1026" s="33">
        <f>COUNTIFS(c_store,A1026,c_date,B1026,c_hour,C1026)</f>
        <v>1</v>
      </c>
      <c r="G1026" s="33">
        <f>IF(F1026&gt;0,1,0)</f>
        <v>1</v>
      </c>
      <c r="H1026" s="33">
        <f>COUNTIFS(Demand!$A$2:$A$4481,A1026,Demand!$B$2:$B$4481,B1026,Demand!$C$2:$C$4481,C1026)</f>
        <v>1</v>
      </c>
    </row>
    <row r="1027">
      <c r="A1027" s="32" t="str">
        <f>Demand!A1025</f>
        <v>S004</v>
      </c>
      <c r="B1027" s="35">
        <f>Demand!B1025</f>
        <v>46269.0</v>
      </c>
      <c r="C1027" s="33">
        <f>Demand!C1025</f>
        <v>23</v>
      </c>
      <c r="D1027" s="33">
        <f>Demand!E1025</f>
        <v>45</v>
      </c>
      <c r="E1027" s="33">
        <f>IF(Demand!F1025,1,0)</f>
        <v>0</v>
      </c>
      <c r="F1027" s="33">
        <f>COUNTIFS(c_store,A1027,c_date,B1027,c_hour,C1027)</f>
        <v>0</v>
      </c>
      <c r="G1027" s="33">
        <f>IF(F1027&gt;0,1,0)</f>
        <v>0</v>
      </c>
      <c r="H1027" s="33">
        <f>COUNTIFS(Demand!$A$2:$A$4481,A1027,Demand!$B$2:$B$4481,B1027,Demand!$C$2:$C$4481,C1027)</f>
        <v>1</v>
      </c>
    </row>
    <row r="1028">
      <c r="A1028" s="32" t="str">
        <f>Demand!A1026</f>
        <v>S005</v>
      </c>
      <c r="B1028" s="35">
        <f>Demand!B1026</f>
        <v>46269.0</v>
      </c>
      <c r="C1028" s="33">
        <f>Demand!C1026</f>
        <v>8</v>
      </c>
      <c r="D1028" s="33">
        <f>Demand!E1026</f>
        <v>10</v>
      </c>
      <c r="E1028" s="33">
        <f>IF(Demand!F1026,1,0)</f>
        <v>0</v>
      </c>
      <c r="F1028" s="33">
        <f>COUNTIFS(c_store,A1028,c_date,B1028,c_hour,C1028)</f>
        <v>1</v>
      </c>
      <c r="G1028" s="33">
        <f>IF(F1028&gt;0,1,0)</f>
        <v>1</v>
      </c>
      <c r="H1028" s="33">
        <f>COUNTIFS(Demand!$A$2:$A$4481,A1028,Demand!$B$2:$B$4481,B1028,Demand!$C$2:$C$4481,C1028)</f>
        <v>1</v>
      </c>
    </row>
    <row r="1029">
      <c r="A1029" s="32" t="str">
        <f>Demand!A1027</f>
        <v>S005</v>
      </c>
      <c r="B1029" s="35">
        <f>Demand!B1027</f>
        <v>46269.0</v>
      </c>
      <c r="C1029" s="33">
        <f>Demand!C1027</f>
        <v>9</v>
      </c>
      <c r="D1029" s="33">
        <f>Demand!E1027</f>
        <v>12</v>
      </c>
      <c r="E1029" s="33">
        <f>IF(Demand!F1027,1,0)</f>
        <v>0</v>
      </c>
      <c r="F1029" s="33">
        <f>COUNTIFS(c_store,A1029,c_date,B1029,c_hour,C1029)</f>
        <v>0</v>
      </c>
      <c r="G1029" s="33">
        <f>IF(F1029&gt;0,1,0)</f>
        <v>0</v>
      </c>
      <c r="H1029" s="33">
        <f>COUNTIFS(Demand!$A$2:$A$4481,A1029,Demand!$B$2:$B$4481,B1029,Demand!$C$2:$C$4481,C1029)</f>
        <v>1</v>
      </c>
    </row>
    <row r="1030">
      <c r="A1030" s="32" t="str">
        <f>Demand!A1028</f>
        <v>S005</v>
      </c>
      <c r="B1030" s="35">
        <f>Demand!B1028</f>
        <v>46269.0</v>
      </c>
      <c r="C1030" s="33">
        <f>Demand!C1028</f>
        <v>10</v>
      </c>
      <c r="D1030" s="33">
        <f>Demand!E1028</f>
        <v>13</v>
      </c>
      <c r="E1030" s="33">
        <f>IF(Demand!F1028,1,0)</f>
        <v>0</v>
      </c>
      <c r="F1030" s="33">
        <f>COUNTIFS(c_store,A1030,c_date,B1030,c_hour,C1030)</f>
        <v>0</v>
      </c>
      <c r="G1030" s="33">
        <f>IF(F1030&gt;0,1,0)</f>
        <v>0</v>
      </c>
      <c r="H1030" s="33">
        <f>COUNTIFS(Demand!$A$2:$A$4481,A1030,Demand!$B$2:$B$4481,B1030,Demand!$C$2:$C$4481,C1030)</f>
        <v>1</v>
      </c>
    </row>
    <row r="1031">
      <c r="A1031" s="32" t="str">
        <f>Demand!A1029</f>
        <v>S005</v>
      </c>
      <c r="B1031" s="35">
        <f>Demand!B1029</f>
        <v>46269.0</v>
      </c>
      <c r="C1031" s="33">
        <f>Demand!C1029</f>
        <v>11</v>
      </c>
      <c r="D1031" s="33">
        <f>Demand!E1029</f>
        <v>22</v>
      </c>
      <c r="E1031" s="33">
        <f>IF(Demand!F1029,1,0)</f>
        <v>0</v>
      </c>
      <c r="F1031" s="33">
        <f>COUNTIFS(c_store,A1031,c_date,B1031,c_hour,C1031)</f>
        <v>0</v>
      </c>
      <c r="G1031" s="33">
        <f>IF(F1031&gt;0,1,0)</f>
        <v>0</v>
      </c>
      <c r="H1031" s="33">
        <f>COUNTIFS(Demand!$A$2:$A$4481,A1031,Demand!$B$2:$B$4481,B1031,Demand!$C$2:$C$4481,C1031)</f>
        <v>1</v>
      </c>
    </row>
    <row r="1032">
      <c r="A1032" s="32" t="str">
        <f>Demand!A1030</f>
        <v>S005</v>
      </c>
      <c r="B1032" s="35">
        <f>Demand!B1030</f>
        <v>46269.0</v>
      </c>
      <c r="C1032" s="33">
        <f>Demand!C1030</f>
        <v>12</v>
      </c>
      <c r="D1032" s="33">
        <f>Demand!E1030</f>
        <v>18</v>
      </c>
      <c r="E1032" s="33">
        <f>IF(Demand!F1030,1,0)</f>
        <v>0</v>
      </c>
      <c r="F1032" s="33">
        <f>COUNTIFS(c_store,A1032,c_date,B1032,c_hour,C1032)</f>
        <v>0</v>
      </c>
      <c r="G1032" s="33">
        <f>IF(F1032&gt;0,1,0)</f>
        <v>0</v>
      </c>
      <c r="H1032" s="33">
        <f>COUNTIFS(Demand!$A$2:$A$4481,A1032,Demand!$B$2:$B$4481,B1032,Demand!$C$2:$C$4481,C1032)</f>
        <v>1</v>
      </c>
    </row>
    <row r="1033">
      <c r="A1033" s="32" t="str">
        <f>Demand!A1031</f>
        <v>S005</v>
      </c>
      <c r="B1033" s="35">
        <f>Demand!B1031</f>
        <v>46269.0</v>
      </c>
      <c r="C1033" s="33">
        <f>Demand!C1031</f>
        <v>13</v>
      </c>
      <c r="D1033" s="33">
        <f>Demand!E1031</f>
        <v>19</v>
      </c>
      <c r="E1033" s="33">
        <f>IF(Demand!F1031,1,0)</f>
        <v>0</v>
      </c>
      <c r="F1033" s="33">
        <f>COUNTIFS(c_store,A1033,c_date,B1033,c_hour,C1033)</f>
        <v>1</v>
      </c>
      <c r="G1033" s="33">
        <f>IF(F1033&gt;0,1,0)</f>
        <v>1</v>
      </c>
      <c r="H1033" s="33">
        <f>COUNTIFS(Demand!$A$2:$A$4481,A1033,Demand!$B$2:$B$4481,B1033,Demand!$C$2:$C$4481,C1033)</f>
        <v>1</v>
      </c>
    </row>
    <row r="1034">
      <c r="A1034" s="32" t="str">
        <f>Demand!A1032</f>
        <v>S005</v>
      </c>
      <c r="B1034" s="35">
        <f>Demand!B1032</f>
        <v>46269.0</v>
      </c>
      <c r="C1034" s="33">
        <f>Demand!C1032</f>
        <v>14</v>
      </c>
      <c r="D1034" s="33">
        <f>Demand!E1032</f>
        <v>12</v>
      </c>
      <c r="E1034" s="33">
        <f>IF(Demand!F1032,1,0)</f>
        <v>0</v>
      </c>
      <c r="F1034" s="33">
        <f>COUNTIFS(c_store,A1034,c_date,B1034,c_hour,C1034)</f>
        <v>0</v>
      </c>
      <c r="G1034" s="33">
        <f>IF(F1034&gt;0,1,0)</f>
        <v>0</v>
      </c>
      <c r="H1034" s="33">
        <f>COUNTIFS(Demand!$A$2:$A$4481,A1034,Demand!$B$2:$B$4481,B1034,Demand!$C$2:$C$4481,C1034)</f>
        <v>1</v>
      </c>
    </row>
    <row r="1035">
      <c r="A1035" s="32" t="str">
        <f>Demand!A1033</f>
        <v>S005</v>
      </c>
      <c r="B1035" s="35">
        <f>Demand!B1033</f>
        <v>46269.0</v>
      </c>
      <c r="C1035" s="33">
        <f>Demand!C1033</f>
        <v>15</v>
      </c>
      <c r="D1035" s="33">
        <f>Demand!E1033</f>
        <v>11</v>
      </c>
      <c r="E1035" s="33">
        <f>IF(Demand!F1033,1,0)</f>
        <v>0</v>
      </c>
      <c r="F1035" s="33">
        <f>COUNTIFS(c_store,A1035,c_date,B1035,c_hour,C1035)</f>
        <v>0</v>
      </c>
      <c r="G1035" s="33">
        <f>IF(F1035&gt;0,1,0)</f>
        <v>0</v>
      </c>
      <c r="H1035" s="33">
        <f>COUNTIFS(Demand!$A$2:$A$4481,A1035,Demand!$B$2:$B$4481,B1035,Demand!$C$2:$C$4481,C1035)</f>
        <v>1</v>
      </c>
    </row>
    <row r="1036">
      <c r="A1036" s="32" t="str">
        <f>Demand!A1034</f>
        <v>S005</v>
      </c>
      <c r="B1036" s="35">
        <f>Demand!B1034</f>
        <v>46269.0</v>
      </c>
      <c r="C1036" s="33">
        <f>Demand!C1034</f>
        <v>16</v>
      </c>
      <c r="D1036" s="33">
        <f>Demand!E1034</f>
        <v>17</v>
      </c>
      <c r="E1036" s="33">
        <f>IF(Demand!F1034,1,0)</f>
        <v>0</v>
      </c>
      <c r="F1036" s="33">
        <f>COUNTIFS(c_store,A1036,c_date,B1036,c_hour,C1036)</f>
        <v>0</v>
      </c>
      <c r="G1036" s="33">
        <f>IF(F1036&gt;0,1,0)</f>
        <v>0</v>
      </c>
      <c r="H1036" s="33">
        <f>COUNTIFS(Demand!$A$2:$A$4481,A1036,Demand!$B$2:$B$4481,B1036,Demand!$C$2:$C$4481,C1036)</f>
        <v>1</v>
      </c>
    </row>
    <row r="1037">
      <c r="A1037" s="32" t="str">
        <f>Demand!A1035</f>
        <v>S005</v>
      </c>
      <c r="B1037" s="35">
        <f>Demand!B1035</f>
        <v>46269.0</v>
      </c>
      <c r="C1037" s="33">
        <f>Demand!C1035</f>
        <v>17</v>
      </c>
      <c r="D1037" s="33">
        <f>Demand!E1035</f>
        <v>18</v>
      </c>
      <c r="E1037" s="33">
        <f>IF(Demand!F1035,1,0)</f>
        <v>0</v>
      </c>
      <c r="F1037" s="33">
        <f>COUNTIFS(c_store,A1037,c_date,B1037,c_hour,C1037)</f>
        <v>0</v>
      </c>
      <c r="G1037" s="33">
        <f>IF(F1037&gt;0,1,0)</f>
        <v>0</v>
      </c>
      <c r="H1037" s="33">
        <f>COUNTIFS(Demand!$A$2:$A$4481,A1037,Demand!$B$2:$B$4481,B1037,Demand!$C$2:$C$4481,C1037)</f>
        <v>1</v>
      </c>
    </row>
    <row r="1038">
      <c r="A1038" s="32" t="str">
        <f>Demand!A1036</f>
        <v>S005</v>
      </c>
      <c r="B1038" s="35">
        <f>Demand!B1036</f>
        <v>46269.0</v>
      </c>
      <c r="C1038" s="33">
        <f>Demand!C1036</f>
        <v>18</v>
      </c>
      <c r="D1038" s="33">
        <f>Demand!E1036</f>
        <v>11</v>
      </c>
      <c r="E1038" s="33">
        <f>IF(Demand!F1036,1,0)</f>
        <v>0</v>
      </c>
      <c r="F1038" s="33">
        <f>COUNTIFS(c_store,A1038,c_date,B1038,c_hour,C1038)</f>
        <v>0</v>
      </c>
      <c r="G1038" s="33">
        <f>IF(F1038&gt;0,1,0)</f>
        <v>0</v>
      </c>
      <c r="H1038" s="33">
        <f>COUNTIFS(Demand!$A$2:$A$4481,A1038,Demand!$B$2:$B$4481,B1038,Demand!$C$2:$C$4481,C1038)</f>
        <v>1</v>
      </c>
    </row>
    <row r="1039">
      <c r="A1039" s="32" t="str">
        <f>Demand!A1037</f>
        <v>S005</v>
      </c>
      <c r="B1039" s="35">
        <f>Demand!B1037</f>
        <v>46269.0</v>
      </c>
      <c r="C1039" s="33">
        <f>Demand!C1037</f>
        <v>19</v>
      </c>
      <c r="D1039" s="33">
        <f>Demand!E1037</f>
        <v>21</v>
      </c>
      <c r="E1039" s="33">
        <f>IF(Demand!F1037,1,0)</f>
        <v>1</v>
      </c>
      <c r="F1039" s="33">
        <f>COUNTIFS(c_store,A1039,c_date,B1039,c_hour,C1039)</f>
        <v>0</v>
      </c>
      <c r="G1039" s="33">
        <f>IF(F1039&gt;0,1,0)</f>
        <v>0</v>
      </c>
      <c r="H1039" s="33">
        <f>COUNTIFS(Demand!$A$2:$A$4481,A1039,Demand!$B$2:$B$4481,B1039,Demand!$C$2:$C$4481,C1039)</f>
        <v>1</v>
      </c>
    </row>
    <row r="1040">
      <c r="A1040" s="32" t="str">
        <f>Demand!A1038</f>
        <v>S005</v>
      </c>
      <c r="B1040" s="35">
        <f>Demand!B1038</f>
        <v>46269.0</v>
      </c>
      <c r="C1040" s="33">
        <f>Demand!C1038</f>
        <v>20</v>
      </c>
      <c r="D1040" s="33">
        <f>Demand!E1038</f>
        <v>23</v>
      </c>
      <c r="E1040" s="33">
        <f>IF(Demand!F1038,1,0)</f>
        <v>1</v>
      </c>
      <c r="F1040" s="33">
        <f>COUNTIFS(c_store,A1040,c_date,B1040,c_hour,C1040)</f>
        <v>1</v>
      </c>
      <c r="G1040" s="33">
        <f>IF(F1040&gt;0,1,0)</f>
        <v>1</v>
      </c>
      <c r="H1040" s="33">
        <f>COUNTIFS(Demand!$A$2:$A$4481,A1040,Demand!$B$2:$B$4481,B1040,Demand!$C$2:$C$4481,C1040)</f>
        <v>1</v>
      </c>
    </row>
    <row r="1041">
      <c r="A1041" s="32" t="str">
        <f>Demand!A1039</f>
        <v>S005</v>
      </c>
      <c r="B1041" s="35">
        <f>Demand!B1039</f>
        <v>46269.0</v>
      </c>
      <c r="C1041" s="33">
        <f>Demand!C1039</f>
        <v>21</v>
      </c>
      <c r="D1041" s="33">
        <f>Demand!E1039</f>
        <v>26</v>
      </c>
      <c r="E1041" s="33">
        <f>IF(Demand!F1039,1,0)</f>
        <v>1</v>
      </c>
      <c r="F1041" s="33">
        <f>COUNTIFS(c_store,A1041,c_date,B1041,c_hour,C1041)</f>
        <v>1</v>
      </c>
      <c r="G1041" s="33">
        <f>IF(F1041&gt;0,1,0)</f>
        <v>1</v>
      </c>
      <c r="H1041" s="33">
        <f>COUNTIFS(Demand!$A$2:$A$4481,A1041,Demand!$B$2:$B$4481,B1041,Demand!$C$2:$C$4481,C1041)</f>
        <v>1</v>
      </c>
    </row>
    <row r="1042">
      <c r="A1042" s="32" t="str">
        <f>Demand!A1040</f>
        <v>S005</v>
      </c>
      <c r="B1042" s="35">
        <f>Demand!B1040</f>
        <v>46269.0</v>
      </c>
      <c r="C1042" s="33">
        <f>Demand!C1040</f>
        <v>22</v>
      </c>
      <c r="D1042" s="33">
        <f>Demand!E1040</f>
        <v>16</v>
      </c>
      <c r="E1042" s="33">
        <f>IF(Demand!F1040,1,0)</f>
        <v>0</v>
      </c>
      <c r="F1042" s="33">
        <f>COUNTIFS(c_store,A1042,c_date,B1042,c_hour,C1042)</f>
        <v>0</v>
      </c>
      <c r="G1042" s="33">
        <f>IF(F1042&gt;0,1,0)</f>
        <v>0</v>
      </c>
      <c r="H1042" s="33">
        <f>COUNTIFS(Demand!$A$2:$A$4481,A1042,Demand!$B$2:$B$4481,B1042,Demand!$C$2:$C$4481,C1042)</f>
        <v>1</v>
      </c>
    </row>
    <row r="1043">
      <c r="A1043" s="32" t="str">
        <f>Demand!A1041</f>
        <v>S005</v>
      </c>
      <c r="B1043" s="35">
        <f>Demand!B1041</f>
        <v>46269.0</v>
      </c>
      <c r="C1043" s="33">
        <f>Demand!C1041</f>
        <v>23</v>
      </c>
      <c r="D1043" s="33">
        <f>Demand!E1041</f>
        <v>9</v>
      </c>
      <c r="E1043" s="33">
        <f>IF(Demand!F1041,1,0)</f>
        <v>0</v>
      </c>
      <c r="F1043" s="33">
        <f>COUNTIFS(c_store,A1043,c_date,B1043,c_hour,C1043)</f>
        <v>0</v>
      </c>
      <c r="G1043" s="33">
        <f>IF(F1043&gt;0,1,0)</f>
        <v>0</v>
      </c>
      <c r="H1043" s="33">
        <f>COUNTIFS(Demand!$A$2:$A$4481,A1043,Demand!$B$2:$B$4481,B1043,Demand!$C$2:$C$4481,C1043)</f>
        <v>1</v>
      </c>
    </row>
    <row r="1044">
      <c r="A1044" s="32" t="str">
        <f>Demand!A1042</f>
        <v>S006</v>
      </c>
      <c r="B1044" s="35">
        <f>Demand!B1042</f>
        <v>46269.0</v>
      </c>
      <c r="C1044" s="33">
        <f>Demand!C1042</f>
        <v>8</v>
      </c>
      <c r="D1044" s="33">
        <f>Demand!E1042</f>
        <v>22</v>
      </c>
      <c r="E1044" s="33">
        <f>IF(Demand!F1042,1,0)</f>
        <v>0</v>
      </c>
      <c r="F1044" s="33">
        <f>COUNTIFS(c_store,A1044,c_date,B1044,c_hour,C1044)</f>
        <v>0</v>
      </c>
      <c r="G1044" s="33">
        <f>IF(F1044&gt;0,1,0)</f>
        <v>0</v>
      </c>
      <c r="H1044" s="33">
        <f>COUNTIFS(Demand!$A$2:$A$4481,A1044,Demand!$B$2:$B$4481,B1044,Demand!$C$2:$C$4481,C1044)</f>
        <v>1</v>
      </c>
    </row>
    <row r="1045">
      <c r="A1045" s="32" t="str">
        <f>Demand!A1043</f>
        <v>S006</v>
      </c>
      <c r="B1045" s="35">
        <f>Demand!B1043</f>
        <v>46269.0</v>
      </c>
      <c r="C1045" s="33">
        <f>Demand!C1043</f>
        <v>9</v>
      </c>
      <c r="D1045" s="33">
        <f>Demand!E1043</f>
        <v>18</v>
      </c>
      <c r="E1045" s="33">
        <f>IF(Demand!F1043,1,0)</f>
        <v>0</v>
      </c>
      <c r="F1045" s="33">
        <f>COUNTIFS(c_store,A1045,c_date,B1045,c_hour,C1045)</f>
        <v>0</v>
      </c>
      <c r="G1045" s="33">
        <f>IF(F1045&gt;0,1,0)</f>
        <v>0</v>
      </c>
      <c r="H1045" s="33">
        <f>COUNTIFS(Demand!$A$2:$A$4481,A1045,Demand!$B$2:$B$4481,B1045,Demand!$C$2:$C$4481,C1045)</f>
        <v>1</v>
      </c>
    </row>
    <row r="1046">
      <c r="A1046" s="32" t="str">
        <f>Demand!A1044</f>
        <v>S006</v>
      </c>
      <c r="B1046" s="35">
        <f>Demand!B1044</f>
        <v>46269.0</v>
      </c>
      <c r="C1046" s="33">
        <f>Demand!C1044</f>
        <v>10</v>
      </c>
      <c r="D1046" s="33">
        <f>Demand!E1044</f>
        <v>13</v>
      </c>
      <c r="E1046" s="33">
        <f>IF(Demand!F1044,1,0)</f>
        <v>0</v>
      </c>
      <c r="F1046" s="33">
        <f>COUNTIFS(c_store,A1046,c_date,B1046,c_hour,C1046)</f>
        <v>2</v>
      </c>
      <c r="G1046" s="33">
        <f>IF(F1046&gt;0,1,0)</f>
        <v>1</v>
      </c>
      <c r="H1046" s="33">
        <f>COUNTIFS(Demand!$A$2:$A$4481,A1046,Demand!$B$2:$B$4481,B1046,Demand!$C$2:$C$4481,C1046)</f>
        <v>1</v>
      </c>
    </row>
    <row r="1047">
      <c r="A1047" s="32" t="str">
        <f>Demand!A1045</f>
        <v>S006</v>
      </c>
      <c r="B1047" s="35">
        <f>Demand!B1045</f>
        <v>46269.0</v>
      </c>
      <c r="C1047" s="33">
        <f>Demand!C1045</f>
        <v>11</v>
      </c>
      <c r="D1047" s="33">
        <f>Demand!E1045</f>
        <v>31</v>
      </c>
      <c r="E1047" s="33">
        <f>IF(Demand!F1045,1,0)</f>
        <v>0</v>
      </c>
      <c r="F1047" s="33">
        <f>COUNTIFS(c_store,A1047,c_date,B1047,c_hour,C1047)</f>
        <v>1</v>
      </c>
      <c r="G1047" s="33">
        <f>IF(F1047&gt;0,1,0)</f>
        <v>1</v>
      </c>
      <c r="H1047" s="33">
        <f>COUNTIFS(Demand!$A$2:$A$4481,A1047,Demand!$B$2:$B$4481,B1047,Demand!$C$2:$C$4481,C1047)</f>
        <v>1</v>
      </c>
    </row>
    <row r="1048">
      <c r="A1048" s="32" t="str">
        <f>Demand!A1046</f>
        <v>S006</v>
      </c>
      <c r="B1048" s="35">
        <f>Demand!B1046</f>
        <v>46269.0</v>
      </c>
      <c r="C1048" s="33">
        <f>Demand!C1046</f>
        <v>12</v>
      </c>
      <c r="D1048" s="33">
        <f>Demand!E1046</f>
        <v>26</v>
      </c>
      <c r="E1048" s="33">
        <f>IF(Demand!F1046,1,0)</f>
        <v>0</v>
      </c>
      <c r="F1048" s="33">
        <f>COUNTIFS(c_store,A1048,c_date,B1048,c_hour,C1048)</f>
        <v>0</v>
      </c>
      <c r="G1048" s="33">
        <f>IF(F1048&gt;0,1,0)</f>
        <v>0</v>
      </c>
      <c r="H1048" s="33">
        <f>COUNTIFS(Demand!$A$2:$A$4481,A1048,Demand!$B$2:$B$4481,B1048,Demand!$C$2:$C$4481,C1048)</f>
        <v>1</v>
      </c>
    </row>
    <row r="1049">
      <c r="A1049" s="32" t="str">
        <f>Demand!A1047</f>
        <v>S006</v>
      </c>
      <c r="B1049" s="35">
        <f>Demand!B1047</f>
        <v>46269.0</v>
      </c>
      <c r="C1049" s="33">
        <f>Demand!C1047</f>
        <v>13</v>
      </c>
      <c r="D1049" s="33">
        <f>Demand!E1047</f>
        <v>24</v>
      </c>
      <c r="E1049" s="33">
        <f>IF(Demand!F1047,1,0)</f>
        <v>0</v>
      </c>
      <c r="F1049" s="33">
        <f>COUNTIFS(c_store,A1049,c_date,B1049,c_hour,C1049)</f>
        <v>2</v>
      </c>
      <c r="G1049" s="33">
        <f>IF(F1049&gt;0,1,0)</f>
        <v>1</v>
      </c>
      <c r="H1049" s="33">
        <f>COUNTIFS(Demand!$A$2:$A$4481,A1049,Demand!$B$2:$B$4481,B1049,Demand!$C$2:$C$4481,C1049)</f>
        <v>1</v>
      </c>
    </row>
    <row r="1050">
      <c r="A1050" s="32" t="str">
        <f>Demand!A1048</f>
        <v>S006</v>
      </c>
      <c r="B1050" s="35">
        <f>Demand!B1048</f>
        <v>46269.0</v>
      </c>
      <c r="C1050" s="33">
        <f>Demand!C1048</f>
        <v>14</v>
      </c>
      <c r="D1050" s="33">
        <f>Demand!E1048</f>
        <v>6</v>
      </c>
      <c r="E1050" s="33">
        <f>IF(Demand!F1048,1,0)</f>
        <v>0</v>
      </c>
      <c r="F1050" s="33">
        <f>COUNTIFS(c_store,A1050,c_date,B1050,c_hour,C1050)</f>
        <v>0</v>
      </c>
      <c r="G1050" s="33">
        <f>IF(F1050&gt;0,1,0)</f>
        <v>0</v>
      </c>
      <c r="H1050" s="33">
        <f>COUNTIFS(Demand!$A$2:$A$4481,A1050,Demand!$B$2:$B$4481,B1050,Demand!$C$2:$C$4481,C1050)</f>
        <v>1</v>
      </c>
    </row>
    <row r="1051">
      <c r="A1051" s="32" t="str">
        <f>Demand!A1049</f>
        <v>S006</v>
      </c>
      <c r="B1051" s="35">
        <f>Demand!B1049</f>
        <v>46269.0</v>
      </c>
      <c r="C1051" s="33">
        <f>Demand!C1049</f>
        <v>15</v>
      </c>
      <c r="D1051" s="33">
        <f>Demand!E1049</f>
        <v>23</v>
      </c>
      <c r="E1051" s="33">
        <f>IF(Demand!F1049,1,0)</f>
        <v>0</v>
      </c>
      <c r="F1051" s="33">
        <f>COUNTIFS(c_store,A1051,c_date,B1051,c_hour,C1051)</f>
        <v>1</v>
      </c>
      <c r="G1051" s="33">
        <f>IF(F1051&gt;0,1,0)</f>
        <v>1</v>
      </c>
      <c r="H1051" s="33">
        <f>COUNTIFS(Demand!$A$2:$A$4481,A1051,Demand!$B$2:$B$4481,B1051,Demand!$C$2:$C$4481,C1051)</f>
        <v>1</v>
      </c>
    </row>
    <row r="1052">
      <c r="A1052" s="32" t="str">
        <f>Demand!A1050</f>
        <v>S006</v>
      </c>
      <c r="B1052" s="35">
        <f>Demand!B1050</f>
        <v>46269.0</v>
      </c>
      <c r="C1052" s="33">
        <f>Demand!C1050</f>
        <v>16</v>
      </c>
      <c r="D1052" s="33">
        <f>Demand!E1050</f>
        <v>27</v>
      </c>
      <c r="E1052" s="33">
        <f>IF(Demand!F1050,1,0)</f>
        <v>0</v>
      </c>
      <c r="F1052" s="33">
        <f>COUNTIFS(c_store,A1052,c_date,B1052,c_hour,C1052)</f>
        <v>0</v>
      </c>
      <c r="G1052" s="33">
        <f>IF(F1052&gt;0,1,0)</f>
        <v>0</v>
      </c>
      <c r="H1052" s="33">
        <f>COUNTIFS(Demand!$A$2:$A$4481,A1052,Demand!$B$2:$B$4481,B1052,Demand!$C$2:$C$4481,C1052)</f>
        <v>1</v>
      </c>
    </row>
    <row r="1053">
      <c r="A1053" s="32" t="str">
        <f>Demand!A1051</f>
        <v>S006</v>
      </c>
      <c r="B1053" s="35">
        <f>Demand!B1051</f>
        <v>46269.0</v>
      </c>
      <c r="C1053" s="33">
        <f>Demand!C1051</f>
        <v>17</v>
      </c>
      <c r="D1053" s="33">
        <f>Demand!E1051</f>
        <v>25</v>
      </c>
      <c r="E1053" s="33">
        <f>IF(Demand!F1051,1,0)</f>
        <v>0</v>
      </c>
      <c r="F1053" s="33">
        <f>COUNTIFS(c_store,A1053,c_date,B1053,c_hour,C1053)</f>
        <v>0</v>
      </c>
      <c r="G1053" s="33">
        <f>IF(F1053&gt;0,1,0)</f>
        <v>0</v>
      </c>
      <c r="H1053" s="33">
        <f>COUNTIFS(Demand!$A$2:$A$4481,A1053,Demand!$B$2:$B$4481,B1053,Demand!$C$2:$C$4481,C1053)</f>
        <v>1</v>
      </c>
    </row>
    <row r="1054">
      <c r="A1054" s="32" t="str">
        <f>Demand!A1052</f>
        <v>S006</v>
      </c>
      <c r="B1054" s="35">
        <f>Demand!B1052</f>
        <v>46269.0</v>
      </c>
      <c r="C1054" s="33">
        <f>Demand!C1052</f>
        <v>18</v>
      </c>
      <c r="D1054" s="33">
        <f>Demand!E1052</f>
        <v>35</v>
      </c>
      <c r="E1054" s="33">
        <f>IF(Demand!F1052,1,0)</f>
        <v>0</v>
      </c>
      <c r="F1054" s="33">
        <f>COUNTIFS(c_store,A1054,c_date,B1054,c_hour,C1054)</f>
        <v>0</v>
      </c>
      <c r="G1054" s="33">
        <f>IF(F1054&gt;0,1,0)</f>
        <v>0</v>
      </c>
      <c r="H1054" s="33">
        <f>COUNTIFS(Demand!$A$2:$A$4481,A1054,Demand!$B$2:$B$4481,B1054,Demand!$C$2:$C$4481,C1054)</f>
        <v>1</v>
      </c>
    </row>
    <row r="1055">
      <c r="A1055" s="32" t="str">
        <f>Demand!A1053</f>
        <v>S006</v>
      </c>
      <c r="B1055" s="35">
        <f>Demand!B1053</f>
        <v>46269.0</v>
      </c>
      <c r="C1055" s="33">
        <f>Demand!C1053</f>
        <v>19</v>
      </c>
      <c r="D1055" s="33">
        <f>Demand!E1053</f>
        <v>48</v>
      </c>
      <c r="E1055" s="33">
        <f>IF(Demand!F1053,1,0)</f>
        <v>1</v>
      </c>
      <c r="F1055" s="33">
        <f>COUNTIFS(c_store,A1055,c_date,B1055,c_hour,C1055)</f>
        <v>0</v>
      </c>
      <c r="G1055" s="33">
        <f>IF(F1055&gt;0,1,0)</f>
        <v>0</v>
      </c>
      <c r="H1055" s="33">
        <f>COUNTIFS(Demand!$A$2:$A$4481,A1055,Demand!$B$2:$B$4481,B1055,Demand!$C$2:$C$4481,C1055)</f>
        <v>1</v>
      </c>
    </row>
    <row r="1056">
      <c r="A1056" s="32" t="str">
        <f>Demand!A1054</f>
        <v>S006</v>
      </c>
      <c r="B1056" s="35">
        <f>Demand!B1054</f>
        <v>46269.0</v>
      </c>
      <c r="C1056" s="33">
        <f>Demand!C1054</f>
        <v>20</v>
      </c>
      <c r="D1056" s="33">
        <f>Demand!E1054</f>
        <v>35</v>
      </c>
      <c r="E1056" s="33">
        <f>IF(Demand!F1054,1,0)</f>
        <v>1</v>
      </c>
      <c r="F1056" s="33">
        <f>COUNTIFS(c_store,A1056,c_date,B1056,c_hour,C1056)</f>
        <v>0</v>
      </c>
      <c r="G1056" s="33">
        <f>IF(F1056&gt;0,1,0)</f>
        <v>0</v>
      </c>
      <c r="H1056" s="33">
        <f>COUNTIFS(Demand!$A$2:$A$4481,A1056,Demand!$B$2:$B$4481,B1056,Demand!$C$2:$C$4481,C1056)</f>
        <v>1</v>
      </c>
    </row>
    <row r="1057">
      <c r="A1057" s="32" t="str">
        <f>Demand!A1055</f>
        <v>S006</v>
      </c>
      <c r="B1057" s="35">
        <f>Demand!B1055</f>
        <v>46269.0</v>
      </c>
      <c r="C1057" s="33">
        <f>Demand!C1055</f>
        <v>21</v>
      </c>
      <c r="D1057" s="33">
        <f>Demand!E1055</f>
        <v>43</v>
      </c>
      <c r="E1057" s="33">
        <f>IF(Demand!F1055,1,0)</f>
        <v>1</v>
      </c>
      <c r="F1057" s="33">
        <f>COUNTIFS(c_store,A1057,c_date,B1057,c_hour,C1057)</f>
        <v>0</v>
      </c>
      <c r="G1057" s="33">
        <f>IF(F1057&gt;0,1,0)</f>
        <v>0</v>
      </c>
      <c r="H1057" s="33">
        <f>COUNTIFS(Demand!$A$2:$A$4481,A1057,Demand!$B$2:$B$4481,B1057,Demand!$C$2:$C$4481,C1057)</f>
        <v>1</v>
      </c>
    </row>
    <row r="1058">
      <c r="A1058" s="32" t="str">
        <f>Demand!A1056</f>
        <v>S006</v>
      </c>
      <c r="B1058" s="35">
        <f>Demand!B1056</f>
        <v>46269.0</v>
      </c>
      <c r="C1058" s="33">
        <f>Demand!C1056</f>
        <v>22</v>
      </c>
      <c r="D1058" s="33">
        <f>Demand!E1056</f>
        <v>23</v>
      </c>
      <c r="E1058" s="33">
        <f>IF(Demand!F1056,1,0)</f>
        <v>0</v>
      </c>
      <c r="F1058" s="33">
        <f>COUNTIFS(c_store,A1058,c_date,B1058,c_hour,C1058)</f>
        <v>0</v>
      </c>
      <c r="G1058" s="33">
        <f>IF(F1058&gt;0,1,0)</f>
        <v>0</v>
      </c>
      <c r="H1058" s="33">
        <f>COUNTIFS(Demand!$A$2:$A$4481,A1058,Demand!$B$2:$B$4481,B1058,Demand!$C$2:$C$4481,C1058)</f>
        <v>1</v>
      </c>
    </row>
    <row r="1059">
      <c r="A1059" s="32" t="str">
        <f>Demand!A1057</f>
        <v>S006</v>
      </c>
      <c r="B1059" s="35">
        <f>Demand!B1057</f>
        <v>46269.0</v>
      </c>
      <c r="C1059" s="33">
        <f>Demand!C1057</f>
        <v>23</v>
      </c>
      <c r="D1059" s="33">
        <f>Demand!E1057</f>
        <v>26</v>
      </c>
      <c r="E1059" s="33">
        <f>IF(Demand!F1057,1,0)</f>
        <v>0</v>
      </c>
      <c r="F1059" s="33">
        <f>COUNTIFS(c_store,A1059,c_date,B1059,c_hour,C1059)</f>
        <v>0</v>
      </c>
      <c r="G1059" s="33">
        <f>IF(F1059&gt;0,1,0)</f>
        <v>0</v>
      </c>
      <c r="H1059" s="33">
        <f>COUNTIFS(Demand!$A$2:$A$4481,A1059,Demand!$B$2:$B$4481,B1059,Demand!$C$2:$C$4481,C1059)</f>
        <v>1</v>
      </c>
    </row>
    <row r="1060">
      <c r="A1060" s="32" t="str">
        <f>Demand!A1058</f>
        <v>S007</v>
      </c>
      <c r="B1060" s="35">
        <f>Demand!B1058</f>
        <v>46269.0</v>
      </c>
      <c r="C1060" s="33">
        <f>Demand!C1058</f>
        <v>8</v>
      </c>
      <c r="D1060" s="33">
        <f>Demand!E1058</f>
        <v>30</v>
      </c>
      <c r="E1060" s="33">
        <f>IF(Demand!F1058,1,0)</f>
        <v>0</v>
      </c>
      <c r="F1060" s="33">
        <f>COUNTIFS(c_store,A1060,c_date,B1060,c_hour,C1060)</f>
        <v>0</v>
      </c>
      <c r="G1060" s="33">
        <f>IF(F1060&gt;0,1,0)</f>
        <v>0</v>
      </c>
      <c r="H1060" s="33">
        <f>COUNTIFS(Demand!$A$2:$A$4481,A1060,Demand!$B$2:$B$4481,B1060,Demand!$C$2:$C$4481,C1060)</f>
        <v>1</v>
      </c>
    </row>
    <row r="1061">
      <c r="A1061" s="32" t="str">
        <f>Demand!A1059</f>
        <v>S007</v>
      </c>
      <c r="B1061" s="35">
        <f>Demand!B1059</f>
        <v>46269.0</v>
      </c>
      <c r="C1061" s="33">
        <f>Demand!C1059</f>
        <v>9</v>
      </c>
      <c r="D1061" s="33">
        <f>Demand!E1059</f>
        <v>27</v>
      </c>
      <c r="E1061" s="33">
        <f>IF(Demand!F1059,1,0)</f>
        <v>0</v>
      </c>
      <c r="F1061" s="33">
        <f>COUNTIFS(c_store,A1061,c_date,B1061,c_hour,C1061)</f>
        <v>0</v>
      </c>
      <c r="G1061" s="33">
        <f>IF(F1061&gt;0,1,0)</f>
        <v>0</v>
      </c>
      <c r="H1061" s="33">
        <f>COUNTIFS(Demand!$A$2:$A$4481,A1061,Demand!$B$2:$B$4481,B1061,Demand!$C$2:$C$4481,C1061)</f>
        <v>1</v>
      </c>
    </row>
    <row r="1062">
      <c r="A1062" s="32" t="str">
        <f>Demand!A1060</f>
        <v>S007</v>
      </c>
      <c r="B1062" s="35">
        <f>Demand!B1060</f>
        <v>46269.0</v>
      </c>
      <c r="C1062" s="33">
        <f>Demand!C1060</f>
        <v>10</v>
      </c>
      <c r="D1062" s="33">
        <f>Demand!E1060</f>
        <v>25</v>
      </c>
      <c r="E1062" s="33">
        <f>IF(Demand!F1060,1,0)</f>
        <v>0</v>
      </c>
      <c r="F1062" s="33">
        <f>COUNTIFS(c_store,A1062,c_date,B1062,c_hour,C1062)</f>
        <v>0</v>
      </c>
      <c r="G1062" s="33">
        <f>IF(F1062&gt;0,1,0)</f>
        <v>0</v>
      </c>
      <c r="H1062" s="33">
        <f>COUNTIFS(Demand!$A$2:$A$4481,A1062,Demand!$B$2:$B$4481,B1062,Demand!$C$2:$C$4481,C1062)</f>
        <v>1</v>
      </c>
    </row>
    <row r="1063">
      <c r="A1063" s="32" t="str">
        <f>Demand!A1061</f>
        <v>S007</v>
      </c>
      <c r="B1063" s="35">
        <f>Demand!B1061</f>
        <v>46269.0</v>
      </c>
      <c r="C1063" s="33">
        <f>Demand!C1061</f>
        <v>11</v>
      </c>
      <c r="D1063" s="33">
        <f>Demand!E1061</f>
        <v>40</v>
      </c>
      <c r="E1063" s="33">
        <f>IF(Demand!F1061,1,0)</f>
        <v>0</v>
      </c>
      <c r="F1063" s="33">
        <f>COUNTIFS(c_store,A1063,c_date,B1063,c_hour,C1063)</f>
        <v>0</v>
      </c>
      <c r="G1063" s="33">
        <f>IF(F1063&gt;0,1,0)</f>
        <v>0</v>
      </c>
      <c r="H1063" s="33">
        <f>COUNTIFS(Demand!$A$2:$A$4481,A1063,Demand!$B$2:$B$4481,B1063,Demand!$C$2:$C$4481,C1063)</f>
        <v>1</v>
      </c>
    </row>
    <row r="1064">
      <c r="A1064" s="32" t="str">
        <f>Demand!A1062</f>
        <v>S007</v>
      </c>
      <c r="B1064" s="35">
        <f>Demand!B1062</f>
        <v>46269.0</v>
      </c>
      <c r="C1064" s="33">
        <f>Demand!C1062</f>
        <v>12</v>
      </c>
      <c r="D1064" s="33">
        <f>Demand!E1062</f>
        <v>37</v>
      </c>
      <c r="E1064" s="33">
        <f>IF(Demand!F1062,1,0)</f>
        <v>0</v>
      </c>
      <c r="F1064" s="33">
        <f>COUNTIFS(c_store,A1064,c_date,B1064,c_hour,C1064)</f>
        <v>0</v>
      </c>
      <c r="G1064" s="33">
        <f>IF(F1064&gt;0,1,0)</f>
        <v>0</v>
      </c>
      <c r="H1064" s="33">
        <f>COUNTIFS(Demand!$A$2:$A$4481,A1064,Demand!$B$2:$B$4481,B1064,Demand!$C$2:$C$4481,C1064)</f>
        <v>1</v>
      </c>
    </row>
    <row r="1065">
      <c r="A1065" s="32" t="str">
        <f>Demand!A1063</f>
        <v>S007</v>
      </c>
      <c r="B1065" s="35">
        <f>Demand!B1063</f>
        <v>46269.0</v>
      </c>
      <c r="C1065" s="33">
        <f>Demand!C1063</f>
        <v>13</v>
      </c>
      <c r="D1065" s="33">
        <f>Demand!E1063</f>
        <v>42</v>
      </c>
      <c r="E1065" s="33">
        <f>IF(Demand!F1063,1,0)</f>
        <v>0</v>
      </c>
      <c r="F1065" s="33">
        <f>COUNTIFS(c_store,A1065,c_date,B1065,c_hour,C1065)</f>
        <v>3</v>
      </c>
      <c r="G1065" s="33">
        <f>IF(F1065&gt;0,1,0)</f>
        <v>1</v>
      </c>
      <c r="H1065" s="33">
        <f>COUNTIFS(Demand!$A$2:$A$4481,A1065,Demand!$B$2:$B$4481,B1065,Demand!$C$2:$C$4481,C1065)</f>
        <v>1</v>
      </c>
    </row>
    <row r="1066">
      <c r="A1066" s="32" t="str">
        <f>Demand!A1064</f>
        <v>S007</v>
      </c>
      <c r="B1066" s="35">
        <f>Demand!B1064</f>
        <v>46269.0</v>
      </c>
      <c r="C1066" s="33">
        <f>Demand!C1064</f>
        <v>14</v>
      </c>
      <c r="D1066" s="33">
        <f>Demand!E1064</f>
        <v>30</v>
      </c>
      <c r="E1066" s="33">
        <f>IF(Demand!F1064,1,0)</f>
        <v>0</v>
      </c>
      <c r="F1066" s="33">
        <f>COUNTIFS(c_store,A1066,c_date,B1066,c_hour,C1066)</f>
        <v>1</v>
      </c>
      <c r="G1066" s="33">
        <f>IF(F1066&gt;0,1,0)</f>
        <v>1</v>
      </c>
      <c r="H1066" s="33">
        <f>COUNTIFS(Demand!$A$2:$A$4481,A1066,Demand!$B$2:$B$4481,B1066,Demand!$C$2:$C$4481,C1066)</f>
        <v>1</v>
      </c>
    </row>
    <row r="1067">
      <c r="A1067" s="32" t="str">
        <f>Demand!A1065</f>
        <v>S007</v>
      </c>
      <c r="B1067" s="35">
        <f>Demand!B1065</f>
        <v>46269.0</v>
      </c>
      <c r="C1067" s="33">
        <f>Demand!C1065</f>
        <v>15</v>
      </c>
      <c r="D1067" s="33">
        <f>Demand!E1065</f>
        <v>19</v>
      </c>
      <c r="E1067" s="33">
        <f>IF(Demand!F1065,1,0)</f>
        <v>0</v>
      </c>
      <c r="F1067" s="33">
        <f>COUNTIFS(c_store,A1067,c_date,B1067,c_hour,C1067)</f>
        <v>0</v>
      </c>
      <c r="G1067" s="33">
        <f>IF(F1067&gt;0,1,0)</f>
        <v>0</v>
      </c>
      <c r="H1067" s="33">
        <f>COUNTIFS(Demand!$A$2:$A$4481,A1067,Demand!$B$2:$B$4481,B1067,Demand!$C$2:$C$4481,C1067)</f>
        <v>1</v>
      </c>
    </row>
    <row r="1068">
      <c r="A1068" s="32" t="str">
        <f>Demand!A1066</f>
        <v>S007</v>
      </c>
      <c r="B1068" s="35">
        <f>Demand!B1066</f>
        <v>46269.0</v>
      </c>
      <c r="C1068" s="33">
        <f>Demand!C1066</f>
        <v>16</v>
      </c>
      <c r="D1068" s="33">
        <f>Demand!E1066</f>
        <v>36</v>
      </c>
      <c r="E1068" s="33">
        <f>IF(Demand!F1066,1,0)</f>
        <v>0</v>
      </c>
      <c r="F1068" s="33">
        <f>COUNTIFS(c_store,A1068,c_date,B1068,c_hour,C1068)</f>
        <v>0</v>
      </c>
      <c r="G1068" s="33">
        <f>IF(F1068&gt;0,1,0)</f>
        <v>0</v>
      </c>
      <c r="H1068" s="33">
        <f>COUNTIFS(Demand!$A$2:$A$4481,A1068,Demand!$B$2:$B$4481,B1068,Demand!$C$2:$C$4481,C1068)</f>
        <v>1</v>
      </c>
    </row>
    <row r="1069">
      <c r="A1069" s="32" t="str">
        <f>Demand!A1067</f>
        <v>S007</v>
      </c>
      <c r="B1069" s="35">
        <f>Demand!B1067</f>
        <v>46269.0</v>
      </c>
      <c r="C1069" s="33">
        <f>Demand!C1067</f>
        <v>17</v>
      </c>
      <c r="D1069" s="33">
        <f>Demand!E1067</f>
        <v>39</v>
      </c>
      <c r="E1069" s="33">
        <f>IF(Demand!F1067,1,0)</f>
        <v>0</v>
      </c>
      <c r="F1069" s="33">
        <f>COUNTIFS(c_store,A1069,c_date,B1069,c_hour,C1069)</f>
        <v>1</v>
      </c>
      <c r="G1069" s="33">
        <f>IF(F1069&gt;0,1,0)</f>
        <v>1</v>
      </c>
      <c r="H1069" s="33">
        <f>COUNTIFS(Demand!$A$2:$A$4481,A1069,Demand!$B$2:$B$4481,B1069,Demand!$C$2:$C$4481,C1069)</f>
        <v>1</v>
      </c>
    </row>
    <row r="1070">
      <c r="A1070" s="32" t="str">
        <f>Demand!A1068</f>
        <v>S007</v>
      </c>
      <c r="B1070" s="35">
        <f>Demand!B1068</f>
        <v>46269.0</v>
      </c>
      <c r="C1070" s="33">
        <f>Demand!C1068</f>
        <v>18</v>
      </c>
      <c r="D1070" s="33">
        <f>Demand!E1068</f>
        <v>35</v>
      </c>
      <c r="E1070" s="33">
        <f>IF(Demand!F1068,1,0)</f>
        <v>0</v>
      </c>
      <c r="F1070" s="33">
        <f>COUNTIFS(c_store,A1070,c_date,B1070,c_hour,C1070)</f>
        <v>1</v>
      </c>
      <c r="G1070" s="33">
        <f>IF(F1070&gt;0,1,0)</f>
        <v>1</v>
      </c>
      <c r="H1070" s="33">
        <f>COUNTIFS(Demand!$A$2:$A$4481,A1070,Demand!$B$2:$B$4481,B1070,Demand!$C$2:$C$4481,C1070)</f>
        <v>1</v>
      </c>
    </row>
    <row r="1071">
      <c r="A1071" s="32" t="str">
        <f>Demand!A1069</f>
        <v>S007</v>
      </c>
      <c r="B1071" s="35">
        <f>Demand!B1069</f>
        <v>46269.0</v>
      </c>
      <c r="C1071" s="33">
        <f>Demand!C1069</f>
        <v>19</v>
      </c>
      <c r="D1071" s="33">
        <f>Demand!E1069</f>
        <v>52</v>
      </c>
      <c r="E1071" s="33">
        <f>IF(Demand!F1069,1,0)</f>
        <v>1</v>
      </c>
      <c r="F1071" s="33">
        <f>COUNTIFS(c_store,A1071,c_date,B1071,c_hour,C1071)</f>
        <v>0</v>
      </c>
      <c r="G1071" s="33">
        <f>IF(F1071&gt;0,1,0)</f>
        <v>0</v>
      </c>
      <c r="H1071" s="33">
        <f>COUNTIFS(Demand!$A$2:$A$4481,A1071,Demand!$B$2:$B$4481,B1071,Demand!$C$2:$C$4481,C1071)</f>
        <v>1</v>
      </c>
    </row>
    <row r="1072">
      <c r="A1072" s="32" t="str">
        <f>Demand!A1070</f>
        <v>S007</v>
      </c>
      <c r="B1072" s="35">
        <f>Demand!B1070</f>
        <v>46269.0</v>
      </c>
      <c r="C1072" s="33">
        <f>Demand!C1070</f>
        <v>20</v>
      </c>
      <c r="D1072" s="33">
        <f>Demand!E1070</f>
        <v>44</v>
      </c>
      <c r="E1072" s="33">
        <f>IF(Demand!F1070,1,0)</f>
        <v>1</v>
      </c>
      <c r="F1072" s="33">
        <f>COUNTIFS(c_store,A1072,c_date,B1072,c_hour,C1072)</f>
        <v>0</v>
      </c>
      <c r="G1072" s="33">
        <f>IF(F1072&gt;0,1,0)</f>
        <v>0</v>
      </c>
      <c r="H1072" s="33">
        <f>COUNTIFS(Demand!$A$2:$A$4481,A1072,Demand!$B$2:$B$4481,B1072,Demand!$C$2:$C$4481,C1072)</f>
        <v>1</v>
      </c>
    </row>
    <row r="1073">
      <c r="A1073" s="32" t="str">
        <f>Demand!A1071</f>
        <v>S007</v>
      </c>
      <c r="B1073" s="35">
        <f>Demand!B1071</f>
        <v>46269.0</v>
      </c>
      <c r="C1073" s="33">
        <f>Demand!C1071</f>
        <v>21</v>
      </c>
      <c r="D1073" s="33">
        <f>Demand!E1071</f>
        <v>58</v>
      </c>
      <c r="E1073" s="33">
        <f>IF(Demand!F1071,1,0)</f>
        <v>1</v>
      </c>
      <c r="F1073" s="33">
        <f>COUNTIFS(c_store,A1073,c_date,B1073,c_hour,C1073)</f>
        <v>0</v>
      </c>
      <c r="G1073" s="33">
        <f>IF(F1073&gt;0,1,0)</f>
        <v>0</v>
      </c>
      <c r="H1073" s="33">
        <f>COUNTIFS(Demand!$A$2:$A$4481,A1073,Demand!$B$2:$B$4481,B1073,Demand!$C$2:$C$4481,C1073)</f>
        <v>1</v>
      </c>
    </row>
    <row r="1074">
      <c r="A1074" s="32" t="str">
        <f>Demand!A1072</f>
        <v>S007</v>
      </c>
      <c r="B1074" s="35">
        <f>Demand!B1072</f>
        <v>46269.0</v>
      </c>
      <c r="C1074" s="33">
        <f>Demand!C1072</f>
        <v>22</v>
      </c>
      <c r="D1074" s="33">
        <f>Demand!E1072</f>
        <v>45</v>
      </c>
      <c r="E1074" s="33">
        <f>IF(Demand!F1072,1,0)</f>
        <v>0</v>
      </c>
      <c r="F1074" s="33">
        <f>COUNTIFS(c_store,A1074,c_date,B1074,c_hour,C1074)</f>
        <v>1</v>
      </c>
      <c r="G1074" s="33">
        <f>IF(F1074&gt;0,1,0)</f>
        <v>1</v>
      </c>
      <c r="H1074" s="33">
        <f>COUNTIFS(Demand!$A$2:$A$4481,A1074,Demand!$B$2:$B$4481,B1074,Demand!$C$2:$C$4481,C1074)</f>
        <v>1</v>
      </c>
    </row>
    <row r="1075">
      <c r="A1075" s="32" t="str">
        <f>Demand!A1073</f>
        <v>S007</v>
      </c>
      <c r="B1075" s="35">
        <f>Demand!B1073</f>
        <v>46269.0</v>
      </c>
      <c r="C1075" s="33">
        <f>Demand!C1073</f>
        <v>23</v>
      </c>
      <c r="D1075" s="33">
        <f>Demand!E1073</f>
        <v>38</v>
      </c>
      <c r="E1075" s="33">
        <f>IF(Demand!F1073,1,0)</f>
        <v>0</v>
      </c>
      <c r="F1075" s="33">
        <f>COUNTIFS(c_store,A1075,c_date,B1075,c_hour,C1075)</f>
        <v>1</v>
      </c>
      <c r="G1075" s="33">
        <f>IF(F1075&gt;0,1,0)</f>
        <v>1</v>
      </c>
      <c r="H1075" s="33">
        <f>COUNTIFS(Demand!$A$2:$A$4481,A1075,Demand!$B$2:$B$4481,B1075,Demand!$C$2:$C$4481,C1075)</f>
        <v>1</v>
      </c>
    </row>
    <row r="1076">
      <c r="A1076" s="32" t="str">
        <f>Demand!A1074</f>
        <v>S008</v>
      </c>
      <c r="B1076" s="35">
        <f>Demand!B1074</f>
        <v>46269.0</v>
      </c>
      <c r="C1076" s="33">
        <f>Demand!C1074</f>
        <v>8</v>
      </c>
      <c r="D1076" s="33">
        <f>Demand!E1074</f>
        <v>24</v>
      </c>
      <c r="E1076" s="33">
        <f>IF(Demand!F1074,1,0)</f>
        <v>0</v>
      </c>
      <c r="F1076" s="33">
        <f>COUNTIFS(c_store,A1076,c_date,B1076,c_hour,C1076)</f>
        <v>0</v>
      </c>
      <c r="G1076" s="33">
        <f>IF(F1076&gt;0,1,0)</f>
        <v>0</v>
      </c>
      <c r="H1076" s="33">
        <f>COUNTIFS(Demand!$A$2:$A$4481,A1076,Demand!$B$2:$B$4481,B1076,Demand!$C$2:$C$4481,C1076)</f>
        <v>1</v>
      </c>
    </row>
    <row r="1077">
      <c r="A1077" s="32" t="str">
        <f>Demand!A1075</f>
        <v>S008</v>
      </c>
      <c r="B1077" s="35">
        <f>Demand!B1075</f>
        <v>46269.0</v>
      </c>
      <c r="C1077" s="33">
        <f>Demand!C1075</f>
        <v>9</v>
      </c>
      <c r="D1077" s="33">
        <f>Demand!E1075</f>
        <v>17</v>
      </c>
      <c r="E1077" s="33">
        <f>IF(Demand!F1075,1,0)</f>
        <v>0</v>
      </c>
      <c r="F1077" s="33">
        <f>COUNTIFS(c_store,A1077,c_date,B1077,c_hour,C1077)</f>
        <v>0</v>
      </c>
      <c r="G1077" s="33">
        <f>IF(F1077&gt;0,1,0)</f>
        <v>0</v>
      </c>
      <c r="H1077" s="33">
        <f>COUNTIFS(Demand!$A$2:$A$4481,A1077,Demand!$B$2:$B$4481,B1077,Demand!$C$2:$C$4481,C1077)</f>
        <v>1</v>
      </c>
    </row>
    <row r="1078">
      <c r="A1078" s="32" t="str">
        <f>Demand!A1076</f>
        <v>S008</v>
      </c>
      <c r="B1078" s="35">
        <f>Demand!B1076</f>
        <v>46269.0</v>
      </c>
      <c r="C1078" s="33">
        <f>Demand!C1076</f>
        <v>10</v>
      </c>
      <c r="D1078" s="33">
        <f>Demand!E1076</f>
        <v>14</v>
      </c>
      <c r="E1078" s="33">
        <f>IF(Demand!F1076,1,0)</f>
        <v>0</v>
      </c>
      <c r="F1078" s="33">
        <f>COUNTIFS(c_store,A1078,c_date,B1078,c_hour,C1078)</f>
        <v>0</v>
      </c>
      <c r="G1078" s="33">
        <f>IF(F1078&gt;0,1,0)</f>
        <v>0</v>
      </c>
      <c r="H1078" s="33">
        <f>COUNTIFS(Demand!$A$2:$A$4481,A1078,Demand!$B$2:$B$4481,B1078,Demand!$C$2:$C$4481,C1078)</f>
        <v>1</v>
      </c>
    </row>
    <row r="1079">
      <c r="A1079" s="32" t="str">
        <f>Demand!A1077</f>
        <v>S008</v>
      </c>
      <c r="B1079" s="35">
        <f>Demand!B1077</f>
        <v>46269.0</v>
      </c>
      <c r="C1079" s="33">
        <f>Demand!C1077</f>
        <v>11</v>
      </c>
      <c r="D1079" s="33">
        <f>Demand!E1077</f>
        <v>17</v>
      </c>
      <c r="E1079" s="33">
        <f>IF(Demand!F1077,1,0)</f>
        <v>0</v>
      </c>
      <c r="F1079" s="33">
        <f>COUNTIFS(c_store,A1079,c_date,B1079,c_hour,C1079)</f>
        <v>0</v>
      </c>
      <c r="G1079" s="33">
        <f>IF(F1079&gt;0,1,0)</f>
        <v>0</v>
      </c>
      <c r="H1079" s="33">
        <f>COUNTIFS(Demand!$A$2:$A$4481,A1079,Demand!$B$2:$B$4481,B1079,Demand!$C$2:$C$4481,C1079)</f>
        <v>1</v>
      </c>
    </row>
    <row r="1080">
      <c r="A1080" s="32" t="str">
        <f>Demand!A1078</f>
        <v>S008</v>
      </c>
      <c r="B1080" s="35">
        <f>Demand!B1078</f>
        <v>46269.0</v>
      </c>
      <c r="C1080" s="33">
        <f>Demand!C1078</f>
        <v>12</v>
      </c>
      <c r="D1080" s="33">
        <f>Demand!E1078</f>
        <v>16</v>
      </c>
      <c r="E1080" s="33">
        <f>IF(Demand!F1078,1,0)</f>
        <v>0</v>
      </c>
      <c r="F1080" s="33">
        <f>COUNTIFS(c_store,A1080,c_date,B1080,c_hour,C1080)</f>
        <v>0</v>
      </c>
      <c r="G1080" s="33">
        <f>IF(F1080&gt;0,1,0)</f>
        <v>0</v>
      </c>
      <c r="H1080" s="33">
        <f>COUNTIFS(Demand!$A$2:$A$4481,A1080,Demand!$B$2:$B$4481,B1080,Demand!$C$2:$C$4481,C1080)</f>
        <v>1</v>
      </c>
    </row>
    <row r="1081">
      <c r="A1081" s="32" t="str">
        <f>Demand!A1079</f>
        <v>S008</v>
      </c>
      <c r="B1081" s="35">
        <f>Demand!B1079</f>
        <v>46269.0</v>
      </c>
      <c r="C1081" s="33">
        <f>Demand!C1079</f>
        <v>13</v>
      </c>
      <c r="D1081" s="33">
        <f>Demand!E1079</f>
        <v>18</v>
      </c>
      <c r="E1081" s="33">
        <f>IF(Demand!F1079,1,0)</f>
        <v>0</v>
      </c>
      <c r="F1081" s="33">
        <f>COUNTIFS(c_store,A1081,c_date,B1081,c_hour,C1081)</f>
        <v>2</v>
      </c>
      <c r="G1081" s="33">
        <f>IF(F1081&gt;0,1,0)</f>
        <v>1</v>
      </c>
      <c r="H1081" s="33">
        <f>COUNTIFS(Demand!$A$2:$A$4481,A1081,Demand!$B$2:$B$4481,B1081,Demand!$C$2:$C$4481,C1081)</f>
        <v>1</v>
      </c>
    </row>
    <row r="1082">
      <c r="A1082" s="32" t="str">
        <f>Demand!A1080</f>
        <v>S008</v>
      </c>
      <c r="B1082" s="35">
        <f>Demand!B1080</f>
        <v>46269.0</v>
      </c>
      <c r="C1082" s="33">
        <f>Demand!C1080</f>
        <v>14</v>
      </c>
      <c r="D1082" s="33">
        <f>Demand!E1080</f>
        <v>11</v>
      </c>
      <c r="E1082" s="33">
        <f>IF(Demand!F1080,1,0)</f>
        <v>0</v>
      </c>
      <c r="F1082" s="33">
        <f>COUNTIFS(c_store,A1082,c_date,B1082,c_hour,C1082)</f>
        <v>0</v>
      </c>
      <c r="G1082" s="33">
        <f>IF(F1082&gt;0,1,0)</f>
        <v>0</v>
      </c>
      <c r="H1082" s="33">
        <f>COUNTIFS(Demand!$A$2:$A$4481,A1082,Demand!$B$2:$B$4481,B1082,Demand!$C$2:$C$4481,C1082)</f>
        <v>1</v>
      </c>
    </row>
    <row r="1083">
      <c r="A1083" s="32" t="str">
        <f>Demand!A1081</f>
        <v>S008</v>
      </c>
      <c r="B1083" s="35">
        <f>Demand!B1081</f>
        <v>46269.0</v>
      </c>
      <c r="C1083" s="33">
        <f>Demand!C1081</f>
        <v>15</v>
      </c>
      <c r="D1083" s="33">
        <f>Demand!E1081</f>
        <v>22</v>
      </c>
      <c r="E1083" s="33">
        <f>IF(Demand!F1081,1,0)</f>
        <v>0</v>
      </c>
      <c r="F1083" s="33">
        <f>COUNTIFS(c_store,A1083,c_date,B1083,c_hour,C1083)</f>
        <v>0</v>
      </c>
      <c r="G1083" s="33">
        <f>IF(F1083&gt;0,1,0)</f>
        <v>0</v>
      </c>
      <c r="H1083" s="33">
        <f>COUNTIFS(Demand!$A$2:$A$4481,A1083,Demand!$B$2:$B$4481,B1083,Demand!$C$2:$C$4481,C1083)</f>
        <v>1</v>
      </c>
    </row>
    <row r="1084">
      <c r="A1084" s="32" t="str">
        <f>Demand!A1082</f>
        <v>S008</v>
      </c>
      <c r="B1084" s="35">
        <f>Demand!B1082</f>
        <v>46269.0</v>
      </c>
      <c r="C1084" s="33">
        <f>Demand!C1082</f>
        <v>16</v>
      </c>
      <c r="D1084" s="33">
        <f>Demand!E1082</f>
        <v>21</v>
      </c>
      <c r="E1084" s="33">
        <f>IF(Demand!F1082,1,0)</f>
        <v>0</v>
      </c>
      <c r="F1084" s="33">
        <f>COUNTIFS(c_store,A1084,c_date,B1084,c_hour,C1084)</f>
        <v>0</v>
      </c>
      <c r="G1084" s="33">
        <f>IF(F1084&gt;0,1,0)</f>
        <v>0</v>
      </c>
      <c r="H1084" s="33">
        <f>COUNTIFS(Demand!$A$2:$A$4481,A1084,Demand!$B$2:$B$4481,B1084,Demand!$C$2:$C$4481,C1084)</f>
        <v>1</v>
      </c>
    </row>
    <row r="1085">
      <c r="A1085" s="32" t="str">
        <f>Demand!A1083</f>
        <v>S008</v>
      </c>
      <c r="B1085" s="35">
        <f>Demand!B1083</f>
        <v>46269.0</v>
      </c>
      <c r="C1085" s="33">
        <f>Demand!C1083</f>
        <v>17</v>
      </c>
      <c r="D1085" s="33">
        <f>Demand!E1083</f>
        <v>21</v>
      </c>
      <c r="E1085" s="33">
        <f>IF(Demand!F1083,1,0)</f>
        <v>0</v>
      </c>
      <c r="F1085" s="33">
        <f>COUNTIFS(c_store,A1085,c_date,B1085,c_hour,C1085)</f>
        <v>1</v>
      </c>
      <c r="G1085" s="33">
        <f>IF(F1085&gt;0,1,0)</f>
        <v>1</v>
      </c>
      <c r="H1085" s="33">
        <f>COUNTIFS(Demand!$A$2:$A$4481,A1085,Demand!$B$2:$B$4481,B1085,Demand!$C$2:$C$4481,C1085)</f>
        <v>1</v>
      </c>
    </row>
    <row r="1086">
      <c r="A1086" s="32" t="str">
        <f>Demand!A1084</f>
        <v>S008</v>
      </c>
      <c r="B1086" s="35">
        <f>Demand!B1084</f>
        <v>46269.0</v>
      </c>
      <c r="C1086" s="33">
        <f>Demand!C1084</f>
        <v>18</v>
      </c>
      <c r="D1086" s="33">
        <f>Demand!E1084</f>
        <v>28</v>
      </c>
      <c r="E1086" s="33">
        <f>IF(Demand!F1084,1,0)</f>
        <v>0</v>
      </c>
      <c r="F1086" s="33">
        <f>COUNTIFS(c_store,A1086,c_date,B1086,c_hour,C1086)</f>
        <v>1</v>
      </c>
      <c r="G1086" s="33">
        <f>IF(F1086&gt;0,1,0)</f>
        <v>1</v>
      </c>
      <c r="H1086" s="33">
        <f>COUNTIFS(Demand!$A$2:$A$4481,A1086,Demand!$B$2:$B$4481,B1086,Demand!$C$2:$C$4481,C1086)</f>
        <v>1</v>
      </c>
    </row>
    <row r="1087">
      <c r="A1087" s="32" t="str">
        <f>Demand!A1085</f>
        <v>S008</v>
      </c>
      <c r="B1087" s="35">
        <f>Demand!B1085</f>
        <v>46269.0</v>
      </c>
      <c r="C1087" s="33">
        <f>Demand!C1085</f>
        <v>19</v>
      </c>
      <c r="D1087" s="33">
        <f>Demand!E1085</f>
        <v>36</v>
      </c>
      <c r="E1087" s="33">
        <f>IF(Demand!F1085,1,0)</f>
        <v>1</v>
      </c>
      <c r="F1087" s="33">
        <f>COUNTIFS(c_store,A1087,c_date,B1087,c_hour,C1087)</f>
        <v>0</v>
      </c>
      <c r="G1087" s="33">
        <f>IF(F1087&gt;0,1,0)</f>
        <v>0</v>
      </c>
      <c r="H1087" s="33">
        <f>COUNTIFS(Demand!$A$2:$A$4481,A1087,Demand!$B$2:$B$4481,B1087,Demand!$C$2:$C$4481,C1087)</f>
        <v>1</v>
      </c>
    </row>
    <row r="1088">
      <c r="A1088" s="32" t="str">
        <f>Demand!A1086</f>
        <v>S008</v>
      </c>
      <c r="B1088" s="35">
        <f>Demand!B1086</f>
        <v>46269.0</v>
      </c>
      <c r="C1088" s="33">
        <f>Demand!C1086</f>
        <v>20</v>
      </c>
      <c r="D1088" s="33">
        <f>Demand!E1086</f>
        <v>35</v>
      </c>
      <c r="E1088" s="33">
        <f>IF(Demand!F1086,1,0)</f>
        <v>1</v>
      </c>
      <c r="F1088" s="33">
        <f>COUNTIFS(c_store,A1088,c_date,B1088,c_hour,C1088)</f>
        <v>0</v>
      </c>
      <c r="G1088" s="33">
        <f>IF(F1088&gt;0,1,0)</f>
        <v>0</v>
      </c>
      <c r="H1088" s="33">
        <f>COUNTIFS(Demand!$A$2:$A$4481,A1088,Demand!$B$2:$B$4481,B1088,Demand!$C$2:$C$4481,C1088)</f>
        <v>1</v>
      </c>
    </row>
    <row r="1089">
      <c r="A1089" s="32" t="str">
        <f>Demand!A1087</f>
        <v>S008</v>
      </c>
      <c r="B1089" s="35">
        <f>Demand!B1087</f>
        <v>46269.0</v>
      </c>
      <c r="C1089" s="33">
        <f>Demand!C1087</f>
        <v>21</v>
      </c>
      <c r="D1089" s="33">
        <f>Demand!E1087</f>
        <v>36</v>
      </c>
      <c r="E1089" s="33">
        <f>IF(Demand!F1087,1,0)</f>
        <v>1</v>
      </c>
      <c r="F1089" s="33">
        <f>COUNTIFS(c_store,A1089,c_date,B1089,c_hour,C1089)</f>
        <v>1</v>
      </c>
      <c r="G1089" s="33">
        <f>IF(F1089&gt;0,1,0)</f>
        <v>1</v>
      </c>
      <c r="H1089" s="33">
        <f>COUNTIFS(Demand!$A$2:$A$4481,A1089,Demand!$B$2:$B$4481,B1089,Demand!$C$2:$C$4481,C1089)</f>
        <v>1</v>
      </c>
    </row>
    <row r="1090">
      <c r="A1090" s="32" t="str">
        <f>Demand!A1088</f>
        <v>S008</v>
      </c>
      <c r="B1090" s="35">
        <f>Demand!B1088</f>
        <v>46269.0</v>
      </c>
      <c r="C1090" s="33">
        <f>Demand!C1088</f>
        <v>22</v>
      </c>
      <c r="D1090" s="33">
        <f>Demand!E1088</f>
        <v>17</v>
      </c>
      <c r="E1090" s="33">
        <f>IF(Demand!F1088,1,0)</f>
        <v>0</v>
      </c>
      <c r="F1090" s="33">
        <f>COUNTIFS(c_store,A1090,c_date,B1090,c_hour,C1090)</f>
        <v>0</v>
      </c>
      <c r="G1090" s="33">
        <f>IF(F1090&gt;0,1,0)</f>
        <v>0</v>
      </c>
      <c r="H1090" s="33">
        <f>COUNTIFS(Demand!$A$2:$A$4481,A1090,Demand!$B$2:$B$4481,B1090,Demand!$C$2:$C$4481,C1090)</f>
        <v>1</v>
      </c>
    </row>
    <row r="1091">
      <c r="A1091" s="32" t="str">
        <f>Demand!A1089</f>
        <v>S008</v>
      </c>
      <c r="B1091" s="35">
        <f>Demand!B1089</f>
        <v>46269.0</v>
      </c>
      <c r="C1091" s="33">
        <f>Demand!C1089</f>
        <v>23</v>
      </c>
      <c r="D1091" s="33">
        <f>Demand!E1089</f>
        <v>24</v>
      </c>
      <c r="E1091" s="33">
        <f>IF(Demand!F1089,1,0)</f>
        <v>0</v>
      </c>
      <c r="F1091" s="33">
        <f>COUNTIFS(c_store,A1091,c_date,B1091,c_hour,C1091)</f>
        <v>0</v>
      </c>
      <c r="G1091" s="33">
        <f>IF(F1091&gt;0,1,0)</f>
        <v>0</v>
      </c>
      <c r="H1091" s="33">
        <f>COUNTIFS(Demand!$A$2:$A$4481,A1091,Demand!$B$2:$B$4481,B1091,Demand!$C$2:$C$4481,C1091)</f>
        <v>1</v>
      </c>
    </row>
    <row r="1092">
      <c r="A1092" s="32" t="str">
        <f>Demand!A1090</f>
        <v>S009</v>
      </c>
      <c r="B1092" s="35">
        <f>Demand!B1090</f>
        <v>46269.0</v>
      </c>
      <c r="C1092" s="33">
        <f>Demand!C1090</f>
        <v>8</v>
      </c>
      <c r="D1092" s="33">
        <f>Demand!E1090</f>
        <v>20</v>
      </c>
      <c r="E1092" s="33">
        <f>IF(Demand!F1090,1,0)</f>
        <v>0</v>
      </c>
      <c r="F1092" s="33">
        <f>COUNTIFS(c_store,A1092,c_date,B1092,c_hour,C1092)</f>
        <v>0</v>
      </c>
      <c r="G1092" s="33">
        <f>IF(F1092&gt;0,1,0)</f>
        <v>0</v>
      </c>
      <c r="H1092" s="33">
        <f>COUNTIFS(Demand!$A$2:$A$4481,A1092,Demand!$B$2:$B$4481,B1092,Demand!$C$2:$C$4481,C1092)</f>
        <v>1</v>
      </c>
    </row>
    <row r="1093">
      <c r="A1093" s="32" t="str">
        <f>Demand!A1091</f>
        <v>S009</v>
      </c>
      <c r="B1093" s="35">
        <f>Demand!B1091</f>
        <v>46269.0</v>
      </c>
      <c r="C1093" s="33">
        <f>Demand!C1091</f>
        <v>9</v>
      </c>
      <c r="D1093" s="33">
        <f>Demand!E1091</f>
        <v>20</v>
      </c>
      <c r="E1093" s="33">
        <f>IF(Demand!F1091,1,0)</f>
        <v>0</v>
      </c>
      <c r="F1093" s="33">
        <f>COUNTIFS(c_store,A1093,c_date,B1093,c_hour,C1093)</f>
        <v>0</v>
      </c>
      <c r="G1093" s="33">
        <f>IF(F1093&gt;0,1,0)</f>
        <v>0</v>
      </c>
      <c r="H1093" s="33">
        <f>COUNTIFS(Demand!$A$2:$A$4481,A1093,Demand!$B$2:$B$4481,B1093,Demand!$C$2:$C$4481,C1093)</f>
        <v>1</v>
      </c>
    </row>
    <row r="1094">
      <c r="A1094" s="32" t="str">
        <f>Demand!A1092</f>
        <v>S009</v>
      </c>
      <c r="B1094" s="35">
        <f>Demand!B1092</f>
        <v>46269.0</v>
      </c>
      <c r="C1094" s="33">
        <f>Demand!C1092</f>
        <v>10</v>
      </c>
      <c r="D1094" s="33">
        <f>Demand!E1092</f>
        <v>22</v>
      </c>
      <c r="E1094" s="33">
        <f>IF(Demand!F1092,1,0)</f>
        <v>0</v>
      </c>
      <c r="F1094" s="33">
        <f>COUNTIFS(c_store,A1094,c_date,B1094,c_hour,C1094)</f>
        <v>0</v>
      </c>
      <c r="G1094" s="33">
        <f>IF(F1094&gt;0,1,0)</f>
        <v>0</v>
      </c>
      <c r="H1094" s="33">
        <f>COUNTIFS(Demand!$A$2:$A$4481,A1094,Demand!$B$2:$B$4481,B1094,Demand!$C$2:$C$4481,C1094)</f>
        <v>1</v>
      </c>
    </row>
    <row r="1095">
      <c r="A1095" s="32" t="str">
        <f>Demand!A1093</f>
        <v>S009</v>
      </c>
      <c r="B1095" s="35">
        <f>Demand!B1093</f>
        <v>46269.0</v>
      </c>
      <c r="C1095" s="33">
        <f>Demand!C1093</f>
        <v>11</v>
      </c>
      <c r="D1095" s="33">
        <f>Demand!E1093</f>
        <v>23</v>
      </c>
      <c r="E1095" s="33">
        <f>IF(Demand!F1093,1,0)</f>
        <v>0</v>
      </c>
      <c r="F1095" s="33">
        <f>COUNTIFS(c_store,A1095,c_date,B1095,c_hour,C1095)</f>
        <v>0</v>
      </c>
      <c r="G1095" s="33">
        <f>IF(F1095&gt;0,1,0)</f>
        <v>0</v>
      </c>
      <c r="H1095" s="33">
        <f>COUNTIFS(Demand!$A$2:$A$4481,A1095,Demand!$B$2:$B$4481,B1095,Demand!$C$2:$C$4481,C1095)</f>
        <v>1</v>
      </c>
    </row>
    <row r="1096">
      <c r="A1096" s="32" t="str">
        <f>Demand!A1094</f>
        <v>S009</v>
      </c>
      <c r="B1096" s="35">
        <f>Demand!B1094</f>
        <v>46269.0</v>
      </c>
      <c r="C1096" s="33">
        <f>Demand!C1094</f>
        <v>12</v>
      </c>
      <c r="D1096" s="33">
        <f>Demand!E1094</f>
        <v>28</v>
      </c>
      <c r="E1096" s="33">
        <f>IF(Demand!F1094,1,0)</f>
        <v>0</v>
      </c>
      <c r="F1096" s="33">
        <f>COUNTIFS(c_store,A1096,c_date,B1096,c_hour,C1096)</f>
        <v>0</v>
      </c>
      <c r="G1096" s="33">
        <f>IF(F1096&gt;0,1,0)</f>
        <v>0</v>
      </c>
      <c r="H1096" s="33">
        <f>COUNTIFS(Demand!$A$2:$A$4481,A1096,Demand!$B$2:$B$4481,B1096,Demand!$C$2:$C$4481,C1096)</f>
        <v>1</v>
      </c>
    </row>
    <row r="1097">
      <c r="A1097" s="32" t="str">
        <f>Demand!A1095</f>
        <v>S009</v>
      </c>
      <c r="B1097" s="35">
        <f>Demand!B1095</f>
        <v>46269.0</v>
      </c>
      <c r="C1097" s="33">
        <f>Demand!C1095</f>
        <v>13</v>
      </c>
      <c r="D1097" s="33">
        <f>Demand!E1095</f>
        <v>25</v>
      </c>
      <c r="E1097" s="33">
        <f>IF(Demand!F1095,1,0)</f>
        <v>0</v>
      </c>
      <c r="F1097" s="33">
        <f>COUNTIFS(c_store,A1097,c_date,B1097,c_hour,C1097)</f>
        <v>1</v>
      </c>
      <c r="G1097" s="33">
        <f>IF(F1097&gt;0,1,0)</f>
        <v>1</v>
      </c>
      <c r="H1097" s="33">
        <f>COUNTIFS(Demand!$A$2:$A$4481,A1097,Demand!$B$2:$B$4481,B1097,Demand!$C$2:$C$4481,C1097)</f>
        <v>1</v>
      </c>
    </row>
    <row r="1098">
      <c r="A1098" s="32" t="str">
        <f>Demand!A1096</f>
        <v>S009</v>
      </c>
      <c r="B1098" s="35">
        <f>Demand!B1096</f>
        <v>46269.0</v>
      </c>
      <c r="C1098" s="33">
        <f>Demand!C1096</f>
        <v>14</v>
      </c>
      <c r="D1098" s="33">
        <f>Demand!E1096</f>
        <v>17</v>
      </c>
      <c r="E1098" s="33">
        <f>IF(Demand!F1096,1,0)</f>
        <v>0</v>
      </c>
      <c r="F1098" s="33">
        <f>COUNTIFS(c_store,A1098,c_date,B1098,c_hour,C1098)</f>
        <v>2</v>
      </c>
      <c r="G1098" s="33">
        <f>IF(F1098&gt;0,1,0)</f>
        <v>1</v>
      </c>
      <c r="H1098" s="33">
        <f>COUNTIFS(Demand!$A$2:$A$4481,A1098,Demand!$B$2:$B$4481,B1098,Demand!$C$2:$C$4481,C1098)</f>
        <v>1</v>
      </c>
    </row>
    <row r="1099">
      <c r="A1099" s="32" t="str">
        <f>Demand!A1097</f>
        <v>S009</v>
      </c>
      <c r="B1099" s="35">
        <f>Demand!B1097</f>
        <v>46269.0</v>
      </c>
      <c r="C1099" s="33">
        <f>Demand!C1097</f>
        <v>15</v>
      </c>
      <c r="D1099" s="33">
        <f>Demand!E1097</f>
        <v>17</v>
      </c>
      <c r="E1099" s="33">
        <f>IF(Demand!F1097,1,0)</f>
        <v>0</v>
      </c>
      <c r="F1099" s="33">
        <f>COUNTIFS(c_store,A1099,c_date,B1099,c_hour,C1099)</f>
        <v>3</v>
      </c>
      <c r="G1099" s="33">
        <f>IF(F1099&gt;0,1,0)</f>
        <v>1</v>
      </c>
      <c r="H1099" s="33">
        <f>COUNTIFS(Demand!$A$2:$A$4481,A1099,Demand!$B$2:$B$4481,B1099,Demand!$C$2:$C$4481,C1099)</f>
        <v>1</v>
      </c>
    </row>
    <row r="1100">
      <c r="A1100" s="32" t="str">
        <f>Demand!A1098</f>
        <v>S009</v>
      </c>
      <c r="B1100" s="35">
        <f>Demand!B1098</f>
        <v>46269.0</v>
      </c>
      <c r="C1100" s="33">
        <f>Demand!C1098</f>
        <v>16</v>
      </c>
      <c r="D1100" s="33">
        <f>Demand!E1098</f>
        <v>33</v>
      </c>
      <c r="E1100" s="33">
        <f>IF(Demand!F1098,1,0)</f>
        <v>0</v>
      </c>
      <c r="F1100" s="33">
        <f>COUNTIFS(c_store,A1100,c_date,B1100,c_hour,C1100)</f>
        <v>0</v>
      </c>
      <c r="G1100" s="33">
        <f>IF(F1100&gt;0,1,0)</f>
        <v>0</v>
      </c>
      <c r="H1100" s="33">
        <f>COUNTIFS(Demand!$A$2:$A$4481,A1100,Demand!$B$2:$B$4481,B1100,Demand!$C$2:$C$4481,C1100)</f>
        <v>1</v>
      </c>
    </row>
    <row r="1101">
      <c r="A1101" s="32" t="str">
        <f>Demand!A1099</f>
        <v>S009</v>
      </c>
      <c r="B1101" s="35">
        <f>Demand!B1099</f>
        <v>46269.0</v>
      </c>
      <c r="C1101" s="33">
        <f>Demand!C1099</f>
        <v>17</v>
      </c>
      <c r="D1101" s="33">
        <f>Demand!E1099</f>
        <v>37</v>
      </c>
      <c r="E1101" s="33">
        <f>IF(Demand!F1099,1,0)</f>
        <v>0</v>
      </c>
      <c r="F1101" s="33">
        <f>COUNTIFS(c_store,A1101,c_date,B1101,c_hour,C1101)</f>
        <v>0</v>
      </c>
      <c r="G1101" s="33">
        <f>IF(F1101&gt;0,1,0)</f>
        <v>0</v>
      </c>
      <c r="H1101" s="33">
        <f>COUNTIFS(Demand!$A$2:$A$4481,A1101,Demand!$B$2:$B$4481,B1101,Demand!$C$2:$C$4481,C1101)</f>
        <v>1</v>
      </c>
    </row>
    <row r="1102">
      <c r="A1102" s="32" t="str">
        <f>Demand!A1100</f>
        <v>S009</v>
      </c>
      <c r="B1102" s="35">
        <f>Demand!B1100</f>
        <v>46269.0</v>
      </c>
      <c r="C1102" s="33">
        <f>Demand!C1100</f>
        <v>18</v>
      </c>
      <c r="D1102" s="33">
        <f>Demand!E1100</f>
        <v>28</v>
      </c>
      <c r="E1102" s="33">
        <f>IF(Demand!F1100,1,0)</f>
        <v>0</v>
      </c>
      <c r="F1102" s="33">
        <f>COUNTIFS(c_store,A1102,c_date,B1102,c_hour,C1102)</f>
        <v>0</v>
      </c>
      <c r="G1102" s="33">
        <f>IF(F1102&gt;0,1,0)</f>
        <v>0</v>
      </c>
      <c r="H1102" s="33">
        <f>COUNTIFS(Demand!$A$2:$A$4481,A1102,Demand!$B$2:$B$4481,B1102,Demand!$C$2:$C$4481,C1102)</f>
        <v>1</v>
      </c>
    </row>
    <row r="1103">
      <c r="A1103" s="32" t="str">
        <f>Demand!A1101</f>
        <v>S009</v>
      </c>
      <c r="B1103" s="35">
        <f>Demand!B1101</f>
        <v>46269.0</v>
      </c>
      <c r="C1103" s="33">
        <f>Demand!C1101</f>
        <v>19</v>
      </c>
      <c r="D1103" s="33">
        <f>Demand!E1101</f>
        <v>49</v>
      </c>
      <c r="E1103" s="33">
        <f>IF(Demand!F1101,1,0)</f>
        <v>1</v>
      </c>
      <c r="F1103" s="33">
        <f>COUNTIFS(c_store,A1103,c_date,B1103,c_hour,C1103)</f>
        <v>0</v>
      </c>
      <c r="G1103" s="33">
        <f>IF(F1103&gt;0,1,0)</f>
        <v>0</v>
      </c>
      <c r="H1103" s="33">
        <f>COUNTIFS(Demand!$A$2:$A$4481,A1103,Demand!$B$2:$B$4481,B1103,Demand!$C$2:$C$4481,C1103)</f>
        <v>1</v>
      </c>
    </row>
    <row r="1104">
      <c r="A1104" s="32" t="str">
        <f>Demand!A1102</f>
        <v>S009</v>
      </c>
      <c r="B1104" s="35">
        <f>Demand!B1102</f>
        <v>46269.0</v>
      </c>
      <c r="C1104" s="33">
        <f>Demand!C1102</f>
        <v>20</v>
      </c>
      <c r="D1104" s="33">
        <f>Demand!E1102</f>
        <v>50</v>
      </c>
      <c r="E1104" s="33">
        <f>IF(Demand!F1102,1,0)</f>
        <v>1</v>
      </c>
      <c r="F1104" s="33">
        <f>COUNTIFS(c_store,A1104,c_date,B1104,c_hour,C1104)</f>
        <v>3</v>
      </c>
      <c r="G1104" s="33">
        <f>IF(F1104&gt;0,1,0)</f>
        <v>1</v>
      </c>
      <c r="H1104" s="33">
        <f>COUNTIFS(Demand!$A$2:$A$4481,A1104,Demand!$B$2:$B$4481,B1104,Demand!$C$2:$C$4481,C1104)</f>
        <v>1</v>
      </c>
    </row>
    <row r="1105">
      <c r="A1105" s="32" t="str">
        <f>Demand!A1103</f>
        <v>S009</v>
      </c>
      <c r="B1105" s="35">
        <f>Demand!B1103</f>
        <v>46269.0</v>
      </c>
      <c r="C1105" s="33">
        <f>Demand!C1103</f>
        <v>21</v>
      </c>
      <c r="D1105" s="33">
        <f>Demand!E1103</f>
        <v>39</v>
      </c>
      <c r="E1105" s="33">
        <f>IF(Demand!F1103,1,0)</f>
        <v>1</v>
      </c>
      <c r="F1105" s="33">
        <f>COUNTIFS(c_store,A1105,c_date,B1105,c_hour,C1105)</f>
        <v>0</v>
      </c>
      <c r="G1105" s="33">
        <f>IF(F1105&gt;0,1,0)</f>
        <v>0</v>
      </c>
      <c r="H1105" s="33">
        <f>COUNTIFS(Demand!$A$2:$A$4481,A1105,Demand!$B$2:$B$4481,B1105,Demand!$C$2:$C$4481,C1105)</f>
        <v>1</v>
      </c>
    </row>
    <row r="1106">
      <c r="A1106" s="32" t="str">
        <f>Demand!A1104</f>
        <v>S009</v>
      </c>
      <c r="B1106" s="35">
        <f>Demand!B1104</f>
        <v>46269.0</v>
      </c>
      <c r="C1106" s="33">
        <f>Demand!C1104</f>
        <v>22</v>
      </c>
      <c r="D1106" s="33">
        <f>Demand!E1104</f>
        <v>26</v>
      </c>
      <c r="E1106" s="33">
        <f>IF(Demand!F1104,1,0)</f>
        <v>0</v>
      </c>
      <c r="F1106" s="33">
        <f>COUNTIFS(c_store,A1106,c_date,B1106,c_hour,C1106)</f>
        <v>1</v>
      </c>
      <c r="G1106" s="33">
        <f>IF(F1106&gt;0,1,0)</f>
        <v>1</v>
      </c>
      <c r="H1106" s="33">
        <f>COUNTIFS(Demand!$A$2:$A$4481,A1106,Demand!$B$2:$B$4481,B1106,Demand!$C$2:$C$4481,C1106)</f>
        <v>1</v>
      </c>
    </row>
    <row r="1107">
      <c r="A1107" s="32" t="str">
        <f>Demand!A1105</f>
        <v>S009</v>
      </c>
      <c r="B1107" s="35">
        <f>Demand!B1105</f>
        <v>46269.0</v>
      </c>
      <c r="C1107" s="33">
        <f>Demand!C1105</f>
        <v>23</v>
      </c>
      <c r="D1107" s="33">
        <f>Demand!E1105</f>
        <v>38</v>
      </c>
      <c r="E1107" s="33">
        <f>IF(Demand!F1105,1,0)</f>
        <v>0</v>
      </c>
      <c r="F1107" s="33">
        <f>COUNTIFS(c_store,A1107,c_date,B1107,c_hour,C1107)</f>
        <v>0</v>
      </c>
      <c r="G1107" s="33">
        <f>IF(F1107&gt;0,1,0)</f>
        <v>0</v>
      </c>
      <c r="H1107" s="33">
        <f>COUNTIFS(Demand!$A$2:$A$4481,A1107,Demand!$B$2:$B$4481,B1107,Demand!$C$2:$C$4481,C1107)</f>
        <v>1</v>
      </c>
    </row>
    <row r="1108">
      <c r="A1108" s="32" t="str">
        <f>Demand!A1106</f>
        <v>S010</v>
      </c>
      <c r="B1108" s="35">
        <f>Demand!B1106</f>
        <v>46269.0</v>
      </c>
      <c r="C1108" s="33">
        <f>Demand!C1106</f>
        <v>8</v>
      </c>
      <c r="D1108" s="33">
        <f>Demand!E1106</f>
        <v>17</v>
      </c>
      <c r="E1108" s="33">
        <f>IF(Demand!F1106,1,0)</f>
        <v>0</v>
      </c>
      <c r="F1108" s="33">
        <f>COUNTIFS(c_store,A1108,c_date,B1108,c_hour,C1108)</f>
        <v>0</v>
      </c>
      <c r="G1108" s="33">
        <f>IF(F1108&gt;0,1,0)</f>
        <v>0</v>
      </c>
      <c r="H1108" s="33">
        <f>COUNTIFS(Demand!$A$2:$A$4481,A1108,Demand!$B$2:$B$4481,B1108,Demand!$C$2:$C$4481,C1108)</f>
        <v>1</v>
      </c>
    </row>
    <row r="1109">
      <c r="A1109" s="32" t="str">
        <f>Demand!A1107</f>
        <v>S010</v>
      </c>
      <c r="B1109" s="35">
        <f>Demand!B1107</f>
        <v>46269.0</v>
      </c>
      <c r="C1109" s="33">
        <f>Demand!C1107</f>
        <v>9</v>
      </c>
      <c r="D1109" s="33">
        <f>Demand!E1107</f>
        <v>14</v>
      </c>
      <c r="E1109" s="33">
        <f>IF(Demand!F1107,1,0)</f>
        <v>0</v>
      </c>
      <c r="F1109" s="33">
        <f>COUNTIFS(c_store,A1109,c_date,B1109,c_hour,C1109)</f>
        <v>0</v>
      </c>
      <c r="G1109" s="33">
        <f>IF(F1109&gt;0,1,0)</f>
        <v>0</v>
      </c>
      <c r="H1109" s="33">
        <f>COUNTIFS(Demand!$A$2:$A$4481,A1109,Demand!$B$2:$B$4481,B1109,Demand!$C$2:$C$4481,C1109)</f>
        <v>1</v>
      </c>
    </row>
    <row r="1110">
      <c r="A1110" s="32" t="str">
        <f>Demand!A1108</f>
        <v>S010</v>
      </c>
      <c r="B1110" s="35">
        <f>Demand!B1108</f>
        <v>46269.0</v>
      </c>
      <c r="C1110" s="33">
        <f>Demand!C1108</f>
        <v>10</v>
      </c>
      <c r="D1110" s="33">
        <f>Demand!E1108</f>
        <v>9</v>
      </c>
      <c r="E1110" s="33">
        <f>IF(Demand!F1108,1,0)</f>
        <v>0</v>
      </c>
      <c r="F1110" s="33">
        <f>COUNTIFS(c_store,A1110,c_date,B1110,c_hour,C1110)</f>
        <v>0</v>
      </c>
      <c r="G1110" s="33">
        <f>IF(F1110&gt;0,1,0)</f>
        <v>0</v>
      </c>
      <c r="H1110" s="33">
        <f>COUNTIFS(Demand!$A$2:$A$4481,A1110,Demand!$B$2:$B$4481,B1110,Demand!$C$2:$C$4481,C1110)</f>
        <v>1</v>
      </c>
    </row>
    <row r="1111">
      <c r="A1111" s="32" t="str">
        <f>Demand!A1109</f>
        <v>S010</v>
      </c>
      <c r="B1111" s="35">
        <f>Demand!B1109</f>
        <v>46269.0</v>
      </c>
      <c r="C1111" s="33">
        <f>Demand!C1109</f>
        <v>11</v>
      </c>
      <c r="D1111" s="33">
        <f>Demand!E1109</f>
        <v>27</v>
      </c>
      <c r="E1111" s="33">
        <f>IF(Demand!F1109,1,0)</f>
        <v>0</v>
      </c>
      <c r="F1111" s="33">
        <f>COUNTIFS(c_store,A1111,c_date,B1111,c_hour,C1111)</f>
        <v>0</v>
      </c>
      <c r="G1111" s="33">
        <f>IF(F1111&gt;0,1,0)</f>
        <v>0</v>
      </c>
      <c r="H1111" s="33">
        <f>COUNTIFS(Demand!$A$2:$A$4481,A1111,Demand!$B$2:$B$4481,B1111,Demand!$C$2:$C$4481,C1111)</f>
        <v>1</v>
      </c>
    </row>
    <row r="1112">
      <c r="A1112" s="32" t="str">
        <f>Demand!A1110</f>
        <v>S010</v>
      </c>
      <c r="B1112" s="35">
        <f>Demand!B1110</f>
        <v>46269.0</v>
      </c>
      <c r="C1112" s="33">
        <f>Demand!C1110</f>
        <v>12</v>
      </c>
      <c r="D1112" s="33">
        <f>Demand!E1110</f>
        <v>12</v>
      </c>
      <c r="E1112" s="33">
        <f>IF(Demand!F1110,1,0)</f>
        <v>0</v>
      </c>
      <c r="F1112" s="33">
        <f>COUNTIFS(c_store,A1112,c_date,B1112,c_hour,C1112)</f>
        <v>0</v>
      </c>
      <c r="G1112" s="33">
        <f>IF(F1112&gt;0,1,0)</f>
        <v>0</v>
      </c>
      <c r="H1112" s="33">
        <f>COUNTIFS(Demand!$A$2:$A$4481,A1112,Demand!$B$2:$B$4481,B1112,Demand!$C$2:$C$4481,C1112)</f>
        <v>1</v>
      </c>
    </row>
    <row r="1113">
      <c r="A1113" s="32" t="str">
        <f>Demand!A1111</f>
        <v>S010</v>
      </c>
      <c r="B1113" s="35">
        <f>Demand!B1111</f>
        <v>46269.0</v>
      </c>
      <c r="C1113" s="33">
        <f>Demand!C1111</f>
        <v>13</v>
      </c>
      <c r="D1113" s="33">
        <f>Demand!E1111</f>
        <v>22</v>
      </c>
      <c r="E1113" s="33">
        <f>IF(Demand!F1111,1,0)</f>
        <v>0</v>
      </c>
      <c r="F1113" s="33">
        <f>COUNTIFS(c_store,A1113,c_date,B1113,c_hour,C1113)</f>
        <v>0</v>
      </c>
      <c r="G1113" s="33">
        <f>IF(F1113&gt;0,1,0)</f>
        <v>0</v>
      </c>
      <c r="H1113" s="33">
        <f>COUNTIFS(Demand!$A$2:$A$4481,A1113,Demand!$B$2:$B$4481,B1113,Demand!$C$2:$C$4481,C1113)</f>
        <v>1</v>
      </c>
    </row>
    <row r="1114">
      <c r="A1114" s="32" t="str">
        <f>Demand!A1112</f>
        <v>S010</v>
      </c>
      <c r="B1114" s="35">
        <f>Demand!B1112</f>
        <v>46269.0</v>
      </c>
      <c r="C1114" s="33">
        <f>Demand!C1112</f>
        <v>14</v>
      </c>
      <c r="D1114" s="33">
        <f>Demand!E1112</f>
        <v>16</v>
      </c>
      <c r="E1114" s="33">
        <f>IF(Demand!F1112,1,0)</f>
        <v>0</v>
      </c>
      <c r="F1114" s="33">
        <f>COUNTIFS(c_store,A1114,c_date,B1114,c_hour,C1114)</f>
        <v>0</v>
      </c>
      <c r="G1114" s="33">
        <f>IF(F1114&gt;0,1,0)</f>
        <v>0</v>
      </c>
      <c r="H1114" s="33">
        <f>COUNTIFS(Demand!$A$2:$A$4481,A1114,Demand!$B$2:$B$4481,B1114,Demand!$C$2:$C$4481,C1114)</f>
        <v>1</v>
      </c>
    </row>
    <row r="1115">
      <c r="A1115" s="32" t="str">
        <f>Demand!A1113</f>
        <v>S010</v>
      </c>
      <c r="B1115" s="35">
        <f>Demand!B1113</f>
        <v>46269.0</v>
      </c>
      <c r="C1115" s="33">
        <f>Demand!C1113</f>
        <v>15</v>
      </c>
      <c r="D1115" s="33">
        <f>Demand!E1113</f>
        <v>11</v>
      </c>
      <c r="E1115" s="33">
        <f>IF(Demand!F1113,1,0)</f>
        <v>0</v>
      </c>
      <c r="F1115" s="33">
        <f>COUNTIFS(c_store,A1115,c_date,B1115,c_hour,C1115)</f>
        <v>0</v>
      </c>
      <c r="G1115" s="33">
        <f>IF(F1115&gt;0,1,0)</f>
        <v>0</v>
      </c>
      <c r="H1115" s="33">
        <f>COUNTIFS(Demand!$A$2:$A$4481,A1115,Demand!$B$2:$B$4481,B1115,Demand!$C$2:$C$4481,C1115)</f>
        <v>1</v>
      </c>
    </row>
    <row r="1116">
      <c r="A1116" s="32" t="str">
        <f>Demand!A1114</f>
        <v>S010</v>
      </c>
      <c r="B1116" s="35">
        <f>Demand!B1114</f>
        <v>46269.0</v>
      </c>
      <c r="C1116" s="33">
        <f>Demand!C1114</f>
        <v>16</v>
      </c>
      <c r="D1116" s="33">
        <f>Demand!E1114</f>
        <v>16</v>
      </c>
      <c r="E1116" s="33">
        <f>IF(Demand!F1114,1,0)</f>
        <v>0</v>
      </c>
      <c r="F1116" s="33">
        <f>COUNTIFS(c_store,A1116,c_date,B1116,c_hour,C1116)</f>
        <v>0</v>
      </c>
      <c r="G1116" s="33">
        <f>IF(F1116&gt;0,1,0)</f>
        <v>0</v>
      </c>
      <c r="H1116" s="33">
        <f>COUNTIFS(Demand!$A$2:$A$4481,A1116,Demand!$B$2:$B$4481,B1116,Demand!$C$2:$C$4481,C1116)</f>
        <v>1</v>
      </c>
    </row>
    <row r="1117">
      <c r="A1117" s="32" t="str">
        <f>Demand!A1115</f>
        <v>S010</v>
      </c>
      <c r="B1117" s="35">
        <f>Demand!B1115</f>
        <v>46269.0</v>
      </c>
      <c r="C1117" s="33">
        <f>Demand!C1115</f>
        <v>17</v>
      </c>
      <c r="D1117" s="33">
        <f>Demand!E1115</f>
        <v>15</v>
      </c>
      <c r="E1117" s="33">
        <f>IF(Demand!F1115,1,0)</f>
        <v>0</v>
      </c>
      <c r="F1117" s="33">
        <f>COUNTIFS(c_store,A1117,c_date,B1117,c_hour,C1117)</f>
        <v>0</v>
      </c>
      <c r="G1117" s="33">
        <f>IF(F1117&gt;0,1,0)</f>
        <v>0</v>
      </c>
      <c r="H1117" s="33">
        <f>COUNTIFS(Demand!$A$2:$A$4481,A1117,Demand!$B$2:$B$4481,B1117,Demand!$C$2:$C$4481,C1117)</f>
        <v>1</v>
      </c>
    </row>
    <row r="1118">
      <c r="A1118" s="32" t="str">
        <f>Demand!A1116</f>
        <v>S010</v>
      </c>
      <c r="B1118" s="35">
        <f>Demand!B1116</f>
        <v>46269.0</v>
      </c>
      <c r="C1118" s="33">
        <f>Demand!C1116</f>
        <v>18</v>
      </c>
      <c r="D1118" s="33">
        <f>Demand!E1116</f>
        <v>17</v>
      </c>
      <c r="E1118" s="33">
        <f>IF(Demand!F1116,1,0)</f>
        <v>0</v>
      </c>
      <c r="F1118" s="33">
        <f>COUNTIFS(c_store,A1118,c_date,B1118,c_hour,C1118)</f>
        <v>1</v>
      </c>
      <c r="G1118" s="33">
        <f>IF(F1118&gt;0,1,0)</f>
        <v>1</v>
      </c>
      <c r="H1118" s="33">
        <f>COUNTIFS(Demand!$A$2:$A$4481,A1118,Demand!$B$2:$B$4481,B1118,Demand!$C$2:$C$4481,C1118)</f>
        <v>1</v>
      </c>
    </row>
    <row r="1119">
      <c r="A1119" s="32" t="str">
        <f>Demand!A1117</f>
        <v>S010</v>
      </c>
      <c r="B1119" s="35">
        <f>Demand!B1117</f>
        <v>46269.0</v>
      </c>
      <c r="C1119" s="33">
        <f>Demand!C1117</f>
        <v>19</v>
      </c>
      <c r="D1119" s="33">
        <f>Demand!E1117</f>
        <v>25</v>
      </c>
      <c r="E1119" s="33">
        <f>IF(Demand!F1117,1,0)</f>
        <v>1</v>
      </c>
      <c r="F1119" s="33">
        <f>COUNTIFS(c_store,A1119,c_date,B1119,c_hour,C1119)</f>
        <v>1</v>
      </c>
      <c r="G1119" s="33">
        <f>IF(F1119&gt;0,1,0)</f>
        <v>1</v>
      </c>
      <c r="H1119" s="33">
        <f>COUNTIFS(Demand!$A$2:$A$4481,A1119,Demand!$B$2:$B$4481,B1119,Demand!$C$2:$C$4481,C1119)</f>
        <v>1</v>
      </c>
    </row>
    <row r="1120">
      <c r="A1120" s="32" t="str">
        <f>Demand!A1118</f>
        <v>S010</v>
      </c>
      <c r="B1120" s="35">
        <f>Demand!B1118</f>
        <v>46269.0</v>
      </c>
      <c r="C1120" s="33">
        <f>Demand!C1118</f>
        <v>20</v>
      </c>
      <c r="D1120" s="33">
        <f>Demand!E1118</f>
        <v>30</v>
      </c>
      <c r="E1120" s="33">
        <f>IF(Demand!F1118,1,0)</f>
        <v>1</v>
      </c>
      <c r="F1120" s="33">
        <f>COUNTIFS(c_store,A1120,c_date,B1120,c_hour,C1120)</f>
        <v>0</v>
      </c>
      <c r="G1120" s="33">
        <f>IF(F1120&gt;0,1,0)</f>
        <v>0</v>
      </c>
      <c r="H1120" s="33">
        <f>COUNTIFS(Demand!$A$2:$A$4481,A1120,Demand!$B$2:$B$4481,B1120,Demand!$C$2:$C$4481,C1120)</f>
        <v>1</v>
      </c>
    </row>
    <row r="1121">
      <c r="A1121" s="32" t="str">
        <f>Demand!A1119</f>
        <v>S010</v>
      </c>
      <c r="B1121" s="35">
        <f>Demand!B1119</f>
        <v>46269.0</v>
      </c>
      <c r="C1121" s="33">
        <f>Demand!C1119</f>
        <v>21</v>
      </c>
      <c r="D1121" s="33">
        <f>Demand!E1119</f>
        <v>37</v>
      </c>
      <c r="E1121" s="33">
        <f>IF(Demand!F1119,1,0)</f>
        <v>1</v>
      </c>
      <c r="F1121" s="33">
        <f>COUNTIFS(c_store,A1121,c_date,B1121,c_hour,C1121)</f>
        <v>0</v>
      </c>
      <c r="G1121" s="33">
        <f>IF(F1121&gt;0,1,0)</f>
        <v>0</v>
      </c>
      <c r="H1121" s="33">
        <f>COUNTIFS(Demand!$A$2:$A$4481,A1121,Demand!$B$2:$B$4481,B1121,Demand!$C$2:$C$4481,C1121)</f>
        <v>1</v>
      </c>
    </row>
    <row r="1122">
      <c r="A1122" s="32" t="str">
        <f>Demand!A1120</f>
        <v>S010</v>
      </c>
      <c r="B1122" s="35">
        <f>Demand!B1120</f>
        <v>46269.0</v>
      </c>
      <c r="C1122" s="33">
        <f>Demand!C1120</f>
        <v>22</v>
      </c>
      <c r="D1122" s="33">
        <f>Demand!E1120</f>
        <v>22</v>
      </c>
      <c r="E1122" s="33">
        <f>IF(Demand!F1120,1,0)</f>
        <v>0</v>
      </c>
      <c r="F1122" s="33">
        <f>COUNTIFS(c_store,A1122,c_date,B1122,c_hour,C1122)</f>
        <v>0</v>
      </c>
      <c r="G1122" s="33">
        <f>IF(F1122&gt;0,1,0)</f>
        <v>0</v>
      </c>
      <c r="H1122" s="33">
        <f>COUNTIFS(Demand!$A$2:$A$4481,A1122,Demand!$B$2:$B$4481,B1122,Demand!$C$2:$C$4481,C1122)</f>
        <v>1</v>
      </c>
    </row>
    <row r="1123">
      <c r="A1123" s="32" t="str">
        <f>Demand!A1121</f>
        <v>S010</v>
      </c>
      <c r="B1123" s="35">
        <f>Demand!B1121</f>
        <v>46269.0</v>
      </c>
      <c r="C1123" s="33">
        <f>Demand!C1121</f>
        <v>23</v>
      </c>
      <c r="D1123" s="33">
        <f>Demand!E1121</f>
        <v>16</v>
      </c>
      <c r="E1123" s="33">
        <f>IF(Demand!F1121,1,0)</f>
        <v>0</v>
      </c>
      <c r="F1123" s="33">
        <f>COUNTIFS(c_store,A1123,c_date,B1123,c_hour,C1123)</f>
        <v>2</v>
      </c>
      <c r="G1123" s="33">
        <f>IF(F1123&gt;0,1,0)</f>
        <v>1</v>
      </c>
      <c r="H1123" s="33">
        <f>COUNTIFS(Demand!$A$2:$A$4481,A1123,Demand!$B$2:$B$4481,B1123,Demand!$C$2:$C$4481,C1123)</f>
        <v>1</v>
      </c>
    </row>
    <row r="1124">
      <c r="A1124" s="32" t="str">
        <f>Demand!A1122</f>
        <v>S011</v>
      </c>
      <c r="B1124" s="35">
        <f>Demand!B1122</f>
        <v>46269.0</v>
      </c>
      <c r="C1124" s="33">
        <f>Demand!C1122</f>
        <v>8</v>
      </c>
      <c r="D1124" s="33">
        <f>Demand!E1122</f>
        <v>20</v>
      </c>
      <c r="E1124" s="33">
        <f>IF(Demand!F1122,1,0)</f>
        <v>0</v>
      </c>
      <c r="F1124" s="33">
        <f>COUNTIFS(c_store,A1124,c_date,B1124,c_hour,C1124)</f>
        <v>0</v>
      </c>
      <c r="G1124" s="33">
        <f>IF(F1124&gt;0,1,0)</f>
        <v>0</v>
      </c>
      <c r="H1124" s="33">
        <f>COUNTIFS(Demand!$A$2:$A$4481,A1124,Demand!$B$2:$B$4481,B1124,Demand!$C$2:$C$4481,C1124)</f>
        <v>1</v>
      </c>
    </row>
    <row r="1125">
      <c r="A1125" s="32" t="str">
        <f>Demand!A1123</f>
        <v>S011</v>
      </c>
      <c r="B1125" s="35">
        <f>Demand!B1123</f>
        <v>46269.0</v>
      </c>
      <c r="C1125" s="33">
        <f>Demand!C1123</f>
        <v>9</v>
      </c>
      <c r="D1125" s="33">
        <f>Demand!E1123</f>
        <v>20</v>
      </c>
      <c r="E1125" s="33">
        <f>IF(Demand!F1123,1,0)</f>
        <v>0</v>
      </c>
      <c r="F1125" s="33">
        <f>COUNTIFS(c_store,A1125,c_date,B1125,c_hour,C1125)</f>
        <v>1</v>
      </c>
      <c r="G1125" s="33">
        <f>IF(F1125&gt;0,1,0)</f>
        <v>1</v>
      </c>
      <c r="H1125" s="33">
        <f>COUNTIFS(Demand!$A$2:$A$4481,A1125,Demand!$B$2:$B$4481,B1125,Demand!$C$2:$C$4481,C1125)</f>
        <v>1</v>
      </c>
    </row>
    <row r="1126">
      <c r="A1126" s="32" t="str">
        <f>Demand!A1124</f>
        <v>S011</v>
      </c>
      <c r="B1126" s="35">
        <f>Demand!B1124</f>
        <v>46269.0</v>
      </c>
      <c r="C1126" s="33">
        <f>Demand!C1124</f>
        <v>10</v>
      </c>
      <c r="D1126" s="33">
        <f>Demand!E1124</f>
        <v>25</v>
      </c>
      <c r="E1126" s="33">
        <f>IF(Demand!F1124,1,0)</f>
        <v>0</v>
      </c>
      <c r="F1126" s="33">
        <f>COUNTIFS(c_store,A1126,c_date,B1126,c_hour,C1126)</f>
        <v>0</v>
      </c>
      <c r="G1126" s="33">
        <f>IF(F1126&gt;0,1,0)</f>
        <v>0</v>
      </c>
      <c r="H1126" s="33">
        <f>COUNTIFS(Demand!$A$2:$A$4481,A1126,Demand!$B$2:$B$4481,B1126,Demand!$C$2:$C$4481,C1126)</f>
        <v>1</v>
      </c>
    </row>
    <row r="1127">
      <c r="A1127" s="32" t="str">
        <f>Demand!A1125</f>
        <v>S011</v>
      </c>
      <c r="B1127" s="35">
        <f>Demand!B1125</f>
        <v>46269.0</v>
      </c>
      <c r="C1127" s="33">
        <f>Demand!C1125</f>
        <v>11</v>
      </c>
      <c r="D1127" s="33">
        <f>Demand!E1125</f>
        <v>31</v>
      </c>
      <c r="E1127" s="33">
        <f>IF(Demand!F1125,1,0)</f>
        <v>0</v>
      </c>
      <c r="F1127" s="33">
        <f>COUNTIFS(c_store,A1127,c_date,B1127,c_hour,C1127)</f>
        <v>0</v>
      </c>
      <c r="G1127" s="33">
        <f>IF(F1127&gt;0,1,0)</f>
        <v>0</v>
      </c>
      <c r="H1127" s="33">
        <f>COUNTIFS(Demand!$A$2:$A$4481,A1127,Demand!$B$2:$B$4481,B1127,Demand!$C$2:$C$4481,C1127)</f>
        <v>1</v>
      </c>
    </row>
    <row r="1128">
      <c r="A1128" s="32" t="str">
        <f>Demand!A1126</f>
        <v>S011</v>
      </c>
      <c r="B1128" s="35">
        <f>Demand!B1126</f>
        <v>46269.0</v>
      </c>
      <c r="C1128" s="33">
        <f>Demand!C1126</f>
        <v>12</v>
      </c>
      <c r="D1128" s="33">
        <f>Demand!E1126</f>
        <v>28</v>
      </c>
      <c r="E1128" s="33">
        <f>IF(Demand!F1126,1,0)</f>
        <v>0</v>
      </c>
      <c r="F1128" s="33">
        <f>COUNTIFS(c_store,A1128,c_date,B1128,c_hour,C1128)</f>
        <v>0</v>
      </c>
      <c r="G1128" s="33">
        <f>IF(F1128&gt;0,1,0)</f>
        <v>0</v>
      </c>
      <c r="H1128" s="33">
        <f>COUNTIFS(Demand!$A$2:$A$4481,A1128,Demand!$B$2:$B$4481,B1128,Demand!$C$2:$C$4481,C1128)</f>
        <v>1</v>
      </c>
    </row>
    <row r="1129">
      <c r="A1129" s="32" t="str">
        <f>Demand!A1127</f>
        <v>S011</v>
      </c>
      <c r="B1129" s="35">
        <f>Demand!B1127</f>
        <v>46269.0</v>
      </c>
      <c r="C1129" s="33">
        <f>Demand!C1127</f>
        <v>13</v>
      </c>
      <c r="D1129" s="33">
        <f>Demand!E1127</f>
        <v>24</v>
      </c>
      <c r="E1129" s="33">
        <f>IF(Demand!F1127,1,0)</f>
        <v>0</v>
      </c>
      <c r="F1129" s="33">
        <f>COUNTIFS(c_store,A1129,c_date,B1129,c_hour,C1129)</f>
        <v>0</v>
      </c>
      <c r="G1129" s="33">
        <f>IF(F1129&gt;0,1,0)</f>
        <v>0</v>
      </c>
      <c r="H1129" s="33">
        <f>COUNTIFS(Demand!$A$2:$A$4481,A1129,Demand!$B$2:$B$4481,B1129,Demand!$C$2:$C$4481,C1129)</f>
        <v>1</v>
      </c>
    </row>
    <row r="1130">
      <c r="A1130" s="32" t="str">
        <f>Demand!A1128</f>
        <v>S011</v>
      </c>
      <c r="B1130" s="35">
        <f>Demand!B1128</f>
        <v>46269.0</v>
      </c>
      <c r="C1130" s="33">
        <f>Demand!C1128</f>
        <v>14</v>
      </c>
      <c r="D1130" s="33">
        <f>Demand!E1128</f>
        <v>24</v>
      </c>
      <c r="E1130" s="33">
        <f>IF(Demand!F1128,1,0)</f>
        <v>0</v>
      </c>
      <c r="F1130" s="33">
        <f>COUNTIFS(c_store,A1130,c_date,B1130,c_hour,C1130)</f>
        <v>3</v>
      </c>
      <c r="G1130" s="33">
        <f>IF(F1130&gt;0,1,0)</f>
        <v>1</v>
      </c>
      <c r="H1130" s="33">
        <f>COUNTIFS(Demand!$A$2:$A$4481,A1130,Demand!$B$2:$B$4481,B1130,Demand!$C$2:$C$4481,C1130)</f>
        <v>1</v>
      </c>
    </row>
    <row r="1131">
      <c r="A1131" s="32" t="str">
        <f>Demand!A1129</f>
        <v>S011</v>
      </c>
      <c r="B1131" s="35">
        <f>Demand!B1129</f>
        <v>46269.0</v>
      </c>
      <c r="C1131" s="33">
        <f>Demand!C1129</f>
        <v>15</v>
      </c>
      <c r="D1131" s="33">
        <f>Demand!E1129</f>
        <v>26</v>
      </c>
      <c r="E1131" s="33">
        <f>IF(Demand!F1129,1,0)</f>
        <v>0</v>
      </c>
      <c r="F1131" s="33">
        <f>COUNTIFS(c_store,A1131,c_date,B1131,c_hour,C1131)</f>
        <v>0</v>
      </c>
      <c r="G1131" s="33">
        <f>IF(F1131&gt;0,1,0)</f>
        <v>0</v>
      </c>
      <c r="H1131" s="33">
        <f>COUNTIFS(Demand!$A$2:$A$4481,A1131,Demand!$B$2:$B$4481,B1131,Demand!$C$2:$C$4481,C1131)</f>
        <v>1</v>
      </c>
    </row>
    <row r="1132">
      <c r="A1132" s="32" t="str">
        <f>Demand!A1130</f>
        <v>S011</v>
      </c>
      <c r="B1132" s="35">
        <f>Demand!B1130</f>
        <v>46269.0</v>
      </c>
      <c r="C1132" s="33">
        <f>Demand!C1130</f>
        <v>16</v>
      </c>
      <c r="D1132" s="33">
        <f>Demand!E1130</f>
        <v>22</v>
      </c>
      <c r="E1132" s="33">
        <f>IF(Demand!F1130,1,0)</f>
        <v>0</v>
      </c>
      <c r="F1132" s="33">
        <f>COUNTIFS(c_store,A1132,c_date,B1132,c_hour,C1132)</f>
        <v>0</v>
      </c>
      <c r="G1132" s="33">
        <f>IF(F1132&gt;0,1,0)</f>
        <v>0</v>
      </c>
      <c r="H1132" s="33">
        <f>COUNTIFS(Demand!$A$2:$A$4481,A1132,Demand!$B$2:$B$4481,B1132,Demand!$C$2:$C$4481,C1132)</f>
        <v>1</v>
      </c>
    </row>
    <row r="1133">
      <c r="A1133" s="32" t="str">
        <f>Demand!A1131</f>
        <v>S011</v>
      </c>
      <c r="B1133" s="35">
        <f>Demand!B1131</f>
        <v>46269.0</v>
      </c>
      <c r="C1133" s="33">
        <f>Demand!C1131</f>
        <v>17</v>
      </c>
      <c r="D1133" s="33">
        <f>Demand!E1131</f>
        <v>18</v>
      </c>
      <c r="E1133" s="33">
        <f>IF(Demand!F1131,1,0)</f>
        <v>0</v>
      </c>
      <c r="F1133" s="33">
        <f>COUNTIFS(c_store,A1133,c_date,B1133,c_hour,C1133)</f>
        <v>0</v>
      </c>
      <c r="G1133" s="33">
        <f>IF(F1133&gt;0,1,0)</f>
        <v>0</v>
      </c>
      <c r="H1133" s="33">
        <f>COUNTIFS(Demand!$A$2:$A$4481,A1133,Demand!$B$2:$B$4481,B1133,Demand!$C$2:$C$4481,C1133)</f>
        <v>1</v>
      </c>
    </row>
    <row r="1134">
      <c r="A1134" s="32" t="str">
        <f>Demand!A1132</f>
        <v>S011</v>
      </c>
      <c r="B1134" s="35">
        <f>Demand!B1132</f>
        <v>46269.0</v>
      </c>
      <c r="C1134" s="33">
        <f>Demand!C1132</f>
        <v>18</v>
      </c>
      <c r="D1134" s="33">
        <f>Demand!E1132</f>
        <v>30</v>
      </c>
      <c r="E1134" s="33">
        <f>IF(Demand!F1132,1,0)</f>
        <v>0</v>
      </c>
      <c r="F1134" s="33">
        <f>COUNTIFS(c_store,A1134,c_date,B1134,c_hour,C1134)</f>
        <v>0</v>
      </c>
      <c r="G1134" s="33">
        <f>IF(F1134&gt;0,1,0)</f>
        <v>0</v>
      </c>
      <c r="H1134" s="33">
        <f>COUNTIFS(Demand!$A$2:$A$4481,A1134,Demand!$B$2:$B$4481,B1134,Demand!$C$2:$C$4481,C1134)</f>
        <v>1</v>
      </c>
    </row>
    <row r="1135">
      <c r="A1135" s="32" t="str">
        <f>Demand!A1133</f>
        <v>S011</v>
      </c>
      <c r="B1135" s="35">
        <f>Demand!B1133</f>
        <v>46269.0</v>
      </c>
      <c r="C1135" s="33">
        <f>Demand!C1133</f>
        <v>19</v>
      </c>
      <c r="D1135" s="33">
        <f>Demand!E1133</f>
        <v>47</v>
      </c>
      <c r="E1135" s="33">
        <f>IF(Demand!F1133,1,0)</f>
        <v>1</v>
      </c>
      <c r="F1135" s="33">
        <f>COUNTIFS(c_store,A1135,c_date,B1135,c_hour,C1135)</f>
        <v>0</v>
      </c>
      <c r="G1135" s="33">
        <f>IF(F1135&gt;0,1,0)</f>
        <v>0</v>
      </c>
      <c r="H1135" s="33">
        <f>COUNTIFS(Demand!$A$2:$A$4481,A1135,Demand!$B$2:$B$4481,B1135,Demand!$C$2:$C$4481,C1135)</f>
        <v>1</v>
      </c>
    </row>
    <row r="1136">
      <c r="A1136" s="32" t="str">
        <f>Demand!A1134</f>
        <v>S011</v>
      </c>
      <c r="B1136" s="35">
        <f>Demand!B1134</f>
        <v>46269.0</v>
      </c>
      <c r="C1136" s="33">
        <f>Demand!C1134</f>
        <v>20</v>
      </c>
      <c r="D1136" s="33">
        <f>Demand!E1134</f>
        <v>34</v>
      </c>
      <c r="E1136" s="33">
        <f>IF(Demand!F1134,1,0)</f>
        <v>1</v>
      </c>
      <c r="F1136" s="33">
        <f>COUNTIFS(c_store,A1136,c_date,B1136,c_hour,C1136)</f>
        <v>0</v>
      </c>
      <c r="G1136" s="33">
        <f>IF(F1136&gt;0,1,0)</f>
        <v>0</v>
      </c>
      <c r="H1136" s="33">
        <f>COUNTIFS(Demand!$A$2:$A$4481,A1136,Demand!$B$2:$B$4481,B1136,Demand!$C$2:$C$4481,C1136)</f>
        <v>1</v>
      </c>
    </row>
    <row r="1137">
      <c r="A1137" s="32" t="str">
        <f>Demand!A1135</f>
        <v>S011</v>
      </c>
      <c r="B1137" s="35">
        <f>Demand!B1135</f>
        <v>46269.0</v>
      </c>
      <c r="C1137" s="33">
        <f>Demand!C1135</f>
        <v>21</v>
      </c>
      <c r="D1137" s="33">
        <f>Demand!E1135</f>
        <v>36</v>
      </c>
      <c r="E1137" s="33">
        <f>IF(Demand!F1135,1,0)</f>
        <v>1</v>
      </c>
      <c r="F1137" s="33">
        <f>COUNTIFS(c_store,A1137,c_date,B1137,c_hour,C1137)</f>
        <v>0</v>
      </c>
      <c r="G1137" s="33">
        <f>IF(F1137&gt;0,1,0)</f>
        <v>0</v>
      </c>
      <c r="H1137" s="33">
        <f>COUNTIFS(Demand!$A$2:$A$4481,A1137,Demand!$B$2:$B$4481,B1137,Demand!$C$2:$C$4481,C1137)</f>
        <v>1</v>
      </c>
    </row>
    <row r="1138">
      <c r="A1138" s="32" t="str">
        <f>Demand!A1136</f>
        <v>S011</v>
      </c>
      <c r="B1138" s="35">
        <f>Demand!B1136</f>
        <v>46269.0</v>
      </c>
      <c r="C1138" s="33">
        <f>Demand!C1136</f>
        <v>22</v>
      </c>
      <c r="D1138" s="33">
        <f>Demand!E1136</f>
        <v>39</v>
      </c>
      <c r="E1138" s="33">
        <f>IF(Demand!F1136,1,0)</f>
        <v>0</v>
      </c>
      <c r="F1138" s="33">
        <f>COUNTIFS(c_store,A1138,c_date,B1138,c_hour,C1138)</f>
        <v>0</v>
      </c>
      <c r="G1138" s="33">
        <f>IF(F1138&gt;0,1,0)</f>
        <v>0</v>
      </c>
      <c r="H1138" s="33">
        <f>COUNTIFS(Demand!$A$2:$A$4481,A1138,Demand!$B$2:$B$4481,B1138,Demand!$C$2:$C$4481,C1138)</f>
        <v>1</v>
      </c>
    </row>
    <row r="1139">
      <c r="A1139" s="32" t="str">
        <f>Demand!A1137</f>
        <v>S011</v>
      </c>
      <c r="B1139" s="35">
        <f>Demand!B1137</f>
        <v>46269.0</v>
      </c>
      <c r="C1139" s="33">
        <f>Demand!C1137</f>
        <v>23</v>
      </c>
      <c r="D1139" s="33">
        <f>Demand!E1137</f>
        <v>37</v>
      </c>
      <c r="E1139" s="33">
        <f>IF(Demand!F1137,1,0)</f>
        <v>0</v>
      </c>
      <c r="F1139" s="33">
        <f>COUNTIFS(c_store,A1139,c_date,B1139,c_hour,C1139)</f>
        <v>0</v>
      </c>
      <c r="G1139" s="33">
        <f>IF(F1139&gt;0,1,0)</f>
        <v>0</v>
      </c>
      <c r="H1139" s="33">
        <f>COUNTIFS(Demand!$A$2:$A$4481,A1139,Demand!$B$2:$B$4481,B1139,Demand!$C$2:$C$4481,C1139)</f>
        <v>1</v>
      </c>
    </row>
    <row r="1140">
      <c r="A1140" s="32" t="str">
        <f>Demand!A1138</f>
        <v>S012</v>
      </c>
      <c r="B1140" s="35">
        <f>Demand!B1138</f>
        <v>46269.0</v>
      </c>
      <c r="C1140" s="33">
        <f>Demand!C1138</f>
        <v>8</v>
      </c>
      <c r="D1140" s="33">
        <f>Demand!E1138</f>
        <v>7</v>
      </c>
      <c r="E1140" s="33">
        <f>IF(Demand!F1138,1,0)</f>
        <v>0</v>
      </c>
      <c r="F1140" s="33">
        <f>COUNTIFS(c_store,A1140,c_date,B1140,c_hour,C1140)</f>
        <v>0</v>
      </c>
      <c r="G1140" s="33">
        <f>IF(F1140&gt;0,1,0)</f>
        <v>0</v>
      </c>
      <c r="H1140" s="33">
        <f>COUNTIFS(Demand!$A$2:$A$4481,A1140,Demand!$B$2:$B$4481,B1140,Demand!$C$2:$C$4481,C1140)</f>
        <v>1</v>
      </c>
    </row>
    <row r="1141">
      <c r="A1141" s="32" t="str">
        <f>Demand!A1139</f>
        <v>S012</v>
      </c>
      <c r="B1141" s="35">
        <f>Demand!B1139</f>
        <v>46269.0</v>
      </c>
      <c r="C1141" s="33">
        <f>Demand!C1139</f>
        <v>9</v>
      </c>
      <c r="D1141" s="33">
        <f>Demand!E1139</f>
        <v>8</v>
      </c>
      <c r="E1141" s="33">
        <f>IF(Demand!F1139,1,0)</f>
        <v>0</v>
      </c>
      <c r="F1141" s="33">
        <f>COUNTIFS(c_store,A1141,c_date,B1141,c_hour,C1141)</f>
        <v>1</v>
      </c>
      <c r="G1141" s="33">
        <f>IF(F1141&gt;0,1,0)</f>
        <v>1</v>
      </c>
      <c r="H1141" s="33">
        <f>COUNTIFS(Demand!$A$2:$A$4481,A1141,Demand!$B$2:$B$4481,B1141,Demand!$C$2:$C$4481,C1141)</f>
        <v>1</v>
      </c>
    </row>
    <row r="1142">
      <c r="A1142" s="32" t="str">
        <f>Demand!A1140</f>
        <v>S012</v>
      </c>
      <c r="B1142" s="35">
        <f>Demand!B1140</f>
        <v>46269.0</v>
      </c>
      <c r="C1142" s="33">
        <f>Demand!C1140</f>
        <v>10</v>
      </c>
      <c r="D1142" s="33">
        <f>Demand!E1140</f>
        <v>13</v>
      </c>
      <c r="E1142" s="33">
        <f>IF(Demand!F1140,1,0)</f>
        <v>0</v>
      </c>
      <c r="F1142" s="33">
        <f>COUNTIFS(c_store,A1142,c_date,B1142,c_hour,C1142)</f>
        <v>1</v>
      </c>
      <c r="G1142" s="33">
        <f>IF(F1142&gt;0,1,0)</f>
        <v>1</v>
      </c>
      <c r="H1142" s="33">
        <f>COUNTIFS(Demand!$A$2:$A$4481,A1142,Demand!$B$2:$B$4481,B1142,Demand!$C$2:$C$4481,C1142)</f>
        <v>1</v>
      </c>
    </row>
    <row r="1143">
      <c r="A1143" s="32" t="str">
        <f>Demand!A1141</f>
        <v>S012</v>
      </c>
      <c r="B1143" s="35">
        <f>Demand!B1141</f>
        <v>46269.0</v>
      </c>
      <c r="C1143" s="33">
        <f>Demand!C1141</f>
        <v>11</v>
      </c>
      <c r="D1143" s="33">
        <f>Demand!E1141</f>
        <v>12</v>
      </c>
      <c r="E1143" s="33">
        <f>IF(Demand!F1141,1,0)</f>
        <v>0</v>
      </c>
      <c r="F1143" s="33">
        <f>COUNTIFS(c_store,A1143,c_date,B1143,c_hour,C1143)</f>
        <v>0</v>
      </c>
      <c r="G1143" s="33">
        <f>IF(F1143&gt;0,1,0)</f>
        <v>0</v>
      </c>
      <c r="H1143" s="33">
        <f>COUNTIFS(Demand!$A$2:$A$4481,A1143,Demand!$B$2:$B$4481,B1143,Demand!$C$2:$C$4481,C1143)</f>
        <v>1</v>
      </c>
    </row>
    <row r="1144">
      <c r="A1144" s="32" t="str">
        <f>Demand!A1142</f>
        <v>S012</v>
      </c>
      <c r="B1144" s="35">
        <f>Demand!B1142</f>
        <v>46269.0</v>
      </c>
      <c r="C1144" s="33">
        <f>Demand!C1142</f>
        <v>12</v>
      </c>
      <c r="D1144" s="33">
        <f>Demand!E1142</f>
        <v>18</v>
      </c>
      <c r="E1144" s="33">
        <f>IF(Demand!F1142,1,0)</f>
        <v>0</v>
      </c>
      <c r="F1144" s="33">
        <f>COUNTIFS(c_store,A1144,c_date,B1144,c_hour,C1144)</f>
        <v>0</v>
      </c>
      <c r="G1144" s="33">
        <f>IF(F1144&gt;0,1,0)</f>
        <v>0</v>
      </c>
      <c r="H1144" s="33">
        <f>COUNTIFS(Demand!$A$2:$A$4481,A1144,Demand!$B$2:$B$4481,B1144,Demand!$C$2:$C$4481,C1144)</f>
        <v>1</v>
      </c>
    </row>
    <row r="1145">
      <c r="A1145" s="32" t="str">
        <f>Demand!A1143</f>
        <v>S012</v>
      </c>
      <c r="B1145" s="35">
        <f>Demand!B1143</f>
        <v>46269.0</v>
      </c>
      <c r="C1145" s="33">
        <f>Demand!C1143</f>
        <v>13</v>
      </c>
      <c r="D1145" s="33">
        <f>Demand!E1143</f>
        <v>10</v>
      </c>
      <c r="E1145" s="33">
        <f>IF(Demand!F1143,1,0)</f>
        <v>0</v>
      </c>
      <c r="F1145" s="33">
        <f>COUNTIFS(c_store,A1145,c_date,B1145,c_hour,C1145)</f>
        <v>0</v>
      </c>
      <c r="G1145" s="33">
        <f>IF(F1145&gt;0,1,0)</f>
        <v>0</v>
      </c>
      <c r="H1145" s="33">
        <f>COUNTIFS(Demand!$A$2:$A$4481,A1145,Demand!$B$2:$B$4481,B1145,Demand!$C$2:$C$4481,C1145)</f>
        <v>1</v>
      </c>
    </row>
    <row r="1146">
      <c r="A1146" s="32" t="str">
        <f>Demand!A1144</f>
        <v>S012</v>
      </c>
      <c r="B1146" s="35">
        <f>Demand!B1144</f>
        <v>46269.0</v>
      </c>
      <c r="C1146" s="33">
        <f>Demand!C1144</f>
        <v>14</v>
      </c>
      <c r="D1146" s="33">
        <f>Demand!E1144</f>
        <v>15</v>
      </c>
      <c r="E1146" s="33">
        <f>IF(Demand!F1144,1,0)</f>
        <v>0</v>
      </c>
      <c r="F1146" s="33">
        <f>COUNTIFS(c_store,A1146,c_date,B1146,c_hour,C1146)</f>
        <v>0</v>
      </c>
      <c r="G1146" s="33">
        <f>IF(F1146&gt;0,1,0)</f>
        <v>0</v>
      </c>
      <c r="H1146" s="33">
        <f>COUNTIFS(Demand!$A$2:$A$4481,A1146,Demand!$B$2:$B$4481,B1146,Demand!$C$2:$C$4481,C1146)</f>
        <v>1</v>
      </c>
    </row>
    <row r="1147">
      <c r="A1147" s="32" t="str">
        <f>Demand!A1145</f>
        <v>S012</v>
      </c>
      <c r="B1147" s="35">
        <f>Demand!B1145</f>
        <v>46269.0</v>
      </c>
      <c r="C1147" s="33">
        <f>Demand!C1145</f>
        <v>15</v>
      </c>
      <c r="D1147" s="33">
        <f>Demand!E1145</f>
        <v>10</v>
      </c>
      <c r="E1147" s="33">
        <f>IF(Demand!F1145,1,0)</f>
        <v>0</v>
      </c>
      <c r="F1147" s="33">
        <f>COUNTIFS(c_store,A1147,c_date,B1147,c_hour,C1147)</f>
        <v>1</v>
      </c>
      <c r="G1147" s="33">
        <f>IF(F1147&gt;0,1,0)</f>
        <v>1</v>
      </c>
      <c r="H1147" s="33">
        <f>COUNTIFS(Demand!$A$2:$A$4481,A1147,Demand!$B$2:$B$4481,B1147,Demand!$C$2:$C$4481,C1147)</f>
        <v>1</v>
      </c>
    </row>
    <row r="1148">
      <c r="A1148" s="32" t="str">
        <f>Demand!A1146</f>
        <v>S012</v>
      </c>
      <c r="B1148" s="35">
        <f>Demand!B1146</f>
        <v>46269.0</v>
      </c>
      <c r="C1148" s="33">
        <f>Demand!C1146</f>
        <v>16</v>
      </c>
      <c r="D1148" s="33">
        <f>Demand!E1146</f>
        <v>17</v>
      </c>
      <c r="E1148" s="33">
        <f>IF(Demand!F1146,1,0)</f>
        <v>0</v>
      </c>
      <c r="F1148" s="33">
        <f>COUNTIFS(c_store,A1148,c_date,B1148,c_hour,C1148)</f>
        <v>0</v>
      </c>
      <c r="G1148" s="33">
        <f>IF(F1148&gt;0,1,0)</f>
        <v>0</v>
      </c>
      <c r="H1148" s="33">
        <f>COUNTIFS(Demand!$A$2:$A$4481,A1148,Demand!$B$2:$B$4481,B1148,Demand!$C$2:$C$4481,C1148)</f>
        <v>1</v>
      </c>
    </row>
    <row r="1149">
      <c r="A1149" s="32" t="str">
        <f>Demand!A1147</f>
        <v>S012</v>
      </c>
      <c r="B1149" s="35">
        <f>Demand!B1147</f>
        <v>46269.0</v>
      </c>
      <c r="C1149" s="33">
        <f>Demand!C1147</f>
        <v>17</v>
      </c>
      <c r="D1149" s="33">
        <f>Demand!E1147</f>
        <v>11</v>
      </c>
      <c r="E1149" s="33">
        <f>IF(Demand!F1147,1,0)</f>
        <v>0</v>
      </c>
      <c r="F1149" s="33">
        <f>COUNTIFS(c_store,A1149,c_date,B1149,c_hour,C1149)</f>
        <v>0</v>
      </c>
      <c r="G1149" s="33">
        <f>IF(F1149&gt;0,1,0)</f>
        <v>0</v>
      </c>
      <c r="H1149" s="33">
        <f>COUNTIFS(Demand!$A$2:$A$4481,A1149,Demand!$B$2:$B$4481,B1149,Demand!$C$2:$C$4481,C1149)</f>
        <v>1</v>
      </c>
    </row>
    <row r="1150">
      <c r="A1150" s="32" t="str">
        <f>Demand!A1148</f>
        <v>S012</v>
      </c>
      <c r="B1150" s="35">
        <f>Demand!B1148</f>
        <v>46269.0</v>
      </c>
      <c r="C1150" s="33">
        <f>Demand!C1148</f>
        <v>18</v>
      </c>
      <c r="D1150" s="33">
        <f>Demand!E1148</f>
        <v>15</v>
      </c>
      <c r="E1150" s="33">
        <f>IF(Demand!F1148,1,0)</f>
        <v>0</v>
      </c>
      <c r="F1150" s="33">
        <f>COUNTIFS(c_store,A1150,c_date,B1150,c_hour,C1150)</f>
        <v>0</v>
      </c>
      <c r="G1150" s="33">
        <f>IF(F1150&gt;0,1,0)</f>
        <v>0</v>
      </c>
      <c r="H1150" s="33">
        <f>COUNTIFS(Demand!$A$2:$A$4481,A1150,Demand!$B$2:$B$4481,B1150,Demand!$C$2:$C$4481,C1150)</f>
        <v>1</v>
      </c>
    </row>
    <row r="1151">
      <c r="A1151" s="32" t="str">
        <f>Demand!A1149</f>
        <v>S012</v>
      </c>
      <c r="B1151" s="35">
        <f>Demand!B1149</f>
        <v>46269.0</v>
      </c>
      <c r="C1151" s="33">
        <f>Demand!C1149</f>
        <v>19</v>
      </c>
      <c r="D1151" s="33">
        <f>Demand!E1149</f>
        <v>23</v>
      </c>
      <c r="E1151" s="33">
        <f>IF(Demand!F1149,1,0)</f>
        <v>1</v>
      </c>
      <c r="F1151" s="33">
        <f>COUNTIFS(c_store,A1151,c_date,B1151,c_hour,C1151)</f>
        <v>0</v>
      </c>
      <c r="G1151" s="33">
        <f>IF(F1151&gt;0,1,0)</f>
        <v>0</v>
      </c>
      <c r="H1151" s="33">
        <f>COUNTIFS(Demand!$A$2:$A$4481,A1151,Demand!$B$2:$B$4481,B1151,Demand!$C$2:$C$4481,C1151)</f>
        <v>1</v>
      </c>
    </row>
    <row r="1152">
      <c r="A1152" s="32" t="str">
        <f>Demand!A1150</f>
        <v>S012</v>
      </c>
      <c r="B1152" s="35">
        <f>Demand!B1150</f>
        <v>46269.0</v>
      </c>
      <c r="C1152" s="33">
        <f>Demand!C1150</f>
        <v>20</v>
      </c>
      <c r="D1152" s="33">
        <f>Demand!E1150</f>
        <v>26</v>
      </c>
      <c r="E1152" s="33">
        <f>IF(Demand!F1150,1,0)</f>
        <v>1</v>
      </c>
      <c r="F1152" s="33">
        <f>COUNTIFS(c_store,A1152,c_date,B1152,c_hour,C1152)</f>
        <v>0</v>
      </c>
      <c r="G1152" s="33">
        <f>IF(F1152&gt;0,1,0)</f>
        <v>0</v>
      </c>
      <c r="H1152" s="33">
        <f>COUNTIFS(Demand!$A$2:$A$4481,A1152,Demand!$B$2:$B$4481,B1152,Demand!$C$2:$C$4481,C1152)</f>
        <v>1</v>
      </c>
    </row>
    <row r="1153">
      <c r="A1153" s="32" t="str">
        <f>Demand!A1151</f>
        <v>S012</v>
      </c>
      <c r="B1153" s="35">
        <f>Demand!B1151</f>
        <v>46269.0</v>
      </c>
      <c r="C1153" s="33">
        <f>Demand!C1151</f>
        <v>21</v>
      </c>
      <c r="D1153" s="33">
        <f>Demand!E1151</f>
        <v>27</v>
      </c>
      <c r="E1153" s="33">
        <f>IF(Demand!F1151,1,0)</f>
        <v>1</v>
      </c>
      <c r="F1153" s="33">
        <f>COUNTIFS(c_store,A1153,c_date,B1153,c_hour,C1153)</f>
        <v>0</v>
      </c>
      <c r="G1153" s="33">
        <f>IF(F1153&gt;0,1,0)</f>
        <v>0</v>
      </c>
      <c r="H1153" s="33">
        <f>COUNTIFS(Demand!$A$2:$A$4481,A1153,Demand!$B$2:$B$4481,B1153,Demand!$C$2:$C$4481,C1153)</f>
        <v>1</v>
      </c>
    </row>
    <row r="1154">
      <c r="A1154" s="32" t="str">
        <f>Demand!A1152</f>
        <v>S012</v>
      </c>
      <c r="B1154" s="35">
        <f>Demand!B1152</f>
        <v>46269.0</v>
      </c>
      <c r="C1154" s="33">
        <f>Demand!C1152</f>
        <v>22</v>
      </c>
      <c r="D1154" s="33">
        <f>Demand!E1152</f>
        <v>12</v>
      </c>
      <c r="E1154" s="33">
        <f>IF(Demand!F1152,1,0)</f>
        <v>0</v>
      </c>
      <c r="F1154" s="33">
        <f>COUNTIFS(c_store,A1154,c_date,B1154,c_hour,C1154)</f>
        <v>1</v>
      </c>
      <c r="G1154" s="33">
        <f>IF(F1154&gt;0,1,0)</f>
        <v>1</v>
      </c>
      <c r="H1154" s="33">
        <f>COUNTIFS(Demand!$A$2:$A$4481,A1154,Demand!$B$2:$B$4481,B1154,Demand!$C$2:$C$4481,C1154)</f>
        <v>1</v>
      </c>
    </row>
    <row r="1155">
      <c r="A1155" s="32" t="str">
        <f>Demand!A1153</f>
        <v>S012</v>
      </c>
      <c r="B1155" s="35">
        <f>Demand!B1153</f>
        <v>46269.0</v>
      </c>
      <c r="C1155" s="33">
        <f>Demand!C1153</f>
        <v>23</v>
      </c>
      <c r="D1155" s="33">
        <f>Demand!E1153</f>
        <v>19</v>
      </c>
      <c r="E1155" s="33">
        <f>IF(Demand!F1153,1,0)</f>
        <v>0</v>
      </c>
      <c r="F1155" s="33">
        <f>COUNTIFS(c_store,A1155,c_date,B1155,c_hour,C1155)</f>
        <v>0</v>
      </c>
      <c r="G1155" s="33">
        <f>IF(F1155&gt;0,1,0)</f>
        <v>0</v>
      </c>
      <c r="H1155" s="33">
        <f>COUNTIFS(Demand!$A$2:$A$4481,A1155,Demand!$B$2:$B$4481,B1155,Demand!$C$2:$C$4481,C1155)</f>
        <v>1</v>
      </c>
    </row>
    <row r="1156">
      <c r="A1156" s="32" t="str">
        <f>Demand!A1154</f>
        <v>S013</v>
      </c>
      <c r="B1156" s="35">
        <f>Demand!B1154</f>
        <v>46269.0</v>
      </c>
      <c r="C1156" s="33">
        <f>Demand!C1154</f>
        <v>8</v>
      </c>
      <c r="D1156" s="33">
        <f>Demand!E1154</f>
        <v>28</v>
      </c>
      <c r="E1156" s="33">
        <f>IF(Demand!F1154,1,0)</f>
        <v>0</v>
      </c>
      <c r="F1156" s="33">
        <f>COUNTIFS(c_store,A1156,c_date,B1156,c_hour,C1156)</f>
        <v>0</v>
      </c>
      <c r="G1156" s="33">
        <f>IF(F1156&gt;0,1,0)</f>
        <v>0</v>
      </c>
      <c r="H1156" s="33">
        <f>COUNTIFS(Demand!$A$2:$A$4481,A1156,Demand!$B$2:$B$4481,B1156,Demand!$C$2:$C$4481,C1156)</f>
        <v>1</v>
      </c>
    </row>
    <row r="1157">
      <c r="A1157" s="32" t="str">
        <f>Demand!A1155</f>
        <v>S013</v>
      </c>
      <c r="B1157" s="35">
        <f>Demand!B1155</f>
        <v>46269.0</v>
      </c>
      <c r="C1157" s="33">
        <f>Demand!C1155</f>
        <v>9</v>
      </c>
      <c r="D1157" s="33">
        <f>Demand!E1155</f>
        <v>34</v>
      </c>
      <c r="E1157" s="33">
        <f>IF(Demand!F1155,1,0)</f>
        <v>0</v>
      </c>
      <c r="F1157" s="33">
        <f>COUNTIFS(c_store,A1157,c_date,B1157,c_hour,C1157)</f>
        <v>1</v>
      </c>
      <c r="G1157" s="33">
        <f>IF(F1157&gt;0,1,0)</f>
        <v>1</v>
      </c>
      <c r="H1157" s="33">
        <f>COUNTIFS(Demand!$A$2:$A$4481,A1157,Demand!$B$2:$B$4481,B1157,Demand!$C$2:$C$4481,C1157)</f>
        <v>1</v>
      </c>
    </row>
    <row r="1158">
      <c r="A1158" s="32" t="str">
        <f>Demand!A1156</f>
        <v>S013</v>
      </c>
      <c r="B1158" s="35">
        <f>Demand!B1156</f>
        <v>46269.0</v>
      </c>
      <c r="C1158" s="33">
        <f>Demand!C1156</f>
        <v>10</v>
      </c>
      <c r="D1158" s="33">
        <f>Demand!E1156</f>
        <v>34</v>
      </c>
      <c r="E1158" s="33">
        <f>IF(Demand!F1156,1,0)</f>
        <v>0</v>
      </c>
      <c r="F1158" s="33">
        <f>COUNTIFS(c_store,A1158,c_date,B1158,c_hour,C1158)</f>
        <v>1</v>
      </c>
      <c r="G1158" s="33">
        <f>IF(F1158&gt;0,1,0)</f>
        <v>1</v>
      </c>
      <c r="H1158" s="33">
        <f>COUNTIFS(Demand!$A$2:$A$4481,A1158,Demand!$B$2:$B$4481,B1158,Demand!$C$2:$C$4481,C1158)</f>
        <v>1</v>
      </c>
    </row>
    <row r="1159">
      <c r="A1159" s="32" t="str">
        <f>Demand!A1157</f>
        <v>S013</v>
      </c>
      <c r="B1159" s="35">
        <f>Demand!B1157</f>
        <v>46269.0</v>
      </c>
      <c r="C1159" s="33">
        <f>Demand!C1157</f>
        <v>11</v>
      </c>
      <c r="D1159" s="33">
        <f>Demand!E1157</f>
        <v>63</v>
      </c>
      <c r="E1159" s="33">
        <f>IF(Demand!F1157,1,0)</f>
        <v>0</v>
      </c>
      <c r="F1159" s="33">
        <f>COUNTIFS(c_store,A1159,c_date,B1159,c_hour,C1159)</f>
        <v>0</v>
      </c>
      <c r="G1159" s="33">
        <f>IF(F1159&gt;0,1,0)</f>
        <v>0</v>
      </c>
      <c r="H1159" s="33">
        <f>COUNTIFS(Demand!$A$2:$A$4481,A1159,Demand!$B$2:$B$4481,B1159,Demand!$C$2:$C$4481,C1159)</f>
        <v>1</v>
      </c>
    </row>
    <row r="1160">
      <c r="A1160" s="32" t="str">
        <f>Demand!A1158</f>
        <v>S013</v>
      </c>
      <c r="B1160" s="35">
        <f>Demand!B1158</f>
        <v>46269.0</v>
      </c>
      <c r="C1160" s="33">
        <f>Demand!C1158</f>
        <v>12</v>
      </c>
      <c r="D1160" s="33">
        <f>Demand!E1158</f>
        <v>55</v>
      </c>
      <c r="E1160" s="33">
        <f>IF(Demand!F1158,1,0)</f>
        <v>0</v>
      </c>
      <c r="F1160" s="33">
        <f>COUNTIFS(c_store,A1160,c_date,B1160,c_hour,C1160)</f>
        <v>0</v>
      </c>
      <c r="G1160" s="33">
        <f>IF(F1160&gt;0,1,0)</f>
        <v>0</v>
      </c>
      <c r="H1160" s="33">
        <f>COUNTIFS(Demand!$A$2:$A$4481,A1160,Demand!$B$2:$B$4481,B1160,Demand!$C$2:$C$4481,C1160)</f>
        <v>1</v>
      </c>
    </row>
    <row r="1161">
      <c r="A1161" s="32" t="str">
        <f>Demand!A1159</f>
        <v>S013</v>
      </c>
      <c r="B1161" s="35">
        <f>Demand!B1159</f>
        <v>46269.0</v>
      </c>
      <c r="C1161" s="33">
        <f>Demand!C1159</f>
        <v>13</v>
      </c>
      <c r="D1161" s="33">
        <f>Demand!E1159</f>
        <v>42</v>
      </c>
      <c r="E1161" s="33">
        <f>IF(Demand!F1159,1,0)</f>
        <v>0</v>
      </c>
      <c r="F1161" s="33">
        <f>COUNTIFS(c_store,A1161,c_date,B1161,c_hour,C1161)</f>
        <v>0</v>
      </c>
      <c r="G1161" s="33">
        <f>IF(F1161&gt;0,1,0)</f>
        <v>0</v>
      </c>
      <c r="H1161" s="33">
        <f>COUNTIFS(Demand!$A$2:$A$4481,A1161,Demand!$B$2:$B$4481,B1161,Demand!$C$2:$C$4481,C1161)</f>
        <v>1</v>
      </c>
    </row>
    <row r="1162">
      <c r="A1162" s="32" t="str">
        <f>Demand!A1160</f>
        <v>S013</v>
      </c>
      <c r="B1162" s="35">
        <f>Demand!B1160</f>
        <v>46269.0</v>
      </c>
      <c r="C1162" s="33">
        <f>Demand!C1160</f>
        <v>14</v>
      </c>
      <c r="D1162" s="33">
        <f>Demand!E1160</f>
        <v>37</v>
      </c>
      <c r="E1162" s="33">
        <f>IF(Demand!F1160,1,0)</f>
        <v>0</v>
      </c>
      <c r="F1162" s="33">
        <f>COUNTIFS(c_store,A1162,c_date,B1162,c_hour,C1162)</f>
        <v>0</v>
      </c>
      <c r="G1162" s="33">
        <f>IF(F1162&gt;0,1,0)</f>
        <v>0</v>
      </c>
      <c r="H1162" s="33">
        <f>COUNTIFS(Demand!$A$2:$A$4481,A1162,Demand!$B$2:$B$4481,B1162,Demand!$C$2:$C$4481,C1162)</f>
        <v>1</v>
      </c>
    </row>
    <row r="1163">
      <c r="A1163" s="32" t="str">
        <f>Demand!A1161</f>
        <v>S013</v>
      </c>
      <c r="B1163" s="35">
        <f>Demand!B1161</f>
        <v>46269.0</v>
      </c>
      <c r="C1163" s="33">
        <f>Demand!C1161</f>
        <v>15</v>
      </c>
      <c r="D1163" s="33">
        <f>Demand!E1161</f>
        <v>33</v>
      </c>
      <c r="E1163" s="33">
        <f>IF(Demand!F1161,1,0)</f>
        <v>0</v>
      </c>
      <c r="F1163" s="33">
        <f>COUNTIFS(c_store,A1163,c_date,B1163,c_hour,C1163)</f>
        <v>0</v>
      </c>
      <c r="G1163" s="33">
        <f>IF(F1163&gt;0,1,0)</f>
        <v>0</v>
      </c>
      <c r="H1163" s="33">
        <f>COUNTIFS(Demand!$A$2:$A$4481,A1163,Demand!$B$2:$B$4481,B1163,Demand!$C$2:$C$4481,C1163)</f>
        <v>1</v>
      </c>
    </row>
    <row r="1164">
      <c r="A1164" s="32" t="str">
        <f>Demand!A1162</f>
        <v>S013</v>
      </c>
      <c r="B1164" s="35">
        <f>Demand!B1162</f>
        <v>46269.0</v>
      </c>
      <c r="C1164" s="33">
        <f>Demand!C1162</f>
        <v>16</v>
      </c>
      <c r="D1164" s="33">
        <f>Demand!E1162</f>
        <v>61</v>
      </c>
      <c r="E1164" s="33">
        <f>IF(Demand!F1162,1,0)</f>
        <v>0</v>
      </c>
      <c r="F1164" s="33">
        <f>COUNTIFS(c_store,A1164,c_date,B1164,c_hour,C1164)</f>
        <v>1</v>
      </c>
      <c r="G1164" s="33">
        <f>IF(F1164&gt;0,1,0)</f>
        <v>1</v>
      </c>
      <c r="H1164" s="33">
        <f>COUNTIFS(Demand!$A$2:$A$4481,A1164,Demand!$B$2:$B$4481,B1164,Demand!$C$2:$C$4481,C1164)</f>
        <v>1</v>
      </c>
    </row>
    <row r="1165">
      <c r="A1165" s="32" t="str">
        <f>Demand!A1163</f>
        <v>S013</v>
      </c>
      <c r="B1165" s="35">
        <f>Demand!B1163</f>
        <v>46269.0</v>
      </c>
      <c r="C1165" s="33">
        <f>Demand!C1163</f>
        <v>17</v>
      </c>
      <c r="D1165" s="33">
        <f>Demand!E1163</f>
        <v>50</v>
      </c>
      <c r="E1165" s="33">
        <f>IF(Demand!F1163,1,0)</f>
        <v>0</v>
      </c>
      <c r="F1165" s="33">
        <f>COUNTIFS(c_store,A1165,c_date,B1165,c_hour,C1165)</f>
        <v>0</v>
      </c>
      <c r="G1165" s="33">
        <f>IF(F1165&gt;0,1,0)</f>
        <v>0</v>
      </c>
      <c r="H1165" s="33">
        <f>COUNTIFS(Demand!$A$2:$A$4481,A1165,Demand!$B$2:$B$4481,B1165,Demand!$C$2:$C$4481,C1165)</f>
        <v>1</v>
      </c>
    </row>
    <row r="1166">
      <c r="A1166" s="32" t="str">
        <f>Demand!A1164</f>
        <v>S013</v>
      </c>
      <c r="B1166" s="35">
        <f>Demand!B1164</f>
        <v>46269.0</v>
      </c>
      <c r="C1166" s="33">
        <f>Demand!C1164</f>
        <v>18</v>
      </c>
      <c r="D1166" s="33">
        <f>Demand!E1164</f>
        <v>36</v>
      </c>
      <c r="E1166" s="33">
        <f>IF(Demand!F1164,1,0)</f>
        <v>0</v>
      </c>
      <c r="F1166" s="33">
        <f>COUNTIFS(c_store,A1166,c_date,B1166,c_hour,C1166)</f>
        <v>1</v>
      </c>
      <c r="G1166" s="33">
        <f>IF(F1166&gt;0,1,0)</f>
        <v>1</v>
      </c>
      <c r="H1166" s="33">
        <f>COUNTIFS(Demand!$A$2:$A$4481,A1166,Demand!$B$2:$B$4481,B1166,Demand!$C$2:$C$4481,C1166)</f>
        <v>1</v>
      </c>
    </row>
    <row r="1167">
      <c r="A1167" s="32" t="str">
        <f>Demand!A1165</f>
        <v>S013</v>
      </c>
      <c r="B1167" s="35">
        <f>Demand!B1165</f>
        <v>46269.0</v>
      </c>
      <c r="C1167" s="33">
        <f>Demand!C1165</f>
        <v>19</v>
      </c>
      <c r="D1167" s="33">
        <f>Demand!E1165</f>
        <v>91</v>
      </c>
      <c r="E1167" s="33">
        <f>IF(Demand!F1165,1,0)</f>
        <v>1</v>
      </c>
      <c r="F1167" s="33">
        <f>COUNTIFS(c_store,A1167,c_date,B1167,c_hour,C1167)</f>
        <v>0</v>
      </c>
      <c r="G1167" s="33">
        <f>IF(F1167&gt;0,1,0)</f>
        <v>0</v>
      </c>
      <c r="H1167" s="33">
        <f>COUNTIFS(Demand!$A$2:$A$4481,A1167,Demand!$B$2:$B$4481,B1167,Demand!$C$2:$C$4481,C1167)</f>
        <v>1</v>
      </c>
    </row>
    <row r="1168">
      <c r="A1168" s="32" t="str">
        <f>Demand!A1166</f>
        <v>S013</v>
      </c>
      <c r="B1168" s="35">
        <f>Demand!B1166</f>
        <v>46269.0</v>
      </c>
      <c r="C1168" s="33">
        <f>Demand!C1166</f>
        <v>20</v>
      </c>
      <c r="D1168" s="33">
        <f>Demand!E1166</f>
        <v>54</v>
      </c>
      <c r="E1168" s="33">
        <f>IF(Demand!F1166,1,0)</f>
        <v>1</v>
      </c>
      <c r="F1168" s="33">
        <f>COUNTIFS(c_store,A1168,c_date,B1168,c_hour,C1168)</f>
        <v>0</v>
      </c>
      <c r="G1168" s="33">
        <f>IF(F1168&gt;0,1,0)</f>
        <v>0</v>
      </c>
      <c r="H1168" s="33">
        <f>COUNTIFS(Demand!$A$2:$A$4481,A1168,Demand!$B$2:$B$4481,B1168,Demand!$C$2:$C$4481,C1168)</f>
        <v>1</v>
      </c>
    </row>
    <row r="1169">
      <c r="A1169" s="32" t="str">
        <f>Demand!A1167</f>
        <v>S013</v>
      </c>
      <c r="B1169" s="35">
        <f>Demand!B1167</f>
        <v>46269.0</v>
      </c>
      <c r="C1169" s="33">
        <f>Demand!C1167</f>
        <v>21</v>
      </c>
      <c r="D1169" s="33">
        <f>Demand!E1167</f>
        <v>88</v>
      </c>
      <c r="E1169" s="33">
        <f>IF(Demand!F1167,1,0)</f>
        <v>1</v>
      </c>
      <c r="F1169" s="33">
        <f>COUNTIFS(c_store,A1169,c_date,B1169,c_hour,C1169)</f>
        <v>0</v>
      </c>
      <c r="G1169" s="33">
        <f>IF(F1169&gt;0,1,0)</f>
        <v>0</v>
      </c>
      <c r="H1169" s="33">
        <f>COUNTIFS(Demand!$A$2:$A$4481,A1169,Demand!$B$2:$B$4481,B1169,Demand!$C$2:$C$4481,C1169)</f>
        <v>1</v>
      </c>
    </row>
    <row r="1170">
      <c r="A1170" s="32" t="str">
        <f>Demand!A1168</f>
        <v>S013</v>
      </c>
      <c r="B1170" s="35">
        <f>Demand!B1168</f>
        <v>46269.0</v>
      </c>
      <c r="C1170" s="33">
        <f>Demand!C1168</f>
        <v>22</v>
      </c>
      <c r="D1170" s="33">
        <f>Demand!E1168</f>
        <v>49</v>
      </c>
      <c r="E1170" s="33">
        <f>IF(Demand!F1168,1,0)</f>
        <v>0</v>
      </c>
      <c r="F1170" s="33">
        <f>COUNTIFS(c_store,A1170,c_date,B1170,c_hour,C1170)</f>
        <v>0</v>
      </c>
      <c r="G1170" s="33">
        <f>IF(F1170&gt;0,1,0)</f>
        <v>0</v>
      </c>
      <c r="H1170" s="33">
        <f>COUNTIFS(Demand!$A$2:$A$4481,A1170,Demand!$B$2:$B$4481,B1170,Demand!$C$2:$C$4481,C1170)</f>
        <v>1</v>
      </c>
    </row>
    <row r="1171">
      <c r="A1171" s="32" t="str">
        <f>Demand!A1169</f>
        <v>S013</v>
      </c>
      <c r="B1171" s="35">
        <f>Demand!B1169</f>
        <v>46269.0</v>
      </c>
      <c r="C1171" s="33">
        <f>Demand!C1169</f>
        <v>23</v>
      </c>
      <c r="D1171" s="33">
        <f>Demand!E1169</f>
        <v>56</v>
      </c>
      <c r="E1171" s="33">
        <f>IF(Demand!F1169,1,0)</f>
        <v>0</v>
      </c>
      <c r="F1171" s="33">
        <f>COUNTIFS(c_store,A1171,c_date,B1171,c_hour,C1171)</f>
        <v>0</v>
      </c>
      <c r="G1171" s="33">
        <f>IF(F1171&gt;0,1,0)</f>
        <v>0</v>
      </c>
      <c r="H1171" s="33">
        <f>COUNTIFS(Demand!$A$2:$A$4481,A1171,Demand!$B$2:$B$4481,B1171,Demand!$C$2:$C$4481,C1171)</f>
        <v>1</v>
      </c>
    </row>
    <row r="1172">
      <c r="A1172" s="32" t="str">
        <f>Demand!A1170</f>
        <v>S014</v>
      </c>
      <c r="B1172" s="35">
        <f>Demand!B1170</f>
        <v>46269.0</v>
      </c>
      <c r="C1172" s="33">
        <f>Demand!C1170</f>
        <v>8</v>
      </c>
      <c r="D1172" s="33">
        <f>Demand!E1170</f>
        <v>25</v>
      </c>
      <c r="E1172" s="33">
        <f>IF(Demand!F1170,1,0)</f>
        <v>0</v>
      </c>
      <c r="F1172" s="33">
        <f>COUNTIFS(c_store,A1172,c_date,B1172,c_hour,C1172)</f>
        <v>1</v>
      </c>
      <c r="G1172" s="33">
        <f>IF(F1172&gt;0,1,0)</f>
        <v>1</v>
      </c>
      <c r="H1172" s="33">
        <f>COUNTIFS(Demand!$A$2:$A$4481,A1172,Demand!$B$2:$B$4481,B1172,Demand!$C$2:$C$4481,C1172)</f>
        <v>1</v>
      </c>
    </row>
    <row r="1173">
      <c r="A1173" s="32" t="str">
        <f>Demand!A1171</f>
        <v>S014</v>
      </c>
      <c r="B1173" s="35">
        <f>Demand!B1171</f>
        <v>46269.0</v>
      </c>
      <c r="C1173" s="33">
        <f>Demand!C1171</f>
        <v>9</v>
      </c>
      <c r="D1173" s="33">
        <f>Demand!E1171</f>
        <v>28</v>
      </c>
      <c r="E1173" s="33">
        <f>IF(Demand!F1171,1,0)</f>
        <v>0</v>
      </c>
      <c r="F1173" s="33">
        <f>COUNTIFS(c_store,A1173,c_date,B1173,c_hour,C1173)</f>
        <v>0</v>
      </c>
      <c r="G1173" s="33">
        <f>IF(F1173&gt;0,1,0)</f>
        <v>0</v>
      </c>
      <c r="H1173" s="33">
        <f>COUNTIFS(Demand!$A$2:$A$4481,A1173,Demand!$B$2:$B$4481,B1173,Demand!$C$2:$C$4481,C1173)</f>
        <v>1</v>
      </c>
    </row>
    <row r="1174">
      <c r="A1174" s="32" t="str">
        <f>Demand!A1172</f>
        <v>S014</v>
      </c>
      <c r="B1174" s="35">
        <f>Demand!B1172</f>
        <v>46269.0</v>
      </c>
      <c r="C1174" s="33">
        <f>Demand!C1172</f>
        <v>10</v>
      </c>
      <c r="D1174" s="33">
        <f>Demand!E1172</f>
        <v>21</v>
      </c>
      <c r="E1174" s="33">
        <f>IF(Demand!F1172,1,0)</f>
        <v>0</v>
      </c>
      <c r="F1174" s="33">
        <f>COUNTIFS(c_store,A1174,c_date,B1174,c_hour,C1174)</f>
        <v>0</v>
      </c>
      <c r="G1174" s="33">
        <f>IF(F1174&gt;0,1,0)</f>
        <v>0</v>
      </c>
      <c r="H1174" s="33">
        <f>COUNTIFS(Demand!$A$2:$A$4481,A1174,Demand!$B$2:$B$4481,B1174,Demand!$C$2:$C$4481,C1174)</f>
        <v>1</v>
      </c>
    </row>
    <row r="1175">
      <c r="A1175" s="32" t="str">
        <f>Demand!A1173</f>
        <v>S014</v>
      </c>
      <c r="B1175" s="35">
        <f>Demand!B1173</f>
        <v>46269.0</v>
      </c>
      <c r="C1175" s="33">
        <f>Demand!C1173</f>
        <v>11</v>
      </c>
      <c r="D1175" s="33">
        <f>Demand!E1173</f>
        <v>31</v>
      </c>
      <c r="E1175" s="33">
        <f>IF(Demand!F1173,1,0)</f>
        <v>0</v>
      </c>
      <c r="F1175" s="33">
        <f>COUNTIFS(c_store,A1175,c_date,B1175,c_hour,C1175)</f>
        <v>0</v>
      </c>
      <c r="G1175" s="33">
        <f>IF(F1175&gt;0,1,0)</f>
        <v>0</v>
      </c>
      <c r="H1175" s="33">
        <f>COUNTIFS(Demand!$A$2:$A$4481,A1175,Demand!$B$2:$B$4481,B1175,Demand!$C$2:$C$4481,C1175)</f>
        <v>1</v>
      </c>
    </row>
    <row r="1176">
      <c r="A1176" s="32" t="str">
        <f>Demand!A1174</f>
        <v>S014</v>
      </c>
      <c r="B1176" s="35">
        <f>Demand!B1174</f>
        <v>46269.0</v>
      </c>
      <c r="C1176" s="33">
        <f>Demand!C1174</f>
        <v>12</v>
      </c>
      <c r="D1176" s="33">
        <f>Demand!E1174</f>
        <v>32</v>
      </c>
      <c r="E1176" s="33">
        <f>IF(Demand!F1174,1,0)</f>
        <v>0</v>
      </c>
      <c r="F1176" s="33">
        <f>COUNTIFS(c_store,A1176,c_date,B1176,c_hour,C1176)</f>
        <v>0</v>
      </c>
      <c r="G1176" s="33">
        <f>IF(F1176&gt;0,1,0)</f>
        <v>0</v>
      </c>
      <c r="H1176" s="33">
        <f>COUNTIFS(Demand!$A$2:$A$4481,A1176,Demand!$B$2:$B$4481,B1176,Demand!$C$2:$C$4481,C1176)</f>
        <v>1</v>
      </c>
    </row>
    <row r="1177">
      <c r="A1177" s="32" t="str">
        <f>Demand!A1175</f>
        <v>S014</v>
      </c>
      <c r="B1177" s="35">
        <f>Demand!B1175</f>
        <v>46269.0</v>
      </c>
      <c r="C1177" s="33">
        <f>Demand!C1175</f>
        <v>13</v>
      </c>
      <c r="D1177" s="33">
        <f>Demand!E1175</f>
        <v>31</v>
      </c>
      <c r="E1177" s="33">
        <f>IF(Demand!F1175,1,0)</f>
        <v>0</v>
      </c>
      <c r="F1177" s="33">
        <f>COUNTIFS(c_store,A1177,c_date,B1177,c_hour,C1177)</f>
        <v>0</v>
      </c>
      <c r="G1177" s="33">
        <f>IF(F1177&gt;0,1,0)</f>
        <v>0</v>
      </c>
      <c r="H1177" s="33">
        <f>COUNTIFS(Demand!$A$2:$A$4481,A1177,Demand!$B$2:$B$4481,B1177,Demand!$C$2:$C$4481,C1177)</f>
        <v>1</v>
      </c>
    </row>
    <row r="1178">
      <c r="A1178" s="32" t="str">
        <f>Demand!A1176</f>
        <v>S014</v>
      </c>
      <c r="B1178" s="35">
        <f>Demand!B1176</f>
        <v>46269.0</v>
      </c>
      <c r="C1178" s="33">
        <f>Demand!C1176</f>
        <v>14</v>
      </c>
      <c r="D1178" s="33">
        <f>Demand!E1176</f>
        <v>30</v>
      </c>
      <c r="E1178" s="33">
        <f>IF(Demand!F1176,1,0)</f>
        <v>0</v>
      </c>
      <c r="F1178" s="33">
        <f>COUNTIFS(c_store,A1178,c_date,B1178,c_hour,C1178)</f>
        <v>1</v>
      </c>
      <c r="G1178" s="33">
        <f>IF(F1178&gt;0,1,0)</f>
        <v>1</v>
      </c>
      <c r="H1178" s="33">
        <f>COUNTIFS(Demand!$A$2:$A$4481,A1178,Demand!$B$2:$B$4481,B1178,Demand!$C$2:$C$4481,C1178)</f>
        <v>1</v>
      </c>
    </row>
    <row r="1179">
      <c r="A1179" s="32" t="str">
        <f>Demand!A1177</f>
        <v>S014</v>
      </c>
      <c r="B1179" s="35">
        <f>Demand!B1177</f>
        <v>46269.0</v>
      </c>
      <c r="C1179" s="33">
        <f>Demand!C1177</f>
        <v>15</v>
      </c>
      <c r="D1179" s="33">
        <f>Demand!E1177</f>
        <v>26</v>
      </c>
      <c r="E1179" s="33">
        <f>IF(Demand!F1177,1,0)</f>
        <v>0</v>
      </c>
      <c r="F1179" s="33">
        <f>COUNTIFS(c_store,A1179,c_date,B1179,c_hour,C1179)</f>
        <v>0</v>
      </c>
      <c r="G1179" s="33">
        <f>IF(F1179&gt;0,1,0)</f>
        <v>0</v>
      </c>
      <c r="H1179" s="33">
        <f>COUNTIFS(Demand!$A$2:$A$4481,A1179,Demand!$B$2:$B$4481,B1179,Demand!$C$2:$C$4481,C1179)</f>
        <v>1</v>
      </c>
    </row>
    <row r="1180">
      <c r="A1180" s="32" t="str">
        <f>Demand!A1178</f>
        <v>S014</v>
      </c>
      <c r="B1180" s="35">
        <f>Demand!B1178</f>
        <v>46269.0</v>
      </c>
      <c r="C1180" s="33">
        <f>Demand!C1178</f>
        <v>16</v>
      </c>
      <c r="D1180" s="33">
        <f>Demand!E1178</f>
        <v>49</v>
      </c>
      <c r="E1180" s="33">
        <f>IF(Demand!F1178,1,0)</f>
        <v>0</v>
      </c>
      <c r="F1180" s="33">
        <f>COUNTIFS(c_store,A1180,c_date,B1180,c_hour,C1180)</f>
        <v>0</v>
      </c>
      <c r="G1180" s="33">
        <f>IF(F1180&gt;0,1,0)</f>
        <v>0</v>
      </c>
      <c r="H1180" s="33">
        <f>COUNTIFS(Demand!$A$2:$A$4481,A1180,Demand!$B$2:$B$4481,B1180,Demand!$C$2:$C$4481,C1180)</f>
        <v>1</v>
      </c>
    </row>
    <row r="1181">
      <c r="A1181" s="32" t="str">
        <f>Demand!A1179</f>
        <v>S014</v>
      </c>
      <c r="B1181" s="35">
        <f>Demand!B1179</f>
        <v>46269.0</v>
      </c>
      <c r="C1181" s="33">
        <f>Demand!C1179</f>
        <v>17</v>
      </c>
      <c r="D1181" s="33">
        <f>Demand!E1179</f>
        <v>32</v>
      </c>
      <c r="E1181" s="33">
        <f>IF(Demand!F1179,1,0)</f>
        <v>0</v>
      </c>
      <c r="F1181" s="33">
        <f>COUNTIFS(c_store,A1181,c_date,B1181,c_hour,C1181)</f>
        <v>0</v>
      </c>
      <c r="G1181" s="33">
        <f>IF(F1181&gt;0,1,0)</f>
        <v>0</v>
      </c>
      <c r="H1181" s="33">
        <f>COUNTIFS(Demand!$A$2:$A$4481,A1181,Demand!$B$2:$B$4481,B1181,Demand!$C$2:$C$4481,C1181)</f>
        <v>1</v>
      </c>
    </row>
    <row r="1182">
      <c r="A1182" s="32" t="str">
        <f>Demand!A1180</f>
        <v>S014</v>
      </c>
      <c r="B1182" s="35">
        <f>Demand!B1180</f>
        <v>46269.0</v>
      </c>
      <c r="C1182" s="33">
        <f>Demand!C1180</f>
        <v>18</v>
      </c>
      <c r="D1182" s="33">
        <f>Demand!E1180</f>
        <v>34</v>
      </c>
      <c r="E1182" s="33">
        <f>IF(Demand!F1180,1,0)</f>
        <v>0</v>
      </c>
      <c r="F1182" s="33">
        <f>COUNTIFS(c_store,A1182,c_date,B1182,c_hour,C1182)</f>
        <v>0</v>
      </c>
      <c r="G1182" s="33">
        <f>IF(F1182&gt;0,1,0)</f>
        <v>0</v>
      </c>
      <c r="H1182" s="33">
        <f>COUNTIFS(Demand!$A$2:$A$4481,A1182,Demand!$B$2:$B$4481,B1182,Demand!$C$2:$C$4481,C1182)</f>
        <v>1</v>
      </c>
    </row>
    <row r="1183">
      <c r="A1183" s="32" t="str">
        <f>Demand!A1181</f>
        <v>S014</v>
      </c>
      <c r="B1183" s="35">
        <f>Demand!B1181</f>
        <v>46269.0</v>
      </c>
      <c r="C1183" s="33">
        <f>Demand!C1181</f>
        <v>19</v>
      </c>
      <c r="D1183" s="33">
        <f>Demand!E1181</f>
        <v>61</v>
      </c>
      <c r="E1183" s="33">
        <f>IF(Demand!F1181,1,0)</f>
        <v>1</v>
      </c>
      <c r="F1183" s="33">
        <f>COUNTIFS(c_store,A1183,c_date,B1183,c_hour,C1183)</f>
        <v>1</v>
      </c>
      <c r="G1183" s="33">
        <f>IF(F1183&gt;0,1,0)</f>
        <v>1</v>
      </c>
      <c r="H1183" s="33">
        <f>COUNTIFS(Demand!$A$2:$A$4481,A1183,Demand!$B$2:$B$4481,B1183,Demand!$C$2:$C$4481,C1183)</f>
        <v>1</v>
      </c>
    </row>
    <row r="1184">
      <c r="A1184" s="32" t="str">
        <f>Demand!A1182</f>
        <v>S014</v>
      </c>
      <c r="B1184" s="35">
        <f>Demand!B1182</f>
        <v>46269.0</v>
      </c>
      <c r="C1184" s="33">
        <f>Demand!C1182</f>
        <v>20</v>
      </c>
      <c r="D1184" s="33">
        <f>Demand!E1182</f>
        <v>53</v>
      </c>
      <c r="E1184" s="33">
        <f>IF(Demand!F1182,1,0)</f>
        <v>1</v>
      </c>
      <c r="F1184" s="33">
        <f>COUNTIFS(c_store,A1184,c_date,B1184,c_hour,C1184)</f>
        <v>1</v>
      </c>
      <c r="G1184" s="33">
        <f>IF(F1184&gt;0,1,0)</f>
        <v>1</v>
      </c>
      <c r="H1184" s="33">
        <f>COUNTIFS(Demand!$A$2:$A$4481,A1184,Demand!$B$2:$B$4481,B1184,Demand!$C$2:$C$4481,C1184)</f>
        <v>1</v>
      </c>
    </row>
    <row r="1185">
      <c r="A1185" s="32" t="str">
        <f>Demand!A1183</f>
        <v>S014</v>
      </c>
      <c r="B1185" s="35">
        <f>Demand!B1183</f>
        <v>46269.0</v>
      </c>
      <c r="C1185" s="33">
        <f>Demand!C1183</f>
        <v>21</v>
      </c>
      <c r="D1185" s="33">
        <f>Demand!E1183</f>
        <v>56</v>
      </c>
      <c r="E1185" s="33">
        <f>IF(Demand!F1183,1,0)</f>
        <v>1</v>
      </c>
      <c r="F1185" s="33">
        <f>COUNTIFS(c_store,A1185,c_date,B1185,c_hour,C1185)</f>
        <v>0</v>
      </c>
      <c r="G1185" s="33">
        <f>IF(F1185&gt;0,1,0)</f>
        <v>0</v>
      </c>
      <c r="H1185" s="33">
        <f>COUNTIFS(Demand!$A$2:$A$4481,A1185,Demand!$B$2:$B$4481,B1185,Demand!$C$2:$C$4481,C1185)</f>
        <v>1</v>
      </c>
    </row>
    <row r="1186">
      <c r="A1186" s="32" t="str">
        <f>Demand!A1184</f>
        <v>S014</v>
      </c>
      <c r="B1186" s="35">
        <f>Demand!B1184</f>
        <v>46269.0</v>
      </c>
      <c r="C1186" s="33">
        <f>Demand!C1184</f>
        <v>22</v>
      </c>
      <c r="D1186" s="33">
        <f>Demand!E1184</f>
        <v>35</v>
      </c>
      <c r="E1186" s="33">
        <f>IF(Demand!F1184,1,0)</f>
        <v>0</v>
      </c>
      <c r="F1186" s="33">
        <f>COUNTIFS(c_store,A1186,c_date,B1186,c_hour,C1186)</f>
        <v>0</v>
      </c>
      <c r="G1186" s="33">
        <f>IF(F1186&gt;0,1,0)</f>
        <v>0</v>
      </c>
      <c r="H1186" s="33">
        <f>COUNTIFS(Demand!$A$2:$A$4481,A1186,Demand!$B$2:$B$4481,B1186,Demand!$C$2:$C$4481,C1186)</f>
        <v>1</v>
      </c>
    </row>
    <row r="1187">
      <c r="A1187" s="32" t="str">
        <f>Demand!A1185</f>
        <v>S014</v>
      </c>
      <c r="B1187" s="35">
        <f>Demand!B1185</f>
        <v>46269.0</v>
      </c>
      <c r="C1187" s="33">
        <f>Demand!C1185</f>
        <v>23</v>
      </c>
      <c r="D1187" s="33">
        <f>Demand!E1185</f>
        <v>32</v>
      </c>
      <c r="E1187" s="33">
        <f>IF(Demand!F1185,1,0)</f>
        <v>0</v>
      </c>
      <c r="F1187" s="33">
        <f>COUNTIFS(c_store,A1187,c_date,B1187,c_hour,C1187)</f>
        <v>1</v>
      </c>
      <c r="G1187" s="33">
        <f>IF(F1187&gt;0,1,0)</f>
        <v>1</v>
      </c>
      <c r="H1187" s="33">
        <f>COUNTIFS(Demand!$A$2:$A$4481,A1187,Demand!$B$2:$B$4481,B1187,Demand!$C$2:$C$4481,C1187)</f>
        <v>1</v>
      </c>
    </row>
    <row r="1188">
      <c r="A1188" s="32" t="str">
        <f>Demand!A1186</f>
        <v>S015</v>
      </c>
      <c r="B1188" s="35">
        <f>Demand!B1186</f>
        <v>46269.0</v>
      </c>
      <c r="C1188" s="33">
        <f>Demand!C1186</f>
        <v>8</v>
      </c>
      <c r="D1188" s="33">
        <f>Demand!E1186</f>
        <v>14</v>
      </c>
      <c r="E1188" s="33">
        <f>IF(Demand!F1186,1,0)</f>
        <v>0</v>
      </c>
      <c r="F1188" s="33">
        <f>COUNTIFS(c_store,A1188,c_date,B1188,c_hour,C1188)</f>
        <v>1</v>
      </c>
      <c r="G1188" s="33">
        <f>IF(F1188&gt;0,1,0)</f>
        <v>1</v>
      </c>
      <c r="H1188" s="33">
        <f>COUNTIFS(Demand!$A$2:$A$4481,A1188,Demand!$B$2:$B$4481,B1188,Demand!$C$2:$C$4481,C1188)</f>
        <v>1</v>
      </c>
    </row>
    <row r="1189">
      <c r="A1189" s="32" t="str">
        <f>Demand!A1187</f>
        <v>S015</v>
      </c>
      <c r="B1189" s="35">
        <f>Demand!B1187</f>
        <v>46269.0</v>
      </c>
      <c r="C1189" s="33">
        <f>Demand!C1187</f>
        <v>9</v>
      </c>
      <c r="D1189" s="33">
        <f>Demand!E1187</f>
        <v>17</v>
      </c>
      <c r="E1189" s="33">
        <f>IF(Demand!F1187,1,0)</f>
        <v>0</v>
      </c>
      <c r="F1189" s="33">
        <f>COUNTIFS(c_store,A1189,c_date,B1189,c_hour,C1189)</f>
        <v>1</v>
      </c>
      <c r="G1189" s="33">
        <f>IF(F1189&gt;0,1,0)</f>
        <v>1</v>
      </c>
      <c r="H1189" s="33">
        <f>COUNTIFS(Demand!$A$2:$A$4481,A1189,Demand!$B$2:$B$4481,B1189,Demand!$C$2:$C$4481,C1189)</f>
        <v>1</v>
      </c>
    </row>
    <row r="1190">
      <c r="A1190" s="32" t="str">
        <f>Demand!A1188</f>
        <v>S015</v>
      </c>
      <c r="B1190" s="35">
        <f>Demand!B1188</f>
        <v>46269.0</v>
      </c>
      <c r="C1190" s="33">
        <f>Demand!C1188</f>
        <v>10</v>
      </c>
      <c r="D1190" s="33">
        <f>Demand!E1188</f>
        <v>18</v>
      </c>
      <c r="E1190" s="33">
        <f>IF(Demand!F1188,1,0)</f>
        <v>0</v>
      </c>
      <c r="F1190" s="33">
        <f>COUNTIFS(c_store,A1190,c_date,B1190,c_hour,C1190)</f>
        <v>0</v>
      </c>
      <c r="G1190" s="33">
        <f>IF(F1190&gt;0,1,0)</f>
        <v>0</v>
      </c>
      <c r="H1190" s="33">
        <f>COUNTIFS(Demand!$A$2:$A$4481,A1190,Demand!$B$2:$B$4481,B1190,Demand!$C$2:$C$4481,C1190)</f>
        <v>1</v>
      </c>
    </row>
    <row r="1191">
      <c r="A1191" s="32" t="str">
        <f>Demand!A1189</f>
        <v>S015</v>
      </c>
      <c r="B1191" s="35">
        <f>Demand!B1189</f>
        <v>46269.0</v>
      </c>
      <c r="C1191" s="33">
        <f>Demand!C1189</f>
        <v>11</v>
      </c>
      <c r="D1191" s="33">
        <f>Demand!E1189</f>
        <v>15</v>
      </c>
      <c r="E1191" s="33">
        <f>IF(Demand!F1189,1,0)</f>
        <v>0</v>
      </c>
      <c r="F1191" s="33">
        <f>COUNTIFS(c_store,A1191,c_date,B1191,c_hour,C1191)</f>
        <v>2</v>
      </c>
      <c r="G1191" s="33">
        <f>IF(F1191&gt;0,1,0)</f>
        <v>1</v>
      </c>
      <c r="H1191" s="33">
        <f>COUNTIFS(Demand!$A$2:$A$4481,A1191,Demand!$B$2:$B$4481,B1191,Demand!$C$2:$C$4481,C1191)</f>
        <v>1</v>
      </c>
    </row>
    <row r="1192">
      <c r="A1192" s="32" t="str">
        <f>Demand!A1190</f>
        <v>S015</v>
      </c>
      <c r="B1192" s="35">
        <f>Demand!B1190</f>
        <v>46269.0</v>
      </c>
      <c r="C1192" s="33">
        <f>Demand!C1190</f>
        <v>12</v>
      </c>
      <c r="D1192" s="33">
        <f>Demand!E1190</f>
        <v>19</v>
      </c>
      <c r="E1192" s="33">
        <f>IF(Demand!F1190,1,0)</f>
        <v>0</v>
      </c>
      <c r="F1192" s="33">
        <f>COUNTIFS(c_store,A1192,c_date,B1192,c_hour,C1192)</f>
        <v>0</v>
      </c>
      <c r="G1192" s="33">
        <f>IF(F1192&gt;0,1,0)</f>
        <v>0</v>
      </c>
      <c r="H1192" s="33">
        <f>COUNTIFS(Demand!$A$2:$A$4481,A1192,Demand!$B$2:$B$4481,B1192,Demand!$C$2:$C$4481,C1192)</f>
        <v>1</v>
      </c>
    </row>
    <row r="1193">
      <c r="A1193" s="32" t="str">
        <f>Demand!A1191</f>
        <v>S015</v>
      </c>
      <c r="B1193" s="35">
        <f>Demand!B1191</f>
        <v>46269.0</v>
      </c>
      <c r="C1193" s="33">
        <f>Demand!C1191</f>
        <v>13</v>
      </c>
      <c r="D1193" s="33">
        <f>Demand!E1191</f>
        <v>26</v>
      </c>
      <c r="E1193" s="33">
        <f>IF(Demand!F1191,1,0)</f>
        <v>0</v>
      </c>
      <c r="F1193" s="33">
        <f>COUNTIFS(c_store,A1193,c_date,B1193,c_hour,C1193)</f>
        <v>1</v>
      </c>
      <c r="G1193" s="33">
        <f>IF(F1193&gt;0,1,0)</f>
        <v>1</v>
      </c>
      <c r="H1193" s="33">
        <f>COUNTIFS(Demand!$A$2:$A$4481,A1193,Demand!$B$2:$B$4481,B1193,Demand!$C$2:$C$4481,C1193)</f>
        <v>1</v>
      </c>
    </row>
    <row r="1194">
      <c r="A1194" s="32" t="str">
        <f>Demand!A1192</f>
        <v>S015</v>
      </c>
      <c r="B1194" s="35">
        <f>Demand!B1192</f>
        <v>46269.0</v>
      </c>
      <c r="C1194" s="33">
        <f>Demand!C1192</f>
        <v>14</v>
      </c>
      <c r="D1194" s="33">
        <f>Demand!E1192</f>
        <v>17</v>
      </c>
      <c r="E1194" s="33">
        <f>IF(Demand!F1192,1,0)</f>
        <v>0</v>
      </c>
      <c r="F1194" s="33">
        <f>COUNTIFS(c_store,A1194,c_date,B1194,c_hour,C1194)</f>
        <v>0</v>
      </c>
      <c r="G1194" s="33">
        <f>IF(F1194&gt;0,1,0)</f>
        <v>0</v>
      </c>
      <c r="H1194" s="33">
        <f>COUNTIFS(Demand!$A$2:$A$4481,A1194,Demand!$B$2:$B$4481,B1194,Demand!$C$2:$C$4481,C1194)</f>
        <v>1</v>
      </c>
    </row>
    <row r="1195">
      <c r="A1195" s="32" t="str">
        <f>Demand!A1193</f>
        <v>S015</v>
      </c>
      <c r="B1195" s="35">
        <f>Demand!B1193</f>
        <v>46269.0</v>
      </c>
      <c r="C1195" s="33">
        <f>Demand!C1193</f>
        <v>15</v>
      </c>
      <c r="D1195" s="33">
        <f>Demand!E1193</f>
        <v>24</v>
      </c>
      <c r="E1195" s="33">
        <f>IF(Demand!F1193,1,0)</f>
        <v>0</v>
      </c>
      <c r="F1195" s="33">
        <f>COUNTIFS(c_store,A1195,c_date,B1195,c_hour,C1195)</f>
        <v>2</v>
      </c>
      <c r="G1195" s="33">
        <f>IF(F1195&gt;0,1,0)</f>
        <v>1</v>
      </c>
      <c r="H1195" s="33">
        <f>COUNTIFS(Demand!$A$2:$A$4481,A1195,Demand!$B$2:$B$4481,B1195,Demand!$C$2:$C$4481,C1195)</f>
        <v>1</v>
      </c>
    </row>
    <row r="1196">
      <c r="A1196" s="32" t="str">
        <f>Demand!A1194</f>
        <v>S015</v>
      </c>
      <c r="B1196" s="35">
        <f>Demand!B1194</f>
        <v>46269.0</v>
      </c>
      <c r="C1196" s="33">
        <f>Demand!C1194</f>
        <v>16</v>
      </c>
      <c r="D1196" s="33">
        <f>Demand!E1194</f>
        <v>22</v>
      </c>
      <c r="E1196" s="33">
        <f>IF(Demand!F1194,1,0)</f>
        <v>0</v>
      </c>
      <c r="F1196" s="33">
        <f>COUNTIFS(c_store,A1196,c_date,B1196,c_hour,C1196)</f>
        <v>1</v>
      </c>
      <c r="G1196" s="33">
        <f>IF(F1196&gt;0,1,0)</f>
        <v>1</v>
      </c>
      <c r="H1196" s="33">
        <f>COUNTIFS(Demand!$A$2:$A$4481,A1196,Demand!$B$2:$B$4481,B1196,Demand!$C$2:$C$4481,C1196)</f>
        <v>1</v>
      </c>
    </row>
    <row r="1197">
      <c r="A1197" s="32" t="str">
        <f>Demand!A1195</f>
        <v>S015</v>
      </c>
      <c r="B1197" s="35">
        <f>Demand!B1195</f>
        <v>46269.0</v>
      </c>
      <c r="C1197" s="33">
        <f>Demand!C1195</f>
        <v>17</v>
      </c>
      <c r="D1197" s="33">
        <f>Demand!E1195</f>
        <v>15</v>
      </c>
      <c r="E1197" s="33">
        <f>IF(Demand!F1195,1,0)</f>
        <v>0</v>
      </c>
      <c r="F1197" s="33">
        <f>COUNTIFS(c_store,A1197,c_date,B1197,c_hour,C1197)</f>
        <v>0</v>
      </c>
      <c r="G1197" s="33">
        <f>IF(F1197&gt;0,1,0)</f>
        <v>0</v>
      </c>
      <c r="H1197" s="33">
        <f>COUNTIFS(Demand!$A$2:$A$4481,A1197,Demand!$B$2:$B$4481,B1197,Demand!$C$2:$C$4481,C1197)</f>
        <v>1</v>
      </c>
    </row>
    <row r="1198">
      <c r="A1198" s="32" t="str">
        <f>Demand!A1196</f>
        <v>S015</v>
      </c>
      <c r="B1198" s="35">
        <f>Demand!B1196</f>
        <v>46269.0</v>
      </c>
      <c r="C1198" s="33">
        <f>Demand!C1196</f>
        <v>18</v>
      </c>
      <c r="D1198" s="33">
        <f>Demand!E1196</f>
        <v>21</v>
      </c>
      <c r="E1198" s="33">
        <f>IF(Demand!F1196,1,0)</f>
        <v>0</v>
      </c>
      <c r="F1198" s="33">
        <f>COUNTIFS(c_store,A1198,c_date,B1198,c_hour,C1198)</f>
        <v>0</v>
      </c>
      <c r="G1198" s="33">
        <f>IF(F1198&gt;0,1,0)</f>
        <v>0</v>
      </c>
      <c r="H1198" s="33">
        <f>COUNTIFS(Demand!$A$2:$A$4481,A1198,Demand!$B$2:$B$4481,B1198,Demand!$C$2:$C$4481,C1198)</f>
        <v>1</v>
      </c>
    </row>
    <row r="1199">
      <c r="A1199" s="32" t="str">
        <f>Demand!A1197</f>
        <v>S015</v>
      </c>
      <c r="B1199" s="35">
        <f>Demand!B1197</f>
        <v>46269.0</v>
      </c>
      <c r="C1199" s="33">
        <f>Demand!C1197</f>
        <v>19</v>
      </c>
      <c r="D1199" s="33">
        <f>Demand!E1197</f>
        <v>33</v>
      </c>
      <c r="E1199" s="33">
        <f>IF(Demand!F1197,1,0)</f>
        <v>1</v>
      </c>
      <c r="F1199" s="33">
        <f>COUNTIFS(c_store,A1199,c_date,B1199,c_hour,C1199)</f>
        <v>1</v>
      </c>
      <c r="G1199" s="33">
        <f>IF(F1199&gt;0,1,0)</f>
        <v>1</v>
      </c>
      <c r="H1199" s="33">
        <f>COUNTIFS(Demand!$A$2:$A$4481,A1199,Demand!$B$2:$B$4481,B1199,Demand!$C$2:$C$4481,C1199)</f>
        <v>1</v>
      </c>
    </row>
    <row r="1200">
      <c r="A1200" s="32" t="str">
        <f>Demand!A1198</f>
        <v>S015</v>
      </c>
      <c r="B1200" s="35">
        <f>Demand!B1198</f>
        <v>46269.0</v>
      </c>
      <c r="C1200" s="33">
        <f>Demand!C1198</f>
        <v>20</v>
      </c>
      <c r="D1200" s="33">
        <f>Demand!E1198</f>
        <v>34</v>
      </c>
      <c r="E1200" s="33">
        <f>IF(Demand!F1198,1,0)</f>
        <v>1</v>
      </c>
      <c r="F1200" s="33">
        <f>COUNTIFS(c_store,A1200,c_date,B1200,c_hour,C1200)</f>
        <v>0</v>
      </c>
      <c r="G1200" s="33">
        <f>IF(F1200&gt;0,1,0)</f>
        <v>0</v>
      </c>
      <c r="H1200" s="33">
        <f>COUNTIFS(Demand!$A$2:$A$4481,A1200,Demand!$B$2:$B$4481,B1200,Demand!$C$2:$C$4481,C1200)</f>
        <v>1</v>
      </c>
    </row>
    <row r="1201">
      <c r="A1201" s="32" t="str">
        <f>Demand!A1199</f>
        <v>S015</v>
      </c>
      <c r="B1201" s="35">
        <f>Demand!B1199</f>
        <v>46269.0</v>
      </c>
      <c r="C1201" s="33">
        <f>Demand!C1199</f>
        <v>21</v>
      </c>
      <c r="D1201" s="33">
        <f>Demand!E1199</f>
        <v>33</v>
      </c>
      <c r="E1201" s="33">
        <f>IF(Demand!F1199,1,0)</f>
        <v>1</v>
      </c>
      <c r="F1201" s="33">
        <f>COUNTIFS(c_store,A1201,c_date,B1201,c_hour,C1201)</f>
        <v>0</v>
      </c>
      <c r="G1201" s="33">
        <f>IF(F1201&gt;0,1,0)</f>
        <v>0</v>
      </c>
      <c r="H1201" s="33">
        <f>COUNTIFS(Demand!$A$2:$A$4481,A1201,Demand!$B$2:$B$4481,B1201,Demand!$C$2:$C$4481,C1201)</f>
        <v>1</v>
      </c>
    </row>
    <row r="1202">
      <c r="A1202" s="32" t="str">
        <f>Demand!A1200</f>
        <v>S015</v>
      </c>
      <c r="B1202" s="35">
        <f>Demand!B1200</f>
        <v>46269.0</v>
      </c>
      <c r="C1202" s="33">
        <f>Demand!C1200</f>
        <v>22</v>
      </c>
      <c r="D1202" s="33">
        <f>Demand!E1200</f>
        <v>19</v>
      </c>
      <c r="E1202" s="33">
        <f>IF(Demand!F1200,1,0)</f>
        <v>0</v>
      </c>
      <c r="F1202" s="33">
        <f>COUNTIFS(c_store,A1202,c_date,B1202,c_hour,C1202)</f>
        <v>1</v>
      </c>
      <c r="G1202" s="33">
        <f>IF(F1202&gt;0,1,0)</f>
        <v>1</v>
      </c>
      <c r="H1202" s="33">
        <f>COUNTIFS(Demand!$A$2:$A$4481,A1202,Demand!$B$2:$B$4481,B1202,Demand!$C$2:$C$4481,C1202)</f>
        <v>1</v>
      </c>
    </row>
    <row r="1203">
      <c r="A1203" s="32" t="str">
        <f>Demand!A1201</f>
        <v>S015</v>
      </c>
      <c r="B1203" s="35">
        <f>Demand!B1201</f>
        <v>46269.0</v>
      </c>
      <c r="C1203" s="33">
        <f>Demand!C1201</f>
        <v>23</v>
      </c>
      <c r="D1203" s="33">
        <f>Demand!E1201</f>
        <v>25</v>
      </c>
      <c r="E1203" s="33">
        <f>IF(Demand!F1201,1,0)</f>
        <v>0</v>
      </c>
      <c r="F1203" s="33">
        <f>COUNTIFS(c_store,A1203,c_date,B1203,c_hour,C1203)</f>
        <v>0</v>
      </c>
      <c r="G1203" s="33">
        <f>IF(F1203&gt;0,1,0)</f>
        <v>0</v>
      </c>
      <c r="H1203" s="33">
        <f>COUNTIFS(Demand!$A$2:$A$4481,A1203,Demand!$B$2:$B$4481,B1203,Demand!$C$2:$C$4481,C1203)</f>
        <v>1</v>
      </c>
    </row>
    <row r="1204">
      <c r="A1204" s="32" t="str">
        <f>Demand!A1202</f>
        <v>S016</v>
      </c>
      <c r="B1204" s="35">
        <f>Demand!B1202</f>
        <v>46269.0</v>
      </c>
      <c r="C1204" s="33">
        <f>Demand!C1202</f>
        <v>8</v>
      </c>
      <c r="D1204" s="33">
        <f>Demand!E1202</f>
        <v>13</v>
      </c>
      <c r="E1204" s="33">
        <f>IF(Demand!F1202,1,0)</f>
        <v>0</v>
      </c>
      <c r="F1204" s="33">
        <f>COUNTIFS(c_store,A1204,c_date,B1204,c_hour,C1204)</f>
        <v>0</v>
      </c>
      <c r="G1204" s="33">
        <f>IF(F1204&gt;0,1,0)</f>
        <v>0</v>
      </c>
      <c r="H1204" s="33">
        <f>COUNTIFS(Demand!$A$2:$A$4481,A1204,Demand!$B$2:$B$4481,B1204,Demand!$C$2:$C$4481,C1204)</f>
        <v>1</v>
      </c>
    </row>
    <row r="1205">
      <c r="A1205" s="32" t="str">
        <f>Demand!A1203</f>
        <v>S016</v>
      </c>
      <c r="B1205" s="35">
        <f>Demand!B1203</f>
        <v>46269.0</v>
      </c>
      <c r="C1205" s="33">
        <f>Demand!C1203</f>
        <v>9</v>
      </c>
      <c r="D1205" s="33">
        <f>Demand!E1203</f>
        <v>18</v>
      </c>
      <c r="E1205" s="33">
        <f>IF(Demand!F1203,1,0)</f>
        <v>0</v>
      </c>
      <c r="F1205" s="33">
        <f>COUNTIFS(c_store,A1205,c_date,B1205,c_hour,C1205)</f>
        <v>0</v>
      </c>
      <c r="G1205" s="33">
        <f>IF(F1205&gt;0,1,0)</f>
        <v>0</v>
      </c>
      <c r="H1205" s="33">
        <f>COUNTIFS(Demand!$A$2:$A$4481,A1205,Demand!$B$2:$B$4481,B1205,Demand!$C$2:$C$4481,C1205)</f>
        <v>1</v>
      </c>
    </row>
    <row r="1206">
      <c r="A1206" s="32" t="str">
        <f>Demand!A1204</f>
        <v>S016</v>
      </c>
      <c r="B1206" s="35">
        <f>Demand!B1204</f>
        <v>46269.0</v>
      </c>
      <c r="C1206" s="33">
        <f>Demand!C1204</f>
        <v>10</v>
      </c>
      <c r="D1206" s="33">
        <f>Demand!E1204</f>
        <v>13</v>
      </c>
      <c r="E1206" s="33">
        <f>IF(Demand!F1204,1,0)</f>
        <v>0</v>
      </c>
      <c r="F1206" s="33">
        <f>COUNTIFS(c_store,A1206,c_date,B1206,c_hour,C1206)</f>
        <v>2</v>
      </c>
      <c r="G1206" s="33">
        <f>IF(F1206&gt;0,1,0)</f>
        <v>1</v>
      </c>
      <c r="H1206" s="33">
        <f>COUNTIFS(Demand!$A$2:$A$4481,A1206,Demand!$B$2:$B$4481,B1206,Demand!$C$2:$C$4481,C1206)</f>
        <v>1</v>
      </c>
    </row>
    <row r="1207">
      <c r="A1207" s="32" t="str">
        <f>Demand!A1205</f>
        <v>S016</v>
      </c>
      <c r="B1207" s="35">
        <f>Demand!B1205</f>
        <v>46269.0</v>
      </c>
      <c r="C1207" s="33">
        <f>Demand!C1205</f>
        <v>11</v>
      </c>
      <c r="D1207" s="33">
        <f>Demand!E1205</f>
        <v>19</v>
      </c>
      <c r="E1207" s="33">
        <f>IF(Demand!F1205,1,0)</f>
        <v>0</v>
      </c>
      <c r="F1207" s="33">
        <f>COUNTIFS(c_store,A1207,c_date,B1207,c_hour,C1207)</f>
        <v>1</v>
      </c>
      <c r="G1207" s="33">
        <f>IF(F1207&gt;0,1,0)</f>
        <v>1</v>
      </c>
      <c r="H1207" s="33">
        <f>COUNTIFS(Demand!$A$2:$A$4481,A1207,Demand!$B$2:$B$4481,B1207,Demand!$C$2:$C$4481,C1207)</f>
        <v>1</v>
      </c>
    </row>
    <row r="1208">
      <c r="A1208" s="32" t="str">
        <f>Demand!A1206</f>
        <v>S016</v>
      </c>
      <c r="B1208" s="35">
        <f>Demand!B1206</f>
        <v>46269.0</v>
      </c>
      <c r="C1208" s="33">
        <f>Demand!C1206</f>
        <v>12</v>
      </c>
      <c r="D1208" s="33">
        <f>Demand!E1206</f>
        <v>19</v>
      </c>
      <c r="E1208" s="33">
        <f>IF(Demand!F1206,1,0)</f>
        <v>0</v>
      </c>
      <c r="F1208" s="33">
        <f>COUNTIFS(c_store,A1208,c_date,B1208,c_hour,C1208)</f>
        <v>0</v>
      </c>
      <c r="G1208" s="33">
        <f>IF(F1208&gt;0,1,0)</f>
        <v>0</v>
      </c>
      <c r="H1208" s="33">
        <f>COUNTIFS(Demand!$A$2:$A$4481,A1208,Demand!$B$2:$B$4481,B1208,Demand!$C$2:$C$4481,C1208)</f>
        <v>1</v>
      </c>
    </row>
    <row r="1209">
      <c r="A1209" s="32" t="str">
        <f>Demand!A1207</f>
        <v>S016</v>
      </c>
      <c r="B1209" s="35">
        <f>Demand!B1207</f>
        <v>46269.0</v>
      </c>
      <c r="C1209" s="33">
        <f>Demand!C1207</f>
        <v>13</v>
      </c>
      <c r="D1209" s="33">
        <f>Demand!E1207</f>
        <v>21</v>
      </c>
      <c r="E1209" s="33">
        <f>IF(Demand!F1207,1,0)</f>
        <v>0</v>
      </c>
      <c r="F1209" s="33">
        <f>COUNTIFS(c_store,A1209,c_date,B1209,c_hour,C1209)</f>
        <v>0</v>
      </c>
      <c r="G1209" s="33">
        <f>IF(F1209&gt;0,1,0)</f>
        <v>0</v>
      </c>
      <c r="H1209" s="33">
        <f>COUNTIFS(Demand!$A$2:$A$4481,A1209,Demand!$B$2:$B$4481,B1209,Demand!$C$2:$C$4481,C1209)</f>
        <v>1</v>
      </c>
    </row>
    <row r="1210">
      <c r="A1210" s="32" t="str">
        <f>Demand!A1208</f>
        <v>S016</v>
      </c>
      <c r="B1210" s="35">
        <f>Demand!B1208</f>
        <v>46269.0</v>
      </c>
      <c r="C1210" s="33">
        <f>Demand!C1208</f>
        <v>14</v>
      </c>
      <c r="D1210" s="33">
        <f>Demand!E1208</f>
        <v>23</v>
      </c>
      <c r="E1210" s="33">
        <f>IF(Demand!F1208,1,0)</f>
        <v>0</v>
      </c>
      <c r="F1210" s="33">
        <f>COUNTIFS(c_store,A1210,c_date,B1210,c_hour,C1210)</f>
        <v>0</v>
      </c>
      <c r="G1210" s="33">
        <f>IF(F1210&gt;0,1,0)</f>
        <v>0</v>
      </c>
      <c r="H1210" s="33">
        <f>COUNTIFS(Demand!$A$2:$A$4481,A1210,Demand!$B$2:$B$4481,B1210,Demand!$C$2:$C$4481,C1210)</f>
        <v>1</v>
      </c>
    </row>
    <row r="1211">
      <c r="A1211" s="32" t="str">
        <f>Demand!A1209</f>
        <v>S016</v>
      </c>
      <c r="B1211" s="35">
        <f>Demand!B1209</f>
        <v>46269.0</v>
      </c>
      <c r="C1211" s="33">
        <f>Demand!C1209</f>
        <v>15</v>
      </c>
      <c r="D1211" s="33">
        <f>Demand!E1209</f>
        <v>23</v>
      </c>
      <c r="E1211" s="33">
        <f>IF(Demand!F1209,1,0)</f>
        <v>0</v>
      </c>
      <c r="F1211" s="33">
        <f>COUNTIFS(c_store,A1211,c_date,B1211,c_hour,C1211)</f>
        <v>0</v>
      </c>
      <c r="G1211" s="33">
        <f>IF(F1211&gt;0,1,0)</f>
        <v>0</v>
      </c>
      <c r="H1211" s="33">
        <f>COUNTIFS(Demand!$A$2:$A$4481,A1211,Demand!$B$2:$B$4481,B1211,Demand!$C$2:$C$4481,C1211)</f>
        <v>1</v>
      </c>
    </row>
    <row r="1212">
      <c r="A1212" s="32" t="str">
        <f>Demand!A1210</f>
        <v>S016</v>
      </c>
      <c r="B1212" s="35">
        <f>Demand!B1210</f>
        <v>46269.0</v>
      </c>
      <c r="C1212" s="33">
        <f>Demand!C1210</f>
        <v>16</v>
      </c>
      <c r="D1212" s="33">
        <f>Demand!E1210</f>
        <v>30</v>
      </c>
      <c r="E1212" s="33">
        <f>IF(Demand!F1210,1,0)</f>
        <v>0</v>
      </c>
      <c r="F1212" s="33">
        <f>COUNTIFS(c_store,A1212,c_date,B1212,c_hour,C1212)</f>
        <v>0</v>
      </c>
      <c r="G1212" s="33">
        <f>IF(F1212&gt;0,1,0)</f>
        <v>0</v>
      </c>
      <c r="H1212" s="33">
        <f>COUNTIFS(Demand!$A$2:$A$4481,A1212,Demand!$B$2:$B$4481,B1212,Demand!$C$2:$C$4481,C1212)</f>
        <v>1</v>
      </c>
    </row>
    <row r="1213">
      <c r="A1213" s="32" t="str">
        <f>Demand!A1211</f>
        <v>S016</v>
      </c>
      <c r="B1213" s="35">
        <f>Demand!B1211</f>
        <v>46269.0</v>
      </c>
      <c r="C1213" s="33">
        <f>Demand!C1211</f>
        <v>17</v>
      </c>
      <c r="D1213" s="33">
        <f>Demand!E1211</f>
        <v>25</v>
      </c>
      <c r="E1213" s="33">
        <f>IF(Demand!F1211,1,0)</f>
        <v>0</v>
      </c>
      <c r="F1213" s="33">
        <f>COUNTIFS(c_store,A1213,c_date,B1213,c_hour,C1213)</f>
        <v>0</v>
      </c>
      <c r="G1213" s="33">
        <f>IF(F1213&gt;0,1,0)</f>
        <v>0</v>
      </c>
      <c r="H1213" s="33">
        <f>COUNTIFS(Demand!$A$2:$A$4481,A1213,Demand!$B$2:$B$4481,B1213,Demand!$C$2:$C$4481,C1213)</f>
        <v>1</v>
      </c>
    </row>
    <row r="1214">
      <c r="A1214" s="32" t="str">
        <f>Demand!A1212</f>
        <v>S016</v>
      </c>
      <c r="B1214" s="35">
        <f>Demand!B1212</f>
        <v>46269.0</v>
      </c>
      <c r="C1214" s="33">
        <f>Demand!C1212</f>
        <v>18</v>
      </c>
      <c r="D1214" s="33">
        <f>Demand!E1212</f>
        <v>24</v>
      </c>
      <c r="E1214" s="33">
        <f>IF(Demand!F1212,1,0)</f>
        <v>0</v>
      </c>
      <c r="F1214" s="33">
        <f>COUNTIFS(c_store,A1214,c_date,B1214,c_hour,C1214)</f>
        <v>0</v>
      </c>
      <c r="G1214" s="33">
        <f>IF(F1214&gt;0,1,0)</f>
        <v>0</v>
      </c>
      <c r="H1214" s="33">
        <f>COUNTIFS(Demand!$A$2:$A$4481,A1214,Demand!$B$2:$B$4481,B1214,Demand!$C$2:$C$4481,C1214)</f>
        <v>1</v>
      </c>
    </row>
    <row r="1215">
      <c r="A1215" s="32" t="str">
        <f>Demand!A1213</f>
        <v>S016</v>
      </c>
      <c r="B1215" s="35">
        <f>Demand!B1213</f>
        <v>46269.0</v>
      </c>
      <c r="C1215" s="33">
        <f>Demand!C1213</f>
        <v>19</v>
      </c>
      <c r="D1215" s="33">
        <f>Demand!E1213</f>
        <v>29</v>
      </c>
      <c r="E1215" s="33">
        <f>IF(Demand!F1213,1,0)</f>
        <v>1</v>
      </c>
      <c r="F1215" s="33">
        <f>COUNTIFS(c_store,A1215,c_date,B1215,c_hour,C1215)</f>
        <v>1</v>
      </c>
      <c r="G1215" s="33">
        <f>IF(F1215&gt;0,1,0)</f>
        <v>1</v>
      </c>
      <c r="H1215" s="33">
        <f>COUNTIFS(Demand!$A$2:$A$4481,A1215,Demand!$B$2:$B$4481,B1215,Demand!$C$2:$C$4481,C1215)</f>
        <v>1</v>
      </c>
    </row>
    <row r="1216">
      <c r="A1216" s="32" t="str">
        <f>Demand!A1214</f>
        <v>S016</v>
      </c>
      <c r="B1216" s="35">
        <f>Demand!B1214</f>
        <v>46269.0</v>
      </c>
      <c r="C1216" s="33">
        <f>Demand!C1214</f>
        <v>20</v>
      </c>
      <c r="D1216" s="33">
        <f>Demand!E1214</f>
        <v>53</v>
      </c>
      <c r="E1216" s="33">
        <f>IF(Demand!F1214,1,0)</f>
        <v>1</v>
      </c>
      <c r="F1216" s="33">
        <f>COUNTIFS(c_store,A1216,c_date,B1216,c_hour,C1216)</f>
        <v>0</v>
      </c>
      <c r="G1216" s="33">
        <f>IF(F1216&gt;0,1,0)</f>
        <v>0</v>
      </c>
      <c r="H1216" s="33">
        <f>COUNTIFS(Demand!$A$2:$A$4481,A1216,Demand!$B$2:$B$4481,B1216,Demand!$C$2:$C$4481,C1216)</f>
        <v>1</v>
      </c>
    </row>
    <row r="1217">
      <c r="A1217" s="32" t="str">
        <f>Demand!A1215</f>
        <v>S016</v>
      </c>
      <c r="B1217" s="35">
        <f>Demand!B1215</f>
        <v>46269.0</v>
      </c>
      <c r="C1217" s="33">
        <f>Demand!C1215</f>
        <v>21</v>
      </c>
      <c r="D1217" s="33">
        <f>Demand!E1215</f>
        <v>31</v>
      </c>
      <c r="E1217" s="33">
        <f>IF(Demand!F1215,1,0)</f>
        <v>1</v>
      </c>
      <c r="F1217" s="33">
        <f>COUNTIFS(c_store,A1217,c_date,B1217,c_hour,C1217)</f>
        <v>1</v>
      </c>
      <c r="G1217" s="33">
        <f>IF(F1217&gt;0,1,0)</f>
        <v>1</v>
      </c>
      <c r="H1217" s="33">
        <f>COUNTIFS(Demand!$A$2:$A$4481,A1217,Demand!$B$2:$B$4481,B1217,Demand!$C$2:$C$4481,C1217)</f>
        <v>1</v>
      </c>
    </row>
    <row r="1218">
      <c r="A1218" s="32" t="str">
        <f>Demand!A1216</f>
        <v>S016</v>
      </c>
      <c r="B1218" s="35">
        <f>Demand!B1216</f>
        <v>46269.0</v>
      </c>
      <c r="C1218" s="33">
        <f>Demand!C1216</f>
        <v>22</v>
      </c>
      <c r="D1218" s="33">
        <f>Demand!E1216</f>
        <v>29</v>
      </c>
      <c r="E1218" s="33">
        <f>IF(Demand!F1216,1,0)</f>
        <v>0</v>
      </c>
      <c r="F1218" s="33">
        <f>COUNTIFS(c_store,A1218,c_date,B1218,c_hour,C1218)</f>
        <v>0</v>
      </c>
      <c r="G1218" s="33">
        <f>IF(F1218&gt;0,1,0)</f>
        <v>0</v>
      </c>
      <c r="H1218" s="33">
        <f>COUNTIFS(Demand!$A$2:$A$4481,A1218,Demand!$B$2:$B$4481,B1218,Demand!$C$2:$C$4481,C1218)</f>
        <v>1</v>
      </c>
    </row>
    <row r="1219">
      <c r="A1219" s="32" t="str">
        <f>Demand!A1217</f>
        <v>S016</v>
      </c>
      <c r="B1219" s="35">
        <f>Demand!B1217</f>
        <v>46269.0</v>
      </c>
      <c r="C1219" s="33">
        <f>Demand!C1217</f>
        <v>23</v>
      </c>
      <c r="D1219" s="33">
        <f>Demand!E1217</f>
        <v>26</v>
      </c>
      <c r="E1219" s="33">
        <f>IF(Demand!F1217,1,0)</f>
        <v>0</v>
      </c>
      <c r="F1219" s="33">
        <f>COUNTIFS(c_store,A1219,c_date,B1219,c_hour,C1219)</f>
        <v>1</v>
      </c>
      <c r="G1219" s="33">
        <f>IF(F1219&gt;0,1,0)</f>
        <v>1</v>
      </c>
      <c r="H1219" s="33">
        <f>COUNTIFS(Demand!$A$2:$A$4481,A1219,Demand!$B$2:$B$4481,B1219,Demand!$C$2:$C$4481,C1219)</f>
        <v>1</v>
      </c>
    </row>
    <row r="1220">
      <c r="A1220" s="32" t="str">
        <f>Demand!A1218</f>
        <v>S017</v>
      </c>
      <c r="B1220" s="35">
        <f>Demand!B1218</f>
        <v>46269.0</v>
      </c>
      <c r="C1220" s="33">
        <f>Demand!C1218</f>
        <v>8</v>
      </c>
      <c r="D1220" s="33">
        <f>Demand!E1218</f>
        <v>30</v>
      </c>
      <c r="E1220" s="33">
        <f>IF(Demand!F1218,1,0)</f>
        <v>0</v>
      </c>
      <c r="F1220" s="33">
        <f>COUNTIFS(c_store,A1220,c_date,B1220,c_hour,C1220)</f>
        <v>1</v>
      </c>
      <c r="G1220" s="33">
        <f>IF(F1220&gt;0,1,0)</f>
        <v>1</v>
      </c>
      <c r="H1220" s="33">
        <f>COUNTIFS(Demand!$A$2:$A$4481,A1220,Demand!$B$2:$B$4481,B1220,Demand!$C$2:$C$4481,C1220)</f>
        <v>1</v>
      </c>
    </row>
    <row r="1221">
      <c r="A1221" s="32" t="str">
        <f>Demand!A1219</f>
        <v>S017</v>
      </c>
      <c r="B1221" s="35">
        <f>Demand!B1219</f>
        <v>46269.0</v>
      </c>
      <c r="C1221" s="33">
        <f>Demand!C1219</f>
        <v>9</v>
      </c>
      <c r="D1221" s="33">
        <f>Demand!E1219</f>
        <v>32</v>
      </c>
      <c r="E1221" s="33">
        <f>IF(Demand!F1219,1,0)</f>
        <v>0</v>
      </c>
      <c r="F1221" s="33">
        <f>COUNTIFS(c_store,A1221,c_date,B1221,c_hour,C1221)</f>
        <v>0</v>
      </c>
      <c r="G1221" s="33">
        <f>IF(F1221&gt;0,1,0)</f>
        <v>0</v>
      </c>
      <c r="H1221" s="33">
        <f>COUNTIFS(Demand!$A$2:$A$4481,A1221,Demand!$B$2:$B$4481,B1221,Demand!$C$2:$C$4481,C1221)</f>
        <v>1</v>
      </c>
    </row>
    <row r="1222">
      <c r="A1222" s="32" t="str">
        <f>Demand!A1220</f>
        <v>S017</v>
      </c>
      <c r="B1222" s="35">
        <f>Demand!B1220</f>
        <v>46269.0</v>
      </c>
      <c r="C1222" s="33">
        <f>Demand!C1220</f>
        <v>10</v>
      </c>
      <c r="D1222" s="33">
        <f>Demand!E1220</f>
        <v>29</v>
      </c>
      <c r="E1222" s="33">
        <f>IF(Demand!F1220,1,0)</f>
        <v>0</v>
      </c>
      <c r="F1222" s="33">
        <f>COUNTIFS(c_store,A1222,c_date,B1222,c_hour,C1222)</f>
        <v>1</v>
      </c>
      <c r="G1222" s="33">
        <f>IF(F1222&gt;0,1,0)</f>
        <v>1</v>
      </c>
      <c r="H1222" s="33">
        <f>COUNTIFS(Demand!$A$2:$A$4481,A1222,Demand!$B$2:$B$4481,B1222,Demand!$C$2:$C$4481,C1222)</f>
        <v>1</v>
      </c>
    </row>
    <row r="1223">
      <c r="A1223" s="32" t="str">
        <f>Demand!A1221</f>
        <v>S017</v>
      </c>
      <c r="B1223" s="35">
        <f>Demand!B1221</f>
        <v>46269.0</v>
      </c>
      <c r="C1223" s="33">
        <f>Demand!C1221</f>
        <v>11</v>
      </c>
      <c r="D1223" s="33">
        <f>Demand!E1221</f>
        <v>41</v>
      </c>
      <c r="E1223" s="33">
        <f>IF(Demand!F1221,1,0)</f>
        <v>0</v>
      </c>
      <c r="F1223" s="33">
        <f>COUNTIFS(c_store,A1223,c_date,B1223,c_hour,C1223)</f>
        <v>0</v>
      </c>
      <c r="G1223" s="33">
        <f>IF(F1223&gt;0,1,0)</f>
        <v>0</v>
      </c>
      <c r="H1223" s="33">
        <f>COUNTIFS(Demand!$A$2:$A$4481,A1223,Demand!$B$2:$B$4481,B1223,Demand!$C$2:$C$4481,C1223)</f>
        <v>1</v>
      </c>
    </row>
    <row r="1224">
      <c r="A1224" s="32" t="str">
        <f>Demand!A1222</f>
        <v>S017</v>
      </c>
      <c r="B1224" s="35">
        <f>Demand!B1222</f>
        <v>46269.0</v>
      </c>
      <c r="C1224" s="33">
        <f>Demand!C1222</f>
        <v>12</v>
      </c>
      <c r="D1224" s="33">
        <f>Demand!E1222</f>
        <v>41</v>
      </c>
      <c r="E1224" s="33">
        <f>IF(Demand!F1222,1,0)</f>
        <v>0</v>
      </c>
      <c r="F1224" s="33">
        <f>COUNTIFS(c_store,A1224,c_date,B1224,c_hour,C1224)</f>
        <v>0</v>
      </c>
      <c r="G1224" s="33">
        <f>IF(F1224&gt;0,1,0)</f>
        <v>0</v>
      </c>
      <c r="H1224" s="33">
        <f>COUNTIFS(Demand!$A$2:$A$4481,A1224,Demand!$B$2:$B$4481,B1224,Demand!$C$2:$C$4481,C1224)</f>
        <v>1</v>
      </c>
    </row>
    <row r="1225">
      <c r="A1225" s="32" t="str">
        <f>Demand!A1223</f>
        <v>S017</v>
      </c>
      <c r="B1225" s="35">
        <f>Demand!B1223</f>
        <v>46269.0</v>
      </c>
      <c r="C1225" s="33">
        <f>Demand!C1223</f>
        <v>13</v>
      </c>
      <c r="D1225" s="33">
        <f>Demand!E1223</f>
        <v>37</v>
      </c>
      <c r="E1225" s="33">
        <f>IF(Demand!F1223,1,0)</f>
        <v>0</v>
      </c>
      <c r="F1225" s="33">
        <f>COUNTIFS(c_store,A1225,c_date,B1225,c_hour,C1225)</f>
        <v>1</v>
      </c>
      <c r="G1225" s="33">
        <f>IF(F1225&gt;0,1,0)</f>
        <v>1</v>
      </c>
      <c r="H1225" s="33">
        <f>COUNTIFS(Demand!$A$2:$A$4481,A1225,Demand!$B$2:$B$4481,B1225,Demand!$C$2:$C$4481,C1225)</f>
        <v>1</v>
      </c>
    </row>
    <row r="1226">
      <c r="A1226" s="32" t="str">
        <f>Demand!A1224</f>
        <v>S017</v>
      </c>
      <c r="B1226" s="35">
        <f>Demand!B1224</f>
        <v>46269.0</v>
      </c>
      <c r="C1226" s="33">
        <f>Demand!C1224</f>
        <v>14</v>
      </c>
      <c r="D1226" s="33">
        <f>Demand!E1224</f>
        <v>37</v>
      </c>
      <c r="E1226" s="33">
        <f>IF(Demand!F1224,1,0)</f>
        <v>0</v>
      </c>
      <c r="F1226" s="33">
        <f>COUNTIFS(c_store,A1226,c_date,B1226,c_hour,C1226)</f>
        <v>1</v>
      </c>
      <c r="G1226" s="33">
        <f>IF(F1226&gt;0,1,0)</f>
        <v>1</v>
      </c>
      <c r="H1226" s="33">
        <f>COUNTIFS(Demand!$A$2:$A$4481,A1226,Demand!$B$2:$B$4481,B1226,Demand!$C$2:$C$4481,C1226)</f>
        <v>1</v>
      </c>
    </row>
    <row r="1227">
      <c r="A1227" s="32" t="str">
        <f>Demand!A1225</f>
        <v>S017</v>
      </c>
      <c r="B1227" s="35">
        <f>Demand!B1225</f>
        <v>46269.0</v>
      </c>
      <c r="C1227" s="33">
        <f>Demand!C1225</f>
        <v>15</v>
      </c>
      <c r="D1227" s="33">
        <f>Demand!E1225</f>
        <v>20</v>
      </c>
      <c r="E1227" s="33">
        <f>IF(Demand!F1225,1,0)</f>
        <v>0</v>
      </c>
      <c r="F1227" s="33">
        <f>COUNTIFS(c_store,A1227,c_date,B1227,c_hour,C1227)</f>
        <v>0</v>
      </c>
      <c r="G1227" s="33">
        <f>IF(F1227&gt;0,1,0)</f>
        <v>0</v>
      </c>
      <c r="H1227" s="33">
        <f>COUNTIFS(Demand!$A$2:$A$4481,A1227,Demand!$B$2:$B$4481,B1227,Demand!$C$2:$C$4481,C1227)</f>
        <v>1</v>
      </c>
    </row>
    <row r="1228">
      <c r="A1228" s="32" t="str">
        <f>Demand!A1226</f>
        <v>S017</v>
      </c>
      <c r="B1228" s="35">
        <f>Demand!B1226</f>
        <v>46269.0</v>
      </c>
      <c r="C1228" s="33">
        <f>Demand!C1226</f>
        <v>16</v>
      </c>
      <c r="D1228" s="33">
        <f>Demand!E1226</f>
        <v>43</v>
      </c>
      <c r="E1228" s="33">
        <f>IF(Demand!F1226,1,0)</f>
        <v>0</v>
      </c>
      <c r="F1228" s="33">
        <f>COUNTIFS(c_store,A1228,c_date,B1228,c_hour,C1228)</f>
        <v>0</v>
      </c>
      <c r="G1228" s="33">
        <f>IF(F1228&gt;0,1,0)</f>
        <v>0</v>
      </c>
      <c r="H1228" s="33">
        <f>COUNTIFS(Demand!$A$2:$A$4481,A1228,Demand!$B$2:$B$4481,B1228,Demand!$C$2:$C$4481,C1228)</f>
        <v>1</v>
      </c>
    </row>
    <row r="1229">
      <c r="A1229" s="32" t="str">
        <f>Demand!A1227</f>
        <v>S017</v>
      </c>
      <c r="B1229" s="35">
        <f>Demand!B1227</f>
        <v>46269.0</v>
      </c>
      <c r="C1229" s="33">
        <f>Demand!C1227</f>
        <v>17</v>
      </c>
      <c r="D1229" s="33">
        <f>Demand!E1227</f>
        <v>20</v>
      </c>
      <c r="E1229" s="33">
        <f>IF(Demand!F1227,1,0)</f>
        <v>0</v>
      </c>
      <c r="F1229" s="33">
        <f>COUNTIFS(c_store,A1229,c_date,B1229,c_hour,C1229)</f>
        <v>0</v>
      </c>
      <c r="G1229" s="33">
        <f>IF(F1229&gt;0,1,0)</f>
        <v>0</v>
      </c>
      <c r="H1229" s="33">
        <f>COUNTIFS(Demand!$A$2:$A$4481,A1229,Demand!$B$2:$B$4481,B1229,Demand!$C$2:$C$4481,C1229)</f>
        <v>1</v>
      </c>
    </row>
    <row r="1230">
      <c r="A1230" s="32" t="str">
        <f>Demand!A1228</f>
        <v>S017</v>
      </c>
      <c r="B1230" s="35">
        <f>Demand!B1228</f>
        <v>46269.0</v>
      </c>
      <c r="C1230" s="33">
        <f>Demand!C1228</f>
        <v>18</v>
      </c>
      <c r="D1230" s="33">
        <f>Demand!E1228</f>
        <v>32</v>
      </c>
      <c r="E1230" s="33">
        <f>IF(Demand!F1228,1,0)</f>
        <v>0</v>
      </c>
      <c r="F1230" s="33">
        <f>COUNTIFS(c_store,A1230,c_date,B1230,c_hour,C1230)</f>
        <v>0</v>
      </c>
      <c r="G1230" s="33">
        <f>IF(F1230&gt;0,1,0)</f>
        <v>0</v>
      </c>
      <c r="H1230" s="33">
        <f>COUNTIFS(Demand!$A$2:$A$4481,A1230,Demand!$B$2:$B$4481,B1230,Demand!$C$2:$C$4481,C1230)</f>
        <v>1</v>
      </c>
    </row>
    <row r="1231">
      <c r="A1231" s="32" t="str">
        <f>Demand!A1229</f>
        <v>S017</v>
      </c>
      <c r="B1231" s="35">
        <f>Demand!B1229</f>
        <v>46269.0</v>
      </c>
      <c r="C1231" s="33">
        <f>Demand!C1229</f>
        <v>19</v>
      </c>
      <c r="D1231" s="33">
        <f>Demand!E1229</f>
        <v>50</v>
      </c>
      <c r="E1231" s="33">
        <f>IF(Demand!F1229,1,0)</f>
        <v>1</v>
      </c>
      <c r="F1231" s="33">
        <f>COUNTIFS(c_store,A1231,c_date,B1231,c_hour,C1231)</f>
        <v>0</v>
      </c>
      <c r="G1231" s="33">
        <f>IF(F1231&gt;0,1,0)</f>
        <v>0</v>
      </c>
      <c r="H1231" s="33">
        <f>COUNTIFS(Demand!$A$2:$A$4481,A1231,Demand!$B$2:$B$4481,B1231,Demand!$C$2:$C$4481,C1231)</f>
        <v>1</v>
      </c>
    </row>
    <row r="1232">
      <c r="A1232" s="32" t="str">
        <f>Demand!A1230</f>
        <v>S017</v>
      </c>
      <c r="B1232" s="35">
        <f>Demand!B1230</f>
        <v>46269.0</v>
      </c>
      <c r="C1232" s="33">
        <f>Demand!C1230</f>
        <v>20</v>
      </c>
      <c r="D1232" s="33">
        <f>Demand!E1230</f>
        <v>58</v>
      </c>
      <c r="E1232" s="33">
        <f>IF(Demand!F1230,1,0)</f>
        <v>1</v>
      </c>
      <c r="F1232" s="33">
        <f>COUNTIFS(c_store,A1232,c_date,B1232,c_hour,C1232)</f>
        <v>0</v>
      </c>
      <c r="G1232" s="33">
        <f>IF(F1232&gt;0,1,0)</f>
        <v>0</v>
      </c>
      <c r="H1232" s="33">
        <f>COUNTIFS(Demand!$A$2:$A$4481,A1232,Demand!$B$2:$B$4481,B1232,Demand!$C$2:$C$4481,C1232)</f>
        <v>1</v>
      </c>
    </row>
    <row r="1233">
      <c r="A1233" s="32" t="str">
        <f>Demand!A1231</f>
        <v>S017</v>
      </c>
      <c r="B1233" s="35">
        <f>Demand!B1231</f>
        <v>46269.0</v>
      </c>
      <c r="C1233" s="33">
        <f>Demand!C1231</f>
        <v>21</v>
      </c>
      <c r="D1233" s="33">
        <f>Demand!E1231</f>
        <v>58</v>
      </c>
      <c r="E1233" s="33">
        <f>IF(Demand!F1231,1,0)</f>
        <v>1</v>
      </c>
      <c r="F1233" s="33">
        <f>COUNTIFS(c_store,A1233,c_date,B1233,c_hour,C1233)</f>
        <v>1</v>
      </c>
      <c r="G1233" s="33">
        <f>IF(F1233&gt;0,1,0)</f>
        <v>1</v>
      </c>
      <c r="H1233" s="33">
        <f>COUNTIFS(Demand!$A$2:$A$4481,A1233,Demand!$B$2:$B$4481,B1233,Demand!$C$2:$C$4481,C1233)</f>
        <v>1</v>
      </c>
    </row>
    <row r="1234">
      <c r="A1234" s="32" t="str">
        <f>Demand!A1232</f>
        <v>S017</v>
      </c>
      <c r="B1234" s="35">
        <f>Demand!B1232</f>
        <v>46269.0</v>
      </c>
      <c r="C1234" s="33">
        <f>Demand!C1232</f>
        <v>22</v>
      </c>
      <c r="D1234" s="33">
        <f>Demand!E1232</f>
        <v>39</v>
      </c>
      <c r="E1234" s="33">
        <f>IF(Demand!F1232,1,0)</f>
        <v>0</v>
      </c>
      <c r="F1234" s="33">
        <f>COUNTIFS(c_store,A1234,c_date,B1234,c_hour,C1234)</f>
        <v>0</v>
      </c>
      <c r="G1234" s="33">
        <f>IF(F1234&gt;0,1,0)</f>
        <v>0</v>
      </c>
      <c r="H1234" s="33">
        <f>COUNTIFS(Demand!$A$2:$A$4481,A1234,Demand!$B$2:$B$4481,B1234,Demand!$C$2:$C$4481,C1234)</f>
        <v>1</v>
      </c>
    </row>
    <row r="1235">
      <c r="A1235" s="32" t="str">
        <f>Demand!A1233</f>
        <v>S017</v>
      </c>
      <c r="B1235" s="35">
        <f>Demand!B1233</f>
        <v>46269.0</v>
      </c>
      <c r="C1235" s="33">
        <f>Demand!C1233</f>
        <v>23</v>
      </c>
      <c r="D1235" s="33">
        <f>Demand!E1233</f>
        <v>42</v>
      </c>
      <c r="E1235" s="33">
        <f>IF(Demand!F1233,1,0)</f>
        <v>0</v>
      </c>
      <c r="F1235" s="33">
        <f>COUNTIFS(c_store,A1235,c_date,B1235,c_hour,C1235)</f>
        <v>0</v>
      </c>
      <c r="G1235" s="33">
        <f>IF(F1235&gt;0,1,0)</f>
        <v>0</v>
      </c>
      <c r="H1235" s="33">
        <f>COUNTIFS(Demand!$A$2:$A$4481,A1235,Demand!$B$2:$B$4481,B1235,Demand!$C$2:$C$4481,C1235)</f>
        <v>1</v>
      </c>
    </row>
    <row r="1236">
      <c r="A1236" s="32" t="str">
        <f>Demand!A1234</f>
        <v>S018</v>
      </c>
      <c r="B1236" s="35">
        <f>Demand!B1234</f>
        <v>46269.0</v>
      </c>
      <c r="C1236" s="33">
        <f>Demand!C1234</f>
        <v>8</v>
      </c>
      <c r="D1236" s="33">
        <f>Demand!E1234</f>
        <v>14</v>
      </c>
      <c r="E1236" s="33">
        <f>IF(Demand!F1234,1,0)</f>
        <v>0</v>
      </c>
      <c r="F1236" s="33">
        <f>COUNTIFS(c_store,A1236,c_date,B1236,c_hour,C1236)</f>
        <v>1</v>
      </c>
      <c r="G1236" s="33">
        <f>IF(F1236&gt;0,1,0)</f>
        <v>1</v>
      </c>
      <c r="H1236" s="33">
        <f>COUNTIFS(Demand!$A$2:$A$4481,A1236,Demand!$B$2:$B$4481,B1236,Demand!$C$2:$C$4481,C1236)</f>
        <v>1</v>
      </c>
    </row>
    <row r="1237">
      <c r="A1237" s="32" t="str">
        <f>Demand!A1235</f>
        <v>S018</v>
      </c>
      <c r="B1237" s="35">
        <f>Demand!B1235</f>
        <v>46269.0</v>
      </c>
      <c r="C1237" s="33">
        <f>Demand!C1235</f>
        <v>9</v>
      </c>
      <c r="D1237" s="33">
        <f>Demand!E1235</f>
        <v>20</v>
      </c>
      <c r="E1237" s="33">
        <f>IF(Demand!F1235,1,0)</f>
        <v>0</v>
      </c>
      <c r="F1237" s="33">
        <f>COUNTIFS(c_store,A1237,c_date,B1237,c_hour,C1237)</f>
        <v>1</v>
      </c>
      <c r="G1237" s="33">
        <f>IF(F1237&gt;0,1,0)</f>
        <v>1</v>
      </c>
      <c r="H1237" s="33">
        <f>COUNTIFS(Demand!$A$2:$A$4481,A1237,Demand!$B$2:$B$4481,B1237,Demand!$C$2:$C$4481,C1237)</f>
        <v>1</v>
      </c>
    </row>
    <row r="1238">
      <c r="A1238" s="32" t="str">
        <f>Demand!A1236</f>
        <v>S018</v>
      </c>
      <c r="B1238" s="35">
        <f>Demand!B1236</f>
        <v>46269.0</v>
      </c>
      <c r="C1238" s="33">
        <f>Demand!C1236</f>
        <v>10</v>
      </c>
      <c r="D1238" s="33">
        <f>Demand!E1236</f>
        <v>10</v>
      </c>
      <c r="E1238" s="33">
        <f>IF(Demand!F1236,1,0)</f>
        <v>0</v>
      </c>
      <c r="F1238" s="33">
        <f>COUNTIFS(c_store,A1238,c_date,B1238,c_hour,C1238)</f>
        <v>0</v>
      </c>
      <c r="G1238" s="33">
        <f>IF(F1238&gt;0,1,0)</f>
        <v>0</v>
      </c>
      <c r="H1238" s="33">
        <f>COUNTIFS(Demand!$A$2:$A$4481,A1238,Demand!$B$2:$B$4481,B1238,Demand!$C$2:$C$4481,C1238)</f>
        <v>1</v>
      </c>
    </row>
    <row r="1239">
      <c r="A1239" s="32" t="str">
        <f>Demand!A1237</f>
        <v>S018</v>
      </c>
      <c r="B1239" s="35">
        <f>Demand!B1237</f>
        <v>46269.0</v>
      </c>
      <c r="C1239" s="33">
        <f>Demand!C1237</f>
        <v>11</v>
      </c>
      <c r="D1239" s="33">
        <f>Demand!E1237</f>
        <v>15</v>
      </c>
      <c r="E1239" s="33">
        <f>IF(Demand!F1237,1,0)</f>
        <v>0</v>
      </c>
      <c r="F1239" s="33">
        <f>COUNTIFS(c_store,A1239,c_date,B1239,c_hour,C1239)</f>
        <v>0</v>
      </c>
      <c r="G1239" s="33">
        <f>IF(F1239&gt;0,1,0)</f>
        <v>0</v>
      </c>
      <c r="H1239" s="33">
        <f>COUNTIFS(Demand!$A$2:$A$4481,A1239,Demand!$B$2:$B$4481,B1239,Demand!$C$2:$C$4481,C1239)</f>
        <v>1</v>
      </c>
    </row>
    <row r="1240">
      <c r="A1240" s="32" t="str">
        <f>Demand!A1238</f>
        <v>S018</v>
      </c>
      <c r="B1240" s="35">
        <f>Demand!B1238</f>
        <v>46269.0</v>
      </c>
      <c r="C1240" s="33">
        <f>Demand!C1238</f>
        <v>12</v>
      </c>
      <c r="D1240" s="33">
        <f>Demand!E1238</f>
        <v>18</v>
      </c>
      <c r="E1240" s="33">
        <f>IF(Demand!F1238,1,0)</f>
        <v>0</v>
      </c>
      <c r="F1240" s="33">
        <f>COUNTIFS(c_store,A1240,c_date,B1240,c_hour,C1240)</f>
        <v>0</v>
      </c>
      <c r="G1240" s="33">
        <f>IF(F1240&gt;0,1,0)</f>
        <v>0</v>
      </c>
      <c r="H1240" s="33">
        <f>COUNTIFS(Demand!$A$2:$A$4481,A1240,Demand!$B$2:$B$4481,B1240,Demand!$C$2:$C$4481,C1240)</f>
        <v>1</v>
      </c>
    </row>
    <row r="1241">
      <c r="A1241" s="32" t="str">
        <f>Demand!A1239</f>
        <v>S018</v>
      </c>
      <c r="B1241" s="35">
        <f>Demand!B1239</f>
        <v>46269.0</v>
      </c>
      <c r="C1241" s="33">
        <f>Demand!C1239</f>
        <v>13</v>
      </c>
      <c r="D1241" s="33">
        <f>Demand!E1239</f>
        <v>25</v>
      </c>
      <c r="E1241" s="33">
        <f>IF(Demand!F1239,1,0)</f>
        <v>0</v>
      </c>
      <c r="F1241" s="33">
        <f>COUNTIFS(c_store,A1241,c_date,B1241,c_hour,C1241)</f>
        <v>0</v>
      </c>
      <c r="G1241" s="33">
        <f>IF(F1241&gt;0,1,0)</f>
        <v>0</v>
      </c>
      <c r="H1241" s="33">
        <f>COUNTIFS(Demand!$A$2:$A$4481,A1241,Demand!$B$2:$B$4481,B1241,Demand!$C$2:$C$4481,C1241)</f>
        <v>1</v>
      </c>
    </row>
    <row r="1242">
      <c r="A1242" s="32" t="str">
        <f>Demand!A1240</f>
        <v>S018</v>
      </c>
      <c r="B1242" s="35">
        <f>Demand!B1240</f>
        <v>46269.0</v>
      </c>
      <c r="C1242" s="33">
        <f>Demand!C1240</f>
        <v>14</v>
      </c>
      <c r="D1242" s="33">
        <f>Demand!E1240</f>
        <v>12</v>
      </c>
      <c r="E1242" s="33">
        <f>IF(Demand!F1240,1,0)</f>
        <v>0</v>
      </c>
      <c r="F1242" s="33">
        <f>COUNTIFS(c_store,A1242,c_date,B1242,c_hour,C1242)</f>
        <v>0</v>
      </c>
      <c r="G1242" s="33">
        <f>IF(F1242&gt;0,1,0)</f>
        <v>0</v>
      </c>
      <c r="H1242" s="33">
        <f>COUNTIFS(Demand!$A$2:$A$4481,A1242,Demand!$B$2:$B$4481,B1242,Demand!$C$2:$C$4481,C1242)</f>
        <v>1</v>
      </c>
    </row>
    <row r="1243">
      <c r="A1243" s="32" t="str">
        <f>Demand!A1241</f>
        <v>S018</v>
      </c>
      <c r="B1243" s="35">
        <f>Demand!B1241</f>
        <v>46269.0</v>
      </c>
      <c r="C1243" s="33">
        <f>Demand!C1241</f>
        <v>15</v>
      </c>
      <c r="D1243" s="33">
        <f>Demand!E1241</f>
        <v>20</v>
      </c>
      <c r="E1243" s="33">
        <f>IF(Demand!F1241,1,0)</f>
        <v>0</v>
      </c>
      <c r="F1243" s="33">
        <f>COUNTIFS(c_store,A1243,c_date,B1243,c_hour,C1243)</f>
        <v>0</v>
      </c>
      <c r="G1243" s="33">
        <f>IF(F1243&gt;0,1,0)</f>
        <v>0</v>
      </c>
      <c r="H1243" s="33">
        <f>COUNTIFS(Demand!$A$2:$A$4481,A1243,Demand!$B$2:$B$4481,B1243,Demand!$C$2:$C$4481,C1243)</f>
        <v>1</v>
      </c>
    </row>
    <row r="1244">
      <c r="A1244" s="32" t="str">
        <f>Demand!A1242</f>
        <v>S018</v>
      </c>
      <c r="B1244" s="35">
        <f>Demand!B1242</f>
        <v>46269.0</v>
      </c>
      <c r="C1244" s="33">
        <f>Demand!C1242</f>
        <v>16</v>
      </c>
      <c r="D1244" s="33">
        <f>Demand!E1242</f>
        <v>19</v>
      </c>
      <c r="E1244" s="33">
        <f>IF(Demand!F1242,1,0)</f>
        <v>0</v>
      </c>
      <c r="F1244" s="33">
        <f>COUNTIFS(c_store,A1244,c_date,B1244,c_hour,C1244)</f>
        <v>0</v>
      </c>
      <c r="G1244" s="33">
        <f>IF(F1244&gt;0,1,0)</f>
        <v>0</v>
      </c>
      <c r="H1244" s="33">
        <f>COUNTIFS(Demand!$A$2:$A$4481,A1244,Demand!$B$2:$B$4481,B1244,Demand!$C$2:$C$4481,C1244)</f>
        <v>1</v>
      </c>
    </row>
    <row r="1245">
      <c r="A1245" s="32" t="str">
        <f>Demand!A1243</f>
        <v>S018</v>
      </c>
      <c r="B1245" s="35">
        <f>Demand!B1243</f>
        <v>46269.0</v>
      </c>
      <c r="C1245" s="33">
        <f>Demand!C1243</f>
        <v>17</v>
      </c>
      <c r="D1245" s="33">
        <f>Demand!E1243</f>
        <v>24</v>
      </c>
      <c r="E1245" s="33">
        <f>IF(Demand!F1243,1,0)</f>
        <v>0</v>
      </c>
      <c r="F1245" s="33">
        <f>COUNTIFS(c_store,A1245,c_date,B1245,c_hour,C1245)</f>
        <v>0</v>
      </c>
      <c r="G1245" s="33">
        <f>IF(F1245&gt;0,1,0)</f>
        <v>0</v>
      </c>
      <c r="H1245" s="33">
        <f>COUNTIFS(Demand!$A$2:$A$4481,A1245,Demand!$B$2:$B$4481,B1245,Demand!$C$2:$C$4481,C1245)</f>
        <v>1</v>
      </c>
    </row>
    <row r="1246">
      <c r="A1246" s="32" t="str">
        <f>Demand!A1244</f>
        <v>S018</v>
      </c>
      <c r="B1246" s="35">
        <f>Demand!B1244</f>
        <v>46269.0</v>
      </c>
      <c r="C1246" s="33">
        <f>Demand!C1244</f>
        <v>18</v>
      </c>
      <c r="D1246" s="33">
        <f>Demand!E1244</f>
        <v>20</v>
      </c>
      <c r="E1246" s="33">
        <f>IF(Demand!F1244,1,0)</f>
        <v>0</v>
      </c>
      <c r="F1246" s="33">
        <f>COUNTIFS(c_store,A1246,c_date,B1246,c_hour,C1246)</f>
        <v>2</v>
      </c>
      <c r="G1246" s="33">
        <f>IF(F1246&gt;0,1,0)</f>
        <v>1</v>
      </c>
      <c r="H1246" s="33">
        <f>COUNTIFS(Demand!$A$2:$A$4481,A1246,Demand!$B$2:$B$4481,B1246,Demand!$C$2:$C$4481,C1246)</f>
        <v>1</v>
      </c>
    </row>
    <row r="1247">
      <c r="A1247" s="32" t="str">
        <f>Demand!A1245</f>
        <v>S018</v>
      </c>
      <c r="B1247" s="35">
        <f>Demand!B1245</f>
        <v>46269.0</v>
      </c>
      <c r="C1247" s="33">
        <f>Demand!C1245</f>
        <v>19</v>
      </c>
      <c r="D1247" s="33">
        <f>Demand!E1245</f>
        <v>37</v>
      </c>
      <c r="E1247" s="33">
        <f>IF(Demand!F1245,1,0)</f>
        <v>1</v>
      </c>
      <c r="F1247" s="33">
        <f>COUNTIFS(c_store,A1247,c_date,B1247,c_hour,C1247)</f>
        <v>0</v>
      </c>
      <c r="G1247" s="33">
        <f>IF(F1247&gt;0,1,0)</f>
        <v>0</v>
      </c>
      <c r="H1247" s="33">
        <f>COUNTIFS(Demand!$A$2:$A$4481,A1247,Demand!$B$2:$B$4481,B1247,Demand!$C$2:$C$4481,C1247)</f>
        <v>1</v>
      </c>
    </row>
    <row r="1248">
      <c r="A1248" s="32" t="str">
        <f>Demand!A1246</f>
        <v>S018</v>
      </c>
      <c r="B1248" s="35">
        <f>Demand!B1246</f>
        <v>46269.0</v>
      </c>
      <c r="C1248" s="33">
        <f>Demand!C1246</f>
        <v>20</v>
      </c>
      <c r="D1248" s="33">
        <f>Demand!E1246</f>
        <v>34</v>
      </c>
      <c r="E1248" s="33">
        <f>IF(Demand!F1246,1,0)</f>
        <v>1</v>
      </c>
      <c r="F1248" s="33">
        <f>COUNTIFS(c_store,A1248,c_date,B1248,c_hour,C1248)</f>
        <v>0</v>
      </c>
      <c r="G1248" s="33">
        <f>IF(F1248&gt;0,1,0)</f>
        <v>0</v>
      </c>
      <c r="H1248" s="33">
        <f>COUNTIFS(Demand!$A$2:$A$4481,A1248,Demand!$B$2:$B$4481,B1248,Demand!$C$2:$C$4481,C1248)</f>
        <v>1</v>
      </c>
    </row>
    <row r="1249">
      <c r="A1249" s="32" t="str">
        <f>Demand!A1247</f>
        <v>S018</v>
      </c>
      <c r="B1249" s="35">
        <f>Demand!B1247</f>
        <v>46269.0</v>
      </c>
      <c r="C1249" s="33">
        <f>Demand!C1247</f>
        <v>21</v>
      </c>
      <c r="D1249" s="33">
        <f>Demand!E1247</f>
        <v>40</v>
      </c>
      <c r="E1249" s="33">
        <f>IF(Demand!F1247,1,0)</f>
        <v>1</v>
      </c>
      <c r="F1249" s="33">
        <f>COUNTIFS(c_store,A1249,c_date,B1249,c_hour,C1249)</f>
        <v>0</v>
      </c>
      <c r="G1249" s="33">
        <f>IF(F1249&gt;0,1,0)</f>
        <v>0</v>
      </c>
      <c r="H1249" s="33">
        <f>COUNTIFS(Demand!$A$2:$A$4481,A1249,Demand!$B$2:$B$4481,B1249,Demand!$C$2:$C$4481,C1249)</f>
        <v>1</v>
      </c>
    </row>
    <row r="1250">
      <c r="A1250" s="32" t="str">
        <f>Demand!A1248</f>
        <v>S018</v>
      </c>
      <c r="B1250" s="35">
        <f>Demand!B1248</f>
        <v>46269.0</v>
      </c>
      <c r="C1250" s="33">
        <f>Demand!C1248</f>
        <v>22</v>
      </c>
      <c r="D1250" s="33">
        <f>Demand!E1248</f>
        <v>20</v>
      </c>
      <c r="E1250" s="33">
        <f>IF(Demand!F1248,1,0)</f>
        <v>0</v>
      </c>
      <c r="F1250" s="33">
        <f>COUNTIFS(c_store,A1250,c_date,B1250,c_hour,C1250)</f>
        <v>1</v>
      </c>
      <c r="G1250" s="33">
        <f>IF(F1250&gt;0,1,0)</f>
        <v>1</v>
      </c>
      <c r="H1250" s="33">
        <f>COUNTIFS(Demand!$A$2:$A$4481,A1250,Demand!$B$2:$B$4481,B1250,Demand!$C$2:$C$4481,C1250)</f>
        <v>1</v>
      </c>
    </row>
    <row r="1251">
      <c r="A1251" s="32" t="str">
        <f>Demand!A1249</f>
        <v>S018</v>
      </c>
      <c r="B1251" s="35">
        <f>Demand!B1249</f>
        <v>46269.0</v>
      </c>
      <c r="C1251" s="33">
        <f>Demand!C1249</f>
        <v>23</v>
      </c>
      <c r="D1251" s="33">
        <f>Demand!E1249</f>
        <v>20</v>
      </c>
      <c r="E1251" s="33">
        <f>IF(Demand!F1249,1,0)</f>
        <v>0</v>
      </c>
      <c r="F1251" s="33">
        <f>COUNTIFS(c_store,A1251,c_date,B1251,c_hour,C1251)</f>
        <v>0</v>
      </c>
      <c r="G1251" s="33">
        <f>IF(F1251&gt;0,1,0)</f>
        <v>0</v>
      </c>
      <c r="H1251" s="33">
        <f>COUNTIFS(Demand!$A$2:$A$4481,A1251,Demand!$B$2:$B$4481,B1251,Demand!$C$2:$C$4481,C1251)</f>
        <v>1</v>
      </c>
    </row>
    <row r="1252">
      <c r="A1252" s="32" t="str">
        <f>Demand!A1250</f>
        <v>S019</v>
      </c>
      <c r="B1252" s="35">
        <f>Demand!B1250</f>
        <v>46269.0</v>
      </c>
      <c r="C1252" s="33">
        <f>Demand!C1250</f>
        <v>8</v>
      </c>
      <c r="D1252" s="33">
        <f>Demand!E1250</f>
        <v>13</v>
      </c>
      <c r="E1252" s="33">
        <f>IF(Demand!F1250,1,0)</f>
        <v>0</v>
      </c>
      <c r="F1252" s="33">
        <f>COUNTIFS(c_store,A1252,c_date,B1252,c_hour,C1252)</f>
        <v>0</v>
      </c>
      <c r="G1252" s="33">
        <f>IF(F1252&gt;0,1,0)</f>
        <v>0</v>
      </c>
      <c r="H1252" s="33">
        <f>COUNTIFS(Demand!$A$2:$A$4481,A1252,Demand!$B$2:$B$4481,B1252,Demand!$C$2:$C$4481,C1252)</f>
        <v>1</v>
      </c>
    </row>
    <row r="1253">
      <c r="A1253" s="32" t="str">
        <f>Demand!A1251</f>
        <v>S019</v>
      </c>
      <c r="B1253" s="35">
        <f>Demand!B1251</f>
        <v>46269.0</v>
      </c>
      <c r="C1253" s="33">
        <f>Demand!C1251</f>
        <v>9</v>
      </c>
      <c r="D1253" s="33">
        <f>Demand!E1251</f>
        <v>13</v>
      </c>
      <c r="E1253" s="33">
        <f>IF(Demand!F1251,1,0)</f>
        <v>0</v>
      </c>
      <c r="F1253" s="33">
        <f>COUNTIFS(c_store,A1253,c_date,B1253,c_hour,C1253)</f>
        <v>0</v>
      </c>
      <c r="G1253" s="33">
        <f>IF(F1253&gt;0,1,0)</f>
        <v>0</v>
      </c>
      <c r="H1253" s="33">
        <f>COUNTIFS(Demand!$A$2:$A$4481,A1253,Demand!$B$2:$B$4481,B1253,Demand!$C$2:$C$4481,C1253)</f>
        <v>1</v>
      </c>
    </row>
    <row r="1254">
      <c r="A1254" s="32" t="str">
        <f>Demand!A1252</f>
        <v>S019</v>
      </c>
      <c r="B1254" s="35">
        <f>Demand!B1252</f>
        <v>46269.0</v>
      </c>
      <c r="C1254" s="33">
        <f>Demand!C1252</f>
        <v>10</v>
      </c>
      <c r="D1254" s="33">
        <f>Demand!E1252</f>
        <v>21</v>
      </c>
      <c r="E1254" s="33">
        <f>IF(Demand!F1252,1,0)</f>
        <v>0</v>
      </c>
      <c r="F1254" s="33">
        <f>COUNTIFS(c_store,A1254,c_date,B1254,c_hour,C1254)</f>
        <v>0</v>
      </c>
      <c r="G1254" s="33">
        <f>IF(F1254&gt;0,1,0)</f>
        <v>0</v>
      </c>
      <c r="H1254" s="33">
        <f>COUNTIFS(Demand!$A$2:$A$4481,A1254,Demand!$B$2:$B$4481,B1254,Demand!$C$2:$C$4481,C1254)</f>
        <v>1</v>
      </c>
    </row>
    <row r="1255">
      <c r="A1255" s="32" t="str">
        <f>Demand!A1253</f>
        <v>S019</v>
      </c>
      <c r="B1255" s="35">
        <f>Demand!B1253</f>
        <v>46269.0</v>
      </c>
      <c r="C1255" s="33">
        <f>Demand!C1253</f>
        <v>11</v>
      </c>
      <c r="D1255" s="33">
        <f>Demand!E1253</f>
        <v>30</v>
      </c>
      <c r="E1255" s="33">
        <f>IF(Demand!F1253,1,0)</f>
        <v>0</v>
      </c>
      <c r="F1255" s="33">
        <f>COUNTIFS(c_store,A1255,c_date,B1255,c_hour,C1255)</f>
        <v>0</v>
      </c>
      <c r="G1255" s="33">
        <f>IF(F1255&gt;0,1,0)</f>
        <v>0</v>
      </c>
      <c r="H1255" s="33">
        <f>COUNTIFS(Demand!$A$2:$A$4481,A1255,Demand!$B$2:$B$4481,B1255,Demand!$C$2:$C$4481,C1255)</f>
        <v>1</v>
      </c>
    </row>
    <row r="1256">
      <c r="A1256" s="32" t="str">
        <f>Demand!A1254</f>
        <v>S019</v>
      </c>
      <c r="B1256" s="35">
        <f>Demand!B1254</f>
        <v>46269.0</v>
      </c>
      <c r="C1256" s="33">
        <f>Demand!C1254</f>
        <v>12</v>
      </c>
      <c r="D1256" s="33">
        <f>Demand!E1254</f>
        <v>24</v>
      </c>
      <c r="E1256" s="33">
        <f>IF(Demand!F1254,1,0)</f>
        <v>0</v>
      </c>
      <c r="F1256" s="33">
        <f>COUNTIFS(c_store,A1256,c_date,B1256,c_hour,C1256)</f>
        <v>1</v>
      </c>
      <c r="G1256" s="33">
        <f>IF(F1256&gt;0,1,0)</f>
        <v>1</v>
      </c>
      <c r="H1256" s="33">
        <f>COUNTIFS(Demand!$A$2:$A$4481,A1256,Demand!$B$2:$B$4481,B1256,Demand!$C$2:$C$4481,C1256)</f>
        <v>1</v>
      </c>
    </row>
    <row r="1257">
      <c r="A1257" s="32" t="str">
        <f>Demand!A1255</f>
        <v>S019</v>
      </c>
      <c r="B1257" s="35">
        <f>Demand!B1255</f>
        <v>46269.0</v>
      </c>
      <c r="C1257" s="33">
        <f>Demand!C1255</f>
        <v>13</v>
      </c>
      <c r="D1257" s="33">
        <f>Demand!E1255</f>
        <v>18</v>
      </c>
      <c r="E1257" s="33">
        <f>IF(Demand!F1255,1,0)</f>
        <v>0</v>
      </c>
      <c r="F1257" s="33">
        <f>COUNTIFS(c_store,A1257,c_date,B1257,c_hour,C1257)</f>
        <v>0</v>
      </c>
      <c r="G1257" s="33">
        <f>IF(F1257&gt;0,1,0)</f>
        <v>0</v>
      </c>
      <c r="H1257" s="33">
        <f>COUNTIFS(Demand!$A$2:$A$4481,A1257,Demand!$B$2:$B$4481,B1257,Demand!$C$2:$C$4481,C1257)</f>
        <v>1</v>
      </c>
    </row>
    <row r="1258">
      <c r="A1258" s="32" t="str">
        <f>Demand!A1256</f>
        <v>S019</v>
      </c>
      <c r="B1258" s="35">
        <f>Demand!B1256</f>
        <v>46269.0</v>
      </c>
      <c r="C1258" s="33">
        <f>Demand!C1256</f>
        <v>14</v>
      </c>
      <c r="D1258" s="33">
        <f>Demand!E1256</f>
        <v>11</v>
      </c>
      <c r="E1258" s="33">
        <f>IF(Demand!F1256,1,0)</f>
        <v>0</v>
      </c>
      <c r="F1258" s="33">
        <f>COUNTIFS(c_store,A1258,c_date,B1258,c_hour,C1258)</f>
        <v>0</v>
      </c>
      <c r="G1258" s="33">
        <f>IF(F1258&gt;0,1,0)</f>
        <v>0</v>
      </c>
      <c r="H1258" s="33">
        <f>COUNTIFS(Demand!$A$2:$A$4481,A1258,Demand!$B$2:$B$4481,B1258,Demand!$C$2:$C$4481,C1258)</f>
        <v>1</v>
      </c>
    </row>
    <row r="1259">
      <c r="A1259" s="32" t="str">
        <f>Demand!A1257</f>
        <v>S019</v>
      </c>
      <c r="B1259" s="35">
        <f>Demand!B1257</f>
        <v>46269.0</v>
      </c>
      <c r="C1259" s="33">
        <f>Demand!C1257</f>
        <v>15</v>
      </c>
      <c r="D1259" s="33">
        <f>Demand!E1257</f>
        <v>22</v>
      </c>
      <c r="E1259" s="33">
        <f>IF(Demand!F1257,1,0)</f>
        <v>0</v>
      </c>
      <c r="F1259" s="33">
        <f>COUNTIFS(c_store,A1259,c_date,B1259,c_hour,C1259)</f>
        <v>1</v>
      </c>
      <c r="G1259" s="33">
        <f>IF(F1259&gt;0,1,0)</f>
        <v>1</v>
      </c>
      <c r="H1259" s="33">
        <f>COUNTIFS(Demand!$A$2:$A$4481,A1259,Demand!$B$2:$B$4481,B1259,Demand!$C$2:$C$4481,C1259)</f>
        <v>1</v>
      </c>
    </row>
    <row r="1260">
      <c r="A1260" s="32" t="str">
        <f>Demand!A1258</f>
        <v>S019</v>
      </c>
      <c r="B1260" s="35">
        <f>Demand!B1258</f>
        <v>46269.0</v>
      </c>
      <c r="C1260" s="33">
        <f>Demand!C1258</f>
        <v>16</v>
      </c>
      <c r="D1260" s="33">
        <f>Demand!E1258</f>
        <v>22</v>
      </c>
      <c r="E1260" s="33">
        <f>IF(Demand!F1258,1,0)</f>
        <v>0</v>
      </c>
      <c r="F1260" s="33">
        <f>COUNTIFS(c_store,A1260,c_date,B1260,c_hour,C1260)</f>
        <v>1</v>
      </c>
      <c r="G1260" s="33">
        <f>IF(F1260&gt;0,1,0)</f>
        <v>1</v>
      </c>
      <c r="H1260" s="33">
        <f>COUNTIFS(Demand!$A$2:$A$4481,A1260,Demand!$B$2:$B$4481,B1260,Demand!$C$2:$C$4481,C1260)</f>
        <v>1</v>
      </c>
    </row>
    <row r="1261">
      <c r="A1261" s="32" t="str">
        <f>Demand!A1259</f>
        <v>S019</v>
      </c>
      <c r="B1261" s="35">
        <f>Demand!B1259</f>
        <v>46269.0</v>
      </c>
      <c r="C1261" s="33">
        <f>Demand!C1259</f>
        <v>17</v>
      </c>
      <c r="D1261" s="33">
        <f>Demand!E1259</f>
        <v>26</v>
      </c>
      <c r="E1261" s="33">
        <f>IF(Demand!F1259,1,0)</f>
        <v>0</v>
      </c>
      <c r="F1261" s="33">
        <f>COUNTIFS(c_store,A1261,c_date,B1261,c_hour,C1261)</f>
        <v>0</v>
      </c>
      <c r="G1261" s="33">
        <f>IF(F1261&gt;0,1,0)</f>
        <v>0</v>
      </c>
      <c r="H1261" s="33">
        <f>COUNTIFS(Demand!$A$2:$A$4481,A1261,Demand!$B$2:$B$4481,B1261,Demand!$C$2:$C$4481,C1261)</f>
        <v>1</v>
      </c>
    </row>
    <row r="1262">
      <c r="A1262" s="32" t="str">
        <f>Demand!A1260</f>
        <v>S019</v>
      </c>
      <c r="B1262" s="35">
        <f>Demand!B1260</f>
        <v>46269.0</v>
      </c>
      <c r="C1262" s="33">
        <f>Demand!C1260</f>
        <v>18</v>
      </c>
      <c r="D1262" s="33">
        <f>Demand!E1260</f>
        <v>17</v>
      </c>
      <c r="E1262" s="33">
        <f>IF(Demand!F1260,1,0)</f>
        <v>0</v>
      </c>
      <c r="F1262" s="33">
        <f>COUNTIFS(c_store,A1262,c_date,B1262,c_hour,C1262)</f>
        <v>0</v>
      </c>
      <c r="G1262" s="33">
        <f>IF(F1262&gt;0,1,0)</f>
        <v>0</v>
      </c>
      <c r="H1262" s="33">
        <f>COUNTIFS(Demand!$A$2:$A$4481,A1262,Demand!$B$2:$B$4481,B1262,Demand!$C$2:$C$4481,C1262)</f>
        <v>1</v>
      </c>
    </row>
    <row r="1263">
      <c r="A1263" s="32" t="str">
        <f>Demand!A1261</f>
        <v>S019</v>
      </c>
      <c r="B1263" s="35">
        <f>Demand!B1261</f>
        <v>46269.0</v>
      </c>
      <c r="C1263" s="33">
        <f>Demand!C1261</f>
        <v>19</v>
      </c>
      <c r="D1263" s="33">
        <f>Demand!E1261</f>
        <v>41</v>
      </c>
      <c r="E1263" s="33">
        <f>IF(Demand!F1261,1,0)</f>
        <v>1</v>
      </c>
      <c r="F1263" s="33">
        <f>COUNTIFS(c_store,A1263,c_date,B1263,c_hour,C1263)</f>
        <v>1</v>
      </c>
      <c r="G1263" s="33">
        <f>IF(F1263&gt;0,1,0)</f>
        <v>1</v>
      </c>
      <c r="H1263" s="33">
        <f>COUNTIFS(Demand!$A$2:$A$4481,A1263,Demand!$B$2:$B$4481,B1263,Demand!$C$2:$C$4481,C1263)</f>
        <v>1</v>
      </c>
    </row>
    <row r="1264">
      <c r="A1264" s="32" t="str">
        <f>Demand!A1262</f>
        <v>S019</v>
      </c>
      <c r="B1264" s="35">
        <f>Demand!B1262</f>
        <v>46269.0</v>
      </c>
      <c r="C1264" s="33">
        <f>Demand!C1262</f>
        <v>20</v>
      </c>
      <c r="D1264" s="33">
        <f>Demand!E1262</f>
        <v>23</v>
      </c>
      <c r="E1264" s="33">
        <f>IF(Demand!F1262,1,0)</f>
        <v>1</v>
      </c>
      <c r="F1264" s="33">
        <f>COUNTIFS(c_store,A1264,c_date,B1264,c_hour,C1264)</f>
        <v>1</v>
      </c>
      <c r="G1264" s="33">
        <f>IF(F1264&gt;0,1,0)</f>
        <v>1</v>
      </c>
      <c r="H1264" s="33">
        <f>COUNTIFS(Demand!$A$2:$A$4481,A1264,Demand!$B$2:$B$4481,B1264,Demand!$C$2:$C$4481,C1264)</f>
        <v>1</v>
      </c>
    </row>
    <row r="1265">
      <c r="A1265" s="32" t="str">
        <f>Demand!A1263</f>
        <v>S019</v>
      </c>
      <c r="B1265" s="35">
        <f>Demand!B1263</f>
        <v>46269.0</v>
      </c>
      <c r="C1265" s="33">
        <f>Demand!C1263</f>
        <v>21</v>
      </c>
      <c r="D1265" s="33">
        <f>Demand!E1263</f>
        <v>40</v>
      </c>
      <c r="E1265" s="33">
        <f>IF(Demand!F1263,1,0)</f>
        <v>1</v>
      </c>
      <c r="F1265" s="33">
        <f>COUNTIFS(c_store,A1265,c_date,B1265,c_hour,C1265)</f>
        <v>0</v>
      </c>
      <c r="G1265" s="33">
        <f>IF(F1265&gt;0,1,0)</f>
        <v>0</v>
      </c>
      <c r="H1265" s="33">
        <f>COUNTIFS(Demand!$A$2:$A$4481,A1265,Demand!$B$2:$B$4481,B1265,Demand!$C$2:$C$4481,C1265)</f>
        <v>1</v>
      </c>
    </row>
    <row r="1266">
      <c r="A1266" s="32" t="str">
        <f>Demand!A1264</f>
        <v>S019</v>
      </c>
      <c r="B1266" s="35">
        <f>Demand!B1264</f>
        <v>46269.0</v>
      </c>
      <c r="C1266" s="33">
        <f>Demand!C1264</f>
        <v>22</v>
      </c>
      <c r="D1266" s="33">
        <f>Demand!E1264</f>
        <v>14</v>
      </c>
      <c r="E1266" s="33">
        <f>IF(Demand!F1264,1,0)</f>
        <v>0</v>
      </c>
      <c r="F1266" s="33">
        <f>COUNTIFS(c_store,A1266,c_date,B1266,c_hour,C1266)</f>
        <v>1</v>
      </c>
      <c r="G1266" s="33">
        <f>IF(F1266&gt;0,1,0)</f>
        <v>1</v>
      </c>
      <c r="H1266" s="33">
        <f>COUNTIFS(Demand!$A$2:$A$4481,A1266,Demand!$B$2:$B$4481,B1266,Demand!$C$2:$C$4481,C1266)</f>
        <v>1</v>
      </c>
    </row>
    <row r="1267">
      <c r="A1267" s="32" t="str">
        <f>Demand!A1265</f>
        <v>S019</v>
      </c>
      <c r="B1267" s="35">
        <f>Demand!B1265</f>
        <v>46269.0</v>
      </c>
      <c r="C1267" s="33">
        <f>Demand!C1265</f>
        <v>23</v>
      </c>
      <c r="D1267" s="33">
        <f>Demand!E1265</f>
        <v>20</v>
      </c>
      <c r="E1267" s="33">
        <f>IF(Demand!F1265,1,0)</f>
        <v>0</v>
      </c>
      <c r="F1267" s="33">
        <f>COUNTIFS(c_store,A1267,c_date,B1267,c_hour,C1267)</f>
        <v>1</v>
      </c>
      <c r="G1267" s="33">
        <f>IF(F1267&gt;0,1,0)</f>
        <v>1</v>
      </c>
      <c r="H1267" s="33">
        <f>COUNTIFS(Demand!$A$2:$A$4481,A1267,Demand!$B$2:$B$4481,B1267,Demand!$C$2:$C$4481,C1267)</f>
        <v>1</v>
      </c>
    </row>
    <row r="1268">
      <c r="A1268" s="32" t="str">
        <f>Demand!A1266</f>
        <v>S020</v>
      </c>
      <c r="B1268" s="35">
        <f>Demand!B1266</f>
        <v>46269.0</v>
      </c>
      <c r="C1268" s="33">
        <f>Demand!C1266</f>
        <v>8</v>
      </c>
      <c r="D1268" s="33">
        <f>Demand!E1266</f>
        <v>11</v>
      </c>
      <c r="E1268" s="33">
        <f>IF(Demand!F1266,1,0)</f>
        <v>0</v>
      </c>
      <c r="F1268" s="33">
        <f>COUNTIFS(c_store,A1268,c_date,B1268,c_hour,C1268)</f>
        <v>1</v>
      </c>
      <c r="G1268" s="33">
        <f>IF(F1268&gt;0,1,0)</f>
        <v>1</v>
      </c>
      <c r="H1268" s="33">
        <f>COUNTIFS(Demand!$A$2:$A$4481,A1268,Demand!$B$2:$B$4481,B1268,Demand!$C$2:$C$4481,C1268)</f>
        <v>1</v>
      </c>
    </row>
    <row r="1269">
      <c r="A1269" s="32" t="str">
        <f>Demand!A1267</f>
        <v>S020</v>
      </c>
      <c r="B1269" s="35">
        <f>Demand!B1267</f>
        <v>46269.0</v>
      </c>
      <c r="C1269" s="33">
        <f>Demand!C1267</f>
        <v>9</v>
      </c>
      <c r="D1269" s="33">
        <f>Demand!E1267</f>
        <v>13</v>
      </c>
      <c r="E1269" s="33">
        <f>IF(Demand!F1267,1,0)</f>
        <v>0</v>
      </c>
      <c r="F1269" s="33">
        <f>COUNTIFS(c_store,A1269,c_date,B1269,c_hour,C1269)</f>
        <v>0</v>
      </c>
      <c r="G1269" s="33">
        <f>IF(F1269&gt;0,1,0)</f>
        <v>0</v>
      </c>
      <c r="H1269" s="33">
        <f>COUNTIFS(Demand!$A$2:$A$4481,A1269,Demand!$B$2:$B$4481,B1269,Demand!$C$2:$C$4481,C1269)</f>
        <v>1</v>
      </c>
    </row>
    <row r="1270">
      <c r="A1270" s="32" t="str">
        <f>Demand!A1268</f>
        <v>S020</v>
      </c>
      <c r="B1270" s="35">
        <f>Demand!B1268</f>
        <v>46269.0</v>
      </c>
      <c r="C1270" s="33">
        <f>Demand!C1268</f>
        <v>10</v>
      </c>
      <c r="D1270" s="33">
        <f>Demand!E1268</f>
        <v>12</v>
      </c>
      <c r="E1270" s="33">
        <f>IF(Demand!F1268,1,0)</f>
        <v>0</v>
      </c>
      <c r="F1270" s="33">
        <f>COUNTIFS(c_store,A1270,c_date,B1270,c_hour,C1270)</f>
        <v>0</v>
      </c>
      <c r="G1270" s="33">
        <f>IF(F1270&gt;0,1,0)</f>
        <v>0</v>
      </c>
      <c r="H1270" s="33">
        <f>COUNTIFS(Demand!$A$2:$A$4481,A1270,Demand!$B$2:$B$4481,B1270,Demand!$C$2:$C$4481,C1270)</f>
        <v>1</v>
      </c>
    </row>
    <row r="1271">
      <c r="A1271" s="32" t="str">
        <f>Demand!A1269</f>
        <v>S020</v>
      </c>
      <c r="B1271" s="35">
        <f>Demand!B1269</f>
        <v>46269.0</v>
      </c>
      <c r="C1271" s="33">
        <f>Demand!C1269</f>
        <v>11</v>
      </c>
      <c r="D1271" s="33">
        <f>Demand!E1269</f>
        <v>23</v>
      </c>
      <c r="E1271" s="33">
        <f>IF(Demand!F1269,1,0)</f>
        <v>0</v>
      </c>
      <c r="F1271" s="33">
        <f>COUNTIFS(c_store,A1271,c_date,B1271,c_hour,C1271)</f>
        <v>0</v>
      </c>
      <c r="G1271" s="33">
        <f>IF(F1271&gt;0,1,0)</f>
        <v>0</v>
      </c>
      <c r="H1271" s="33">
        <f>COUNTIFS(Demand!$A$2:$A$4481,A1271,Demand!$B$2:$B$4481,B1271,Demand!$C$2:$C$4481,C1271)</f>
        <v>1</v>
      </c>
    </row>
    <row r="1272">
      <c r="A1272" s="32" t="str">
        <f>Demand!A1270</f>
        <v>S020</v>
      </c>
      <c r="B1272" s="35">
        <f>Demand!B1270</f>
        <v>46269.0</v>
      </c>
      <c r="C1272" s="33">
        <f>Demand!C1270</f>
        <v>12</v>
      </c>
      <c r="D1272" s="33">
        <f>Demand!E1270</f>
        <v>14</v>
      </c>
      <c r="E1272" s="33">
        <f>IF(Demand!F1270,1,0)</f>
        <v>0</v>
      </c>
      <c r="F1272" s="33">
        <f>COUNTIFS(c_store,A1272,c_date,B1272,c_hour,C1272)</f>
        <v>0</v>
      </c>
      <c r="G1272" s="33">
        <f>IF(F1272&gt;0,1,0)</f>
        <v>0</v>
      </c>
      <c r="H1272" s="33">
        <f>COUNTIFS(Demand!$A$2:$A$4481,A1272,Demand!$B$2:$B$4481,B1272,Demand!$C$2:$C$4481,C1272)</f>
        <v>1</v>
      </c>
    </row>
    <row r="1273">
      <c r="A1273" s="32" t="str">
        <f>Demand!A1271</f>
        <v>S020</v>
      </c>
      <c r="B1273" s="35">
        <f>Demand!B1271</f>
        <v>46269.0</v>
      </c>
      <c r="C1273" s="33">
        <f>Demand!C1271</f>
        <v>13</v>
      </c>
      <c r="D1273" s="33">
        <f>Demand!E1271</f>
        <v>10</v>
      </c>
      <c r="E1273" s="33">
        <f>IF(Demand!F1271,1,0)</f>
        <v>0</v>
      </c>
      <c r="F1273" s="33">
        <f>COUNTIFS(c_store,A1273,c_date,B1273,c_hour,C1273)</f>
        <v>0</v>
      </c>
      <c r="G1273" s="33">
        <f>IF(F1273&gt;0,1,0)</f>
        <v>0</v>
      </c>
      <c r="H1273" s="33">
        <f>COUNTIFS(Demand!$A$2:$A$4481,A1273,Demand!$B$2:$B$4481,B1273,Demand!$C$2:$C$4481,C1273)</f>
        <v>1</v>
      </c>
    </row>
    <row r="1274">
      <c r="A1274" s="32" t="str">
        <f>Demand!A1272</f>
        <v>S020</v>
      </c>
      <c r="B1274" s="35">
        <f>Demand!B1272</f>
        <v>46269.0</v>
      </c>
      <c r="C1274" s="33">
        <f>Demand!C1272</f>
        <v>14</v>
      </c>
      <c r="D1274" s="33">
        <f>Demand!E1272</f>
        <v>11</v>
      </c>
      <c r="E1274" s="33">
        <f>IF(Demand!F1272,1,0)</f>
        <v>0</v>
      </c>
      <c r="F1274" s="33">
        <f>COUNTIFS(c_store,A1274,c_date,B1274,c_hour,C1274)</f>
        <v>0</v>
      </c>
      <c r="G1274" s="33">
        <f>IF(F1274&gt;0,1,0)</f>
        <v>0</v>
      </c>
      <c r="H1274" s="33">
        <f>COUNTIFS(Demand!$A$2:$A$4481,A1274,Demand!$B$2:$B$4481,B1274,Demand!$C$2:$C$4481,C1274)</f>
        <v>1</v>
      </c>
    </row>
    <row r="1275">
      <c r="A1275" s="32" t="str">
        <f>Demand!A1273</f>
        <v>S020</v>
      </c>
      <c r="B1275" s="35">
        <f>Demand!B1273</f>
        <v>46269.0</v>
      </c>
      <c r="C1275" s="33">
        <f>Demand!C1273</f>
        <v>15</v>
      </c>
      <c r="D1275" s="33">
        <f>Demand!E1273</f>
        <v>8</v>
      </c>
      <c r="E1275" s="33">
        <f>IF(Demand!F1273,1,0)</f>
        <v>0</v>
      </c>
      <c r="F1275" s="33">
        <f>COUNTIFS(c_store,A1275,c_date,B1275,c_hour,C1275)</f>
        <v>1</v>
      </c>
      <c r="G1275" s="33">
        <f>IF(F1275&gt;0,1,0)</f>
        <v>1</v>
      </c>
      <c r="H1275" s="33">
        <f>COUNTIFS(Demand!$A$2:$A$4481,A1275,Demand!$B$2:$B$4481,B1275,Demand!$C$2:$C$4481,C1275)</f>
        <v>1</v>
      </c>
    </row>
    <row r="1276">
      <c r="A1276" s="32" t="str">
        <f>Demand!A1274</f>
        <v>S020</v>
      </c>
      <c r="B1276" s="35">
        <f>Demand!B1274</f>
        <v>46269.0</v>
      </c>
      <c r="C1276" s="33">
        <f>Demand!C1274</f>
        <v>16</v>
      </c>
      <c r="D1276" s="33">
        <f>Demand!E1274</f>
        <v>21</v>
      </c>
      <c r="E1276" s="33">
        <f>IF(Demand!F1274,1,0)</f>
        <v>0</v>
      </c>
      <c r="F1276" s="33">
        <f>COUNTIFS(c_store,A1276,c_date,B1276,c_hour,C1276)</f>
        <v>0</v>
      </c>
      <c r="G1276" s="33">
        <f>IF(F1276&gt;0,1,0)</f>
        <v>0</v>
      </c>
      <c r="H1276" s="33">
        <f>COUNTIFS(Demand!$A$2:$A$4481,A1276,Demand!$B$2:$B$4481,B1276,Demand!$C$2:$C$4481,C1276)</f>
        <v>1</v>
      </c>
    </row>
    <row r="1277">
      <c r="A1277" s="32" t="str">
        <f>Demand!A1275</f>
        <v>S020</v>
      </c>
      <c r="B1277" s="35">
        <f>Demand!B1275</f>
        <v>46269.0</v>
      </c>
      <c r="C1277" s="33">
        <f>Demand!C1275</f>
        <v>17</v>
      </c>
      <c r="D1277" s="33">
        <f>Demand!E1275</f>
        <v>9</v>
      </c>
      <c r="E1277" s="33">
        <f>IF(Demand!F1275,1,0)</f>
        <v>0</v>
      </c>
      <c r="F1277" s="33">
        <f>COUNTIFS(c_store,A1277,c_date,B1277,c_hour,C1277)</f>
        <v>0</v>
      </c>
      <c r="G1277" s="33">
        <f>IF(F1277&gt;0,1,0)</f>
        <v>0</v>
      </c>
      <c r="H1277" s="33">
        <f>COUNTIFS(Demand!$A$2:$A$4481,A1277,Demand!$B$2:$B$4481,B1277,Demand!$C$2:$C$4481,C1277)</f>
        <v>1</v>
      </c>
    </row>
    <row r="1278">
      <c r="A1278" s="32" t="str">
        <f>Demand!A1276</f>
        <v>S020</v>
      </c>
      <c r="B1278" s="35">
        <f>Demand!B1276</f>
        <v>46269.0</v>
      </c>
      <c r="C1278" s="33">
        <f>Demand!C1276</f>
        <v>18</v>
      </c>
      <c r="D1278" s="33">
        <f>Demand!E1276</f>
        <v>12</v>
      </c>
      <c r="E1278" s="33">
        <f>IF(Demand!F1276,1,0)</f>
        <v>0</v>
      </c>
      <c r="F1278" s="33">
        <f>COUNTIFS(c_store,A1278,c_date,B1278,c_hour,C1278)</f>
        <v>0</v>
      </c>
      <c r="G1278" s="33">
        <f>IF(F1278&gt;0,1,0)</f>
        <v>0</v>
      </c>
      <c r="H1278" s="33">
        <f>COUNTIFS(Demand!$A$2:$A$4481,A1278,Demand!$B$2:$B$4481,B1278,Demand!$C$2:$C$4481,C1278)</f>
        <v>1</v>
      </c>
    </row>
    <row r="1279">
      <c r="A1279" s="32" t="str">
        <f>Demand!A1277</f>
        <v>S020</v>
      </c>
      <c r="B1279" s="35">
        <f>Demand!B1277</f>
        <v>46269.0</v>
      </c>
      <c r="C1279" s="33">
        <f>Demand!C1277</f>
        <v>19</v>
      </c>
      <c r="D1279" s="33">
        <f>Demand!E1277</f>
        <v>16</v>
      </c>
      <c r="E1279" s="33">
        <f>IF(Demand!F1277,1,0)</f>
        <v>1</v>
      </c>
      <c r="F1279" s="33">
        <f>COUNTIFS(c_store,A1279,c_date,B1279,c_hour,C1279)</f>
        <v>0</v>
      </c>
      <c r="G1279" s="33">
        <f>IF(F1279&gt;0,1,0)</f>
        <v>0</v>
      </c>
      <c r="H1279" s="33">
        <f>COUNTIFS(Demand!$A$2:$A$4481,A1279,Demand!$B$2:$B$4481,B1279,Demand!$C$2:$C$4481,C1279)</f>
        <v>1</v>
      </c>
    </row>
    <row r="1280">
      <c r="A1280" s="32" t="str">
        <f>Demand!A1278</f>
        <v>S020</v>
      </c>
      <c r="B1280" s="35">
        <f>Demand!B1278</f>
        <v>46269.0</v>
      </c>
      <c r="C1280" s="33">
        <f>Demand!C1278</f>
        <v>20</v>
      </c>
      <c r="D1280" s="33">
        <f>Demand!E1278</f>
        <v>25</v>
      </c>
      <c r="E1280" s="33">
        <f>IF(Demand!F1278,1,0)</f>
        <v>1</v>
      </c>
      <c r="F1280" s="33">
        <f>COUNTIFS(c_store,A1280,c_date,B1280,c_hour,C1280)</f>
        <v>1</v>
      </c>
      <c r="G1280" s="33">
        <f>IF(F1280&gt;0,1,0)</f>
        <v>1</v>
      </c>
      <c r="H1280" s="33">
        <f>COUNTIFS(Demand!$A$2:$A$4481,A1280,Demand!$B$2:$B$4481,B1280,Demand!$C$2:$C$4481,C1280)</f>
        <v>1</v>
      </c>
    </row>
    <row r="1281">
      <c r="A1281" s="32" t="str">
        <f>Demand!A1279</f>
        <v>S020</v>
      </c>
      <c r="B1281" s="35">
        <f>Demand!B1279</f>
        <v>46269.0</v>
      </c>
      <c r="C1281" s="33">
        <f>Demand!C1279</f>
        <v>21</v>
      </c>
      <c r="D1281" s="33">
        <f>Demand!E1279</f>
        <v>27</v>
      </c>
      <c r="E1281" s="33">
        <f>IF(Demand!F1279,1,0)</f>
        <v>1</v>
      </c>
      <c r="F1281" s="33">
        <f>COUNTIFS(c_store,A1281,c_date,B1281,c_hour,C1281)</f>
        <v>0</v>
      </c>
      <c r="G1281" s="33">
        <f>IF(F1281&gt;0,1,0)</f>
        <v>0</v>
      </c>
      <c r="H1281" s="33">
        <f>COUNTIFS(Demand!$A$2:$A$4481,A1281,Demand!$B$2:$B$4481,B1281,Demand!$C$2:$C$4481,C1281)</f>
        <v>1</v>
      </c>
    </row>
    <row r="1282">
      <c r="A1282" s="32" t="str">
        <f>Demand!A1280</f>
        <v>S020</v>
      </c>
      <c r="B1282" s="35">
        <f>Demand!B1280</f>
        <v>46269.0</v>
      </c>
      <c r="C1282" s="33">
        <f>Demand!C1280</f>
        <v>22</v>
      </c>
      <c r="D1282" s="33">
        <f>Demand!E1280</f>
        <v>15</v>
      </c>
      <c r="E1282" s="33">
        <f>IF(Demand!F1280,1,0)</f>
        <v>0</v>
      </c>
      <c r="F1282" s="33">
        <f>COUNTIFS(c_store,A1282,c_date,B1282,c_hour,C1282)</f>
        <v>0</v>
      </c>
      <c r="G1282" s="33">
        <f>IF(F1282&gt;0,1,0)</f>
        <v>0</v>
      </c>
      <c r="H1282" s="33">
        <f>COUNTIFS(Demand!$A$2:$A$4481,A1282,Demand!$B$2:$B$4481,B1282,Demand!$C$2:$C$4481,C1282)</f>
        <v>1</v>
      </c>
    </row>
    <row r="1283">
      <c r="A1283" s="32" t="str">
        <f>Demand!A1281</f>
        <v>S020</v>
      </c>
      <c r="B1283" s="35">
        <f>Demand!B1281</f>
        <v>46269.0</v>
      </c>
      <c r="C1283" s="33">
        <f>Demand!C1281</f>
        <v>23</v>
      </c>
      <c r="D1283" s="33">
        <f>Demand!E1281</f>
        <v>21</v>
      </c>
      <c r="E1283" s="33">
        <f>IF(Demand!F1281,1,0)</f>
        <v>0</v>
      </c>
      <c r="F1283" s="33">
        <f>COUNTIFS(c_store,A1283,c_date,B1283,c_hour,C1283)</f>
        <v>0</v>
      </c>
      <c r="G1283" s="33">
        <f>IF(F1283&gt;0,1,0)</f>
        <v>0</v>
      </c>
      <c r="H1283" s="33">
        <f>COUNTIFS(Demand!$A$2:$A$4481,A1283,Demand!$B$2:$B$4481,B1283,Demand!$C$2:$C$4481,C1283)</f>
        <v>1</v>
      </c>
    </row>
    <row r="1284">
      <c r="A1284" s="32" t="str">
        <f>Demand!A1282</f>
        <v>S001</v>
      </c>
      <c r="B1284" s="35">
        <f>Demand!B1282</f>
        <v>46270.0</v>
      </c>
      <c r="C1284" s="33">
        <f>Demand!C1282</f>
        <v>8</v>
      </c>
      <c r="D1284" s="33">
        <f>Demand!E1282</f>
        <v>15</v>
      </c>
      <c r="E1284" s="33">
        <f>IF(Demand!F1282,1,0)</f>
        <v>0</v>
      </c>
      <c r="F1284" s="33">
        <f>COUNTIFS(c_store,A1284,c_date,B1284,c_hour,C1284)</f>
        <v>0</v>
      </c>
      <c r="G1284" s="33">
        <f>IF(F1284&gt;0,1,0)</f>
        <v>0</v>
      </c>
      <c r="H1284" s="33">
        <f>COUNTIFS(Demand!$A$2:$A$4481,A1284,Demand!$B$2:$B$4481,B1284,Demand!$C$2:$C$4481,C1284)</f>
        <v>1</v>
      </c>
    </row>
    <row r="1285">
      <c r="A1285" s="32" t="str">
        <f>Demand!A1283</f>
        <v>S001</v>
      </c>
      <c r="B1285" s="35">
        <f>Demand!B1283</f>
        <v>46270.0</v>
      </c>
      <c r="C1285" s="33">
        <f>Demand!C1283</f>
        <v>9</v>
      </c>
      <c r="D1285" s="33">
        <f>Demand!E1283</f>
        <v>9</v>
      </c>
      <c r="E1285" s="33">
        <f>IF(Demand!F1283,1,0)</f>
        <v>0</v>
      </c>
      <c r="F1285" s="33">
        <f>COUNTIFS(c_store,A1285,c_date,B1285,c_hour,C1285)</f>
        <v>0</v>
      </c>
      <c r="G1285" s="33">
        <f>IF(F1285&gt;0,1,0)</f>
        <v>0</v>
      </c>
      <c r="H1285" s="33">
        <f>COUNTIFS(Demand!$A$2:$A$4481,A1285,Demand!$B$2:$B$4481,B1285,Demand!$C$2:$C$4481,C1285)</f>
        <v>1</v>
      </c>
    </row>
    <row r="1286">
      <c r="A1286" s="32" t="str">
        <f>Demand!A1284</f>
        <v>S001</v>
      </c>
      <c r="B1286" s="35">
        <f>Demand!B1284</f>
        <v>46270.0</v>
      </c>
      <c r="C1286" s="33">
        <f>Demand!C1284</f>
        <v>10</v>
      </c>
      <c r="D1286" s="33">
        <f>Demand!E1284</f>
        <v>10</v>
      </c>
      <c r="E1286" s="33">
        <f>IF(Demand!F1284,1,0)</f>
        <v>0</v>
      </c>
      <c r="F1286" s="33">
        <f>COUNTIFS(c_store,A1286,c_date,B1286,c_hour,C1286)</f>
        <v>0</v>
      </c>
      <c r="G1286" s="33">
        <f>IF(F1286&gt;0,1,0)</f>
        <v>0</v>
      </c>
      <c r="H1286" s="33">
        <f>COUNTIFS(Demand!$A$2:$A$4481,A1286,Demand!$B$2:$B$4481,B1286,Demand!$C$2:$C$4481,C1286)</f>
        <v>1</v>
      </c>
    </row>
    <row r="1287">
      <c r="A1287" s="32" t="str">
        <f>Demand!A1285</f>
        <v>S001</v>
      </c>
      <c r="B1287" s="35">
        <f>Demand!B1285</f>
        <v>46270.0</v>
      </c>
      <c r="C1287" s="33">
        <f>Demand!C1285</f>
        <v>11</v>
      </c>
      <c r="D1287" s="33">
        <f>Demand!E1285</f>
        <v>15</v>
      </c>
      <c r="E1287" s="33">
        <f>IF(Demand!F1285,1,0)</f>
        <v>0</v>
      </c>
      <c r="F1287" s="33">
        <f>COUNTIFS(c_store,A1287,c_date,B1287,c_hour,C1287)</f>
        <v>1</v>
      </c>
      <c r="G1287" s="33">
        <f>IF(F1287&gt;0,1,0)</f>
        <v>1</v>
      </c>
      <c r="H1287" s="33">
        <f>COUNTIFS(Demand!$A$2:$A$4481,A1287,Demand!$B$2:$B$4481,B1287,Demand!$C$2:$C$4481,C1287)</f>
        <v>1</v>
      </c>
    </row>
    <row r="1288">
      <c r="A1288" s="32" t="str">
        <f>Demand!A1286</f>
        <v>S001</v>
      </c>
      <c r="B1288" s="35">
        <f>Demand!B1286</f>
        <v>46270.0</v>
      </c>
      <c r="C1288" s="33">
        <f>Demand!C1286</f>
        <v>12</v>
      </c>
      <c r="D1288" s="33">
        <f>Demand!E1286</f>
        <v>14</v>
      </c>
      <c r="E1288" s="33">
        <f>IF(Demand!F1286,1,0)</f>
        <v>0</v>
      </c>
      <c r="F1288" s="33">
        <f>COUNTIFS(c_store,A1288,c_date,B1288,c_hour,C1288)</f>
        <v>0</v>
      </c>
      <c r="G1288" s="33">
        <f>IF(F1288&gt;0,1,0)</f>
        <v>0</v>
      </c>
      <c r="H1288" s="33">
        <f>COUNTIFS(Demand!$A$2:$A$4481,A1288,Demand!$B$2:$B$4481,B1288,Demand!$C$2:$C$4481,C1288)</f>
        <v>1</v>
      </c>
    </row>
    <row r="1289">
      <c r="A1289" s="32" t="str">
        <f>Demand!A1287</f>
        <v>S001</v>
      </c>
      <c r="B1289" s="35">
        <f>Demand!B1287</f>
        <v>46270.0</v>
      </c>
      <c r="C1289" s="33">
        <f>Demand!C1287</f>
        <v>13</v>
      </c>
      <c r="D1289" s="33">
        <f>Demand!E1287</f>
        <v>14</v>
      </c>
      <c r="E1289" s="33">
        <f>IF(Demand!F1287,1,0)</f>
        <v>0</v>
      </c>
      <c r="F1289" s="33">
        <f>COUNTIFS(c_store,A1289,c_date,B1289,c_hour,C1289)</f>
        <v>2</v>
      </c>
      <c r="G1289" s="33">
        <f>IF(F1289&gt;0,1,0)</f>
        <v>1</v>
      </c>
      <c r="H1289" s="33">
        <f>COUNTIFS(Demand!$A$2:$A$4481,A1289,Demand!$B$2:$B$4481,B1289,Demand!$C$2:$C$4481,C1289)</f>
        <v>1</v>
      </c>
    </row>
    <row r="1290">
      <c r="A1290" s="32" t="str">
        <f>Demand!A1288</f>
        <v>S001</v>
      </c>
      <c r="B1290" s="35">
        <f>Demand!B1288</f>
        <v>46270.0</v>
      </c>
      <c r="C1290" s="33">
        <f>Demand!C1288</f>
        <v>14</v>
      </c>
      <c r="D1290" s="33">
        <f>Demand!E1288</f>
        <v>21</v>
      </c>
      <c r="E1290" s="33">
        <f>IF(Demand!F1288,1,0)</f>
        <v>0</v>
      </c>
      <c r="F1290" s="33">
        <f>COUNTIFS(c_store,A1290,c_date,B1290,c_hour,C1290)</f>
        <v>1</v>
      </c>
      <c r="G1290" s="33">
        <f>IF(F1290&gt;0,1,0)</f>
        <v>1</v>
      </c>
      <c r="H1290" s="33">
        <f>COUNTIFS(Demand!$A$2:$A$4481,A1290,Demand!$B$2:$B$4481,B1290,Demand!$C$2:$C$4481,C1290)</f>
        <v>1</v>
      </c>
    </row>
    <row r="1291">
      <c r="A1291" s="32" t="str">
        <f>Demand!A1289</f>
        <v>S001</v>
      </c>
      <c r="B1291" s="35">
        <f>Demand!B1289</f>
        <v>46270.0</v>
      </c>
      <c r="C1291" s="33">
        <f>Demand!C1289</f>
        <v>15</v>
      </c>
      <c r="D1291" s="33">
        <f>Demand!E1289</f>
        <v>9</v>
      </c>
      <c r="E1291" s="33">
        <f>IF(Demand!F1289,1,0)</f>
        <v>0</v>
      </c>
      <c r="F1291" s="33">
        <f>COUNTIFS(c_store,A1291,c_date,B1291,c_hour,C1291)</f>
        <v>0</v>
      </c>
      <c r="G1291" s="33">
        <f>IF(F1291&gt;0,1,0)</f>
        <v>0</v>
      </c>
      <c r="H1291" s="33">
        <f>COUNTIFS(Demand!$A$2:$A$4481,A1291,Demand!$B$2:$B$4481,B1291,Demand!$C$2:$C$4481,C1291)</f>
        <v>1</v>
      </c>
    </row>
    <row r="1292">
      <c r="A1292" s="32" t="str">
        <f>Demand!A1290</f>
        <v>S001</v>
      </c>
      <c r="B1292" s="35">
        <f>Demand!B1290</f>
        <v>46270.0</v>
      </c>
      <c r="C1292" s="33">
        <f>Demand!C1290</f>
        <v>16</v>
      </c>
      <c r="D1292" s="33">
        <f>Demand!E1290</f>
        <v>26</v>
      </c>
      <c r="E1292" s="33">
        <f>IF(Demand!F1290,1,0)</f>
        <v>0</v>
      </c>
      <c r="F1292" s="33">
        <f>COUNTIFS(c_store,A1292,c_date,B1292,c_hour,C1292)</f>
        <v>0</v>
      </c>
      <c r="G1292" s="33">
        <f>IF(F1292&gt;0,1,0)</f>
        <v>0</v>
      </c>
      <c r="H1292" s="33">
        <f>COUNTIFS(Demand!$A$2:$A$4481,A1292,Demand!$B$2:$B$4481,B1292,Demand!$C$2:$C$4481,C1292)</f>
        <v>1</v>
      </c>
    </row>
    <row r="1293">
      <c r="A1293" s="32" t="str">
        <f>Demand!A1291</f>
        <v>S001</v>
      </c>
      <c r="B1293" s="35">
        <f>Demand!B1291</f>
        <v>46270.0</v>
      </c>
      <c r="C1293" s="33">
        <f>Demand!C1291</f>
        <v>17</v>
      </c>
      <c r="D1293" s="33">
        <f>Demand!E1291</f>
        <v>18</v>
      </c>
      <c r="E1293" s="33">
        <f>IF(Demand!F1291,1,0)</f>
        <v>0</v>
      </c>
      <c r="F1293" s="33">
        <f>COUNTIFS(c_store,A1293,c_date,B1293,c_hour,C1293)</f>
        <v>1</v>
      </c>
      <c r="G1293" s="33">
        <f>IF(F1293&gt;0,1,0)</f>
        <v>1</v>
      </c>
      <c r="H1293" s="33">
        <f>COUNTIFS(Demand!$A$2:$A$4481,A1293,Demand!$B$2:$B$4481,B1293,Demand!$C$2:$C$4481,C1293)</f>
        <v>1</v>
      </c>
    </row>
    <row r="1294">
      <c r="A1294" s="32" t="str">
        <f>Demand!A1292</f>
        <v>S001</v>
      </c>
      <c r="B1294" s="35">
        <f>Demand!B1292</f>
        <v>46270.0</v>
      </c>
      <c r="C1294" s="33">
        <f>Demand!C1292</f>
        <v>18</v>
      </c>
      <c r="D1294" s="33">
        <f>Demand!E1292</f>
        <v>16</v>
      </c>
      <c r="E1294" s="33">
        <f>IF(Demand!F1292,1,0)</f>
        <v>0</v>
      </c>
      <c r="F1294" s="33">
        <f>COUNTIFS(c_store,A1294,c_date,B1294,c_hour,C1294)</f>
        <v>0</v>
      </c>
      <c r="G1294" s="33">
        <f>IF(F1294&gt;0,1,0)</f>
        <v>0</v>
      </c>
      <c r="H1294" s="33">
        <f>COUNTIFS(Demand!$A$2:$A$4481,A1294,Demand!$B$2:$B$4481,B1294,Demand!$C$2:$C$4481,C1294)</f>
        <v>1</v>
      </c>
    </row>
    <row r="1295">
      <c r="A1295" s="32" t="str">
        <f>Demand!A1293</f>
        <v>S001</v>
      </c>
      <c r="B1295" s="35">
        <f>Demand!B1293</f>
        <v>46270.0</v>
      </c>
      <c r="C1295" s="33">
        <f>Demand!C1293</f>
        <v>19</v>
      </c>
      <c r="D1295" s="33">
        <f>Demand!E1293</f>
        <v>24</v>
      </c>
      <c r="E1295" s="33">
        <f>IF(Demand!F1293,1,0)</f>
        <v>1</v>
      </c>
      <c r="F1295" s="33">
        <f>COUNTIFS(c_store,A1295,c_date,B1295,c_hour,C1295)</f>
        <v>0</v>
      </c>
      <c r="G1295" s="33">
        <f>IF(F1295&gt;0,1,0)</f>
        <v>0</v>
      </c>
      <c r="H1295" s="33">
        <f>COUNTIFS(Demand!$A$2:$A$4481,A1295,Demand!$B$2:$B$4481,B1295,Demand!$C$2:$C$4481,C1295)</f>
        <v>1</v>
      </c>
    </row>
    <row r="1296">
      <c r="A1296" s="32" t="str">
        <f>Demand!A1294</f>
        <v>S001</v>
      </c>
      <c r="B1296" s="35">
        <f>Demand!B1294</f>
        <v>46270.0</v>
      </c>
      <c r="C1296" s="33">
        <f>Demand!C1294</f>
        <v>20</v>
      </c>
      <c r="D1296" s="33">
        <f>Demand!E1294</f>
        <v>20</v>
      </c>
      <c r="E1296" s="33">
        <f>IF(Demand!F1294,1,0)</f>
        <v>1</v>
      </c>
      <c r="F1296" s="33">
        <f>COUNTIFS(c_store,A1296,c_date,B1296,c_hour,C1296)</f>
        <v>0</v>
      </c>
      <c r="G1296" s="33">
        <f>IF(F1296&gt;0,1,0)</f>
        <v>0</v>
      </c>
      <c r="H1296" s="33">
        <f>COUNTIFS(Demand!$A$2:$A$4481,A1296,Demand!$B$2:$B$4481,B1296,Demand!$C$2:$C$4481,C1296)</f>
        <v>1</v>
      </c>
    </row>
    <row r="1297">
      <c r="A1297" s="32" t="str">
        <f>Demand!A1295</f>
        <v>S001</v>
      </c>
      <c r="B1297" s="35">
        <f>Demand!B1295</f>
        <v>46270.0</v>
      </c>
      <c r="C1297" s="33">
        <f>Demand!C1295</f>
        <v>21</v>
      </c>
      <c r="D1297" s="33">
        <f>Demand!E1295</f>
        <v>36</v>
      </c>
      <c r="E1297" s="33">
        <f>IF(Demand!F1295,1,0)</f>
        <v>1</v>
      </c>
      <c r="F1297" s="33">
        <f>COUNTIFS(c_store,A1297,c_date,B1297,c_hour,C1297)</f>
        <v>0</v>
      </c>
      <c r="G1297" s="33">
        <f>IF(F1297&gt;0,1,0)</f>
        <v>0</v>
      </c>
      <c r="H1297" s="33">
        <f>COUNTIFS(Demand!$A$2:$A$4481,A1297,Demand!$B$2:$B$4481,B1297,Demand!$C$2:$C$4481,C1297)</f>
        <v>1</v>
      </c>
    </row>
    <row r="1298">
      <c r="A1298" s="32" t="str">
        <f>Demand!A1296</f>
        <v>S001</v>
      </c>
      <c r="B1298" s="35">
        <f>Demand!B1296</f>
        <v>46270.0</v>
      </c>
      <c r="C1298" s="33">
        <f>Demand!C1296</f>
        <v>22</v>
      </c>
      <c r="D1298" s="33">
        <f>Demand!E1296</f>
        <v>14</v>
      </c>
      <c r="E1298" s="33">
        <f>IF(Demand!F1296,1,0)</f>
        <v>0</v>
      </c>
      <c r="F1298" s="33">
        <f>COUNTIFS(c_store,A1298,c_date,B1298,c_hour,C1298)</f>
        <v>0</v>
      </c>
      <c r="G1298" s="33">
        <f>IF(F1298&gt;0,1,0)</f>
        <v>0</v>
      </c>
      <c r="H1298" s="33">
        <f>COUNTIFS(Demand!$A$2:$A$4481,A1298,Demand!$B$2:$B$4481,B1298,Demand!$C$2:$C$4481,C1298)</f>
        <v>1</v>
      </c>
    </row>
    <row r="1299">
      <c r="A1299" s="32" t="str">
        <f>Demand!A1297</f>
        <v>S001</v>
      </c>
      <c r="B1299" s="35">
        <f>Demand!B1297</f>
        <v>46270.0</v>
      </c>
      <c r="C1299" s="33">
        <f>Demand!C1297</f>
        <v>23</v>
      </c>
      <c r="D1299" s="33">
        <f>Demand!E1297</f>
        <v>20</v>
      </c>
      <c r="E1299" s="33">
        <f>IF(Demand!F1297,1,0)</f>
        <v>0</v>
      </c>
      <c r="F1299" s="33">
        <f>COUNTIFS(c_store,A1299,c_date,B1299,c_hour,C1299)</f>
        <v>0</v>
      </c>
      <c r="G1299" s="33">
        <f>IF(F1299&gt;0,1,0)</f>
        <v>0</v>
      </c>
      <c r="H1299" s="33">
        <f>COUNTIFS(Demand!$A$2:$A$4481,A1299,Demand!$B$2:$B$4481,B1299,Demand!$C$2:$C$4481,C1299)</f>
        <v>1</v>
      </c>
    </row>
    <row r="1300">
      <c r="A1300" s="32" t="str">
        <f>Demand!A1298</f>
        <v>S002</v>
      </c>
      <c r="B1300" s="35">
        <f>Demand!B1298</f>
        <v>46270.0</v>
      </c>
      <c r="C1300" s="33">
        <f>Demand!C1298</f>
        <v>8</v>
      </c>
      <c r="D1300" s="33">
        <f>Demand!E1298</f>
        <v>27</v>
      </c>
      <c r="E1300" s="33">
        <f>IF(Demand!F1298,1,0)</f>
        <v>0</v>
      </c>
      <c r="F1300" s="33">
        <f>COUNTIFS(c_store,A1300,c_date,B1300,c_hour,C1300)</f>
        <v>0</v>
      </c>
      <c r="G1300" s="33">
        <f>IF(F1300&gt;0,1,0)</f>
        <v>0</v>
      </c>
      <c r="H1300" s="33">
        <f>COUNTIFS(Demand!$A$2:$A$4481,A1300,Demand!$B$2:$B$4481,B1300,Demand!$C$2:$C$4481,C1300)</f>
        <v>1</v>
      </c>
    </row>
    <row r="1301">
      <c r="A1301" s="32" t="str">
        <f>Demand!A1299</f>
        <v>S002</v>
      </c>
      <c r="B1301" s="35">
        <f>Demand!B1299</f>
        <v>46270.0</v>
      </c>
      <c r="C1301" s="33">
        <f>Demand!C1299</f>
        <v>9</v>
      </c>
      <c r="D1301" s="33">
        <f>Demand!E1299</f>
        <v>25</v>
      </c>
      <c r="E1301" s="33">
        <f>IF(Demand!F1299,1,0)</f>
        <v>0</v>
      </c>
      <c r="F1301" s="33">
        <f>COUNTIFS(c_store,A1301,c_date,B1301,c_hour,C1301)</f>
        <v>0</v>
      </c>
      <c r="G1301" s="33">
        <f>IF(F1301&gt;0,1,0)</f>
        <v>0</v>
      </c>
      <c r="H1301" s="33">
        <f>COUNTIFS(Demand!$A$2:$A$4481,A1301,Demand!$B$2:$B$4481,B1301,Demand!$C$2:$C$4481,C1301)</f>
        <v>1</v>
      </c>
    </row>
    <row r="1302">
      <c r="A1302" s="32" t="str">
        <f>Demand!A1300</f>
        <v>S002</v>
      </c>
      <c r="B1302" s="35">
        <f>Demand!B1300</f>
        <v>46270.0</v>
      </c>
      <c r="C1302" s="33">
        <f>Demand!C1300</f>
        <v>10</v>
      </c>
      <c r="D1302" s="33">
        <f>Demand!E1300</f>
        <v>29</v>
      </c>
      <c r="E1302" s="33">
        <f>IF(Demand!F1300,1,0)</f>
        <v>0</v>
      </c>
      <c r="F1302" s="33">
        <f>COUNTIFS(c_store,A1302,c_date,B1302,c_hour,C1302)</f>
        <v>2</v>
      </c>
      <c r="G1302" s="33">
        <f>IF(F1302&gt;0,1,0)</f>
        <v>1</v>
      </c>
      <c r="H1302" s="33">
        <f>COUNTIFS(Demand!$A$2:$A$4481,A1302,Demand!$B$2:$B$4481,B1302,Demand!$C$2:$C$4481,C1302)</f>
        <v>1</v>
      </c>
    </row>
    <row r="1303">
      <c r="A1303" s="32" t="str">
        <f>Demand!A1301</f>
        <v>S002</v>
      </c>
      <c r="B1303" s="35">
        <f>Demand!B1301</f>
        <v>46270.0</v>
      </c>
      <c r="C1303" s="33">
        <f>Demand!C1301</f>
        <v>11</v>
      </c>
      <c r="D1303" s="33">
        <f>Demand!E1301</f>
        <v>31</v>
      </c>
      <c r="E1303" s="33">
        <f>IF(Demand!F1301,1,0)</f>
        <v>0</v>
      </c>
      <c r="F1303" s="33">
        <f>COUNTIFS(c_store,A1303,c_date,B1303,c_hour,C1303)</f>
        <v>0</v>
      </c>
      <c r="G1303" s="33">
        <f>IF(F1303&gt;0,1,0)</f>
        <v>0</v>
      </c>
      <c r="H1303" s="33">
        <f>COUNTIFS(Demand!$A$2:$A$4481,A1303,Demand!$B$2:$B$4481,B1303,Demand!$C$2:$C$4481,C1303)</f>
        <v>1</v>
      </c>
    </row>
    <row r="1304">
      <c r="A1304" s="32" t="str">
        <f>Demand!A1302</f>
        <v>S002</v>
      </c>
      <c r="B1304" s="35">
        <f>Demand!B1302</f>
        <v>46270.0</v>
      </c>
      <c r="C1304" s="33">
        <f>Demand!C1302</f>
        <v>12</v>
      </c>
      <c r="D1304" s="33">
        <f>Demand!E1302</f>
        <v>34</v>
      </c>
      <c r="E1304" s="33">
        <f>IF(Demand!F1302,1,0)</f>
        <v>0</v>
      </c>
      <c r="F1304" s="33">
        <f>COUNTIFS(c_store,A1304,c_date,B1304,c_hour,C1304)</f>
        <v>0</v>
      </c>
      <c r="G1304" s="33">
        <f>IF(F1304&gt;0,1,0)</f>
        <v>0</v>
      </c>
      <c r="H1304" s="33">
        <f>COUNTIFS(Demand!$A$2:$A$4481,A1304,Demand!$B$2:$B$4481,B1304,Demand!$C$2:$C$4481,C1304)</f>
        <v>1</v>
      </c>
    </row>
    <row r="1305">
      <c r="A1305" s="32" t="str">
        <f>Demand!A1303</f>
        <v>S002</v>
      </c>
      <c r="B1305" s="35">
        <f>Demand!B1303</f>
        <v>46270.0</v>
      </c>
      <c r="C1305" s="33">
        <f>Demand!C1303</f>
        <v>13</v>
      </c>
      <c r="D1305" s="33">
        <f>Demand!E1303</f>
        <v>30</v>
      </c>
      <c r="E1305" s="33">
        <f>IF(Demand!F1303,1,0)</f>
        <v>0</v>
      </c>
      <c r="F1305" s="33">
        <f>COUNTIFS(c_store,A1305,c_date,B1305,c_hour,C1305)</f>
        <v>1</v>
      </c>
      <c r="G1305" s="33">
        <f>IF(F1305&gt;0,1,0)</f>
        <v>1</v>
      </c>
      <c r="H1305" s="33">
        <f>COUNTIFS(Demand!$A$2:$A$4481,A1305,Demand!$B$2:$B$4481,B1305,Demand!$C$2:$C$4481,C1305)</f>
        <v>1</v>
      </c>
    </row>
    <row r="1306">
      <c r="A1306" s="32" t="str">
        <f>Demand!A1304</f>
        <v>S002</v>
      </c>
      <c r="B1306" s="35">
        <f>Demand!B1304</f>
        <v>46270.0</v>
      </c>
      <c r="C1306" s="33">
        <f>Demand!C1304</f>
        <v>14</v>
      </c>
      <c r="D1306" s="33">
        <f>Demand!E1304</f>
        <v>30</v>
      </c>
      <c r="E1306" s="33">
        <f>IF(Demand!F1304,1,0)</f>
        <v>0</v>
      </c>
      <c r="F1306" s="33">
        <f>COUNTIFS(c_store,A1306,c_date,B1306,c_hour,C1306)</f>
        <v>0</v>
      </c>
      <c r="G1306" s="33">
        <f>IF(F1306&gt;0,1,0)</f>
        <v>0</v>
      </c>
      <c r="H1306" s="33">
        <f>COUNTIFS(Demand!$A$2:$A$4481,A1306,Demand!$B$2:$B$4481,B1306,Demand!$C$2:$C$4481,C1306)</f>
        <v>1</v>
      </c>
    </row>
    <row r="1307">
      <c r="A1307" s="32" t="str">
        <f>Demand!A1305</f>
        <v>S002</v>
      </c>
      <c r="B1307" s="35">
        <f>Demand!B1305</f>
        <v>46270.0</v>
      </c>
      <c r="C1307" s="33">
        <f>Demand!C1305</f>
        <v>15</v>
      </c>
      <c r="D1307" s="33">
        <f>Demand!E1305</f>
        <v>19</v>
      </c>
      <c r="E1307" s="33">
        <f>IF(Demand!F1305,1,0)</f>
        <v>0</v>
      </c>
      <c r="F1307" s="33">
        <f>COUNTIFS(c_store,A1307,c_date,B1307,c_hour,C1307)</f>
        <v>0</v>
      </c>
      <c r="G1307" s="33">
        <f>IF(F1307&gt;0,1,0)</f>
        <v>0</v>
      </c>
      <c r="H1307" s="33">
        <f>COUNTIFS(Demand!$A$2:$A$4481,A1307,Demand!$B$2:$B$4481,B1307,Demand!$C$2:$C$4481,C1307)</f>
        <v>1</v>
      </c>
    </row>
    <row r="1308">
      <c r="A1308" s="32" t="str">
        <f>Demand!A1306</f>
        <v>S002</v>
      </c>
      <c r="B1308" s="35">
        <f>Demand!B1306</f>
        <v>46270.0</v>
      </c>
      <c r="C1308" s="33">
        <f>Demand!C1306</f>
        <v>16</v>
      </c>
      <c r="D1308" s="33">
        <f>Demand!E1306</f>
        <v>35</v>
      </c>
      <c r="E1308" s="33">
        <f>IF(Demand!F1306,1,0)</f>
        <v>0</v>
      </c>
      <c r="F1308" s="33">
        <f>COUNTIFS(c_store,A1308,c_date,B1308,c_hour,C1308)</f>
        <v>0</v>
      </c>
      <c r="G1308" s="33">
        <f>IF(F1308&gt;0,1,0)</f>
        <v>0</v>
      </c>
      <c r="H1308" s="33">
        <f>COUNTIFS(Demand!$A$2:$A$4481,A1308,Demand!$B$2:$B$4481,B1308,Demand!$C$2:$C$4481,C1308)</f>
        <v>1</v>
      </c>
    </row>
    <row r="1309">
      <c r="A1309" s="32" t="str">
        <f>Demand!A1307</f>
        <v>S002</v>
      </c>
      <c r="B1309" s="35">
        <f>Demand!B1307</f>
        <v>46270.0</v>
      </c>
      <c r="C1309" s="33">
        <f>Demand!C1307</f>
        <v>17</v>
      </c>
      <c r="D1309" s="33">
        <f>Demand!E1307</f>
        <v>30</v>
      </c>
      <c r="E1309" s="33">
        <f>IF(Demand!F1307,1,0)</f>
        <v>0</v>
      </c>
      <c r="F1309" s="33">
        <f>COUNTIFS(c_store,A1309,c_date,B1309,c_hour,C1309)</f>
        <v>0</v>
      </c>
      <c r="G1309" s="33">
        <f>IF(F1309&gt;0,1,0)</f>
        <v>0</v>
      </c>
      <c r="H1309" s="33">
        <f>COUNTIFS(Demand!$A$2:$A$4481,A1309,Demand!$B$2:$B$4481,B1309,Demand!$C$2:$C$4481,C1309)</f>
        <v>1</v>
      </c>
    </row>
    <row r="1310">
      <c r="A1310" s="32" t="str">
        <f>Demand!A1308</f>
        <v>S002</v>
      </c>
      <c r="B1310" s="35">
        <f>Demand!B1308</f>
        <v>46270.0</v>
      </c>
      <c r="C1310" s="33">
        <f>Demand!C1308</f>
        <v>18</v>
      </c>
      <c r="D1310" s="33">
        <f>Demand!E1308</f>
        <v>35</v>
      </c>
      <c r="E1310" s="33">
        <f>IF(Demand!F1308,1,0)</f>
        <v>0</v>
      </c>
      <c r="F1310" s="33">
        <f>COUNTIFS(c_store,A1310,c_date,B1310,c_hour,C1310)</f>
        <v>1</v>
      </c>
      <c r="G1310" s="33">
        <f>IF(F1310&gt;0,1,0)</f>
        <v>1</v>
      </c>
      <c r="H1310" s="33">
        <f>COUNTIFS(Demand!$A$2:$A$4481,A1310,Demand!$B$2:$B$4481,B1310,Demand!$C$2:$C$4481,C1310)</f>
        <v>1</v>
      </c>
    </row>
    <row r="1311">
      <c r="A1311" s="32" t="str">
        <f>Demand!A1309</f>
        <v>S002</v>
      </c>
      <c r="B1311" s="35">
        <f>Demand!B1309</f>
        <v>46270.0</v>
      </c>
      <c r="C1311" s="33">
        <f>Demand!C1309</f>
        <v>19</v>
      </c>
      <c r="D1311" s="33">
        <f>Demand!E1309</f>
        <v>67</v>
      </c>
      <c r="E1311" s="33">
        <f>IF(Demand!F1309,1,0)</f>
        <v>1</v>
      </c>
      <c r="F1311" s="33">
        <f>COUNTIFS(c_store,A1311,c_date,B1311,c_hour,C1311)</f>
        <v>0</v>
      </c>
      <c r="G1311" s="33">
        <f>IF(F1311&gt;0,1,0)</f>
        <v>0</v>
      </c>
      <c r="H1311" s="33">
        <f>COUNTIFS(Demand!$A$2:$A$4481,A1311,Demand!$B$2:$B$4481,B1311,Demand!$C$2:$C$4481,C1311)</f>
        <v>1</v>
      </c>
    </row>
    <row r="1312">
      <c r="A1312" s="32" t="str">
        <f>Demand!A1310</f>
        <v>S002</v>
      </c>
      <c r="B1312" s="35">
        <f>Demand!B1310</f>
        <v>46270.0</v>
      </c>
      <c r="C1312" s="33">
        <f>Demand!C1310</f>
        <v>20</v>
      </c>
      <c r="D1312" s="33">
        <f>Demand!E1310</f>
        <v>49</v>
      </c>
      <c r="E1312" s="33">
        <f>IF(Demand!F1310,1,0)</f>
        <v>1</v>
      </c>
      <c r="F1312" s="33">
        <f>COUNTIFS(c_store,A1312,c_date,B1312,c_hour,C1312)</f>
        <v>0</v>
      </c>
      <c r="G1312" s="33">
        <f>IF(F1312&gt;0,1,0)</f>
        <v>0</v>
      </c>
      <c r="H1312" s="33">
        <f>COUNTIFS(Demand!$A$2:$A$4481,A1312,Demand!$B$2:$B$4481,B1312,Demand!$C$2:$C$4481,C1312)</f>
        <v>1</v>
      </c>
    </row>
    <row r="1313">
      <c r="A1313" s="32" t="str">
        <f>Demand!A1311</f>
        <v>S002</v>
      </c>
      <c r="B1313" s="35">
        <f>Demand!B1311</f>
        <v>46270.0</v>
      </c>
      <c r="C1313" s="33">
        <f>Demand!C1311</f>
        <v>21</v>
      </c>
      <c r="D1313" s="33">
        <f>Demand!E1311</f>
        <v>53</v>
      </c>
      <c r="E1313" s="33">
        <f>IF(Demand!F1311,1,0)</f>
        <v>1</v>
      </c>
      <c r="F1313" s="33">
        <f>COUNTIFS(c_store,A1313,c_date,B1313,c_hour,C1313)</f>
        <v>0</v>
      </c>
      <c r="G1313" s="33">
        <f>IF(F1313&gt;0,1,0)</f>
        <v>0</v>
      </c>
      <c r="H1313" s="33">
        <f>COUNTIFS(Demand!$A$2:$A$4481,A1313,Demand!$B$2:$B$4481,B1313,Demand!$C$2:$C$4481,C1313)</f>
        <v>1</v>
      </c>
    </row>
    <row r="1314">
      <c r="A1314" s="32" t="str">
        <f>Demand!A1312</f>
        <v>S002</v>
      </c>
      <c r="B1314" s="35">
        <f>Demand!B1312</f>
        <v>46270.0</v>
      </c>
      <c r="C1314" s="33">
        <f>Demand!C1312</f>
        <v>22</v>
      </c>
      <c r="D1314" s="33">
        <f>Demand!E1312</f>
        <v>44</v>
      </c>
      <c r="E1314" s="33">
        <f>IF(Demand!F1312,1,0)</f>
        <v>0</v>
      </c>
      <c r="F1314" s="33">
        <f>COUNTIFS(c_store,A1314,c_date,B1314,c_hour,C1314)</f>
        <v>0</v>
      </c>
      <c r="G1314" s="33">
        <f>IF(F1314&gt;0,1,0)</f>
        <v>0</v>
      </c>
      <c r="H1314" s="33">
        <f>COUNTIFS(Demand!$A$2:$A$4481,A1314,Demand!$B$2:$B$4481,B1314,Demand!$C$2:$C$4481,C1314)</f>
        <v>1</v>
      </c>
    </row>
    <row r="1315">
      <c r="A1315" s="32" t="str">
        <f>Demand!A1313</f>
        <v>S002</v>
      </c>
      <c r="B1315" s="35">
        <f>Demand!B1313</f>
        <v>46270.0</v>
      </c>
      <c r="C1315" s="33">
        <f>Demand!C1313</f>
        <v>23</v>
      </c>
      <c r="D1315" s="33">
        <f>Demand!E1313</f>
        <v>46</v>
      </c>
      <c r="E1315" s="33">
        <f>IF(Demand!F1313,1,0)</f>
        <v>0</v>
      </c>
      <c r="F1315" s="33">
        <f>COUNTIFS(c_store,A1315,c_date,B1315,c_hour,C1315)</f>
        <v>1</v>
      </c>
      <c r="G1315" s="33">
        <f>IF(F1315&gt;0,1,0)</f>
        <v>1</v>
      </c>
      <c r="H1315" s="33">
        <f>COUNTIFS(Demand!$A$2:$A$4481,A1315,Demand!$B$2:$B$4481,B1315,Demand!$C$2:$C$4481,C1315)</f>
        <v>1</v>
      </c>
    </row>
    <row r="1316">
      <c r="A1316" s="32" t="str">
        <f>Demand!A1314</f>
        <v>S003</v>
      </c>
      <c r="B1316" s="35">
        <f>Demand!B1314</f>
        <v>46270.0</v>
      </c>
      <c r="C1316" s="33">
        <f>Demand!C1314</f>
        <v>8</v>
      </c>
      <c r="D1316" s="33">
        <f>Demand!E1314</f>
        <v>34</v>
      </c>
      <c r="E1316" s="33">
        <f>IF(Demand!F1314,1,0)</f>
        <v>0</v>
      </c>
      <c r="F1316" s="33">
        <f>COUNTIFS(c_store,A1316,c_date,B1316,c_hour,C1316)</f>
        <v>0</v>
      </c>
      <c r="G1316" s="33">
        <f>IF(F1316&gt;0,1,0)</f>
        <v>0</v>
      </c>
      <c r="H1316" s="33">
        <f>COUNTIFS(Demand!$A$2:$A$4481,A1316,Demand!$B$2:$B$4481,B1316,Demand!$C$2:$C$4481,C1316)</f>
        <v>1</v>
      </c>
    </row>
    <row r="1317">
      <c r="A1317" s="32" t="str">
        <f>Demand!A1315</f>
        <v>S003</v>
      </c>
      <c r="B1317" s="35">
        <f>Demand!B1315</f>
        <v>46270.0</v>
      </c>
      <c r="C1317" s="33">
        <f>Demand!C1315</f>
        <v>9</v>
      </c>
      <c r="D1317" s="33">
        <f>Demand!E1315</f>
        <v>26</v>
      </c>
      <c r="E1317" s="33">
        <f>IF(Demand!F1315,1,0)</f>
        <v>0</v>
      </c>
      <c r="F1317" s="33">
        <f>COUNTIFS(c_store,A1317,c_date,B1317,c_hour,C1317)</f>
        <v>0</v>
      </c>
      <c r="G1317" s="33">
        <f>IF(F1317&gt;0,1,0)</f>
        <v>0</v>
      </c>
      <c r="H1317" s="33">
        <f>COUNTIFS(Demand!$A$2:$A$4481,A1317,Demand!$B$2:$B$4481,B1317,Demand!$C$2:$C$4481,C1317)</f>
        <v>1</v>
      </c>
    </row>
    <row r="1318">
      <c r="A1318" s="32" t="str">
        <f>Demand!A1316</f>
        <v>S003</v>
      </c>
      <c r="B1318" s="35">
        <f>Demand!B1316</f>
        <v>46270.0</v>
      </c>
      <c r="C1318" s="33">
        <f>Demand!C1316</f>
        <v>10</v>
      </c>
      <c r="D1318" s="33">
        <f>Demand!E1316</f>
        <v>30</v>
      </c>
      <c r="E1318" s="33">
        <f>IF(Demand!F1316,1,0)</f>
        <v>0</v>
      </c>
      <c r="F1318" s="33">
        <f>COUNTIFS(c_store,A1318,c_date,B1318,c_hour,C1318)</f>
        <v>0</v>
      </c>
      <c r="G1318" s="33">
        <f>IF(F1318&gt;0,1,0)</f>
        <v>0</v>
      </c>
      <c r="H1318" s="33">
        <f>COUNTIFS(Demand!$A$2:$A$4481,A1318,Demand!$B$2:$B$4481,B1318,Demand!$C$2:$C$4481,C1318)</f>
        <v>1</v>
      </c>
    </row>
    <row r="1319">
      <c r="A1319" s="32" t="str">
        <f>Demand!A1317</f>
        <v>S003</v>
      </c>
      <c r="B1319" s="35">
        <f>Demand!B1317</f>
        <v>46270.0</v>
      </c>
      <c r="C1319" s="33">
        <f>Demand!C1317</f>
        <v>11</v>
      </c>
      <c r="D1319" s="33">
        <f>Demand!E1317</f>
        <v>44</v>
      </c>
      <c r="E1319" s="33">
        <f>IF(Demand!F1317,1,0)</f>
        <v>0</v>
      </c>
      <c r="F1319" s="33">
        <f>COUNTIFS(c_store,A1319,c_date,B1319,c_hour,C1319)</f>
        <v>0</v>
      </c>
      <c r="G1319" s="33">
        <f>IF(F1319&gt;0,1,0)</f>
        <v>0</v>
      </c>
      <c r="H1319" s="33">
        <f>COUNTIFS(Demand!$A$2:$A$4481,A1319,Demand!$B$2:$B$4481,B1319,Demand!$C$2:$C$4481,C1319)</f>
        <v>1</v>
      </c>
    </row>
    <row r="1320">
      <c r="A1320" s="32" t="str">
        <f>Demand!A1318</f>
        <v>S003</v>
      </c>
      <c r="B1320" s="35">
        <f>Demand!B1318</f>
        <v>46270.0</v>
      </c>
      <c r="C1320" s="33">
        <f>Demand!C1318</f>
        <v>12</v>
      </c>
      <c r="D1320" s="33">
        <f>Demand!E1318</f>
        <v>37</v>
      </c>
      <c r="E1320" s="33">
        <f>IF(Demand!F1318,1,0)</f>
        <v>0</v>
      </c>
      <c r="F1320" s="33">
        <f>COUNTIFS(c_store,A1320,c_date,B1320,c_hour,C1320)</f>
        <v>1</v>
      </c>
      <c r="G1320" s="33">
        <f>IF(F1320&gt;0,1,0)</f>
        <v>1</v>
      </c>
      <c r="H1320" s="33">
        <f>COUNTIFS(Demand!$A$2:$A$4481,A1320,Demand!$B$2:$B$4481,B1320,Demand!$C$2:$C$4481,C1320)</f>
        <v>1</v>
      </c>
    </row>
    <row r="1321">
      <c r="A1321" s="32" t="str">
        <f>Demand!A1319</f>
        <v>S003</v>
      </c>
      <c r="B1321" s="35">
        <f>Demand!B1319</f>
        <v>46270.0</v>
      </c>
      <c r="C1321" s="33">
        <f>Demand!C1319</f>
        <v>13</v>
      </c>
      <c r="D1321" s="33">
        <f>Demand!E1319</f>
        <v>36</v>
      </c>
      <c r="E1321" s="33">
        <f>IF(Demand!F1319,1,0)</f>
        <v>0</v>
      </c>
      <c r="F1321" s="33">
        <f>COUNTIFS(c_store,A1321,c_date,B1321,c_hour,C1321)</f>
        <v>2</v>
      </c>
      <c r="G1321" s="33">
        <f>IF(F1321&gt;0,1,0)</f>
        <v>1</v>
      </c>
      <c r="H1321" s="33">
        <f>COUNTIFS(Demand!$A$2:$A$4481,A1321,Demand!$B$2:$B$4481,B1321,Demand!$C$2:$C$4481,C1321)</f>
        <v>1</v>
      </c>
    </row>
    <row r="1322">
      <c r="A1322" s="32" t="str">
        <f>Demand!A1320</f>
        <v>S003</v>
      </c>
      <c r="B1322" s="35">
        <f>Demand!B1320</f>
        <v>46270.0</v>
      </c>
      <c r="C1322" s="33">
        <f>Demand!C1320</f>
        <v>14</v>
      </c>
      <c r="D1322" s="33">
        <f>Demand!E1320</f>
        <v>39</v>
      </c>
      <c r="E1322" s="33">
        <f>IF(Demand!F1320,1,0)</f>
        <v>0</v>
      </c>
      <c r="F1322" s="33">
        <f>COUNTIFS(c_store,A1322,c_date,B1322,c_hour,C1322)</f>
        <v>0</v>
      </c>
      <c r="G1322" s="33">
        <f>IF(F1322&gt;0,1,0)</f>
        <v>0</v>
      </c>
      <c r="H1322" s="33">
        <f>COUNTIFS(Demand!$A$2:$A$4481,A1322,Demand!$B$2:$B$4481,B1322,Demand!$C$2:$C$4481,C1322)</f>
        <v>1</v>
      </c>
    </row>
    <row r="1323">
      <c r="A1323" s="32" t="str">
        <f>Demand!A1321</f>
        <v>S003</v>
      </c>
      <c r="B1323" s="35">
        <f>Demand!B1321</f>
        <v>46270.0</v>
      </c>
      <c r="C1323" s="33">
        <f>Demand!C1321</f>
        <v>15</v>
      </c>
      <c r="D1323" s="33">
        <f>Demand!E1321</f>
        <v>39</v>
      </c>
      <c r="E1323" s="33">
        <f>IF(Demand!F1321,1,0)</f>
        <v>0</v>
      </c>
      <c r="F1323" s="33">
        <f>COUNTIFS(c_store,A1323,c_date,B1323,c_hour,C1323)</f>
        <v>0</v>
      </c>
      <c r="G1323" s="33">
        <f>IF(F1323&gt;0,1,0)</f>
        <v>0</v>
      </c>
      <c r="H1323" s="33">
        <f>COUNTIFS(Demand!$A$2:$A$4481,A1323,Demand!$B$2:$B$4481,B1323,Demand!$C$2:$C$4481,C1323)</f>
        <v>1</v>
      </c>
    </row>
    <row r="1324">
      <c r="A1324" s="32" t="str">
        <f>Demand!A1322</f>
        <v>S003</v>
      </c>
      <c r="B1324" s="35">
        <f>Demand!B1322</f>
        <v>46270.0</v>
      </c>
      <c r="C1324" s="33">
        <f>Demand!C1322</f>
        <v>16</v>
      </c>
      <c r="D1324" s="33">
        <f>Demand!E1322</f>
        <v>38</v>
      </c>
      <c r="E1324" s="33">
        <f>IF(Demand!F1322,1,0)</f>
        <v>0</v>
      </c>
      <c r="F1324" s="33">
        <f>COUNTIFS(c_store,A1324,c_date,B1324,c_hour,C1324)</f>
        <v>0</v>
      </c>
      <c r="G1324" s="33">
        <f>IF(F1324&gt;0,1,0)</f>
        <v>0</v>
      </c>
      <c r="H1324" s="33">
        <f>COUNTIFS(Demand!$A$2:$A$4481,A1324,Demand!$B$2:$B$4481,B1324,Demand!$C$2:$C$4481,C1324)</f>
        <v>1</v>
      </c>
    </row>
    <row r="1325">
      <c r="A1325" s="32" t="str">
        <f>Demand!A1323</f>
        <v>S003</v>
      </c>
      <c r="B1325" s="35">
        <f>Demand!B1323</f>
        <v>46270.0</v>
      </c>
      <c r="C1325" s="33">
        <f>Demand!C1323</f>
        <v>17</v>
      </c>
      <c r="D1325" s="33">
        <f>Demand!E1323</f>
        <v>58</v>
      </c>
      <c r="E1325" s="33">
        <f>IF(Demand!F1323,1,0)</f>
        <v>0</v>
      </c>
      <c r="F1325" s="33">
        <f>COUNTIFS(c_store,A1325,c_date,B1325,c_hour,C1325)</f>
        <v>0</v>
      </c>
      <c r="G1325" s="33">
        <f>IF(F1325&gt;0,1,0)</f>
        <v>0</v>
      </c>
      <c r="H1325" s="33">
        <f>COUNTIFS(Demand!$A$2:$A$4481,A1325,Demand!$B$2:$B$4481,B1325,Demand!$C$2:$C$4481,C1325)</f>
        <v>1</v>
      </c>
    </row>
    <row r="1326">
      <c r="A1326" s="32" t="str">
        <f>Demand!A1324</f>
        <v>S003</v>
      </c>
      <c r="B1326" s="35">
        <f>Demand!B1324</f>
        <v>46270.0</v>
      </c>
      <c r="C1326" s="33">
        <f>Demand!C1324</f>
        <v>18</v>
      </c>
      <c r="D1326" s="33">
        <f>Demand!E1324</f>
        <v>46</v>
      </c>
      <c r="E1326" s="33">
        <f>IF(Demand!F1324,1,0)</f>
        <v>0</v>
      </c>
      <c r="F1326" s="33">
        <f>COUNTIFS(c_store,A1326,c_date,B1326,c_hour,C1326)</f>
        <v>0</v>
      </c>
      <c r="G1326" s="33">
        <f>IF(F1326&gt;0,1,0)</f>
        <v>0</v>
      </c>
      <c r="H1326" s="33">
        <f>COUNTIFS(Demand!$A$2:$A$4481,A1326,Demand!$B$2:$B$4481,B1326,Demand!$C$2:$C$4481,C1326)</f>
        <v>1</v>
      </c>
    </row>
    <row r="1327">
      <c r="A1327" s="32" t="str">
        <f>Demand!A1325</f>
        <v>S003</v>
      </c>
      <c r="B1327" s="35">
        <f>Demand!B1325</f>
        <v>46270.0</v>
      </c>
      <c r="C1327" s="33">
        <f>Demand!C1325</f>
        <v>19</v>
      </c>
      <c r="D1327" s="33">
        <f>Demand!E1325</f>
        <v>62</v>
      </c>
      <c r="E1327" s="33">
        <f>IF(Demand!F1325,1,0)</f>
        <v>1</v>
      </c>
      <c r="F1327" s="33">
        <f>COUNTIFS(c_store,A1327,c_date,B1327,c_hour,C1327)</f>
        <v>0</v>
      </c>
      <c r="G1327" s="33">
        <f>IF(F1327&gt;0,1,0)</f>
        <v>0</v>
      </c>
      <c r="H1327" s="33">
        <f>COUNTIFS(Demand!$A$2:$A$4481,A1327,Demand!$B$2:$B$4481,B1327,Demand!$C$2:$C$4481,C1327)</f>
        <v>1</v>
      </c>
    </row>
    <row r="1328">
      <c r="A1328" s="32" t="str">
        <f>Demand!A1326</f>
        <v>S003</v>
      </c>
      <c r="B1328" s="35">
        <f>Demand!B1326</f>
        <v>46270.0</v>
      </c>
      <c r="C1328" s="33">
        <f>Demand!C1326</f>
        <v>20</v>
      </c>
      <c r="D1328" s="33">
        <f>Demand!E1326</f>
        <v>73</v>
      </c>
      <c r="E1328" s="33">
        <f>IF(Demand!F1326,1,0)</f>
        <v>1</v>
      </c>
      <c r="F1328" s="33">
        <f>COUNTIFS(c_store,A1328,c_date,B1328,c_hour,C1328)</f>
        <v>0</v>
      </c>
      <c r="G1328" s="33">
        <f>IF(F1328&gt;0,1,0)</f>
        <v>0</v>
      </c>
      <c r="H1328" s="33">
        <f>COUNTIFS(Demand!$A$2:$A$4481,A1328,Demand!$B$2:$B$4481,B1328,Demand!$C$2:$C$4481,C1328)</f>
        <v>1</v>
      </c>
    </row>
    <row r="1329">
      <c r="A1329" s="32" t="str">
        <f>Demand!A1327</f>
        <v>S003</v>
      </c>
      <c r="B1329" s="35">
        <f>Demand!B1327</f>
        <v>46270.0</v>
      </c>
      <c r="C1329" s="33">
        <f>Demand!C1327</f>
        <v>21</v>
      </c>
      <c r="D1329" s="33">
        <f>Demand!E1327</f>
        <v>71</v>
      </c>
      <c r="E1329" s="33">
        <f>IF(Demand!F1327,1,0)</f>
        <v>1</v>
      </c>
      <c r="F1329" s="33">
        <f>COUNTIFS(c_store,A1329,c_date,B1329,c_hour,C1329)</f>
        <v>0</v>
      </c>
      <c r="G1329" s="33">
        <f>IF(F1329&gt;0,1,0)</f>
        <v>0</v>
      </c>
      <c r="H1329" s="33">
        <f>COUNTIFS(Demand!$A$2:$A$4481,A1329,Demand!$B$2:$B$4481,B1329,Demand!$C$2:$C$4481,C1329)</f>
        <v>1</v>
      </c>
    </row>
    <row r="1330">
      <c r="A1330" s="32" t="str">
        <f>Demand!A1328</f>
        <v>S003</v>
      </c>
      <c r="B1330" s="35">
        <f>Demand!B1328</f>
        <v>46270.0</v>
      </c>
      <c r="C1330" s="33">
        <f>Demand!C1328</f>
        <v>22</v>
      </c>
      <c r="D1330" s="33">
        <f>Demand!E1328</f>
        <v>44</v>
      </c>
      <c r="E1330" s="33">
        <f>IF(Demand!F1328,1,0)</f>
        <v>0</v>
      </c>
      <c r="F1330" s="33">
        <f>COUNTIFS(c_store,A1330,c_date,B1330,c_hour,C1330)</f>
        <v>0</v>
      </c>
      <c r="G1330" s="33">
        <f>IF(F1330&gt;0,1,0)</f>
        <v>0</v>
      </c>
      <c r="H1330" s="33">
        <f>COUNTIFS(Demand!$A$2:$A$4481,A1330,Demand!$B$2:$B$4481,B1330,Demand!$C$2:$C$4481,C1330)</f>
        <v>1</v>
      </c>
    </row>
    <row r="1331">
      <c r="A1331" s="32" t="str">
        <f>Demand!A1329</f>
        <v>S003</v>
      </c>
      <c r="B1331" s="35">
        <f>Demand!B1329</f>
        <v>46270.0</v>
      </c>
      <c r="C1331" s="33">
        <f>Demand!C1329</f>
        <v>23</v>
      </c>
      <c r="D1331" s="33">
        <f>Demand!E1329</f>
        <v>36</v>
      </c>
      <c r="E1331" s="33">
        <f>IF(Demand!F1329,1,0)</f>
        <v>0</v>
      </c>
      <c r="F1331" s="33">
        <f>COUNTIFS(c_store,A1331,c_date,B1331,c_hour,C1331)</f>
        <v>0</v>
      </c>
      <c r="G1331" s="33">
        <f>IF(F1331&gt;0,1,0)</f>
        <v>0</v>
      </c>
      <c r="H1331" s="33">
        <f>COUNTIFS(Demand!$A$2:$A$4481,A1331,Demand!$B$2:$B$4481,B1331,Demand!$C$2:$C$4481,C1331)</f>
        <v>1</v>
      </c>
    </row>
    <row r="1332">
      <c r="A1332" s="32" t="str">
        <f>Demand!A1330</f>
        <v>S004</v>
      </c>
      <c r="B1332" s="35">
        <f>Demand!B1330</f>
        <v>46270.0</v>
      </c>
      <c r="C1332" s="33">
        <f>Demand!C1330</f>
        <v>8</v>
      </c>
      <c r="D1332" s="33">
        <f>Demand!E1330</f>
        <v>38</v>
      </c>
      <c r="E1332" s="33">
        <f>IF(Demand!F1330,1,0)</f>
        <v>0</v>
      </c>
      <c r="F1332" s="33">
        <f>COUNTIFS(c_store,A1332,c_date,B1332,c_hour,C1332)</f>
        <v>0</v>
      </c>
      <c r="G1332" s="33">
        <f>IF(F1332&gt;0,1,0)</f>
        <v>0</v>
      </c>
      <c r="H1332" s="33">
        <f>COUNTIFS(Demand!$A$2:$A$4481,A1332,Demand!$B$2:$B$4481,B1332,Demand!$C$2:$C$4481,C1332)</f>
        <v>1</v>
      </c>
    </row>
    <row r="1333">
      <c r="A1333" s="32" t="str">
        <f>Demand!A1331</f>
        <v>S004</v>
      </c>
      <c r="B1333" s="35">
        <f>Demand!B1331</f>
        <v>46270.0</v>
      </c>
      <c r="C1333" s="33">
        <f>Demand!C1331</f>
        <v>9</v>
      </c>
      <c r="D1333" s="33">
        <f>Demand!E1331</f>
        <v>30</v>
      </c>
      <c r="E1333" s="33">
        <f>IF(Demand!F1331,1,0)</f>
        <v>0</v>
      </c>
      <c r="F1333" s="33">
        <f>COUNTIFS(c_store,A1333,c_date,B1333,c_hour,C1333)</f>
        <v>1</v>
      </c>
      <c r="G1333" s="33">
        <f>IF(F1333&gt;0,1,0)</f>
        <v>1</v>
      </c>
      <c r="H1333" s="33">
        <f>COUNTIFS(Demand!$A$2:$A$4481,A1333,Demand!$B$2:$B$4481,B1333,Demand!$C$2:$C$4481,C1333)</f>
        <v>1</v>
      </c>
    </row>
    <row r="1334">
      <c r="A1334" s="32" t="str">
        <f>Demand!A1332</f>
        <v>S004</v>
      </c>
      <c r="B1334" s="35">
        <f>Demand!B1332</f>
        <v>46270.0</v>
      </c>
      <c r="C1334" s="33">
        <f>Demand!C1332</f>
        <v>10</v>
      </c>
      <c r="D1334" s="33">
        <f>Demand!E1332</f>
        <v>29</v>
      </c>
      <c r="E1334" s="33">
        <f>IF(Demand!F1332,1,0)</f>
        <v>0</v>
      </c>
      <c r="F1334" s="33">
        <f>COUNTIFS(c_store,A1334,c_date,B1334,c_hour,C1334)</f>
        <v>0</v>
      </c>
      <c r="G1334" s="33">
        <f>IF(F1334&gt;0,1,0)</f>
        <v>0</v>
      </c>
      <c r="H1334" s="33">
        <f>COUNTIFS(Demand!$A$2:$A$4481,A1334,Demand!$B$2:$B$4481,B1334,Demand!$C$2:$C$4481,C1334)</f>
        <v>1</v>
      </c>
    </row>
    <row r="1335">
      <c r="A1335" s="32" t="str">
        <f>Demand!A1333</f>
        <v>S004</v>
      </c>
      <c r="B1335" s="35">
        <f>Demand!B1333</f>
        <v>46270.0</v>
      </c>
      <c r="C1335" s="33">
        <f>Demand!C1333</f>
        <v>11</v>
      </c>
      <c r="D1335" s="33">
        <f>Demand!E1333</f>
        <v>49</v>
      </c>
      <c r="E1335" s="33">
        <f>IF(Demand!F1333,1,0)</f>
        <v>0</v>
      </c>
      <c r="F1335" s="33">
        <f>COUNTIFS(c_store,A1335,c_date,B1335,c_hour,C1335)</f>
        <v>0</v>
      </c>
      <c r="G1335" s="33">
        <f>IF(F1335&gt;0,1,0)</f>
        <v>0</v>
      </c>
      <c r="H1335" s="33">
        <f>COUNTIFS(Demand!$A$2:$A$4481,A1335,Demand!$B$2:$B$4481,B1335,Demand!$C$2:$C$4481,C1335)</f>
        <v>1</v>
      </c>
    </row>
    <row r="1336">
      <c r="A1336" s="32" t="str">
        <f>Demand!A1334</f>
        <v>S004</v>
      </c>
      <c r="B1336" s="35">
        <f>Demand!B1334</f>
        <v>46270.0</v>
      </c>
      <c r="C1336" s="33">
        <f>Demand!C1334</f>
        <v>12</v>
      </c>
      <c r="D1336" s="33">
        <f>Demand!E1334</f>
        <v>40</v>
      </c>
      <c r="E1336" s="33">
        <f>IF(Demand!F1334,1,0)</f>
        <v>0</v>
      </c>
      <c r="F1336" s="33">
        <f>COUNTIFS(c_store,A1336,c_date,B1336,c_hour,C1336)</f>
        <v>1</v>
      </c>
      <c r="G1336" s="33">
        <f>IF(F1336&gt;0,1,0)</f>
        <v>1</v>
      </c>
      <c r="H1336" s="33">
        <f>COUNTIFS(Demand!$A$2:$A$4481,A1336,Demand!$B$2:$B$4481,B1336,Demand!$C$2:$C$4481,C1336)</f>
        <v>1</v>
      </c>
    </row>
    <row r="1337">
      <c r="A1337" s="32" t="str">
        <f>Demand!A1335</f>
        <v>S004</v>
      </c>
      <c r="B1337" s="35">
        <f>Demand!B1335</f>
        <v>46270.0</v>
      </c>
      <c r="C1337" s="33">
        <f>Demand!C1335</f>
        <v>13</v>
      </c>
      <c r="D1337" s="33">
        <f>Demand!E1335</f>
        <v>40</v>
      </c>
      <c r="E1337" s="33">
        <f>IF(Demand!F1335,1,0)</f>
        <v>0</v>
      </c>
      <c r="F1337" s="33">
        <f>COUNTIFS(c_store,A1337,c_date,B1337,c_hour,C1337)</f>
        <v>3</v>
      </c>
      <c r="G1337" s="33">
        <f>IF(F1337&gt;0,1,0)</f>
        <v>1</v>
      </c>
      <c r="H1337" s="33">
        <f>COUNTIFS(Demand!$A$2:$A$4481,A1337,Demand!$B$2:$B$4481,B1337,Demand!$C$2:$C$4481,C1337)</f>
        <v>1</v>
      </c>
    </row>
    <row r="1338">
      <c r="A1338" s="32" t="str">
        <f>Demand!A1336</f>
        <v>S004</v>
      </c>
      <c r="B1338" s="35">
        <f>Demand!B1336</f>
        <v>46270.0</v>
      </c>
      <c r="C1338" s="33">
        <f>Demand!C1336</f>
        <v>14</v>
      </c>
      <c r="D1338" s="33">
        <f>Demand!E1336</f>
        <v>26</v>
      </c>
      <c r="E1338" s="33">
        <f>IF(Demand!F1336,1,0)</f>
        <v>0</v>
      </c>
      <c r="F1338" s="33">
        <f>COUNTIFS(c_store,A1338,c_date,B1338,c_hour,C1338)</f>
        <v>0</v>
      </c>
      <c r="G1338" s="33">
        <f>IF(F1338&gt;0,1,0)</f>
        <v>0</v>
      </c>
      <c r="H1338" s="33">
        <f>COUNTIFS(Demand!$A$2:$A$4481,A1338,Demand!$B$2:$B$4481,B1338,Demand!$C$2:$C$4481,C1338)</f>
        <v>1</v>
      </c>
    </row>
    <row r="1339">
      <c r="A1339" s="32" t="str">
        <f>Demand!A1337</f>
        <v>S004</v>
      </c>
      <c r="B1339" s="35">
        <f>Demand!B1337</f>
        <v>46270.0</v>
      </c>
      <c r="C1339" s="33">
        <f>Demand!C1337</f>
        <v>15</v>
      </c>
      <c r="D1339" s="33">
        <f>Demand!E1337</f>
        <v>33</v>
      </c>
      <c r="E1339" s="33">
        <f>IF(Demand!F1337,1,0)</f>
        <v>0</v>
      </c>
      <c r="F1339" s="33">
        <f>COUNTIFS(c_store,A1339,c_date,B1339,c_hour,C1339)</f>
        <v>0</v>
      </c>
      <c r="G1339" s="33">
        <f>IF(F1339&gt;0,1,0)</f>
        <v>0</v>
      </c>
      <c r="H1339" s="33">
        <f>COUNTIFS(Demand!$A$2:$A$4481,A1339,Demand!$B$2:$B$4481,B1339,Demand!$C$2:$C$4481,C1339)</f>
        <v>1</v>
      </c>
    </row>
    <row r="1340">
      <c r="A1340" s="32" t="str">
        <f>Demand!A1338</f>
        <v>S004</v>
      </c>
      <c r="B1340" s="35">
        <f>Demand!B1338</f>
        <v>46270.0</v>
      </c>
      <c r="C1340" s="33">
        <f>Demand!C1338</f>
        <v>16</v>
      </c>
      <c r="D1340" s="33">
        <f>Demand!E1338</f>
        <v>44</v>
      </c>
      <c r="E1340" s="33">
        <f>IF(Demand!F1338,1,0)</f>
        <v>0</v>
      </c>
      <c r="F1340" s="33">
        <f>COUNTIFS(c_store,A1340,c_date,B1340,c_hour,C1340)</f>
        <v>0</v>
      </c>
      <c r="G1340" s="33">
        <f>IF(F1340&gt;0,1,0)</f>
        <v>0</v>
      </c>
      <c r="H1340" s="33">
        <f>COUNTIFS(Demand!$A$2:$A$4481,A1340,Demand!$B$2:$B$4481,B1340,Demand!$C$2:$C$4481,C1340)</f>
        <v>1</v>
      </c>
    </row>
    <row r="1341">
      <c r="A1341" s="32" t="str">
        <f>Demand!A1339</f>
        <v>S004</v>
      </c>
      <c r="B1341" s="35">
        <f>Demand!B1339</f>
        <v>46270.0</v>
      </c>
      <c r="C1341" s="33">
        <f>Demand!C1339</f>
        <v>17</v>
      </c>
      <c r="D1341" s="33">
        <f>Demand!E1339</f>
        <v>51</v>
      </c>
      <c r="E1341" s="33">
        <f>IF(Demand!F1339,1,0)</f>
        <v>0</v>
      </c>
      <c r="F1341" s="33">
        <f>COUNTIFS(c_store,A1341,c_date,B1341,c_hour,C1341)</f>
        <v>1</v>
      </c>
      <c r="G1341" s="33">
        <f>IF(F1341&gt;0,1,0)</f>
        <v>1</v>
      </c>
      <c r="H1341" s="33">
        <f>COUNTIFS(Demand!$A$2:$A$4481,A1341,Demand!$B$2:$B$4481,B1341,Demand!$C$2:$C$4481,C1341)</f>
        <v>1</v>
      </c>
    </row>
    <row r="1342">
      <c r="A1342" s="32" t="str">
        <f>Demand!A1340</f>
        <v>S004</v>
      </c>
      <c r="B1342" s="35">
        <f>Demand!B1340</f>
        <v>46270.0</v>
      </c>
      <c r="C1342" s="33">
        <f>Demand!C1340</f>
        <v>18</v>
      </c>
      <c r="D1342" s="33">
        <f>Demand!E1340</f>
        <v>50</v>
      </c>
      <c r="E1342" s="33">
        <f>IF(Demand!F1340,1,0)</f>
        <v>0</v>
      </c>
      <c r="F1342" s="33">
        <f>COUNTIFS(c_store,A1342,c_date,B1342,c_hour,C1342)</f>
        <v>0</v>
      </c>
      <c r="G1342" s="33">
        <f>IF(F1342&gt;0,1,0)</f>
        <v>0</v>
      </c>
      <c r="H1342" s="33">
        <f>COUNTIFS(Demand!$A$2:$A$4481,A1342,Demand!$B$2:$B$4481,B1342,Demand!$C$2:$C$4481,C1342)</f>
        <v>1</v>
      </c>
    </row>
    <row r="1343">
      <c r="A1343" s="32" t="str">
        <f>Demand!A1341</f>
        <v>S004</v>
      </c>
      <c r="B1343" s="35">
        <f>Demand!B1341</f>
        <v>46270.0</v>
      </c>
      <c r="C1343" s="33">
        <f>Demand!C1341</f>
        <v>19</v>
      </c>
      <c r="D1343" s="33">
        <f>Demand!E1341</f>
        <v>69</v>
      </c>
      <c r="E1343" s="33">
        <f>IF(Demand!F1341,1,0)</f>
        <v>1</v>
      </c>
      <c r="F1343" s="33">
        <f>COUNTIFS(c_store,A1343,c_date,B1343,c_hour,C1343)</f>
        <v>0</v>
      </c>
      <c r="G1343" s="33">
        <f>IF(F1343&gt;0,1,0)</f>
        <v>0</v>
      </c>
      <c r="H1343" s="33">
        <f>COUNTIFS(Demand!$A$2:$A$4481,A1343,Demand!$B$2:$B$4481,B1343,Demand!$C$2:$C$4481,C1343)</f>
        <v>1</v>
      </c>
    </row>
    <row r="1344">
      <c r="A1344" s="32" t="str">
        <f>Demand!A1342</f>
        <v>S004</v>
      </c>
      <c r="B1344" s="35">
        <f>Demand!B1342</f>
        <v>46270.0</v>
      </c>
      <c r="C1344" s="33">
        <f>Demand!C1342</f>
        <v>20</v>
      </c>
      <c r="D1344" s="33">
        <f>Demand!E1342</f>
        <v>78</v>
      </c>
      <c r="E1344" s="33">
        <f>IF(Demand!F1342,1,0)</f>
        <v>1</v>
      </c>
      <c r="F1344" s="33">
        <f>COUNTIFS(c_store,A1344,c_date,B1344,c_hour,C1344)</f>
        <v>0</v>
      </c>
      <c r="G1344" s="33">
        <f>IF(F1344&gt;0,1,0)</f>
        <v>0</v>
      </c>
      <c r="H1344" s="33">
        <f>COUNTIFS(Demand!$A$2:$A$4481,A1344,Demand!$B$2:$B$4481,B1344,Demand!$C$2:$C$4481,C1344)</f>
        <v>1</v>
      </c>
    </row>
    <row r="1345">
      <c r="A1345" s="32" t="str">
        <f>Demand!A1343</f>
        <v>S004</v>
      </c>
      <c r="B1345" s="35">
        <f>Demand!B1343</f>
        <v>46270.0</v>
      </c>
      <c r="C1345" s="33">
        <f>Demand!C1343</f>
        <v>21</v>
      </c>
      <c r="D1345" s="33">
        <f>Demand!E1343</f>
        <v>62</v>
      </c>
      <c r="E1345" s="33">
        <f>IF(Demand!F1343,1,0)</f>
        <v>1</v>
      </c>
      <c r="F1345" s="33">
        <f>COUNTIFS(c_store,A1345,c_date,B1345,c_hour,C1345)</f>
        <v>0</v>
      </c>
      <c r="G1345" s="33">
        <f>IF(F1345&gt;0,1,0)</f>
        <v>0</v>
      </c>
      <c r="H1345" s="33">
        <f>COUNTIFS(Demand!$A$2:$A$4481,A1345,Demand!$B$2:$B$4481,B1345,Demand!$C$2:$C$4481,C1345)</f>
        <v>1</v>
      </c>
    </row>
    <row r="1346">
      <c r="A1346" s="32" t="str">
        <f>Demand!A1344</f>
        <v>S004</v>
      </c>
      <c r="B1346" s="35">
        <f>Demand!B1344</f>
        <v>46270.0</v>
      </c>
      <c r="C1346" s="33">
        <f>Demand!C1344</f>
        <v>22</v>
      </c>
      <c r="D1346" s="33">
        <f>Demand!E1344</f>
        <v>49</v>
      </c>
      <c r="E1346" s="33">
        <f>IF(Demand!F1344,1,0)</f>
        <v>0</v>
      </c>
      <c r="F1346" s="33">
        <f>COUNTIFS(c_store,A1346,c_date,B1346,c_hour,C1346)</f>
        <v>0</v>
      </c>
      <c r="G1346" s="33">
        <f>IF(F1346&gt;0,1,0)</f>
        <v>0</v>
      </c>
      <c r="H1346" s="33">
        <f>COUNTIFS(Demand!$A$2:$A$4481,A1346,Demand!$B$2:$B$4481,B1346,Demand!$C$2:$C$4481,C1346)</f>
        <v>1</v>
      </c>
    </row>
    <row r="1347">
      <c r="A1347" s="32" t="str">
        <f>Demand!A1345</f>
        <v>S004</v>
      </c>
      <c r="B1347" s="35">
        <f>Demand!B1345</f>
        <v>46270.0</v>
      </c>
      <c r="C1347" s="33">
        <f>Demand!C1345</f>
        <v>23</v>
      </c>
      <c r="D1347" s="33">
        <f>Demand!E1345</f>
        <v>37</v>
      </c>
      <c r="E1347" s="33">
        <f>IF(Demand!F1345,1,0)</f>
        <v>0</v>
      </c>
      <c r="F1347" s="33">
        <f>COUNTIFS(c_store,A1347,c_date,B1347,c_hour,C1347)</f>
        <v>0</v>
      </c>
      <c r="G1347" s="33">
        <f>IF(F1347&gt;0,1,0)</f>
        <v>0</v>
      </c>
      <c r="H1347" s="33">
        <f>COUNTIFS(Demand!$A$2:$A$4481,A1347,Demand!$B$2:$B$4481,B1347,Demand!$C$2:$C$4481,C1347)</f>
        <v>1</v>
      </c>
    </row>
    <row r="1348">
      <c r="A1348" s="32" t="str">
        <f>Demand!A1346</f>
        <v>S005</v>
      </c>
      <c r="B1348" s="35">
        <f>Demand!B1346</f>
        <v>46270.0</v>
      </c>
      <c r="C1348" s="33">
        <f>Demand!C1346</f>
        <v>8</v>
      </c>
      <c r="D1348" s="33">
        <f>Demand!E1346</f>
        <v>11</v>
      </c>
      <c r="E1348" s="33">
        <f>IF(Demand!F1346,1,0)</f>
        <v>0</v>
      </c>
      <c r="F1348" s="33">
        <f>COUNTIFS(c_store,A1348,c_date,B1348,c_hour,C1348)</f>
        <v>2</v>
      </c>
      <c r="G1348" s="33">
        <f>IF(F1348&gt;0,1,0)</f>
        <v>1</v>
      </c>
      <c r="H1348" s="33">
        <f>COUNTIFS(Demand!$A$2:$A$4481,A1348,Demand!$B$2:$B$4481,B1348,Demand!$C$2:$C$4481,C1348)</f>
        <v>1</v>
      </c>
    </row>
    <row r="1349">
      <c r="A1349" s="32" t="str">
        <f>Demand!A1347</f>
        <v>S005</v>
      </c>
      <c r="B1349" s="35">
        <f>Demand!B1347</f>
        <v>46270.0</v>
      </c>
      <c r="C1349" s="33">
        <f>Demand!C1347</f>
        <v>9</v>
      </c>
      <c r="D1349" s="33">
        <f>Demand!E1347</f>
        <v>11</v>
      </c>
      <c r="E1349" s="33">
        <f>IF(Demand!F1347,1,0)</f>
        <v>0</v>
      </c>
      <c r="F1349" s="33">
        <f>COUNTIFS(c_store,A1349,c_date,B1349,c_hour,C1349)</f>
        <v>0</v>
      </c>
      <c r="G1349" s="33">
        <f>IF(F1349&gt;0,1,0)</f>
        <v>0</v>
      </c>
      <c r="H1349" s="33">
        <f>COUNTIFS(Demand!$A$2:$A$4481,A1349,Demand!$B$2:$B$4481,B1349,Demand!$C$2:$C$4481,C1349)</f>
        <v>1</v>
      </c>
    </row>
    <row r="1350">
      <c r="A1350" s="32" t="str">
        <f>Demand!A1348</f>
        <v>S005</v>
      </c>
      <c r="B1350" s="35">
        <f>Demand!B1348</f>
        <v>46270.0</v>
      </c>
      <c r="C1350" s="33">
        <f>Demand!C1348</f>
        <v>10</v>
      </c>
      <c r="D1350" s="33">
        <f>Demand!E1348</f>
        <v>14</v>
      </c>
      <c r="E1350" s="33">
        <f>IF(Demand!F1348,1,0)</f>
        <v>0</v>
      </c>
      <c r="F1350" s="33">
        <f>COUNTIFS(c_store,A1350,c_date,B1350,c_hour,C1350)</f>
        <v>1</v>
      </c>
      <c r="G1350" s="33">
        <f>IF(F1350&gt;0,1,0)</f>
        <v>1</v>
      </c>
      <c r="H1350" s="33">
        <f>COUNTIFS(Demand!$A$2:$A$4481,A1350,Demand!$B$2:$B$4481,B1350,Demand!$C$2:$C$4481,C1350)</f>
        <v>1</v>
      </c>
    </row>
    <row r="1351">
      <c r="A1351" s="32" t="str">
        <f>Demand!A1349</f>
        <v>S005</v>
      </c>
      <c r="B1351" s="35">
        <f>Demand!B1349</f>
        <v>46270.0</v>
      </c>
      <c r="C1351" s="33">
        <f>Demand!C1349</f>
        <v>11</v>
      </c>
      <c r="D1351" s="33">
        <f>Demand!E1349</f>
        <v>14</v>
      </c>
      <c r="E1351" s="33">
        <f>IF(Demand!F1349,1,0)</f>
        <v>0</v>
      </c>
      <c r="F1351" s="33">
        <f>COUNTIFS(c_store,A1351,c_date,B1351,c_hour,C1351)</f>
        <v>0</v>
      </c>
      <c r="G1351" s="33">
        <f>IF(F1351&gt;0,1,0)</f>
        <v>0</v>
      </c>
      <c r="H1351" s="33">
        <f>COUNTIFS(Demand!$A$2:$A$4481,A1351,Demand!$B$2:$B$4481,B1351,Demand!$C$2:$C$4481,C1351)</f>
        <v>1</v>
      </c>
    </row>
    <row r="1352">
      <c r="A1352" s="32" t="str">
        <f>Demand!A1350</f>
        <v>S005</v>
      </c>
      <c r="B1352" s="35">
        <f>Demand!B1350</f>
        <v>46270.0</v>
      </c>
      <c r="C1352" s="33">
        <f>Demand!C1350</f>
        <v>12</v>
      </c>
      <c r="D1352" s="33">
        <f>Demand!E1350</f>
        <v>17</v>
      </c>
      <c r="E1352" s="33">
        <f>IF(Demand!F1350,1,0)</f>
        <v>0</v>
      </c>
      <c r="F1352" s="33">
        <f>COUNTIFS(c_store,A1352,c_date,B1352,c_hour,C1352)</f>
        <v>1</v>
      </c>
      <c r="G1352" s="33">
        <f>IF(F1352&gt;0,1,0)</f>
        <v>1</v>
      </c>
      <c r="H1352" s="33">
        <f>COUNTIFS(Demand!$A$2:$A$4481,A1352,Demand!$B$2:$B$4481,B1352,Demand!$C$2:$C$4481,C1352)</f>
        <v>1</v>
      </c>
    </row>
    <row r="1353">
      <c r="A1353" s="32" t="str">
        <f>Demand!A1351</f>
        <v>S005</v>
      </c>
      <c r="B1353" s="35">
        <f>Demand!B1351</f>
        <v>46270.0</v>
      </c>
      <c r="C1353" s="33">
        <f>Demand!C1351</f>
        <v>13</v>
      </c>
      <c r="D1353" s="33">
        <f>Demand!E1351</f>
        <v>19</v>
      </c>
      <c r="E1353" s="33">
        <f>IF(Demand!F1351,1,0)</f>
        <v>0</v>
      </c>
      <c r="F1353" s="33">
        <f>COUNTIFS(c_store,A1353,c_date,B1353,c_hour,C1353)</f>
        <v>2</v>
      </c>
      <c r="G1353" s="33">
        <f>IF(F1353&gt;0,1,0)</f>
        <v>1</v>
      </c>
      <c r="H1353" s="33">
        <f>COUNTIFS(Demand!$A$2:$A$4481,A1353,Demand!$B$2:$B$4481,B1353,Demand!$C$2:$C$4481,C1353)</f>
        <v>1</v>
      </c>
    </row>
    <row r="1354">
      <c r="A1354" s="32" t="str">
        <f>Demand!A1352</f>
        <v>S005</v>
      </c>
      <c r="B1354" s="35">
        <f>Demand!B1352</f>
        <v>46270.0</v>
      </c>
      <c r="C1354" s="33">
        <f>Demand!C1352</f>
        <v>14</v>
      </c>
      <c r="D1354" s="33">
        <f>Demand!E1352</f>
        <v>11</v>
      </c>
      <c r="E1354" s="33">
        <f>IF(Demand!F1352,1,0)</f>
        <v>0</v>
      </c>
      <c r="F1354" s="33">
        <f>COUNTIFS(c_store,A1354,c_date,B1354,c_hour,C1354)</f>
        <v>0</v>
      </c>
      <c r="G1354" s="33">
        <f>IF(F1354&gt;0,1,0)</f>
        <v>0</v>
      </c>
      <c r="H1354" s="33">
        <f>COUNTIFS(Demand!$A$2:$A$4481,A1354,Demand!$B$2:$B$4481,B1354,Demand!$C$2:$C$4481,C1354)</f>
        <v>1</v>
      </c>
    </row>
    <row r="1355">
      <c r="A1355" s="32" t="str">
        <f>Demand!A1353</f>
        <v>S005</v>
      </c>
      <c r="B1355" s="35">
        <f>Demand!B1353</f>
        <v>46270.0</v>
      </c>
      <c r="C1355" s="33">
        <f>Demand!C1353</f>
        <v>15</v>
      </c>
      <c r="D1355" s="33">
        <f>Demand!E1353</f>
        <v>11</v>
      </c>
      <c r="E1355" s="33">
        <f>IF(Demand!F1353,1,0)</f>
        <v>0</v>
      </c>
      <c r="F1355" s="33">
        <f>COUNTIFS(c_store,A1355,c_date,B1355,c_hour,C1355)</f>
        <v>1</v>
      </c>
      <c r="G1355" s="33">
        <f>IF(F1355&gt;0,1,0)</f>
        <v>1</v>
      </c>
      <c r="H1355" s="33">
        <f>COUNTIFS(Demand!$A$2:$A$4481,A1355,Demand!$B$2:$B$4481,B1355,Demand!$C$2:$C$4481,C1355)</f>
        <v>1</v>
      </c>
    </row>
    <row r="1356">
      <c r="A1356" s="32" t="str">
        <f>Demand!A1354</f>
        <v>S005</v>
      </c>
      <c r="B1356" s="35">
        <f>Demand!B1354</f>
        <v>46270.0</v>
      </c>
      <c r="C1356" s="33">
        <f>Demand!C1354</f>
        <v>16</v>
      </c>
      <c r="D1356" s="33">
        <f>Demand!E1354</f>
        <v>16</v>
      </c>
      <c r="E1356" s="33">
        <f>IF(Demand!F1354,1,0)</f>
        <v>0</v>
      </c>
      <c r="F1356" s="33">
        <f>COUNTIFS(c_store,A1356,c_date,B1356,c_hour,C1356)</f>
        <v>0</v>
      </c>
      <c r="G1356" s="33">
        <f>IF(F1356&gt;0,1,0)</f>
        <v>0</v>
      </c>
      <c r="H1356" s="33">
        <f>COUNTIFS(Demand!$A$2:$A$4481,A1356,Demand!$B$2:$B$4481,B1356,Demand!$C$2:$C$4481,C1356)</f>
        <v>1</v>
      </c>
    </row>
    <row r="1357">
      <c r="A1357" s="32" t="str">
        <f>Demand!A1355</f>
        <v>S005</v>
      </c>
      <c r="B1357" s="35">
        <f>Demand!B1355</f>
        <v>46270.0</v>
      </c>
      <c r="C1357" s="33">
        <f>Demand!C1355</f>
        <v>17</v>
      </c>
      <c r="D1357" s="33">
        <f>Demand!E1355</f>
        <v>21</v>
      </c>
      <c r="E1357" s="33">
        <f>IF(Demand!F1355,1,0)</f>
        <v>0</v>
      </c>
      <c r="F1357" s="33">
        <f>COUNTIFS(c_store,A1357,c_date,B1357,c_hour,C1357)</f>
        <v>2</v>
      </c>
      <c r="G1357" s="33">
        <f>IF(F1357&gt;0,1,0)</f>
        <v>1</v>
      </c>
      <c r="H1357" s="33">
        <f>COUNTIFS(Demand!$A$2:$A$4481,A1357,Demand!$B$2:$B$4481,B1357,Demand!$C$2:$C$4481,C1357)</f>
        <v>1</v>
      </c>
    </row>
    <row r="1358">
      <c r="A1358" s="32" t="str">
        <f>Demand!A1356</f>
        <v>S005</v>
      </c>
      <c r="B1358" s="35">
        <f>Demand!B1356</f>
        <v>46270.0</v>
      </c>
      <c r="C1358" s="33">
        <f>Demand!C1356</f>
        <v>18</v>
      </c>
      <c r="D1358" s="33">
        <f>Demand!E1356</f>
        <v>16</v>
      </c>
      <c r="E1358" s="33">
        <f>IF(Demand!F1356,1,0)</f>
        <v>0</v>
      </c>
      <c r="F1358" s="33">
        <f>COUNTIFS(c_store,A1358,c_date,B1358,c_hour,C1358)</f>
        <v>0</v>
      </c>
      <c r="G1358" s="33">
        <f>IF(F1358&gt;0,1,0)</f>
        <v>0</v>
      </c>
      <c r="H1358" s="33">
        <f>COUNTIFS(Demand!$A$2:$A$4481,A1358,Demand!$B$2:$B$4481,B1358,Demand!$C$2:$C$4481,C1358)</f>
        <v>1</v>
      </c>
    </row>
    <row r="1359">
      <c r="A1359" s="32" t="str">
        <f>Demand!A1357</f>
        <v>S005</v>
      </c>
      <c r="B1359" s="35">
        <f>Demand!B1357</f>
        <v>46270.0</v>
      </c>
      <c r="C1359" s="33">
        <f>Demand!C1357</f>
        <v>19</v>
      </c>
      <c r="D1359" s="33">
        <f>Demand!E1357</f>
        <v>18</v>
      </c>
      <c r="E1359" s="33">
        <f>IF(Demand!F1357,1,0)</f>
        <v>1</v>
      </c>
      <c r="F1359" s="33">
        <f>COUNTIFS(c_store,A1359,c_date,B1359,c_hour,C1359)</f>
        <v>0</v>
      </c>
      <c r="G1359" s="33">
        <f>IF(F1359&gt;0,1,0)</f>
        <v>0</v>
      </c>
      <c r="H1359" s="33">
        <f>COUNTIFS(Demand!$A$2:$A$4481,A1359,Demand!$B$2:$B$4481,B1359,Demand!$C$2:$C$4481,C1359)</f>
        <v>1</v>
      </c>
    </row>
    <row r="1360">
      <c r="A1360" s="32" t="str">
        <f>Demand!A1358</f>
        <v>S005</v>
      </c>
      <c r="B1360" s="35">
        <f>Demand!B1358</f>
        <v>46270.0</v>
      </c>
      <c r="C1360" s="33">
        <f>Demand!C1358</f>
        <v>20</v>
      </c>
      <c r="D1360" s="33">
        <f>Demand!E1358</f>
        <v>22</v>
      </c>
      <c r="E1360" s="33">
        <f>IF(Demand!F1358,1,0)</f>
        <v>1</v>
      </c>
      <c r="F1360" s="33">
        <f>COUNTIFS(c_store,A1360,c_date,B1360,c_hour,C1360)</f>
        <v>1</v>
      </c>
      <c r="G1360" s="33">
        <f>IF(F1360&gt;0,1,0)</f>
        <v>1</v>
      </c>
      <c r="H1360" s="33">
        <f>COUNTIFS(Demand!$A$2:$A$4481,A1360,Demand!$B$2:$B$4481,B1360,Demand!$C$2:$C$4481,C1360)</f>
        <v>1</v>
      </c>
    </row>
    <row r="1361">
      <c r="A1361" s="32" t="str">
        <f>Demand!A1359</f>
        <v>S005</v>
      </c>
      <c r="B1361" s="35">
        <f>Demand!B1359</f>
        <v>46270.0</v>
      </c>
      <c r="C1361" s="33">
        <f>Demand!C1359</f>
        <v>21</v>
      </c>
      <c r="D1361" s="33">
        <f>Demand!E1359</f>
        <v>19</v>
      </c>
      <c r="E1361" s="33">
        <f>IF(Demand!F1359,1,0)</f>
        <v>1</v>
      </c>
      <c r="F1361" s="33">
        <f>COUNTIFS(c_store,A1361,c_date,B1361,c_hour,C1361)</f>
        <v>3</v>
      </c>
      <c r="G1361" s="33">
        <f>IF(F1361&gt;0,1,0)</f>
        <v>1</v>
      </c>
      <c r="H1361" s="33">
        <f>COUNTIFS(Demand!$A$2:$A$4481,A1361,Demand!$B$2:$B$4481,B1361,Demand!$C$2:$C$4481,C1361)</f>
        <v>1</v>
      </c>
    </row>
    <row r="1362">
      <c r="A1362" s="32" t="str">
        <f>Demand!A1360</f>
        <v>S005</v>
      </c>
      <c r="B1362" s="35">
        <f>Demand!B1360</f>
        <v>46270.0</v>
      </c>
      <c r="C1362" s="33">
        <f>Demand!C1360</f>
        <v>22</v>
      </c>
      <c r="D1362" s="33">
        <f>Demand!E1360</f>
        <v>20</v>
      </c>
      <c r="E1362" s="33">
        <f>IF(Demand!F1360,1,0)</f>
        <v>0</v>
      </c>
      <c r="F1362" s="33">
        <f>COUNTIFS(c_store,A1362,c_date,B1362,c_hour,C1362)</f>
        <v>0</v>
      </c>
      <c r="G1362" s="33">
        <f>IF(F1362&gt;0,1,0)</f>
        <v>0</v>
      </c>
      <c r="H1362" s="33">
        <f>COUNTIFS(Demand!$A$2:$A$4481,A1362,Demand!$B$2:$B$4481,B1362,Demand!$C$2:$C$4481,C1362)</f>
        <v>1</v>
      </c>
    </row>
    <row r="1363">
      <c r="A1363" s="32" t="str">
        <f>Demand!A1361</f>
        <v>S005</v>
      </c>
      <c r="B1363" s="35">
        <f>Demand!B1361</f>
        <v>46270.0</v>
      </c>
      <c r="C1363" s="33">
        <f>Demand!C1361</f>
        <v>23</v>
      </c>
      <c r="D1363" s="33">
        <f>Demand!E1361</f>
        <v>20</v>
      </c>
      <c r="E1363" s="33">
        <f>IF(Demand!F1361,1,0)</f>
        <v>0</v>
      </c>
      <c r="F1363" s="33">
        <f>COUNTIFS(c_store,A1363,c_date,B1363,c_hour,C1363)</f>
        <v>0</v>
      </c>
      <c r="G1363" s="33">
        <f>IF(F1363&gt;0,1,0)</f>
        <v>0</v>
      </c>
      <c r="H1363" s="33">
        <f>COUNTIFS(Demand!$A$2:$A$4481,A1363,Demand!$B$2:$B$4481,B1363,Demand!$C$2:$C$4481,C1363)</f>
        <v>1</v>
      </c>
    </row>
    <row r="1364">
      <c r="A1364" s="32" t="str">
        <f>Demand!A1362</f>
        <v>S006</v>
      </c>
      <c r="B1364" s="35">
        <f>Demand!B1362</f>
        <v>46270.0</v>
      </c>
      <c r="C1364" s="33">
        <f>Demand!C1362</f>
        <v>8</v>
      </c>
      <c r="D1364" s="33">
        <f>Demand!E1362</f>
        <v>15</v>
      </c>
      <c r="E1364" s="33">
        <f>IF(Demand!F1362,1,0)</f>
        <v>0</v>
      </c>
      <c r="F1364" s="33">
        <f>COUNTIFS(c_store,A1364,c_date,B1364,c_hour,C1364)</f>
        <v>1</v>
      </c>
      <c r="G1364" s="33">
        <f>IF(F1364&gt;0,1,0)</f>
        <v>1</v>
      </c>
      <c r="H1364" s="33">
        <f>COUNTIFS(Demand!$A$2:$A$4481,A1364,Demand!$B$2:$B$4481,B1364,Demand!$C$2:$C$4481,C1364)</f>
        <v>1</v>
      </c>
    </row>
    <row r="1365">
      <c r="A1365" s="32" t="str">
        <f>Demand!A1363</f>
        <v>S006</v>
      </c>
      <c r="B1365" s="35">
        <f>Demand!B1363</f>
        <v>46270.0</v>
      </c>
      <c r="C1365" s="33">
        <f>Demand!C1363</f>
        <v>9</v>
      </c>
      <c r="D1365" s="33">
        <f>Demand!E1363</f>
        <v>27</v>
      </c>
      <c r="E1365" s="33">
        <f>IF(Demand!F1363,1,0)</f>
        <v>0</v>
      </c>
      <c r="F1365" s="33">
        <f>COUNTIFS(c_store,A1365,c_date,B1365,c_hour,C1365)</f>
        <v>0</v>
      </c>
      <c r="G1365" s="33">
        <f>IF(F1365&gt;0,1,0)</f>
        <v>0</v>
      </c>
      <c r="H1365" s="33">
        <f>COUNTIFS(Demand!$A$2:$A$4481,A1365,Demand!$B$2:$B$4481,B1365,Demand!$C$2:$C$4481,C1365)</f>
        <v>1</v>
      </c>
    </row>
    <row r="1366">
      <c r="A1366" s="32" t="str">
        <f>Demand!A1364</f>
        <v>S006</v>
      </c>
      <c r="B1366" s="35">
        <f>Demand!B1364</f>
        <v>46270.0</v>
      </c>
      <c r="C1366" s="33">
        <f>Demand!C1364</f>
        <v>10</v>
      </c>
      <c r="D1366" s="33">
        <f>Demand!E1364</f>
        <v>22</v>
      </c>
      <c r="E1366" s="33">
        <f>IF(Demand!F1364,1,0)</f>
        <v>0</v>
      </c>
      <c r="F1366" s="33">
        <f>COUNTIFS(c_store,A1366,c_date,B1366,c_hour,C1366)</f>
        <v>1</v>
      </c>
      <c r="G1366" s="33">
        <f>IF(F1366&gt;0,1,0)</f>
        <v>1</v>
      </c>
      <c r="H1366" s="33">
        <f>COUNTIFS(Demand!$A$2:$A$4481,A1366,Demand!$B$2:$B$4481,B1366,Demand!$C$2:$C$4481,C1366)</f>
        <v>1</v>
      </c>
    </row>
    <row r="1367">
      <c r="A1367" s="32" t="str">
        <f>Demand!A1365</f>
        <v>S006</v>
      </c>
      <c r="B1367" s="35">
        <f>Demand!B1365</f>
        <v>46270.0</v>
      </c>
      <c r="C1367" s="33">
        <f>Demand!C1365</f>
        <v>11</v>
      </c>
      <c r="D1367" s="33">
        <f>Demand!E1365</f>
        <v>20</v>
      </c>
      <c r="E1367" s="33">
        <f>IF(Demand!F1365,1,0)</f>
        <v>0</v>
      </c>
      <c r="F1367" s="33">
        <f>COUNTIFS(c_store,A1367,c_date,B1367,c_hour,C1367)</f>
        <v>0</v>
      </c>
      <c r="G1367" s="33">
        <f>IF(F1367&gt;0,1,0)</f>
        <v>0</v>
      </c>
      <c r="H1367" s="33">
        <f>COUNTIFS(Demand!$A$2:$A$4481,A1367,Demand!$B$2:$B$4481,B1367,Demand!$C$2:$C$4481,C1367)</f>
        <v>1</v>
      </c>
    </row>
    <row r="1368">
      <c r="A1368" s="32" t="str">
        <f>Demand!A1366</f>
        <v>S006</v>
      </c>
      <c r="B1368" s="35">
        <f>Demand!B1366</f>
        <v>46270.0</v>
      </c>
      <c r="C1368" s="33">
        <f>Demand!C1366</f>
        <v>12</v>
      </c>
      <c r="D1368" s="33">
        <f>Demand!E1366</f>
        <v>25</v>
      </c>
      <c r="E1368" s="33">
        <f>IF(Demand!F1366,1,0)</f>
        <v>0</v>
      </c>
      <c r="F1368" s="33">
        <f>COUNTIFS(c_store,A1368,c_date,B1368,c_hour,C1368)</f>
        <v>0</v>
      </c>
      <c r="G1368" s="33">
        <f>IF(F1368&gt;0,1,0)</f>
        <v>0</v>
      </c>
      <c r="H1368" s="33">
        <f>COUNTIFS(Demand!$A$2:$A$4481,A1368,Demand!$B$2:$B$4481,B1368,Demand!$C$2:$C$4481,C1368)</f>
        <v>1</v>
      </c>
    </row>
    <row r="1369">
      <c r="A1369" s="32" t="str">
        <f>Demand!A1367</f>
        <v>S006</v>
      </c>
      <c r="B1369" s="35">
        <f>Demand!B1367</f>
        <v>46270.0</v>
      </c>
      <c r="C1369" s="33">
        <f>Demand!C1367</f>
        <v>13</v>
      </c>
      <c r="D1369" s="33">
        <f>Demand!E1367</f>
        <v>24</v>
      </c>
      <c r="E1369" s="33">
        <f>IF(Demand!F1367,1,0)</f>
        <v>0</v>
      </c>
      <c r="F1369" s="33">
        <f>COUNTIFS(c_store,A1369,c_date,B1369,c_hour,C1369)</f>
        <v>1</v>
      </c>
      <c r="G1369" s="33">
        <f>IF(F1369&gt;0,1,0)</f>
        <v>1</v>
      </c>
      <c r="H1369" s="33">
        <f>COUNTIFS(Demand!$A$2:$A$4481,A1369,Demand!$B$2:$B$4481,B1369,Demand!$C$2:$C$4481,C1369)</f>
        <v>1</v>
      </c>
    </row>
    <row r="1370">
      <c r="A1370" s="32" t="str">
        <f>Demand!A1368</f>
        <v>S006</v>
      </c>
      <c r="B1370" s="35">
        <f>Demand!B1368</f>
        <v>46270.0</v>
      </c>
      <c r="C1370" s="33">
        <f>Demand!C1368</f>
        <v>14</v>
      </c>
      <c r="D1370" s="33">
        <f>Demand!E1368</f>
        <v>23</v>
      </c>
      <c r="E1370" s="33">
        <f>IF(Demand!F1368,1,0)</f>
        <v>0</v>
      </c>
      <c r="F1370" s="33">
        <f>COUNTIFS(c_store,A1370,c_date,B1370,c_hour,C1370)</f>
        <v>0</v>
      </c>
      <c r="G1370" s="33">
        <f>IF(F1370&gt;0,1,0)</f>
        <v>0</v>
      </c>
      <c r="H1370" s="33">
        <f>COUNTIFS(Demand!$A$2:$A$4481,A1370,Demand!$B$2:$B$4481,B1370,Demand!$C$2:$C$4481,C1370)</f>
        <v>1</v>
      </c>
    </row>
    <row r="1371">
      <c r="A1371" s="32" t="str">
        <f>Demand!A1369</f>
        <v>S006</v>
      </c>
      <c r="B1371" s="35">
        <f>Demand!B1369</f>
        <v>46270.0</v>
      </c>
      <c r="C1371" s="33">
        <f>Demand!C1369</f>
        <v>15</v>
      </c>
      <c r="D1371" s="33">
        <f>Demand!E1369</f>
        <v>23</v>
      </c>
      <c r="E1371" s="33">
        <f>IF(Demand!F1369,1,0)</f>
        <v>0</v>
      </c>
      <c r="F1371" s="33">
        <f>COUNTIFS(c_store,A1371,c_date,B1371,c_hour,C1371)</f>
        <v>0</v>
      </c>
      <c r="G1371" s="33">
        <f>IF(F1371&gt;0,1,0)</f>
        <v>0</v>
      </c>
      <c r="H1371" s="33">
        <f>COUNTIFS(Demand!$A$2:$A$4481,A1371,Demand!$B$2:$B$4481,B1371,Demand!$C$2:$C$4481,C1371)</f>
        <v>1</v>
      </c>
    </row>
    <row r="1372">
      <c r="A1372" s="32" t="str">
        <f>Demand!A1370</f>
        <v>S006</v>
      </c>
      <c r="B1372" s="35">
        <f>Demand!B1370</f>
        <v>46270.0</v>
      </c>
      <c r="C1372" s="33">
        <f>Demand!C1370</f>
        <v>16</v>
      </c>
      <c r="D1372" s="33">
        <f>Demand!E1370</f>
        <v>21</v>
      </c>
      <c r="E1372" s="33">
        <f>IF(Demand!F1370,1,0)</f>
        <v>0</v>
      </c>
      <c r="F1372" s="33">
        <f>COUNTIFS(c_store,A1372,c_date,B1372,c_hour,C1372)</f>
        <v>0</v>
      </c>
      <c r="G1372" s="33">
        <f>IF(F1372&gt;0,1,0)</f>
        <v>0</v>
      </c>
      <c r="H1372" s="33">
        <f>COUNTIFS(Demand!$A$2:$A$4481,A1372,Demand!$B$2:$B$4481,B1372,Demand!$C$2:$C$4481,C1372)</f>
        <v>1</v>
      </c>
    </row>
    <row r="1373">
      <c r="A1373" s="32" t="str">
        <f>Demand!A1371</f>
        <v>S006</v>
      </c>
      <c r="B1373" s="35">
        <f>Demand!B1371</f>
        <v>46270.0</v>
      </c>
      <c r="C1373" s="33">
        <f>Demand!C1371</f>
        <v>17</v>
      </c>
      <c r="D1373" s="33">
        <f>Demand!E1371</f>
        <v>22</v>
      </c>
      <c r="E1373" s="33">
        <f>IF(Demand!F1371,1,0)</f>
        <v>0</v>
      </c>
      <c r="F1373" s="33">
        <f>COUNTIFS(c_store,A1373,c_date,B1373,c_hour,C1373)</f>
        <v>0</v>
      </c>
      <c r="G1373" s="33">
        <f>IF(F1373&gt;0,1,0)</f>
        <v>0</v>
      </c>
      <c r="H1373" s="33">
        <f>COUNTIFS(Demand!$A$2:$A$4481,A1373,Demand!$B$2:$B$4481,B1373,Demand!$C$2:$C$4481,C1373)</f>
        <v>1</v>
      </c>
    </row>
    <row r="1374">
      <c r="A1374" s="32" t="str">
        <f>Demand!A1372</f>
        <v>S006</v>
      </c>
      <c r="B1374" s="35">
        <f>Demand!B1372</f>
        <v>46270.0</v>
      </c>
      <c r="C1374" s="33">
        <f>Demand!C1372</f>
        <v>18</v>
      </c>
      <c r="D1374" s="33">
        <f>Demand!E1372</f>
        <v>29</v>
      </c>
      <c r="E1374" s="33">
        <f>IF(Demand!F1372,1,0)</f>
        <v>0</v>
      </c>
      <c r="F1374" s="33">
        <f>COUNTIFS(c_store,A1374,c_date,B1374,c_hour,C1374)</f>
        <v>0</v>
      </c>
      <c r="G1374" s="33">
        <f>IF(F1374&gt;0,1,0)</f>
        <v>0</v>
      </c>
      <c r="H1374" s="33">
        <f>COUNTIFS(Demand!$A$2:$A$4481,A1374,Demand!$B$2:$B$4481,B1374,Demand!$C$2:$C$4481,C1374)</f>
        <v>1</v>
      </c>
    </row>
    <row r="1375">
      <c r="A1375" s="32" t="str">
        <f>Demand!A1373</f>
        <v>S006</v>
      </c>
      <c r="B1375" s="35">
        <f>Demand!B1373</f>
        <v>46270.0</v>
      </c>
      <c r="C1375" s="33">
        <f>Demand!C1373</f>
        <v>19</v>
      </c>
      <c r="D1375" s="33">
        <f>Demand!E1373</f>
        <v>44</v>
      </c>
      <c r="E1375" s="33">
        <f>IF(Demand!F1373,1,0)</f>
        <v>1</v>
      </c>
      <c r="F1375" s="33">
        <f>COUNTIFS(c_store,A1375,c_date,B1375,c_hour,C1375)</f>
        <v>0</v>
      </c>
      <c r="G1375" s="33">
        <f>IF(F1375&gt;0,1,0)</f>
        <v>0</v>
      </c>
      <c r="H1375" s="33">
        <f>COUNTIFS(Demand!$A$2:$A$4481,A1375,Demand!$B$2:$B$4481,B1375,Demand!$C$2:$C$4481,C1375)</f>
        <v>1</v>
      </c>
    </row>
    <row r="1376">
      <c r="A1376" s="32" t="str">
        <f>Demand!A1374</f>
        <v>S006</v>
      </c>
      <c r="B1376" s="35">
        <f>Demand!B1374</f>
        <v>46270.0</v>
      </c>
      <c r="C1376" s="33">
        <f>Demand!C1374</f>
        <v>20</v>
      </c>
      <c r="D1376" s="33">
        <f>Demand!E1374</f>
        <v>41</v>
      </c>
      <c r="E1376" s="33">
        <f>IF(Demand!F1374,1,0)</f>
        <v>1</v>
      </c>
      <c r="F1376" s="33">
        <f>COUNTIFS(c_store,A1376,c_date,B1376,c_hour,C1376)</f>
        <v>0</v>
      </c>
      <c r="G1376" s="33">
        <f>IF(F1376&gt;0,1,0)</f>
        <v>0</v>
      </c>
      <c r="H1376" s="33">
        <f>COUNTIFS(Demand!$A$2:$A$4481,A1376,Demand!$B$2:$B$4481,B1376,Demand!$C$2:$C$4481,C1376)</f>
        <v>1</v>
      </c>
    </row>
    <row r="1377">
      <c r="A1377" s="32" t="str">
        <f>Demand!A1375</f>
        <v>S006</v>
      </c>
      <c r="B1377" s="35">
        <f>Demand!B1375</f>
        <v>46270.0</v>
      </c>
      <c r="C1377" s="33">
        <f>Demand!C1375</f>
        <v>21</v>
      </c>
      <c r="D1377" s="33">
        <f>Demand!E1375</f>
        <v>39</v>
      </c>
      <c r="E1377" s="33">
        <f>IF(Demand!F1375,1,0)</f>
        <v>1</v>
      </c>
      <c r="F1377" s="33">
        <f>COUNTIFS(c_store,A1377,c_date,B1377,c_hour,C1377)</f>
        <v>1</v>
      </c>
      <c r="G1377" s="33">
        <f>IF(F1377&gt;0,1,0)</f>
        <v>1</v>
      </c>
      <c r="H1377" s="33">
        <f>COUNTIFS(Demand!$A$2:$A$4481,A1377,Demand!$B$2:$B$4481,B1377,Demand!$C$2:$C$4481,C1377)</f>
        <v>1</v>
      </c>
    </row>
    <row r="1378">
      <c r="A1378" s="32" t="str">
        <f>Demand!A1376</f>
        <v>S006</v>
      </c>
      <c r="B1378" s="35">
        <f>Demand!B1376</f>
        <v>46270.0</v>
      </c>
      <c r="C1378" s="33">
        <f>Demand!C1376</f>
        <v>22</v>
      </c>
      <c r="D1378" s="33">
        <f>Demand!E1376</f>
        <v>27</v>
      </c>
      <c r="E1378" s="33">
        <f>IF(Demand!F1376,1,0)</f>
        <v>0</v>
      </c>
      <c r="F1378" s="33">
        <f>COUNTIFS(c_store,A1378,c_date,B1378,c_hour,C1378)</f>
        <v>0</v>
      </c>
      <c r="G1378" s="33">
        <f>IF(F1378&gt;0,1,0)</f>
        <v>0</v>
      </c>
      <c r="H1378" s="33">
        <f>COUNTIFS(Demand!$A$2:$A$4481,A1378,Demand!$B$2:$B$4481,B1378,Demand!$C$2:$C$4481,C1378)</f>
        <v>1</v>
      </c>
    </row>
    <row r="1379">
      <c r="A1379" s="32" t="str">
        <f>Demand!A1377</f>
        <v>S006</v>
      </c>
      <c r="B1379" s="35">
        <f>Demand!B1377</f>
        <v>46270.0</v>
      </c>
      <c r="C1379" s="33">
        <f>Demand!C1377</f>
        <v>23</v>
      </c>
      <c r="D1379" s="33">
        <f>Demand!E1377</f>
        <v>31</v>
      </c>
      <c r="E1379" s="33">
        <f>IF(Demand!F1377,1,0)</f>
        <v>0</v>
      </c>
      <c r="F1379" s="33">
        <f>COUNTIFS(c_store,A1379,c_date,B1379,c_hour,C1379)</f>
        <v>0</v>
      </c>
      <c r="G1379" s="33">
        <f>IF(F1379&gt;0,1,0)</f>
        <v>0</v>
      </c>
      <c r="H1379" s="33">
        <f>COUNTIFS(Demand!$A$2:$A$4481,A1379,Demand!$B$2:$B$4481,B1379,Demand!$C$2:$C$4481,C1379)</f>
        <v>1</v>
      </c>
    </row>
    <row r="1380">
      <c r="A1380" s="32" t="str">
        <f>Demand!A1378</f>
        <v>S007</v>
      </c>
      <c r="B1380" s="35">
        <f>Demand!B1378</f>
        <v>46270.0</v>
      </c>
      <c r="C1380" s="33">
        <f>Demand!C1378</f>
        <v>8</v>
      </c>
      <c r="D1380" s="33">
        <f>Demand!E1378</f>
        <v>18</v>
      </c>
      <c r="E1380" s="33">
        <f>IF(Demand!F1378,1,0)</f>
        <v>0</v>
      </c>
      <c r="F1380" s="33">
        <f>COUNTIFS(c_store,A1380,c_date,B1380,c_hour,C1380)</f>
        <v>0</v>
      </c>
      <c r="G1380" s="33">
        <f>IF(F1380&gt;0,1,0)</f>
        <v>0</v>
      </c>
      <c r="H1380" s="33">
        <f>COUNTIFS(Demand!$A$2:$A$4481,A1380,Demand!$B$2:$B$4481,B1380,Demand!$C$2:$C$4481,C1380)</f>
        <v>1</v>
      </c>
    </row>
    <row r="1381">
      <c r="A1381" s="32" t="str">
        <f>Demand!A1379</f>
        <v>S007</v>
      </c>
      <c r="B1381" s="35">
        <f>Demand!B1379</f>
        <v>46270.0</v>
      </c>
      <c r="C1381" s="33">
        <f>Demand!C1379</f>
        <v>9</v>
      </c>
      <c r="D1381" s="33">
        <f>Demand!E1379</f>
        <v>18</v>
      </c>
      <c r="E1381" s="33">
        <f>IF(Demand!F1379,1,0)</f>
        <v>0</v>
      </c>
      <c r="F1381" s="33">
        <f>COUNTIFS(c_store,A1381,c_date,B1381,c_hour,C1381)</f>
        <v>0</v>
      </c>
      <c r="G1381" s="33">
        <f>IF(F1381&gt;0,1,0)</f>
        <v>0</v>
      </c>
      <c r="H1381" s="33">
        <f>COUNTIFS(Demand!$A$2:$A$4481,A1381,Demand!$B$2:$B$4481,B1381,Demand!$C$2:$C$4481,C1381)</f>
        <v>1</v>
      </c>
    </row>
    <row r="1382">
      <c r="A1382" s="32" t="str">
        <f>Demand!A1380</f>
        <v>S007</v>
      </c>
      <c r="B1382" s="35">
        <f>Demand!B1380</f>
        <v>46270.0</v>
      </c>
      <c r="C1382" s="33">
        <f>Demand!C1380</f>
        <v>10</v>
      </c>
      <c r="D1382" s="33">
        <f>Demand!E1380</f>
        <v>30</v>
      </c>
      <c r="E1382" s="33">
        <f>IF(Demand!F1380,1,0)</f>
        <v>0</v>
      </c>
      <c r="F1382" s="33">
        <f>COUNTIFS(c_store,A1382,c_date,B1382,c_hour,C1382)</f>
        <v>1</v>
      </c>
      <c r="G1382" s="33">
        <f>IF(F1382&gt;0,1,0)</f>
        <v>1</v>
      </c>
      <c r="H1382" s="33">
        <f>COUNTIFS(Demand!$A$2:$A$4481,A1382,Demand!$B$2:$B$4481,B1382,Demand!$C$2:$C$4481,C1382)</f>
        <v>1</v>
      </c>
    </row>
    <row r="1383">
      <c r="A1383" s="32" t="str">
        <f>Demand!A1381</f>
        <v>S007</v>
      </c>
      <c r="B1383" s="35">
        <f>Demand!B1381</f>
        <v>46270.0</v>
      </c>
      <c r="C1383" s="33">
        <f>Demand!C1381</f>
        <v>11</v>
      </c>
      <c r="D1383" s="33">
        <f>Demand!E1381</f>
        <v>44</v>
      </c>
      <c r="E1383" s="33">
        <f>IF(Demand!F1381,1,0)</f>
        <v>0</v>
      </c>
      <c r="F1383" s="33">
        <f>COUNTIFS(c_store,A1383,c_date,B1383,c_hour,C1383)</f>
        <v>0</v>
      </c>
      <c r="G1383" s="33">
        <f>IF(F1383&gt;0,1,0)</f>
        <v>0</v>
      </c>
      <c r="H1383" s="33">
        <f>COUNTIFS(Demand!$A$2:$A$4481,A1383,Demand!$B$2:$B$4481,B1383,Demand!$C$2:$C$4481,C1383)</f>
        <v>1</v>
      </c>
    </row>
    <row r="1384">
      <c r="A1384" s="32" t="str">
        <f>Demand!A1382</f>
        <v>S007</v>
      </c>
      <c r="B1384" s="35">
        <f>Demand!B1382</f>
        <v>46270.0</v>
      </c>
      <c r="C1384" s="33">
        <f>Demand!C1382</f>
        <v>12</v>
      </c>
      <c r="D1384" s="33">
        <f>Demand!E1382</f>
        <v>40</v>
      </c>
      <c r="E1384" s="33">
        <f>IF(Demand!F1382,1,0)</f>
        <v>0</v>
      </c>
      <c r="F1384" s="33">
        <f>COUNTIFS(c_store,A1384,c_date,B1384,c_hour,C1384)</f>
        <v>0</v>
      </c>
      <c r="G1384" s="33">
        <f>IF(F1384&gt;0,1,0)</f>
        <v>0</v>
      </c>
      <c r="H1384" s="33">
        <f>COUNTIFS(Demand!$A$2:$A$4481,A1384,Demand!$B$2:$B$4481,B1384,Demand!$C$2:$C$4481,C1384)</f>
        <v>1</v>
      </c>
    </row>
    <row r="1385">
      <c r="A1385" s="32" t="str">
        <f>Demand!A1383</f>
        <v>S007</v>
      </c>
      <c r="B1385" s="35">
        <f>Demand!B1383</f>
        <v>46270.0</v>
      </c>
      <c r="C1385" s="33">
        <f>Demand!C1383</f>
        <v>13</v>
      </c>
      <c r="D1385" s="33">
        <f>Demand!E1383</f>
        <v>38</v>
      </c>
      <c r="E1385" s="33">
        <f>IF(Demand!F1383,1,0)</f>
        <v>0</v>
      </c>
      <c r="F1385" s="33">
        <f>COUNTIFS(c_store,A1385,c_date,B1385,c_hour,C1385)</f>
        <v>1</v>
      </c>
      <c r="G1385" s="33">
        <f>IF(F1385&gt;0,1,0)</f>
        <v>1</v>
      </c>
      <c r="H1385" s="33">
        <f>COUNTIFS(Demand!$A$2:$A$4481,A1385,Demand!$B$2:$B$4481,B1385,Demand!$C$2:$C$4481,C1385)</f>
        <v>1</v>
      </c>
    </row>
    <row r="1386">
      <c r="A1386" s="32" t="str">
        <f>Demand!A1384</f>
        <v>S007</v>
      </c>
      <c r="B1386" s="35">
        <f>Demand!B1384</f>
        <v>46270.0</v>
      </c>
      <c r="C1386" s="33">
        <f>Demand!C1384</f>
        <v>14</v>
      </c>
      <c r="D1386" s="33">
        <f>Demand!E1384</f>
        <v>28</v>
      </c>
      <c r="E1386" s="33">
        <f>IF(Demand!F1384,1,0)</f>
        <v>0</v>
      </c>
      <c r="F1386" s="33">
        <f>COUNTIFS(c_store,A1386,c_date,B1386,c_hour,C1386)</f>
        <v>0</v>
      </c>
      <c r="G1386" s="33">
        <f>IF(F1386&gt;0,1,0)</f>
        <v>0</v>
      </c>
      <c r="H1386" s="33">
        <f>COUNTIFS(Demand!$A$2:$A$4481,A1386,Demand!$B$2:$B$4481,B1386,Demand!$C$2:$C$4481,C1386)</f>
        <v>1</v>
      </c>
    </row>
    <row r="1387">
      <c r="A1387" s="32" t="str">
        <f>Demand!A1385</f>
        <v>S007</v>
      </c>
      <c r="B1387" s="35">
        <f>Demand!B1385</f>
        <v>46270.0</v>
      </c>
      <c r="C1387" s="33">
        <f>Demand!C1385</f>
        <v>15</v>
      </c>
      <c r="D1387" s="33">
        <f>Demand!E1385</f>
        <v>27</v>
      </c>
      <c r="E1387" s="33">
        <f>IF(Demand!F1385,1,0)</f>
        <v>0</v>
      </c>
      <c r="F1387" s="33">
        <f>COUNTIFS(c_store,A1387,c_date,B1387,c_hour,C1387)</f>
        <v>0</v>
      </c>
      <c r="G1387" s="33">
        <f>IF(F1387&gt;0,1,0)</f>
        <v>0</v>
      </c>
      <c r="H1387" s="33">
        <f>COUNTIFS(Demand!$A$2:$A$4481,A1387,Demand!$B$2:$B$4481,B1387,Demand!$C$2:$C$4481,C1387)</f>
        <v>1</v>
      </c>
    </row>
    <row r="1388">
      <c r="A1388" s="32" t="str">
        <f>Demand!A1386</f>
        <v>S007</v>
      </c>
      <c r="B1388" s="35">
        <f>Demand!B1386</f>
        <v>46270.0</v>
      </c>
      <c r="C1388" s="33">
        <f>Demand!C1386</f>
        <v>16</v>
      </c>
      <c r="D1388" s="33">
        <f>Demand!E1386</f>
        <v>44</v>
      </c>
      <c r="E1388" s="33">
        <f>IF(Demand!F1386,1,0)</f>
        <v>0</v>
      </c>
      <c r="F1388" s="33">
        <f>COUNTIFS(c_store,A1388,c_date,B1388,c_hour,C1388)</f>
        <v>0</v>
      </c>
      <c r="G1388" s="33">
        <f>IF(F1388&gt;0,1,0)</f>
        <v>0</v>
      </c>
      <c r="H1388" s="33">
        <f>COUNTIFS(Demand!$A$2:$A$4481,A1388,Demand!$B$2:$B$4481,B1388,Demand!$C$2:$C$4481,C1388)</f>
        <v>1</v>
      </c>
    </row>
    <row r="1389">
      <c r="A1389" s="32" t="str">
        <f>Demand!A1387</f>
        <v>S007</v>
      </c>
      <c r="B1389" s="35">
        <f>Demand!B1387</f>
        <v>46270.0</v>
      </c>
      <c r="C1389" s="33">
        <f>Demand!C1387</f>
        <v>17</v>
      </c>
      <c r="D1389" s="33">
        <f>Demand!E1387</f>
        <v>35</v>
      </c>
      <c r="E1389" s="33">
        <f>IF(Demand!F1387,1,0)</f>
        <v>0</v>
      </c>
      <c r="F1389" s="33">
        <f>COUNTIFS(c_store,A1389,c_date,B1389,c_hour,C1389)</f>
        <v>0</v>
      </c>
      <c r="G1389" s="33">
        <f>IF(F1389&gt;0,1,0)</f>
        <v>0</v>
      </c>
      <c r="H1389" s="33">
        <f>COUNTIFS(Demand!$A$2:$A$4481,A1389,Demand!$B$2:$B$4481,B1389,Demand!$C$2:$C$4481,C1389)</f>
        <v>1</v>
      </c>
    </row>
    <row r="1390">
      <c r="A1390" s="32" t="str">
        <f>Demand!A1388</f>
        <v>S007</v>
      </c>
      <c r="B1390" s="35">
        <f>Demand!B1388</f>
        <v>46270.0</v>
      </c>
      <c r="C1390" s="33">
        <f>Demand!C1388</f>
        <v>18</v>
      </c>
      <c r="D1390" s="33">
        <f>Demand!E1388</f>
        <v>40</v>
      </c>
      <c r="E1390" s="33">
        <f>IF(Demand!F1388,1,0)</f>
        <v>0</v>
      </c>
      <c r="F1390" s="33">
        <f>COUNTIFS(c_store,A1390,c_date,B1390,c_hour,C1390)</f>
        <v>0</v>
      </c>
      <c r="G1390" s="33">
        <f>IF(F1390&gt;0,1,0)</f>
        <v>0</v>
      </c>
      <c r="H1390" s="33">
        <f>COUNTIFS(Demand!$A$2:$A$4481,A1390,Demand!$B$2:$B$4481,B1390,Demand!$C$2:$C$4481,C1390)</f>
        <v>1</v>
      </c>
    </row>
    <row r="1391">
      <c r="A1391" s="32" t="str">
        <f>Demand!A1389</f>
        <v>S007</v>
      </c>
      <c r="B1391" s="35">
        <f>Demand!B1389</f>
        <v>46270.0</v>
      </c>
      <c r="C1391" s="33">
        <f>Demand!C1389</f>
        <v>19</v>
      </c>
      <c r="D1391" s="33">
        <f>Demand!E1389</f>
        <v>57</v>
      </c>
      <c r="E1391" s="33">
        <f>IF(Demand!F1389,1,0)</f>
        <v>1</v>
      </c>
      <c r="F1391" s="33">
        <f>COUNTIFS(c_store,A1391,c_date,B1391,c_hour,C1391)</f>
        <v>0</v>
      </c>
      <c r="G1391" s="33">
        <f>IF(F1391&gt;0,1,0)</f>
        <v>0</v>
      </c>
      <c r="H1391" s="33">
        <f>COUNTIFS(Demand!$A$2:$A$4481,A1391,Demand!$B$2:$B$4481,B1391,Demand!$C$2:$C$4481,C1391)</f>
        <v>1</v>
      </c>
    </row>
    <row r="1392">
      <c r="A1392" s="32" t="str">
        <f>Demand!A1390</f>
        <v>S007</v>
      </c>
      <c r="B1392" s="35">
        <f>Demand!B1390</f>
        <v>46270.0</v>
      </c>
      <c r="C1392" s="33">
        <f>Demand!C1390</f>
        <v>20</v>
      </c>
      <c r="D1392" s="33">
        <f>Demand!E1390</f>
        <v>45</v>
      </c>
      <c r="E1392" s="33">
        <f>IF(Demand!F1390,1,0)</f>
        <v>1</v>
      </c>
      <c r="F1392" s="33">
        <f>COUNTIFS(c_store,A1392,c_date,B1392,c_hour,C1392)</f>
        <v>1</v>
      </c>
      <c r="G1392" s="33">
        <f>IF(F1392&gt;0,1,0)</f>
        <v>1</v>
      </c>
      <c r="H1392" s="33">
        <f>COUNTIFS(Demand!$A$2:$A$4481,A1392,Demand!$B$2:$B$4481,B1392,Demand!$C$2:$C$4481,C1392)</f>
        <v>1</v>
      </c>
    </row>
    <row r="1393">
      <c r="A1393" s="32" t="str">
        <f>Demand!A1391</f>
        <v>S007</v>
      </c>
      <c r="B1393" s="35">
        <f>Demand!B1391</f>
        <v>46270.0</v>
      </c>
      <c r="C1393" s="33">
        <f>Demand!C1391</f>
        <v>21</v>
      </c>
      <c r="D1393" s="33">
        <f>Demand!E1391</f>
        <v>67</v>
      </c>
      <c r="E1393" s="33">
        <f>IF(Demand!F1391,1,0)</f>
        <v>1</v>
      </c>
      <c r="F1393" s="33">
        <f>COUNTIFS(c_store,A1393,c_date,B1393,c_hour,C1393)</f>
        <v>0</v>
      </c>
      <c r="G1393" s="33">
        <f>IF(F1393&gt;0,1,0)</f>
        <v>0</v>
      </c>
      <c r="H1393" s="33">
        <f>COUNTIFS(Demand!$A$2:$A$4481,A1393,Demand!$B$2:$B$4481,B1393,Demand!$C$2:$C$4481,C1393)</f>
        <v>1</v>
      </c>
    </row>
    <row r="1394">
      <c r="A1394" s="32" t="str">
        <f>Demand!A1392</f>
        <v>S007</v>
      </c>
      <c r="B1394" s="35">
        <f>Demand!B1392</f>
        <v>46270.0</v>
      </c>
      <c r="C1394" s="33">
        <f>Demand!C1392</f>
        <v>22</v>
      </c>
      <c r="D1394" s="33">
        <f>Demand!E1392</f>
        <v>30</v>
      </c>
      <c r="E1394" s="33">
        <f>IF(Demand!F1392,1,0)</f>
        <v>0</v>
      </c>
      <c r="F1394" s="33">
        <f>COUNTIFS(c_store,A1394,c_date,B1394,c_hour,C1394)</f>
        <v>1</v>
      </c>
      <c r="G1394" s="33">
        <f>IF(F1394&gt;0,1,0)</f>
        <v>1</v>
      </c>
      <c r="H1394" s="33">
        <f>COUNTIFS(Demand!$A$2:$A$4481,A1394,Demand!$B$2:$B$4481,B1394,Demand!$C$2:$C$4481,C1394)</f>
        <v>1</v>
      </c>
    </row>
    <row r="1395">
      <c r="A1395" s="32" t="str">
        <f>Demand!A1393</f>
        <v>S007</v>
      </c>
      <c r="B1395" s="35">
        <f>Demand!B1393</f>
        <v>46270.0</v>
      </c>
      <c r="C1395" s="33">
        <f>Demand!C1393</f>
        <v>23</v>
      </c>
      <c r="D1395" s="33">
        <f>Demand!E1393</f>
        <v>35</v>
      </c>
      <c r="E1395" s="33">
        <f>IF(Demand!F1393,1,0)</f>
        <v>0</v>
      </c>
      <c r="F1395" s="33">
        <f>COUNTIFS(c_store,A1395,c_date,B1395,c_hour,C1395)</f>
        <v>0</v>
      </c>
      <c r="G1395" s="33">
        <f>IF(F1395&gt;0,1,0)</f>
        <v>0</v>
      </c>
      <c r="H1395" s="33">
        <f>COUNTIFS(Demand!$A$2:$A$4481,A1395,Demand!$B$2:$B$4481,B1395,Demand!$C$2:$C$4481,C1395)</f>
        <v>1</v>
      </c>
    </row>
    <row r="1396">
      <c r="A1396" s="32" t="str">
        <f>Demand!A1394</f>
        <v>S008</v>
      </c>
      <c r="B1396" s="35">
        <f>Demand!B1394</f>
        <v>46270.0</v>
      </c>
      <c r="C1396" s="33">
        <f>Demand!C1394</f>
        <v>8</v>
      </c>
      <c r="D1396" s="33">
        <f>Demand!E1394</f>
        <v>20</v>
      </c>
      <c r="E1396" s="33">
        <f>IF(Demand!F1394,1,0)</f>
        <v>0</v>
      </c>
      <c r="F1396" s="33">
        <f>COUNTIFS(c_store,A1396,c_date,B1396,c_hour,C1396)</f>
        <v>0</v>
      </c>
      <c r="G1396" s="33">
        <f>IF(F1396&gt;0,1,0)</f>
        <v>0</v>
      </c>
      <c r="H1396" s="33">
        <f>COUNTIFS(Demand!$A$2:$A$4481,A1396,Demand!$B$2:$B$4481,B1396,Demand!$C$2:$C$4481,C1396)</f>
        <v>1</v>
      </c>
    </row>
    <row r="1397">
      <c r="A1397" s="32" t="str">
        <f>Demand!A1395</f>
        <v>S008</v>
      </c>
      <c r="B1397" s="35">
        <f>Demand!B1395</f>
        <v>46270.0</v>
      </c>
      <c r="C1397" s="33">
        <f>Demand!C1395</f>
        <v>9</v>
      </c>
      <c r="D1397" s="33">
        <f>Demand!E1395</f>
        <v>23</v>
      </c>
      <c r="E1397" s="33">
        <f>IF(Demand!F1395,1,0)</f>
        <v>0</v>
      </c>
      <c r="F1397" s="33">
        <f>COUNTIFS(c_store,A1397,c_date,B1397,c_hour,C1397)</f>
        <v>0</v>
      </c>
      <c r="G1397" s="33">
        <f>IF(F1397&gt;0,1,0)</f>
        <v>0</v>
      </c>
      <c r="H1397" s="33">
        <f>COUNTIFS(Demand!$A$2:$A$4481,A1397,Demand!$B$2:$B$4481,B1397,Demand!$C$2:$C$4481,C1397)</f>
        <v>1</v>
      </c>
    </row>
    <row r="1398">
      <c r="A1398" s="32" t="str">
        <f>Demand!A1396</f>
        <v>S008</v>
      </c>
      <c r="B1398" s="35">
        <f>Demand!B1396</f>
        <v>46270.0</v>
      </c>
      <c r="C1398" s="33">
        <f>Demand!C1396</f>
        <v>10</v>
      </c>
      <c r="D1398" s="33">
        <f>Demand!E1396</f>
        <v>13</v>
      </c>
      <c r="E1398" s="33">
        <f>IF(Demand!F1396,1,0)</f>
        <v>0</v>
      </c>
      <c r="F1398" s="33">
        <f>COUNTIFS(c_store,A1398,c_date,B1398,c_hour,C1398)</f>
        <v>0</v>
      </c>
      <c r="G1398" s="33">
        <f>IF(F1398&gt;0,1,0)</f>
        <v>0</v>
      </c>
      <c r="H1398" s="33">
        <f>COUNTIFS(Demand!$A$2:$A$4481,A1398,Demand!$B$2:$B$4481,B1398,Demand!$C$2:$C$4481,C1398)</f>
        <v>1</v>
      </c>
    </row>
    <row r="1399">
      <c r="A1399" s="32" t="str">
        <f>Demand!A1397</f>
        <v>S008</v>
      </c>
      <c r="B1399" s="35">
        <f>Demand!B1397</f>
        <v>46270.0</v>
      </c>
      <c r="C1399" s="33">
        <f>Demand!C1397</f>
        <v>11</v>
      </c>
      <c r="D1399" s="33">
        <f>Demand!E1397</f>
        <v>31</v>
      </c>
      <c r="E1399" s="33">
        <f>IF(Demand!F1397,1,0)</f>
        <v>0</v>
      </c>
      <c r="F1399" s="33">
        <f>COUNTIFS(c_store,A1399,c_date,B1399,c_hour,C1399)</f>
        <v>0</v>
      </c>
      <c r="G1399" s="33">
        <f>IF(F1399&gt;0,1,0)</f>
        <v>0</v>
      </c>
      <c r="H1399" s="33">
        <f>COUNTIFS(Demand!$A$2:$A$4481,A1399,Demand!$B$2:$B$4481,B1399,Demand!$C$2:$C$4481,C1399)</f>
        <v>1</v>
      </c>
    </row>
    <row r="1400">
      <c r="A1400" s="32" t="str">
        <f>Demand!A1398</f>
        <v>S008</v>
      </c>
      <c r="B1400" s="35">
        <f>Demand!B1398</f>
        <v>46270.0</v>
      </c>
      <c r="C1400" s="33">
        <f>Demand!C1398</f>
        <v>12</v>
      </c>
      <c r="D1400" s="33">
        <f>Demand!E1398</f>
        <v>28</v>
      </c>
      <c r="E1400" s="33">
        <f>IF(Demand!F1398,1,0)</f>
        <v>0</v>
      </c>
      <c r="F1400" s="33">
        <f>COUNTIFS(c_store,A1400,c_date,B1400,c_hour,C1400)</f>
        <v>0</v>
      </c>
      <c r="G1400" s="33">
        <f>IF(F1400&gt;0,1,0)</f>
        <v>0</v>
      </c>
      <c r="H1400" s="33">
        <f>COUNTIFS(Demand!$A$2:$A$4481,A1400,Demand!$B$2:$B$4481,B1400,Demand!$C$2:$C$4481,C1400)</f>
        <v>1</v>
      </c>
    </row>
    <row r="1401">
      <c r="A1401" s="32" t="str">
        <f>Demand!A1399</f>
        <v>S008</v>
      </c>
      <c r="B1401" s="35">
        <f>Demand!B1399</f>
        <v>46270.0</v>
      </c>
      <c r="C1401" s="33">
        <f>Demand!C1399</f>
        <v>13</v>
      </c>
      <c r="D1401" s="33">
        <f>Demand!E1399</f>
        <v>24</v>
      </c>
      <c r="E1401" s="33">
        <f>IF(Demand!F1399,1,0)</f>
        <v>0</v>
      </c>
      <c r="F1401" s="33">
        <f>COUNTIFS(c_store,A1401,c_date,B1401,c_hour,C1401)</f>
        <v>1</v>
      </c>
      <c r="G1401" s="33">
        <f>IF(F1401&gt;0,1,0)</f>
        <v>1</v>
      </c>
      <c r="H1401" s="33">
        <f>COUNTIFS(Demand!$A$2:$A$4481,A1401,Demand!$B$2:$B$4481,B1401,Demand!$C$2:$C$4481,C1401)</f>
        <v>1</v>
      </c>
    </row>
    <row r="1402">
      <c r="A1402" s="32" t="str">
        <f>Demand!A1400</f>
        <v>S008</v>
      </c>
      <c r="B1402" s="35">
        <f>Demand!B1400</f>
        <v>46270.0</v>
      </c>
      <c r="C1402" s="33">
        <f>Demand!C1400</f>
        <v>14</v>
      </c>
      <c r="D1402" s="33">
        <f>Demand!E1400</f>
        <v>16</v>
      </c>
      <c r="E1402" s="33">
        <f>IF(Demand!F1400,1,0)</f>
        <v>0</v>
      </c>
      <c r="F1402" s="33">
        <f>COUNTIFS(c_store,A1402,c_date,B1402,c_hour,C1402)</f>
        <v>0</v>
      </c>
      <c r="G1402" s="33">
        <f>IF(F1402&gt;0,1,0)</f>
        <v>0</v>
      </c>
      <c r="H1402" s="33">
        <f>COUNTIFS(Demand!$A$2:$A$4481,A1402,Demand!$B$2:$B$4481,B1402,Demand!$C$2:$C$4481,C1402)</f>
        <v>1</v>
      </c>
    </row>
    <row r="1403">
      <c r="A1403" s="32" t="str">
        <f>Demand!A1401</f>
        <v>S008</v>
      </c>
      <c r="B1403" s="35">
        <f>Demand!B1401</f>
        <v>46270.0</v>
      </c>
      <c r="C1403" s="33">
        <f>Demand!C1401</f>
        <v>15</v>
      </c>
      <c r="D1403" s="33">
        <f>Demand!E1401</f>
        <v>17</v>
      </c>
      <c r="E1403" s="33">
        <f>IF(Demand!F1401,1,0)</f>
        <v>0</v>
      </c>
      <c r="F1403" s="33">
        <f>COUNTIFS(c_store,A1403,c_date,B1403,c_hour,C1403)</f>
        <v>0</v>
      </c>
      <c r="G1403" s="33">
        <f>IF(F1403&gt;0,1,0)</f>
        <v>0</v>
      </c>
      <c r="H1403" s="33">
        <f>COUNTIFS(Demand!$A$2:$A$4481,A1403,Demand!$B$2:$B$4481,B1403,Demand!$C$2:$C$4481,C1403)</f>
        <v>1</v>
      </c>
    </row>
    <row r="1404">
      <c r="A1404" s="32" t="str">
        <f>Demand!A1402</f>
        <v>S008</v>
      </c>
      <c r="B1404" s="35">
        <f>Demand!B1402</f>
        <v>46270.0</v>
      </c>
      <c r="C1404" s="33">
        <f>Demand!C1402</f>
        <v>16</v>
      </c>
      <c r="D1404" s="33">
        <f>Demand!E1402</f>
        <v>17</v>
      </c>
      <c r="E1404" s="33">
        <f>IF(Demand!F1402,1,0)</f>
        <v>0</v>
      </c>
      <c r="F1404" s="33">
        <f>COUNTIFS(c_store,A1404,c_date,B1404,c_hour,C1404)</f>
        <v>1</v>
      </c>
      <c r="G1404" s="33">
        <f>IF(F1404&gt;0,1,0)</f>
        <v>1</v>
      </c>
      <c r="H1404" s="33">
        <f>COUNTIFS(Demand!$A$2:$A$4481,A1404,Demand!$B$2:$B$4481,B1404,Demand!$C$2:$C$4481,C1404)</f>
        <v>1</v>
      </c>
    </row>
    <row r="1405">
      <c r="A1405" s="32" t="str">
        <f>Demand!A1403</f>
        <v>S008</v>
      </c>
      <c r="B1405" s="35">
        <f>Demand!B1403</f>
        <v>46270.0</v>
      </c>
      <c r="C1405" s="33">
        <f>Demand!C1403</f>
        <v>17</v>
      </c>
      <c r="D1405" s="33">
        <f>Demand!E1403</f>
        <v>19</v>
      </c>
      <c r="E1405" s="33">
        <f>IF(Demand!F1403,1,0)</f>
        <v>0</v>
      </c>
      <c r="F1405" s="33">
        <f>COUNTIFS(c_store,A1405,c_date,B1405,c_hour,C1405)</f>
        <v>0</v>
      </c>
      <c r="G1405" s="33">
        <f>IF(F1405&gt;0,1,0)</f>
        <v>0</v>
      </c>
      <c r="H1405" s="33">
        <f>COUNTIFS(Demand!$A$2:$A$4481,A1405,Demand!$B$2:$B$4481,B1405,Demand!$C$2:$C$4481,C1405)</f>
        <v>1</v>
      </c>
    </row>
    <row r="1406">
      <c r="A1406" s="32" t="str">
        <f>Demand!A1404</f>
        <v>S008</v>
      </c>
      <c r="B1406" s="35">
        <f>Demand!B1404</f>
        <v>46270.0</v>
      </c>
      <c r="C1406" s="33">
        <f>Demand!C1404</f>
        <v>18</v>
      </c>
      <c r="D1406" s="33">
        <f>Demand!E1404</f>
        <v>21</v>
      </c>
      <c r="E1406" s="33">
        <f>IF(Demand!F1404,1,0)</f>
        <v>0</v>
      </c>
      <c r="F1406" s="33">
        <f>COUNTIFS(c_store,A1406,c_date,B1406,c_hour,C1406)</f>
        <v>1</v>
      </c>
      <c r="G1406" s="33">
        <f>IF(F1406&gt;0,1,0)</f>
        <v>1</v>
      </c>
      <c r="H1406" s="33">
        <f>COUNTIFS(Demand!$A$2:$A$4481,A1406,Demand!$B$2:$B$4481,B1406,Demand!$C$2:$C$4481,C1406)</f>
        <v>1</v>
      </c>
    </row>
    <row r="1407">
      <c r="A1407" s="32" t="str">
        <f>Demand!A1405</f>
        <v>S008</v>
      </c>
      <c r="B1407" s="35">
        <f>Demand!B1405</f>
        <v>46270.0</v>
      </c>
      <c r="C1407" s="33">
        <f>Demand!C1405</f>
        <v>19</v>
      </c>
      <c r="D1407" s="33">
        <f>Demand!E1405</f>
        <v>30</v>
      </c>
      <c r="E1407" s="33">
        <f>IF(Demand!F1405,1,0)</f>
        <v>1</v>
      </c>
      <c r="F1407" s="33">
        <f>COUNTIFS(c_store,A1407,c_date,B1407,c_hour,C1407)</f>
        <v>1</v>
      </c>
      <c r="G1407" s="33">
        <f>IF(F1407&gt;0,1,0)</f>
        <v>1</v>
      </c>
      <c r="H1407" s="33">
        <f>COUNTIFS(Demand!$A$2:$A$4481,A1407,Demand!$B$2:$B$4481,B1407,Demand!$C$2:$C$4481,C1407)</f>
        <v>1</v>
      </c>
    </row>
    <row r="1408">
      <c r="A1408" s="32" t="str">
        <f>Demand!A1406</f>
        <v>S008</v>
      </c>
      <c r="B1408" s="35">
        <f>Demand!B1406</f>
        <v>46270.0</v>
      </c>
      <c r="C1408" s="33">
        <f>Demand!C1406</f>
        <v>20</v>
      </c>
      <c r="D1408" s="33">
        <f>Demand!E1406</f>
        <v>49</v>
      </c>
      <c r="E1408" s="33">
        <f>IF(Demand!F1406,1,0)</f>
        <v>1</v>
      </c>
      <c r="F1408" s="33">
        <f>COUNTIFS(c_store,A1408,c_date,B1408,c_hour,C1408)</f>
        <v>1</v>
      </c>
      <c r="G1408" s="33">
        <f>IF(F1408&gt;0,1,0)</f>
        <v>1</v>
      </c>
      <c r="H1408" s="33">
        <f>COUNTIFS(Demand!$A$2:$A$4481,A1408,Demand!$B$2:$B$4481,B1408,Demand!$C$2:$C$4481,C1408)</f>
        <v>1</v>
      </c>
    </row>
    <row r="1409">
      <c r="A1409" s="32" t="str">
        <f>Demand!A1407</f>
        <v>S008</v>
      </c>
      <c r="B1409" s="35">
        <f>Demand!B1407</f>
        <v>46270.0</v>
      </c>
      <c r="C1409" s="33">
        <f>Demand!C1407</f>
        <v>21</v>
      </c>
      <c r="D1409" s="33">
        <f>Demand!E1407</f>
        <v>34</v>
      </c>
      <c r="E1409" s="33">
        <f>IF(Demand!F1407,1,0)</f>
        <v>1</v>
      </c>
      <c r="F1409" s="33">
        <f>COUNTIFS(c_store,A1409,c_date,B1409,c_hour,C1409)</f>
        <v>0</v>
      </c>
      <c r="G1409" s="33">
        <f>IF(F1409&gt;0,1,0)</f>
        <v>0</v>
      </c>
      <c r="H1409" s="33">
        <f>COUNTIFS(Demand!$A$2:$A$4481,A1409,Demand!$B$2:$B$4481,B1409,Demand!$C$2:$C$4481,C1409)</f>
        <v>1</v>
      </c>
    </row>
    <row r="1410">
      <c r="A1410" s="32" t="str">
        <f>Demand!A1408</f>
        <v>S008</v>
      </c>
      <c r="B1410" s="35">
        <f>Demand!B1408</f>
        <v>46270.0</v>
      </c>
      <c r="C1410" s="33">
        <f>Demand!C1408</f>
        <v>22</v>
      </c>
      <c r="D1410" s="33">
        <f>Demand!E1408</f>
        <v>29</v>
      </c>
      <c r="E1410" s="33">
        <f>IF(Demand!F1408,1,0)</f>
        <v>0</v>
      </c>
      <c r="F1410" s="33">
        <f>COUNTIFS(c_store,A1410,c_date,B1410,c_hour,C1410)</f>
        <v>0</v>
      </c>
      <c r="G1410" s="33">
        <f>IF(F1410&gt;0,1,0)</f>
        <v>0</v>
      </c>
      <c r="H1410" s="33">
        <f>COUNTIFS(Demand!$A$2:$A$4481,A1410,Demand!$B$2:$B$4481,B1410,Demand!$C$2:$C$4481,C1410)</f>
        <v>1</v>
      </c>
    </row>
    <row r="1411">
      <c r="A1411" s="32" t="str">
        <f>Demand!A1409</f>
        <v>S008</v>
      </c>
      <c r="B1411" s="35">
        <f>Demand!B1409</f>
        <v>46270.0</v>
      </c>
      <c r="C1411" s="33">
        <f>Demand!C1409</f>
        <v>23</v>
      </c>
      <c r="D1411" s="33">
        <f>Demand!E1409</f>
        <v>27</v>
      </c>
      <c r="E1411" s="33">
        <f>IF(Demand!F1409,1,0)</f>
        <v>0</v>
      </c>
      <c r="F1411" s="33">
        <f>COUNTIFS(c_store,A1411,c_date,B1411,c_hour,C1411)</f>
        <v>0</v>
      </c>
      <c r="G1411" s="33">
        <f>IF(F1411&gt;0,1,0)</f>
        <v>0</v>
      </c>
      <c r="H1411" s="33">
        <f>COUNTIFS(Demand!$A$2:$A$4481,A1411,Demand!$B$2:$B$4481,B1411,Demand!$C$2:$C$4481,C1411)</f>
        <v>1</v>
      </c>
    </row>
    <row r="1412">
      <c r="A1412" s="32" t="str">
        <f>Demand!A1410</f>
        <v>S009</v>
      </c>
      <c r="B1412" s="35">
        <f>Demand!B1410</f>
        <v>46270.0</v>
      </c>
      <c r="C1412" s="33">
        <f>Demand!C1410</f>
        <v>8</v>
      </c>
      <c r="D1412" s="33">
        <f>Demand!E1410</f>
        <v>23</v>
      </c>
      <c r="E1412" s="33">
        <f>IF(Demand!F1410,1,0)</f>
        <v>0</v>
      </c>
      <c r="F1412" s="33">
        <f>COUNTIFS(c_store,A1412,c_date,B1412,c_hour,C1412)</f>
        <v>1</v>
      </c>
      <c r="G1412" s="33">
        <f>IF(F1412&gt;0,1,0)</f>
        <v>1</v>
      </c>
      <c r="H1412" s="33">
        <f>COUNTIFS(Demand!$A$2:$A$4481,A1412,Demand!$B$2:$B$4481,B1412,Demand!$C$2:$C$4481,C1412)</f>
        <v>1</v>
      </c>
    </row>
    <row r="1413">
      <c r="A1413" s="32" t="str">
        <f>Demand!A1411</f>
        <v>S009</v>
      </c>
      <c r="B1413" s="35">
        <f>Demand!B1411</f>
        <v>46270.0</v>
      </c>
      <c r="C1413" s="33">
        <f>Demand!C1411</f>
        <v>9</v>
      </c>
      <c r="D1413" s="33">
        <f>Demand!E1411</f>
        <v>26</v>
      </c>
      <c r="E1413" s="33">
        <f>IF(Demand!F1411,1,0)</f>
        <v>0</v>
      </c>
      <c r="F1413" s="33">
        <f>COUNTIFS(c_store,A1413,c_date,B1413,c_hour,C1413)</f>
        <v>0</v>
      </c>
      <c r="G1413" s="33">
        <f>IF(F1413&gt;0,1,0)</f>
        <v>0</v>
      </c>
      <c r="H1413" s="33">
        <f>COUNTIFS(Demand!$A$2:$A$4481,A1413,Demand!$B$2:$B$4481,B1413,Demand!$C$2:$C$4481,C1413)</f>
        <v>1</v>
      </c>
    </row>
    <row r="1414">
      <c r="A1414" s="32" t="str">
        <f>Demand!A1412</f>
        <v>S009</v>
      </c>
      <c r="B1414" s="35">
        <f>Demand!B1412</f>
        <v>46270.0</v>
      </c>
      <c r="C1414" s="33">
        <f>Demand!C1412</f>
        <v>10</v>
      </c>
      <c r="D1414" s="33">
        <f>Demand!E1412</f>
        <v>28</v>
      </c>
      <c r="E1414" s="33">
        <f>IF(Demand!F1412,1,0)</f>
        <v>0</v>
      </c>
      <c r="F1414" s="33">
        <f>COUNTIFS(c_store,A1414,c_date,B1414,c_hour,C1414)</f>
        <v>1</v>
      </c>
      <c r="G1414" s="33">
        <f>IF(F1414&gt;0,1,0)</f>
        <v>1</v>
      </c>
      <c r="H1414" s="33">
        <f>COUNTIFS(Demand!$A$2:$A$4481,A1414,Demand!$B$2:$B$4481,B1414,Demand!$C$2:$C$4481,C1414)</f>
        <v>1</v>
      </c>
    </row>
    <row r="1415">
      <c r="A1415" s="32" t="str">
        <f>Demand!A1413</f>
        <v>S009</v>
      </c>
      <c r="B1415" s="35">
        <f>Demand!B1413</f>
        <v>46270.0</v>
      </c>
      <c r="C1415" s="33">
        <f>Demand!C1413</f>
        <v>11</v>
      </c>
      <c r="D1415" s="33">
        <f>Demand!E1413</f>
        <v>20</v>
      </c>
      <c r="E1415" s="33">
        <f>IF(Demand!F1413,1,0)</f>
        <v>0</v>
      </c>
      <c r="F1415" s="33">
        <f>COUNTIFS(c_store,A1415,c_date,B1415,c_hour,C1415)</f>
        <v>0</v>
      </c>
      <c r="G1415" s="33">
        <f>IF(F1415&gt;0,1,0)</f>
        <v>0</v>
      </c>
      <c r="H1415" s="33">
        <f>COUNTIFS(Demand!$A$2:$A$4481,A1415,Demand!$B$2:$B$4481,B1415,Demand!$C$2:$C$4481,C1415)</f>
        <v>1</v>
      </c>
    </row>
    <row r="1416">
      <c r="A1416" s="32" t="str">
        <f>Demand!A1414</f>
        <v>S009</v>
      </c>
      <c r="B1416" s="35">
        <f>Demand!B1414</f>
        <v>46270.0</v>
      </c>
      <c r="C1416" s="33">
        <f>Demand!C1414</f>
        <v>12</v>
      </c>
      <c r="D1416" s="33">
        <f>Demand!E1414</f>
        <v>30</v>
      </c>
      <c r="E1416" s="33">
        <f>IF(Demand!F1414,1,0)</f>
        <v>0</v>
      </c>
      <c r="F1416" s="33">
        <f>COUNTIFS(c_store,A1416,c_date,B1416,c_hour,C1416)</f>
        <v>0</v>
      </c>
      <c r="G1416" s="33">
        <f>IF(F1416&gt;0,1,0)</f>
        <v>0</v>
      </c>
      <c r="H1416" s="33">
        <f>COUNTIFS(Demand!$A$2:$A$4481,A1416,Demand!$B$2:$B$4481,B1416,Demand!$C$2:$C$4481,C1416)</f>
        <v>1</v>
      </c>
    </row>
    <row r="1417">
      <c r="A1417" s="32" t="str">
        <f>Demand!A1415</f>
        <v>S009</v>
      </c>
      <c r="B1417" s="35">
        <f>Demand!B1415</f>
        <v>46270.0</v>
      </c>
      <c r="C1417" s="33">
        <f>Demand!C1415</f>
        <v>13</v>
      </c>
      <c r="D1417" s="33">
        <f>Demand!E1415</f>
        <v>31</v>
      </c>
      <c r="E1417" s="33">
        <f>IF(Demand!F1415,1,0)</f>
        <v>0</v>
      </c>
      <c r="F1417" s="33">
        <f>COUNTIFS(c_store,A1417,c_date,B1417,c_hour,C1417)</f>
        <v>1</v>
      </c>
      <c r="G1417" s="33">
        <f>IF(F1417&gt;0,1,0)</f>
        <v>1</v>
      </c>
      <c r="H1417" s="33">
        <f>COUNTIFS(Demand!$A$2:$A$4481,A1417,Demand!$B$2:$B$4481,B1417,Demand!$C$2:$C$4481,C1417)</f>
        <v>1</v>
      </c>
    </row>
    <row r="1418">
      <c r="A1418" s="32" t="str">
        <f>Demand!A1416</f>
        <v>S009</v>
      </c>
      <c r="B1418" s="35">
        <f>Demand!B1416</f>
        <v>46270.0</v>
      </c>
      <c r="C1418" s="33">
        <f>Demand!C1416</f>
        <v>14</v>
      </c>
      <c r="D1418" s="33">
        <f>Demand!E1416</f>
        <v>22</v>
      </c>
      <c r="E1418" s="33">
        <f>IF(Demand!F1416,1,0)</f>
        <v>0</v>
      </c>
      <c r="F1418" s="33">
        <f>COUNTIFS(c_store,A1418,c_date,B1418,c_hour,C1418)</f>
        <v>1</v>
      </c>
      <c r="G1418" s="33">
        <f>IF(F1418&gt;0,1,0)</f>
        <v>1</v>
      </c>
      <c r="H1418" s="33">
        <f>COUNTIFS(Demand!$A$2:$A$4481,A1418,Demand!$B$2:$B$4481,B1418,Demand!$C$2:$C$4481,C1418)</f>
        <v>1</v>
      </c>
    </row>
    <row r="1419">
      <c r="A1419" s="32" t="str">
        <f>Demand!A1417</f>
        <v>S009</v>
      </c>
      <c r="B1419" s="35">
        <f>Demand!B1417</f>
        <v>46270.0</v>
      </c>
      <c r="C1419" s="33">
        <f>Demand!C1417</f>
        <v>15</v>
      </c>
      <c r="D1419" s="33">
        <f>Demand!E1417</f>
        <v>18</v>
      </c>
      <c r="E1419" s="33">
        <f>IF(Demand!F1417,1,0)</f>
        <v>0</v>
      </c>
      <c r="F1419" s="33">
        <f>COUNTIFS(c_store,A1419,c_date,B1419,c_hour,C1419)</f>
        <v>0</v>
      </c>
      <c r="G1419" s="33">
        <f>IF(F1419&gt;0,1,0)</f>
        <v>0</v>
      </c>
      <c r="H1419" s="33">
        <f>COUNTIFS(Demand!$A$2:$A$4481,A1419,Demand!$B$2:$B$4481,B1419,Demand!$C$2:$C$4481,C1419)</f>
        <v>1</v>
      </c>
    </row>
    <row r="1420">
      <c r="A1420" s="32" t="str">
        <f>Demand!A1418</f>
        <v>S009</v>
      </c>
      <c r="B1420" s="35">
        <f>Demand!B1418</f>
        <v>46270.0</v>
      </c>
      <c r="C1420" s="33">
        <f>Demand!C1418</f>
        <v>16</v>
      </c>
      <c r="D1420" s="33">
        <f>Demand!E1418</f>
        <v>40</v>
      </c>
      <c r="E1420" s="33">
        <f>IF(Demand!F1418,1,0)</f>
        <v>0</v>
      </c>
      <c r="F1420" s="33">
        <f>COUNTIFS(c_store,A1420,c_date,B1420,c_hour,C1420)</f>
        <v>0</v>
      </c>
      <c r="G1420" s="33">
        <f>IF(F1420&gt;0,1,0)</f>
        <v>0</v>
      </c>
      <c r="H1420" s="33">
        <f>COUNTIFS(Demand!$A$2:$A$4481,A1420,Demand!$B$2:$B$4481,B1420,Demand!$C$2:$C$4481,C1420)</f>
        <v>1</v>
      </c>
    </row>
    <row r="1421">
      <c r="A1421" s="32" t="str">
        <f>Demand!A1419</f>
        <v>S009</v>
      </c>
      <c r="B1421" s="35">
        <f>Demand!B1419</f>
        <v>46270.0</v>
      </c>
      <c r="C1421" s="33">
        <f>Demand!C1419</f>
        <v>17</v>
      </c>
      <c r="D1421" s="33">
        <f>Demand!E1419</f>
        <v>33</v>
      </c>
      <c r="E1421" s="33">
        <f>IF(Demand!F1419,1,0)</f>
        <v>0</v>
      </c>
      <c r="F1421" s="33">
        <f>COUNTIFS(c_store,A1421,c_date,B1421,c_hour,C1421)</f>
        <v>0</v>
      </c>
      <c r="G1421" s="33">
        <f>IF(F1421&gt;0,1,0)</f>
        <v>0</v>
      </c>
      <c r="H1421" s="33">
        <f>COUNTIFS(Demand!$A$2:$A$4481,A1421,Demand!$B$2:$B$4481,B1421,Demand!$C$2:$C$4481,C1421)</f>
        <v>1</v>
      </c>
    </row>
    <row r="1422">
      <c r="A1422" s="32" t="str">
        <f>Demand!A1420</f>
        <v>S009</v>
      </c>
      <c r="B1422" s="35">
        <f>Demand!B1420</f>
        <v>46270.0</v>
      </c>
      <c r="C1422" s="33">
        <f>Demand!C1420</f>
        <v>18</v>
      </c>
      <c r="D1422" s="33">
        <f>Demand!E1420</f>
        <v>30</v>
      </c>
      <c r="E1422" s="33">
        <f>IF(Demand!F1420,1,0)</f>
        <v>0</v>
      </c>
      <c r="F1422" s="33">
        <f>COUNTIFS(c_store,A1422,c_date,B1422,c_hour,C1422)</f>
        <v>1</v>
      </c>
      <c r="G1422" s="33">
        <f>IF(F1422&gt;0,1,0)</f>
        <v>1</v>
      </c>
      <c r="H1422" s="33">
        <f>COUNTIFS(Demand!$A$2:$A$4481,A1422,Demand!$B$2:$B$4481,B1422,Demand!$C$2:$C$4481,C1422)</f>
        <v>1</v>
      </c>
    </row>
    <row r="1423">
      <c r="A1423" s="32" t="str">
        <f>Demand!A1421</f>
        <v>S009</v>
      </c>
      <c r="B1423" s="35">
        <f>Demand!B1421</f>
        <v>46270.0</v>
      </c>
      <c r="C1423" s="33">
        <f>Demand!C1421</f>
        <v>19</v>
      </c>
      <c r="D1423" s="33">
        <f>Demand!E1421</f>
        <v>49</v>
      </c>
      <c r="E1423" s="33">
        <f>IF(Demand!F1421,1,0)</f>
        <v>1</v>
      </c>
      <c r="F1423" s="33">
        <f>COUNTIFS(c_store,A1423,c_date,B1423,c_hour,C1423)</f>
        <v>1</v>
      </c>
      <c r="G1423" s="33">
        <f>IF(F1423&gt;0,1,0)</f>
        <v>1</v>
      </c>
      <c r="H1423" s="33">
        <f>COUNTIFS(Demand!$A$2:$A$4481,A1423,Demand!$B$2:$B$4481,B1423,Demand!$C$2:$C$4481,C1423)</f>
        <v>1</v>
      </c>
    </row>
    <row r="1424">
      <c r="A1424" s="32" t="str">
        <f>Demand!A1422</f>
        <v>S009</v>
      </c>
      <c r="B1424" s="35">
        <f>Demand!B1422</f>
        <v>46270.0</v>
      </c>
      <c r="C1424" s="33">
        <f>Demand!C1422</f>
        <v>20</v>
      </c>
      <c r="D1424" s="33">
        <f>Demand!E1422</f>
        <v>51</v>
      </c>
      <c r="E1424" s="33">
        <f>IF(Demand!F1422,1,0)</f>
        <v>1</v>
      </c>
      <c r="F1424" s="33">
        <f>COUNTIFS(c_store,A1424,c_date,B1424,c_hour,C1424)</f>
        <v>1</v>
      </c>
      <c r="G1424" s="33">
        <f>IF(F1424&gt;0,1,0)</f>
        <v>1</v>
      </c>
      <c r="H1424" s="33">
        <f>COUNTIFS(Demand!$A$2:$A$4481,A1424,Demand!$B$2:$B$4481,B1424,Demand!$C$2:$C$4481,C1424)</f>
        <v>1</v>
      </c>
    </row>
    <row r="1425">
      <c r="A1425" s="32" t="str">
        <f>Demand!A1423</f>
        <v>S009</v>
      </c>
      <c r="B1425" s="35">
        <f>Demand!B1423</f>
        <v>46270.0</v>
      </c>
      <c r="C1425" s="33">
        <f>Demand!C1423</f>
        <v>21</v>
      </c>
      <c r="D1425" s="33">
        <f>Demand!E1423</f>
        <v>54</v>
      </c>
      <c r="E1425" s="33">
        <f>IF(Demand!F1423,1,0)</f>
        <v>1</v>
      </c>
      <c r="F1425" s="33">
        <f>COUNTIFS(c_store,A1425,c_date,B1425,c_hour,C1425)</f>
        <v>0</v>
      </c>
      <c r="G1425" s="33">
        <f>IF(F1425&gt;0,1,0)</f>
        <v>0</v>
      </c>
      <c r="H1425" s="33">
        <f>COUNTIFS(Demand!$A$2:$A$4481,A1425,Demand!$B$2:$B$4481,B1425,Demand!$C$2:$C$4481,C1425)</f>
        <v>1</v>
      </c>
    </row>
    <row r="1426">
      <c r="A1426" s="32" t="str">
        <f>Demand!A1424</f>
        <v>S009</v>
      </c>
      <c r="B1426" s="35">
        <f>Demand!B1424</f>
        <v>46270.0</v>
      </c>
      <c r="C1426" s="33">
        <f>Demand!C1424</f>
        <v>22</v>
      </c>
      <c r="D1426" s="33">
        <f>Demand!E1424</f>
        <v>36</v>
      </c>
      <c r="E1426" s="33">
        <f>IF(Demand!F1424,1,0)</f>
        <v>0</v>
      </c>
      <c r="F1426" s="33">
        <f>COUNTIFS(c_store,A1426,c_date,B1426,c_hour,C1426)</f>
        <v>0</v>
      </c>
      <c r="G1426" s="33">
        <f>IF(F1426&gt;0,1,0)</f>
        <v>0</v>
      </c>
      <c r="H1426" s="33">
        <f>COUNTIFS(Demand!$A$2:$A$4481,A1426,Demand!$B$2:$B$4481,B1426,Demand!$C$2:$C$4481,C1426)</f>
        <v>1</v>
      </c>
    </row>
    <row r="1427">
      <c r="A1427" s="32" t="str">
        <f>Demand!A1425</f>
        <v>S009</v>
      </c>
      <c r="B1427" s="35">
        <f>Demand!B1425</f>
        <v>46270.0</v>
      </c>
      <c r="C1427" s="33">
        <f>Demand!C1425</f>
        <v>23</v>
      </c>
      <c r="D1427" s="33">
        <f>Demand!E1425</f>
        <v>24</v>
      </c>
      <c r="E1427" s="33">
        <f>IF(Demand!F1425,1,0)</f>
        <v>0</v>
      </c>
      <c r="F1427" s="33">
        <f>COUNTIFS(c_store,A1427,c_date,B1427,c_hour,C1427)</f>
        <v>0</v>
      </c>
      <c r="G1427" s="33">
        <f>IF(F1427&gt;0,1,0)</f>
        <v>0</v>
      </c>
      <c r="H1427" s="33">
        <f>COUNTIFS(Demand!$A$2:$A$4481,A1427,Demand!$B$2:$B$4481,B1427,Demand!$C$2:$C$4481,C1427)</f>
        <v>1</v>
      </c>
    </row>
    <row r="1428">
      <c r="A1428" s="32" t="str">
        <f>Demand!A1426</f>
        <v>S010</v>
      </c>
      <c r="B1428" s="35">
        <f>Demand!B1426</f>
        <v>46270.0</v>
      </c>
      <c r="C1428" s="33">
        <f>Demand!C1426</f>
        <v>8</v>
      </c>
      <c r="D1428" s="33">
        <f>Demand!E1426</f>
        <v>19</v>
      </c>
      <c r="E1428" s="33">
        <f>IF(Demand!F1426,1,0)</f>
        <v>0</v>
      </c>
      <c r="F1428" s="33">
        <f>COUNTIFS(c_store,A1428,c_date,B1428,c_hour,C1428)</f>
        <v>0</v>
      </c>
      <c r="G1428" s="33">
        <f>IF(F1428&gt;0,1,0)</f>
        <v>0</v>
      </c>
      <c r="H1428" s="33">
        <f>COUNTIFS(Demand!$A$2:$A$4481,A1428,Demand!$B$2:$B$4481,B1428,Demand!$C$2:$C$4481,C1428)</f>
        <v>1</v>
      </c>
    </row>
    <row r="1429">
      <c r="A1429" s="32" t="str">
        <f>Demand!A1427</f>
        <v>S010</v>
      </c>
      <c r="B1429" s="35">
        <f>Demand!B1427</f>
        <v>46270.0</v>
      </c>
      <c r="C1429" s="33">
        <f>Demand!C1427</f>
        <v>9</v>
      </c>
      <c r="D1429" s="33">
        <f>Demand!E1427</f>
        <v>15</v>
      </c>
      <c r="E1429" s="33">
        <f>IF(Demand!F1427,1,0)</f>
        <v>0</v>
      </c>
      <c r="F1429" s="33">
        <f>COUNTIFS(c_store,A1429,c_date,B1429,c_hour,C1429)</f>
        <v>1</v>
      </c>
      <c r="G1429" s="33">
        <f>IF(F1429&gt;0,1,0)</f>
        <v>1</v>
      </c>
      <c r="H1429" s="33">
        <f>COUNTIFS(Demand!$A$2:$A$4481,A1429,Demand!$B$2:$B$4481,B1429,Demand!$C$2:$C$4481,C1429)</f>
        <v>1</v>
      </c>
    </row>
    <row r="1430">
      <c r="A1430" s="32" t="str">
        <f>Demand!A1428</f>
        <v>S010</v>
      </c>
      <c r="B1430" s="35">
        <f>Demand!B1428</f>
        <v>46270.0</v>
      </c>
      <c r="C1430" s="33">
        <f>Demand!C1428</f>
        <v>10</v>
      </c>
      <c r="D1430" s="33">
        <f>Demand!E1428</f>
        <v>21</v>
      </c>
      <c r="E1430" s="33">
        <f>IF(Demand!F1428,1,0)</f>
        <v>0</v>
      </c>
      <c r="F1430" s="33">
        <f>COUNTIFS(c_store,A1430,c_date,B1430,c_hour,C1430)</f>
        <v>0</v>
      </c>
      <c r="G1430" s="33">
        <f>IF(F1430&gt;0,1,0)</f>
        <v>0</v>
      </c>
      <c r="H1430" s="33">
        <f>COUNTIFS(Demand!$A$2:$A$4481,A1430,Demand!$B$2:$B$4481,B1430,Demand!$C$2:$C$4481,C1430)</f>
        <v>1</v>
      </c>
    </row>
    <row r="1431">
      <c r="A1431" s="32" t="str">
        <f>Demand!A1429</f>
        <v>S010</v>
      </c>
      <c r="B1431" s="35">
        <f>Demand!B1429</f>
        <v>46270.0</v>
      </c>
      <c r="C1431" s="33">
        <f>Demand!C1429</f>
        <v>11</v>
      </c>
      <c r="D1431" s="33">
        <f>Demand!E1429</f>
        <v>25</v>
      </c>
      <c r="E1431" s="33">
        <f>IF(Demand!F1429,1,0)</f>
        <v>0</v>
      </c>
      <c r="F1431" s="33">
        <f>COUNTIFS(c_store,A1431,c_date,B1431,c_hour,C1431)</f>
        <v>1</v>
      </c>
      <c r="G1431" s="33">
        <f>IF(F1431&gt;0,1,0)</f>
        <v>1</v>
      </c>
      <c r="H1431" s="33">
        <f>COUNTIFS(Demand!$A$2:$A$4481,A1431,Demand!$B$2:$B$4481,B1431,Demand!$C$2:$C$4481,C1431)</f>
        <v>1</v>
      </c>
    </row>
    <row r="1432">
      <c r="A1432" s="32" t="str">
        <f>Demand!A1430</f>
        <v>S010</v>
      </c>
      <c r="B1432" s="35">
        <f>Demand!B1430</f>
        <v>46270.0</v>
      </c>
      <c r="C1432" s="33">
        <f>Demand!C1430</f>
        <v>12</v>
      </c>
      <c r="D1432" s="33">
        <f>Demand!E1430</f>
        <v>24</v>
      </c>
      <c r="E1432" s="33">
        <f>IF(Demand!F1430,1,0)</f>
        <v>0</v>
      </c>
      <c r="F1432" s="33">
        <f>COUNTIFS(c_store,A1432,c_date,B1432,c_hour,C1432)</f>
        <v>1</v>
      </c>
      <c r="G1432" s="33">
        <f>IF(F1432&gt;0,1,0)</f>
        <v>1</v>
      </c>
      <c r="H1432" s="33">
        <f>COUNTIFS(Demand!$A$2:$A$4481,A1432,Demand!$B$2:$B$4481,B1432,Demand!$C$2:$C$4481,C1432)</f>
        <v>1</v>
      </c>
    </row>
    <row r="1433">
      <c r="A1433" s="32" t="str">
        <f>Demand!A1431</f>
        <v>S010</v>
      </c>
      <c r="B1433" s="35">
        <f>Demand!B1431</f>
        <v>46270.0</v>
      </c>
      <c r="C1433" s="33">
        <f>Demand!C1431</f>
        <v>13</v>
      </c>
      <c r="D1433" s="33">
        <f>Demand!E1431</f>
        <v>24</v>
      </c>
      <c r="E1433" s="33">
        <f>IF(Demand!F1431,1,0)</f>
        <v>0</v>
      </c>
      <c r="F1433" s="33">
        <f>COUNTIFS(c_store,A1433,c_date,B1433,c_hour,C1433)</f>
        <v>0</v>
      </c>
      <c r="G1433" s="33">
        <f>IF(F1433&gt;0,1,0)</f>
        <v>0</v>
      </c>
      <c r="H1433" s="33">
        <f>COUNTIFS(Demand!$A$2:$A$4481,A1433,Demand!$B$2:$B$4481,B1433,Demand!$C$2:$C$4481,C1433)</f>
        <v>1</v>
      </c>
    </row>
    <row r="1434">
      <c r="A1434" s="32" t="str">
        <f>Demand!A1432</f>
        <v>S010</v>
      </c>
      <c r="B1434" s="35">
        <f>Demand!B1432</f>
        <v>46270.0</v>
      </c>
      <c r="C1434" s="33">
        <f>Demand!C1432</f>
        <v>14</v>
      </c>
      <c r="D1434" s="33">
        <f>Demand!E1432</f>
        <v>13</v>
      </c>
      <c r="E1434" s="33">
        <f>IF(Demand!F1432,1,0)</f>
        <v>0</v>
      </c>
      <c r="F1434" s="33">
        <f>COUNTIFS(c_store,A1434,c_date,B1434,c_hour,C1434)</f>
        <v>1</v>
      </c>
      <c r="G1434" s="33">
        <f>IF(F1434&gt;0,1,0)</f>
        <v>1</v>
      </c>
      <c r="H1434" s="33">
        <f>COUNTIFS(Demand!$A$2:$A$4481,A1434,Demand!$B$2:$B$4481,B1434,Demand!$C$2:$C$4481,C1434)</f>
        <v>1</v>
      </c>
    </row>
    <row r="1435">
      <c r="A1435" s="32" t="str">
        <f>Demand!A1433</f>
        <v>S010</v>
      </c>
      <c r="B1435" s="35">
        <f>Demand!B1433</f>
        <v>46270.0</v>
      </c>
      <c r="C1435" s="33">
        <f>Demand!C1433</f>
        <v>15</v>
      </c>
      <c r="D1435" s="33">
        <f>Demand!E1433</f>
        <v>14</v>
      </c>
      <c r="E1435" s="33">
        <f>IF(Demand!F1433,1,0)</f>
        <v>0</v>
      </c>
      <c r="F1435" s="33">
        <f>COUNTIFS(c_store,A1435,c_date,B1435,c_hour,C1435)</f>
        <v>0</v>
      </c>
      <c r="G1435" s="33">
        <f>IF(F1435&gt;0,1,0)</f>
        <v>0</v>
      </c>
      <c r="H1435" s="33">
        <f>COUNTIFS(Demand!$A$2:$A$4481,A1435,Demand!$B$2:$B$4481,B1435,Demand!$C$2:$C$4481,C1435)</f>
        <v>1</v>
      </c>
    </row>
    <row r="1436">
      <c r="A1436" s="32" t="str">
        <f>Demand!A1434</f>
        <v>S010</v>
      </c>
      <c r="B1436" s="35">
        <f>Demand!B1434</f>
        <v>46270.0</v>
      </c>
      <c r="C1436" s="33">
        <f>Demand!C1434</f>
        <v>16</v>
      </c>
      <c r="D1436" s="33">
        <f>Demand!E1434</f>
        <v>22</v>
      </c>
      <c r="E1436" s="33">
        <f>IF(Demand!F1434,1,0)</f>
        <v>0</v>
      </c>
      <c r="F1436" s="33">
        <f>COUNTIFS(c_store,A1436,c_date,B1436,c_hour,C1436)</f>
        <v>0</v>
      </c>
      <c r="G1436" s="33">
        <f>IF(F1436&gt;0,1,0)</f>
        <v>0</v>
      </c>
      <c r="H1436" s="33">
        <f>COUNTIFS(Demand!$A$2:$A$4481,A1436,Demand!$B$2:$B$4481,B1436,Demand!$C$2:$C$4481,C1436)</f>
        <v>1</v>
      </c>
    </row>
    <row r="1437">
      <c r="A1437" s="32" t="str">
        <f>Demand!A1435</f>
        <v>S010</v>
      </c>
      <c r="B1437" s="35">
        <f>Demand!B1435</f>
        <v>46270.0</v>
      </c>
      <c r="C1437" s="33">
        <f>Demand!C1435</f>
        <v>17</v>
      </c>
      <c r="D1437" s="33">
        <f>Demand!E1435</f>
        <v>21</v>
      </c>
      <c r="E1437" s="33">
        <f>IF(Demand!F1435,1,0)</f>
        <v>0</v>
      </c>
      <c r="F1437" s="33">
        <f>COUNTIFS(c_store,A1437,c_date,B1437,c_hour,C1437)</f>
        <v>0</v>
      </c>
      <c r="G1437" s="33">
        <f>IF(F1437&gt;0,1,0)</f>
        <v>0</v>
      </c>
      <c r="H1437" s="33">
        <f>COUNTIFS(Demand!$A$2:$A$4481,A1437,Demand!$B$2:$B$4481,B1437,Demand!$C$2:$C$4481,C1437)</f>
        <v>1</v>
      </c>
    </row>
    <row r="1438">
      <c r="A1438" s="32" t="str">
        <f>Demand!A1436</f>
        <v>S010</v>
      </c>
      <c r="B1438" s="35">
        <f>Demand!B1436</f>
        <v>46270.0</v>
      </c>
      <c r="C1438" s="33">
        <f>Demand!C1436</f>
        <v>18</v>
      </c>
      <c r="D1438" s="33">
        <f>Demand!E1436</f>
        <v>15</v>
      </c>
      <c r="E1438" s="33">
        <f>IF(Demand!F1436,1,0)</f>
        <v>0</v>
      </c>
      <c r="F1438" s="33">
        <f>COUNTIFS(c_store,A1438,c_date,B1438,c_hour,C1438)</f>
        <v>2</v>
      </c>
      <c r="G1438" s="33">
        <f>IF(F1438&gt;0,1,0)</f>
        <v>1</v>
      </c>
      <c r="H1438" s="33">
        <f>COUNTIFS(Demand!$A$2:$A$4481,A1438,Demand!$B$2:$B$4481,B1438,Demand!$C$2:$C$4481,C1438)</f>
        <v>1</v>
      </c>
    </row>
    <row r="1439">
      <c r="A1439" s="32" t="str">
        <f>Demand!A1437</f>
        <v>S010</v>
      </c>
      <c r="B1439" s="35">
        <f>Demand!B1437</f>
        <v>46270.0</v>
      </c>
      <c r="C1439" s="33">
        <f>Demand!C1437</f>
        <v>19</v>
      </c>
      <c r="D1439" s="33">
        <f>Demand!E1437</f>
        <v>28</v>
      </c>
      <c r="E1439" s="33">
        <f>IF(Demand!F1437,1,0)</f>
        <v>1</v>
      </c>
      <c r="F1439" s="33">
        <f>COUNTIFS(c_store,A1439,c_date,B1439,c_hour,C1439)</f>
        <v>0</v>
      </c>
      <c r="G1439" s="33">
        <f>IF(F1439&gt;0,1,0)</f>
        <v>0</v>
      </c>
      <c r="H1439" s="33">
        <f>COUNTIFS(Demand!$A$2:$A$4481,A1439,Demand!$B$2:$B$4481,B1439,Demand!$C$2:$C$4481,C1439)</f>
        <v>1</v>
      </c>
    </row>
    <row r="1440">
      <c r="A1440" s="32" t="str">
        <f>Demand!A1438</f>
        <v>S010</v>
      </c>
      <c r="B1440" s="35">
        <f>Demand!B1438</f>
        <v>46270.0</v>
      </c>
      <c r="C1440" s="33">
        <f>Demand!C1438</f>
        <v>20</v>
      </c>
      <c r="D1440" s="33">
        <f>Demand!E1438</f>
        <v>29</v>
      </c>
      <c r="E1440" s="33">
        <f>IF(Demand!F1438,1,0)</f>
        <v>1</v>
      </c>
      <c r="F1440" s="33">
        <f>COUNTIFS(c_store,A1440,c_date,B1440,c_hour,C1440)</f>
        <v>1</v>
      </c>
      <c r="G1440" s="33">
        <f>IF(F1440&gt;0,1,0)</f>
        <v>1</v>
      </c>
      <c r="H1440" s="33">
        <f>COUNTIFS(Demand!$A$2:$A$4481,A1440,Demand!$B$2:$B$4481,B1440,Demand!$C$2:$C$4481,C1440)</f>
        <v>1</v>
      </c>
    </row>
    <row r="1441">
      <c r="A1441" s="32" t="str">
        <f>Demand!A1439</f>
        <v>S010</v>
      </c>
      <c r="B1441" s="35">
        <f>Demand!B1439</f>
        <v>46270.0</v>
      </c>
      <c r="C1441" s="33">
        <f>Demand!C1439</f>
        <v>21</v>
      </c>
      <c r="D1441" s="33">
        <f>Demand!E1439</f>
        <v>40</v>
      </c>
      <c r="E1441" s="33">
        <f>IF(Demand!F1439,1,0)</f>
        <v>1</v>
      </c>
      <c r="F1441" s="33">
        <f>COUNTIFS(c_store,A1441,c_date,B1441,c_hour,C1441)</f>
        <v>0</v>
      </c>
      <c r="G1441" s="33">
        <f>IF(F1441&gt;0,1,0)</f>
        <v>0</v>
      </c>
      <c r="H1441" s="33">
        <f>COUNTIFS(Demand!$A$2:$A$4481,A1441,Demand!$B$2:$B$4481,B1441,Demand!$C$2:$C$4481,C1441)</f>
        <v>1</v>
      </c>
    </row>
    <row r="1442">
      <c r="A1442" s="32" t="str">
        <f>Demand!A1440</f>
        <v>S010</v>
      </c>
      <c r="B1442" s="35">
        <f>Demand!B1440</f>
        <v>46270.0</v>
      </c>
      <c r="C1442" s="33">
        <f>Demand!C1440</f>
        <v>22</v>
      </c>
      <c r="D1442" s="33">
        <f>Demand!E1440</f>
        <v>21</v>
      </c>
      <c r="E1442" s="33">
        <f>IF(Demand!F1440,1,0)</f>
        <v>0</v>
      </c>
      <c r="F1442" s="33">
        <f>COUNTIFS(c_store,A1442,c_date,B1442,c_hour,C1442)</f>
        <v>0</v>
      </c>
      <c r="G1442" s="33">
        <f>IF(F1442&gt;0,1,0)</f>
        <v>0</v>
      </c>
      <c r="H1442" s="33">
        <f>COUNTIFS(Demand!$A$2:$A$4481,A1442,Demand!$B$2:$B$4481,B1442,Demand!$C$2:$C$4481,C1442)</f>
        <v>1</v>
      </c>
    </row>
    <row r="1443">
      <c r="A1443" s="32" t="str">
        <f>Demand!A1441</f>
        <v>S010</v>
      </c>
      <c r="B1443" s="35">
        <f>Demand!B1441</f>
        <v>46270.0</v>
      </c>
      <c r="C1443" s="33">
        <f>Demand!C1441</f>
        <v>23</v>
      </c>
      <c r="D1443" s="33">
        <f>Demand!E1441</f>
        <v>29</v>
      </c>
      <c r="E1443" s="33">
        <f>IF(Demand!F1441,1,0)</f>
        <v>0</v>
      </c>
      <c r="F1443" s="33">
        <f>COUNTIFS(c_store,A1443,c_date,B1443,c_hour,C1443)</f>
        <v>1</v>
      </c>
      <c r="G1443" s="33">
        <f>IF(F1443&gt;0,1,0)</f>
        <v>1</v>
      </c>
      <c r="H1443" s="33">
        <f>COUNTIFS(Demand!$A$2:$A$4481,A1443,Demand!$B$2:$B$4481,B1443,Demand!$C$2:$C$4481,C1443)</f>
        <v>1</v>
      </c>
    </row>
    <row r="1444">
      <c r="A1444" s="32" t="str">
        <f>Demand!A1442</f>
        <v>S011</v>
      </c>
      <c r="B1444" s="35">
        <f>Demand!B1442</f>
        <v>46270.0</v>
      </c>
      <c r="C1444" s="33">
        <f>Demand!C1442</f>
        <v>8</v>
      </c>
      <c r="D1444" s="33">
        <f>Demand!E1442</f>
        <v>30</v>
      </c>
      <c r="E1444" s="33">
        <f>IF(Demand!F1442,1,0)</f>
        <v>0</v>
      </c>
      <c r="F1444" s="33">
        <f>COUNTIFS(c_store,A1444,c_date,B1444,c_hour,C1444)</f>
        <v>1</v>
      </c>
      <c r="G1444" s="33">
        <f>IF(F1444&gt;0,1,0)</f>
        <v>1</v>
      </c>
      <c r="H1444" s="33">
        <f>COUNTIFS(Demand!$A$2:$A$4481,A1444,Demand!$B$2:$B$4481,B1444,Demand!$C$2:$C$4481,C1444)</f>
        <v>1</v>
      </c>
    </row>
    <row r="1445">
      <c r="A1445" s="32" t="str">
        <f>Demand!A1443</f>
        <v>S011</v>
      </c>
      <c r="B1445" s="35">
        <f>Demand!B1443</f>
        <v>46270.0</v>
      </c>
      <c r="C1445" s="33">
        <f>Demand!C1443</f>
        <v>9</v>
      </c>
      <c r="D1445" s="33">
        <f>Demand!E1443</f>
        <v>24</v>
      </c>
      <c r="E1445" s="33">
        <f>IF(Demand!F1443,1,0)</f>
        <v>0</v>
      </c>
      <c r="F1445" s="33">
        <f>COUNTIFS(c_store,A1445,c_date,B1445,c_hour,C1445)</f>
        <v>0</v>
      </c>
      <c r="G1445" s="33">
        <f>IF(F1445&gt;0,1,0)</f>
        <v>0</v>
      </c>
      <c r="H1445" s="33">
        <f>COUNTIFS(Demand!$A$2:$A$4481,A1445,Demand!$B$2:$B$4481,B1445,Demand!$C$2:$C$4481,C1445)</f>
        <v>1</v>
      </c>
    </row>
    <row r="1446">
      <c r="A1446" s="32" t="str">
        <f>Demand!A1444</f>
        <v>S011</v>
      </c>
      <c r="B1446" s="35">
        <f>Demand!B1444</f>
        <v>46270.0</v>
      </c>
      <c r="C1446" s="33">
        <f>Demand!C1444</f>
        <v>10</v>
      </c>
      <c r="D1446" s="33">
        <f>Demand!E1444</f>
        <v>19</v>
      </c>
      <c r="E1446" s="33">
        <f>IF(Demand!F1444,1,0)</f>
        <v>0</v>
      </c>
      <c r="F1446" s="33">
        <f>COUNTIFS(c_store,A1446,c_date,B1446,c_hour,C1446)</f>
        <v>1</v>
      </c>
      <c r="G1446" s="33">
        <f>IF(F1446&gt;0,1,0)</f>
        <v>1</v>
      </c>
      <c r="H1446" s="33">
        <f>COUNTIFS(Demand!$A$2:$A$4481,A1446,Demand!$B$2:$B$4481,B1446,Demand!$C$2:$C$4481,C1446)</f>
        <v>1</v>
      </c>
    </row>
    <row r="1447">
      <c r="A1447" s="32" t="str">
        <f>Demand!A1445</f>
        <v>S011</v>
      </c>
      <c r="B1447" s="35">
        <f>Demand!B1445</f>
        <v>46270.0</v>
      </c>
      <c r="C1447" s="33">
        <f>Demand!C1445</f>
        <v>11</v>
      </c>
      <c r="D1447" s="33">
        <f>Demand!E1445</f>
        <v>33</v>
      </c>
      <c r="E1447" s="33">
        <f>IF(Demand!F1445,1,0)</f>
        <v>0</v>
      </c>
      <c r="F1447" s="33">
        <f>COUNTIFS(c_store,A1447,c_date,B1447,c_hour,C1447)</f>
        <v>2</v>
      </c>
      <c r="G1447" s="33">
        <f>IF(F1447&gt;0,1,0)</f>
        <v>1</v>
      </c>
      <c r="H1447" s="33">
        <f>COUNTIFS(Demand!$A$2:$A$4481,A1447,Demand!$B$2:$B$4481,B1447,Demand!$C$2:$C$4481,C1447)</f>
        <v>1</v>
      </c>
    </row>
    <row r="1448">
      <c r="A1448" s="32" t="str">
        <f>Demand!A1446</f>
        <v>S011</v>
      </c>
      <c r="B1448" s="35">
        <f>Demand!B1446</f>
        <v>46270.0</v>
      </c>
      <c r="C1448" s="33">
        <f>Demand!C1446</f>
        <v>12</v>
      </c>
      <c r="D1448" s="33">
        <f>Demand!E1446</f>
        <v>33</v>
      </c>
      <c r="E1448" s="33">
        <f>IF(Demand!F1446,1,0)</f>
        <v>0</v>
      </c>
      <c r="F1448" s="33">
        <f>COUNTIFS(c_store,A1448,c_date,B1448,c_hour,C1448)</f>
        <v>1</v>
      </c>
      <c r="G1448" s="33">
        <f>IF(F1448&gt;0,1,0)</f>
        <v>1</v>
      </c>
      <c r="H1448" s="33">
        <f>COUNTIFS(Demand!$A$2:$A$4481,A1448,Demand!$B$2:$B$4481,B1448,Demand!$C$2:$C$4481,C1448)</f>
        <v>1</v>
      </c>
    </row>
    <row r="1449">
      <c r="A1449" s="32" t="str">
        <f>Demand!A1447</f>
        <v>S011</v>
      </c>
      <c r="B1449" s="35">
        <f>Demand!B1447</f>
        <v>46270.0</v>
      </c>
      <c r="C1449" s="33">
        <f>Demand!C1447</f>
        <v>13</v>
      </c>
      <c r="D1449" s="33">
        <f>Demand!E1447</f>
        <v>47</v>
      </c>
      <c r="E1449" s="33">
        <f>IF(Demand!F1447,1,0)</f>
        <v>0</v>
      </c>
      <c r="F1449" s="33">
        <f>COUNTIFS(c_store,A1449,c_date,B1449,c_hour,C1449)</f>
        <v>0</v>
      </c>
      <c r="G1449" s="33">
        <f>IF(F1449&gt;0,1,0)</f>
        <v>0</v>
      </c>
      <c r="H1449" s="33">
        <f>COUNTIFS(Demand!$A$2:$A$4481,A1449,Demand!$B$2:$B$4481,B1449,Demand!$C$2:$C$4481,C1449)</f>
        <v>1</v>
      </c>
    </row>
    <row r="1450">
      <c r="A1450" s="32" t="str">
        <f>Demand!A1448</f>
        <v>S011</v>
      </c>
      <c r="B1450" s="35">
        <f>Demand!B1448</f>
        <v>46270.0</v>
      </c>
      <c r="C1450" s="33">
        <f>Demand!C1448</f>
        <v>14</v>
      </c>
      <c r="D1450" s="33">
        <f>Demand!E1448</f>
        <v>24</v>
      </c>
      <c r="E1450" s="33">
        <f>IF(Demand!F1448,1,0)</f>
        <v>0</v>
      </c>
      <c r="F1450" s="33">
        <f>COUNTIFS(c_store,A1450,c_date,B1450,c_hour,C1450)</f>
        <v>0</v>
      </c>
      <c r="G1450" s="33">
        <f>IF(F1450&gt;0,1,0)</f>
        <v>0</v>
      </c>
      <c r="H1450" s="33">
        <f>COUNTIFS(Demand!$A$2:$A$4481,A1450,Demand!$B$2:$B$4481,B1450,Demand!$C$2:$C$4481,C1450)</f>
        <v>1</v>
      </c>
    </row>
    <row r="1451">
      <c r="A1451" s="32" t="str">
        <f>Demand!A1449</f>
        <v>S011</v>
      </c>
      <c r="B1451" s="35">
        <f>Demand!B1449</f>
        <v>46270.0</v>
      </c>
      <c r="C1451" s="33">
        <f>Demand!C1449</f>
        <v>15</v>
      </c>
      <c r="D1451" s="33">
        <f>Demand!E1449</f>
        <v>32</v>
      </c>
      <c r="E1451" s="33">
        <f>IF(Demand!F1449,1,0)</f>
        <v>0</v>
      </c>
      <c r="F1451" s="33">
        <f>COUNTIFS(c_store,A1451,c_date,B1451,c_hour,C1451)</f>
        <v>0</v>
      </c>
      <c r="G1451" s="33">
        <f>IF(F1451&gt;0,1,0)</f>
        <v>0</v>
      </c>
      <c r="H1451" s="33">
        <f>COUNTIFS(Demand!$A$2:$A$4481,A1451,Demand!$B$2:$B$4481,B1451,Demand!$C$2:$C$4481,C1451)</f>
        <v>1</v>
      </c>
    </row>
    <row r="1452">
      <c r="A1452" s="32" t="str">
        <f>Demand!A1450</f>
        <v>S011</v>
      </c>
      <c r="B1452" s="35">
        <f>Demand!B1450</f>
        <v>46270.0</v>
      </c>
      <c r="C1452" s="33">
        <f>Demand!C1450</f>
        <v>16</v>
      </c>
      <c r="D1452" s="33">
        <f>Demand!E1450</f>
        <v>31</v>
      </c>
      <c r="E1452" s="33">
        <f>IF(Demand!F1450,1,0)</f>
        <v>0</v>
      </c>
      <c r="F1452" s="33">
        <f>COUNTIFS(c_store,A1452,c_date,B1452,c_hour,C1452)</f>
        <v>1</v>
      </c>
      <c r="G1452" s="33">
        <f>IF(F1452&gt;0,1,0)</f>
        <v>1</v>
      </c>
      <c r="H1452" s="33">
        <f>COUNTIFS(Demand!$A$2:$A$4481,A1452,Demand!$B$2:$B$4481,B1452,Demand!$C$2:$C$4481,C1452)</f>
        <v>1</v>
      </c>
    </row>
    <row r="1453">
      <c r="A1453" s="32" t="str">
        <f>Demand!A1451</f>
        <v>S011</v>
      </c>
      <c r="B1453" s="35">
        <f>Demand!B1451</f>
        <v>46270.0</v>
      </c>
      <c r="C1453" s="33">
        <f>Demand!C1451</f>
        <v>17</v>
      </c>
      <c r="D1453" s="33">
        <f>Demand!E1451</f>
        <v>29</v>
      </c>
      <c r="E1453" s="33">
        <f>IF(Demand!F1451,1,0)</f>
        <v>0</v>
      </c>
      <c r="F1453" s="33">
        <f>COUNTIFS(c_store,A1453,c_date,B1453,c_hour,C1453)</f>
        <v>0</v>
      </c>
      <c r="G1453" s="33">
        <f>IF(F1453&gt;0,1,0)</f>
        <v>0</v>
      </c>
      <c r="H1453" s="33">
        <f>COUNTIFS(Demand!$A$2:$A$4481,A1453,Demand!$B$2:$B$4481,B1453,Demand!$C$2:$C$4481,C1453)</f>
        <v>1</v>
      </c>
    </row>
    <row r="1454">
      <c r="A1454" s="32" t="str">
        <f>Demand!A1452</f>
        <v>S011</v>
      </c>
      <c r="B1454" s="35">
        <f>Demand!B1452</f>
        <v>46270.0</v>
      </c>
      <c r="C1454" s="33">
        <f>Demand!C1452</f>
        <v>18</v>
      </c>
      <c r="D1454" s="33">
        <f>Demand!E1452</f>
        <v>38</v>
      </c>
      <c r="E1454" s="33">
        <f>IF(Demand!F1452,1,0)</f>
        <v>0</v>
      </c>
      <c r="F1454" s="33">
        <f>COUNTIFS(c_store,A1454,c_date,B1454,c_hour,C1454)</f>
        <v>0</v>
      </c>
      <c r="G1454" s="33">
        <f>IF(F1454&gt;0,1,0)</f>
        <v>0</v>
      </c>
      <c r="H1454" s="33">
        <f>COUNTIFS(Demand!$A$2:$A$4481,A1454,Demand!$B$2:$B$4481,B1454,Demand!$C$2:$C$4481,C1454)</f>
        <v>1</v>
      </c>
    </row>
    <row r="1455">
      <c r="A1455" s="32" t="str">
        <f>Demand!A1453</f>
        <v>S011</v>
      </c>
      <c r="B1455" s="35">
        <f>Demand!B1453</f>
        <v>46270.0</v>
      </c>
      <c r="C1455" s="33">
        <f>Demand!C1453</f>
        <v>19</v>
      </c>
      <c r="D1455" s="33">
        <f>Demand!E1453</f>
        <v>54</v>
      </c>
      <c r="E1455" s="33">
        <f>IF(Demand!F1453,1,0)</f>
        <v>1</v>
      </c>
      <c r="F1455" s="33">
        <f>COUNTIFS(c_store,A1455,c_date,B1455,c_hour,C1455)</f>
        <v>1</v>
      </c>
      <c r="G1455" s="33">
        <f>IF(F1455&gt;0,1,0)</f>
        <v>1</v>
      </c>
      <c r="H1455" s="33">
        <f>COUNTIFS(Demand!$A$2:$A$4481,A1455,Demand!$B$2:$B$4481,B1455,Demand!$C$2:$C$4481,C1455)</f>
        <v>1</v>
      </c>
    </row>
    <row r="1456">
      <c r="A1456" s="32" t="str">
        <f>Demand!A1454</f>
        <v>S011</v>
      </c>
      <c r="B1456" s="35">
        <f>Demand!B1454</f>
        <v>46270.0</v>
      </c>
      <c r="C1456" s="33">
        <f>Demand!C1454</f>
        <v>20</v>
      </c>
      <c r="D1456" s="33">
        <f>Demand!E1454</f>
        <v>60</v>
      </c>
      <c r="E1456" s="33">
        <f>IF(Demand!F1454,1,0)</f>
        <v>1</v>
      </c>
      <c r="F1456" s="33">
        <f>COUNTIFS(c_store,A1456,c_date,B1456,c_hour,C1456)</f>
        <v>1</v>
      </c>
      <c r="G1456" s="33">
        <f>IF(F1456&gt;0,1,0)</f>
        <v>1</v>
      </c>
      <c r="H1456" s="33">
        <f>COUNTIFS(Demand!$A$2:$A$4481,A1456,Demand!$B$2:$B$4481,B1456,Demand!$C$2:$C$4481,C1456)</f>
        <v>1</v>
      </c>
    </row>
    <row r="1457">
      <c r="A1457" s="32" t="str">
        <f>Demand!A1455</f>
        <v>S011</v>
      </c>
      <c r="B1457" s="35">
        <f>Demand!B1455</f>
        <v>46270.0</v>
      </c>
      <c r="C1457" s="33">
        <f>Demand!C1455</f>
        <v>21</v>
      </c>
      <c r="D1457" s="33">
        <f>Demand!E1455</f>
        <v>49</v>
      </c>
      <c r="E1457" s="33">
        <f>IF(Demand!F1455,1,0)</f>
        <v>1</v>
      </c>
      <c r="F1457" s="33">
        <f>COUNTIFS(c_store,A1457,c_date,B1457,c_hour,C1457)</f>
        <v>0</v>
      </c>
      <c r="G1457" s="33">
        <f>IF(F1457&gt;0,1,0)</f>
        <v>0</v>
      </c>
      <c r="H1457" s="33">
        <f>COUNTIFS(Demand!$A$2:$A$4481,A1457,Demand!$B$2:$B$4481,B1457,Demand!$C$2:$C$4481,C1457)</f>
        <v>1</v>
      </c>
    </row>
    <row r="1458">
      <c r="A1458" s="32" t="str">
        <f>Demand!A1456</f>
        <v>S011</v>
      </c>
      <c r="B1458" s="35">
        <f>Demand!B1456</f>
        <v>46270.0</v>
      </c>
      <c r="C1458" s="33">
        <f>Demand!C1456</f>
        <v>22</v>
      </c>
      <c r="D1458" s="33">
        <f>Demand!E1456</f>
        <v>40</v>
      </c>
      <c r="E1458" s="33">
        <f>IF(Demand!F1456,1,0)</f>
        <v>0</v>
      </c>
      <c r="F1458" s="33">
        <f>COUNTIFS(c_store,A1458,c_date,B1458,c_hour,C1458)</f>
        <v>0</v>
      </c>
      <c r="G1458" s="33">
        <f>IF(F1458&gt;0,1,0)</f>
        <v>0</v>
      </c>
      <c r="H1458" s="33">
        <f>COUNTIFS(Demand!$A$2:$A$4481,A1458,Demand!$B$2:$B$4481,B1458,Demand!$C$2:$C$4481,C1458)</f>
        <v>1</v>
      </c>
    </row>
    <row r="1459">
      <c r="A1459" s="32" t="str">
        <f>Demand!A1457</f>
        <v>S011</v>
      </c>
      <c r="B1459" s="35">
        <f>Demand!B1457</f>
        <v>46270.0</v>
      </c>
      <c r="C1459" s="33">
        <f>Demand!C1457</f>
        <v>23</v>
      </c>
      <c r="D1459" s="33">
        <f>Demand!E1457</f>
        <v>50</v>
      </c>
      <c r="E1459" s="33">
        <f>IF(Demand!F1457,1,0)</f>
        <v>0</v>
      </c>
      <c r="F1459" s="33">
        <f>COUNTIFS(c_store,A1459,c_date,B1459,c_hour,C1459)</f>
        <v>0</v>
      </c>
      <c r="G1459" s="33">
        <f>IF(F1459&gt;0,1,0)</f>
        <v>0</v>
      </c>
      <c r="H1459" s="33">
        <f>COUNTIFS(Demand!$A$2:$A$4481,A1459,Demand!$B$2:$B$4481,B1459,Demand!$C$2:$C$4481,C1459)</f>
        <v>1</v>
      </c>
    </row>
    <row r="1460">
      <c r="A1460" s="32" t="str">
        <f>Demand!A1458</f>
        <v>S012</v>
      </c>
      <c r="B1460" s="35">
        <f>Demand!B1458</f>
        <v>46270.0</v>
      </c>
      <c r="C1460" s="33">
        <f>Demand!C1458</f>
        <v>8</v>
      </c>
      <c r="D1460" s="33">
        <f>Demand!E1458</f>
        <v>14</v>
      </c>
      <c r="E1460" s="33">
        <f>IF(Demand!F1458,1,0)</f>
        <v>0</v>
      </c>
      <c r="F1460" s="33">
        <f>COUNTIFS(c_store,A1460,c_date,B1460,c_hour,C1460)</f>
        <v>0</v>
      </c>
      <c r="G1460" s="33">
        <f>IF(F1460&gt;0,1,0)</f>
        <v>0</v>
      </c>
      <c r="H1460" s="33">
        <f>COUNTIFS(Demand!$A$2:$A$4481,A1460,Demand!$B$2:$B$4481,B1460,Demand!$C$2:$C$4481,C1460)</f>
        <v>1</v>
      </c>
    </row>
    <row r="1461">
      <c r="A1461" s="32" t="str">
        <f>Demand!A1459</f>
        <v>S012</v>
      </c>
      <c r="B1461" s="35">
        <f>Demand!B1459</f>
        <v>46270.0</v>
      </c>
      <c r="C1461" s="33">
        <f>Demand!C1459</f>
        <v>9</v>
      </c>
      <c r="D1461" s="33">
        <f>Demand!E1459</f>
        <v>4</v>
      </c>
      <c r="E1461" s="33">
        <f>IF(Demand!F1459,1,0)</f>
        <v>0</v>
      </c>
      <c r="F1461" s="33">
        <f>COUNTIFS(c_store,A1461,c_date,B1461,c_hour,C1461)</f>
        <v>1</v>
      </c>
      <c r="G1461" s="33">
        <f>IF(F1461&gt;0,1,0)</f>
        <v>1</v>
      </c>
      <c r="H1461" s="33">
        <f>COUNTIFS(Demand!$A$2:$A$4481,A1461,Demand!$B$2:$B$4481,B1461,Demand!$C$2:$C$4481,C1461)</f>
        <v>1</v>
      </c>
    </row>
    <row r="1462">
      <c r="A1462" s="32" t="str">
        <f>Demand!A1460</f>
        <v>S012</v>
      </c>
      <c r="B1462" s="35">
        <f>Demand!B1460</f>
        <v>46270.0</v>
      </c>
      <c r="C1462" s="33">
        <f>Demand!C1460</f>
        <v>10</v>
      </c>
      <c r="D1462" s="33">
        <f>Demand!E1460</f>
        <v>13</v>
      </c>
      <c r="E1462" s="33">
        <f>IF(Demand!F1460,1,0)</f>
        <v>0</v>
      </c>
      <c r="F1462" s="33">
        <f>COUNTIFS(c_store,A1462,c_date,B1462,c_hour,C1462)</f>
        <v>0</v>
      </c>
      <c r="G1462" s="33">
        <f>IF(F1462&gt;0,1,0)</f>
        <v>0</v>
      </c>
      <c r="H1462" s="33">
        <f>COUNTIFS(Demand!$A$2:$A$4481,A1462,Demand!$B$2:$B$4481,B1462,Demand!$C$2:$C$4481,C1462)</f>
        <v>1</v>
      </c>
    </row>
    <row r="1463">
      <c r="A1463" s="32" t="str">
        <f>Demand!A1461</f>
        <v>S012</v>
      </c>
      <c r="B1463" s="35">
        <f>Demand!B1461</f>
        <v>46270.0</v>
      </c>
      <c r="C1463" s="33">
        <f>Demand!C1461</f>
        <v>11</v>
      </c>
      <c r="D1463" s="33">
        <f>Demand!E1461</f>
        <v>20</v>
      </c>
      <c r="E1463" s="33">
        <f>IF(Demand!F1461,1,0)</f>
        <v>0</v>
      </c>
      <c r="F1463" s="33">
        <f>COUNTIFS(c_store,A1463,c_date,B1463,c_hour,C1463)</f>
        <v>0</v>
      </c>
      <c r="G1463" s="33">
        <f>IF(F1463&gt;0,1,0)</f>
        <v>0</v>
      </c>
      <c r="H1463" s="33">
        <f>COUNTIFS(Demand!$A$2:$A$4481,A1463,Demand!$B$2:$B$4481,B1463,Demand!$C$2:$C$4481,C1463)</f>
        <v>1</v>
      </c>
    </row>
    <row r="1464">
      <c r="A1464" s="32" t="str">
        <f>Demand!A1462</f>
        <v>S012</v>
      </c>
      <c r="B1464" s="35">
        <f>Demand!B1462</f>
        <v>46270.0</v>
      </c>
      <c r="C1464" s="33">
        <f>Demand!C1462</f>
        <v>12</v>
      </c>
      <c r="D1464" s="33">
        <f>Demand!E1462</f>
        <v>20</v>
      </c>
      <c r="E1464" s="33">
        <f>IF(Demand!F1462,1,0)</f>
        <v>0</v>
      </c>
      <c r="F1464" s="33">
        <f>COUNTIFS(c_store,A1464,c_date,B1464,c_hour,C1464)</f>
        <v>1</v>
      </c>
      <c r="G1464" s="33">
        <f>IF(F1464&gt;0,1,0)</f>
        <v>1</v>
      </c>
      <c r="H1464" s="33">
        <f>COUNTIFS(Demand!$A$2:$A$4481,A1464,Demand!$B$2:$B$4481,B1464,Demand!$C$2:$C$4481,C1464)</f>
        <v>1</v>
      </c>
    </row>
    <row r="1465">
      <c r="A1465" s="32" t="str">
        <f>Demand!A1463</f>
        <v>S012</v>
      </c>
      <c r="B1465" s="35">
        <f>Demand!B1463</f>
        <v>46270.0</v>
      </c>
      <c r="C1465" s="33">
        <f>Demand!C1463</f>
        <v>13</v>
      </c>
      <c r="D1465" s="33">
        <f>Demand!E1463</f>
        <v>17</v>
      </c>
      <c r="E1465" s="33">
        <f>IF(Demand!F1463,1,0)</f>
        <v>0</v>
      </c>
      <c r="F1465" s="33">
        <f>COUNTIFS(c_store,A1465,c_date,B1465,c_hour,C1465)</f>
        <v>1</v>
      </c>
      <c r="G1465" s="33">
        <f>IF(F1465&gt;0,1,0)</f>
        <v>1</v>
      </c>
      <c r="H1465" s="33">
        <f>COUNTIFS(Demand!$A$2:$A$4481,A1465,Demand!$B$2:$B$4481,B1465,Demand!$C$2:$C$4481,C1465)</f>
        <v>1</v>
      </c>
    </row>
    <row r="1466">
      <c r="A1466" s="32" t="str">
        <f>Demand!A1464</f>
        <v>S012</v>
      </c>
      <c r="B1466" s="35">
        <f>Demand!B1464</f>
        <v>46270.0</v>
      </c>
      <c r="C1466" s="33">
        <f>Demand!C1464</f>
        <v>14</v>
      </c>
      <c r="D1466" s="33">
        <f>Demand!E1464</f>
        <v>15</v>
      </c>
      <c r="E1466" s="33">
        <f>IF(Demand!F1464,1,0)</f>
        <v>0</v>
      </c>
      <c r="F1466" s="33">
        <f>COUNTIFS(c_store,A1466,c_date,B1466,c_hour,C1466)</f>
        <v>0</v>
      </c>
      <c r="G1466" s="33">
        <f>IF(F1466&gt;0,1,0)</f>
        <v>0</v>
      </c>
      <c r="H1466" s="33">
        <f>COUNTIFS(Demand!$A$2:$A$4481,A1466,Demand!$B$2:$B$4481,B1466,Demand!$C$2:$C$4481,C1466)</f>
        <v>1</v>
      </c>
    </row>
    <row r="1467">
      <c r="A1467" s="32" t="str">
        <f>Demand!A1465</f>
        <v>S012</v>
      </c>
      <c r="B1467" s="35">
        <f>Demand!B1465</f>
        <v>46270.0</v>
      </c>
      <c r="C1467" s="33">
        <f>Demand!C1465</f>
        <v>15</v>
      </c>
      <c r="D1467" s="33">
        <f>Demand!E1465</f>
        <v>10</v>
      </c>
      <c r="E1467" s="33">
        <f>IF(Demand!F1465,1,0)</f>
        <v>0</v>
      </c>
      <c r="F1467" s="33">
        <f>COUNTIFS(c_store,A1467,c_date,B1467,c_hour,C1467)</f>
        <v>0</v>
      </c>
      <c r="G1467" s="33">
        <f>IF(F1467&gt;0,1,0)</f>
        <v>0</v>
      </c>
      <c r="H1467" s="33">
        <f>COUNTIFS(Demand!$A$2:$A$4481,A1467,Demand!$B$2:$B$4481,B1467,Demand!$C$2:$C$4481,C1467)</f>
        <v>1</v>
      </c>
    </row>
    <row r="1468">
      <c r="A1468" s="32" t="str">
        <f>Demand!A1466</f>
        <v>S012</v>
      </c>
      <c r="B1468" s="35">
        <f>Demand!B1466</f>
        <v>46270.0</v>
      </c>
      <c r="C1468" s="33">
        <f>Demand!C1466</f>
        <v>16</v>
      </c>
      <c r="D1468" s="33">
        <f>Demand!E1466</f>
        <v>12</v>
      </c>
      <c r="E1468" s="33">
        <f>IF(Demand!F1466,1,0)</f>
        <v>0</v>
      </c>
      <c r="F1468" s="33">
        <f>COUNTIFS(c_store,A1468,c_date,B1468,c_hour,C1468)</f>
        <v>0</v>
      </c>
      <c r="G1468" s="33">
        <f>IF(F1468&gt;0,1,0)</f>
        <v>0</v>
      </c>
      <c r="H1468" s="33">
        <f>COUNTIFS(Demand!$A$2:$A$4481,A1468,Demand!$B$2:$B$4481,B1468,Demand!$C$2:$C$4481,C1468)</f>
        <v>1</v>
      </c>
    </row>
    <row r="1469">
      <c r="A1469" s="32" t="str">
        <f>Demand!A1467</f>
        <v>S012</v>
      </c>
      <c r="B1469" s="35">
        <f>Demand!B1467</f>
        <v>46270.0</v>
      </c>
      <c r="C1469" s="33">
        <f>Demand!C1467</f>
        <v>17</v>
      </c>
      <c r="D1469" s="33">
        <f>Demand!E1467</f>
        <v>9</v>
      </c>
      <c r="E1469" s="33">
        <f>IF(Demand!F1467,1,0)</f>
        <v>0</v>
      </c>
      <c r="F1469" s="33">
        <f>COUNTIFS(c_store,A1469,c_date,B1469,c_hour,C1469)</f>
        <v>0</v>
      </c>
      <c r="G1469" s="33">
        <f>IF(F1469&gt;0,1,0)</f>
        <v>0</v>
      </c>
      <c r="H1469" s="33">
        <f>COUNTIFS(Demand!$A$2:$A$4481,A1469,Demand!$B$2:$B$4481,B1469,Demand!$C$2:$C$4481,C1469)</f>
        <v>1</v>
      </c>
    </row>
    <row r="1470">
      <c r="A1470" s="32" t="str">
        <f>Demand!A1468</f>
        <v>S012</v>
      </c>
      <c r="B1470" s="35">
        <f>Demand!B1468</f>
        <v>46270.0</v>
      </c>
      <c r="C1470" s="33">
        <f>Demand!C1468</f>
        <v>18</v>
      </c>
      <c r="D1470" s="33">
        <f>Demand!E1468</f>
        <v>16</v>
      </c>
      <c r="E1470" s="33">
        <f>IF(Demand!F1468,1,0)</f>
        <v>0</v>
      </c>
      <c r="F1470" s="33">
        <f>COUNTIFS(c_store,A1470,c_date,B1470,c_hour,C1470)</f>
        <v>1</v>
      </c>
      <c r="G1470" s="33">
        <f>IF(F1470&gt;0,1,0)</f>
        <v>1</v>
      </c>
      <c r="H1470" s="33">
        <f>COUNTIFS(Demand!$A$2:$A$4481,A1470,Demand!$B$2:$B$4481,B1470,Demand!$C$2:$C$4481,C1470)</f>
        <v>1</v>
      </c>
    </row>
    <row r="1471">
      <c r="A1471" s="32" t="str">
        <f>Demand!A1469</f>
        <v>S012</v>
      </c>
      <c r="B1471" s="35">
        <f>Demand!B1469</f>
        <v>46270.0</v>
      </c>
      <c r="C1471" s="33">
        <f>Demand!C1469</f>
        <v>19</v>
      </c>
      <c r="D1471" s="33">
        <f>Demand!E1469</f>
        <v>18</v>
      </c>
      <c r="E1471" s="33">
        <f>IF(Demand!F1469,1,0)</f>
        <v>1</v>
      </c>
      <c r="F1471" s="33">
        <f>COUNTIFS(c_store,A1471,c_date,B1471,c_hour,C1471)</f>
        <v>0</v>
      </c>
      <c r="G1471" s="33">
        <f>IF(F1471&gt;0,1,0)</f>
        <v>0</v>
      </c>
      <c r="H1471" s="33">
        <f>COUNTIFS(Demand!$A$2:$A$4481,A1471,Demand!$B$2:$B$4481,B1471,Demand!$C$2:$C$4481,C1471)</f>
        <v>1</v>
      </c>
    </row>
    <row r="1472">
      <c r="A1472" s="32" t="str">
        <f>Demand!A1470</f>
        <v>S012</v>
      </c>
      <c r="B1472" s="35">
        <f>Demand!B1470</f>
        <v>46270.0</v>
      </c>
      <c r="C1472" s="33">
        <f>Demand!C1470</f>
        <v>20</v>
      </c>
      <c r="D1472" s="33">
        <f>Demand!E1470</f>
        <v>32</v>
      </c>
      <c r="E1472" s="33">
        <f>IF(Demand!F1470,1,0)</f>
        <v>1</v>
      </c>
      <c r="F1472" s="33">
        <f>COUNTIFS(c_store,A1472,c_date,B1472,c_hour,C1472)</f>
        <v>0</v>
      </c>
      <c r="G1472" s="33">
        <f>IF(F1472&gt;0,1,0)</f>
        <v>0</v>
      </c>
      <c r="H1472" s="33">
        <f>COUNTIFS(Demand!$A$2:$A$4481,A1472,Demand!$B$2:$B$4481,B1472,Demand!$C$2:$C$4481,C1472)</f>
        <v>1</v>
      </c>
    </row>
    <row r="1473">
      <c r="A1473" s="32" t="str">
        <f>Demand!A1471</f>
        <v>S012</v>
      </c>
      <c r="B1473" s="35">
        <f>Demand!B1471</f>
        <v>46270.0</v>
      </c>
      <c r="C1473" s="33">
        <f>Demand!C1471</f>
        <v>21</v>
      </c>
      <c r="D1473" s="33">
        <f>Demand!E1471</f>
        <v>23</v>
      </c>
      <c r="E1473" s="33">
        <f>IF(Demand!F1471,1,0)</f>
        <v>1</v>
      </c>
      <c r="F1473" s="33">
        <f>COUNTIFS(c_store,A1473,c_date,B1473,c_hour,C1473)</f>
        <v>1</v>
      </c>
      <c r="G1473" s="33">
        <f>IF(F1473&gt;0,1,0)</f>
        <v>1</v>
      </c>
      <c r="H1473" s="33">
        <f>COUNTIFS(Demand!$A$2:$A$4481,A1473,Demand!$B$2:$B$4481,B1473,Demand!$C$2:$C$4481,C1473)</f>
        <v>1</v>
      </c>
    </row>
    <row r="1474">
      <c r="A1474" s="32" t="str">
        <f>Demand!A1472</f>
        <v>S012</v>
      </c>
      <c r="B1474" s="35">
        <f>Demand!B1472</f>
        <v>46270.0</v>
      </c>
      <c r="C1474" s="33">
        <f>Demand!C1472</f>
        <v>22</v>
      </c>
      <c r="D1474" s="33">
        <f>Demand!E1472</f>
        <v>13</v>
      </c>
      <c r="E1474" s="33">
        <f>IF(Demand!F1472,1,0)</f>
        <v>0</v>
      </c>
      <c r="F1474" s="33">
        <f>COUNTIFS(c_store,A1474,c_date,B1474,c_hour,C1474)</f>
        <v>0</v>
      </c>
      <c r="G1474" s="33">
        <f>IF(F1474&gt;0,1,0)</f>
        <v>0</v>
      </c>
      <c r="H1474" s="33">
        <f>COUNTIFS(Demand!$A$2:$A$4481,A1474,Demand!$B$2:$B$4481,B1474,Demand!$C$2:$C$4481,C1474)</f>
        <v>1</v>
      </c>
    </row>
    <row r="1475">
      <c r="A1475" s="32" t="str">
        <f>Demand!A1473</f>
        <v>S012</v>
      </c>
      <c r="B1475" s="35">
        <f>Demand!B1473</f>
        <v>46270.0</v>
      </c>
      <c r="C1475" s="33">
        <f>Demand!C1473</f>
        <v>23</v>
      </c>
      <c r="D1475" s="33">
        <f>Demand!E1473</f>
        <v>16</v>
      </c>
      <c r="E1475" s="33">
        <f>IF(Demand!F1473,1,0)</f>
        <v>0</v>
      </c>
      <c r="F1475" s="33">
        <f>COUNTIFS(c_store,A1475,c_date,B1475,c_hour,C1475)</f>
        <v>0</v>
      </c>
      <c r="G1475" s="33">
        <f>IF(F1475&gt;0,1,0)</f>
        <v>0</v>
      </c>
      <c r="H1475" s="33">
        <f>COUNTIFS(Demand!$A$2:$A$4481,A1475,Demand!$B$2:$B$4481,B1475,Demand!$C$2:$C$4481,C1475)</f>
        <v>1</v>
      </c>
    </row>
    <row r="1476">
      <c r="A1476" s="32" t="str">
        <f>Demand!A1474</f>
        <v>S013</v>
      </c>
      <c r="B1476" s="35">
        <f>Demand!B1474</f>
        <v>46270.0</v>
      </c>
      <c r="C1476" s="33">
        <f>Demand!C1474</f>
        <v>8</v>
      </c>
      <c r="D1476" s="33">
        <f>Demand!E1474</f>
        <v>39</v>
      </c>
      <c r="E1476" s="33">
        <f>IF(Demand!F1474,1,0)</f>
        <v>0</v>
      </c>
      <c r="F1476" s="33">
        <f>COUNTIFS(c_store,A1476,c_date,B1476,c_hour,C1476)</f>
        <v>0</v>
      </c>
      <c r="G1476" s="33">
        <f>IF(F1476&gt;0,1,0)</f>
        <v>0</v>
      </c>
      <c r="H1476" s="33">
        <f>COUNTIFS(Demand!$A$2:$A$4481,A1476,Demand!$B$2:$B$4481,B1476,Demand!$C$2:$C$4481,C1476)</f>
        <v>1</v>
      </c>
    </row>
    <row r="1477">
      <c r="A1477" s="32" t="str">
        <f>Demand!A1475</f>
        <v>S013</v>
      </c>
      <c r="B1477" s="35">
        <f>Demand!B1475</f>
        <v>46270.0</v>
      </c>
      <c r="C1477" s="33">
        <f>Demand!C1475</f>
        <v>9</v>
      </c>
      <c r="D1477" s="33">
        <f>Demand!E1475</f>
        <v>25</v>
      </c>
      <c r="E1477" s="33">
        <f>IF(Demand!F1475,1,0)</f>
        <v>0</v>
      </c>
      <c r="F1477" s="33">
        <f>COUNTIFS(c_store,A1477,c_date,B1477,c_hour,C1477)</f>
        <v>0</v>
      </c>
      <c r="G1477" s="33">
        <f>IF(F1477&gt;0,1,0)</f>
        <v>0</v>
      </c>
      <c r="H1477" s="33">
        <f>COUNTIFS(Demand!$A$2:$A$4481,A1477,Demand!$B$2:$B$4481,B1477,Demand!$C$2:$C$4481,C1477)</f>
        <v>1</v>
      </c>
    </row>
    <row r="1478">
      <c r="A1478" s="32" t="str">
        <f>Demand!A1476</f>
        <v>S013</v>
      </c>
      <c r="B1478" s="35">
        <f>Demand!B1476</f>
        <v>46270.0</v>
      </c>
      <c r="C1478" s="33">
        <f>Demand!C1476</f>
        <v>10</v>
      </c>
      <c r="D1478" s="33">
        <f>Demand!E1476</f>
        <v>40</v>
      </c>
      <c r="E1478" s="33">
        <f>IF(Demand!F1476,1,0)</f>
        <v>0</v>
      </c>
      <c r="F1478" s="33">
        <f>COUNTIFS(c_store,A1478,c_date,B1478,c_hour,C1478)</f>
        <v>1</v>
      </c>
      <c r="G1478" s="33">
        <f>IF(F1478&gt;0,1,0)</f>
        <v>1</v>
      </c>
      <c r="H1478" s="33">
        <f>COUNTIFS(Demand!$A$2:$A$4481,A1478,Demand!$B$2:$B$4481,B1478,Demand!$C$2:$C$4481,C1478)</f>
        <v>1</v>
      </c>
    </row>
    <row r="1479">
      <c r="A1479" s="32" t="str">
        <f>Demand!A1477</f>
        <v>S013</v>
      </c>
      <c r="B1479" s="35">
        <f>Demand!B1477</f>
        <v>46270.0</v>
      </c>
      <c r="C1479" s="33">
        <f>Demand!C1477</f>
        <v>11</v>
      </c>
      <c r="D1479" s="33">
        <f>Demand!E1477</f>
        <v>50</v>
      </c>
      <c r="E1479" s="33">
        <f>IF(Demand!F1477,1,0)</f>
        <v>0</v>
      </c>
      <c r="F1479" s="33">
        <f>COUNTIFS(c_store,A1479,c_date,B1479,c_hour,C1479)</f>
        <v>0</v>
      </c>
      <c r="G1479" s="33">
        <f>IF(F1479&gt;0,1,0)</f>
        <v>0</v>
      </c>
      <c r="H1479" s="33">
        <f>COUNTIFS(Demand!$A$2:$A$4481,A1479,Demand!$B$2:$B$4481,B1479,Demand!$C$2:$C$4481,C1479)</f>
        <v>1</v>
      </c>
    </row>
    <row r="1480">
      <c r="A1480" s="32" t="str">
        <f>Demand!A1478</f>
        <v>S013</v>
      </c>
      <c r="B1480" s="35">
        <f>Demand!B1478</f>
        <v>46270.0</v>
      </c>
      <c r="C1480" s="33">
        <f>Demand!C1478</f>
        <v>12</v>
      </c>
      <c r="D1480" s="33">
        <f>Demand!E1478</f>
        <v>43</v>
      </c>
      <c r="E1480" s="33">
        <f>IF(Demand!F1478,1,0)</f>
        <v>0</v>
      </c>
      <c r="F1480" s="33">
        <f>COUNTIFS(c_store,A1480,c_date,B1480,c_hour,C1480)</f>
        <v>0</v>
      </c>
      <c r="G1480" s="33">
        <f>IF(F1480&gt;0,1,0)</f>
        <v>0</v>
      </c>
      <c r="H1480" s="33">
        <f>COUNTIFS(Demand!$A$2:$A$4481,A1480,Demand!$B$2:$B$4481,B1480,Demand!$C$2:$C$4481,C1480)</f>
        <v>1</v>
      </c>
    </row>
    <row r="1481">
      <c r="A1481" s="32" t="str">
        <f>Demand!A1479</f>
        <v>S013</v>
      </c>
      <c r="B1481" s="35">
        <f>Demand!B1479</f>
        <v>46270.0</v>
      </c>
      <c r="C1481" s="33">
        <f>Demand!C1479</f>
        <v>13</v>
      </c>
      <c r="D1481" s="33">
        <f>Demand!E1479</f>
        <v>55</v>
      </c>
      <c r="E1481" s="33">
        <f>IF(Demand!F1479,1,0)</f>
        <v>0</v>
      </c>
      <c r="F1481" s="33">
        <f>COUNTIFS(c_store,A1481,c_date,B1481,c_hour,C1481)</f>
        <v>0</v>
      </c>
      <c r="G1481" s="33">
        <f>IF(F1481&gt;0,1,0)</f>
        <v>0</v>
      </c>
      <c r="H1481" s="33">
        <f>COUNTIFS(Demand!$A$2:$A$4481,A1481,Demand!$B$2:$B$4481,B1481,Demand!$C$2:$C$4481,C1481)</f>
        <v>1</v>
      </c>
    </row>
    <row r="1482">
      <c r="A1482" s="32" t="str">
        <f>Demand!A1480</f>
        <v>S013</v>
      </c>
      <c r="B1482" s="35">
        <f>Demand!B1480</f>
        <v>46270.0</v>
      </c>
      <c r="C1482" s="33">
        <f>Demand!C1480</f>
        <v>14</v>
      </c>
      <c r="D1482" s="33">
        <f>Demand!E1480</f>
        <v>36</v>
      </c>
      <c r="E1482" s="33">
        <f>IF(Demand!F1480,1,0)</f>
        <v>0</v>
      </c>
      <c r="F1482" s="33">
        <f>COUNTIFS(c_store,A1482,c_date,B1482,c_hour,C1482)</f>
        <v>0</v>
      </c>
      <c r="G1482" s="33">
        <f>IF(F1482&gt;0,1,0)</f>
        <v>0</v>
      </c>
      <c r="H1482" s="33">
        <f>COUNTIFS(Demand!$A$2:$A$4481,A1482,Demand!$B$2:$B$4481,B1482,Demand!$C$2:$C$4481,C1482)</f>
        <v>1</v>
      </c>
    </row>
    <row r="1483">
      <c r="A1483" s="32" t="str">
        <f>Demand!A1481</f>
        <v>S013</v>
      </c>
      <c r="B1483" s="35">
        <f>Demand!B1481</f>
        <v>46270.0</v>
      </c>
      <c r="C1483" s="33">
        <f>Demand!C1481</f>
        <v>15</v>
      </c>
      <c r="D1483" s="33">
        <f>Demand!E1481</f>
        <v>35</v>
      </c>
      <c r="E1483" s="33">
        <f>IF(Demand!F1481,1,0)</f>
        <v>0</v>
      </c>
      <c r="F1483" s="33">
        <f>COUNTIFS(c_store,A1483,c_date,B1483,c_hour,C1483)</f>
        <v>1</v>
      </c>
      <c r="G1483" s="33">
        <f>IF(F1483&gt;0,1,0)</f>
        <v>1</v>
      </c>
      <c r="H1483" s="33">
        <f>COUNTIFS(Demand!$A$2:$A$4481,A1483,Demand!$B$2:$B$4481,B1483,Demand!$C$2:$C$4481,C1483)</f>
        <v>1</v>
      </c>
    </row>
    <row r="1484">
      <c r="A1484" s="32" t="str">
        <f>Demand!A1482</f>
        <v>S013</v>
      </c>
      <c r="B1484" s="35">
        <f>Demand!B1482</f>
        <v>46270.0</v>
      </c>
      <c r="C1484" s="33">
        <f>Demand!C1482</f>
        <v>16</v>
      </c>
      <c r="D1484" s="33">
        <f>Demand!E1482</f>
        <v>58</v>
      </c>
      <c r="E1484" s="33">
        <f>IF(Demand!F1482,1,0)</f>
        <v>0</v>
      </c>
      <c r="F1484" s="33">
        <f>COUNTIFS(c_store,A1484,c_date,B1484,c_hour,C1484)</f>
        <v>0</v>
      </c>
      <c r="G1484" s="33">
        <f>IF(F1484&gt;0,1,0)</f>
        <v>0</v>
      </c>
      <c r="H1484" s="33">
        <f>COUNTIFS(Demand!$A$2:$A$4481,A1484,Demand!$B$2:$B$4481,B1484,Demand!$C$2:$C$4481,C1484)</f>
        <v>1</v>
      </c>
    </row>
    <row r="1485">
      <c r="A1485" s="32" t="str">
        <f>Demand!A1483</f>
        <v>S013</v>
      </c>
      <c r="B1485" s="35">
        <f>Demand!B1483</f>
        <v>46270.0</v>
      </c>
      <c r="C1485" s="33">
        <f>Demand!C1483</f>
        <v>17</v>
      </c>
      <c r="D1485" s="33">
        <f>Demand!E1483</f>
        <v>50</v>
      </c>
      <c r="E1485" s="33">
        <f>IF(Demand!F1483,1,0)</f>
        <v>0</v>
      </c>
      <c r="F1485" s="33">
        <f>COUNTIFS(c_store,A1485,c_date,B1485,c_hour,C1485)</f>
        <v>0</v>
      </c>
      <c r="G1485" s="33">
        <f>IF(F1485&gt;0,1,0)</f>
        <v>0</v>
      </c>
      <c r="H1485" s="33">
        <f>COUNTIFS(Demand!$A$2:$A$4481,A1485,Demand!$B$2:$B$4481,B1485,Demand!$C$2:$C$4481,C1485)</f>
        <v>1</v>
      </c>
    </row>
    <row r="1486">
      <c r="A1486" s="32" t="str">
        <f>Demand!A1484</f>
        <v>S013</v>
      </c>
      <c r="B1486" s="35">
        <f>Demand!B1484</f>
        <v>46270.0</v>
      </c>
      <c r="C1486" s="33">
        <f>Demand!C1484</f>
        <v>18</v>
      </c>
      <c r="D1486" s="33">
        <f>Demand!E1484</f>
        <v>48</v>
      </c>
      <c r="E1486" s="33">
        <f>IF(Demand!F1484,1,0)</f>
        <v>0</v>
      </c>
      <c r="F1486" s="33">
        <f>COUNTIFS(c_store,A1486,c_date,B1486,c_hour,C1486)</f>
        <v>1</v>
      </c>
      <c r="G1486" s="33">
        <f>IF(F1486&gt;0,1,0)</f>
        <v>1</v>
      </c>
      <c r="H1486" s="33">
        <f>COUNTIFS(Demand!$A$2:$A$4481,A1486,Demand!$B$2:$B$4481,B1486,Demand!$C$2:$C$4481,C1486)</f>
        <v>1</v>
      </c>
    </row>
    <row r="1487">
      <c r="A1487" s="32" t="str">
        <f>Demand!A1485</f>
        <v>S013</v>
      </c>
      <c r="B1487" s="35">
        <f>Demand!B1485</f>
        <v>46270.0</v>
      </c>
      <c r="C1487" s="33">
        <f>Demand!C1485</f>
        <v>19</v>
      </c>
      <c r="D1487" s="33">
        <f>Demand!E1485</f>
        <v>86</v>
      </c>
      <c r="E1487" s="33">
        <f>IF(Demand!F1485,1,0)</f>
        <v>1</v>
      </c>
      <c r="F1487" s="33">
        <f>COUNTIFS(c_store,A1487,c_date,B1487,c_hour,C1487)</f>
        <v>1</v>
      </c>
      <c r="G1487" s="33">
        <f>IF(F1487&gt;0,1,0)</f>
        <v>1</v>
      </c>
      <c r="H1487" s="33">
        <f>COUNTIFS(Demand!$A$2:$A$4481,A1487,Demand!$B$2:$B$4481,B1487,Demand!$C$2:$C$4481,C1487)</f>
        <v>1</v>
      </c>
    </row>
    <row r="1488">
      <c r="A1488" s="32" t="str">
        <f>Demand!A1486</f>
        <v>S013</v>
      </c>
      <c r="B1488" s="35">
        <f>Demand!B1486</f>
        <v>46270.0</v>
      </c>
      <c r="C1488" s="33">
        <f>Demand!C1486</f>
        <v>20</v>
      </c>
      <c r="D1488" s="33">
        <f>Demand!E1486</f>
        <v>69</v>
      </c>
      <c r="E1488" s="33">
        <f>IF(Demand!F1486,1,0)</f>
        <v>1</v>
      </c>
      <c r="F1488" s="33">
        <f>COUNTIFS(c_store,A1488,c_date,B1488,c_hour,C1488)</f>
        <v>1</v>
      </c>
      <c r="G1488" s="33">
        <f>IF(F1488&gt;0,1,0)</f>
        <v>1</v>
      </c>
      <c r="H1488" s="33">
        <f>COUNTIFS(Demand!$A$2:$A$4481,A1488,Demand!$B$2:$B$4481,B1488,Demand!$C$2:$C$4481,C1488)</f>
        <v>1</v>
      </c>
    </row>
    <row r="1489">
      <c r="A1489" s="32" t="str">
        <f>Demand!A1487</f>
        <v>S013</v>
      </c>
      <c r="B1489" s="35">
        <f>Demand!B1487</f>
        <v>46270.0</v>
      </c>
      <c r="C1489" s="33">
        <f>Demand!C1487</f>
        <v>21</v>
      </c>
      <c r="D1489" s="33">
        <f>Demand!E1487</f>
        <v>87</v>
      </c>
      <c r="E1489" s="33">
        <f>IF(Demand!F1487,1,0)</f>
        <v>1</v>
      </c>
      <c r="F1489" s="33">
        <f>COUNTIFS(c_store,A1489,c_date,B1489,c_hour,C1489)</f>
        <v>0</v>
      </c>
      <c r="G1489" s="33">
        <f>IF(F1489&gt;0,1,0)</f>
        <v>0</v>
      </c>
      <c r="H1489" s="33">
        <f>COUNTIFS(Demand!$A$2:$A$4481,A1489,Demand!$B$2:$B$4481,B1489,Demand!$C$2:$C$4481,C1489)</f>
        <v>1</v>
      </c>
    </row>
    <row r="1490">
      <c r="A1490" s="32" t="str">
        <f>Demand!A1488</f>
        <v>S013</v>
      </c>
      <c r="B1490" s="35">
        <f>Demand!B1488</f>
        <v>46270.0</v>
      </c>
      <c r="C1490" s="33">
        <f>Demand!C1488</f>
        <v>22</v>
      </c>
      <c r="D1490" s="33">
        <f>Demand!E1488</f>
        <v>50</v>
      </c>
      <c r="E1490" s="33">
        <f>IF(Demand!F1488,1,0)</f>
        <v>0</v>
      </c>
      <c r="F1490" s="33">
        <f>COUNTIFS(c_store,A1490,c_date,B1490,c_hour,C1490)</f>
        <v>0</v>
      </c>
      <c r="G1490" s="33">
        <f>IF(F1490&gt;0,1,0)</f>
        <v>0</v>
      </c>
      <c r="H1490" s="33">
        <f>COUNTIFS(Demand!$A$2:$A$4481,A1490,Demand!$B$2:$B$4481,B1490,Demand!$C$2:$C$4481,C1490)</f>
        <v>1</v>
      </c>
    </row>
    <row r="1491">
      <c r="A1491" s="32" t="str">
        <f>Demand!A1489</f>
        <v>S013</v>
      </c>
      <c r="B1491" s="35">
        <f>Demand!B1489</f>
        <v>46270.0</v>
      </c>
      <c r="C1491" s="33">
        <f>Demand!C1489</f>
        <v>23</v>
      </c>
      <c r="D1491" s="33">
        <f>Demand!E1489</f>
        <v>50</v>
      </c>
      <c r="E1491" s="33">
        <f>IF(Demand!F1489,1,0)</f>
        <v>0</v>
      </c>
      <c r="F1491" s="33">
        <f>COUNTIFS(c_store,A1491,c_date,B1491,c_hour,C1491)</f>
        <v>0</v>
      </c>
      <c r="G1491" s="33">
        <f>IF(F1491&gt;0,1,0)</f>
        <v>0</v>
      </c>
      <c r="H1491" s="33">
        <f>COUNTIFS(Demand!$A$2:$A$4481,A1491,Demand!$B$2:$B$4481,B1491,Demand!$C$2:$C$4481,C1491)</f>
        <v>1</v>
      </c>
    </row>
    <row r="1492">
      <c r="A1492" s="32" t="str">
        <f>Demand!A1490</f>
        <v>S014</v>
      </c>
      <c r="B1492" s="35">
        <f>Demand!B1490</f>
        <v>46270.0</v>
      </c>
      <c r="C1492" s="33">
        <f>Demand!C1490</f>
        <v>8</v>
      </c>
      <c r="D1492" s="33">
        <f>Demand!E1490</f>
        <v>27</v>
      </c>
      <c r="E1492" s="33">
        <f>IF(Demand!F1490,1,0)</f>
        <v>0</v>
      </c>
      <c r="F1492" s="33">
        <f>COUNTIFS(c_store,A1492,c_date,B1492,c_hour,C1492)</f>
        <v>0</v>
      </c>
      <c r="G1492" s="33">
        <f>IF(F1492&gt;0,1,0)</f>
        <v>0</v>
      </c>
      <c r="H1492" s="33">
        <f>COUNTIFS(Demand!$A$2:$A$4481,A1492,Demand!$B$2:$B$4481,B1492,Demand!$C$2:$C$4481,C1492)</f>
        <v>1</v>
      </c>
    </row>
    <row r="1493">
      <c r="A1493" s="32" t="str">
        <f>Demand!A1491</f>
        <v>S014</v>
      </c>
      <c r="B1493" s="35">
        <f>Demand!B1491</f>
        <v>46270.0</v>
      </c>
      <c r="C1493" s="33">
        <f>Demand!C1491</f>
        <v>9</v>
      </c>
      <c r="D1493" s="33">
        <f>Demand!E1491</f>
        <v>39</v>
      </c>
      <c r="E1493" s="33">
        <f>IF(Demand!F1491,1,0)</f>
        <v>0</v>
      </c>
      <c r="F1493" s="33">
        <f>COUNTIFS(c_store,A1493,c_date,B1493,c_hour,C1493)</f>
        <v>1</v>
      </c>
      <c r="G1493" s="33">
        <f>IF(F1493&gt;0,1,0)</f>
        <v>1</v>
      </c>
      <c r="H1493" s="33">
        <f>COUNTIFS(Demand!$A$2:$A$4481,A1493,Demand!$B$2:$B$4481,B1493,Demand!$C$2:$C$4481,C1493)</f>
        <v>1</v>
      </c>
    </row>
    <row r="1494">
      <c r="A1494" s="32" t="str">
        <f>Demand!A1492</f>
        <v>S014</v>
      </c>
      <c r="B1494" s="35">
        <f>Demand!B1492</f>
        <v>46270.0</v>
      </c>
      <c r="C1494" s="33">
        <f>Demand!C1492</f>
        <v>10</v>
      </c>
      <c r="D1494" s="33">
        <f>Demand!E1492</f>
        <v>27</v>
      </c>
      <c r="E1494" s="33">
        <f>IF(Demand!F1492,1,0)</f>
        <v>0</v>
      </c>
      <c r="F1494" s="33">
        <f>COUNTIFS(c_store,A1494,c_date,B1494,c_hour,C1494)</f>
        <v>0</v>
      </c>
      <c r="G1494" s="33">
        <f>IF(F1494&gt;0,1,0)</f>
        <v>0</v>
      </c>
      <c r="H1494" s="33">
        <f>COUNTIFS(Demand!$A$2:$A$4481,A1494,Demand!$B$2:$B$4481,B1494,Demand!$C$2:$C$4481,C1494)</f>
        <v>1</v>
      </c>
    </row>
    <row r="1495">
      <c r="A1495" s="32" t="str">
        <f>Demand!A1493</f>
        <v>S014</v>
      </c>
      <c r="B1495" s="35">
        <f>Demand!B1493</f>
        <v>46270.0</v>
      </c>
      <c r="C1495" s="33">
        <f>Demand!C1493</f>
        <v>11</v>
      </c>
      <c r="D1495" s="33">
        <f>Demand!E1493</f>
        <v>33</v>
      </c>
      <c r="E1495" s="33">
        <f>IF(Demand!F1493,1,0)</f>
        <v>0</v>
      </c>
      <c r="F1495" s="33">
        <f>COUNTIFS(c_store,A1495,c_date,B1495,c_hour,C1495)</f>
        <v>1</v>
      </c>
      <c r="G1495" s="33">
        <f>IF(F1495&gt;0,1,0)</f>
        <v>1</v>
      </c>
      <c r="H1495" s="33">
        <f>COUNTIFS(Demand!$A$2:$A$4481,A1495,Demand!$B$2:$B$4481,B1495,Demand!$C$2:$C$4481,C1495)</f>
        <v>1</v>
      </c>
    </row>
    <row r="1496">
      <c r="A1496" s="32" t="str">
        <f>Demand!A1494</f>
        <v>S014</v>
      </c>
      <c r="B1496" s="35">
        <f>Demand!B1494</f>
        <v>46270.0</v>
      </c>
      <c r="C1496" s="33">
        <f>Demand!C1494</f>
        <v>12</v>
      </c>
      <c r="D1496" s="33">
        <f>Demand!E1494</f>
        <v>28</v>
      </c>
      <c r="E1496" s="33">
        <f>IF(Demand!F1494,1,0)</f>
        <v>0</v>
      </c>
      <c r="F1496" s="33">
        <f>COUNTIFS(c_store,A1496,c_date,B1496,c_hour,C1496)</f>
        <v>0</v>
      </c>
      <c r="G1496" s="33">
        <f>IF(F1496&gt;0,1,0)</f>
        <v>0</v>
      </c>
      <c r="H1496" s="33">
        <f>COUNTIFS(Demand!$A$2:$A$4481,A1496,Demand!$B$2:$B$4481,B1496,Demand!$C$2:$C$4481,C1496)</f>
        <v>1</v>
      </c>
    </row>
    <row r="1497">
      <c r="A1497" s="32" t="str">
        <f>Demand!A1495</f>
        <v>S014</v>
      </c>
      <c r="B1497" s="35">
        <f>Demand!B1495</f>
        <v>46270.0</v>
      </c>
      <c r="C1497" s="33">
        <f>Demand!C1495</f>
        <v>13</v>
      </c>
      <c r="D1497" s="33">
        <f>Demand!E1495</f>
        <v>48</v>
      </c>
      <c r="E1497" s="33">
        <f>IF(Demand!F1495,1,0)</f>
        <v>0</v>
      </c>
      <c r="F1497" s="33">
        <f>COUNTIFS(c_store,A1497,c_date,B1497,c_hour,C1497)</f>
        <v>1</v>
      </c>
      <c r="G1497" s="33">
        <f>IF(F1497&gt;0,1,0)</f>
        <v>1</v>
      </c>
      <c r="H1497" s="33">
        <f>COUNTIFS(Demand!$A$2:$A$4481,A1497,Demand!$B$2:$B$4481,B1497,Demand!$C$2:$C$4481,C1497)</f>
        <v>1</v>
      </c>
    </row>
    <row r="1498">
      <c r="A1498" s="32" t="str">
        <f>Demand!A1496</f>
        <v>S014</v>
      </c>
      <c r="B1498" s="35">
        <f>Demand!B1496</f>
        <v>46270.0</v>
      </c>
      <c r="C1498" s="33">
        <f>Demand!C1496</f>
        <v>14</v>
      </c>
      <c r="D1498" s="33">
        <f>Demand!E1496</f>
        <v>21</v>
      </c>
      <c r="E1498" s="33">
        <f>IF(Demand!F1496,1,0)</f>
        <v>0</v>
      </c>
      <c r="F1498" s="33">
        <f>COUNTIFS(c_store,A1498,c_date,B1498,c_hour,C1498)</f>
        <v>1</v>
      </c>
      <c r="G1498" s="33">
        <f>IF(F1498&gt;0,1,0)</f>
        <v>1</v>
      </c>
      <c r="H1498" s="33">
        <f>COUNTIFS(Demand!$A$2:$A$4481,A1498,Demand!$B$2:$B$4481,B1498,Demand!$C$2:$C$4481,C1498)</f>
        <v>1</v>
      </c>
    </row>
    <row r="1499">
      <c r="A1499" s="32" t="str">
        <f>Demand!A1497</f>
        <v>S014</v>
      </c>
      <c r="B1499" s="35">
        <f>Demand!B1497</f>
        <v>46270.0</v>
      </c>
      <c r="C1499" s="33">
        <f>Demand!C1497</f>
        <v>15</v>
      </c>
      <c r="D1499" s="33">
        <f>Demand!E1497</f>
        <v>32</v>
      </c>
      <c r="E1499" s="33">
        <f>IF(Demand!F1497,1,0)</f>
        <v>0</v>
      </c>
      <c r="F1499" s="33">
        <f>COUNTIFS(c_store,A1499,c_date,B1499,c_hour,C1499)</f>
        <v>0</v>
      </c>
      <c r="G1499" s="33">
        <f>IF(F1499&gt;0,1,0)</f>
        <v>0</v>
      </c>
      <c r="H1499" s="33">
        <f>COUNTIFS(Demand!$A$2:$A$4481,A1499,Demand!$B$2:$B$4481,B1499,Demand!$C$2:$C$4481,C1499)</f>
        <v>1</v>
      </c>
    </row>
    <row r="1500">
      <c r="A1500" s="32" t="str">
        <f>Demand!A1498</f>
        <v>S014</v>
      </c>
      <c r="B1500" s="35">
        <f>Demand!B1498</f>
        <v>46270.0</v>
      </c>
      <c r="C1500" s="33">
        <f>Demand!C1498</f>
        <v>16</v>
      </c>
      <c r="D1500" s="33">
        <f>Demand!E1498</f>
        <v>44</v>
      </c>
      <c r="E1500" s="33">
        <f>IF(Demand!F1498,1,0)</f>
        <v>0</v>
      </c>
      <c r="F1500" s="33">
        <f>COUNTIFS(c_store,A1500,c_date,B1500,c_hour,C1500)</f>
        <v>0</v>
      </c>
      <c r="G1500" s="33">
        <f>IF(F1500&gt;0,1,0)</f>
        <v>0</v>
      </c>
      <c r="H1500" s="33">
        <f>COUNTIFS(Demand!$A$2:$A$4481,A1500,Demand!$B$2:$B$4481,B1500,Demand!$C$2:$C$4481,C1500)</f>
        <v>1</v>
      </c>
    </row>
    <row r="1501">
      <c r="A1501" s="32" t="str">
        <f>Demand!A1499</f>
        <v>S014</v>
      </c>
      <c r="B1501" s="35">
        <f>Demand!B1499</f>
        <v>46270.0</v>
      </c>
      <c r="C1501" s="33">
        <f>Demand!C1499</f>
        <v>17</v>
      </c>
      <c r="D1501" s="33">
        <f>Demand!E1499</f>
        <v>36</v>
      </c>
      <c r="E1501" s="33">
        <f>IF(Demand!F1499,1,0)</f>
        <v>0</v>
      </c>
      <c r="F1501" s="33">
        <f>COUNTIFS(c_store,A1501,c_date,B1501,c_hour,C1501)</f>
        <v>0</v>
      </c>
      <c r="G1501" s="33">
        <f>IF(F1501&gt;0,1,0)</f>
        <v>0</v>
      </c>
      <c r="H1501" s="33">
        <f>COUNTIFS(Demand!$A$2:$A$4481,A1501,Demand!$B$2:$B$4481,B1501,Demand!$C$2:$C$4481,C1501)</f>
        <v>1</v>
      </c>
    </row>
    <row r="1502">
      <c r="A1502" s="32" t="str">
        <f>Demand!A1500</f>
        <v>S014</v>
      </c>
      <c r="B1502" s="35">
        <f>Demand!B1500</f>
        <v>46270.0</v>
      </c>
      <c r="C1502" s="33">
        <f>Demand!C1500</f>
        <v>18</v>
      </c>
      <c r="D1502" s="33">
        <f>Demand!E1500</f>
        <v>38</v>
      </c>
      <c r="E1502" s="33">
        <f>IF(Demand!F1500,1,0)</f>
        <v>0</v>
      </c>
      <c r="F1502" s="33">
        <f>COUNTIFS(c_store,A1502,c_date,B1502,c_hour,C1502)</f>
        <v>0</v>
      </c>
      <c r="G1502" s="33">
        <f>IF(F1502&gt;0,1,0)</f>
        <v>0</v>
      </c>
      <c r="H1502" s="33">
        <f>COUNTIFS(Demand!$A$2:$A$4481,A1502,Demand!$B$2:$B$4481,B1502,Demand!$C$2:$C$4481,C1502)</f>
        <v>1</v>
      </c>
    </row>
    <row r="1503">
      <c r="A1503" s="32" t="str">
        <f>Demand!A1501</f>
        <v>S014</v>
      </c>
      <c r="B1503" s="35">
        <f>Demand!B1501</f>
        <v>46270.0</v>
      </c>
      <c r="C1503" s="33">
        <f>Demand!C1501</f>
        <v>19</v>
      </c>
      <c r="D1503" s="33">
        <f>Demand!E1501</f>
        <v>61</v>
      </c>
      <c r="E1503" s="33">
        <f>IF(Demand!F1501,1,0)</f>
        <v>1</v>
      </c>
      <c r="F1503" s="33">
        <f>COUNTIFS(c_store,A1503,c_date,B1503,c_hour,C1503)</f>
        <v>0</v>
      </c>
      <c r="G1503" s="33">
        <f>IF(F1503&gt;0,1,0)</f>
        <v>0</v>
      </c>
      <c r="H1503" s="33">
        <f>COUNTIFS(Demand!$A$2:$A$4481,A1503,Demand!$B$2:$B$4481,B1503,Demand!$C$2:$C$4481,C1503)</f>
        <v>1</v>
      </c>
    </row>
    <row r="1504">
      <c r="A1504" s="32" t="str">
        <f>Demand!A1502</f>
        <v>S014</v>
      </c>
      <c r="B1504" s="35">
        <f>Demand!B1502</f>
        <v>46270.0</v>
      </c>
      <c r="C1504" s="33">
        <f>Demand!C1502</f>
        <v>20</v>
      </c>
      <c r="D1504" s="33">
        <f>Demand!E1502</f>
        <v>68</v>
      </c>
      <c r="E1504" s="33">
        <f>IF(Demand!F1502,1,0)</f>
        <v>1</v>
      </c>
      <c r="F1504" s="33">
        <f>COUNTIFS(c_store,A1504,c_date,B1504,c_hour,C1504)</f>
        <v>1</v>
      </c>
      <c r="G1504" s="33">
        <f>IF(F1504&gt;0,1,0)</f>
        <v>1</v>
      </c>
      <c r="H1504" s="33">
        <f>COUNTIFS(Demand!$A$2:$A$4481,A1504,Demand!$B$2:$B$4481,B1504,Demand!$C$2:$C$4481,C1504)</f>
        <v>1</v>
      </c>
    </row>
    <row r="1505">
      <c r="A1505" s="32" t="str">
        <f>Demand!A1503</f>
        <v>S014</v>
      </c>
      <c r="B1505" s="35">
        <f>Demand!B1503</f>
        <v>46270.0</v>
      </c>
      <c r="C1505" s="33">
        <f>Demand!C1503</f>
        <v>21</v>
      </c>
      <c r="D1505" s="33">
        <f>Demand!E1503</f>
        <v>53</v>
      </c>
      <c r="E1505" s="33">
        <f>IF(Demand!F1503,1,0)</f>
        <v>1</v>
      </c>
      <c r="F1505" s="33">
        <f>COUNTIFS(c_store,A1505,c_date,B1505,c_hour,C1505)</f>
        <v>0</v>
      </c>
      <c r="G1505" s="33">
        <f>IF(F1505&gt;0,1,0)</f>
        <v>0</v>
      </c>
      <c r="H1505" s="33">
        <f>COUNTIFS(Demand!$A$2:$A$4481,A1505,Demand!$B$2:$B$4481,B1505,Demand!$C$2:$C$4481,C1505)</f>
        <v>1</v>
      </c>
    </row>
    <row r="1506">
      <c r="A1506" s="32" t="str">
        <f>Demand!A1504</f>
        <v>S014</v>
      </c>
      <c r="B1506" s="35">
        <f>Demand!B1504</f>
        <v>46270.0</v>
      </c>
      <c r="C1506" s="33">
        <f>Demand!C1504</f>
        <v>22</v>
      </c>
      <c r="D1506" s="33">
        <f>Demand!E1504</f>
        <v>38</v>
      </c>
      <c r="E1506" s="33">
        <f>IF(Demand!F1504,1,0)</f>
        <v>0</v>
      </c>
      <c r="F1506" s="33">
        <f>COUNTIFS(c_store,A1506,c_date,B1506,c_hour,C1506)</f>
        <v>1</v>
      </c>
      <c r="G1506" s="33">
        <f>IF(F1506&gt;0,1,0)</f>
        <v>1</v>
      </c>
      <c r="H1506" s="33">
        <f>COUNTIFS(Demand!$A$2:$A$4481,A1506,Demand!$B$2:$B$4481,B1506,Demand!$C$2:$C$4481,C1506)</f>
        <v>1</v>
      </c>
    </row>
    <row r="1507">
      <c r="A1507" s="32" t="str">
        <f>Demand!A1505</f>
        <v>S014</v>
      </c>
      <c r="B1507" s="35">
        <f>Demand!B1505</f>
        <v>46270.0</v>
      </c>
      <c r="C1507" s="33">
        <f>Demand!C1505</f>
        <v>23</v>
      </c>
      <c r="D1507" s="33">
        <f>Demand!E1505</f>
        <v>28</v>
      </c>
      <c r="E1507" s="33">
        <f>IF(Demand!F1505,1,0)</f>
        <v>0</v>
      </c>
      <c r="F1507" s="33">
        <f>COUNTIFS(c_store,A1507,c_date,B1507,c_hour,C1507)</f>
        <v>0</v>
      </c>
      <c r="G1507" s="33">
        <f>IF(F1507&gt;0,1,0)</f>
        <v>0</v>
      </c>
      <c r="H1507" s="33">
        <f>COUNTIFS(Demand!$A$2:$A$4481,A1507,Demand!$B$2:$B$4481,B1507,Demand!$C$2:$C$4481,C1507)</f>
        <v>1</v>
      </c>
    </row>
    <row r="1508">
      <c r="A1508" s="32" t="str">
        <f>Demand!A1506</f>
        <v>S015</v>
      </c>
      <c r="B1508" s="35">
        <f>Demand!B1506</f>
        <v>46270.0</v>
      </c>
      <c r="C1508" s="33">
        <f>Demand!C1506</f>
        <v>8</v>
      </c>
      <c r="D1508" s="33">
        <f>Demand!E1506</f>
        <v>16</v>
      </c>
      <c r="E1508" s="33">
        <f>IF(Demand!F1506,1,0)</f>
        <v>0</v>
      </c>
      <c r="F1508" s="33">
        <f>COUNTIFS(c_store,A1508,c_date,B1508,c_hour,C1508)</f>
        <v>3</v>
      </c>
      <c r="G1508" s="33">
        <f>IF(F1508&gt;0,1,0)</f>
        <v>1</v>
      </c>
      <c r="H1508" s="33">
        <f>COUNTIFS(Demand!$A$2:$A$4481,A1508,Demand!$B$2:$B$4481,B1508,Demand!$C$2:$C$4481,C1508)</f>
        <v>1</v>
      </c>
    </row>
    <row r="1509">
      <c r="A1509" s="32" t="str">
        <f>Demand!A1507</f>
        <v>S015</v>
      </c>
      <c r="B1509" s="35">
        <f>Demand!B1507</f>
        <v>46270.0</v>
      </c>
      <c r="C1509" s="33">
        <f>Demand!C1507</f>
        <v>9</v>
      </c>
      <c r="D1509" s="33">
        <f>Demand!E1507</f>
        <v>13</v>
      </c>
      <c r="E1509" s="33">
        <f>IF(Demand!F1507,1,0)</f>
        <v>0</v>
      </c>
      <c r="F1509" s="33">
        <f>COUNTIFS(c_store,A1509,c_date,B1509,c_hour,C1509)</f>
        <v>2</v>
      </c>
      <c r="G1509" s="33">
        <f>IF(F1509&gt;0,1,0)</f>
        <v>1</v>
      </c>
      <c r="H1509" s="33">
        <f>COUNTIFS(Demand!$A$2:$A$4481,A1509,Demand!$B$2:$B$4481,B1509,Demand!$C$2:$C$4481,C1509)</f>
        <v>1</v>
      </c>
    </row>
    <row r="1510">
      <c r="A1510" s="32" t="str">
        <f>Demand!A1508</f>
        <v>S015</v>
      </c>
      <c r="B1510" s="35">
        <f>Demand!B1508</f>
        <v>46270.0</v>
      </c>
      <c r="C1510" s="33">
        <f>Demand!C1508</f>
        <v>10</v>
      </c>
      <c r="D1510" s="33">
        <f>Demand!E1508</f>
        <v>16</v>
      </c>
      <c r="E1510" s="33">
        <f>IF(Demand!F1508,1,0)</f>
        <v>0</v>
      </c>
      <c r="F1510" s="33">
        <f>COUNTIFS(c_store,A1510,c_date,B1510,c_hour,C1510)</f>
        <v>0</v>
      </c>
      <c r="G1510" s="33">
        <f>IF(F1510&gt;0,1,0)</f>
        <v>0</v>
      </c>
      <c r="H1510" s="33">
        <f>COUNTIFS(Demand!$A$2:$A$4481,A1510,Demand!$B$2:$B$4481,B1510,Demand!$C$2:$C$4481,C1510)</f>
        <v>1</v>
      </c>
    </row>
    <row r="1511">
      <c r="A1511" s="32" t="str">
        <f>Demand!A1509</f>
        <v>S015</v>
      </c>
      <c r="B1511" s="35">
        <f>Demand!B1509</f>
        <v>46270.0</v>
      </c>
      <c r="C1511" s="33">
        <f>Demand!C1509</f>
        <v>11</v>
      </c>
      <c r="D1511" s="33">
        <f>Demand!E1509</f>
        <v>30</v>
      </c>
      <c r="E1511" s="33">
        <f>IF(Demand!F1509,1,0)</f>
        <v>0</v>
      </c>
      <c r="F1511" s="33">
        <f>COUNTIFS(c_store,A1511,c_date,B1511,c_hour,C1511)</f>
        <v>0</v>
      </c>
      <c r="G1511" s="33">
        <f>IF(F1511&gt;0,1,0)</f>
        <v>0</v>
      </c>
      <c r="H1511" s="33">
        <f>COUNTIFS(Demand!$A$2:$A$4481,A1511,Demand!$B$2:$B$4481,B1511,Demand!$C$2:$C$4481,C1511)</f>
        <v>1</v>
      </c>
    </row>
    <row r="1512">
      <c r="A1512" s="32" t="str">
        <f>Demand!A1510</f>
        <v>S015</v>
      </c>
      <c r="B1512" s="35">
        <f>Demand!B1510</f>
        <v>46270.0</v>
      </c>
      <c r="C1512" s="33">
        <f>Demand!C1510</f>
        <v>12</v>
      </c>
      <c r="D1512" s="33">
        <f>Demand!E1510</f>
        <v>30</v>
      </c>
      <c r="E1512" s="33">
        <f>IF(Demand!F1510,1,0)</f>
        <v>0</v>
      </c>
      <c r="F1512" s="33">
        <f>COUNTIFS(c_store,A1512,c_date,B1512,c_hour,C1512)</f>
        <v>0</v>
      </c>
      <c r="G1512" s="33">
        <f>IF(F1512&gt;0,1,0)</f>
        <v>0</v>
      </c>
      <c r="H1512" s="33">
        <f>COUNTIFS(Demand!$A$2:$A$4481,A1512,Demand!$B$2:$B$4481,B1512,Demand!$C$2:$C$4481,C1512)</f>
        <v>1</v>
      </c>
    </row>
    <row r="1513">
      <c r="A1513" s="32" t="str">
        <f>Demand!A1511</f>
        <v>S015</v>
      </c>
      <c r="B1513" s="35">
        <f>Demand!B1511</f>
        <v>46270.0</v>
      </c>
      <c r="C1513" s="33">
        <f>Demand!C1511</f>
        <v>13</v>
      </c>
      <c r="D1513" s="33">
        <f>Demand!E1511</f>
        <v>22</v>
      </c>
      <c r="E1513" s="33">
        <f>IF(Demand!F1511,1,0)</f>
        <v>0</v>
      </c>
      <c r="F1513" s="33">
        <f>COUNTIFS(c_store,A1513,c_date,B1513,c_hour,C1513)</f>
        <v>0</v>
      </c>
      <c r="G1513" s="33">
        <f>IF(F1513&gt;0,1,0)</f>
        <v>0</v>
      </c>
      <c r="H1513" s="33">
        <f>COUNTIFS(Demand!$A$2:$A$4481,A1513,Demand!$B$2:$B$4481,B1513,Demand!$C$2:$C$4481,C1513)</f>
        <v>1</v>
      </c>
    </row>
    <row r="1514">
      <c r="A1514" s="32" t="str">
        <f>Demand!A1512</f>
        <v>S015</v>
      </c>
      <c r="B1514" s="35">
        <f>Demand!B1512</f>
        <v>46270.0</v>
      </c>
      <c r="C1514" s="33">
        <f>Demand!C1512</f>
        <v>14</v>
      </c>
      <c r="D1514" s="33">
        <f>Demand!E1512</f>
        <v>28</v>
      </c>
      <c r="E1514" s="33">
        <f>IF(Demand!F1512,1,0)</f>
        <v>0</v>
      </c>
      <c r="F1514" s="33">
        <f>COUNTIFS(c_store,A1514,c_date,B1514,c_hour,C1514)</f>
        <v>0</v>
      </c>
      <c r="G1514" s="33">
        <f>IF(F1514&gt;0,1,0)</f>
        <v>0</v>
      </c>
      <c r="H1514" s="33">
        <f>COUNTIFS(Demand!$A$2:$A$4481,A1514,Demand!$B$2:$B$4481,B1514,Demand!$C$2:$C$4481,C1514)</f>
        <v>1</v>
      </c>
    </row>
    <row r="1515">
      <c r="A1515" s="32" t="str">
        <f>Demand!A1513</f>
        <v>S015</v>
      </c>
      <c r="B1515" s="35">
        <f>Demand!B1513</f>
        <v>46270.0</v>
      </c>
      <c r="C1515" s="33">
        <f>Demand!C1513</f>
        <v>15</v>
      </c>
      <c r="D1515" s="33">
        <f>Demand!E1513</f>
        <v>21</v>
      </c>
      <c r="E1515" s="33">
        <f>IF(Demand!F1513,1,0)</f>
        <v>0</v>
      </c>
      <c r="F1515" s="33">
        <f>COUNTIFS(c_store,A1515,c_date,B1515,c_hour,C1515)</f>
        <v>0</v>
      </c>
      <c r="G1515" s="33">
        <f>IF(F1515&gt;0,1,0)</f>
        <v>0</v>
      </c>
      <c r="H1515" s="33">
        <f>COUNTIFS(Demand!$A$2:$A$4481,A1515,Demand!$B$2:$B$4481,B1515,Demand!$C$2:$C$4481,C1515)</f>
        <v>1</v>
      </c>
    </row>
    <row r="1516">
      <c r="A1516" s="32" t="str">
        <f>Demand!A1514</f>
        <v>S015</v>
      </c>
      <c r="B1516" s="35">
        <f>Demand!B1514</f>
        <v>46270.0</v>
      </c>
      <c r="C1516" s="33">
        <f>Demand!C1514</f>
        <v>16</v>
      </c>
      <c r="D1516" s="33">
        <f>Demand!E1514</f>
        <v>24</v>
      </c>
      <c r="E1516" s="33">
        <f>IF(Demand!F1514,1,0)</f>
        <v>0</v>
      </c>
      <c r="F1516" s="33">
        <f>COUNTIFS(c_store,A1516,c_date,B1516,c_hour,C1516)</f>
        <v>0</v>
      </c>
      <c r="G1516" s="33">
        <f>IF(F1516&gt;0,1,0)</f>
        <v>0</v>
      </c>
      <c r="H1516" s="33">
        <f>COUNTIFS(Demand!$A$2:$A$4481,A1516,Demand!$B$2:$B$4481,B1516,Demand!$C$2:$C$4481,C1516)</f>
        <v>1</v>
      </c>
    </row>
    <row r="1517">
      <c r="A1517" s="32" t="str">
        <f>Demand!A1515</f>
        <v>S015</v>
      </c>
      <c r="B1517" s="35">
        <f>Demand!B1515</f>
        <v>46270.0</v>
      </c>
      <c r="C1517" s="33">
        <f>Demand!C1515</f>
        <v>17</v>
      </c>
      <c r="D1517" s="33">
        <f>Demand!E1515</f>
        <v>18</v>
      </c>
      <c r="E1517" s="33">
        <f>IF(Demand!F1515,1,0)</f>
        <v>0</v>
      </c>
      <c r="F1517" s="33">
        <f>COUNTIFS(c_store,A1517,c_date,B1517,c_hour,C1517)</f>
        <v>0</v>
      </c>
      <c r="G1517" s="33">
        <f>IF(F1517&gt;0,1,0)</f>
        <v>0</v>
      </c>
      <c r="H1517" s="33">
        <f>COUNTIFS(Demand!$A$2:$A$4481,A1517,Demand!$B$2:$B$4481,B1517,Demand!$C$2:$C$4481,C1517)</f>
        <v>1</v>
      </c>
    </row>
    <row r="1518">
      <c r="A1518" s="32" t="str">
        <f>Demand!A1516</f>
        <v>S015</v>
      </c>
      <c r="B1518" s="35">
        <f>Demand!B1516</f>
        <v>46270.0</v>
      </c>
      <c r="C1518" s="33">
        <f>Demand!C1516</f>
        <v>18</v>
      </c>
      <c r="D1518" s="33">
        <f>Demand!E1516</f>
        <v>26</v>
      </c>
      <c r="E1518" s="33">
        <f>IF(Demand!F1516,1,0)</f>
        <v>0</v>
      </c>
      <c r="F1518" s="33">
        <f>COUNTIFS(c_store,A1518,c_date,B1518,c_hour,C1518)</f>
        <v>0</v>
      </c>
      <c r="G1518" s="33">
        <f>IF(F1518&gt;0,1,0)</f>
        <v>0</v>
      </c>
      <c r="H1518" s="33">
        <f>COUNTIFS(Demand!$A$2:$A$4481,A1518,Demand!$B$2:$B$4481,B1518,Demand!$C$2:$C$4481,C1518)</f>
        <v>1</v>
      </c>
    </row>
    <row r="1519">
      <c r="A1519" s="32" t="str">
        <f>Demand!A1517</f>
        <v>S015</v>
      </c>
      <c r="B1519" s="35">
        <f>Demand!B1517</f>
        <v>46270.0</v>
      </c>
      <c r="C1519" s="33">
        <f>Demand!C1517</f>
        <v>19</v>
      </c>
      <c r="D1519" s="33">
        <f>Demand!E1517</f>
        <v>31</v>
      </c>
      <c r="E1519" s="33">
        <f>IF(Demand!F1517,1,0)</f>
        <v>1</v>
      </c>
      <c r="F1519" s="33">
        <f>COUNTIFS(c_store,A1519,c_date,B1519,c_hour,C1519)</f>
        <v>0</v>
      </c>
      <c r="G1519" s="33">
        <f>IF(F1519&gt;0,1,0)</f>
        <v>0</v>
      </c>
      <c r="H1519" s="33">
        <f>COUNTIFS(Demand!$A$2:$A$4481,A1519,Demand!$B$2:$B$4481,B1519,Demand!$C$2:$C$4481,C1519)</f>
        <v>1</v>
      </c>
    </row>
    <row r="1520">
      <c r="A1520" s="32" t="str">
        <f>Demand!A1518</f>
        <v>S015</v>
      </c>
      <c r="B1520" s="35">
        <f>Demand!B1518</f>
        <v>46270.0</v>
      </c>
      <c r="C1520" s="33">
        <f>Demand!C1518</f>
        <v>20</v>
      </c>
      <c r="D1520" s="33">
        <f>Demand!E1518</f>
        <v>27</v>
      </c>
      <c r="E1520" s="33">
        <f>IF(Demand!F1518,1,0)</f>
        <v>1</v>
      </c>
      <c r="F1520" s="33">
        <f>COUNTIFS(c_store,A1520,c_date,B1520,c_hour,C1520)</f>
        <v>0</v>
      </c>
      <c r="G1520" s="33">
        <f>IF(F1520&gt;0,1,0)</f>
        <v>0</v>
      </c>
      <c r="H1520" s="33">
        <f>COUNTIFS(Demand!$A$2:$A$4481,A1520,Demand!$B$2:$B$4481,B1520,Demand!$C$2:$C$4481,C1520)</f>
        <v>1</v>
      </c>
    </row>
    <row r="1521">
      <c r="A1521" s="32" t="str">
        <f>Demand!A1519</f>
        <v>S015</v>
      </c>
      <c r="B1521" s="35">
        <f>Demand!B1519</f>
        <v>46270.0</v>
      </c>
      <c r="C1521" s="33">
        <f>Demand!C1519</f>
        <v>21</v>
      </c>
      <c r="D1521" s="33">
        <f>Demand!E1519</f>
        <v>47</v>
      </c>
      <c r="E1521" s="33">
        <f>IF(Demand!F1519,1,0)</f>
        <v>1</v>
      </c>
      <c r="F1521" s="33">
        <f>COUNTIFS(c_store,A1521,c_date,B1521,c_hour,C1521)</f>
        <v>0</v>
      </c>
      <c r="G1521" s="33">
        <f>IF(F1521&gt;0,1,0)</f>
        <v>0</v>
      </c>
      <c r="H1521" s="33">
        <f>COUNTIFS(Demand!$A$2:$A$4481,A1521,Demand!$B$2:$B$4481,B1521,Demand!$C$2:$C$4481,C1521)</f>
        <v>1</v>
      </c>
    </row>
    <row r="1522">
      <c r="A1522" s="32" t="str">
        <f>Demand!A1520</f>
        <v>S015</v>
      </c>
      <c r="B1522" s="35">
        <f>Demand!B1520</f>
        <v>46270.0</v>
      </c>
      <c r="C1522" s="33">
        <f>Demand!C1520</f>
        <v>22</v>
      </c>
      <c r="D1522" s="33">
        <f>Demand!E1520</f>
        <v>28</v>
      </c>
      <c r="E1522" s="33">
        <f>IF(Demand!F1520,1,0)</f>
        <v>0</v>
      </c>
      <c r="F1522" s="33">
        <f>COUNTIFS(c_store,A1522,c_date,B1522,c_hour,C1522)</f>
        <v>0</v>
      </c>
      <c r="G1522" s="33">
        <f>IF(F1522&gt;0,1,0)</f>
        <v>0</v>
      </c>
      <c r="H1522" s="33">
        <f>COUNTIFS(Demand!$A$2:$A$4481,A1522,Demand!$B$2:$B$4481,B1522,Demand!$C$2:$C$4481,C1522)</f>
        <v>1</v>
      </c>
    </row>
    <row r="1523">
      <c r="A1523" s="32" t="str">
        <f>Demand!A1521</f>
        <v>S015</v>
      </c>
      <c r="B1523" s="35">
        <f>Demand!B1521</f>
        <v>46270.0</v>
      </c>
      <c r="C1523" s="33">
        <f>Demand!C1521</f>
        <v>23</v>
      </c>
      <c r="D1523" s="33">
        <f>Demand!E1521</f>
        <v>26</v>
      </c>
      <c r="E1523" s="33">
        <f>IF(Demand!F1521,1,0)</f>
        <v>0</v>
      </c>
      <c r="F1523" s="33">
        <f>COUNTIFS(c_store,A1523,c_date,B1523,c_hour,C1523)</f>
        <v>1</v>
      </c>
      <c r="G1523" s="33">
        <f>IF(F1523&gt;0,1,0)</f>
        <v>1</v>
      </c>
      <c r="H1523" s="33">
        <f>COUNTIFS(Demand!$A$2:$A$4481,A1523,Demand!$B$2:$B$4481,B1523,Demand!$C$2:$C$4481,C1523)</f>
        <v>1</v>
      </c>
    </row>
    <row r="1524">
      <c r="A1524" s="32" t="str">
        <f>Demand!A1522</f>
        <v>S016</v>
      </c>
      <c r="B1524" s="35">
        <f>Demand!B1522</f>
        <v>46270.0</v>
      </c>
      <c r="C1524" s="33">
        <f>Demand!C1522</f>
        <v>8</v>
      </c>
      <c r="D1524" s="33">
        <f>Demand!E1522</f>
        <v>25</v>
      </c>
      <c r="E1524" s="33">
        <f>IF(Demand!F1522,1,0)</f>
        <v>0</v>
      </c>
      <c r="F1524" s="33">
        <f>COUNTIFS(c_store,A1524,c_date,B1524,c_hour,C1524)</f>
        <v>0</v>
      </c>
      <c r="G1524" s="33">
        <f>IF(F1524&gt;0,1,0)</f>
        <v>0</v>
      </c>
      <c r="H1524" s="33">
        <f>COUNTIFS(Demand!$A$2:$A$4481,A1524,Demand!$B$2:$B$4481,B1524,Demand!$C$2:$C$4481,C1524)</f>
        <v>1</v>
      </c>
    </row>
    <row r="1525">
      <c r="A1525" s="32" t="str">
        <f>Demand!A1523</f>
        <v>S016</v>
      </c>
      <c r="B1525" s="35">
        <f>Demand!B1523</f>
        <v>46270.0</v>
      </c>
      <c r="C1525" s="33">
        <f>Demand!C1523</f>
        <v>9</v>
      </c>
      <c r="D1525" s="33">
        <f>Demand!E1523</f>
        <v>17</v>
      </c>
      <c r="E1525" s="33">
        <f>IF(Demand!F1523,1,0)</f>
        <v>0</v>
      </c>
      <c r="F1525" s="33">
        <f>COUNTIFS(c_store,A1525,c_date,B1525,c_hour,C1525)</f>
        <v>0</v>
      </c>
      <c r="G1525" s="33">
        <f>IF(F1525&gt;0,1,0)</f>
        <v>0</v>
      </c>
      <c r="H1525" s="33">
        <f>COUNTIFS(Demand!$A$2:$A$4481,A1525,Demand!$B$2:$B$4481,B1525,Demand!$C$2:$C$4481,C1525)</f>
        <v>1</v>
      </c>
    </row>
    <row r="1526">
      <c r="A1526" s="32" t="str">
        <f>Demand!A1524</f>
        <v>S016</v>
      </c>
      <c r="B1526" s="35">
        <f>Demand!B1524</f>
        <v>46270.0</v>
      </c>
      <c r="C1526" s="33">
        <f>Demand!C1524</f>
        <v>10</v>
      </c>
      <c r="D1526" s="33">
        <f>Demand!E1524</f>
        <v>13</v>
      </c>
      <c r="E1526" s="33">
        <f>IF(Demand!F1524,1,0)</f>
        <v>0</v>
      </c>
      <c r="F1526" s="33">
        <f>COUNTIFS(c_store,A1526,c_date,B1526,c_hour,C1526)</f>
        <v>1</v>
      </c>
      <c r="G1526" s="33">
        <f>IF(F1526&gt;0,1,0)</f>
        <v>1</v>
      </c>
      <c r="H1526" s="33">
        <f>COUNTIFS(Demand!$A$2:$A$4481,A1526,Demand!$B$2:$B$4481,B1526,Demand!$C$2:$C$4481,C1526)</f>
        <v>1</v>
      </c>
    </row>
    <row r="1527">
      <c r="A1527" s="32" t="str">
        <f>Demand!A1525</f>
        <v>S016</v>
      </c>
      <c r="B1527" s="35">
        <f>Demand!B1525</f>
        <v>46270.0</v>
      </c>
      <c r="C1527" s="33">
        <f>Demand!C1525</f>
        <v>11</v>
      </c>
      <c r="D1527" s="33">
        <f>Demand!E1525</f>
        <v>26</v>
      </c>
      <c r="E1527" s="33">
        <f>IF(Demand!F1525,1,0)</f>
        <v>0</v>
      </c>
      <c r="F1527" s="33">
        <f>COUNTIFS(c_store,A1527,c_date,B1527,c_hour,C1527)</f>
        <v>0</v>
      </c>
      <c r="G1527" s="33">
        <f>IF(F1527&gt;0,1,0)</f>
        <v>0</v>
      </c>
      <c r="H1527" s="33">
        <f>COUNTIFS(Demand!$A$2:$A$4481,A1527,Demand!$B$2:$B$4481,B1527,Demand!$C$2:$C$4481,C1527)</f>
        <v>1</v>
      </c>
    </row>
    <row r="1528">
      <c r="A1528" s="32" t="str">
        <f>Demand!A1526</f>
        <v>S016</v>
      </c>
      <c r="B1528" s="35">
        <f>Demand!B1526</f>
        <v>46270.0</v>
      </c>
      <c r="C1528" s="33">
        <f>Demand!C1526</f>
        <v>12</v>
      </c>
      <c r="D1528" s="33">
        <f>Demand!E1526</f>
        <v>37</v>
      </c>
      <c r="E1528" s="33">
        <f>IF(Demand!F1526,1,0)</f>
        <v>0</v>
      </c>
      <c r="F1528" s="33">
        <f>COUNTIFS(c_store,A1528,c_date,B1528,c_hour,C1528)</f>
        <v>0</v>
      </c>
      <c r="G1528" s="33">
        <f>IF(F1528&gt;0,1,0)</f>
        <v>0</v>
      </c>
      <c r="H1528" s="33">
        <f>COUNTIFS(Demand!$A$2:$A$4481,A1528,Demand!$B$2:$B$4481,B1528,Demand!$C$2:$C$4481,C1528)</f>
        <v>1</v>
      </c>
    </row>
    <row r="1529">
      <c r="A1529" s="32" t="str">
        <f>Demand!A1527</f>
        <v>S016</v>
      </c>
      <c r="B1529" s="35">
        <f>Demand!B1527</f>
        <v>46270.0</v>
      </c>
      <c r="C1529" s="33">
        <f>Demand!C1527</f>
        <v>13</v>
      </c>
      <c r="D1529" s="33">
        <f>Demand!E1527</f>
        <v>31</v>
      </c>
      <c r="E1529" s="33">
        <f>IF(Demand!F1527,1,0)</f>
        <v>0</v>
      </c>
      <c r="F1529" s="33">
        <f>COUNTIFS(c_store,A1529,c_date,B1529,c_hour,C1529)</f>
        <v>1</v>
      </c>
      <c r="G1529" s="33">
        <f>IF(F1529&gt;0,1,0)</f>
        <v>1</v>
      </c>
      <c r="H1529" s="33">
        <f>COUNTIFS(Demand!$A$2:$A$4481,A1529,Demand!$B$2:$B$4481,B1529,Demand!$C$2:$C$4481,C1529)</f>
        <v>1</v>
      </c>
    </row>
    <row r="1530">
      <c r="A1530" s="32" t="str">
        <f>Demand!A1528</f>
        <v>S016</v>
      </c>
      <c r="B1530" s="35">
        <f>Demand!B1528</f>
        <v>46270.0</v>
      </c>
      <c r="C1530" s="33">
        <f>Demand!C1528</f>
        <v>14</v>
      </c>
      <c r="D1530" s="33">
        <f>Demand!E1528</f>
        <v>16</v>
      </c>
      <c r="E1530" s="33">
        <f>IF(Demand!F1528,1,0)</f>
        <v>0</v>
      </c>
      <c r="F1530" s="33">
        <f>COUNTIFS(c_store,A1530,c_date,B1530,c_hour,C1530)</f>
        <v>0</v>
      </c>
      <c r="G1530" s="33">
        <f>IF(F1530&gt;0,1,0)</f>
        <v>0</v>
      </c>
      <c r="H1530" s="33">
        <f>COUNTIFS(Demand!$A$2:$A$4481,A1530,Demand!$B$2:$B$4481,B1530,Demand!$C$2:$C$4481,C1530)</f>
        <v>1</v>
      </c>
    </row>
    <row r="1531">
      <c r="A1531" s="32" t="str">
        <f>Demand!A1529</f>
        <v>S016</v>
      </c>
      <c r="B1531" s="35">
        <f>Demand!B1529</f>
        <v>46270.0</v>
      </c>
      <c r="C1531" s="33">
        <f>Demand!C1529</f>
        <v>15</v>
      </c>
      <c r="D1531" s="33">
        <f>Demand!E1529</f>
        <v>28</v>
      </c>
      <c r="E1531" s="33">
        <f>IF(Demand!F1529,1,0)</f>
        <v>0</v>
      </c>
      <c r="F1531" s="33">
        <f>COUNTIFS(c_store,A1531,c_date,B1531,c_hour,C1531)</f>
        <v>2</v>
      </c>
      <c r="G1531" s="33">
        <f>IF(F1531&gt;0,1,0)</f>
        <v>1</v>
      </c>
      <c r="H1531" s="33">
        <f>COUNTIFS(Demand!$A$2:$A$4481,A1531,Demand!$B$2:$B$4481,B1531,Demand!$C$2:$C$4481,C1531)</f>
        <v>1</v>
      </c>
    </row>
    <row r="1532">
      <c r="A1532" s="32" t="str">
        <f>Demand!A1530</f>
        <v>S016</v>
      </c>
      <c r="B1532" s="35">
        <f>Demand!B1530</f>
        <v>46270.0</v>
      </c>
      <c r="C1532" s="33">
        <f>Demand!C1530</f>
        <v>16</v>
      </c>
      <c r="D1532" s="33">
        <f>Demand!E1530</f>
        <v>27</v>
      </c>
      <c r="E1532" s="33">
        <f>IF(Demand!F1530,1,0)</f>
        <v>0</v>
      </c>
      <c r="F1532" s="33">
        <f>COUNTIFS(c_store,A1532,c_date,B1532,c_hour,C1532)</f>
        <v>0</v>
      </c>
      <c r="G1532" s="33">
        <f>IF(F1532&gt;0,1,0)</f>
        <v>0</v>
      </c>
      <c r="H1532" s="33">
        <f>COUNTIFS(Demand!$A$2:$A$4481,A1532,Demand!$B$2:$B$4481,B1532,Demand!$C$2:$C$4481,C1532)</f>
        <v>1</v>
      </c>
    </row>
    <row r="1533">
      <c r="A1533" s="32" t="str">
        <f>Demand!A1531</f>
        <v>S016</v>
      </c>
      <c r="B1533" s="35">
        <f>Demand!B1531</f>
        <v>46270.0</v>
      </c>
      <c r="C1533" s="33">
        <f>Demand!C1531</f>
        <v>17</v>
      </c>
      <c r="D1533" s="33">
        <f>Demand!E1531</f>
        <v>37</v>
      </c>
      <c r="E1533" s="33">
        <f>IF(Demand!F1531,1,0)</f>
        <v>0</v>
      </c>
      <c r="F1533" s="33">
        <f>COUNTIFS(c_store,A1533,c_date,B1533,c_hour,C1533)</f>
        <v>0</v>
      </c>
      <c r="G1533" s="33">
        <f>IF(F1533&gt;0,1,0)</f>
        <v>0</v>
      </c>
      <c r="H1533" s="33">
        <f>COUNTIFS(Demand!$A$2:$A$4481,A1533,Demand!$B$2:$B$4481,B1533,Demand!$C$2:$C$4481,C1533)</f>
        <v>1</v>
      </c>
    </row>
    <row r="1534">
      <c r="A1534" s="32" t="str">
        <f>Demand!A1532</f>
        <v>S016</v>
      </c>
      <c r="B1534" s="35">
        <f>Demand!B1532</f>
        <v>46270.0</v>
      </c>
      <c r="C1534" s="33">
        <f>Demand!C1532</f>
        <v>18</v>
      </c>
      <c r="D1534" s="33">
        <f>Demand!E1532</f>
        <v>38</v>
      </c>
      <c r="E1534" s="33">
        <f>IF(Demand!F1532,1,0)</f>
        <v>0</v>
      </c>
      <c r="F1534" s="33">
        <f>COUNTIFS(c_store,A1534,c_date,B1534,c_hour,C1534)</f>
        <v>0</v>
      </c>
      <c r="G1534" s="33">
        <f>IF(F1534&gt;0,1,0)</f>
        <v>0</v>
      </c>
      <c r="H1534" s="33">
        <f>COUNTIFS(Demand!$A$2:$A$4481,A1534,Demand!$B$2:$B$4481,B1534,Demand!$C$2:$C$4481,C1534)</f>
        <v>1</v>
      </c>
    </row>
    <row r="1535">
      <c r="A1535" s="32" t="str">
        <f>Demand!A1533</f>
        <v>S016</v>
      </c>
      <c r="B1535" s="35">
        <f>Demand!B1533</f>
        <v>46270.0</v>
      </c>
      <c r="C1535" s="33">
        <f>Demand!C1533</f>
        <v>19</v>
      </c>
      <c r="D1535" s="33">
        <f>Demand!E1533</f>
        <v>45</v>
      </c>
      <c r="E1535" s="33">
        <f>IF(Demand!F1533,1,0)</f>
        <v>1</v>
      </c>
      <c r="F1535" s="33">
        <f>COUNTIFS(c_store,A1535,c_date,B1535,c_hour,C1535)</f>
        <v>0</v>
      </c>
      <c r="G1535" s="33">
        <f>IF(F1535&gt;0,1,0)</f>
        <v>0</v>
      </c>
      <c r="H1535" s="33">
        <f>COUNTIFS(Demand!$A$2:$A$4481,A1535,Demand!$B$2:$B$4481,B1535,Demand!$C$2:$C$4481,C1535)</f>
        <v>1</v>
      </c>
    </row>
    <row r="1536">
      <c r="A1536" s="32" t="str">
        <f>Demand!A1534</f>
        <v>S016</v>
      </c>
      <c r="B1536" s="35">
        <f>Demand!B1534</f>
        <v>46270.0</v>
      </c>
      <c r="C1536" s="33">
        <f>Demand!C1534</f>
        <v>20</v>
      </c>
      <c r="D1536" s="33">
        <f>Demand!E1534</f>
        <v>44</v>
      </c>
      <c r="E1536" s="33">
        <f>IF(Demand!F1534,1,0)</f>
        <v>1</v>
      </c>
      <c r="F1536" s="33">
        <f>COUNTIFS(c_store,A1536,c_date,B1536,c_hour,C1536)</f>
        <v>0</v>
      </c>
      <c r="G1536" s="33">
        <f>IF(F1536&gt;0,1,0)</f>
        <v>0</v>
      </c>
      <c r="H1536" s="33">
        <f>COUNTIFS(Demand!$A$2:$A$4481,A1536,Demand!$B$2:$B$4481,B1536,Demand!$C$2:$C$4481,C1536)</f>
        <v>1</v>
      </c>
    </row>
    <row r="1537">
      <c r="A1537" s="32" t="str">
        <f>Demand!A1535</f>
        <v>S016</v>
      </c>
      <c r="B1537" s="35">
        <f>Demand!B1535</f>
        <v>46270.0</v>
      </c>
      <c r="C1537" s="33">
        <f>Demand!C1535</f>
        <v>21</v>
      </c>
      <c r="D1537" s="33">
        <f>Demand!E1535</f>
        <v>40</v>
      </c>
      <c r="E1537" s="33">
        <f>IF(Demand!F1535,1,0)</f>
        <v>1</v>
      </c>
      <c r="F1537" s="33">
        <f>COUNTIFS(c_store,A1537,c_date,B1537,c_hour,C1537)</f>
        <v>2</v>
      </c>
      <c r="G1537" s="33">
        <f>IF(F1537&gt;0,1,0)</f>
        <v>1</v>
      </c>
      <c r="H1537" s="33">
        <f>COUNTIFS(Demand!$A$2:$A$4481,A1537,Demand!$B$2:$B$4481,B1537,Demand!$C$2:$C$4481,C1537)</f>
        <v>1</v>
      </c>
    </row>
    <row r="1538">
      <c r="A1538" s="32" t="str">
        <f>Demand!A1536</f>
        <v>S016</v>
      </c>
      <c r="B1538" s="35">
        <f>Demand!B1536</f>
        <v>46270.0</v>
      </c>
      <c r="C1538" s="33">
        <f>Demand!C1536</f>
        <v>22</v>
      </c>
      <c r="D1538" s="33">
        <f>Demand!E1536</f>
        <v>27</v>
      </c>
      <c r="E1538" s="33">
        <f>IF(Demand!F1536,1,0)</f>
        <v>0</v>
      </c>
      <c r="F1538" s="33">
        <f>COUNTIFS(c_store,A1538,c_date,B1538,c_hour,C1538)</f>
        <v>0</v>
      </c>
      <c r="G1538" s="33">
        <f>IF(F1538&gt;0,1,0)</f>
        <v>0</v>
      </c>
      <c r="H1538" s="33">
        <f>COUNTIFS(Demand!$A$2:$A$4481,A1538,Demand!$B$2:$B$4481,B1538,Demand!$C$2:$C$4481,C1538)</f>
        <v>1</v>
      </c>
    </row>
    <row r="1539">
      <c r="A1539" s="32" t="str">
        <f>Demand!A1537</f>
        <v>S016</v>
      </c>
      <c r="B1539" s="35">
        <f>Demand!B1537</f>
        <v>46270.0</v>
      </c>
      <c r="C1539" s="33">
        <f>Demand!C1537</f>
        <v>23</v>
      </c>
      <c r="D1539" s="33">
        <f>Demand!E1537</f>
        <v>29</v>
      </c>
      <c r="E1539" s="33">
        <f>IF(Demand!F1537,1,0)</f>
        <v>0</v>
      </c>
      <c r="F1539" s="33">
        <f>COUNTIFS(c_store,A1539,c_date,B1539,c_hour,C1539)</f>
        <v>0</v>
      </c>
      <c r="G1539" s="33">
        <f>IF(F1539&gt;0,1,0)</f>
        <v>0</v>
      </c>
      <c r="H1539" s="33">
        <f>COUNTIFS(Demand!$A$2:$A$4481,A1539,Demand!$B$2:$B$4481,B1539,Demand!$C$2:$C$4481,C1539)</f>
        <v>1</v>
      </c>
    </row>
    <row r="1540">
      <c r="A1540" s="32" t="str">
        <f>Demand!A1538</f>
        <v>S017</v>
      </c>
      <c r="B1540" s="35">
        <f>Demand!B1538</f>
        <v>46270.0</v>
      </c>
      <c r="C1540" s="33">
        <f>Demand!C1538</f>
        <v>8</v>
      </c>
      <c r="D1540" s="33">
        <f>Demand!E1538</f>
        <v>33</v>
      </c>
      <c r="E1540" s="33">
        <f>IF(Demand!F1538,1,0)</f>
        <v>0</v>
      </c>
      <c r="F1540" s="33">
        <f>COUNTIFS(c_store,A1540,c_date,B1540,c_hour,C1540)</f>
        <v>0</v>
      </c>
      <c r="G1540" s="33">
        <f>IF(F1540&gt;0,1,0)</f>
        <v>0</v>
      </c>
      <c r="H1540" s="33">
        <f>COUNTIFS(Demand!$A$2:$A$4481,A1540,Demand!$B$2:$B$4481,B1540,Demand!$C$2:$C$4481,C1540)</f>
        <v>1</v>
      </c>
    </row>
    <row r="1541">
      <c r="A1541" s="32" t="str">
        <f>Demand!A1539</f>
        <v>S017</v>
      </c>
      <c r="B1541" s="35">
        <f>Demand!B1539</f>
        <v>46270.0</v>
      </c>
      <c r="C1541" s="33">
        <f>Demand!C1539</f>
        <v>9</v>
      </c>
      <c r="D1541" s="33">
        <f>Demand!E1539</f>
        <v>41</v>
      </c>
      <c r="E1541" s="33">
        <f>IF(Demand!F1539,1,0)</f>
        <v>0</v>
      </c>
      <c r="F1541" s="33">
        <f>COUNTIFS(c_store,A1541,c_date,B1541,c_hour,C1541)</f>
        <v>0</v>
      </c>
      <c r="G1541" s="33">
        <f>IF(F1541&gt;0,1,0)</f>
        <v>0</v>
      </c>
      <c r="H1541" s="33">
        <f>COUNTIFS(Demand!$A$2:$A$4481,A1541,Demand!$B$2:$B$4481,B1541,Demand!$C$2:$C$4481,C1541)</f>
        <v>1</v>
      </c>
    </row>
    <row r="1542">
      <c r="A1542" s="32" t="str">
        <f>Demand!A1540</f>
        <v>S017</v>
      </c>
      <c r="B1542" s="35">
        <f>Demand!B1540</f>
        <v>46270.0</v>
      </c>
      <c r="C1542" s="33">
        <f>Demand!C1540</f>
        <v>10</v>
      </c>
      <c r="D1542" s="33">
        <f>Demand!E1540</f>
        <v>37</v>
      </c>
      <c r="E1542" s="33">
        <f>IF(Demand!F1540,1,0)</f>
        <v>0</v>
      </c>
      <c r="F1542" s="33">
        <f>COUNTIFS(c_store,A1542,c_date,B1542,c_hour,C1542)</f>
        <v>0</v>
      </c>
      <c r="G1542" s="33">
        <f>IF(F1542&gt;0,1,0)</f>
        <v>0</v>
      </c>
      <c r="H1542" s="33">
        <f>COUNTIFS(Demand!$A$2:$A$4481,A1542,Demand!$B$2:$B$4481,B1542,Demand!$C$2:$C$4481,C1542)</f>
        <v>1</v>
      </c>
    </row>
    <row r="1543">
      <c r="A1543" s="32" t="str">
        <f>Demand!A1541</f>
        <v>S017</v>
      </c>
      <c r="B1543" s="35">
        <f>Demand!B1541</f>
        <v>46270.0</v>
      </c>
      <c r="C1543" s="33">
        <f>Demand!C1541</f>
        <v>11</v>
      </c>
      <c r="D1543" s="33">
        <f>Demand!E1541</f>
        <v>47</v>
      </c>
      <c r="E1543" s="33">
        <f>IF(Demand!F1541,1,0)</f>
        <v>0</v>
      </c>
      <c r="F1543" s="33">
        <f>COUNTIFS(c_store,A1543,c_date,B1543,c_hour,C1543)</f>
        <v>0</v>
      </c>
      <c r="G1543" s="33">
        <f>IF(F1543&gt;0,1,0)</f>
        <v>0</v>
      </c>
      <c r="H1543" s="33">
        <f>COUNTIFS(Demand!$A$2:$A$4481,A1543,Demand!$B$2:$B$4481,B1543,Demand!$C$2:$C$4481,C1543)</f>
        <v>1</v>
      </c>
    </row>
    <row r="1544">
      <c r="A1544" s="32" t="str">
        <f>Demand!A1542</f>
        <v>S017</v>
      </c>
      <c r="B1544" s="35">
        <f>Demand!B1542</f>
        <v>46270.0</v>
      </c>
      <c r="C1544" s="33">
        <f>Demand!C1542</f>
        <v>12</v>
      </c>
      <c r="D1544" s="33">
        <f>Demand!E1542</f>
        <v>28</v>
      </c>
      <c r="E1544" s="33">
        <f>IF(Demand!F1542,1,0)</f>
        <v>0</v>
      </c>
      <c r="F1544" s="33">
        <f>COUNTIFS(c_store,A1544,c_date,B1544,c_hour,C1544)</f>
        <v>0</v>
      </c>
      <c r="G1544" s="33">
        <f>IF(F1544&gt;0,1,0)</f>
        <v>0</v>
      </c>
      <c r="H1544" s="33">
        <f>COUNTIFS(Demand!$A$2:$A$4481,A1544,Demand!$B$2:$B$4481,B1544,Demand!$C$2:$C$4481,C1544)</f>
        <v>1</v>
      </c>
    </row>
    <row r="1545">
      <c r="A1545" s="32" t="str">
        <f>Demand!A1543</f>
        <v>S017</v>
      </c>
      <c r="B1545" s="35">
        <f>Demand!B1543</f>
        <v>46270.0</v>
      </c>
      <c r="C1545" s="33">
        <f>Demand!C1543</f>
        <v>13</v>
      </c>
      <c r="D1545" s="33">
        <f>Demand!E1543</f>
        <v>41</v>
      </c>
      <c r="E1545" s="33">
        <f>IF(Demand!F1543,1,0)</f>
        <v>0</v>
      </c>
      <c r="F1545" s="33">
        <f>COUNTIFS(c_store,A1545,c_date,B1545,c_hour,C1545)</f>
        <v>1</v>
      </c>
      <c r="G1545" s="33">
        <f>IF(F1545&gt;0,1,0)</f>
        <v>1</v>
      </c>
      <c r="H1545" s="33">
        <f>COUNTIFS(Demand!$A$2:$A$4481,A1545,Demand!$B$2:$B$4481,B1545,Demand!$C$2:$C$4481,C1545)</f>
        <v>1</v>
      </c>
    </row>
    <row r="1546">
      <c r="A1546" s="32" t="str">
        <f>Demand!A1544</f>
        <v>S017</v>
      </c>
      <c r="B1546" s="35">
        <f>Demand!B1544</f>
        <v>46270.0</v>
      </c>
      <c r="C1546" s="33">
        <f>Demand!C1544</f>
        <v>14</v>
      </c>
      <c r="D1546" s="33">
        <f>Demand!E1544</f>
        <v>31</v>
      </c>
      <c r="E1546" s="33">
        <f>IF(Demand!F1544,1,0)</f>
        <v>0</v>
      </c>
      <c r="F1546" s="33">
        <f>COUNTIFS(c_store,A1546,c_date,B1546,c_hour,C1546)</f>
        <v>0</v>
      </c>
      <c r="G1546" s="33">
        <f>IF(F1546&gt;0,1,0)</f>
        <v>0</v>
      </c>
      <c r="H1546" s="33">
        <f>COUNTIFS(Demand!$A$2:$A$4481,A1546,Demand!$B$2:$B$4481,B1546,Demand!$C$2:$C$4481,C1546)</f>
        <v>1</v>
      </c>
    </row>
    <row r="1547">
      <c r="A1547" s="32" t="str">
        <f>Demand!A1545</f>
        <v>S017</v>
      </c>
      <c r="B1547" s="35">
        <f>Demand!B1545</f>
        <v>46270.0</v>
      </c>
      <c r="C1547" s="33">
        <f>Demand!C1545</f>
        <v>15</v>
      </c>
      <c r="D1547" s="33">
        <f>Demand!E1545</f>
        <v>29</v>
      </c>
      <c r="E1547" s="33">
        <f>IF(Demand!F1545,1,0)</f>
        <v>0</v>
      </c>
      <c r="F1547" s="33">
        <f>COUNTIFS(c_store,A1547,c_date,B1547,c_hour,C1547)</f>
        <v>1</v>
      </c>
      <c r="G1547" s="33">
        <f>IF(F1547&gt;0,1,0)</f>
        <v>1</v>
      </c>
      <c r="H1547" s="33">
        <f>COUNTIFS(Demand!$A$2:$A$4481,A1547,Demand!$B$2:$B$4481,B1547,Demand!$C$2:$C$4481,C1547)</f>
        <v>1</v>
      </c>
    </row>
    <row r="1548">
      <c r="A1548" s="32" t="str">
        <f>Demand!A1546</f>
        <v>S017</v>
      </c>
      <c r="B1548" s="35">
        <f>Demand!B1546</f>
        <v>46270.0</v>
      </c>
      <c r="C1548" s="33">
        <f>Demand!C1546</f>
        <v>16</v>
      </c>
      <c r="D1548" s="33">
        <f>Demand!E1546</f>
        <v>40</v>
      </c>
      <c r="E1548" s="33">
        <f>IF(Demand!F1546,1,0)</f>
        <v>0</v>
      </c>
      <c r="F1548" s="33">
        <f>COUNTIFS(c_store,A1548,c_date,B1548,c_hour,C1548)</f>
        <v>0</v>
      </c>
      <c r="G1548" s="33">
        <f>IF(F1548&gt;0,1,0)</f>
        <v>0</v>
      </c>
      <c r="H1548" s="33">
        <f>COUNTIFS(Demand!$A$2:$A$4481,A1548,Demand!$B$2:$B$4481,B1548,Demand!$C$2:$C$4481,C1548)</f>
        <v>1</v>
      </c>
    </row>
    <row r="1549">
      <c r="A1549" s="32" t="str">
        <f>Demand!A1547</f>
        <v>S017</v>
      </c>
      <c r="B1549" s="35">
        <f>Demand!B1547</f>
        <v>46270.0</v>
      </c>
      <c r="C1549" s="33">
        <f>Demand!C1547</f>
        <v>17</v>
      </c>
      <c r="D1549" s="33">
        <f>Demand!E1547</f>
        <v>51</v>
      </c>
      <c r="E1549" s="33">
        <f>IF(Demand!F1547,1,0)</f>
        <v>0</v>
      </c>
      <c r="F1549" s="33">
        <f>COUNTIFS(c_store,A1549,c_date,B1549,c_hour,C1549)</f>
        <v>1</v>
      </c>
      <c r="G1549" s="33">
        <f>IF(F1549&gt;0,1,0)</f>
        <v>1</v>
      </c>
      <c r="H1549" s="33">
        <f>COUNTIFS(Demand!$A$2:$A$4481,A1549,Demand!$B$2:$B$4481,B1549,Demand!$C$2:$C$4481,C1549)</f>
        <v>1</v>
      </c>
    </row>
    <row r="1550">
      <c r="A1550" s="32" t="str">
        <f>Demand!A1548</f>
        <v>S017</v>
      </c>
      <c r="B1550" s="35">
        <f>Demand!B1548</f>
        <v>46270.0</v>
      </c>
      <c r="C1550" s="33">
        <f>Demand!C1548</f>
        <v>18</v>
      </c>
      <c r="D1550" s="33">
        <f>Demand!E1548</f>
        <v>39</v>
      </c>
      <c r="E1550" s="33">
        <f>IF(Demand!F1548,1,0)</f>
        <v>0</v>
      </c>
      <c r="F1550" s="33">
        <f>COUNTIFS(c_store,A1550,c_date,B1550,c_hour,C1550)</f>
        <v>1</v>
      </c>
      <c r="G1550" s="33">
        <f>IF(F1550&gt;0,1,0)</f>
        <v>1</v>
      </c>
      <c r="H1550" s="33">
        <f>COUNTIFS(Demand!$A$2:$A$4481,A1550,Demand!$B$2:$B$4481,B1550,Demand!$C$2:$C$4481,C1550)</f>
        <v>1</v>
      </c>
    </row>
    <row r="1551">
      <c r="A1551" s="32" t="str">
        <f>Demand!A1549</f>
        <v>S017</v>
      </c>
      <c r="B1551" s="35">
        <f>Demand!B1549</f>
        <v>46270.0</v>
      </c>
      <c r="C1551" s="33">
        <f>Demand!C1549</f>
        <v>19</v>
      </c>
      <c r="D1551" s="33">
        <f>Demand!E1549</f>
        <v>53</v>
      </c>
      <c r="E1551" s="33">
        <f>IF(Demand!F1549,1,0)</f>
        <v>1</v>
      </c>
      <c r="F1551" s="33">
        <f>COUNTIFS(c_store,A1551,c_date,B1551,c_hour,C1551)</f>
        <v>0</v>
      </c>
      <c r="G1551" s="33">
        <f>IF(F1551&gt;0,1,0)</f>
        <v>0</v>
      </c>
      <c r="H1551" s="33">
        <f>COUNTIFS(Demand!$A$2:$A$4481,A1551,Demand!$B$2:$B$4481,B1551,Demand!$C$2:$C$4481,C1551)</f>
        <v>1</v>
      </c>
    </row>
    <row r="1552">
      <c r="A1552" s="32" t="str">
        <f>Demand!A1550</f>
        <v>S017</v>
      </c>
      <c r="B1552" s="35">
        <f>Demand!B1550</f>
        <v>46270.0</v>
      </c>
      <c r="C1552" s="33">
        <f>Demand!C1550</f>
        <v>20</v>
      </c>
      <c r="D1552" s="33">
        <f>Demand!E1550</f>
        <v>58</v>
      </c>
      <c r="E1552" s="33">
        <f>IF(Demand!F1550,1,0)</f>
        <v>1</v>
      </c>
      <c r="F1552" s="33">
        <f>COUNTIFS(c_store,A1552,c_date,B1552,c_hour,C1552)</f>
        <v>0</v>
      </c>
      <c r="G1552" s="33">
        <f>IF(F1552&gt;0,1,0)</f>
        <v>0</v>
      </c>
      <c r="H1552" s="33">
        <f>COUNTIFS(Demand!$A$2:$A$4481,A1552,Demand!$B$2:$B$4481,B1552,Demand!$C$2:$C$4481,C1552)</f>
        <v>1</v>
      </c>
    </row>
    <row r="1553">
      <c r="A1553" s="32" t="str">
        <f>Demand!A1551</f>
        <v>S017</v>
      </c>
      <c r="B1553" s="35">
        <f>Demand!B1551</f>
        <v>46270.0</v>
      </c>
      <c r="C1553" s="33">
        <f>Demand!C1551</f>
        <v>21</v>
      </c>
      <c r="D1553" s="33">
        <f>Demand!E1551</f>
        <v>65</v>
      </c>
      <c r="E1553" s="33">
        <f>IF(Demand!F1551,1,0)</f>
        <v>1</v>
      </c>
      <c r="F1553" s="33">
        <f>COUNTIFS(c_store,A1553,c_date,B1553,c_hour,C1553)</f>
        <v>0</v>
      </c>
      <c r="G1553" s="33">
        <f>IF(F1553&gt;0,1,0)</f>
        <v>0</v>
      </c>
      <c r="H1553" s="33">
        <f>COUNTIFS(Demand!$A$2:$A$4481,A1553,Demand!$B$2:$B$4481,B1553,Demand!$C$2:$C$4481,C1553)</f>
        <v>1</v>
      </c>
    </row>
    <row r="1554">
      <c r="A1554" s="32" t="str">
        <f>Demand!A1552</f>
        <v>S017</v>
      </c>
      <c r="B1554" s="35">
        <f>Demand!B1552</f>
        <v>46270.0</v>
      </c>
      <c r="C1554" s="33">
        <f>Demand!C1552</f>
        <v>22</v>
      </c>
      <c r="D1554" s="33">
        <f>Demand!E1552</f>
        <v>42</v>
      </c>
      <c r="E1554" s="33">
        <f>IF(Demand!F1552,1,0)</f>
        <v>0</v>
      </c>
      <c r="F1554" s="33">
        <f>COUNTIFS(c_store,A1554,c_date,B1554,c_hour,C1554)</f>
        <v>2</v>
      </c>
      <c r="G1554" s="33">
        <f>IF(F1554&gt;0,1,0)</f>
        <v>1</v>
      </c>
      <c r="H1554" s="33">
        <f>COUNTIFS(Demand!$A$2:$A$4481,A1554,Demand!$B$2:$B$4481,B1554,Demand!$C$2:$C$4481,C1554)</f>
        <v>1</v>
      </c>
    </row>
    <row r="1555">
      <c r="A1555" s="32" t="str">
        <f>Demand!A1553</f>
        <v>S017</v>
      </c>
      <c r="B1555" s="35">
        <f>Demand!B1553</f>
        <v>46270.0</v>
      </c>
      <c r="C1555" s="33">
        <f>Demand!C1553</f>
        <v>23</v>
      </c>
      <c r="D1555" s="33">
        <f>Demand!E1553</f>
        <v>42</v>
      </c>
      <c r="E1555" s="33">
        <f>IF(Demand!F1553,1,0)</f>
        <v>0</v>
      </c>
      <c r="F1555" s="33">
        <f>COUNTIFS(c_store,A1555,c_date,B1555,c_hour,C1555)</f>
        <v>1</v>
      </c>
      <c r="G1555" s="33">
        <f>IF(F1555&gt;0,1,0)</f>
        <v>1</v>
      </c>
      <c r="H1555" s="33">
        <f>COUNTIFS(Demand!$A$2:$A$4481,A1555,Demand!$B$2:$B$4481,B1555,Demand!$C$2:$C$4481,C1555)</f>
        <v>1</v>
      </c>
    </row>
    <row r="1556">
      <c r="A1556" s="32" t="str">
        <f>Demand!A1554</f>
        <v>S018</v>
      </c>
      <c r="B1556" s="35">
        <f>Demand!B1554</f>
        <v>46270.0</v>
      </c>
      <c r="C1556" s="33">
        <f>Demand!C1554</f>
        <v>8</v>
      </c>
      <c r="D1556" s="33">
        <f>Demand!E1554</f>
        <v>10</v>
      </c>
      <c r="E1556" s="33">
        <f>IF(Demand!F1554,1,0)</f>
        <v>0</v>
      </c>
      <c r="F1556" s="33">
        <f>COUNTIFS(c_store,A1556,c_date,B1556,c_hour,C1556)</f>
        <v>0</v>
      </c>
      <c r="G1556" s="33">
        <f>IF(F1556&gt;0,1,0)</f>
        <v>0</v>
      </c>
      <c r="H1556" s="33">
        <f>COUNTIFS(Demand!$A$2:$A$4481,A1556,Demand!$B$2:$B$4481,B1556,Demand!$C$2:$C$4481,C1556)</f>
        <v>1</v>
      </c>
    </row>
    <row r="1557">
      <c r="A1557" s="32" t="str">
        <f>Demand!A1555</f>
        <v>S018</v>
      </c>
      <c r="B1557" s="35">
        <f>Demand!B1555</f>
        <v>46270.0</v>
      </c>
      <c r="C1557" s="33">
        <f>Demand!C1555</f>
        <v>9</v>
      </c>
      <c r="D1557" s="33">
        <f>Demand!E1555</f>
        <v>15</v>
      </c>
      <c r="E1557" s="33">
        <f>IF(Demand!F1555,1,0)</f>
        <v>0</v>
      </c>
      <c r="F1557" s="33">
        <f>COUNTIFS(c_store,A1557,c_date,B1557,c_hour,C1557)</f>
        <v>1</v>
      </c>
      <c r="G1557" s="33">
        <f>IF(F1557&gt;0,1,0)</f>
        <v>1</v>
      </c>
      <c r="H1557" s="33">
        <f>COUNTIFS(Demand!$A$2:$A$4481,A1557,Demand!$B$2:$B$4481,B1557,Demand!$C$2:$C$4481,C1557)</f>
        <v>1</v>
      </c>
    </row>
    <row r="1558">
      <c r="A1558" s="32" t="str">
        <f>Demand!A1556</f>
        <v>S018</v>
      </c>
      <c r="B1558" s="35">
        <f>Demand!B1556</f>
        <v>46270.0</v>
      </c>
      <c r="C1558" s="33">
        <f>Demand!C1556</f>
        <v>10</v>
      </c>
      <c r="D1558" s="33">
        <f>Demand!E1556</f>
        <v>13</v>
      </c>
      <c r="E1558" s="33">
        <f>IF(Demand!F1556,1,0)</f>
        <v>0</v>
      </c>
      <c r="F1558" s="33">
        <f>COUNTIFS(c_store,A1558,c_date,B1558,c_hour,C1558)</f>
        <v>1</v>
      </c>
      <c r="G1558" s="33">
        <f>IF(F1558&gt;0,1,0)</f>
        <v>1</v>
      </c>
      <c r="H1558" s="33">
        <f>COUNTIFS(Demand!$A$2:$A$4481,A1558,Demand!$B$2:$B$4481,B1558,Demand!$C$2:$C$4481,C1558)</f>
        <v>1</v>
      </c>
    </row>
    <row r="1559">
      <c r="A1559" s="32" t="str">
        <f>Demand!A1557</f>
        <v>S018</v>
      </c>
      <c r="B1559" s="35">
        <f>Demand!B1557</f>
        <v>46270.0</v>
      </c>
      <c r="C1559" s="33">
        <f>Demand!C1557</f>
        <v>11</v>
      </c>
      <c r="D1559" s="33">
        <f>Demand!E1557</f>
        <v>27</v>
      </c>
      <c r="E1559" s="33">
        <f>IF(Demand!F1557,1,0)</f>
        <v>0</v>
      </c>
      <c r="F1559" s="33">
        <f>COUNTIFS(c_store,A1559,c_date,B1559,c_hour,C1559)</f>
        <v>0</v>
      </c>
      <c r="G1559" s="33">
        <f>IF(F1559&gt;0,1,0)</f>
        <v>0</v>
      </c>
      <c r="H1559" s="33">
        <f>COUNTIFS(Demand!$A$2:$A$4481,A1559,Demand!$B$2:$B$4481,B1559,Demand!$C$2:$C$4481,C1559)</f>
        <v>1</v>
      </c>
    </row>
    <row r="1560">
      <c r="A1560" s="32" t="str">
        <f>Demand!A1558</f>
        <v>S018</v>
      </c>
      <c r="B1560" s="35">
        <f>Demand!B1558</f>
        <v>46270.0</v>
      </c>
      <c r="C1560" s="33">
        <f>Demand!C1558</f>
        <v>12</v>
      </c>
      <c r="D1560" s="33">
        <f>Demand!E1558</f>
        <v>16</v>
      </c>
      <c r="E1560" s="33">
        <f>IF(Demand!F1558,1,0)</f>
        <v>0</v>
      </c>
      <c r="F1560" s="33">
        <f>COUNTIFS(c_store,A1560,c_date,B1560,c_hour,C1560)</f>
        <v>0</v>
      </c>
      <c r="G1560" s="33">
        <f>IF(F1560&gt;0,1,0)</f>
        <v>0</v>
      </c>
      <c r="H1560" s="33">
        <f>COUNTIFS(Demand!$A$2:$A$4481,A1560,Demand!$B$2:$B$4481,B1560,Demand!$C$2:$C$4481,C1560)</f>
        <v>1</v>
      </c>
    </row>
    <row r="1561">
      <c r="A1561" s="32" t="str">
        <f>Demand!A1559</f>
        <v>S018</v>
      </c>
      <c r="B1561" s="35">
        <f>Demand!B1559</f>
        <v>46270.0</v>
      </c>
      <c r="C1561" s="33">
        <f>Demand!C1559</f>
        <v>13</v>
      </c>
      <c r="D1561" s="33">
        <f>Demand!E1559</f>
        <v>27</v>
      </c>
      <c r="E1561" s="33">
        <f>IF(Demand!F1559,1,0)</f>
        <v>0</v>
      </c>
      <c r="F1561" s="33">
        <f>COUNTIFS(c_store,A1561,c_date,B1561,c_hour,C1561)</f>
        <v>0</v>
      </c>
      <c r="G1561" s="33">
        <f>IF(F1561&gt;0,1,0)</f>
        <v>0</v>
      </c>
      <c r="H1561" s="33">
        <f>COUNTIFS(Demand!$A$2:$A$4481,A1561,Demand!$B$2:$B$4481,B1561,Demand!$C$2:$C$4481,C1561)</f>
        <v>1</v>
      </c>
    </row>
    <row r="1562">
      <c r="A1562" s="32" t="str">
        <f>Demand!A1560</f>
        <v>S018</v>
      </c>
      <c r="B1562" s="35">
        <f>Demand!B1560</f>
        <v>46270.0</v>
      </c>
      <c r="C1562" s="33">
        <f>Demand!C1560</f>
        <v>14</v>
      </c>
      <c r="D1562" s="33">
        <f>Demand!E1560</f>
        <v>22</v>
      </c>
      <c r="E1562" s="33">
        <f>IF(Demand!F1560,1,0)</f>
        <v>0</v>
      </c>
      <c r="F1562" s="33">
        <f>COUNTIFS(c_store,A1562,c_date,B1562,c_hour,C1562)</f>
        <v>0</v>
      </c>
      <c r="G1562" s="33">
        <f>IF(F1562&gt;0,1,0)</f>
        <v>0</v>
      </c>
      <c r="H1562" s="33">
        <f>COUNTIFS(Demand!$A$2:$A$4481,A1562,Demand!$B$2:$B$4481,B1562,Demand!$C$2:$C$4481,C1562)</f>
        <v>1</v>
      </c>
    </row>
    <row r="1563">
      <c r="A1563" s="32" t="str">
        <f>Demand!A1561</f>
        <v>S018</v>
      </c>
      <c r="B1563" s="35">
        <f>Demand!B1561</f>
        <v>46270.0</v>
      </c>
      <c r="C1563" s="33">
        <f>Demand!C1561</f>
        <v>15</v>
      </c>
      <c r="D1563" s="33">
        <f>Demand!E1561</f>
        <v>15</v>
      </c>
      <c r="E1563" s="33">
        <f>IF(Demand!F1561,1,0)</f>
        <v>0</v>
      </c>
      <c r="F1563" s="33">
        <f>COUNTIFS(c_store,A1563,c_date,B1563,c_hour,C1563)</f>
        <v>0</v>
      </c>
      <c r="G1563" s="33">
        <f>IF(F1563&gt;0,1,0)</f>
        <v>0</v>
      </c>
      <c r="H1563" s="33">
        <f>COUNTIFS(Demand!$A$2:$A$4481,A1563,Demand!$B$2:$B$4481,B1563,Demand!$C$2:$C$4481,C1563)</f>
        <v>1</v>
      </c>
    </row>
    <row r="1564">
      <c r="A1564" s="32" t="str">
        <f>Demand!A1562</f>
        <v>S018</v>
      </c>
      <c r="B1564" s="35">
        <f>Demand!B1562</f>
        <v>46270.0</v>
      </c>
      <c r="C1564" s="33">
        <f>Demand!C1562</f>
        <v>16</v>
      </c>
      <c r="D1564" s="33">
        <f>Demand!E1562</f>
        <v>19</v>
      </c>
      <c r="E1564" s="33">
        <f>IF(Demand!F1562,1,0)</f>
        <v>0</v>
      </c>
      <c r="F1564" s="33">
        <f>COUNTIFS(c_store,A1564,c_date,B1564,c_hour,C1564)</f>
        <v>1</v>
      </c>
      <c r="G1564" s="33">
        <f>IF(F1564&gt;0,1,0)</f>
        <v>1</v>
      </c>
      <c r="H1564" s="33">
        <f>COUNTIFS(Demand!$A$2:$A$4481,A1564,Demand!$B$2:$B$4481,B1564,Demand!$C$2:$C$4481,C1564)</f>
        <v>1</v>
      </c>
    </row>
    <row r="1565">
      <c r="A1565" s="32" t="str">
        <f>Demand!A1563</f>
        <v>S018</v>
      </c>
      <c r="B1565" s="35">
        <f>Demand!B1563</f>
        <v>46270.0</v>
      </c>
      <c r="C1565" s="33">
        <f>Demand!C1563</f>
        <v>17</v>
      </c>
      <c r="D1565" s="33">
        <f>Demand!E1563</f>
        <v>22</v>
      </c>
      <c r="E1565" s="33">
        <f>IF(Demand!F1563,1,0)</f>
        <v>0</v>
      </c>
      <c r="F1565" s="33">
        <f>COUNTIFS(c_store,A1565,c_date,B1565,c_hour,C1565)</f>
        <v>0</v>
      </c>
      <c r="G1565" s="33">
        <f>IF(F1565&gt;0,1,0)</f>
        <v>0</v>
      </c>
      <c r="H1565" s="33">
        <f>COUNTIFS(Demand!$A$2:$A$4481,A1565,Demand!$B$2:$B$4481,B1565,Demand!$C$2:$C$4481,C1565)</f>
        <v>1</v>
      </c>
    </row>
    <row r="1566">
      <c r="A1566" s="32" t="str">
        <f>Demand!A1564</f>
        <v>S018</v>
      </c>
      <c r="B1566" s="35">
        <f>Demand!B1564</f>
        <v>46270.0</v>
      </c>
      <c r="C1566" s="33">
        <f>Demand!C1564</f>
        <v>18</v>
      </c>
      <c r="D1566" s="33">
        <f>Demand!E1564</f>
        <v>18</v>
      </c>
      <c r="E1566" s="33">
        <f>IF(Demand!F1564,1,0)</f>
        <v>0</v>
      </c>
      <c r="F1566" s="33">
        <f>COUNTIFS(c_store,A1566,c_date,B1566,c_hour,C1566)</f>
        <v>0</v>
      </c>
      <c r="G1566" s="33">
        <f>IF(F1566&gt;0,1,0)</f>
        <v>0</v>
      </c>
      <c r="H1566" s="33">
        <f>COUNTIFS(Demand!$A$2:$A$4481,A1566,Demand!$B$2:$B$4481,B1566,Demand!$C$2:$C$4481,C1566)</f>
        <v>1</v>
      </c>
    </row>
    <row r="1567">
      <c r="A1567" s="32" t="str">
        <f>Demand!A1565</f>
        <v>S018</v>
      </c>
      <c r="B1567" s="35">
        <f>Demand!B1565</f>
        <v>46270.0</v>
      </c>
      <c r="C1567" s="33">
        <f>Demand!C1565</f>
        <v>19</v>
      </c>
      <c r="D1567" s="33">
        <f>Demand!E1565</f>
        <v>30</v>
      </c>
      <c r="E1567" s="33">
        <f>IF(Demand!F1565,1,0)</f>
        <v>1</v>
      </c>
      <c r="F1567" s="33">
        <f>COUNTIFS(c_store,A1567,c_date,B1567,c_hour,C1567)</f>
        <v>1</v>
      </c>
      <c r="G1567" s="33">
        <f>IF(F1567&gt;0,1,0)</f>
        <v>1</v>
      </c>
      <c r="H1567" s="33">
        <f>COUNTIFS(Demand!$A$2:$A$4481,A1567,Demand!$B$2:$B$4481,B1567,Demand!$C$2:$C$4481,C1567)</f>
        <v>1</v>
      </c>
    </row>
    <row r="1568">
      <c r="A1568" s="32" t="str">
        <f>Demand!A1566</f>
        <v>S018</v>
      </c>
      <c r="B1568" s="35">
        <f>Demand!B1566</f>
        <v>46270.0</v>
      </c>
      <c r="C1568" s="33">
        <f>Demand!C1566</f>
        <v>20</v>
      </c>
      <c r="D1568" s="33">
        <f>Demand!E1566</f>
        <v>29</v>
      </c>
      <c r="E1568" s="33">
        <f>IF(Demand!F1566,1,0)</f>
        <v>1</v>
      </c>
      <c r="F1568" s="33">
        <f>COUNTIFS(c_store,A1568,c_date,B1568,c_hour,C1568)</f>
        <v>0</v>
      </c>
      <c r="G1568" s="33">
        <f>IF(F1568&gt;0,1,0)</f>
        <v>0</v>
      </c>
      <c r="H1568" s="33">
        <f>COUNTIFS(Demand!$A$2:$A$4481,A1568,Demand!$B$2:$B$4481,B1568,Demand!$C$2:$C$4481,C1568)</f>
        <v>1</v>
      </c>
    </row>
    <row r="1569">
      <c r="A1569" s="32" t="str">
        <f>Demand!A1567</f>
        <v>S018</v>
      </c>
      <c r="B1569" s="35">
        <f>Demand!B1567</f>
        <v>46270.0</v>
      </c>
      <c r="C1569" s="33">
        <f>Demand!C1567</f>
        <v>21</v>
      </c>
      <c r="D1569" s="33">
        <f>Demand!E1567</f>
        <v>33</v>
      </c>
      <c r="E1569" s="33">
        <f>IF(Demand!F1567,1,0)</f>
        <v>1</v>
      </c>
      <c r="F1569" s="33">
        <f>COUNTIFS(c_store,A1569,c_date,B1569,c_hour,C1569)</f>
        <v>0</v>
      </c>
      <c r="G1569" s="33">
        <f>IF(F1569&gt;0,1,0)</f>
        <v>0</v>
      </c>
      <c r="H1569" s="33">
        <f>COUNTIFS(Demand!$A$2:$A$4481,A1569,Demand!$B$2:$B$4481,B1569,Demand!$C$2:$C$4481,C1569)</f>
        <v>1</v>
      </c>
    </row>
    <row r="1570">
      <c r="A1570" s="32" t="str">
        <f>Demand!A1568</f>
        <v>S018</v>
      </c>
      <c r="B1570" s="35">
        <f>Demand!B1568</f>
        <v>46270.0</v>
      </c>
      <c r="C1570" s="33">
        <f>Demand!C1568</f>
        <v>22</v>
      </c>
      <c r="D1570" s="33">
        <f>Demand!E1568</f>
        <v>24</v>
      </c>
      <c r="E1570" s="33">
        <f>IF(Demand!F1568,1,0)</f>
        <v>0</v>
      </c>
      <c r="F1570" s="33">
        <f>COUNTIFS(c_store,A1570,c_date,B1570,c_hour,C1570)</f>
        <v>0</v>
      </c>
      <c r="G1570" s="33">
        <f>IF(F1570&gt;0,1,0)</f>
        <v>0</v>
      </c>
      <c r="H1570" s="33">
        <f>COUNTIFS(Demand!$A$2:$A$4481,A1570,Demand!$B$2:$B$4481,B1570,Demand!$C$2:$C$4481,C1570)</f>
        <v>1</v>
      </c>
    </row>
    <row r="1571">
      <c r="A1571" s="32" t="str">
        <f>Demand!A1569</f>
        <v>S018</v>
      </c>
      <c r="B1571" s="35">
        <f>Demand!B1569</f>
        <v>46270.0</v>
      </c>
      <c r="C1571" s="33">
        <f>Demand!C1569</f>
        <v>23</v>
      </c>
      <c r="D1571" s="33">
        <f>Demand!E1569</f>
        <v>29</v>
      </c>
      <c r="E1571" s="33">
        <f>IF(Demand!F1569,1,0)</f>
        <v>0</v>
      </c>
      <c r="F1571" s="33">
        <f>COUNTIFS(c_store,A1571,c_date,B1571,c_hour,C1571)</f>
        <v>1</v>
      </c>
      <c r="G1571" s="33">
        <f>IF(F1571&gt;0,1,0)</f>
        <v>1</v>
      </c>
      <c r="H1571" s="33">
        <f>COUNTIFS(Demand!$A$2:$A$4481,A1571,Demand!$B$2:$B$4481,B1571,Demand!$C$2:$C$4481,C1571)</f>
        <v>1</v>
      </c>
    </row>
    <row r="1572">
      <c r="A1572" s="32" t="str">
        <f>Demand!A1570</f>
        <v>S019</v>
      </c>
      <c r="B1572" s="35">
        <f>Demand!B1570</f>
        <v>46270.0</v>
      </c>
      <c r="C1572" s="33">
        <f>Demand!C1570</f>
        <v>8</v>
      </c>
      <c r="D1572" s="33">
        <f>Demand!E1570</f>
        <v>16</v>
      </c>
      <c r="E1572" s="33">
        <f>IF(Demand!F1570,1,0)</f>
        <v>0</v>
      </c>
      <c r="F1572" s="33">
        <f>COUNTIFS(c_store,A1572,c_date,B1572,c_hour,C1572)</f>
        <v>0</v>
      </c>
      <c r="G1572" s="33">
        <f>IF(F1572&gt;0,1,0)</f>
        <v>0</v>
      </c>
      <c r="H1572" s="33">
        <f>COUNTIFS(Demand!$A$2:$A$4481,A1572,Demand!$B$2:$B$4481,B1572,Demand!$C$2:$C$4481,C1572)</f>
        <v>1</v>
      </c>
    </row>
    <row r="1573">
      <c r="A1573" s="32" t="str">
        <f>Demand!A1571</f>
        <v>S019</v>
      </c>
      <c r="B1573" s="35">
        <f>Demand!B1571</f>
        <v>46270.0</v>
      </c>
      <c r="C1573" s="33">
        <f>Demand!C1571</f>
        <v>9</v>
      </c>
      <c r="D1573" s="33">
        <f>Demand!E1571</f>
        <v>16</v>
      </c>
      <c r="E1573" s="33">
        <f>IF(Demand!F1571,1,0)</f>
        <v>0</v>
      </c>
      <c r="F1573" s="33">
        <f>COUNTIFS(c_store,A1573,c_date,B1573,c_hour,C1573)</f>
        <v>2</v>
      </c>
      <c r="G1573" s="33">
        <f>IF(F1573&gt;0,1,0)</f>
        <v>1</v>
      </c>
      <c r="H1573" s="33">
        <f>COUNTIFS(Demand!$A$2:$A$4481,A1573,Demand!$B$2:$B$4481,B1573,Demand!$C$2:$C$4481,C1573)</f>
        <v>1</v>
      </c>
    </row>
    <row r="1574">
      <c r="A1574" s="32" t="str">
        <f>Demand!A1572</f>
        <v>S019</v>
      </c>
      <c r="B1574" s="35">
        <f>Demand!B1572</f>
        <v>46270.0</v>
      </c>
      <c r="C1574" s="33">
        <f>Demand!C1572</f>
        <v>10</v>
      </c>
      <c r="D1574" s="33">
        <f>Demand!E1572</f>
        <v>17</v>
      </c>
      <c r="E1574" s="33">
        <f>IF(Demand!F1572,1,0)</f>
        <v>0</v>
      </c>
      <c r="F1574" s="33">
        <f>COUNTIFS(c_store,A1574,c_date,B1574,c_hour,C1574)</f>
        <v>0</v>
      </c>
      <c r="G1574" s="33">
        <f>IF(F1574&gt;0,1,0)</f>
        <v>0</v>
      </c>
      <c r="H1574" s="33">
        <f>COUNTIFS(Demand!$A$2:$A$4481,A1574,Demand!$B$2:$B$4481,B1574,Demand!$C$2:$C$4481,C1574)</f>
        <v>1</v>
      </c>
    </row>
    <row r="1575">
      <c r="A1575" s="32" t="str">
        <f>Demand!A1573</f>
        <v>S019</v>
      </c>
      <c r="B1575" s="35">
        <f>Demand!B1573</f>
        <v>46270.0</v>
      </c>
      <c r="C1575" s="33">
        <f>Demand!C1573</f>
        <v>11</v>
      </c>
      <c r="D1575" s="33">
        <f>Demand!E1573</f>
        <v>22</v>
      </c>
      <c r="E1575" s="33">
        <f>IF(Demand!F1573,1,0)</f>
        <v>0</v>
      </c>
      <c r="F1575" s="33">
        <f>COUNTIFS(c_store,A1575,c_date,B1575,c_hour,C1575)</f>
        <v>1</v>
      </c>
      <c r="G1575" s="33">
        <f>IF(F1575&gt;0,1,0)</f>
        <v>1</v>
      </c>
      <c r="H1575" s="33">
        <f>COUNTIFS(Demand!$A$2:$A$4481,A1575,Demand!$B$2:$B$4481,B1575,Demand!$C$2:$C$4481,C1575)</f>
        <v>1</v>
      </c>
    </row>
    <row r="1576">
      <c r="A1576" s="32" t="str">
        <f>Demand!A1574</f>
        <v>S019</v>
      </c>
      <c r="B1576" s="35">
        <f>Demand!B1574</f>
        <v>46270.0</v>
      </c>
      <c r="C1576" s="33">
        <f>Demand!C1574</f>
        <v>12</v>
      </c>
      <c r="D1576" s="33">
        <f>Demand!E1574</f>
        <v>26</v>
      </c>
      <c r="E1576" s="33">
        <f>IF(Demand!F1574,1,0)</f>
        <v>0</v>
      </c>
      <c r="F1576" s="33">
        <f>COUNTIFS(c_store,A1576,c_date,B1576,c_hour,C1576)</f>
        <v>1</v>
      </c>
      <c r="G1576" s="33">
        <f>IF(F1576&gt;0,1,0)</f>
        <v>1</v>
      </c>
      <c r="H1576" s="33">
        <f>COUNTIFS(Demand!$A$2:$A$4481,A1576,Demand!$B$2:$B$4481,B1576,Demand!$C$2:$C$4481,C1576)</f>
        <v>1</v>
      </c>
    </row>
    <row r="1577">
      <c r="A1577" s="32" t="str">
        <f>Demand!A1575</f>
        <v>S019</v>
      </c>
      <c r="B1577" s="35">
        <f>Demand!B1575</f>
        <v>46270.0</v>
      </c>
      <c r="C1577" s="33">
        <f>Demand!C1575</f>
        <v>13</v>
      </c>
      <c r="D1577" s="33">
        <f>Demand!E1575</f>
        <v>21</v>
      </c>
      <c r="E1577" s="33">
        <f>IF(Demand!F1575,1,0)</f>
        <v>0</v>
      </c>
      <c r="F1577" s="33">
        <f>COUNTIFS(c_store,A1577,c_date,B1577,c_hour,C1577)</f>
        <v>1</v>
      </c>
      <c r="G1577" s="33">
        <f>IF(F1577&gt;0,1,0)</f>
        <v>1</v>
      </c>
      <c r="H1577" s="33">
        <f>COUNTIFS(Demand!$A$2:$A$4481,A1577,Demand!$B$2:$B$4481,B1577,Demand!$C$2:$C$4481,C1577)</f>
        <v>1</v>
      </c>
    </row>
    <row r="1578">
      <c r="A1578" s="32" t="str">
        <f>Demand!A1576</f>
        <v>S019</v>
      </c>
      <c r="B1578" s="35">
        <f>Demand!B1576</f>
        <v>46270.0</v>
      </c>
      <c r="C1578" s="33">
        <f>Demand!C1576</f>
        <v>14</v>
      </c>
      <c r="D1578" s="33">
        <f>Demand!E1576</f>
        <v>12</v>
      </c>
      <c r="E1578" s="33">
        <f>IF(Demand!F1576,1,0)</f>
        <v>0</v>
      </c>
      <c r="F1578" s="33">
        <f>COUNTIFS(c_store,A1578,c_date,B1578,c_hour,C1578)</f>
        <v>1</v>
      </c>
      <c r="G1578" s="33">
        <f>IF(F1578&gt;0,1,0)</f>
        <v>1</v>
      </c>
      <c r="H1578" s="33">
        <f>COUNTIFS(Demand!$A$2:$A$4481,A1578,Demand!$B$2:$B$4481,B1578,Demand!$C$2:$C$4481,C1578)</f>
        <v>1</v>
      </c>
    </row>
    <row r="1579">
      <c r="A1579" s="32" t="str">
        <f>Demand!A1577</f>
        <v>S019</v>
      </c>
      <c r="B1579" s="35">
        <f>Demand!B1577</f>
        <v>46270.0</v>
      </c>
      <c r="C1579" s="33">
        <f>Demand!C1577</f>
        <v>15</v>
      </c>
      <c r="D1579" s="33">
        <f>Demand!E1577</f>
        <v>29</v>
      </c>
      <c r="E1579" s="33">
        <f>IF(Demand!F1577,1,0)</f>
        <v>0</v>
      </c>
      <c r="F1579" s="33">
        <f>COUNTIFS(c_store,A1579,c_date,B1579,c_hour,C1579)</f>
        <v>1</v>
      </c>
      <c r="G1579" s="33">
        <f>IF(F1579&gt;0,1,0)</f>
        <v>1</v>
      </c>
      <c r="H1579" s="33">
        <f>COUNTIFS(Demand!$A$2:$A$4481,A1579,Demand!$B$2:$B$4481,B1579,Demand!$C$2:$C$4481,C1579)</f>
        <v>1</v>
      </c>
    </row>
    <row r="1580">
      <c r="A1580" s="32" t="str">
        <f>Demand!A1578</f>
        <v>S019</v>
      </c>
      <c r="B1580" s="35">
        <f>Demand!B1578</f>
        <v>46270.0</v>
      </c>
      <c r="C1580" s="33">
        <f>Demand!C1578</f>
        <v>16</v>
      </c>
      <c r="D1580" s="33">
        <f>Demand!E1578</f>
        <v>30</v>
      </c>
      <c r="E1580" s="33">
        <f>IF(Demand!F1578,1,0)</f>
        <v>0</v>
      </c>
      <c r="F1580" s="33">
        <f>COUNTIFS(c_store,A1580,c_date,B1580,c_hour,C1580)</f>
        <v>0</v>
      </c>
      <c r="G1580" s="33">
        <f>IF(F1580&gt;0,1,0)</f>
        <v>0</v>
      </c>
      <c r="H1580" s="33">
        <f>COUNTIFS(Demand!$A$2:$A$4481,A1580,Demand!$B$2:$B$4481,B1580,Demand!$C$2:$C$4481,C1580)</f>
        <v>1</v>
      </c>
    </row>
    <row r="1581">
      <c r="A1581" s="32" t="str">
        <f>Demand!A1579</f>
        <v>S019</v>
      </c>
      <c r="B1581" s="35">
        <f>Demand!B1579</f>
        <v>46270.0</v>
      </c>
      <c r="C1581" s="33">
        <f>Demand!C1579</f>
        <v>17</v>
      </c>
      <c r="D1581" s="33">
        <f>Demand!E1579</f>
        <v>24</v>
      </c>
      <c r="E1581" s="33">
        <f>IF(Demand!F1579,1,0)</f>
        <v>0</v>
      </c>
      <c r="F1581" s="33">
        <f>COUNTIFS(c_store,A1581,c_date,B1581,c_hour,C1581)</f>
        <v>0</v>
      </c>
      <c r="G1581" s="33">
        <f>IF(F1581&gt;0,1,0)</f>
        <v>0</v>
      </c>
      <c r="H1581" s="33">
        <f>COUNTIFS(Demand!$A$2:$A$4481,A1581,Demand!$B$2:$B$4481,B1581,Demand!$C$2:$C$4481,C1581)</f>
        <v>1</v>
      </c>
    </row>
    <row r="1582">
      <c r="A1582" s="32" t="str">
        <f>Demand!A1580</f>
        <v>S019</v>
      </c>
      <c r="B1582" s="35">
        <f>Demand!B1580</f>
        <v>46270.0</v>
      </c>
      <c r="C1582" s="33">
        <f>Demand!C1580</f>
        <v>18</v>
      </c>
      <c r="D1582" s="33">
        <f>Demand!E1580</f>
        <v>15</v>
      </c>
      <c r="E1582" s="33">
        <f>IF(Demand!F1580,1,0)</f>
        <v>0</v>
      </c>
      <c r="F1582" s="33">
        <f>COUNTIFS(c_store,A1582,c_date,B1582,c_hour,C1582)</f>
        <v>0</v>
      </c>
      <c r="G1582" s="33">
        <f>IF(F1582&gt;0,1,0)</f>
        <v>0</v>
      </c>
      <c r="H1582" s="33">
        <f>COUNTIFS(Demand!$A$2:$A$4481,A1582,Demand!$B$2:$B$4481,B1582,Demand!$C$2:$C$4481,C1582)</f>
        <v>1</v>
      </c>
    </row>
    <row r="1583">
      <c r="A1583" s="32" t="str">
        <f>Demand!A1581</f>
        <v>S019</v>
      </c>
      <c r="B1583" s="35">
        <f>Demand!B1581</f>
        <v>46270.0</v>
      </c>
      <c r="C1583" s="33">
        <f>Demand!C1581</f>
        <v>19</v>
      </c>
      <c r="D1583" s="33">
        <f>Demand!E1581</f>
        <v>38</v>
      </c>
      <c r="E1583" s="33">
        <f>IF(Demand!F1581,1,0)</f>
        <v>1</v>
      </c>
      <c r="F1583" s="33">
        <f>COUNTIFS(c_store,A1583,c_date,B1583,c_hour,C1583)</f>
        <v>0</v>
      </c>
      <c r="G1583" s="33">
        <f>IF(F1583&gt;0,1,0)</f>
        <v>0</v>
      </c>
      <c r="H1583" s="33">
        <f>COUNTIFS(Demand!$A$2:$A$4481,A1583,Demand!$B$2:$B$4481,B1583,Demand!$C$2:$C$4481,C1583)</f>
        <v>1</v>
      </c>
    </row>
    <row r="1584">
      <c r="A1584" s="32" t="str">
        <f>Demand!A1582</f>
        <v>S019</v>
      </c>
      <c r="B1584" s="35">
        <f>Demand!B1582</f>
        <v>46270.0</v>
      </c>
      <c r="C1584" s="33">
        <f>Demand!C1582</f>
        <v>20</v>
      </c>
      <c r="D1584" s="33">
        <f>Demand!E1582</f>
        <v>36</v>
      </c>
      <c r="E1584" s="33">
        <f>IF(Demand!F1582,1,0)</f>
        <v>1</v>
      </c>
      <c r="F1584" s="33">
        <f>COUNTIFS(c_store,A1584,c_date,B1584,c_hour,C1584)</f>
        <v>0</v>
      </c>
      <c r="G1584" s="33">
        <f>IF(F1584&gt;0,1,0)</f>
        <v>0</v>
      </c>
      <c r="H1584" s="33">
        <f>COUNTIFS(Demand!$A$2:$A$4481,A1584,Demand!$B$2:$B$4481,B1584,Demand!$C$2:$C$4481,C1584)</f>
        <v>1</v>
      </c>
    </row>
    <row r="1585">
      <c r="A1585" s="32" t="str">
        <f>Demand!A1583</f>
        <v>S019</v>
      </c>
      <c r="B1585" s="35">
        <f>Demand!B1583</f>
        <v>46270.0</v>
      </c>
      <c r="C1585" s="33">
        <f>Demand!C1583</f>
        <v>21</v>
      </c>
      <c r="D1585" s="33">
        <f>Demand!E1583</f>
        <v>34</v>
      </c>
      <c r="E1585" s="33">
        <f>IF(Demand!F1583,1,0)</f>
        <v>1</v>
      </c>
      <c r="F1585" s="33">
        <f>COUNTIFS(c_store,A1585,c_date,B1585,c_hour,C1585)</f>
        <v>0</v>
      </c>
      <c r="G1585" s="33">
        <f>IF(F1585&gt;0,1,0)</f>
        <v>0</v>
      </c>
      <c r="H1585" s="33">
        <f>COUNTIFS(Demand!$A$2:$A$4481,A1585,Demand!$B$2:$B$4481,B1585,Demand!$C$2:$C$4481,C1585)</f>
        <v>1</v>
      </c>
    </row>
    <row r="1586">
      <c r="A1586" s="32" t="str">
        <f>Demand!A1584</f>
        <v>S019</v>
      </c>
      <c r="B1586" s="35">
        <f>Demand!B1584</f>
        <v>46270.0</v>
      </c>
      <c r="C1586" s="33">
        <f>Demand!C1584</f>
        <v>22</v>
      </c>
      <c r="D1586" s="33">
        <f>Demand!E1584</f>
        <v>23</v>
      </c>
      <c r="E1586" s="33">
        <f>IF(Demand!F1584,1,0)</f>
        <v>0</v>
      </c>
      <c r="F1586" s="33">
        <f>COUNTIFS(c_store,A1586,c_date,B1586,c_hour,C1586)</f>
        <v>0</v>
      </c>
      <c r="G1586" s="33">
        <f>IF(F1586&gt;0,1,0)</f>
        <v>0</v>
      </c>
      <c r="H1586" s="33">
        <f>COUNTIFS(Demand!$A$2:$A$4481,A1586,Demand!$B$2:$B$4481,B1586,Demand!$C$2:$C$4481,C1586)</f>
        <v>1</v>
      </c>
    </row>
    <row r="1587">
      <c r="A1587" s="32" t="str">
        <f>Demand!A1585</f>
        <v>S019</v>
      </c>
      <c r="B1587" s="35">
        <f>Demand!B1585</f>
        <v>46270.0</v>
      </c>
      <c r="C1587" s="33">
        <f>Demand!C1585</f>
        <v>23</v>
      </c>
      <c r="D1587" s="33">
        <f>Demand!E1585</f>
        <v>27</v>
      </c>
      <c r="E1587" s="33">
        <f>IF(Demand!F1585,1,0)</f>
        <v>0</v>
      </c>
      <c r="F1587" s="33">
        <f>COUNTIFS(c_store,A1587,c_date,B1587,c_hour,C1587)</f>
        <v>0</v>
      </c>
      <c r="G1587" s="33">
        <f>IF(F1587&gt;0,1,0)</f>
        <v>0</v>
      </c>
      <c r="H1587" s="33">
        <f>COUNTIFS(Demand!$A$2:$A$4481,A1587,Demand!$B$2:$B$4481,B1587,Demand!$C$2:$C$4481,C1587)</f>
        <v>1</v>
      </c>
    </row>
    <row r="1588">
      <c r="A1588" s="32" t="str">
        <f>Demand!A1586</f>
        <v>S020</v>
      </c>
      <c r="B1588" s="35">
        <f>Demand!B1586</f>
        <v>46270.0</v>
      </c>
      <c r="C1588" s="33">
        <f>Demand!C1586</f>
        <v>8</v>
      </c>
      <c r="D1588" s="33">
        <f>Demand!E1586</f>
        <v>11</v>
      </c>
      <c r="E1588" s="33">
        <f>IF(Demand!F1586,1,0)</f>
        <v>0</v>
      </c>
      <c r="F1588" s="33">
        <f>COUNTIFS(c_store,A1588,c_date,B1588,c_hour,C1588)</f>
        <v>0</v>
      </c>
      <c r="G1588" s="33">
        <f>IF(F1588&gt;0,1,0)</f>
        <v>0</v>
      </c>
      <c r="H1588" s="33">
        <f>COUNTIFS(Demand!$A$2:$A$4481,A1588,Demand!$B$2:$B$4481,B1588,Demand!$C$2:$C$4481,C1588)</f>
        <v>1</v>
      </c>
    </row>
    <row r="1589">
      <c r="A1589" s="32" t="str">
        <f>Demand!A1587</f>
        <v>S020</v>
      </c>
      <c r="B1589" s="35">
        <f>Demand!B1587</f>
        <v>46270.0</v>
      </c>
      <c r="C1589" s="33">
        <f>Demand!C1587</f>
        <v>9</v>
      </c>
      <c r="D1589" s="33">
        <f>Demand!E1587</f>
        <v>9</v>
      </c>
      <c r="E1589" s="33">
        <f>IF(Demand!F1587,1,0)</f>
        <v>0</v>
      </c>
      <c r="F1589" s="33">
        <f>COUNTIFS(c_store,A1589,c_date,B1589,c_hour,C1589)</f>
        <v>0</v>
      </c>
      <c r="G1589" s="33">
        <f>IF(F1589&gt;0,1,0)</f>
        <v>0</v>
      </c>
      <c r="H1589" s="33">
        <f>COUNTIFS(Demand!$A$2:$A$4481,A1589,Demand!$B$2:$B$4481,B1589,Demand!$C$2:$C$4481,C1589)</f>
        <v>1</v>
      </c>
    </row>
    <row r="1590">
      <c r="A1590" s="32" t="str">
        <f>Demand!A1588</f>
        <v>S020</v>
      </c>
      <c r="B1590" s="35">
        <f>Demand!B1588</f>
        <v>46270.0</v>
      </c>
      <c r="C1590" s="33">
        <f>Demand!C1588</f>
        <v>10</v>
      </c>
      <c r="D1590" s="33">
        <f>Demand!E1588</f>
        <v>13</v>
      </c>
      <c r="E1590" s="33">
        <f>IF(Demand!F1588,1,0)</f>
        <v>0</v>
      </c>
      <c r="F1590" s="33">
        <f>COUNTIFS(c_store,A1590,c_date,B1590,c_hour,C1590)</f>
        <v>0</v>
      </c>
      <c r="G1590" s="33">
        <f>IF(F1590&gt;0,1,0)</f>
        <v>0</v>
      </c>
      <c r="H1590" s="33">
        <f>COUNTIFS(Demand!$A$2:$A$4481,A1590,Demand!$B$2:$B$4481,B1590,Demand!$C$2:$C$4481,C1590)</f>
        <v>1</v>
      </c>
    </row>
    <row r="1591">
      <c r="A1591" s="32" t="str">
        <f>Demand!A1589</f>
        <v>S020</v>
      </c>
      <c r="B1591" s="35">
        <f>Demand!B1589</f>
        <v>46270.0</v>
      </c>
      <c r="C1591" s="33">
        <f>Demand!C1589</f>
        <v>11</v>
      </c>
      <c r="D1591" s="33">
        <f>Demand!E1589</f>
        <v>18</v>
      </c>
      <c r="E1591" s="33">
        <f>IF(Demand!F1589,1,0)</f>
        <v>0</v>
      </c>
      <c r="F1591" s="33">
        <f>COUNTIFS(c_store,A1591,c_date,B1591,c_hour,C1591)</f>
        <v>0</v>
      </c>
      <c r="G1591" s="33">
        <f>IF(F1591&gt;0,1,0)</f>
        <v>0</v>
      </c>
      <c r="H1591" s="33">
        <f>COUNTIFS(Demand!$A$2:$A$4481,A1591,Demand!$B$2:$B$4481,B1591,Demand!$C$2:$C$4481,C1591)</f>
        <v>1</v>
      </c>
    </row>
    <row r="1592">
      <c r="A1592" s="32" t="str">
        <f>Demand!A1590</f>
        <v>S020</v>
      </c>
      <c r="B1592" s="35">
        <f>Demand!B1590</f>
        <v>46270.0</v>
      </c>
      <c r="C1592" s="33">
        <f>Demand!C1590</f>
        <v>12</v>
      </c>
      <c r="D1592" s="33">
        <f>Demand!E1590</f>
        <v>19</v>
      </c>
      <c r="E1592" s="33">
        <f>IF(Demand!F1590,1,0)</f>
        <v>0</v>
      </c>
      <c r="F1592" s="33">
        <f>COUNTIFS(c_store,A1592,c_date,B1592,c_hour,C1592)</f>
        <v>0</v>
      </c>
      <c r="G1592" s="33">
        <f>IF(F1592&gt;0,1,0)</f>
        <v>0</v>
      </c>
      <c r="H1592" s="33">
        <f>COUNTIFS(Demand!$A$2:$A$4481,A1592,Demand!$B$2:$B$4481,B1592,Demand!$C$2:$C$4481,C1592)</f>
        <v>1</v>
      </c>
    </row>
    <row r="1593">
      <c r="A1593" s="32" t="str">
        <f>Demand!A1591</f>
        <v>S020</v>
      </c>
      <c r="B1593" s="35">
        <f>Demand!B1591</f>
        <v>46270.0</v>
      </c>
      <c r="C1593" s="33">
        <f>Demand!C1591</f>
        <v>13</v>
      </c>
      <c r="D1593" s="33">
        <f>Demand!E1591</f>
        <v>18</v>
      </c>
      <c r="E1593" s="33">
        <f>IF(Demand!F1591,1,0)</f>
        <v>0</v>
      </c>
      <c r="F1593" s="33">
        <f>COUNTIFS(c_store,A1593,c_date,B1593,c_hour,C1593)</f>
        <v>0</v>
      </c>
      <c r="G1593" s="33">
        <f>IF(F1593&gt;0,1,0)</f>
        <v>0</v>
      </c>
      <c r="H1593" s="33">
        <f>COUNTIFS(Demand!$A$2:$A$4481,A1593,Demand!$B$2:$B$4481,B1593,Demand!$C$2:$C$4481,C1593)</f>
        <v>1</v>
      </c>
    </row>
    <row r="1594">
      <c r="A1594" s="32" t="str">
        <f>Demand!A1592</f>
        <v>S020</v>
      </c>
      <c r="B1594" s="35">
        <f>Demand!B1592</f>
        <v>46270.0</v>
      </c>
      <c r="C1594" s="33">
        <f>Demand!C1592</f>
        <v>14</v>
      </c>
      <c r="D1594" s="33">
        <f>Demand!E1592</f>
        <v>6</v>
      </c>
      <c r="E1594" s="33">
        <f>IF(Demand!F1592,1,0)</f>
        <v>0</v>
      </c>
      <c r="F1594" s="33">
        <f>COUNTIFS(c_store,A1594,c_date,B1594,c_hour,C1594)</f>
        <v>0</v>
      </c>
      <c r="G1594" s="33">
        <f>IF(F1594&gt;0,1,0)</f>
        <v>0</v>
      </c>
      <c r="H1594" s="33">
        <f>COUNTIFS(Demand!$A$2:$A$4481,A1594,Demand!$B$2:$B$4481,B1594,Demand!$C$2:$C$4481,C1594)</f>
        <v>1</v>
      </c>
    </row>
    <row r="1595">
      <c r="A1595" s="32" t="str">
        <f>Demand!A1593</f>
        <v>S020</v>
      </c>
      <c r="B1595" s="35">
        <f>Demand!B1593</f>
        <v>46270.0</v>
      </c>
      <c r="C1595" s="33">
        <f>Demand!C1593</f>
        <v>15</v>
      </c>
      <c r="D1595" s="33">
        <f>Demand!E1593</f>
        <v>10</v>
      </c>
      <c r="E1595" s="33">
        <f>IF(Demand!F1593,1,0)</f>
        <v>0</v>
      </c>
      <c r="F1595" s="33">
        <f>COUNTIFS(c_store,A1595,c_date,B1595,c_hour,C1595)</f>
        <v>2</v>
      </c>
      <c r="G1595" s="33">
        <f>IF(F1595&gt;0,1,0)</f>
        <v>1</v>
      </c>
      <c r="H1595" s="33">
        <f>COUNTIFS(Demand!$A$2:$A$4481,A1595,Demand!$B$2:$B$4481,B1595,Demand!$C$2:$C$4481,C1595)</f>
        <v>1</v>
      </c>
    </row>
    <row r="1596">
      <c r="A1596" s="32" t="str">
        <f>Demand!A1594</f>
        <v>S020</v>
      </c>
      <c r="B1596" s="35">
        <f>Demand!B1594</f>
        <v>46270.0</v>
      </c>
      <c r="C1596" s="33">
        <f>Demand!C1594</f>
        <v>16</v>
      </c>
      <c r="D1596" s="33">
        <f>Demand!E1594</f>
        <v>15</v>
      </c>
      <c r="E1596" s="33">
        <f>IF(Demand!F1594,1,0)</f>
        <v>0</v>
      </c>
      <c r="F1596" s="33">
        <f>COUNTIFS(c_store,A1596,c_date,B1596,c_hour,C1596)</f>
        <v>0</v>
      </c>
      <c r="G1596" s="33">
        <f>IF(F1596&gt;0,1,0)</f>
        <v>0</v>
      </c>
      <c r="H1596" s="33">
        <f>COUNTIFS(Demand!$A$2:$A$4481,A1596,Demand!$B$2:$B$4481,B1596,Demand!$C$2:$C$4481,C1596)</f>
        <v>1</v>
      </c>
    </row>
    <row r="1597">
      <c r="A1597" s="32" t="str">
        <f>Demand!A1595</f>
        <v>S020</v>
      </c>
      <c r="B1597" s="35">
        <f>Demand!B1595</f>
        <v>46270.0</v>
      </c>
      <c r="C1597" s="33">
        <f>Demand!C1595</f>
        <v>17</v>
      </c>
      <c r="D1597" s="33">
        <f>Demand!E1595</f>
        <v>12</v>
      </c>
      <c r="E1597" s="33">
        <f>IF(Demand!F1595,1,0)</f>
        <v>0</v>
      </c>
      <c r="F1597" s="33">
        <f>COUNTIFS(c_store,A1597,c_date,B1597,c_hour,C1597)</f>
        <v>0</v>
      </c>
      <c r="G1597" s="33">
        <f>IF(F1597&gt;0,1,0)</f>
        <v>0</v>
      </c>
      <c r="H1597" s="33">
        <f>COUNTIFS(Demand!$A$2:$A$4481,A1597,Demand!$B$2:$B$4481,B1597,Demand!$C$2:$C$4481,C1597)</f>
        <v>1</v>
      </c>
    </row>
    <row r="1598">
      <c r="A1598" s="32" t="str">
        <f>Demand!A1596</f>
        <v>S020</v>
      </c>
      <c r="B1598" s="35">
        <f>Demand!B1596</f>
        <v>46270.0</v>
      </c>
      <c r="C1598" s="33">
        <f>Demand!C1596</f>
        <v>18</v>
      </c>
      <c r="D1598" s="33">
        <f>Demand!E1596</f>
        <v>9</v>
      </c>
      <c r="E1598" s="33">
        <f>IF(Demand!F1596,1,0)</f>
        <v>0</v>
      </c>
      <c r="F1598" s="33">
        <f>COUNTIFS(c_store,A1598,c_date,B1598,c_hour,C1598)</f>
        <v>0</v>
      </c>
      <c r="G1598" s="33">
        <f>IF(F1598&gt;0,1,0)</f>
        <v>0</v>
      </c>
      <c r="H1598" s="33">
        <f>COUNTIFS(Demand!$A$2:$A$4481,A1598,Demand!$B$2:$B$4481,B1598,Demand!$C$2:$C$4481,C1598)</f>
        <v>1</v>
      </c>
    </row>
    <row r="1599">
      <c r="A1599" s="32" t="str">
        <f>Demand!A1597</f>
        <v>S020</v>
      </c>
      <c r="B1599" s="35">
        <f>Demand!B1597</f>
        <v>46270.0</v>
      </c>
      <c r="C1599" s="33">
        <f>Demand!C1597</f>
        <v>19</v>
      </c>
      <c r="D1599" s="33">
        <f>Demand!E1597</f>
        <v>26</v>
      </c>
      <c r="E1599" s="33">
        <f>IF(Demand!F1597,1,0)</f>
        <v>1</v>
      </c>
      <c r="F1599" s="33">
        <f>COUNTIFS(c_store,A1599,c_date,B1599,c_hour,C1599)</f>
        <v>1</v>
      </c>
      <c r="G1599" s="33">
        <f>IF(F1599&gt;0,1,0)</f>
        <v>1</v>
      </c>
      <c r="H1599" s="33">
        <f>COUNTIFS(Demand!$A$2:$A$4481,A1599,Demand!$B$2:$B$4481,B1599,Demand!$C$2:$C$4481,C1599)</f>
        <v>1</v>
      </c>
    </row>
    <row r="1600">
      <c r="A1600" s="32" t="str">
        <f>Demand!A1598</f>
        <v>S020</v>
      </c>
      <c r="B1600" s="35">
        <f>Demand!B1598</f>
        <v>46270.0</v>
      </c>
      <c r="C1600" s="33">
        <f>Demand!C1598</f>
        <v>20</v>
      </c>
      <c r="D1600" s="33">
        <f>Demand!E1598</f>
        <v>25</v>
      </c>
      <c r="E1600" s="33">
        <f>IF(Demand!F1598,1,0)</f>
        <v>1</v>
      </c>
      <c r="F1600" s="33">
        <f>COUNTIFS(c_store,A1600,c_date,B1600,c_hour,C1600)</f>
        <v>1</v>
      </c>
      <c r="G1600" s="33">
        <f>IF(F1600&gt;0,1,0)</f>
        <v>1</v>
      </c>
      <c r="H1600" s="33">
        <f>COUNTIFS(Demand!$A$2:$A$4481,A1600,Demand!$B$2:$B$4481,B1600,Demand!$C$2:$C$4481,C1600)</f>
        <v>1</v>
      </c>
    </row>
    <row r="1601">
      <c r="A1601" s="32" t="str">
        <f>Demand!A1599</f>
        <v>S020</v>
      </c>
      <c r="B1601" s="35">
        <f>Demand!B1599</f>
        <v>46270.0</v>
      </c>
      <c r="C1601" s="33">
        <f>Demand!C1599</f>
        <v>21</v>
      </c>
      <c r="D1601" s="33">
        <f>Demand!E1599</f>
        <v>30</v>
      </c>
      <c r="E1601" s="33">
        <f>IF(Demand!F1599,1,0)</f>
        <v>1</v>
      </c>
      <c r="F1601" s="33">
        <f>COUNTIFS(c_store,A1601,c_date,B1601,c_hour,C1601)</f>
        <v>1</v>
      </c>
      <c r="G1601" s="33">
        <f>IF(F1601&gt;0,1,0)</f>
        <v>1</v>
      </c>
      <c r="H1601" s="33">
        <f>COUNTIFS(Demand!$A$2:$A$4481,A1601,Demand!$B$2:$B$4481,B1601,Demand!$C$2:$C$4481,C1601)</f>
        <v>1</v>
      </c>
    </row>
    <row r="1602">
      <c r="A1602" s="32" t="str">
        <f>Demand!A1600</f>
        <v>S020</v>
      </c>
      <c r="B1602" s="35">
        <f>Demand!B1600</f>
        <v>46270.0</v>
      </c>
      <c r="C1602" s="33">
        <f>Demand!C1600</f>
        <v>22</v>
      </c>
      <c r="D1602" s="33">
        <f>Demand!E1600</f>
        <v>23</v>
      </c>
      <c r="E1602" s="33">
        <f>IF(Demand!F1600,1,0)</f>
        <v>0</v>
      </c>
      <c r="F1602" s="33">
        <f>COUNTIFS(c_store,A1602,c_date,B1602,c_hour,C1602)</f>
        <v>0</v>
      </c>
      <c r="G1602" s="33">
        <f>IF(F1602&gt;0,1,0)</f>
        <v>0</v>
      </c>
      <c r="H1602" s="33">
        <f>COUNTIFS(Demand!$A$2:$A$4481,A1602,Demand!$B$2:$B$4481,B1602,Demand!$C$2:$C$4481,C1602)</f>
        <v>1</v>
      </c>
    </row>
    <row r="1603">
      <c r="A1603" s="32" t="str">
        <f>Demand!A1601</f>
        <v>S020</v>
      </c>
      <c r="B1603" s="35">
        <f>Demand!B1601</f>
        <v>46270.0</v>
      </c>
      <c r="C1603" s="33">
        <f>Demand!C1601</f>
        <v>23</v>
      </c>
      <c r="D1603" s="33">
        <f>Demand!E1601</f>
        <v>17</v>
      </c>
      <c r="E1603" s="33">
        <f>IF(Demand!F1601,1,0)</f>
        <v>0</v>
      </c>
      <c r="F1603" s="33">
        <f>COUNTIFS(c_store,A1603,c_date,B1603,c_hour,C1603)</f>
        <v>0</v>
      </c>
      <c r="G1603" s="33">
        <f>IF(F1603&gt;0,1,0)</f>
        <v>0</v>
      </c>
      <c r="H1603" s="33">
        <f>COUNTIFS(Demand!$A$2:$A$4481,A1603,Demand!$B$2:$B$4481,B1603,Demand!$C$2:$C$4481,C1603)</f>
        <v>1</v>
      </c>
    </row>
    <row r="1604">
      <c r="A1604" s="32" t="str">
        <f>Demand!A1602</f>
        <v>S001</v>
      </c>
      <c r="B1604" s="35">
        <f>Demand!B1602</f>
        <v>46271.0</v>
      </c>
      <c r="C1604" s="33">
        <f>Demand!C1602</f>
        <v>8</v>
      </c>
      <c r="D1604" s="33">
        <f>Demand!E1602</f>
        <v>11</v>
      </c>
      <c r="E1604" s="33">
        <f>IF(Demand!F1602,1,0)</f>
        <v>0</v>
      </c>
      <c r="F1604" s="33">
        <f>COUNTIFS(c_store,A1604,c_date,B1604,c_hour,C1604)</f>
        <v>1</v>
      </c>
      <c r="G1604" s="33">
        <f>IF(F1604&gt;0,1,0)</f>
        <v>1</v>
      </c>
      <c r="H1604" s="33">
        <f>COUNTIFS(Demand!$A$2:$A$4481,A1604,Demand!$B$2:$B$4481,B1604,Demand!$C$2:$C$4481,C1604)</f>
        <v>1</v>
      </c>
    </row>
    <row r="1605">
      <c r="A1605" s="32" t="str">
        <f>Demand!A1603</f>
        <v>S001</v>
      </c>
      <c r="B1605" s="35">
        <f>Demand!B1603</f>
        <v>46271.0</v>
      </c>
      <c r="C1605" s="33">
        <f>Demand!C1603</f>
        <v>9</v>
      </c>
      <c r="D1605" s="33">
        <f>Demand!E1603</f>
        <v>14</v>
      </c>
      <c r="E1605" s="33">
        <f>IF(Demand!F1603,1,0)</f>
        <v>0</v>
      </c>
      <c r="F1605" s="33">
        <f>COUNTIFS(c_store,A1605,c_date,B1605,c_hour,C1605)</f>
        <v>1</v>
      </c>
      <c r="G1605" s="33">
        <f>IF(F1605&gt;0,1,0)</f>
        <v>1</v>
      </c>
      <c r="H1605" s="33">
        <f>COUNTIFS(Demand!$A$2:$A$4481,A1605,Demand!$B$2:$B$4481,B1605,Demand!$C$2:$C$4481,C1605)</f>
        <v>1</v>
      </c>
    </row>
    <row r="1606">
      <c r="A1606" s="32" t="str">
        <f>Demand!A1604</f>
        <v>S001</v>
      </c>
      <c r="B1606" s="35">
        <f>Demand!B1604</f>
        <v>46271.0</v>
      </c>
      <c r="C1606" s="33">
        <f>Demand!C1604</f>
        <v>10</v>
      </c>
      <c r="D1606" s="33">
        <f>Demand!E1604</f>
        <v>17</v>
      </c>
      <c r="E1606" s="33">
        <f>IF(Demand!F1604,1,0)</f>
        <v>0</v>
      </c>
      <c r="F1606" s="33">
        <f>COUNTIFS(c_store,A1606,c_date,B1606,c_hour,C1606)</f>
        <v>0</v>
      </c>
      <c r="G1606" s="33">
        <f>IF(F1606&gt;0,1,0)</f>
        <v>0</v>
      </c>
      <c r="H1606" s="33">
        <f>COUNTIFS(Demand!$A$2:$A$4481,A1606,Demand!$B$2:$B$4481,B1606,Demand!$C$2:$C$4481,C1606)</f>
        <v>1</v>
      </c>
    </row>
    <row r="1607">
      <c r="A1607" s="32" t="str">
        <f>Demand!A1605</f>
        <v>S001</v>
      </c>
      <c r="B1607" s="35">
        <f>Demand!B1605</f>
        <v>46271.0</v>
      </c>
      <c r="C1607" s="33">
        <f>Demand!C1605</f>
        <v>11</v>
      </c>
      <c r="D1607" s="33">
        <f>Demand!E1605</f>
        <v>19</v>
      </c>
      <c r="E1607" s="33">
        <f>IF(Demand!F1605,1,0)</f>
        <v>0</v>
      </c>
      <c r="F1607" s="33">
        <f>COUNTIFS(c_store,A1607,c_date,B1607,c_hour,C1607)</f>
        <v>0</v>
      </c>
      <c r="G1607" s="33">
        <f>IF(F1607&gt;0,1,0)</f>
        <v>0</v>
      </c>
      <c r="H1607" s="33">
        <f>COUNTIFS(Demand!$A$2:$A$4481,A1607,Demand!$B$2:$B$4481,B1607,Demand!$C$2:$C$4481,C1607)</f>
        <v>1</v>
      </c>
    </row>
    <row r="1608">
      <c r="A1608" s="32" t="str">
        <f>Demand!A1606</f>
        <v>S001</v>
      </c>
      <c r="B1608" s="35">
        <f>Demand!B1606</f>
        <v>46271.0</v>
      </c>
      <c r="C1608" s="33">
        <f>Demand!C1606</f>
        <v>12</v>
      </c>
      <c r="D1608" s="33">
        <f>Demand!E1606</f>
        <v>11</v>
      </c>
      <c r="E1608" s="33">
        <f>IF(Demand!F1606,1,0)</f>
        <v>0</v>
      </c>
      <c r="F1608" s="33">
        <f>COUNTIFS(c_store,A1608,c_date,B1608,c_hour,C1608)</f>
        <v>0</v>
      </c>
      <c r="G1608" s="33">
        <f>IF(F1608&gt;0,1,0)</f>
        <v>0</v>
      </c>
      <c r="H1608" s="33">
        <f>COUNTIFS(Demand!$A$2:$A$4481,A1608,Demand!$B$2:$B$4481,B1608,Demand!$C$2:$C$4481,C1608)</f>
        <v>1</v>
      </c>
    </row>
    <row r="1609">
      <c r="A1609" s="32" t="str">
        <f>Demand!A1607</f>
        <v>S001</v>
      </c>
      <c r="B1609" s="35">
        <f>Demand!B1607</f>
        <v>46271.0</v>
      </c>
      <c r="C1609" s="33">
        <f>Demand!C1607</f>
        <v>13</v>
      </c>
      <c r="D1609" s="33">
        <f>Demand!E1607</f>
        <v>16</v>
      </c>
      <c r="E1609" s="33">
        <f>IF(Demand!F1607,1,0)</f>
        <v>0</v>
      </c>
      <c r="F1609" s="33">
        <f>COUNTIFS(c_store,A1609,c_date,B1609,c_hour,C1609)</f>
        <v>0</v>
      </c>
      <c r="G1609" s="33">
        <f>IF(F1609&gt;0,1,0)</f>
        <v>0</v>
      </c>
      <c r="H1609" s="33">
        <f>COUNTIFS(Demand!$A$2:$A$4481,A1609,Demand!$B$2:$B$4481,B1609,Demand!$C$2:$C$4481,C1609)</f>
        <v>1</v>
      </c>
    </row>
    <row r="1610">
      <c r="A1610" s="32" t="str">
        <f>Demand!A1608</f>
        <v>S001</v>
      </c>
      <c r="B1610" s="35">
        <f>Demand!B1608</f>
        <v>46271.0</v>
      </c>
      <c r="C1610" s="33">
        <f>Demand!C1608</f>
        <v>14</v>
      </c>
      <c r="D1610" s="33">
        <f>Demand!E1608</f>
        <v>13</v>
      </c>
      <c r="E1610" s="33">
        <f>IF(Demand!F1608,1,0)</f>
        <v>0</v>
      </c>
      <c r="F1610" s="33">
        <f>COUNTIFS(c_store,A1610,c_date,B1610,c_hour,C1610)</f>
        <v>0</v>
      </c>
      <c r="G1610" s="33">
        <f>IF(F1610&gt;0,1,0)</f>
        <v>0</v>
      </c>
      <c r="H1610" s="33">
        <f>COUNTIFS(Demand!$A$2:$A$4481,A1610,Demand!$B$2:$B$4481,B1610,Demand!$C$2:$C$4481,C1610)</f>
        <v>1</v>
      </c>
    </row>
    <row r="1611">
      <c r="A1611" s="32" t="str">
        <f>Demand!A1609</f>
        <v>S001</v>
      </c>
      <c r="B1611" s="35">
        <f>Demand!B1609</f>
        <v>46271.0</v>
      </c>
      <c r="C1611" s="33">
        <f>Demand!C1609</f>
        <v>15</v>
      </c>
      <c r="D1611" s="33">
        <f>Demand!E1609</f>
        <v>17</v>
      </c>
      <c r="E1611" s="33">
        <f>IF(Demand!F1609,1,0)</f>
        <v>0</v>
      </c>
      <c r="F1611" s="33">
        <f>COUNTIFS(c_store,A1611,c_date,B1611,c_hour,C1611)</f>
        <v>0</v>
      </c>
      <c r="G1611" s="33">
        <f>IF(F1611&gt;0,1,0)</f>
        <v>0</v>
      </c>
      <c r="H1611" s="33">
        <f>COUNTIFS(Demand!$A$2:$A$4481,A1611,Demand!$B$2:$B$4481,B1611,Demand!$C$2:$C$4481,C1611)</f>
        <v>1</v>
      </c>
    </row>
    <row r="1612">
      <c r="A1612" s="32" t="str">
        <f>Demand!A1610</f>
        <v>S001</v>
      </c>
      <c r="B1612" s="35">
        <f>Demand!B1610</f>
        <v>46271.0</v>
      </c>
      <c r="C1612" s="33">
        <f>Demand!C1610</f>
        <v>16</v>
      </c>
      <c r="D1612" s="33">
        <f>Demand!E1610</f>
        <v>8</v>
      </c>
      <c r="E1612" s="33">
        <f>IF(Demand!F1610,1,0)</f>
        <v>0</v>
      </c>
      <c r="F1612" s="33">
        <f>COUNTIFS(c_store,A1612,c_date,B1612,c_hour,C1612)</f>
        <v>0</v>
      </c>
      <c r="G1612" s="33">
        <f>IF(F1612&gt;0,1,0)</f>
        <v>0</v>
      </c>
      <c r="H1612" s="33">
        <f>COUNTIFS(Demand!$A$2:$A$4481,A1612,Demand!$B$2:$B$4481,B1612,Demand!$C$2:$C$4481,C1612)</f>
        <v>1</v>
      </c>
    </row>
    <row r="1613">
      <c r="A1613" s="32" t="str">
        <f>Demand!A1611</f>
        <v>S001</v>
      </c>
      <c r="B1613" s="35">
        <f>Demand!B1611</f>
        <v>46271.0</v>
      </c>
      <c r="C1613" s="33">
        <f>Demand!C1611</f>
        <v>17</v>
      </c>
      <c r="D1613" s="33">
        <f>Demand!E1611</f>
        <v>19</v>
      </c>
      <c r="E1613" s="33">
        <f>IF(Demand!F1611,1,0)</f>
        <v>0</v>
      </c>
      <c r="F1613" s="33">
        <f>COUNTIFS(c_store,A1613,c_date,B1613,c_hour,C1613)</f>
        <v>0</v>
      </c>
      <c r="G1613" s="33">
        <f>IF(F1613&gt;0,1,0)</f>
        <v>0</v>
      </c>
      <c r="H1613" s="33">
        <f>COUNTIFS(Demand!$A$2:$A$4481,A1613,Demand!$B$2:$B$4481,B1613,Demand!$C$2:$C$4481,C1613)</f>
        <v>1</v>
      </c>
    </row>
    <row r="1614">
      <c r="A1614" s="32" t="str">
        <f>Demand!A1612</f>
        <v>S001</v>
      </c>
      <c r="B1614" s="35">
        <f>Demand!B1612</f>
        <v>46271.0</v>
      </c>
      <c r="C1614" s="33">
        <f>Demand!C1612</f>
        <v>18</v>
      </c>
      <c r="D1614" s="33">
        <f>Demand!E1612</f>
        <v>26</v>
      </c>
      <c r="E1614" s="33">
        <f>IF(Demand!F1612,1,0)</f>
        <v>0</v>
      </c>
      <c r="F1614" s="33">
        <f>COUNTIFS(c_store,A1614,c_date,B1614,c_hour,C1614)</f>
        <v>0</v>
      </c>
      <c r="G1614" s="33">
        <f>IF(F1614&gt;0,1,0)</f>
        <v>0</v>
      </c>
      <c r="H1614" s="33">
        <f>COUNTIFS(Demand!$A$2:$A$4481,A1614,Demand!$B$2:$B$4481,B1614,Demand!$C$2:$C$4481,C1614)</f>
        <v>1</v>
      </c>
    </row>
    <row r="1615">
      <c r="A1615" s="32" t="str">
        <f>Demand!A1613</f>
        <v>S001</v>
      </c>
      <c r="B1615" s="35">
        <f>Demand!B1613</f>
        <v>46271.0</v>
      </c>
      <c r="C1615" s="33">
        <f>Demand!C1613</f>
        <v>19</v>
      </c>
      <c r="D1615" s="33">
        <f>Demand!E1613</f>
        <v>32</v>
      </c>
      <c r="E1615" s="33">
        <f>IF(Demand!F1613,1,0)</f>
        <v>1</v>
      </c>
      <c r="F1615" s="33">
        <f>COUNTIFS(c_store,A1615,c_date,B1615,c_hour,C1615)</f>
        <v>1</v>
      </c>
      <c r="G1615" s="33">
        <f>IF(F1615&gt;0,1,0)</f>
        <v>1</v>
      </c>
      <c r="H1615" s="33">
        <f>COUNTIFS(Demand!$A$2:$A$4481,A1615,Demand!$B$2:$B$4481,B1615,Demand!$C$2:$C$4481,C1615)</f>
        <v>1</v>
      </c>
    </row>
    <row r="1616">
      <c r="A1616" s="32" t="str">
        <f>Demand!A1614</f>
        <v>S001</v>
      </c>
      <c r="B1616" s="35">
        <f>Demand!B1614</f>
        <v>46271.0</v>
      </c>
      <c r="C1616" s="33">
        <f>Demand!C1614</f>
        <v>20</v>
      </c>
      <c r="D1616" s="33">
        <f>Demand!E1614</f>
        <v>35</v>
      </c>
      <c r="E1616" s="33">
        <f>IF(Demand!F1614,1,0)</f>
        <v>1</v>
      </c>
      <c r="F1616" s="33">
        <f>COUNTIFS(c_store,A1616,c_date,B1616,c_hour,C1616)</f>
        <v>1</v>
      </c>
      <c r="G1616" s="33">
        <f>IF(F1616&gt;0,1,0)</f>
        <v>1</v>
      </c>
      <c r="H1616" s="33">
        <f>COUNTIFS(Demand!$A$2:$A$4481,A1616,Demand!$B$2:$B$4481,B1616,Demand!$C$2:$C$4481,C1616)</f>
        <v>1</v>
      </c>
    </row>
    <row r="1617">
      <c r="A1617" s="32" t="str">
        <f>Demand!A1615</f>
        <v>S001</v>
      </c>
      <c r="B1617" s="35">
        <f>Demand!B1615</f>
        <v>46271.0</v>
      </c>
      <c r="C1617" s="33">
        <f>Demand!C1615</f>
        <v>21</v>
      </c>
      <c r="D1617" s="33">
        <f>Demand!E1615</f>
        <v>27</v>
      </c>
      <c r="E1617" s="33">
        <f>IF(Demand!F1615,1,0)</f>
        <v>1</v>
      </c>
      <c r="F1617" s="33">
        <f>COUNTIFS(c_store,A1617,c_date,B1617,c_hour,C1617)</f>
        <v>0</v>
      </c>
      <c r="G1617" s="33">
        <f>IF(F1617&gt;0,1,0)</f>
        <v>0</v>
      </c>
      <c r="H1617" s="33">
        <f>COUNTIFS(Demand!$A$2:$A$4481,A1617,Demand!$B$2:$B$4481,B1617,Demand!$C$2:$C$4481,C1617)</f>
        <v>1</v>
      </c>
    </row>
    <row r="1618">
      <c r="A1618" s="32" t="str">
        <f>Demand!A1616</f>
        <v>S001</v>
      </c>
      <c r="B1618" s="35">
        <f>Demand!B1616</f>
        <v>46271.0</v>
      </c>
      <c r="C1618" s="33">
        <f>Demand!C1616</f>
        <v>22</v>
      </c>
      <c r="D1618" s="33">
        <f>Demand!E1616</f>
        <v>16</v>
      </c>
      <c r="E1618" s="33">
        <f>IF(Demand!F1616,1,0)</f>
        <v>0</v>
      </c>
      <c r="F1618" s="33">
        <f>COUNTIFS(c_store,A1618,c_date,B1618,c_hour,C1618)</f>
        <v>0</v>
      </c>
      <c r="G1618" s="33">
        <f>IF(F1618&gt;0,1,0)</f>
        <v>0</v>
      </c>
      <c r="H1618" s="33">
        <f>COUNTIFS(Demand!$A$2:$A$4481,A1618,Demand!$B$2:$B$4481,B1618,Demand!$C$2:$C$4481,C1618)</f>
        <v>1</v>
      </c>
    </row>
    <row r="1619">
      <c r="A1619" s="32" t="str">
        <f>Demand!A1617</f>
        <v>S001</v>
      </c>
      <c r="B1619" s="35">
        <f>Demand!B1617</f>
        <v>46271.0</v>
      </c>
      <c r="C1619" s="33">
        <f>Demand!C1617</f>
        <v>23</v>
      </c>
      <c r="D1619" s="33">
        <f>Demand!E1617</f>
        <v>16</v>
      </c>
      <c r="E1619" s="33">
        <f>IF(Demand!F1617,1,0)</f>
        <v>0</v>
      </c>
      <c r="F1619" s="33">
        <f>COUNTIFS(c_store,A1619,c_date,B1619,c_hour,C1619)</f>
        <v>0</v>
      </c>
      <c r="G1619" s="33">
        <f>IF(F1619&gt;0,1,0)</f>
        <v>0</v>
      </c>
      <c r="H1619" s="33">
        <f>COUNTIFS(Demand!$A$2:$A$4481,A1619,Demand!$B$2:$B$4481,B1619,Demand!$C$2:$C$4481,C1619)</f>
        <v>1</v>
      </c>
    </row>
    <row r="1620">
      <c r="A1620" s="32" t="str">
        <f>Demand!A1618</f>
        <v>S002</v>
      </c>
      <c r="B1620" s="35">
        <f>Demand!B1618</f>
        <v>46271.0</v>
      </c>
      <c r="C1620" s="33">
        <f>Demand!C1618</f>
        <v>8</v>
      </c>
      <c r="D1620" s="33">
        <f>Demand!E1618</f>
        <v>26</v>
      </c>
      <c r="E1620" s="33">
        <f>IF(Demand!F1618,1,0)</f>
        <v>0</v>
      </c>
      <c r="F1620" s="33">
        <f>COUNTIFS(c_store,A1620,c_date,B1620,c_hour,C1620)</f>
        <v>0</v>
      </c>
      <c r="G1620" s="33">
        <f>IF(F1620&gt;0,1,0)</f>
        <v>0</v>
      </c>
      <c r="H1620" s="33">
        <f>COUNTIFS(Demand!$A$2:$A$4481,A1620,Demand!$B$2:$B$4481,B1620,Demand!$C$2:$C$4481,C1620)</f>
        <v>1</v>
      </c>
    </row>
    <row r="1621">
      <c r="A1621" s="32" t="str">
        <f>Demand!A1619</f>
        <v>S002</v>
      </c>
      <c r="B1621" s="35">
        <f>Demand!B1619</f>
        <v>46271.0</v>
      </c>
      <c r="C1621" s="33">
        <f>Demand!C1619</f>
        <v>9</v>
      </c>
      <c r="D1621" s="33">
        <f>Demand!E1619</f>
        <v>33</v>
      </c>
      <c r="E1621" s="33">
        <f>IF(Demand!F1619,1,0)</f>
        <v>0</v>
      </c>
      <c r="F1621" s="33">
        <f>COUNTIFS(c_store,A1621,c_date,B1621,c_hour,C1621)</f>
        <v>0</v>
      </c>
      <c r="G1621" s="33">
        <f>IF(F1621&gt;0,1,0)</f>
        <v>0</v>
      </c>
      <c r="H1621" s="33">
        <f>COUNTIFS(Demand!$A$2:$A$4481,A1621,Demand!$B$2:$B$4481,B1621,Demand!$C$2:$C$4481,C1621)</f>
        <v>1</v>
      </c>
    </row>
    <row r="1622">
      <c r="A1622" s="32" t="str">
        <f>Demand!A1620</f>
        <v>S002</v>
      </c>
      <c r="B1622" s="35">
        <f>Demand!B1620</f>
        <v>46271.0</v>
      </c>
      <c r="C1622" s="33">
        <f>Demand!C1620</f>
        <v>10</v>
      </c>
      <c r="D1622" s="33">
        <f>Demand!E1620</f>
        <v>33</v>
      </c>
      <c r="E1622" s="33">
        <f>IF(Demand!F1620,1,0)</f>
        <v>0</v>
      </c>
      <c r="F1622" s="33">
        <f>COUNTIFS(c_store,A1622,c_date,B1622,c_hour,C1622)</f>
        <v>0</v>
      </c>
      <c r="G1622" s="33">
        <f>IF(F1622&gt;0,1,0)</f>
        <v>0</v>
      </c>
      <c r="H1622" s="33">
        <f>COUNTIFS(Demand!$A$2:$A$4481,A1622,Demand!$B$2:$B$4481,B1622,Demand!$C$2:$C$4481,C1622)</f>
        <v>1</v>
      </c>
    </row>
    <row r="1623">
      <c r="A1623" s="32" t="str">
        <f>Demand!A1621</f>
        <v>S002</v>
      </c>
      <c r="B1623" s="35">
        <f>Demand!B1621</f>
        <v>46271.0</v>
      </c>
      <c r="C1623" s="33">
        <f>Demand!C1621</f>
        <v>11</v>
      </c>
      <c r="D1623" s="33">
        <f>Demand!E1621</f>
        <v>33</v>
      </c>
      <c r="E1623" s="33">
        <f>IF(Demand!F1621,1,0)</f>
        <v>0</v>
      </c>
      <c r="F1623" s="33">
        <f>COUNTIFS(c_store,A1623,c_date,B1623,c_hour,C1623)</f>
        <v>0</v>
      </c>
      <c r="G1623" s="33">
        <f>IF(F1623&gt;0,1,0)</f>
        <v>0</v>
      </c>
      <c r="H1623" s="33">
        <f>COUNTIFS(Demand!$A$2:$A$4481,A1623,Demand!$B$2:$B$4481,B1623,Demand!$C$2:$C$4481,C1623)</f>
        <v>1</v>
      </c>
    </row>
    <row r="1624">
      <c r="A1624" s="32" t="str">
        <f>Demand!A1622</f>
        <v>S002</v>
      </c>
      <c r="B1624" s="35">
        <f>Demand!B1622</f>
        <v>46271.0</v>
      </c>
      <c r="C1624" s="33">
        <f>Demand!C1622</f>
        <v>12</v>
      </c>
      <c r="D1624" s="33">
        <f>Demand!E1622</f>
        <v>49</v>
      </c>
      <c r="E1624" s="33">
        <f>IF(Demand!F1622,1,0)</f>
        <v>0</v>
      </c>
      <c r="F1624" s="33">
        <f>COUNTIFS(c_store,A1624,c_date,B1624,c_hour,C1624)</f>
        <v>0</v>
      </c>
      <c r="G1624" s="33">
        <f>IF(F1624&gt;0,1,0)</f>
        <v>0</v>
      </c>
      <c r="H1624" s="33">
        <f>COUNTIFS(Demand!$A$2:$A$4481,A1624,Demand!$B$2:$B$4481,B1624,Demand!$C$2:$C$4481,C1624)</f>
        <v>1</v>
      </c>
    </row>
    <row r="1625">
      <c r="A1625" s="32" t="str">
        <f>Demand!A1623</f>
        <v>S002</v>
      </c>
      <c r="B1625" s="35">
        <f>Demand!B1623</f>
        <v>46271.0</v>
      </c>
      <c r="C1625" s="33">
        <f>Demand!C1623</f>
        <v>13</v>
      </c>
      <c r="D1625" s="33">
        <f>Demand!E1623</f>
        <v>35</v>
      </c>
      <c r="E1625" s="33">
        <f>IF(Demand!F1623,1,0)</f>
        <v>0</v>
      </c>
      <c r="F1625" s="33">
        <f>COUNTIFS(c_store,A1625,c_date,B1625,c_hour,C1625)</f>
        <v>0</v>
      </c>
      <c r="G1625" s="33">
        <f>IF(F1625&gt;0,1,0)</f>
        <v>0</v>
      </c>
      <c r="H1625" s="33">
        <f>COUNTIFS(Demand!$A$2:$A$4481,A1625,Demand!$B$2:$B$4481,B1625,Demand!$C$2:$C$4481,C1625)</f>
        <v>1</v>
      </c>
    </row>
    <row r="1626">
      <c r="A1626" s="32" t="str">
        <f>Demand!A1624</f>
        <v>S002</v>
      </c>
      <c r="B1626" s="35">
        <f>Demand!B1624</f>
        <v>46271.0</v>
      </c>
      <c r="C1626" s="33">
        <f>Demand!C1624</f>
        <v>14</v>
      </c>
      <c r="D1626" s="33">
        <f>Demand!E1624</f>
        <v>25</v>
      </c>
      <c r="E1626" s="33">
        <f>IF(Demand!F1624,1,0)</f>
        <v>0</v>
      </c>
      <c r="F1626" s="33">
        <f>COUNTIFS(c_store,A1626,c_date,B1626,c_hour,C1626)</f>
        <v>1</v>
      </c>
      <c r="G1626" s="33">
        <f>IF(F1626&gt;0,1,0)</f>
        <v>1</v>
      </c>
      <c r="H1626" s="33">
        <f>COUNTIFS(Demand!$A$2:$A$4481,A1626,Demand!$B$2:$B$4481,B1626,Demand!$C$2:$C$4481,C1626)</f>
        <v>1</v>
      </c>
    </row>
    <row r="1627">
      <c r="A1627" s="32" t="str">
        <f>Demand!A1625</f>
        <v>S002</v>
      </c>
      <c r="B1627" s="35">
        <f>Demand!B1625</f>
        <v>46271.0</v>
      </c>
      <c r="C1627" s="33">
        <f>Demand!C1625</f>
        <v>15</v>
      </c>
      <c r="D1627" s="33">
        <f>Demand!E1625</f>
        <v>23</v>
      </c>
      <c r="E1627" s="33">
        <f>IF(Demand!F1625,1,0)</f>
        <v>0</v>
      </c>
      <c r="F1627" s="33">
        <f>COUNTIFS(c_store,A1627,c_date,B1627,c_hour,C1627)</f>
        <v>2</v>
      </c>
      <c r="G1627" s="33">
        <f>IF(F1627&gt;0,1,0)</f>
        <v>1</v>
      </c>
      <c r="H1627" s="33">
        <f>COUNTIFS(Demand!$A$2:$A$4481,A1627,Demand!$B$2:$B$4481,B1627,Demand!$C$2:$C$4481,C1627)</f>
        <v>1</v>
      </c>
    </row>
    <row r="1628">
      <c r="A1628" s="32" t="str">
        <f>Demand!A1626</f>
        <v>S002</v>
      </c>
      <c r="B1628" s="35">
        <f>Demand!B1626</f>
        <v>46271.0</v>
      </c>
      <c r="C1628" s="33">
        <f>Demand!C1626</f>
        <v>16</v>
      </c>
      <c r="D1628" s="33">
        <f>Demand!E1626</f>
        <v>30</v>
      </c>
      <c r="E1628" s="33">
        <f>IF(Demand!F1626,1,0)</f>
        <v>0</v>
      </c>
      <c r="F1628" s="33">
        <f>COUNTIFS(c_store,A1628,c_date,B1628,c_hour,C1628)</f>
        <v>0</v>
      </c>
      <c r="G1628" s="33">
        <f>IF(F1628&gt;0,1,0)</f>
        <v>0</v>
      </c>
      <c r="H1628" s="33">
        <f>COUNTIFS(Demand!$A$2:$A$4481,A1628,Demand!$B$2:$B$4481,B1628,Demand!$C$2:$C$4481,C1628)</f>
        <v>1</v>
      </c>
    </row>
    <row r="1629">
      <c r="A1629" s="32" t="str">
        <f>Demand!A1627</f>
        <v>S002</v>
      </c>
      <c r="B1629" s="35">
        <f>Demand!B1627</f>
        <v>46271.0</v>
      </c>
      <c r="C1629" s="33">
        <f>Demand!C1627</f>
        <v>17</v>
      </c>
      <c r="D1629" s="33">
        <f>Demand!E1627</f>
        <v>38</v>
      </c>
      <c r="E1629" s="33">
        <f>IF(Demand!F1627,1,0)</f>
        <v>0</v>
      </c>
      <c r="F1629" s="33">
        <f>COUNTIFS(c_store,A1629,c_date,B1629,c_hour,C1629)</f>
        <v>2</v>
      </c>
      <c r="G1629" s="33">
        <f>IF(F1629&gt;0,1,0)</f>
        <v>1</v>
      </c>
      <c r="H1629" s="33">
        <f>COUNTIFS(Demand!$A$2:$A$4481,A1629,Demand!$B$2:$B$4481,B1629,Demand!$C$2:$C$4481,C1629)</f>
        <v>1</v>
      </c>
    </row>
    <row r="1630">
      <c r="A1630" s="32" t="str">
        <f>Demand!A1628</f>
        <v>S002</v>
      </c>
      <c r="B1630" s="35">
        <f>Demand!B1628</f>
        <v>46271.0</v>
      </c>
      <c r="C1630" s="33">
        <f>Demand!C1628</f>
        <v>18</v>
      </c>
      <c r="D1630" s="33">
        <f>Demand!E1628</f>
        <v>42</v>
      </c>
      <c r="E1630" s="33">
        <f>IF(Demand!F1628,1,0)</f>
        <v>0</v>
      </c>
      <c r="F1630" s="33">
        <f>COUNTIFS(c_store,A1630,c_date,B1630,c_hour,C1630)</f>
        <v>0</v>
      </c>
      <c r="G1630" s="33">
        <f>IF(F1630&gt;0,1,0)</f>
        <v>0</v>
      </c>
      <c r="H1630" s="33">
        <f>COUNTIFS(Demand!$A$2:$A$4481,A1630,Demand!$B$2:$B$4481,B1630,Demand!$C$2:$C$4481,C1630)</f>
        <v>1</v>
      </c>
    </row>
    <row r="1631">
      <c r="A1631" s="32" t="str">
        <f>Demand!A1629</f>
        <v>S002</v>
      </c>
      <c r="B1631" s="35">
        <f>Demand!B1629</f>
        <v>46271.0</v>
      </c>
      <c r="C1631" s="33">
        <f>Demand!C1629</f>
        <v>19</v>
      </c>
      <c r="D1631" s="33">
        <f>Demand!E1629</f>
        <v>52</v>
      </c>
      <c r="E1631" s="33">
        <f>IF(Demand!F1629,1,0)</f>
        <v>1</v>
      </c>
      <c r="F1631" s="33">
        <f>COUNTIFS(c_store,A1631,c_date,B1631,c_hour,C1631)</f>
        <v>0</v>
      </c>
      <c r="G1631" s="33">
        <f>IF(F1631&gt;0,1,0)</f>
        <v>0</v>
      </c>
      <c r="H1631" s="33">
        <f>COUNTIFS(Demand!$A$2:$A$4481,A1631,Demand!$B$2:$B$4481,B1631,Demand!$C$2:$C$4481,C1631)</f>
        <v>1</v>
      </c>
    </row>
    <row r="1632">
      <c r="A1632" s="32" t="str">
        <f>Demand!A1630</f>
        <v>S002</v>
      </c>
      <c r="B1632" s="35">
        <f>Demand!B1630</f>
        <v>46271.0</v>
      </c>
      <c r="C1632" s="33">
        <f>Demand!C1630</f>
        <v>20</v>
      </c>
      <c r="D1632" s="33">
        <f>Demand!E1630</f>
        <v>66</v>
      </c>
      <c r="E1632" s="33">
        <f>IF(Demand!F1630,1,0)</f>
        <v>1</v>
      </c>
      <c r="F1632" s="33">
        <f>COUNTIFS(c_store,A1632,c_date,B1632,c_hour,C1632)</f>
        <v>0</v>
      </c>
      <c r="G1632" s="33">
        <f>IF(F1632&gt;0,1,0)</f>
        <v>0</v>
      </c>
      <c r="H1632" s="33">
        <f>COUNTIFS(Demand!$A$2:$A$4481,A1632,Demand!$B$2:$B$4481,B1632,Demand!$C$2:$C$4481,C1632)</f>
        <v>1</v>
      </c>
    </row>
    <row r="1633">
      <c r="A1633" s="32" t="str">
        <f>Demand!A1631</f>
        <v>S002</v>
      </c>
      <c r="B1633" s="35">
        <f>Demand!B1631</f>
        <v>46271.0</v>
      </c>
      <c r="C1633" s="33">
        <f>Demand!C1631</f>
        <v>21</v>
      </c>
      <c r="D1633" s="33">
        <f>Demand!E1631</f>
        <v>49</v>
      </c>
      <c r="E1633" s="33">
        <f>IF(Demand!F1631,1,0)</f>
        <v>1</v>
      </c>
      <c r="F1633" s="33">
        <f>COUNTIFS(c_store,A1633,c_date,B1633,c_hour,C1633)</f>
        <v>0</v>
      </c>
      <c r="G1633" s="33">
        <f>IF(F1633&gt;0,1,0)</f>
        <v>0</v>
      </c>
      <c r="H1633" s="33">
        <f>COUNTIFS(Demand!$A$2:$A$4481,A1633,Demand!$B$2:$B$4481,B1633,Demand!$C$2:$C$4481,C1633)</f>
        <v>1</v>
      </c>
    </row>
    <row r="1634">
      <c r="A1634" s="32" t="str">
        <f>Demand!A1632</f>
        <v>S002</v>
      </c>
      <c r="B1634" s="35">
        <f>Demand!B1632</f>
        <v>46271.0</v>
      </c>
      <c r="C1634" s="33">
        <f>Demand!C1632</f>
        <v>22</v>
      </c>
      <c r="D1634" s="33">
        <f>Demand!E1632</f>
        <v>34</v>
      </c>
      <c r="E1634" s="33">
        <f>IF(Demand!F1632,1,0)</f>
        <v>0</v>
      </c>
      <c r="F1634" s="33">
        <f>COUNTIFS(c_store,A1634,c_date,B1634,c_hour,C1634)</f>
        <v>0</v>
      </c>
      <c r="G1634" s="33">
        <f>IF(F1634&gt;0,1,0)</f>
        <v>0</v>
      </c>
      <c r="H1634" s="33">
        <f>COUNTIFS(Demand!$A$2:$A$4481,A1634,Demand!$B$2:$B$4481,B1634,Demand!$C$2:$C$4481,C1634)</f>
        <v>1</v>
      </c>
    </row>
    <row r="1635">
      <c r="A1635" s="32" t="str">
        <f>Demand!A1633</f>
        <v>S002</v>
      </c>
      <c r="B1635" s="35">
        <f>Demand!B1633</f>
        <v>46271.0</v>
      </c>
      <c r="C1635" s="33">
        <f>Demand!C1633</f>
        <v>23</v>
      </c>
      <c r="D1635" s="33">
        <f>Demand!E1633</f>
        <v>43</v>
      </c>
      <c r="E1635" s="33">
        <f>IF(Demand!F1633,1,0)</f>
        <v>0</v>
      </c>
      <c r="F1635" s="33">
        <f>COUNTIFS(c_store,A1635,c_date,B1635,c_hour,C1635)</f>
        <v>0</v>
      </c>
      <c r="G1635" s="33">
        <f>IF(F1635&gt;0,1,0)</f>
        <v>0</v>
      </c>
      <c r="H1635" s="33">
        <f>COUNTIFS(Demand!$A$2:$A$4481,A1635,Demand!$B$2:$B$4481,B1635,Demand!$C$2:$C$4481,C1635)</f>
        <v>1</v>
      </c>
    </row>
    <row r="1636">
      <c r="A1636" s="32" t="str">
        <f>Demand!A1634</f>
        <v>S003</v>
      </c>
      <c r="B1636" s="35">
        <f>Demand!B1634</f>
        <v>46271.0</v>
      </c>
      <c r="C1636" s="33">
        <f>Demand!C1634</f>
        <v>8</v>
      </c>
      <c r="D1636" s="33">
        <f>Demand!E1634</f>
        <v>21</v>
      </c>
      <c r="E1636" s="33">
        <f>IF(Demand!F1634,1,0)</f>
        <v>0</v>
      </c>
      <c r="F1636" s="33">
        <f>COUNTIFS(c_store,A1636,c_date,B1636,c_hour,C1636)</f>
        <v>0</v>
      </c>
      <c r="G1636" s="33">
        <f>IF(F1636&gt;0,1,0)</f>
        <v>0</v>
      </c>
      <c r="H1636" s="33">
        <f>COUNTIFS(Demand!$A$2:$A$4481,A1636,Demand!$B$2:$B$4481,B1636,Demand!$C$2:$C$4481,C1636)</f>
        <v>1</v>
      </c>
    </row>
    <row r="1637">
      <c r="A1637" s="32" t="str">
        <f>Demand!A1635</f>
        <v>S003</v>
      </c>
      <c r="B1637" s="35">
        <f>Demand!B1635</f>
        <v>46271.0</v>
      </c>
      <c r="C1637" s="33">
        <f>Demand!C1635</f>
        <v>9</v>
      </c>
      <c r="D1637" s="33">
        <f>Demand!E1635</f>
        <v>30</v>
      </c>
      <c r="E1637" s="33">
        <f>IF(Demand!F1635,1,0)</f>
        <v>0</v>
      </c>
      <c r="F1637" s="33">
        <f>COUNTIFS(c_store,A1637,c_date,B1637,c_hour,C1637)</f>
        <v>1</v>
      </c>
      <c r="G1637" s="33">
        <f>IF(F1637&gt;0,1,0)</f>
        <v>1</v>
      </c>
      <c r="H1637" s="33">
        <f>COUNTIFS(Demand!$A$2:$A$4481,A1637,Demand!$B$2:$B$4481,B1637,Demand!$C$2:$C$4481,C1637)</f>
        <v>1</v>
      </c>
    </row>
    <row r="1638">
      <c r="A1638" s="32" t="str">
        <f>Demand!A1636</f>
        <v>S003</v>
      </c>
      <c r="B1638" s="35">
        <f>Demand!B1636</f>
        <v>46271.0</v>
      </c>
      <c r="C1638" s="33">
        <f>Demand!C1636</f>
        <v>10</v>
      </c>
      <c r="D1638" s="33">
        <f>Demand!E1636</f>
        <v>40</v>
      </c>
      <c r="E1638" s="33">
        <f>IF(Demand!F1636,1,0)</f>
        <v>0</v>
      </c>
      <c r="F1638" s="33">
        <f>COUNTIFS(c_store,A1638,c_date,B1638,c_hour,C1638)</f>
        <v>0</v>
      </c>
      <c r="G1638" s="33">
        <f>IF(F1638&gt;0,1,0)</f>
        <v>0</v>
      </c>
      <c r="H1638" s="33">
        <f>COUNTIFS(Demand!$A$2:$A$4481,A1638,Demand!$B$2:$B$4481,B1638,Demand!$C$2:$C$4481,C1638)</f>
        <v>1</v>
      </c>
    </row>
    <row r="1639">
      <c r="A1639" s="32" t="str">
        <f>Demand!A1637</f>
        <v>S003</v>
      </c>
      <c r="B1639" s="35">
        <f>Demand!B1637</f>
        <v>46271.0</v>
      </c>
      <c r="C1639" s="33">
        <f>Demand!C1637</f>
        <v>11</v>
      </c>
      <c r="D1639" s="33">
        <f>Demand!E1637</f>
        <v>50</v>
      </c>
      <c r="E1639" s="33">
        <f>IF(Demand!F1637,1,0)</f>
        <v>0</v>
      </c>
      <c r="F1639" s="33">
        <f>COUNTIFS(c_store,A1639,c_date,B1639,c_hour,C1639)</f>
        <v>0</v>
      </c>
      <c r="G1639" s="33">
        <f>IF(F1639&gt;0,1,0)</f>
        <v>0</v>
      </c>
      <c r="H1639" s="33">
        <f>COUNTIFS(Demand!$A$2:$A$4481,A1639,Demand!$B$2:$B$4481,B1639,Demand!$C$2:$C$4481,C1639)</f>
        <v>1</v>
      </c>
    </row>
    <row r="1640">
      <c r="A1640" s="32" t="str">
        <f>Demand!A1638</f>
        <v>S003</v>
      </c>
      <c r="B1640" s="35">
        <f>Demand!B1638</f>
        <v>46271.0</v>
      </c>
      <c r="C1640" s="33">
        <f>Demand!C1638</f>
        <v>12</v>
      </c>
      <c r="D1640" s="33">
        <f>Demand!E1638</f>
        <v>51</v>
      </c>
      <c r="E1640" s="33">
        <f>IF(Demand!F1638,1,0)</f>
        <v>0</v>
      </c>
      <c r="F1640" s="33">
        <f>COUNTIFS(c_store,A1640,c_date,B1640,c_hour,C1640)</f>
        <v>0</v>
      </c>
      <c r="G1640" s="33">
        <f>IF(F1640&gt;0,1,0)</f>
        <v>0</v>
      </c>
      <c r="H1640" s="33">
        <f>COUNTIFS(Demand!$A$2:$A$4481,A1640,Demand!$B$2:$B$4481,B1640,Demand!$C$2:$C$4481,C1640)</f>
        <v>1</v>
      </c>
    </row>
    <row r="1641">
      <c r="A1641" s="32" t="str">
        <f>Demand!A1639</f>
        <v>S003</v>
      </c>
      <c r="B1641" s="35">
        <f>Demand!B1639</f>
        <v>46271.0</v>
      </c>
      <c r="C1641" s="33">
        <f>Demand!C1639</f>
        <v>13</v>
      </c>
      <c r="D1641" s="33">
        <f>Demand!E1639</f>
        <v>43</v>
      </c>
      <c r="E1641" s="33">
        <f>IF(Demand!F1639,1,0)</f>
        <v>0</v>
      </c>
      <c r="F1641" s="33">
        <f>COUNTIFS(c_store,A1641,c_date,B1641,c_hour,C1641)</f>
        <v>0</v>
      </c>
      <c r="G1641" s="33">
        <f>IF(F1641&gt;0,1,0)</f>
        <v>0</v>
      </c>
      <c r="H1641" s="33">
        <f>COUNTIFS(Demand!$A$2:$A$4481,A1641,Demand!$B$2:$B$4481,B1641,Demand!$C$2:$C$4481,C1641)</f>
        <v>1</v>
      </c>
    </row>
    <row r="1642">
      <c r="A1642" s="32" t="str">
        <f>Demand!A1640</f>
        <v>S003</v>
      </c>
      <c r="B1642" s="35">
        <f>Demand!B1640</f>
        <v>46271.0</v>
      </c>
      <c r="C1642" s="33">
        <f>Demand!C1640</f>
        <v>14</v>
      </c>
      <c r="D1642" s="33">
        <f>Demand!E1640</f>
        <v>24</v>
      </c>
      <c r="E1642" s="33">
        <f>IF(Demand!F1640,1,0)</f>
        <v>0</v>
      </c>
      <c r="F1642" s="33">
        <f>COUNTIFS(c_store,A1642,c_date,B1642,c_hour,C1642)</f>
        <v>0</v>
      </c>
      <c r="G1642" s="33">
        <f>IF(F1642&gt;0,1,0)</f>
        <v>0</v>
      </c>
      <c r="H1642" s="33">
        <f>COUNTIFS(Demand!$A$2:$A$4481,A1642,Demand!$B$2:$B$4481,B1642,Demand!$C$2:$C$4481,C1642)</f>
        <v>1</v>
      </c>
    </row>
    <row r="1643">
      <c r="A1643" s="32" t="str">
        <f>Demand!A1641</f>
        <v>S003</v>
      </c>
      <c r="B1643" s="35">
        <f>Demand!B1641</f>
        <v>46271.0</v>
      </c>
      <c r="C1643" s="33">
        <f>Demand!C1641</f>
        <v>15</v>
      </c>
      <c r="D1643" s="33">
        <f>Demand!E1641</f>
        <v>39</v>
      </c>
      <c r="E1643" s="33">
        <f>IF(Demand!F1641,1,0)</f>
        <v>0</v>
      </c>
      <c r="F1643" s="33">
        <f>COUNTIFS(c_store,A1643,c_date,B1643,c_hour,C1643)</f>
        <v>0</v>
      </c>
      <c r="G1643" s="33">
        <f>IF(F1643&gt;0,1,0)</f>
        <v>0</v>
      </c>
      <c r="H1643" s="33">
        <f>COUNTIFS(Demand!$A$2:$A$4481,A1643,Demand!$B$2:$B$4481,B1643,Demand!$C$2:$C$4481,C1643)</f>
        <v>1</v>
      </c>
    </row>
    <row r="1644">
      <c r="A1644" s="32" t="str">
        <f>Demand!A1642</f>
        <v>S003</v>
      </c>
      <c r="B1644" s="35">
        <f>Demand!B1642</f>
        <v>46271.0</v>
      </c>
      <c r="C1644" s="33">
        <f>Demand!C1642</f>
        <v>16</v>
      </c>
      <c r="D1644" s="33">
        <f>Demand!E1642</f>
        <v>39</v>
      </c>
      <c r="E1644" s="33">
        <f>IF(Demand!F1642,1,0)</f>
        <v>0</v>
      </c>
      <c r="F1644" s="33">
        <f>COUNTIFS(c_store,A1644,c_date,B1644,c_hour,C1644)</f>
        <v>0</v>
      </c>
      <c r="G1644" s="33">
        <f>IF(F1644&gt;0,1,0)</f>
        <v>0</v>
      </c>
      <c r="H1644" s="33">
        <f>COUNTIFS(Demand!$A$2:$A$4481,A1644,Demand!$B$2:$B$4481,B1644,Demand!$C$2:$C$4481,C1644)</f>
        <v>1</v>
      </c>
    </row>
    <row r="1645">
      <c r="A1645" s="32" t="str">
        <f>Demand!A1643</f>
        <v>S003</v>
      </c>
      <c r="B1645" s="35">
        <f>Demand!B1643</f>
        <v>46271.0</v>
      </c>
      <c r="C1645" s="33">
        <f>Demand!C1643</f>
        <v>17</v>
      </c>
      <c r="D1645" s="33">
        <f>Demand!E1643</f>
        <v>48</v>
      </c>
      <c r="E1645" s="33">
        <f>IF(Demand!F1643,1,0)</f>
        <v>0</v>
      </c>
      <c r="F1645" s="33">
        <f>COUNTIFS(c_store,A1645,c_date,B1645,c_hour,C1645)</f>
        <v>0</v>
      </c>
      <c r="G1645" s="33">
        <f>IF(F1645&gt;0,1,0)</f>
        <v>0</v>
      </c>
      <c r="H1645" s="33">
        <f>COUNTIFS(Demand!$A$2:$A$4481,A1645,Demand!$B$2:$B$4481,B1645,Demand!$C$2:$C$4481,C1645)</f>
        <v>1</v>
      </c>
    </row>
    <row r="1646">
      <c r="A1646" s="32" t="str">
        <f>Demand!A1644</f>
        <v>S003</v>
      </c>
      <c r="B1646" s="35">
        <f>Demand!B1644</f>
        <v>46271.0</v>
      </c>
      <c r="C1646" s="33">
        <f>Demand!C1644</f>
        <v>18</v>
      </c>
      <c r="D1646" s="33">
        <f>Demand!E1644</f>
        <v>39</v>
      </c>
      <c r="E1646" s="33">
        <f>IF(Demand!F1644,1,0)</f>
        <v>0</v>
      </c>
      <c r="F1646" s="33">
        <f>COUNTIFS(c_store,A1646,c_date,B1646,c_hour,C1646)</f>
        <v>1</v>
      </c>
      <c r="G1646" s="33">
        <f>IF(F1646&gt;0,1,0)</f>
        <v>1</v>
      </c>
      <c r="H1646" s="33">
        <f>COUNTIFS(Demand!$A$2:$A$4481,A1646,Demand!$B$2:$B$4481,B1646,Demand!$C$2:$C$4481,C1646)</f>
        <v>1</v>
      </c>
    </row>
    <row r="1647">
      <c r="A1647" s="32" t="str">
        <f>Demand!A1645</f>
        <v>S003</v>
      </c>
      <c r="B1647" s="35">
        <f>Demand!B1645</f>
        <v>46271.0</v>
      </c>
      <c r="C1647" s="33">
        <f>Demand!C1645</f>
        <v>19</v>
      </c>
      <c r="D1647" s="33">
        <f>Demand!E1645</f>
        <v>75</v>
      </c>
      <c r="E1647" s="33">
        <f>IF(Demand!F1645,1,0)</f>
        <v>1</v>
      </c>
      <c r="F1647" s="33">
        <f>COUNTIFS(c_store,A1647,c_date,B1647,c_hour,C1647)</f>
        <v>0</v>
      </c>
      <c r="G1647" s="33">
        <f>IF(F1647&gt;0,1,0)</f>
        <v>0</v>
      </c>
      <c r="H1647" s="33">
        <f>COUNTIFS(Demand!$A$2:$A$4481,A1647,Demand!$B$2:$B$4481,B1647,Demand!$C$2:$C$4481,C1647)</f>
        <v>1</v>
      </c>
    </row>
    <row r="1648">
      <c r="A1648" s="32" t="str">
        <f>Demand!A1646</f>
        <v>S003</v>
      </c>
      <c r="B1648" s="35">
        <f>Demand!B1646</f>
        <v>46271.0</v>
      </c>
      <c r="C1648" s="33">
        <f>Demand!C1646</f>
        <v>20</v>
      </c>
      <c r="D1648" s="33">
        <f>Demand!E1646</f>
        <v>55</v>
      </c>
      <c r="E1648" s="33">
        <f>IF(Demand!F1646,1,0)</f>
        <v>1</v>
      </c>
      <c r="F1648" s="33">
        <f>COUNTIFS(c_store,A1648,c_date,B1648,c_hour,C1648)</f>
        <v>1</v>
      </c>
      <c r="G1648" s="33">
        <f>IF(F1648&gt;0,1,0)</f>
        <v>1</v>
      </c>
      <c r="H1648" s="33">
        <f>COUNTIFS(Demand!$A$2:$A$4481,A1648,Demand!$B$2:$B$4481,B1648,Demand!$C$2:$C$4481,C1648)</f>
        <v>1</v>
      </c>
    </row>
    <row r="1649">
      <c r="A1649" s="32" t="str">
        <f>Demand!A1647</f>
        <v>S003</v>
      </c>
      <c r="B1649" s="35">
        <f>Demand!B1647</f>
        <v>46271.0</v>
      </c>
      <c r="C1649" s="33">
        <f>Demand!C1647</f>
        <v>21</v>
      </c>
      <c r="D1649" s="33">
        <f>Demand!E1647</f>
        <v>58</v>
      </c>
      <c r="E1649" s="33">
        <f>IF(Demand!F1647,1,0)</f>
        <v>1</v>
      </c>
      <c r="F1649" s="33">
        <f>COUNTIFS(c_store,A1649,c_date,B1649,c_hour,C1649)</f>
        <v>0</v>
      </c>
      <c r="G1649" s="33">
        <f>IF(F1649&gt;0,1,0)</f>
        <v>0</v>
      </c>
      <c r="H1649" s="33">
        <f>COUNTIFS(Demand!$A$2:$A$4481,A1649,Demand!$B$2:$B$4481,B1649,Demand!$C$2:$C$4481,C1649)</f>
        <v>1</v>
      </c>
    </row>
    <row r="1650">
      <c r="A1650" s="32" t="str">
        <f>Demand!A1648</f>
        <v>S003</v>
      </c>
      <c r="B1650" s="35">
        <f>Demand!B1648</f>
        <v>46271.0</v>
      </c>
      <c r="C1650" s="33">
        <f>Demand!C1648</f>
        <v>22</v>
      </c>
      <c r="D1650" s="33">
        <f>Demand!E1648</f>
        <v>48</v>
      </c>
      <c r="E1650" s="33">
        <f>IF(Demand!F1648,1,0)</f>
        <v>0</v>
      </c>
      <c r="F1650" s="33">
        <f>COUNTIFS(c_store,A1650,c_date,B1650,c_hour,C1650)</f>
        <v>1</v>
      </c>
      <c r="G1650" s="33">
        <f>IF(F1650&gt;0,1,0)</f>
        <v>1</v>
      </c>
      <c r="H1650" s="33">
        <f>COUNTIFS(Demand!$A$2:$A$4481,A1650,Demand!$B$2:$B$4481,B1650,Demand!$C$2:$C$4481,C1650)</f>
        <v>1</v>
      </c>
    </row>
    <row r="1651">
      <c r="A1651" s="32" t="str">
        <f>Demand!A1649</f>
        <v>S003</v>
      </c>
      <c r="B1651" s="35">
        <f>Demand!B1649</f>
        <v>46271.0</v>
      </c>
      <c r="C1651" s="33">
        <f>Demand!C1649</f>
        <v>23</v>
      </c>
      <c r="D1651" s="33">
        <f>Demand!E1649</f>
        <v>41</v>
      </c>
      <c r="E1651" s="33">
        <f>IF(Demand!F1649,1,0)</f>
        <v>0</v>
      </c>
      <c r="F1651" s="33">
        <f>COUNTIFS(c_store,A1651,c_date,B1651,c_hour,C1651)</f>
        <v>0</v>
      </c>
      <c r="G1651" s="33">
        <f>IF(F1651&gt;0,1,0)</f>
        <v>0</v>
      </c>
      <c r="H1651" s="33">
        <f>COUNTIFS(Demand!$A$2:$A$4481,A1651,Demand!$B$2:$B$4481,B1651,Demand!$C$2:$C$4481,C1651)</f>
        <v>1</v>
      </c>
    </row>
    <row r="1652">
      <c r="A1652" s="32" t="str">
        <f>Demand!A1650</f>
        <v>S004</v>
      </c>
      <c r="B1652" s="35">
        <f>Demand!B1650</f>
        <v>46271.0</v>
      </c>
      <c r="C1652" s="33">
        <f>Demand!C1650</f>
        <v>8</v>
      </c>
      <c r="D1652" s="33">
        <f>Demand!E1650</f>
        <v>34</v>
      </c>
      <c r="E1652" s="33">
        <f>IF(Demand!F1650,1,0)</f>
        <v>0</v>
      </c>
      <c r="F1652" s="33">
        <f>COUNTIFS(c_store,A1652,c_date,B1652,c_hour,C1652)</f>
        <v>0</v>
      </c>
      <c r="G1652" s="33">
        <f>IF(F1652&gt;0,1,0)</f>
        <v>0</v>
      </c>
      <c r="H1652" s="33">
        <f>COUNTIFS(Demand!$A$2:$A$4481,A1652,Demand!$B$2:$B$4481,B1652,Demand!$C$2:$C$4481,C1652)</f>
        <v>1</v>
      </c>
    </row>
    <row r="1653">
      <c r="A1653" s="32" t="str">
        <f>Demand!A1651</f>
        <v>S004</v>
      </c>
      <c r="B1653" s="35">
        <f>Demand!B1651</f>
        <v>46271.0</v>
      </c>
      <c r="C1653" s="33">
        <f>Demand!C1651</f>
        <v>9</v>
      </c>
      <c r="D1653" s="33">
        <f>Demand!E1651</f>
        <v>35</v>
      </c>
      <c r="E1653" s="33">
        <f>IF(Demand!F1651,1,0)</f>
        <v>0</v>
      </c>
      <c r="F1653" s="33">
        <f>COUNTIFS(c_store,A1653,c_date,B1653,c_hour,C1653)</f>
        <v>0</v>
      </c>
      <c r="G1653" s="33">
        <f>IF(F1653&gt;0,1,0)</f>
        <v>0</v>
      </c>
      <c r="H1653" s="33">
        <f>COUNTIFS(Demand!$A$2:$A$4481,A1653,Demand!$B$2:$B$4481,B1653,Demand!$C$2:$C$4481,C1653)</f>
        <v>1</v>
      </c>
    </row>
    <row r="1654">
      <c r="A1654" s="32" t="str">
        <f>Demand!A1652</f>
        <v>S004</v>
      </c>
      <c r="B1654" s="35">
        <f>Demand!B1652</f>
        <v>46271.0</v>
      </c>
      <c r="C1654" s="33">
        <f>Demand!C1652</f>
        <v>10</v>
      </c>
      <c r="D1654" s="33">
        <f>Demand!E1652</f>
        <v>44</v>
      </c>
      <c r="E1654" s="33">
        <f>IF(Demand!F1652,1,0)</f>
        <v>0</v>
      </c>
      <c r="F1654" s="33">
        <f>COUNTIFS(c_store,A1654,c_date,B1654,c_hour,C1654)</f>
        <v>1</v>
      </c>
      <c r="G1654" s="33">
        <f>IF(F1654&gt;0,1,0)</f>
        <v>1</v>
      </c>
      <c r="H1654" s="33">
        <f>COUNTIFS(Demand!$A$2:$A$4481,A1654,Demand!$B$2:$B$4481,B1654,Demand!$C$2:$C$4481,C1654)</f>
        <v>1</v>
      </c>
    </row>
    <row r="1655">
      <c r="A1655" s="32" t="str">
        <f>Demand!A1653</f>
        <v>S004</v>
      </c>
      <c r="B1655" s="35">
        <f>Demand!B1653</f>
        <v>46271.0</v>
      </c>
      <c r="C1655" s="33">
        <f>Demand!C1653</f>
        <v>11</v>
      </c>
      <c r="D1655" s="33">
        <f>Demand!E1653</f>
        <v>44</v>
      </c>
      <c r="E1655" s="33">
        <f>IF(Demand!F1653,1,0)</f>
        <v>0</v>
      </c>
      <c r="F1655" s="33">
        <f>COUNTIFS(c_store,A1655,c_date,B1655,c_hour,C1655)</f>
        <v>0</v>
      </c>
      <c r="G1655" s="33">
        <f>IF(F1655&gt;0,1,0)</f>
        <v>0</v>
      </c>
      <c r="H1655" s="33">
        <f>COUNTIFS(Demand!$A$2:$A$4481,A1655,Demand!$B$2:$B$4481,B1655,Demand!$C$2:$C$4481,C1655)</f>
        <v>1</v>
      </c>
    </row>
    <row r="1656">
      <c r="A1656" s="32" t="str">
        <f>Demand!A1654</f>
        <v>S004</v>
      </c>
      <c r="B1656" s="35">
        <f>Demand!B1654</f>
        <v>46271.0</v>
      </c>
      <c r="C1656" s="33">
        <f>Demand!C1654</f>
        <v>12</v>
      </c>
      <c r="D1656" s="33">
        <f>Demand!E1654</f>
        <v>43</v>
      </c>
      <c r="E1656" s="33">
        <f>IF(Demand!F1654,1,0)</f>
        <v>0</v>
      </c>
      <c r="F1656" s="33">
        <f>COUNTIFS(c_store,A1656,c_date,B1656,c_hour,C1656)</f>
        <v>0</v>
      </c>
      <c r="G1656" s="33">
        <f>IF(F1656&gt;0,1,0)</f>
        <v>0</v>
      </c>
      <c r="H1656" s="33">
        <f>COUNTIFS(Demand!$A$2:$A$4481,A1656,Demand!$B$2:$B$4481,B1656,Demand!$C$2:$C$4481,C1656)</f>
        <v>1</v>
      </c>
    </row>
    <row r="1657">
      <c r="A1657" s="32" t="str">
        <f>Demand!A1655</f>
        <v>S004</v>
      </c>
      <c r="B1657" s="35">
        <f>Demand!B1655</f>
        <v>46271.0</v>
      </c>
      <c r="C1657" s="33">
        <f>Demand!C1655</f>
        <v>13</v>
      </c>
      <c r="D1657" s="33">
        <f>Demand!E1655</f>
        <v>34</v>
      </c>
      <c r="E1657" s="33">
        <f>IF(Demand!F1655,1,0)</f>
        <v>0</v>
      </c>
      <c r="F1657" s="33">
        <f>COUNTIFS(c_store,A1657,c_date,B1657,c_hour,C1657)</f>
        <v>2</v>
      </c>
      <c r="G1657" s="33">
        <f>IF(F1657&gt;0,1,0)</f>
        <v>1</v>
      </c>
      <c r="H1657" s="33">
        <f>COUNTIFS(Demand!$A$2:$A$4481,A1657,Demand!$B$2:$B$4481,B1657,Demand!$C$2:$C$4481,C1657)</f>
        <v>1</v>
      </c>
    </row>
    <row r="1658">
      <c r="A1658" s="32" t="str">
        <f>Demand!A1656</f>
        <v>S004</v>
      </c>
      <c r="B1658" s="35">
        <f>Demand!B1656</f>
        <v>46271.0</v>
      </c>
      <c r="C1658" s="33">
        <f>Demand!C1656</f>
        <v>14</v>
      </c>
      <c r="D1658" s="33">
        <f>Demand!E1656</f>
        <v>39</v>
      </c>
      <c r="E1658" s="33">
        <f>IF(Demand!F1656,1,0)</f>
        <v>0</v>
      </c>
      <c r="F1658" s="33">
        <f>COUNTIFS(c_store,A1658,c_date,B1658,c_hour,C1658)</f>
        <v>0</v>
      </c>
      <c r="G1658" s="33">
        <f>IF(F1658&gt;0,1,0)</f>
        <v>0</v>
      </c>
      <c r="H1658" s="33">
        <f>COUNTIFS(Demand!$A$2:$A$4481,A1658,Demand!$B$2:$B$4481,B1658,Demand!$C$2:$C$4481,C1658)</f>
        <v>1</v>
      </c>
    </row>
    <row r="1659">
      <c r="A1659" s="32" t="str">
        <f>Demand!A1657</f>
        <v>S004</v>
      </c>
      <c r="B1659" s="35">
        <f>Demand!B1657</f>
        <v>46271.0</v>
      </c>
      <c r="C1659" s="33">
        <f>Demand!C1657</f>
        <v>15</v>
      </c>
      <c r="D1659" s="33">
        <f>Demand!E1657</f>
        <v>36</v>
      </c>
      <c r="E1659" s="33">
        <f>IF(Demand!F1657,1,0)</f>
        <v>0</v>
      </c>
      <c r="F1659" s="33">
        <f>COUNTIFS(c_store,A1659,c_date,B1659,c_hour,C1659)</f>
        <v>0</v>
      </c>
      <c r="G1659" s="33">
        <f>IF(F1659&gt;0,1,0)</f>
        <v>0</v>
      </c>
      <c r="H1659" s="33">
        <f>COUNTIFS(Demand!$A$2:$A$4481,A1659,Demand!$B$2:$B$4481,B1659,Demand!$C$2:$C$4481,C1659)</f>
        <v>1</v>
      </c>
    </row>
    <row r="1660">
      <c r="A1660" s="32" t="str">
        <f>Demand!A1658</f>
        <v>S004</v>
      </c>
      <c r="B1660" s="35">
        <f>Demand!B1658</f>
        <v>46271.0</v>
      </c>
      <c r="C1660" s="33">
        <f>Demand!C1658</f>
        <v>16</v>
      </c>
      <c r="D1660" s="33">
        <f>Demand!E1658</f>
        <v>46</v>
      </c>
      <c r="E1660" s="33">
        <f>IF(Demand!F1658,1,0)</f>
        <v>0</v>
      </c>
      <c r="F1660" s="33">
        <f>COUNTIFS(c_store,A1660,c_date,B1660,c_hour,C1660)</f>
        <v>0</v>
      </c>
      <c r="G1660" s="33">
        <f>IF(F1660&gt;0,1,0)</f>
        <v>0</v>
      </c>
      <c r="H1660" s="33">
        <f>COUNTIFS(Demand!$A$2:$A$4481,A1660,Demand!$B$2:$B$4481,B1660,Demand!$C$2:$C$4481,C1660)</f>
        <v>1</v>
      </c>
    </row>
    <row r="1661">
      <c r="A1661" s="32" t="str">
        <f>Demand!A1659</f>
        <v>S004</v>
      </c>
      <c r="B1661" s="35">
        <f>Demand!B1659</f>
        <v>46271.0</v>
      </c>
      <c r="C1661" s="33">
        <f>Demand!C1659</f>
        <v>17</v>
      </c>
      <c r="D1661" s="33">
        <f>Demand!E1659</f>
        <v>57</v>
      </c>
      <c r="E1661" s="33">
        <f>IF(Demand!F1659,1,0)</f>
        <v>0</v>
      </c>
      <c r="F1661" s="33">
        <f>COUNTIFS(c_store,A1661,c_date,B1661,c_hour,C1661)</f>
        <v>0</v>
      </c>
      <c r="G1661" s="33">
        <f>IF(F1661&gt;0,1,0)</f>
        <v>0</v>
      </c>
      <c r="H1661" s="33">
        <f>COUNTIFS(Demand!$A$2:$A$4481,A1661,Demand!$B$2:$B$4481,B1661,Demand!$C$2:$C$4481,C1661)</f>
        <v>1</v>
      </c>
    </row>
    <row r="1662">
      <c r="A1662" s="32" t="str">
        <f>Demand!A1660</f>
        <v>S004</v>
      </c>
      <c r="B1662" s="35">
        <f>Demand!B1660</f>
        <v>46271.0</v>
      </c>
      <c r="C1662" s="33">
        <f>Demand!C1660</f>
        <v>18</v>
      </c>
      <c r="D1662" s="33">
        <f>Demand!E1660</f>
        <v>42</v>
      </c>
      <c r="E1662" s="33">
        <f>IF(Demand!F1660,1,0)</f>
        <v>0</v>
      </c>
      <c r="F1662" s="33">
        <f>COUNTIFS(c_store,A1662,c_date,B1662,c_hour,C1662)</f>
        <v>0</v>
      </c>
      <c r="G1662" s="33">
        <f>IF(F1662&gt;0,1,0)</f>
        <v>0</v>
      </c>
      <c r="H1662" s="33">
        <f>COUNTIFS(Demand!$A$2:$A$4481,A1662,Demand!$B$2:$B$4481,B1662,Demand!$C$2:$C$4481,C1662)</f>
        <v>1</v>
      </c>
    </row>
    <row r="1663">
      <c r="A1663" s="32" t="str">
        <f>Demand!A1661</f>
        <v>S004</v>
      </c>
      <c r="B1663" s="35">
        <f>Demand!B1661</f>
        <v>46271.0</v>
      </c>
      <c r="C1663" s="33">
        <f>Demand!C1661</f>
        <v>19</v>
      </c>
      <c r="D1663" s="33">
        <f>Demand!E1661</f>
        <v>67</v>
      </c>
      <c r="E1663" s="33">
        <f>IF(Demand!F1661,1,0)</f>
        <v>1</v>
      </c>
      <c r="F1663" s="33">
        <f>COUNTIFS(c_store,A1663,c_date,B1663,c_hour,C1663)</f>
        <v>0</v>
      </c>
      <c r="G1663" s="33">
        <f>IF(F1663&gt;0,1,0)</f>
        <v>0</v>
      </c>
      <c r="H1663" s="33">
        <f>COUNTIFS(Demand!$A$2:$A$4481,A1663,Demand!$B$2:$B$4481,B1663,Demand!$C$2:$C$4481,C1663)</f>
        <v>1</v>
      </c>
    </row>
    <row r="1664">
      <c r="A1664" s="32" t="str">
        <f>Demand!A1662</f>
        <v>S004</v>
      </c>
      <c r="B1664" s="35">
        <f>Demand!B1662</f>
        <v>46271.0</v>
      </c>
      <c r="C1664" s="33">
        <f>Demand!C1662</f>
        <v>20</v>
      </c>
      <c r="D1664" s="33">
        <f>Demand!E1662</f>
        <v>78</v>
      </c>
      <c r="E1664" s="33">
        <f>IF(Demand!F1662,1,0)</f>
        <v>1</v>
      </c>
      <c r="F1664" s="33">
        <f>COUNTIFS(c_store,A1664,c_date,B1664,c_hour,C1664)</f>
        <v>0</v>
      </c>
      <c r="G1664" s="33">
        <f>IF(F1664&gt;0,1,0)</f>
        <v>0</v>
      </c>
      <c r="H1664" s="33">
        <f>COUNTIFS(Demand!$A$2:$A$4481,A1664,Demand!$B$2:$B$4481,B1664,Demand!$C$2:$C$4481,C1664)</f>
        <v>1</v>
      </c>
    </row>
    <row r="1665">
      <c r="A1665" s="32" t="str">
        <f>Demand!A1663</f>
        <v>S004</v>
      </c>
      <c r="B1665" s="35">
        <f>Demand!B1663</f>
        <v>46271.0</v>
      </c>
      <c r="C1665" s="33">
        <f>Demand!C1663</f>
        <v>21</v>
      </c>
      <c r="D1665" s="33">
        <f>Demand!E1663</f>
        <v>72</v>
      </c>
      <c r="E1665" s="33">
        <f>IF(Demand!F1663,1,0)</f>
        <v>1</v>
      </c>
      <c r="F1665" s="33">
        <f>COUNTIFS(c_store,A1665,c_date,B1665,c_hour,C1665)</f>
        <v>2</v>
      </c>
      <c r="G1665" s="33">
        <f>IF(F1665&gt;0,1,0)</f>
        <v>1</v>
      </c>
      <c r="H1665" s="33">
        <f>COUNTIFS(Demand!$A$2:$A$4481,A1665,Demand!$B$2:$B$4481,B1665,Demand!$C$2:$C$4481,C1665)</f>
        <v>1</v>
      </c>
    </row>
    <row r="1666">
      <c r="A1666" s="32" t="str">
        <f>Demand!A1664</f>
        <v>S004</v>
      </c>
      <c r="B1666" s="35">
        <f>Demand!B1664</f>
        <v>46271.0</v>
      </c>
      <c r="C1666" s="33">
        <f>Demand!C1664</f>
        <v>22</v>
      </c>
      <c r="D1666" s="33">
        <f>Demand!E1664</f>
        <v>50</v>
      </c>
      <c r="E1666" s="33">
        <f>IF(Demand!F1664,1,0)</f>
        <v>0</v>
      </c>
      <c r="F1666" s="33">
        <f>COUNTIFS(c_store,A1666,c_date,B1666,c_hour,C1666)</f>
        <v>0</v>
      </c>
      <c r="G1666" s="33">
        <f>IF(F1666&gt;0,1,0)</f>
        <v>0</v>
      </c>
      <c r="H1666" s="33">
        <f>COUNTIFS(Demand!$A$2:$A$4481,A1666,Demand!$B$2:$B$4481,B1666,Demand!$C$2:$C$4481,C1666)</f>
        <v>1</v>
      </c>
    </row>
    <row r="1667">
      <c r="A1667" s="32" t="str">
        <f>Demand!A1665</f>
        <v>S004</v>
      </c>
      <c r="B1667" s="35">
        <f>Demand!B1665</f>
        <v>46271.0</v>
      </c>
      <c r="C1667" s="33">
        <f>Demand!C1665</f>
        <v>23</v>
      </c>
      <c r="D1667" s="33">
        <f>Demand!E1665</f>
        <v>35</v>
      </c>
      <c r="E1667" s="33">
        <f>IF(Demand!F1665,1,0)</f>
        <v>0</v>
      </c>
      <c r="F1667" s="33">
        <f>COUNTIFS(c_store,A1667,c_date,B1667,c_hour,C1667)</f>
        <v>0</v>
      </c>
      <c r="G1667" s="33">
        <f>IF(F1667&gt;0,1,0)</f>
        <v>0</v>
      </c>
      <c r="H1667" s="33">
        <f>COUNTIFS(Demand!$A$2:$A$4481,A1667,Demand!$B$2:$B$4481,B1667,Demand!$C$2:$C$4481,C1667)</f>
        <v>1</v>
      </c>
    </row>
    <row r="1668">
      <c r="A1668" s="32" t="str">
        <f>Demand!A1666</f>
        <v>S005</v>
      </c>
      <c r="B1668" s="35">
        <f>Demand!B1666</f>
        <v>46271.0</v>
      </c>
      <c r="C1668" s="33">
        <f>Demand!C1666</f>
        <v>8</v>
      </c>
      <c r="D1668" s="33">
        <f>Demand!E1666</f>
        <v>11</v>
      </c>
      <c r="E1668" s="33">
        <f>IF(Demand!F1666,1,0)</f>
        <v>0</v>
      </c>
      <c r="F1668" s="33">
        <f>COUNTIFS(c_store,A1668,c_date,B1668,c_hour,C1668)</f>
        <v>2</v>
      </c>
      <c r="G1668" s="33">
        <f>IF(F1668&gt;0,1,0)</f>
        <v>1</v>
      </c>
      <c r="H1668" s="33">
        <f>COUNTIFS(Demand!$A$2:$A$4481,A1668,Demand!$B$2:$B$4481,B1668,Demand!$C$2:$C$4481,C1668)</f>
        <v>1</v>
      </c>
    </row>
    <row r="1669">
      <c r="A1669" s="32" t="str">
        <f>Demand!A1667</f>
        <v>S005</v>
      </c>
      <c r="B1669" s="35">
        <f>Demand!B1667</f>
        <v>46271.0</v>
      </c>
      <c r="C1669" s="33">
        <f>Demand!C1667</f>
        <v>9</v>
      </c>
      <c r="D1669" s="33">
        <f>Demand!E1667</f>
        <v>11</v>
      </c>
      <c r="E1669" s="33">
        <f>IF(Demand!F1667,1,0)</f>
        <v>0</v>
      </c>
      <c r="F1669" s="33">
        <f>COUNTIFS(c_store,A1669,c_date,B1669,c_hour,C1669)</f>
        <v>0</v>
      </c>
      <c r="G1669" s="33">
        <f>IF(F1669&gt;0,1,0)</f>
        <v>0</v>
      </c>
      <c r="H1669" s="33">
        <f>COUNTIFS(Demand!$A$2:$A$4481,A1669,Demand!$B$2:$B$4481,B1669,Demand!$C$2:$C$4481,C1669)</f>
        <v>1</v>
      </c>
    </row>
    <row r="1670">
      <c r="A1670" s="32" t="str">
        <f>Demand!A1668</f>
        <v>S005</v>
      </c>
      <c r="B1670" s="35">
        <f>Demand!B1668</f>
        <v>46271.0</v>
      </c>
      <c r="C1670" s="33">
        <f>Demand!C1668</f>
        <v>10</v>
      </c>
      <c r="D1670" s="33">
        <f>Demand!E1668</f>
        <v>13</v>
      </c>
      <c r="E1670" s="33">
        <f>IF(Demand!F1668,1,0)</f>
        <v>0</v>
      </c>
      <c r="F1670" s="33">
        <f>COUNTIFS(c_store,A1670,c_date,B1670,c_hour,C1670)</f>
        <v>0</v>
      </c>
      <c r="G1670" s="33">
        <f>IF(F1670&gt;0,1,0)</f>
        <v>0</v>
      </c>
      <c r="H1670" s="33">
        <f>COUNTIFS(Demand!$A$2:$A$4481,A1670,Demand!$B$2:$B$4481,B1670,Demand!$C$2:$C$4481,C1670)</f>
        <v>1</v>
      </c>
    </row>
    <row r="1671">
      <c r="A1671" s="32" t="str">
        <f>Demand!A1669</f>
        <v>S005</v>
      </c>
      <c r="B1671" s="35">
        <f>Demand!B1669</f>
        <v>46271.0</v>
      </c>
      <c r="C1671" s="33">
        <f>Demand!C1669</f>
        <v>11</v>
      </c>
      <c r="D1671" s="33">
        <f>Demand!E1669</f>
        <v>20</v>
      </c>
      <c r="E1671" s="33">
        <f>IF(Demand!F1669,1,0)</f>
        <v>0</v>
      </c>
      <c r="F1671" s="33">
        <f>COUNTIFS(c_store,A1671,c_date,B1671,c_hour,C1671)</f>
        <v>1</v>
      </c>
      <c r="G1671" s="33">
        <f>IF(F1671&gt;0,1,0)</f>
        <v>1</v>
      </c>
      <c r="H1671" s="33">
        <f>COUNTIFS(Demand!$A$2:$A$4481,A1671,Demand!$B$2:$B$4481,B1671,Demand!$C$2:$C$4481,C1671)</f>
        <v>1</v>
      </c>
    </row>
    <row r="1672">
      <c r="A1672" s="32" t="str">
        <f>Demand!A1670</f>
        <v>S005</v>
      </c>
      <c r="B1672" s="35">
        <f>Demand!B1670</f>
        <v>46271.0</v>
      </c>
      <c r="C1672" s="33">
        <f>Demand!C1670</f>
        <v>12</v>
      </c>
      <c r="D1672" s="33">
        <f>Demand!E1670</f>
        <v>25</v>
      </c>
      <c r="E1672" s="33">
        <f>IF(Demand!F1670,1,0)</f>
        <v>0</v>
      </c>
      <c r="F1672" s="33">
        <f>COUNTIFS(c_store,A1672,c_date,B1672,c_hour,C1672)</f>
        <v>1</v>
      </c>
      <c r="G1672" s="33">
        <f>IF(F1672&gt;0,1,0)</f>
        <v>1</v>
      </c>
      <c r="H1672" s="33">
        <f>COUNTIFS(Demand!$A$2:$A$4481,A1672,Demand!$B$2:$B$4481,B1672,Demand!$C$2:$C$4481,C1672)</f>
        <v>1</v>
      </c>
    </row>
    <row r="1673">
      <c r="A1673" s="32" t="str">
        <f>Demand!A1671</f>
        <v>S005</v>
      </c>
      <c r="B1673" s="35">
        <f>Demand!B1671</f>
        <v>46271.0</v>
      </c>
      <c r="C1673" s="33">
        <f>Demand!C1671</f>
        <v>13</v>
      </c>
      <c r="D1673" s="33">
        <f>Demand!E1671</f>
        <v>18</v>
      </c>
      <c r="E1673" s="33">
        <f>IF(Demand!F1671,1,0)</f>
        <v>0</v>
      </c>
      <c r="F1673" s="33">
        <f>COUNTIFS(c_store,A1673,c_date,B1673,c_hour,C1673)</f>
        <v>0</v>
      </c>
      <c r="G1673" s="33">
        <f>IF(F1673&gt;0,1,0)</f>
        <v>0</v>
      </c>
      <c r="H1673" s="33">
        <f>COUNTIFS(Demand!$A$2:$A$4481,A1673,Demand!$B$2:$B$4481,B1673,Demand!$C$2:$C$4481,C1673)</f>
        <v>1</v>
      </c>
    </row>
    <row r="1674">
      <c r="A1674" s="32" t="str">
        <f>Demand!A1672</f>
        <v>S005</v>
      </c>
      <c r="B1674" s="35">
        <f>Demand!B1672</f>
        <v>46271.0</v>
      </c>
      <c r="C1674" s="33">
        <f>Demand!C1672</f>
        <v>14</v>
      </c>
      <c r="D1674" s="33">
        <f>Demand!E1672</f>
        <v>14</v>
      </c>
      <c r="E1674" s="33">
        <f>IF(Demand!F1672,1,0)</f>
        <v>0</v>
      </c>
      <c r="F1674" s="33">
        <f>COUNTIFS(c_store,A1674,c_date,B1674,c_hour,C1674)</f>
        <v>0</v>
      </c>
      <c r="G1674" s="33">
        <f>IF(F1674&gt;0,1,0)</f>
        <v>0</v>
      </c>
      <c r="H1674" s="33">
        <f>COUNTIFS(Demand!$A$2:$A$4481,A1674,Demand!$B$2:$B$4481,B1674,Demand!$C$2:$C$4481,C1674)</f>
        <v>1</v>
      </c>
    </row>
    <row r="1675">
      <c r="A1675" s="32" t="str">
        <f>Demand!A1673</f>
        <v>S005</v>
      </c>
      <c r="B1675" s="35">
        <f>Demand!B1673</f>
        <v>46271.0</v>
      </c>
      <c r="C1675" s="33">
        <f>Demand!C1673</f>
        <v>15</v>
      </c>
      <c r="D1675" s="33">
        <f>Demand!E1673</f>
        <v>13</v>
      </c>
      <c r="E1675" s="33">
        <f>IF(Demand!F1673,1,0)</f>
        <v>0</v>
      </c>
      <c r="F1675" s="33">
        <f>COUNTIFS(c_store,A1675,c_date,B1675,c_hour,C1675)</f>
        <v>0</v>
      </c>
      <c r="G1675" s="33">
        <f>IF(F1675&gt;0,1,0)</f>
        <v>0</v>
      </c>
      <c r="H1675" s="33">
        <f>COUNTIFS(Demand!$A$2:$A$4481,A1675,Demand!$B$2:$B$4481,B1675,Demand!$C$2:$C$4481,C1675)</f>
        <v>1</v>
      </c>
    </row>
    <row r="1676">
      <c r="A1676" s="32" t="str">
        <f>Demand!A1674</f>
        <v>S005</v>
      </c>
      <c r="B1676" s="35">
        <f>Demand!B1674</f>
        <v>46271.0</v>
      </c>
      <c r="C1676" s="33">
        <f>Demand!C1674</f>
        <v>16</v>
      </c>
      <c r="D1676" s="33">
        <f>Demand!E1674</f>
        <v>13</v>
      </c>
      <c r="E1676" s="33">
        <f>IF(Demand!F1674,1,0)</f>
        <v>0</v>
      </c>
      <c r="F1676" s="33">
        <f>COUNTIFS(c_store,A1676,c_date,B1676,c_hour,C1676)</f>
        <v>0</v>
      </c>
      <c r="G1676" s="33">
        <f>IF(F1676&gt;0,1,0)</f>
        <v>0</v>
      </c>
      <c r="H1676" s="33">
        <f>COUNTIFS(Demand!$A$2:$A$4481,A1676,Demand!$B$2:$B$4481,B1676,Demand!$C$2:$C$4481,C1676)</f>
        <v>1</v>
      </c>
    </row>
    <row r="1677">
      <c r="A1677" s="32" t="str">
        <f>Demand!A1675</f>
        <v>S005</v>
      </c>
      <c r="B1677" s="35">
        <f>Demand!B1675</f>
        <v>46271.0</v>
      </c>
      <c r="C1677" s="33">
        <f>Demand!C1675</f>
        <v>17</v>
      </c>
      <c r="D1677" s="33">
        <f>Demand!E1675</f>
        <v>20</v>
      </c>
      <c r="E1677" s="33">
        <f>IF(Demand!F1675,1,0)</f>
        <v>0</v>
      </c>
      <c r="F1677" s="33">
        <f>COUNTIFS(c_store,A1677,c_date,B1677,c_hour,C1677)</f>
        <v>0</v>
      </c>
      <c r="G1677" s="33">
        <f>IF(F1677&gt;0,1,0)</f>
        <v>0</v>
      </c>
      <c r="H1677" s="33">
        <f>COUNTIFS(Demand!$A$2:$A$4481,A1677,Demand!$B$2:$B$4481,B1677,Demand!$C$2:$C$4481,C1677)</f>
        <v>1</v>
      </c>
    </row>
    <row r="1678">
      <c r="A1678" s="32" t="str">
        <f>Demand!A1676</f>
        <v>S005</v>
      </c>
      <c r="B1678" s="35">
        <f>Demand!B1676</f>
        <v>46271.0</v>
      </c>
      <c r="C1678" s="33">
        <f>Demand!C1676</f>
        <v>18</v>
      </c>
      <c r="D1678" s="33">
        <f>Demand!E1676</f>
        <v>12</v>
      </c>
      <c r="E1678" s="33">
        <f>IF(Demand!F1676,1,0)</f>
        <v>0</v>
      </c>
      <c r="F1678" s="33">
        <f>COUNTIFS(c_store,A1678,c_date,B1678,c_hour,C1678)</f>
        <v>1</v>
      </c>
      <c r="G1678" s="33">
        <f>IF(F1678&gt;0,1,0)</f>
        <v>1</v>
      </c>
      <c r="H1678" s="33">
        <f>COUNTIFS(Demand!$A$2:$A$4481,A1678,Demand!$B$2:$B$4481,B1678,Demand!$C$2:$C$4481,C1678)</f>
        <v>1</v>
      </c>
    </row>
    <row r="1679">
      <c r="A1679" s="32" t="str">
        <f>Demand!A1677</f>
        <v>S005</v>
      </c>
      <c r="B1679" s="35">
        <f>Demand!B1677</f>
        <v>46271.0</v>
      </c>
      <c r="C1679" s="33">
        <f>Demand!C1677</f>
        <v>19</v>
      </c>
      <c r="D1679" s="33">
        <f>Demand!E1677</f>
        <v>24</v>
      </c>
      <c r="E1679" s="33">
        <f>IF(Demand!F1677,1,0)</f>
        <v>1</v>
      </c>
      <c r="F1679" s="33">
        <f>COUNTIFS(c_store,A1679,c_date,B1679,c_hour,C1679)</f>
        <v>0</v>
      </c>
      <c r="G1679" s="33">
        <f>IF(F1679&gt;0,1,0)</f>
        <v>0</v>
      </c>
      <c r="H1679" s="33">
        <f>COUNTIFS(Demand!$A$2:$A$4481,A1679,Demand!$B$2:$B$4481,B1679,Demand!$C$2:$C$4481,C1679)</f>
        <v>1</v>
      </c>
    </row>
    <row r="1680">
      <c r="A1680" s="32" t="str">
        <f>Demand!A1678</f>
        <v>S005</v>
      </c>
      <c r="B1680" s="35">
        <f>Demand!B1678</f>
        <v>46271.0</v>
      </c>
      <c r="C1680" s="33">
        <f>Demand!C1678</f>
        <v>20</v>
      </c>
      <c r="D1680" s="33">
        <f>Demand!E1678</f>
        <v>22</v>
      </c>
      <c r="E1680" s="33">
        <f>IF(Demand!F1678,1,0)</f>
        <v>1</v>
      </c>
      <c r="F1680" s="33">
        <f>COUNTIFS(c_store,A1680,c_date,B1680,c_hour,C1680)</f>
        <v>0</v>
      </c>
      <c r="G1680" s="33">
        <f>IF(F1680&gt;0,1,0)</f>
        <v>0</v>
      </c>
      <c r="H1680" s="33">
        <f>COUNTIFS(Demand!$A$2:$A$4481,A1680,Demand!$B$2:$B$4481,B1680,Demand!$C$2:$C$4481,C1680)</f>
        <v>1</v>
      </c>
    </row>
    <row r="1681">
      <c r="A1681" s="32" t="str">
        <f>Demand!A1679</f>
        <v>S005</v>
      </c>
      <c r="B1681" s="35">
        <f>Demand!B1679</f>
        <v>46271.0</v>
      </c>
      <c r="C1681" s="33">
        <f>Demand!C1679</f>
        <v>21</v>
      </c>
      <c r="D1681" s="33">
        <f>Demand!E1679</f>
        <v>22</v>
      </c>
      <c r="E1681" s="33">
        <f>IF(Demand!F1679,1,0)</f>
        <v>1</v>
      </c>
      <c r="F1681" s="33">
        <f>COUNTIFS(c_store,A1681,c_date,B1681,c_hour,C1681)</f>
        <v>0</v>
      </c>
      <c r="G1681" s="33">
        <f>IF(F1681&gt;0,1,0)</f>
        <v>0</v>
      </c>
      <c r="H1681" s="33">
        <f>COUNTIFS(Demand!$A$2:$A$4481,A1681,Demand!$B$2:$B$4481,B1681,Demand!$C$2:$C$4481,C1681)</f>
        <v>1</v>
      </c>
    </row>
    <row r="1682">
      <c r="A1682" s="32" t="str">
        <f>Demand!A1680</f>
        <v>S005</v>
      </c>
      <c r="B1682" s="35">
        <f>Demand!B1680</f>
        <v>46271.0</v>
      </c>
      <c r="C1682" s="33">
        <f>Demand!C1680</f>
        <v>22</v>
      </c>
      <c r="D1682" s="33">
        <f>Demand!E1680</f>
        <v>16</v>
      </c>
      <c r="E1682" s="33">
        <f>IF(Demand!F1680,1,0)</f>
        <v>0</v>
      </c>
      <c r="F1682" s="33">
        <f>COUNTIFS(c_store,A1682,c_date,B1682,c_hour,C1682)</f>
        <v>2</v>
      </c>
      <c r="G1682" s="33">
        <f>IF(F1682&gt;0,1,0)</f>
        <v>1</v>
      </c>
      <c r="H1682" s="33">
        <f>COUNTIFS(Demand!$A$2:$A$4481,A1682,Demand!$B$2:$B$4481,B1682,Demand!$C$2:$C$4481,C1682)</f>
        <v>1</v>
      </c>
    </row>
    <row r="1683">
      <c r="A1683" s="32" t="str">
        <f>Demand!A1681</f>
        <v>S005</v>
      </c>
      <c r="B1683" s="35">
        <f>Demand!B1681</f>
        <v>46271.0</v>
      </c>
      <c r="C1683" s="33">
        <f>Demand!C1681</f>
        <v>23</v>
      </c>
      <c r="D1683" s="33">
        <f>Demand!E1681</f>
        <v>17</v>
      </c>
      <c r="E1683" s="33">
        <f>IF(Demand!F1681,1,0)</f>
        <v>0</v>
      </c>
      <c r="F1683" s="33">
        <f>COUNTIFS(c_store,A1683,c_date,B1683,c_hour,C1683)</f>
        <v>1</v>
      </c>
      <c r="G1683" s="33">
        <f>IF(F1683&gt;0,1,0)</f>
        <v>1</v>
      </c>
      <c r="H1683" s="33">
        <f>COUNTIFS(Demand!$A$2:$A$4481,A1683,Demand!$B$2:$B$4481,B1683,Demand!$C$2:$C$4481,C1683)</f>
        <v>1</v>
      </c>
    </row>
    <row r="1684">
      <c r="A1684" s="32" t="str">
        <f>Demand!A1682</f>
        <v>S006</v>
      </c>
      <c r="B1684" s="35">
        <f>Demand!B1682</f>
        <v>46271.0</v>
      </c>
      <c r="C1684" s="33">
        <f>Demand!C1682</f>
        <v>8</v>
      </c>
      <c r="D1684" s="33">
        <f>Demand!E1682</f>
        <v>27</v>
      </c>
      <c r="E1684" s="33">
        <f>IF(Demand!F1682,1,0)</f>
        <v>0</v>
      </c>
      <c r="F1684" s="33">
        <f>COUNTIFS(c_store,A1684,c_date,B1684,c_hour,C1684)</f>
        <v>0</v>
      </c>
      <c r="G1684" s="33">
        <f>IF(F1684&gt;0,1,0)</f>
        <v>0</v>
      </c>
      <c r="H1684" s="33">
        <f>COUNTIFS(Demand!$A$2:$A$4481,A1684,Demand!$B$2:$B$4481,B1684,Demand!$C$2:$C$4481,C1684)</f>
        <v>1</v>
      </c>
    </row>
    <row r="1685">
      <c r="A1685" s="32" t="str">
        <f>Demand!A1683</f>
        <v>S006</v>
      </c>
      <c r="B1685" s="35">
        <f>Demand!B1683</f>
        <v>46271.0</v>
      </c>
      <c r="C1685" s="33">
        <f>Demand!C1683</f>
        <v>9</v>
      </c>
      <c r="D1685" s="33">
        <f>Demand!E1683</f>
        <v>17</v>
      </c>
      <c r="E1685" s="33">
        <f>IF(Demand!F1683,1,0)</f>
        <v>0</v>
      </c>
      <c r="F1685" s="33">
        <f>COUNTIFS(c_store,A1685,c_date,B1685,c_hour,C1685)</f>
        <v>0</v>
      </c>
      <c r="G1685" s="33">
        <f>IF(F1685&gt;0,1,0)</f>
        <v>0</v>
      </c>
      <c r="H1685" s="33">
        <f>COUNTIFS(Demand!$A$2:$A$4481,A1685,Demand!$B$2:$B$4481,B1685,Demand!$C$2:$C$4481,C1685)</f>
        <v>1</v>
      </c>
    </row>
    <row r="1686">
      <c r="A1686" s="32" t="str">
        <f>Demand!A1684</f>
        <v>S006</v>
      </c>
      <c r="B1686" s="35">
        <f>Demand!B1684</f>
        <v>46271.0</v>
      </c>
      <c r="C1686" s="33">
        <f>Demand!C1684</f>
        <v>10</v>
      </c>
      <c r="D1686" s="33">
        <f>Demand!E1684</f>
        <v>20</v>
      </c>
      <c r="E1686" s="33">
        <f>IF(Demand!F1684,1,0)</f>
        <v>0</v>
      </c>
      <c r="F1686" s="33">
        <f>COUNTIFS(c_store,A1686,c_date,B1686,c_hour,C1686)</f>
        <v>1</v>
      </c>
      <c r="G1686" s="33">
        <f>IF(F1686&gt;0,1,0)</f>
        <v>1</v>
      </c>
      <c r="H1686" s="33">
        <f>COUNTIFS(Demand!$A$2:$A$4481,A1686,Demand!$B$2:$B$4481,B1686,Demand!$C$2:$C$4481,C1686)</f>
        <v>1</v>
      </c>
    </row>
    <row r="1687">
      <c r="A1687" s="32" t="str">
        <f>Demand!A1685</f>
        <v>S006</v>
      </c>
      <c r="B1687" s="35">
        <f>Demand!B1685</f>
        <v>46271.0</v>
      </c>
      <c r="C1687" s="33">
        <f>Demand!C1685</f>
        <v>11</v>
      </c>
      <c r="D1687" s="33">
        <f>Demand!E1685</f>
        <v>27</v>
      </c>
      <c r="E1687" s="33">
        <f>IF(Demand!F1685,1,0)</f>
        <v>0</v>
      </c>
      <c r="F1687" s="33">
        <f>COUNTIFS(c_store,A1687,c_date,B1687,c_hour,C1687)</f>
        <v>0</v>
      </c>
      <c r="G1687" s="33">
        <f>IF(F1687&gt;0,1,0)</f>
        <v>0</v>
      </c>
      <c r="H1687" s="33">
        <f>COUNTIFS(Demand!$A$2:$A$4481,A1687,Demand!$B$2:$B$4481,B1687,Demand!$C$2:$C$4481,C1687)</f>
        <v>1</v>
      </c>
    </row>
    <row r="1688">
      <c r="A1688" s="32" t="str">
        <f>Demand!A1686</f>
        <v>S006</v>
      </c>
      <c r="B1688" s="35">
        <f>Demand!B1686</f>
        <v>46271.0</v>
      </c>
      <c r="C1688" s="33">
        <f>Demand!C1686</f>
        <v>12</v>
      </c>
      <c r="D1688" s="33">
        <f>Demand!E1686</f>
        <v>23</v>
      </c>
      <c r="E1688" s="33">
        <f>IF(Demand!F1686,1,0)</f>
        <v>0</v>
      </c>
      <c r="F1688" s="33">
        <f>COUNTIFS(c_store,A1688,c_date,B1688,c_hour,C1688)</f>
        <v>0</v>
      </c>
      <c r="G1688" s="33">
        <f>IF(F1688&gt;0,1,0)</f>
        <v>0</v>
      </c>
      <c r="H1688" s="33">
        <f>COUNTIFS(Demand!$A$2:$A$4481,A1688,Demand!$B$2:$B$4481,B1688,Demand!$C$2:$C$4481,C1688)</f>
        <v>1</v>
      </c>
    </row>
    <row r="1689">
      <c r="A1689" s="32" t="str">
        <f>Demand!A1687</f>
        <v>S006</v>
      </c>
      <c r="B1689" s="35">
        <f>Demand!B1687</f>
        <v>46271.0</v>
      </c>
      <c r="C1689" s="33">
        <f>Demand!C1687</f>
        <v>13</v>
      </c>
      <c r="D1689" s="33">
        <f>Demand!E1687</f>
        <v>35</v>
      </c>
      <c r="E1689" s="33">
        <f>IF(Demand!F1687,1,0)</f>
        <v>0</v>
      </c>
      <c r="F1689" s="33">
        <f>COUNTIFS(c_store,A1689,c_date,B1689,c_hour,C1689)</f>
        <v>0</v>
      </c>
      <c r="G1689" s="33">
        <f>IF(F1689&gt;0,1,0)</f>
        <v>0</v>
      </c>
      <c r="H1689" s="33">
        <f>COUNTIFS(Demand!$A$2:$A$4481,A1689,Demand!$B$2:$B$4481,B1689,Demand!$C$2:$C$4481,C1689)</f>
        <v>1</v>
      </c>
    </row>
    <row r="1690">
      <c r="A1690" s="32" t="str">
        <f>Demand!A1688</f>
        <v>S006</v>
      </c>
      <c r="B1690" s="35">
        <f>Demand!B1688</f>
        <v>46271.0</v>
      </c>
      <c r="C1690" s="33">
        <f>Demand!C1688</f>
        <v>14</v>
      </c>
      <c r="D1690" s="33">
        <f>Demand!E1688</f>
        <v>25</v>
      </c>
      <c r="E1690" s="33">
        <f>IF(Demand!F1688,1,0)</f>
        <v>0</v>
      </c>
      <c r="F1690" s="33">
        <f>COUNTIFS(c_store,A1690,c_date,B1690,c_hour,C1690)</f>
        <v>0</v>
      </c>
      <c r="G1690" s="33">
        <f>IF(F1690&gt;0,1,0)</f>
        <v>0</v>
      </c>
      <c r="H1690" s="33">
        <f>COUNTIFS(Demand!$A$2:$A$4481,A1690,Demand!$B$2:$B$4481,B1690,Demand!$C$2:$C$4481,C1690)</f>
        <v>1</v>
      </c>
    </row>
    <row r="1691">
      <c r="A1691" s="32" t="str">
        <f>Demand!A1689</f>
        <v>S006</v>
      </c>
      <c r="B1691" s="35">
        <f>Demand!B1689</f>
        <v>46271.0</v>
      </c>
      <c r="C1691" s="33">
        <f>Demand!C1689</f>
        <v>15</v>
      </c>
      <c r="D1691" s="33">
        <f>Demand!E1689</f>
        <v>18</v>
      </c>
      <c r="E1691" s="33">
        <f>IF(Demand!F1689,1,0)</f>
        <v>0</v>
      </c>
      <c r="F1691" s="33">
        <f>COUNTIFS(c_store,A1691,c_date,B1691,c_hour,C1691)</f>
        <v>1</v>
      </c>
      <c r="G1691" s="33">
        <f>IF(F1691&gt;0,1,0)</f>
        <v>1</v>
      </c>
      <c r="H1691" s="33">
        <f>COUNTIFS(Demand!$A$2:$A$4481,A1691,Demand!$B$2:$B$4481,B1691,Demand!$C$2:$C$4481,C1691)</f>
        <v>1</v>
      </c>
    </row>
    <row r="1692">
      <c r="A1692" s="32" t="str">
        <f>Demand!A1690</f>
        <v>S006</v>
      </c>
      <c r="B1692" s="35">
        <f>Demand!B1690</f>
        <v>46271.0</v>
      </c>
      <c r="C1692" s="33">
        <f>Demand!C1690</f>
        <v>16</v>
      </c>
      <c r="D1692" s="33">
        <f>Demand!E1690</f>
        <v>31</v>
      </c>
      <c r="E1692" s="33">
        <f>IF(Demand!F1690,1,0)</f>
        <v>0</v>
      </c>
      <c r="F1692" s="33">
        <f>COUNTIFS(c_store,A1692,c_date,B1692,c_hour,C1692)</f>
        <v>0</v>
      </c>
      <c r="G1692" s="33">
        <f>IF(F1692&gt;0,1,0)</f>
        <v>0</v>
      </c>
      <c r="H1692" s="33">
        <f>COUNTIFS(Demand!$A$2:$A$4481,A1692,Demand!$B$2:$B$4481,B1692,Demand!$C$2:$C$4481,C1692)</f>
        <v>1</v>
      </c>
    </row>
    <row r="1693">
      <c r="A1693" s="32" t="str">
        <f>Demand!A1691</f>
        <v>S006</v>
      </c>
      <c r="B1693" s="35">
        <f>Demand!B1691</f>
        <v>46271.0</v>
      </c>
      <c r="C1693" s="33">
        <f>Demand!C1691</f>
        <v>17</v>
      </c>
      <c r="D1693" s="33">
        <f>Demand!E1691</f>
        <v>29</v>
      </c>
      <c r="E1693" s="33">
        <f>IF(Demand!F1691,1,0)</f>
        <v>0</v>
      </c>
      <c r="F1693" s="33">
        <f>COUNTIFS(c_store,A1693,c_date,B1693,c_hour,C1693)</f>
        <v>0</v>
      </c>
      <c r="G1693" s="33">
        <f>IF(F1693&gt;0,1,0)</f>
        <v>0</v>
      </c>
      <c r="H1693" s="33">
        <f>COUNTIFS(Demand!$A$2:$A$4481,A1693,Demand!$B$2:$B$4481,B1693,Demand!$C$2:$C$4481,C1693)</f>
        <v>1</v>
      </c>
    </row>
    <row r="1694">
      <c r="A1694" s="32" t="str">
        <f>Demand!A1692</f>
        <v>S006</v>
      </c>
      <c r="B1694" s="35">
        <f>Demand!B1692</f>
        <v>46271.0</v>
      </c>
      <c r="C1694" s="33">
        <f>Demand!C1692</f>
        <v>18</v>
      </c>
      <c r="D1694" s="33">
        <f>Demand!E1692</f>
        <v>34</v>
      </c>
      <c r="E1694" s="33">
        <f>IF(Demand!F1692,1,0)</f>
        <v>0</v>
      </c>
      <c r="F1694" s="33">
        <f>COUNTIFS(c_store,A1694,c_date,B1694,c_hour,C1694)</f>
        <v>0</v>
      </c>
      <c r="G1694" s="33">
        <f>IF(F1694&gt;0,1,0)</f>
        <v>0</v>
      </c>
      <c r="H1694" s="33">
        <f>COUNTIFS(Demand!$A$2:$A$4481,A1694,Demand!$B$2:$B$4481,B1694,Demand!$C$2:$C$4481,C1694)</f>
        <v>1</v>
      </c>
    </row>
    <row r="1695">
      <c r="A1695" s="32" t="str">
        <f>Demand!A1693</f>
        <v>S006</v>
      </c>
      <c r="B1695" s="35">
        <f>Demand!B1693</f>
        <v>46271.0</v>
      </c>
      <c r="C1695" s="33">
        <f>Demand!C1693</f>
        <v>19</v>
      </c>
      <c r="D1695" s="33">
        <f>Demand!E1693</f>
        <v>41</v>
      </c>
      <c r="E1695" s="33">
        <f>IF(Demand!F1693,1,0)</f>
        <v>1</v>
      </c>
      <c r="F1695" s="33">
        <f>COUNTIFS(c_store,A1695,c_date,B1695,c_hour,C1695)</f>
        <v>0</v>
      </c>
      <c r="G1695" s="33">
        <f>IF(F1695&gt;0,1,0)</f>
        <v>0</v>
      </c>
      <c r="H1695" s="33">
        <f>COUNTIFS(Demand!$A$2:$A$4481,A1695,Demand!$B$2:$B$4481,B1695,Demand!$C$2:$C$4481,C1695)</f>
        <v>1</v>
      </c>
    </row>
    <row r="1696">
      <c r="A1696" s="32" t="str">
        <f>Demand!A1694</f>
        <v>S006</v>
      </c>
      <c r="B1696" s="35">
        <f>Demand!B1694</f>
        <v>46271.0</v>
      </c>
      <c r="C1696" s="33">
        <f>Demand!C1694</f>
        <v>20</v>
      </c>
      <c r="D1696" s="33">
        <f>Demand!E1694</f>
        <v>41</v>
      </c>
      <c r="E1696" s="33">
        <f>IF(Demand!F1694,1,0)</f>
        <v>1</v>
      </c>
      <c r="F1696" s="33">
        <f>COUNTIFS(c_store,A1696,c_date,B1696,c_hour,C1696)</f>
        <v>1</v>
      </c>
      <c r="G1696" s="33">
        <f>IF(F1696&gt;0,1,0)</f>
        <v>1</v>
      </c>
      <c r="H1696" s="33">
        <f>COUNTIFS(Demand!$A$2:$A$4481,A1696,Demand!$B$2:$B$4481,B1696,Demand!$C$2:$C$4481,C1696)</f>
        <v>1</v>
      </c>
    </row>
    <row r="1697">
      <c r="A1697" s="32" t="str">
        <f>Demand!A1695</f>
        <v>S006</v>
      </c>
      <c r="B1697" s="35">
        <f>Demand!B1695</f>
        <v>46271.0</v>
      </c>
      <c r="C1697" s="33">
        <f>Demand!C1695</f>
        <v>21</v>
      </c>
      <c r="D1697" s="33">
        <f>Demand!E1695</f>
        <v>51</v>
      </c>
      <c r="E1697" s="33">
        <f>IF(Demand!F1695,1,0)</f>
        <v>1</v>
      </c>
      <c r="F1697" s="33">
        <f>COUNTIFS(c_store,A1697,c_date,B1697,c_hour,C1697)</f>
        <v>0</v>
      </c>
      <c r="G1697" s="33">
        <f>IF(F1697&gt;0,1,0)</f>
        <v>0</v>
      </c>
      <c r="H1697" s="33">
        <f>COUNTIFS(Demand!$A$2:$A$4481,A1697,Demand!$B$2:$B$4481,B1697,Demand!$C$2:$C$4481,C1697)</f>
        <v>1</v>
      </c>
    </row>
    <row r="1698">
      <c r="A1698" s="32" t="str">
        <f>Demand!A1696</f>
        <v>S006</v>
      </c>
      <c r="B1698" s="35">
        <f>Demand!B1696</f>
        <v>46271.0</v>
      </c>
      <c r="C1698" s="33">
        <f>Demand!C1696</f>
        <v>22</v>
      </c>
      <c r="D1698" s="33">
        <f>Demand!E1696</f>
        <v>37</v>
      </c>
      <c r="E1698" s="33">
        <f>IF(Demand!F1696,1,0)</f>
        <v>0</v>
      </c>
      <c r="F1698" s="33">
        <f>COUNTIFS(c_store,A1698,c_date,B1698,c_hour,C1698)</f>
        <v>1</v>
      </c>
      <c r="G1698" s="33">
        <f>IF(F1698&gt;0,1,0)</f>
        <v>1</v>
      </c>
      <c r="H1698" s="33">
        <f>COUNTIFS(Demand!$A$2:$A$4481,A1698,Demand!$B$2:$B$4481,B1698,Demand!$C$2:$C$4481,C1698)</f>
        <v>1</v>
      </c>
    </row>
    <row r="1699">
      <c r="A1699" s="32" t="str">
        <f>Demand!A1697</f>
        <v>S006</v>
      </c>
      <c r="B1699" s="35">
        <f>Demand!B1697</f>
        <v>46271.0</v>
      </c>
      <c r="C1699" s="33">
        <f>Demand!C1697</f>
        <v>23</v>
      </c>
      <c r="D1699" s="33">
        <f>Demand!E1697</f>
        <v>33</v>
      </c>
      <c r="E1699" s="33">
        <f>IF(Demand!F1697,1,0)</f>
        <v>0</v>
      </c>
      <c r="F1699" s="33">
        <f>COUNTIFS(c_store,A1699,c_date,B1699,c_hour,C1699)</f>
        <v>1</v>
      </c>
      <c r="G1699" s="33">
        <f>IF(F1699&gt;0,1,0)</f>
        <v>1</v>
      </c>
      <c r="H1699" s="33">
        <f>COUNTIFS(Demand!$A$2:$A$4481,A1699,Demand!$B$2:$B$4481,B1699,Demand!$C$2:$C$4481,C1699)</f>
        <v>1</v>
      </c>
    </row>
    <row r="1700">
      <c r="A1700" s="32" t="str">
        <f>Demand!A1698</f>
        <v>S007</v>
      </c>
      <c r="B1700" s="35">
        <f>Demand!B1698</f>
        <v>46271.0</v>
      </c>
      <c r="C1700" s="33">
        <f>Demand!C1698</f>
        <v>8</v>
      </c>
      <c r="D1700" s="33">
        <f>Demand!E1698</f>
        <v>25</v>
      </c>
      <c r="E1700" s="33">
        <f>IF(Demand!F1698,1,0)</f>
        <v>0</v>
      </c>
      <c r="F1700" s="33">
        <f>COUNTIFS(c_store,A1700,c_date,B1700,c_hour,C1700)</f>
        <v>1</v>
      </c>
      <c r="G1700" s="33">
        <f>IF(F1700&gt;0,1,0)</f>
        <v>1</v>
      </c>
      <c r="H1700" s="33">
        <f>COUNTIFS(Demand!$A$2:$A$4481,A1700,Demand!$B$2:$B$4481,B1700,Demand!$C$2:$C$4481,C1700)</f>
        <v>1</v>
      </c>
    </row>
    <row r="1701">
      <c r="A1701" s="32" t="str">
        <f>Demand!A1699</f>
        <v>S007</v>
      </c>
      <c r="B1701" s="35">
        <f>Demand!B1699</f>
        <v>46271.0</v>
      </c>
      <c r="C1701" s="33">
        <f>Demand!C1699</f>
        <v>9</v>
      </c>
      <c r="D1701" s="33">
        <f>Demand!E1699</f>
        <v>24</v>
      </c>
      <c r="E1701" s="33">
        <f>IF(Demand!F1699,1,0)</f>
        <v>0</v>
      </c>
      <c r="F1701" s="33">
        <f>COUNTIFS(c_store,A1701,c_date,B1701,c_hour,C1701)</f>
        <v>0</v>
      </c>
      <c r="G1701" s="33">
        <f>IF(F1701&gt;0,1,0)</f>
        <v>0</v>
      </c>
      <c r="H1701" s="33">
        <f>COUNTIFS(Demand!$A$2:$A$4481,A1701,Demand!$B$2:$B$4481,B1701,Demand!$C$2:$C$4481,C1701)</f>
        <v>1</v>
      </c>
    </row>
    <row r="1702">
      <c r="A1702" s="32" t="str">
        <f>Demand!A1700</f>
        <v>S007</v>
      </c>
      <c r="B1702" s="35">
        <f>Demand!B1700</f>
        <v>46271.0</v>
      </c>
      <c r="C1702" s="33">
        <f>Demand!C1700</f>
        <v>10</v>
      </c>
      <c r="D1702" s="33">
        <f>Demand!E1700</f>
        <v>26</v>
      </c>
      <c r="E1702" s="33">
        <f>IF(Demand!F1700,1,0)</f>
        <v>0</v>
      </c>
      <c r="F1702" s="33">
        <f>COUNTIFS(c_store,A1702,c_date,B1702,c_hour,C1702)</f>
        <v>0</v>
      </c>
      <c r="G1702" s="33">
        <f>IF(F1702&gt;0,1,0)</f>
        <v>0</v>
      </c>
      <c r="H1702" s="33">
        <f>COUNTIFS(Demand!$A$2:$A$4481,A1702,Demand!$B$2:$B$4481,B1702,Demand!$C$2:$C$4481,C1702)</f>
        <v>1</v>
      </c>
    </row>
    <row r="1703">
      <c r="A1703" s="32" t="str">
        <f>Demand!A1701</f>
        <v>S007</v>
      </c>
      <c r="B1703" s="35">
        <f>Demand!B1701</f>
        <v>46271.0</v>
      </c>
      <c r="C1703" s="33">
        <f>Demand!C1701</f>
        <v>11</v>
      </c>
      <c r="D1703" s="33">
        <f>Demand!E1701</f>
        <v>45</v>
      </c>
      <c r="E1703" s="33">
        <f>IF(Demand!F1701,1,0)</f>
        <v>0</v>
      </c>
      <c r="F1703" s="33">
        <f>COUNTIFS(c_store,A1703,c_date,B1703,c_hour,C1703)</f>
        <v>0</v>
      </c>
      <c r="G1703" s="33">
        <f>IF(F1703&gt;0,1,0)</f>
        <v>0</v>
      </c>
      <c r="H1703" s="33">
        <f>COUNTIFS(Demand!$A$2:$A$4481,A1703,Demand!$B$2:$B$4481,B1703,Demand!$C$2:$C$4481,C1703)</f>
        <v>1</v>
      </c>
    </row>
    <row r="1704">
      <c r="A1704" s="32" t="str">
        <f>Demand!A1702</f>
        <v>S007</v>
      </c>
      <c r="B1704" s="35">
        <f>Demand!B1702</f>
        <v>46271.0</v>
      </c>
      <c r="C1704" s="33">
        <f>Demand!C1702</f>
        <v>12</v>
      </c>
      <c r="D1704" s="33">
        <f>Demand!E1702</f>
        <v>55</v>
      </c>
      <c r="E1704" s="33">
        <f>IF(Demand!F1702,1,0)</f>
        <v>0</v>
      </c>
      <c r="F1704" s="33">
        <f>COUNTIFS(c_store,A1704,c_date,B1704,c_hour,C1704)</f>
        <v>1</v>
      </c>
      <c r="G1704" s="33">
        <f>IF(F1704&gt;0,1,0)</f>
        <v>1</v>
      </c>
      <c r="H1704" s="33">
        <f>COUNTIFS(Demand!$A$2:$A$4481,A1704,Demand!$B$2:$B$4481,B1704,Demand!$C$2:$C$4481,C1704)</f>
        <v>1</v>
      </c>
    </row>
    <row r="1705">
      <c r="A1705" s="32" t="str">
        <f>Demand!A1703</f>
        <v>S007</v>
      </c>
      <c r="B1705" s="35">
        <f>Demand!B1703</f>
        <v>46271.0</v>
      </c>
      <c r="C1705" s="33">
        <f>Demand!C1703</f>
        <v>13</v>
      </c>
      <c r="D1705" s="33">
        <f>Demand!E1703</f>
        <v>40</v>
      </c>
      <c r="E1705" s="33">
        <f>IF(Demand!F1703,1,0)</f>
        <v>0</v>
      </c>
      <c r="F1705" s="33">
        <f>COUNTIFS(c_store,A1705,c_date,B1705,c_hour,C1705)</f>
        <v>3</v>
      </c>
      <c r="G1705" s="33">
        <f>IF(F1705&gt;0,1,0)</f>
        <v>1</v>
      </c>
      <c r="H1705" s="33">
        <f>COUNTIFS(Demand!$A$2:$A$4481,A1705,Demand!$B$2:$B$4481,B1705,Demand!$C$2:$C$4481,C1705)</f>
        <v>1</v>
      </c>
    </row>
    <row r="1706">
      <c r="A1706" s="32" t="str">
        <f>Demand!A1704</f>
        <v>S007</v>
      </c>
      <c r="B1706" s="35">
        <f>Demand!B1704</f>
        <v>46271.0</v>
      </c>
      <c r="C1706" s="33">
        <f>Demand!C1704</f>
        <v>14</v>
      </c>
      <c r="D1706" s="33">
        <f>Demand!E1704</f>
        <v>31</v>
      </c>
      <c r="E1706" s="33">
        <f>IF(Demand!F1704,1,0)</f>
        <v>0</v>
      </c>
      <c r="F1706" s="33">
        <f>COUNTIFS(c_store,A1706,c_date,B1706,c_hour,C1706)</f>
        <v>0</v>
      </c>
      <c r="G1706" s="33">
        <f>IF(F1706&gt;0,1,0)</f>
        <v>0</v>
      </c>
      <c r="H1706" s="33">
        <f>COUNTIFS(Demand!$A$2:$A$4481,A1706,Demand!$B$2:$B$4481,B1706,Demand!$C$2:$C$4481,C1706)</f>
        <v>1</v>
      </c>
    </row>
    <row r="1707">
      <c r="A1707" s="32" t="str">
        <f>Demand!A1705</f>
        <v>S007</v>
      </c>
      <c r="B1707" s="35">
        <f>Demand!B1705</f>
        <v>46271.0</v>
      </c>
      <c r="C1707" s="33">
        <f>Demand!C1705</f>
        <v>15</v>
      </c>
      <c r="D1707" s="33">
        <f>Demand!E1705</f>
        <v>35</v>
      </c>
      <c r="E1707" s="33">
        <f>IF(Demand!F1705,1,0)</f>
        <v>0</v>
      </c>
      <c r="F1707" s="33">
        <f>COUNTIFS(c_store,A1707,c_date,B1707,c_hour,C1707)</f>
        <v>1</v>
      </c>
      <c r="G1707" s="33">
        <f>IF(F1707&gt;0,1,0)</f>
        <v>1</v>
      </c>
      <c r="H1707" s="33">
        <f>COUNTIFS(Demand!$A$2:$A$4481,A1707,Demand!$B$2:$B$4481,B1707,Demand!$C$2:$C$4481,C1707)</f>
        <v>1</v>
      </c>
    </row>
    <row r="1708">
      <c r="A1708" s="32" t="str">
        <f>Demand!A1706</f>
        <v>S007</v>
      </c>
      <c r="B1708" s="35">
        <f>Demand!B1706</f>
        <v>46271.0</v>
      </c>
      <c r="C1708" s="33">
        <f>Demand!C1706</f>
        <v>16</v>
      </c>
      <c r="D1708" s="33">
        <f>Demand!E1706</f>
        <v>44</v>
      </c>
      <c r="E1708" s="33">
        <f>IF(Demand!F1706,1,0)</f>
        <v>0</v>
      </c>
      <c r="F1708" s="33">
        <f>COUNTIFS(c_store,A1708,c_date,B1708,c_hour,C1708)</f>
        <v>0</v>
      </c>
      <c r="G1708" s="33">
        <f>IF(F1708&gt;0,1,0)</f>
        <v>0</v>
      </c>
      <c r="H1708" s="33">
        <f>COUNTIFS(Demand!$A$2:$A$4481,A1708,Demand!$B$2:$B$4481,B1708,Demand!$C$2:$C$4481,C1708)</f>
        <v>1</v>
      </c>
    </row>
    <row r="1709">
      <c r="A1709" s="32" t="str">
        <f>Demand!A1707</f>
        <v>S007</v>
      </c>
      <c r="B1709" s="35">
        <f>Demand!B1707</f>
        <v>46271.0</v>
      </c>
      <c r="C1709" s="33">
        <f>Demand!C1707</f>
        <v>17</v>
      </c>
      <c r="D1709" s="33">
        <f>Demand!E1707</f>
        <v>37</v>
      </c>
      <c r="E1709" s="33">
        <f>IF(Demand!F1707,1,0)</f>
        <v>0</v>
      </c>
      <c r="F1709" s="33">
        <f>COUNTIFS(c_store,A1709,c_date,B1709,c_hour,C1709)</f>
        <v>0</v>
      </c>
      <c r="G1709" s="33">
        <f>IF(F1709&gt;0,1,0)</f>
        <v>0</v>
      </c>
      <c r="H1709" s="33">
        <f>COUNTIFS(Demand!$A$2:$A$4481,A1709,Demand!$B$2:$B$4481,B1709,Demand!$C$2:$C$4481,C1709)</f>
        <v>1</v>
      </c>
    </row>
    <row r="1710">
      <c r="A1710" s="32" t="str">
        <f>Demand!A1708</f>
        <v>S007</v>
      </c>
      <c r="B1710" s="35">
        <f>Demand!B1708</f>
        <v>46271.0</v>
      </c>
      <c r="C1710" s="33">
        <f>Demand!C1708</f>
        <v>18</v>
      </c>
      <c r="D1710" s="33">
        <f>Demand!E1708</f>
        <v>42</v>
      </c>
      <c r="E1710" s="33">
        <f>IF(Demand!F1708,1,0)</f>
        <v>0</v>
      </c>
      <c r="F1710" s="33">
        <f>COUNTIFS(c_store,A1710,c_date,B1710,c_hour,C1710)</f>
        <v>0</v>
      </c>
      <c r="G1710" s="33">
        <f>IF(F1710&gt;0,1,0)</f>
        <v>0</v>
      </c>
      <c r="H1710" s="33">
        <f>COUNTIFS(Demand!$A$2:$A$4481,A1710,Demand!$B$2:$B$4481,B1710,Demand!$C$2:$C$4481,C1710)</f>
        <v>1</v>
      </c>
    </row>
    <row r="1711">
      <c r="A1711" s="32" t="str">
        <f>Demand!A1709</f>
        <v>S007</v>
      </c>
      <c r="B1711" s="35">
        <f>Demand!B1709</f>
        <v>46271.0</v>
      </c>
      <c r="C1711" s="33">
        <f>Demand!C1709</f>
        <v>19</v>
      </c>
      <c r="D1711" s="33">
        <f>Demand!E1709</f>
        <v>52</v>
      </c>
      <c r="E1711" s="33">
        <f>IF(Demand!F1709,1,0)</f>
        <v>1</v>
      </c>
      <c r="F1711" s="33">
        <f>COUNTIFS(c_store,A1711,c_date,B1711,c_hour,C1711)</f>
        <v>0</v>
      </c>
      <c r="G1711" s="33">
        <f>IF(F1711&gt;0,1,0)</f>
        <v>0</v>
      </c>
      <c r="H1711" s="33">
        <f>COUNTIFS(Demand!$A$2:$A$4481,A1711,Demand!$B$2:$B$4481,B1711,Demand!$C$2:$C$4481,C1711)</f>
        <v>1</v>
      </c>
    </row>
    <row r="1712">
      <c r="A1712" s="32" t="str">
        <f>Demand!A1710</f>
        <v>S007</v>
      </c>
      <c r="B1712" s="35">
        <f>Demand!B1710</f>
        <v>46271.0</v>
      </c>
      <c r="C1712" s="33">
        <f>Demand!C1710</f>
        <v>20</v>
      </c>
      <c r="D1712" s="33">
        <f>Demand!E1710</f>
        <v>65</v>
      </c>
      <c r="E1712" s="33">
        <f>IF(Demand!F1710,1,0)</f>
        <v>1</v>
      </c>
      <c r="F1712" s="33">
        <f>COUNTIFS(c_store,A1712,c_date,B1712,c_hour,C1712)</f>
        <v>1</v>
      </c>
      <c r="G1712" s="33">
        <f>IF(F1712&gt;0,1,0)</f>
        <v>1</v>
      </c>
      <c r="H1712" s="33">
        <f>COUNTIFS(Demand!$A$2:$A$4481,A1712,Demand!$B$2:$B$4481,B1712,Demand!$C$2:$C$4481,C1712)</f>
        <v>1</v>
      </c>
    </row>
    <row r="1713">
      <c r="A1713" s="32" t="str">
        <f>Demand!A1711</f>
        <v>S007</v>
      </c>
      <c r="B1713" s="35">
        <f>Demand!B1711</f>
        <v>46271.0</v>
      </c>
      <c r="C1713" s="33">
        <f>Demand!C1711</f>
        <v>21</v>
      </c>
      <c r="D1713" s="33">
        <f>Demand!E1711</f>
        <v>72</v>
      </c>
      <c r="E1713" s="33">
        <f>IF(Demand!F1711,1,0)</f>
        <v>1</v>
      </c>
      <c r="F1713" s="33">
        <f>COUNTIFS(c_store,A1713,c_date,B1713,c_hour,C1713)</f>
        <v>1</v>
      </c>
      <c r="G1713" s="33">
        <f>IF(F1713&gt;0,1,0)</f>
        <v>1</v>
      </c>
      <c r="H1713" s="33">
        <f>COUNTIFS(Demand!$A$2:$A$4481,A1713,Demand!$B$2:$B$4481,B1713,Demand!$C$2:$C$4481,C1713)</f>
        <v>1</v>
      </c>
    </row>
    <row r="1714">
      <c r="A1714" s="32" t="str">
        <f>Demand!A1712</f>
        <v>S007</v>
      </c>
      <c r="B1714" s="35">
        <f>Demand!B1712</f>
        <v>46271.0</v>
      </c>
      <c r="C1714" s="33">
        <f>Demand!C1712</f>
        <v>22</v>
      </c>
      <c r="D1714" s="33">
        <f>Demand!E1712</f>
        <v>31</v>
      </c>
      <c r="E1714" s="33">
        <f>IF(Demand!F1712,1,0)</f>
        <v>0</v>
      </c>
      <c r="F1714" s="33">
        <f>COUNTIFS(c_store,A1714,c_date,B1714,c_hour,C1714)</f>
        <v>1</v>
      </c>
      <c r="G1714" s="33">
        <f>IF(F1714&gt;0,1,0)</f>
        <v>1</v>
      </c>
      <c r="H1714" s="33">
        <f>COUNTIFS(Demand!$A$2:$A$4481,A1714,Demand!$B$2:$B$4481,B1714,Demand!$C$2:$C$4481,C1714)</f>
        <v>1</v>
      </c>
    </row>
    <row r="1715">
      <c r="A1715" s="32" t="str">
        <f>Demand!A1713</f>
        <v>S007</v>
      </c>
      <c r="B1715" s="35">
        <f>Demand!B1713</f>
        <v>46271.0</v>
      </c>
      <c r="C1715" s="33">
        <f>Demand!C1713</f>
        <v>23</v>
      </c>
      <c r="D1715" s="33">
        <f>Demand!E1713</f>
        <v>41</v>
      </c>
      <c r="E1715" s="33">
        <f>IF(Demand!F1713,1,0)</f>
        <v>0</v>
      </c>
      <c r="F1715" s="33">
        <f>COUNTIFS(c_store,A1715,c_date,B1715,c_hour,C1715)</f>
        <v>0</v>
      </c>
      <c r="G1715" s="33">
        <f>IF(F1715&gt;0,1,0)</f>
        <v>0</v>
      </c>
      <c r="H1715" s="33">
        <f>COUNTIFS(Demand!$A$2:$A$4481,A1715,Demand!$B$2:$B$4481,B1715,Demand!$C$2:$C$4481,C1715)</f>
        <v>1</v>
      </c>
    </row>
    <row r="1716">
      <c r="A1716" s="32" t="str">
        <f>Demand!A1714</f>
        <v>S008</v>
      </c>
      <c r="B1716" s="35">
        <f>Demand!B1714</f>
        <v>46271.0</v>
      </c>
      <c r="C1716" s="33">
        <f>Demand!C1714</f>
        <v>8</v>
      </c>
      <c r="D1716" s="33">
        <f>Demand!E1714</f>
        <v>24</v>
      </c>
      <c r="E1716" s="33">
        <f>IF(Demand!F1714,1,0)</f>
        <v>0</v>
      </c>
      <c r="F1716" s="33">
        <f>COUNTIFS(c_store,A1716,c_date,B1716,c_hour,C1716)</f>
        <v>0</v>
      </c>
      <c r="G1716" s="33">
        <f>IF(F1716&gt;0,1,0)</f>
        <v>0</v>
      </c>
      <c r="H1716" s="33">
        <f>COUNTIFS(Demand!$A$2:$A$4481,A1716,Demand!$B$2:$B$4481,B1716,Demand!$C$2:$C$4481,C1716)</f>
        <v>1</v>
      </c>
    </row>
    <row r="1717">
      <c r="A1717" s="32" t="str">
        <f>Demand!A1715</f>
        <v>S008</v>
      </c>
      <c r="B1717" s="35">
        <f>Demand!B1715</f>
        <v>46271.0</v>
      </c>
      <c r="C1717" s="33">
        <f>Demand!C1715</f>
        <v>9</v>
      </c>
      <c r="D1717" s="33">
        <f>Demand!E1715</f>
        <v>19</v>
      </c>
      <c r="E1717" s="33">
        <f>IF(Demand!F1715,1,0)</f>
        <v>0</v>
      </c>
      <c r="F1717" s="33">
        <f>COUNTIFS(c_store,A1717,c_date,B1717,c_hour,C1717)</f>
        <v>0</v>
      </c>
      <c r="G1717" s="33">
        <f>IF(F1717&gt;0,1,0)</f>
        <v>0</v>
      </c>
      <c r="H1717" s="33">
        <f>COUNTIFS(Demand!$A$2:$A$4481,A1717,Demand!$B$2:$B$4481,B1717,Demand!$C$2:$C$4481,C1717)</f>
        <v>1</v>
      </c>
    </row>
    <row r="1718">
      <c r="A1718" s="32" t="str">
        <f>Demand!A1716</f>
        <v>S008</v>
      </c>
      <c r="B1718" s="35">
        <f>Demand!B1716</f>
        <v>46271.0</v>
      </c>
      <c r="C1718" s="33">
        <f>Demand!C1716</f>
        <v>10</v>
      </c>
      <c r="D1718" s="33">
        <f>Demand!E1716</f>
        <v>26</v>
      </c>
      <c r="E1718" s="33">
        <f>IF(Demand!F1716,1,0)</f>
        <v>0</v>
      </c>
      <c r="F1718" s="33">
        <f>COUNTIFS(c_store,A1718,c_date,B1718,c_hour,C1718)</f>
        <v>0</v>
      </c>
      <c r="G1718" s="33">
        <f>IF(F1718&gt;0,1,0)</f>
        <v>0</v>
      </c>
      <c r="H1718" s="33">
        <f>COUNTIFS(Demand!$A$2:$A$4481,A1718,Demand!$B$2:$B$4481,B1718,Demand!$C$2:$C$4481,C1718)</f>
        <v>1</v>
      </c>
    </row>
    <row r="1719">
      <c r="A1719" s="32" t="str">
        <f>Demand!A1717</f>
        <v>S008</v>
      </c>
      <c r="B1719" s="35">
        <f>Demand!B1717</f>
        <v>46271.0</v>
      </c>
      <c r="C1719" s="33">
        <f>Demand!C1717</f>
        <v>11</v>
      </c>
      <c r="D1719" s="33">
        <f>Demand!E1717</f>
        <v>26</v>
      </c>
      <c r="E1719" s="33">
        <f>IF(Demand!F1717,1,0)</f>
        <v>0</v>
      </c>
      <c r="F1719" s="33">
        <f>COUNTIFS(c_store,A1719,c_date,B1719,c_hour,C1719)</f>
        <v>1</v>
      </c>
      <c r="G1719" s="33">
        <f>IF(F1719&gt;0,1,0)</f>
        <v>1</v>
      </c>
      <c r="H1719" s="33">
        <f>COUNTIFS(Demand!$A$2:$A$4481,A1719,Demand!$B$2:$B$4481,B1719,Demand!$C$2:$C$4481,C1719)</f>
        <v>1</v>
      </c>
    </row>
    <row r="1720">
      <c r="A1720" s="32" t="str">
        <f>Demand!A1718</f>
        <v>S008</v>
      </c>
      <c r="B1720" s="35">
        <f>Demand!B1718</f>
        <v>46271.0</v>
      </c>
      <c r="C1720" s="33">
        <f>Demand!C1718</f>
        <v>12</v>
      </c>
      <c r="D1720" s="33">
        <f>Demand!E1718</f>
        <v>27</v>
      </c>
      <c r="E1720" s="33">
        <f>IF(Demand!F1718,1,0)</f>
        <v>0</v>
      </c>
      <c r="F1720" s="33">
        <f>COUNTIFS(c_store,A1720,c_date,B1720,c_hour,C1720)</f>
        <v>1</v>
      </c>
      <c r="G1720" s="33">
        <f>IF(F1720&gt;0,1,0)</f>
        <v>1</v>
      </c>
      <c r="H1720" s="33">
        <f>COUNTIFS(Demand!$A$2:$A$4481,A1720,Demand!$B$2:$B$4481,B1720,Demand!$C$2:$C$4481,C1720)</f>
        <v>1</v>
      </c>
    </row>
    <row r="1721">
      <c r="A1721" s="32" t="str">
        <f>Demand!A1719</f>
        <v>S008</v>
      </c>
      <c r="B1721" s="35">
        <f>Demand!B1719</f>
        <v>46271.0</v>
      </c>
      <c r="C1721" s="33">
        <f>Demand!C1719</f>
        <v>13</v>
      </c>
      <c r="D1721" s="33">
        <f>Demand!E1719</f>
        <v>24</v>
      </c>
      <c r="E1721" s="33">
        <f>IF(Demand!F1719,1,0)</f>
        <v>0</v>
      </c>
      <c r="F1721" s="33">
        <f>COUNTIFS(c_store,A1721,c_date,B1721,c_hour,C1721)</f>
        <v>3</v>
      </c>
      <c r="G1721" s="33">
        <f>IF(F1721&gt;0,1,0)</f>
        <v>1</v>
      </c>
      <c r="H1721" s="33">
        <f>COUNTIFS(Demand!$A$2:$A$4481,A1721,Demand!$B$2:$B$4481,B1721,Demand!$C$2:$C$4481,C1721)</f>
        <v>1</v>
      </c>
    </row>
    <row r="1722">
      <c r="A1722" s="32" t="str">
        <f>Demand!A1720</f>
        <v>S008</v>
      </c>
      <c r="B1722" s="35">
        <f>Demand!B1720</f>
        <v>46271.0</v>
      </c>
      <c r="C1722" s="33">
        <f>Demand!C1720</f>
        <v>14</v>
      </c>
      <c r="D1722" s="33">
        <f>Demand!E1720</f>
        <v>24</v>
      </c>
      <c r="E1722" s="33">
        <f>IF(Demand!F1720,1,0)</f>
        <v>0</v>
      </c>
      <c r="F1722" s="33">
        <f>COUNTIFS(c_store,A1722,c_date,B1722,c_hour,C1722)</f>
        <v>0</v>
      </c>
      <c r="G1722" s="33">
        <f>IF(F1722&gt;0,1,0)</f>
        <v>0</v>
      </c>
      <c r="H1722" s="33">
        <f>COUNTIFS(Demand!$A$2:$A$4481,A1722,Demand!$B$2:$B$4481,B1722,Demand!$C$2:$C$4481,C1722)</f>
        <v>1</v>
      </c>
    </row>
    <row r="1723">
      <c r="A1723" s="32" t="str">
        <f>Demand!A1721</f>
        <v>S008</v>
      </c>
      <c r="B1723" s="35">
        <f>Demand!B1721</f>
        <v>46271.0</v>
      </c>
      <c r="C1723" s="33">
        <f>Demand!C1721</f>
        <v>15</v>
      </c>
      <c r="D1723" s="33">
        <f>Demand!E1721</f>
        <v>28</v>
      </c>
      <c r="E1723" s="33">
        <f>IF(Demand!F1721,1,0)</f>
        <v>0</v>
      </c>
      <c r="F1723" s="33">
        <f>COUNTIFS(c_store,A1723,c_date,B1723,c_hour,C1723)</f>
        <v>1</v>
      </c>
      <c r="G1723" s="33">
        <f>IF(F1723&gt;0,1,0)</f>
        <v>1</v>
      </c>
      <c r="H1723" s="33">
        <f>COUNTIFS(Demand!$A$2:$A$4481,A1723,Demand!$B$2:$B$4481,B1723,Demand!$C$2:$C$4481,C1723)</f>
        <v>1</v>
      </c>
    </row>
    <row r="1724">
      <c r="A1724" s="32" t="str">
        <f>Demand!A1722</f>
        <v>S008</v>
      </c>
      <c r="B1724" s="35">
        <f>Demand!B1722</f>
        <v>46271.0</v>
      </c>
      <c r="C1724" s="33">
        <f>Demand!C1722</f>
        <v>16</v>
      </c>
      <c r="D1724" s="33">
        <f>Demand!E1722</f>
        <v>23</v>
      </c>
      <c r="E1724" s="33">
        <f>IF(Demand!F1722,1,0)</f>
        <v>0</v>
      </c>
      <c r="F1724" s="33">
        <f>COUNTIFS(c_store,A1724,c_date,B1724,c_hour,C1724)</f>
        <v>0</v>
      </c>
      <c r="G1724" s="33">
        <f>IF(F1724&gt;0,1,0)</f>
        <v>0</v>
      </c>
      <c r="H1724" s="33">
        <f>COUNTIFS(Demand!$A$2:$A$4481,A1724,Demand!$B$2:$B$4481,B1724,Demand!$C$2:$C$4481,C1724)</f>
        <v>1</v>
      </c>
    </row>
    <row r="1725">
      <c r="A1725" s="32" t="str">
        <f>Demand!A1723</f>
        <v>S008</v>
      </c>
      <c r="B1725" s="35">
        <f>Demand!B1723</f>
        <v>46271.0</v>
      </c>
      <c r="C1725" s="33">
        <f>Demand!C1723</f>
        <v>17</v>
      </c>
      <c r="D1725" s="33">
        <f>Demand!E1723</f>
        <v>29</v>
      </c>
      <c r="E1725" s="33">
        <f>IF(Demand!F1723,1,0)</f>
        <v>0</v>
      </c>
      <c r="F1725" s="33">
        <f>COUNTIFS(c_store,A1725,c_date,B1725,c_hour,C1725)</f>
        <v>2</v>
      </c>
      <c r="G1725" s="33">
        <f>IF(F1725&gt;0,1,0)</f>
        <v>1</v>
      </c>
      <c r="H1725" s="33">
        <f>COUNTIFS(Demand!$A$2:$A$4481,A1725,Demand!$B$2:$B$4481,B1725,Demand!$C$2:$C$4481,C1725)</f>
        <v>1</v>
      </c>
    </row>
    <row r="1726">
      <c r="A1726" s="32" t="str">
        <f>Demand!A1724</f>
        <v>S008</v>
      </c>
      <c r="B1726" s="35">
        <f>Demand!B1724</f>
        <v>46271.0</v>
      </c>
      <c r="C1726" s="33">
        <f>Demand!C1724</f>
        <v>18</v>
      </c>
      <c r="D1726" s="33">
        <f>Demand!E1724</f>
        <v>18</v>
      </c>
      <c r="E1726" s="33">
        <f>IF(Demand!F1724,1,0)</f>
        <v>0</v>
      </c>
      <c r="F1726" s="33">
        <f>COUNTIFS(c_store,A1726,c_date,B1726,c_hour,C1726)</f>
        <v>0</v>
      </c>
      <c r="G1726" s="33">
        <f>IF(F1726&gt;0,1,0)</f>
        <v>0</v>
      </c>
      <c r="H1726" s="33">
        <f>COUNTIFS(Demand!$A$2:$A$4481,A1726,Demand!$B$2:$B$4481,B1726,Demand!$C$2:$C$4481,C1726)</f>
        <v>1</v>
      </c>
    </row>
    <row r="1727">
      <c r="A1727" s="32" t="str">
        <f>Demand!A1725</f>
        <v>S008</v>
      </c>
      <c r="B1727" s="35">
        <f>Demand!B1725</f>
        <v>46271.0</v>
      </c>
      <c r="C1727" s="33">
        <f>Demand!C1725</f>
        <v>19</v>
      </c>
      <c r="D1727" s="33">
        <f>Demand!E1725</f>
        <v>31</v>
      </c>
      <c r="E1727" s="33">
        <f>IF(Demand!F1725,1,0)</f>
        <v>1</v>
      </c>
      <c r="F1727" s="33">
        <f>COUNTIFS(c_store,A1727,c_date,B1727,c_hour,C1727)</f>
        <v>0</v>
      </c>
      <c r="G1727" s="33">
        <f>IF(F1727&gt;0,1,0)</f>
        <v>0</v>
      </c>
      <c r="H1727" s="33">
        <f>COUNTIFS(Demand!$A$2:$A$4481,A1727,Demand!$B$2:$B$4481,B1727,Demand!$C$2:$C$4481,C1727)</f>
        <v>1</v>
      </c>
    </row>
    <row r="1728">
      <c r="A1728" s="32" t="str">
        <f>Demand!A1726</f>
        <v>S008</v>
      </c>
      <c r="B1728" s="35">
        <f>Demand!B1726</f>
        <v>46271.0</v>
      </c>
      <c r="C1728" s="33">
        <f>Demand!C1726</f>
        <v>20</v>
      </c>
      <c r="D1728" s="33">
        <f>Demand!E1726</f>
        <v>40</v>
      </c>
      <c r="E1728" s="33">
        <f>IF(Demand!F1726,1,0)</f>
        <v>1</v>
      </c>
      <c r="F1728" s="33">
        <f>COUNTIFS(c_store,A1728,c_date,B1728,c_hour,C1728)</f>
        <v>0</v>
      </c>
      <c r="G1728" s="33">
        <f>IF(F1728&gt;0,1,0)</f>
        <v>0</v>
      </c>
      <c r="H1728" s="33">
        <f>COUNTIFS(Demand!$A$2:$A$4481,A1728,Demand!$B$2:$B$4481,B1728,Demand!$C$2:$C$4481,C1728)</f>
        <v>1</v>
      </c>
    </row>
    <row r="1729">
      <c r="A1729" s="32" t="str">
        <f>Demand!A1727</f>
        <v>S008</v>
      </c>
      <c r="B1729" s="35">
        <f>Demand!B1727</f>
        <v>46271.0</v>
      </c>
      <c r="C1729" s="33">
        <f>Demand!C1727</f>
        <v>21</v>
      </c>
      <c r="D1729" s="33">
        <f>Demand!E1727</f>
        <v>40</v>
      </c>
      <c r="E1729" s="33">
        <f>IF(Demand!F1727,1,0)</f>
        <v>1</v>
      </c>
      <c r="F1729" s="33">
        <f>COUNTIFS(c_store,A1729,c_date,B1729,c_hour,C1729)</f>
        <v>0</v>
      </c>
      <c r="G1729" s="33">
        <f>IF(F1729&gt;0,1,0)</f>
        <v>0</v>
      </c>
      <c r="H1729" s="33">
        <f>COUNTIFS(Demand!$A$2:$A$4481,A1729,Demand!$B$2:$B$4481,B1729,Demand!$C$2:$C$4481,C1729)</f>
        <v>1</v>
      </c>
    </row>
    <row r="1730">
      <c r="A1730" s="32" t="str">
        <f>Demand!A1728</f>
        <v>S008</v>
      </c>
      <c r="B1730" s="35">
        <f>Demand!B1728</f>
        <v>46271.0</v>
      </c>
      <c r="C1730" s="33">
        <f>Demand!C1728</f>
        <v>22</v>
      </c>
      <c r="D1730" s="33">
        <f>Demand!E1728</f>
        <v>20</v>
      </c>
      <c r="E1730" s="33">
        <f>IF(Demand!F1728,1,0)</f>
        <v>0</v>
      </c>
      <c r="F1730" s="33">
        <f>COUNTIFS(c_store,A1730,c_date,B1730,c_hour,C1730)</f>
        <v>0</v>
      </c>
      <c r="G1730" s="33">
        <f>IF(F1730&gt;0,1,0)</f>
        <v>0</v>
      </c>
      <c r="H1730" s="33">
        <f>COUNTIFS(Demand!$A$2:$A$4481,A1730,Demand!$B$2:$B$4481,B1730,Demand!$C$2:$C$4481,C1730)</f>
        <v>1</v>
      </c>
    </row>
    <row r="1731">
      <c r="A1731" s="32" t="str">
        <f>Demand!A1729</f>
        <v>S008</v>
      </c>
      <c r="B1731" s="35">
        <f>Demand!B1729</f>
        <v>46271.0</v>
      </c>
      <c r="C1731" s="33">
        <f>Demand!C1729</f>
        <v>23</v>
      </c>
      <c r="D1731" s="33">
        <f>Demand!E1729</f>
        <v>20</v>
      </c>
      <c r="E1731" s="33">
        <f>IF(Demand!F1729,1,0)</f>
        <v>0</v>
      </c>
      <c r="F1731" s="33">
        <f>COUNTIFS(c_store,A1731,c_date,B1731,c_hour,C1731)</f>
        <v>0</v>
      </c>
      <c r="G1731" s="33">
        <f>IF(F1731&gt;0,1,0)</f>
        <v>0</v>
      </c>
      <c r="H1731" s="33">
        <f>COUNTIFS(Demand!$A$2:$A$4481,A1731,Demand!$B$2:$B$4481,B1731,Demand!$C$2:$C$4481,C1731)</f>
        <v>1</v>
      </c>
    </row>
    <row r="1732">
      <c r="A1732" s="32" t="str">
        <f>Demand!A1730</f>
        <v>S009</v>
      </c>
      <c r="B1732" s="35">
        <f>Demand!B1730</f>
        <v>46271.0</v>
      </c>
      <c r="C1732" s="33">
        <f>Demand!C1730</f>
        <v>8</v>
      </c>
      <c r="D1732" s="33">
        <f>Demand!E1730</f>
        <v>18</v>
      </c>
      <c r="E1732" s="33">
        <f>IF(Demand!F1730,1,0)</f>
        <v>0</v>
      </c>
      <c r="F1732" s="33">
        <f>COUNTIFS(c_store,A1732,c_date,B1732,c_hour,C1732)</f>
        <v>0</v>
      </c>
      <c r="G1732" s="33">
        <f>IF(F1732&gt;0,1,0)</f>
        <v>0</v>
      </c>
      <c r="H1732" s="33">
        <f>COUNTIFS(Demand!$A$2:$A$4481,A1732,Demand!$B$2:$B$4481,B1732,Demand!$C$2:$C$4481,C1732)</f>
        <v>1</v>
      </c>
    </row>
    <row r="1733">
      <c r="A1733" s="32" t="str">
        <f>Demand!A1731</f>
        <v>S009</v>
      </c>
      <c r="B1733" s="35">
        <f>Demand!B1731</f>
        <v>46271.0</v>
      </c>
      <c r="C1733" s="33">
        <f>Demand!C1731</f>
        <v>9</v>
      </c>
      <c r="D1733" s="33">
        <f>Demand!E1731</f>
        <v>22</v>
      </c>
      <c r="E1733" s="33">
        <f>IF(Demand!F1731,1,0)</f>
        <v>0</v>
      </c>
      <c r="F1733" s="33">
        <f>COUNTIFS(c_store,A1733,c_date,B1733,c_hour,C1733)</f>
        <v>0</v>
      </c>
      <c r="G1733" s="33">
        <f>IF(F1733&gt;0,1,0)</f>
        <v>0</v>
      </c>
      <c r="H1733" s="33">
        <f>COUNTIFS(Demand!$A$2:$A$4481,A1733,Demand!$B$2:$B$4481,B1733,Demand!$C$2:$C$4481,C1733)</f>
        <v>1</v>
      </c>
    </row>
    <row r="1734">
      <c r="A1734" s="32" t="str">
        <f>Demand!A1732</f>
        <v>S009</v>
      </c>
      <c r="B1734" s="35">
        <f>Demand!B1732</f>
        <v>46271.0</v>
      </c>
      <c r="C1734" s="33">
        <f>Demand!C1732</f>
        <v>10</v>
      </c>
      <c r="D1734" s="33">
        <f>Demand!E1732</f>
        <v>16</v>
      </c>
      <c r="E1734" s="33">
        <f>IF(Demand!F1732,1,0)</f>
        <v>0</v>
      </c>
      <c r="F1734" s="33">
        <f>COUNTIFS(c_store,A1734,c_date,B1734,c_hour,C1734)</f>
        <v>0</v>
      </c>
      <c r="G1734" s="33">
        <f>IF(F1734&gt;0,1,0)</f>
        <v>0</v>
      </c>
      <c r="H1734" s="33">
        <f>COUNTIFS(Demand!$A$2:$A$4481,A1734,Demand!$B$2:$B$4481,B1734,Demand!$C$2:$C$4481,C1734)</f>
        <v>1</v>
      </c>
    </row>
    <row r="1735">
      <c r="A1735" s="32" t="str">
        <f>Demand!A1733</f>
        <v>S009</v>
      </c>
      <c r="B1735" s="35">
        <f>Demand!B1733</f>
        <v>46271.0</v>
      </c>
      <c r="C1735" s="33">
        <f>Demand!C1733</f>
        <v>11</v>
      </c>
      <c r="D1735" s="33">
        <f>Demand!E1733</f>
        <v>26</v>
      </c>
      <c r="E1735" s="33">
        <f>IF(Demand!F1733,1,0)</f>
        <v>0</v>
      </c>
      <c r="F1735" s="33">
        <f>COUNTIFS(c_store,A1735,c_date,B1735,c_hour,C1735)</f>
        <v>0</v>
      </c>
      <c r="G1735" s="33">
        <f>IF(F1735&gt;0,1,0)</f>
        <v>0</v>
      </c>
      <c r="H1735" s="33">
        <f>COUNTIFS(Demand!$A$2:$A$4481,A1735,Demand!$B$2:$B$4481,B1735,Demand!$C$2:$C$4481,C1735)</f>
        <v>1</v>
      </c>
    </row>
    <row r="1736">
      <c r="A1736" s="32" t="str">
        <f>Demand!A1734</f>
        <v>S009</v>
      </c>
      <c r="B1736" s="35">
        <f>Demand!B1734</f>
        <v>46271.0</v>
      </c>
      <c r="C1736" s="33">
        <f>Demand!C1734</f>
        <v>12</v>
      </c>
      <c r="D1736" s="33">
        <f>Demand!E1734</f>
        <v>36</v>
      </c>
      <c r="E1736" s="33">
        <f>IF(Demand!F1734,1,0)</f>
        <v>0</v>
      </c>
      <c r="F1736" s="33">
        <f>COUNTIFS(c_store,A1736,c_date,B1736,c_hour,C1736)</f>
        <v>0</v>
      </c>
      <c r="G1736" s="33">
        <f>IF(F1736&gt;0,1,0)</f>
        <v>0</v>
      </c>
      <c r="H1736" s="33">
        <f>COUNTIFS(Demand!$A$2:$A$4481,A1736,Demand!$B$2:$B$4481,B1736,Demand!$C$2:$C$4481,C1736)</f>
        <v>1</v>
      </c>
    </row>
    <row r="1737">
      <c r="A1737" s="32" t="str">
        <f>Demand!A1735</f>
        <v>S009</v>
      </c>
      <c r="B1737" s="35">
        <f>Demand!B1735</f>
        <v>46271.0</v>
      </c>
      <c r="C1737" s="33">
        <f>Demand!C1735</f>
        <v>13</v>
      </c>
      <c r="D1737" s="33">
        <f>Demand!E1735</f>
        <v>36</v>
      </c>
      <c r="E1737" s="33">
        <f>IF(Demand!F1735,1,0)</f>
        <v>0</v>
      </c>
      <c r="F1737" s="33">
        <f>COUNTIFS(c_store,A1737,c_date,B1737,c_hour,C1737)</f>
        <v>1</v>
      </c>
      <c r="G1737" s="33">
        <f>IF(F1737&gt;0,1,0)</f>
        <v>1</v>
      </c>
      <c r="H1737" s="33">
        <f>COUNTIFS(Demand!$A$2:$A$4481,A1737,Demand!$B$2:$B$4481,B1737,Demand!$C$2:$C$4481,C1737)</f>
        <v>1</v>
      </c>
    </row>
    <row r="1738">
      <c r="A1738" s="32" t="str">
        <f>Demand!A1736</f>
        <v>S009</v>
      </c>
      <c r="B1738" s="35">
        <f>Demand!B1736</f>
        <v>46271.0</v>
      </c>
      <c r="C1738" s="33">
        <f>Demand!C1736</f>
        <v>14</v>
      </c>
      <c r="D1738" s="33">
        <f>Demand!E1736</f>
        <v>24</v>
      </c>
      <c r="E1738" s="33">
        <f>IF(Demand!F1736,1,0)</f>
        <v>0</v>
      </c>
      <c r="F1738" s="33">
        <f>COUNTIFS(c_store,A1738,c_date,B1738,c_hour,C1738)</f>
        <v>1</v>
      </c>
      <c r="G1738" s="33">
        <f>IF(F1738&gt;0,1,0)</f>
        <v>1</v>
      </c>
      <c r="H1738" s="33">
        <f>COUNTIFS(Demand!$A$2:$A$4481,A1738,Demand!$B$2:$B$4481,B1738,Demand!$C$2:$C$4481,C1738)</f>
        <v>1</v>
      </c>
    </row>
    <row r="1739">
      <c r="A1739" s="32" t="str">
        <f>Demand!A1737</f>
        <v>S009</v>
      </c>
      <c r="B1739" s="35">
        <f>Demand!B1737</f>
        <v>46271.0</v>
      </c>
      <c r="C1739" s="33">
        <f>Demand!C1737</f>
        <v>15</v>
      </c>
      <c r="D1739" s="33">
        <f>Demand!E1737</f>
        <v>21</v>
      </c>
      <c r="E1739" s="33">
        <f>IF(Demand!F1737,1,0)</f>
        <v>0</v>
      </c>
      <c r="F1739" s="33">
        <f>COUNTIFS(c_store,A1739,c_date,B1739,c_hour,C1739)</f>
        <v>1</v>
      </c>
      <c r="G1739" s="33">
        <f>IF(F1739&gt;0,1,0)</f>
        <v>1</v>
      </c>
      <c r="H1739" s="33">
        <f>COUNTIFS(Demand!$A$2:$A$4481,A1739,Demand!$B$2:$B$4481,B1739,Demand!$C$2:$C$4481,C1739)</f>
        <v>1</v>
      </c>
    </row>
    <row r="1740">
      <c r="A1740" s="32" t="str">
        <f>Demand!A1738</f>
        <v>S009</v>
      </c>
      <c r="B1740" s="35">
        <f>Demand!B1738</f>
        <v>46271.0</v>
      </c>
      <c r="C1740" s="33">
        <f>Demand!C1738</f>
        <v>16</v>
      </c>
      <c r="D1740" s="33">
        <f>Demand!E1738</f>
        <v>32</v>
      </c>
      <c r="E1740" s="33">
        <f>IF(Demand!F1738,1,0)</f>
        <v>0</v>
      </c>
      <c r="F1740" s="33">
        <f>COUNTIFS(c_store,A1740,c_date,B1740,c_hour,C1740)</f>
        <v>0</v>
      </c>
      <c r="G1740" s="33">
        <f>IF(F1740&gt;0,1,0)</f>
        <v>0</v>
      </c>
      <c r="H1740" s="33">
        <f>COUNTIFS(Demand!$A$2:$A$4481,A1740,Demand!$B$2:$B$4481,B1740,Demand!$C$2:$C$4481,C1740)</f>
        <v>1</v>
      </c>
    </row>
    <row r="1741">
      <c r="A1741" s="32" t="str">
        <f>Demand!A1739</f>
        <v>S009</v>
      </c>
      <c r="B1741" s="35">
        <f>Demand!B1739</f>
        <v>46271.0</v>
      </c>
      <c r="C1741" s="33">
        <f>Demand!C1739</f>
        <v>17</v>
      </c>
      <c r="D1741" s="33">
        <f>Demand!E1739</f>
        <v>30</v>
      </c>
      <c r="E1741" s="33">
        <f>IF(Demand!F1739,1,0)</f>
        <v>0</v>
      </c>
      <c r="F1741" s="33">
        <f>COUNTIFS(c_store,A1741,c_date,B1741,c_hour,C1741)</f>
        <v>0</v>
      </c>
      <c r="G1741" s="33">
        <f>IF(F1741&gt;0,1,0)</f>
        <v>0</v>
      </c>
      <c r="H1741" s="33">
        <f>COUNTIFS(Demand!$A$2:$A$4481,A1741,Demand!$B$2:$B$4481,B1741,Demand!$C$2:$C$4481,C1741)</f>
        <v>1</v>
      </c>
    </row>
    <row r="1742">
      <c r="A1742" s="32" t="str">
        <f>Demand!A1740</f>
        <v>S009</v>
      </c>
      <c r="B1742" s="35">
        <f>Demand!B1740</f>
        <v>46271.0</v>
      </c>
      <c r="C1742" s="33">
        <f>Demand!C1740</f>
        <v>18</v>
      </c>
      <c r="D1742" s="33">
        <f>Demand!E1740</f>
        <v>40</v>
      </c>
      <c r="E1742" s="33">
        <f>IF(Demand!F1740,1,0)</f>
        <v>0</v>
      </c>
      <c r="F1742" s="33">
        <f>COUNTIFS(c_store,A1742,c_date,B1742,c_hour,C1742)</f>
        <v>0</v>
      </c>
      <c r="G1742" s="33">
        <f>IF(F1742&gt;0,1,0)</f>
        <v>0</v>
      </c>
      <c r="H1742" s="33">
        <f>COUNTIFS(Demand!$A$2:$A$4481,A1742,Demand!$B$2:$B$4481,B1742,Demand!$C$2:$C$4481,C1742)</f>
        <v>1</v>
      </c>
    </row>
    <row r="1743">
      <c r="A1743" s="32" t="str">
        <f>Demand!A1741</f>
        <v>S009</v>
      </c>
      <c r="B1743" s="35">
        <f>Demand!B1741</f>
        <v>46271.0</v>
      </c>
      <c r="C1743" s="33">
        <f>Demand!C1741</f>
        <v>19</v>
      </c>
      <c r="D1743" s="33">
        <f>Demand!E1741</f>
        <v>69</v>
      </c>
      <c r="E1743" s="33">
        <f>IF(Demand!F1741,1,0)</f>
        <v>1</v>
      </c>
      <c r="F1743" s="33">
        <f>COUNTIFS(c_store,A1743,c_date,B1743,c_hour,C1743)</f>
        <v>0</v>
      </c>
      <c r="G1743" s="33">
        <f>IF(F1743&gt;0,1,0)</f>
        <v>0</v>
      </c>
      <c r="H1743" s="33">
        <f>COUNTIFS(Demand!$A$2:$A$4481,A1743,Demand!$B$2:$B$4481,B1743,Demand!$C$2:$C$4481,C1743)</f>
        <v>1</v>
      </c>
    </row>
    <row r="1744">
      <c r="A1744" s="32" t="str">
        <f>Demand!A1742</f>
        <v>S009</v>
      </c>
      <c r="B1744" s="35">
        <f>Demand!B1742</f>
        <v>46271.0</v>
      </c>
      <c r="C1744" s="33">
        <f>Demand!C1742</f>
        <v>20</v>
      </c>
      <c r="D1744" s="33">
        <f>Demand!E1742</f>
        <v>40</v>
      </c>
      <c r="E1744" s="33">
        <f>IF(Demand!F1742,1,0)</f>
        <v>1</v>
      </c>
      <c r="F1744" s="33">
        <f>COUNTIFS(c_store,A1744,c_date,B1744,c_hour,C1744)</f>
        <v>0</v>
      </c>
      <c r="G1744" s="33">
        <f>IF(F1744&gt;0,1,0)</f>
        <v>0</v>
      </c>
      <c r="H1744" s="33">
        <f>COUNTIFS(Demand!$A$2:$A$4481,A1744,Demand!$B$2:$B$4481,B1744,Demand!$C$2:$C$4481,C1744)</f>
        <v>1</v>
      </c>
    </row>
    <row r="1745">
      <c r="A1745" s="32" t="str">
        <f>Demand!A1743</f>
        <v>S009</v>
      </c>
      <c r="B1745" s="35">
        <f>Demand!B1743</f>
        <v>46271.0</v>
      </c>
      <c r="C1745" s="33">
        <f>Demand!C1743</f>
        <v>21</v>
      </c>
      <c r="D1745" s="33">
        <f>Demand!E1743</f>
        <v>60</v>
      </c>
      <c r="E1745" s="33">
        <f>IF(Demand!F1743,1,0)</f>
        <v>1</v>
      </c>
      <c r="F1745" s="33">
        <f>COUNTIFS(c_store,A1745,c_date,B1745,c_hour,C1745)</f>
        <v>0</v>
      </c>
      <c r="G1745" s="33">
        <f>IF(F1745&gt;0,1,0)</f>
        <v>0</v>
      </c>
      <c r="H1745" s="33">
        <f>COUNTIFS(Demand!$A$2:$A$4481,A1745,Demand!$B$2:$B$4481,B1745,Demand!$C$2:$C$4481,C1745)</f>
        <v>1</v>
      </c>
    </row>
    <row r="1746">
      <c r="A1746" s="32" t="str">
        <f>Demand!A1744</f>
        <v>S009</v>
      </c>
      <c r="B1746" s="35">
        <f>Demand!B1744</f>
        <v>46271.0</v>
      </c>
      <c r="C1746" s="33">
        <f>Demand!C1744</f>
        <v>22</v>
      </c>
      <c r="D1746" s="33">
        <f>Demand!E1744</f>
        <v>32</v>
      </c>
      <c r="E1746" s="33">
        <f>IF(Demand!F1744,1,0)</f>
        <v>0</v>
      </c>
      <c r="F1746" s="33">
        <f>COUNTIFS(c_store,A1746,c_date,B1746,c_hour,C1746)</f>
        <v>0</v>
      </c>
      <c r="G1746" s="33">
        <f>IF(F1746&gt;0,1,0)</f>
        <v>0</v>
      </c>
      <c r="H1746" s="33">
        <f>COUNTIFS(Demand!$A$2:$A$4481,A1746,Demand!$B$2:$B$4481,B1746,Demand!$C$2:$C$4481,C1746)</f>
        <v>1</v>
      </c>
    </row>
    <row r="1747">
      <c r="A1747" s="32" t="str">
        <f>Demand!A1745</f>
        <v>S009</v>
      </c>
      <c r="B1747" s="35">
        <f>Demand!B1745</f>
        <v>46271.0</v>
      </c>
      <c r="C1747" s="33">
        <f>Demand!C1745</f>
        <v>23</v>
      </c>
      <c r="D1747" s="33">
        <f>Demand!E1745</f>
        <v>28</v>
      </c>
      <c r="E1747" s="33">
        <f>IF(Demand!F1745,1,0)</f>
        <v>0</v>
      </c>
      <c r="F1747" s="33">
        <f>COUNTIFS(c_store,A1747,c_date,B1747,c_hour,C1747)</f>
        <v>0</v>
      </c>
      <c r="G1747" s="33">
        <f>IF(F1747&gt;0,1,0)</f>
        <v>0</v>
      </c>
      <c r="H1747" s="33">
        <f>COUNTIFS(Demand!$A$2:$A$4481,A1747,Demand!$B$2:$B$4481,B1747,Demand!$C$2:$C$4481,C1747)</f>
        <v>1</v>
      </c>
    </row>
    <row r="1748">
      <c r="A1748" s="32" t="str">
        <f>Demand!A1746</f>
        <v>S010</v>
      </c>
      <c r="B1748" s="35">
        <f>Demand!B1746</f>
        <v>46271.0</v>
      </c>
      <c r="C1748" s="33">
        <f>Demand!C1746</f>
        <v>8</v>
      </c>
      <c r="D1748" s="33">
        <f>Demand!E1746</f>
        <v>13</v>
      </c>
      <c r="E1748" s="33">
        <f>IF(Demand!F1746,1,0)</f>
        <v>0</v>
      </c>
      <c r="F1748" s="33">
        <f>COUNTIFS(c_store,A1748,c_date,B1748,c_hour,C1748)</f>
        <v>0</v>
      </c>
      <c r="G1748" s="33">
        <f>IF(F1748&gt;0,1,0)</f>
        <v>0</v>
      </c>
      <c r="H1748" s="33">
        <f>COUNTIFS(Demand!$A$2:$A$4481,A1748,Demand!$B$2:$B$4481,B1748,Demand!$C$2:$C$4481,C1748)</f>
        <v>1</v>
      </c>
    </row>
    <row r="1749">
      <c r="A1749" s="32" t="str">
        <f>Demand!A1747</f>
        <v>S010</v>
      </c>
      <c r="B1749" s="35">
        <f>Demand!B1747</f>
        <v>46271.0</v>
      </c>
      <c r="C1749" s="33">
        <f>Demand!C1747</f>
        <v>9</v>
      </c>
      <c r="D1749" s="33">
        <f>Demand!E1747</f>
        <v>18</v>
      </c>
      <c r="E1749" s="33">
        <f>IF(Demand!F1747,1,0)</f>
        <v>0</v>
      </c>
      <c r="F1749" s="33">
        <f>COUNTIFS(c_store,A1749,c_date,B1749,c_hour,C1749)</f>
        <v>0</v>
      </c>
      <c r="G1749" s="33">
        <f>IF(F1749&gt;0,1,0)</f>
        <v>0</v>
      </c>
      <c r="H1749" s="33">
        <f>COUNTIFS(Demand!$A$2:$A$4481,A1749,Demand!$B$2:$B$4481,B1749,Demand!$C$2:$C$4481,C1749)</f>
        <v>1</v>
      </c>
    </row>
    <row r="1750">
      <c r="A1750" s="32" t="str">
        <f>Demand!A1748</f>
        <v>S010</v>
      </c>
      <c r="B1750" s="35">
        <f>Demand!B1748</f>
        <v>46271.0</v>
      </c>
      <c r="C1750" s="33">
        <f>Demand!C1748</f>
        <v>10</v>
      </c>
      <c r="D1750" s="33">
        <f>Demand!E1748</f>
        <v>24</v>
      </c>
      <c r="E1750" s="33">
        <f>IF(Demand!F1748,1,0)</f>
        <v>0</v>
      </c>
      <c r="F1750" s="33">
        <f>COUNTIFS(c_store,A1750,c_date,B1750,c_hour,C1750)</f>
        <v>0</v>
      </c>
      <c r="G1750" s="33">
        <f>IF(F1750&gt;0,1,0)</f>
        <v>0</v>
      </c>
      <c r="H1750" s="33">
        <f>COUNTIFS(Demand!$A$2:$A$4481,A1750,Demand!$B$2:$B$4481,B1750,Demand!$C$2:$C$4481,C1750)</f>
        <v>1</v>
      </c>
    </row>
    <row r="1751">
      <c r="A1751" s="32" t="str">
        <f>Demand!A1749</f>
        <v>S010</v>
      </c>
      <c r="B1751" s="35">
        <f>Demand!B1749</f>
        <v>46271.0</v>
      </c>
      <c r="C1751" s="33">
        <f>Demand!C1749</f>
        <v>11</v>
      </c>
      <c r="D1751" s="33">
        <f>Demand!E1749</f>
        <v>21</v>
      </c>
      <c r="E1751" s="33">
        <f>IF(Demand!F1749,1,0)</f>
        <v>0</v>
      </c>
      <c r="F1751" s="33">
        <f>COUNTIFS(c_store,A1751,c_date,B1751,c_hour,C1751)</f>
        <v>0</v>
      </c>
      <c r="G1751" s="33">
        <f>IF(F1751&gt;0,1,0)</f>
        <v>0</v>
      </c>
      <c r="H1751" s="33">
        <f>COUNTIFS(Demand!$A$2:$A$4481,A1751,Demand!$B$2:$B$4481,B1751,Demand!$C$2:$C$4481,C1751)</f>
        <v>1</v>
      </c>
    </row>
    <row r="1752">
      <c r="A1752" s="32" t="str">
        <f>Demand!A1750</f>
        <v>S010</v>
      </c>
      <c r="B1752" s="35">
        <f>Demand!B1750</f>
        <v>46271.0</v>
      </c>
      <c r="C1752" s="33">
        <f>Demand!C1750</f>
        <v>12</v>
      </c>
      <c r="D1752" s="33">
        <f>Demand!E1750</f>
        <v>31</v>
      </c>
      <c r="E1752" s="33">
        <f>IF(Demand!F1750,1,0)</f>
        <v>0</v>
      </c>
      <c r="F1752" s="33">
        <f>COUNTIFS(c_store,A1752,c_date,B1752,c_hour,C1752)</f>
        <v>1</v>
      </c>
      <c r="G1752" s="33">
        <f>IF(F1752&gt;0,1,0)</f>
        <v>1</v>
      </c>
      <c r="H1752" s="33">
        <f>COUNTIFS(Demand!$A$2:$A$4481,A1752,Demand!$B$2:$B$4481,B1752,Demand!$C$2:$C$4481,C1752)</f>
        <v>1</v>
      </c>
    </row>
    <row r="1753">
      <c r="A1753" s="32" t="str">
        <f>Demand!A1751</f>
        <v>S010</v>
      </c>
      <c r="B1753" s="35">
        <f>Demand!B1751</f>
        <v>46271.0</v>
      </c>
      <c r="C1753" s="33">
        <f>Demand!C1751</f>
        <v>13</v>
      </c>
      <c r="D1753" s="33">
        <f>Demand!E1751</f>
        <v>19</v>
      </c>
      <c r="E1753" s="33">
        <f>IF(Demand!F1751,1,0)</f>
        <v>0</v>
      </c>
      <c r="F1753" s="33">
        <f>COUNTIFS(c_store,A1753,c_date,B1753,c_hour,C1753)</f>
        <v>1</v>
      </c>
      <c r="G1753" s="33">
        <f>IF(F1753&gt;0,1,0)</f>
        <v>1</v>
      </c>
      <c r="H1753" s="33">
        <f>COUNTIFS(Demand!$A$2:$A$4481,A1753,Demand!$B$2:$B$4481,B1753,Demand!$C$2:$C$4481,C1753)</f>
        <v>1</v>
      </c>
    </row>
    <row r="1754">
      <c r="A1754" s="32" t="str">
        <f>Demand!A1752</f>
        <v>S010</v>
      </c>
      <c r="B1754" s="35">
        <f>Demand!B1752</f>
        <v>46271.0</v>
      </c>
      <c r="C1754" s="33">
        <f>Demand!C1752</f>
        <v>14</v>
      </c>
      <c r="D1754" s="33">
        <f>Demand!E1752</f>
        <v>11</v>
      </c>
      <c r="E1754" s="33">
        <f>IF(Demand!F1752,1,0)</f>
        <v>0</v>
      </c>
      <c r="F1754" s="33">
        <f>COUNTIFS(c_store,A1754,c_date,B1754,c_hour,C1754)</f>
        <v>0</v>
      </c>
      <c r="G1754" s="33">
        <f>IF(F1754&gt;0,1,0)</f>
        <v>0</v>
      </c>
      <c r="H1754" s="33">
        <f>COUNTIFS(Demand!$A$2:$A$4481,A1754,Demand!$B$2:$B$4481,B1754,Demand!$C$2:$C$4481,C1754)</f>
        <v>1</v>
      </c>
    </row>
    <row r="1755">
      <c r="A1755" s="32" t="str">
        <f>Demand!A1753</f>
        <v>S010</v>
      </c>
      <c r="B1755" s="35">
        <f>Demand!B1753</f>
        <v>46271.0</v>
      </c>
      <c r="C1755" s="33">
        <f>Demand!C1753</f>
        <v>15</v>
      </c>
      <c r="D1755" s="33">
        <f>Demand!E1753</f>
        <v>13</v>
      </c>
      <c r="E1755" s="33">
        <f>IF(Demand!F1753,1,0)</f>
        <v>0</v>
      </c>
      <c r="F1755" s="33">
        <f>COUNTIFS(c_store,A1755,c_date,B1755,c_hour,C1755)</f>
        <v>1</v>
      </c>
      <c r="G1755" s="33">
        <f>IF(F1755&gt;0,1,0)</f>
        <v>1</v>
      </c>
      <c r="H1755" s="33">
        <f>COUNTIFS(Demand!$A$2:$A$4481,A1755,Demand!$B$2:$B$4481,B1755,Demand!$C$2:$C$4481,C1755)</f>
        <v>1</v>
      </c>
    </row>
    <row r="1756">
      <c r="A1756" s="32" t="str">
        <f>Demand!A1754</f>
        <v>S010</v>
      </c>
      <c r="B1756" s="35">
        <f>Demand!B1754</f>
        <v>46271.0</v>
      </c>
      <c r="C1756" s="33">
        <f>Demand!C1754</f>
        <v>16</v>
      </c>
      <c r="D1756" s="33">
        <f>Demand!E1754</f>
        <v>26</v>
      </c>
      <c r="E1756" s="33">
        <f>IF(Demand!F1754,1,0)</f>
        <v>0</v>
      </c>
      <c r="F1756" s="33">
        <f>COUNTIFS(c_store,A1756,c_date,B1756,c_hour,C1756)</f>
        <v>0</v>
      </c>
      <c r="G1756" s="33">
        <f>IF(F1756&gt;0,1,0)</f>
        <v>0</v>
      </c>
      <c r="H1756" s="33">
        <f>COUNTIFS(Demand!$A$2:$A$4481,A1756,Demand!$B$2:$B$4481,B1756,Demand!$C$2:$C$4481,C1756)</f>
        <v>1</v>
      </c>
    </row>
    <row r="1757">
      <c r="A1757" s="32" t="str">
        <f>Demand!A1755</f>
        <v>S010</v>
      </c>
      <c r="B1757" s="35">
        <f>Demand!B1755</f>
        <v>46271.0</v>
      </c>
      <c r="C1757" s="33">
        <f>Demand!C1755</f>
        <v>17</v>
      </c>
      <c r="D1757" s="33">
        <f>Demand!E1755</f>
        <v>20</v>
      </c>
      <c r="E1757" s="33">
        <f>IF(Demand!F1755,1,0)</f>
        <v>0</v>
      </c>
      <c r="F1757" s="33">
        <f>COUNTIFS(c_store,A1757,c_date,B1757,c_hour,C1757)</f>
        <v>0</v>
      </c>
      <c r="G1757" s="33">
        <f>IF(F1757&gt;0,1,0)</f>
        <v>0</v>
      </c>
      <c r="H1757" s="33">
        <f>COUNTIFS(Demand!$A$2:$A$4481,A1757,Demand!$B$2:$B$4481,B1757,Demand!$C$2:$C$4481,C1757)</f>
        <v>1</v>
      </c>
    </row>
    <row r="1758">
      <c r="A1758" s="32" t="str">
        <f>Demand!A1756</f>
        <v>S010</v>
      </c>
      <c r="B1758" s="35">
        <f>Demand!B1756</f>
        <v>46271.0</v>
      </c>
      <c r="C1758" s="33">
        <f>Demand!C1756</f>
        <v>18</v>
      </c>
      <c r="D1758" s="33">
        <f>Demand!E1756</f>
        <v>26</v>
      </c>
      <c r="E1758" s="33">
        <f>IF(Demand!F1756,1,0)</f>
        <v>0</v>
      </c>
      <c r="F1758" s="33">
        <f>COUNTIFS(c_store,A1758,c_date,B1758,c_hour,C1758)</f>
        <v>0</v>
      </c>
      <c r="G1758" s="33">
        <f>IF(F1758&gt;0,1,0)</f>
        <v>0</v>
      </c>
      <c r="H1758" s="33">
        <f>COUNTIFS(Demand!$A$2:$A$4481,A1758,Demand!$B$2:$B$4481,B1758,Demand!$C$2:$C$4481,C1758)</f>
        <v>1</v>
      </c>
    </row>
    <row r="1759">
      <c r="A1759" s="32" t="str">
        <f>Demand!A1757</f>
        <v>S010</v>
      </c>
      <c r="B1759" s="35">
        <f>Demand!B1757</f>
        <v>46271.0</v>
      </c>
      <c r="C1759" s="33">
        <f>Demand!C1757</f>
        <v>19</v>
      </c>
      <c r="D1759" s="33">
        <f>Demand!E1757</f>
        <v>37</v>
      </c>
      <c r="E1759" s="33">
        <f>IF(Demand!F1757,1,0)</f>
        <v>1</v>
      </c>
      <c r="F1759" s="33">
        <f>COUNTIFS(c_store,A1759,c_date,B1759,c_hour,C1759)</f>
        <v>0</v>
      </c>
      <c r="G1759" s="33">
        <f>IF(F1759&gt;0,1,0)</f>
        <v>0</v>
      </c>
      <c r="H1759" s="33">
        <f>COUNTIFS(Demand!$A$2:$A$4481,A1759,Demand!$B$2:$B$4481,B1759,Demand!$C$2:$C$4481,C1759)</f>
        <v>1</v>
      </c>
    </row>
    <row r="1760">
      <c r="A1760" s="32" t="str">
        <f>Demand!A1758</f>
        <v>S010</v>
      </c>
      <c r="B1760" s="35">
        <f>Demand!B1758</f>
        <v>46271.0</v>
      </c>
      <c r="C1760" s="33">
        <f>Demand!C1758</f>
        <v>20</v>
      </c>
      <c r="D1760" s="33">
        <f>Demand!E1758</f>
        <v>35</v>
      </c>
      <c r="E1760" s="33">
        <f>IF(Demand!F1758,1,0)</f>
        <v>1</v>
      </c>
      <c r="F1760" s="33">
        <f>COUNTIFS(c_store,A1760,c_date,B1760,c_hour,C1760)</f>
        <v>0</v>
      </c>
      <c r="G1760" s="33">
        <f>IF(F1760&gt;0,1,0)</f>
        <v>0</v>
      </c>
      <c r="H1760" s="33">
        <f>COUNTIFS(Demand!$A$2:$A$4481,A1760,Demand!$B$2:$B$4481,B1760,Demand!$C$2:$C$4481,C1760)</f>
        <v>1</v>
      </c>
    </row>
    <row r="1761">
      <c r="A1761" s="32" t="str">
        <f>Demand!A1759</f>
        <v>S010</v>
      </c>
      <c r="B1761" s="35">
        <f>Demand!B1759</f>
        <v>46271.0</v>
      </c>
      <c r="C1761" s="33">
        <f>Demand!C1759</f>
        <v>21</v>
      </c>
      <c r="D1761" s="33">
        <f>Demand!E1759</f>
        <v>51</v>
      </c>
      <c r="E1761" s="33">
        <f>IF(Demand!F1759,1,0)</f>
        <v>1</v>
      </c>
      <c r="F1761" s="33">
        <f>COUNTIFS(c_store,A1761,c_date,B1761,c_hour,C1761)</f>
        <v>1</v>
      </c>
      <c r="G1761" s="33">
        <f>IF(F1761&gt;0,1,0)</f>
        <v>1</v>
      </c>
      <c r="H1761" s="33">
        <f>COUNTIFS(Demand!$A$2:$A$4481,A1761,Demand!$B$2:$B$4481,B1761,Demand!$C$2:$C$4481,C1761)</f>
        <v>1</v>
      </c>
    </row>
    <row r="1762">
      <c r="A1762" s="32" t="str">
        <f>Demand!A1760</f>
        <v>S010</v>
      </c>
      <c r="B1762" s="35">
        <f>Demand!B1760</f>
        <v>46271.0</v>
      </c>
      <c r="C1762" s="33">
        <f>Demand!C1760</f>
        <v>22</v>
      </c>
      <c r="D1762" s="33">
        <f>Demand!E1760</f>
        <v>25</v>
      </c>
      <c r="E1762" s="33">
        <f>IF(Demand!F1760,1,0)</f>
        <v>0</v>
      </c>
      <c r="F1762" s="33">
        <f>COUNTIFS(c_store,A1762,c_date,B1762,c_hour,C1762)</f>
        <v>0</v>
      </c>
      <c r="G1762" s="33">
        <f>IF(F1762&gt;0,1,0)</f>
        <v>0</v>
      </c>
      <c r="H1762" s="33">
        <f>COUNTIFS(Demand!$A$2:$A$4481,A1762,Demand!$B$2:$B$4481,B1762,Demand!$C$2:$C$4481,C1762)</f>
        <v>1</v>
      </c>
    </row>
    <row r="1763">
      <c r="A1763" s="32" t="str">
        <f>Demand!A1761</f>
        <v>S010</v>
      </c>
      <c r="B1763" s="35">
        <f>Demand!B1761</f>
        <v>46271.0</v>
      </c>
      <c r="C1763" s="33">
        <f>Demand!C1761</f>
        <v>23</v>
      </c>
      <c r="D1763" s="33">
        <f>Demand!E1761</f>
        <v>26</v>
      </c>
      <c r="E1763" s="33">
        <f>IF(Demand!F1761,1,0)</f>
        <v>0</v>
      </c>
      <c r="F1763" s="33">
        <f>COUNTIFS(c_store,A1763,c_date,B1763,c_hour,C1763)</f>
        <v>0</v>
      </c>
      <c r="G1763" s="33">
        <f>IF(F1763&gt;0,1,0)</f>
        <v>0</v>
      </c>
      <c r="H1763" s="33">
        <f>COUNTIFS(Demand!$A$2:$A$4481,A1763,Demand!$B$2:$B$4481,B1763,Demand!$C$2:$C$4481,C1763)</f>
        <v>1</v>
      </c>
    </row>
    <row r="1764">
      <c r="A1764" s="32" t="str">
        <f>Demand!A1762</f>
        <v>S011</v>
      </c>
      <c r="B1764" s="35">
        <f>Demand!B1762</f>
        <v>46271.0</v>
      </c>
      <c r="C1764" s="33">
        <f>Demand!C1762</f>
        <v>8</v>
      </c>
      <c r="D1764" s="33">
        <f>Demand!E1762</f>
        <v>35</v>
      </c>
      <c r="E1764" s="33">
        <f>IF(Demand!F1762,1,0)</f>
        <v>0</v>
      </c>
      <c r="F1764" s="33">
        <f>COUNTIFS(c_store,A1764,c_date,B1764,c_hour,C1764)</f>
        <v>1</v>
      </c>
      <c r="G1764" s="33">
        <f>IF(F1764&gt;0,1,0)</f>
        <v>1</v>
      </c>
      <c r="H1764" s="33">
        <f>COUNTIFS(Demand!$A$2:$A$4481,A1764,Demand!$B$2:$B$4481,B1764,Demand!$C$2:$C$4481,C1764)</f>
        <v>1</v>
      </c>
    </row>
    <row r="1765">
      <c r="A1765" s="32" t="str">
        <f>Demand!A1763</f>
        <v>S011</v>
      </c>
      <c r="B1765" s="35">
        <f>Demand!B1763</f>
        <v>46271.0</v>
      </c>
      <c r="C1765" s="33">
        <f>Demand!C1763</f>
        <v>9</v>
      </c>
      <c r="D1765" s="33">
        <f>Demand!E1763</f>
        <v>25</v>
      </c>
      <c r="E1765" s="33">
        <f>IF(Demand!F1763,1,0)</f>
        <v>0</v>
      </c>
      <c r="F1765" s="33">
        <f>COUNTIFS(c_store,A1765,c_date,B1765,c_hour,C1765)</f>
        <v>0</v>
      </c>
      <c r="G1765" s="33">
        <f>IF(F1765&gt;0,1,0)</f>
        <v>0</v>
      </c>
      <c r="H1765" s="33">
        <f>COUNTIFS(Demand!$A$2:$A$4481,A1765,Demand!$B$2:$B$4481,B1765,Demand!$C$2:$C$4481,C1765)</f>
        <v>1</v>
      </c>
    </row>
    <row r="1766">
      <c r="A1766" s="32" t="str">
        <f>Demand!A1764</f>
        <v>S011</v>
      </c>
      <c r="B1766" s="35">
        <f>Demand!B1764</f>
        <v>46271.0</v>
      </c>
      <c r="C1766" s="33">
        <f>Demand!C1764</f>
        <v>10</v>
      </c>
      <c r="D1766" s="33">
        <f>Demand!E1764</f>
        <v>24</v>
      </c>
      <c r="E1766" s="33">
        <f>IF(Demand!F1764,1,0)</f>
        <v>0</v>
      </c>
      <c r="F1766" s="33">
        <f>COUNTIFS(c_store,A1766,c_date,B1766,c_hour,C1766)</f>
        <v>0</v>
      </c>
      <c r="G1766" s="33">
        <f>IF(F1766&gt;0,1,0)</f>
        <v>0</v>
      </c>
      <c r="H1766" s="33">
        <f>COUNTIFS(Demand!$A$2:$A$4481,A1766,Demand!$B$2:$B$4481,B1766,Demand!$C$2:$C$4481,C1766)</f>
        <v>1</v>
      </c>
    </row>
    <row r="1767">
      <c r="A1767" s="32" t="str">
        <f>Demand!A1765</f>
        <v>S011</v>
      </c>
      <c r="B1767" s="35">
        <f>Demand!B1765</f>
        <v>46271.0</v>
      </c>
      <c r="C1767" s="33">
        <f>Demand!C1765</f>
        <v>11</v>
      </c>
      <c r="D1767" s="33">
        <f>Demand!E1765</f>
        <v>38</v>
      </c>
      <c r="E1767" s="33">
        <f>IF(Demand!F1765,1,0)</f>
        <v>0</v>
      </c>
      <c r="F1767" s="33">
        <f>COUNTIFS(c_store,A1767,c_date,B1767,c_hour,C1767)</f>
        <v>2</v>
      </c>
      <c r="G1767" s="33">
        <f>IF(F1767&gt;0,1,0)</f>
        <v>1</v>
      </c>
      <c r="H1767" s="33">
        <f>COUNTIFS(Demand!$A$2:$A$4481,A1767,Demand!$B$2:$B$4481,B1767,Demand!$C$2:$C$4481,C1767)</f>
        <v>1</v>
      </c>
    </row>
    <row r="1768">
      <c r="A1768" s="32" t="str">
        <f>Demand!A1766</f>
        <v>S011</v>
      </c>
      <c r="B1768" s="35">
        <f>Demand!B1766</f>
        <v>46271.0</v>
      </c>
      <c r="C1768" s="33">
        <f>Demand!C1766</f>
        <v>12</v>
      </c>
      <c r="D1768" s="33">
        <f>Demand!E1766</f>
        <v>43</v>
      </c>
      <c r="E1768" s="33">
        <f>IF(Demand!F1766,1,0)</f>
        <v>0</v>
      </c>
      <c r="F1768" s="33">
        <f>COUNTIFS(c_store,A1768,c_date,B1768,c_hour,C1768)</f>
        <v>1</v>
      </c>
      <c r="G1768" s="33">
        <f>IF(F1768&gt;0,1,0)</f>
        <v>1</v>
      </c>
      <c r="H1768" s="33">
        <f>COUNTIFS(Demand!$A$2:$A$4481,A1768,Demand!$B$2:$B$4481,B1768,Demand!$C$2:$C$4481,C1768)</f>
        <v>1</v>
      </c>
    </row>
    <row r="1769">
      <c r="A1769" s="32" t="str">
        <f>Demand!A1767</f>
        <v>S011</v>
      </c>
      <c r="B1769" s="35">
        <f>Demand!B1767</f>
        <v>46271.0</v>
      </c>
      <c r="C1769" s="33">
        <f>Demand!C1767</f>
        <v>13</v>
      </c>
      <c r="D1769" s="33">
        <f>Demand!E1767</f>
        <v>30</v>
      </c>
      <c r="E1769" s="33">
        <f>IF(Demand!F1767,1,0)</f>
        <v>0</v>
      </c>
      <c r="F1769" s="33">
        <f>COUNTIFS(c_store,A1769,c_date,B1769,c_hour,C1769)</f>
        <v>1</v>
      </c>
      <c r="G1769" s="33">
        <f>IF(F1769&gt;0,1,0)</f>
        <v>1</v>
      </c>
      <c r="H1769" s="33">
        <f>COUNTIFS(Demand!$A$2:$A$4481,A1769,Demand!$B$2:$B$4481,B1769,Demand!$C$2:$C$4481,C1769)</f>
        <v>1</v>
      </c>
    </row>
    <row r="1770">
      <c r="A1770" s="32" t="str">
        <f>Demand!A1768</f>
        <v>S011</v>
      </c>
      <c r="B1770" s="35">
        <f>Demand!B1768</f>
        <v>46271.0</v>
      </c>
      <c r="C1770" s="33">
        <f>Demand!C1768</f>
        <v>14</v>
      </c>
      <c r="D1770" s="33">
        <f>Demand!E1768</f>
        <v>20</v>
      </c>
      <c r="E1770" s="33">
        <f>IF(Demand!F1768,1,0)</f>
        <v>0</v>
      </c>
      <c r="F1770" s="33">
        <f>COUNTIFS(c_store,A1770,c_date,B1770,c_hour,C1770)</f>
        <v>1</v>
      </c>
      <c r="G1770" s="33">
        <f>IF(F1770&gt;0,1,0)</f>
        <v>1</v>
      </c>
      <c r="H1770" s="33">
        <f>COUNTIFS(Demand!$A$2:$A$4481,A1770,Demand!$B$2:$B$4481,B1770,Demand!$C$2:$C$4481,C1770)</f>
        <v>1</v>
      </c>
    </row>
    <row r="1771">
      <c r="A1771" s="32" t="str">
        <f>Demand!A1769</f>
        <v>S011</v>
      </c>
      <c r="B1771" s="35">
        <f>Demand!B1769</f>
        <v>46271.0</v>
      </c>
      <c r="C1771" s="33">
        <f>Demand!C1769</f>
        <v>15</v>
      </c>
      <c r="D1771" s="33">
        <f>Demand!E1769</f>
        <v>25</v>
      </c>
      <c r="E1771" s="33">
        <f>IF(Demand!F1769,1,0)</f>
        <v>0</v>
      </c>
      <c r="F1771" s="33">
        <f>COUNTIFS(c_store,A1771,c_date,B1771,c_hour,C1771)</f>
        <v>0</v>
      </c>
      <c r="G1771" s="33">
        <f>IF(F1771&gt;0,1,0)</f>
        <v>0</v>
      </c>
      <c r="H1771" s="33">
        <f>COUNTIFS(Demand!$A$2:$A$4481,A1771,Demand!$B$2:$B$4481,B1771,Demand!$C$2:$C$4481,C1771)</f>
        <v>1</v>
      </c>
    </row>
    <row r="1772">
      <c r="A1772" s="32" t="str">
        <f>Demand!A1770</f>
        <v>S011</v>
      </c>
      <c r="B1772" s="35">
        <f>Demand!B1770</f>
        <v>46271.0</v>
      </c>
      <c r="C1772" s="33">
        <f>Demand!C1770</f>
        <v>16</v>
      </c>
      <c r="D1772" s="33">
        <f>Demand!E1770</f>
        <v>27</v>
      </c>
      <c r="E1772" s="33">
        <f>IF(Demand!F1770,1,0)</f>
        <v>0</v>
      </c>
      <c r="F1772" s="33">
        <f>COUNTIFS(c_store,A1772,c_date,B1772,c_hour,C1772)</f>
        <v>1</v>
      </c>
      <c r="G1772" s="33">
        <f>IF(F1772&gt;0,1,0)</f>
        <v>1</v>
      </c>
      <c r="H1772" s="33">
        <f>COUNTIFS(Demand!$A$2:$A$4481,A1772,Demand!$B$2:$B$4481,B1772,Demand!$C$2:$C$4481,C1772)</f>
        <v>1</v>
      </c>
    </row>
    <row r="1773">
      <c r="A1773" s="32" t="str">
        <f>Demand!A1771</f>
        <v>S011</v>
      </c>
      <c r="B1773" s="35">
        <f>Demand!B1771</f>
        <v>46271.0</v>
      </c>
      <c r="C1773" s="33">
        <f>Demand!C1771</f>
        <v>17</v>
      </c>
      <c r="D1773" s="33">
        <f>Demand!E1771</f>
        <v>34</v>
      </c>
      <c r="E1773" s="33">
        <f>IF(Demand!F1771,1,0)</f>
        <v>0</v>
      </c>
      <c r="F1773" s="33">
        <f>COUNTIFS(c_store,A1773,c_date,B1773,c_hour,C1773)</f>
        <v>0</v>
      </c>
      <c r="G1773" s="33">
        <f>IF(F1773&gt;0,1,0)</f>
        <v>0</v>
      </c>
      <c r="H1773" s="33">
        <f>COUNTIFS(Demand!$A$2:$A$4481,A1773,Demand!$B$2:$B$4481,B1773,Demand!$C$2:$C$4481,C1773)</f>
        <v>1</v>
      </c>
    </row>
    <row r="1774">
      <c r="A1774" s="32" t="str">
        <f>Demand!A1772</f>
        <v>S011</v>
      </c>
      <c r="B1774" s="35">
        <f>Demand!B1772</f>
        <v>46271.0</v>
      </c>
      <c r="C1774" s="33">
        <f>Demand!C1772</f>
        <v>18</v>
      </c>
      <c r="D1774" s="33">
        <f>Demand!E1772</f>
        <v>36</v>
      </c>
      <c r="E1774" s="33">
        <f>IF(Demand!F1772,1,0)</f>
        <v>0</v>
      </c>
      <c r="F1774" s="33">
        <f>COUNTIFS(c_store,A1774,c_date,B1774,c_hour,C1774)</f>
        <v>0</v>
      </c>
      <c r="G1774" s="33">
        <f>IF(F1774&gt;0,1,0)</f>
        <v>0</v>
      </c>
      <c r="H1774" s="33">
        <f>COUNTIFS(Demand!$A$2:$A$4481,A1774,Demand!$B$2:$B$4481,B1774,Demand!$C$2:$C$4481,C1774)</f>
        <v>1</v>
      </c>
    </row>
    <row r="1775">
      <c r="A1775" s="32" t="str">
        <f>Demand!A1773</f>
        <v>S011</v>
      </c>
      <c r="B1775" s="35">
        <f>Demand!B1773</f>
        <v>46271.0</v>
      </c>
      <c r="C1775" s="33">
        <f>Demand!C1773</f>
        <v>19</v>
      </c>
      <c r="D1775" s="33">
        <f>Demand!E1773</f>
        <v>50</v>
      </c>
      <c r="E1775" s="33">
        <f>IF(Demand!F1773,1,0)</f>
        <v>1</v>
      </c>
      <c r="F1775" s="33">
        <f>COUNTIFS(c_store,A1775,c_date,B1775,c_hour,C1775)</f>
        <v>0</v>
      </c>
      <c r="G1775" s="33">
        <f>IF(F1775&gt;0,1,0)</f>
        <v>0</v>
      </c>
      <c r="H1775" s="33">
        <f>COUNTIFS(Demand!$A$2:$A$4481,A1775,Demand!$B$2:$B$4481,B1775,Demand!$C$2:$C$4481,C1775)</f>
        <v>1</v>
      </c>
    </row>
    <row r="1776">
      <c r="A1776" s="32" t="str">
        <f>Demand!A1774</f>
        <v>S011</v>
      </c>
      <c r="B1776" s="35">
        <f>Demand!B1774</f>
        <v>46271.0</v>
      </c>
      <c r="C1776" s="33">
        <f>Demand!C1774</f>
        <v>20</v>
      </c>
      <c r="D1776" s="33">
        <f>Demand!E1774</f>
        <v>65</v>
      </c>
      <c r="E1776" s="33">
        <f>IF(Demand!F1774,1,0)</f>
        <v>1</v>
      </c>
      <c r="F1776" s="33">
        <f>COUNTIFS(c_store,A1776,c_date,B1776,c_hour,C1776)</f>
        <v>0</v>
      </c>
      <c r="G1776" s="33">
        <f>IF(F1776&gt;0,1,0)</f>
        <v>0</v>
      </c>
      <c r="H1776" s="33">
        <f>COUNTIFS(Demand!$A$2:$A$4481,A1776,Demand!$B$2:$B$4481,B1776,Demand!$C$2:$C$4481,C1776)</f>
        <v>1</v>
      </c>
    </row>
    <row r="1777">
      <c r="A1777" s="32" t="str">
        <f>Demand!A1775</f>
        <v>S011</v>
      </c>
      <c r="B1777" s="35">
        <f>Demand!B1775</f>
        <v>46271.0</v>
      </c>
      <c r="C1777" s="33">
        <f>Demand!C1775</f>
        <v>21</v>
      </c>
      <c r="D1777" s="33">
        <f>Demand!E1775</f>
        <v>50</v>
      </c>
      <c r="E1777" s="33">
        <f>IF(Demand!F1775,1,0)</f>
        <v>1</v>
      </c>
      <c r="F1777" s="33">
        <f>COUNTIFS(c_store,A1777,c_date,B1777,c_hour,C1777)</f>
        <v>1</v>
      </c>
      <c r="G1777" s="33">
        <f>IF(F1777&gt;0,1,0)</f>
        <v>1</v>
      </c>
      <c r="H1777" s="33">
        <f>COUNTIFS(Demand!$A$2:$A$4481,A1777,Demand!$B$2:$B$4481,B1777,Demand!$C$2:$C$4481,C1777)</f>
        <v>1</v>
      </c>
    </row>
    <row r="1778">
      <c r="A1778" s="32" t="str">
        <f>Demand!A1776</f>
        <v>S011</v>
      </c>
      <c r="B1778" s="35">
        <f>Demand!B1776</f>
        <v>46271.0</v>
      </c>
      <c r="C1778" s="33">
        <f>Demand!C1776</f>
        <v>22</v>
      </c>
      <c r="D1778" s="33">
        <f>Demand!E1776</f>
        <v>37</v>
      </c>
      <c r="E1778" s="33">
        <f>IF(Demand!F1776,1,0)</f>
        <v>0</v>
      </c>
      <c r="F1778" s="33">
        <f>COUNTIFS(c_store,A1778,c_date,B1778,c_hour,C1778)</f>
        <v>0</v>
      </c>
      <c r="G1778" s="33">
        <f>IF(F1778&gt;0,1,0)</f>
        <v>0</v>
      </c>
      <c r="H1778" s="33">
        <f>COUNTIFS(Demand!$A$2:$A$4481,A1778,Demand!$B$2:$B$4481,B1778,Demand!$C$2:$C$4481,C1778)</f>
        <v>1</v>
      </c>
    </row>
    <row r="1779">
      <c r="A1779" s="32" t="str">
        <f>Demand!A1777</f>
        <v>S011</v>
      </c>
      <c r="B1779" s="35">
        <f>Demand!B1777</f>
        <v>46271.0</v>
      </c>
      <c r="C1779" s="33">
        <f>Demand!C1777</f>
        <v>23</v>
      </c>
      <c r="D1779" s="33">
        <f>Demand!E1777</f>
        <v>26</v>
      </c>
      <c r="E1779" s="33">
        <f>IF(Demand!F1777,1,0)</f>
        <v>0</v>
      </c>
      <c r="F1779" s="33">
        <f>COUNTIFS(c_store,A1779,c_date,B1779,c_hour,C1779)</f>
        <v>0</v>
      </c>
      <c r="G1779" s="33">
        <f>IF(F1779&gt;0,1,0)</f>
        <v>0</v>
      </c>
      <c r="H1779" s="33">
        <f>COUNTIFS(Demand!$A$2:$A$4481,A1779,Demand!$B$2:$B$4481,B1779,Demand!$C$2:$C$4481,C1779)</f>
        <v>1</v>
      </c>
    </row>
    <row r="1780">
      <c r="A1780" s="32" t="str">
        <f>Demand!A1778</f>
        <v>S012</v>
      </c>
      <c r="B1780" s="35">
        <f>Demand!B1778</f>
        <v>46271.0</v>
      </c>
      <c r="C1780" s="33">
        <f>Demand!C1778</f>
        <v>8</v>
      </c>
      <c r="D1780" s="33">
        <f>Demand!E1778</f>
        <v>8</v>
      </c>
      <c r="E1780" s="33">
        <f>IF(Demand!F1778,1,0)</f>
        <v>0</v>
      </c>
      <c r="F1780" s="33">
        <f>COUNTIFS(c_store,A1780,c_date,B1780,c_hour,C1780)</f>
        <v>1</v>
      </c>
      <c r="G1780" s="33">
        <f>IF(F1780&gt;0,1,0)</f>
        <v>1</v>
      </c>
      <c r="H1780" s="33">
        <f>COUNTIFS(Demand!$A$2:$A$4481,A1780,Demand!$B$2:$B$4481,B1780,Demand!$C$2:$C$4481,C1780)</f>
        <v>1</v>
      </c>
    </row>
    <row r="1781">
      <c r="A1781" s="32" t="str">
        <f>Demand!A1779</f>
        <v>S012</v>
      </c>
      <c r="B1781" s="35">
        <f>Demand!B1779</f>
        <v>46271.0</v>
      </c>
      <c r="C1781" s="33">
        <f>Demand!C1779</f>
        <v>9</v>
      </c>
      <c r="D1781" s="33">
        <f>Demand!E1779</f>
        <v>13</v>
      </c>
      <c r="E1781" s="33">
        <f>IF(Demand!F1779,1,0)</f>
        <v>0</v>
      </c>
      <c r="F1781" s="33">
        <f>COUNTIFS(c_store,A1781,c_date,B1781,c_hour,C1781)</f>
        <v>0</v>
      </c>
      <c r="G1781" s="33">
        <f>IF(F1781&gt;0,1,0)</f>
        <v>0</v>
      </c>
      <c r="H1781" s="33">
        <f>COUNTIFS(Demand!$A$2:$A$4481,A1781,Demand!$B$2:$B$4481,B1781,Demand!$C$2:$C$4481,C1781)</f>
        <v>1</v>
      </c>
    </row>
    <row r="1782">
      <c r="A1782" s="32" t="str">
        <f>Demand!A1780</f>
        <v>S012</v>
      </c>
      <c r="B1782" s="35">
        <f>Demand!B1780</f>
        <v>46271.0</v>
      </c>
      <c r="C1782" s="33">
        <f>Demand!C1780</f>
        <v>10</v>
      </c>
      <c r="D1782" s="33">
        <f>Demand!E1780</f>
        <v>10</v>
      </c>
      <c r="E1782" s="33">
        <f>IF(Demand!F1780,1,0)</f>
        <v>0</v>
      </c>
      <c r="F1782" s="33">
        <f>COUNTIFS(c_store,A1782,c_date,B1782,c_hour,C1782)</f>
        <v>0</v>
      </c>
      <c r="G1782" s="33">
        <f>IF(F1782&gt;0,1,0)</f>
        <v>0</v>
      </c>
      <c r="H1782" s="33">
        <f>COUNTIFS(Demand!$A$2:$A$4481,A1782,Demand!$B$2:$B$4481,B1782,Demand!$C$2:$C$4481,C1782)</f>
        <v>1</v>
      </c>
    </row>
    <row r="1783">
      <c r="A1783" s="32" t="str">
        <f>Demand!A1781</f>
        <v>S012</v>
      </c>
      <c r="B1783" s="35">
        <f>Demand!B1781</f>
        <v>46271.0</v>
      </c>
      <c r="C1783" s="33">
        <f>Demand!C1781</f>
        <v>11</v>
      </c>
      <c r="D1783" s="33">
        <f>Demand!E1781</f>
        <v>12</v>
      </c>
      <c r="E1783" s="33">
        <f>IF(Demand!F1781,1,0)</f>
        <v>0</v>
      </c>
      <c r="F1783" s="33">
        <f>COUNTIFS(c_store,A1783,c_date,B1783,c_hour,C1783)</f>
        <v>1</v>
      </c>
      <c r="G1783" s="33">
        <f>IF(F1783&gt;0,1,0)</f>
        <v>1</v>
      </c>
      <c r="H1783" s="33">
        <f>COUNTIFS(Demand!$A$2:$A$4481,A1783,Demand!$B$2:$B$4481,B1783,Demand!$C$2:$C$4481,C1783)</f>
        <v>1</v>
      </c>
    </row>
    <row r="1784">
      <c r="A1784" s="32" t="str">
        <f>Demand!A1782</f>
        <v>S012</v>
      </c>
      <c r="B1784" s="35">
        <f>Demand!B1782</f>
        <v>46271.0</v>
      </c>
      <c r="C1784" s="33">
        <f>Demand!C1782</f>
        <v>12</v>
      </c>
      <c r="D1784" s="33">
        <f>Demand!E1782</f>
        <v>16</v>
      </c>
      <c r="E1784" s="33">
        <f>IF(Demand!F1782,1,0)</f>
        <v>0</v>
      </c>
      <c r="F1784" s="33">
        <f>COUNTIFS(c_store,A1784,c_date,B1784,c_hour,C1784)</f>
        <v>0</v>
      </c>
      <c r="G1784" s="33">
        <f>IF(F1784&gt;0,1,0)</f>
        <v>0</v>
      </c>
      <c r="H1784" s="33">
        <f>COUNTIFS(Demand!$A$2:$A$4481,A1784,Demand!$B$2:$B$4481,B1784,Demand!$C$2:$C$4481,C1784)</f>
        <v>1</v>
      </c>
    </row>
    <row r="1785">
      <c r="A1785" s="32" t="str">
        <f>Demand!A1783</f>
        <v>S012</v>
      </c>
      <c r="B1785" s="35">
        <f>Demand!B1783</f>
        <v>46271.0</v>
      </c>
      <c r="C1785" s="33">
        <f>Demand!C1783</f>
        <v>13</v>
      </c>
      <c r="D1785" s="33">
        <f>Demand!E1783</f>
        <v>17</v>
      </c>
      <c r="E1785" s="33">
        <f>IF(Demand!F1783,1,0)</f>
        <v>0</v>
      </c>
      <c r="F1785" s="33">
        <f>COUNTIFS(c_store,A1785,c_date,B1785,c_hour,C1785)</f>
        <v>0</v>
      </c>
      <c r="G1785" s="33">
        <f>IF(F1785&gt;0,1,0)</f>
        <v>0</v>
      </c>
      <c r="H1785" s="33">
        <f>COUNTIFS(Demand!$A$2:$A$4481,A1785,Demand!$B$2:$B$4481,B1785,Demand!$C$2:$C$4481,C1785)</f>
        <v>1</v>
      </c>
    </row>
    <row r="1786">
      <c r="A1786" s="32" t="str">
        <f>Demand!A1784</f>
        <v>S012</v>
      </c>
      <c r="B1786" s="35">
        <f>Demand!B1784</f>
        <v>46271.0</v>
      </c>
      <c r="C1786" s="33">
        <f>Demand!C1784</f>
        <v>14</v>
      </c>
      <c r="D1786" s="33">
        <f>Demand!E1784</f>
        <v>8</v>
      </c>
      <c r="E1786" s="33">
        <f>IF(Demand!F1784,1,0)</f>
        <v>0</v>
      </c>
      <c r="F1786" s="33">
        <f>COUNTIFS(c_store,A1786,c_date,B1786,c_hour,C1786)</f>
        <v>0</v>
      </c>
      <c r="G1786" s="33">
        <f>IF(F1786&gt;0,1,0)</f>
        <v>0</v>
      </c>
      <c r="H1786" s="33">
        <f>COUNTIFS(Demand!$A$2:$A$4481,A1786,Demand!$B$2:$B$4481,B1786,Demand!$C$2:$C$4481,C1786)</f>
        <v>1</v>
      </c>
    </row>
    <row r="1787">
      <c r="A1787" s="32" t="str">
        <f>Demand!A1785</f>
        <v>S012</v>
      </c>
      <c r="B1787" s="35">
        <f>Demand!B1785</f>
        <v>46271.0</v>
      </c>
      <c r="C1787" s="33">
        <f>Demand!C1785</f>
        <v>15</v>
      </c>
      <c r="D1787" s="33">
        <f>Demand!E1785</f>
        <v>9</v>
      </c>
      <c r="E1787" s="33">
        <f>IF(Demand!F1785,1,0)</f>
        <v>0</v>
      </c>
      <c r="F1787" s="33">
        <f>COUNTIFS(c_store,A1787,c_date,B1787,c_hour,C1787)</f>
        <v>0</v>
      </c>
      <c r="G1787" s="33">
        <f>IF(F1787&gt;0,1,0)</f>
        <v>0</v>
      </c>
      <c r="H1787" s="33">
        <f>COUNTIFS(Demand!$A$2:$A$4481,A1787,Demand!$B$2:$B$4481,B1787,Demand!$C$2:$C$4481,C1787)</f>
        <v>1</v>
      </c>
    </row>
    <row r="1788">
      <c r="A1788" s="32" t="str">
        <f>Demand!A1786</f>
        <v>S012</v>
      </c>
      <c r="B1788" s="35">
        <f>Demand!B1786</f>
        <v>46271.0</v>
      </c>
      <c r="C1788" s="33">
        <f>Demand!C1786</f>
        <v>16</v>
      </c>
      <c r="D1788" s="33">
        <f>Demand!E1786</f>
        <v>13</v>
      </c>
      <c r="E1788" s="33">
        <f>IF(Demand!F1786,1,0)</f>
        <v>0</v>
      </c>
      <c r="F1788" s="33">
        <f>COUNTIFS(c_store,A1788,c_date,B1788,c_hour,C1788)</f>
        <v>3</v>
      </c>
      <c r="G1788" s="33">
        <f>IF(F1788&gt;0,1,0)</f>
        <v>1</v>
      </c>
      <c r="H1788" s="33">
        <f>COUNTIFS(Demand!$A$2:$A$4481,A1788,Demand!$B$2:$B$4481,B1788,Demand!$C$2:$C$4481,C1788)</f>
        <v>1</v>
      </c>
    </row>
    <row r="1789">
      <c r="A1789" s="32" t="str">
        <f>Demand!A1787</f>
        <v>S012</v>
      </c>
      <c r="B1789" s="35">
        <f>Demand!B1787</f>
        <v>46271.0</v>
      </c>
      <c r="C1789" s="33">
        <f>Demand!C1787</f>
        <v>17</v>
      </c>
      <c r="D1789" s="33">
        <f>Demand!E1787</f>
        <v>12</v>
      </c>
      <c r="E1789" s="33">
        <f>IF(Demand!F1787,1,0)</f>
        <v>0</v>
      </c>
      <c r="F1789" s="33">
        <f>COUNTIFS(c_store,A1789,c_date,B1789,c_hour,C1789)</f>
        <v>0</v>
      </c>
      <c r="G1789" s="33">
        <f>IF(F1789&gt;0,1,0)</f>
        <v>0</v>
      </c>
      <c r="H1789" s="33">
        <f>COUNTIFS(Demand!$A$2:$A$4481,A1789,Demand!$B$2:$B$4481,B1789,Demand!$C$2:$C$4481,C1789)</f>
        <v>1</v>
      </c>
    </row>
    <row r="1790">
      <c r="A1790" s="32" t="str">
        <f>Demand!A1788</f>
        <v>S012</v>
      </c>
      <c r="B1790" s="35">
        <f>Demand!B1788</f>
        <v>46271.0</v>
      </c>
      <c r="C1790" s="33">
        <f>Demand!C1788</f>
        <v>18</v>
      </c>
      <c r="D1790" s="33">
        <f>Demand!E1788</f>
        <v>21</v>
      </c>
      <c r="E1790" s="33">
        <f>IF(Demand!F1788,1,0)</f>
        <v>0</v>
      </c>
      <c r="F1790" s="33">
        <f>COUNTIFS(c_store,A1790,c_date,B1790,c_hour,C1790)</f>
        <v>1</v>
      </c>
      <c r="G1790" s="33">
        <f>IF(F1790&gt;0,1,0)</f>
        <v>1</v>
      </c>
      <c r="H1790" s="33">
        <f>COUNTIFS(Demand!$A$2:$A$4481,A1790,Demand!$B$2:$B$4481,B1790,Demand!$C$2:$C$4481,C1790)</f>
        <v>1</v>
      </c>
    </row>
    <row r="1791">
      <c r="A1791" s="32" t="str">
        <f>Demand!A1789</f>
        <v>S012</v>
      </c>
      <c r="B1791" s="35">
        <f>Demand!B1789</f>
        <v>46271.0</v>
      </c>
      <c r="C1791" s="33">
        <f>Demand!C1789</f>
        <v>19</v>
      </c>
      <c r="D1791" s="33">
        <f>Demand!E1789</f>
        <v>28</v>
      </c>
      <c r="E1791" s="33">
        <f>IF(Demand!F1789,1,0)</f>
        <v>1</v>
      </c>
      <c r="F1791" s="33">
        <f>COUNTIFS(c_store,A1791,c_date,B1791,c_hour,C1791)</f>
        <v>0</v>
      </c>
      <c r="G1791" s="33">
        <f>IF(F1791&gt;0,1,0)</f>
        <v>0</v>
      </c>
      <c r="H1791" s="33">
        <f>COUNTIFS(Demand!$A$2:$A$4481,A1791,Demand!$B$2:$B$4481,B1791,Demand!$C$2:$C$4481,C1791)</f>
        <v>1</v>
      </c>
    </row>
    <row r="1792">
      <c r="A1792" s="32" t="str">
        <f>Demand!A1790</f>
        <v>S012</v>
      </c>
      <c r="B1792" s="35">
        <f>Demand!B1790</f>
        <v>46271.0</v>
      </c>
      <c r="C1792" s="33">
        <f>Demand!C1790</f>
        <v>20</v>
      </c>
      <c r="D1792" s="33">
        <f>Demand!E1790</f>
        <v>27</v>
      </c>
      <c r="E1792" s="33">
        <f>IF(Demand!F1790,1,0)</f>
        <v>1</v>
      </c>
      <c r="F1792" s="33">
        <f>COUNTIFS(c_store,A1792,c_date,B1792,c_hour,C1792)</f>
        <v>0</v>
      </c>
      <c r="G1792" s="33">
        <f>IF(F1792&gt;0,1,0)</f>
        <v>0</v>
      </c>
      <c r="H1792" s="33">
        <f>COUNTIFS(Demand!$A$2:$A$4481,A1792,Demand!$B$2:$B$4481,B1792,Demand!$C$2:$C$4481,C1792)</f>
        <v>1</v>
      </c>
    </row>
    <row r="1793">
      <c r="A1793" s="32" t="str">
        <f>Demand!A1791</f>
        <v>S012</v>
      </c>
      <c r="B1793" s="35">
        <f>Demand!B1791</f>
        <v>46271.0</v>
      </c>
      <c r="C1793" s="33">
        <f>Demand!C1791</f>
        <v>21</v>
      </c>
      <c r="D1793" s="33">
        <f>Demand!E1791</f>
        <v>30</v>
      </c>
      <c r="E1793" s="33">
        <f>IF(Demand!F1791,1,0)</f>
        <v>1</v>
      </c>
      <c r="F1793" s="33">
        <f>COUNTIFS(c_store,A1793,c_date,B1793,c_hour,C1793)</f>
        <v>0</v>
      </c>
      <c r="G1793" s="33">
        <f>IF(F1793&gt;0,1,0)</f>
        <v>0</v>
      </c>
      <c r="H1793" s="33">
        <f>COUNTIFS(Demand!$A$2:$A$4481,A1793,Demand!$B$2:$B$4481,B1793,Demand!$C$2:$C$4481,C1793)</f>
        <v>1</v>
      </c>
    </row>
    <row r="1794">
      <c r="A1794" s="32" t="str">
        <f>Demand!A1792</f>
        <v>S012</v>
      </c>
      <c r="B1794" s="35">
        <f>Demand!B1792</f>
        <v>46271.0</v>
      </c>
      <c r="C1794" s="33">
        <f>Demand!C1792</f>
        <v>22</v>
      </c>
      <c r="D1794" s="33">
        <f>Demand!E1792</f>
        <v>19</v>
      </c>
      <c r="E1794" s="33">
        <f>IF(Demand!F1792,1,0)</f>
        <v>0</v>
      </c>
      <c r="F1794" s="33">
        <f>COUNTIFS(c_store,A1794,c_date,B1794,c_hour,C1794)</f>
        <v>0</v>
      </c>
      <c r="G1794" s="33">
        <f>IF(F1794&gt;0,1,0)</f>
        <v>0</v>
      </c>
      <c r="H1794" s="33">
        <f>COUNTIFS(Demand!$A$2:$A$4481,A1794,Demand!$B$2:$B$4481,B1794,Demand!$C$2:$C$4481,C1794)</f>
        <v>1</v>
      </c>
    </row>
    <row r="1795">
      <c r="A1795" s="32" t="str">
        <f>Demand!A1793</f>
        <v>S012</v>
      </c>
      <c r="B1795" s="35">
        <f>Demand!B1793</f>
        <v>46271.0</v>
      </c>
      <c r="C1795" s="33">
        <f>Demand!C1793</f>
        <v>23</v>
      </c>
      <c r="D1795" s="33">
        <f>Demand!E1793</f>
        <v>10</v>
      </c>
      <c r="E1795" s="33">
        <f>IF(Demand!F1793,1,0)</f>
        <v>0</v>
      </c>
      <c r="F1795" s="33">
        <f>COUNTIFS(c_store,A1795,c_date,B1795,c_hour,C1795)</f>
        <v>0</v>
      </c>
      <c r="G1795" s="33">
        <f>IF(F1795&gt;0,1,0)</f>
        <v>0</v>
      </c>
      <c r="H1795" s="33">
        <f>COUNTIFS(Demand!$A$2:$A$4481,A1795,Demand!$B$2:$B$4481,B1795,Demand!$C$2:$C$4481,C1795)</f>
        <v>1</v>
      </c>
    </row>
    <row r="1796">
      <c r="A1796" s="32" t="str">
        <f>Demand!A1794</f>
        <v>S013</v>
      </c>
      <c r="B1796" s="35">
        <f>Demand!B1794</f>
        <v>46271.0</v>
      </c>
      <c r="C1796" s="33">
        <f>Demand!C1794</f>
        <v>8</v>
      </c>
      <c r="D1796" s="33">
        <f>Demand!E1794</f>
        <v>34</v>
      </c>
      <c r="E1796" s="33">
        <f>IF(Demand!F1794,1,0)</f>
        <v>0</v>
      </c>
      <c r="F1796" s="33">
        <f>COUNTIFS(c_store,A1796,c_date,B1796,c_hour,C1796)</f>
        <v>0</v>
      </c>
      <c r="G1796" s="33">
        <f>IF(F1796&gt;0,1,0)</f>
        <v>0</v>
      </c>
      <c r="H1796" s="33">
        <f>COUNTIFS(Demand!$A$2:$A$4481,A1796,Demand!$B$2:$B$4481,B1796,Demand!$C$2:$C$4481,C1796)</f>
        <v>1</v>
      </c>
    </row>
    <row r="1797">
      <c r="A1797" s="32" t="str">
        <f>Demand!A1795</f>
        <v>S013</v>
      </c>
      <c r="B1797" s="35">
        <f>Demand!B1795</f>
        <v>46271.0</v>
      </c>
      <c r="C1797" s="33">
        <f>Demand!C1795</f>
        <v>9</v>
      </c>
      <c r="D1797" s="33">
        <f>Demand!E1795</f>
        <v>39</v>
      </c>
      <c r="E1797" s="33">
        <f>IF(Demand!F1795,1,0)</f>
        <v>0</v>
      </c>
      <c r="F1797" s="33">
        <f>COUNTIFS(c_store,A1797,c_date,B1797,c_hour,C1797)</f>
        <v>1</v>
      </c>
      <c r="G1797" s="33">
        <f>IF(F1797&gt;0,1,0)</f>
        <v>1</v>
      </c>
      <c r="H1797" s="33">
        <f>COUNTIFS(Demand!$A$2:$A$4481,A1797,Demand!$B$2:$B$4481,B1797,Demand!$C$2:$C$4481,C1797)</f>
        <v>1</v>
      </c>
    </row>
    <row r="1798">
      <c r="A1798" s="32" t="str">
        <f>Demand!A1796</f>
        <v>S013</v>
      </c>
      <c r="B1798" s="35">
        <f>Demand!B1796</f>
        <v>46271.0</v>
      </c>
      <c r="C1798" s="33">
        <f>Demand!C1796</f>
        <v>10</v>
      </c>
      <c r="D1798" s="33">
        <f>Demand!E1796</f>
        <v>37</v>
      </c>
      <c r="E1798" s="33">
        <f>IF(Demand!F1796,1,0)</f>
        <v>0</v>
      </c>
      <c r="F1798" s="33">
        <f>COUNTIFS(c_store,A1798,c_date,B1798,c_hour,C1798)</f>
        <v>0</v>
      </c>
      <c r="G1798" s="33">
        <f>IF(F1798&gt;0,1,0)</f>
        <v>0</v>
      </c>
      <c r="H1798" s="33">
        <f>COUNTIFS(Demand!$A$2:$A$4481,A1798,Demand!$B$2:$B$4481,B1798,Demand!$C$2:$C$4481,C1798)</f>
        <v>1</v>
      </c>
    </row>
    <row r="1799">
      <c r="A1799" s="32" t="str">
        <f>Demand!A1797</f>
        <v>S013</v>
      </c>
      <c r="B1799" s="35">
        <f>Demand!B1797</f>
        <v>46271.0</v>
      </c>
      <c r="C1799" s="33">
        <f>Demand!C1797</f>
        <v>11</v>
      </c>
      <c r="D1799" s="33">
        <f>Demand!E1797</f>
        <v>52</v>
      </c>
      <c r="E1799" s="33">
        <f>IF(Demand!F1797,1,0)</f>
        <v>0</v>
      </c>
      <c r="F1799" s="33">
        <f>COUNTIFS(c_store,A1799,c_date,B1799,c_hour,C1799)</f>
        <v>0</v>
      </c>
      <c r="G1799" s="33">
        <f>IF(F1799&gt;0,1,0)</f>
        <v>0</v>
      </c>
      <c r="H1799" s="33">
        <f>COUNTIFS(Demand!$A$2:$A$4481,A1799,Demand!$B$2:$B$4481,B1799,Demand!$C$2:$C$4481,C1799)</f>
        <v>1</v>
      </c>
    </row>
    <row r="1800">
      <c r="A1800" s="32" t="str">
        <f>Demand!A1798</f>
        <v>S013</v>
      </c>
      <c r="B1800" s="35">
        <f>Demand!B1798</f>
        <v>46271.0</v>
      </c>
      <c r="C1800" s="33">
        <f>Demand!C1798</f>
        <v>12</v>
      </c>
      <c r="D1800" s="33">
        <f>Demand!E1798</f>
        <v>50</v>
      </c>
      <c r="E1800" s="33">
        <f>IF(Demand!F1798,1,0)</f>
        <v>0</v>
      </c>
      <c r="F1800" s="33">
        <f>COUNTIFS(c_store,A1800,c_date,B1800,c_hour,C1800)</f>
        <v>0</v>
      </c>
      <c r="G1800" s="33">
        <f>IF(F1800&gt;0,1,0)</f>
        <v>0</v>
      </c>
      <c r="H1800" s="33">
        <f>COUNTIFS(Demand!$A$2:$A$4481,A1800,Demand!$B$2:$B$4481,B1800,Demand!$C$2:$C$4481,C1800)</f>
        <v>1</v>
      </c>
    </row>
    <row r="1801">
      <c r="A1801" s="32" t="str">
        <f>Demand!A1799</f>
        <v>S013</v>
      </c>
      <c r="B1801" s="35">
        <f>Demand!B1799</f>
        <v>46271.0</v>
      </c>
      <c r="C1801" s="33">
        <f>Demand!C1799</f>
        <v>13</v>
      </c>
      <c r="D1801" s="33">
        <f>Demand!E1799</f>
        <v>50</v>
      </c>
      <c r="E1801" s="33">
        <f>IF(Demand!F1799,1,0)</f>
        <v>0</v>
      </c>
      <c r="F1801" s="33">
        <f>COUNTIFS(c_store,A1801,c_date,B1801,c_hour,C1801)</f>
        <v>1</v>
      </c>
      <c r="G1801" s="33">
        <f>IF(F1801&gt;0,1,0)</f>
        <v>1</v>
      </c>
      <c r="H1801" s="33">
        <f>COUNTIFS(Demand!$A$2:$A$4481,A1801,Demand!$B$2:$B$4481,B1801,Demand!$C$2:$C$4481,C1801)</f>
        <v>1</v>
      </c>
    </row>
    <row r="1802">
      <c r="A1802" s="32" t="str">
        <f>Demand!A1800</f>
        <v>S013</v>
      </c>
      <c r="B1802" s="35">
        <f>Demand!B1800</f>
        <v>46271.0</v>
      </c>
      <c r="C1802" s="33">
        <f>Demand!C1800</f>
        <v>14</v>
      </c>
      <c r="D1802" s="33">
        <f>Demand!E1800</f>
        <v>36</v>
      </c>
      <c r="E1802" s="33">
        <f>IF(Demand!F1800,1,0)</f>
        <v>0</v>
      </c>
      <c r="F1802" s="33">
        <f>COUNTIFS(c_store,A1802,c_date,B1802,c_hour,C1802)</f>
        <v>0</v>
      </c>
      <c r="G1802" s="33">
        <f>IF(F1802&gt;0,1,0)</f>
        <v>0</v>
      </c>
      <c r="H1802" s="33">
        <f>COUNTIFS(Demand!$A$2:$A$4481,A1802,Demand!$B$2:$B$4481,B1802,Demand!$C$2:$C$4481,C1802)</f>
        <v>1</v>
      </c>
    </row>
    <row r="1803">
      <c r="A1803" s="32" t="str">
        <f>Demand!A1801</f>
        <v>S013</v>
      </c>
      <c r="B1803" s="35">
        <f>Demand!B1801</f>
        <v>46271.0</v>
      </c>
      <c r="C1803" s="33">
        <f>Demand!C1801</f>
        <v>15</v>
      </c>
      <c r="D1803" s="33">
        <f>Demand!E1801</f>
        <v>32</v>
      </c>
      <c r="E1803" s="33">
        <f>IF(Demand!F1801,1,0)</f>
        <v>0</v>
      </c>
      <c r="F1803" s="33">
        <f>COUNTIFS(c_store,A1803,c_date,B1803,c_hour,C1803)</f>
        <v>0</v>
      </c>
      <c r="G1803" s="33">
        <f>IF(F1803&gt;0,1,0)</f>
        <v>0</v>
      </c>
      <c r="H1803" s="33">
        <f>COUNTIFS(Demand!$A$2:$A$4481,A1803,Demand!$B$2:$B$4481,B1803,Demand!$C$2:$C$4481,C1803)</f>
        <v>1</v>
      </c>
    </row>
    <row r="1804">
      <c r="A1804" s="32" t="str">
        <f>Demand!A1802</f>
        <v>S013</v>
      </c>
      <c r="B1804" s="35">
        <f>Demand!B1802</f>
        <v>46271.0</v>
      </c>
      <c r="C1804" s="33">
        <f>Demand!C1802</f>
        <v>16</v>
      </c>
      <c r="D1804" s="33">
        <f>Demand!E1802</f>
        <v>64</v>
      </c>
      <c r="E1804" s="33">
        <f>IF(Demand!F1802,1,0)</f>
        <v>0</v>
      </c>
      <c r="F1804" s="33">
        <f>COUNTIFS(c_store,A1804,c_date,B1804,c_hour,C1804)</f>
        <v>0</v>
      </c>
      <c r="G1804" s="33">
        <f>IF(F1804&gt;0,1,0)</f>
        <v>0</v>
      </c>
      <c r="H1804" s="33">
        <f>COUNTIFS(Demand!$A$2:$A$4481,A1804,Demand!$B$2:$B$4481,B1804,Demand!$C$2:$C$4481,C1804)</f>
        <v>1</v>
      </c>
    </row>
    <row r="1805">
      <c r="A1805" s="32" t="str">
        <f>Demand!A1803</f>
        <v>S013</v>
      </c>
      <c r="B1805" s="35">
        <f>Demand!B1803</f>
        <v>46271.0</v>
      </c>
      <c r="C1805" s="33">
        <f>Demand!C1803</f>
        <v>17</v>
      </c>
      <c r="D1805" s="33">
        <f>Demand!E1803</f>
        <v>46</v>
      </c>
      <c r="E1805" s="33">
        <f>IF(Demand!F1803,1,0)</f>
        <v>0</v>
      </c>
      <c r="F1805" s="33">
        <f>COUNTIFS(c_store,A1805,c_date,B1805,c_hour,C1805)</f>
        <v>0</v>
      </c>
      <c r="G1805" s="33">
        <f>IF(F1805&gt;0,1,0)</f>
        <v>0</v>
      </c>
      <c r="H1805" s="33">
        <f>COUNTIFS(Demand!$A$2:$A$4481,A1805,Demand!$B$2:$B$4481,B1805,Demand!$C$2:$C$4481,C1805)</f>
        <v>1</v>
      </c>
    </row>
    <row r="1806">
      <c r="A1806" s="32" t="str">
        <f>Demand!A1804</f>
        <v>S013</v>
      </c>
      <c r="B1806" s="35">
        <f>Demand!B1804</f>
        <v>46271.0</v>
      </c>
      <c r="C1806" s="33">
        <f>Demand!C1804</f>
        <v>18</v>
      </c>
      <c r="D1806" s="33">
        <f>Demand!E1804</f>
        <v>55</v>
      </c>
      <c r="E1806" s="33">
        <f>IF(Demand!F1804,1,0)</f>
        <v>0</v>
      </c>
      <c r="F1806" s="33">
        <f>COUNTIFS(c_store,A1806,c_date,B1806,c_hour,C1806)</f>
        <v>0</v>
      </c>
      <c r="G1806" s="33">
        <f>IF(F1806&gt;0,1,0)</f>
        <v>0</v>
      </c>
      <c r="H1806" s="33">
        <f>COUNTIFS(Demand!$A$2:$A$4481,A1806,Demand!$B$2:$B$4481,B1806,Demand!$C$2:$C$4481,C1806)</f>
        <v>1</v>
      </c>
    </row>
    <row r="1807">
      <c r="A1807" s="32" t="str">
        <f>Demand!A1805</f>
        <v>S013</v>
      </c>
      <c r="B1807" s="35">
        <f>Demand!B1805</f>
        <v>46271.0</v>
      </c>
      <c r="C1807" s="33">
        <f>Demand!C1805</f>
        <v>19</v>
      </c>
      <c r="D1807" s="33">
        <f>Demand!E1805</f>
        <v>80</v>
      </c>
      <c r="E1807" s="33">
        <f>IF(Demand!F1805,1,0)</f>
        <v>1</v>
      </c>
      <c r="F1807" s="33">
        <f>COUNTIFS(c_store,A1807,c_date,B1807,c_hour,C1807)</f>
        <v>0</v>
      </c>
      <c r="G1807" s="33">
        <f>IF(F1807&gt;0,1,0)</f>
        <v>0</v>
      </c>
      <c r="H1807" s="33">
        <f>COUNTIFS(Demand!$A$2:$A$4481,A1807,Demand!$B$2:$B$4481,B1807,Demand!$C$2:$C$4481,C1807)</f>
        <v>1</v>
      </c>
    </row>
    <row r="1808">
      <c r="A1808" s="32" t="str">
        <f>Demand!A1806</f>
        <v>S013</v>
      </c>
      <c r="B1808" s="35">
        <f>Demand!B1806</f>
        <v>46271.0</v>
      </c>
      <c r="C1808" s="33">
        <f>Demand!C1806</f>
        <v>20</v>
      </c>
      <c r="D1808" s="33">
        <f>Demand!E1806</f>
        <v>94</v>
      </c>
      <c r="E1808" s="33">
        <f>IF(Demand!F1806,1,0)</f>
        <v>1</v>
      </c>
      <c r="F1808" s="33">
        <f>COUNTIFS(c_store,A1808,c_date,B1808,c_hour,C1808)</f>
        <v>0</v>
      </c>
      <c r="G1808" s="33">
        <f>IF(F1808&gt;0,1,0)</f>
        <v>0</v>
      </c>
      <c r="H1808" s="33">
        <f>COUNTIFS(Demand!$A$2:$A$4481,A1808,Demand!$B$2:$B$4481,B1808,Demand!$C$2:$C$4481,C1808)</f>
        <v>1</v>
      </c>
    </row>
    <row r="1809">
      <c r="A1809" s="32" t="str">
        <f>Demand!A1807</f>
        <v>S013</v>
      </c>
      <c r="B1809" s="35">
        <f>Demand!B1807</f>
        <v>46271.0</v>
      </c>
      <c r="C1809" s="33">
        <f>Demand!C1807</f>
        <v>21</v>
      </c>
      <c r="D1809" s="33">
        <f>Demand!E1807</f>
        <v>95</v>
      </c>
      <c r="E1809" s="33">
        <f>IF(Demand!F1807,1,0)</f>
        <v>1</v>
      </c>
      <c r="F1809" s="33">
        <f>COUNTIFS(c_store,A1809,c_date,B1809,c_hour,C1809)</f>
        <v>1</v>
      </c>
      <c r="G1809" s="33">
        <f>IF(F1809&gt;0,1,0)</f>
        <v>1</v>
      </c>
      <c r="H1809" s="33">
        <f>COUNTIFS(Demand!$A$2:$A$4481,A1809,Demand!$B$2:$B$4481,B1809,Demand!$C$2:$C$4481,C1809)</f>
        <v>1</v>
      </c>
    </row>
    <row r="1810">
      <c r="A1810" s="32" t="str">
        <f>Demand!A1808</f>
        <v>S013</v>
      </c>
      <c r="B1810" s="35">
        <f>Demand!B1808</f>
        <v>46271.0</v>
      </c>
      <c r="C1810" s="33">
        <f>Demand!C1808</f>
        <v>22</v>
      </c>
      <c r="D1810" s="33">
        <f>Demand!E1808</f>
        <v>57</v>
      </c>
      <c r="E1810" s="33">
        <f>IF(Demand!F1808,1,0)</f>
        <v>0</v>
      </c>
      <c r="F1810" s="33">
        <f>COUNTIFS(c_store,A1810,c_date,B1810,c_hour,C1810)</f>
        <v>0</v>
      </c>
      <c r="G1810" s="33">
        <f>IF(F1810&gt;0,1,0)</f>
        <v>0</v>
      </c>
      <c r="H1810" s="33">
        <f>COUNTIFS(Demand!$A$2:$A$4481,A1810,Demand!$B$2:$B$4481,B1810,Demand!$C$2:$C$4481,C1810)</f>
        <v>1</v>
      </c>
    </row>
    <row r="1811">
      <c r="A1811" s="32" t="str">
        <f>Demand!A1809</f>
        <v>S013</v>
      </c>
      <c r="B1811" s="35">
        <f>Demand!B1809</f>
        <v>46271.0</v>
      </c>
      <c r="C1811" s="33">
        <f>Demand!C1809</f>
        <v>23</v>
      </c>
      <c r="D1811" s="33">
        <f>Demand!E1809</f>
        <v>70</v>
      </c>
      <c r="E1811" s="33">
        <f>IF(Demand!F1809,1,0)</f>
        <v>0</v>
      </c>
      <c r="F1811" s="33">
        <f>COUNTIFS(c_store,A1811,c_date,B1811,c_hour,C1811)</f>
        <v>0</v>
      </c>
      <c r="G1811" s="33">
        <f>IF(F1811&gt;0,1,0)</f>
        <v>0</v>
      </c>
      <c r="H1811" s="33">
        <f>COUNTIFS(Demand!$A$2:$A$4481,A1811,Demand!$B$2:$B$4481,B1811,Demand!$C$2:$C$4481,C1811)</f>
        <v>1</v>
      </c>
    </row>
    <row r="1812">
      <c r="A1812" s="32" t="str">
        <f>Demand!A1810</f>
        <v>S014</v>
      </c>
      <c r="B1812" s="35">
        <f>Demand!B1810</f>
        <v>46271.0</v>
      </c>
      <c r="C1812" s="33">
        <f>Demand!C1810</f>
        <v>8</v>
      </c>
      <c r="D1812" s="33">
        <f>Demand!E1810</f>
        <v>24</v>
      </c>
      <c r="E1812" s="33">
        <f>IF(Demand!F1810,1,0)</f>
        <v>0</v>
      </c>
      <c r="F1812" s="33">
        <f>COUNTIFS(c_store,A1812,c_date,B1812,c_hour,C1812)</f>
        <v>0</v>
      </c>
      <c r="G1812" s="33">
        <f>IF(F1812&gt;0,1,0)</f>
        <v>0</v>
      </c>
      <c r="H1812" s="33">
        <f>COUNTIFS(Demand!$A$2:$A$4481,A1812,Demand!$B$2:$B$4481,B1812,Demand!$C$2:$C$4481,C1812)</f>
        <v>1</v>
      </c>
    </row>
    <row r="1813">
      <c r="A1813" s="32" t="str">
        <f>Demand!A1811</f>
        <v>S014</v>
      </c>
      <c r="B1813" s="35">
        <f>Demand!B1811</f>
        <v>46271.0</v>
      </c>
      <c r="C1813" s="33">
        <f>Demand!C1811</f>
        <v>9</v>
      </c>
      <c r="D1813" s="33">
        <f>Demand!E1811</f>
        <v>46</v>
      </c>
      <c r="E1813" s="33">
        <f>IF(Demand!F1811,1,0)</f>
        <v>0</v>
      </c>
      <c r="F1813" s="33">
        <f>COUNTIFS(c_store,A1813,c_date,B1813,c_hour,C1813)</f>
        <v>0</v>
      </c>
      <c r="G1813" s="33">
        <f>IF(F1813&gt;0,1,0)</f>
        <v>0</v>
      </c>
      <c r="H1813" s="33">
        <f>COUNTIFS(Demand!$A$2:$A$4481,A1813,Demand!$B$2:$B$4481,B1813,Demand!$C$2:$C$4481,C1813)</f>
        <v>1</v>
      </c>
    </row>
    <row r="1814">
      <c r="A1814" s="32" t="str">
        <f>Demand!A1812</f>
        <v>S014</v>
      </c>
      <c r="B1814" s="35">
        <f>Demand!B1812</f>
        <v>46271.0</v>
      </c>
      <c r="C1814" s="33">
        <f>Demand!C1812</f>
        <v>10</v>
      </c>
      <c r="D1814" s="33">
        <f>Demand!E1812</f>
        <v>27</v>
      </c>
      <c r="E1814" s="33">
        <f>IF(Demand!F1812,1,0)</f>
        <v>0</v>
      </c>
      <c r="F1814" s="33">
        <f>COUNTIFS(c_store,A1814,c_date,B1814,c_hour,C1814)</f>
        <v>0</v>
      </c>
      <c r="G1814" s="33">
        <f>IF(F1814&gt;0,1,0)</f>
        <v>0</v>
      </c>
      <c r="H1814" s="33">
        <f>COUNTIFS(Demand!$A$2:$A$4481,A1814,Demand!$B$2:$B$4481,B1814,Demand!$C$2:$C$4481,C1814)</f>
        <v>1</v>
      </c>
    </row>
    <row r="1815">
      <c r="A1815" s="32" t="str">
        <f>Demand!A1813</f>
        <v>S014</v>
      </c>
      <c r="B1815" s="35">
        <f>Demand!B1813</f>
        <v>46271.0</v>
      </c>
      <c r="C1815" s="33">
        <f>Demand!C1813</f>
        <v>11</v>
      </c>
      <c r="D1815" s="33">
        <f>Demand!E1813</f>
        <v>41</v>
      </c>
      <c r="E1815" s="33">
        <f>IF(Demand!F1813,1,0)</f>
        <v>0</v>
      </c>
      <c r="F1815" s="33">
        <f>COUNTIFS(c_store,A1815,c_date,B1815,c_hour,C1815)</f>
        <v>0</v>
      </c>
      <c r="G1815" s="33">
        <f>IF(F1815&gt;0,1,0)</f>
        <v>0</v>
      </c>
      <c r="H1815" s="33">
        <f>COUNTIFS(Demand!$A$2:$A$4481,A1815,Demand!$B$2:$B$4481,B1815,Demand!$C$2:$C$4481,C1815)</f>
        <v>1</v>
      </c>
    </row>
    <row r="1816">
      <c r="A1816" s="32" t="str">
        <f>Demand!A1814</f>
        <v>S014</v>
      </c>
      <c r="B1816" s="35">
        <f>Demand!B1814</f>
        <v>46271.0</v>
      </c>
      <c r="C1816" s="33">
        <f>Demand!C1814</f>
        <v>12</v>
      </c>
      <c r="D1816" s="33">
        <f>Demand!E1814</f>
        <v>33</v>
      </c>
      <c r="E1816" s="33">
        <f>IF(Demand!F1814,1,0)</f>
        <v>0</v>
      </c>
      <c r="F1816" s="33">
        <f>COUNTIFS(c_store,A1816,c_date,B1816,c_hour,C1816)</f>
        <v>1</v>
      </c>
      <c r="G1816" s="33">
        <f>IF(F1816&gt;0,1,0)</f>
        <v>1</v>
      </c>
      <c r="H1816" s="33">
        <f>COUNTIFS(Demand!$A$2:$A$4481,A1816,Demand!$B$2:$B$4481,B1816,Demand!$C$2:$C$4481,C1816)</f>
        <v>1</v>
      </c>
    </row>
    <row r="1817">
      <c r="A1817" s="32" t="str">
        <f>Demand!A1815</f>
        <v>S014</v>
      </c>
      <c r="B1817" s="35">
        <f>Demand!B1815</f>
        <v>46271.0</v>
      </c>
      <c r="C1817" s="33">
        <f>Demand!C1815</f>
        <v>13</v>
      </c>
      <c r="D1817" s="33">
        <f>Demand!E1815</f>
        <v>36</v>
      </c>
      <c r="E1817" s="33">
        <f>IF(Demand!F1815,1,0)</f>
        <v>0</v>
      </c>
      <c r="F1817" s="33">
        <f>COUNTIFS(c_store,A1817,c_date,B1817,c_hour,C1817)</f>
        <v>0</v>
      </c>
      <c r="G1817" s="33">
        <f>IF(F1817&gt;0,1,0)</f>
        <v>0</v>
      </c>
      <c r="H1817" s="33">
        <f>COUNTIFS(Demand!$A$2:$A$4481,A1817,Demand!$B$2:$B$4481,B1817,Demand!$C$2:$C$4481,C1817)</f>
        <v>1</v>
      </c>
    </row>
    <row r="1818">
      <c r="A1818" s="32" t="str">
        <f>Demand!A1816</f>
        <v>S014</v>
      </c>
      <c r="B1818" s="35">
        <f>Demand!B1816</f>
        <v>46271.0</v>
      </c>
      <c r="C1818" s="33">
        <f>Demand!C1816</f>
        <v>14</v>
      </c>
      <c r="D1818" s="33">
        <f>Demand!E1816</f>
        <v>22</v>
      </c>
      <c r="E1818" s="33">
        <f>IF(Demand!F1816,1,0)</f>
        <v>0</v>
      </c>
      <c r="F1818" s="33">
        <f>COUNTIFS(c_store,A1818,c_date,B1818,c_hour,C1818)</f>
        <v>0</v>
      </c>
      <c r="G1818" s="33">
        <f>IF(F1818&gt;0,1,0)</f>
        <v>0</v>
      </c>
      <c r="H1818" s="33">
        <f>COUNTIFS(Demand!$A$2:$A$4481,A1818,Demand!$B$2:$B$4481,B1818,Demand!$C$2:$C$4481,C1818)</f>
        <v>1</v>
      </c>
    </row>
    <row r="1819">
      <c r="A1819" s="32" t="str">
        <f>Demand!A1817</f>
        <v>S014</v>
      </c>
      <c r="B1819" s="35">
        <f>Demand!B1817</f>
        <v>46271.0</v>
      </c>
      <c r="C1819" s="33">
        <f>Demand!C1817</f>
        <v>15</v>
      </c>
      <c r="D1819" s="33">
        <f>Demand!E1817</f>
        <v>32</v>
      </c>
      <c r="E1819" s="33">
        <f>IF(Demand!F1817,1,0)</f>
        <v>0</v>
      </c>
      <c r="F1819" s="33">
        <f>COUNTIFS(c_store,A1819,c_date,B1819,c_hour,C1819)</f>
        <v>0</v>
      </c>
      <c r="G1819" s="33">
        <f>IF(F1819&gt;0,1,0)</f>
        <v>0</v>
      </c>
      <c r="H1819" s="33">
        <f>COUNTIFS(Demand!$A$2:$A$4481,A1819,Demand!$B$2:$B$4481,B1819,Demand!$C$2:$C$4481,C1819)</f>
        <v>1</v>
      </c>
    </row>
    <row r="1820">
      <c r="A1820" s="32" t="str">
        <f>Demand!A1818</f>
        <v>S014</v>
      </c>
      <c r="B1820" s="35">
        <f>Demand!B1818</f>
        <v>46271.0</v>
      </c>
      <c r="C1820" s="33">
        <f>Demand!C1818</f>
        <v>16</v>
      </c>
      <c r="D1820" s="33">
        <f>Demand!E1818</f>
        <v>40</v>
      </c>
      <c r="E1820" s="33">
        <f>IF(Demand!F1818,1,0)</f>
        <v>0</v>
      </c>
      <c r="F1820" s="33">
        <f>COUNTIFS(c_store,A1820,c_date,B1820,c_hour,C1820)</f>
        <v>2</v>
      </c>
      <c r="G1820" s="33">
        <f>IF(F1820&gt;0,1,0)</f>
        <v>1</v>
      </c>
      <c r="H1820" s="33">
        <f>COUNTIFS(Demand!$A$2:$A$4481,A1820,Demand!$B$2:$B$4481,B1820,Demand!$C$2:$C$4481,C1820)</f>
        <v>1</v>
      </c>
    </row>
    <row r="1821">
      <c r="A1821" s="32" t="str">
        <f>Demand!A1819</f>
        <v>S014</v>
      </c>
      <c r="B1821" s="35">
        <f>Demand!B1819</f>
        <v>46271.0</v>
      </c>
      <c r="C1821" s="33">
        <f>Demand!C1819</f>
        <v>17</v>
      </c>
      <c r="D1821" s="33">
        <f>Demand!E1819</f>
        <v>30</v>
      </c>
      <c r="E1821" s="33">
        <f>IF(Demand!F1819,1,0)</f>
        <v>0</v>
      </c>
      <c r="F1821" s="33">
        <f>COUNTIFS(c_store,A1821,c_date,B1821,c_hour,C1821)</f>
        <v>0</v>
      </c>
      <c r="G1821" s="33">
        <f>IF(F1821&gt;0,1,0)</f>
        <v>0</v>
      </c>
      <c r="H1821" s="33">
        <f>COUNTIFS(Demand!$A$2:$A$4481,A1821,Demand!$B$2:$B$4481,B1821,Demand!$C$2:$C$4481,C1821)</f>
        <v>1</v>
      </c>
    </row>
    <row r="1822">
      <c r="A1822" s="32" t="str">
        <f>Demand!A1820</f>
        <v>S014</v>
      </c>
      <c r="B1822" s="35">
        <f>Demand!B1820</f>
        <v>46271.0</v>
      </c>
      <c r="C1822" s="33">
        <f>Demand!C1820</f>
        <v>18</v>
      </c>
      <c r="D1822" s="33">
        <f>Demand!E1820</f>
        <v>41</v>
      </c>
      <c r="E1822" s="33">
        <f>IF(Demand!F1820,1,0)</f>
        <v>0</v>
      </c>
      <c r="F1822" s="33">
        <f>COUNTIFS(c_store,A1822,c_date,B1822,c_hour,C1822)</f>
        <v>0</v>
      </c>
      <c r="G1822" s="33">
        <f>IF(F1822&gt;0,1,0)</f>
        <v>0</v>
      </c>
      <c r="H1822" s="33">
        <f>COUNTIFS(Demand!$A$2:$A$4481,A1822,Demand!$B$2:$B$4481,B1822,Demand!$C$2:$C$4481,C1822)</f>
        <v>1</v>
      </c>
    </row>
    <row r="1823">
      <c r="A1823" s="32" t="str">
        <f>Demand!A1821</f>
        <v>S014</v>
      </c>
      <c r="B1823" s="35">
        <f>Demand!B1821</f>
        <v>46271.0</v>
      </c>
      <c r="C1823" s="33">
        <f>Demand!C1821</f>
        <v>19</v>
      </c>
      <c r="D1823" s="33">
        <f>Demand!E1821</f>
        <v>65</v>
      </c>
      <c r="E1823" s="33">
        <f>IF(Demand!F1821,1,0)</f>
        <v>1</v>
      </c>
      <c r="F1823" s="33">
        <f>COUNTIFS(c_store,A1823,c_date,B1823,c_hour,C1823)</f>
        <v>0</v>
      </c>
      <c r="G1823" s="33">
        <f>IF(F1823&gt;0,1,0)</f>
        <v>0</v>
      </c>
      <c r="H1823" s="33">
        <f>COUNTIFS(Demand!$A$2:$A$4481,A1823,Demand!$B$2:$B$4481,B1823,Demand!$C$2:$C$4481,C1823)</f>
        <v>1</v>
      </c>
    </row>
    <row r="1824">
      <c r="A1824" s="32" t="str">
        <f>Demand!A1822</f>
        <v>S014</v>
      </c>
      <c r="B1824" s="35">
        <f>Demand!B1822</f>
        <v>46271.0</v>
      </c>
      <c r="C1824" s="33">
        <f>Demand!C1822</f>
        <v>20</v>
      </c>
      <c r="D1824" s="33">
        <f>Demand!E1822</f>
        <v>48</v>
      </c>
      <c r="E1824" s="33">
        <f>IF(Demand!F1822,1,0)</f>
        <v>1</v>
      </c>
      <c r="F1824" s="33">
        <f>COUNTIFS(c_store,A1824,c_date,B1824,c_hour,C1824)</f>
        <v>1</v>
      </c>
      <c r="G1824" s="33">
        <f>IF(F1824&gt;0,1,0)</f>
        <v>1</v>
      </c>
      <c r="H1824" s="33">
        <f>COUNTIFS(Demand!$A$2:$A$4481,A1824,Demand!$B$2:$B$4481,B1824,Demand!$C$2:$C$4481,C1824)</f>
        <v>1</v>
      </c>
    </row>
    <row r="1825">
      <c r="A1825" s="32" t="str">
        <f>Demand!A1823</f>
        <v>S014</v>
      </c>
      <c r="B1825" s="35">
        <f>Demand!B1823</f>
        <v>46271.0</v>
      </c>
      <c r="C1825" s="33">
        <f>Demand!C1823</f>
        <v>21</v>
      </c>
      <c r="D1825" s="33">
        <f>Demand!E1823</f>
        <v>50</v>
      </c>
      <c r="E1825" s="33">
        <f>IF(Demand!F1823,1,0)</f>
        <v>1</v>
      </c>
      <c r="F1825" s="33">
        <f>COUNTIFS(c_store,A1825,c_date,B1825,c_hour,C1825)</f>
        <v>0</v>
      </c>
      <c r="G1825" s="33">
        <f>IF(F1825&gt;0,1,0)</f>
        <v>0</v>
      </c>
      <c r="H1825" s="33">
        <f>COUNTIFS(Demand!$A$2:$A$4481,A1825,Demand!$B$2:$B$4481,B1825,Demand!$C$2:$C$4481,C1825)</f>
        <v>1</v>
      </c>
    </row>
    <row r="1826">
      <c r="A1826" s="32" t="str">
        <f>Demand!A1824</f>
        <v>S014</v>
      </c>
      <c r="B1826" s="35">
        <f>Demand!B1824</f>
        <v>46271.0</v>
      </c>
      <c r="C1826" s="33">
        <f>Demand!C1824</f>
        <v>22</v>
      </c>
      <c r="D1826" s="33">
        <f>Demand!E1824</f>
        <v>42</v>
      </c>
      <c r="E1826" s="33">
        <f>IF(Demand!F1824,1,0)</f>
        <v>0</v>
      </c>
      <c r="F1826" s="33">
        <f>COUNTIFS(c_store,A1826,c_date,B1826,c_hour,C1826)</f>
        <v>2</v>
      </c>
      <c r="G1826" s="33">
        <f>IF(F1826&gt;0,1,0)</f>
        <v>1</v>
      </c>
      <c r="H1826" s="33">
        <f>COUNTIFS(Demand!$A$2:$A$4481,A1826,Demand!$B$2:$B$4481,B1826,Demand!$C$2:$C$4481,C1826)</f>
        <v>1</v>
      </c>
    </row>
    <row r="1827">
      <c r="A1827" s="32" t="str">
        <f>Demand!A1825</f>
        <v>S014</v>
      </c>
      <c r="B1827" s="35">
        <f>Demand!B1825</f>
        <v>46271.0</v>
      </c>
      <c r="C1827" s="33">
        <f>Demand!C1825</f>
        <v>23</v>
      </c>
      <c r="D1827" s="33">
        <f>Demand!E1825</f>
        <v>39</v>
      </c>
      <c r="E1827" s="33">
        <f>IF(Demand!F1825,1,0)</f>
        <v>0</v>
      </c>
      <c r="F1827" s="33">
        <f>COUNTIFS(c_store,A1827,c_date,B1827,c_hour,C1827)</f>
        <v>1</v>
      </c>
      <c r="G1827" s="33">
        <f>IF(F1827&gt;0,1,0)</f>
        <v>1</v>
      </c>
      <c r="H1827" s="33">
        <f>COUNTIFS(Demand!$A$2:$A$4481,A1827,Demand!$B$2:$B$4481,B1827,Demand!$C$2:$C$4481,C1827)</f>
        <v>1</v>
      </c>
    </row>
    <row r="1828">
      <c r="A1828" s="32" t="str">
        <f>Demand!A1826</f>
        <v>S015</v>
      </c>
      <c r="B1828" s="35">
        <f>Demand!B1826</f>
        <v>46271.0</v>
      </c>
      <c r="C1828" s="33">
        <f>Demand!C1826</f>
        <v>8</v>
      </c>
      <c r="D1828" s="33">
        <f>Demand!E1826</f>
        <v>17</v>
      </c>
      <c r="E1828" s="33">
        <f>IF(Demand!F1826,1,0)</f>
        <v>0</v>
      </c>
      <c r="F1828" s="33">
        <f>COUNTIFS(c_store,A1828,c_date,B1828,c_hour,C1828)</f>
        <v>0</v>
      </c>
      <c r="G1828" s="33">
        <f>IF(F1828&gt;0,1,0)</f>
        <v>0</v>
      </c>
      <c r="H1828" s="33">
        <f>COUNTIFS(Demand!$A$2:$A$4481,A1828,Demand!$B$2:$B$4481,B1828,Demand!$C$2:$C$4481,C1828)</f>
        <v>1</v>
      </c>
    </row>
    <row r="1829">
      <c r="A1829" s="32" t="str">
        <f>Demand!A1827</f>
        <v>S015</v>
      </c>
      <c r="B1829" s="35">
        <f>Demand!B1827</f>
        <v>46271.0</v>
      </c>
      <c r="C1829" s="33">
        <f>Demand!C1827</f>
        <v>9</v>
      </c>
      <c r="D1829" s="33">
        <f>Demand!E1827</f>
        <v>11</v>
      </c>
      <c r="E1829" s="33">
        <f>IF(Demand!F1827,1,0)</f>
        <v>0</v>
      </c>
      <c r="F1829" s="33">
        <f>COUNTIFS(c_store,A1829,c_date,B1829,c_hour,C1829)</f>
        <v>1</v>
      </c>
      <c r="G1829" s="33">
        <f>IF(F1829&gt;0,1,0)</f>
        <v>1</v>
      </c>
      <c r="H1829" s="33">
        <f>COUNTIFS(Demand!$A$2:$A$4481,A1829,Demand!$B$2:$B$4481,B1829,Demand!$C$2:$C$4481,C1829)</f>
        <v>1</v>
      </c>
    </row>
    <row r="1830">
      <c r="A1830" s="32" t="str">
        <f>Demand!A1828</f>
        <v>S015</v>
      </c>
      <c r="B1830" s="35">
        <f>Demand!B1828</f>
        <v>46271.0</v>
      </c>
      <c r="C1830" s="33">
        <f>Demand!C1828</f>
        <v>10</v>
      </c>
      <c r="D1830" s="33">
        <f>Demand!E1828</f>
        <v>21</v>
      </c>
      <c r="E1830" s="33">
        <f>IF(Demand!F1828,1,0)</f>
        <v>0</v>
      </c>
      <c r="F1830" s="33">
        <f>COUNTIFS(c_store,A1830,c_date,B1830,c_hour,C1830)</f>
        <v>0</v>
      </c>
      <c r="G1830" s="33">
        <f>IF(F1830&gt;0,1,0)</f>
        <v>0</v>
      </c>
      <c r="H1830" s="33">
        <f>COUNTIFS(Demand!$A$2:$A$4481,A1830,Demand!$B$2:$B$4481,B1830,Demand!$C$2:$C$4481,C1830)</f>
        <v>1</v>
      </c>
    </row>
    <row r="1831">
      <c r="A1831" s="32" t="str">
        <f>Demand!A1829</f>
        <v>S015</v>
      </c>
      <c r="B1831" s="35">
        <f>Demand!B1829</f>
        <v>46271.0</v>
      </c>
      <c r="C1831" s="33">
        <f>Demand!C1829</f>
        <v>11</v>
      </c>
      <c r="D1831" s="33">
        <f>Demand!E1829</f>
        <v>22</v>
      </c>
      <c r="E1831" s="33">
        <f>IF(Demand!F1829,1,0)</f>
        <v>0</v>
      </c>
      <c r="F1831" s="33">
        <f>COUNTIFS(c_store,A1831,c_date,B1831,c_hour,C1831)</f>
        <v>0</v>
      </c>
      <c r="G1831" s="33">
        <f>IF(F1831&gt;0,1,0)</f>
        <v>0</v>
      </c>
      <c r="H1831" s="33">
        <f>COUNTIFS(Demand!$A$2:$A$4481,A1831,Demand!$B$2:$B$4481,B1831,Demand!$C$2:$C$4481,C1831)</f>
        <v>1</v>
      </c>
    </row>
    <row r="1832">
      <c r="A1832" s="32" t="str">
        <f>Demand!A1830</f>
        <v>S015</v>
      </c>
      <c r="B1832" s="35">
        <f>Demand!B1830</f>
        <v>46271.0</v>
      </c>
      <c r="C1832" s="33">
        <f>Demand!C1830</f>
        <v>12</v>
      </c>
      <c r="D1832" s="33">
        <f>Demand!E1830</f>
        <v>21</v>
      </c>
      <c r="E1832" s="33">
        <f>IF(Demand!F1830,1,0)</f>
        <v>0</v>
      </c>
      <c r="F1832" s="33">
        <f>COUNTIFS(c_store,A1832,c_date,B1832,c_hour,C1832)</f>
        <v>0</v>
      </c>
      <c r="G1832" s="33">
        <f>IF(F1832&gt;0,1,0)</f>
        <v>0</v>
      </c>
      <c r="H1832" s="33">
        <f>COUNTIFS(Demand!$A$2:$A$4481,A1832,Demand!$B$2:$B$4481,B1832,Demand!$C$2:$C$4481,C1832)</f>
        <v>1</v>
      </c>
    </row>
    <row r="1833">
      <c r="A1833" s="32" t="str">
        <f>Demand!A1831</f>
        <v>S015</v>
      </c>
      <c r="B1833" s="35">
        <f>Demand!B1831</f>
        <v>46271.0</v>
      </c>
      <c r="C1833" s="33">
        <f>Demand!C1831</f>
        <v>13</v>
      </c>
      <c r="D1833" s="33">
        <f>Demand!E1831</f>
        <v>25</v>
      </c>
      <c r="E1833" s="33">
        <f>IF(Demand!F1831,1,0)</f>
        <v>0</v>
      </c>
      <c r="F1833" s="33">
        <f>COUNTIFS(c_store,A1833,c_date,B1833,c_hour,C1833)</f>
        <v>0</v>
      </c>
      <c r="G1833" s="33">
        <f>IF(F1833&gt;0,1,0)</f>
        <v>0</v>
      </c>
      <c r="H1833" s="33">
        <f>COUNTIFS(Demand!$A$2:$A$4481,A1833,Demand!$B$2:$B$4481,B1833,Demand!$C$2:$C$4481,C1833)</f>
        <v>1</v>
      </c>
    </row>
    <row r="1834">
      <c r="A1834" s="32" t="str">
        <f>Demand!A1832</f>
        <v>S015</v>
      </c>
      <c r="B1834" s="35">
        <f>Demand!B1832</f>
        <v>46271.0</v>
      </c>
      <c r="C1834" s="33">
        <f>Demand!C1832</f>
        <v>14</v>
      </c>
      <c r="D1834" s="33">
        <f>Demand!E1832</f>
        <v>24</v>
      </c>
      <c r="E1834" s="33">
        <f>IF(Demand!F1832,1,0)</f>
        <v>0</v>
      </c>
      <c r="F1834" s="33">
        <f>COUNTIFS(c_store,A1834,c_date,B1834,c_hour,C1834)</f>
        <v>0</v>
      </c>
      <c r="G1834" s="33">
        <f>IF(F1834&gt;0,1,0)</f>
        <v>0</v>
      </c>
      <c r="H1834" s="33">
        <f>COUNTIFS(Demand!$A$2:$A$4481,A1834,Demand!$B$2:$B$4481,B1834,Demand!$C$2:$C$4481,C1834)</f>
        <v>1</v>
      </c>
    </row>
    <row r="1835">
      <c r="A1835" s="32" t="str">
        <f>Demand!A1833</f>
        <v>S015</v>
      </c>
      <c r="B1835" s="35">
        <f>Demand!B1833</f>
        <v>46271.0</v>
      </c>
      <c r="C1835" s="33">
        <f>Demand!C1833</f>
        <v>15</v>
      </c>
      <c r="D1835" s="33">
        <f>Demand!E1833</f>
        <v>15</v>
      </c>
      <c r="E1835" s="33">
        <f>IF(Demand!F1833,1,0)</f>
        <v>0</v>
      </c>
      <c r="F1835" s="33">
        <f>COUNTIFS(c_store,A1835,c_date,B1835,c_hour,C1835)</f>
        <v>0</v>
      </c>
      <c r="G1835" s="33">
        <f>IF(F1835&gt;0,1,0)</f>
        <v>0</v>
      </c>
      <c r="H1835" s="33">
        <f>COUNTIFS(Demand!$A$2:$A$4481,A1835,Demand!$B$2:$B$4481,B1835,Demand!$C$2:$C$4481,C1835)</f>
        <v>1</v>
      </c>
    </row>
    <row r="1836">
      <c r="A1836" s="32" t="str">
        <f>Demand!A1834</f>
        <v>S015</v>
      </c>
      <c r="B1836" s="35">
        <f>Demand!B1834</f>
        <v>46271.0</v>
      </c>
      <c r="C1836" s="33">
        <f>Demand!C1834</f>
        <v>16</v>
      </c>
      <c r="D1836" s="33">
        <f>Demand!E1834</f>
        <v>21</v>
      </c>
      <c r="E1836" s="33">
        <f>IF(Demand!F1834,1,0)</f>
        <v>0</v>
      </c>
      <c r="F1836" s="33">
        <f>COUNTIFS(c_store,A1836,c_date,B1836,c_hour,C1836)</f>
        <v>0</v>
      </c>
      <c r="G1836" s="33">
        <f>IF(F1836&gt;0,1,0)</f>
        <v>0</v>
      </c>
      <c r="H1836" s="33">
        <f>COUNTIFS(Demand!$A$2:$A$4481,A1836,Demand!$B$2:$B$4481,B1836,Demand!$C$2:$C$4481,C1836)</f>
        <v>1</v>
      </c>
    </row>
    <row r="1837">
      <c r="A1837" s="32" t="str">
        <f>Demand!A1835</f>
        <v>S015</v>
      </c>
      <c r="B1837" s="35">
        <f>Demand!B1835</f>
        <v>46271.0</v>
      </c>
      <c r="C1837" s="33">
        <f>Demand!C1835</f>
        <v>17</v>
      </c>
      <c r="D1837" s="33">
        <f>Demand!E1835</f>
        <v>21</v>
      </c>
      <c r="E1837" s="33">
        <f>IF(Demand!F1835,1,0)</f>
        <v>0</v>
      </c>
      <c r="F1837" s="33">
        <f>COUNTIFS(c_store,A1837,c_date,B1837,c_hour,C1837)</f>
        <v>0</v>
      </c>
      <c r="G1837" s="33">
        <f>IF(F1837&gt;0,1,0)</f>
        <v>0</v>
      </c>
      <c r="H1837" s="33">
        <f>COUNTIFS(Demand!$A$2:$A$4481,A1837,Demand!$B$2:$B$4481,B1837,Demand!$C$2:$C$4481,C1837)</f>
        <v>1</v>
      </c>
    </row>
    <row r="1838">
      <c r="A1838" s="32" t="str">
        <f>Demand!A1836</f>
        <v>S015</v>
      </c>
      <c r="B1838" s="35">
        <f>Demand!B1836</f>
        <v>46271.0</v>
      </c>
      <c r="C1838" s="33">
        <f>Demand!C1836</f>
        <v>18</v>
      </c>
      <c r="D1838" s="33">
        <f>Demand!E1836</f>
        <v>20</v>
      </c>
      <c r="E1838" s="33">
        <f>IF(Demand!F1836,1,0)</f>
        <v>0</v>
      </c>
      <c r="F1838" s="33">
        <f>COUNTIFS(c_store,A1838,c_date,B1838,c_hour,C1838)</f>
        <v>0</v>
      </c>
      <c r="G1838" s="33">
        <f>IF(F1838&gt;0,1,0)</f>
        <v>0</v>
      </c>
      <c r="H1838" s="33">
        <f>COUNTIFS(Demand!$A$2:$A$4481,A1838,Demand!$B$2:$B$4481,B1838,Demand!$C$2:$C$4481,C1838)</f>
        <v>1</v>
      </c>
    </row>
    <row r="1839">
      <c r="A1839" s="32" t="str">
        <f>Demand!A1837</f>
        <v>S015</v>
      </c>
      <c r="B1839" s="35">
        <f>Demand!B1837</f>
        <v>46271.0</v>
      </c>
      <c r="C1839" s="33">
        <f>Demand!C1837</f>
        <v>19</v>
      </c>
      <c r="D1839" s="33">
        <f>Demand!E1837</f>
        <v>29</v>
      </c>
      <c r="E1839" s="33">
        <f>IF(Demand!F1837,1,0)</f>
        <v>1</v>
      </c>
      <c r="F1839" s="33">
        <f>COUNTIFS(c_store,A1839,c_date,B1839,c_hour,C1839)</f>
        <v>0</v>
      </c>
      <c r="G1839" s="33">
        <f>IF(F1839&gt;0,1,0)</f>
        <v>0</v>
      </c>
      <c r="H1839" s="33">
        <f>COUNTIFS(Demand!$A$2:$A$4481,A1839,Demand!$B$2:$B$4481,B1839,Demand!$C$2:$C$4481,C1839)</f>
        <v>1</v>
      </c>
    </row>
    <row r="1840">
      <c r="A1840" s="32" t="str">
        <f>Demand!A1838</f>
        <v>S015</v>
      </c>
      <c r="B1840" s="35">
        <f>Demand!B1838</f>
        <v>46271.0</v>
      </c>
      <c r="C1840" s="33">
        <f>Demand!C1838</f>
        <v>20</v>
      </c>
      <c r="D1840" s="33">
        <f>Demand!E1838</f>
        <v>38</v>
      </c>
      <c r="E1840" s="33">
        <f>IF(Demand!F1838,1,0)</f>
        <v>1</v>
      </c>
      <c r="F1840" s="33">
        <f>COUNTIFS(c_store,A1840,c_date,B1840,c_hour,C1840)</f>
        <v>0</v>
      </c>
      <c r="G1840" s="33">
        <f>IF(F1840&gt;0,1,0)</f>
        <v>0</v>
      </c>
      <c r="H1840" s="33">
        <f>COUNTIFS(Demand!$A$2:$A$4481,A1840,Demand!$B$2:$B$4481,B1840,Demand!$C$2:$C$4481,C1840)</f>
        <v>1</v>
      </c>
    </row>
    <row r="1841">
      <c r="A1841" s="32" t="str">
        <f>Demand!A1839</f>
        <v>S015</v>
      </c>
      <c r="B1841" s="35">
        <f>Demand!B1839</f>
        <v>46271.0</v>
      </c>
      <c r="C1841" s="33">
        <f>Demand!C1839</f>
        <v>21</v>
      </c>
      <c r="D1841" s="33">
        <f>Demand!E1839</f>
        <v>36</v>
      </c>
      <c r="E1841" s="33">
        <f>IF(Demand!F1839,1,0)</f>
        <v>1</v>
      </c>
      <c r="F1841" s="33">
        <f>COUNTIFS(c_store,A1841,c_date,B1841,c_hour,C1841)</f>
        <v>0</v>
      </c>
      <c r="G1841" s="33">
        <f>IF(F1841&gt;0,1,0)</f>
        <v>0</v>
      </c>
      <c r="H1841" s="33">
        <f>COUNTIFS(Demand!$A$2:$A$4481,A1841,Demand!$B$2:$B$4481,B1841,Demand!$C$2:$C$4481,C1841)</f>
        <v>1</v>
      </c>
    </row>
    <row r="1842">
      <c r="A1842" s="32" t="str">
        <f>Demand!A1840</f>
        <v>S015</v>
      </c>
      <c r="B1842" s="35">
        <f>Demand!B1840</f>
        <v>46271.0</v>
      </c>
      <c r="C1842" s="33">
        <f>Demand!C1840</f>
        <v>22</v>
      </c>
      <c r="D1842" s="33">
        <f>Demand!E1840</f>
        <v>20</v>
      </c>
      <c r="E1842" s="33">
        <f>IF(Demand!F1840,1,0)</f>
        <v>0</v>
      </c>
      <c r="F1842" s="33">
        <f>COUNTIFS(c_store,A1842,c_date,B1842,c_hour,C1842)</f>
        <v>0</v>
      </c>
      <c r="G1842" s="33">
        <f>IF(F1842&gt;0,1,0)</f>
        <v>0</v>
      </c>
      <c r="H1842" s="33">
        <f>COUNTIFS(Demand!$A$2:$A$4481,A1842,Demand!$B$2:$B$4481,B1842,Demand!$C$2:$C$4481,C1842)</f>
        <v>1</v>
      </c>
    </row>
    <row r="1843">
      <c r="A1843" s="32" t="str">
        <f>Demand!A1841</f>
        <v>S015</v>
      </c>
      <c r="B1843" s="35">
        <f>Demand!B1841</f>
        <v>46271.0</v>
      </c>
      <c r="C1843" s="33">
        <f>Demand!C1841</f>
        <v>23</v>
      </c>
      <c r="D1843" s="33">
        <f>Demand!E1841</f>
        <v>21</v>
      </c>
      <c r="E1843" s="33">
        <f>IF(Demand!F1841,1,0)</f>
        <v>0</v>
      </c>
      <c r="F1843" s="33">
        <f>COUNTIFS(c_store,A1843,c_date,B1843,c_hour,C1843)</f>
        <v>0</v>
      </c>
      <c r="G1843" s="33">
        <f>IF(F1843&gt;0,1,0)</f>
        <v>0</v>
      </c>
      <c r="H1843" s="33">
        <f>COUNTIFS(Demand!$A$2:$A$4481,A1843,Demand!$B$2:$B$4481,B1843,Demand!$C$2:$C$4481,C1843)</f>
        <v>1</v>
      </c>
    </row>
    <row r="1844">
      <c r="A1844" s="32" t="str">
        <f>Demand!A1842</f>
        <v>S016</v>
      </c>
      <c r="B1844" s="35">
        <f>Demand!B1842</f>
        <v>46271.0</v>
      </c>
      <c r="C1844" s="33">
        <f>Demand!C1842</f>
        <v>8</v>
      </c>
      <c r="D1844" s="33">
        <f>Demand!E1842</f>
        <v>12</v>
      </c>
      <c r="E1844" s="33">
        <f>IF(Demand!F1842,1,0)</f>
        <v>0</v>
      </c>
      <c r="F1844" s="33">
        <f>COUNTIFS(c_store,A1844,c_date,B1844,c_hour,C1844)</f>
        <v>0</v>
      </c>
      <c r="G1844" s="33">
        <f>IF(F1844&gt;0,1,0)</f>
        <v>0</v>
      </c>
      <c r="H1844" s="33">
        <f>COUNTIFS(Demand!$A$2:$A$4481,A1844,Demand!$B$2:$B$4481,B1844,Demand!$C$2:$C$4481,C1844)</f>
        <v>1</v>
      </c>
    </row>
    <row r="1845">
      <c r="A1845" s="32" t="str">
        <f>Demand!A1843</f>
        <v>S016</v>
      </c>
      <c r="B1845" s="35">
        <f>Demand!B1843</f>
        <v>46271.0</v>
      </c>
      <c r="C1845" s="33">
        <f>Demand!C1843</f>
        <v>9</v>
      </c>
      <c r="D1845" s="33">
        <f>Demand!E1843</f>
        <v>18</v>
      </c>
      <c r="E1845" s="33">
        <f>IF(Demand!F1843,1,0)</f>
        <v>0</v>
      </c>
      <c r="F1845" s="33">
        <f>COUNTIFS(c_store,A1845,c_date,B1845,c_hour,C1845)</f>
        <v>0</v>
      </c>
      <c r="G1845" s="33">
        <f>IF(F1845&gt;0,1,0)</f>
        <v>0</v>
      </c>
      <c r="H1845" s="33">
        <f>COUNTIFS(Demand!$A$2:$A$4481,A1845,Demand!$B$2:$B$4481,B1845,Demand!$C$2:$C$4481,C1845)</f>
        <v>1</v>
      </c>
    </row>
    <row r="1846">
      <c r="A1846" s="32" t="str">
        <f>Demand!A1844</f>
        <v>S016</v>
      </c>
      <c r="B1846" s="35">
        <f>Demand!B1844</f>
        <v>46271.0</v>
      </c>
      <c r="C1846" s="33">
        <f>Demand!C1844</f>
        <v>10</v>
      </c>
      <c r="D1846" s="33">
        <f>Demand!E1844</f>
        <v>15</v>
      </c>
      <c r="E1846" s="33">
        <f>IF(Demand!F1844,1,0)</f>
        <v>0</v>
      </c>
      <c r="F1846" s="33">
        <f>COUNTIFS(c_store,A1846,c_date,B1846,c_hour,C1846)</f>
        <v>0</v>
      </c>
      <c r="G1846" s="33">
        <f>IF(F1846&gt;0,1,0)</f>
        <v>0</v>
      </c>
      <c r="H1846" s="33">
        <f>COUNTIFS(Demand!$A$2:$A$4481,A1846,Demand!$B$2:$B$4481,B1846,Demand!$C$2:$C$4481,C1846)</f>
        <v>1</v>
      </c>
    </row>
    <row r="1847">
      <c r="A1847" s="32" t="str">
        <f>Demand!A1845</f>
        <v>S016</v>
      </c>
      <c r="B1847" s="35">
        <f>Demand!B1845</f>
        <v>46271.0</v>
      </c>
      <c r="C1847" s="33">
        <f>Demand!C1845</f>
        <v>11</v>
      </c>
      <c r="D1847" s="33">
        <f>Demand!E1845</f>
        <v>35</v>
      </c>
      <c r="E1847" s="33">
        <f>IF(Demand!F1845,1,0)</f>
        <v>0</v>
      </c>
      <c r="F1847" s="33">
        <f>COUNTIFS(c_store,A1847,c_date,B1847,c_hour,C1847)</f>
        <v>1</v>
      </c>
      <c r="G1847" s="33">
        <f>IF(F1847&gt;0,1,0)</f>
        <v>1</v>
      </c>
      <c r="H1847" s="33">
        <f>COUNTIFS(Demand!$A$2:$A$4481,A1847,Demand!$B$2:$B$4481,B1847,Demand!$C$2:$C$4481,C1847)</f>
        <v>1</v>
      </c>
    </row>
    <row r="1848">
      <c r="A1848" s="32" t="str">
        <f>Demand!A1846</f>
        <v>S016</v>
      </c>
      <c r="B1848" s="35">
        <f>Demand!B1846</f>
        <v>46271.0</v>
      </c>
      <c r="C1848" s="33">
        <f>Demand!C1846</f>
        <v>12</v>
      </c>
      <c r="D1848" s="33">
        <f>Demand!E1846</f>
        <v>38</v>
      </c>
      <c r="E1848" s="33">
        <f>IF(Demand!F1846,1,0)</f>
        <v>0</v>
      </c>
      <c r="F1848" s="33">
        <f>COUNTIFS(c_store,A1848,c_date,B1848,c_hour,C1848)</f>
        <v>0</v>
      </c>
      <c r="G1848" s="33">
        <f>IF(F1848&gt;0,1,0)</f>
        <v>0</v>
      </c>
      <c r="H1848" s="33">
        <f>COUNTIFS(Demand!$A$2:$A$4481,A1848,Demand!$B$2:$B$4481,B1848,Demand!$C$2:$C$4481,C1848)</f>
        <v>1</v>
      </c>
    </row>
    <row r="1849">
      <c r="A1849" s="32" t="str">
        <f>Demand!A1847</f>
        <v>S016</v>
      </c>
      <c r="B1849" s="35">
        <f>Demand!B1847</f>
        <v>46271.0</v>
      </c>
      <c r="C1849" s="33">
        <f>Demand!C1847</f>
        <v>13</v>
      </c>
      <c r="D1849" s="33">
        <f>Demand!E1847</f>
        <v>29</v>
      </c>
      <c r="E1849" s="33">
        <f>IF(Demand!F1847,1,0)</f>
        <v>0</v>
      </c>
      <c r="F1849" s="33">
        <f>COUNTIFS(c_store,A1849,c_date,B1849,c_hour,C1849)</f>
        <v>0</v>
      </c>
      <c r="G1849" s="33">
        <f>IF(F1849&gt;0,1,0)</f>
        <v>0</v>
      </c>
      <c r="H1849" s="33">
        <f>COUNTIFS(Demand!$A$2:$A$4481,A1849,Demand!$B$2:$B$4481,B1849,Demand!$C$2:$C$4481,C1849)</f>
        <v>1</v>
      </c>
    </row>
    <row r="1850">
      <c r="A1850" s="32" t="str">
        <f>Demand!A1848</f>
        <v>S016</v>
      </c>
      <c r="B1850" s="35">
        <f>Demand!B1848</f>
        <v>46271.0</v>
      </c>
      <c r="C1850" s="33">
        <f>Demand!C1848</f>
        <v>14</v>
      </c>
      <c r="D1850" s="33">
        <f>Demand!E1848</f>
        <v>19</v>
      </c>
      <c r="E1850" s="33">
        <f>IF(Demand!F1848,1,0)</f>
        <v>0</v>
      </c>
      <c r="F1850" s="33">
        <f>COUNTIFS(c_store,A1850,c_date,B1850,c_hour,C1850)</f>
        <v>1</v>
      </c>
      <c r="G1850" s="33">
        <f>IF(F1850&gt;0,1,0)</f>
        <v>1</v>
      </c>
      <c r="H1850" s="33">
        <f>COUNTIFS(Demand!$A$2:$A$4481,A1850,Demand!$B$2:$B$4481,B1850,Demand!$C$2:$C$4481,C1850)</f>
        <v>1</v>
      </c>
    </row>
    <row r="1851">
      <c r="A1851" s="32" t="str">
        <f>Demand!A1849</f>
        <v>S016</v>
      </c>
      <c r="B1851" s="35">
        <f>Demand!B1849</f>
        <v>46271.0</v>
      </c>
      <c r="C1851" s="33">
        <f>Demand!C1849</f>
        <v>15</v>
      </c>
      <c r="D1851" s="33">
        <f>Demand!E1849</f>
        <v>24</v>
      </c>
      <c r="E1851" s="33">
        <f>IF(Demand!F1849,1,0)</f>
        <v>0</v>
      </c>
      <c r="F1851" s="33">
        <f>COUNTIFS(c_store,A1851,c_date,B1851,c_hour,C1851)</f>
        <v>0</v>
      </c>
      <c r="G1851" s="33">
        <f>IF(F1851&gt;0,1,0)</f>
        <v>0</v>
      </c>
      <c r="H1851" s="33">
        <f>COUNTIFS(Demand!$A$2:$A$4481,A1851,Demand!$B$2:$B$4481,B1851,Demand!$C$2:$C$4481,C1851)</f>
        <v>1</v>
      </c>
    </row>
    <row r="1852">
      <c r="A1852" s="32" t="str">
        <f>Demand!A1850</f>
        <v>S016</v>
      </c>
      <c r="B1852" s="35">
        <f>Demand!B1850</f>
        <v>46271.0</v>
      </c>
      <c r="C1852" s="33">
        <f>Demand!C1850</f>
        <v>16</v>
      </c>
      <c r="D1852" s="33">
        <f>Demand!E1850</f>
        <v>27</v>
      </c>
      <c r="E1852" s="33">
        <f>IF(Demand!F1850,1,0)</f>
        <v>0</v>
      </c>
      <c r="F1852" s="33">
        <f>COUNTIFS(c_store,A1852,c_date,B1852,c_hour,C1852)</f>
        <v>0</v>
      </c>
      <c r="G1852" s="33">
        <f>IF(F1852&gt;0,1,0)</f>
        <v>0</v>
      </c>
      <c r="H1852" s="33">
        <f>COUNTIFS(Demand!$A$2:$A$4481,A1852,Demand!$B$2:$B$4481,B1852,Demand!$C$2:$C$4481,C1852)</f>
        <v>1</v>
      </c>
    </row>
    <row r="1853">
      <c r="A1853" s="32" t="str">
        <f>Demand!A1851</f>
        <v>S016</v>
      </c>
      <c r="B1853" s="35">
        <f>Demand!B1851</f>
        <v>46271.0</v>
      </c>
      <c r="C1853" s="33">
        <f>Demand!C1851</f>
        <v>17</v>
      </c>
      <c r="D1853" s="33">
        <f>Demand!E1851</f>
        <v>27</v>
      </c>
      <c r="E1853" s="33">
        <f>IF(Demand!F1851,1,0)</f>
        <v>0</v>
      </c>
      <c r="F1853" s="33">
        <f>COUNTIFS(c_store,A1853,c_date,B1853,c_hour,C1853)</f>
        <v>3</v>
      </c>
      <c r="G1853" s="33">
        <f>IF(F1853&gt;0,1,0)</f>
        <v>1</v>
      </c>
      <c r="H1853" s="33">
        <f>COUNTIFS(Demand!$A$2:$A$4481,A1853,Demand!$B$2:$B$4481,B1853,Demand!$C$2:$C$4481,C1853)</f>
        <v>1</v>
      </c>
    </row>
    <row r="1854">
      <c r="A1854" s="32" t="str">
        <f>Demand!A1852</f>
        <v>S016</v>
      </c>
      <c r="B1854" s="35">
        <f>Demand!B1852</f>
        <v>46271.0</v>
      </c>
      <c r="C1854" s="33">
        <f>Demand!C1852</f>
        <v>18</v>
      </c>
      <c r="D1854" s="33">
        <f>Demand!E1852</f>
        <v>38</v>
      </c>
      <c r="E1854" s="33">
        <f>IF(Demand!F1852,1,0)</f>
        <v>0</v>
      </c>
      <c r="F1854" s="33">
        <f>COUNTIFS(c_store,A1854,c_date,B1854,c_hour,C1854)</f>
        <v>0</v>
      </c>
      <c r="G1854" s="33">
        <f>IF(F1854&gt;0,1,0)</f>
        <v>0</v>
      </c>
      <c r="H1854" s="33">
        <f>COUNTIFS(Demand!$A$2:$A$4481,A1854,Demand!$B$2:$B$4481,B1854,Demand!$C$2:$C$4481,C1854)</f>
        <v>1</v>
      </c>
    </row>
    <row r="1855">
      <c r="A1855" s="32" t="str">
        <f>Demand!A1853</f>
        <v>S016</v>
      </c>
      <c r="B1855" s="35">
        <f>Demand!B1853</f>
        <v>46271.0</v>
      </c>
      <c r="C1855" s="33">
        <f>Demand!C1853</f>
        <v>19</v>
      </c>
      <c r="D1855" s="33">
        <f>Demand!E1853</f>
        <v>51</v>
      </c>
      <c r="E1855" s="33">
        <f>IF(Demand!F1853,1,0)</f>
        <v>1</v>
      </c>
      <c r="F1855" s="33">
        <f>COUNTIFS(c_store,A1855,c_date,B1855,c_hour,C1855)</f>
        <v>0</v>
      </c>
      <c r="G1855" s="33">
        <f>IF(F1855&gt;0,1,0)</f>
        <v>0</v>
      </c>
      <c r="H1855" s="33">
        <f>COUNTIFS(Demand!$A$2:$A$4481,A1855,Demand!$B$2:$B$4481,B1855,Demand!$C$2:$C$4481,C1855)</f>
        <v>1</v>
      </c>
    </row>
    <row r="1856">
      <c r="A1856" s="32" t="str">
        <f>Demand!A1854</f>
        <v>S016</v>
      </c>
      <c r="B1856" s="35">
        <f>Demand!B1854</f>
        <v>46271.0</v>
      </c>
      <c r="C1856" s="33">
        <f>Demand!C1854</f>
        <v>20</v>
      </c>
      <c r="D1856" s="33">
        <f>Demand!E1854</f>
        <v>36</v>
      </c>
      <c r="E1856" s="33">
        <f>IF(Demand!F1854,1,0)</f>
        <v>1</v>
      </c>
      <c r="F1856" s="33">
        <f>COUNTIFS(c_store,A1856,c_date,B1856,c_hour,C1856)</f>
        <v>0</v>
      </c>
      <c r="G1856" s="33">
        <f>IF(F1856&gt;0,1,0)</f>
        <v>0</v>
      </c>
      <c r="H1856" s="33">
        <f>COUNTIFS(Demand!$A$2:$A$4481,A1856,Demand!$B$2:$B$4481,B1856,Demand!$C$2:$C$4481,C1856)</f>
        <v>1</v>
      </c>
    </row>
    <row r="1857">
      <c r="A1857" s="32" t="str">
        <f>Demand!A1855</f>
        <v>S016</v>
      </c>
      <c r="B1857" s="35">
        <f>Demand!B1855</f>
        <v>46271.0</v>
      </c>
      <c r="C1857" s="33">
        <f>Demand!C1855</f>
        <v>21</v>
      </c>
      <c r="D1857" s="33">
        <f>Demand!E1855</f>
        <v>27</v>
      </c>
      <c r="E1857" s="33">
        <f>IF(Demand!F1855,1,0)</f>
        <v>1</v>
      </c>
      <c r="F1857" s="33">
        <f>COUNTIFS(c_store,A1857,c_date,B1857,c_hour,C1857)</f>
        <v>0</v>
      </c>
      <c r="G1857" s="33">
        <f>IF(F1857&gt;0,1,0)</f>
        <v>0</v>
      </c>
      <c r="H1857" s="33">
        <f>COUNTIFS(Demand!$A$2:$A$4481,A1857,Demand!$B$2:$B$4481,B1857,Demand!$C$2:$C$4481,C1857)</f>
        <v>1</v>
      </c>
    </row>
    <row r="1858">
      <c r="A1858" s="32" t="str">
        <f>Demand!A1856</f>
        <v>S016</v>
      </c>
      <c r="B1858" s="35">
        <f>Demand!B1856</f>
        <v>46271.0</v>
      </c>
      <c r="C1858" s="33">
        <f>Demand!C1856</f>
        <v>22</v>
      </c>
      <c r="D1858" s="33">
        <f>Demand!E1856</f>
        <v>26</v>
      </c>
      <c r="E1858" s="33">
        <f>IF(Demand!F1856,1,0)</f>
        <v>0</v>
      </c>
      <c r="F1858" s="33">
        <f>COUNTIFS(c_store,A1858,c_date,B1858,c_hour,C1858)</f>
        <v>0</v>
      </c>
      <c r="G1858" s="33">
        <f>IF(F1858&gt;0,1,0)</f>
        <v>0</v>
      </c>
      <c r="H1858" s="33">
        <f>COUNTIFS(Demand!$A$2:$A$4481,A1858,Demand!$B$2:$B$4481,B1858,Demand!$C$2:$C$4481,C1858)</f>
        <v>1</v>
      </c>
    </row>
    <row r="1859">
      <c r="A1859" s="32" t="str">
        <f>Demand!A1857</f>
        <v>S016</v>
      </c>
      <c r="B1859" s="35">
        <f>Demand!B1857</f>
        <v>46271.0</v>
      </c>
      <c r="C1859" s="33">
        <f>Demand!C1857</f>
        <v>23</v>
      </c>
      <c r="D1859" s="33">
        <f>Demand!E1857</f>
        <v>28</v>
      </c>
      <c r="E1859" s="33">
        <f>IF(Demand!F1857,1,0)</f>
        <v>0</v>
      </c>
      <c r="F1859" s="33">
        <f>COUNTIFS(c_store,A1859,c_date,B1859,c_hour,C1859)</f>
        <v>0</v>
      </c>
      <c r="G1859" s="33">
        <f>IF(F1859&gt;0,1,0)</f>
        <v>0</v>
      </c>
      <c r="H1859" s="33">
        <f>COUNTIFS(Demand!$A$2:$A$4481,A1859,Demand!$B$2:$B$4481,B1859,Demand!$C$2:$C$4481,C1859)</f>
        <v>1</v>
      </c>
    </row>
    <row r="1860">
      <c r="A1860" s="32" t="str">
        <f>Demand!A1858</f>
        <v>S017</v>
      </c>
      <c r="B1860" s="35">
        <f>Demand!B1858</f>
        <v>46271.0</v>
      </c>
      <c r="C1860" s="33">
        <f>Demand!C1858</f>
        <v>8</v>
      </c>
      <c r="D1860" s="33">
        <f>Demand!E1858</f>
        <v>24</v>
      </c>
      <c r="E1860" s="33">
        <f>IF(Demand!F1858,1,0)</f>
        <v>0</v>
      </c>
      <c r="F1860" s="33">
        <f>COUNTIFS(c_store,A1860,c_date,B1860,c_hour,C1860)</f>
        <v>1</v>
      </c>
      <c r="G1860" s="33">
        <f>IF(F1860&gt;0,1,0)</f>
        <v>1</v>
      </c>
      <c r="H1860" s="33">
        <f>COUNTIFS(Demand!$A$2:$A$4481,A1860,Demand!$B$2:$B$4481,B1860,Demand!$C$2:$C$4481,C1860)</f>
        <v>1</v>
      </c>
    </row>
    <row r="1861">
      <c r="A1861" s="32" t="str">
        <f>Demand!A1859</f>
        <v>S017</v>
      </c>
      <c r="B1861" s="35">
        <f>Demand!B1859</f>
        <v>46271.0</v>
      </c>
      <c r="C1861" s="33">
        <f>Demand!C1859</f>
        <v>9</v>
      </c>
      <c r="D1861" s="33">
        <f>Demand!E1859</f>
        <v>28</v>
      </c>
      <c r="E1861" s="33">
        <f>IF(Demand!F1859,1,0)</f>
        <v>0</v>
      </c>
      <c r="F1861" s="33">
        <f>COUNTIFS(c_store,A1861,c_date,B1861,c_hour,C1861)</f>
        <v>0</v>
      </c>
      <c r="G1861" s="33">
        <f>IF(F1861&gt;0,1,0)</f>
        <v>0</v>
      </c>
      <c r="H1861" s="33">
        <f>COUNTIFS(Demand!$A$2:$A$4481,A1861,Demand!$B$2:$B$4481,B1861,Demand!$C$2:$C$4481,C1861)</f>
        <v>1</v>
      </c>
    </row>
    <row r="1862">
      <c r="A1862" s="32" t="str">
        <f>Demand!A1860</f>
        <v>S017</v>
      </c>
      <c r="B1862" s="35">
        <f>Demand!B1860</f>
        <v>46271.0</v>
      </c>
      <c r="C1862" s="33">
        <f>Demand!C1860</f>
        <v>10</v>
      </c>
      <c r="D1862" s="33">
        <f>Demand!E1860</f>
        <v>31</v>
      </c>
      <c r="E1862" s="33">
        <f>IF(Demand!F1860,1,0)</f>
        <v>0</v>
      </c>
      <c r="F1862" s="33">
        <f>COUNTIFS(c_store,A1862,c_date,B1862,c_hour,C1862)</f>
        <v>0</v>
      </c>
      <c r="G1862" s="33">
        <f>IF(F1862&gt;0,1,0)</f>
        <v>0</v>
      </c>
      <c r="H1862" s="33">
        <f>COUNTIFS(Demand!$A$2:$A$4481,A1862,Demand!$B$2:$B$4481,B1862,Demand!$C$2:$C$4481,C1862)</f>
        <v>1</v>
      </c>
    </row>
    <row r="1863">
      <c r="A1863" s="32" t="str">
        <f>Demand!A1861</f>
        <v>S017</v>
      </c>
      <c r="B1863" s="35">
        <f>Demand!B1861</f>
        <v>46271.0</v>
      </c>
      <c r="C1863" s="33">
        <f>Demand!C1861</f>
        <v>11</v>
      </c>
      <c r="D1863" s="33">
        <f>Demand!E1861</f>
        <v>45</v>
      </c>
      <c r="E1863" s="33">
        <f>IF(Demand!F1861,1,0)</f>
        <v>0</v>
      </c>
      <c r="F1863" s="33">
        <f>COUNTIFS(c_store,A1863,c_date,B1863,c_hour,C1863)</f>
        <v>0</v>
      </c>
      <c r="G1863" s="33">
        <f>IF(F1863&gt;0,1,0)</f>
        <v>0</v>
      </c>
      <c r="H1863" s="33">
        <f>COUNTIFS(Demand!$A$2:$A$4481,A1863,Demand!$B$2:$B$4481,B1863,Demand!$C$2:$C$4481,C1863)</f>
        <v>1</v>
      </c>
    </row>
    <row r="1864">
      <c r="A1864" s="32" t="str">
        <f>Demand!A1862</f>
        <v>S017</v>
      </c>
      <c r="B1864" s="35">
        <f>Demand!B1862</f>
        <v>46271.0</v>
      </c>
      <c r="C1864" s="33">
        <f>Demand!C1862</f>
        <v>12</v>
      </c>
      <c r="D1864" s="33">
        <f>Demand!E1862</f>
        <v>30</v>
      </c>
      <c r="E1864" s="33">
        <f>IF(Demand!F1862,1,0)</f>
        <v>0</v>
      </c>
      <c r="F1864" s="33">
        <f>COUNTIFS(c_store,A1864,c_date,B1864,c_hour,C1864)</f>
        <v>1</v>
      </c>
      <c r="G1864" s="33">
        <f>IF(F1864&gt;0,1,0)</f>
        <v>1</v>
      </c>
      <c r="H1864" s="33">
        <f>COUNTIFS(Demand!$A$2:$A$4481,A1864,Demand!$B$2:$B$4481,B1864,Demand!$C$2:$C$4481,C1864)</f>
        <v>1</v>
      </c>
    </row>
    <row r="1865">
      <c r="A1865" s="32" t="str">
        <f>Demand!A1863</f>
        <v>S017</v>
      </c>
      <c r="B1865" s="35">
        <f>Demand!B1863</f>
        <v>46271.0</v>
      </c>
      <c r="C1865" s="33">
        <f>Demand!C1863</f>
        <v>13</v>
      </c>
      <c r="D1865" s="33">
        <f>Demand!E1863</f>
        <v>34</v>
      </c>
      <c r="E1865" s="33">
        <f>IF(Demand!F1863,1,0)</f>
        <v>0</v>
      </c>
      <c r="F1865" s="33">
        <f>COUNTIFS(c_store,A1865,c_date,B1865,c_hour,C1865)</f>
        <v>1</v>
      </c>
      <c r="G1865" s="33">
        <f>IF(F1865&gt;0,1,0)</f>
        <v>1</v>
      </c>
      <c r="H1865" s="33">
        <f>COUNTIFS(Demand!$A$2:$A$4481,A1865,Demand!$B$2:$B$4481,B1865,Demand!$C$2:$C$4481,C1865)</f>
        <v>1</v>
      </c>
    </row>
    <row r="1866">
      <c r="A1866" s="32" t="str">
        <f>Demand!A1864</f>
        <v>S017</v>
      </c>
      <c r="B1866" s="35">
        <f>Demand!B1864</f>
        <v>46271.0</v>
      </c>
      <c r="C1866" s="33">
        <f>Demand!C1864</f>
        <v>14</v>
      </c>
      <c r="D1866" s="33">
        <f>Demand!E1864</f>
        <v>29</v>
      </c>
      <c r="E1866" s="33">
        <f>IF(Demand!F1864,1,0)</f>
        <v>0</v>
      </c>
      <c r="F1866" s="33">
        <f>COUNTIFS(c_store,A1866,c_date,B1866,c_hour,C1866)</f>
        <v>0</v>
      </c>
      <c r="G1866" s="33">
        <f>IF(F1866&gt;0,1,0)</f>
        <v>0</v>
      </c>
      <c r="H1866" s="33">
        <f>COUNTIFS(Demand!$A$2:$A$4481,A1866,Demand!$B$2:$B$4481,B1866,Demand!$C$2:$C$4481,C1866)</f>
        <v>1</v>
      </c>
    </row>
    <row r="1867">
      <c r="A1867" s="32" t="str">
        <f>Demand!A1865</f>
        <v>S017</v>
      </c>
      <c r="B1867" s="35">
        <f>Demand!B1865</f>
        <v>46271.0</v>
      </c>
      <c r="C1867" s="33">
        <f>Demand!C1865</f>
        <v>15</v>
      </c>
      <c r="D1867" s="33">
        <f>Demand!E1865</f>
        <v>29</v>
      </c>
      <c r="E1867" s="33">
        <f>IF(Demand!F1865,1,0)</f>
        <v>0</v>
      </c>
      <c r="F1867" s="33">
        <f>COUNTIFS(c_store,A1867,c_date,B1867,c_hour,C1867)</f>
        <v>1</v>
      </c>
      <c r="G1867" s="33">
        <f>IF(F1867&gt;0,1,0)</f>
        <v>1</v>
      </c>
      <c r="H1867" s="33">
        <f>COUNTIFS(Demand!$A$2:$A$4481,A1867,Demand!$B$2:$B$4481,B1867,Demand!$C$2:$C$4481,C1867)</f>
        <v>1</v>
      </c>
    </row>
    <row r="1868">
      <c r="A1868" s="32" t="str">
        <f>Demand!A1866</f>
        <v>S017</v>
      </c>
      <c r="B1868" s="35">
        <f>Demand!B1866</f>
        <v>46271.0</v>
      </c>
      <c r="C1868" s="33">
        <f>Demand!C1866</f>
        <v>16</v>
      </c>
      <c r="D1868" s="33">
        <f>Demand!E1866</f>
        <v>35</v>
      </c>
      <c r="E1868" s="33">
        <f>IF(Demand!F1866,1,0)</f>
        <v>0</v>
      </c>
      <c r="F1868" s="33">
        <f>COUNTIFS(c_store,A1868,c_date,B1868,c_hour,C1868)</f>
        <v>0</v>
      </c>
      <c r="G1868" s="33">
        <f>IF(F1868&gt;0,1,0)</f>
        <v>0</v>
      </c>
      <c r="H1868" s="33">
        <f>COUNTIFS(Demand!$A$2:$A$4481,A1868,Demand!$B$2:$B$4481,B1868,Demand!$C$2:$C$4481,C1868)</f>
        <v>1</v>
      </c>
    </row>
    <row r="1869">
      <c r="A1869" s="32" t="str">
        <f>Demand!A1867</f>
        <v>S017</v>
      </c>
      <c r="B1869" s="35">
        <f>Demand!B1867</f>
        <v>46271.0</v>
      </c>
      <c r="C1869" s="33">
        <f>Demand!C1867</f>
        <v>17</v>
      </c>
      <c r="D1869" s="33">
        <f>Demand!E1867</f>
        <v>47</v>
      </c>
      <c r="E1869" s="33">
        <f>IF(Demand!F1867,1,0)</f>
        <v>0</v>
      </c>
      <c r="F1869" s="33">
        <f>COUNTIFS(c_store,A1869,c_date,B1869,c_hour,C1869)</f>
        <v>0</v>
      </c>
      <c r="G1869" s="33">
        <f>IF(F1869&gt;0,1,0)</f>
        <v>0</v>
      </c>
      <c r="H1869" s="33">
        <f>COUNTIFS(Demand!$A$2:$A$4481,A1869,Demand!$B$2:$B$4481,B1869,Demand!$C$2:$C$4481,C1869)</f>
        <v>1</v>
      </c>
    </row>
    <row r="1870">
      <c r="A1870" s="32" t="str">
        <f>Demand!A1868</f>
        <v>S017</v>
      </c>
      <c r="B1870" s="35">
        <f>Demand!B1868</f>
        <v>46271.0</v>
      </c>
      <c r="C1870" s="33">
        <f>Demand!C1868</f>
        <v>18</v>
      </c>
      <c r="D1870" s="33">
        <f>Demand!E1868</f>
        <v>50</v>
      </c>
      <c r="E1870" s="33">
        <f>IF(Demand!F1868,1,0)</f>
        <v>0</v>
      </c>
      <c r="F1870" s="33">
        <f>COUNTIFS(c_store,A1870,c_date,B1870,c_hour,C1870)</f>
        <v>1</v>
      </c>
      <c r="G1870" s="33">
        <f>IF(F1870&gt;0,1,0)</f>
        <v>1</v>
      </c>
      <c r="H1870" s="33">
        <f>COUNTIFS(Demand!$A$2:$A$4481,A1870,Demand!$B$2:$B$4481,B1870,Demand!$C$2:$C$4481,C1870)</f>
        <v>1</v>
      </c>
    </row>
    <row r="1871">
      <c r="A1871" s="32" t="str">
        <f>Demand!A1869</f>
        <v>S017</v>
      </c>
      <c r="B1871" s="35">
        <f>Demand!B1869</f>
        <v>46271.0</v>
      </c>
      <c r="C1871" s="33">
        <f>Demand!C1869</f>
        <v>19</v>
      </c>
      <c r="D1871" s="33">
        <f>Demand!E1869</f>
        <v>58</v>
      </c>
      <c r="E1871" s="33">
        <f>IF(Demand!F1869,1,0)</f>
        <v>1</v>
      </c>
      <c r="F1871" s="33">
        <f>COUNTIFS(c_store,A1871,c_date,B1871,c_hour,C1871)</f>
        <v>0</v>
      </c>
      <c r="G1871" s="33">
        <f>IF(F1871&gt;0,1,0)</f>
        <v>0</v>
      </c>
      <c r="H1871" s="33">
        <f>COUNTIFS(Demand!$A$2:$A$4481,A1871,Demand!$B$2:$B$4481,B1871,Demand!$C$2:$C$4481,C1871)</f>
        <v>1</v>
      </c>
    </row>
    <row r="1872">
      <c r="A1872" s="32" t="str">
        <f>Demand!A1870</f>
        <v>S017</v>
      </c>
      <c r="B1872" s="35">
        <f>Demand!B1870</f>
        <v>46271.0</v>
      </c>
      <c r="C1872" s="33">
        <f>Demand!C1870</f>
        <v>20</v>
      </c>
      <c r="D1872" s="33">
        <f>Demand!E1870</f>
        <v>61</v>
      </c>
      <c r="E1872" s="33">
        <f>IF(Demand!F1870,1,0)</f>
        <v>1</v>
      </c>
      <c r="F1872" s="33">
        <f>COUNTIFS(c_store,A1872,c_date,B1872,c_hour,C1872)</f>
        <v>0</v>
      </c>
      <c r="G1872" s="33">
        <f>IF(F1872&gt;0,1,0)</f>
        <v>0</v>
      </c>
      <c r="H1872" s="33">
        <f>COUNTIFS(Demand!$A$2:$A$4481,A1872,Demand!$B$2:$B$4481,B1872,Demand!$C$2:$C$4481,C1872)</f>
        <v>1</v>
      </c>
    </row>
    <row r="1873">
      <c r="A1873" s="32" t="str">
        <f>Demand!A1871</f>
        <v>S017</v>
      </c>
      <c r="B1873" s="35">
        <f>Demand!B1871</f>
        <v>46271.0</v>
      </c>
      <c r="C1873" s="33">
        <f>Demand!C1871</f>
        <v>21</v>
      </c>
      <c r="D1873" s="33">
        <f>Demand!E1871</f>
        <v>62</v>
      </c>
      <c r="E1873" s="33">
        <f>IF(Demand!F1871,1,0)</f>
        <v>1</v>
      </c>
      <c r="F1873" s="33">
        <f>COUNTIFS(c_store,A1873,c_date,B1873,c_hour,C1873)</f>
        <v>0</v>
      </c>
      <c r="G1873" s="33">
        <f>IF(F1873&gt;0,1,0)</f>
        <v>0</v>
      </c>
      <c r="H1873" s="33">
        <f>COUNTIFS(Demand!$A$2:$A$4481,A1873,Demand!$B$2:$B$4481,B1873,Demand!$C$2:$C$4481,C1873)</f>
        <v>1</v>
      </c>
    </row>
    <row r="1874">
      <c r="A1874" s="32" t="str">
        <f>Demand!A1872</f>
        <v>S017</v>
      </c>
      <c r="B1874" s="35">
        <f>Demand!B1872</f>
        <v>46271.0</v>
      </c>
      <c r="C1874" s="33">
        <f>Demand!C1872</f>
        <v>22</v>
      </c>
      <c r="D1874" s="33">
        <f>Demand!E1872</f>
        <v>39</v>
      </c>
      <c r="E1874" s="33">
        <f>IF(Demand!F1872,1,0)</f>
        <v>0</v>
      </c>
      <c r="F1874" s="33">
        <f>COUNTIFS(c_store,A1874,c_date,B1874,c_hour,C1874)</f>
        <v>1</v>
      </c>
      <c r="G1874" s="33">
        <f>IF(F1874&gt;0,1,0)</f>
        <v>1</v>
      </c>
      <c r="H1874" s="33">
        <f>COUNTIFS(Demand!$A$2:$A$4481,A1874,Demand!$B$2:$B$4481,B1874,Demand!$C$2:$C$4481,C1874)</f>
        <v>1</v>
      </c>
    </row>
    <row r="1875">
      <c r="A1875" s="32" t="str">
        <f>Demand!A1873</f>
        <v>S017</v>
      </c>
      <c r="B1875" s="35">
        <f>Demand!B1873</f>
        <v>46271.0</v>
      </c>
      <c r="C1875" s="33">
        <f>Demand!C1873</f>
        <v>23</v>
      </c>
      <c r="D1875" s="33">
        <f>Demand!E1873</f>
        <v>37</v>
      </c>
      <c r="E1875" s="33">
        <f>IF(Demand!F1873,1,0)</f>
        <v>0</v>
      </c>
      <c r="F1875" s="33">
        <f>COUNTIFS(c_store,A1875,c_date,B1875,c_hour,C1875)</f>
        <v>1</v>
      </c>
      <c r="G1875" s="33">
        <f>IF(F1875&gt;0,1,0)</f>
        <v>1</v>
      </c>
      <c r="H1875" s="33">
        <f>COUNTIFS(Demand!$A$2:$A$4481,A1875,Demand!$B$2:$B$4481,B1875,Demand!$C$2:$C$4481,C1875)</f>
        <v>1</v>
      </c>
    </row>
    <row r="1876">
      <c r="A1876" s="32" t="str">
        <f>Demand!A1874</f>
        <v>S018</v>
      </c>
      <c r="B1876" s="35">
        <f>Demand!B1874</f>
        <v>46271.0</v>
      </c>
      <c r="C1876" s="33">
        <f>Demand!C1874</f>
        <v>8</v>
      </c>
      <c r="D1876" s="33">
        <f>Demand!E1874</f>
        <v>12</v>
      </c>
      <c r="E1876" s="33">
        <f>IF(Demand!F1874,1,0)</f>
        <v>0</v>
      </c>
      <c r="F1876" s="33">
        <f>COUNTIFS(c_store,A1876,c_date,B1876,c_hour,C1876)</f>
        <v>0</v>
      </c>
      <c r="G1876" s="33">
        <f>IF(F1876&gt;0,1,0)</f>
        <v>0</v>
      </c>
      <c r="H1876" s="33">
        <f>COUNTIFS(Demand!$A$2:$A$4481,A1876,Demand!$B$2:$B$4481,B1876,Demand!$C$2:$C$4481,C1876)</f>
        <v>1</v>
      </c>
    </row>
    <row r="1877">
      <c r="A1877" s="32" t="str">
        <f>Demand!A1875</f>
        <v>S018</v>
      </c>
      <c r="B1877" s="35">
        <f>Demand!B1875</f>
        <v>46271.0</v>
      </c>
      <c r="C1877" s="33">
        <f>Demand!C1875</f>
        <v>9</v>
      </c>
      <c r="D1877" s="33">
        <f>Demand!E1875</f>
        <v>15</v>
      </c>
      <c r="E1877" s="33">
        <f>IF(Demand!F1875,1,0)</f>
        <v>0</v>
      </c>
      <c r="F1877" s="33">
        <f>COUNTIFS(c_store,A1877,c_date,B1877,c_hour,C1877)</f>
        <v>0</v>
      </c>
      <c r="G1877" s="33">
        <f>IF(F1877&gt;0,1,0)</f>
        <v>0</v>
      </c>
      <c r="H1877" s="33">
        <f>COUNTIFS(Demand!$A$2:$A$4481,A1877,Demand!$B$2:$B$4481,B1877,Demand!$C$2:$C$4481,C1877)</f>
        <v>1</v>
      </c>
    </row>
    <row r="1878">
      <c r="A1878" s="32" t="str">
        <f>Demand!A1876</f>
        <v>S018</v>
      </c>
      <c r="B1878" s="35">
        <f>Demand!B1876</f>
        <v>46271.0</v>
      </c>
      <c r="C1878" s="33">
        <f>Demand!C1876</f>
        <v>10</v>
      </c>
      <c r="D1878" s="33">
        <f>Demand!E1876</f>
        <v>22</v>
      </c>
      <c r="E1878" s="33">
        <f>IF(Demand!F1876,1,0)</f>
        <v>0</v>
      </c>
      <c r="F1878" s="33">
        <f>COUNTIFS(c_store,A1878,c_date,B1878,c_hour,C1878)</f>
        <v>0</v>
      </c>
      <c r="G1878" s="33">
        <f>IF(F1878&gt;0,1,0)</f>
        <v>0</v>
      </c>
      <c r="H1878" s="33">
        <f>COUNTIFS(Demand!$A$2:$A$4481,A1878,Demand!$B$2:$B$4481,B1878,Demand!$C$2:$C$4481,C1878)</f>
        <v>1</v>
      </c>
    </row>
    <row r="1879">
      <c r="A1879" s="32" t="str">
        <f>Demand!A1877</f>
        <v>S018</v>
      </c>
      <c r="B1879" s="35">
        <f>Demand!B1877</f>
        <v>46271.0</v>
      </c>
      <c r="C1879" s="33">
        <f>Demand!C1877</f>
        <v>11</v>
      </c>
      <c r="D1879" s="33">
        <f>Demand!E1877</f>
        <v>32</v>
      </c>
      <c r="E1879" s="33">
        <f>IF(Demand!F1877,1,0)</f>
        <v>0</v>
      </c>
      <c r="F1879" s="33">
        <f>COUNTIFS(c_store,A1879,c_date,B1879,c_hour,C1879)</f>
        <v>0</v>
      </c>
      <c r="G1879" s="33">
        <f>IF(F1879&gt;0,1,0)</f>
        <v>0</v>
      </c>
      <c r="H1879" s="33">
        <f>COUNTIFS(Demand!$A$2:$A$4481,A1879,Demand!$B$2:$B$4481,B1879,Demand!$C$2:$C$4481,C1879)</f>
        <v>1</v>
      </c>
    </row>
    <row r="1880">
      <c r="A1880" s="32" t="str">
        <f>Demand!A1878</f>
        <v>S018</v>
      </c>
      <c r="B1880" s="35">
        <f>Demand!B1878</f>
        <v>46271.0</v>
      </c>
      <c r="C1880" s="33">
        <f>Demand!C1878</f>
        <v>12</v>
      </c>
      <c r="D1880" s="33">
        <f>Demand!E1878</f>
        <v>22</v>
      </c>
      <c r="E1880" s="33">
        <f>IF(Demand!F1878,1,0)</f>
        <v>0</v>
      </c>
      <c r="F1880" s="33">
        <f>COUNTIFS(c_store,A1880,c_date,B1880,c_hour,C1880)</f>
        <v>3</v>
      </c>
      <c r="G1880" s="33">
        <f>IF(F1880&gt;0,1,0)</f>
        <v>1</v>
      </c>
      <c r="H1880" s="33">
        <f>COUNTIFS(Demand!$A$2:$A$4481,A1880,Demand!$B$2:$B$4481,B1880,Demand!$C$2:$C$4481,C1880)</f>
        <v>1</v>
      </c>
    </row>
    <row r="1881">
      <c r="A1881" s="32" t="str">
        <f>Demand!A1879</f>
        <v>S018</v>
      </c>
      <c r="B1881" s="35">
        <f>Demand!B1879</f>
        <v>46271.0</v>
      </c>
      <c r="C1881" s="33">
        <f>Demand!C1879</f>
        <v>13</v>
      </c>
      <c r="D1881" s="33">
        <f>Demand!E1879</f>
        <v>26</v>
      </c>
      <c r="E1881" s="33">
        <f>IF(Demand!F1879,1,0)</f>
        <v>0</v>
      </c>
      <c r="F1881" s="33">
        <f>COUNTIFS(c_store,A1881,c_date,B1881,c_hour,C1881)</f>
        <v>1</v>
      </c>
      <c r="G1881" s="33">
        <f>IF(F1881&gt;0,1,0)</f>
        <v>1</v>
      </c>
      <c r="H1881" s="33">
        <f>COUNTIFS(Demand!$A$2:$A$4481,A1881,Demand!$B$2:$B$4481,B1881,Demand!$C$2:$C$4481,C1881)</f>
        <v>1</v>
      </c>
    </row>
    <row r="1882">
      <c r="A1882" s="32" t="str">
        <f>Demand!A1880</f>
        <v>S018</v>
      </c>
      <c r="B1882" s="35">
        <f>Demand!B1880</f>
        <v>46271.0</v>
      </c>
      <c r="C1882" s="33">
        <f>Demand!C1880</f>
        <v>14</v>
      </c>
      <c r="D1882" s="33">
        <f>Demand!E1880</f>
        <v>23</v>
      </c>
      <c r="E1882" s="33">
        <f>IF(Demand!F1880,1,0)</f>
        <v>0</v>
      </c>
      <c r="F1882" s="33">
        <f>COUNTIFS(c_store,A1882,c_date,B1882,c_hour,C1882)</f>
        <v>1</v>
      </c>
      <c r="G1882" s="33">
        <f>IF(F1882&gt;0,1,0)</f>
        <v>1</v>
      </c>
      <c r="H1882" s="33">
        <f>COUNTIFS(Demand!$A$2:$A$4481,A1882,Demand!$B$2:$B$4481,B1882,Demand!$C$2:$C$4481,C1882)</f>
        <v>1</v>
      </c>
    </row>
    <row r="1883">
      <c r="A1883" s="32" t="str">
        <f>Demand!A1881</f>
        <v>S018</v>
      </c>
      <c r="B1883" s="35">
        <f>Demand!B1881</f>
        <v>46271.0</v>
      </c>
      <c r="C1883" s="33">
        <f>Demand!C1881</f>
        <v>15</v>
      </c>
      <c r="D1883" s="33">
        <f>Demand!E1881</f>
        <v>18</v>
      </c>
      <c r="E1883" s="33">
        <f>IF(Demand!F1881,1,0)</f>
        <v>0</v>
      </c>
      <c r="F1883" s="33">
        <f>COUNTIFS(c_store,A1883,c_date,B1883,c_hour,C1883)</f>
        <v>1</v>
      </c>
      <c r="G1883" s="33">
        <f>IF(F1883&gt;0,1,0)</f>
        <v>1</v>
      </c>
      <c r="H1883" s="33">
        <f>COUNTIFS(Demand!$A$2:$A$4481,A1883,Demand!$B$2:$B$4481,B1883,Demand!$C$2:$C$4481,C1883)</f>
        <v>1</v>
      </c>
    </row>
    <row r="1884">
      <c r="A1884" s="32" t="str">
        <f>Demand!A1882</f>
        <v>S018</v>
      </c>
      <c r="B1884" s="35">
        <f>Demand!B1882</f>
        <v>46271.0</v>
      </c>
      <c r="C1884" s="33">
        <f>Demand!C1882</f>
        <v>16</v>
      </c>
      <c r="D1884" s="33">
        <f>Demand!E1882</f>
        <v>19</v>
      </c>
      <c r="E1884" s="33">
        <f>IF(Demand!F1882,1,0)</f>
        <v>0</v>
      </c>
      <c r="F1884" s="33">
        <f>COUNTIFS(c_store,A1884,c_date,B1884,c_hour,C1884)</f>
        <v>1</v>
      </c>
      <c r="G1884" s="33">
        <f>IF(F1884&gt;0,1,0)</f>
        <v>1</v>
      </c>
      <c r="H1884" s="33">
        <f>COUNTIFS(Demand!$A$2:$A$4481,A1884,Demand!$B$2:$B$4481,B1884,Demand!$C$2:$C$4481,C1884)</f>
        <v>1</v>
      </c>
    </row>
    <row r="1885">
      <c r="A1885" s="32" t="str">
        <f>Demand!A1883</f>
        <v>S018</v>
      </c>
      <c r="B1885" s="35">
        <f>Demand!B1883</f>
        <v>46271.0</v>
      </c>
      <c r="C1885" s="33">
        <f>Demand!C1883</f>
        <v>17</v>
      </c>
      <c r="D1885" s="33">
        <f>Demand!E1883</f>
        <v>23</v>
      </c>
      <c r="E1885" s="33">
        <f>IF(Demand!F1883,1,0)</f>
        <v>0</v>
      </c>
      <c r="F1885" s="33">
        <f>COUNTIFS(c_store,A1885,c_date,B1885,c_hour,C1885)</f>
        <v>2</v>
      </c>
      <c r="G1885" s="33">
        <f>IF(F1885&gt;0,1,0)</f>
        <v>1</v>
      </c>
      <c r="H1885" s="33">
        <f>COUNTIFS(Demand!$A$2:$A$4481,A1885,Demand!$B$2:$B$4481,B1885,Demand!$C$2:$C$4481,C1885)</f>
        <v>1</v>
      </c>
    </row>
    <row r="1886">
      <c r="A1886" s="32" t="str">
        <f>Demand!A1884</f>
        <v>S018</v>
      </c>
      <c r="B1886" s="35">
        <f>Demand!B1884</f>
        <v>46271.0</v>
      </c>
      <c r="C1886" s="33">
        <f>Demand!C1884</f>
        <v>18</v>
      </c>
      <c r="D1886" s="33">
        <f>Demand!E1884</f>
        <v>19</v>
      </c>
      <c r="E1886" s="33">
        <f>IF(Demand!F1884,1,0)</f>
        <v>0</v>
      </c>
      <c r="F1886" s="33">
        <f>COUNTIFS(c_store,A1886,c_date,B1886,c_hour,C1886)</f>
        <v>0</v>
      </c>
      <c r="G1886" s="33">
        <f>IF(F1886&gt;0,1,0)</f>
        <v>0</v>
      </c>
      <c r="H1886" s="33">
        <f>COUNTIFS(Demand!$A$2:$A$4481,A1886,Demand!$B$2:$B$4481,B1886,Demand!$C$2:$C$4481,C1886)</f>
        <v>1</v>
      </c>
    </row>
    <row r="1887">
      <c r="A1887" s="32" t="str">
        <f>Demand!A1885</f>
        <v>S018</v>
      </c>
      <c r="B1887" s="35">
        <f>Demand!B1885</f>
        <v>46271.0</v>
      </c>
      <c r="C1887" s="33">
        <f>Demand!C1885</f>
        <v>19</v>
      </c>
      <c r="D1887" s="33">
        <f>Demand!E1885</f>
        <v>31</v>
      </c>
      <c r="E1887" s="33">
        <f>IF(Demand!F1885,1,0)</f>
        <v>1</v>
      </c>
      <c r="F1887" s="33">
        <f>COUNTIFS(c_store,A1887,c_date,B1887,c_hour,C1887)</f>
        <v>0</v>
      </c>
      <c r="G1887" s="33">
        <f>IF(F1887&gt;0,1,0)</f>
        <v>0</v>
      </c>
      <c r="H1887" s="33">
        <f>COUNTIFS(Demand!$A$2:$A$4481,A1887,Demand!$B$2:$B$4481,B1887,Demand!$C$2:$C$4481,C1887)</f>
        <v>1</v>
      </c>
    </row>
    <row r="1888">
      <c r="A1888" s="32" t="str">
        <f>Demand!A1886</f>
        <v>S018</v>
      </c>
      <c r="B1888" s="35">
        <f>Demand!B1886</f>
        <v>46271.0</v>
      </c>
      <c r="C1888" s="33">
        <f>Demand!C1886</f>
        <v>20</v>
      </c>
      <c r="D1888" s="33">
        <f>Demand!E1886</f>
        <v>37</v>
      </c>
      <c r="E1888" s="33">
        <f>IF(Demand!F1886,1,0)</f>
        <v>1</v>
      </c>
      <c r="F1888" s="33">
        <f>COUNTIFS(c_store,A1888,c_date,B1888,c_hour,C1888)</f>
        <v>0</v>
      </c>
      <c r="G1888" s="33">
        <f>IF(F1888&gt;0,1,0)</f>
        <v>0</v>
      </c>
      <c r="H1888" s="33">
        <f>COUNTIFS(Demand!$A$2:$A$4481,A1888,Demand!$B$2:$B$4481,B1888,Demand!$C$2:$C$4481,C1888)</f>
        <v>1</v>
      </c>
    </row>
    <row r="1889">
      <c r="A1889" s="32" t="str">
        <f>Demand!A1887</f>
        <v>S018</v>
      </c>
      <c r="B1889" s="35">
        <f>Demand!B1887</f>
        <v>46271.0</v>
      </c>
      <c r="C1889" s="33">
        <f>Demand!C1887</f>
        <v>21</v>
      </c>
      <c r="D1889" s="33">
        <f>Demand!E1887</f>
        <v>36</v>
      </c>
      <c r="E1889" s="33">
        <f>IF(Demand!F1887,1,0)</f>
        <v>1</v>
      </c>
      <c r="F1889" s="33">
        <f>COUNTIFS(c_store,A1889,c_date,B1889,c_hour,C1889)</f>
        <v>0</v>
      </c>
      <c r="G1889" s="33">
        <f>IF(F1889&gt;0,1,0)</f>
        <v>0</v>
      </c>
      <c r="H1889" s="33">
        <f>COUNTIFS(Demand!$A$2:$A$4481,A1889,Demand!$B$2:$B$4481,B1889,Demand!$C$2:$C$4481,C1889)</f>
        <v>1</v>
      </c>
    </row>
    <row r="1890">
      <c r="A1890" s="32" t="str">
        <f>Demand!A1888</f>
        <v>S018</v>
      </c>
      <c r="B1890" s="35">
        <f>Demand!B1888</f>
        <v>46271.0</v>
      </c>
      <c r="C1890" s="33">
        <f>Demand!C1888</f>
        <v>22</v>
      </c>
      <c r="D1890" s="33">
        <f>Demand!E1888</f>
        <v>26</v>
      </c>
      <c r="E1890" s="33">
        <f>IF(Demand!F1888,1,0)</f>
        <v>0</v>
      </c>
      <c r="F1890" s="33">
        <f>COUNTIFS(c_store,A1890,c_date,B1890,c_hour,C1890)</f>
        <v>1</v>
      </c>
      <c r="G1890" s="33">
        <f>IF(F1890&gt;0,1,0)</f>
        <v>1</v>
      </c>
      <c r="H1890" s="33">
        <f>COUNTIFS(Demand!$A$2:$A$4481,A1890,Demand!$B$2:$B$4481,B1890,Demand!$C$2:$C$4481,C1890)</f>
        <v>1</v>
      </c>
    </row>
    <row r="1891">
      <c r="A1891" s="32" t="str">
        <f>Demand!A1889</f>
        <v>S018</v>
      </c>
      <c r="B1891" s="35">
        <f>Demand!B1889</f>
        <v>46271.0</v>
      </c>
      <c r="C1891" s="33">
        <f>Demand!C1889</f>
        <v>23</v>
      </c>
      <c r="D1891" s="33">
        <f>Demand!E1889</f>
        <v>27</v>
      </c>
      <c r="E1891" s="33">
        <f>IF(Demand!F1889,1,0)</f>
        <v>0</v>
      </c>
      <c r="F1891" s="33">
        <f>COUNTIFS(c_store,A1891,c_date,B1891,c_hour,C1891)</f>
        <v>1</v>
      </c>
      <c r="G1891" s="33">
        <f>IF(F1891&gt;0,1,0)</f>
        <v>1</v>
      </c>
      <c r="H1891" s="33">
        <f>COUNTIFS(Demand!$A$2:$A$4481,A1891,Demand!$B$2:$B$4481,B1891,Demand!$C$2:$C$4481,C1891)</f>
        <v>1</v>
      </c>
    </row>
    <row r="1892">
      <c r="A1892" s="32" t="str">
        <f>Demand!A1890</f>
        <v>S019</v>
      </c>
      <c r="B1892" s="35">
        <f>Demand!B1890</f>
        <v>46271.0</v>
      </c>
      <c r="C1892" s="33">
        <f>Demand!C1890</f>
        <v>8</v>
      </c>
      <c r="D1892" s="33">
        <f>Demand!E1890</f>
        <v>24</v>
      </c>
      <c r="E1892" s="33">
        <f>IF(Demand!F1890,1,0)</f>
        <v>0</v>
      </c>
      <c r="F1892" s="33">
        <f>COUNTIFS(c_store,A1892,c_date,B1892,c_hour,C1892)</f>
        <v>3</v>
      </c>
      <c r="G1892" s="33">
        <f>IF(F1892&gt;0,1,0)</f>
        <v>1</v>
      </c>
      <c r="H1892" s="33">
        <f>COUNTIFS(Demand!$A$2:$A$4481,A1892,Demand!$B$2:$B$4481,B1892,Demand!$C$2:$C$4481,C1892)</f>
        <v>1</v>
      </c>
    </row>
    <row r="1893">
      <c r="A1893" s="32" t="str">
        <f>Demand!A1891</f>
        <v>S019</v>
      </c>
      <c r="B1893" s="35">
        <f>Demand!B1891</f>
        <v>46271.0</v>
      </c>
      <c r="C1893" s="33">
        <f>Demand!C1891</f>
        <v>9</v>
      </c>
      <c r="D1893" s="33">
        <f>Demand!E1891</f>
        <v>22</v>
      </c>
      <c r="E1893" s="33">
        <f>IF(Demand!F1891,1,0)</f>
        <v>0</v>
      </c>
      <c r="F1893" s="33">
        <f>COUNTIFS(c_store,A1893,c_date,B1893,c_hour,C1893)</f>
        <v>0</v>
      </c>
      <c r="G1893" s="33">
        <f>IF(F1893&gt;0,1,0)</f>
        <v>0</v>
      </c>
      <c r="H1893" s="33">
        <f>COUNTIFS(Demand!$A$2:$A$4481,A1893,Demand!$B$2:$B$4481,B1893,Demand!$C$2:$C$4481,C1893)</f>
        <v>1</v>
      </c>
    </row>
    <row r="1894">
      <c r="A1894" s="32" t="str">
        <f>Demand!A1892</f>
        <v>S019</v>
      </c>
      <c r="B1894" s="35">
        <f>Demand!B1892</f>
        <v>46271.0</v>
      </c>
      <c r="C1894" s="33">
        <f>Demand!C1892</f>
        <v>10</v>
      </c>
      <c r="D1894" s="33">
        <f>Demand!E1892</f>
        <v>17</v>
      </c>
      <c r="E1894" s="33">
        <f>IF(Demand!F1892,1,0)</f>
        <v>0</v>
      </c>
      <c r="F1894" s="33">
        <f>COUNTIFS(c_store,A1894,c_date,B1894,c_hour,C1894)</f>
        <v>1</v>
      </c>
      <c r="G1894" s="33">
        <f>IF(F1894&gt;0,1,0)</f>
        <v>1</v>
      </c>
      <c r="H1894" s="33">
        <f>COUNTIFS(Demand!$A$2:$A$4481,A1894,Demand!$B$2:$B$4481,B1894,Demand!$C$2:$C$4481,C1894)</f>
        <v>1</v>
      </c>
    </row>
    <row r="1895">
      <c r="A1895" s="32" t="str">
        <f>Demand!A1893</f>
        <v>S019</v>
      </c>
      <c r="B1895" s="35">
        <f>Demand!B1893</f>
        <v>46271.0</v>
      </c>
      <c r="C1895" s="33">
        <f>Demand!C1893</f>
        <v>11</v>
      </c>
      <c r="D1895" s="33">
        <f>Demand!E1893</f>
        <v>21</v>
      </c>
      <c r="E1895" s="33">
        <f>IF(Demand!F1893,1,0)</f>
        <v>0</v>
      </c>
      <c r="F1895" s="33">
        <f>COUNTIFS(c_store,A1895,c_date,B1895,c_hour,C1895)</f>
        <v>1</v>
      </c>
      <c r="G1895" s="33">
        <f>IF(F1895&gt;0,1,0)</f>
        <v>1</v>
      </c>
      <c r="H1895" s="33">
        <f>COUNTIFS(Demand!$A$2:$A$4481,A1895,Demand!$B$2:$B$4481,B1895,Demand!$C$2:$C$4481,C1895)</f>
        <v>1</v>
      </c>
    </row>
    <row r="1896">
      <c r="A1896" s="32" t="str">
        <f>Demand!A1894</f>
        <v>S019</v>
      </c>
      <c r="B1896" s="35">
        <f>Demand!B1894</f>
        <v>46271.0</v>
      </c>
      <c r="C1896" s="33">
        <f>Demand!C1894</f>
        <v>12</v>
      </c>
      <c r="D1896" s="33">
        <f>Demand!E1894</f>
        <v>22</v>
      </c>
      <c r="E1896" s="33">
        <f>IF(Demand!F1894,1,0)</f>
        <v>0</v>
      </c>
      <c r="F1896" s="33">
        <f>COUNTIFS(c_store,A1896,c_date,B1896,c_hour,C1896)</f>
        <v>0</v>
      </c>
      <c r="G1896" s="33">
        <f>IF(F1896&gt;0,1,0)</f>
        <v>0</v>
      </c>
      <c r="H1896" s="33">
        <f>COUNTIFS(Demand!$A$2:$A$4481,A1896,Demand!$B$2:$B$4481,B1896,Demand!$C$2:$C$4481,C1896)</f>
        <v>1</v>
      </c>
    </row>
    <row r="1897">
      <c r="A1897" s="32" t="str">
        <f>Demand!A1895</f>
        <v>S019</v>
      </c>
      <c r="B1897" s="35">
        <f>Demand!B1895</f>
        <v>46271.0</v>
      </c>
      <c r="C1897" s="33">
        <f>Demand!C1895</f>
        <v>13</v>
      </c>
      <c r="D1897" s="33">
        <f>Demand!E1895</f>
        <v>19</v>
      </c>
      <c r="E1897" s="33">
        <f>IF(Demand!F1895,1,0)</f>
        <v>0</v>
      </c>
      <c r="F1897" s="33">
        <f>COUNTIFS(c_store,A1897,c_date,B1897,c_hour,C1897)</f>
        <v>0</v>
      </c>
      <c r="G1897" s="33">
        <f>IF(F1897&gt;0,1,0)</f>
        <v>0</v>
      </c>
      <c r="H1897" s="33">
        <f>COUNTIFS(Demand!$A$2:$A$4481,A1897,Demand!$B$2:$B$4481,B1897,Demand!$C$2:$C$4481,C1897)</f>
        <v>1</v>
      </c>
    </row>
    <row r="1898">
      <c r="A1898" s="32" t="str">
        <f>Demand!A1896</f>
        <v>S019</v>
      </c>
      <c r="B1898" s="35">
        <f>Demand!B1896</f>
        <v>46271.0</v>
      </c>
      <c r="C1898" s="33">
        <f>Demand!C1896</f>
        <v>14</v>
      </c>
      <c r="D1898" s="33">
        <f>Demand!E1896</f>
        <v>14</v>
      </c>
      <c r="E1898" s="33">
        <f>IF(Demand!F1896,1,0)</f>
        <v>0</v>
      </c>
      <c r="F1898" s="33">
        <f>COUNTIFS(c_store,A1898,c_date,B1898,c_hour,C1898)</f>
        <v>0</v>
      </c>
      <c r="G1898" s="33">
        <f>IF(F1898&gt;0,1,0)</f>
        <v>0</v>
      </c>
      <c r="H1898" s="33">
        <f>COUNTIFS(Demand!$A$2:$A$4481,A1898,Demand!$B$2:$B$4481,B1898,Demand!$C$2:$C$4481,C1898)</f>
        <v>1</v>
      </c>
    </row>
    <row r="1899">
      <c r="A1899" s="32" t="str">
        <f>Demand!A1897</f>
        <v>S019</v>
      </c>
      <c r="B1899" s="35">
        <f>Demand!B1897</f>
        <v>46271.0</v>
      </c>
      <c r="C1899" s="33">
        <f>Demand!C1897</f>
        <v>15</v>
      </c>
      <c r="D1899" s="33">
        <f>Demand!E1897</f>
        <v>13</v>
      </c>
      <c r="E1899" s="33">
        <f>IF(Demand!F1897,1,0)</f>
        <v>0</v>
      </c>
      <c r="F1899" s="33">
        <f>COUNTIFS(c_store,A1899,c_date,B1899,c_hour,C1899)</f>
        <v>2</v>
      </c>
      <c r="G1899" s="33">
        <f>IF(F1899&gt;0,1,0)</f>
        <v>1</v>
      </c>
      <c r="H1899" s="33">
        <f>COUNTIFS(Demand!$A$2:$A$4481,A1899,Demand!$B$2:$B$4481,B1899,Demand!$C$2:$C$4481,C1899)</f>
        <v>1</v>
      </c>
    </row>
    <row r="1900">
      <c r="A1900" s="32" t="str">
        <f>Demand!A1898</f>
        <v>S019</v>
      </c>
      <c r="B1900" s="35">
        <f>Demand!B1898</f>
        <v>46271.0</v>
      </c>
      <c r="C1900" s="33">
        <f>Demand!C1898</f>
        <v>16</v>
      </c>
      <c r="D1900" s="33">
        <f>Demand!E1898</f>
        <v>26</v>
      </c>
      <c r="E1900" s="33">
        <f>IF(Demand!F1898,1,0)</f>
        <v>0</v>
      </c>
      <c r="F1900" s="33">
        <f>COUNTIFS(c_store,A1900,c_date,B1900,c_hour,C1900)</f>
        <v>0</v>
      </c>
      <c r="G1900" s="33">
        <f>IF(F1900&gt;0,1,0)</f>
        <v>0</v>
      </c>
      <c r="H1900" s="33">
        <f>COUNTIFS(Demand!$A$2:$A$4481,A1900,Demand!$B$2:$B$4481,B1900,Demand!$C$2:$C$4481,C1900)</f>
        <v>1</v>
      </c>
    </row>
    <row r="1901">
      <c r="A1901" s="32" t="str">
        <f>Demand!A1899</f>
        <v>S019</v>
      </c>
      <c r="B1901" s="35">
        <f>Demand!B1899</f>
        <v>46271.0</v>
      </c>
      <c r="C1901" s="33">
        <f>Demand!C1899</f>
        <v>17</v>
      </c>
      <c r="D1901" s="33">
        <f>Demand!E1899</f>
        <v>23</v>
      </c>
      <c r="E1901" s="33">
        <f>IF(Demand!F1899,1,0)</f>
        <v>0</v>
      </c>
      <c r="F1901" s="33">
        <f>COUNTIFS(c_store,A1901,c_date,B1901,c_hour,C1901)</f>
        <v>2</v>
      </c>
      <c r="G1901" s="33">
        <f>IF(F1901&gt;0,1,0)</f>
        <v>1</v>
      </c>
      <c r="H1901" s="33">
        <f>COUNTIFS(Demand!$A$2:$A$4481,A1901,Demand!$B$2:$B$4481,B1901,Demand!$C$2:$C$4481,C1901)</f>
        <v>1</v>
      </c>
    </row>
    <row r="1902">
      <c r="A1902" s="32" t="str">
        <f>Demand!A1900</f>
        <v>S019</v>
      </c>
      <c r="B1902" s="35">
        <f>Demand!B1900</f>
        <v>46271.0</v>
      </c>
      <c r="C1902" s="33">
        <f>Demand!C1900</f>
        <v>18</v>
      </c>
      <c r="D1902" s="33">
        <f>Demand!E1900</f>
        <v>22</v>
      </c>
      <c r="E1902" s="33">
        <f>IF(Demand!F1900,1,0)</f>
        <v>0</v>
      </c>
      <c r="F1902" s="33">
        <f>COUNTIFS(c_store,A1902,c_date,B1902,c_hour,C1902)</f>
        <v>1</v>
      </c>
      <c r="G1902" s="33">
        <f>IF(F1902&gt;0,1,0)</f>
        <v>1</v>
      </c>
      <c r="H1902" s="33">
        <f>COUNTIFS(Demand!$A$2:$A$4481,A1902,Demand!$B$2:$B$4481,B1902,Demand!$C$2:$C$4481,C1902)</f>
        <v>1</v>
      </c>
    </row>
    <row r="1903">
      <c r="A1903" s="32" t="str">
        <f>Demand!A1901</f>
        <v>S019</v>
      </c>
      <c r="B1903" s="35">
        <f>Demand!B1901</f>
        <v>46271.0</v>
      </c>
      <c r="C1903" s="33">
        <f>Demand!C1901</f>
        <v>19</v>
      </c>
      <c r="D1903" s="33">
        <f>Demand!E1901</f>
        <v>27</v>
      </c>
      <c r="E1903" s="33">
        <f>IF(Demand!F1901,1,0)</f>
        <v>1</v>
      </c>
      <c r="F1903" s="33">
        <f>COUNTIFS(c_store,A1903,c_date,B1903,c_hour,C1903)</f>
        <v>0</v>
      </c>
      <c r="G1903" s="33">
        <f>IF(F1903&gt;0,1,0)</f>
        <v>0</v>
      </c>
      <c r="H1903" s="33">
        <f>COUNTIFS(Demand!$A$2:$A$4481,A1903,Demand!$B$2:$B$4481,B1903,Demand!$C$2:$C$4481,C1903)</f>
        <v>1</v>
      </c>
    </row>
    <row r="1904">
      <c r="A1904" s="32" t="str">
        <f>Demand!A1902</f>
        <v>S019</v>
      </c>
      <c r="B1904" s="35">
        <f>Demand!B1902</f>
        <v>46271.0</v>
      </c>
      <c r="C1904" s="33">
        <f>Demand!C1902</f>
        <v>20</v>
      </c>
      <c r="D1904" s="33">
        <f>Demand!E1902</f>
        <v>24</v>
      </c>
      <c r="E1904" s="33">
        <f>IF(Demand!F1902,1,0)</f>
        <v>1</v>
      </c>
      <c r="F1904" s="33">
        <f>COUNTIFS(c_store,A1904,c_date,B1904,c_hour,C1904)</f>
        <v>0</v>
      </c>
      <c r="G1904" s="33">
        <f>IF(F1904&gt;0,1,0)</f>
        <v>0</v>
      </c>
      <c r="H1904" s="33">
        <f>COUNTIFS(Demand!$A$2:$A$4481,A1904,Demand!$B$2:$B$4481,B1904,Demand!$C$2:$C$4481,C1904)</f>
        <v>1</v>
      </c>
    </row>
    <row r="1905">
      <c r="A1905" s="32" t="str">
        <f>Demand!A1903</f>
        <v>S019</v>
      </c>
      <c r="B1905" s="35">
        <f>Demand!B1903</f>
        <v>46271.0</v>
      </c>
      <c r="C1905" s="33">
        <f>Demand!C1903</f>
        <v>21</v>
      </c>
      <c r="D1905" s="33">
        <f>Demand!E1903</f>
        <v>44</v>
      </c>
      <c r="E1905" s="33">
        <f>IF(Demand!F1903,1,0)</f>
        <v>1</v>
      </c>
      <c r="F1905" s="33">
        <f>COUNTIFS(c_store,A1905,c_date,B1905,c_hour,C1905)</f>
        <v>1</v>
      </c>
      <c r="G1905" s="33">
        <f>IF(F1905&gt;0,1,0)</f>
        <v>1</v>
      </c>
      <c r="H1905" s="33">
        <f>COUNTIFS(Demand!$A$2:$A$4481,A1905,Demand!$B$2:$B$4481,B1905,Demand!$C$2:$C$4481,C1905)</f>
        <v>1</v>
      </c>
    </row>
    <row r="1906">
      <c r="A1906" s="32" t="str">
        <f>Demand!A1904</f>
        <v>S019</v>
      </c>
      <c r="B1906" s="35">
        <f>Demand!B1904</f>
        <v>46271.0</v>
      </c>
      <c r="C1906" s="33">
        <f>Demand!C1904</f>
        <v>22</v>
      </c>
      <c r="D1906" s="33">
        <f>Demand!E1904</f>
        <v>22</v>
      </c>
      <c r="E1906" s="33">
        <f>IF(Demand!F1904,1,0)</f>
        <v>0</v>
      </c>
      <c r="F1906" s="33">
        <f>COUNTIFS(c_store,A1906,c_date,B1906,c_hour,C1906)</f>
        <v>0</v>
      </c>
      <c r="G1906" s="33">
        <f>IF(F1906&gt;0,1,0)</f>
        <v>0</v>
      </c>
      <c r="H1906" s="33">
        <f>COUNTIFS(Demand!$A$2:$A$4481,A1906,Demand!$B$2:$B$4481,B1906,Demand!$C$2:$C$4481,C1906)</f>
        <v>1</v>
      </c>
    </row>
    <row r="1907">
      <c r="A1907" s="32" t="str">
        <f>Demand!A1905</f>
        <v>S019</v>
      </c>
      <c r="B1907" s="35">
        <f>Demand!B1905</f>
        <v>46271.0</v>
      </c>
      <c r="C1907" s="33">
        <f>Demand!C1905</f>
        <v>23</v>
      </c>
      <c r="D1907" s="33">
        <f>Demand!E1905</f>
        <v>20</v>
      </c>
      <c r="E1907" s="33">
        <f>IF(Demand!F1905,1,0)</f>
        <v>0</v>
      </c>
      <c r="F1907" s="33">
        <f>COUNTIFS(c_store,A1907,c_date,B1907,c_hour,C1907)</f>
        <v>2</v>
      </c>
      <c r="G1907" s="33">
        <f>IF(F1907&gt;0,1,0)</f>
        <v>1</v>
      </c>
      <c r="H1907" s="33">
        <f>COUNTIFS(Demand!$A$2:$A$4481,A1907,Demand!$B$2:$B$4481,B1907,Demand!$C$2:$C$4481,C1907)</f>
        <v>1</v>
      </c>
    </row>
    <row r="1908">
      <c r="A1908" s="32" t="str">
        <f>Demand!A1906</f>
        <v>S020</v>
      </c>
      <c r="B1908" s="35">
        <f>Demand!B1906</f>
        <v>46271.0</v>
      </c>
      <c r="C1908" s="33">
        <f>Demand!C1906</f>
        <v>8</v>
      </c>
      <c r="D1908" s="33">
        <f>Demand!E1906</f>
        <v>18</v>
      </c>
      <c r="E1908" s="33">
        <f>IF(Demand!F1906,1,0)</f>
        <v>0</v>
      </c>
      <c r="F1908" s="33">
        <f>COUNTIFS(c_store,A1908,c_date,B1908,c_hour,C1908)</f>
        <v>0</v>
      </c>
      <c r="G1908" s="33">
        <f>IF(F1908&gt;0,1,0)</f>
        <v>0</v>
      </c>
      <c r="H1908" s="33">
        <f>COUNTIFS(Demand!$A$2:$A$4481,A1908,Demand!$B$2:$B$4481,B1908,Demand!$C$2:$C$4481,C1908)</f>
        <v>1</v>
      </c>
    </row>
    <row r="1909">
      <c r="A1909" s="32" t="str">
        <f>Demand!A1907</f>
        <v>S020</v>
      </c>
      <c r="B1909" s="35">
        <f>Demand!B1907</f>
        <v>46271.0</v>
      </c>
      <c r="C1909" s="33">
        <f>Demand!C1907</f>
        <v>9</v>
      </c>
      <c r="D1909" s="33">
        <f>Demand!E1907</f>
        <v>14</v>
      </c>
      <c r="E1909" s="33">
        <f>IF(Demand!F1907,1,0)</f>
        <v>0</v>
      </c>
      <c r="F1909" s="33">
        <f>COUNTIFS(c_store,A1909,c_date,B1909,c_hour,C1909)</f>
        <v>1</v>
      </c>
      <c r="G1909" s="33">
        <f>IF(F1909&gt;0,1,0)</f>
        <v>1</v>
      </c>
      <c r="H1909" s="33">
        <f>COUNTIFS(Demand!$A$2:$A$4481,A1909,Demand!$B$2:$B$4481,B1909,Demand!$C$2:$C$4481,C1909)</f>
        <v>1</v>
      </c>
    </row>
    <row r="1910">
      <c r="A1910" s="32" t="str">
        <f>Demand!A1908</f>
        <v>S020</v>
      </c>
      <c r="B1910" s="35">
        <f>Demand!B1908</f>
        <v>46271.0</v>
      </c>
      <c r="C1910" s="33">
        <f>Demand!C1908</f>
        <v>10</v>
      </c>
      <c r="D1910" s="33">
        <f>Demand!E1908</f>
        <v>5</v>
      </c>
      <c r="E1910" s="33">
        <f>IF(Demand!F1908,1,0)</f>
        <v>0</v>
      </c>
      <c r="F1910" s="33">
        <f>COUNTIFS(c_store,A1910,c_date,B1910,c_hour,C1910)</f>
        <v>0</v>
      </c>
      <c r="G1910" s="33">
        <f>IF(F1910&gt;0,1,0)</f>
        <v>0</v>
      </c>
      <c r="H1910" s="33">
        <f>COUNTIFS(Demand!$A$2:$A$4481,A1910,Demand!$B$2:$B$4481,B1910,Demand!$C$2:$C$4481,C1910)</f>
        <v>1</v>
      </c>
    </row>
    <row r="1911">
      <c r="A1911" s="32" t="str">
        <f>Demand!A1909</f>
        <v>S020</v>
      </c>
      <c r="B1911" s="35">
        <f>Demand!B1909</f>
        <v>46271.0</v>
      </c>
      <c r="C1911" s="33">
        <f>Demand!C1909</f>
        <v>11</v>
      </c>
      <c r="D1911" s="33">
        <f>Demand!E1909</f>
        <v>14</v>
      </c>
      <c r="E1911" s="33">
        <f>IF(Demand!F1909,1,0)</f>
        <v>0</v>
      </c>
      <c r="F1911" s="33">
        <f>COUNTIFS(c_store,A1911,c_date,B1911,c_hour,C1911)</f>
        <v>0</v>
      </c>
      <c r="G1911" s="33">
        <f>IF(F1911&gt;0,1,0)</f>
        <v>0</v>
      </c>
      <c r="H1911" s="33">
        <f>COUNTIFS(Demand!$A$2:$A$4481,A1911,Demand!$B$2:$B$4481,B1911,Demand!$C$2:$C$4481,C1911)</f>
        <v>1</v>
      </c>
    </row>
    <row r="1912">
      <c r="A1912" s="32" t="str">
        <f>Demand!A1910</f>
        <v>S020</v>
      </c>
      <c r="B1912" s="35">
        <f>Demand!B1910</f>
        <v>46271.0</v>
      </c>
      <c r="C1912" s="33">
        <f>Demand!C1910</f>
        <v>12</v>
      </c>
      <c r="D1912" s="33">
        <f>Demand!E1910</f>
        <v>14</v>
      </c>
      <c r="E1912" s="33">
        <f>IF(Demand!F1910,1,0)</f>
        <v>0</v>
      </c>
      <c r="F1912" s="33">
        <f>COUNTIFS(c_store,A1912,c_date,B1912,c_hour,C1912)</f>
        <v>2</v>
      </c>
      <c r="G1912" s="33">
        <f>IF(F1912&gt;0,1,0)</f>
        <v>1</v>
      </c>
      <c r="H1912" s="33">
        <f>COUNTIFS(Demand!$A$2:$A$4481,A1912,Demand!$B$2:$B$4481,B1912,Demand!$C$2:$C$4481,C1912)</f>
        <v>1</v>
      </c>
    </row>
    <row r="1913">
      <c r="A1913" s="32" t="str">
        <f>Demand!A1911</f>
        <v>S020</v>
      </c>
      <c r="B1913" s="35">
        <f>Demand!B1911</f>
        <v>46271.0</v>
      </c>
      <c r="C1913" s="33">
        <f>Demand!C1911</f>
        <v>13</v>
      </c>
      <c r="D1913" s="33">
        <f>Demand!E1911</f>
        <v>14</v>
      </c>
      <c r="E1913" s="33">
        <f>IF(Demand!F1911,1,0)</f>
        <v>0</v>
      </c>
      <c r="F1913" s="33">
        <f>COUNTIFS(c_store,A1913,c_date,B1913,c_hour,C1913)</f>
        <v>0</v>
      </c>
      <c r="G1913" s="33">
        <f>IF(F1913&gt;0,1,0)</f>
        <v>0</v>
      </c>
      <c r="H1913" s="33">
        <f>COUNTIFS(Demand!$A$2:$A$4481,A1913,Demand!$B$2:$B$4481,B1913,Demand!$C$2:$C$4481,C1913)</f>
        <v>1</v>
      </c>
    </row>
    <row r="1914">
      <c r="A1914" s="32" t="str">
        <f>Demand!A1912</f>
        <v>S020</v>
      </c>
      <c r="B1914" s="35">
        <f>Demand!B1912</f>
        <v>46271.0</v>
      </c>
      <c r="C1914" s="33">
        <f>Demand!C1912</f>
        <v>14</v>
      </c>
      <c r="D1914" s="33">
        <f>Demand!E1912</f>
        <v>14</v>
      </c>
      <c r="E1914" s="33">
        <f>IF(Demand!F1912,1,0)</f>
        <v>0</v>
      </c>
      <c r="F1914" s="33">
        <f>COUNTIFS(c_store,A1914,c_date,B1914,c_hour,C1914)</f>
        <v>2</v>
      </c>
      <c r="G1914" s="33">
        <f>IF(F1914&gt;0,1,0)</f>
        <v>1</v>
      </c>
      <c r="H1914" s="33">
        <f>COUNTIFS(Demand!$A$2:$A$4481,A1914,Demand!$B$2:$B$4481,B1914,Demand!$C$2:$C$4481,C1914)</f>
        <v>1</v>
      </c>
    </row>
    <row r="1915">
      <c r="A1915" s="32" t="str">
        <f>Demand!A1913</f>
        <v>S020</v>
      </c>
      <c r="B1915" s="35">
        <f>Demand!B1913</f>
        <v>46271.0</v>
      </c>
      <c r="C1915" s="33">
        <f>Demand!C1913</f>
        <v>15</v>
      </c>
      <c r="D1915" s="33">
        <f>Demand!E1913</f>
        <v>9</v>
      </c>
      <c r="E1915" s="33">
        <f>IF(Demand!F1913,1,0)</f>
        <v>0</v>
      </c>
      <c r="F1915" s="33">
        <f>COUNTIFS(c_store,A1915,c_date,B1915,c_hour,C1915)</f>
        <v>1</v>
      </c>
      <c r="G1915" s="33">
        <f>IF(F1915&gt;0,1,0)</f>
        <v>1</v>
      </c>
      <c r="H1915" s="33">
        <f>COUNTIFS(Demand!$A$2:$A$4481,A1915,Demand!$B$2:$B$4481,B1915,Demand!$C$2:$C$4481,C1915)</f>
        <v>1</v>
      </c>
    </row>
    <row r="1916">
      <c r="A1916" s="32" t="str">
        <f>Demand!A1914</f>
        <v>S020</v>
      </c>
      <c r="B1916" s="35">
        <f>Demand!B1914</f>
        <v>46271.0</v>
      </c>
      <c r="C1916" s="33">
        <f>Demand!C1914</f>
        <v>16</v>
      </c>
      <c r="D1916" s="33">
        <f>Demand!E1914</f>
        <v>15</v>
      </c>
      <c r="E1916" s="33">
        <f>IF(Demand!F1914,1,0)</f>
        <v>0</v>
      </c>
      <c r="F1916" s="33">
        <f>COUNTIFS(c_store,A1916,c_date,B1916,c_hour,C1916)</f>
        <v>0</v>
      </c>
      <c r="G1916" s="33">
        <f>IF(F1916&gt;0,1,0)</f>
        <v>0</v>
      </c>
      <c r="H1916" s="33">
        <f>COUNTIFS(Demand!$A$2:$A$4481,A1916,Demand!$B$2:$B$4481,B1916,Demand!$C$2:$C$4481,C1916)</f>
        <v>1</v>
      </c>
    </row>
    <row r="1917">
      <c r="A1917" s="32" t="str">
        <f>Demand!A1915</f>
        <v>S020</v>
      </c>
      <c r="B1917" s="35">
        <f>Demand!B1915</f>
        <v>46271.0</v>
      </c>
      <c r="C1917" s="33">
        <f>Demand!C1915</f>
        <v>17</v>
      </c>
      <c r="D1917" s="33">
        <f>Demand!E1915</f>
        <v>17</v>
      </c>
      <c r="E1917" s="33">
        <f>IF(Demand!F1915,1,0)</f>
        <v>0</v>
      </c>
      <c r="F1917" s="33">
        <f>COUNTIFS(c_store,A1917,c_date,B1917,c_hour,C1917)</f>
        <v>0</v>
      </c>
      <c r="G1917" s="33">
        <f>IF(F1917&gt;0,1,0)</f>
        <v>0</v>
      </c>
      <c r="H1917" s="33">
        <f>COUNTIFS(Demand!$A$2:$A$4481,A1917,Demand!$B$2:$B$4481,B1917,Demand!$C$2:$C$4481,C1917)</f>
        <v>1</v>
      </c>
    </row>
    <row r="1918">
      <c r="A1918" s="32" t="str">
        <f>Demand!A1916</f>
        <v>S020</v>
      </c>
      <c r="B1918" s="35">
        <f>Demand!B1916</f>
        <v>46271.0</v>
      </c>
      <c r="C1918" s="33">
        <f>Demand!C1916</f>
        <v>18</v>
      </c>
      <c r="D1918" s="33">
        <f>Demand!E1916</f>
        <v>9</v>
      </c>
      <c r="E1918" s="33">
        <f>IF(Demand!F1916,1,0)</f>
        <v>0</v>
      </c>
      <c r="F1918" s="33">
        <f>COUNTIFS(c_store,A1918,c_date,B1918,c_hour,C1918)</f>
        <v>0</v>
      </c>
      <c r="G1918" s="33">
        <f>IF(F1918&gt;0,1,0)</f>
        <v>0</v>
      </c>
      <c r="H1918" s="33">
        <f>COUNTIFS(Demand!$A$2:$A$4481,A1918,Demand!$B$2:$B$4481,B1918,Demand!$C$2:$C$4481,C1918)</f>
        <v>1</v>
      </c>
    </row>
    <row r="1919">
      <c r="A1919" s="32" t="str">
        <f>Demand!A1917</f>
        <v>S020</v>
      </c>
      <c r="B1919" s="35">
        <f>Demand!B1917</f>
        <v>46271.0</v>
      </c>
      <c r="C1919" s="33">
        <f>Demand!C1917</f>
        <v>19</v>
      </c>
      <c r="D1919" s="33">
        <f>Demand!E1917</f>
        <v>24</v>
      </c>
      <c r="E1919" s="33">
        <f>IF(Demand!F1917,1,0)</f>
        <v>1</v>
      </c>
      <c r="F1919" s="33">
        <f>COUNTIFS(c_store,A1919,c_date,B1919,c_hour,C1919)</f>
        <v>0</v>
      </c>
      <c r="G1919" s="33">
        <f>IF(F1919&gt;0,1,0)</f>
        <v>0</v>
      </c>
      <c r="H1919" s="33">
        <f>COUNTIFS(Demand!$A$2:$A$4481,A1919,Demand!$B$2:$B$4481,B1919,Demand!$C$2:$C$4481,C1919)</f>
        <v>1</v>
      </c>
    </row>
    <row r="1920">
      <c r="A1920" s="32" t="str">
        <f>Demand!A1918</f>
        <v>S020</v>
      </c>
      <c r="B1920" s="35">
        <f>Demand!B1918</f>
        <v>46271.0</v>
      </c>
      <c r="C1920" s="33">
        <f>Demand!C1918</f>
        <v>20</v>
      </c>
      <c r="D1920" s="33">
        <f>Demand!E1918</f>
        <v>22</v>
      </c>
      <c r="E1920" s="33">
        <f>IF(Demand!F1918,1,0)</f>
        <v>1</v>
      </c>
      <c r="F1920" s="33">
        <f>COUNTIFS(c_store,A1920,c_date,B1920,c_hour,C1920)</f>
        <v>1</v>
      </c>
      <c r="G1920" s="33">
        <f>IF(F1920&gt;0,1,0)</f>
        <v>1</v>
      </c>
      <c r="H1920" s="33">
        <f>COUNTIFS(Demand!$A$2:$A$4481,A1920,Demand!$B$2:$B$4481,B1920,Demand!$C$2:$C$4481,C1920)</f>
        <v>1</v>
      </c>
    </row>
    <row r="1921">
      <c r="A1921" s="32" t="str">
        <f>Demand!A1919</f>
        <v>S020</v>
      </c>
      <c r="B1921" s="35">
        <f>Demand!B1919</f>
        <v>46271.0</v>
      </c>
      <c r="C1921" s="33">
        <f>Demand!C1919</f>
        <v>21</v>
      </c>
      <c r="D1921" s="33">
        <f>Demand!E1919</f>
        <v>22</v>
      </c>
      <c r="E1921" s="33">
        <f>IF(Demand!F1919,1,0)</f>
        <v>1</v>
      </c>
      <c r="F1921" s="33">
        <f>COUNTIFS(c_store,A1921,c_date,B1921,c_hour,C1921)</f>
        <v>1</v>
      </c>
      <c r="G1921" s="33">
        <f>IF(F1921&gt;0,1,0)</f>
        <v>1</v>
      </c>
      <c r="H1921" s="33">
        <f>COUNTIFS(Demand!$A$2:$A$4481,A1921,Demand!$B$2:$B$4481,B1921,Demand!$C$2:$C$4481,C1921)</f>
        <v>1</v>
      </c>
    </row>
    <row r="1922">
      <c r="A1922" s="32" t="str">
        <f>Demand!A1920</f>
        <v>S020</v>
      </c>
      <c r="B1922" s="35">
        <f>Demand!B1920</f>
        <v>46271.0</v>
      </c>
      <c r="C1922" s="33">
        <f>Demand!C1920</f>
        <v>22</v>
      </c>
      <c r="D1922" s="33">
        <f>Demand!E1920</f>
        <v>12</v>
      </c>
      <c r="E1922" s="33">
        <f>IF(Demand!F1920,1,0)</f>
        <v>0</v>
      </c>
      <c r="F1922" s="33">
        <f>COUNTIFS(c_store,A1922,c_date,B1922,c_hour,C1922)</f>
        <v>1</v>
      </c>
      <c r="G1922" s="33">
        <f>IF(F1922&gt;0,1,0)</f>
        <v>1</v>
      </c>
      <c r="H1922" s="33">
        <f>COUNTIFS(Demand!$A$2:$A$4481,A1922,Demand!$B$2:$B$4481,B1922,Demand!$C$2:$C$4481,C1922)</f>
        <v>1</v>
      </c>
    </row>
    <row r="1923">
      <c r="A1923" s="32" t="str">
        <f>Demand!A1921</f>
        <v>S020</v>
      </c>
      <c r="B1923" s="35">
        <f>Demand!B1921</f>
        <v>46271.0</v>
      </c>
      <c r="C1923" s="33">
        <f>Demand!C1921</f>
        <v>23</v>
      </c>
      <c r="D1923" s="33">
        <f>Demand!E1921</f>
        <v>12</v>
      </c>
      <c r="E1923" s="33">
        <f>IF(Demand!F1921,1,0)</f>
        <v>0</v>
      </c>
      <c r="F1923" s="33">
        <f>COUNTIFS(c_store,A1923,c_date,B1923,c_hour,C1923)</f>
        <v>0</v>
      </c>
      <c r="G1923" s="33">
        <f>IF(F1923&gt;0,1,0)</f>
        <v>0</v>
      </c>
      <c r="H1923" s="33">
        <f>COUNTIFS(Demand!$A$2:$A$4481,A1923,Demand!$B$2:$B$4481,B1923,Demand!$C$2:$C$4481,C1923)</f>
        <v>1</v>
      </c>
    </row>
    <row r="1924">
      <c r="A1924" s="32" t="str">
        <f>Demand!A1922</f>
        <v>S001</v>
      </c>
      <c r="B1924" s="35">
        <f>Demand!B1922</f>
        <v>46272.0</v>
      </c>
      <c r="C1924" s="33">
        <f>Demand!C1922</f>
        <v>8</v>
      </c>
      <c r="D1924" s="33">
        <f>Demand!E1922</f>
        <v>14</v>
      </c>
      <c r="E1924" s="33">
        <f>IF(Demand!F1922,1,0)</f>
        <v>0</v>
      </c>
      <c r="F1924" s="33">
        <f>COUNTIFS(c_store,A1924,c_date,B1924,c_hour,C1924)</f>
        <v>0</v>
      </c>
      <c r="G1924" s="33">
        <f>IF(F1924&gt;0,1,0)</f>
        <v>0</v>
      </c>
      <c r="H1924" s="33">
        <f>COUNTIFS(Demand!$A$2:$A$4481,A1924,Demand!$B$2:$B$4481,B1924,Demand!$C$2:$C$4481,C1924)</f>
        <v>1</v>
      </c>
    </row>
    <row r="1925">
      <c r="A1925" s="32" t="str">
        <f>Demand!A1923</f>
        <v>S001</v>
      </c>
      <c r="B1925" s="35">
        <f>Demand!B1923</f>
        <v>46272.0</v>
      </c>
      <c r="C1925" s="33">
        <f>Demand!C1923</f>
        <v>9</v>
      </c>
      <c r="D1925" s="33">
        <f>Demand!E1923</f>
        <v>10</v>
      </c>
      <c r="E1925" s="33">
        <f>IF(Demand!F1923,1,0)</f>
        <v>0</v>
      </c>
      <c r="F1925" s="33">
        <f>COUNTIFS(c_store,A1925,c_date,B1925,c_hour,C1925)</f>
        <v>0</v>
      </c>
      <c r="G1925" s="33">
        <f>IF(F1925&gt;0,1,0)</f>
        <v>0</v>
      </c>
      <c r="H1925" s="33">
        <f>COUNTIFS(Demand!$A$2:$A$4481,A1925,Demand!$B$2:$B$4481,B1925,Demand!$C$2:$C$4481,C1925)</f>
        <v>1</v>
      </c>
    </row>
    <row r="1926">
      <c r="A1926" s="32" t="str">
        <f>Demand!A1924</f>
        <v>S001</v>
      </c>
      <c r="B1926" s="35">
        <f>Demand!B1924</f>
        <v>46272.0</v>
      </c>
      <c r="C1926" s="33">
        <f>Demand!C1924</f>
        <v>10</v>
      </c>
      <c r="D1926" s="33">
        <f>Demand!E1924</f>
        <v>12</v>
      </c>
      <c r="E1926" s="33">
        <f>IF(Demand!F1924,1,0)</f>
        <v>0</v>
      </c>
      <c r="F1926" s="33">
        <f>COUNTIFS(c_store,A1926,c_date,B1926,c_hour,C1926)</f>
        <v>0</v>
      </c>
      <c r="G1926" s="33">
        <f>IF(F1926&gt;0,1,0)</f>
        <v>0</v>
      </c>
      <c r="H1926" s="33">
        <f>COUNTIFS(Demand!$A$2:$A$4481,A1926,Demand!$B$2:$B$4481,B1926,Demand!$C$2:$C$4481,C1926)</f>
        <v>1</v>
      </c>
    </row>
    <row r="1927">
      <c r="A1927" s="32" t="str">
        <f>Demand!A1925</f>
        <v>S001</v>
      </c>
      <c r="B1927" s="35">
        <f>Demand!B1925</f>
        <v>46272.0</v>
      </c>
      <c r="C1927" s="33">
        <f>Demand!C1925</f>
        <v>11</v>
      </c>
      <c r="D1927" s="33">
        <f>Demand!E1925</f>
        <v>15</v>
      </c>
      <c r="E1927" s="33">
        <f>IF(Demand!F1925,1,0)</f>
        <v>0</v>
      </c>
      <c r="F1927" s="33">
        <f>COUNTIFS(c_store,A1927,c_date,B1927,c_hour,C1927)</f>
        <v>0</v>
      </c>
      <c r="G1927" s="33">
        <f>IF(F1927&gt;0,1,0)</f>
        <v>0</v>
      </c>
      <c r="H1927" s="33">
        <f>COUNTIFS(Demand!$A$2:$A$4481,A1927,Demand!$B$2:$B$4481,B1927,Demand!$C$2:$C$4481,C1927)</f>
        <v>1</v>
      </c>
    </row>
    <row r="1928">
      <c r="A1928" s="32" t="str">
        <f>Demand!A1926</f>
        <v>S001</v>
      </c>
      <c r="B1928" s="35">
        <f>Demand!B1926</f>
        <v>46272.0</v>
      </c>
      <c r="C1928" s="33">
        <f>Demand!C1926</f>
        <v>12</v>
      </c>
      <c r="D1928" s="33">
        <f>Demand!E1926</f>
        <v>16</v>
      </c>
      <c r="E1928" s="33">
        <f>IF(Demand!F1926,1,0)</f>
        <v>0</v>
      </c>
      <c r="F1928" s="33">
        <f>COUNTIFS(c_store,A1928,c_date,B1928,c_hour,C1928)</f>
        <v>0</v>
      </c>
      <c r="G1928" s="33">
        <f>IF(F1928&gt;0,1,0)</f>
        <v>0</v>
      </c>
      <c r="H1928" s="33">
        <f>COUNTIFS(Demand!$A$2:$A$4481,A1928,Demand!$B$2:$B$4481,B1928,Demand!$C$2:$C$4481,C1928)</f>
        <v>1</v>
      </c>
    </row>
    <row r="1929">
      <c r="A1929" s="32" t="str">
        <f>Demand!A1927</f>
        <v>S001</v>
      </c>
      <c r="B1929" s="35">
        <f>Demand!B1927</f>
        <v>46272.0</v>
      </c>
      <c r="C1929" s="33">
        <f>Demand!C1927</f>
        <v>13</v>
      </c>
      <c r="D1929" s="33">
        <f>Demand!E1927</f>
        <v>24</v>
      </c>
      <c r="E1929" s="33">
        <f>IF(Demand!F1927,1,0)</f>
        <v>0</v>
      </c>
      <c r="F1929" s="33">
        <f>COUNTIFS(c_store,A1929,c_date,B1929,c_hour,C1929)</f>
        <v>1</v>
      </c>
      <c r="G1929" s="33">
        <f>IF(F1929&gt;0,1,0)</f>
        <v>1</v>
      </c>
      <c r="H1929" s="33">
        <f>COUNTIFS(Demand!$A$2:$A$4481,A1929,Demand!$B$2:$B$4481,B1929,Demand!$C$2:$C$4481,C1929)</f>
        <v>1</v>
      </c>
    </row>
    <row r="1930">
      <c r="A1930" s="32" t="str">
        <f>Demand!A1928</f>
        <v>S001</v>
      </c>
      <c r="B1930" s="35">
        <f>Demand!B1928</f>
        <v>46272.0</v>
      </c>
      <c r="C1930" s="33">
        <f>Demand!C1928</f>
        <v>14</v>
      </c>
      <c r="D1930" s="33">
        <f>Demand!E1928</f>
        <v>7</v>
      </c>
      <c r="E1930" s="33">
        <f>IF(Demand!F1928,1,0)</f>
        <v>0</v>
      </c>
      <c r="F1930" s="33">
        <f>COUNTIFS(c_store,A1930,c_date,B1930,c_hour,C1930)</f>
        <v>1</v>
      </c>
      <c r="G1930" s="33">
        <f>IF(F1930&gt;0,1,0)</f>
        <v>1</v>
      </c>
      <c r="H1930" s="33">
        <f>COUNTIFS(Demand!$A$2:$A$4481,A1930,Demand!$B$2:$B$4481,B1930,Demand!$C$2:$C$4481,C1930)</f>
        <v>1</v>
      </c>
    </row>
    <row r="1931">
      <c r="A1931" s="32" t="str">
        <f>Demand!A1929</f>
        <v>S001</v>
      </c>
      <c r="B1931" s="35">
        <f>Demand!B1929</f>
        <v>46272.0</v>
      </c>
      <c r="C1931" s="33">
        <f>Demand!C1929</f>
        <v>15</v>
      </c>
      <c r="D1931" s="33">
        <f>Demand!E1929</f>
        <v>9</v>
      </c>
      <c r="E1931" s="33">
        <f>IF(Demand!F1929,1,0)</f>
        <v>0</v>
      </c>
      <c r="F1931" s="33">
        <f>COUNTIFS(c_store,A1931,c_date,B1931,c_hour,C1931)</f>
        <v>0</v>
      </c>
      <c r="G1931" s="33">
        <f>IF(F1931&gt;0,1,0)</f>
        <v>0</v>
      </c>
      <c r="H1931" s="33">
        <f>COUNTIFS(Demand!$A$2:$A$4481,A1931,Demand!$B$2:$B$4481,B1931,Demand!$C$2:$C$4481,C1931)</f>
        <v>1</v>
      </c>
    </row>
    <row r="1932">
      <c r="A1932" s="32" t="str">
        <f>Demand!A1930</f>
        <v>S001</v>
      </c>
      <c r="B1932" s="35">
        <f>Demand!B1930</f>
        <v>46272.0</v>
      </c>
      <c r="C1932" s="33">
        <f>Demand!C1930</f>
        <v>16</v>
      </c>
      <c r="D1932" s="33">
        <f>Demand!E1930</f>
        <v>13</v>
      </c>
      <c r="E1932" s="33">
        <f>IF(Demand!F1930,1,0)</f>
        <v>0</v>
      </c>
      <c r="F1932" s="33">
        <f>COUNTIFS(c_store,A1932,c_date,B1932,c_hour,C1932)</f>
        <v>1</v>
      </c>
      <c r="G1932" s="33">
        <f>IF(F1932&gt;0,1,0)</f>
        <v>1</v>
      </c>
      <c r="H1932" s="33">
        <f>COUNTIFS(Demand!$A$2:$A$4481,A1932,Demand!$B$2:$B$4481,B1932,Demand!$C$2:$C$4481,C1932)</f>
        <v>1</v>
      </c>
    </row>
    <row r="1933">
      <c r="A1933" s="32" t="str">
        <f>Demand!A1931</f>
        <v>S001</v>
      </c>
      <c r="B1933" s="35">
        <f>Demand!B1931</f>
        <v>46272.0</v>
      </c>
      <c r="C1933" s="33">
        <f>Demand!C1931</f>
        <v>17</v>
      </c>
      <c r="D1933" s="33">
        <f>Demand!E1931</f>
        <v>15</v>
      </c>
      <c r="E1933" s="33">
        <f>IF(Demand!F1931,1,0)</f>
        <v>0</v>
      </c>
      <c r="F1933" s="33">
        <f>COUNTIFS(c_store,A1933,c_date,B1933,c_hour,C1933)</f>
        <v>1</v>
      </c>
      <c r="G1933" s="33">
        <f>IF(F1933&gt;0,1,0)</f>
        <v>1</v>
      </c>
      <c r="H1933" s="33">
        <f>COUNTIFS(Demand!$A$2:$A$4481,A1933,Demand!$B$2:$B$4481,B1933,Demand!$C$2:$C$4481,C1933)</f>
        <v>1</v>
      </c>
    </row>
    <row r="1934">
      <c r="A1934" s="32" t="str">
        <f>Demand!A1932</f>
        <v>S001</v>
      </c>
      <c r="B1934" s="35">
        <f>Demand!B1932</f>
        <v>46272.0</v>
      </c>
      <c r="C1934" s="33">
        <f>Demand!C1932</f>
        <v>18</v>
      </c>
      <c r="D1934" s="33">
        <f>Demand!E1932</f>
        <v>12</v>
      </c>
      <c r="E1934" s="33">
        <f>IF(Demand!F1932,1,0)</f>
        <v>0</v>
      </c>
      <c r="F1934" s="33">
        <f>COUNTIFS(c_store,A1934,c_date,B1934,c_hour,C1934)</f>
        <v>0</v>
      </c>
      <c r="G1934" s="33">
        <f>IF(F1934&gt;0,1,0)</f>
        <v>0</v>
      </c>
      <c r="H1934" s="33">
        <f>COUNTIFS(Demand!$A$2:$A$4481,A1934,Demand!$B$2:$B$4481,B1934,Demand!$C$2:$C$4481,C1934)</f>
        <v>1</v>
      </c>
    </row>
    <row r="1935">
      <c r="A1935" s="32" t="str">
        <f>Demand!A1933</f>
        <v>S001</v>
      </c>
      <c r="B1935" s="35">
        <f>Demand!B1933</f>
        <v>46272.0</v>
      </c>
      <c r="C1935" s="33">
        <f>Demand!C1933</f>
        <v>19</v>
      </c>
      <c r="D1935" s="33">
        <f>Demand!E1933</f>
        <v>29</v>
      </c>
      <c r="E1935" s="33">
        <f>IF(Demand!F1933,1,0)</f>
        <v>1</v>
      </c>
      <c r="F1935" s="33">
        <f>COUNTIFS(c_store,A1935,c_date,B1935,c_hour,C1935)</f>
        <v>0</v>
      </c>
      <c r="G1935" s="33">
        <f>IF(F1935&gt;0,1,0)</f>
        <v>0</v>
      </c>
      <c r="H1935" s="33">
        <f>COUNTIFS(Demand!$A$2:$A$4481,A1935,Demand!$B$2:$B$4481,B1935,Demand!$C$2:$C$4481,C1935)</f>
        <v>1</v>
      </c>
    </row>
    <row r="1936">
      <c r="A1936" s="32" t="str">
        <f>Demand!A1934</f>
        <v>S001</v>
      </c>
      <c r="B1936" s="35">
        <f>Demand!B1934</f>
        <v>46272.0</v>
      </c>
      <c r="C1936" s="33">
        <f>Demand!C1934</f>
        <v>20</v>
      </c>
      <c r="D1936" s="33">
        <f>Demand!E1934</f>
        <v>18</v>
      </c>
      <c r="E1936" s="33">
        <f>IF(Demand!F1934,1,0)</f>
        <v>1</v>
      </c>
      <c r="F1936" s="33">
        <f>COUNTIFS(c_store,A1936,c_date,B1936,c_hour,C1936)</f>
        <v>0</v>
      </c>
      <c r="G1936" s="33">
        <f>IF(F1936&gt;0,1,0)</f>
        <v>0</v>
      </c>
      <c r="H1936" s="33">
        <f>COUNTIFS(Demand!$A$2:$A$4481,A1936,Demand!$B$2:$B$4481,B1936,Demand!$C$2:$C$4481,C1936)</f>
        <v>1</v>
      </c>
    </row>
    <row r="1937">
      <c r="A1937" s="32" t="str">
        <f>Demand!A1935</f>
        <v>S001</v>
      </c>
      <c r="B1937" s="35">
        <f>Demand!B1935</f>
        <v>46272.0</v>
      </c>
      <c r="C1937" s="33">
        <f>Demand!C1935</f>
        <v>21</v>
      </c>
      <c r="D1937" s="33">
        <f>Demand!E1935</f>
        <v>28</v>
      </c>
      <c r="E1937" s="33">
        <f>IF(Demand!F1935,1,0)</f>
        <v>1</v>
      </c>
      <c r="F1937" s="33">
        <f>COUNTIFS(c_store,A1937,c_date,B1937,c_hour,C1937)</f>
        <v>0</v>
      </c>
      <c r="G1937" s="33">
        <f>IF(F1937&gt;0,1,0)</f>
        <v>0</v>
      </c>
      <c r="H1937" s="33">
        <f>COUNTIFS(Demand!$A$2:$A$4481,A1937,Demand!$B$2:$B$4481,B1937,Demand!$C$2:$C$4481,C1937)</f>
        <v>1</v>
      </c>
    </row>
    <row r="1938">
      <c r="A1938" s="32" t="str">
        <f>Demand!A1936</f>
        <v>S001</v>
      </c>
      <c r="B1938" s="35">
        <f>Demand!B1936</f>
        <v>46272.0</v>
      </c>
      <c r="C1938" s="33">
        <f>Demand!C1936</f>
        <v>22</v>
      </c>
      <c r="D1938" s="33">
        <f>Demand!E1936</f>
        <v>15</v>
      </c>
      <c r="E1938" s="33">
        <f>IF(Demand!F1936,1,0)</f>
        <v>0</v>
      </c>
      <c r="F1938" s="33">
        <f>COUNTIFS(c_store,A1938,c_date,B1938,c_hour,C1938)</f>
        <v>1</v>
      </c>
      <c r="G1938" s="33">
        <f>IF(F1938&gt;0,1,0)</f>
        <v>1</v>
      </c>
      <c r="H1938" s="33">
        <f>COUNTIFS(Demand!$A$2:$A$4481,A1938,Demand!$B$2:$B$4481,B1938,Demand!$C$2:$C$4481,C1938)</f>
        <v>1</v>
      </c>
    </row>
    <row r="1939">
      <c r="A1939" s="32" t="str">
        <f>Demand!A1937</f>
        <v>S001</v>
      </c>
      <c r="B1939" s="35">
        <f>Demand!B1937</f>
        <v>46272.0</v>
      </c>
      <c r="C1939" s="33">
        <f>Demand!C1937</f>
        <v>23</v>
      </c>
      <c r="D1939" s="33">
        <f>Demand!E1937</f>
        <v>23</v>
      </c>
      <c r="E1939" s="33">
        <f>IF(Demand!F1937,1,0)</f>
        <v>0</v>
      </c>
      <c r="F1939" s="33">
        <f>COUNTIFS(c_store,A1939,c_date,B1939,c_hour,C1939)</f>
        <v>0</v>
      </c>
      <c r="G1939" s="33">
        <f>IF(F1939&gt;0,1,0)</f>
        <v>0</v>
      </c>
      <c r="H1939" s="33">
        <f>COUNTIFS(Demand!$A$2:$A$4481,A1939,Demand!$B$2:$B$4481,B1939,Demand!$C$2:$C$4481,C1939)</f>
        <v>1</v>
      </c>
    </row>
    <row r="1940">
      <c r="A1940" s="32" t="str">
        <f>Demand!A1938</f>
        <v>S002</v>
      </c>
      <c r="B1940" s="35">
        <f>Demand!B1938</f>
        <v>46272.0</v>
      </c>
      <c r="C1940" s="33">
        <f>Demand!C1938</f>
        <v>8</v>
      </c>
      <c r="D1940" s="33">
        <f>Demand!E1938</f>
        <v>28</v>
      </c>
      <c r="E1940" s="33">
        <f>IF(Demand!F1938,1,0)</f>
        <v>0</v>
      </c>
      <c r="F1940" s="33">
        <f>COUNTIFS(c_store,A1940,c_date,B1940,c_hour,C1940)</f>
        <v>0</v>
      </c>
      <c r="G1940" s="33">
        <f>IF(F1940&gt;0,1,0)</f>
        <v>0</v>
      </c>
      <c r="H1940" s="33">
        <f>COUNTIFS(Demand!$A$2:$A$4481,A1940,Demand!$B$2:$B$4481,B1940,Demand!$C$2:$C$4481,C1940)</f>
        <v>1</v>
      </c>
    </row>
    <row r="1941">
      <c r="A1941" s="32" t="str">
        <f>Demand!A1939</f>
        <v>S002</v>
      </c>
      <c r="B1941" s="35">
        <f>Demand!B1939</f>
        <v>46272.0</v>
      </c>
      <c r="C1941" s="33">
        <f>Demand!C1939</f>
        <v>9</v>
      </c>
      <c r="D1941" s="33">
        <f>Demand!E1939</f>
        <v>19</v>
      </c>
      <c r="E1941" s="33">
        <f>IF(Demand!F1939,1,0)</f>
        <v>0</v>
      </c>
      <c r="F1941" s="33">
        <f>COUNTIFS(c_store,A1941,c_date,B1941,c_hour,C1941)</f>
        <v>0</v>
      </c>
      <c r="G1941" s="33">
        <f>IF(F1941&gt;0,1,0)</f>
        <v>0</v>
      </c>
      <c r="H1941" s="33">
        <f>COUNTIFS(Demand!$A$2:$A$4481,A1941,Demand!$B$2:$B$4481,B1941,Demand!$C$2:$C$4481,C1941)</f>
        <v>1</v>
      </c>
    </row>
    <row r="1942">
      <c r="A1942" s="32" t="str">
        <f>Demand!A1940</f>
        <v>S002</v>
      </c>
      <c r="B1942" s="35">
        <f>Demand!B1940</f>
        <v>46272.0</v>
      </c>
      <c r="C1942" s="33">
        <f>Demand!C1940</f>
        <v>10</v>
      </c>
      <c r="D1942" s="33">
        <f>Demand!E1940</f>
        <v>18</v>
      </c>
      <c r="E1942" s="33">
        <f>IF(Demand!F1940,1,0)</f>
        <v>0</v>
      </c>
      <c r="F1942" s="33">
        <f>COUNTIFS(c_store,A1942,c_date,B1942,c_hour,C1942)</f>
        <v>2</v>
      </c>
      <c r="G1942" s="33">
        <f>IF(F1942&gt;0,1,0)</f>
        <v>1</v>
      </c>
      <c r="H1942" s="33">
        <f>COUNTIFS(Demand!$A$2:$A$4481,A1942,Demand!$B$2:$B$4481,B1942,Demand!$C$2:$C$4481,C1942)</f>
        <v>1</v>
      </c>
    </row>
    <row r="1943">
      <c r="A1943" s="32" t="str">
        <f>Demand!A1941</f>
        <v>S002</v>
      </c>
      <c r="B1943" s="35">
        <f>Demand!B1941</f>
        <v>46272.0</v>
      </c>
      <c r="C1943" s="33">
        <f>Demand!C1941</f>
        <v>11</v>
      </c>
      <c r="D1943" s="33">
        <f>Demand!E1941</f>
        <v>30</v>
      </c>
      <c r="E1943" s="33">
        <f>IF(Demand!F1941,1,0)</f>
        <v>0</v>
      </c>
      <c r="F1943" s="33">
        <f>COUNTIFS(c_store,A1943,c_date,B1943,c_hour,C1943)</f>
        <v>0</v>
      </c>
      <c r="G1943" s="33">
        <f>IF(F1943&gt;0,1,0)</f>
        <v>0</v>
      </c>
      <c r="H1943" s="33">
        <f>COUNTIFS(Demand!$A$2:$A$4481,A1943,Demand!$B$2:$B$4481,B1943,Demand!$C$2:$C$4481,C1943)</f>
        <v>1</v>
      </c>
    </row>
    <row r="1944">
      <c r="A1944" s="32" t="str">
        <f>Demand!A1942</f>
        <v>S002</v>
      </c>
      <c r="B1944" s="35">
        <f>Demand!B1942</f>
        <v>46272.0</v>
      </c>
      <c r="C1944" s="33">
        <f>Demand!C1942</f>
        <v>12</v>
      </c>
      <c r="D1944" s="33">
        <f>Demand!E1942</f>
        <v>37</v>
      </c>
      <c r="E1944" s="33">
        <f>IF(Demand!F1942,1,0)</f>
        <v>0</v>
      </c>
      <c r="F1944" s="33">
        <f>COUNTIFS(c_store,A1944,c_date,B1944,c_hour,C1944)</f>
        <v>0</v>
      </c>
      <c r="G1944" s="33">
        <f>IF(F1944&gt;0,1,0)</f>
        <v>0</v>
      </c>
      <c r="H1944" s="33">
        <f>COUNTIFS(Demand!$A$2:$A$4481,A1944,Demand!$B$2:$B$4481,B1944,Demand!$C$2:$C$4481,C1944)</f>
        <v>1</v>
      </c>
    </row>
    <row r="1945">
      <c r="A1945" s="32" t="str">
        <f>Demand!A1943</f>
        <v>S002</v>
      </c>
      <c r="B1945" s="35">
        <f>Demand!B1943</f>
        <v>46272.0</v>
      </c>
      <c r="C1945" s="33">
        <f>Demand!C1943</f>
        <v>13</v>
      </c>
      <c r="D1945" s="33">
        <f>Demand!E1943</f>
        <v>34</v>
      </c>
      <c r="E1945" s="33">
        <f>IF(Demand!F1943,1,0)</f>
        <v>0</v>
      </c>
      <c r="F1945" s="33">
        <f>COUNTIFS(c_store,A1945,c_date,B1945,c_hour,C1945)</f>
        <v>0</v>
      </c>
      <c r="G1945" s="33">
        <f>IF(F1945&gt;0,1,0)</f>
        <v>0</v>
      </c>
      <c r="H1945" s="33">
        <f>COUNTIFS(Demand!$A$2:$A$4481,A1945,Demand!$B$2:$B$4481,B1945,Demand!$C$2:$C$4481,C1945)</f>
        <v>1</v>
      </c>
    </row>
    <row r="1946">
      <c r="A1946" s="32" t="str">
        <f>Demand!A1944</f>
        <v>S002</v>
      </c>
      <c r="B1946" s="35">
        <f>Demand!B1944</f>
        <v>46272.0</v>
      </c>
      <c r="C1946" s="33">
        <f>Demand!C1944</f>
        <v>14</v>
      </c>
      <c r="D1946" s="33">
        <f>Demand!E1944</f>
        <v>20</v>
      </c>
      <c r="E1946" s="33">
        <f>IF(Demand!F1944,1,0)</f>
        <v>0</v>
      </c>
      <c r="F1946" s="33">
        <f>COUNTIFS(c_store,A1946,c_date,B1946,c_hour,C1946)</f>
        <v>0</v>
      </c>
      <c r="G1946" s="33">
        <f>IF(F1946&gt;0,1,0)</f>
        <v>0</v>
      </c>
      <c r="H1946" s="33">
        <f>COUNTIFS(Demand!$A$2:$A$4481,A1946,Demand!$B$2:$B$4481,B1946,Demand!$C$2:$C$4481,C1946)</f>
        <v>1</v>
      </c>
    </row>
    <row r="1947">
      <c r="A1947" s="32" t="str">
        <f>Demand!A1945</f>
        <v>S002</v>
      </c>
      <c r="B1947" s="35">
        <f>Demand!B1945</f>
        <v>46272.0</v>
      </c>
      <c r="C1947" s="33">
        <f>Demand!C1945</f>
        <v>15</v>
      </c>
      <c r="D1947" s="33">
        <f>Demand!E1945</f>
        <v>21</v>
      </c>
      <c r="E1947" s="33">
        <f>IF(Demand!F1945,1,0)</f>
        <v>0</v>
      </c>
      <c r="F1947" s="33">
        <f>COUNTIFS(c_store,A1947,c_date,B1947,c_hour,C1947)</f>
        <v>2</v>
      </c>
      <c r="G1947" s="33">
        <f>IF(F1947&gt;0,1,0)</f>
        <v>1</v>
      </c>
      <c r="H1947" s="33">
        <f>COUNTIFS(Demand!$A$2:$A$4481,A1947,Demand!$B$2:$B$4481,B1947,Demand!$C$2:$C$4481,C1947)</f>
        <v>1</v>
      </c>
    </row>
    <row r="1948">
      <c r="A1948" s="32" t="str">
        <f>Demand!A1946</f>
        <v>S002</v>
      </c>
      <c r="B1948" s="35">
        <f>Demand!B1946</f>
        <v>46272.0</v>
      </c>
      <c r="C1948" s="33">
        <f>Demand!C1946</f>
        <v>16</v>
      </c>
      <c r="D1948" s="33">
        <f>Demand!E1946</f>
        <v>29</v>
      </c>
      <c r="E1948" s="33">
        <f>IF(Demand!F1946,1,0)</f>
        <v>0</v>
      </c>
      <c r="F1948" s="33">
        <f>COUNTIFS(c_store,A1948,c_date,B1948,c_hour,C1948)</f>
        <v>0</v>
      </c>
      <c r="G1948" s="33">
        <f>IF(F1948&gt;0,1,0)</f>
        <v>0</v>
      </c>
      <c r="H1948" s="33">
        <f>COUNTIFS(Demand!$A$2:$A$4481,A1948,Demand!$B$2:$B$4481,B1948,Demand!$C$2:$C$4481,C1948)</f>
        <v>1</v>
      </c>
    </row>
    <row r="1949">
      <c r="A1949" s="32" t="str">
        <f>Demand!A1947</f>
        <v>S002</v>
      </c>
      <c r="B1949" s="35">
        <f>Demand!B1947</f>
        <v>46272.0</v>
      </c>
      <c r="C1949" s="33">
        <f>Demand!C1947</f>
        <v>17</v>
      </c>
      <c r="D1949" s="33">
        <f>Demand!E1947</f>
        <v>35</v>
      </c>
      <c r="E1949" s="33">
        <f>IF(Demand!F1947,1,0)</f>
        <v>0</v>
      </c>
      <c r="F1949" s="33">
        <f>COUNTIFS(c_store,A1949,c_date,B1949,c_hour,C1949)</f>
        <v>0</v>
      </c>
      <c r="G1949" s="33">
        <f>IF(F1949&gt;0,1,0)</f>
        <v>0</v>
      </c>
      <c r="H1949" s="33">
        <f>COUNTIFS(Demand!$A$2:$A$4481,A1949,Demand!$B$2:$B$4481,B1949,Demand!$C$2:$C$4481,C1949)</f>
        <v>1</v>
      </c>
    </row>
    <row r="1950">
      <c r="A1950" s="32" t="str">
        <f>Demand!A1948</f>
        <v>S002</v>
      </c>
      <c r="B1950" s="35">
        <f>Demand!B1948</f>
        <v>46272.0</v>
      </c>
      <c r="C1950" s="33">
        <f>Demand!C1948</f>
        <v>18</v>
      </c>
      <c r="D1950" s="33">
        <f>Demand!E1948</f>
        <v>37</v>
      </c>
      <c r="E1950" s="33">
        <f>IF(Demand!F1948,1,0)</f>
        <v>0</v>
      </c>
      <c r="F1950" s="33">
        <f>COUNTIFS(c_store,A1950,c_date,B1950,c_hour,C1950)</f>
        <v>0</v>
      </c>
      <c r="G1950" s="33">
        <f>IF(F1950&gt;0,1,0)</f>
        <v>0</v>
      </c>
      <c r="H1950" s="33">
        <f>COUNTIFS(Demand!$A$2:$A$4481,A1950,Demand!$B$2:$B$4481,B1950,Demand!$C$2:$C$4481,C1950)</f>
        <v>1</v>
      </c>
    </row>
    <row r="1951">
      <c r="A1951" s="32" t="str">
        <f>Demand!A1949</f>
        <v>S002</v>
      </c>
      <c r="B1951" s="35">
        <f>Demand!B1949</f>
        <v>46272.0</v>
      </c>
      <c r="C1951" s="33">
        <f>Demand!C1949</f>
        <v>19</v>
      </c>
      <c r="D1951" s="33">
        <f>Demand!E1949</f>
        <v>43</v>
      </c>
      <c r="E1951" s="33">
        <f>IF(Demand!F1949,1,0)</f>
        <v>1</v>
      </c>
      <c r="F1951" s="33">
        <f>COUNTIFS(c_store,A1951,c_date,B1951,c_hour,C1951)</f>
        <v>1</v>
      </c>
      <c r="G1951" s="33">
        <f>IF(F1951&gt;0,1,0)</f>
        <v>1</v>
      </c>
      <c r="H1951" s="33">
        <f>COUNTIFS(Demand!$A$2:$A$4481,A1951,Demand!$B$2:$B$4481,B1951,Demand!$C$2:$C$4481,C1951)</f>
        <v>1</v>
      </c>
    </row>
    <row r="1952">
      <c r="A1952" s="32" t="str">
        <f>Demand!A1950</f>
        <v>S002</v>
      </c>
      <c r="B1952" s="35">
        <f>Demand!B1950</f>
        <v>46272.0</v>
      </c>
      <c r="C1952" s="33">
        <f>Demand!C1950</f>
        <v>20</v>
      </c>
      <c r="D1952" s="33">
        <f>Demand!E1950</f>
        <v>64</v>
      </c>
      <c r="E1952" s="33">
        <f>IF(Demand!F1950,1,0)</f>
        <v>1</v>
      </c>
      <c r="F1952" s="33">
        <f>COUNTIFS(c_store,A1952,c_date,B1952,c_hour,C1952)</f>
        <v>0</v>
      </c>
      <c r="G1952" s="33">
        <f>IF(F1952&gt;0,1,0)</f>
        <v>0</v>
      </c>
      <c r="H1952" s="33">
        <f>COUNTIFS(Demand!$A$2:$A$4481,A1952,Demand!$B$2:$B$4481,B1952,Demand!$C$2:$C$4481,C1952)</f>
        <v>1</v>
      </c>
    </row>
    <row r="1953">
      <c r="A1953" s="32" t="str">
        <f>Demand!A1951</f>
        <v>S002</v>
      </c>
      <c r="B1953" s="35">
        <f>Demand!B1951</f>
        <v>46272.0</v>
      </c>
      <c r="C1953" s="33">
        <f>Demand!C1951</f>
        <v>21</v>
      </c>
      <c r="D1953" s="33">
        <f>Demand!E1951</f>
        <v>52</v>
      </c>
      <c r="E1953" s="33">
        <f>IF(Demand!F1951,1,0)</f>
        <v>1</v>
      </c>
      <c r="F1953" s="33">
        <f>COUNTIFS(c_store,A1953,c_date,B1953,c_hour,C1953)</f>
        <v>0</v>
      </c>
      <c r="G1953" s="33">
        <f>IF(F1953&gt;0,1,0)</f>
        <v>0</v>
      </c>
      <c r="H1953" s="33">
        <f>COUNTIFS(Demand!$A$2:$A$4481,A1953,Demand!$B$2:$B$4481,B1953,Demand!$C$2:$C$4481,C1953)</f>
        <v>1</v>
      </c>
    </row>
    <row r="1954">
      <c r="A1954" s="32" t="str">
        <f>Demand!A1952</f>
        <v>S002</v>
      </c>
      <c r="B1954" s="35">
        <f>Demand!B1952</f>
        <v>46272.0</v>
      </c>
      <c r="C1954" s="33">
        <f>Demand!C1952</f>
        <v>22</v>
      </c>
      <c r="D1954" s="33">
        <f>Demand!E1952</f>
        <v>42</v>
      </c>
      <c r="E1954" s="33">
        <f>IF(Demand!F1952,1,0)</f>
        <v>0</v>
      </c>
      <c r="F1954" s="33">
        <f>COUNTIFS(c_store,A1954,c_date,B1954,c_hour,C1954)</f>
        <v>0</v>
      </c>
      <c r="G1954" s="33">
        <f>IF(F1954&gt;0,1,0)</f>
        <v>0</v>
      </c>
      <c r="H1954" s="33">
        <f>COUNTIFS(Demand!$A$2:$A$4481,A1954,Demand!$B$2:$B$4481,B1954,Demand!$C$2:$C$4481,C1954)</f>
        <v>1</v>
      </c>
    </row>
    <row r="1955">
      <c r="A1955" s="32" t="str">
        <f>Demand!A1953</f>
        <v>S002</v>
      </c>
      <c r="B1955" s="35">
        <f>Demand!B1953</f>
        <v>46272.0</v>
      </c>
      <c r="C1955" s="33">
        <f>Demand!C1953</f>
        <v>23</v>
      </c>
      <c r="D1955" s="33">
        <f>Demand!E1953</f>
        <v>39</v>
      </c>
      <c r="E1955" s="33">
        <f>IF(Demand!F1953,1,0)</f>
        <v>0</v>
      </c>
      <c r="F1955" s="33">
        <f>COUNTIFS(c_store,A1955,c_date,B1955,c_hour,C1955)</f>
        <v>0</v>
      </c>
      <c r="G1955" s="33">
        <f>IF(F1955&gt;0,1,0)</f>
        <v>0</v>
      </c>
      <c r="H1955" s="33">
        <f>COUNTIFS(Demand!$A$2:$A$4481,A1955,Demand!$B$2:$B$4481,B1955,Demand!$C$2:$C$4481,C1955)</f>
        <v>1</v>
      </c>
    </row>
    <row r="1956">
      <c r="A1956" s="32" t="str">
        <f>Demand!A1954</f>
        <v>S003</v>
      </c>
      <c r="B1956" s="35">
        <f>Demand!B1954</f>
        <v>46272.0</v>
      </c>
      <c r="C1956" s="33">
        <f>Demand!C1954</f>
        <v>8</v>
      </c>
      <c r="D1956" s="33">
        <f>Demand!E1954</f>
        <v>22</v>
      </c>
      <c r="E1956" s="33">
        <f>IF(Demand!F1954,1,0)</f>
        <v>0</v>
      </c>
      <c r="F1956" s="33">
        <f>COUNTIFS(c_store,A1956,c_date,B1956,c_hour,C1956)</f>
        <v>1</v>
      </c>
      <c r="G1956" s="33">
        <f>IF(F1956&gt;0,1,0)</f>
        <v>1</v>
      </c>
      <c r="H1956" s="33">
        <f>COUNTIFS(Demand!$A$2:$A$4481,A1956,Demand!$B$2:$B$4481,B1956,Demand!$C$2:$C$4481,C1956)</f>
        <v>1</v>
      </c>
    </row>
    <row r="1957">
      <c r="A1957" s="32" t="str">
        <f>Demand!A1955</f>
        <v>S003</v>
      </c>
      <c r="B1957" s="35">
        <f>Demand!B1955</f>
        <v>46272.0</v>
      </c>
      <c r="C1957" s="33">
        <f>Demand!C1955</f>
        <v>9</v>
      </c>
      <c r="D1957" s="33">
        <f>Demand!E1955</f>
        <v>25</v>
      </c>
      <c r="E1957" s="33">
        <f>IF(Demand!F1955,1,0)</f>
        <v>0</v>
      </c>
      <c r="F1957" s="33">
        <f>COUNTIFS(c_store,A1957,c_date,B1957,c_hour,C1957)</f>
        <v>1</v>
      </c>
      <c r="G1957" s="33">
        <f>IF(F1957&gt;0,1,0)</f>
        <v>1</v>
      </c>
      <c r="H1957" s="33">
        <f>COUNTIFS(Demand!$A$2:$A$4481,A1957,Demand!$B$2:$B$4481,B1957,Demand!$C$2:$C$4481,C1957)</f>
        <v>1</v>
      </c>
    </row>
    <row r="1958">
      <c r="A1958" s="32" t="str">
        <f>Demand!A1956</f>
        <v>S003</v>
      </c>
      <c r="B1958" s="35">
        <f>Demand!B1956</f>
        <v>46272.0</v>
      </c>
      <c r="C1958" s="33">
        <f>Demand!C1956</f>
        <v>10</v>
      </c>
      <c r="D1958" s="33">
        <f>Demand!E1956</f>
        <v>38</v>
      </c>
      <c r="E1958" s="33">
        <f>IF(Demand!F1956,1,0)</f>
        <v>0</v>
      </c>
      <c r="F1958" s="33">
        <f>COUNTIFS(c_store,A1958,c_date,B1958,c_hour,C1958)</f>
        <v>0</v>
      </c>
      <c r="G1958" s="33">
        <f>IF(F1958&gt;0,1,0)</f>
        <v>0</v>
      </c>
      <c r="H1958" s="33">
        <f>COUNTIFS(Demand!$A$2:$A$4481,A1958,Demand!$B$2:$B$4481,B1958,Demand!$C$2:$C$4481,C1958)</f>
        <v>1</v>
      </c>
    </row>
    <row r="1959">
      <c r="A1959" s="32" t="str">
        <f>Demand!A1957</f>
        <v>S003</v>
      </c>
      <c r="B1959" s="35">
        <f>Demand!B1957</f>
        <v>46272.0</v>
      </c>
      <c r="C1959" s="33">
        <f>Demand!C1957</f>
        <v>11</v>
      </c>
      <c r="D1959" s="33">
        <f>Demand!E1957</f>
        <v>42</v>
      </c>
      <c r="E1959" s="33">
        <f>IF(Demand!F1957,1,0)</f>
        <v>0</v>
      </c>
      <c r="F1959" s="33">
        <f>COUNTIFS(c_store,A1959,c_date,B1959,c_hour,C1959)</f>
        <v>0</v>
      </c>
      <c r="G1959" s="33">
        <f>IF(F1959&gt;0,1,0)</f>
        <v>0</v>
      </c>
      <c r="H1959" s="33">
        <f>COUNTIFS(Demand!$A$2:$A$4481,A1959,Demand!$B$2:$B$4481,B1959,Demand!$C$2:$C$4481,C1959)</f>
        <v>1</v>
      </c>
    </row>
    <row r="1960">
      <c r="A1960" s="32" t="str">
        <f>Demand!A1958</f>
        <v>S003</v>
      </c>
      <c r="B1960" s="35">
        <f>Demand!B1958</f>
        <v>46272.0</v>
      </c>
      <c r="C1960" s="33">
        <f>Demand!C1958</f>
        <v>12</v>
      </c>
      <c r="D1960" s="33">
        <f>Demand!E1958</f>
        <v>42</v>
      </c>
      <c r="E1960" s="33">
        <f>IF(Demand!F1958,1,0)</f>
        <v>0</v>
      </c>
      <c r="F1960" s="33">
        <f>COUNTIFS(c_store,A1960,c_date,B1960,c_hour,C1960)</f>
        <v>0</v>
      </c>
      <c r="G1960" s="33">
        <f>IF(F1960&gt;0,1,0)</f>
        <v>0</v>
      </c>
      <c r="H1960" s="33">
        <f>COUNTIFS(Demand!$A$2:$A$4481,A1960,Demand!$B$2:$B$4481,B1960,Demand!$C$2:$C$4481,C1960)</f>
        <v>1</v>
      </c>
    </row>
    <row r="1961">
      <c r="A1961" s="32" t="str">
        <f>Demand!A1959</f>
        <v>S003</v>
      </c>
      <c r="B1961" s="35">
        <f>Demand!B1959</f>
        <v>46272.0</v>
      </c>
      <c r="C1961" s="33">
        <f>Demand!C1959</f>
        <v>13</v>
      </c>
      <c r="D1961" s="33">
        <f>Demand!E1959</f>
        <v>50</v>
      </c>
      <c r="E1961" s="33">
        <f>IF(Demand!F1959,1,0)</f>
        <v>0</v>
      </c>
      <c r="F1961" s="33">
        <f>COUNTIFS(c_store,A1961,c_date,B1961,c_hour,C1961)</f>
        <v>1</v>
      </c>
      <c r="G1961" s="33">
        <f>IF(F1961&gt;0,1,0)</f>
        <v>1</v>
      </c>
      <c r="H1961" s="33">
        <f>COUNTIFS(Demand!$A$2:$A$4481,A1961,Demand!$B$2:$B$4481,B1961,Demand!$C$2:$C$4481,C1961)</f>
        <v>1</v>
      </c>
    </row>
    <row r="1962">
      <c r="A1962" s="32" t="str">
        <f>Demand!A1960</f>
        <v>S003</v>
      </c>
      <c r="B1962" s="35">
        <f>Demand!B1960</f>
        <v>46272.0</v>
      </c>
      <c r="C1962" s="33">
        <f>Demand!C1960</f>
        <v>14</v>
      </c>
      <c r="D1962" s="33">
        <f>Demand!E1960</f>
        <v>39</v>
      </c>
      <c r="E1962" s="33">
        <f>IF(Demand!F1960,1,0)</f>
        <v>0</v>
      </c>
      <c r="F1962" s="33">
        <f>COUNTIFS(c_store,A1962,c_date,B1962,c_hour,C1962)</f>
        <v>0</v>
      </c>
      <c r="G1962" s="33">
        <f>IF(F1962&gt;0,1,0)</f>
        <v>0</v>
      </c>
      <c r="H1962" s="33">
        <f>COUNTIFS(Demand!$A$2:$A$4481,A1962,Demand!$B$2:$B$4481,B1962,Demand!$C$2:$C$4481,C1962)</f>
        <v>1</v>
      </c>
    </row>
    <row r="1963">
      <c r="A1963" s="32" t="str">
        <f>Demand!A1961</f>
        <v>S003</v>
      </c>
      <c r="B1963" s="35">
        <f>Demand!B1961</f>
        <v>46272.0</v>
      </c>
      <c r="C1963" s="33">
        <f>Demand!C1961</f>
        <v>15</v>
      </c>
      <c r="D1963" s="33">
        <f>Demand!E1961</f>
        <v>30</v>
      </c>
      <c r="E1963" s="33">
        <f>IF(Demand!F1961,1,0)</f>
        <v>0</v>
      </c>
      <c r="F1963" s="33">
        <f>COUNTIFS(c_store,A1963,c_date,B1963,c_hour,C1963)</f>
        <v>1</v>
      </c>
      <c r="G1963" s="33">
        <f>IF(F1963&gt;0,1,0)</f>
        <v>1</v>
      </c>
      <c r="H1963" s="33">
        <f>COUNTIFS(Demand!$A$2:$A$4481,A1963,Demand!$B$2:$B$4481,B1963,Demand!$C$2:$C$4481,C1963)</f>
        <v>1</v>
      </c>
    </row>
    <row r="1964">
      <c r="A1964" s="32" t="str">
        <f>Demand!A1962</f>
        <v>S003</v>
      </c>
      <c r="B1964" s="35">
        <f>Demand!B1962</f>
        <v>46272.0</v>
      </c>
      <c r="C1964" s="33">
        <f>Demand!C1962</f>
        <v>16</v>
      </c>
      <c r="D1964" s="33">
        <f>Demand!E1962</f>
        <v>41</v>
      </c>
      <c r="E1964" s="33">
        <f>IF(Demand!F1962,1,0)</f>
        <v>0</v>
      </c>
      <c r="F1964" s="33">
        <f>COUNTIFS(c_store,A1964,c_date,B1964,c_hour,C1964)</f>
        <v>0</v>
      </c>
      <c r="G1964" s="33">
        <f>IF(F1964&gt;0,1,0)</f>
        <v>0</v>
      </c>
      <c r="H1964" s="33">
        <f>COUNTIFS(Demand!$A$2:$A$4481,A1964,Demand!$B$2:$B$4481,B1964,Demand!$C$2:$C$4481,C1964)</f>
        <v>1</v>
      </c>
    </row>
    <row r="1965">
      <c r="A1965" s="32" t="str">
        <f>Demand!A1963</f>
        <v>S003</v>
      </c>
      <c r="B1965" s="35">
        <f>Demand!B1963</f>
        <v>46272.0</v>
      </c>
      <c r="C1965" s="33">
        <f>Demand!C1963</f>
        <v>17</v>
      </c>
      <c r="D1965" s="33">
        <f>Demand!E1963</f>
        <v>42</v>
      </c>
      <c r="E1965" s="33">
        <f>IF(Demand!F1963,1,0)</f>
        <v>0</v>
      </c>
      <c r="F1965" s="33">
        <f>COUNTIFS(c_store,A1965,c_date,B1965,c_hour,C1965)</f>
        <v>1</v>
      </c>
      <c r="G1965" s="33">
        <f>IF(F1965&gt;0,1,0)</f>
        <v>1</v>
      </c>
      <c r="H1965" s="33">
        <f>COUNTIFS(Demand!$A$2:$A$4481,A1965,Demand!$B$2:$B$4481,B1965,Demand!$C$2:$C$4481,C1965)</f>
        <v>1</v>
      </c>
    </row>
    <row r="1966">
      <c r="A1966" s="32" t="str">
        <f>Demand!A1964</f>
        <v>S003</v>
      </c>
      <c r="B1966" s="35">
        <f>Demand!B1964</f>
        <v>46272.0</v>
      </c>
      <c r="C1966" s="33">
        <f>Demand!C1964</f>
        <v>18</v>
      </c>
      <c r="D1966" s="33">
        <f>Demand!E1964</f>
        <v>31</v>
      </c>
      <c r="E1966" s="33">
        <f>IF(Demand!F1964,1,0)</f>
        <v>0</v>
      </c>
      <c r="F1966" s="33">
        <f>COUNTIFS(c_store,A1966,c_date,B1966,c_hour,C1966)</f>
        <v>1</v>
      </c>
      <c r="G1966" s="33">
        <f>IF(F1966&gt;0,1,0)</f>
        <v>1</v>
      </c>
      <c r="H1966" s="33">
        <f>COUNTIFS(Demand!$A$2:$A$4481,A1966,Demand!$B$2:$B$4481,B1966,Demand!$C$2:$C$4481,C1966)</f>
        <v>1</v>
      </c>
    </row>
    <row r="1967">
      <c r="A1967" s="32" t="str">
        <f>Demand!A1965</f>
        <v>S003</v>
      </c>
      <c r="B1967" s="35">
        <f>Demand!B1965</f>
        <v>46272.0</v>
      </c>
      <c r="C1967" s="33">
        <f>Demand!C1965</f>
        <v>19</v>
      </c>
      <c r="D1967" s="33">
        <f>Demand!E1965</f>
        <v>61</v>
      </c>
      <c r="E1967" s="33">
        <f>IF(Demand!F1965,1,0)</f>
        <v>1</v>
      </c>
      <c r="F1967" s="33">
        <f>COUNTIFS(c_store,A1967,c_date,B1967,c_hour,C1967)</f>
        <v>1</v>
      </c>
      <c r="G1967" s="33">
        <f>IF(F1967&gt;0,1,0)</f>
        <v>1</v>
      </c>
      <c r="H1967" s="33">
        <f>COUNTIFS(Demand!$A$2:$A$4481,A1967,Demand!$B$2:$B$4481,B1967,Demand!$C$2:$C$4481,C1967)</f>
        <v>1</v>
      </c>
    </row>
    <row r="1968">
      <c r="A1968" s="32" t="str">
        <f>Demand!A1966</f>
        <v>S003</v>
      </c>
      <c r="B1968" s="35">
        <f>Demand!B1966</f>
        <v>46272.0</v>
      </c>
      <c r="C1968" s="33">
        <f>Demand!C1966</f>
        <v>20</v>
      </c>
      <c r="D1968" s="33">
        <f>Demand!E1966</f>
        <v>60</v>
      </c>
      <c r="E1968" s="33">
        <f>IF(Demand!F1966,1,0)</f>
        <v>1</v>
      </c>
      <c r="F1968" s="33">
        <f>COUNTIFS(c_store,A1968,c_date,B1968,c_hour,C1968)</f>
        <v>0</v>
      </c>
      <c r="G1968" s="33">
        <f>IF(F1968&gt;0,1,0)</f>
        <v>0</v>
      </c>
      <c r="H1968" s="33">
        <f>COUNTIFS(Demand!$A$2:$A$4481,A1968,Demand!$B$2:$B$4481,B1968,Demand!$C$2:$C$4481,C1968)</f>
        <v>1</v>
      </c>
    </row>
    <row r="1969">
      <c r="A1969" s="32" t="str">
        <f>Demand!A1967</f>
        <v>S003</v>
      </c>
      <c r="B1969" s="35">
        <f>Demand!B1967</f>
        <v>46272.0</v>
      </c>
      <c r="C1969" s="33">
        <f>Demand!C1967</f>
        <v>21</v>
      </c>
      <c r="D1969" s="33">
        <f>Demand!E1967</f>
        <v>61</v>
      </c>
      <c r="E1969" s="33">
        <f>IF(Demand!F1967,1,0)</f>
        <v>1</v>
      </c>
      <c r="F1969" s="33">
        <f>COUNTIFS(c_store,A1969,c_date,B1969,c_hour,C1969)</f>
        <v>0</v>
      </c>
      <c r="G1969" s="33">
        <f>IF(F1969&gt;0,1,0)</f>
        <v>0</v>
      </c>
      <c r="H1969" s="33">
        <f>COUNTIFS(Demand!$A$2:$A$4481,A1969,Demand!$B$2:$B$4481,B1969,Demand!$C$2:$C$4481,C1969)</f>
        <v>1</v>
      </c>
    </row>
    <row r="1970">
      <c r="A1970" s="32" t="str">
        <f>Demand!A1968</f>
        <v>S003</v>
      </c>
      <c r="B1970" s="35">
        <f>Demand!B1968</f>
        <v>46272.0</v>
      </c>
      <c r="C1970" s="33">
        <f>Demand!C1968</f>
        <v>22</v>
      </c>
      <c r="D1970" s="33">
        <f>Demand!E1968</f>
        <v>43</v>
      </c>
      <c r="E1970" s="33">
        <f>IF(Demand!F1968,1,0)</f>
        <v>0</v>
      </c>
      <c r="F1970" s="33">
        <f>COUNTIFS(c_store,A1970,c_date,B1970,c_hour,C1970)</f>
        <v>0</v>
      </c>
      <c r="G1970" s="33">
        <f>IF(F1970&gt;0,1,0)</f>
        <v>0</v>
      </c>
      <c r="H1970" s="33">
        <f>COUNTIFS(Demand!$A$2:$A$4481,A1970,Demand!$B$2:$B$4481,B1970,Demand!$C$2:$C$4481,C1970)</f>
        <v>1</v>
      </c>
    </row>
    <row r="1971">
      <c r="A1971" s="32" t="str">
        <f>Demand!A1969</f>
        <v>S003</v>
      </c>
      <c r="B1971" s="35">
        <f>Demand!B1969</f>
        <v>46272.0</v>
      </c>
      <c r="C1971" s="33">
        <f>Demand!C1969</f>
        <v>23</v>
      </c>
      <c r="D1971" s="33">
        <f>Demand!E1969</f>
        <v>47</v>
      </c>
      <c r="E1971" s="33">
        <f>IF(Demand!F1969,1,0)</f>
        <v>0</v>
      </c>
      <c r="F1971" s="33">
        <f>COUNTIFS(c_store,A1971,c_date,B1971,c_hour,C1971)</f>
        <v>1</v>
      </c>
      <c r="G1971" s="33">
        <f>IF(F1971&gt;0,1,0)</f>
        <v>1</v>
      </c>
      <c r="H1971" s="33">
        <f>COUNTIFS(Demand!$A$2:$A$4481,A1971,Demand!$B$2:$B$4481,B1971,Demand!$C$2:$C$4481,C1971)</f>
        <v>1</v>
      </c>
    </row>
    <row r="1972">
      <c r="A1972" s="32" t="str">
        <f>Demand!A1970</f>
        <v>S004</v>
      </c>
      <c r="B1972" s="35">
        <f>Demand!B1970</f>
        <v>46272.0</v>
      </c>
      <c r="C1972" s="33">
        <f>Demand!C1970</f>
        <v>8</v>
      </c>
      <c r="D1972" s="33">
        <f>Demand!E1970</f>
        <v>32</v>
      </c>
      <c r="E1972" s="33">
        <f>IF(Demand!F1970,1,0)</f>
        <v>0</v>
      </c>
      <c r="F1972" s="33">
        <f>COUNTIFS(c_store,A1972,c_date,B1972,c_hour,C1972)</f>
        <v>1</v>
      </c>
      <c r="G1972" s="33">
        <f>IF(F1972&gt;0,1,0)</f>
        <v>1</v>
      </c>
      <c r="H1972" s="33">
        <f>COUNTIFS(Demand!$A$2:$A$4481,A1972,Demand!$B$2:$B$4481,B1972,Demand!$C$2:$C$4481,C1972)</f>
        <v>1</v>
      </c>
    </row>
    <row r="1973">
      <c r="A1973" s="32" t="str">
        <f>Demand!A1971</f>
        <v>S004</v>
      </c>
      <c r="B1973" s="35">
        <f>Demand!B1971</f>
        <v>46272.0</v>
      </c>
      <c r="C1973" s="33">
        <f>Demand!C1971</f>
        <v>9</v>
      </c>
      <c r="D1973" s="33">
        <f>Demand!E1971</f>
        <v>22</v>
      </c>
      <c r="E1973" s="33">
        <f>IF(Demand!F1971,1,0)</f>
        <v>0</v>
      </c>
      <c r="F1973" s="33">
        <f>COUNTIFS(c_store,A1973,c_date,B1973,c_hour,C1973)</f>
        <v>1</v>
      </c>
      <c r="G1973" s="33">
        <f>IF(F1973&gt;0,1,0)</f>
        <v>1</v>
      </c>
      <c r="H1973" s="33">
        <f>COUNTIFS(Demand!$A$2:$A$4481,A1973,Demand!$B$2:$B$4481,B1973,Demand!$C$2:$C$4481,C1973)</f>
        <v>1</v>
      </c>
    </row>
    <row r="1974">
      <c r="A1974" s="32" t="str">
        <f>Demand!A1972</f>
        <v>S004</v>
      </c>
      <c r="B1974" s="35">
        <f>Demand!B1972</f>
        <v>46272.0</v>
      </c>
      <c r="C1974" s="33">
        <f>Demand!C1972</f>
        <v>10</v>
      </c>
      <c r="D1974" s="33">
        <f>Demand!E1972</f>
        <v>23</v>
      </c>
      <c r="E1974" s="33">
        <f>IF(Demand!F1972,1,0)</f>
        <v>0</v>
      </c>
      <c r="F1974" s="33">
        <f>COUNTIFS(c_store,A1974,c_date,B1974,c_hour,C1974)</f>
        <v>0</v>
      </c>
      <c r="G1974" s="33">
        <f>IF(F1974&gt;0,1,0)</f>
        <v>0</v>
      </c>
      <c r="H1974" s="33">
        <f>COUNTIFS(Demand!$A$2:$A$4481,A1974,Demand!$B$2:$B$4481,B1974,Demand!$C$2:$C$4481,C1974)</f>
        <v>1</v>
      </c>
    </row>
    <row r="1975">
      <c r="A1975" s="32" t="str">
        <f>Demand!A1973</f>
        <v>S004</v>
      </c>
      <c r="B1975" s="35">
        <f>Demand!B1973</f>
        <v>46272.0</v>
      </c>
      <c r="C1975" s="33">
        <f>Demand!C1973</f>
        <v>11</v>
      </c>
      <c r="D1975" s="33">
        <f>Demand!E1973</f>
        <v>42</v>
      </c>
      <c r="E1975" s="33">
        <f>IF(Demand!F1973,1,0)</f>
        <v>0</v>
      </c>
      <c r="F1975" s="33">
        <f>COUNTIFS(c_store,A1975,c_date,B1975,c_hour,C1975)</f>
        <v>0</v>
      </c>
      <c r="G1975" s="33">
        <f>IF(F1975&gt;0,1,0)</f>
        <v>0</v>
      </c>
      <c r="H1975" s="33">
        <f>COUNTIFS(Demand!$A$2:$A$4481,A1975,Demand!$B$2:$B$4481,B1975,Demand!$C$2:$C$4481,C1975)</f>
        <v>1</v>
      </c>
    </row>
    <row r="1976">
      <c r="A1976" s="32" t="str">
        <f>Demand!A1974</f>
        <v>S004</v>
      </c>
      <c r="B1976" s="35">
        <f>Demand!B1974</f>
        <v>46272.0</v>
      </c>
      <c r="C1976" s="33">
        <f>Demand!C1974</f>
        <v>12</v>
      </c>
      <c r="D1976" s="33">
        <f>Demand!E1974</f>
        <v>47</v>
      </c>
      <c r="E1976" s="33">
        <f>IF(Demand!F1974,1,0)</f>
        <v>0</v>
      </c>
      <c r="F1976" s="33">
        <f>COUNTIFS(c_store,A1976,c_date,B1976,c_hour,C1976)</f>
        <v>0</v>
      </c>
      <c r="G1976" s="33">
        <f>IF(F1976&gt;0,1,0)</f>
        <v>0</v>
      </c>
      <c r="H1976" s="33">
        <f>COUNTIFS(Demand!$A$2:$A$4481,A1976,Demand!$B$2:$B$4481,B1976,Demand!$C$2:$C$4481,C1976)</f>
        <v>1</v>
      </c>
    </row>
    <row r="1977">
      <c r="A1977" s="32" t="str">
        <f>Demand!A1975</f>
        <v>S004</v>
      </c>
      <c r="B1977" s="35">
        <f>Demand!B1975</f>
        <v>46272.0</v>
      </c>
      <c r="C1977" s="33">
        <f>Demand!C1975</f>
        <v>13</v>
      </c>
      <c r="D1977" s="33">
        <f>Demand!E1975</f>
        <v>40</v>
      </c>
      <c r="E1977" s="33">
        <f>IF(Demand!F1975,1,0)</f>
        <v>0</v>
      </c>
      <c r="F1977" s="33">
        <f>COUNTIFS(c_store,A1977,c_date,B1977,c_hour,C1977)</f>
        <v>0</v>
      </c>
      <c r="G1977" s="33">
        <f>IF(F1977&gt;0,1,0)</f>
        <v>0</v>
      </c>
      <c r="H1977" s="33">
        <f>COUNTIFS(Demand!$A$2:$A$4481,A1977,Demand!$B$2:$B$4481,B1977,Demand!$C$2:$C$4481,C1977)</f>
        <v>1</v>
      </c>
    </row>
    <row r="1978">
      <c r="A1978" s="32" t="str">
        <f>Demand!A1976</f>
        <v>S004</v>
      </c>
      <c r="B1978" s="35">
        <f>Demand!B1976</f>
        <v>46272.0</v>
      </c>
      <c r="C1978" s="33">
        <f>Demand!C1976</f>
        <v>14</v>
      </c>
      <c r="D1978" s="33">
        <f>Demand!E1976</f>
        <v>24</v>
      </c>
      <c r="E1978" s="33">
        <f>IF(Demand!F1976,1,0)</f>
        <v>0</v>
      </c>
      <c r="F1978" s="33">
        <f>COUNTIFS(c_store,A1978,c_date,B1978,c_hour,C1978)</f>
        <v>0</v>
      </c>
      <c r="G1978" s="33">
        <f>IF(F1978&gt;0,1,0)</f>
        <v>0</v>
      </c>
      <c r="H1978" s="33">
        <f>COUNTIFS(Demand!$A$2:$A$4481,A1978,Demand!$B$2:$B$4481,B1978,Demand!$C$2:$C$4481,C1978)</f>
        <v>1</v>
      </c>
    </row>
    <row r="1979">
      <c r="A1979" s="32" t="str">
        <f>Demand!A1977</f>
        <v>S004</v>
      </c>
      <c r="B1979" s="35">
        <f>Demand!B1977</f>
        <v>46272.0</v>
      </c>
      <c r="C1979" s="33">
        <f>Demand!C1977</f>
        <v>15</v>
      </c>
      <c r="D1979" s="33">
        <f>Demand!E1977</f>
        <v>35</v>
      </c>
      <c r="E1979" s="33">
        <f>IF(Demand!F1977,1,0)</f>
        <v>0</v>
      </c>
      <c r="F1979" s="33">
        <f>COUNTIFS(c_store,A1979,c_date,B1979,c_hour,C1979)</f>
        <v>0</v>
      </c>
      <c r="G1979" s="33">
        <f>IF(F1979&gt;0,1,0)</f>
        <v>0</v>
      </c>
      <c r="H1979" s="33">
        <f>COUNTIFS(Demand!$A$2:$A$4481,A1979,Demand!$B$2:$B$4481,B1979,Demand!$C$2:$C$4481,C1979)</f>
        <v>1</v>
      </c>
    </row>
    <row r="1980">
      <c r="A1980" s="32" t="str">
        <f>Demand!A1978</f>
        <v>S004</v>
      </c>
      <c r="B1980" s="35">
        <f>Demand!B1978</f>
        <v>46272.0</v>
      </c>
      <c r="C1980" s="33">
        <f>Demand!C1978</f>
        <v>16</v>
      </c>
      <c r="D1980" s="33">
        <f>Demand!E1978</f>
        <v>32</v>
      </c>
      <c r="E1980" s="33">
        <f>IF(Demand!F1978,1,0)</f>
        <v>0</v>
      </c>
      <c r="F1980" s="33">
        <f>COUNTIFS(c_store,A1980,c_date,B1980,c_hour,C1980)</f>
        <v>3</v>
      </c>
      <c r="G1980" s="33">
        <f>IF(F1980&gt;0,1,0)</f>
        <v>1</v>
      </c>
      <c r="H1980" s="33">
        <f>COUNTIFS(Demand!$A$2:$A$4481,A1980,Demand!$B$2:$B$4481,B1980,Demand!$C$2:$C$4481,C1980)</f>
        <v>1</v>
      </c>
    </row>
    <row r="1981">
      <c r="A1981" s="32" t="str">
        <f>Demand!A1979</f>
        <v>S004</v>
      </c>
      <c r="B1981" s="35">
        <f>Demand!B1979</f>
        <v>46272.0</v>
      </c>
      <c r="C1981" s="33">
        <f>Demand!C1979</f>
        <v>17</v>
      </c>
      <c r="D1981" s="33">
        <f>Demand!E1979</f>
        <v>54</v>
      </c>
      <c r="E1981" s="33">
        <f>IF(Demand!F1979,1,0)</f>
        <v>0</v>
      </c>
      <c r="F1981" s="33">
        <f>COUNTIFS(c_store,A1981,c_date,B1981,c_hour,C1981)</f>
        <v>0</v>
      </c>
      <c r="G1981" s="33">
        <f>IF(F1981&gt;0,1,0)</f>
        <v>0</v>
      </c>
      <c r="H1981" s="33">
        <f>COUNTIFS(Demand!$A$2:$A$4481,A1981,Demand!$B$2:$B$4481,B1981,Demand!$C$2:$C$4481,C1981)</f>
        <v>1</v>
      </c>
    </row>
    <row r="1982">
      <c r="A1982" s="32" t="str">
        <f>Demand!A1980</f>
        <v>S004</v>
      </c>
      <c r="B1982" s="35">
        <f>Demand!B1980</f>
        <v>46272.0</v>
      </c>
      <c r="C1982" s="33">
        <f>Demand!C1980</f>
        <v>18</v>
      </c>
      <c r="D1982" s="33">
        <f>Demand!E1980</f>
        <v>39</v>
      </c>
      <c r="E1982" s="33">
        <f>IF(Demand!F1980,1,0)</f>
        <v>0</v>
      </c>
      <c r="F1982" s="33">
        <f>COUNTIFS(c_store,A1982,c_date,B1982,c_hour,C1982)</f>
        <v>0</v>
      </c>
      <c r="G1982" s="33">
        <f>IF(F1982&gt;0,1,0)</f>
        <v>0</v>
      </c>
      <c r="H1982" s="33">
        <f>COUNTIFS(Demand!$A$2:$A$4481,A1982,Demand!$B$2:$B$4481,B1982,Demand!$C$2:$C$4481,C1982)</f>
        <v>1</v>
      </c>
    </row>
    <row r="1983">
      <c r="A1983" s="32" t="str">
        <f>Demand!A1981</f>
        <v>S004</v>
      </c>
      <c r="B1983" s="35">
        <f>Demand!B1981</f>
        <v>46272.0</v>
      </c>
      <c r="C1983" s="33">
        <f>Demand!C1981</f>
        <v>19</v>
      </c>
      <c r="D1983" s="33">
        <f>Demand!E1981</f>
        <v>68</v>
      </c>
      <c r="E1983" s="33">
        <f>IF(Demand!F1981,1,0)</f>
        <v>1</v>
      </c>
      <c r="F1983" s="33">
        <f>COUNTIFS(c_store,A1983,c_date,B1983,c_hour,C1983)</f>
        <v>0</v>
      </c>
      <c r="G1983" s="33">
        <f>IF(F1983&gt;0,1,0)</f>
        <v>0</v>
      </c>
      <c r="H1983" s="33">
        <f>COUNTIFS(Demand!$A$2:$A$4481,A1983,Demand!$B$2:$B$4481,B1983,Demand!$C$2:$C$4481,C1983)</f>
        <v>1</v>
      </c>
    </row>
    <row r="1984">
      <c r="A1984" s="32" t="str">
        <f>Demand!A1982</f>
        <v>S004</v>
      </c>
      <c r="B1984" s="35">
        <f>Demand!B1982</f>
        <v>46272.0</v>
      </c>
      <c r="C1984" s="33">
        <f>Demand!C1982</f>
        <v>20</v>
      </c>
      <c r="D1984" s="33">
        <f>Demand!E1982</f>
        <v>62</v>
      </c>
      <c r="E1984" s="33">
        <f>IF(Demand!F1982,1,0)</f>
        <v>1</v>
      </c>
      <c r="F1984" s="33">
        <f>COUNTIFS(c_store,A1984,c_date,B1984,c_hour,C1984)</f>
        <v>0</v>
      </c>
      <c r="G1984" s="33">
        <f>IF(F1984&gt;0,1,0)</f>
        <v>0</v>
      </c>
      <c r="H1984" s="33">
        <f>COUNTIFS(Demand!$A$2:$A$4481,A1984,Demand!$B$2:$B$4481,B1984,Demand!$C$2:$C$4481,C1984)</f>
        <v>1</v>
      </c>
    </row>
    <row r="1985">
      <c r="A1985" s="32" t="str">
        <f>Demand!A1983</f>
        <v>S004</v>
      </c>
      <c r="B1985" s="35">
        <f>Demand!B1983</f>
        <v>46272.0</v>
      </c>
      <c r="C1985" s="33">
        <f>Demand!C1983</f>
        <v>21</v>
      </c>
      <c r="D1985" s="33">
        <f>Demand!E1983</f>
        <v>50</v>
      </c>
      <c r="E1985" s="33">
        <f>IF(Demand!F1983,1,0)</f>
        <v>1</v>
      </c>
      <c r="F1985" s="33">
        <f>COUNTIFS(c_store,A1985,c_date,B1985,c_hour,C1985)</f>
        <v>0</v>
      </c>
      <c r="G1985" s="33">
        <f>IF(F1985&gt;0,1,0)</f>
        <v>0</v>
      </c>
      <c r="H1985" s="33">
        <f>COUNTIFS(Demand!$A$2:$A$4481,A1985,Demand!$B$2:$B$4481,B1985,Demand!$C$2:$C$4481,C1985)</f>
        <v>1</v>
      </c>
    </row>
    <row r="1986">
      <c r="A1986" s="32" t="str">
        <f>Demand!A1984</f>
        <v>S004</v>
      </c>
      <c r="B1986" s="35">
        <f>Demand!B1984</f>
        <v>46272.0</v>
      </c>
      <c r="C1986" s="33">
        <f>Demand!C1984</f>
        <v>22</v>
      </c>
      <c r="D1986" s="33">
        <f>Demand!E1984</f>
        <v>27</v>
      </c>
      <c r="E1986" s="33">
        <f>IF(Demand!F1984,1,0)</f>
        <v>0</v>
      </c>
      <c r="F1986" s="33">
        <f>COUNTIFS(c_store,A1986,c_date,B1986,c_hour,C1986)</f>
        <v>0</v>
      </c>
      <c r="G1986" s="33">
        <f>IF(F1986&gt;0,1,0)</f>
        <v>0</v>
      </c>
      <c r="H1986" s="33">
        <f>COUNTIFS(Demand!$A$2:$A$4481,A1986,Demand!$B$2:$B$4481,B1986,Demand!$C$2:$C$4481,C1986)</f>
        <v>1</v>
      </c>
    </row>
    <row r="1987">
      <c r="A1987" s="32" t="str">
        <f>Demand!A1985</f>
        <v>S004</v>
      </c>
      <c r="B1987" s="35">
        <f>Demand!B1985</f>
        <v>46272.0</v>
      </c>
      <c r="C1987" s="33">
        <f>Demand!C1985</f>
        <v>23</v>
      </c>
      <c r="D1987" s="33">
        <f>Demand!E1985</f>
        <v>38</v>
      </c>
      <c r="E1987" s="33">
        <f>IF(Demand!F1985,1,0)</f>
        <v>0</v>
      </c>
      <c r="F1987" s="33">
        <f>COUNTIFS(c_store,A1987,c_date,B1987,c_hour,C1987)</f>
        <v>0</v>
      </c>
      <c r="G1987" s="33">
        <f>IF(F1987&gt;0,1,0)</f>
        <v>0</v>
      </c>
      <c r="H1987" s="33">
        <f>COUNTIFS(Demand!$A$2:$A$4481,A1987,Demand!$B$2:$B$4481,B1987,Demand!$C$2:$C$4481,C1987)</f>
        <v>1</v>
      </c>
    </row>
    <row r="1988">
      <c r="A1988" s="32" t="str">
        <f>Demand!A1986</f>
        <v>S005</v>
      </c>
      <c r="B1988" s="35">
        <f>Demand!B1986</f>
        <v>46272.0</v>
      </c>
      <c r="C1988" s="33">
        <f>Demand!C1986</f>
        <v>8</v>
      </c>
      <c r="D1988" s="33">
        <f>Demand!E1986</f>
        <v>9</v>
      </c>
      <c r="E1988" s="33">
        <f>IF(Demand!F1986,1,0)</f>
        <v>0</v>
      </c>
      <c r="F1988" s="33">
        <f>COUNTIFS(c_store,A1988,c_date,B1988,c_hour,C1988)</f>
        <v>0</v>
      </c>
      <c r="G1988" s="33">
        <f>IF(F1988&gt;0,1,0)</f>
        <v>0</v>
      </c>
      <c r="H1988" s="33">
        <f>COUNTIFS(Demand!$A$2:$A$4481,A1988,Demand!$B$2:$B$4481,B1988,Demand!$C$2:$C$4481,C1988)</f>
        <v>1</v>
      </c>
    </row>
    <row r="1989">
      <c r="A1989" s="32" t="str">
        <f>Demand!A1987</f>
        <v>S005</v>
      </c>
      <c r="B1989" s="35">
        <f>Demand!B1987</f>
        <v>46272.0</v>
      </c>
      <c r="C1989" s="33">
        <f>Demand!C1987</f>
        <v>9</v>
      </c>
      <c r="D1989" s="33">
        <f>Demand!E1987</f>
        <v>13</v>
      </c>
      <c r="E1989" s="33">
        <f>IF(Demand!F1987,1,0)</f>
        <v>0</v>
      </c>
      <c r="F1989" s="33">
        <f>COUNTIFS(c_store,A1989,c_date,B1989,c_hour,C1989)</f>
        <v>0</v>
      </c>
      <c r="G1989" s="33">
        <f>IF(F1989&gt;0,1,0)</f>
        <v>0</v>
      </c>
      <c r="H1989" s="33">
        <f>COUNTIFS(Demand!$A$2:$A$4481,A1989,Demand!$B$2:$B$4481,B1989,Demand!$C$2:$C$4481,C1989)</f>
        <v>1</v>
      </c>
    </row>
    <row r="1990">
      <c r="A1990" s="32" t="str">
        <f>Demand!A1988</f>
        <v>S005</v>
      </c>
      <c r="B1990" s="35">
        <f>Demand!B1988</f>
        <v>46272.0</v>
      </c>
      <c r="C1990" s="33">
        <f>Demand!C1988</f>
        <v>10</v>
      </c>
      <c r="D1990" s="33">
        <f>Demand!E1988</f>
        <v>13</v>
      </c>
      <c r="E1990" s="33">
        <f>IF(Demand!F1988,1,0)</f>
        <v>0</v>
      </c>
      <c r="F1990" s="33">
        <f>COUNTIFS(c_store,A1990,c_date,B1990,c_hour,C1990)</f>
        <v>0</v>
      </c>
      <c r="G1990" s="33">
        <f>IF(F1990&gt;0,1,0)</f>
        <v>0</v>
      </c>
      <c r="H1990" s="33">
        <f>COUNTIFS(Demand!$A$2:$A$4481,A1990,Demand!$B$2:$B$4481,B1990,Demand!$C$2:$C$4481,C1990)</f>
        <v>1</v>
      </c>
    </row>
    <row r="1991">
      <c r="A1991" s="32" t="str">
        <f>Demand!A1989</f>
        <v>S005</v>
      </c>
      <c r="B1991" s="35">
        <f>Demand!B1989</f>
        <v>46272.0</v>
      </c>
      <c r="C1991" s="33">
        <f>Demand!C1989</f>
        <v>11</v>
      </c>
      <c r="D1991" s="33">
        <f>Demand!E1989</f>
        <v>13</v>
      </c>
      <c r="E1991" s="33">
        <f>IF(Demand!F1989,1,0)</f>
        <v>0</v>
      </c>
      <c r="F1991" s="33">
        <f>COUNTIFS(c_store,A1991,c_date,B1991,c_hour,C1991)</f>
        <v>1</v>
      </c>
      <c r="G1991" s="33">
        <f>IF(F1991&gt;0,1,0)</f>
        <v>1</v>
      </c>
      <c r="H1991" s="33">
        <f>COUNTIFS(Demand!$A$2:$A$4481,A1991,Demand!$B$2:$B$4481,B1991,Demand!$C$2:$C$4481,C1991)</f>
        <v>1</v>
      </c>
    </row>
    <row r="1992">
      <c r="A1992" s="32" t="str">
        <f>Demand!A1990</f>
        <v>S005</v>
      </c>
      <c r="B1992" s="35">
        <f>Demand!B1990</f>
        <v>46272.0</v>
      </c>
      <c r="C1992" s="33">
        <f>Demand!C1990</f>
        <v>12</v>
      </c>
      <c r="D1992" s="33">
        <f>Demand!E1990</f>
        <v>10</v>
      </c>
      <c r="E1992" s="33">
        <f>IF(Demand!F1990,1,0)</f>
        <v>0</v>
      </c>
      <c r="F1992" s="33">
        <f>COUNTIFS(c_store,A1992,c_date,B1992,c_hour,C1992)</f>
        <v>0</v>
      </c>
      <c r="G1992" s="33">
        <f>IF(F1992&gt;0,1,0)</f>
        <v>0</v>
      </c>
      <c r="H1992" s="33">
        <f>COUNTIFS(Demand!$A$2:$A$4481,A1992,Demand!$B$2:$B$4481,B1992,Demand!$C$2:$C$4481,C1992)</f>
        <v>1</v>
      </c>
    </row>
    <row r="1993">
      <c r="A1993" s="32" t="str">
        <f>Demand!A1991</f>
        <v>S005</v>
      </c>
      <c r="B1993" s="35">
        <f>Demand!B1991</f>
        <v>46272.0</v>
      </c>
      <c r="C1993" s="33">
        <f>Demand!C1991</f>
        <v>13</v>
      </c>
      <c r="D1993" s="33">
        <f>Demand!E1991</f>
        <v>17</v>
      </c>
      <c r="E1993" s="33">
        <f>IF(Demand!F1991,1,0)</f>
        <v>0</v>
      </c>
      <c r="F1993" s="33">
        <f>COUNTIFS(c_store,A1993,c_date,B1993,c_hour,C1993)</f>
        <v>0</v>
      </c>
      <c r="G1993" s="33">
        <f>IF(F1993&gt;0,1,0)</f>
        <v>0</v>
      </c>
      <c r="H1993" s="33">
        <f>COUNTIFS(Demand!$A$2:$A$4481,A1993,Demand!$B$2:$B$4481,B1993,Demand!$C$2:$C$4481,C1993)</f>
        <v>1</v>
      </c>
    </row>
    <row r="1994">
      <c r="A1994" s="32" t="str">
        <f>Demand!A1992</f>
        <v>S005</v>
      </c>
      <c r="B1994" s="35">
        <f>Demand!B1992</f>
        <v>46272.0</v>
      </c>
      <c r="C1994" s="33">
        <f>Demand!C1992</f>
        <v>14</v>
      </c>
      <c r="D1994" s="33">
        <f>Demand!E1992</f>
        <v>10</v>
      </c>
      <c r="E1994" s="33">
        <f>IF(Demand!F1992,1,0)</f>
        <v>0</v>
      </c>
      <c r="F1994" s="33">
        <f>COUNTIFS(c_store,A1994,c_date,B1994,c_hour,C1994)</f>
        <v>0</v>
      </c>
      <c r="G1994" s="33">
        <f>IF(F1994&gt;0,1,0)</f>
        <v>0</v>
      </c>
      <c r="H1994" s="33">
        <f>COUNTIFS(Demand!$A$2:$A$4481,A1994,Demand!$B$2:$B$4481,B1994,Demand!$C$2:$C$4481,C1994)</f>
        <v>1</v>
      </c>
    </row>
    <row r="1995">
      <c r="A1995" s="32" t="str">
        <f>Demand!A1993</f>
        <v>S005</v>
      </c>
      <c r="B1995" s="35">
        <f>Demand!B1993</f>
        <v>46272.0</v>
      </c>
      <c r="C1995" s="33">
        <f>Demand!C1993</f>
        <v>15</v>
      </c>
      <c r="D1995" s="33">
        <f>Demand!E1993</f>
        <v>13</v>
      </c>
      <c r="E1995" s="33">
        <f>IF(Demand!F1993,1,0)</f>
        <v>0</v>
      </c>
      <c r="F1995" s="33">
        <f>COUNTIFS(c_store,A1995,c_date,B1995,c_hour,C1995)</f>
        <v>0</v>
      </c>
      <c r="G1995" s="33">
        <f>IF(F1995&gt;0,1,0)</f>
        <v>0</v>
      </c>
      <c r="H1995" s="33">
        <f>COUNTIFS(Demand!$A$2:$A$4481,A1995,Demand!$B$2:$B$4481,B1995,Demand!$C$2:$C$4481,C1995)</f>
        <v>1</v>
      </c>
    </row>
    <row r="1996">
      <c r="A1996" s="32" t="str">
        <f>Demand!A1994</f>
        <v>S005</v>
      </c>
      <c r="B1996" s="35">
        <f>Demand!B1994</f>
        <v>46272.0</v>
      </c>
      <c r="C1996" s="33">
        <f>Demand!C1994</f>
        <v>16</v>
      </c>
      <c r="D1996" s="33">
        <f>Demand!E1994</f>
        <v>16</v>
      </c>
      <c r="E1996" s="33">
        <f>IF(Demand!F1994,1,0)</f>
        <v>0</v>
      </c>
      <c r="F1996" s="33">
        <f>COUNTIFS(c_store,A1996,c_date,B1996,c_hour,C1996)</f>
        <v>0</v>
      </c>
      <c r="G1996" s="33">
        <f>IF(F1996&gt;0,1,0)</f>
        <v>0</v>
      </c>
      <c r="H1996" s="33">
        <f>COUNTIFS(Demand!$A$2:$A$4481,A1996,Demand!$B$2:$B$4481,B1996,Demand!$C$2:$C$4481,C1996)</f>
        <v>1</v>
      </c>
    </row>
    <row r="1997">
      <c r="A1997" s="32" t="str">
        <f>Demand!A1995</f>
        <v>S005</v>
      </c>
      <c r="B1997" s="35">
        <f>Demand!B1995</f>
        <v>46272.0</v>
      </c>
      <c r="C1997" s="33">
        <f>Demand!C1995</f>
        <v>17</v>
      </c>
      <c r="D1997" s="33">
        <f>Demand!E1995</f>
        <v>16</v>
      </c>
      <c r="E1997" s="33">
        <f>IF(Demand!F1995,1,0)</f>
        <v>0</v>
      </c>
      <c r="F1997" s="33">
        <f>COUNTIFS(c_store,A1997,c_date,B1997,c_hour,C1997)</f>
        <v>0</v>
      </c>
      <c r="G1997" s="33">
        <f>IF(F1997&gt;0,1,0)</f>
        <v>0</v>
      </c>
      <c r="H1997" s="33">
        <f>COUNTIFS(Demand!$A$2:$A$4481,A1997,Demand!$B$2:$B$4481,B1997,Demand!$C$2:$C$4481,C1997)</f>
        <v>1</v>
      </c>
    </row>
    <row r="1998">
      <c r="A1998" s="32" t="str">
        <f>Demand!A1996</f>
        <v>S005</v>
      </c>
      <c r="B1998" s="35">
        <f>Demand!B1996</f>
        <v>46272.0</v>
      </c>
      <c r="C1998" s="33">
        <f>Demand!C1996</f>
        <v>18</v>
      </c>
      <c r="D1998" s="33">
        <f>Demand!E1996</f>
        <v>16</v>
      </c>
      <c r="E1998" s="33">
        <f>IF(Demand!F1996,1,0)</f>
        <v>0</v>
      </c>
      <c r="F1998" s="33">
        <f>COUNTIFS(c_store,A1998,c_date,B1998,c_hour,C1998)</f>
        <v>2</v>
      </c>
      <c r="G1998" s="33">
        <f>IF(F1998&gt;0,1,0)</f>
        <v>1</v>
      </c>
      <c r="H1998" s="33">
        <f>COUNTIFS(Demand!$A$2:$A$4481,A1998,Demand!$B$2:$B$4481,B1998,Demand!$C$2:$C$4481,C1998)</f>
        <v>1</v>
      </c>
    </row>
    <row r="1999">
      <c r="A1999" s="32" t="str">
        <f>Demand!A1997</f>
        <v>S005</v>
      </c>
      <c r="B1999" s="35">
        <f>Demand!B1997</f>
        <v>46272.0</v>
      </c>
      <c r="C1999" s="33">
        <f>Demand!C1997</f>
        <v>19</v>
      </c>
      <c r="D1999" s="33">
        <f>Demand!E1997</f>
        <v>29</v>
      </c>
      <c r="E1999" s="33">
        <f>IF(Demand!F1997,1,0)</f>
        <v>1</v>
      </c>
      <c r="F1999" s="33">
        <f>COUNTIFS(c_store,A1999,c_date,B1999,c_hour,C1999)</f>
        <v>1</v>
      </c>
      <c r="G1999" s="33">
        <f>IF(F1999&gt;0,1,0)</f>
        <v>1</v>
      </c>
      <c r="H1999" s="33">
        <f>COUNTIFS(Demand!$A$2:$A$4481,A1999,Demand!$B$2:$B$4481,B1999,Demand!$C$2:$C$4481,C1999)</f>
        <v>1</v>
      </c>
    </row>
    <row r="2000">
      <c r="A2000" s="32" t="str">
        <f>Demand!A1998</f>
        <v>S005</v>
      </c>
      <c r="B2000" s="35">
        <f>Demand!B1998</f>
        <v>46272.0</v>
      </c>
      <c r="C2000" s="33">
        <f>Demand!C1998</f>
        <v>20</v>
      </c>
      <c r="D2000" s="33">
        <f>Demand!E1998</f>
        <v>19</v>
      </c>
      <c r="E2000" s="33">
        <f>IF(Demand!F1998,1,0)</f>
        <v>1</v>
      </c>
      <c r="F2000" s="33">
        <f>COUNTIFS(c_store,A2000,c_date,B2000,c_hour,C2000)</f>
        <v>0</v>
      </c>
      <c r="G2000" s="33">
        <f>IF(F2000&gt;0,1,0)</f>
        <v>0</v>
      </c>
      <c r="H2000" s="33">
        <f>COUNTIFS(Demand!$A$2:$A$4481,A2000,Demand!$B$2:$B$4481,B2000,Demand!$C$2:$C$4481,C2000)</f>
        <v>1</v>
      </c>
    </row>
    <row r="2001">
      <c r="A2001" s="32" t="str">
        <f>Demand!A1999</f>
        <v>S005</v>
      </c>
      <c r="B2001" s="35">
        <f>Demand!B1999</f>
        <v>46272.0</v>
      </c>
      <c r="C2001" s="33">
        <f>Demand!C1999</f>
        <v>21</v>
      </c>
      <c r="D2001" s="33">
        <f>Demand!E1999</f>
        <v>18</v>
      </c>
      <c r="E2001" s="33">
        <f>IF(Demand!F1999,1,0)</f>
        <v>1</v>
      </c>
      <c r="F2001" s="33">
        <f>COUNTIFS(c_store,A2001,c_date,B2001,c_hour,C2001)</f>
        <v>1</v>
      </c>
      <c r="G2001" s="33">
        <f>IF(F2001&gt;0,1,0)</f>
        <v>1</v>
      </c>
      <c r="H2001" s="33">
        <f>COUNTIFS(Demand!$A$2:$A$4481,A2001,Demand!$B$2:$B$4481,B2001,Demand!$C$2:$C$4481,C2001)</f>
        <v>1</v>
      </c>
    </row>
    <row r="2002">
      <c r="A2002" s="32" t="str">
        <f>Demand!A2000</f>
        <v>S005</v>
      </c>
      <c r="B2002" s="35">
        <f>Demand!B2000</f>
        <v>46272.0</v>
      </c>
      <c r="C2002" s="33">
        <f>Demand!C2000</f>
        <v>22</v>
      </c>
      <c r="D2002" s="33">
        <f>Demand!E2000</f>
        <v>13</v>
      </c>
      <c r="E2002" s="33">
        <f>IF(Demand!F2000,1,0)</f>
        <v>0</v>
      </c>
      <c r="F2002" s="33">
        <f>COUNTIFS(c_store,A2002,c_date,B2002,c_hour,C2002)</f>
        <v>0</v>
      </c>
      <c r="G2002" s="33">
        <f>IF(F2002&gt;0,1,0)</f>
        <v>0</v>
      </c>
      <c r="H2002" s="33">
        <f>COUNTIFS(Demand!$A$2:$A$4481,A2002,Demand!$B$2:$B$4481,B2002,Demand!$C$2:$C$4481,C2002)</f>
        <v>1</v>
      </c>
    </row>
    <row r="2003">
      <c r="A2003" s="32" t="str">
        <f>Demand!A2001</f>
        <v>S005</v>
      </c>
      <c r="B2003" s="35">
        <f>Demand!B2001</f>
        <v>46272.0</v>
      </c>
      <c r="C2003" s="33">
        <f>Demand!C2001</f>
        <v>23</v>
      </c>
      <c r="D2003" s="33">
        <f>Demand!E2001</f>
        <v>15</v>
      </c>
      <c r="E2003" s="33">
        <f>IF(Demand!F2001,1,0)</f>
        <v>0</v>
      </c>
      <c r="F2003" s="33">
        <f>COUNTIFS(c_store,A2003,c_date,B2003,c_hour,C2003)</f>
        <v>1</v>
      </c>
      <c r="G2003" s="33">
        <f>IF(F2003&gt;0,1,0)</f>
        <v>1</v>
      </c>
      <c r="H2003" s="33">
        <f>COUNTIFS(Demand!$A$2:$A$4481,A2003,Demand!$B$2:$B$4481,B2003,Demand!$C$2:$C$4481,C2003)</f>
        <v>1</v>
      </c>
    </row>
    <row r="2004">
      <c r="A2004" s="32" t="str">
        <f>Demand!A2002</f>
        <v>S006</v>
      </c>
      <c r="B2004" s="35">
        <f>Demand!B2002</f>
        <v>46272.0</v>
      </c>
      <c r="C2004" s="33">
        <f>Demand!C2002</f>
        <v>8</v>
      </c>
      <c r="D2004" s="33">
        <f>Demand!E2002</f>
        <v>16</v>
      </c>
      <c r="E2004" s="33">
        <f>IF(Demand!F2002,1,0)</f>
        <v>0</v>
      </c>
      <c r="F2004" s="33">
        <f>COUNTIFS(c_store,A2004,c_date,B2004,c_hour,C2004)</f>
        <v>0</v>
      </c>
      <c r="G2004" s="33">
        <f>IF(F2004&gt;0,1,0)</f>
        <v>0</v>
      </c>
      <c r="H2004" s="33">
        <f>COUNTIFS(Demand!$A$2:$A$4481,A2004,Demand!$B$2:$B$4481,B2004,Demand!$C$2:$C$4481,C2004)</f>
        <v>1</v>
      </c>
    </row>
    <row r="2005">
      <c r="A2005" s="32" t="str">
        <f>Demand!A2003</f>
        <v>S006</v>
      </c>
      <c r="B2005" s="35">
        <f>Demand!B2003</f>
        <v>46272.0</v>
      </c>
      <c r="C2005" s="33">
        <f>Demand!C2003</f>
        <v>9</v>
      </c>
      <c r="D2005" s="33">
        <f>Demand!E2003</f>
        <v>24</v>
      </c>
      <c r="E2005" s="33">
        <f>IF(Demand!F2003,1,0)</f>
        <v>0</v>
      </c>
      <c r="F2005" s="33">
        <f>COUNTIFS(c_store,A2005,c_date,B2005,c_hour,C2005)</f>
        <v>0</v>
      </c>
      <c r="G2005" s="33">
        <f>IF(F2005&gt;0,1,0)</f>
        <v>0</v>
      </c>
      <c r="H2005" s="33">
        <f>COUNTIFS(Demand!$A$2:$A$4481,A2005,Demand!$B$2:$B$4481,B2005,Demand!$C$2:$C$4481,C2005)</f>
        <v>1</v>
      </c>
    </row>
    <row r="2006">
      <c r="A2006" s="32" t="str">
        <f>Demand!A2004</f>
        <v>S006</v>
      </c>
      <c r="B2006" s="35">
        <f>Demand!B2004</f>
        <v>46272.0</v>
      </c>
      <c r="C2006" s="33">
        <f>Demand!C2004</f>
        <v>10</v>
      </c>
      <c r="D2006" s="33">
        <f>Demand!E2004</f>
        <v>23</v>
      </c>
      <c r="E2006" s="33">
        <f>IF(Demand!F2004,1,0)</f>
        <v>0</v>
      </c>
      <c r="F2006" s="33">
        <f>COUNTIFS(c_store,A2006,c_date,B2006,c_hour,C2006)</f>
        <v>0</v>
      </c>
      <c r="G2006" s="33">
        <f>IF(F2006&gt;0,1,0)</f>
        <v>0</v>
      </c>
      <c r="H2006" s="33">
        <f>COUNTIFS(Demand!$A$2:$A$4481,A2006,Demand!$B$2:$B$4481,B2006,Demand!$C$2:$C$4481,C2006)</f>
        <v>1</v>
      </c>
    </row>
    <row r="2007">
      <c r="A2007" s="32" t="str">
        <f>Demand!A2005</f>
        <v>S006</v>
      </c>
      <c r="B2007" s="35">
        <f>Demand!B2005</f>
        <v>46272.0</v>
      </c>
      <c r="C2007" s="33">
        <f>Demand!C2005</f>
        <v>11</v>
      </c>
      <c r="D2007" s="33">
        <f>Demand!E2005</f>
        <v>28</v>
      </c>
      <c r="E2007" s="33">
        <f>IF(Demand!F2005,1,0)</f>
        <v>0</v>
      </c>
      <c r="F2007" s="33">
        <f>COUNTIFS(c_store,A2007,c_date,B2007,c_hour,C2007)</f>
        <v>0</v>
      </c>
      <c r="G2007" s="33">
        <f>IF(F2007&gt;0,1,0)</f>
        <v>0</v>
      </c>
      <c r="H2007" s="33">
        <f>COUNTIFS(Demand!$A$2:$A$4481,A2007,Demand!$B$2:$B$4481,B2007,Demand!$C$2:$C$4481,C2007)</f>
        <v>1</v>
      </c>
    </row>
    <row r="2008">
      <c r="A2008" s="32" t="str">
        <f>Demand!A2006</f>
        <v>S006</v>
      </c>
      <c r="B2008" s="35">
        <f>Demand!B2006</f>
        <v>46272.0</v>
      </c>
      <c r="C2008" s="33">
        <f>Demand!C2006</f>
        <v>12</v>
      </c>
      <c r="D2008" s="33">
        <f>Demand!E2006</f>
        <v>24</v>
      </c>
      <c r="E2008" s="33">
        <f>IF(Demand!F2006,1,0)</f>
        <v>0</v>
      </c>
      <c r="F2008" s="33">
        <f>COUNTIFS(c_store,A2008,c_date,B2008,c_hour,C2008)</f>
        <v>0</v>
      </c>
      <c r="G2008" s="33">
        <f>IF(F2008&gt;0,1,0)</f>
        <v>0</v>
      </c>
      <c r="H2008" s="33">
        <f>COUNTIFS(Demand!$A$2:$A$4481,A2008,Demand!$B$2:$B$4481,B2008,Demand!$C$2:$C$4481,C2008)</f>
        <v>1</v>
      </c>
    </row>
    <row r="2009">
      <c r="A2009" s="32" t="str">
        <f>Demand!A2007</f>
        <v>S006</v>
      </c>
      <c r="B2009" s="35">
        <f>Demand!B2007</f>
        <v>46272.0</v>
      </c>
      <c r="C2009" s="33">
        <f>Demand!C2007</f>
        <v>13</v>
      </c>
      <c r="D2009" s="33">
        <f>Demand!E2007</f>
        <v>22</v>
      </c>
      <c r="E2009" s="33">
        <f>IF(Demand!F2007,1,0)</f>
        <v>0</v>
      </c>
      <c r="F2009" s="33">
        <f>COUNTIFS(c_store,A2009,c_date,B2009,c_hour,C2009)</f>
        <v>0</v>
      </c>
      <c r="G2009" s="33">
        <f>IF(F2009&gt;0,1,0)</f>
        <v>0</v>
      </c>
      <c r="H2009" s="33">
        <f>COUNTIFS(Demand!$A$2:$A$4481,A2009,Demand!$B$2:$B$4481,B2009,Demand!$C$2:$C$4481,C2009)</f>
        <v>1</v>
      </c>
    </row>
    <row r="2010">
      <c r="A2010" s="32" t="str">
        <f>Demand!A2008</f>
        <v>S006</v>
      </c>
      <c r="B2010" s="35">
        <f>Demand!B2008</f>
        <v>46272.0</v>
      </c>
      <c r="C2010" s="33">
        <f>Demand!C2008</f>
        <v>14</v>
      </c>
      <c r="D2010" s="33">
        <f>Demand!E2008</f>
        <v>17</v>
      </c>
      <c r="E2010" s="33">
        <f>IF(Demand!F2008,1,0)</f>
        <v>0</v>
      </c>
      <c r="F2010" s="33">
        <f>COUNTIFS(c_store,A2010,c_date,B2010,c_hour,C2010)</f>
        <v>0</v>
      </c>
      <c r="G2010" s="33">
        <f>IF(F2010&gt;0,1,0)</f>
        <v>0</v>
      </c>
      <c r="H2010" s="33">
        <f>COUNTIFS(Demand!$A$2:$A$4481,A2010,Demand!$B$2:$B$4481,B2010,Demand!$C$2:$C$4481,C2010)</f>
        <v>1</v>
      </c>
    </row>
    <row r="2011">
      <c r="A2011" s="32" t="str">
        <f>Demand!A2009</f>
        <v>S006</v>
      </c>
      <c r="B2011" s="35">
        <f>Demand!B2009</f>
        <v>46272.0</v>
      </c>
      <c r="C2011" s="33">
        <f>Demand!C2009</f>
        <v>15</v>
      </c>
      <c r="D2011" s="33">
        <f>Demand!E2009</f>
        <v>17</v>
      </c>
      <c r="E2011" s="33">
        <f>IF(Demand!F2009,1,0)</f>
        <v>0</v>
      </c>
      <c r="F2011" s="33">
        <f>COUNTIFS(c_store,A2011,c_date,B2011,c_hour,C2011)</f>
        <v>0</v>
      </c>
      <c r="G2011" s="33">
        <f>IF(F2011&gt;0,1,0)</f>
        <v>0</v>
      </c>
      <c r="H2011" s="33">
        <f>COUNTIFS(Demand!$A$2:$A$4481,A2011,Demand!$B$2:$B$4481,B2011,Demand!$C$2:$C$4481,C2011)</f>
        <v>1</v>
      </c>
    </row>
    <row r="2012">
      <c r="A2012" s="32" t="str">
        <f>Demand!A2010</f>
        <v>S006</v>
      </c>
      <c r="B2012" s="35">
        <f>Demand!B2010</f>
        <v>46272.0</v>
      </c>
      <c r="C2012" s="33">
        <f>Demand!C2010</f>
        <v>16</v>
      </c>
      <c r="D2012" s="33">
        <f>Demand!E2010</f>
        <v>24</v>
      </c>
      <c r="E2012" s="33">
        <f>IF(Demand!F2010,1,0)</f>
        <v>0</v>
      </c>
      <c r="F2012" s="33">
        <f>COUNTIFS(c_store,A2012,c_date,B2012,c_hour,C2012)</f>
        <v>0</v>
      </c>
      <c r="G2012" s="33">
        <f>IF(F2012&gt;0,1,0)</f>
        <v>0</v>
      </c>
      <c r="H2012" s="33">
        <f>COUNTIFS(Demand!$A$2:$A$4481,A2012,Demand!$B$2:$B$4481,B2012,Demand!$C$2:$C$4481,C2012)</f>
        <v>1</v>
      </c>
    </row>
    <row r="2013">
      <c r="A2013" s="32" t="str">
        <f>Demand!A2011</f>
        <v>S006</v>
      </c>
      <c r="B2013" s="35">
        <f>Demand!B2011</f>
        <v>46272.0</v>
      </c>
      <c r="C2013" s="33">
        <f>Demand!C2011</f>
        <v>17</v>
      </c>
      <c r="D2013" s="33">
        <f>Demand!E2011</f>
        <v>24</v>
      </c>
      <c r="E2013" s="33">
        <f>IF(Demand!F2011,1,0)</f>
        <v>0</v>
      </c>
      <c r="F2013" s="33">
        <f>COUNTIFS(c_store,A2013,c_date,B2013,c_hour,C2013)</f>
        <v>0</v>
      </c>
      <c r="G2013" s="33">
        <f>IF(F2013&gt;0,1,0)</f>
        <v>0</v>
      </c>
      <c r="H2013" s="33">
        <f>COUNTIFS(Demand!$A$2:$A$4481,A2013,Demand!$B$2:$B$4481,B2013,Demand!$C$2:$C$4481,C2013)</f>
        <v>1</v>
      </c>
    </row>
    <row r="2014">
      <c r="A2014" s="32" t="str">
        <f>Demand!A2012</f>
        <v>S006</v>
      </c>
      <c r="B2014" s="35">
        <f>Demand!B2012</f>
        <v>46272.0</v>
      </c>
      <c r="C2014" s="33">
        <f>Demand!C2012</f>
        <v>18</v>
      </c>
      <c r="D2014" s="33">
        <f>Demand!E2012</f>
        <v>31</v>
      </c>
      <c r="E2014" s="33">
        <f>IF(Demand!F2012,1,0)</f>
        <v>0</v>
      </c>
      <c r="F2014" s="33">
        <f>COUNTIFS(c_store,A2014,c_date,B2014,c_hour,C2014)</f>
        <v>0</v>
      </c>
      <c r="G2014" s="33">
        <f>IF(F2014&gt;0,1,0)</f>
        <v>0</v>
      </c>
      <c r="H2014" s="33">
        <f>COUNTIFS(Demand!$A$2:$A$4481,A2014,Demand!$B$2:$B$4481,B2014,Demand!$C$2:$C$4481,C2014)</f>
        <v>1</v>
      </c>
    </row>
    <row r="2015">
      <c r="A2015" s="32" t="str">
        <f>Demand!A2013</f>
        <v>S006</v>
      </c>
      <c r="B2015" s="35">
        <f>Demand!B2013</f>
        <v>46272.0</v>
      </c>
      <c r="C2015" s="33">
        <f>Demand!C2013</f>
        <v>19</v>
      </c>
      <c r="D2015" s="33">
        <f>Demand!E2013</f>
        <v>41</v>
      </c>
      <c r="E2015" s="33">
        <f>IF(Demand!F2013,1,0)</f>
        <v>1</v>
      </c>
      <c r="F2015" s="33">
        <f>COUNTIFS(c_store,A2015,c_date,B2015,c_hour,C2015)</f>
        <v>0</v>
      </c>
      <c r="G2015" s="33">
        <f>IF(F2015&gt;0,1,0)</f>
        <v>0</v>
      </c>
      <c r="H2015" s="33">
        <f>COUNTIFS(Demand!$A$2:$A$4481,A2015,Demand!$B$2:$B$4481,B2015,Demand!$C$2:$C$4481,C2015)</f>
        <v>1</v>
      </c>
    </row>
    <row r="2016">
      <c r="A2016" s="32" t="str">
        <f>Demand!A2014</f>
        <v>S006</v>
      </c>
      <c r="B2016" s="35">
        <f>Demand!B2014</f>
        <v>46272.0</v>
      </c>
      <c r="C2016" s="33">
        <f>Demand!C2014</f>
        <v>20</v>
      </c>
      <c r="D2016" s="33">
        <f>Demand!E2014</f>
        <v>34</v>
      </c>
      <c r="E2016" s="33">
        <f>IF(Demand!F2014,1,0)</f>
        <v>1</v>
      </c>
      <c r="F2016" s="33">
        <f>COUNTIFS(c_store,A2016,c_date,B2016,c_hour,C2016)</f>
        <v>0</v>
      </c>
      <c r="G2016" s="33">
        <f>IF(F2016&gt;0,1,0)</f>
        <v>0</v>
      </c>
      <c r="H2016" s="33">
        <f>COUNTIFS(Demand!$A$2:$A$4481,A2016,Demand!$B$2:$B$4481,B2016,Demand!$C$2:$C$4481,C2016)</f>
        <v>1</v>
      </c>
    </row>
    <row r="2017">
      <c r="A2017" s="32" t="str">
        <f>Demand!A2015</f>
        <v>S006</v>
      </c>
      <c r="B2017" s="35">
        <f>Demand!B2015</f>
        <v>46272.0</v>
      </c>
      <c r="C2017" s="33">
        <f>Demand!C2015</f>
        <v>21</v>
      </c>
      <c r="D2017" s="33">
        <f>Demand!E2015</f>
        <v>36</v>
      </c>
      <c r="E2017" s="33">
        <f>IF(Demand!F2015,1,0)</f>
        <v>1</v>
      </c>
      <c r="F2017" s="33">
        <f>COUNTIFS(c_store,A2017,c_date,B2017,c_hour,C2017)</f>
        <v>0</v>
      </c>
      <c r="G2017" s="33">
        <f>IF(F2017&gt;0,1,0)</f>
        <v>0</v>
      </c>
      <c r="H2017" s="33">
        <f>COUNTIFS(Demand!$A$2:$A$4481,A2017,Demand!$B$2:$B$4481,B2017,Demand!$C$2:$C$4481,C2017)</f>
        <v>1</v>
      </c>
    </row>
    <row r="2018">
      <c r="A2018" s="32" t="str">
        <f>Demand!A2016</f>
        <v>S006</v>
      </c>
      <c r="B2018" s="35">
        <f>Demand!B2016</f>
        <v>46272.0</v>
      </c>
      <c r="C2018" s="33">
        <f>Demand!C2016</f>
        <v>22</v>
      </c>
      <c r="D2018" s="33">
        <f>Demand!E2016</f>
        <v>25</v>
      </c>
      <c r="E2018" s="33">
        <f>IF(Demand!F2016,1,0)</f>
        <v>0</v>
      </c>
      <c r="F2018" s="33">
        <f>COUNTIFS(c_store,A2018,c_date,B2018,c_hour,C2018)</f>
        <v>0</v>
      </c>
      <c r="G2018" s="33">
        <f>IF(F2018&gt;0,1,0)</f>
        <v>0</v>
      </c>
      <c r="H2018" s="33">
        <f>COUNTIFS(Demand!$A$2:$A$4481,A2018,Demand!$B$2:$B$4481,B2018,Demand!$C$2:$C$4481,C2018)</f>
        <v>1</v>
      </c>
    </row>
    <row r="2019">
      <c r="A2019" s="32" t="str">
        <f>Demand!A2017</f>
        <v>S006</v>
      </c>
      <c r="B2019" s="35">
        <f>Demand!B2017</f>
        <v>46272.0</v>
      </c>
      <c r="C2019" s="33">
        <f>Demand!C2017</f>
        <v>23</v>
      </c>
      <c r="D2019" s="33">
        <f>Demand!E2017</f>
        <v>26</v>
      </c>
      <c r="E2019" s="33">
        <f>IF(Demand!F2017,1,0)</f>
        <v>0</v>
      </c>
      <c r="F2019" s="33">
        <f>COUNTIFS(c_store,A2019,c_date,B2019,c_hour,C2019)</f>
        <v>0</v>
      </c>
      <c r="G2019" s="33">
        <f>IF(F2019&gt;0,1,0)</f>
        <v>0</v>
      </c>
      <c r="H2019" s="33">
        <f>COUNTIFS(Demand!$A$2:$A$4481,A2019,Demand!$B$2:$B$4481,B2019,Demand!$C$2:$C$4481,C2019)</f>
        <v>1</v>
      </c>
    </row>
    <row r="2020">
      <c r="A2020" s="32" t="str">
        <f>Demand!A2018</f>
        <v>S007</v>
      </c>
      <c r="B2020" s="35">
        <f>Demand!B2018</f>
        <v>46272.0</v>
      </c>
      <c r="C2020" s="33">
        <f>Demand!C2018</f>
        <v>8</v>
      </c>
      <c r="D2020" s="33">
        <f>Demand!E2018</f>
        <v>32</v>
      </c>
      <c r="E2020" s="33">
        <f>IF(Demand!F2018,1,0)</f>
        <v>0</v>
      </c>
      <c r="F2020" s="33">
        <f>COUNTIFS(c_store,A2020,c_date,B2020,c_hour,C2020)</f>
        <v>0</v>
      </c>
      <c r="G2020" s="33">
        <f>IF(F2020&gt;0,1,0)</f>
        <v>0</v>
      </c>
      <c r="H2020" s="33">
        <f>COUNTIFS(Demand!$A$2:$A$4481,A2020,Demand!$B$2:$B$4481,B2020,Demand!$C$2:$C$4481,C2020)</f>
        <v>1</v>
      </c>
    </row>
    <row r="2021">
      <c r="A2021" s="32" t="str">
        <f>Demand!A2019</f>
        <v>S007</v>
      </c>
      <c r="B2021" s="35">
        <f>Demand!B2019</f>
        <v>46272.0</v>
      </c>
      <c r="C2021" s="33">
        <f>Demand!C2019</f>
        <v>9</v>
      </c>
      <c r="D2021" s="33">
        <f>Demand!E2019</f>
        <v>30</v>
      </c>
      <c r="E2021" s="33">
        <f>IF(Demand!F2019,1,0)</f>
        <v>0</v>
      </c>
      <c r="F2021" s="33">
        <f>COUNTIFS(c_store,A2021,c_date,B2021,c_hour,C2021)</f>
        <v>0</v>
      </c>
      <c r="G2021" s="33">
        <f>IF(F2021&gt;0,1,0)</f>
        <v>0</v>
      </c>
      <c r="H2021" s="33">
        <f>COUNTIFS(Demand!$A$2:$A$4481,A2021,Demand!$B$2:$B$4481,B2021,Demand!$C$2:$C$4481,C2021)</f>
        <v>1</v>
      </c>
    </row>
    <row r="2022">
      <c r="A2022" s="32" t="str">
        <f>Demand!A2020</f>
        <v>S007</v>
      </c>
      <c r="B2022" s="35">
        <f>Demand!B2020</f>
        <v>46272.0</v>
      </c>
      <c r="C2022" s="33">
        <f>Demand!C2020</f>
        <v>10</v>
      </c>
      <c r="D2022" s="33">
        <f>Demand!E2020</f>
        <v>42</v>
      </c>
      <c r="E2022" s="33">
        <f>IF(Demand!F2020,1,0)</f>
        <v>0</v>
      </c>
      <c r="F2022" s="33">
        <f>COUNTIFS(c_store,A2022,c_date,B2022,c_hour,C2022)</f>
        <v>0</v>
      </c>
      <c r="G2022" s="33">
        <f>IF(F2022&gt;0,1,0)</f>
        <v>0</v>
      </c>
      <c r="H2022" s="33">
        <f>COUNTIFS(Demand!$A$2:$A$4481,A2022,Demand!$B$2:$B$4481,B2022,Demand!$C$2:$C$4481,C2022)</f>
        <v>1</v>
      </c>
    </row>
    <row r="2023">
      <c r="A2023" s="32" t="str">
        <f>Demand!A2021</f>
        <v>S007</v>
      </c>
      <c r="B2023" s="35">
        <f>Demand!B2021</f>
        <v>46272.0</v>
      </c>
      <c r="C2023" s="33">
        <f>Demand!C2021</f>
        <v>11</v>
      </c>
      <c r="D2023" s="33">
        <f>Demand!E2021</f>
        <v>37</v>
      </c>
      <c r="E2023" s="33">
        <f>IF(Demand!F2021,1,0)</f>
        <v>0</v>
      </c>
      <c r="F2023" s="33">
        <f>COUNTIFS(c_store,A2023,c_date,B2023,c_hour,C2023)</f>
        <v>1</v>
      </c>
      <c r="G2023" s="33">
        <f>IF(F2023&gt;0,1,0)</f>
        <v>1</v>
      </c>
      <c r="H2023" s="33">
        <f>COUNTIFS(Demand!$A$2:$A$4481,A2023,Demand!$B$2:$B$4481,B2023,Demand!$C$2:$C$4481,C2023)</f>
        <v>1</v>
      </c>
    </row>
    <row r="2024">
      <c r="A2024" s="32" t="str">
        <f>Demand!A2022</f>
        <v>S007</v>
      </c>
      <c r="B2024" s="35">
        <f>Demand!B2022</f>
        <v>46272.0</v>
      </c>
      <c r="C2024" s="33">
        <f>Demand!C2022</f>
        <v>12</v>
      </c>
      <c r="D2024" s="33">
        <f>Demand!E2022</f>
        <v>42</v>
      </c>
      <c r="E2024" s="33">
        <f>IF(Demand!F2022,1,0)</f>
        <v>0</v>
      </c>
      <c r="F2024" s="33">
        <f>COUNTIFS(c_store,A2024,c_date,B2024,c_hour,C2024)</f>
        <v>1</v>
      </c>
      <c r="G2024" s="33">
        <f>IF(F2024&gt;0,1,0)</f>
        <v>1</v>
      </c>
      <c r="H2024" s="33">
        <f>COUNTIFS(Demand!$A$2:$A$4481,A2024,Demand!$B$2:$B$4481,B2024,Demand!$C$2:$C$4481,C2024)</f>
        <v>1</v>
      </c>
    </row>
    <row r="2025">
      <c r="A2025" s="32" t="str">
        <f>Demand!A2023</f>
        <v>S007</v>
      </c>
      <c r="B2025" s="35">
        <f>Demand!B2023</f>
        <v>46272.0</v>
      </c>
      <c r="C2025" s="33">
        <f>Demand!C2023</f>
        <v>13</v>
      </c>
      <c r="D2025" s="33">
        <f>Demand!E2023</f>
        <v>34</v>
      </c>
      <c r="E2025" s="33">
        <f>IF(Demand!F2023,1,0)</f>
        <v>0</v>
      </c>
      <c r="F2025" s="33">
        <f>COUNTIFS(c_store,A2025,c_date,B2025,c_hour,C2025)</f>
        <v>0</v>
      </c>
      <c r="G2025" s="33">
        <f>IF(F2025&gt;0,1,0)</f>
        <v>0</v>
      </c>
      <c r="H2025" s="33">
        <f>COUNTIFS(Demand!$A$2:$A$4481,A2025,Demand!$B$2:$B$4481,B2025,Demand!$C$2:$C$4481,C2025)</f>
        <v>1</v>
      </c>
    </row>
    <row r="2026">
      <c r="A2026" s="32" t="str">
        <f>Demand!A2024</f>
        <v>S007</v>
      </c>
      <c r="B2026" s="35">
        <f>Demand!B2024</f>
        <v>46272.0</v>
      </c>
      <c r="C2026" s="33">
        <f>Demand!C2024</f>
        <v>14</v>
      </c>
      <c r="D2026" s="33">
        <f>Demand!E2024</f>
        <v>37</v>
      </c>
      <c r="E2026" s="33">
        <f>IF(Demand!F2024,1,0)</f>
        <v>0</v>
      </c>
      <c r="F2026" s="33">
        <f>COUNTIFS(c_store,A2026,c_date,B2026,c_hour,C2026)</f>
        <v>2</v>
      </c>
      <c r="G2026" s="33">
        <f>IF(F2026&gt;0,1,0)</f>
        <v>1</v>
      </c>
      <c r="H2026" s="33">
        <f>COUNTIFS(Demand!$A$2:$A$4481,A2026,Demand!$B$2:$B$4481,B2026,Demand!$C$2:$C$4481,C2026)</f>
        <v>1</v>
      </c>
    </row>
    <row r="2027">
      <c r="A2027" s="32" t="str">
        <f>Demand!A2025</f>
        <v>S007</v>
      </c>
      <c r="B2027" s="35">
        <f>Demand!B2025</f>
        <v>46272.0</v>
      </c>
      <c r="C2027" s="33">
        <f>Demand!C2025</f>
        <v>15</v>
      </c>
      <c r="D2027" s="33">
        <f>Demand!E2025</f>
        <v>21</v>
      </c>
      <c r="E2027" s="33">
        <f>IF(Demand!F2025,1,0)</f>
        <v>0</v>
      </c>
      <c r="F2027" s="33">
        <f>COUNTIFS(c_store,A2027,c_date,B2027,c_hour,C2027)</f>
        <v>0</v>
      </c>
      <c r="G2027" s="33">
        <f>IF(F2027&gt;0,1,0)</f>
        <v>0</v>
      </c>
      <c r="H2027" s="33">
        <f>COUNTIFS(Demand!$A$2:$A$4481,A2027,Demand!$B$2:$B$4481,B2027,Demand!$C$2:$C$4481,C2027)</f>
        <v>1</v>
      </c>
    </row>
    <row r="2028">
      <c r="A2028" s="32" t="str">
        <f>Demand!A2026</f>
        <v>S007</v>
      </c>
      <c r="B2028" s="35">
        <f>Demand!B2026</f>
        <v>46272.0</v>
      </c>
      <c r="C2028" s="33">
        <f>Demand!C2026</f>
        <v>16</v>
      </c>
      <c r="D2028" s="33">
        <f>Demand!E2026</f>
        <v>42</v>
      </c>
      <c r="E2028" s="33">
        <f>IF(Demand!F2026,1,0)</f>
        <v>0</v>
      </c>
      <c r="F2028" s="33">
        <f>COUNTIFS(c_store,A2028,c_date,B2028,c_hour,C2028)</f>
        <v>0</v>
      </c>
      <c r="G2028" s="33">
        <f>IF(F2028&gt;0,1,0)</f>
        <v>0</v>
      </c>
      <c r="H2028" s="33">
        <f>COUNTIFS(Demand!$A$2:$A$4481,A2028,Demand!$B$2:$B$4481,B2028,Demand!$C$2:$C$4481,C2028)</f>
        <v>1</v>
      </c>
    </row>
    <row r="2029">
      <c r="A2029" s="32" t="str">
        <f>Demand!A2027</f>
        <v>S007</v>
      </c>
      <c r="B2029" s="35">
        <f>Demand!B2027</f>
        <v>46272.0</v>
      </c>
      <c r="C2029" s="33">
        <f>Demand!C2027</f>
        <v>17</v>
      </c>
      <c r="D2029" s="33">
        <f>Demand!E2027</f>
        <v>47</v>
      </c>
      <c r="E2029" s="33">
        <f>IF(Demand!F2027,1,0)</f>
        <v>0</v>
      </c>
      <c r="F2029" s="33">
        <f>COUNTIFS(c_store,A2029,c_date,B2029,c_hour,C2029)</f>
        <v>0</v>
      </c>
      <c r="G2029" s="33">
        <f>IF(F2029&gt;0,1,0)</f>
        <v>0</v>
      </c>
      <c r="H2029" s="33">
        <f>COUNTIFS(Demand!$A$2:$A$4481,A2029,Demand!$B$2:$B$4481,B2029,Demand!$C$2:$C$4481,C2029)</f>
        <v>1</v>
      </c>
    </row>
    <row r="2030">
      <c r="A2030" s="32" t="str">
        <f>Demand!A2028</f>
        <v>S007</v>
      </c>
      <c r="B2030" s="35">
        <f>Demand!B2028</f>
        <v>46272.0</v>
      </c>
      <c r="C2030" s="33">
        <f>Demand!C2028</f>
        <v>18</v>
      </c>
      <c r="D2030" s="33">
        <f>Demand!E2028</f>
        <v>32</v>
      </c>
      <c r="E2030" s="33">
        <f>IF(Demand!F2028,1,0)</f>
        <v>0</v>
      </c>
      <c r="F2030" s="33">
        <f>COUNTIFS(c_store,A2030,c_date,B2030,c_hour,C2030)</f>
        <v>1</v>
      </c>
      <c r="G2030" s="33">
        <f>IF(F2030&gt;0,1,0)</f>
        <v>1</v>
      </c>
      <c r="H2030" s="33">
        <f>COUNTIFS(Demand!$A$2:$A$4481,A2030,Demand!$B$2:$B$4481,B2030,Demand!$C$2:$C$4481,C2030)</f>
        <v>1</v>
      </c>
    </row>
    <row r="2031">
      <c r="A2031" s="32" t="str">
        <f>Demand!A2029</f>
        <v>S007</v>
      </c>
      <c r="B2031" s="35">
        <f>Demand!B2029</f>
        <v>46272.0</v>
      </c>
      <c r="C2031" s="33">
        <f>Demand!C2029</f>
        <v>19</v>
      </c>
      <c r="D2031" s="33">
        <f>Demand!E2029</f>
        <v>46</v>
      </c>
      <c r="E2031" s="33">
        <f>IF(Demand!F2029,1,0)</f>
        <v>1</v>
      </c>
      <c r="F2031" s="33">
        <f>COUNTIFS(c_store,A2031,c_date,B2031,c_hour,C2031)</f>
        <v>0</v>
      </c>
      <c r="G2031" s="33">
        <f>IF(F2031&gt;0,1,0)</f>
        <v>0</v>
      </c>
      <c r="H2031" s="33">
        <f>COUNTIFS(Demand!$A$2:$A$4481,A2031,Demand!$B$2:$B$4481,B2031,Demand!$C$2:$C$4481,C2031)</f>
        <v>1</v>
      </c>
    </row>
    <row r="2032">
      <c r="A2032" s="32" t="str">
        <f>Demand!A2030</f>
        <v>S007</v>
      </c>
      <c r="B2032" s="35">
        <f>Demand!B2030</f>
        <v>46272.0</v>
      </c>
      <c r="C2032" s="33">
        <f>Demand!C2030</f>
        <v>20</v>
      </c>
      <c r="D2032" s="33">
        <f>Demand!E2030</f>
        <v>48</v>
      </c>
      <c r="E2032" s="33">
        <f>IF(Demand!F2030,1,0)</f>
        <v>1</v>
      </c>
      <c r="F2032" s="33">
        <f>COUNTIFS(c_store,A2032,c_date,B2032,c_hour,C2032)</f>
        <v>0</v>
      </c>
      <c r="G2032" s="33">
        <f>IF(F2032&gt;0,1,0)</f>
        <v>0</v>
      </c>
      <c r="H2032" s="33">
        <f>COUNTIFS(Demand!$A$2:$A$4481,A2032,Demand!$B$2:$B$4481,B2032,Demand!$C$2:$C$4481,C2032)</f>
        <v>1</v>
      </c>
    </row>
    <row r="2033">
      <c r="A2033" s="32" t="str">
        <f>Demand!A2031</f>
        <v>S007</v>
      </c>
      <c r="B2033" s="35">
        <f>Demand!B2031</f>
        <v>46272.0</v>
      </c>
      <c r="C2033" s="33">
        <f>Demand!C2031</f>
        <v>21</v>
      </c>
      <c r="D2033" s="33">
        <f>Demand!E2031</f>
        <v>52</v>
      </c>
      <c r="E2033" s="33">
        <f>IF(Demand!F2031,1,0)</f>
        <v>1</v>
      </c>
      <c r="F2033" s="33">
        <f>COUNTIFS(c_store,A2033,c_date,B2033,c_hour,C2033)</f>
        <v>0</v>
      </c>
      <c r="G2033" s="33">
        <f>IF(F2033&gt;0,1,0)</f>
        <v>0</v>
      </c>
      <c r="H2033" s="33">
        <f>COUNTIFS(Demand!$A$2:$A$4481,A2033,Demand!$B$2:$B$4481,B2033,Demand!$C$2:$C$4481,C2033)</f>
        <v>1</v>
      </c>
    </row>
    <row r="2034">
      <c r="A2034" s="32" t="str">
        <f>Demand!A2032</f>
        <v>S007</v>
      </c>
      <c r="B2034" s="35">
        <f>Demand!B2032</f>
        <v>46272.0</v>
      </c>
      <c r="C2034" s="33">
        <f>Demand!C2032</f>
        <v>22</v>
      </c>
      <c r="D2034" s="33">
        <f>Demand!E2032</f>
        <v>33</v>
      </c>
      <c r="E2034" s="33">
        <f>IF(Demand!F2032,1,0)</f>
        <v>0</v>
      </c>
      <c r="F2034" s="33">
        <f>COUNTIFS(c_store,A2034,c_date,B2034,c_hour,C2034)</f>
        <v>2</v>
      </c>
      <c r="G2034" s="33">
        <f>IF(F2034&gt;0,1,0)</f>
        <v>1</v>
      </c>
      <c r="H2034" s="33">
        <f>COUNTIFS(Demand!$A$2:$A$4481,A2034,Demand!$B$2:$B$4481,B2034,Demand!$C$2:$C$4481,C2034)</f>
        <v>1</v>
      </c>
    </row>
    <row r="2035">
      <c r="A2035" s="32" t="str">
        <f>Demand!A2033</f>
        <v>S007</v>
      </c>
      <c r="B2035" s="35">
        <f>Demand!B2033</f>
        <v>46272.0</v>
      </c>
      <c r="C2035" s="33">
        <f>Demand!C2033</f>
        <v>23</v>
      </c>
      <c r="D2035" s="33">
        <f>Demand!E2033</f>
        <v>47</v>
      </c>
      <c r="E2035" s="33">
        <f>IF(Demand!F2033,1,0)</f>
        <v>0</v>
      </c>
      <c r="F2035" s="33">
        <f>COUNTIFS(c_store,A2035,c_date,B2035,c_hour,C2035)</f>
        <v>1</v>
      </c>
      <c r="G2035" s="33">
        <f>IF(F2035&gt;0,1,0)</f>
        <v>1</v>
      </c>
      <c r="H2035" s="33">
        <f>COUNTIFS(Demand!$A$2:$A$4481,A2035,Demand!$B$2:$B$4481,B2035,Demand!$C$2:$C$4481,C2035)</f>
        <v>1</v>
      </c>
    </row>
    <row r="2036">
      <c r="A2036" s="32" t="str">
        <f>Demand!A2034</f>
        <v>S008</v>
      </c>
      <c r="B2036" s="35">
        <f>Demand!B2034</f>
        <v>46272.0</v>
      </c>
      <c r="C2036" s="33">
        <f>Demand!C2034</f>
        <v>8</v>
      </c>
      <c r="D2036" s="33">
        <f>Demand!E2034</f>
        <v>18</v>
      </c>
      <c r="E2036" s="33">
        <f>IF(Demand!F2034,1,0)</f>
        <v>0</v>
      </c>
      <c r="F2036" s="33">
        <f>COUNTIFS(c_store,A2036,c_date,B2036,c_hour,C2036)</f>
        <v>1</v>
      </c>
      <c r="G2036" s="33">
        <f>IF(F2036&gt;0,1,0)</f>
        <v>1</v>
      </c>
      <c r="H2036" s="33">
        <f>COUNTIFS(Demand!$A$2:$A$4481,A2036,Demand!$B$2:$B$4481,B2036,Demand!$C$2:$C$4481,C2036)</f>
        <v>1</v>
      </c>
    </row>
    <row r="2037">
      <c r="A2037" s="32" t="str">
        <f>Demand!A2035</f>
        <v>S008</v>
      </c>
      <c r="B2037" s="35">
        <f>Demand!B2035</f>
        <v>46272.0</v>
      </c>
      <c r="C2037" s="33">
        <f>Demand!C2035</f>
        <v>9</v>
      </c>
      <c r="D2037" s="33">
        <f>Demand!E2035</f>
        <v>21</v>
      </c>
      <c r="E2037" s="33">
        <f>IF(Demand!F2035,1,0)</f>
        <v>0</v>
      </c>
      <c r="F2037" s="33">
        <f>COUNTIFS(c_store,A2037,c_date,B2037,c_hour,C2037)</f>
        <v>0</v>
      </c>
      <c r="G2037" s="33">
        <f>IF(F2037&gt;0,1,0)</f>
        <v>0</v>
      </c>
      <c r="H2037" s="33">
        <f>COUNTIFS(Demand!$A$2:$A$4481,A2037,Demand!$B$2:$B$4481,B2037,Demand!$C$2:$C$4481,C2037)</f>
        <v>1</v>
      </c>
    </row>
    <row r="2038">
      <c r="A2038" s="32" t="str">
        <f>Demand!A2036</f>
        <v>S008</v>
      </c>
      <c r="B2038" s="35">
        <f>Demand!B2036</f>
        <v>46272.0</v>
      </c>
      <c r="C2038" s="33">
        <f>Demand!C2036</f>
        <v>10</v>
      </c>
      <c r="D2038" s="33">
        <f>Demand!E2036</f>
        <v>23</v>
      </c>
      <c r="E2038" s="33">
        <f>IF(Demand!F2036,1,0)</f>
        <v>0</v>
      </c>
      <c r="F2038" s="33">
        <f>COUNTIFS(c_store,A2038,c_date,B2038,c_hour,C2038)</f>
        <v>0</v>
      </c>
      <c r="G2038" s="33">
        <f>IF(F2038&gt;0,1,0)</f>
        <v>0</v>
      </c>
      <c r="H2038" s="33">
        <f>COUNTIFS(Demand!$A$2:$A$4481,A2038,Demand!$B$2:$B$4481,B2038,Demand!$C$2:$C$4481,C2038)</f>
        <v>1</v>
      </c>
    </row>
    <row r="2039">
      <c r="A2039" s="32" t="str">
        <f>Demand!A2037</f>
        <v>S008</v>
      </c>
      <c r="B2039" s="35">
        <f>Demand!B2037</f>
        <v>46272.0</v>
      </c>
      <c r="C2039" s="33">
        <f>Demand!C2037</f>
        <v>11</v>
      </c>
      <c r="D2039" s="33">
        <f>Demand!E2037</f>
        <v>18</v>
      </c>
      <c r="E2039" s="33">
        <f>IF(Demand!F2037,1,0)</f>
        <v>0</v>
      </c>
      <c r="F2039" s="33">
        <f>COUNTIFS(c_store,A2039,c_date,B2039,c_hour,C2039)</f>
        <v>0</v>
      </c>
      <c r="G2039" s="33">
        <f>IF(F2039&gt;0,1,0)</f>
        <v>0</v>
      </c>
      <c r="H2039" s="33">
        <f>COUNTIFS(Demand!$A$2:$A$4481,A2039,Demand!$B$2:$B$4481,B2039,Demand!$C$2:$C$4481,C2039)</f>
        <v>1</v>
      </c>
    </row>
    <row r="2040">
      <c r="A2040" s="32" t="str">
        <f>Demand!A2038</f>
        <v>S008</v>
      </c>
      <c r="B2040" s="35">
        <f>Demand!B2038</f>
        <v>46272.0</v>
      </c>
      <c r="C2040" s="33">
        <f>Demand!C2038</f>
        <v>12</v>
      </c>
      <c r="D2040" s="33">
        <f>Demand!E2038</f>
        <v>16</v>
      </c>
      <c r="E2040" s="33">
        <f>IF(Demand!F2038,1,0)</f>
        <v>0</v>
      </c>
      <c r="F2040" s="33">
        <f>COUNTIFS(c_store,A2040,c_date,B2040,c_hour,C2040)</f>
        <v>0</v>
      </c>
      <c r="G2040" s="33">
        <f>IF(F2040&gt;0,1,0)</f>
        <v>0</v>
      </c>
      <c r="H2040" s="33">
        <f>COUNTIFS(Demand!$A$2:$A$4481,A2040,Demand!$B$2:$B$4481,B2040,Demand!$C$2:$C$4481,C2040)</f>
        <v>1</v>
      </c>
    </row>
    <row r="2041">
      <c r="A2041" s="32" t="str">
        <f>Demand!A2039</f>
        <v>S008</v>
      </c>
      <c r="B2041" s="35">
        <f>Demand!B2039</f>
        <v>46272.0</v>
      </c>
      <c r="C2041" s="33">
        <f>Demand!C2039</f>
        <v>13</v>
      </c>
      <c r="D2041" s="33">
        <f>Demand!E2039</f>
        <v>15</v>
      </c>
      <c r="E2041" s="33">
        <f>IF(Demand!F2039,1,0)</f>
        <v>0</v>
      </c>
      <c r="F2041" s="33">
        <f>COUNTIFS(c_store,A2041,c_date,B2041,c_hour,C2041)</f>
        <v>0</v>
      </c>
      <c r="G2041" s="33">
        <f>IF(F2041&gt;0,1,0)</f>
        <v>0</v>
      </c>
      <c r="H2041" s="33">
        <f>COUNTIFS(Demand!$A$2:$A$4481,A2041,Demand!$B$2:$B$4481,B2041,Demand!$C$2:$C$4481,C2041)</f>
        <v>1</v>
      </c>
    </row>
    <row r="2042">
      <c r="A2042" s="32" t="str">
        <f>Demand!A2040</f>
        <v>S008</v>
      </c>
      <c r="B2042" s="35">
        <f>Demand!B2040</f>
        <v>46272.0</v>
      </c>
      <c r="C2042" s="33">
        <f>Demand!C2040</f>
        <v>14</v>
      </c>
      <c r="D2042" s="33">
        <f>Demand!E2040</f>
        <v>18</v>
      </c>
      <c r="E2042" s="33">
        <f>IF(Demand!F2040,1,0)</f>
        <v>0</v>
      </c>
      <c r="F2042" s="33">
        <f>COUNTIFS(c_store,A2042,c_date,B2042,c_hour,C2042)</f>
        <v>1</v>
      </c>
      <c r="G2042" s="33">
        <f>IF(F2042&gt;0,1,0)</f>
        <v>1</v>
      </c>
      <c r="H2042" s="33">
        <f>COUNTIFS(Demand!$A$2:$A$4481,A2042,Demand!$B$2:$B$4481,B2042,Demand!$C$2:$C$4481,C2042)</f>
        <v>1</v>
      </c>
    </row>
    <row r="2043">
      <c r="A2043" s="32" t="str">
        <f>Demand!A2041</f>
        <v>S008</v>
      </c>
      <c r="B2043" s="35">
        <f>Demand!B2041</f>
        <v>46272.0</v>
      </c>
      <c r="C2043" s="33">
        <f>Demand!C2041</f>
        <v>15</v>
      </c>
      <c r="D2043" s="33">
        <f>Demand!E2041</f>
        <v>20</v>
      </c>
      <c r="E2043" s="33">
        <f>IF(Demand!F2041,1,0)</f>
        <v>0</v>
      </c>
      <c r="F2043" s="33">
        <f>COUNTIFS(c_store,A2043,c_date,B2043,c_hour,C2043)</f>
        <v>0</v>
      </c>
      <c r="G2043" s="33">
        <f>IF(F2043&gt;0,1,0)</f>
        <v>0</v>
      </c>
      <c r="H2043" s="33">
        <f>COUNTIFS(Demand!$A$2:$A$4481,A2043,Demand!$B$2:$B$4481,B2043,Demand!$C$2:$C$4481,C2043)</f>
        <v>1</v>
      </c>
    </row>
    <row r="2044">
      <c r="A2044" s="32" t="str">
        <f>Demand!A2042</f>
        <v>S008</v>
      </c>
      <c r="B2044" s="35">
        <f>Demand!B2042</f>
        <v>46272.0</v>
      </c>
      <c r="C2044" s="33">
        <f>Demand!C2042</f>
        <v>16</v>
      </c>
      <c r="D2044" s="33">
        <f>Demand!E2042</f>
        <v>16</v>
      </c>
      <c r="E2044" s="33">
        <f>IF(Demand!F2042,1,0)</f>
        <v>0</v>
      </c>
      <c r="F2044" s="33">
        <f>COUNTIFS(c_store,A2044,c_date,B2044,c_hour,C2044)</f>
        <v>0</v>
      </c>
      <c r="G2044" s="33">
        <f>IF(F2044&gt;0,1,0)</f>
        <v>0</v>
      </c>
      <c r="H2044" s="33">
        <f>COUNTIFS(Demand!$A$2:$A$4481,A2044,Demand!$B$2:$B$4481,B2044,Demand!$C$2:$C$4481,C2044)</f>
        <v>1</v>
      </c>
    </row>
    <row r="2045">
      <c r="A2045" s="32" t="str">
        <f>Demand!A2043</f>
        <v>S008</v>
      </c>
      <c r="B2045" s="35">
        <f>Demand!B2043</f>
        <v>46272.0</v>
      </c>
      <c r="C2045" s="33">
        <f>Demand!C2043</f>
        <v>17</v>
      </c>
      <c r="D2045" s="33">
        <f>Demand!E2043</f>
        <v>16</v>
      </c>
      <c r="E2045" s="33">
        <f>IF(Demand!F2043,1,0)</f>
        <v>0</v>
      </c>
      <c r="F2045" s="33">
        <f>COUNTIFS(c_store,A2045,c_date,B2045,c_hour,C2045)</f>
        <v>0</v>
      </c>
      <c r="G2045" s="33">
        <f>IF(F2045&gt;0,1,0)</f>
        <v>0</v>
      </c>
      <c r="H2045" s="33">
        <f>COUNTIFS(Demand!$A$2:$A$4481,A2045,Demand!$B$2:$B$4481,B2045,Demand!$C$2:$C$4481,C2045)</f>
        <v>1</v>
      </c>
    </row>
    <row r="2046">
      <c r="A2046" s="32" t="str">
        <f>Demand!A2044</f>
        <v>S008</v>
      </c>
      <c r="B2046" s="35">
        <f>Demand!B2044</f>
        <v>46272.0</v>
      </c>
      <c r="C2046" s="33">
        <f>Demand!C2044</f>
        <v>18</v>
      </c>
      <c r="D2046" s="33">
        <f>Demand!E2044</f>
        <v>29</v>
      </c>
      <c r="E2046" s="33">
        <f>IF(Demand!F2044,1,0)</f>
        <v>0</v>
      </c>
      <c r="F2046" s="33">
        <f>COUNTIFS(c_store,A2046,c_date,B2046,c_hour,C2046)</f>
        <v>0</v>
      </c>
      <c r="G2046" s="33">
        <f>IF(F2046&gt;0,1,0)</f>
        <v>0</v>
      </c>
      <c r="H2046" s="33">
        <f>COUNTIFS(Demand!$A$2:$A$4481,A2046,Demand!$B$2:$B$4481,B2046,Demand!$C$2:$C$4481,C2046)</f>
        <v>1</v>
      </c>
    </row>
    <row r="2047">
      <c r="A2047" s="32" t="str">
        <f>Demand!A2045</f>
        <v>S008</v>
      </c>
      <c r="B2047" s="35">
        <f>Demand!B2045</f>
        <v>46272.0</v>
      </c>
      <c r="C2047" s="33">
        <f>Demand!C2045</f>
        <v>19</v>
      </c>
      <c r="D2047" s="33">
        <f>Demand!E2045</f>
        <v>31</v>
      </c>
      <c r="E2047" s="33">
        <f>IF(Demand!F2045,1,0)</f>
        <v>1</v>
      </c>
      <c r="F2047" s="33">
        <f>COUNTIFS(c_store,A2047,c_date,B2047,c_hour,C2047)</f>
        <v>0</v>
      </c>
      <c r="G2047" s="33">
        <f>IF(F2047&gt;0,1,0)</f>
        <v>0</v>
      </c>
      <c r="H2047" s="33">
        <f>COUNTIFS(Demand!$A$2:$A$4481,A2047,Demand!$B$2:$B$4481,B2047,Demand!$C$2:$C$4481,C2047)</f>
        <v>1</v>
      </c>
    </row>
    <row r="2048">
      <c r="A2048" s="32" t="str">
        <f>Demand!A2046</f>
        <v>S008</v>
      </c>
      <c r="B2048" s="35">
        <f>Demand!B2046</f>
        <v>46272.0</v>
      </c>
      <c r="C2048" s="33">
        <f>Demand!C2046</f>
        <v>20</v>
      </c>
      <c r="D2048" s="33">
        <f>Demand!E2046</f>
        <v>33</v>
      </c>
      <c r="E2048" s="33">
        <f>IF(Demand!F2046,1,0)</f>
        <v>1</v>
      </c>
      <c r="F2048" s="33">
        <f>COUNTIFS(c_store,A2048,c_date,B2048,c_hour,C2048)</f>
        <v>2</v>
      </c>
      <c r="G2048" s="33">
        <f>IF(F2048&gt;0,1,0)</f>
        <v>1</v>
      </c>
      <c r="H2048" s="33">
        <f>COUNTIFS(Demand!$A$2:$A$4481,A2048,Demand!$B$2:$B$4481,B2048,Demand!$C$2:$C$4481,C2048)</f>
        <v>1</v>
      </c>
    </row>
    <row r="2049">
      <c r="A2049" s="32" t="str">
        <f>Demand!A2047</f>
        <v>S008</v>
      </c>
      <c r="B2049" s="35">
        <f>Demand!B2047</f>
        <v>46272.0</v>
      </c>
      <c r="C2049" s="33">
        <f>Demand!C2047</f>
        <v>21</v>
      </c>
      <c r="D2049" s="33">
        <f>Demand!E2047</f>
        <v>45</v>
      </c>
      <c r="E2049" s="33">
        <f>IF(Demand!F2047,1,0)</f>
        <v>1</v>
      </c>
      <c r="F2049" s="33">
        <f>COUNTIFS(c_store,A2049,c_date,B2049,c_hour,C2049)</f>
        <v>0</v>
      </c>
      <c r="G2049" s="33">
        <f>IF(F2049&gt;0,1,0)</f>
        <v>0</v>
      </c>
      <c r="H2049" s="33">
        <f>COUNTIFS(Demand!$A$2:$A$4481,A2049,Demand!$B$2:$B$4481,B2049,Demand!$C$2:$C$4481,C2049)</f>
        <v>1</v>
      </c>
    </row>
    <row r="2050">
      <c r="A2050" s="32" t="str">
        <f>Demand!A2048</f>
        <v>S008</v>
      </c>
      <c r="B2050" s="35">
        <f>Demand!B2048</f>
        <v>46272.0</v>
      </c>
      <c r="C2050" s="33">
        <f>Demand!C2048</f>
        <v>22</v>
      </c>
      <c r="D2050" s="33">
        <f>Demand!E2048</f>
        <v>22</v>
      </c>
      <c r="E2050" s="33">
        <f>IF(Demand!F2048,1,0)</f>
        <v>0</v>
      </c>
      <c r="F2050" s="33">
        <f>COUNTIFS(c_store,A2050,c_date,B2050,c_hour,C2050)</f>
        <v>1</v>
      </c>
      <c r="G2050" s="33">
        <f>IF(F2050&gt;0,1,0)</f>
        <v>1</v>
      </c>
      <c r="H2050" s="33">
        <f>COUNTIFS(Demand!$A$2:$A$4481,A2050,Demand!$B$2:$B$4481,B2050,Demand!$C$2:$C$4481,C2050)</f>
        <v>1</v>
      </c>
    </row>
    <row r="2051">
      <c r="A2051" s="32" t="str">
        <f>Demand!A2049</f>
        <v>S008</v>
      </c>
      <c r="B2051" s="35">
        <f>Demand!B2049</f>
        <v>46272.0</v>
      </c>
      <c r="C2051" s="33">
        <f>Demand!C2049</f>
        <v>23</v>
      </c>
      <c r="D2051" s="33">
        <f>Demand!E2049</f>
        <v>26</v>
      </c>
      <c r="E2051" s="33">
        <f>IF(Demand!F2049,1,0)</f>
        <v>0</v>
      </c>
      <c r="F2051" s="33">
        <f>COUNTIFS(c_store,A2051,c_date,B2051,c_hour,C2051)</f>
        <v>0</v>
      </c>
      <c r="G2051" s="33">
        <f>IF(F2051&gt;0,1,0)</f>
        <v>0</v>
      </c>
      <c r="H2051" s="33">
        <f>COUNTIFS(Demand!$A$2:$A$4481,A2051,Demand!$B$2:$B$4481,B2051,Demand!$C$2:$C$4481,C2051)</f>
        <v>1</v>
      </c>
    </row>
    <row r="2052">
      <c r="A2052" s="32" t="str">
        <f>Demand!A2050</f>
        <v>S009</v>
      </c>
      <c r="B2052" s="35">
        <f>Demand!B2050</f>
        <v>46272.0</v>
      </c>
      <c r="C2052" s="33">
        <f>Demand!C2050</f>
        <v>8</v>
      </c>
      <c r="D2052" s="33">
        <f>Demand!E2050</f>
        <v>17</v>
      </c>
      <c r="E2052" s="33">
        <f>IF(Demand!F2050,1,0)</f>
        <v>0</v>
      </c>
      <c r="F2052" s="33">
        <f>COUNTIFS(c_store,A2052,c_date,B2052,c_hour,C2052)</f>
        <v>0</v>
      </c>
      <c r="G2052" s="33">
        <f>IF(F2052&gt;0,1,0)</f>
        <v>0</v>
      </c>
      <c r="H2052" s="33">
        <f>COUNTIFS(Demand!$A$2:$A$4481,A2052,Demand!$B$2:$B$4481,B2052,Demand!$C$2:$C$4481,C2052)</f>
        <v>1</v>
      </c>
    </row>
    <row r="2053">
      <c r="A2053" s="32" t="str">
        <f>Demand!A2051</f>
        <v>S009</v>
      </c>
      <c r="B2053" s="35">
        <f>Demand!B2051</f>
        <v>46272.0</v>
      </c>
      <c r="C2053" s="33">
        <f>Demand!C2051</f>
        <v>9</v>
      </c>
      <c r="D2053" s="33">
        <f>Demand!E2051</f>
        <v>21</v>
      </c>
      <c r="E2053" s="33">
        <f>IF(Demand!F2051,1,0)</f>
        <v>0</v>
      </c>
      <c r="F2053" s="33">
        <f>COUNTIFS(c_store,A2053,c_date,B2053,c_hour,C2053)</f>
        <v>0</v>
      </c>
      <c r="G2053" s="33">
        <f>IF(F2053&gt;0,1,0)</f>
        <v>0</v>
      </c>
      <c r="H2053" s="33">
        <f>COUNTIFS(Demand!$A$2:$A$4481,A2053,Demand!$B$2:$B$4481,B2053,Demand!$C$2:$C$4481,C2053)</f>
        <v>1</v>
      </c>
    </row>
    <row r="2054">
      <c r="A2054" s="32" t="str">
        <f>Demand!A2052</f>
        <v>S009</v>
      </c>
      <c r="B2054" s="35">
        <f>Demand!B2052</f>
        <v>46272.0</v>
      </c>
      <c r="C2054" s="33">
        <f>Demand!C2052</f>
        <v>10</v>
      </c>
      <c r="D2054" s="33">
        <f>Demand!E2052</f>
        <v>21</v>
      </c>
      <c r="E2054" s="33">
        <f>IF(Demand!F2052,1,0)</f>
        <v>0</v>
      </c>
      <c r="F2054" s="33">
        <f>COUNTIFS(c_store,A2054,c_date,B2054,c_hour,C2054)</f>
        <v>1</v>
      </c>
      <c r="G2054" s="33">
        <f>IF(F2054&gt;0,1,0)</f>
        <v>1</v>
      </c>
      <c r="H2054" s="33">
        <f>COUNTIFS(Demand!$A$2:$A$4481,A2054,Demand!$B$2:$B$4481,B2054,Demand!$C$2:$C$4481,C2054)</f>
        <v>1</v>
      </c>
    </row>
    <row r="2055">
      <c r="A2055" s="32" t="str">
        <f>Demand!A2053</f>
        <v>S009</v>
      </c>
      <c r="B2055" s="35">
        <f>Demand!B2053</f>
        <v>46272.0</v>
      </c>
      <c r="C2055" s="33">
        <f>Demand!C2053</f>
        <v>11</v>
      </c>
      <c r="D2055" s="33">
        <f>Demand!E2053</f>
        <v>23</v>
      </c>
      <c r="E2055" s="33">
        <f>IF(Demand!F2053,1,0)</f>
        <v>0</v>
      </c>
      <c r="F2055" s="33">
        <f>COUNTIFS(c_store,A2055,c_date,B2055,c_hour,C2055)</f>
        <v>0</v>
      </c>
      <c r="G2055" s="33">
        <f>IF(F2055&gt;0,1,0)</f>
        <v>0</v>
      </c>
      <c r="H2055" s="33">
        <f>COUNTIFS(Demand!$A$2:$A$4481,A2055,Demand!$B$2:$B$4481,B2055,Demand!$C$2:$C$4481,C2055)</f>
        <v>1</v>
      </c>
    </row>
    <row r="2056">
      <c r="A2056" s="32" t="str">
        <f>Demand!A2054</f>
        <v>S009</v>
      </c>
      <c r="B2056" s="35">
        <f>Demand!B2054</f>
        <v>46272.0</v>
      </c>
      <c r="C2056" s="33">
        <f>Demand!C2054</f>
        <v>12</v>
      </c>
      <c r="D2056" s="33">
        <f>Demand!E2054</f>
        <v>32</v>
      </c>
      <c r="E2056" s="33">
        <f>IF(Demand!F2054,1,0)</f>
        <v>0</v>
      </c>
      <c r="F2056" s="33">
        <f>COUNTIFS(c_store,A2056,c_date,B2056,c_hour,C2056)</f>
        <v>0</v>
      </c>
      <c r="G2056" s="33">
        <f>IF(F2056&gt;0,1,0)</f>
        <v>0</v>
      </c>
      <c r="H2056" s="33">
        <f>COUNTIFS(Demand!$A$2:$A$4481,A2056,Demand!$B$2:$B$4481,B2056,Demand!$C$2:$C$4481,C2056)</f>
        <v>1</v>
      </c>
    </row>
    <row r="2057">
      <c r="A2057" s="32" t="str">
        <f>Demand!A2055</f>
        <v>S009</v>
      </c>
      <c r="B2057" s="35">
        <f>Demand!B2055</f>
        <v>46272.0</v>
      </c>
      <c r="C2057" s="33">
        <f>Demand!C2055</f>
        <v>13</v>
      </c>
      <c r="D2057" s="33">
        <f>Demand!E2055</f>
        <v>34</v>
      </c>
      <c r="E2057" s="33">
        <f>IF(Demand!F2055,1,0)</f>
        <v>0</v>
      </c>
      <c r="F2057" s="33">
        <f>COUNTIFS(c_store,A2057,c_date,B2057,c_hour,C2057)</f>
        <v>0</v>
      </c>
      <c r="G2057" s="33">
        <f>IF(F2057&gt;0,1,0)</f>
        <v>0</v>
      </c>
      <c r="H2057" s="33">
        <f>COUNTIFS(Demand!$A$2:$A$4481,A2057,Demand!$B$2:$B$4481,B2057,Demand!$C$2:$C$4481,C2057)</f>
        <v>1</v>
      </c>
    </row>
    <row r="2058">
      <c r="A2058" s="32" t="str">
        <f>Demand!A2056</f>
        <v>S009</v>
      </c>
      <c r="B2058" s="35">
        <f>Demand!B2056</f>
        <v>46272.0</v>
      </c>
      <c r="C2058" s="33">
        <f>Demand!C2056</f>
        <v>14</v>
      </c>
      <c r="D2058" s="33">
        <f>Demand!E2056</f>
        <v>21</v>
      </c>
      <c r="E2058" s="33">
        <f>IF(Demand!F2056,1,0)</f>
        <v>0</v>
      </c>
      <c r="F2058" s="33">
        <f>COUNTIFS(c_store,A2058,c_date,B2058,c_hour,C2058)</f>
        <v>0</v>
      </c>
      <c r="G2058" s="33">
        <f>IF(F2058&gt;0,1,0)</f>
        <v>0</v>
      </c>
      <c r="H2058" s="33">
        <f>COUNTIFS(Demand!$A$2:$A$4481,A2058,Demand!$B$2:$B$4481,B2058,Demand!$C$2:$C$4481,C2058)</f>
        <v>1</v>
      </c>
    </row>
    <row r="2059">
      <c r="A2059" s="32" t="str">
        <f>Demand!A2057</f>
        <v>S009</v>
      </c>
      <c r="B2059" s="35">
        <f>Demand!B2057</f>
        <v>46272.0</v>
      </c>
      <c r="C2059" s="33">
        <f>Demand!C2057</f>
        <v>15</v>
      </c>
      <c r="D2059" s="33">
        <f>Demand!E2057</f>
        <v>18</v>
      </c>
      <c r="E2059" s="33">
        <f>IF(Demand!F2057,1,0)</f>
        <v>0</v>
      </c>
      <c r="F2059" s="33">
        <f>COUNTIFS(c_store,A2059,c_date,B2059,c_hour,C2059)</f>
        <v>0</v>
      </c>
      <c r="G2059" s="33">
        <f>IF(F2059&gt;0,1,0)</f>
        <v>0</v>
      </c>
      <c r="H2059" s="33">
        <f>COUNTIFS(Demand!$A$2:$A$4481,A2059,Demand!$B$2:$B$4481,B2059,Demand!$C$2:$C$4481,C2059)</f>
        <v>1</v>
      </c>
    </row>
    <row r="2060">
      <c r="A2060" s="32" t="str">
        <f>Demand!A2058</f>
        <v>S009</v>
      </c>
      <c r="B2060" s="35">
        <f>Demand!B2058</f>
        <v>46272.0</v>
      </c>
      <c r="C2060" s="33">
        <f>Demand!C2058</f>
        <v>16</v>
      </c>
      <c r="D2060" s="33">
        <f>Demand!E2058</f>
        <v>29</v>
      </c>
      <c r="E2060" s="33">
        <f>IF(Demand!F2058,1,0)</f>
        <v>0</v>
      </c>
      <c r="F2060" s="33">
        <f>COUNTIFS(c_store,A2060,c_date,B2060,c_hour,C2060)</f>
        <v>0</v>
      </c>
      <c r="G2060" s="33">
        <f>IF(F2060&gt;0,1,0)</f>
        <v>0</v>
      </c>
      <c r="H2060" s="33">
        <f>COUNTIFS(Demand!$A$2:$A$4481,A2060,Demand!$B$2:$B$4481,B2060,Demand!$C$2:$C$4481,C2060)</f>
        <v>1</v>
      </c>
    </row>
    <row r="2061">
      <c r="A2061" s="32" t="str">
        <f>Demand!A2059</f>
        <v>S009</v>
      </c>
      <c r="B2061" s="35">
        <f>Demand!B2059</f>
        <v>46272.0</v>
      </c>
      <c r="C2061" s="33">
        <f>Demand!C2059</f>
        <v>17</v>
      </c>
      <c r="D2061" s="33">
        <f>Demand!E2059</f>
        <v>32</v>
      </c>
      <c r="E2061" s="33">
        <f>IF(Demand!F2059,1,0)</f>
        <v>0</v>
      </c>
      <c r="F2061" s="33">
        <f>COUNTIFS(c_store,A2061,c_date,B2061,c_hour,C2061)</f>
        <v>0</v>
      </c>
      <c r="G2061" s="33">
        <f>IF(F2061&gt;0,1,0)</f>
        <v>0</v>
      </c>
      <c r="H2061" s="33">
        <f>COUNTIFS(Demand!$A$2:$A$4481,A2061,Demand!$B$2:$B$4481,B2061,Demand!$C$2:$C$4481,C2061)</f>
        <v>1</v>
      </c>
    </row>
    <row r="2062">
      <c r="A2062" s="32" t="str">
        <f>Demand!A2060</f>
        <v>S009</v>
      </c>
      <c r="B2062" s="35">
        <f>Demand!B2060</f>
        <v>46272.0</v>
      </c>
      <c r="C2062" s="33">
        <f>Demand!C2060</f>
        <v>18</v>
      </c>
      <c r="D2062" s="33">
        <f>Demand!E2060</f>
        <v>27</v>
      </c>
      <c r="E2062" s="33">
        <f>IF(Demand!F2060,1,0)</f>
        <v>0</v>
      </c>
      <c r="F2062" s="33">
        <f>COUNTIFS(c_store,A2062,c_date,B2062,c_hour,C2062)</f>
        <v>0</v>
      </c>
      <c r="G2062" s="33">
        <f>IF(F2062&gt;0,1,0)</f>
        <v>0</v>
      </c>
      <c r="H2062" s="33">
        <f>COUNTIFS(Demand!$A$2:$A$4481,A2062,Demand!$B$2:$B$4481,B2062,Demand!$C$2:$C$4481,C2062)</f>
        <v>1</v>
      </c>
    </row>
    <row r="2063">
      <c r="A2063" s="32" t="str">
        <f>Demand!A2061</f>
        <v>S009</v>
      </c>
      <c r="B2063" s="35">
        <f>Demand!B2061</f>
        <v>46272.0</v>
      </c>
      <c r="C2063" s="33">
        <f>Demand!C2061</f>
        <v>19</v>
      </c>
      <c r="D2063" s="33">
        <f>Demand!E2061</f>
        <v>51</v>
      </c>
      <c r="E2063" s="33">
        <f>IF(Demand!F2061,1,0)</f>
        <v>1</v>
      </c>
      <c r="F2063" s="33">
        <f>COUNTIFS(c_store,A2063,c_date,B2063,c_hour,C2063)</f>
        <v>0</v>
      </c>
      <c r="G2063" s="33">
        <f>IF(F2063&gt;0,1,0)</f>
        <v>0</v>
      </c>
      <c r="H2063" s="33">
        <f>COUNTIFS(Demand!$A$2:$A$4481,A2063,Demand!$B$2:$B$4481,B2063,Demand!$C$2:$C$4481,C2063)</f>
        <v>1</v>
      </c>
    </row>
    <row r="2064">
      <c r="A2064" s="32" t="str">
        <f>Demand!A2062</f>
        <v>S009</v>
      </c>
      <c r="B2064" s="35">
        <f>Demand!B2062</f>
        <v>46272.0</v>
      </c>
      <c r="C2064" s="33">
        <f>Demand!C2062</f>
        <v>20</v>
      </c>
      <c r="D2064" s="33">
        <f>Demand!E2062</f>
        <v>41</v>
      </c>
      <c r="E2064" s="33">
        <f>IF(Demand!F2062,1,0)</f>
        <v>1</v>
      </c>
      <c r="F2064" s="33">
        <f>COUNTIFS(c_store,A2064,c_date,B2064,c_hour,C2064)</f>
        <v>1</v>
      </c>
      <c r="G2064" s="33">
        <f>IF(F2064&gt;0,1,0)</f>
        <v>1</v>
      </c>
      <c r="H2064" s="33">
        <f>COUNTIFS(Demand!$A$2:$A$4481,A2064,Demand!$B$2:$B$4481,B2064,Demand!$C$2:$C$4481,C2064)</f>
        <v>1</v>
      </c>
    </row>
    <row r="2065">
      <c r="A2065" s="32" t="str">
        <f>Demand!A2063</f>
        <v>S009</v>
      </c>
      <c r="B2065" s="35">
        <f>Demand!B2063</f>
        <v>46272.0</v>
      </c>
      <c r="C2065" s="33">
        <f>Demand!C2063</f>
        <v>21</v>
      </c>
      <c r="D2065" s="33">
        <f>Demand!E2063</f>
        <v>43</v>
      </c>
      <c r="E2065" s="33">
        <f>IF(Demand!F2063,1,0)</f>
        <v>1</v>
      </c>
      <c r="F2065" s="33">
        <f>COUNTIFS(c_store,A2065,c_date,B2065,c_hour,C2065)</f>
        <v>1</v>
      </c>
      <c r="G2065" s="33">
        <f>IF(F2065&gt;0,1,0)</f>
        <v>1</v>
      </c>
      <c r="H2065" s="33">
        <f>COUNTIFS(Demand!$A$2:$A$4481,A2065,Demand!$B$2:$B$4481,B2065,Demand!$C$2:$C$4481,C2065)</f>
        <v>1</v>
      </c>
    </row>
    <row r="2066">
      <c r="A2066" s="32" t="str">
        <f>Demand!A2064</f>
        <v>S009</v>
      </c>
      <c r="B2066" s="35">
        <f>Demand!B2064</f>
        <v>46272.0</v>
      </c>
      <c r="C2066" s="33">
        <f>Demand!C2064</f>
        <v>22</v>
      </c>
      <c r="D2066" s="33">
        <f>Demand!E2064</f>
        <v>25</v>
      </c>
      <c r="E2066" s="33">
        <f>IF(Demand!F2064,1,0)</f>
        <v>0</v>
      </c>
      <c r="F2066" s="33">
        <f>COUNTIFS(c_store,A2066,c_date,B2066,c_hour,C2066)</f>
        <v>0</v>
      </c>
      <c r="G2066" s="33">
        <f>IF(F2066&gt;0,1,0)</f>
        <v>0</v>
      </c>
      <c r="H2066" s="33">
        <f>COUNTIFS(Demand!$A$2:$A$4481,A2066,Demand!$B$2:$B$4481,B2066,Demand!$C$2:$C$4481,C2066)</f>
        <v>1</v>
      </c>
    </row>
    <row r="2067">
      <c r="A2067" s="32" t="str">
        <f>Demand!A2065</f>
        <v>S009</v>
      </c>
      <c r="B2067" s="35">
        <f>Demand!B2065</f>
        <v>46272.0</v>
      </c>
      <c r="C2067" s="33">
        <f>Demand!C2065</f>
        <v>23</v>
      </c>
      <c r="D2067" s="33">
        <f>Demand!E2065</f>
        <v>33</v>
      </c>
      <c r="E2067" s="33">
        <f>IF(Demand!F2065,1,0)</f>
        <v>0</v>
      </c>
      <c r="F2067" s="33">
        <f>COUNTIFS(c_store,A2067,c_date,B2067,c_hour,C2067)</f>
        <v>1</v>
      </c>
      <c r="G2067" s="33">
        <f>IF(F2067&gt;0,1,0)</f>
        <v>1</v>
      </c>
      <c r="H2067" s="33">
        <f>COUNTIFS(Demand!$A$2:$A$4481,A2067,Demand!$B$2:$B$4481,B2067,Demand!$C$2:$C$4481,C2067)</f>
        <v>1</v>
      </c>
    </row>
    <row r="2068">
      <c r="A2068" s="32" t="str">
        <f>Demand!A2066</f>
        <v>S010</v>
      </c>
      <c r="B2068" s="35">
        <f>Demand!B2066</f>
        <v>46272.0</v>
      </c>
      <c r="C2068" s="33">
        <f>Demand!C2066</f>
        <v>8</v>
      </c>
      <c r="D2068" s="33">
        <f>Demand!E2066</f>
        <v>14</v>
      </c>
      <c r="E2068" s="33">
        <f>IF(Demand!F2066,1,0)</f>
        <v>0</v>
      </c>
      <c r="F2068" s="33">
        <f>COUNTIFS(c_store,A2068,c_date,B2068,c_hour,C2068)</f>
        <v>0</v>
      </c>
      <c r="G2068" s="33">
        <f>IF(F2068&gt;0,1,0)</f>
        <v>0</v>
      </c>
      <c r="H2068" s="33">
        <f>COUNTIFS(Demand!$A$2:$A$4481,A2068,Demand!$B$2:$B$4481,B2068,Demand!$C$2:$C$4481,C2068)</f>
        <v>1</v>
      </c>
    </row>
    <row r="2069">
      <c r="A2069" s="32" t="str">
        <f>Demand!A2067</f>
        <v>S010</v>
      </c>
      <c r="B2069" s="35">
        <f>Demand!B2067</f>
        <v>46272.0</v>
      </c>
      <c r="C2069" s="33">
        <f>Demand!C2067</f>
        <v>9</v>
      </c>
      <c r="D2069" s="33">
        <f>Demand!E2067</f>
        <v>19</v>
      </c>
      <c r="E2069" s="33">
        <f>IF(Demand!F2067,1,0)</f>
        <v>0</v>
      </c>
      <c r="F2069" s="33">
        <f>COUNTIFS(c_store,A2069,c_date,B2069,c_hour,C2069)</f>
        <v>0</v>
      </c>
      <c r="G2069" s="33">
        <f>IF(F2069&gt;0,1,0)</f>
        <v>0</v>
      </c>
      <c r="H2069" s="33">
        <f>COUNTIFS(Demand!$A$2:$A$4481,A2069,Demand!$B$2:$B$4481,B2069,Demand!$C$2:$C$4481,C2069)</f>
        <v>1</v>
      </c>
    </row>
    <row r="2070">
      <c r="A2070" s="32" t="str">
        <f>Demand!A2068</f>
        <v>S010</v>
      </c>
      <c r="B2070" s="35">
        <f>Demand!B2068</f>
        <v>46272.0</v>
      </c>
      <c r="C2070" s="33">
        <f>Demand!C2068</f>
        <v>10</v>
      </c>
      <c r="D2070" s="33">
        <f>Demand!E2068</f>
        <v>13</v>
      </c>
      <c r="E2070" s="33">
        <f>IF(Demand!F2068,1,0)</f>
        <v>0</v>
      </c>
      <c r="F2070" s="33">
        <f>COUNTIFS(c_store,A2070,c_date,B2070,c_hour,C2070)</f>
        <v>1</v>
      </c>
      <c r="G2070" s="33">
        <f>IF(F2070&gt;0,1,0)</f>
        <v>1</v>
      </c>
      <c r="H2070" s="33">
        <f>COUNTIFS(Demand!$A$2:$A$4481,A2070,Demand!$B$2:$B$4481,B2070,Demand!$C$2:$C$4481,C2070)</f>
        <v>1</v>
      </c>
    </row>
    <row r="2071">
      <c r="A2071" s="32" t="str">
        <f>Demand!A2069</f>
        <v>S010</v>
      </c>
      <c r="B2071" s="35">
        <f>Demand!B2069</f>
        <v>46272.0</v>
      </c>
      <c r="C2071" s="33">
        <f>Demand!C2069</f>
        <v>11</v>
      </c>
      <c r="D2071" s="33">
        <f>Demand!E2069</f>
        <v>28</v>
      </c>
      <c r="E2071" s="33">
        <f>IF(Demand!F2069,1,0)</f>
        <v>0</v>
      </c>
      <c r="F2071" s="33">
        <f>COUNTIFS(c_store,A2071,c_date,B2071,c_hour,C2071)</f>
        <v>0</v>
      </c>
      <c r="G2071" s="33">
        <f>IF(F2071&gt;0,1,0)</f>
        <v>0</v>
      </c>
      <c r="H2071" s="33">
        <f>COUNTIFS(Demand!$A$2:$A$4481,A2071,Demand!$B$2:$B$4481,B2071,Demand!$C$2:$C$4481,C2071)</f>
        <v>1</v>
      </c>
    </row>
    <row r="2072">
      <c r="A2072" s="32" t="str">
        <f>Demand!A2070</f>
        <v>S010</v>
      </c>
      <c r="B2072" s="35">
        <f>Demand!B2070</f>
        <v>46272.0</v>
      </c>
      <c r="C2072" s="33">
        <f>Demand!C2070</f>
        <v>12</v>
      </c>
      <c r="D2072" s="33">
        <f>Demand!E2070</f>
        <v>28</v>
      </c>
      <c r="E2072" s="33">
        <f>IF(Demand!F2070,1,0)</f>
        <v>0</v>
      </c>
      <c r="F2072" s="33">
        <f>COUNTIFS(c_store,A2072,c_date,B2072,c_hour,C2072)</f>
        <v>0</v>
      </c>
      <c r="G2072" s="33">
        <f>IF(F2072&gt;0,1,0)</f>
        <v>0</v>
      </c>
      <c r="H2072" s="33">
        <f>COUNTIFS(Demand!$A$2:$A$4481,A2072,Demand!$B$2:$B$4481,B2072,Demand!$C$2:$C$4481,C2072)</f>
        <v>1</v>
      </c>
    </row>
    <row r="2073">
      <c r="A2073" s="32" t="str">
        <f>Demand!A2071</f>
        <v>S010</v>
      </c>
      <c r="B2073" s="35">
        <f>Demand!B2071</f>
        <v>46272.0</v>
      </c>
      <c r="C2073" s="33">
        <f>Demand!C2071</f>
        <v>13</v>
      </c>
      <c r="D2073" s="33">
        <f>Demand!E2071</f>
        <v>25</v>
      </c>
      <c r="E2073" s="33">
        <f>IF(Demand!F2071,1,0)</f>
        <v>0</v>
      </c>
      <c r="F2073" s="33">
        <f>COUNTIFS(c_store,A2073,c_date,B2073,c_hour,C2073)</f>
        <v>0</v>
      </c>
      <c r="G2073" s="33">
        <f>IF(F2073&gt;0,1,0)</f>
        <v>0</v>
      </c>
      <c r="H2073" s="33">
        <f>COUNTIFS(Demand!$A$2:$A$4481,A2073,Demand!$B$2:$B$4481,B2073,Demand!$C$2:$C$4481,C2073)</f>
        <v>1</v>
      </c>
    </row>
    <row r="2074">
      <c r="A2074" s="32" t="str">
        <f>Demand!A2072</f>
        <v>S010</v>
      </c>
      <c r="B2074" s="35">
        <f>Demand!B2072</f>
        <v>46272.0</v>
      </c>
      <c r="C2074" s="33">
        <f>Demand!C2072</f>
        <v>14</v>
      </c>
      <c r="D2074" s="33">
        <f>Demand!E2072</f>
        <v>12</v>
      </c>
      <c r="E2074" s="33">
        <f>IF(Demand!F2072,1,0)</f>
        <v>0</v>
      </c>
      <c r="F2074" s="33">
        <f>COUNTIFS(c_store,A2074,c_date,B2074,c_hour,C2074)</f>
        <v>0</v>
      </c>
      <c r="G2074" s="33">
        <f>IF(F2074&gt;0,1,0)</f>
        <v>0</v>
      </c>
      <c r="H2074" s="33">
        <f>COUNTIFS(Demand!$A$2:$A$4481,A2074,Demand!$B$2:$B$4481,B2074,Demand!$C$2:$C$4481,C2074)</f>
        <v>1</v>
      </c>
    </row>
    <row r="2075">
      <c r="A2075" s="32" t="str">
        <f>Demand!A2073</f>
        <v>S010</v>
      </c>
      <c r="B2075" s="35">
        <f>Demand!B2073</f>
        <v>46272.0</v>
      </c>
      <c r="C2075" s="33">
        <f>Demand!C2073</f>
        <v>15</v>
      </c>
      <c r="D2075" s="33">
        <f>Demand!E2073</f>
        <v>8</v>
      </c>
      <c r="E2075" s="33">
        <f>IF(Demand!F2073,1,0)</f>
        <v>0</v>
      </c>
      <c r="F2075" s="33">
        <f>COUNTIFS(c_store,A2075,c_date,B2075,c_hour,C2075)</f>
        <v>1</v>
      </c>
      <c r="G2075" s="33">
        <f>IF(F2075&gt;0,1,0)</f>
        <v>1</v>
      </c>
      <c r="H2075" s="33">
        <f>COUNTIFS(Demand!$A$2:$A$4481,A2075,Demand!$B$2:$B$4481,B2075,Demand!$C$2:$C$4481,C2075)</f>
        <v>1</v>
      </c>
    </row>
    <row r="2076">
      <c r="A2076" s="32" t="str">
        <f>Demand!A2074</f>
        <v>S010</v>
      </c>
      <c r="B2076" s="35">
        <f>Demand!B2074</f>
        <v>46272.0</v>
      </c>
      <c r="C2076" s="33">
        <f>Demand!C2074</f>
        <v>16</v>
      </c>
      <c r="D2076" s="33">
        <f>Demand!E2074</f>
        <v>21</v>
      </c>
      <c r="E2076" s="33">
        <f>IF(Demand!F2074,1,0)</f>
        <v>0</v>
      </c>
      <c r="F2076" s="33">
        <f>COUNTIFS(c_store,A2076,c_date,B2076,c_hour,C2076)</f>
        <v>1</v>
      </c>
      <c r="G2076" s="33">
        <f>IF(F2076&gt;0,1,0)</f>
        <v>1</v>
      </c>
      <c r="H2076" s="33">
        <f>COUNTIFS(Demand!$A$2:$A$4481,A2076,Demand!$B$2:$B$4481,B2076,Demand!$C$2:$C$4481,C2076)</f>
        <v>1</v>
      </c>
    </row>
    <row r="2077">
      <c r="A2077" s="32" t="str">
        <f>Demand!A2075</f>
        <v>S010</v>
      </c>
      <c r="B2077" s="35">
        <f>Demand!B2075</f>
        <v>46272.0</v>
      </c>
      <c r="C2077" s="33">
        <f>Demand!C2075</f>
        <v>17</v>
      </c>
      <c r="D2077" s="33">
        <f>Demand!E2075</f>
        <v>29</v>
      </c>
      <c r="E2077" s="33">
        <f>IF(Demand!F2075,1,0)</f>
        <v>0</v>
      </c>
      <c r="F2077" s="33">
        <f>COUNTIFS(c_store,A2077,c_date,B2077,c_hour,C2077)</f>
        <v>0</v>
      </c>
      <c r="G2077" s="33">
        <f>IF(F2077&gt;0,1,0)</f>
        <v>0</v>
      </c>
      <c r="H2077" s="33">
        <f>COUNTIFS(Demand!$A$2:$A$4481,A2077,Demand!$B$2:$B$4481,B2077,Demand!$C$2:$C$4481,C2077)</f>
        <v>1</v>
      </c>
    </row>
    <row r="2078">
      <c r="A2078" s="32" t="str">
        <f>Demand!A2076</f>
        <v>S010</v>
      </c>
      <c r="B2078" s="35">
        <f>Demand!B2076</f>
        <v>46272.0</v>
      </c>
      <c r="C2078" s="33">
        <f>Demand!C2076</f>
        <v>18</v>
      </c>
      <c r="D2078" s="33">
        <f>Demand!E2076</f>
        <v>20</v>
      </c>
      <c r="E2078" s="33">
        <f>IF(Demand!F2076,1,0)</f>
        <v>0</v>
      </c>
      <c r="F2078" s="33">
        <f>COUNTIFS(c_store,A2078,c_date,B2078,c_hour,C2078)</f>
        <v>0</v>
      </c>
      <c r="G2078" s="33">
        <f>IF(F2078&gt;0,1,0)</f>
        <v>0</v>
      </c>
      <c r="H2078" s="33">
        <f>COUNTIFS(Demand!$A$2:$A$4481,A2078,Demand!$B$2:$B$4481,B2078,Demand!$C$2:$C$4481,C2078)</f>
        <v>1</v>
      </c>
    </row>
    <row r="2079">
      <c r="A2079" s="32" t="str">
        <f>Demand!A2077</f>
        <v>S010</v>
      </c>
      <c r="B2079" s="35">
        <f>Demand!B2077</f>
        <v>46272.0</v>
      </c>
      <c r="C2079" s="33">
        <f>Demand!C2077</f>
        <v>19</v>
      </c>
      <c r="D2079" s="33">
        <f>Demand!E2077</f>
        <v>30</v>
      </c>
      <c r="E2079" s="33">
        <f>IF(Demand!F2077,1,0)</f>
        <v>1</v>
      </c>
      <c r="F2079" s="33">
        <f>COUNTIFS(c_store,A2079,c_date,B2079,c_hour,C2079)</f>
        <v>0</v>
      </c>
      <c r="G2079" s="33">
        <f>IF(F2079&gt;0,1,0)</f>
        <v>0</v>
      </c>
      <c r="H2079" s="33">
        <f>COUNTIFS(Demand!$A$2:$A$4481,A2079,Demand!$B$2:$B$4481,B2079,Demand!$C$2:$C$4481,C2079)</f>
        <v>1</v>
      </c>
    </row>
    <row r="2080">
      <c r="A2080" s="32" t="str">
        <f>Demand!A2078</f>
        <v>S010</v>
      </c>
      <c r="B2080" s="35">
        <f>Demand!B2078</f>
        <v>46272.0</v>
      </c>
      <c r="C2080" s="33">
        <f>Demand!C2078</f>
        <v>20</v>
      </c>
      <c r="D2080" s="33">
        <f>Demand!E2078</f>
        <v>32</v>
      </c>
      <c r="E2080" s="33">
        <f>IF(Demand!F2078,1,0)</f>
        <v>1</v>
      </c>
      <c r="F2080" s="33">
        <f>COUNTIFS(c_store,A2080,c_date,B2080,c_hour,C2080)</f>
        <v>1</v>
      </c>
      <c r="G2080" s="33">
        <f>IF(F2080&gt;0,1,0)</f>
        <v>1</v>
      </c>
      <c r="H2080" s="33">
        <f>COUNTIFS(Demand!$A$2:$A$4481,A2080,Demand!$B$2:$B$4481,B2080,Demand!$C$2:$C$4481,C2080)</f>
        <v>1</v>
      </c>
    </row>
    <row r="2081">
      <c r="A2081" s="32" t="str">
        <f>Demand!A2079</f>
        <v>S010</v>
      </c>
      <c r="B2081" s="35">
        <f>Demand!B2079</f>
        <v>46272.0</v>
      </c>
      <c r="C2081" s="33">
        <f>Demand!C2079</f>
        <v>21</v>
      </c>
      <c r="D2081" s="33">
        <f>Demand!E2079</f>
        <v>31</v>
      </c>
      <c r="E2081" s="33">
        <f>IF(Demand!F2079,1,0)</f>
        <v>1</v>
      </c>
      <c r="F2081" s="33">
        <f>COUNTIFS(c_store,A2081,c_date,B2081,c_hour,C2081)</f>
        <v>0</v>
      </c>
      <c r="G2081" s="33">
        <f>IF(F2081&gt;0,1,0)</f>
        <v>0</v>
      </c>
      <c r="H2081" s="33">
        <f>COUNTIFS(Demand!$A$2:$A$4481,A2081,Demand!$B$2:$B$4481,B2081,Demand!$C$2:$C$4481,C2081)</f>
        <v>1</v>
      </c>
    </row>
    <row r="2082">
      <c r="A2082" s="32" t="str">
        <f>Demand!A2080</f>
        <v>S010</v>
      </c>
      <c r="B2082" s="35">
        <f>Demand!B2080</f>
        <v>46272.0</v>
      </c>
      <c r="C2082" s="33">
        <f>Demand!C2080</f>
        <v>22</v>
      </c>
      <c r="D2082" s="33">
        <f>Demand!E2080</f>
        <v>24</v>
      </c>
      <c r="E2082" s="33">
        <f>IF(Demand!F2080,1,0)</f>
        <v>0</v>
      </c>
      <c r="F2082" s="33">
        <f>COUNTIFS(c_store,A2082,c_date,B2082,c_hour,C2082)</f>
        <v>0</v>
      </c>
      <c r="G2082" s="33">
        <f>IF(F2082&gt;0,1,0)</f>
        <v>0</v>
      </c>
      <c r="H2082" s="33">
        <f>COUNTIFS(Demand!$A$2:$A$4481,A2082,Demand!$B$2:$B$4481,B2082,Demand!$C$2:$C$4481,C2082)</f>
        <v>1</v>
      </c>
    </row>
    <row r="2083">
      <c r="A2083" s="32" t="str">
        <f>Demand!A2081</f>
        <v>S010</v>
      </c>
      <c r="B2083" s="35">
        <f>Demand!B2081</f>
        <v>46272.0</v>
      </c>
      <c r="C2083" s="33">
        <f>Demand!C2081</f>
        <v>23</v>
      </c>
      <c r="D2083" s="33">
        <f>Demand!E2081</f>
        <v>24</v>
      </c>
      <c r="E2083" s="33">
        <f>IF(Demand!F2081,1,0)</f>
        <v>0</v>
      </c>
      <c r="F2083" s="33">
        <f>COUNTIFS(c_store,A2083,c_date,B2083,c_hour,C2083)</f>
        <v>0</v>
      </c>
      <c r="G2083" s="33">
        <f>IF(F2083&gt;0,1,0)</f>
        <v>0</v>
      </c>
      <c r="H2083" s="33">
        <f>COUNTIFS(Demand!$A$2:$A$4481,A2083,Demand!$B$2:$B$4481,B2083,Demand!$C$2:$C$4481,C2083)</f>
        <v>1</v>
      </c>
    </row>
    <row r="2084">
      <c r="A2084" s="32" t="str">
        <f>Demand!A2082</f>
        <v>S011</v>
      </c>
      <c r="B2084" s="35">
        <f>Demand!B2082</f>
        <v>46272.0</v>
      </c>
      <c r="C2084" s="33">
        <f>Demand!C2082</f>
        <v>8</v>
      </c>
      <c r="D2084" s="33">
        <f>Demand!E2082</f>
        <v>21</v>
      </c>
      <c r="E2084" s="33">
        <f>IF(Demand!F2082,1,0)</f>
        <v>0</v>
      </c>
      <c r="F2084" s="33">
        <f>COUNTIFS(c_store,A2084,c_date,B2084,c_hour,C2084)</f>
        <v>1</v>
      </c>
      <c r="G2084" s="33">
        <f>IF(F2084&gt;0,1,0)</f>
        <v>1</v>
      </c>
      <c r="H2084" s="33">
        <f>COUNTIFS(Demand!$A$2:$A$4481,A2084,Demand!$B$2:$B$4481,B2084,Demand!$C$2:$C$4481,C2084)</f>
        <v>1</v>
      </c>
    </row>
    <row r="2085">
      <c r="A2085" s="32" t="str">
        <f>Demand!A2083</f>
        <v>S011</v>
      </c>
      <c r="B2085" s="35">
        <f>Demand!B2083</f>
        <v>46272.0</v>
      </c>
      <c r="C2085" s="33">
        <f>Demand!C2083</f>
        <v>9</v>
      </c>
      <c r="D2085" s="33">
        <f>Demand!E2083</f>
        <v>20</v>
      </c>
      <c r="E2085" s="33">
        <f>IF(Demand!F2083,1,0)</f>
        <v>0</v>
      </c>
      <c r="F2085" s="33">
        <f>COUNTIFS(c_store,A2085,c_date,B2085,c_hour,C2085)</f>
        <v>0</v>
      </c>
      <c r="G2085" s="33">
        <f>IF(F2085&gt;0,1,0)</f>
        <v>0</v>
      </c>
      <c r="H2085" s="33">
        <f>COUNTIFS(Demand!$A$2:$A$4481,A2085,Demand!$B$2:$B$4481,B2085,Demand!$C$2:$C$4481,C2085)</f>
        <v>1</v>
      </c>
    </row>
    <row r="2086">
      <c r="A2086" s="32" t="str">
        <f>Demand!A2084</f>
        <v>S011</v>
      </c>
      <c r="B2086" s="35">
        <f>Demand!B2084</f>
        <v>46272.0</v>
      </c>
      <c r="C2086" s="33">
        <f>Demand!C2084</f>
        <v>10</v>
      </c>
      <c r="D2086" s="33">
        <f>Demand!E2084</f>
        <v>22</v>
      </c>
      <c r="E2086" s="33">
        <f>IF(Demand!F2084,1,0)</f>
        <v>0</v>
      </c>
      <c r="F2086" s="33">
        <f>COUNTIFS(c_store,A2086,c_date,B2086,c_hour,C2086)</f>
        <v>0</v>
      </c>
      <c r="G2086" s="33">
        <f>IF(F2086&gt;0,1,0)</f>
        <v>0</v>
      </c>
      <c r="H2086" s="33">
        <f>COUNTIFS(Demand!$A$2:$A$4481,A2086,Demand!$B$2:$B$4481,B2086,Demand!$C$2:$C$4481,C2086)</f>
        <v>1</v>
      </c>
    </row>
    <row r="2087">
      <c r="A2087" s="32" t="str">
        <f>Demand!A2085</f>
        <v>S011</v>
      </c>
      <c r="B2087" s="35">
        <f>Demand!B2085</f>
        <v>46272.0</v>
      </c>
      <c r="C2087" s="33">
        <f>Demand!C2085</f>
        <v>11</v>
      </c>
      <c r="D2087" s="33">
        <f>Demand!E2085</f>
        <v>31</v>
      </c>
      <c r="E2087" s="33">
        <f>IF(Demand!F2085,1,0)</f>
        <v>0</v>
      </c>
      <c r="F2087" s="33">
        <f>COUNTIFS(c_store,A2087,c_date,B2087,c_hour,C2087)</f>
        <v>0</v>
      </c>
      <c r="G2087" s="33">
        <f>IF(F2087&gt;0,1,0)</f>
        <v>0</v>
      </c>
      <c r="H2087" s="33">
        <f>COUNTIFS(Demand!$A$2:$A$4481,A2087,Demand!$B$2:$B$4481,B2087,Demand!$C$2:$C$4481,C2087)</f>
        <v>1</v>
      </c>
    </row>
    <row r="2088">
      <c r="A2088" s="32" t="str">
        <f>Demand!A2086</f>
        <v>S011</v>
      </c>
      <c r="B2088" s="35">
        <f>Demand!B2086</f>
        <v>46272.0</v>
      </c>
      <c r="C2088" s="33">
        <f>Demand!C2086</f>
        <v>12</v>
      </c>
      <c r="D2088" s="33">
        <f>Demand!E2086</f>
        <v>29</v>
      </c>
      <c r="E2088" s="33">
        <f>IF(Demand!F2086,1,0)</f>
        <v>0</v>
      </c>
      <c r="F2088" s="33">
        <f>COUNTIFS(c_store,A2088,c_date,B2088,c_hour,C2088)</f>
        <v>1</v>
      </c>
      <c r="G2088" s="33">
        <f>IF(F2088&gt;0,1,0)</f>
        <v>1</v>
      </c>
      <c r="H2088" s="33">
        <f>COUNTIFS(Demand!$A$2:$A$4481,A2088,Demand!$B$2:$B$4481,B2088,Demand!$C$2:$C$4481,C2088)</f>
        <v>1</v>
      </c>
    </row>
    <row r="2089">
      <c r="A2089" s="32" t="str">
        <f>Demand!A2087</f>
        <v>S011</v>
      </c>
      <c r="B2089" s="35">
        <f>Demand!B2087</f>
        <v>46272.0</v>
      </c>
      <c r="C2089" s="33">
        <f>Demand!C2087</f>
        <v>13</v>
      </c>
      <c r="D2089" s="33">
        <f>Demand!E2087</f>
        <v>22</v>
      </c>
      <c r="E2089" s="33">
        <f>IF(Demand!F2087,1,0)</f>
        <v>0</v>
      </c>
      <c r="F2089" s="33">
        <f>COUNTIFS(c_store,A2089,c_date,B2089,c_hour,C2089)</f>
        <v>0</v>
      </c>
      <c r="G2089" s="33">
        <f>IF(F2089&gt;0,1,0)</f>
        <v>0</v>
      </c>
      <c r="H2089" s="33">
        <f>COUNTIFS(Demand!$A$2:$A$4481,A2089,Demand!$B$2:$B$4481,B2089,Demand!$C$2:$C$4481,C2089)</f>
        <v>1</v>
      </c>
    </row>
    <row r="2090">
      <c r="A2090" s="32" t="str">
        <f>Demand!A2088</f>
        <v>S011</v>
      </c>
      <c r="B2090" s="35">
        <f>Demand!B2088</f>
        <v>46272.0</v>
      </c>
      <c r="C2090" s="33">
        <f>Demand!C2088</f>
        <v>14</v>
      </c>
      <c r="D2090" s="33">
        <f>Demand!E2088</f>
        <v>22</v>
      </c>
      <c r="E2090" s="33">
        <f>IF(Demand!F2088,1,0)</f>
        <v>0</v>
      </c>
      <c r="F2090" s="33">
        <f>COUNTIFS(c_store,A2090,c_date,B2090,c_hour,C2090)</f>
        <v>0</v>
      </c>
      <c r="G2090" s="33">
        <f>IF(F2090&gt;0,1,0)</f>
        <v>0</v>
      </c>
      <c r="H2090" s="33">
        <f>COUNTIFS(Demand!$A$2:$A$4481,A2090,Demand!$B$2:$B$4481,B2090,Demand!$C$2:$C$4481,C2090)</f>
        <v>1</v>
      </c>
    </row>
    <row r="2091">
      <c r="A2091" s="32" t="str">
        <f>Demand!A2089</f>
        <v>S011</v>
      </c>
      <c r="B2091" s="35">
        <f>Demand!B2089</f>
        <v>46272.0</v>
      </c>
      <c r="C2091" s="33">
        <f>Demand!C2089</f>
        <v>15</v>
      </c>
      <c r="D2091" s="33">
        <f>Demand!E2089</f>
        <v>22</v>
      </c>
      <c r="E2091" s="33">
        <f>IF(Demand!F2089,1,0)</f>
        <v>0</v>
      </c>
      <c r="F2091" s="33">
        <f>COUNTIFS(c_store,A2091,c_date,B2091,c_hour,C2091)</f>
        <v>1</v>
      </c>
      <c r="G2091" s="33">
        <f>IF(F2091&gt;0,1,0)</f>
        <v>1</v>
      </c>
      <c r="H2091" s="33">
        <f>COUNTIFS(Demand!$A$2:$A$4481,A2091,Demand!$B$2:$B$4481,B2091,Demand!$C$2:$C$4481,C2091)</f>
        <v>1</v>
      </c>
    </row>
    <row r="2092">
      <c r="A2092" s="32" t="str">
        <f>Demand!A2090</f>
        <v>S011</v>
      </c>
      <c r="B2092" s="35">
        <f>Demand!B2090</f>
        <v>46272.0</v>
      </c>
      <c r="C2092" s="33">
        <f>Demand!C2090</f>
        <v>16</v>
      </c>
      <c r="D2092" s="33">
        <f>Demand!E2090</f>
        <v>31</v>
      </c>
      <c r="E2092" s="33">
        <f>IF(Demand!F2090,1,0)</f>
        <v>0</v>
      </c>
      <c r="F2092" s="33">
        <f>COUNTIFS(c_store,A2092,c_date,B2092,c_hour,C2092)</f>
        <v>0</v>
      </c>
      <c r="G2092" s="33">
        <f>IF(F2092&gt;0,1,0)</f>
        <v>0</v>
      </c>
      <c r="H2092" s="33">
        <f>COUNTIFS(Demand!$A$2:$A$4481,A2092,Demand!$B$2:$B$4481,B2092,Demand!$C$2:$C$4481,C2092)</f>
        <v>1</v>
      </c>
    </row>
    <row r="2093">
      <c r="A2093" s="32" t="str">
        <f>Demand!A2091</f>
        <v>S011</v>
      </c>
      <c r="B2093" s="35">
        <f>Demand!B2091</f>
        <v>46272.0</v>
      </c>
      <c r="C2093" s="33">
        <f>Demand!C2091</f>
        <v>17</v>
      </c>
      <c r="D2093" s="33">
        <f>Demand!E2091</f>
        <v>22</v>
      </c>
      <c r="E2093" s="33">
        <f>IF(Demand!F2091,1,0)</f>
        <v>0</v>
      </c>
      <c r="F2093" s="33">
        <f>COUNTIFS(c_store,A2093,c_date,B2093,c_hour,C2093)</f>
        <v>0</v>
      </c>
      <c r="G2093" s="33">
        <f>IF(F2093&gt;0,1,0)</f>
        <v>0</v>
      </c>
      <c r="H2093" s="33">
        <f>COUNTIFS(Demand!$A$2:$A$4481,A2093,Demand!$B$2:$B$4481,B2093,Demand!$C$2:$C$4481,C2093)</f>
        <v>1</v>
      </c>
    </row>
    <row r="2094">
      <c r="A2094" s="32" t="str">
        <f>Demand!A2092</f>
        <v>S011</v>
      </c>
      <c r="B2094" s="35">
        <f>Demand!B2092</f>
        <v>46272.0</v>
      </c>
      <c r="C2094" s="33">
        <f>Demand!C2092</f>
        <v>18</v>
      </c>
      <c r="D2094" s="33">
        <f>Demand!E2092</f>
        <v>29</v>
      </c>
      <c r="E2094" s="33">
        <f>IF(Demand!F2092,1,0)</f>
        <v>0</v>
      </c>
      <c r="F2094" s="33">
        <f>COUNTIFS(c_store,A2094,c_date,B2094,c_hour,C2094)</f>
        <v>0</v>
      </c>
      <c r="G2094" s="33">
        <f>IF(F2094&gt;0,1,0)</f>
        <v>0</v>
      </c>
      <c r="H2094" s="33">
        <f>COUNTIFS(Demand!$A$2:$A$4481,A2094,Demand!$B$2:$B$4481,B2094,Demand!$C$2:$C$4481,C2094)</f>
        <v>1</v>
      </c>
    </row>
    <row r="2095">
      <c r="A2095" s="32" t="str">
        <f>Demand!A2093</f>
        <v>S011</v>
      </c>
      <c r="B2095" s="35">
        <f>Demand!B2093</f>
        <v>46272.0</v>
      </c>
      <c r="C2095" s="33">
        <f>Demand!C2093</f>
        <v>19</v>
      </c>
      <c r="D2095" s="33">
        <f>Demand!E2093</f>
        <v>40</v>
      </c>
      <c r="E2095" s="33">
        <f>IF(Demand!F2093,1,0)</f>
        <v>1</v>
      </c>
      <c r="F2095" s="33">
        <f>COUNTIFS(c_store,A2095,c_date,B2095,c_hour,C2095)</f>
        <v>0</v>
      </c>
      <c r="G2095" s="33">
        <f>IF(F2095&gt;0,1,0)</f>
        <v>0</v>
      </c>
      <c r="H2095" s="33">
        <f>COUNTIFS(Demand!$A$2:$A$4481,A2095,Demand!$B$2:$B$4481,B2095,Demand!$C$2:$C$4481,C2095)</f>
        <v>1</v>
      </c>
    </row>
    <row r="2096">
      <c r="A2096" s="32" t="str">
        <f>Demand!A2094</f>
        <v>S011</v>
      </c>
      <c r="B2096" s="35">
        <f>Demand!B2094</f>
        <v>46272.0</v>
      </c>
      <c r="C2096" s="33">
        <f>Demand!C2094</f>
        <v>20</v>
      </c>
      <c r="D2096" s="33">
        <f>Demand!E2094</f>
        <v>51</v>
      </c>
      <c r="E2096" s="33">
        <f>IF(Demand!F2094,1,0)</f>
        <v>1</v>
      </c>
      <c r="F2096" s="33">
        <f>COUNTIFS(c_store,A2096,c_date,B2096,c_hour,C2096)</f>
        <v>1</v>
      </c>
      <c r="G2096" s="33">
        <f>IF(F2096&gt;0,1,0)</f>
        <v>1</v>
      </c>
      <c r="H2096" s="33">
        <f>COUNTIFS(Demand!$A$2:$A$4481,A2096,Demand!$B$2:$B$4481,B2096,Demand!$C$2:$C$4481,C2096)</f>
        <v>1</v>
      </c>
    </row>
    <row r="2097">
      <c r="A2097" s="32" t="str">
        <f>Demand!A2095</f>
        <v>S011</v>
      </c>
      <c r="B2097" s="35">
        <f>Demand!B2095</f>
        <v>46272.0</v>
      </c>
      <c r="C2097" s="33">
        <f>Demand!C2095</f>
        <v>21</v>
      </c>
      <c r="D2097" s="33">
        <f>Demand!E2095</f>
        <v>54</v>
      </c>
      <c r="E2097" s="33">
        <f>IF(Demand!F2095,1,0)</f>
        <v>1</v>
      </c>
      <c r="F2097" s="33">
        <f>COUNTIFS(c_store,A2097,c_date,B2097,c_hour,C2097)</f>
        <v>0</v>
      </c>
      <c r="G2097" s="33">
        <f>IF(F2097&gt;0,1,0)</f>
        <v>0</v>
      </c>
      <c r="H2097" s="33">
        <f>COUNTIFS(Demand!$A$2:$A$4481,A2097,Demand!$B$2:$B$4481,B2097,Demand!$C$2:$C$4481,C2097)</f>
        <v>1</v>
      </c>
    </row>
    <row r="2098">
      <c r="A2098" s="32" t="str">
        <f>Demand!A2096</f>
        <v>S011</v>
      </c>
      <c r="B2098" s="35">
        <f>Demand!B2096</f>
        <v>46272.0</v>
      </c>
      <c r="C2098" s="33">
        <f>Demand!C2096</f>
        <v>22</v>
      </c>
      <c r="D2098" s="33">
        <f>Demand!E2096</f>
        <v>39</v>
      </c>
      <c r="E2098" s="33">
        <f>IF(Demand!F2096,1,0)</f>
        <v>0</v>
      </c>
      <c r="F2098" s="33">
        <f>COUNTIFS(c_store,A2098,c_date,B2098,c_hour,C2098)</f>
        <v>0</v>
      </c>
      <c r="G2098" s="33">
        <f>IF(F2098&gt;0,1,0)</f>
        <v>0</v>
      </c>
      <c r="H2098" s="33">
        <f>COUNTIFS(Demand!$A$2:$A$4481,A2098,Demand!$B$2:$B$4481,B2098,Demand!$C$2:$C$4481,C2098)</f>
        <v>1</v>
      </c>
    </row>
    <row r="2099">
      <c r="A2099" s="32" t="str">
        <f>Demand!A2097</f>
        <v>S011</v>
      </c>
      <c r="B2099" s="35">
        <f>Demand!B2097</f>
        <v>46272.0</v>
      </c>
      <c r="C2099" s="33">
        <f>Demand!C2097</f>
        <v>23</v>
      </c>
      <c r="D2099" s="33">
        <f>Demand!E2097</f>
        <v>35</v>
      </c>
      <c r="E2099" s="33">
        <f>IF(Demand!F2097,1,0)</f>
        <v>0</v>
      </c>
      <c r="F2099" s="33">
        <f>COUNTIFS(c_store,A2099,c_date,B2099,c_hour,C2099)</f>
        <v>0</v>
      </c>
      <c r="G2099" s="33">
        <f>IF(F2099&gt;0,1,0)</f>
        <v>0</v>
      </c>
      <c r="H2099" s="33">
        <f>COUNTIFS(Demand!$A$2:$A$4481,A2099,Demand!$B$2:$B$4481,B2099,Demand!$C$2:$C$4481,C2099)</f>
        <v>1</v>
      </c>
    </row>
    <row r="2100">
      <c r="A2100" s="32" t="str">
        <f>Demand!A2098</f>
        <v>S012</v>
      </c>
      <c r="B2100" s="35">
        <f>Demand!B2098</f>
        <v>46272.0</v>
      </c>
      <c r="C2100" s="33">
        <f>Demand!C2098</f>
        <v>8</v>
      </c>
      <c r="D2100" s="33">
        <f>Demand!E2098</f>
        <v>12</v>
      </c>
      <c r="E2100" s="33">
        <f>IF(Demand!F2098,1,0)</f>
        <v>0</v>
      </c>
      <c r="F2100" s="33">
        <f>COUNTIFS(c_store,A2100,c_date,B2100,c_hour,C2100)</f>
        <v>0</v>
      </c>
      <c r="G2100" s="33">
        <f>IF(F2100&gt;0,1,0)</f>
        <v>0</v>
      </c>
      <c r="H2100" s="33">
        <f>COUNTIFS(Demand!$A$2:$A$4481,A2100,Demand!$B$2:$B$4481,B2100,Demand!$C$2:$C$4481,C2100)</f>
        <v>1</v>
      </c>
    </row>
    <row r="2101">
      <c r="A2101" s="32" t="str">
        <f>Demand!A2099</f>
        <v>S012</v>
      </c>
      <c r="B2101" s="35">
        <f>Demand!B2099</f>
        <v>46272.0</v>
      </c>
      <c r="C2101" s="33">
        <f>Demand!C2099</f>
        <v>9</v>
      </c>
      <c r="D2101" s="33">
        <f>Demand!E2099</f>
        <v>5</v>
      </c>
      <c r="E2101" s="33">
        <f>IF(Demand!F2099,1,0)</f>
        <v>0</v>
      </c>
      <c r="F2101" s="33">
        <f>COUNTIFS(c_store,A2101,c_date,B2101,c_hour,C2101)</f>
        <v>0</v>
      </c>
      <c r="G2101" s="33">
        <f>IF(F2101&gt;0,1,0)</f>
        <v>0</v>
      </c>
      <c r="H2101" s="33">
        <f>COUNTIFS(Demand!$A$2:$A$4481,A2101,Demand!$B$2:$B$4481,B2101,Demand!$C$2:$C$4481,C2101)</f>
        <v>1</v>
      </c>
    </row>
    <row r="2102">
      <c r="A2102" s="32" t="str">
        <f>Demand!A2100</f>
        <v>S012</v>
      </c>
      <c r="B2102" s="35">
        <f>Demand!B2100</f>
        <v>46272.0</v>
      </c>
      <c r="C2102" s="33">
        <f>Demand!C2100</f>
        <v>10</v>
      </c>
      <c r="D2102" s="33">
        <f>Demand!E2100</f>
        <v>12</v>
      </c>
      <c r="E2102" s="33">
        <f>IF(Demand!F2100,1,0)</f>
        <v>0</v>
      </c>
      <c r="F2102" s="33">
        <f>COUNTIFS(c_store,A2102,c_date,B2102,c_hour,C2102)</f>
        <v>0</v>
      </c>
      <c r="G2102" s="33">
        <f>IF(F2102&gt;0,1,0)</f>
        <v>0</v>
      </c>
      <c r="H2102" s="33">
        <f>COUNTIFS(Demand!$A$2:$A$4481,A2102,Demand!$B$2:$B$4481,B2102,Demand!$C$2:$C$4481,C2102)</f>
        <v>1</v>
      </c>
    </row>
    <row r="2103">
      <c r="A2103" s="32" t="str">
        <f>Demand!A2101</f>
        <v>S012</v>
      </c>
      <c r="B2103" s="35">
        <f>Demand!B2101</f>
        <v>46272.0</v>
      </c>
      <c r="C2103" s="33">
        <f>Demand!C2101</f>
        <v>11</v>
      </c>
      <c r="D2103" s="33">
        <f>Demand!E2101</f>
        <v>17</v>
      </c>
      <c r="E2103" s="33">
        <f>IF(Demand!F2101,1,0)</f>
        <v>0</v>
      </c>
      <c r="F2103" s="33">
        <f>COUNTIFS(c_store,A2103,c_date,B2103,c_hour,C2103)</f>
        <v>0</v>
      </c>
      <c r="G2103" s="33">
        <f>IF(F2103&gt;0,1,0)</f>
        <v>0</v>
      </c>
      <c r="H2103" s="33">
        <f>COUNTIFS(Demand!$A$2:$A$4481,A2103,Demand!$B$2:$B$4481,B2103,Demand!$C$2:$C$4481,C2103)</f>
        <v>1</v>
      </c>
    </row>
    <row r="2104">
      <c r="A2104" s="32" t="str">
        <f>Demand!A2102</f>
        <v>S012</v>
      </c>
      <c r="B2104" s="35">
        <f>Demand!B2102</f>
        <v>46272.0</v>
      </c>
      <c r="C2104" s="33">
        <f>Demand!C2102</f>
        <v>12</v>
      </c>
      <c r="D2104" s="33">
        <f>Demand!E2102</f>
        <v>13</v>
      </c>
      <c r="E2104" s="33">
        <f>IF(Demand!F2102,1,0)</f>
        <v>0</v>
      </c>
      <c r="F2104" s="33">
        <f>COUNTIFS(c_store,A2104,c_date,B2104,c_hour,C2104)</f>
        <v>0</v>
      </c>
      <c r="G2104" s="33">
        <f>IF(F2104&gt;0,1,0)</f>
        <v>0</v>
      </c>
      <c r="H2104" s="33">
        <f>COUNTIFS(Demand!$A$2:$A$4481,A2104,Demand!$B$2:$B$4481,B2104,Demand!$C$2:$C$4481,C2104)</f>
        <v>1</v>
      </c>
    </row>
    <row r="2105">
      <c r="A2105" s="32" t="str">
        <f>Demand!A2103</f>
        <v>S012</v>
      </c>
      <c r="B2105" s="35">
        <f>Demand!B2103</f>
        <v>46272.0</v>
      </c>
      <c r="C2105" s="33">
        <f>Demand!C2103</f>
        <v>13</v>
      </c>
      <c r="D2105" s="33">
        <f>Demand!E2103</f>
        <v>18</v>
      </c>
      <c r="E2105" s="33">
        <f>IF(Demand!F2103,1,0)</f>
        <v>0</v>
      </c>
      <c r="F2105" s="33">
        <f>COUNTIFS(c_store,A2105,c_date,B2105,c_hour,C2105)</f>
        <v>1</v>
      </c>
      <c r="G2105" s="33">
        <f>IF(F2105&gt;0,1,0)</f>
        <v>1</v>
      </c>
      <c r="H2105" s="33">
        <f>COUNTIFS(Demand!$A$2:$A$4481,A2105,Demand!$B$2:$B$4481,B2105,Demand!$C$2:$C$4481,C2105)</f>
        <v>1</v>
      </c>
    </row>
    <row r="2106">
      <c r="A2106" s="32" t="str">
        <f>Demand!A2104</f>
        <v>S012</v>
      </c>
      <c r="B2106" s="35">
        <f>Demand!B2104</f>
        <v>46272.0</v>
      </c>
      <c r="C2106" s="33">
        <f>Demand!C2104</f>
        <v>14</v>
      </c>
      <c r="D2106" s="33">
        <f>Demand!E2104</f>
        <v>14</v>
      </c>
      <c r="E2106" s="33">
        <f>IF(Demand!F2104,1,0)</f>
        <v>0</v>
      </c>
      <c r="F2106" s="33">
        <f>COUNTIFS(c_store,A2106,c_date,B2106,c_hour,C2106)</f>
        <v>0</v>
      </c>
      <c r="G2106" s="33">
        <f>IF(F2106&gt;0,1,0)</f>
        <v>0</v>
      </c>
      <c r="H2106" s="33">
        <f>COUNTIFS(Demand!$A$2:$A$4481,A2106,Demand!$B$2:$B$4481,B2106,Demand!$C$2:$C$4481,C2106)</f>
        <v>1</v>
      </c>
    </row>
    <row r="2107">
      <c r="A2107" s="32" t="str">
        <f>Demand!A2105</f>
        <v>S012</v>
      </c>
      <c r="B2107" s="35">
        <f>Demand!B2105</f>
        <v>46272.0</v>
      </c>
      <c r="C2107" s="33">
        <f>Demand!C2105</f>
        <v>15</v>
      </c>
      <c r="D2107" s="33">
        <f>Demand!E2105</f>
        <v>12</v>
      </c>
      <c r="E2107" s="33">
        <f>IF(Demand!F2105,1,0)</f>
        <v>0</v>
      </c>
      <c r="F2107" s="33">
        <f>COUNTIFS(c_store,A2107,c_date,B2107,c_hour,C2107)</f>
        <v>0</v>
      </c>
      <c r="G2107" s="33">
        <f>IF(F2107&gt;0,1,0)</f>
        <v>0</v>
      </c>
      <c r="H2107" s="33">
        <f>COUNTIFS(Demand!$A$2:$A$4481,A2107,Demand!$B$2:$B$4481,B2107,Demand!$C$2:$C$4481,C2107)</f>
        <v>1</v>
      </c>
    </row>
    <row r="2108">
      <c r="A2108" s="32" t="str">
        <f>Demand!A2106</f>
        <v>S012</v>
      </c>
      <c r="B2108" s="35">
        <f>Demand!B2106</f>
        <v>46272.0</v>
      </c>
      <c r="C2108" s="33">
        <f>Demand!C2106</f>
        <v>16</v>
      </c>
      <c r="D2108" s="33">
        <f>Demand!E2106</f>
        <v>12</v>
      </c>
      <c r="E2108" s="33">
        <f>IF(Demand!F2106,1,0)</f>
        <v>0</v>
      </c>
      <c r="F2108" s="33">
        <f>COUNTIFS(c_store,A2108,c_date,B2108,c_hour,C2108)</f>
        <v>0</v>
      </c>
      <c r="G2108" s="33">
        <f>IF(F2108&gt;0,1,0)</f>
        <v>0</v>
      </c>
      <c r="H2108" s="33">
        <f>COUNTIFS(Demand!$A$2:$A$4481,A2108,Demand!$B$2:$B$4481,B2108,Demand!$C$2:$C$4481,C2108)</f>
        <v>1</v>
      </c>
    </row>
    <row r="2109">
      <c r="A2109" s="32" t="str">
        <f>Demand!A2107</f>
        <v>S012</v>
      </c>
      <c r="B2109" s="35">
        <f>Demand!B2107</f>
        <v>46272.0</v>
      </c>
      <c r="C2109" s="33">
        <f>Demand!C2107</f>
        <v>17</v>
      </c>
      <c r="D2109" s="33">
        <f>Demand!E2107</f>
        <v>14</v>
      </c>
      <c r="E2109" s="33">
        <f>IF(Demand!F2107,1,0)</f>
        <v>0</v>
      </c>
      <c r="F2109" s="33">
        <f>COUNTIFS(c_store,A2109,c_date,B2109,c_hour,C2109)</f>
        <v>0</v>
      </c>
      <c r="G2109" s="33">
        <f>IF(F2109&gt;0,1,0)</f>
        <v>0</v>
      </c>
      <c r="H2109" s="33">
        <f>COUNTIFS(Demand!$A$2:$A$4481,A2109,Demand!$B$2:$B$4481,B2109,Demand!$C$2:$C$4481,C2109)</f>
        <v>1</v>
      </c>
    </row>
    <row r="2110">
      <c r="A2110" s="32" t="str">
        <f>Demand!A2108</f>
        <v>S012</v>
      </c>
      <c r="B2110" s="35">
        <f>Demand!B2108</f>
        <v>46272.0</v>
      </c>
      <c r="C2110" s="33">
        <f>Demand!C2108</f>
        <v>18</v>
      </c>
      <c r="D2110" s="33">
        <f>Demand!E2108</f>
        <v>15</v>
      </c>
      <c r="E2110" s="33">
        <f>IF(Demand!F2108,1,0)</f>
        <v>0</v>
      </c>
      <c r="F2110" s="33">
        <f>COUNTIFS(c_store,A2110,c_date,B2110,c_hour,C2110)</f>
        <v>0</v>
      </c>
      <c r="G2110" s="33">
        <f>IF(F2110&gt;0,1,0)</f>
        <v>0</v>
      </c>
      <c r="H2110" s="33">
        <f>COUNTIFS(Demand!$A$2:$A$4481,A2110,Demand!$B$2:$B$4481,B2110,Demand!$C$2:$C$4481,C2110)</f>
        <v>1</v>
      </c>
    </row>
    <row r="2111">
      <c r="A2111" s="32" t="str">
        <f>Demand!A2109</f>
        <v>S012</v>
      </c>
      <c r="B2111" s="35">
        <f>Demand!B2109</f>
        <v>46272.0</v>
      </c>
      <c r="C2111" s="33">
        <f>Demand!C2109</f>
        <v>19</v>
      </c>
      <c r="D2111" s="33">
        <f>Demand!E2109</f>
        <v>24</v>
      </c>
      <c r="E2111" s="33">
        <f>IF(Demand!F2109,1,0)</f>
        <v>1</v>
      </c>
      <c r="F2111" s="33">
        <f>COUNTIFS(c_store,A2111,c_date,B2111,c_hour,C2111)</f>
        <v>0</v>
      </c>
      <c r="G2111" s="33">
        <f>IF(F2111&gt;0,1,0)</f>
        <v>0</v>
      </c>
      <c r="H2111" s="33">
        <f>COUNTIFS(Demand!$A$2:$A$4481,A2111,Demand!$B$2:$B$4481,B2111,Demand!$C$2:$C$4481,C2111)</f>
        <v>1</v>
      </c>
    </row>
    <row r="2112">
      <c r="A2112" s="32" t="str">
        <f>Demand!A2110</f>
        <v>S012</v>
      </c>
      <c r="B2112" s="35">
        <f>Demand!B2110</f>
        <v>46272.0</v>
      </c>
      <c r="C2112" s="33">
        <f>Demand!C2110</f>
        <v>20</v>
      </c>
      <c r="D2112" s="33">
        <f>Demand!E2110</f>
        <v>20</v>
      </c>
      <c r="E2112" s="33">
        <f>IF(Demand!F2110,1,0)</f>
        <v>1</v>
      </c>
      <c r="F2112" s="33">
        <f>COUNTIFS(c_store,A2112,c_date,B2112,c_hour,C2112)</f>
        <v>0</v>
      </c>
      <c r="G2112" s="33">
        <f>IF(F2112&gt;0,1,0)</f>
        <v>0</v>
      </c>
      <c r="H2112" s="33">
        <f>COUNTIFS(Demand!$A$2:$A$4481,A2112,Demand!$B$2:$B$4481,B2112,Demand!$C$2:$C$4481,C2112)</f>
        <v>1</v>
      </c>
    </row>
    <row r="2113">
      <c r="A2113" s="32" t="str">
        <f>Demand!A2111</f>
        <v>S012</v>
      </c>
      <c r="B2113" s="35">
        <f>Demand!B2111</f>
        <v>46272.0</v>
      </c>
      <c r="C2113" s="33">
        <f>Demand!C2111</f>
        <v>21</v>
      </c>
      <c r="D2113" s="33">
        <f>Demand!E2111</f>
        <v>28</v>
      </c>
      <c r="E2113" s="33">
        <f>IF(Demand!F2111,1,0)</f>
        <v>1</v>
      </c>
      <c r="F2113" s="33">
        <f>COUNTIFS(c_store,A2113,c_date,B2113,c_hour,C2113)</f>
        <v>1</v>
      </c>
      <c r="G2113" s="33">
        <f>IF(F2113&gt;0,1,0)</f>
        <v>1</v>
      </c>
      <c r="H2113" s="33">
        <f>COUNTIFS(Demand!$A$2:$A$4481,A2113,Demand!$B$2:$B$4481,B2113,Demand!$C$2:$C$4481,C2113)</f>
        <v>1</v>
      </c>
    </row>
    <row r="2114">
      <c r="A2114" s="32" t="str">
        <f>Demand!A2112</f>
        <v>S012</v>
      </c>
      <c r="B2114" s="35">
        <f>Demand!B2112</f>
        <v>46272.0</v>
      </c>
      <c r="C2114" s="33">
        <f>Demand!C2112</f>
        <v>22</v>
      </c>
      <c r="D2114" s="33">
        <f>Demand!E2112</f>
        <v>14</v>
      </c>
      <c r="E2114" s="33">
        <f>IF(Demand!F2112,1,0)</f>
        <v>0</v>
      </c>
      <c r="F2114" s="33">
        <f>COUNTIFS(c_store,A2114,c_date,B2114,c_hour,C2114)</f>
        <v>0</v>
      </c>
      <c r="G2114" s="33">
        <f>IF(F2114&gt;0,1,0)</f>
        <v>0</v>
      </c>
      <c r="H2114" s="33">
        <f>COUNTIFS(Demand!$A$2:$A$4481,A2114,Demand!$B$2:$B$4481,B2114,Demand!$C$2:$C$4481,C2114)</f>
        <v>1</v>
      </c>
    </row>
    <row r="2115">
      <c r="A2115" s="32" t="str">
        <f>Demand!A2113</f>
        <v>S012</v>
      </c>
      <c r="B2115" s="35">
        <f>Demand!B2113</f>
        <v>46272.0</v>
      </c>
      <c r="C2115" s="33">
        <f>Demand!C2113</f>
        <v>23</v>
      </c>
      <c r="D2115" s="33">
        <f>Demand!E2113</f>
        <v>17</v>
      </c>
      <c r="E2115" s="33">
        <f>IF(Demand!F2113,1,0)</f>
        <v>0</v>
      </c>
      <c r="F2115" s="33">
        <f>COUNTIFS(c_store,A2115,c_date,B2115,c_hour,C2115)</f>
        <v>0</v>
      </c>
      <c r="G2115" s="33">
        <f>IF(F2115&gt;0,1,0)</f>
        <v>0</v>
      </c>
      <c r="H2115" s="33">
        <f>COUNTIFS(Demand!$A$2:$A$4481,A2115,Demand!$B$2:$B$4481,B2115,Demand!$C$2:$C$4481,C2115)</f>
        <v>1</v>
      </c>
    </row>
    <row r="2116">
      <c r="A2116" s="32" t="str">
        <f>Demand!A2114</f>
        <v>S013</v>
      </c>
      <c r="B2116" s="35">
        <f>Demand!B2114</f>
        <v>46272.0</v>
      </c>
      <c r="C2116" s="33">
        <f>Demand!C2114</f>
        <v>8</v>
      </c>
      <c r="D2116" s="33">
        <f>Demand!E2114</f>
        <v>35</v>
      </c>
      <c r="E2116" s="33">
        <f>IF(Demand!F2114,1,0)</f>
        <v>0</v>
      </c>
      <c r="F2116" s="33">
        <f>COUNTIFS(c_store,A2116,c_date,B2116,c_hour,C2116)</f>
        <v>0</v>
      </c>
      <c r="G2116" s="33">
        <f>IF(F2116&gt;0,1,0)</f>
        <v>0</v>
      </c>
      <c r="H2116" s="33">
        <f>COUNTIFS(Demand!$A$2:$A$4481,A2116,Demand!$B$2:$B$4481,B2116,Demand!$C$2:$C$4481,C2116)</f>
        <v>1</v>
      </c>
    </row>
    <row r="2117">
      <c r="A2117" s="32" t="str">
        <f>Demand!A2115</f>
        <v>S013</v>
      </c>
      <c r="B2117" s="35">
        <f>Demand!B2115</f>
        <v>46272.0</v>
      </c>
      <c r="C2117" s="33">
        <f>Demand!C2115</f>
        <v>9</v>
      </c>
      <c r="D2117" s="33">
        <f>Demand!E2115</f>
        <v>36</v>
      </c>
      <c r="E2117" s="33">
        <f>IF(Demand!F2115,1,0)</f>
        <v>0</v>
      </c>
      <c r="F2117" s="33">
        <f>COUNTIFS(c_store,A2117,c_date,B2117,c_hour,C2117)</f>
        <v>1</v>
      </c>
      <c r="G2117" s="33">
        <f>IF(F2117&gt;0,1,0)</f>
        <v>1</v>
      </c>
      <c r="H2117" s="33">
        <f>COUNTIFS(Demand!$A$2:$A$4481,A2117,Demand!$B$2:$B$4481,B2117,Demand!$C$2:$C$4481,C2117)</f>
        <v>1</v>
      </c>
    </row>
    <row r="2118">
      <c r="A2118" s="32" t="str">
        <f>Demand!A2116</f>
        <v>S013</v>
      </c>
      <c r="B2118" s="35">
        <f>Demand!B2116</f>
        <v>46272.0</v>
      </c>
      <c r="C2118" s="33">
        <f>Demand!C2116</f>
        <v>10</v>
      </c>
      <c r="D2118" s="33">
        <f>Demand!E2116</f>
        <v>37</v>
      </c>
      <c r="E2118" s="33">
        <f>IF(Demand!F2116,1,0)</f>
        <v>0</v>
      </c>
      <c r="F2118" s="33">
        <f>COUNTIFS(c_store,A2118,c_date,B2118,c_hour,C2118)</f>
        <v>0</v>
      </c>
      <c r="G2118" s="33">
        <f>IF(F2118&gt;0,1,0)</f>
        <v>0</v>
      </c>
      <c r="H2118" s="33">
        <f>COUNTIFS(Demand!$A$2:$A$4481,A2118,Demand!$B$2:$B$4481,B2118,Demand!$C$2:$C$4481,C2118)</f>
        <v>1</v>
      </c>
    </row>
    <row r="2119">
      <c r="A2119" s="32" t="str">
        <f>Demand!A2117</f>
        <v>S013</v>
      </c>
      <c r="B2119" s="35">
        <f>Demand!B2117</f>
        <v>46272.0</v>
      </c>
      <c r="C2119" s="33">
        <f>Demand!C2117</f>
        <v>11</v>
      </c>
      <c r="D2119" s="33">
        <f>Demand!E2117</f>
        <v>53</v>
      </c>
      <c r="E2119" s="33">
        <f>IF(Demand!F2117,1,0)</f>
        <v>0</v>
      </c>
      <c r="F2119" s="33">
        <f>COUNTIFS(c_store,A2119,c_date,B2119,c_hour,C2119)</f>
        <v>0</v>
      </c>
      <c r="G2119" s="33">
        <f>IF(F2119&gt;0,1,0)</f>
        <v>0</v>
      </c>
      <c r="H2119" s="33">
        <f>COUNTIFS(Demand!$A$2:$A$4481,A2119,Demand!$B$2:$B$4481,B2119,Demand!$C$2:$C$4481,C2119)</f>
        <v>1</v>
      </c>
    </row>
    <row r="2120">
      <c r="A2120" s="32" t="str">
        <f>Demand!A2118</f>
        <v>S013</v>
      </c>
      <c r="B2120" s="35">
        <f>Demand!B2118</f>
        <v>46272.0</v>
      </c>
      <c r="C2120" s="33">
        <f>Demand!C2118</f>
        <v>12</v>
      </c>
      <c r="D2120" s="33">
        <f>Demand!E2118</f>
        <v>47</v>
      </c>
      <c r="E2120" s="33">
        <f>IF(Demand!F2118,1,0)</f>
        <v>0</v>
      </c>
      <c r="F2120" s="33">
        <f>COUNTIFS(c_store,A2120,c_date,B2120,c_hour,C2120)</f>
        <v>0</v>
      </c>
      <c r="G2120" s="33">
        <f>IF(F2120&gt;0,1,0)</f>
        <v>0</v>
      </c>
      <c r="H2120" s="33">
        <f>COUNTIFS(Demand!$A$2:$A$4481,A2120,Demand!$B$2:$B$4481,B2120,Demand!$C$2:$C$4481,C2120)</f>
        <v>1</v>
      </c>
    </row>
    <row r="2121">
      <c r="A2121" s="32" t="str">
        <f>Demand!A2119</f>
        <v>S013</v>
      </c>
      <c r="B2121" s="35">
        <f>Demand!B2119</f>
        <v>46272.0</v>
      </c>
      <c r="C2121" s="33">
        <f>Demand!C2119</f>
        <v>13</v>
      </c>
      <c r="D2121" s="33">
        <f>Demand!E2119</f>
        <v>46</v>
      </c>
      <c r="E2121" s="33">
        <f>IF(Demand!F2119,1,0)</f>
        <v>0</v>
      </c>
      <c r="F2121" s="33">
        <f>COUNTIFS(c_store,A2121,c_date,B2121,c_hour,C2121)</f>
        <v>0</v>
      </c>
      <c r="G2121" s="33">
        <f>IF(F2121&gt;0,1,0)</f>
        <v>0</v>
      </c>
      <c r="H2121" s="33">
        <f>COUNTIFS(Demand!$A$2:$A$4481,A2121,Demand!$B$2:$B$4481,B2121,Demand!$C$2:$C$4481,C2121)</f>
        <v>1</v>
      </c>
    </row>
    <row r="2122">
      <c r="A2122" s="32" t="str">
        <f>Demand!A2120</f>
        <v>S013</v>
      </c>
      <c r="B2122" s="35">
        <f>Demand!B2120</f>
        <v>46272.0</v>
      </c>
      <c r="C2122" s="33">
        <f>Demand!C2120</f>
        <v>14</v>
      </c>
      <c r="D2122" s="33">
        <f>Demand!E2120</f>
        <v>27</v>
      </c>
      <c r="E2122" s="33">
        <f>IF(Demand!F2120,1,0)</f>
        <v>0</v>
      </c>
      <c r="F2122" s="33">
        <f>COUNTIFS(c_store,A2122,c_date,B2122,c_hour,C2122)</f>
        <v>0</v>
      </c>
      <c r="G2122" s="33">
        <f>IF(F2122&gt;0,1,0)</f>
        <v>0</v>
      </c>
      <c r="H2122" s="33">
        <f>COUNTIFS(Demand!$A$2:$A$4481,A2122,Demand!$B$2:$B$4481,B2122,Demand!$C$2:$C$4481,C2122)</f>
        <v>1</v>
      </c>
    </row>
    <row r="2123">
      <c r="A2123" s="32" t="str">
        <f>Demand!A2121</f>
        <v>S013</v>
      </c>
      <c r="B2123" s="35">
        <f>Demand!B2121</f>
        <v>46272.0</v>
      </c>
      <c r="C2123" s="33">
        <f>Demand!C2121</f>
        <v>15</v>
      </c>
      <c r="D2123" s="33">
        <f>Demand!E2121</f>
        <v>42</v>
      </c>
      <c r="E2123" s="33">
        <f>IF(Demand!F2121,1,0)</f>
        <v>0</v>
      </c>
      <c r="F2123" s="33">
        <f>COUNTIFS(c_store,A2123,c_date,B2123,c_hour,C2123)</f>
        <v>1</v>
      </c>
      <c r="G2123" s="33">
        <f>IF(F2123&gt;0,1,0)</f>
        <v>1</v>
      </c>
      <c r="H2123" s="33">
        <f>COUNTIFS(Demand!$A$2:$A$4481,A2123,Demand!$B$2:$B$4481,B2123,Demand!$C$2:$C$4481,C2123)</f>
        <v>1</v>
      </c>
    </row>
    <row r="2124">
      <c r="A2124" s="32" t="str">
        <f>Demand!A2122</f>
        <v>S013</v>
      </c>
      <c r="B2124" s="35">
        <f>Demand!B2122</f>
        <v>46272.0</v>
      </c>
      <c r="C2124" s="33">
        <f>Demand!C2122</f>
        <v>16</v>
      </c>
      <c r="D2124" s="33">
        <f>Demand!E2122</f>
        <v>58</v>
      </c>
      <c r="E2124" s="33">
        <f>IF(Demand!F2122,1,0)</f>
        <v>0</v>
      </c>
      <c r="F2124" s="33">
        <f>COUNTIFS(c_store,A2124,c_date,B2124,c_hour,C2124)</f>
        <v>0</v>
      </c>
      <c r="G2124" s="33">
        <f>IF(F2124&gt;0,1,0)</f>
        <v>0</v>
      </c>
      <c r="H2124" s="33">
        <f>COUNTIFS(Demand!$A$2:$A$4481,A2124,Demand!$B$2:$B$4481,B2124,Demand!$C$2:$C$4481,C2124)</f>
        <v>1</v>
      </c>
    </row>
    <row r="2125">
      <c r="A2125" s="32" t="str">
        <f>Demand!A2123</f>
        <v>S013</v>
      </c>
      <c r="B2125" s="35">
        <f>Demand!B2123</f>
        <v>46272.0</v>
      </c>
      <c r="C2125" s="33">
        <f>Demand!C2123</f>
        <v>17</v>
      </c>
      <c r="D2125" s="33">
        <f>Demand!E2123</f>
        <v>56</v>
      </c>
      <c r="E2125" s="33">
        <f>IF(Demand!F2123,1,0)</f>
        <v>0</v>
      </c>
      <c r="F2125" s="33">
        <f>COUNTIFS(c_store,A2125,c_date,B2125,c_hour,C2125)</f>
        <v>0</v>
      </c>
      <c r="G2125" s="33">
        <f>IF(F2125&gt;0,1,0)</f>
        <v>0</v>
      </c>
      <c r="H2125" s="33">
        <f>COUNTIFS(Demand!$A$2:$A$4481,A2125,Demand!$B$2:$B$4481,B2125,Demand!$C$2:$C$4481,C2125)</f>
        <v>1</v>
      </c>
    </row>
    <row r="2126">
      <c r="A2126" s="32" t="str">
        <f>Demand!A2124</f>
        <v>S013</v>
      </c>
      <c r="B2126" s="35">
        <f>Demand!B2124</f>
        <v>46272.0</v>
      </c>
      <c r="C2126" s="33">
        <f>Demand!C2124</f>
        <v>18</v>
      </c>
      <c r="D2126" s="33">
        <f>Demand!E2124</f>
        <v>52</v>
      </c>
      <c r="E2126" s="33">
        <f>IF(Demand!F2124,1,0)</f>
        <v>0</v>
      </c>
      <c r="F2126" s="33">
        <f>COUNTIFS(c_store,A2126,c_date,B2126,c_hour,C2126)</f>
        <v>1</v>
      </c>
      <c r="G2126" s="33">
        <f>IF(F2126&gt;0,1,0)</f>
        <v>1</v>
      </c>
      <c r="H2126" s="33">
        <f>COUNTIFS(Demand!$A$2:$A$4481,A2126,Demand!$B$2:$B$4481,B2126,Demand!$C$2:$C$4481,C2126)</f>
        <v>1</v>
      </c>
    </row>
    <row r="2127">
      <c r="A2127" s="32" t="str">
        <f>Demand!A2125</f>
        <v>S013</v>
      </c>
      <c r="B2127" s="35">
        <f>Demand!B2125</f>
        <v>46272.0</v>
      </c>
      <c r="C2127" s="33">
        <f>Demand!C2125</f>
        <v>19</v>
      </c>
      <c r="D2127" s="33">
        <f>Demand!E2125</f>
        <v>70</v>
      </c>
      <c r="E2127" s="33">
        <f>IF(Demand!F2125,1,0)</f>
        <v>1</v>
      </c>
      <c r="F2127" s="33">
        <f>COUNTIFS(c_store,A2127,c_date,B2127,c_hour,C2127)</f>
        <v>0</v>
      </c>
      <c r="G2127" s="33">
        <f>IF(F2127&gt;0,1,0)</f>
        <v>0</v>
      </c>
      <c r="H2127" s="33">
        <f>COUNTIFS(Demand!$A$2:$A$4481,A2127,Demand!$B$2:$B$4481,B2127,Demand!$C$2:$C$4481,C2127)</f>
        <v>1</v>
      </c>
    </row>
    <row r="2128">
      <c r="A2128" s="32" t="str">
        <f>Demand!A2126</f>
        <v>S013</v>
      </c>
      <c r="B2128" s="35">
        <f>Demand!B2126</f>
        <v>46272.0</v>
      </c>
      <c r="C2128" s="33">
        <f>Demand!C2126</f>
        <v>20</v>
      </c>
      <c r="D2128" s="33">
        <f>Demand!E2126</f>
        <v>86</v>
      </c>
      <c r="E2128" s="33">
        <f>IF(Demand!F2126,1,0)</f>
        <v>1</v>
      </c>
      <c r="F2128" s="33">
        <f>COUNTIFS(c_store,A2128,c_date,B2128,c_hour,C2128)</f>
        <v>1</v>
      </c>
      <c r="G2128" s="33">
        <f>IF(F2128&gt;0,1,0)</f>
        <v>1</v>
      </c>
      <c r="H2128" s="33">
        <f>COUNTIFS(Demand!$A$2:$A$4481,A2128,Demand!$B$2:$B$4481,B2128,Demand!$C$2:$C$4481,C2128)</f>
        <v>1</v>
      </c>
    </row>
    <row r="2129">
      <c r="A2129" s="32" t="str">
        <f>Demand!A2127</f>
        <v>S013</v>
      </c>
      <c r="B2129" s="35">
        <f>Demand!B2127</f>
        <v>46272.0</v>
      </c>
      <c r="C2129" s="33">
        <f>Demand!C2127</f>
        <v>21</v>
      </c>
      <c r="D2129" s="33">
        <f>Demand!E2127</f>
        <v>78</v>
      </c>
      <c r="E2129" s="33">
        <f>IF(Demand!F2127,1,0)</f>
        <v>1</v>
      </c>
      <c r="F2129" s="33">
        <f>COUNTIFS(c_store,A2129,c_date,B2129,c_hour,C2129)</f>
        <v>0</v>
      </c>
      <c r="G2129" s="33">
        <f>IF(F2129&gt;0,1,0)</f>
        <v>0</v>
      </c>
      <c r="H2129" s="33">
        <f>COUNTIFS(Demand!$A$2:$A$4481,A2129,Demand!$B$2:$B$4481,B2129,Demand!$C$2:$C$4481,C2129)</f>
        <v>1</v>
      </c>
    </row>
    <row r="2130">
      <c r="A2130" s="32" t="str">
        <f>Demand!A2128</f>
        <v>S013</v>
      </c>
      <c r="B2130" s="35">
        <f>Demand!B2128</f>
        <v>46272.0</v>
      </c>
      <c r="C2130" s="33">
        <f>Demand!C2128</f>
        <v>22</v>
      </c>
      <c r="D2130" s="33">
        <f>Demand!E2128</f>
        <v>45</v>
      </c>
      <c r="E2130" s="33">
        <f>IF(Demand!F2128,1,0)</f>
        <v>0</v>
      </c>
      <c r="F2130" s="33">
        <f>COUNTIFS(c_store,A2130,c_date,B2130,c_hour,C2130)</f>
        <v>1</v>
      </c>
      <c r="G2130" s="33">
        <f>IF(F2130&gt;0,1,0)</f>
        <v>1</v>
      </c>
      <c r="H2130" s="33">
        <f>COUNTIFS(Demand!$A$2:$A$4481,A2130,Demand!$B$2:$B$4481,B2130,Demand!$C$2:$C$4481,C2130)</f>
        <v>1</v>
      </c>
    </row>
    <row r="2131">
      <c r="A2131" s="32" t="str">
        <f>Demand!A2129</f>
        <v>S013</v>
      </c>
      <c r="B2131" s="35">
        <f>Demand!B2129</f>
        <v>46272.0</v>
      </c>
      <c r="C2131" s="33">
        <f>Demand!C2129</f>
        <v>23</v>
      </c>
      <c r="D2131" s="33">
        <f>Demand!E2129</f>
        <v>38</v>
      </c>
      <c r="E2131" s="33">
        <f>IF(Demand!F2129,1,0)</f>
        <v>0</v>
      </c>
      <c r="F2131" s="33">
        <f>COUNTIFS(c_store,A2131,c_date,B2131,c_hour,C2131)</f>
        <v>0</v>
      </c>
      <c r="G2131" s="33">
        <f>IF(F2131&gt;0,1,0)</f>
        <v>0</v>
      </c>
      <c r="H2131" s="33">
        <f>COUNTIFS(Demand!$A$2:$A$4481,A2131,Demand!$B$2:$B$4481,B2131,Demand!$C$2:$C$4481,C2131)</f>
        <v>1</v>
      </c>
    </row>
    <row r="2132">
      <c r="A2132" s="32" t="str">
        <f>Demand!A2130</f>
        <v>S014</v>
      </c>
      <c r="B2132" s="35">
        <f>Demand!B2130</f>
        <v>46272.0</v>
      </c>
      <c r="C2132" s="33">
        <f>Demand!C2130</f>
        <v>8</v>
      </c>
      <c r="D2132" s="33">
        <f>Demand!E2130</f>
        <v>25</v>
      </c>
      <c r="E2132" s="33">
        <f>IF(Demand!F2130,1,0)</f>
        <v>0</v>
      </c>
      <c r="F2132" s="33">
        <f>COUNTIFS(c_store,A2132,c_date,B2132,c_hour,C2132)</f>
        <v>0</v>
      </c>
      <c r="G2132" s="33">
        <f>IF(F2132&gt;0,1,0)</f>
        <v>0</v>
      </c>
      <c r="H2132" s="33">
        <f>COUNTIFS(Demand!$A$2:$A$4481,A2132,Demand!$B$2:$B$4481,B2132,Demand!$C$2:$C$4481,C2132)</f>
        <v>1</v>
      </c>
    </row>
    <row r="2133">
      <c r="A2133" s="32" t="str">
        <f>Demand!A2131</f>
        <v>S014</v>
      </c>
      <c r="B2133" s="35">
        <f>Demand!B2131</f>
        <v>46272.0</v>
      </c>
      <c r="C2133" s="33">
        <f>Demand!C2131</f>
        <v>9</v>
      </c>
      <c r="D2133" s="33">
        <f>Demand!E2131</f>
        <v>31</v>
      </c>
      <c r="E2133" s="33">
        <f>IF(Demand!F2131,1,0)</f>
        <v>0</v>
      </c>
      <c r="F2133" s="33">
        <f>COUNTIFS(c_store,A2133,c_date,B2133,c_hour,C2133)</f>
        <v>0</v>
      </c>
      <c r="G2133" s="33">
        <f>IF(F2133&gt;0,1,0)</f>
        <v>0</v>
      </c>
      <c r="H2133" s="33">
        <f>COUNTIFS(Demand!$A$2:$A$4481,A2133,Demand!$B$2:$B$4481,B2133,Demand!$C$2:$C$4481,C2133)</f>
        <v>1</v>
      </c>
    </row>
    <row r="2134">
      <c r="A2134" s="32" t="str">
        <f>Demand!A2132</f>
        <v>S014</v>
      </c>
      <c r="B2134" s="35">
        <f>Demand!B2132</f>
        <v>46272.0</v>
      </c>
      <c r="C2134" s="33">
        <f>Demand!C2132</f>
        <v>10</v>
      </c>
      <c r="D2134" s="33">
        <f>Demand!E2132</f>
        <v>30</v>
      </c>
      <c r="E2134" s="33">
        <f>IF(Demand!F2132,1,0)</f>
        <v>0</v>
      </c>
      <c r="F2134" s="33">
        <f>COUNTIFS(c_store,A2134,c_date,B2134,c_hour,C2134)</f>
        <v>0</v>
      </c>
      <c r="G2134" s="33">
        <f>IF(F2134&gt;0,1,0)</f>
        <v>0</v>
      </c>
      <c r="H2134" s="33">
        <f>COUNTIFS(Demand!$A$2:$A$4481,A2134,Demand!$B$2:$B$4481,B2134,Demand!$C$2:$C$4481,C2134)</f>
        <v>1</v>
      </c>
    </row>
    <row r="2135">
      <c r="A2135" s="32" t="str">
        <f>Demand!A2133</f>
        <v>S014</v>
      </c>
      <c r="B2135" s="35">
        <f>Demand!B2133</f>
        <v>46272.0</v>
      </c>
      <c r="C2135" s="33">
        <f>Demand!C2133</f>
        <v>11</v>
      </c>
      <c r="D2135" s="33">
        <f>Demand!E2133</f>
        <v>31</v>
      </c>
      <c r="E2135" s="33">
        <f>IF(Demand!F2133,1,0)</f>
        <v>0</v>
      </c>
      <c r="F2135" s="33">
        <f>COUNTIFS(c_store,A2135,c_date,B2135,c_hour,C2135)</f>
        <v>0</v>
      </c>
      <c r="G2135" s="33">
        <f>IF(F2135&gt;0,1,0)</f>
        <v>0</v>
      </c>
      <c r="H2135" s="33">
        <f>COUNTIFS(Demand!$A$2:$A$4481,A2135,Demand!$B$2:$B$4481,B2135,Demand!$C$2:$C$4481,C2135)</f>
        <v>1</v>
      </c>
    </row>
    <row r="2136">
      <c r="A2136" s="32" t="str">
        <f>Demand!A2134</f>
        <v>S014</v>
      </c>
      <c r="B2136" s="35">
        <f>Demand!B2134</f>
        <v>46272.0</v>
      </c>
      <c r="C2136" s="33">
        <f>Demand!C2134</f>
        <v>12</v>
      </c>
      <c r="D2136" s="33">
        <f>Demand!E2134</f>
        <v>34</v>
      </c>
      <c r="E2136" s="33">
        <f>IF(Demand!F2134,1,0)</f>
        <v>0</v>
      </c>
      <c r="F2136" s="33">
        <f>COUNTIFS(c_store,A2136,c_date,B2136,c_hour,C2136)</f>
        <v>1</v>
      </c>
      <c r="G2136" s="33">
        <f>IF(F2136&gt;0,1,0)</f>
        <v>1</v>
      </c>
      <c r="H2136" s="33">
        <f>COUNTIFS(Demand!$A$2:$A$4481,A2136,Demand!$B$2:$B$4481,B2136,Demand!$C$2:$C$4481,C2136)</f>
        <v>1</v>
      </c>
    </row>
    <row r="2137">
      <c r="A2137" s="32" t="str">
        <f>Demand!A2135</f>
        <v>S014</v>
      </c>
      <c r="B2137" s="35">
        <f>Demand!B2135</f>
        <v>46272.0</v>
      </c>
      <c r="C2137" s="33">
        <f>Demand!C2135</f>
        <v>13</v>
      </c>
      <c r="D2137" s="33">
        <f>Demand!E2135</f>
        <v>41</v>
      </c>
      <c r="E2137" s="33">
        <f>IF(Demand!F2135,1,0)</f>
        <v>0</v>
      </c>
      <c r="F2137" s="33">
        <f>COUNTIFS(c_store,A2137,c_date,B2137,c_hour,C2137)</f>
        <v>1</v>
      </c>
      <c r="G2137" s="33">
        <f>IF(F2137&gt;0,1,0)</f>
        <v>1</v>
      </c>
      <c r="H2137" s="33">
        <f>COUNTIFS(Demand!$A$2:$A$4481,A2137,Demand!$B$2:$B$4481,B2137,Demand!$C$2:$C$4481,C2137)</f>
        <v>1</v>
      </c>
    </row>
    <row r="2138">
      <c r="A2138" s="32" t="str">
        <f>Demand!A2136</f>
        <v>S014</v>
      </c>
      <c r="B2138" s="35">
        <f>Demand!B2136</f>
        <v>46272.0</v>
      </c>
      <c r="C2138" s="33">
        <f>Demand!C2136</f>
        <v>14</v>
      </c>
      <c r="D2138" s="33">
        <f>Demand!E2136</f>
        <v>20</v>
      </c>
      <c r="E2138" s="33">
        <f>IF(Demand!F2136,1,0)</f>
        <v>0</v>
      </c>
      <c r="F2138" s="33">
        <f>COUNTIFS(c_store,A2138,c_date,B2138,c_hour,C2138)</f>
        <v>0</v>
      </c>
      <c r="G2138" s="33">
        <f>IF(F2138&gt;0,1,0)</f>
        <v>0</v>
      </c>
      <c r="H2138" s="33">
        <f>COUNTIFS(Demand!$A$2:$A$4481,A2138,Demand!$B$2:$B$4481,B2138,Demand!$C$2:$C$4481,C2138)</f>
        <v>1</v>
      </c>
    </row>
    <row r="2139">
      <c r="A2139" s="32" t="str">
        <f>Demand!A2137</f>
        <v>S014</v>
      </c>
      <c r="B2139" s="35">
        <f>Demand!B2137</f>
        <v>46272.0</v>
      </c>
      <c r="C2139" s="33">
        <f>Demand!C2137</f>
        <v>15</v>
      </c>
      <c r="D2139" s="33">
        <f>Demand!E2137</f>
        <v>34</v>
      </c>
      <c r="E2139" s="33">
        <f>IF(Demand!F2137,1,0)</f>
        <v>0</v>
      </c>
      <c r="F2139" s="33">
        <f>COUNTIFS(c_store,A2139,c_date,B2139,c_hour,C2139)</f>
        <v>0</v>
      </c>
      <c r="G2139" s="33">
        <f>IF(F2139&gt;0,1,0)</f>
        <v>0</v>
      </c>
      <c r="H2139" s="33">
        <f>COUNTIFS(Demand!$A$2:$A$4481,A2139,Demand!$B$2:$B$4481,B2139,Demand!$C$2:$C$4481,C2139)</f>
        <v>1</v>
      </c>
    </row>
    <row r="2140">
      <c r="A2140" s="32" t="str">
        <f>Demand!A2138</f>
        <v>S014</v>
      </c>
      <c r="B2140" s="35">
        <f>Demand!B2138</f>
        <v>46272.0</v>
      </c>
      <c r="C2140" s="33">
        <f>Demand!C2138</f>
        <v>16</v>
      </c>
      <c r="D2140" s="33">
        <f>Demand!E2138</f>
        <v>19</v>
      </c>
      <c r="E2140" s="33">
        <f>IF(Demand!F2138,1,0)</f>
        <v>0</v>
      </c>
      <c r="F2140" s="33">
        <f>COUNTIFS(c_store,A2140,c_date,B2140,c_hour,C2140)</f>
        <v>1</v>
      </c>
      <c r="G2140" s="33">
        <f>IF(F2140&gt;0,1,0)</f>
        <v>1</v>
      </c>
      <c r="H2140" s="33">
        <f>COUNTIFS(Demand!$A$2:$A$4481,A2140,Demand!$B$2:$B$4481,B2140,Demand!$C$2:$C$4481,C2140)</f>
        <v>1</v>
      </c>
    </row>
    <row r="2141">
      <c r="A2141" s="32" t="str">
        <f>Demand!A2139</f>
        <v>S014</v>
      </c>
      <c r="B2141" s="35">
        <f>Demand!B2139</f>
        <v>46272.0</v>
      </c>
      <c r="C2141" s="33">
        <f>Demand!C2139</f>
        <v>17</v>
      </c>
      <c r="D2141" s="33">
        <f>Demand!E2139</f>
        <v>28</v>
      </c>
      <c r="E2141" s="33">
        <f>IF(Demand!F2139,1,0)</f>
        <v>0</v>
      </c>
      <c r="F2141" s="33">
        <f>COUNTIFS(c_store,A2141,c_date,B2141,c_hour,C2141)</f>
        <v>0</v>
      </c>
      <c r="G2141" s="33">
        <f>IF(F2141&gt;0,1,0)</f>
        <v>0</v>
      </c>
      <c r="H2141" s="33">
        <f>COUNTIFS(Demand!$A$2:$A$4481,A2141,Demand!$B$2:$B$4481,B2141,Demand!$C$2:$C$4481,C2141)</f>
        <v>1</v>
      </c>
    </row>
    <row r="2142">
      <c r="A2142" s="32" t="str">
        <f>Demand!A2140</f>
        <v>S014</v>
      </c>
      <c r="B2142" s="35">
        <f>Demand!B2140</f>
        <v>46272.0</v>
      </c>
      <c r="C2142" s="33">
        <f>Demand!C2140</f>
        <v>18</v>
      </c>
      <c r="D2142" s="33">
        <f>Demand!E2140</f>
        <v>25</v>
      </c>
      <c r="E2142" s="33">
        <f>IF(Demand!F2140,1,0)</f>
        <v>0</v>
      </c>
      <c r="F2142" s="33">
        <f>COUNTIFS(c_store,A2142,c_date,B2142,c_hour,C2142)</f>
        <v>0</v>
      </c>
      <c r="G2142" s="33">
        <f>IF(F2142&gt;0,1,0)</f>
        <v>0</v>
      </c>
      <c r="H2142" s="33">
        <f>COUNTIFS(Demand!$A$2:$A$4481,A2142,Demand!$B$2:$B$4481,B2142,Demand!$C$2:$C$4481,C2142)</f>
        <v>1</v>
      </c>
    </row>
    <row r="2143">
      <c r="A2143" s="32" t="str">
        <f>Demand!A2141</f>
        <v>S014</v>
      </c>
      <c r="B2143" s="35">
        <f>Demand!B2141</f>
        <v>46272.0</v>
      </c>
      <c r="C2143" s="33">
        <f>Demand!C2141</f>
        <v>19</v>
      </c>
      <c r="D2143" s="33">
        <f>Demand!E2141</f>
        <v>53</v>
      </c>
      <c r="E2143" s="33">
        <f>IF(Demand!F2141,1,0)</f>
        <v>1</v>
      </c>
      <c r="F2143" s="33">
        <f>COUNTIFS(c_store,A2143,c_date,B2143,c_hour,C2143)</f>
        <v>0</v>
      </c>
      <c r="G2143" s="33">
        <f>IF(F2143&gt;0,1,0)</f>
        <v>0</v>
      </c>
      <c r="H2143" s="33">
        <f>COUNTIFS(Demand!$A$2:$A$4481,A2143,Demand!$B$2:$B$4481,B2143,Demand!$C$2:$C$4481,C2143)</f>
        <v>1</v>
      </c>
    </row>
    <row r="2144">
      <c r="A2144" s="32" t="str">
        <f>Demand!A2142</f>
        <v>S014</v>
      </c>
      <c r="B2144" s="35">
        <f>Demand!B2142</f>
        <v>46272.0</v>
      </c>
      <c r="C2144" s="33">
        <f>Demand!C2142</f>
        <v>20</v>
      </c>
      <c r="D2144" s="33">
        <f>Demand!E2142</f>
        <v>57</v>
      </c>
      <c r="E2144" s="33">
        <f>IF(Demand!F2142,1,0)</f>
        <v>1</v>
      </c>
      <c r="F2144" s="33">
        <f>COUNTIFS(c_store,A2144,c_date,B2144,c_hour,C2144)</f>
        <v>0</v>
      </c>
      <c r="G2144" s="33">
        <f>IF(F2144&gt;0,1,0)</f>
        <v>0</v>
      </c>
      <c r="H2144" s="33">
        <f>COUNTIFS(Demand!$A$2:$A$4481,A2144,Demand!$B$2:$B$4481,B2144,Demand!$C$2:$C$4481,C2144)</f>
        <v>1</v>
      </c>
    </row>
    <row r="2145">
      <c r="A2145" s="32" t="str">
        <f>Demand!A2143</f>
        <v>S014</v>
      </c>
      <c r="B2145" s="35">
        <f>Demand!B2143</f>
        <v>46272.0</v>
      </c>
      <c r="C2145" s="33">
        <f>Demand!C2143</f>
        <v>21</v>
      </c>
      <c r="D2145" s="33">
        <f>Demand!E2143</f>
        <v>79</v>
      </c>
      <c r="E2145" s="33">
        <f>IF(Demand!F2143,1,0)</f>
        <v>1</v>
      </c>
      <c r="F2145" s="33">
        <f>COUNTIFS(c_store,A2145,c_date,B2145,c_hour,C2145)</f>
        <v>0</v>
      </c>
      <c r="G2145" s="33">
        <f>IF(F2145&gt;0,1,0)</f>
        <v>0</v>
      </c>
      <c r="H2145" s="33">
        <f>COUNTIFS(Demand!$A$2:$A$4481,A2145,Demand!$B$2:$B$4481,B2145,Demand!$C$2:$C$4481,C2145)</f>
        <v>1</v>
      </c>
    </row>
    <row r="2146">
      <c r="A2146" s="32" t="str">
        <f>Demand!A2144</f>
        <v>S014</v>
      </c>
      <c r="B2146" s="35">
        <f>Demand!B2144</f>
        <v>46272.0</v>
      </c>
      <c r="C2146" s="33">
        <f>Demand!C2144</f>
        <v>22</v>
      </c>
      <c r="D2146" s="33">
        <f>Demand!E2144</f>
        <v>32</v>
      </c>
      <c r="E2146" s="33">
        <f>IF(Demand!F2144,1,0)</f>
        <v>0</v>
      </c>
      <c r="F2146" s="33">
        <f>COUNTIFS(c_store,A2146,c_date,B2146,c_hour,C2146)</f>
        <v>0</v>
      </c>
      <c r="G2146" s="33">
        <f>IF(F2146&gt;0,1,0)</f>
        <v>0</v>
      </c>
      <c r="H2146" s="33">
        <f>COUNTIFS(Demand!$A$2:$A$4481,A2146,Demand!$B$2:$B$4481,B2146,Demand!$C$2:$C$4481,C2146)</f>
        <v>1</v>
      </c>
    </row>
    <row r="2147">
      <c r="A2147" s="32" t="str">
        <f>Demand!A2145</f>
        <v>S014</v>
      </c>
      <c r="B2147" s="35">
        <f>Demand!B2145</f>
        <v>46272.0</v>
      </c>
      <c r="C2147" s="33">
        <f>Demand!C2145</f>
        <v>23</v>
      </c>
      <c r="D2147" s="33">
        <f>Demand!E2145</f>
        <v>41</v>
      </c>
      <c r="E2147" s="33">
        <f>IF(Demand!F2145,1,0)</f>
        <v>0</v>
      </c>
      <c r="F2147" s="33">
        <f>COUNTIFS(c_store,A2147,c_date,B2147,c_hour,C2147)</f>
        <v>0</v>
      </c>
      <c r="G2147" s="33">
        <f>IF(F2147&gt;0,1,0)</f>
        <v>0</v>
      </c>
      <c r="H2147" s="33">
        <f>COUNTIFS(Demand!$A$2:$A$4481,A2147,Demand!$B$2:$B$4481,B2147,Demand!$C$2:$C$4481,C2147)</f>
        <v>1</v>
      </c>
    </row>
    <row r="2148">
      <c r="A2148" s="32" t="str">
        <f>Demand!A2146</f>
        <v>S015</v>
      </c>
      <c r="B2148" s="35">
        <f>Demand!B2146</f>
        <v>46272.0</v>
      </c>
      <c r="C2148" s="33">
        <f>Demand!C2146</f>
        <v>8</v>
      </c>
      <c r="D2148" s="33">
        <f>Demand!E2146</f>
        <v>20</v>
      </c>
      <c r="E2148" s="33">
        <f>IF(Demand!F2146,1,0)</f>
        <v>0</v>
      </c>
      <c r="F2148" s="33">
        <f>COUNTIFS(c_store,A2148,c_date,B2148,c_hour,C2148)</f>
        <v>0</v>
      </c>
      <c r="G2148" s="33">
        <f>IF(F2148&gt;0,1,0)</f>
        <v>0</v>
      </c>
      <c r="H2148" s="33">
        <f>COUNTIFS(Demand!$A$2:$A$4481,A2148,Demand!$B$2:$B$4481,B2148,Demand!$C$2:$C$4481,C2148)</f>
        <v>1</v>
      </c>
    </row>
    <row r="2149">
      <c r="A2149" s="32" t="str">
        <f>Demand!A2147</f>
        <v>S015</v>
      </c>
      <c r="B2149" s="35">
        <f>Demand!B2147</f>
        <v>46272.0</v>
      </c>
      <c r="C2149" s="33">
        <f>Demand!C2147</f>
        <v>9</v>
      </c>
      <c r="D2149" s="33">
        <f>Demand!E2147</f>
        <v>10</v>
      </c>
      <c r="E2149" s="33">
        <f>IF(Demand!F2147,1,0)</f>
        <v>0</v>
      </c>
      <c r="F2149" s="33">
        <f>COUNTIFS(c_store,A2149,c_date,B2149,c_hour,C2149)</f>
        <v>1</v>
      </c>
      <c r="G2149" s="33">
        <f>IF(F2149&gt;0,1,0)</f>
        <v>1</v>
      </c>
      <c r="H2149" s="33">
        <f>COUNTIFS(Demand!$A$2:$A$4481,A2149,Demand!$B$2:$B$4481,B2149,Demand!$C$2:$C$4481,C2149)</f>
        <v>1</v>
      </c>
    </row>
    <row r="2150">
      <c r="A2150" s="32" t="str">
        <f>Demand!A2148</f>
        <v>S015</v>
      </c>
      <c r="B2150" s="35">
        <f>Demand!B2148</f>
        <v>46272.0</v>
      </c>
      <c r="C2150" s="33">
        <f>Demand!C2148</f>
        <v>10</v>
      </c>
      <c r="D2150" s="33">
        <f>Demand!E2148</f>
        <v>21</v>
      </c>
      <c r="E2150" s="33">
        <f>IF(Demand!F2148,1,0)</f>
        <v>0</v>
      </c>
      <c r="F2150" s="33">
        <f>COUNTIFS(c_store,A2150,c_date,B2150,c_hour,C2150)</f>
        <v>0</v>
      </c>
      <c r="G2150" s="33">
        <f>IF(F2150&gt;0,1,0)</f>
        <v>0</v>
      </c>
      <c r="H2150" s="33">
        <f>COUNTIFS(Demand!$A$2:$A$4481,A2150,Demand!$B$2:$B$4481,B2150,Demand!$C$2:$C$4481,C2150)</f>
        <v>1</v>
      </c>
    </row>
    <row r="2151">
      <c r="A2151" s="32" t="str">
        <f>Demand!A2149</f>
        <v>S015</v>
      </c>
      <c r="B2151" s="35">
        <f>Demand!B2149</f>
        <v>46272.0</v>
      </c>
      <c r="C2151" s="33">
        <f>Demand!C2149</f>
        <v>11</v>
      </c>
      <c r="D2151" s="33">
        <f>Demand!E2149</f>
        <v>23</v>
      </c>
      <c r="E2151" s="33">
        <f>IF(Demand!F2149,1,0)</f>
        <v>0</v>
      </c>
      <c r="F2151" s="33">
        <f>COUNTIFS(c_store,A2151,c_date,B2151,c_hour,C2151)</f>
        <v>0</v>
      </c>
      <c r="G2151" s="33">
        <f>IF(F2151&gt;0,1,0)</f>
        <v>0</v>
      </c>
      <c r="H2151" s="33">
        <f>COUNTIFS(Demand!$A$2:$A$4481,A2151,Demand!$B$2:$B$4481,B2151,Demand!$C$2:$C$4481,C2151)</f>
        <v>1</v>
      </c>
    </row>
    <row r="2152">
      <c r="A2152" s="32" t="str">
        <f>Demand!A2150</f>
        <v>S015</v>
      </c>
      <c r="B2152" s="35">
        <f>Demand!B2150</f>
        <v>46272.0</v>
      </c>
      <c r="C2152" s="33">
        <f>Demand!C2150</f>
        <v>12</v>
      </c>
      <c r="D2152" s="33">
        <f>Demand!E2150</f>
        <v>22</v>
      </c>
      <c r="E2152" s="33">
        <f>IF(Demand!F2150,1,0)</f>
        <v>0</v>
      </c>
      <c r="F2152" s="33">
        <f>COUNTIFS(c_store,A2152,c_date,B2152,c_hour,C2152)</f>
        <v>1</v>
      </c>
      <c r="G2152" s="33">
        <f>IF(F2152&gt;0,1,0)</f>
        <v>1</v>
      </c>
      <c r="H2152" s="33">
        <f>COUNTIFS(Demand!$A$2:$A$4481,A2152,Demand!$B$2:$B$4481,B2152,Demand!$C$2:$C$4481,C2152)</f>
        <v>1</v>
      </c>
    </row>
    <row r="2153">
      <c r="A2153" s="32" t="str">
        <f>Demand!A2151</f>
        <v>S015</v>
      </c>
      <c r="B2153" s="35">
        <f>Demand!B2151</f>
        <v>46272.0</v>
      </c>
      <c r="C2153" s="33">
        <f>Demand!C2151</f>
        <v>13</v>
      </c>
      <c r="D2153" s="33">
        <f>Demand!E2151</f>
        <v>25</v>
      </c>
      <c r="E2153" s="33">
        <f>IF(Demand!F2151,1,0)</f>
        <v>0</v>
      </c>
      <c r="F2153" s="33">
        <f>COUNTIFS(c_store,A2153,c_date,B2153,c_hour,C2153)</f>
        <v>0</v>
      </c>
      <c r="G2153" s="33">
        <f>IF(F2153&gt;0,1,0)</f>
        <v>0</v>
      </c>
      <c r="H2153" s="33">
        <f>COUNTIFS(Demand!$A$2:$A$4481,A2153,Demand!$B$2:$B$4481,B2153,Demand!$C$2:$C$4481,C2153)</f>
        <v>1</v>
      </c>
    </row>
    <row r="2154">
      <c r="A2154" s="32" t="str">
        <f>Demand!A2152</f>
        <v>S015</v>
      </c>
      <c r="B2154" s="35">
        <f>Demand!B2152</f>
        <v>46272.0</v>
      </c>
      <c r="C2154" s="33">
        <f>Demand!C2152</f>
        <v>14</v>
      </c>
      <c r="D2154" s="33">
        <f>Demand!E2152</f>
        <v>16</v>
      </c>
      <c r="E2154" s="33">
        <f>IF(Demand!F2152,1,0)</f>
        <v>0</v>
      </c>
      <c r="F2154" s="33">
        <f>COUNTIFS(c_store,A2154,c_date,B2154,c_hour,C2154)</f>
        <v>1</v>
      </c>
      <c r="G2154" s="33">
        <f>IF(F2154&gt;0,1,0)</f>
        <v>1</v>
      </c>
      <c r="H2154" s="33">
        <f>COUNTIFS(Demand!$A$2:$A$4481,A2154,Demand!$B$2:$B$4481,B2154,Demand!$C$2:$C$4481,C2154)</f>
        <v>1</v>
      </c>
    </row>
    <row r="2155">
      <c r="A2155" s="32" t="str">
        <f>Demand!A2153</f>
        <v>S015</v>
      </c>
      <c r="B2155" s="35">
        <f>Demand!B2153</f>
        <v>46272.0</v>
      </c>
      <c r="C2155" s="33">
        <f>Demand!C2153</f>
        <v>15</v>
      </c>
      <c r="D2155" s="33">
        <f>Demand!E2153</f>
        <v>15</v>
      </c>
      <c r="E2155" s="33">
        <f>IF(Demand!F2153,1,0)</f>
        <v>0</v>
      </c>
      <c r="F2155" s="33">
        <f>COUNTIFS(c_store,A2155,c_date,B2155,c_hour,C2155)</f>
        <v>0</v>
      </c>
      <c r="G2155" s="33">
        <f>IF(F2155&gt;0,1,0)</f>
        <v>0</v>
      </c>
      <c r="H2155" s="33">
        <f>COUNTIFS(Demand!$A$2:$A$4481,A2155,Demand!$B$2:$B$4481,B2155,Demand!$C$2:$C$4481,C2155)</f>
        <v>1</v>
      </c>
    </row>
    <row r="2156">
      <c r="A2156" s="32" t="str">
        <f>Demand!A2154</f>
        <v>S015</v>
      </c>
      <c r="B2156" s="35">
        <f>Demand!B2154</f>
        <v>46272.0</v>
      </c>
      <c r="C2156" s="33">
        <f>Demand!C2154</f>
        <v>16</v>
      </c>
      <c r="D2156" s="33">
        <f>Demand!E2154</f>
        <v>21</v>
      </c>
      <c r="E2156" s="33">
        <f>IF(Demand!F2154,1,0)</f>
        <v>0</v>
      </c>
      <c r="F2156" s="33">
        <f>COUNTIFS(c_store,A2156,c_date,B2156,c_hour,C2156)</f>
        <v>0</v>
      </c>
      <c r="G2156" s="33">
        <f>IF(F2156&gt;0,1,0)</f>
        <v>0</v>
      </c>
      <c r="H2156" s="33">
        <f>COUNTIFS(Demand!$A$2:$A$4481,A2156,Demand!$B$2:$B$4481,B2156,Demand!$C$2:$C$4481,C2156)</f>
        <v>1</v>
      </c>
    </row>
    <row r="2157">
      <c r="A2157" s="32" t="str">
        <f>Demand!A2155</f>
        <v>S015</v>
      </c>
      <c r="B2157" s="35">
        <f>Demand!B2155</f>
        <v>46272.0</v>
      </c>
      <c r="C2157" s="33">
        <f>Demand!C2155</f>
        <v>17</v>
      </c>
      <c r="D2157" s="33">
        <f>Demand!E2155</f>
        <v>28</v>
      </c>
      <c r="E2157" s="33">
        <f>IF(Demand!F2155,1,0)</f>
        <v>0</v>
      </c>
      <c r="F2157" s="33">
        <f>COUNTIFS(c_store,A2157,c_date,B2157,c_hour,C2157)</f>
        <v>1</v>
      </c>
      <c r="G2157" s="33">
        <f>IF(F2157&gt;0,1,0)</f>
        <v>1</v>
      </c>
      <c r="H2157" s="33">
        <f>COUNTIFS(Demand!$A$2:$A$4481,A2157,Demand!$B$2:$B$4481,B2157,Demand!$C$2:$C$4481,C2157)</f>
        <v>1</v>
      </c>
    </row>
    <row r="2158">
      <c r="A2158" s="32" t="str">
        <f>Demand!A2156</f>
        <v>S015</v>
      </c>
      <c r="B2158" s="35">
        <f>Demand!B2156</f>
        <v>46272.0</v>
      </c>
      <c r="C2158" s="33">
        <f>Demand!C2156</f>
        <v>18</v>
      </c>
      <c r="D2158" s="33">
        <f>Demand!E2156</f>
        <v>19</v>
      </c>
      <c r="E2158" s="33">
        <f>IF(Demand!F2156,1,0)</f>
        <v>0</v>
      </c>
      <c r="F2158" s="33">
        <f>COUNTIFS(c_store,A2158,c_date,B2158,c_hour,C2158)</f>
        <v>1</v>
      </c>
      <c r="G2158" s="33">
        <f>IF(F2158&gt;0,1,0)</f>
        <v>1</v>
      </c>
      <c r="H2158" s="33">
        <f>COUNTIFS(Demand!$A$2:$A$4481,A2158,Demand!$B$2:$B$4481,B2158,Demand!$C$2:$C$4481,C2158)</f>
        <v>1</v>
      </c>
    </row>
    <row r="2159">
      <c r="A2159" s="32" t="str">
        <f>Demand!A2157</f>
        <v>S015</v>
      </c>
      <c r="B2159" s="35">
        <f>Demand!B2157</f>
        <v>46272.0</v>
      </c>
      <c r="C2159" s="33">
        <f>Demand!C2157</f>
        <v>19</v>
      </c>
      <c r="D2159" s="33">
        <f>Demand!E2157</f>
        <v>29</v>
      </c>
      <c r="E2159" s="33">
        <f>IF(Demand!F2157,1,0)</f>
        <v>1</v>
      </c>
      <c r="F2159" s="33">
        <f>COUNTIFS(c_store,A2159,c_date,B2159,c_hour,C2159)</f>
        <v>2</v>
      </c>
      <c r="G2159" s="33">
        <f>IF(F2159&gt;0,1,0)</f>
        <v>1</v>
      </c>
      <c r="H2159" s="33">
        <f>COUNTIFS(Demand!$A$2:$A$4481,A2159,Demand!$B$2:$B$4481,B2159,Demand!$C$2:$C$4481,C2159)</f>
        <v>1</v>
      </c>
    </row>
    <row r="2160">
      <c r="A2160" s="32" t="str">
        <f>Demand!A2158</f>
        <v>S015</v>
      </c>
      <c r="B2160" s="35">
        <f>Demand!B2158</f>
        <v>46272.0</v>
      </c>
      <c r="C2160" s="33">
        <f>Demand!C2158</f>
        <v>20</v>
      </c>
      <c r="D2160" s="33">
        <f>Demand!E2158</f>
        <v>29</v>
      </c>
      <c r="E2160" s="33">
        <f>IF(Demand!F2158,1,0)</f>
        <v>1</v>
      </c>
      <c r="F2160" s="33">
        <f>COUNTIFS(c_store,A2160,c_date,B2160,c_hour,C2160)</f>
        <v>0</v>
      </c>
      <c r="G2160" s="33">
        <f>IF(F2160&gt;0,1,0)</f>
        <v>0</v>
      </c>
      <c r="H2160" s="33">
        <f>COUNTIFS(Demand!$A$2:$A$4481,A2160,Demand!$B$2:$B$4481,B2160,Demand!$C$2:$C$4481,C2160)</f>
        <v>1</v>
      </c>
    </row>
    <row r="2161">
      <c r="A2161" s="32" t="str">
        <f>Demand!A2159</f>
        <v>S015</v>
      </c>
      <c r="B2161" s="35">
        <f>Demand!B2159</f>
        <v>46272.0</v>
      </c>
      <c r="C2161" s="33">
        <f>Demand!C2159</f>
        <v>21</v>
      </c>
      <c r="D2161" s="33">
        <f>Demand!E2159</f>
        <v>30</v>
      </c>
      <c r="E2161" s="33">
        <f>IF(Demand!F2159,1,0)</f>
        <v>1</v>
      </c>
      <c r="F2161" s="33">
        <f>COUNTIFS(c_store,A2161,c_date,B2161,c_hour,C2161)</f>
        <v>1</v>
      </c>
      <c r="G2161" s="33">
        <f>IF(F2161&gt;0,1,0)</f>
        <v>1</v>
      </c>
      <c r="H2161" s="33">
        <f>COUNTIFS(Demand!$A$2:$A$4481,A2161,Demand!$B$2:$B$4481,B2161,Demand!$C$2:$C$4481,C2161)</f>
        <v>1</v>
      </c>
    </row>
    <row r="2162">
      <c r="A2162" s="32" t="str">
        <f>Demand!A2160</f>
        <v>S015</v>
      </c>
      <c r="B2162" s="35">
        <f>Demand!B2160</f>
        <v>46272.0</v>
      </c>
      <c r="C2162" s="33">
        <f>Demand!C2160</f>
        <v>22</v>
      </c>
      <c r="D2162" s="33">
        <f>Demand!E2160</f>
        <v>16</v>
      </c>
      <c r="E2162" s="33">
        <f>IF(Demand!F2160,1,0)</f>
        <v>0</v>
      </c>
      <c r="F2162" s="33">
        <f>COUNTIFS(c_store,A2162,c_date,B2162,c_hour,C2162)</f>
        <v>0</v>
      </c>
      <c r="G2162" s="33">
        <f>IF(F2162&gt;0,1,0)</f>
        <v>0</v>
      </c>
      <c r="H2162" s="33">
        <f>COUNTIFS(Demand!$A$2:$A$4481,A2162,Demand!$B$2:$B$4481,B2162,Demand!$C$2:$C$4481,C2162)</f>
        <v>1</v>
      </c>
    </row>
    <row r="2163">
      <c r="A2163" s="32" t="str">
        <f>Demand!A2161</f>
        <v>S015</v>
      </c>
      <c r="B2163" s="35">
        <f>Demand!B2161</f>
        <v>46272.0</v>
      </c>
      <c r="C2163" s="33">
        <f>Demand!C2161</f>
        <v>23</v>
      </c>
      <c r="D2163" s="33">
        <f>Demand!E2161</f>
        <v>18</v>
      </c>
      <c r="E2163" s="33">
        <f>IF(Demand!F2161,1,0)</f>
        <v>0</v>
      </c>
      <c r="F2163" s="33">
        <f>COUNTIFS(c_store,A2163,c_date,B2163,c_hour,C2163)</f>
        <v>0</v>
      </c>
      <c r="G2163" s="33">
        <f>IF(F2163&gt;0,1,0)</f>
        <v>0</v>
      </c>
      <c r="H2163" s="33">
        <f>COUNTIFS(Demand!$A$2:$A$4481,A2163,Demand!$B$2:$B$4481,B2163,Demand!$C$2:$C$4481,C2163)</f>
        <v>1</v>
      </c>
    </row>
    <row r="2164">
      <c r="A2164" s="32" t="str">
        <f>Demand!A2162</f>
        <v>S016</v>
      </c>
      <c r="B2164" s="35">
        <f>Demand!B2162</f>
        <v>46272.0</v>
      </c>
      <c r="C2164" s="33">
        <f>Demand!C2162</f>
        <v>8</v>
      </c>
      <c r="D2164" s="33">
        <f>Demand!E2162</f>
        <v>22</v>
      </c>
      <c r="E2164" s="33">
        <f>IF(Demand!F2162,1,0)</f>
        <v>0</v>
      </c>
      <c r="F2164" s="33">
        <f>COUNTIFS(c_store,A2164,c_date,B2164,c_hour,C2164)</f>
        <v>1</v>
      </c>
      <c r="G2164" s="33">
        <f>IF(F2164&gt;0,1,0)</f>
        <v>1</v>
      </c>
      <c r="H2164" s="33">
        <f>COUNTIFS(Demand!$A$2:$A$4481,A2164,Demand!$B$2:$B$4481,B2164,Demand!$C$2:$C$4481,C2164)</f>
        <v>1</v>
      </c>
    </row>
    <row r="2165">
      <c r="A2165" s="32" t="str">
        <f>Demand!A2163</f>
        <v>S016</v>
      </c>
      <c r="B2165" s="35">
        <f>Demand!B2163</f>
        <v>46272.0</v>
      </c>
      <c r="C2165" s="33">
        <f>Demand!C2163</f>
        <v>9</v>
      </c>
      <c r="D2165" s="33">
        <f>Demand!E2163</f>
        <v>18</v>
      </c>
      <c r="E2165" s="33">
        <f>IF(Demand!F2163,1,0)</f>
        <v>0</v>
      </c>
      <c r="F2165" s="33">
        <f>COUNTIFS(c_store,A2165,c_date,B2165,c_hour,C2165)</f>
        <v>0</v>
      </c>
      <c r="G2165" s="33">
        <f>IF(F2165&gt;0,1,0)</f>
        <v>0</v>
      </c>
      <c r="H2165" s="33">
        <f>COUNTIFS(Demand!$A$2:$A$4481,A2165,Demand!$B$2:$B$4481,B2165,Demand!$C$2:$C$4481,C2165)</f>
        <v>1</v>
      </c>
    </row>
    <row r="2166">
      <c r="A2166" s="32" t="str">
        <f>Demand!A2164</f>
        <v>S016</v>
      </c>
      <c r="B2166" s="35">
        <f>Demand!B2164</f>
        <v>46272.0</v>
      </c>
      <c r="C2166" s="33">
        <f>Demand!C2164</f>
        <v>10</v>
      </c>
      <c r="D2166" s="33">
        <f>Demand!E2164</f>
        <v>18</v>
      </c>
      <c r="E2166" s="33">
        <f>IF(Demand!F2164,1,0)</f>
        <v>0</v>
      </c>
      <c r="F2166" s="33">
        <f>COUNTIFS(c_store,A2166,c_date,B2166,c_hour,C2166)</f>
        <v>2</v>
      </c>
      <c r="G2166" s="33">
        <f>IF(F2166&gt;0,1,0)</f>
        <v>1</v>
      </c>
      <c r="H2166" s="33">
        <f>COUNTIFS(Demand!$A$2:$A$4481,A2166,Demand!$B$2:$B$4481,B2166,Demand!$C$2:$C$4481,C2166)</f>
        <v>1</v>
      </c>
    </row>
    <row r="2167">
      <c r="A2167" s="32" t="str">
        <f>Demand!A2165</f>
        <v>S016</v>
      </c>
      <c r="B2167" s="35">
        <f>Demand!B2165</f>
        <v>46272.0</v>
      </c>
      <c r="C2167" s="33">
        <f>Demand!C2165</f>
        <v>11</v>
      </c>
      <c r="D2167" s="33">
        <f>Demand!E2165</f>
        <v>33</v>
      </c>
      <c r="E2167" s="33">
        <f>IF(Demand!F2165,1,0)</f>
        <v>0</v>
      </c>
      <c r="F2167" s="33">
        <f>COUNTIFS(c_store,A2167,c_date,B2167,c_hour,C2167)</f>
        <v>1</v>
      </c>
      <c r="G2167" s="33">
        <f>IF(F2167&gt;0,1,0)</f>
        <v>1</v>
      </c>
      <c r="H2167" s="33">
        <f>COUNTIFS(Demand!$A$2:$A$4481,A2167,Demand!$B$2:$B$4481,B2167,Demand!$C$2:$C$4481,C2167)</f>
        <v>1</v>
      </c>
    </row>
    <row r="2168">
      <c r="A2168" s="32" t="str">
        <f>Demand!A2166</f>
        <v>S016</v>
      </c>
      <c r="B2168" s="35">
        <f>Demand!B2166</f>
        <v>46272.0</v>
      </c>
      <c r="C2168" s="33">
        <f>Demand!C2166</f>
        <v>12</v>
      </c>
      <c r="D2168" s="33">
        <f>Demand!E2166</f>
        <v>28</v>
      </c>
      <c r="E2168" s="33">
        <f>IF(Demand!F2166,1,0)</f>
        <v>0</v>
      </c>
      <c r="F2168" s="33">
        <f>COUNTIFS(c_store,A2168,c_date,B2168,c_hour,C2168)</f>
        <v>2</v>
      </c>
      <c r="G2168" s="33">
        <f>IF(F2168&gt;0,1,0)</f>
        <v>1</v>
      </c>
      <c r="H2168" s="33">
        <f>COUNTIFS(Demand!$A$2:$A$4481,A2168,Demand!$B$2:$B$4481,B2168,Demand!$C$2:$C$4481,C2168)</f>
        <v>1</v>
      </c>
    </row>
    <row r="2169">
      <c r="A2169" s="32" t="str">
        <f>Demand!A2167</f>
        <v>S016</v>
      </c>
      <c r="B2169" s="35">
        <f>Demand!B2167</f>
        <v>46272.0</v>
      </c>
      <c r="C2169" s="33">
        <f>Demand!C2167</f>
        <v>13</v>
      </c>
      <c r="D2169" s="33">
        <f>Demand!E2167</f>
        <v>14</v>
      </c>
      <c r="E2169" s="33">
        <f>IF(Demand!F2167,1,0)</f>
        <v>0</v>
      </c>
      <c r="F2169" s="33">
        <f>COUNTIFS(c_store,A2169,c_date,B2169,c_hour,C2169)</f>
        <v>1</v>
      </c>
      <c r="G2169" s="33">
        <f>IF(F2169&gt;0,1,0)</f>
        <v>1</v>
      </c>
      <c r="H2169" s="33">
        <f>COUNTIFS(Demand!$A$2:$A$4481,A2169,Demand!$B$2:$B$4481,B2169,Demand!$C$2:$C$4481,C2169)</f>
        <v>1</v>
      </c>
    </row>
    <row r="2170">
      <c r="A2170" s="32" t="str">
        <f>Demand!A2168</f>
        <v>S016</v>
      </c>
      <c r="B2170" s="35">
        <f>Demand!B2168</f>
        <v>46272.0</v>
      </c>
      <c r="C2170" s="33">
        <f>Demand!C2168</f>
        <v>14</v>
      </c>
      <c r="D2170" s="33">
        <f>Demand!E2168</f>
        <v>15</v>
      </c>
      <c r="E2170" s="33">
        <f>IF(Demand!F2168,1,0)</f>
        <v>0</v>
      </c>
      <c r="F2170" s="33">
        <f>COUNTIFS(c_store,A2170,c_date,B2170,c_hour,C2170)</f>
        <v>0</v>
      </c>
      <c r="G2170" s="33">
        <f>IF(F2170&gt;0,1,0)</f>
        <v>0</v>
      </c>
      <c r="H2170" s="33">
        <f>COUNTIFS(Demand!$A$2:$A$4481,A2170,Demand!$B$2:$B$4481,B2170,Demand!$C$2:$C$4481,C2170)</f>
        <v>1</v>
      </c>
    </row>
    <row r="2171">
      <c r="A2171" s="32" t="str">
        <f>Demand!A2169</f>
        <v>S016</v>
      </c>
      <c r="B2171" s="35">
        <f>Demand!B2169</f>
        <v>46272.0</v>
      </c>
      <c r="C2171" s="33">
        <f>Demand!C2169</f>
        <v>15</v>
      </c>
      <c r="D2171" s="33">
        <f>Demand!E2169</f>
        <v>30</v>
      </c>
      <c r="E2171" s="33">
        <f>IF(Demand!F2169,1,0)</f>
        <v>0</v>
      </c>
      <c r="F2171" s="33">
        <f>COUNTIFS(c_store,A2171,c_date,B2171,c_hour,C2171)</f>
        <v>0</v>
      </c>
      <c r="G2171" s="33">
        <f>IF(F2171&gt;0,1,0)</f>
        <v>0</v>
      </c>
      <c r="H2171" s="33">
        <f>COUNTIFS(Demand!$A$2:$A$4481,A2171,Demand!$B$2:$B$4481,B2171,Demand!$C$2:$C$4481,C2171)</f>
        <v>1</v>
      </c>
    </row>
    <row r="2172">
      <c r="A2172" s="32" t="str">
        <f>Demand!A2170</f>
        <v>S016</v>
      </c>
      <c r="B2172" s="35">
        <f>Demand!B2170</f>
        <v>46272.0</v>
      </c>
      <c r="C2172" s="33">
        <f>Demand!C2170</f>
        <v>16</v>
      </c>
      <c r="D2172" s="33">
        <f>Demand!E2170</f>
        <v>23</v>
      </c>
      <c r="E2172" s="33">
        <f>IF(Demand!F2170,1,0)</f>
        <v>0</v>
      </c>
      <c r="F2172" s="33">
        <f>COUNTIFS(c_store,A2172,c_date,B2172,c_hour,C2172)</f>
        <v>0</v>
      </c>
      <c r="G2172" s="33">
        <f>IF(F2172&gt;0,1,0)</f>
        <v>0</v>
      </c>
      <c r="H2172" s="33">
        <f>COUNTIFS(Demand!$A$2:$A$4481,A2172,Demand!$B$2:$B$4481,B2172,Demand!$C$2:$C$4481,C2172)</f>
        <v>1</v>
      </c>
    </row>
    <row r="2173">
      <c r="A2173" s="32" t="str">
        <f>Demand!A2171</f>
        <v>S016</v>
      </c>
      <c r="B2173" s="35">
        <f>Demand!B2171</f>
        <v>46272.0</v>
      </c>
      <c r="C2173" s="33">
        <f>Demand!C2171</f>
        <v>17</v>
      </c>
      <c r="D2173" s="33">
        <f>Demand!E2171</f>
        <v>19</v>
      </c>
      <c r="E2173" s="33">
        <f>IF(Demand!F2171,1,0)</f>
        <v>0</v>
      </c>
      <c r="F2173" s="33">
        <f>COUNTIFS(c_store,A2173,c_date,B2173,c_hour,C2173)</f>
        <v>1</v>
      </c>
      <c r="G2173" s="33">
        <f>IF(F2173&gt;0,1,0)</f>
        <v>1</v>
      </c>
      <c r="H2173" s="33">
        <f>COUNTIFS(Demand!$A$2:$A$4481,A2173,Demand!$B$2:$B$4481,B2173,Demand!$C$2:$C$4481,C2173)</f>
        <v>1</v>
      </c>
    </row>
    <row r="2174">
      <c r="A2174" s="32" t="str">
        <f>Demand!A2172</f>
        <v>S016</v>
      </c>
      <c r="B2174" s="35">
        <f>Demand!B2172</f>
        <v>46272.0</v>
      </c>
      <c r="C2174" s="33">
        <f>Demand!C2172</f>
        <v>18</v>
      </c>
      <c r="D2174" s="33">
        <f>Demand!E2172</f>
        <v>21</v>
      </c>
      <c r="E2174" s="33">
        <f>IF(Demand!F2172,1,0)</f>
        <v>0</v>
      </c>
      <c r="F2174" s="33">
        <f>COUNTIFS(c_store,A2174,c_date,B2174,c_hour,C2174)</f>
        <v>0</v>
      </c>
      <c r="G2174" s="33">
        <f>IF(F2174&gt;0,1,0)</f>
        <v>0</v>
      </c>
      <c r="H2174" s="33">
        <f>COUNTIFS(Demand!$A$2:$A$4481,A2174,Demand!$B$2:$B$4481,B2174,Demand!$C$2:$C$4481,C2174)</f>
        <v>1</v>
      </c>
    </row>
    <row r="2175">
      <c r="A2175" s="32" t="str">
        <f>Demand!A2173</f>
        <v>S016</v>
      </c>
      <c r="B2175" s="35">
        <f>Demand!B2173</f>
        <v>46272.0</v>
      </c>
      <c r="C2175" s="33">
        <f>Demand!C2173</f>
        <v>19</v>
      </c>
      <c r="D2175" s="33">
        <f>Demand!E2173</f>
        <v>29</v>
      </c>
      <c r="E2175" s="33">
        <f>IF(Demand!F2173,1,0)</f>
        <v>1</v>
      </c>
      <c r="F2175" s="33">
        <f>COUNTIFS(c_store,A2175,c_date,B2175,c_hour,C2175)</f>
        <v>1</v>
      </c>
      <c r="G2175" s="33">
        <f>IF(F2175&gt;0,1,0)</f>
        <v>1</v>
      </c>
      <c r="H2175" s="33">
        <f>COUNTIFS(Demand!$A$2:$A$4481,A2175,Demand!$B$2:$B$4481,B2175,Demand!$C$2:$C$4481,C2175)</f>
        <v>1</v>
      </c>
    </row>
    <row r="2176">
      <c r="A2176" s="32" t="str">
        <f>Demand!A2174</f>
        <v>S016</v>
      </c>
      <c r="B2176" s="35">
        <f>Demand!B2174</f>
        <v>46272.0</v>
      </c>
      <c r="C2176" s="33">
        <f>Demand!C2174</f>
        <v>20</v>
      </c>
      <c r="D2176" s="33">
        <f>Demand!E2174</f>
        <v>24</v>
      </c>
      <c r="E2176" s="33">
        <f>IF(Demand!F2174,1,0)</f>
        <v>1</v>
      </c>
      <c r="F2176" s="33">
        <f>COUNTIFS(c_store,A2176,c_date,B2176,c_hour,C2176)</f>
        <v>0</v>
      </c>
      <c r="G2176" s="33">
        <f>IF(F2176&gt;0,1,0)</f>
        <v>0</v>
      </c>
      <c r="H2176" s="33">
        <f>COUNTIFS(Demand!$A$2:$A$4481,A2176,Demand!$B$2:$B$4481,B2176,Demand!$C$2:$C$4481,C2176)</f>
        <v>1</v>
      </c>
    </row>
    <row r="2177">
      <c r="A2177" s="32" t="str">
        <f>Demand!A2175</f>
        <v>S016</v>
      </c>
      <c r="B2177" s="35">
        <f>Demand!B2175</f>
        <v>46272.0</v>
      </c>
      <c r="C2177" s="33">
        <f>Demand!C2175</f>
        <v>21</v>
      </c>
      <c r="D2177" s="33">
        <f>Demand!E2175</f>
        <v>23</v>
      </c>
      <c r="E2177" s="33">
        <f>IF(Demand!F2175,1,0)</f>
        <v>1</v>
      </c>
      <c r="F2177" s="33">
        <f>COUNTIFS(c_store,A2177,c_date,B2177,c_hour,C2177)</f>
        <v>0</v>
      </c>
      <c r="G2177" s="33">
        <f>IF(F2177&gt;0,1,0)</f>
        <v>0</v>
      </c>
      <c r="H2177" s="33">
        <f>COUNTIFS(Demand!$A$2:$A$4481,A2177,Demand!$B$2:$B$4481,B2177,Demand!$C$2:$C$4481,C2177)</f>
        <v>1</v>
      </c>
    </row>
    <row r="2178">
      <c r="A2178" s="32" t="str">
        <f>Demand!A2176</f>
        <v>S016</v>
      </c>
      <c r="B2178" s="35">
        <f>Demand!B2176</f>
        <v>46272.0</v>
      </c>
      <c r="C2178" s="33">
        <f>Demand!C2176</f>
        <v>22</v>
      </c>
      <c r="D2178" s="33">
        <f>Demand!E2176</f>
        <v>27</v>
      </c>
      <c r="E2178" s="33">
        <f>IF(Demand!F2176,1,0)</f>
        <v>0</v>
      </c>
      <c r="F2178" s="33">
        <f>COUNTIFS(c_store,A2178,c_date,B2178,c_hour,C2178)</f>
        <v>0</v>
      </c>
      <c r="G2178" s="33">
        <f>IF(F2178&gt;0,1,0)</f>
        <v>0</v>
      </c>
      <c r="H2178" s="33">
        <f>COUNTIFS(Demand!$A$2:$A$4481,A2178,Demand!$B$2:$B$4481,B2178,Demand!$C$2:$C$4481,C2178)</f>
        <v>1</v>
      </c>
    </row>
    <row r="2179">
      <c r="A2179" s="32" t="str">
        <f>Demand!A2177</f>
        <v>S016</v>
      </c>
      <c r="B2179" s="35">
        <f>Demand!B2177</f>
        <v>46272.0</v>
      </c>
      <c r="C2179" s="33">
        <f>Demand!C2177</f>
        <v>23</v>
      </c>
      <c r="D2179" s="33">
        <f>Demand!E2177</f>
        <v>17</v>
      </c>
      <c r="E2179" s="33">
        <f>IF(Demand!F2177,1,0)</f>
        <v>0</v>
      </c>
      <c r="F2179" s="33">
        <f>COUNTIFS(c_store,A2179,c_date,B2179,c_hour,C2179)</f>
        <v>0</v>
      </c>
      <c r="G2179" s="33">
        <f>IF(F2179&gt;0,1,0)</f>
        <v>0</v>
      </c>
      <c r="H2179" s="33">
        <f>COUNTIFS(Demand!$A$2:$A$4481,A2179,Demand!$B$2:$B$4481,B2179,Demand!$C$2:$C$4481,C2179)</f>
        <v>1</v>
      </c>
    </row>
    <row r="2180">
      <c r="A2180" s="32" t="str">
        <f>Demand!A2178</f>
        <v>S017</v>
      </c>
      <c r="B2180" s="35">
        <f>Demand!B2178</f>
        <v>46272.0</v>
      </c>
      <c r="C2180" s="33">
        <f>Demand!C2178</f>
        <v>8</v>
      </c>
      <c r="D2180" s="33">
        <f>Demand!E2178</f>
        <v>26</v>
      </c>
      <c r="E2180" s="33">
        <f>IF(Demand!F2178,1,0)</f>
        <v>0</v>
      </c>
      <c r="F2180" s="33">
        <f>COUNTIFS(c_store,A2180,c_date,B2180,c_hour,C2180)</f>
        <v>0</v>
      </c>
      <c r="G2180" s="33">
        <f>IF(F2180&gt;0,1,0)</f>
        <v>0</v>
      </c>
      <c r="H2180" s="33">
        <f>COUNTIFS(Demand!$A$2:$A$4481,A2180,Demand!$B$2:$B$4481,B2180,Demand!$C$2:$C$4481,C2180)</f>
        <v>1</v>
      </c>
    </row>
    <row r="2181">
      <c r="A2181" s="32" t="str">
        <f>Demand!A2179</f>
        <v>S017</v>
      </c>
      <c r="B2181" s="35">
        <f>Demand!B2179</f>
        <v>46272.0</v>
      </c>
      <c r="C2181" s="33">
        <f>Demand!C2179</f>
        <v>9</v>
      </c>
      <c r="D2181" s="33">
        <f>Demand!E2179</f>
        <v>35</v>
      </c>
      <c r="E2181" s="33">
        <f>IF(Demand!F2179,1,0)</f>
        <v>0</v>
      </c>
      <c r="F2181" s="33">
        <f>COUNTIFS(c_store,A2181,c_date,B2181,c_hour,C2181)</f>
        <v>0</v>
      </c>
      <c r="G2181" s="33">
        <f>IF(F2181&gt;0,1,0)</f>
        <v>0</v>
      </c>
      <c r="H2181" s="33">
        <f>COUNTIFS(Demand!$A$2:$A$4481,A2181,Demand!$B$2:$B$4481,B2181,Demand!$C$2:$C$4481,C2181)</f>
        <v>1</v>
      </c>
    </row>
    <row r="2182">
      <c r="A2182" s="32" t="str">
        <f>Demand!A2180</f>
        <v>S017</v>
      </c>
      <c r="B2182" s="35">
        <f>Demand!B2180</f>
        <v>46272.0</v>
      </c>
      <c r="C2182" s="33">
        <f>Demand!C2180</f>
        <v>10</v>
      </c>
      <c r="D2182" s="33">
        <f>Demand!E2180</f>
        <v>25</v>
      </c>
      <c r="E2182" s="33">
        <f>IF(Demand!F2180,1,0)</f>
        <v>0</v>
      </c>
      <c r="F2182" s="33">
        <f>COUNTIFS(c_store,A2182,c_date,B2182,c_hour,C2182)</f>
        <v>0</v>
      </c>
      <c r="G2182" s="33">
        <f>IF(F2182&gt;0,1,0)</f>
        <v>0</v>
      </c>
      <c r="H2182" s="33">
        <f>COUNTIFS(Demand!$A$2:$A$4481,A2182,Demand!$B$2:$B$4481,B2182,Demand!$C$2:$C$4481,C2182)</f>
        <v>1</v>
      </c>
    </row>
    <row r="2183">
      <c r="A2183" s="32" t="str">
        <f>Demand!A2181</f>
        <v>S017</v>
      </c>
      <c r="B2183" s="35">
        <f>Demand!B2181</f>
        <v>46272.0</v>
      </c>
      <c r="C2183" s="33">
        <f>Demand!C2181</f>
        <v>11</v>
      </c>
      <c r="D2183" s="33">
        <f>Demand!E2181</f>
        <v>38</v>
      </c>
      <c r="E2183" s="33">
        <f>IF(Demand!F2181,1,0)</f>
        <v>0</v>
      </c>
      <c r="F2183" s="33">
        <f>COUNTIFS(c_store,A2183,c_date,B2183,c_hour,C2183)</f>
        <v>0</v>
      </c>
      <c r="G2183" s="33">
        <f>IF(F2183&gt;0,1,0)</f>
        <v>0</v>
      </c>
      <c r="H2183" s="33">
        <f>COUNTIFS(Demand!$A$2:$A$4481,A2183,Demand!$B$2:$B$4481,B2183,Demand!$C$2:$C$4481,C2183)</f>
        <v>1</v>
      </c>
    </row>
    <row r="2184">
      <c r="A2184" s="32" t="str">
        <f>Demand!A2182</f>
        <v>S017</v>
      </c>
      <c r="B2184" s="35">
        <f>Demand!B2182</f>
        <v>46272.0</v>
      </c>
      <c r="C2184" s="33">
        <f>Demand!C2182</f>
        <v>12</v>
      </c>
      <c r="D2184" s="33">
        <f>Demand!E2182</f>
        <v>39</v>
      </c>
      <c r="E2184" s="33">
        <f>IF(Demand!F2182,1,0)</f>
        <v>0</v>
      </c>
      <c r="F2184" s="33">
        <f>COUNTIFS(c_store,A2184,c_date,B2184,c_hour,C2184)</f>
        <v>1</v>
      </c>
      <c r="G2184" s="33">
        <f>IF(F2184&gt;0,1,0)</f>
        <v>1</v>
      </c>
      <c r="H2184" s="33">
        <f>COUNTIFS(Demand!$A$2:$A$4481,A2184,Demand!$B$2:$B$4481,B2184,Demand!$C$2:$C$4481,C2184)</f>
        <v>1</v>
      </c>
    </row>
    <row r="2185">
      <c r="A2185" s="32" t="str">
        <f>Demand!A2183</f>
        <v>S017</v>
      </c>
      <c r="B2185" s="35">
        <f>Demand!B2183</f>
        <v>46272.0</v>
      </c>
      <c r="C2185" s="33">
        <f>Demand!C2183</f>
        <v>13</v>
      </c>
      <c r="D2185" s="33">
        <f>Demand!E2183</f>
        <v>40</v>
      </c>
      <c r="E2185" s="33">
        <f>IF(Demand!F2183,1,0)</f>
        <v>0</v>
      </c>
      <c r="F2185" s="33">
        <f>COUNTIFS(c_store,A2185,c_date,B2185,c_hour,C2185)</f>
        <v>0</v>
      </c>
      <c r="G2185" s="33">
        <f>IF(F2185&gt;0,1,0)</f>
        <v>0</v>
      </c>
      <c r="H2185" s="33">
        <f>COUNTIFS(Demand!$A$2:$A$4481,A2185,Demand!$B$2:$B$4481,B2185,Demand!$C$2:$C$4481,C2185)</f>
        <v>1</v>
      </c>
    </row>
    <row r="2186">
      <c r="A2186" s="32" t="str">
        <f>Demand!A2184</f>
        <v>S017</v>
      </c>
      <c r="B2186" s="35">
        <f>Demand!B2184</f>
        <v>46272.0</v>
      </c>
      <c r="C2186" s="33">
        <f>Demand!C2184</f>
        <v>14</v>
      </c>
      <c r="D2186" s="33">
        <f>Demand!E2184</f>
        <v>31</v>
      </c>
      <c r="E2186" s="33">
        <f>IF(Demand!F2184,1,0)</f>
        <v>0</v>
      </c>
      <c r="F2186" s="33">
        <f>COUNTIFS(c_store,A2186,c_date,B2186,c_hour,C2186)</f>
        <v>1</v>
      </c>
      <c r="G2186" s="33">
        <f>IF(F2186&gt;0,1,0)</f>
        <v>1</v>
      </c>
      <c r="H2186" s="33">
        <f>COUNTIFS(Demand!$A$2:$A$4481,A2186,Demand!$B$2:$B$4481,B2186,Demand!$C$2:$C$4481,C2186)</f>
        <v>1</v>
      </c>
    </row>
    <row r="2187">
      <c r="A2187" s="32" t="str">
        <f>Demand!A2185</f>
        <v>S017</v>
      </c>
      <c r="B2187" s="35">
        <f>Demand!B2185</f>
        <v>46272.0</v>
      </c>
      <c r="C2187" s="33">
        <f>Demand!C2185</f>
        <v>15</v>
      </c>
      <c r="D2187" s="33">
        <f>Demand!E2185</f>
        <v>22</v>
      </c>
      <c r="E2187" s="33">
        <f>IF(Demand!F2185,1,0)</f>
        <v>0</v>
      </c>
      <c r="F2187" s="33">
        <f>COUNTIFS(c_store,A2187,c_date,B2187,c_hour,C2187)</f>
        <v>0</v>
      </c>
      <c r="G2187" s="33">
        <f>IF(F2187&gt;0,1,0)</f>
        <v>0</v>
      </c>
      <c r="H2187" s="33">
        <f>COUNTIFS(Demand!$A$2:$A$4481,A2187,Demand!$B$2:$B$4481,B2187,Demand!$C$2:$C$4481,C2187)</f>
        <v>1</v>
      </c>
    </row>
    <row r="2188">
      <c r="A2188" s="32" t="str">
        <f>Demand!A2186</f>
        <v>S017</v>
      </c>
      <c r="B2188" s="35">
        <f>Demand!B2186</f>
        <v>46272.0</v>
      </c>
      <c r="C2188" s="33">
        <f>Demand!C2186</f>
        <v>16</v>
      </c>
      <c r="D2188" s="33">
        <f>Demand!E2186</f>
        <v>37</v>
      </c>
      <c r="E2188" s="33">
        <f>IF(Demand!F2186,1,0)</f>
        <v>0</v>
      </c>
      <c r="F2188" s="33">
        <f>COUNTIFS(c_store,A2188,c_date,B2188,c_hour,C2188)</f>
        <v>0</v>
      </c>
      <c r="G2188" s="33">
        <f>IF(F2188&gt;0,1,0)</f>
        <v>0</v>
      </c>
      <c r="H2188" s="33">
        <f>COUNTIFS(Demand!$A$2:$A$4481,A2188,Demand!$B$2:$B$4481,B2188,Demand!$C$2:$C$4481,C2188)</f>
        <v>1</v>
      </c>
    </row>
    <row r="2189">
      <c r="A2189" s="32" t="str">
        <f>Demand!A2187</f>
        <v>S017</v>
      </c>
      <c r="B2189" s="35">
        <f>Demand!B2187</f>
        <v>46272.0</v>
      </c>
      <c r="C2189" s="33">
        <f>Demand!C2187</f>
        <v>17</v>
      </c>
      <c r="D2189" s="33">
        <f>Demand!E2187</f>
        <v>31</v>
      </c>
      <c r="E2189" s="33">
        <f>IF(Demand!F2187,1,0)</f>
        <v>0</v>
      </c>
      <c r="F2189" s="33">
        <f>COUNTIFS(c_store,A2189,c_date,B2189,c_hour,C2189)</f>
        <v>0</v>
      </c>
      <c r="G2189" s="33">
        <f>IF(F2189&gt;0,1,0)</f>
        <v>0</v>
      </c>
      <c r="H2189" s="33">
        <f>COUNTIFS(Demand!$A$2:$A$4481,A2189,Demand!$B$2:$B$4481,B2189,Demand!$C$2:$C$4481,C2189)</f>
        <v>1</v>
      </c>
    </row>
    <row r="2190">
      <c r="A2190" s="32" t="str">
        <f>Demand!A2188</f>
        <v>S017</v>
      </c>
      <c r="B2190" s="35">
        <f>Demand!B2188</f>
        <v>46272.0</v>
      </c>
      <c r="C2190" s="33">
        <f>Demand!C2188</f>
        <v>18</v>
      </c>
      <c r="D2190" s="33">
        <f>Demand!E2188</f>
        <v>42</v>
      </c>
      <c r="E2190" s="33">
        <f>IF(Demand!F2188,1,0)</f>
        <v>0</v>
      </c>
      <c r="F2190" s="33">
        <f>COUNTIFS(c_store,A2190,c_date,B2190,c_hour,C2190)</f>
        <v>0</v>
      </c>
      <c r="G2190" s="33">
        <f>IF(F2190&gt;0,1,0)</f>
        <v>0</v>
      </c>
      <c r="H2190" s="33">
        <f>COUNTIFS(Demand!$A$2:$A$4481,A2190,Demand!$B$2:$B$4481,B2190,Demand!$C$2:$C$4481,C2190)</f>
        <v>1</v>
      </c>
    </row>
    <row r="2191">
      <c r="A2191" s="32" t="str">
        <f>Demand!A2189</f>
        <v>S017</v>
      </c>
      <c r="B2191" s="35">
        <f>Demand!B2189</f>
        <v>46272.0</v>
      </c>
      <c r="C2191" s="33">
        <f>Demand!C2189</f>
        <v>19</v>
      </c>
      <c r="D2191" s="33">
        <f>Demand!E2189</f>
        <v>61</v>
      </c>
      <c r="E2191" s="33">
        <f>IF(Demand!F2189,1,0)</f>
        <v>1</v>
      </c>
      <c r="F2191" s="33">
        <f>COUNTIFS(c_store,A2191,c_date,B2191,c_hour,C2191)</f>
        <v>1</v>
      </c>
      <c r="G2191" s="33">
        <f>IF(F2191&gt;0,1,0)</f>
        <v>1</v>
      </c>
      <c r="H2191" s="33">
        <f>COUNTIFS(Demand!$A$2:$A$4481,A2191,Demand!$B$2:$B$4481,B2191,Demand!$C$2:$C$4481,C2191)</f>
        <v>1</v>
      </c>
    </row>
    <row r="2192">
      <c r="A2192" s="32" t="str">
        <f>Demand!A2190</f>
        <v>S017</v>
      </c>
      <c r="B2192" s="35">
        <f>Demand!B2190</f>
        <v>46272.0</v>
      </c>
      <c r="C2192" s="33">
        <f>Demand!C2190</f>
        <v>20</v>
      </c>
      <c r="D2192" s="33">
        <f>Demand!E2190</f>
        <v>50</v>
      </c>
      <c r="E2192" s="33">
        <f>IF(Demand!F2190,1,0)</f>
        <v>1</v>
      </c>
      <c r="F2192" s="33">
        <f>COUNTIFS(c_store,A2192,c_date,B2192,c_hour,C2192)</f>
        <v>0</v>
      </c>
      <c r="G2192" s="33">
        <f>IF(F2192&gt;0,1,0)</f>
        <v>0</v>
      </c>
      <c r="H2192" s="33">
        <f>COUNTIFS(Demand!$A$2:$A$4481,A2192,Demand!$B$2:$B$4481,B2192,Demand!$C$2:$C$4481,C2192)</f>
        <v>1</v>
      </c>
    </row>
    <row r="2193">
      <c r="A2193" s="32" t="str">
        <f>Demand!A2191</f>
        <v>S017</v>
      </c>
      <c r="B2193" s="35">
        <f>Demand!B2191</f>
        <v>46272.0</v>
      </c>
      <c r="C2193" s="33">
        <f>Demand!C2191</f>
        <v>21</v>
      </c>
      <c r="D2193" s="33">
        <f>Demand!E2191</f>
        <v>62</v>
      </c>
      <c r="E2193" s="33">
        <f>IF(Demand!F2191,1,0)</f>
        <v>1</v>
      </c>
      <c r="F2193" s="33">
        <f>COUNTIFS(c_store,A2193,c_date,B2193,c_hour,C2193)</f>
        <v>0</v>
      </c>
      <c r="G2193" s="33">
        <f>IF(F2193&gt;0,1,0)</f>
        <v>0</v>
      </c>
      <c r="H2193" s="33">
        <f>COUNTIFS(Demand!$A$2:$A$4481,A2193,Demand!$B$2:$B$4481,B2193,Demand!$C$2:$C$4481,C2193)</f>
        <v>1</v>
      </c>
    </row>
    <row r="2194">
      <c r="A2194" s="32" t="str">
        <f>Demand!A2192</f>
        <v>S017</v>
      </c>
      <c r="B2194" s="35">
        <f>Demand!B2192</f>
        <v>46272.0</v>
      </c>
      <c r="C2194" s="33">
        <f>Demand!C2192</f>
        <v>22</v>
      </c>
      <c r="D2194" s="33">
        <f>Demand!E2192</f>
        <v>37</v>
      </c>
      <c r="E2194" s="33">
        <f>IF(Demand!F2192,1,0)</f>
        <v>0</v>
      </c>
      <c r="F2194" s="33">
        <f>COUNTIFS(c_store,A2194,c_date,B2194,c_hour,C2194)</f>
        <v>0</v>
      </c>
      <c r="G2194" s="33">
        <f>IF(F2194&gt;0,1,0)</f>
        <v>0</v>
      </c>
      <c r="H2194" s="33">
        <f>COUNTIFS(Demand!$A$2:$A$4481,A2194,Demand!$B$2:$B$4481,B2194,Demand!$C$2:$C$4481,C2194)</f>
        <v>1</v>
      </c>
    </row>
    <row r="2195">
      <c r="A2195" s="32" t="str">
        <f>Demand!A2193</f>
        <v>S017</v>
      </c>
      <c r="B2195" s="35">
        <f>Demand!B2193</f>
        <v>46272.0</v>
      </c>
      <c r="C2195" s="33">
        <f>Demand!C2193</f>
        <v>23</v>
      </c>
      <c r="D2195" s="33">
        <f>Demand!E2193</f>
        <v>54</v>
      </c>
      <c r="E2195" s="33">
        <f>IF(Demand!F2193,1,0)</f>
        <v>0</v>
      </c>
      <c r="F2195" s="33">
        <f>COUNTIFS(c_store,A2195,c_date,B2195,c_hour,C2195)</f>
        <v>0</v>
      </c>
      <c r="G2195" s="33">
        <f>IF(F2195&gt;0,1,0)</f>
        <v>0</v>
      </c>
      <c r="H2195" s="33">
        <f>COUNTIFS(Demand!$A$2:$A$4481,A2195,Demand!$B$2:$B$4481,B2195,Demand!$C$2:$C$4481,C2195)</f>
        <v>1</v>
      </c>
    </row>
    <row r="2196">
      <c r="A2196" s="32" t="str">
        <f>Demand!A2194</f>
        <v>S018</v>
      </c>
      <c r="B2196" s="35">
        <f>Demand!B2194</f>
        <v>46272.0</v>
      </c>
      <c r="C2196" s="33">
        <f>Demand!C2194</f>
        <v>8</v>
      </c>
      <c r="D2196" s="33">
        <f>Demand!E2194</f>
        <v>15</v>
      </c>
      <c r="E2196" s="33">
        <f>IF(Demand!F2194,1,0)</f>
        <v>0</v>
      </c>
      <c r="F2196" s="33">
        <f>COUNTIFS(c_store,A2196,c_date,B2196,c_hour,C2196)</f>
        <v>1</v>
      </c>
      <c r="G2196" s="33">
        <f>IF(F2196&gt;0,1,0)</f>
        <v>1</v>
      </c>
      <c r="H2196" s="33">
        <f>COUNTIFS(Demand!$A$2:$A$4481,A2196,Demand!$B$2:$B$4481,B2196,Demand!$C$2:$C$4481,C2196)</f>
        <v>1</v>
      </c>
    </row>
    <row r="2197">
      <c r="A2197" s="32" t="str">
        <f>Demand!A2195</f>
        <v>S018</v>
      </c>
      <c r="B2197" s="35">
        <f>Demand!B2195</f>
        <v>46272.0</v>
      </c>
      <c r="C2197" s="33">
        <f>Demand!C2195</f>
        <v>9</v>
      </c>
      <c r="D2197" s="33">
        <f>Demand!E2195</f>
        <v>15</v>
      </c>
      <c r="E2197" s="33">
        <f>IF(Demand!F2195,1,0)</f>
        <v>0</v>
      </c>
      <c r="F2197" s="33">
        <f>COUNTIFS(c_store,A2197,c_date,B2197,c_hour,C2197)</f>
        <v>0</v>
      </c>
      <c r="G2197" s="33">
        <f>IF(F2197&gt;0,1,0)</f>
        <v>0</v>
      </c>
      <c r="H2197" s="33">
        <f>COUNTIFS(Demand!$A$2:$A$4481,A2197,Demand!$B$2:$B$4481,B2197,Demand!$C$2:$C$4481,C2197)</f>
        <v>1</v>
      </c>
    </row>
    <row r="2198">
      <c r="A2198" s="32" t="str">
        <f>Demand!A2196</f>
        <v>S018</v>
      </c>
      <c r="B2198" s="35">
        <f>Demand!B2196</f>
        <v>46272.0</v>
      </c>
      <c r="C2198" s="33">
        <f>Demand!C2196</f>
        <v>10</v>
      </c>
      <c r="D2198" s="33">
        <f>Demand!E2196</f>
        <v>16</v>
      </c>
      <c r="E2198" s="33">
        <f>IF(Demand!F2196,1,0)</f>
        <v>0</v>
      </c>
      <c r="F2198" s="33">
        <f>COUNTIFS(c_store,A2198,c_date,B2198,c_hour,C2198)</f>
        <v>3</v>
      </c>
      <c r="G2198" s="33">
        <f>IF(F2198&gt;0,1,0)</f>
        <v>1</v>
      </c>
      <c r="H2198" s="33">
        <f>COUNTIFS(Demand!$A$2:$A$4481,A2198,Demand!$B$2:$B$4481,B2198,Demand!$C$2:$C$4481,C2198)</f>
        <v>1</v>
      </c>
    </row>
    <row r="2199">
      <c r="A2199" s="32" t="str">
        <f>Demand!A2197</f>
        <v>S018</v>
      </c>
      <c r="B2199" s="35">
        <f>Demand!B2197</f>
        <v>46272.0</v>
      </c>
      <c r="C2199" s="33">
        <f>Demand!C2197</f>
        <v>11</v>
      </c>
      <c r="D2199" s="33">
        <f>Demand!E2197</f>
        <v>16</v>
      </c>
      <c r="E2199" s="33">
        <f>IF(Demand!F2197,1,0)</f>
        <v>0</v>
      </c>
      <c r="F2199" s="33">
        <f>COUNTIFS(c_store,A2199,c_date,B2199,c_hour,C2199)</f>
        <v>1</v>
      </c>
      <c r="G2199" s="33">
        <f>IF(F2199&gt;0,1,0)</f>
        <v>1</v>
      </c>
      <c r="H2199" s="33">
        <f>COUNTIFS(Demand!$A$2:$A$4481,A2199,Demand!$B$2:$B$4481,B2199,Demand!$C$2:$C$4481,C2199)</f>
        <v>1</v>
      </c>
    </row>
    <row r="2200">
      <c r="A2200" s="32" t="str">
        <f>Demand!A2198</f>
        <v>S018</v>
      </c>
      <c r="B2200" s="35">
        <f>Demand!B2198</f>
        <v>46272.0</v>
      </c>
      <c r="C2200" s="33">
        <f>Demand!C2198</f>
        <v>12</v>
      </c>
      <c r="D2200" s="33">
        <f>Demand!E2198</f>
        <v>17</v>
      </c>
      <c r="E2200" s="33">
        <f>IF(Demand!F2198,1,0)</f>
        <v>0</v>
      </c>
      <c r="F2200" s="33">
        <f>COUNTIFS(c_store,A2200,c_date,B2200,c_hour,C2200)</f>
        <v>0</v>
      </c>
      <c r="G2200" s="33">
        <f>IF(F2200&gt;0,1,0)</f>
        <v>0</v>
      </c>
      <c r="H2200" s="33">
        <f>COUNTIFS(Demand!$A$2:$A$4481,A2200,Demand!$B$2:$B$4481,B2200,Demand!$C$2:$C$4481,C2200)</f>
        <v>1</v>
      </c>
    </row>
    <row r="2201">
      <c r="A2201" s="32" t="str">
        <f>Demand!A2199</f>
        <v>S018</v>
      </c>
      <c r="B2201" s="35">
        <f>Demand!B2199</f>
        <v>46272.0</v>
      </c>
      <c r="C2201" s="33">
        <f>Demand!C2199</f>
        <v>13</v>
      </c>
      <c r="D2201" s="33">
        <f>Demand!E2199</f>
        <v>17</v>
      </c>
      <c r="E2201" s="33">
        <f>IF(Demand!F2199,1,0)</f>
        <v>0</v>
      </c>
      <c r="F2201" s="33">
        <f>COUNTIFS(c_store,A2201,c_date,B2201,c_hour,C2201)</f>
        <v>1</v>
      </c>
      <c r="G2201" s="33">
        <f>IF(F2201&gt;0,1,0)</f>
        <v>1</v>
      </c>
      <c r="H2201" s="33">
        <f>COUNTIFS(Demand!$A$2:$A$4481,A2201,Demand!$B$2:$B$4481,B2201,Demand!$C$2:$C$4481,C2201)</f>
        <v>1</v>
      </c>
    </row>
    <row r="2202">
      <c r="A2202" s="32" t="str">
        <f>Demand!A2200</f>
        <v>S018</v>
      </c>
      <c r="B2202" s="35">
        <f>Demand!B2200</f>
        <v>46272.0</v>
      </c>
      <c r="C2202" s="33">
        <f>Demand!C2200</f>
        <v>14</v>
      </c>
      <c r="D2202" s="33">
        <f>Demand!E2200</f>
        <v>13</v>
      </c>
      <c r="E2202" s="33">
        <f>IF(Demand!F2200,1,0)</f>
        <v>0</v>
      </c>
      <c r="F2202" s="33">
        <f>COUNTIFS(c_store,A2202,c_date,B2202,c_hour,C2202)</f>
        <v>1</v>
      </c>
      <c r="G2202" s="33">
        <f>IF(F2202&gt;0,1,0)</f>
        <v>1</v>
      </c>
      <c r="H2202" s="33">
        <f>COUNTIFS(Demand!$A$2:$A$4481,A2202,Demand!$B$2:$B$4481,B2202,Demand!$C$2:$C$4481,C2202)</f>
        <v>1</v>
      </c>
    </row>
    <row r="2203">
      <c r="A2203" s="32" t="str">
        <f>Demand!A2201</f>
        <v>S018</v>
      </c>
      <c r="B2203" s="35">
        <f>Demand!B2201</f>
        <v>46272.0</v>
      </c>
      <c r="C2203" s="33">
        <f>Demand!C2201</f>
        <v>15</v>
      </c>
      <c r="D2203" s="33">
        <f>Demand!E2201</f>
        <v>9</v>
      </c>
      <c r="E2203" s="33">
        <f>IF(Demand!F2201,1,0)</f>
        <v>0</v>
      </c>
      <c r="F2203" s="33">
        <f>COUNTIFS(c_store,A2203,c_date,B2203,c_hour,C2203)</f>
        <v>0</v>
      </c>
      <c r="G2203" s="33">
        <f>IF(F2203&gt;0,1,0)</f>
        <v>0</v>
      </c>
      <c r="H2203" s="33">
        <f>COUNTIFS(Demand!$A$2:$A$4481,A2203,Demand!$B$2:$B$4481,B2203,Demand!$C$2:$C$4481,C2203)</f>
        <v>1</v>
      </c>
    </row>
    <row r="2204">
      <c r="A2204" s="32" t="str">
        <f>Demand!A2202</f>
        <v>S018</v>
      </c>
      <c r="B2204" s="35">
        <f>Demand!B2202</f>
        <v>46272.0</v>
      </c>
      <c r="C2204" s="33">
        <f>Demand!C2202</f>
        <v>16</v>
      </c>
      <c r="D2204" s="33">
        <f>Demand!E2202</f>
        <v>22</v>
      </c>
      <c r="E2204" s="33">
        <f>IF(Demand!F2202,1,0)</f>
        <v>0</v>
      </c>
      <c r="F2204" s="33">
        <f>COUNTIFS(c_store,A2204,c_date,B2204,c_hour,C2204)</f>
        <v>0</v>
      </c>
      <c r="G2204" s="33">
        <f>IF(F2204&gt;0,1,0)</f>
        <v>0</v>
      </c>
      <c r="H2204" s="33">
        <f>COUNTIFS(Demand!$A$2:$A$4481,A2204,Demand!$B$2:$B$4481,B2204,Demand!$C$2:$C$4481,C2204)</f>
        <v>1</v>
      </c>
    </row>
    <row r="2205">
      <c r="A2205" s="32" t="str">
        <f>Demand!A2203</f>
        <v>S018</v>
      </c>
      <c r="B2205" s="35">
        <f>Demand!B2203</f>
        <v>46272.0</v>
      </c>
      <c r="C2205" s="33">
        <f>Demand!C2203</f>
        <v>17</v>
      </c>
      <c r="D2205" s="33">
        <f>Demand!E2203</f>
        <v>20</v>
      </c>
      <c r="E2205" s="33">
        <f>IF(Demand!F2203,1,0)</f>
        <v>0</v>
      </c>
      <c r="F2205" s="33">
        <f>COUNTIFS(c_store,A2205,c_date,B2205,c_hour,C2205)</f>
        <v>1</v>
      </c>
      <c r="G2205" s="33">
        <f>IF(F2205&gt;0,1,0)</f>
        <v>1</v>
      </c>
      <c r="H2205" s="33">
        <f>COUNTIFS(Demand!$A$2:$A$4481,A2205,Demand!$B$2:$B$4481,B2205,Demand!$C$2:$C$4481,C2205)</f>
        <v>1</v>
      </c>
    </row>
    <row r="2206">
      <c r="A2206" s="32" t="str">
        <f>Demand!A2204</f>
        <v>S018</v>
      </c>
      <c r="B2206" s="35">
        <f>Demand!B2204</f>
        <v>46272.0</v>
      </c>
      <c r="C2206" s="33">
        <f>Demand!C2204</f>
        <v>18</v>
      </c>
      <c r="D2206" s="33">
        <f>Demand!E2204</f>
        <v>25</v>
      </c>
      <c r="E2206" s="33">
        <f>IF(Demand!F2204,1,0)</f>
        <v>0</v>
      </c>
      <c r="F2206" s="33">
        <f>COUNTIFS(c_store,A2206,c_date,B2206,c_hour,C2206)</f>
        <v>0</v>
      </c>
      <c r="G2206" s="33">
        <f>IF(F2206&gt;0,1,0)</f>
        <v>0</v>
      </c>
      <c r="H2206" s="33">
        <f>COUNTIFS(Demand!$A$2:$A$4481,A2206,Demand!$B$2:$B$4481,B2206,Demand!$C$2:$C$4481,C2206)</f>
        <v>1</v>
      </c>
    </row>
    <row r="2207">
      <c r="A2207" s="32" t="str">
        <f>Demand!A2205</f>
        <v>S018</v>
      </c>
      <c r="B2207" s="35">
        <f>Demand!B2205</f>
        <v>46272.0</v>
      </c>
      <c r="C2207" s="33">
        <f>Demand!C2205</f>
        <v>19</v>
      </c>
      <c r="D2207" s="33">
        <f>Demand!E2205</f>
        <v>30</v>
      </c>
      <c r="E2207" s="33">
        <f>IF(Demand!F2205,1,0)</f>
        <v>1</v>
      </c>
      <c r="F2207" s="33">
        <f>COUNTIFS(c_store,A2207,c_date,B2207,c_hour,C2207)</f>
        <v>0</v>
      </c>
      <c r="G2207" s="33">
        <f>IF(F2207&gt;0,1,0)</f>
        <v>0</v>
      </c>
      <c r="H2207" s="33">
        <f>COUNTIFS(Demand!$A$2:$A$4481,A2207,Demand!$B$2:$B$4481,B2207,Demand!$C$2:$C$4481,C2207)</f>
        <v>1</v>
      </c>
    </row>
    <row r="2208">
      <c r="A2208" s="32" t="str">
        <f>Demand!A2206</f>
        <v>S018</v>
      </c>
      <c r="B2208" s="35">
        <f>Demand!B2206</f>
        <v>46272.0</v>
      </c>
      <c r="C2208" s="33">
        <f>Demand!C2206</f>
        <v>20</v>
      </c>
      <c r="D2208" s="33">
        <f>Demand!E2206</f>
        <v>21</v>
      </c>
      <c r="E2208" s="33">
        <f>IF(Demand!F2206,1,0)</f>
        <v>1</v>
      </c>
      <c r="F2208" s="33">
        <f>COUNTIFS(c_store,A2208,c_date,B2208,c_hour,C2208)</f>
        <v>0</v>
      </c>
      <c r="G2208" s="33">
        <f>IF(F2208&gt;0,1,0)</f>
        <v>0</v>
      </c>
      <c r="H2208" s="33">
        <f>COUNTIFS(Demand!$A$2:$A$4481,A2208,Demand!$B$2:$B$4481,B2208,Demand!$C$2:$C$4481,C2208)</f>
        <v>1</v>
      </c>
    </row>
    <row r="2209">
      <c r="A2209" s="32" t="str">
        <f>Demand!A2207</f>
        <v>S018</v>
      </c>
      <c r="B2209" s="35">
        <f>Demand!B2207</f>
        <v>46272.0</v>
      </c>
      <c r="C2209" s="33">
        <f>Demand!C2207</f>
        <v>21</v>
      </c>
      <c r="D2209" s="33">
        <f>Demand!E2207</f>
        <v>43</v>
      </c>
      <c r="E2209" s="33">
        <f>IF(Demand!F2207,1,0)</f>
        <v>1</v>
      </c>
      <c r="F2209" s="33">
        <f>COUNTIFS(c_store,A2209,c_date,B2209,c_hour,C2209)</f>
        <v>0</v>
      </c>
      <c r="G2209" s="33">
        <f>IF(F2209&gt;0,1,0)</f>
        <v>0</v>
      </c>
      <c r="H2209" s="33">
        <f>COUNTIFS(Demand!$A$2:$A$4481,A2209,Demand!$B$2:$B$4481,B2209,Demand!$C$2:$C$4481,C2209)</f>
        <v>1</v>
      </c>
    </row>
    <row r="2210">
      <c r="A2210" s="32" t="str">
        <f>Demand!A2208</f>
        <v>S018</v>
      </c>
      <c r="B2210" s="35">
        <f>Demand!B2208</f>
        <v>46272.0</v>
      </c>
      <c r="C2210" s="33">
        <f>Demand!C2208</f>
        <v>22</v>
      </c>
      <c r="D2210" s="33">
        <f>Demand!E2208</f>
        <v>21</v>
      </c>
      <c r="E2210" s="33">
        <f>IF(Demand!F2208,1,0)</f>
        <v>0</v>
      </c>
      <c r="F2210" s="33">
        <f>COUNTIFS(c_store,A2210,c_date,B2210,c_hour,C2210)</f>
        <v>0</v>
      </c>
      <c r="G2210" s="33">
        <f>IF(F2210&gt;0,1,0)</f>
        <v>0</v>
      </c>
      <c r="H2210" s="33">
        <f>COUNTIFS(Demand!$A$2:$A$4481,A2210,Demand!$B$2:$B$4481,B2210,Demand!$C$2:$C$4481,C2210)</f>
        <v>1</v>
      </c>
    </row>
    <row r="2211">
      <c r="A2211" s="32" t="str">
        <f>Demand!A2209</f>
        <v>S018</v>
      </c>
      <c r="B2211" s="35">
        <f>Demand!B2209</f>
        <v>46272.0</v>
      </c>
      <c r="C2211" s="33">
        <f>Demand!C2209</f>
        <v>23</v>
      </c>
      <c r="D2211" s="33">
        <f>Demand!E2209</f>
        <v>22</v>
      </c>
      <c r="E2211" s="33">
        <f>IF(Demand!F2209,1,0)</f>
        <v>0</v>
      </c>
      <c r="F2211" s="33">
        <f>COUNTIFS(c_store,A2211,c_date,B2211,c_hour,C2211)</f>
        <v>1</v>
      </c>
      <c r="G2211" s="33">
        <f>IF(F2211&gt;0,1,0)</f>
        <v>1</v>
      </c>
      <c r="H2211" s="33">
        <f>COUNTIFS(Demand!$A$2:$A$4481,A2211,Demand!$B$2:$B$4481,B2211,Demand!$C$2:$C$4481,C2211)</f>
        <v>1</v>
      </c>
    </row>
    <row r="2212">
      <c r="A2212" s="32" t="str">
        <f>Demand!A2210</f>
        <v>S019</v>
      </c>
      <c r="B2212" s="35">
        <f>Demand!B2210</f>
        <v>46272.0</v>
      </c>
      <c r="C2212" s="33">
        <f>Demand!C2210</f>
        <v>8</v>
      </c>
      <c r="D2212" s="33">
        <f>Demand!E2210</f>
        <v>14</v>
      </c>
      <c r="E2212" s="33">
        <f>IF(Demand!F2210,1,0)</f>
        <v>0</v>
      </c>
      <c r="F2212" s="33">
        <f>COUNTIFS(c_store,A2212,c_date,B2212,c_hour,C2212)</f>
        <v>0</v>
      </c>
      <c r="G2212" s="33">
        <f>IF(F2212&gt;0,1,0)</f>
        <v>0</v>
      </c>
      <c r="H2212" s="33">
        <f>COUNTIFS(Demand!$A$2:$A$4481,A2212,Demand!$B$2:$B$4481,B2212,Demand!$C$2:$C$4481,C2212)</f>
        <v>1</v>
      </c>
    </row>
    <row r="2213">
      <c r="A2213" s="32" t="str">
        <f>Demand!A2211</f>
        <v>S019</v>
      </c>
      <c r="B2213" s="35">
        <f>Demand!B2211</f>
        <v>46272.0</v>
      </c>
      <c r="C2213" s="33">
        <f>Demand!C2211</f>
        <v>9</v>
      </c>
      <c r="D2213" s="33">
        <f>Demand!E2211</f>
        <v>20</v>
      </c>
      <c r="E2213" s="33">
        <f>IF(Demand!F2211,1,0)</f>
        <v>0</v>
      </c>
      <c r="F2213" s="33">
        <f>COUNTIFS(c_store,A2213,c_date,B2213,c_hour,C2213)</f>
        <v>0</v>
      </c>
      <c r="G2213" s="33">
        <f>IF(F2213&gt;0,1,0)</f>
        <v>0</v>
      </c>
      <c r="H2213" s="33">
        <f>COUNTIFS(Demand!$A$2:$A$4481,A2213,Demand!$B$2:$B$4481,B2213,Demand!$C$2:$C$4481,C2213)</f>
        <v>1</v>
      </c>
    </row>
    <row r="2214">
      <c r="A2214" s="32" t="str">
        <f>Demand!A2212</f>
        <v>S019</v>
      </c>
      <c r="B2214" s="35">
        <f>Demand!B2212</f>
        <v>46272.0</v>
      </c>
      <c r="C2214" s="33">
        <f>Demand!C2212</f>
        <v>10</v>
      </c>
      <c r="D2214" s="33">
        <f>Demand!E2212</f>
        <v>14</v>
      </c>
      <c r="E2214" s="33">
        <f>IF(Demand!F2212,1,0)</f>
        <v>0</v>
      </c>
      <c r="F2214" s="33">
        <f>COUNTIFS(c_store,A2214,c_date,B2214,c_hour,C2214)</f>
        <v>0</v>
      </c>
      <c r="G2214" s="33">
        <f>IF(F2214&gt;0,1,0)</f>
        <v>0</v>
      </c>
      <c r="H2214" s="33">
        <f>COUNTIFS(Demand!$A$2:$A$4481,A2214,Demand!$B$2:$B$4481,B2214,Demand!$C$2:$C$4481,C2214)</f>
        <v>1</v>
      </c>
    </row>
    <row r="2215">
      <c r="A2215" s="32" t="str">
        <f>Demand!A2213</f>
        <v>S019</v>
      </c>
      <c r="B2215" s="35">
        <f>Demand!B2213</f>
        <v>46272.0</v>
      </c>
      <c r="C2215" s="33">
        <f>Demand!C2213</f>
        <v>11</v>
      </c>
      <c r="D2215" s="33">
        <f>Demand!E2213</f>
        <v>20</v>
      </c>
      <c r="E2215" s="33">
        <f>IF(Demand!F2213,1,0)</f>
        <v>0</v>
      </c>
      <c r="F2215" s="33">
        <f>COUNTIFS(c_store,A2215,c_date,B2215,c_hour,C2215)</f>
        <v>0</v>
      </c>
      <c r="G2215" s="33">
        <f>IF(F2215&gt;0,1,0)</f>
        <v>0</v>
      </c>
      <c r="H2215" s="33">
        <f>COUNTIFS(Demand!$A$2:$A$4481,A2215,Demand!$B$2:$B$4481,B2215,Demand!$C$2:$C$4481,C2215)</f>
        <v>1</v>
      </c>
    </row>
    <row r="2216">
      <c r="A2216" s="32" t="str">
        <f>Demand!A2214</f>
        <v>S019</v>
      </c>
      <c r="B2216" s="35">
        <f>Demand!B2214</f>
        <v>46272.0</v>
      </c>
      <c r="C2216" s="33">
        <f>Demand!C2214</f>
        <v>12</v>
      </c>
      <c r="D2216" s="33">
        <f>Demand!E2214</f>
        <v>24</v>
      </c>
      <c r="E2216" s="33">
        <f>IF(Demand!F2214,1,0)</f>
        <v>0</v>
      </c>
      <c r="F2216" s="33">
        <f>COUNTIFS(c_store,A2216,c_date,B2216,c_hour,C2216)</f>
        <v>1</v>
      </c>
      <c r="G2216" s="33">
        <f>IF(F2216&gt;0,1,0)</f>
        <v>1</v>
      </c>
      <c r="H2216" s="33">
        <f>COUNTIFS(Demand!$A$2:$A$4481,A2216,Demand!$B$2:$B$4481,B2216,Demand!$C$2:$C$4481,C2216)</f>
        <v>1</v>
      </c>
    </row>
    <row r="2217">
      <c r="A2217" s="32" t="str">
        <f>Demand!A2215</f>
        <v>S019</v>
      </c>
      <c r="B2217" s="35">
        <f>Demand!B2215</f>
        <v>46272.0</v>
      </c>
      <c r="C2217" s="33">
        <f>Demand!C2215</f>
        <v>13</v>
      </c>
      <c r="D2217" s="33">
        <f>Demand!E2215</f>
        <v>28</v>
      </c>
      <c r="E2217" s="33">
        <f>IF(Demand!F2215,1,0)</f>
        <v>0</v>
      </c>
      <c r="F2217" s="33">
        <f>COUNTIFS(c_store,A2217,c_date,B2217,c_hour,C2217)</f>
        <v>0</v>
      </c>
      <c r="G2217" s="33">
        <f>IF(F2217&gt;0,1,0)</f>
        <v>0</v>
      </c>
      <c r="H2217" s="33">
        <f>COUNTIFS(Demand!$A$2:$A$4481,A2217,Demand!$B$2:$B$4481,B2217,Demand!$C$2:$C$4481,C2217)</f>
        <v>1</v>
      </c>
    </row>
    <row r="2218">
      <c r="A2218" s="32" t="str">
        <f>Demand!A2216</f>
        <v>S019</v>
      </c>
      <c r="B2218" s="35">
        <f>Demand!B2216</f>
        <v>46272.0</v>
      </c>
      <c r="C2218" s="33">
        <f>Demand!C2216</f>
        <v>14</v>
      </c>
      <c r="D2218" s="33">
        <f>Demand!E2216</f>
        <v>16</v>
      </c>
      <c r="E2218" s="33">
        <f>IF(Demand!F2216,1,0)</f>
        <v>0</v>
      </c>
      <c r="F2218" s="33">
        <f>COUNTIFS(c_store,A2218,c_date,B2218,c_hour,C2218)</f>
        <v>0</v>
      </c>
      <c r="G2218" s="33">
        <f>IF(F2218&gt;0,1,0)</f>
        <v>0</v>
      </c>
      <c r="H2218" s="33">
        <f>COUNTIFS(Demand!$A$2:$A$4481,A2218,Demand!$B$2:$B$4481,B2218,Demand!$C$2:$C$4481,C2218)</f>
        <v>1</v>
      </c>
    </row>
    <row r="2219">
      <c r="A2219" s="32" t="str">
        <f>Demand!A2217</f>
        <v>S019</v>
      </c>
      <c r="B2219" s="35">
        <f>Demand!B2217</f>
        <v>46272.0</v>
      </c>
      <c r="C2219" s="33">
        <f>Demand!C2217</f>
        <v>15</v>
      </c>
      <c r="D2219" s="33">
        <f>Demand!E2217</f>
        <v>16</v>
      </c>
      <c r="E2219" s="33">
        <f>IF(Demand!F2217,1,0)</f>
        <v>0</v>
      </c>
      <c r="F2219" s="33">
        <f>COUNTIFS(c_store,A2219,c_date,B2219,c_hour,C2219)</f>
        <v>0</v>
      </c>
      <c r="G2219" s="33">
        <f>IF(F2219&gt;0,1,0)</f>
        <v>0</v>
      </c>
      <c r="H2219" s="33">
        <f>COUNTIFS(Demand!$A$2:$A$4481,A2219,Demand!$B$2:$B$4481,B2219,Demand!$C$2:$C$4481,C2219)</f>
        <v>1</v>
      </c>
    </row>
    <row r="2220">
      <c r="A2220" s="32" t="str">
        <f>Demand!A2218</f>
        <v>S019</v>
      </c>
      <c r="B2220" s="35">
        <f>Demand!B2218</f>
        <v>46272.0</v>
      </c>
      <c r="C2220" s="33">
        <f>Demand!C2218</f>
        <v>16</v>
      </c>
      <c r="D2220" s="33">
        <f>Demand!E2218</f>
        <v>31</v>
      </c>
      <c r="E2220" s="33">
        <f>IF(Demand!F2218,1,0)</f>
        <v>0</v>
      </c>
      <c r="F2220" s="33">
        <f>COUNTIFS(c_store,A2220,c_date,B2220,c_hour,C2220)</f>
        <v>0</v>
      </c>
      <c r="G2220" s="33">
        <f>IF(F2220&gt;0,1,0)</f>
        <v>0</v>
      </c>
      <c r="H2220" s="33">
        <f>COUNTIFS(Demand!$A$2:$A$4481,A2220,Demand!$B$2:$B$4481,B2220,Demand!$C$2:$C$4481,C2220)</f>
        <v>1</v>
      </c>
    </row>
    <row r="2221">
      <c r="A2221" s="32" t="str">
        <f>Demand!A2219</f>
        <v>S019</v>
      </c>
      <c r="B2221" s="35">
        <f>Demand!B2219</f>
        <v>46272.0</v>
      </c>
      <c r="C2221" s="33">
        <f>Demand!C2219</f>
        <v>17</v>
      </c>
      <c r="D2221" s="33">
        <f>Demand!E2219</f>
        <v>24</v>
      </c>
      <c r="E2221" s="33">
        <f>IF(Demand!F2219,1,0)</f>
        <v>0</v>
      </c>
      <c r="F2221" s="33">
        <f>COUNTIFS(c_store,A2221,c_date,B2221,c_hour,C2221)</f>
        <v>0</v>
      </c>
      <c r="G2221" s="33">
        <f>IF(F2221&gt;0,1,0)</f>
        <v>0</v>
      </c>
      <c r="H2221" s="33">
        <f>COUNTIFS(Demand!$A$2:$A$4481,A2221,Demand!$B$2:$B$4481,B2221,Demand!$C$2:$C$4481,C2221)</f>
        <v>1</v>
      </c>
    </row>
    <row r="2222">
      <c r="A2222" s="32" t="str">
        <f>Demand!A2220</f>
        <v>S019</v>
      </c>
      <c r="B2222" s="35">
        <f>Demand!B2220</f>
        <v>46272.0</v>
      </c>
      <c r="C2222" s="33">
        <f>Demand!C2220</f>
        <v>18</v>
      </c>
      <c r="D2222" s="33">
        <f>Demand!E2220</f>
        <v>19</v>
      </c>
      <c r="E2222" s="33">
        <f>IF(Demand!F2220,1,0)</f>
        <v>0</v>
      </c>
      <c r="F2222" s="33">
        <f>COUNTIFS(c_store,A2222,c_date,B2222,c_hour,C2222)</f>
        <v>1</v>
      </c>
      <c r="G2222" s="33">
        <f>IF(F2222&gt;0,1,0)</f>
        <v>1</v>
      </c>
      <c r="H2222" s="33">
        <f>COUNTIFS(Demand!$A$2:$A$4481,A2222,Demand!$B$2:$B$4481,B2222,Demand!$C$2:$C$4481,C2222)</f>
        <v>1</v>
      </c>
    </row>
    <row r="2223">
      <c r="A2223" s="32" t="str">
        <f>Demand!A2221</f>
        <v>S019</v>
      </c>
      <c r="B2223" s="35">
        <f>Demand!B2221</f>
        <v>46272.0</v>
      </c>
      <c r="C2223" s="33">
        <f>Demand!C2221</f>
        <v>19</v>
      </c>
      <c r="D2223" s="33">
        <f>Demand!E2221</f>
        <v>33</v>
      </c>
      <c r="E2223" s="33">
        <f>IF(Demand!F2221,1,0)</f>
        <v>1</v>
      </c>
      <c r="F2223" s="33">
        <f>COUNTIFS(c_store,A2223,c_date,B2223,c_hour,C2223)</f>
        <v>0</v>
      </c>
      <c r="G2223" s="33">
        <f>IF(F2223&gt;0,1,0)</f>
        <v>0</v>
      </c>
      <c r="H2223" s="33">
        <f>COUNTIFS(Demand!$A$2:$A$4481,A2223,Demand!$B$2:$B$4481,B2223,Demand!$C$2:$C$4481,C2223)</f>
        <v>1</v>
      </c>
    </row>
    <row r="2224">
      <c r="A2224" s="32" t="str">
        <f>Demand!A2222</f>
        <v>S019</v>
      </c>
      <c r="B2224" s="35">
        <f>Demand!B2222</f>
        <v>46272.0</v>
      </c>
      <c r="C2224" s="33">
        <f>Demand!C2222</f>
        <v>20</v>
      </c>
      <c r="D2224" s="33">
        <f>Demand!E2222</f>
        <v>38</v>
      </c>
      <c r="E2224" s="33">
        <f>IF(Demand!F2222,1,0)</f>
        <v>1</v>
      </c>
      <c r="F2224" s="33">
        <f>COUNTIFS(c_store,A2224,c_date,B2224,c_hour,C2224)</f>
        <v>0</v>
      </c>
      <c r="G2224" s="33">
        <f>IF(F2224&gt;0,1,0)</f>
        <v>0</v>
      </c>
      <c r="H2224" s="33">
        <f>COUNTIFS(Demand!$A$2:$A$4481,A2224,Demand!$B$2:$B$4481,B2224,Demand!$C$2:$C$4481,C2224)</f>
        <v>1</v>
      </c>
    </row>
    <row r="2225">
      <c r="A2225" s="32" t="str">
        <f>Demand!A2223</f>
        <v>S019</v>
      </c>
      <c r="B2225" s="35">
        <f>Demand!B2223</f>
        <v>46272.0</v>
      </c>
      <c r="C2225" s="33">
        <f>Demand!C2223</f>
        <v>21</v>
      </c>
      <c r="D2225" s="33">
        <f>Demand!E2223</f>
        <v>27</v>
      </c>
      <c r="E2225" s="33">
        <f>IF(Demand!F2223,1,0)</f>
        <v>1</v>
      </c>
      <c r="F2225" s="33">
        <f>COUNTIFS(c_store,A2225,c_date,B2225,c_hour,C2225)</f>
        <v>1</v>
      </c>
      <c r="G2225" s="33">
        <f>IF(F2225&gt;0,1,0)</f>
        <v>1</v>
      </c>
      <c r="H2225" s="33">
        <f>COUNTIFS(Demand!$A$2:$A$4481,A2225,Demand!$B$2:$B$4481,B2225,Demand!$C$2:$C$4481,C2225)</f>
        <v>1</v>
      </c>
    </row>
    <row r="2226">
      <c r="A2226" s="32" t="str">
        <f>Demand!A2224</f>
        <v>S019</v>
      </c>
      <c r="B2226" s="35">
        <f>Demand!B2224</f>
        <v>46272.0</v>
      </c>
      <c r="C2226" s="33">
        <f>Demand!C2224</f>
        <v>22</v>
      </c>
      <c r="D2226" s="33">
        <f>Demand!E2224</f>
        <v>25</v>
      </c>
      <c r="E2226" s="33">
        <f>IF(Demand!F2224,1,0)</f>
        <v>0</v>
      </c>
      <c r="F2226" s="33">
        <f>COUNTIFS(c_store,A2226,c_date,B2226,c_hour,C2226)</f>
        <v>0</v>
      </c>
      <c r="G2226" s="33">
        <f>IF(F2226&gt;0,1,0)</f>
        <v>0</v>
      </c>
      <c r="H2226" s="33">
        <f>COUNTIFS(Demand!$A$2:$A$4481,A2226,Demand!$B$2:$B$4481,B2226,Demand!$C$2:$C$4481,C2226)</f>
        <v>1</v>
      </c>
    </row>
    <row r="2227">
      <c r="A2227" s="32" t="str">
        <f>Demand!A2225</f>
        <v>S019</v>
      </c>
      <c r="B2227" s="35">
        <f>Demand!B2225</f>
        <v>46272.0</v>
      </c>
      <c r="C2227" s="33">
        <f>Demand!C2225</f>
        <v>23</v>
      </c>
      <c r="D2227" s="33">
        <f>Demand!E2225</f>
        <v>20</v>
      </c>
      <c r="E2227" s="33">
        <f>IF(Demand!F2225,1,0)</f>
        <v>0</v>
      </c>
      <c r="F2227" s="33">
        <f>COUNTIFS(c_store,A2227,c_date,B2227,c_hour,C2227)</f>
        <v>0</v>
      </c>
      <c r="G2227" s="33">
        <f>IF(F2227&gt;0,1,0)</f>
        <v>0</v>
      </c>
      <c r="H2227" s="33">
        <f>COUNTIFS(Demand!$A$2:$A$4481,A2227,Demand!$B$2:$B$4481,B2227,Demand!$C$2:$C$4481,C2227)</f>
        <v>1</v>
      </c>
    </row>
    <row r="2228">
      <c r="A2228" s="32" t="str">
        <f>Demand!A2226</f>
        <v>S020</v>
      </c>
      <c r="B2228" s="35">
        <f>Demand!B2226</f>
        <v>46272.0</v>
      </c>
      <c r="C2228" s="33">
        <f>Demand!C2226</f>
        <v>8</v>
      </c>
      <c r="D2228" s="33">
        <f>Demand!E2226</f>
        <v>15</v>
      </c>
      <c r="E2228" s="33">
        <f>IF(Demand!F2226,1,0)</f>
        <v>0</v>
      </c>
      <c r="F2228" s="33">
        <f>COUNTIFS(c_store,A2228,c_date,B2228,c_hour,C2228)</f>
        <v>0</v>
      </c>
      <c r="G2228" s="33">
        <f>IF(F2228&gt;0,1,0)</f>
        <v>0</v>
      </c>
      <c r="H2228" s="33">
        <f>COUNTIFS(Demand!$A$2:$A$4481,A2228,Demand!$B$2:$B$4481,B2228,Demand!$C$2:$C$4481,C2228)</f>
        <v>1</v>
      </c>
    </row>
    <row r="2229">
      <c r="A2229" s="32" t="str">
        <f>Demand!A2227</f>
        <v>S020</v>
      </c>
      <c r="B2229" s="35">
        <f>Demand!B2227</f>
        <v>46272.0</v>
      </c>
      <c r="C2229" s="33">
        <f>Demand!C2227</f>
        <v>9</v>
      </c>
      <c r="D2229" s="33">
        <f>Demand!E2227</f>
        <v>7</v>
      </c>
      <c r="E2229" s="33">
        <f>IF(Demand!F2227,1,0)</f>
        <v>0</v>
      </c>
      <c r="F2229" s="33">
        <f>COUNTIFS(c_store,A2229,c_date,B2229,c_hour,C2229)</f>
        <v>2</v>
      </c>
      <c r="G2229" s="33">
        <f>IF(F2229&gt;0,1,0)</f>
        <v>1</v>
      </c>
      <c r="H2229" s="33">
        <f>COUNTIFS(Demand!$A$2:$A$4481,A2229,Demand!$B$2:$B$4481,B2229,Demand!$C$2:$C$4481,C2229)</f>
        <v>1</v>
      </c>
    </row>
    <row r="2230">
      <c r="A2230" s="32" t="str">
        <f>Demand!A2228</f>
        <v>S020</v>
      </c>
      <c r="B2230" s="35">
        <f>Demand!B2228</f>
        <v>46272.0</v>
      </c>
      <c r="C2230" s="33">
        <f>Demand!C2228</f>
        <v>10</v>
      </c>
      <c r="D2230" s="33">
        <f>Demand!E2228</f>
        <v>16</v>
      </c>
      <c r="E2230" s="33">
        <f>IF(Demand!F2228,1,0)</f>
        <v>0</v>
      </c>
      <c r="F2230" s="33">
        <f>COUNTIFS(c_store,A2230,c_date,B2230,c_hour,C2230)</f>
        <v>0</v>
      </c>
      <c r="G2230" s="33">
        <f>IF(F2230&gt;0,1,0)</f>
        <v>0</v>
      </c>
      <c r="H2230" s="33">
        <f>COUNTIFS(Demand!$A$2:$A$4481,A2230,Demand!$B$2:$B$4481,B2230,Demand!$C$2:$C$4481,C2230)</f>
        <v>1</v>
      </c>
    </row>
    <row r="2231">
      <c r="A2231" s="32" t="str">
        <f>Demand!A2229</f>
        <v>S020</v>
      </c>
      <c r="B2231" s="35">
        <f>Demand!B2229</f>
        <v>46272.0</v>
      </c>
      <c r="C2231" s="33">
        <f>Demand!C2229</f>
        <v>11</v>
      </c>
      <c r="D2231" s="33">
        <f>Demand!E2229</f>
        <v>11</v>
      </c>
      <c r="E2231" s="33">
        <f>IF(Demand!F2229,1,0)</f>
        <v>0</v>
      </c>
      <c r="F2231" s="33">
        <f>COUNTIFS(c_store,A2231,c_date,B2231,c_hour,C2231)</f>
        <v>0</v>
      </c>
      <c r="G2231" s="33">
        <f>IF(F2231&gt;0,1,0)</f>
        <v>0</v>
      </c>
      <c r="H2231" s="33">
        <f>COUNTIFS(Demand!$A$2:$A$4481,A2231,Demand!$B$2:$B$4481,B2231,Demand!$C$2:$C$4481,C2231)</f>
        <v>1</v>
      </c>
    </row>
    <row r="2232">
      <c r="A2232" s="32" t="str">
        <f>Demand!A2230</f>
        <v>S020</v>
      </c>
      <c r="B2232" s="35">
        <f>Demand!B2230</f>
        <v>46272.0</v>
      </c>
      <c r="C2232" s="33">
        <f>Demand!C2230</f>
        <v>12</v>
      </c>
      <c r="D2232" s="33">
        <f>Demand!E2230</f>
        <v>18</v>
      </c>
      <c r="E2232" s="33">
        <f>IF(Demand!F2230,1,0)</f>
        <v>0</v>
      </c>
      <c r="F2232" s="33">
        <f>COUNTIFS(c_store,A2232,c_date,B2232,c_hour,C2232)</f>
        <v>0</v>
      </c>
      <c r="G2232" s="33">
        <f>IF(F2232&gt;0,1,0)</f>
        <v>0</v>
      </c>
      <c r="H2232" s="33">
        <f>COUNTIFS(Demand!$A$2:$A$4481,A2232,Demand!$B$2:$B$4481,B2232,Demand!$C$2:$C$4481,C2232)</f>
        <v>1</v>
      </c>
    </row>
    <row r="2233">
      <c r="A2233" s="32" t="str">
        <f>Demand!A2231</f>
        <v>S020</v>
      </c>
      <c r="B2233" s="35">
        <f>Demand!B2231</f>
        <v>46272.0</v>
      </c>
      <c r="C2233" s="33">
        <f>Demand!C2231</f>
        <v>13</v>
      </c>
      <c r="D2233" s="33">
        <f>Demand!E2231</f>
        <v>13</v>
      </c>
      <c r="E2233" s="33">
        <f>IF(Demand!F2231,1,0)</f>
        <v>0</v>
      </c>
      <c r="F2233" s="33">
        <f>COUNTIFS(c_store,A2233,c_date,B2233,c_hour,C2233)</f>
        <v>1</v>
      </c>
      <c r="G2233" s="33">
        <f>IF(F2233&gt;0,1,0)</f>
        <v>1</v>
      </c>
      <c r="H2233" s="33">
        <f>COUNTIFS(Demand!$A$2:$A$4481,A2233,Demand!$B$2:$B$4481,B2233,Demand!$C$2:$C$4481,C2233)</f>
        <v>1</v>
      </c>
    </row>
    <row r="2234">
      <c r="A2234" s="32" t="str">
        <f>Demand!A2232</f>
        <v>S020</v>
      </c>
      <c r="B2234" s="35">
        <f>Demand!B2232</f>
        <v>46272.0</v>
      </c>
      <c r="C2234" s="33">
        <f>Demand!C2232</f>
        <v>14</v>
      </c>
      <c r="D2234" s="33">
        <f>Demand!E2232</f>
        <v>11</v>
      </c>
      <c r="E2234" s="33">
        <f>IF(Demand!F2232,1,0)</f>
        <v>0</v>
      </c>
      <c r="F2234" s="33">
        <f>COUNTIFS(c_store,A2234,c_date,B2234,c_hour,C2234)</f>
        <v>2</v>
      </c>
      <c r="G2234" s="33">
        <f>IF(F2234&gt;0,1,0)</f>
        <v>1</v>
      </c>
      <c r="H2234" s="33">
        <f>COUNTIFS(Demand!$A$2:$A$4481,A2234,Demand!$B$2:$B$4481,B2234,Demand!$C$2:$C$4481,C2234)</f>
        <v>1</v>
      </c>
    </row>
    <row r="2235">
      <c r="A2235" s="32" t="str">
        <f>Demand!A2233</f>
        <v>S020</v>
      </c>
      <c r="B2235" s="35">
        <f>Demand!B2233</f>
        <v>46272.0</v>
      </c>
      <c r="C2235" s="33">
        <f>Demand!C2233</f>
        <v>15</v>
      </c>
      <c r="D2235" s="33">
        <f>Demand!E2233</f>
        <v>7</v>
      </c>
      <c r="E2235" s="33">
        <f>IF(Demand!F2233,1,0)</f>
        <v>0</v>
      </c>
      <c r="F2235" s="33">
        <f>COUNTIFS(c_store,A2235,c_date,B2235,c_hour,C2235)</f>
        <v>0</v>
      </c>
      <c r="G2235" s="33">
        <f>IF(F2235&gt;0,1,0)</f>
        <v>0</v>
      </c>
      <c r="H2235" s="33">
        <f>COUNTIFS(Demand!$A$2:$A$4481,A2235,Demand!$B$2:$B$4481,B2235,Demand!$C$2:$C$4481,C2235)</f>
        <v>1</v>
      </c>
    </row>
    <row r="2236">
      <c r="A2236" s="32" t="str">
        <f>Demand!A2234</f>
        <v>S020</v>
      </c>
      <c r="B2236" s="35">
        <f>Demand!B2234</f>
        <v>46272.0</v>
      </c>
      <c r="C2236" s="33">
        <f>Demand!C2234</f>
        <v>16</v>
      </c>
      <c r="D2236" s="33">
        <f>Demand!E2234</f>
        <v>21</v>
      </c>
      <c r="E2236" s="33">
        <f>IF(Demand!F2234,1,0)</f>
        <v>0</v>
      </c>
      <c r="F2236" s="33">
        <f>COUNTIFS(c_store,A2236,c_date,B2236,c_hour,C2236)</f>
        <v>0</v>
      </c>
      <c r="G2236" s="33">
        <f>IF(F2236&gt;0,1,0)</f>
        <v>0</v>
      </c>
      <c r="H2236" s="33">
        <f>COUNTIFS(Demand!$A$2:$A$4481,A2236,Demand!$B$2:$B$4481,B2236,Demand!$C$2:$C$4481,C2236)</f>
        <v>1</v>
      </c>
    </row>
    <row r="2237">
      <c r="A2237" s="32" t="str">
        <f>Demand!A2235</f>
        <v>S020</v>
      </c>
      <c r="B2237" s="35">
        <f>Demand!B2235</f>
        <v>46272.0</v>
      </c>
      <c r="C2237" s="33">
        <f>Demand!C2235</f>
        <v>17</v>
      </c>
      <c r="D2237" s="33">
        <f>Demand!E2235</f>
        <v>12</v>
      </c>
      <c r="E2237" s="33">
        <f>IF(Demand!F2235,1,0)</f>
        <v>0</v>
      </c>
      <c r="F2237" s="33">
        <f>COUNTIFS(c_store,A2237,c_date,B2237,c_hour,C2237)</f>
        <v>0</v>
      </c>
      <c r="G2237" s="33">
        <f>IF(F2237&gt;0,1,0)</f>
        <v>0</v>
      </c>
      <c r="H2237" s="33">
        <f>COUNTIFS(Demand!$A$2:$A$4481,A2237,Demand!$B$2:$B$4481,B2237,Demand!$C$2:$C$4481,C2237)</f>
        <v>1</v>
      </c>
    </row>
    <row r="2238">
      <c r="A2238" s="32" t="str">
        <f>Demand!A2236</f>
        <v>S020</v>
      </c>
      <c r="B2238" s="35">
        <f>Demand!B2236</f>
        <v>46272.0</v>
      </c>
      <c r="C2238" s="33">
        <f>Demand!C2236</f>
        <v>18</v>
      </c>
      <c r="D2238" s="33">
        <f>Demand!E2236</f>
        <v>11</v>
      </c>
      <c r="E2238" s="33">
        <f>IF(Demand!F2236,1,0)</f>
        <v>0</v>
      </c>
      <c r="F2238" s="33">
        <f>COUNTIFS(c_store,A2238,c_date,B2238,c_hour,C2238)</f>
        <v>0</v>
      </c>
      <c r="G2238" s="33">
        <f>IF(F2238&gt;0,1,0)</f>
        <v>0</v>
      </c>
      <c r="H2238" s="33">
        <f>COUNTIFS(Demand!$A$2:$A$4481,A2238,Demand!$B$2:$B$4481,B2238,Demand!$C$2:$C$4481,C2238)</f>
        <v>1</v>
      </c>
    </row>
    <row r="2239">
      <c r="A2239" s="32" t="str">
        <f>Demand!A2237</f>
        <v>S020</v>
      </c>
      <c r="B2239" s="35">
        <f>Demand!B2237</f>
        <v>46272.0</v>
      </c>
      <c r="C2239" s="33">
        <f>Demand!C2237</f>
        <v>19</v>
      </c>
      <c r="D2239" s="33">
        <f>Demand!E2237</f>
        <v>31</v>
      </c>
      <c r="E2239" s="33">
        <f>IF(Demand!F2237,1,0)</f>
        <v>1</v>
      </c>
      <c r="F2239" s="33">
        <f>COUNTIFS(c_store,A2239,c_date,B2239,c_hour,C2239)</f>
        <v>0</v>
      </c>
      <c r="G2239" s="33">
        <f>IF(F2239&gt;0,1,0)</f>
        <v>0</v>
      </c>
      <c r="H2239" s="33">
        <f>COUNTIFS(Demand!$A$2:$A$4481,A2239,Demand!$B$2:$B$4481,B2239,Demand!$C$2:$C$4481,C2239)</f>
        <v>1</v>
      </c>
    </row>
    <row r="2240">
      <c r="A2240" s="32" t="str">
        <f>Demand!A2238</f>
        <v>S020</v>
      </c>
      <c r="B2240" s="35">
        <f>Demand!B2238</f>
        <v>46272.0</v>
      </c>
      <c r="C2240" s="33">
        <f>Demand!C2238</f>
        <v>20</v>
      </c>
      <c r="D2240" s="33">
        <f>Demand!E2238</f>
        <v>28</v>
      </c>
      <c r="E2240" s="33">
        <f>IF(Demand!F2238,1,0)</f>
        <v>1</v>
      </c>
      <c r="F2240" s="33">
        <f>COUNTIFS(c_store,A2240,c_date,B2240,c_hour,C2240)</f>
        <v>0</v>
      </c>
      <c r="G2240" s="33">
        <f>IF(F2240&gt;0,1,0)</f>
        <v>0</v>
      </c>
      <c r="H2240" s="33">
        <f>COUNTIFS(Demand!$A$2:$A$4481,A2240,Demand!$B$2:$B$4481,B2240,Demand!$C$2:$C$4481,C2240)</f>
        <v>1</v>
      </c>
    </row>
    <row r="2241">
      <c r="A2241" s="32" t="str">
        <f>Demand!A2239</f>
        <v>S020</v>
      </c>
      <c r="B2241" s="35">
        <f>Demand!B2239</f>
        <v>46272.0</v>
      </c>
      <c r="C2241" s="33">
        <f>Demand!C2239</f>
        <v>21</v>
      </c>
      <c r="D2241" s="33">
        <f>Demand!E2239</f>
        <v>22</v>
      </c>
      <c r="E2241" s="33">
        <f>IF(Demand!F2239,1,0)</f>
        <v>1</v>
      </c>
      <c r="F2241" s="33">
        <f>COUNTIFS(c_store,A2241,c_date,B2241,c_hour,C2241)</f>
        <v>0</v>
      </c>
      <c r="G2241" s="33">
        <f>IF(F2241&gt;0,1,0)</f>
        <v>0</v>
      </c>
      <c r="H2241" s="33">
        <f>COUNTIFS(Demand!$A$2:$A$4481,A2241,Demand!$B$2:$B$4481,B2241,Demand!$C$2:$C$4481,C2241)</f>
        <v>1</v>
      </c>
    </row>
    <row r="2242">
      <c r="A2242" s="32" t="str">
        <f>Demand!A2240</f>
        <v>S020</v>
      </c>
      <c r="B2242" s="35">
        <f>Demand!B2240</f>
        <v>46272.0</v>
      </c>
      <c r="C2242" s="33">
        <f>Demand!C2240</f>
        <v>22</v>
      </c>
      <c r="D2242" s="33">
        <f>Demand!E2240</f>
        <v>10</v>
      </c>
      <c r="E2242" s="33">
        <f>IF(Demand!F2240,1,0)</f>
        <v>0</v>
      </c>
      <c r="F2242" s="33">
        <f>COUNTIFS(c_store,A2242,c_date,B2242,c_hour,C2242)</f>
        <v>1</v>
      </c>
      <c r="G2242" s="33">
        <f>IF(F2242&gt;0,1,0)</f>
        <v>1</v>
      </c>
      <c r="H2242" s="33">
        <f>COUNTIFS(Demand!$A$2:$A$4481,A2242,Demand!$B$2:$B$4481,B2242,Demand!$C$2:$C$4481,C2242)</f>
        <v>1</v>
      </c>
    </row>
    <row r="2243">
      <c r="A2243" s="32" t="str">
        <f>Demand!A2241</f>
        <v>S020</v>
      </c>
      <c r="B2243" s="35">
        <f>Demand!B2241</f>
        <v>46272.0</v>
      </c>
      <c r="C2243" s="33">
        <f>Demand!C2241</f>
        <v>23</v>
      </c>
      <c r="D2243" s="33">
        <f>Demand!E2241</f>
        <v>13</v>
      </c>
      <c r="E2243" s="33">
        <f>IF(Demand!F2241,1,0)</f>
        <v>0</v>
      </c>
      <c r="F2243" s="33">
        <f>COUNTIFS(c_store,A2243,c_date,B2243,c_hour,C2243)</f>
        <v>0</v>
      </c>
      <c r="G2243" s="33">
        <f>IF(F2243&gt;0,1,0)</f>
        <v>0</v>
      </c>
      <c r="H2243" s="33">
        <f>COUNTIFS(Demand!$A$2:$A$4481,A2243,Demand!$B$2:$B$4481,B2243,Demand!$C$2:$C$4481,C2243)</f>
        <v>1</v>
      </c>
    </row>
    <row r="2244">
      <c r="A2244" s="32" t="str">
        <f>Demand!A2242</f>
        <v>S001</v>
      </c>
      <c r="B2244" s="35">
        <f>Demand!B2242</f>
        <v>46273.0</v>
      </c>
      <c r="C2244" s="33">
        <f>Demand!C2242</f>
        <v>8</v>
      </c>
      <c r="D2244" s="33">
        <f>Demand!E2242</f>
        <v>15</v>
      </c>
      <c r="E2244" s="33">
        <f>IF(Demand!F2242,1,0)</f>
        <v>0</v>
      </c>
      <c r="F2244" s="33">
        <f>COUNTIFS(c_store,A2244,c_date,B2244,c_hour,C2244)</f>
        <v>0</v>
      </c>
      <c r="G2244" s="33">
        <f>IF(F2244&gt;0,1,0)</f>
        <v>0</v>
      </c>
      <c r="H2244" s="33">
        <f>COUNTIFS(Demand!$A$2:$A$4481,A2244,Demand!$B$2:$B$4481,B2244,Demand!$C$2:$C$4481,C2244)</f>
        <v>1</v>
      </c>
    </row>
    <row r="2245">
      <c r="A2245" s="32" t="str">
        <f>Demand!A2243</f>
        <v>S001</v>
      </c>
      <c r="B2245" s="35">
        <f>Demand!B2243</f>
        <v>46273.0</v>
      </c>
      <c r="C2245" s="33">
        <f>Demand!C2243</f>
        <v>9</v>
      </c>
      <c r="D2245" s="33">
        <f>Demand!E2243</f>
        <v>10</v>
      </c>
      <c r="E2245" s="33">
        <f>IF(Demand!F2243,1,0)</f>
        <v>0</v>
      </c>
      <c r="F2245" s="33">
        <f>COUNTIFS(c_store,A2245,c_date,B2245,c_hour,C2245)</f>
        <v>0</v>
      </c>
      <c r="G2245" s="33">
        <f>IF(F2245&gt;0,1,0)</f>
        <v>0</v>
      </c>
      <c r="H2245" s="33">
        <f>COUNTIFS(Demand!$A$2:$A$4481,A2245,Demand!$B$2:$B$4481,B2245,Demand!$C$2:$C$4481,C2245)</f>
        <v>1</v>
      </c>
    </row>
    <row r="2246">
      <c r="A2246" s="32" t="str">
        <f>Demand!A2244</f>
        <v>S001</v>
      </c>
      <c r="B2246" s="35">
        <f>Demand!B2244</f>
        <v>46273.0</v>
      </c>
      <c r="C2246" s="33">
        <f>Demand!C2244</f>
        <v>10</v>
      </c>
      <c r="D2246" s="33">
        <f>Demand!E2244</f>
        <v>9</v>
      </c>
      <c r="E2246" s="33">
        <f>IF(Demand!F2244,1,0)</f>
        <v>0</v>
      </c>
      <c r="F2246" s="33">
        <f>COUNTIFS(c_store,A2246,c_date,B2246,c_hour,C2246)</f>
        <v>0</v>
      </c>
      <c r="G2246" s="33">
        <f>IF(F2246&gt;0,1,0)</f>
        <v>0</v>
      </c>
      <c r="H2246" s="33">
        <f>COUNTIFS(Demand!$A$2:$A$4481,A2246,Demand!$B$2:$B$4481,B2246,Demand!$C$2:$C$4481,C2246)</f>
        <v>1</v>
      </c>
    </row>
    <row r="2247">
      <c r="A2247" s="32" t="str">
        <f>Demand!A2245</f>
        <v>S001</v>
      </c>
      <c r="B2247" s="35">
        <f>Demand!B2245</f>
        <v>46273.0</v>
      </c>
      <c r="C2247" s="33">
        <f>Demand!C2245</f>
        <v>11</v>
      </c>
      <c r="D2247" s="33">
        <f>Demand!E2245</f>
        <v>16</v>
      </c>
      <c r="E2247" s="33">
        <f>IF(Demand!F2245,1,0)</f>
        <v>0</v>
      </c>
      <c r="F2247" s="33">
        <f>COUNTIFS(c_store,A2247,c_date,B2247,c_hour,C2247)</f>
        <v>0</v>
      </c>
      <c r="G2247" s="33">
        <f>IF(F2247&gt;0,1,0)</f>
        <v>0</v>
      </c>
      <c r="H2247" s="33">
        <f>COUNTIFS(Demand!$A$2:$A$4481,A2247,Demand!$B$2:$B$4481,B2247,Demand!$C$2:$C$4481,C2247)</f>
        <v>1</v>
      </c>
    </row>
    <row r="2248">
      <c r="A2248" s="32" t="str">
        <f>Demand!A2246</f>
        <v>S001</v>
      </c>
      <c r="B2248" s="35">
        <f>Demand!B2246</f>
        <v>46273.0</v>
      </c>
      <c r="C2248" s="33">
        <f>Demand!C2246</f>
        <v>12</v>
      </c>
      <c r="D2248" s="33">
        <f>Demand!E2246</f>
        <v>18</v>
      </c>
      <c r="E2248" s="33">
        <f>IF(Demand!F2246,1,0)</f>
        <v>0</v>
      </c>
      <c r="F2248" s="33">
        <f>COUNTIFS(c_store,A2248,c_date,B2248,c_hour,C2248)</f>
        <v>0</v>
      </c>
      <c r="G2248" s="33">
        <f>IF(F2248&gt;0,1,0)</f>
        <v>0</v>
      </c>
      <c r="H2248" s="33">
        <f>COUNTIFS(Demand!$A$2:$A$4481,A2248,Demand!$B$2:$B$4481,B2248,Demand!$C$2:$C$4481,C2248)</f>
        <v>1</v>
      </c>
    </row>
    <row r="2249">
      <c r="A2249" s="32" t="str">
        <f>Demand!A2247</f>
        <v>S001</v>
      </c>
      <c r="B2249" s="35">
        <f>Demand!B2247</f>
        <v>46273.0</v>
      </c>
      <c r="C2249" s="33">
        <f>Demand!C2247</f>
        <v>13</v>
      </c>
      <c r="D2249" s="33">
        <f>Demand!E2247</f>
        <v>19</v>
      </c>
      <c r="E2249" s="33">
        <f>IF(Demand!F2247,1,0)</f>
        <v>0</v>
      </c>
      <c r="F2249" s="33">
        <f>COUNTIFS(c_store,A2249,c_date,B2249,c_hour,C2249)</f>
        <v>0</v>
      </c>
      <c r="G2249" s="33">
        <f>IF(F2249&gt;0,1,0)</f>
        <v>0</v>
      </c>
      <c r="H2249" s="33">
        <f>COUNTIFS(Demand!$A$2:$A$4481,A2249,Demand!$B$2:$B$4481,B2249,Demand!$C$2:$C$4481,C2249)</f>
        <v>1</v>
      </c>
    </row>
    <row r="2250">
      <c r="A2250" s="32" t="str">
        <f>Demand!A2248</f>
        <v>S001</v>
      </c>
      <c r="B2250" s="35">
        <f>Demand!B2248</f>
        <v>46273.0</v>
      </c>
      <c r="C2250" s="33">
        <f>Demand!C2248</f>
        <v>14</v>
      </c>
      <c r="D2250" s="33">
        <f>Demand!E2248</f>
        <v>13</v>
      </c>
      <c r="E2250" s="33">
        <f>IF(Demand!F2248,1,0)</f>
        <v>0</v>
      </c>
      <c r="F2250" s="33">
        <f>COUNTIFS(c_store,A2250,c_date,B2250,c_hour,C2250)</f>
        <v>0</v>
      </c>
      <c r="G2250" s="33">
        <f>IF(F2250&gt;0,1,0)</f>
        <v>0</v>
      </c>
      <c r="H2250" s="33">
        <f>COUNTIFS(Demand!$A$2:$A$4481,A2250,Demand!$B$2:$B$4481,B2250,Demand!$C$2:$C$4481,C2250)</f>
        <v>1</v>
      </c>
    </row>
    <row r="2251">
      <c r="A2251" s="32" t="str">
        <f>Demand!A2249</f>
        <v>S001</v>
      </c>
      <c r="B2251" s="35">
        <f>Demand!B2249</f>
        <v>46273.0</v>
      </c>
      <c r="C2251" s="33">
        <f>Demand!C2249</f>
        <v>15</v>
      </c>
      <c r="D2251" s="33">
        <f>Demand!E2249</f>
        <v>11</v>
      </c>
      <c r="E2251" s="33">
        <f>IF(Demand!F2249,1,0)</f>
        <v>0</v>
      </c>
      <c r="F2251" s="33">
        <f>COUNTIFS(c_store,A2251,c_date,B2251,c_hour,C2251)</f>
        <v>0</v>
      </c>
      <c r="G2251" s="33">
        <f>IF(F2251&gt;0,1,0)</f>
        <v>0</v>
      </c>
      <c r="H2251" s="33">
        <f>COUNTIFS(Demand!$A$2:$A$4481,A2251,Demand!$B$2:$B$4481,B2251,Demand!$C$2:$C$4481,C2251)</f>
        <v>1</v>
      </c>
    </row>
    <row r="2252">
      <c r="A2252" s="32" t="str">
        <f>Demand!A2250</f>
        <v>S001</v>
      </c>
      <c r="B2252" s="35">
        <f>Demand!B2250</f>
        <v>46273.0</v>
      </c>
      <c r="C2252" s="33">
        <f>Demand!C2250</f>
        <v>16</v>
      </c>
      <c r="D2252" s="33">
        <f>Demand!E2250</f>
        <v>15</v>
      </c>
      <c r="E2252" s="33">
        <f>IF(Demand!F2250,1,0)</f>
        <v>0</v>
      </c>
      <c r="F2252" s="33">
        <f>COUNTIFS(c_store,A2252,c_date,B2252,c_hour,C2252)</f>
        <v>0</v>
      </c>
      <c r="G2252" s="33">
        <f>IF(F2252&gt;0,1,0)</f>
        <v>0</v>
      </c>
      <c r="H2252" s="33">
        <f>COUNTIFS(Demand!$A$2:$A$4481,A2252,Demand!$B$2:$B$4481,B2252,Demand!$C$2:$C$4481,C2252)</f>
        <v>1</v>
      </c>
    </row>
    <row r="2253">
      <c r="A2253" s="32" t="str">
        <f>Demand!A2251</f>
        <v>S001</v>
      </c>
      <c r="B2253" s="35">
        <f>Demand!B2251</f>
        <v>46273.0</v>
      </c>
      <c r="C2253" s="33">
        <f>Demand!C2251</f>
        <v>17</v>
      </c>
      <c r="D2253" s="33">
        <f>Demand!E2251</f>
        <v>15</v>
      </c>
      <c r="E2253" s="33">
        <f>IF(Demand!F2251,1,0)</f>
        <v>0</v>
      </c>
      <c r="F2253" s="33">
        <f>COUNTIFS(c_store,A2253,c_date,B2253,c_hour,C2253)</f>
        <v>0</v>
      </c>
      <c r="G2253" s="33">
        <f>IF(F2253&gt;0,1,0)</f>
        <v>0</v>
      </c>
      <c r="H2253" s="33">
        <f>COUNTIFS(Demand!$A$2:$A$4481,A2253,Demand!$B$2:$B$4481,B2253,Demand!$C$2:$C$4481,C2253)</f>
        <v>1</v>
      </c>
    </row>
    <row r="2254">
      <c r="A2254" s="32" t="str">
        <f>Demand!A2252</f>
        <v>S001</v>
      </c>
      <c r="B2254" s="35">
        <f>Demand!B2252</f>
        <v>46273.0</v>
      </c>
      <c r="C2254" s="33">
        <f>Demand!C2252</f>
        <v>18</v>
      </c>
      <c r="D2254" s="33">
        <f>Demand!E2252</f>
        <v>9</v>
      </c>
      <c r="E2254" s="33">
        <f>IF(Demand!F2252,1,0)</f>
        <v>0</v>
      </c>
      <c r="F2254" s="33">
        <f>COUNTIFS(c_store,A2254,c_date,B2254,c_hour,C2254)</f>
        <v>1</v>
      </c>
      <c r="G2254" s="33">
        <f>IF(F2254&gt;0,1,0)</f>
        <v>1</v>
      </c>
      <c r="H2254" s="33">
        <f>COUNTIFS(Demand!$A$2:$A$4481,A2254,Demand!$B$2:$B$4481,B2254,Demand!$C$2:$C$4481,C2254)</f>
        <v>1</v>
      </c>
    </row>
    <row r="2255">
      <c r="A2255" s="32" t="str">
        <f>Demand!A2253</f>
        <v>S001</v>
      </c>
      <c r="B2255" s="35">
        <f>Demand!B2253</f>
        <v>46273.0</v>
      </c>
      <c r="C2255" s="33">
        <f>Demand!C2253</f>
        <v>19</v>
      </c>
      <c r="D2255" s="33">
        <f>Demand!E2253</f>
        <v>20</v>
      </c>
      <c r="E2255" s="33">
        <f>IF(Demand!F2253,1,0)</f>
        <v>1</v>
      </c>
      <c r="F2255" s="33">
        <f>COUNTIFS(c_store,A2255,c_date,B2255,c_hour,C2255)</f>
        <v>0</v>
      </c>
      <c r="G2255" s="33">
        <f>IF(F2255&gt;0,1,0)</f>
        <v>0</v>
      </c>
      <c r="H2255" s="33">
        <f>COUNTIFS(Demand!$A$2:$A$4481,A2255,Demand!$B$2:$B$4481,B2255,Demand!$C$2:$C$4481,C2255)</f>
        <v>1</v>
      </c>
    </row>
    <row r="2256">
      <c r="A2256" s="32" t="str">
        <f>Demand!A2254</f>
        <v>S001</v>
      </c>
      <c r="B2256" s="35">
        <f>Demand!B2254</f>
        <v>46273.0</v>
      </c>
      <c r="C2256" s="33">
        <f>Demand!C2254</f>
        <v>20</v>
      </c>
      <c r="D2256" s="33">
        <f>Demand!E2254</f>
        <v>28</v>
      </c>
      <c r="E2256" s="33">
        <f>IF(Demand!F2254,1,0)</f>
        <v>1</v>
      </c>
      <c r="F2256" s="33">
        <f>COUNTIFS(c_store,A2256,c_date,B2256,c_hour,C2256)</f>
        <v>0</v>
      </c>
      <c r="G2256" s="33">
        <f>IF(F2256&gt;0,1,0)</f>
        <v>0</v>
      </c>
      <c r="H2256" s="33">
        <f>COUNTIFS(Demand!$A$2:$A$4481,A2256,Demand!$B$2:$B$4481,B2256,Demand!$C$2:$C$4481,C2256)</f>
        <v>1</v>
      </c>
    </row>
    <row r="2257">
      <c r="A2257" s="32" t="str">
        <f>Demand!A2255</f>
        <v>S001</v>
      </c>
      <c r="B2257" s="35">
        <f>Demand!B2255</f>
        <v>46273.0</v>
      </c>
      <c r="C2257" s="33">
        <f>Demand!C2255</f>
        <v>21</v>
      </c>
      <c r="D2257" s="33">
        <f>Demand!E2255</f>
        <v>18</v>
      </c>
      <c r="E2257" s="33">
        <f>IF(Demand!F2255,1,0)</f>
        <v>1</v>
      </c>
      <c r="F2257" s="33">
        <f>COUNTIFS(c_store,A2257,c_date,B2257,c_hour,C2257)</f>
        <v>0</v>
      </c>
      <c r="G2257" s="33">
        <f>IF(F2257&gt;0,1,0)</f>
        <v>0</v>
      </c>
      <c r="H2257" s="33">
        <f>COUNTIFS(Demand!$A$2:$A$4481,A2257,Demand!$B$2:$B$4481,B2257,Demand!$C$2:$C$4481,C2257)</f>
        <v>1</v>
      </c>
    </row>
    <row r="2258">
      <c r="A2258" s="32" t="str">
        <f>Demand!A2256</f>
        <v>S001</v>
      </c>
      <c r="B2258" s="35">
        <f>Demand!B2256</f>
        <v>46273.0</v>
      </c>
      <c r="C2258" s="33">
        <f>Demand!C2256</f>
        <v>22</v>
      </c>
      <c r="D2258" s="33">
        <f>Demand!E2256</f>
        <v>19</v>
      </c>
      <c r="E2258" s="33">
        <f>IF(Demand!F2256,1,0)</f>
        <v>0</v>
      </c>
      <c r="F2258" s="33">
        <f>COUNTIFS(c_store,A2258,c_date,B2258,c_hour,C2258)</f>
        <v>0</v>
      </c>
      <c r="G2258" s="33">
        <f>IF(F2258&gt;0,1,0)</f>
        <v>0</v>
      </c>
      <c r="H2258" s="33">
        <f>COUNTIFS(Demand!$A$2:$A$4481,A2258,Demand!$B$2:$B$4481,B2258,Demand!$C$2:$C$4481,C2258)</f>
        <v>1</v>
      </c>
    </row>
    <row r="2259">
      <c r="A2259" s="32" t="str">
        <f>Demand!A2257</f>
        <v>S001</v>
      </c>
      <c r="B2259" s="35">
        <f>Demand!B2257</f>
        <v>46273.0</v>
      </c>
      <c r="C2259" s="33">
        <f>Demand!C2257</f>
        <v>23</v>
      </c>
      <c r="D2259" s="33">
        <f>Demand!E2257</f>
        <v>12</v>
      </c>
      <c r="E2259" s="33">
        <f>IF(Demand!F2257,1,0)</f>
        <v>0</v>
      </c>
      <c r="F2259" s="33">
        <f>COUNTIFS(c_store,A2259,c_date,B2259,c_hour,C2259)</f>
        <v>0</v>
      </c>
      <c r="G2259" s="33">
        <f>IF(F2259&gt;0,1,0)</f>
        <v>0</v>
      </c>
      <c r="H2259" s="33">
        <f>COUNTIFS(Demand!$A$2:$A$4481,A2259,Demand!$B$2:$B$4481,B2259,Demand!$C$2:$C$4481,C2259)</f>
        <v>1</v>
      </c>
    </row>
    <row r="2260">
      <c r="A2260" s="32" t="str">
        <f>Demand!A2258</f>
        <v>S002</v>
      </c>
      <c r="B2260" s="35">
        <f>Demand!B2258</f>
        <v>46273.0</v>
      </c>
      <c r="C2260" s="33">
        <f>Demand!C2258</f>
        <v>8</v>
      </c>
      <c r="D2260" s="33">
        <f>Demand!E2258</f>
        <v>19</v>
      </c>
      <c r="E2260" s="33">
        <f>IF(Demand!F2258,1,0)</f>
        <v>0</v>
      </c>
      <c r="F2260" s="33">
        <f>COUNTIFS(c_store,A2260,c_date,B2260,c_hour,C2260)</f>
        <v>0</v>
      </c>
      <c r="G2260" s="33">
        <f>IF(F2260&gt;0,1,0)</f>
        <v>0</v>
      </c>
      <c r="H2260" s="33">
        <f>COUNTIFS(Demand!$A$2:$A$4481,A2260,Demand!$B$2:$B$4481,B2260,Demand!$C$2:$C$4481,C2260)</f>
        <v>1</v>
      </c>
    </row>
    <row r="2261">
      <c r="A2261" s="32" t="str">
        <f>Demand!A2259</f>
        <v>S002</v>
      </c>
      <c r="B2261" s="35">
        <f>Demand!B2259</f>
        <v>46273.0</v>
      </c>
      <c r="C2261" s="33">
        <f>Demand!C2259</f>
        <v>9</v>
      </c>
      <c r="D2261" s="33">
        <f>Demand!E2259</f>
        <v>28</v>
      </c>
      <c r="E2261" s="33">
        <f>IF(Demand!F2259,1,0)</f>
        <v>0</v>
      </c>
      <c r="F2261" s="33">
        <f>COUNTIFS(c_store,A2261,c_date,B2261,c_hour,C2261)</f>
        <v>1</v>
      </c>
      <c r="G2261" s="33">
        <f>IF(F2261&gt;0,1,0)</f>
        <v>1</v>
      </c>
      <c r="H2261" s="33">
        <f>COUNTIFS(Demand!$A$2:$A$4481,A2261,Demand!$B$2:$B$4481,B2261,Demand!$C$2:$C$4481,C2261)</f>
        <v>1</v>
      </c>
    </row>
    <row r="2262">
      <c r="A2262" s="32" t="str">
        <f>Demand!A2260</f>
        <v>S002</v>
      </c>
      <c r="B2262" s="35">
        <f>Demand!B2260</f>
        <v>46273.0</v>
      </c>
      <c r="C2262" s="33">
        <f>Demand!C2260</f>
        <v>10</v>
      </c>
      <c r="D2262" s="33">
        <f>Demand!E2260</f>
        <v>21</v>
      </c>
      <c r="E2262" s="33">
        <f>IF(Demand!F2260,1,0)</f>
        <v>0</v>
      </c>
      <c r="F2262" s="33">
        <f>COUNTIFS(c_store,A2262,c_date,B2262,c_hour,C2262)</f>
        <v>0</v>
      </c>
      <c r="G2262" s="33">
        <f>IF(F2262&gt;0,1,0)</f>
        <v>0</v>
      </c>
      <c r="H2262" s="33">
        <f>COUNTIFS(Demand!$A$2:$A$4481,A2262,Demand!$B$2:$B$4481,B2262,Demand!$C$2:$C$4481,C2262)</f>
        <v>1</v>
      </c>
    </row>
    <row r="2263">
      <c r="A2263" s="32" t="str">
        <f>Demand!A2261</f>
        <v>S002</v>
      </c>
      <c r="B2263" s="35">
        <f>Demand!B2261</f>
        <v>46273.0</v>
      </c>
      <c r="C2263" s="33">
        <f>Demand!C2261</f>
        <v>11</v>
      </c>
      <c r="D2263" s="33">
        <f>Demand!E2261</f>
        <v>36</v>
      </c>
      <c r="E2263" s="33">
        <f>IF(Demand!F2261,1,0)</f>
        <v>0</v>
      </c>
      <c r="F2263" s="33">
        <f>COUNTIFS(c_store,A2263,c_date,B2263,c_hour,C2263)</f>
        <v>0</v>
      </c>
      <c r="G2263" s="33">
        <f>IF(F2263&gt;0,1,0)</f>
        <v>0</v>
      </c>
      <c r="H2263" s="33">
        <f>COUNTIFS(Demand!$A$2:$A$4481,A2263,Demand!$B$2:$B$4481,B2263,Demand!$C$2:$C$4481,C2263)</f>
        <v>1</v>
      </c>
    </row>
    <row r="2264">
      <c r="A2264" s="32" t="str">
        <f>Demand!A2262</f>
        <v>S002</v>
      </c>
      <c r="B2264" s="35">
        <f>Demand!B2262</f>
        <v>46273.0</v>
      </c>
      <c r="C2264" s="33">
        <f>Demand!C2262</f>
        <v>12</v>
      </c>
      <c r="D2264" s="33">
        <f>Demand!E2262</f>
        <v>35</v>
      </c>
      <c r="E2264" s="33">
        <f>IF(Demand!F2262,1,0)</f>
        <v>0</v>
      </c>
      <c r="F2264" s="33">
        <f>COUNTIFS(c_store,A2264,c_date,B2264,c_hour,C2264)</f>
        <v>0</v>
      </c>
      <c r="G2264" s="33">
        <f>IF(F2264&gt;0,1,0)</f>
        <v>0</v>
      </c>
      <c r="H2264" s="33">
        <f>COUNTIFS(Demand!$A$2:$A$4481,A2264,Demand!$B$2:$B$4481,B2264,Demand!$C$2:$C$4481,C2264)</f>
        <v>1</v>
      </c>
    </row>
    <row r="2265">
      <c r="A2265" s="32" t="str">
        <f>Demand!A2263</f>
        <v>S002</v>
      </c>
      <c r="B2265" s="35">
        <f>Demand!B2263</f>
        <v>46273.0</v>
      </c>
      <c r="C2265" s="33">
        <f>Demand!C2263</f>
        <v>13</v>
      </c>
      <c r="D2265" s="33">
        <f>Demand!E2263</f>
        <v>40</v>
      </c>
      <c r="E2265" s="33">
        <f>IF(Demand!F2263,1,0)</f>
        <v>0</v>
      </c>
      <c r="F2265" s="33">
        <f>COUNTIFS(c_store,A2265,c_date,B2265,c_hour,C2265)</f>
        <v>1</v>
      </c>
      <c r="G2265" s="33">
        <f>IF(F2265&gt;0,1,0)</f>
        <v>1</v>
      </c>
      <c r="H2265" s="33">
        <f>COUNTIFS(Demand!$A$2:$A$4481,A2265,Demand!$B$2:$B$4481,B2265,Demand!$C$2:$C$4481,C2265)</f>
        <v>1</v>
      </c>
    </row>
    <row r="2266">
      <c r="A2266" s="32" t="str">
        <f>Demand!A2264</f>
        <v>S002</v>
      </c>
      <c r="B2266" s="35">
        <f>Demand!B2264</f>
        <v>46273.0</v>
      </c>
      <c r="C2266" s="33">
        <f>Demand!C2264</f>
        <v>14</v>
      </c>
      <c r="D2266" s="33">
        <f>Demand!E2264</f>
        <v>20</v>
      </c>
      <c r="E2266" s="33">
        <f>IF(Demand!F2264,1,0)</f>
        <v>0</v>
      </c>
      <c r="F2266" s="33">
        <f>COUNTIFS(c_store,A2266,c_date,B2266,c_hour,C2266)</f>
        <v>1</v>
      </c>
      <c r="G2266" s="33">
        <f>IF(F2266&gt;0,1,0)</f>
        <v>1</v>
      </c>
      <c r="H2266" s="33">
        <f>COUNTIFS(Demand!$A$2:$A$4481,A2266,Demand!$B$2:$B$4481,B2266,Demand!$C$2:$C$4481,C2266)</f>
        <v>1</v>
      </c>
    </row>
    <row r="2267">
      <c r="A2267" s="32" t="str">
        <f>Demand!A2265</f>
        <v>S002</v>
      </c>
      <c r="B2267" s="35">
        <f>Demand!B2265</f>
        <v>46273.0</v>
      </c>
      <c r="C2267" s="33">
        <f>Demand!C2265</f>
        <v>15</v>
      </c>
      <c r="D2267" s="33">
        <f>Demand!E2265</f>
        <v>25</v>
      </c>
      <c r="E2267" s="33">
        <f>IF(Demand!F2265,1,0)</f>
        <v>0</v>
      </c>
      <c r="F2267" s="33">
        <f>COUNTIFS(c_store,A2267,c_date,B2267,c_hour,C2267)</f>
        <v>0</v>
      </c>
      <c r="G2267" s="33">
        <f>IF(F2267&gt;0,1,0)</f>
        <v>0</v>
      </c>
      <c r="H2267" s="33">
        <f>COUNTIFS(Demand!$A$2:$A$4481,A2267,Demand!$B$2:$B$4481,B2267,Demand!$C$2:$C$4481,C2267)</f>
        <v>1</v>
      </c>
    </row>
    <row r="2268">
      <c r="A2268" s="32" t="str">
        <f>Demand!A2266</f>
        <v>S002</v>
      </c>
      <c r="B2268" s="35">
        <f>Demand!B2266</f>
        <v>46273.0</v>
      </c>
      <c r="C2268" s="33">
        <f>Demand!C2266</f>
        <v>16</v>
      </c>
      <c r="D2268" s="33">
        <f>Demand!E2266</f>
        <v>36</v>
      </c>
      <c r="E2268" s="33">
        <f>IF(Demand!F2266,1,0)</f>
        <v>0</v>
      </c>
      <c r="F2268" s="33">
        <f>COUNTIFS(c_store,A2268,c_date,B2268,c_hour,C2268)</f>
        <v>0</v>
      </c>
      <c r="G2268" s="33">
        <f>IF(F2268&gt;0,1,0)</f>
        <v>0</v>
      </c>
      <c r="H2268" s="33">
        <f>COUNTIFS(Demand!$A$2:$A$4481,A2268,Demand!$B$2:$B$4481,B2268,Demand!$C$2:$C$4481,C2268)</f>
        <v>1</v>
      </c>
    </row>
    <row r="2269">
      <c r="A2269" s="32" t="str">
        <f>Demand!A2267</f>
        <v>S002</v>
      </c>
      <c r="B2269" s="35">
        <f>Demand!B2267</f>
        <v>46273.0</v>
      </c>
      <c r="C2269" s="33">
        <f>Demand!C2267</f>
        <v>17</v>
      </c>
      <c r="D2269" s="33">
        <f>Demand!E2267</f>
        <v>38</v>
      </c>
      <c r="E2269" s="33">
        <f>IF(Demand!F2267,1,0)</f>
        <v>0</v>
      </c>
      <c r="F2269" s="33">
        <f>COUNTIFS(c_store,A2269,c_date,B2269,c_hour,C2269)</f>
        <v>1</v>
      </c>
      <c r="G2269" s="33">
        <f>IF(F2269&gt;0,1,0)</f>
        <v>1</v>
      </c>
      <c r="H2269" s="33">
        <f>COUNTIFS(Demand!$A$2:$A$4481,A2269,Demand!$B$2:$B$4481,B2269,Demand!$C$2:$C$4481,C2269)</f>
        <v>1</v>
      </c>
    </row>
    <row r="2270">
      <c r="A2270" s="32" t="str">
        <f>Demand!A2268</f>
        <v>S002</v>
      </c>
      <c r="B2270" s="35">
        <f>Demand!B2268</f>
        <v>46273.0</v>
      </c>
      <c r="C2270" s="33">
        <f>Demand!C2268</f>
        <v>18</v>
      </c>
      <c r="D2270" s="33">
        <f>Demand!E2268</f>
        <v>37</v>
      </c>
      <c r="E2270" s="33">
        <f>IF(Demand!F2268,1,0)</f>
        <v>0</v>
      </c>
      <c r="F2270" s="33">
        <f>COUNTIFS(c_store,A2270,c_date,B2270,c_hour,C2270)</f>
        <v>0</v>
      </c>
      <c r="G2270" s="33">
        <f>IF(F2270&gt;0,1,0)</f>
        <v>0</v>
      </c>
      <c r="H2270" s="33">
        <f>COUNTIFS(Demand!$A$2:$A$4481,A2270,Demand!$B$2:$B$4481,B2270,Demand!$C$2:$C$4481,C2270)</f>
        <v>1</v>
      </c>
    </row>
    <row r="2271">
      <c r="A2271" s="32" t="str">
        <f>Demand!A2269</f>
        <v>S002</v>
      </c>
      <c r="B2271" s="35">
        <f>Demand!B2269</f>
        <v>46273.0</v>
      </c>
      <c r="C2271" s="33">
        <f>Demand!C2269</f>
        <v>19</v>
      </c>
      <c r="D2271" s="33">
        <f>Demand!E2269</f>
        <v>59</v>
      </c>
      <c r="E2271" s="33">
        <f>IF(Demand!F2269,1,0)</f>
        <v>1</v>
      </c>
      <c r="F2271" s="33">
        <f>COUNTIFS(c_store,A2271,c_date,B2271,c_hour,C2271)</f>
        <v>0</v>
      </c>
      <c r="G2271" s="33">
        <f>IF(F2271&gt;0,1,0)</f>
        <v>0</v>
      </c>
      <c r="H2271" s="33">
        <f>COUNTIFS(Demand!$A$2:$A$4481,A2271,Demand!$B$2:$B$4481,B2271,Demand!$C$2:$C$4481,C2271)</f>
        <v>1</v>
      </c>
    </row>
    <row r="2272">
      <c r="A2272" s="32" t="str">
        <f>Demand!A2270</f>
        <v>S002</v>
      </c>
      <c r="B2272" s="35">
        <f>Demand!B2270</f>
        <v>46273.0</v>
      </c>
      <c r="C2272" s="33">
        <f>Demand!C2270</f>
        <v>20</v>
      </c>
      <c r="D2272" s="33">
        <f>Demand!E2270</f>
        <v>52</v>
      </c>
      <c r="E2272" s="33">
        <f>IF(Demand!F2270,1,0)</f>
        <v>1</v>
      </c>
      <c r="F2272" s="33">
        <f>COUNTIFS(c_store,A2272,c_date,B2272,c_hour,C2272)</f>
        <v>0</v>
      </c>
      <c r="G2272" s="33">
        <f>IF(F2272&gt;0,1,0)</f>
        <v>0</v>
      </c>
      <c r="H2272" s="33">
        <f>COUNTIFS(Demand!$A$2:$A$4481,A2272,Demand!$B$2:$B$4481,B2272,Demand!$C$2:$C$4481,C2272)</f>
        <v>1</v>
      </c>
    </row>
    <row r="2273">
      <c r="A2273" s="32" t="str">
        <f>Demand!A2271</f>
        <v>S002</v>
      </c>
      <c r="B2273" s="35">
        <f>Demand!B2271</f>
        <v>46273.0</v>
      </c>
      <c r="C2273" s="33">
        <f>Demand!C2271</f>
        <v>21</v>
      </c>
      <c r="D2273" s="33">
        <f>Demand!E2271</f>
        <v>61</v>
      </c>
      <c r="E2273" s="33">
        <f>IF(Demand!F2271,1,0)</f>
        <v>1</v>
      </c>
      <c r="F2273" s="33">
        <f>COUNTIFS(c_store,A2273,c_date,B2273,c_hour,C2273)</f>
        <v>1</v>
      </c>
      <c r="G2273" s="33">
        <f>IF(F2273&gt;0,1,0)</f>
        <v>1</v>
      </c>
      <c r="H2273" s="33">
        <f>COUNTIFS(Demand!$A$2:$A$4481,A2273,Demand!$B$2:$B$4481,B2273,Demand!$C$2:$C$4481,C2273)</f>
        <v>1</v>
      </c>
    </row>
    <row r="2274">
      <c r="A2274" s="32" t="str">
        <f>Demand!A2272</f>
        <v>S002</v>
      </c>
      <c r="B2274" s="35">
        <f>Demand!B2272</f>
        <v>46273.0</v>
      </c>
      <c r="C2274" s="33">
        <f>Demand!C2272</f>
        <v>22</v>
      </c>
      <c r="D2274" s="33">
        <f>Demand!E2272</f>
        <v>37</v>
      </c>
      <c r="E2274" s="33">
        <f>IF(Demand!F2272,1,0)</f>
        <v>0</v>
      </c>
      <c r="F2274" s="33">
        <f>COUNTIFS(c_store,A2274,c_date,B2274,c_hour,C2274)</f>
        <v>0</v>
      </c>
      <c r="G2274" s="33">
        <f>IF(F2274&gt;0,1,0)</f>
        <v>0</v>
      </c>
      <c r="H2274" s="33">
        <f>COUNTIFS(Demand!$A$2:$A$4481,A2274,Demand!$B$2:$B$4481,B2274,Demand!$C$2:$C$4481,C2274)</f>
        <v>1</v>
      </c>
    </row>
    <row r="2275">
      <c r="A2275" s="32" t="str">
        <f>Demand!A2273</f>
        <v>S002</v>
      </c>
      <c r="B2275" s="35">
        <f>Demand!B2273</f>
        <v>46273.0</v>
      </c>
      <c r="C2275" s="33">
        <f>Demand!C2273</f>
        <v>23</v>
      </c>
      <c r="D2275" s="33">
        <f>Demand!E2273</f>
        <v>40</v>
      </c>
      <c r="E2275" s="33">
        <f>IF(Demand!F2273,1,0)</f>
        <v>0</v>
      </c>
      <c r="F2275" s="33">
        <f>COUNTIFS(c_store,A2275,c_date,B2275,c_hour,C2275)</f>
        <v>0</v>
      </c>
      <c r="G2275" s="33">
        <f>IF(F2275&gt;0,1,0)</f>
        <v>0</v>
      </c>
      <c r="H2275" s="33">
        <f>COUNTIFS(Demand!$A$2:$A$4481,A2275,Demand!$B$2:$B$4481,B2275,Demand!$C$2:$C$4481,C2275)</f>
        <v>1</v>
      </c>
    </row>
    <row r="2276">
      <c r="A2276" s="32" t="str">
        <f>Demand!A2274</f>
        <v>S003</v>
      </c>
      <c r="B2276" s="35">
        <f>Demand!B2274</f>
        <v>46273.0</v>
      </c>
      <c r="C2276" s="33">
        <f>Demand!C2274</f>
        <v>8</v>
      </c>
      <c r="D2276" s="33">
        <f>Demand!E2274</f>
        <v>19</v>
      </c>
      <c r="E2276" s="33">
        <f>IF(Demand!F2274,1,0)</f>
        <v>0</v>
      </c>
      <c r="F2276" s="33">
        <f>COUNTIFS(c_store,A2276,c_date,B2276,c_hour,C2276)</f>
        <v>0</v>
      </c>
      <c r="G2276" s="33">
        <f>IF(F2276&gt;0,1,0)</f>
        <v>0</v>
      </c>
      <c r="H2276" s="33">
        <f>COUNTIFS(Demand!$A$2:$A$4481,A2276,Demand!$B$2:$B$4481,B2276,Demand!$C$2:$C$4481,C2276)</f>
        <v>1</v>
      </c>
    </row>
    <row r="2277">
      <c r="A2277" s="32" t="str">
        <f>Demand!A2275</f>
        <v>S003</v>
      </c>
      <c r="B2277" s="35">
        <f>Demand!B2275</f>
        <v>46273.0</v>
      </c>
      <c r="C2277" s="33">
        <f>Demand!C2275</f>
        <v>9</v>
      </c>
      <c r="D2277" s="33">
        <f>Demand!E2275</f>
        <v>45</v>
      </c>
      <c r="E2277" s="33">
        <f>IF(Demand!F2275,1,0)</f>
        <v>0</v>
      </c>
      <c r="F2277" s="33">
        <f>COUNTIFS(c_store,A2277,c_date,B2277,c_hour,C2277)</f>
        <v>0</v>
      </c>
      <c r="G2277" s="33">
        <f>IF(F2277&gt;0,1,0)</f>
        <v>0</v>
      </c>
      <c r="H2277" s="33">
        <f>COUNTIFS(Demand!$A$2:$A$4481,A2277,Demand!$B$2:$B$4481,B2277,Demand!$C$2:$C$4481,C2277)</f>
        <v>1</v>
      </c>
    </row>
    <row r="2278">
      <c r="A2278" s="32" t="str">
        <f>Demand!A2276</f>
        <v>S003</v>
      </c>
      <c r="B2278" s="35">
        <f>Demand!B2276</f>
        <v>46273.0</v>
      </c>
      <c r="C2278" s="33">
        <f>Demand!C2276</f>
        <v>10</v>
      </c>
      <c r="D2278" s="33">
        <f>Demand!E2276</f>
        <v>34</v>
      </c>
      <c r="E2278" s="33">
        <f>IF(Demand!F2276,1,0)</f>
        <v>0</v>
      </c>
      <c r="F2278" s="33">
        <f>COUNTIFS(c_store,A2278,c_date,B2278,c_hour,C2278)</f>
        <v>0</v>
      </c>
      <c r="G2278" s="33">
        <f>IF(F2278&gt;0,1,0)</f>
        <v>0</v>
      </c>
      <c r="H2278" s="33">
        <f>COUNTIFS(Demand!$A$2:$A$4481,A2278,Demand!$B$2:$B$4481,B2278,Demand!$C$2:$C$4481,C2278)</f>
        <v>1</v>
      </c>
    </row>
    <row r="2279">
      <c r="A2279" s="32" t="str">
        <f>Demand!A2277</f>
        <v>S003</v>
      </c>
      <c r="B2279" s="35">
        <f>Demand!B2277</f>
        <v>46273.0</v>
      </c>
      <c r="C2279" s="33">
        <f>Demand!C2277</f>
        <v>11</v>
      </c>
      <c r="D2279" s="33">
        <f>Demand!E2277</f>
        <v>34</v>
      </c>
      <c r="E2279" s="33">
        <f>IF(Demand!F2277,1,0)</f>
        <v>0</v>
      </c>
      <c r="F2279" s="33">
        <f>COUNTIFS(c_store,A2279,c_date,B2279,c_hour,C2279)</f>
        <v>1</v>
      </c>
      <c r="G2279" s="33">
        <f>IF(F2279&gt;0,1,0)</f>
        <v>1</v>
      </c>
      <c r="H2279" s="33">
        <f>COUNTIFS(Demand!$A$2:$A$4481,A2279,Demand!$B$2:$B$4481,B2279,Demand!$C$2:$C$4481,C2279)</f>
        <v>1</v>
      </c>
    </row>
    <row r="2280">
      <c r="A2280" s="32" t="str">
        <f>Demand!A2278</f>
        <v>S003</v>
      </c>
      <c r="B2280" s="35">
        <f>Demand!B2278</f>
        <v>46273.0</v>
      </c>
      <c r="C2280" s="33">
        <f>Demand!C2278</f>
        <v>12</v>
      </c>
      <c r="D2280" s="33">
        <f>Demand!E2278</f>
        <v>31</v>
      </c>
      <c r="E2280" s="33">
        <f>IF(Demand!F2278,1,0)</f>
        <v>0</v>
      </c>
      <c r="F2280" s="33">
        <f>COUNTIFS(c_store,A2280,c_date,B2280,c_hour,C2280)</f>
        <v>0</v>
      </c>
      <c r="G2280" s="33">
        <f>IF(F2280&gt;0,1,0)</f>
        <v>0</v>
      </c>
      <c r="H2280" s="33">
        <f>COUNTIFS(Demand!$A$2:$A$4481,A2280,Demand!$B$2:$B$4481,B2280,Demand!$C$2:$C$4481,C2280)</f>
        <v>1</v>
      </c>
    </row>
    <row r="2281">
      <c r="A2281" s="32" t="str">
        <f>Demand!A2279</f>
        <v>S003</v>
      </c>
      <c r="B2281" s="35">
        <f>Demand!B2279</f>
        <v>46273.0</v>
      </c>
      <c r="C2281" s="33">
        <f>Demand!C2279</f>
        <v>13</v>
      </c>
      <c r="D2281" s="33">
        <f>Demand!E2279</f>
        <v>43</v>
      </c>
      <c r="E2281" s="33">
        <f>IF(Demand!F2279,1,0)</f>
        <v>0</v>
      </c>
      <c r="F2281" s="33">
        <f>COUNTIFS(c_store,A2281,c_date,B2281,c_hour,C2281)</f>
        <v>1</v>
      </c>
      <c r="G2281" s="33">
        <f>IF(F2281&gt;0,1,0)</f>
        <v>1</v>
      </c>
      <c r="H2281" s="33">
        <f>COUNTIFS(Demand!$A$2:$A$4481,A2281,Demand!$B$2:$B$4481,B2281,Demand!$C$2:$C$4481,C2281)</f>
        <v>1</v>
      </c>
    </row>
    <row r="2282">
      <c r="A2282" s="32" t="str">
        <f>Demand!A2280</f>
        <v>S003</v>
      </c>
      <c r="B2282" s="35">
        <f>Demand!B2280</f>
        <v>46273.0</v>
      </c>
      <c r="C2282" s="33">
        <f>Demand!C2280</f>
        <v>14</v>
      </c>
      <c r="D2282" s="33">
        <f>Demand!E2280</f>
        <v>33</v>
      </c>
      <c r="E2282" s="33">
        <f>IF(Demand!F2280,1,0)</f>
        <v>0</v>
      </c>
      <c r="F2282" s="33">
        <f>COUNTIFS(c_store,A2282,c_date,B2282,c_hour,C2282)</f>
        <v>0</v>
      </c>
      <c r="G2282" s="33">
        <f>IF(F2282&gt;0,1,0)</f>
        <v>0</v>
      </c>
      <c r="H2282" s="33">
        <f>COUNTIFS(Demand!$A$2:$A$4481,A2282,Demand!$B$2:$B$4481,B2282,Demand!$C$2:$C$4481,C2282)</f>
        <v>1</v>
      </c>
    </row>
    <row r="2283">
      <c r="A2283" s="32" t="str">
        <f>Demand!A2281</f>
        <v>S003</v>
      </c>
      <c r="B2283" s="35">
        <f>Demand!B2281</f>
        <v>46273.0</v>
      </c>
      <c r="C2283" s="33">
        <f>Demand!C2281</f>
        <v>15</v>
      </c>
      <c r="D2283" s="33">
        <f>Demand!E2281</f>
        <v>29</v>
      </c>
      <c r="E2283" s="33">
        <f>IF(Demand!F2281,1,0)</f>
        <v>0</v>
      </c>
      <c r="F2283" s="33">
        <f>COUNTIFS(c_store,A2283,c_date,B2283,c_hour,C2283)</f>
        <v>0</v>
      </c>
      <c r="G2283" s="33">
        <f>IF(F2283&gt;0,1,0)</f>
        <v>0</v>
      </c>
      <c r="H2283" s="33">
        <f>COUNTIFS(Demand!$A$2:$A$4481,A2283,Demand!$B$2:$B$4481,B2283,Demand!$C$2:$C$4481,C2283)</f>
        <v>1</v>
      </c>
    </row>
    <row r="2284">
      <c r="A2284" s="32" t="str">
        <f>Demand!A2282</f>
        <v>S003</v>
      </c>
      <c r="B2284" s="35">
        <f>Demand!B2282</f>
        <v>46273.0</v>
      </c>
      <c r="C2284" s="33">
        <f>Demand!C2282</f>
        <v>16</v>
      </c>
      <c r="D2284" s="33">
        <f>Demand!E2282</f>
        <v>45</v>
      </c>
      <c r="E2284" s="33">
        <f>IF(Demand!F2282,1,0)</f>
        <v>0</v>
      </c>
      <c r="F2284" s="33">
        <f>COUNTIFS(c_store,A2284,c_date,B2284,c_hour,C2284)</f>
        <v>0</v>
      </c>
      <c r="G2284" s="33">
        <f>IF(F2284&gt;0,1,0)</f>
        <v>0</v>
      </c>
      <c r="H2284" s="33">
        <f>COUNTIFS(Demand!$A$2:$A$4481,A2284,Demand!$B$2:$B$4481,B2284,Demand!$C$2:$C$4481,C2284)</f>
        <v>1</v>
      </c>
    </row>
    <row r="2285">
      <c r="A2285" s="32" t="str">
        <f>Demand!A2283</f>
        <v>S003</v>
      </c>
      <c r="B2285" s="35">
        <f>Demand!B2283</f>
        <v>46273.0</v>
      </c>
      <c r="C2285" s="33">
        <f>Demand!C2283</f>
        <v>17</v>
      </c>
      <c r="D2285" s="33">
        <f>Demand!E2283</f>
        <v>43</v>
      </c>
      <c r="E2285" s="33">
        <f>IF(Demand!F2283,1,0)</f>
        <v>0</v>
      </c>
      <c r="F2285" s="33">
        <f>COUNTIFS(c_store,A2285,c_date,B2285,c_hour,C2285)</f>
        <v>0</v>
      </c>
      <c r="G2285" s="33">
        <f>IF(F2285&gt;0,1,0)</f>
        <v>0</v>
      </c>
      <c r="H2285" s="33">
        <f>COUNTIFS(Demand!$A$2:$A$4481,A2285,Demand!$B$2:$B$4481,B2285,Demand!$C$2:$C$4481,C2285)</f>
        <v>1</v>
      </c>
    </row>
    <row r="2286">
      <c r="A2286" s="32" t="str">
        <f>Demand!A2284</f>
        <v>S003</v>
      </c>
      <c r="B2286" s="35">
        <f>Demand!B2284</f>
        <v>46273.0</v>
      </c>
      <c r="C2286" s="33">
        <f>Demand!C2284</f>
        <v>18</v>
      </c>
      <c r="D2286" s="33">
        <f>Demand!E2284</f>
        <v>40</v>
      </c>
      <c r="E2286" s="33">
        <f>IF(Demand!F2284,1,0)</f>
        <v>0</v>
      </c>
      <c r="F2286" s="33">
        <f>COUNTIFS(c_store,A2286,c_date,B2286,c_hour,C2286)</f>
        <v>1</v>
      </c>
      <c r="G2286" s="33">
        <f>IF(F2286&gt;0,1,0)</f>
        <v>1</v>
      </c>
      <c r="H2286" s="33">
        <f>COUNTIFS(Demand!$A$2:$A$4481,A2286,Demand!$B$2:$B$4481,B2286,Demand!$C$2:$C$4481,C2286)</f>
        <v>1</v>
      </c>
    </row>
    <row r="2287">
      <c r="A2287" s="32" t="str">
        <f>Demand!A2285</f>
        <v>S003</v>
      </c>
      <c r="B2287" s="35">
        <f>Demand!B2285</f>
        <v>46273.0</v>
      </c>
      <c r="C2287" s="33">
        <f>Demand!C2285</f>
        <v>19</v>
      </c>
      <c r="D2287" s="33">
        <f>Demand!E2285</f>
        <v>53</v>
      </c>
      <c r="E2287" s="33">
        <f>IF(Demand!F2285,1,0)</f>
        <v>1</v>
      </c>
      <c r="F2287" s="33">
        <f>COUNTIFS(c_store,A2287,c_date,B2287,c_hour,C2287)</f>
        <v>0</v>
      </c>
      <c r="G2287" s="33">
        <f>IF(F2287&gt;0,1,0)</f>
        <v>0</v>
      </c>
      <c r="H2287" s="33">
        <f>COUNTIFS(Demand!$A$2:$A$4481,A2287,Demand!$B$2:$B$4481,B2287,Demand!$C$2:$C$4481,C2287)</f>
        <v>1</v>
      </c>
    </row>
    <row r="2288">
      <c r="A2288" s="32" t="str">
        <f>Demand!A2286</f>
        <v>S003</v>
      </c>
      <c r="B2288" s="35">
        <f>Demand!B2286</f>
        <v>46273.0</v>
      </c>
      <c r="C2288" s="33">
        <f>Demand!C2286</f>
        <v>20</v>
      </c>
      <c r="D2288" s="33">
        <f>Demand!E2286</f>
        <v>59</v>
      </c>
      <c r="E2288" s="33">
        <f>IF(Demand!F2286,1,0)</f>
        <v>1</v>
      </c>
      <c r="F2288" s="33">
        <f>COUNTIFS(c_store,A2288,c_date,B2288,c_hour,C2288)</f>
        <v>0</v>
      </c>
      <c r="G2288" s="33">
        <f>IF(F2288&gt;0,1,0)</f>
        <v>0</v>
      </c>
      <c r="H2288" s="33">
        <f>COUNTIFS(Demand!$A$2:$A$4481,A2288,Demand!$B$2:$B$4481,B2288,Demand!$C$2:$C$4481,C2288)</f>
        <v>1</v>
      </c>
    </row>
    <row r="2289">
      <c r="A2289" s="32" t="str">
        <f>Demand!A2287</f>
        <v>S003</v>
      </c>
      <c r="B2289" s="35">
        <f>Demand!B2287</f>
        <v>46273.0</v>
      </c>
      <c r="C2289" s="33">
        <f>Demand!C2287</f>
        <v>21</v>
      </c>
      <c r="D2289" s="33">
        <f>Demand!E2287</f>
        <v>64</v>
      </c>
      <c r="E2289" s="33">
        <f>IF(Demand!F2287,1,0)</f>
        <v>1</v>
      </c>
      <c r="F2289" s="33">
        <f>COUNTIFS(c_store,A2289,c_date,B2289,c_hour,C2289)</f>
        <v>1</v>
      </c>
      <c r="G2289" s="33">
        <f>IF(F2289&gt;0,1,0)</f>
        <v>1</v>
      </c>
      <c r="H2289" s="33">
        <f>COUNTIFS(Demand!$A$2:$A$4481,A2289,Demand!$B$2:$B$4481,B2289,Demand!$C$2:$C$4481,C2289)</f>
        <v>1</v>
      </c>
    </row>
    <row r="2290">
      <c r="A2290" s="32" t="str">
        <f>Demand!A2288</f>
        <v>S003</v>
      </c>
      <c r="B2290" s="35">
        <f>Demand!B2288</f>
        <v>46273.0</v>
      </c>
      <c r="C2290" s="33">
        <f>Demand!C2288</f>
        <v>22</v>
      </c>
      <c r="D2290" s="33">
        <f>Demand!E2288</f>
        <v>24</v>
      </c>
      <c r="E2290" s="33">
        <f>IF(Demand!F2288,1,0)</f>
        <v>0</v>
      </c>
      <c r="F2290" s="33">
        <f>COUNTIFS(c_store,A2290,c_date,B2290,c_hour,C2290)</f>
        <v>2</v>
      </c>
      <c r="G2290" s="33">
        <f>IF(F2290&gt;0,1,0)</f>
        <v>1</v>
      </c>
      <c r="H2290" s="33">
        <f>COUNTIFS(Demand!$A$2:$A$4481,A2290,Demand!$B$2:$B$4481,B2290,Demand!$C$2:$C$4481,C2290)</f>
        <v>1</v>
      </c>
    </row>
    <row r="2291">
      <c r="A2291" s="32" t="str">
        <f>Demand!A2289</f>
        <v>S003</v>
      </c>
      <c r="B2291" s="35">
        <f>Demand!B2289</f>
        <v>46273.0</v>
      </c>
      <c r="C2291" s="33">
        <f>Demand!C2289</f>
        <v>23</v>
      </c>
      <c r="D2291" s="33">
        <f>Demand!E2289</f>
        <v>37</v>
      </c>
      <c r="E2291" s="33">
        <f>IF(Demand!F2289,1,0)</f>
        <v>0</v>
      </c>
      <c r="F2291" s="33">
        <f>COUNTIFS(c_store,A2291,c_date,B2291,c_hour,C2291)</f>
        <v>1</v>
      </c>
      <c r="G2291" s="33">
        <f>IF(F2291&gt;0,1,0)</f>
        <v>1</v>
      </c>
      <c r="H2291" s="33">
        <f>COUNTIFS(Demand!$A$2:$A$4481,A2291,Demand!$B$2:$B$4481,B2291,Demand!$C$2:$C$4481,C2291)</f>
        <v>1</v>
      </c>
    </row>
    <row r="2292">
      <c r="A2292" s="32" t="str">
        <f>Demand!A2290</f>
        <v>S004</v>
      </c>
      <c r="B2292" s="35">
        <f>Demand!B2290</f>
        <v>46273.0</v>
      </c>
      <c r="C2292" s="33">
        <f>Demand!C2290</f>
        <v>8</v>
      </c>
      <c r="D2292" s="33">
        <f>Demand!E2290</f>
        <v>35</v>
      </c>
      <c r="E2292" s="33">
        <f>IF(Demand!F2290,1,0)</f>
        <v>0</v>
      </c>
      <c r="F2292" s="33">
        <f>COUNTIFS(c_store,A2292,c_date,B2292,c_hour,C2292)</f>
        <v>1</v>
      </c>
      <c r="G2292" s="33">
        <f>IF(F2292&gt;0,1,0)</f>
        <v>1</v>
      </c>
      <c r="H2292" s="33">
        <f>COUNTIFS(Demand!$A$2:$A$4481,A2292,Demand!$B$2:$B$4481,B2292,Demand!$C$2:$C$4481,C2292)</f>
        <v>1</v>
      </c>
    </row>
    <row r="2293">
      <c r="A2293" s="32" t="str">
        <f>Demand!A2291</f>
        <v>S004</v>
      </c>
      <c r="B2293" s="35">
        <f>Demand!B2291</f>
        <v>46273.0</v>
      </c>
      <c r="C2293" s="33">
        <f>Demand!C2291</f>
        <v>9</v>
      </c>
      <c r="D2293" s="33">
        <f>Demand!E2291</f>
        <v>33</v>
      </c>
      <c r="E2293" s="33">
        <f>IF(Demand!F2291,1,0)</f>
        <v>0</v>
      </c>
      <c r="F2293" s="33">
        <f>COUNTIFS(c_store,A2293,c_date,B2293,c_hour,C2293)</f>
        <v>0</v>
      </c>
      <c r="G2293" s="33">
        <f>IF(F2293&gt;0,1,0)</f>
        <v>0</v>
      </c>
      <c r="H2293" s="33">
        <f>COUNTIFS(Demand!$A$2:$A$4481,A2293,Demand!$B$2:$B$4481,B2293,Demand!$C$2:$C$4481,C2293)</f>
        <v>1</v>
      </c>
    </row>
    <row r="2294">
      <c r="A2294" s="32" t="str">
        <f>Demand!A2292</f>
        <v>S004</v>
      </c>
      <c r="B2294" s="35">
        <f>Demand!B2292</f>
        <v>46273.0</v>
      </c>
      <c r="C2294" s="33">
        <f>Demand!C2292</f>
        <v>10</v>
      </c>
      <c r="D2294" s="33">
        <f>Demand!E2292</f>
        <v>35</v>
      </c>
      <c r="E2294" s="33">
        <f>IF(Demand!F2292,1,0)</f>
        <v>0</v>
      </c>
      <c r="F2294" s="33">
        <f>COUNTIFS(c_store,A2294,c_date,B2294,c_hour,C2294)</f>
        <v>0</v>
      </c>
      <c r="G2294" s="33">
        <f>IF(F2294&gt;0,1,0)</f>
        <v>0</v>
      </c>
      <c r="H2294" s="33">
        <f>COUNTIFS(Demand!$A$2:$A$4481,A2294,Demand!$B$2:$B$4481,B2294,Demand!$C$2:$C$4481,C2294)</f>
        <v>1</v>
      </c>
    </row>
    <row r="2295">
      <c r="A2295" s="32" t="str">
        <f>Demand!A2293</f>
        <v>S004</v>
      </c>
      <c r="B2295" s="35">
        <f>Demand!B2293</f>
        <v>46273.0</v>
      </c>
      <c r="C2295" s="33">
        <f>Demand!C2293</f>
        <v>11</v>
      </c>
      <c r="D2295" s="33">
        <f>Demand!E2293</f>
        <v>41</v>
      </c>
      <c r="E2295" s="33">
        <f>IF(Demand!F2293,1,0)</f>
        <v>0</v>
      </c>
      <c r="F2295" s="33">
        <f>COUNTIFS(c_store,A2295,c_date,B2295,c_hour,C2295)</f>
        <v>0</v>
      </c>
      <c r="G2295" s="33">
        <f>IF(F2295&gt;0,1,0)</f>
        <v>0</v>
      </c>
      <c r="H2295" s="33">
        <f>COUNTIFS(Demand!$A$2:$A$4481,A2295,Demand!$B$2:$B$4481,B2295,Demand!$C$2:$C$4481,C2295)</f>
        <v>1</v>
      </c>
    </row>
    <row r="2296">
      <c r="A2296" s="32" t="str">
        <f>Demand!A2294</f>
        <v>S004</v>
      </c>
      <c r="B2296" s="35">
        <f>Demand!B2294</f>
        <v>46273.0</v>
      </c>
      <c r="C2296" s="33">
        <f>Demand!C2294</f>
        <v>12</v>
      </c>
      <c r="D2296" s="33">
        <f>Demand!E2294</f>
        <v>45</v>
      </c>
      <c r="E2296" s="33">
        <f>IF(Demand!F2294,1,0)</f>
        <v>0</v>
      </c>
      <c r="F2296" s="33">
        <f>COUNTIFS(c_store,A2296,c_date,B2296,c_hour,C2296)</f>
        <v>0</v>
      </c>
      <c r="G2296" s="33">
        <f>IF(F2296&gt;0,1,0)</f>
        <v>0</v>
      </c>
      <c r="H2296" s="33">
        <f>COUNTIFS(Demand!$A$2:$A$4481,A2296,Demand!$B$2:$B$4481,B2296,Demand!$C$2:$C$4481,C2296)</f>
        <v>1</v>
      </c>
    </row>
    <row r="2297">
      <c r="A2297" s="32" t="str">
        <f>Demand!A2295</f>
        <v>S004</v>
      </c>
      <c r="B2297" s="35">
        <f>Demand!B2295</f>
        <v>46273.0</v>
      </c>
      <c r="C2297" s="33">
        <f>Demand!C2295</f>
        <v>13</v>
      </c>
      <c r="D2297" s="33">
        <f>Demand!E2295</f>
        <v>49</v>
      </c>
      <c r="E2297" s="33">
        <f>IF(Demand!F2295,1,0)</f>
        <v>0</v>
      </c>
      <c r="F2297" s="33">
        <f>COUNTIFS(c_store,A2297,c_date,B2297,c_hour,C2297)</f>
        <v>1</v>
      </c>
      <c r="G2297" s="33">
        <f>IF(F2297&gt;0,1,0)</f>
        <v>1</v>
      </c>
      <c r="H2297" s="33">
        <f>COUNTIFS(Demand!$A$2:$A$4481,A2297,Demand!$B$2:$B$4481,B2297,Demand!$C$2:$C$4481,C2297)</f>
        <v>1</v>
      </c>
    </row>
    <row r="2298">
      <c r="A2298" s="32" t="str">
        <f>Demand!A2296</f>
        <v>S004</v>
      </c>
      <c r="B2298" s="35">
        <f>Demand!B2296</f>
        <v>46273.0</v>
      </c>
      <c r="C2298" s="33">
        <f>Demand!C2296</f>
        <v>14</v>
      </c>
      <c r="D2298" s="33">
        <f>Demand!E2296</f>
        <v>31</v>
      </c>
      <c r="E2298" s="33">
        <f>IF(Demand!F2296,1,0)</f>
        <v>0</v>
      </c>
      <c r="F2298" s="33">
        <f>COUNTIFS(c_store,A2298,c_date,B2298,c_hour,C2298)</f>
        <v>0</v>
      </c>
      <c r="G2298" s="33">
        <f>IF(F2298&gt;0,1,0)</f>
        <v>0</v>
      </c>
      <c r="H2298" s="33">
        <f>COUNTIFS(Demand!$A$2:$A$4481,A2298,Demand!$B$2:$B$4481,B2298,Demand!$C$2:$C$4481,C2298)</f>
        <v>1</v>
      </c>
    </row>
    <row r="2299">
      <c r="A2299" s="32" t="str">
        <f>Demand!A2297</f>
        <v>S004</v>
      </c>
      <c r="B2299" s="35">
        <f>Demand!B2297</f>
        <v>46273.0</v>
      </c>
      <c r="C2299" s="33">
        <f>Demand!C2297</f>
        <v>15</v>
      </c>
      <c r="D2299" s="33">
        <f>Demand!E2297</f>
        <v>37</v>
      </c>
      <c r="E2299" s="33">
        <f>IF(Demand!F2297,1,0)</f>
        <v>0</v>
      </c>
      <c r="F2299" s="33">
        <f>COUNTIFS(c_store,A2299,c_date,B2299,c_hour,C2299)</f>
        <v>0</v>
      </c>
      <c r="G2299" s="33">
        <f>IF(F2299&gt;0,1,0)</f>
        <v>0</v>
      </c>
      <c r="H2299" s="33">
        <f>COUNTIFS(Demand!$A$2:$A$4481,A2299,Demand!$B$2:$B$4481,B2299,Demand!$C$2:$C$4481,C2299)</f>
        <v>1</v>
      </c>
    </row>
    <row r="2300">
      <c r="A2300" s="32" t="str">
        <f>Demand!A2298</f>
        <v>S004</v>
      </c>
      <c r="B2300" s="35">
        <f>Demand!B2298</f>
        <v>46273.0</v>
      </c>
      <c r="C2300" s="33">
        <f>Demand!C2298</f>
        <v>16</v>
      </c>
      <c r="D2300" s="33">
        <f>Demand!E2298</f>
        <v>42</v>
      </c>
      <c r="E2300" s="33">
        <f>IF(Demand!F2298,1,0)</f>
        <v>0</v>
      </c>
      <c r="F2300" s="33">
        <f>COUNTIFS(c_store,A2300,c_date,B2300,c_hour,C2300)</f>
        <v>0</v>
      </c>
      <c r="G2300" s="33">
        <f>IF(F2300&gt;0,1,0)</f>
        <v>0</v>
      </c>
      <c r="H2300" s="33">
        <f>COUNTIFS(Demand!$A$2:$A$4481,A2300,Demand!$B$2:$B$4481,B2300,Demand!$C$2:$C$4481,C2300)</f>
        <v>1</v>
      </c>
    </row>
    <row r="2301">
      <c r="A2301" s="32" t="str">
        <f>Demand!A2299</f>
        <v>S004</v>
      </c>
      <c r="B2301" s="35">
        <f>Demand!B2299</f>
        <v>46273.0</v>
      </c>
      <c r="C2301" s="33">
        <f>Demand!C2299</f>
        <v>17</v>
      </c>
      <c r="D2301" s="33">
        <f>Demand!E2299</f>
        <v>35</v>
      </c>
      <c r="E2301" s="33">
        <f>IF(Demand!F2299,1,0)</f>
        <v>0</v>
      </c>
      <c r="F2301" s="33">
        <f>COUNTIFS(c_store,A2301,c_date,B2301,c_hour,C2301)</f>
        <v>0</v>
      </c>
      <c r="G2301" s="33">
        <f>IF(F2301&gt;0,1,0)</f>
        <v>0</v>
      </c>
      <c r="H2301" s="33">
        <f>COUNTIFS(Demand!$A$2:$A$4481,A2301,Demand!$B$2:$B$4481,B2301,Demand!$C$2:$C$4481,C2301)</f>
        <v>1</v>
      </c>
    </row>
    <row r="2302">
      <c r="A2302" s="32" t="str">
        <f>Demand!A2300</f>
        <v>S004</v>
      </c>
      <c r="B2302" s="35">
        <f>Demand!B2300</f>
        <v>46273.0</v>
      </c>
      <c r="C2302" s="33">
        <f>Demand!C2300</f>
        <v>18</v>
      </c>
      <c r="D2302" s="33">
        <f>Demand!E2300</f>
        <v>37</v>
      </c>
      <c r="E2302" s="33">
        <f>IF(Demand!F2300,1,0)</f>
        <v>0</v>
      </c>
      <c r="F2302" s="33">
        <f>COUNTIFS(c_store,A2302,c_date,B2302,c_hour,C2302)</f>
        <v>0</v>
      </c>
      <c r="G2302" s="33">
        <f>IF(F2302&gt;0,1,0)</f>
        <v>0</v>
      </c>
      <c r="H2302" s="33">
        <f>COUNTIFS(Demand!$A$2:$A$4481,A2302,Demand!$B$2:$B$4481,B2302,Demand!$C$2:$C$4481,C2302)</f>
        <v>1</v>
      </c>
    </row>
    <row r="2303">
      <c r="A2303" s="32" t="str">
        <f>Demand!A2301</f>
        <v>S004</v>
      </c>
      <c r="B2303" s="35">
        <f>Demand!B2301</f>
        <v>46273.0</v>
      </c>
      <c r="C2303" s="33">
        <f>Demand!C2301</f>
        <v>19</v>
      </c>
      <c r="D2303" s="33">
        <f>Demand!E2301</f>
        <v>72</v>
      </c>
      <c r="E2303" s="33">
        <f>IF(Demand!F2301,1,0)</f>
        <v>1</v>
      </c>
      <c r="F2303" s="33">
        <f>COUNTIFS(c_store,A2303,c_date,B2303,c_hour,C2303)</f>
        <v>0</v>
      </c>
      <c r="G2303" s="33">
        <f>IF(F2303&gt;0,1,0)</f>
        <v>0</v>
      </c>
      <c r="H2303" s="33">
        <f>COUNTIFS(Demand!$A$2:$A$4481,A2303,Demand!$B$2:$B$4481,B2303,Demand!$C$2:$C$4481,C2303)</f>
        <v>1</v>
      </c>
    </row>
    <row r="2304">
      <c r="A2304" s="32" t="str">
        <f>Demand!A2302</f>
        <v>S004</v>
      </c>
      <c r="B2304" s="35">
        <f>Demand!B2302</f>
        <v>46273.0</v>
      </c>
      <c r="C2304" s="33">
        <f>Demand!C2302</f>
        <v>20</v>
      </c>
      <c r="D2304" s="33">
        <f>Demand!E2302</f>
        <v>71</v>
      </c>
      <c r="E2304" s="33">
        <f>IF(Demand!F2302,1,0)</f>
        <v>1</v>
      </c>
      <c r="F2304" s="33">
        <f>COUNTIFS(c_store,A2304,c_date,B2304,c_hour,C2304)</f>
        <v>1</v>
      </c>
      <c r="G2304" s="33">
        <f>IF(F2304&gt;0,1,0)</f>
        <v>1</v>
      </c>
      <c r="H2304" s="33">
        <f>COUNTIFS(Demand!$A$2:$A$4481,A2304,Demand!$B$2:$B$4481,B2304,Demand!$C$2:$C$4481,C2304)</f>
        <v>1</v>
      </c>
    </row>
    <row r="2305">
      <c r="A2305" s="32" t="str">
        <f>Demand!A2303</f>
        <v>S004</v>
      </c>
      <c r="B2305" s="35">
        <f>Demand!B2303</f>
        <v>46273.0</v>
      </c>
      <c r="C2305" s="33">
        <f>Demand!C2303</f>
        <v>21</v>
      </c>
      <c r="D2305" s="33">
        <f>Demand!E2303</f>
        <v>64</v>
      </c>
      <c r="E2305" s="33">
        <f>IF(Demand!F2303,1,0)</f>
        <v>1</v>
      </c>
      <c r="F2305" s="33">
        <f>COUNTIFS(c_store,A2305,c_date,B2305,c_hour,C2305)</f>
        <v>0</v>
      </c>
      <c r="G2305" s="33">
        <f>IF(F2305&gt;0,1,0)</f>
        <v>0</v>
      </c>
      <c r="H2305" s="33">
        <f>COUNTIFS(Demand!$A$2:$A$4481,A2305,Demand!$B$2:$B$4481,B2305,Demand!$C$2:$C$4481,C2305)</f>
        <v>1</v>
      </c>
    </row>
    <row r="2306">
      <c r="A2306" s="32" t="str">
        <f>Demand!A2304</f>
        <v>S004</v>
      </c>
      <c r="B2306" s="35">
        <f>Demand!B2304</f>
        <v>46273.0</v>
      </c>
      <c r="C2306" s="33">
        <f>Demand!C2304</f>
        <v>22</v>
      </c>
      <c r="D2306" s="33">
        <f>Demand!E2304</f>
        <v>44</v>
      </c>
      <c r="E2306" s="33">
        <f>IF(Demand!F2304,1,0)</f>
        <v>0</v>
      </c>
      <c r="F2306" s="33">
        <f>COUNTIFS(c_store,A2306,c_date,B2306,c_hour,C2306)</f>
        <v>1</v>
      </c>
      <c r="G2306" s="33">
        <f>IF(F2306&gt;0,1,0)</f>
        <v>1</v>
      </c>
      <c r="H2306" s="33">
        <f>COUNTIFS(Demand!$A$2:$A$4481,A2306,Demand!$B$2:$B$4481,B2306,Demand!$C$2:$C$4481,C2306)</f>
        <v>1</v>
      </c>
    </row>
    <row r="2307">
      <c r="A2307" s="32" t="str">
        <f>Demand!A2305</f>
        <v>S004</v>
      </c>
      <c r="B2307" s="35">
        <f>Demand!B2305</f>
        <v>46273.0</v>
      </c>
      <c r="C2307" s="33">
        <f>Demand!C2305</f>
        <v>23</v>
      </c>
      <c r="D2307" s="33">
        <f>Demand!E2305</f>
        <v>37</v>
      </c>
      <c r="E2307" s="33">
        <f>IF(Demand!F2305,1,0)</f>
        <v>0</v>
      </c>
      <c r="F2307" s="33">
        <f>COUNTIFS(c_store,A2307,c_date,B2307,c_hour,C2307)</f>
        <v>0</v>
      </c>
      <c r="G2307" s="33">
        <f>IF(F2307&gt;0,1,0)</f>
        <v>0</v>
      </c>
      <c r="H2307" s="33">
        <f>COUNTIFS(Demand!$A$2:$A$4481,A2307,Demand!$B$2:$B$4481,B2307,Demand!$C$2:$C$4481,C2307)</f>
        <v>1</v>
      </c>
    </row>
    <row r="2308">
      <c r="A2308" s="32" t="str">
        <f>Demand!A2306</f>
        <v>S005</v>
      </c>
      <c r="B2308" s="35">
        <f>Demand!B2306</f>
        <v>46273.0</v>
      </c>
      <c r="C2308" s="33">
        <f>Demand!C2306</f>
        <v>8</v>
      </c>
      <c r="D2308" s="33">
        <f>Demand!E2306</f>
        <v>14</v>
      </c>
      <c r="E2308" s="33">
        <f>IF(Demand!F2306,1,0)</f>
        <v>0</v>
      </c>
      <c r="F2308" s="33">
        <f>COUNTIFS(c_store,A2308,c_date,B2308,c_hour,C2308)</f>
        <v>0</v>
      </c>
      <c r="G2308" s="33">
        <f>IF(F2308&gt;0,1,0)</f>
        <v>0</v>
      </c>
      <c r="H2308" s="33">
        <f>COUNTIFS(Demand!$A$2:$A$4481,A2308,Demand!$B$2:$B$4481,B2308,Demand!$C$2:$C$4481,C2308)</f>
        <v>1</v>
      </c>
    </row>
    <row r="2309">
      <c r="A2309" s="32" t="str">
        <f>Demand!A2307</f>
        <v>S005</v>
      </c>
      <c r="B2309" s="35">
        <f>Demand!B2307</f>
        <v>46273.0</v>
      </c>
      <c r="C2309" s="33">
        <f>Demand!C2307</f>
        <v>9</v>
      </c>
      <c r="D2309" s="33">
        <f>Demand!E2307</f>
        <v>16</v>
      </c>
      <c r="E2309" s="33">
        <f>IF(Demand!F2307,1,0)</f>
        <v>0</v>
      </c>
      <c r="F2309" s="33">
        <f>COUNTIFS(c_store,A2309,c_date,B2309,c_hour,C2309)</f>
        <v>0</v>
      </c>
      <c r="G2309" s="33">
        <f>IF(F2309&gt;0,1,0)</f>
        <v>0</v>
      </c>
      <c r="H2309" s="33">
        <f>COUNTIFS(Demand!$A$2:$A$4481,A2309,Demand!$B$2:$B$4481,B2309,Demand!$C$2:$C$4481,C2309)</f>
        <v>1</v>
      </c>
    </row>
    <row r="2310">
      <c r="A2310" s="32" t="str">
        <f>Demand!A2308</f>
        <v>S005</v>
      </c>
      <c r="B2310" s="35">
        <f>Demand!B2308</f>
        <v>46273.0</v>
      </c>
      <c r="C2310" s="33">
        <f>Demand!C2308</f>
        <v>10</v>
      </c>
      <c r="D2310" s="33">
        <f>Demand!E2308</f>
        <v>14</v>
      </c>
      <c r="E2310" s="33">
        <f>IF(Demand!F2308,1,0)</f>
        <v>0</v>
      </c>
      <c r="F2310" s="33">
        <f>COUNTIFS(c_store,A2310,c_date,B2310,c_hour,C2310)</f>
        <v>0</v>
      </c>
      <c r="G2310" s="33">
        <f>IF(F2310&gt;0,1,0)</f>
        <v>0</v>
      </c>
      <c r="H2310" s="33">
        <f>COUNTIFS(Demand!$A$2:$A$4481,A2310,Demand!$B$2:$B$4481,B2310,Demand!$C$2:$C$4481,C2310)</f>
        <v>1</v>
      </c>
    </row>
    <row r="2311">
      <c r="A2311" s="32" t="str">
        <f>Demand!A2309</f>
        <v>S005</v>
      </c>
      <c r="B2311" s="35">
        <f>Demand!B2309</f>
        <v>46273.0</v>
      </c>
      <c r="C2311" s="33">
        <f>Demand!C2309</f>
        <v>11</v>
      </c>
      <c r="D2311" s="33">
        <f>Demand!E2309</f>
        <v>9</v>
      </c>
      <c r="E2311" s="33">
        <f>IF(Demand!F2309,1,0)</f>
        <v>0</v>
      </c>
      <c r="F2311" s="33">
        <f>COUNTIFS(c_store,A2311,c_date,B2311,c_hour,C2311)</f>
        <v>0</v>
      </c>
      <c r="G2311" s="33">
        <f>IF(F2311&gt;0,1,0)</f>
        <v>0</v>
      </c>
      <c r="H2311" s="33">
        <f>COUNTIFS(Demand!$A$2:$A$4481,A2311,Demand!$B$2:$B$4481,B2311,Demand!$C$2:$C$4481,C2311)</f>
        <v>1</v>
      </c>
    </row>
    <row r="2312">
      <c r="A2312" s="32" t="str">
        <f>Demand!A2310</f>
        <v>S005</v>
      </c>
      <c r="B2312" s="35">
        <f>Demand!B2310</f>
        <v>46273.0</v>
      </c>
      <c r="C2312" s="33">
        <f>Demand!C2310</f>
        <v>12</v>
      </c>
      <c r="D2312" s="33">
        <f>Demand!E2310</f>
        <v>9</v>
      </c>
      <c r="E2312" s="33">
        <f>IF(Demand!F2310,1,0)</f>
        <v>0</v>
      </c>
      <c r="F2312" s="33">
        <f>COUNTIFS(c_store,A2312,c_date,B2312,c_hour,C2312)</f>
        <v>1</v>
      </c>
      <c r="G2312" s="33">
        <f>IF(F2312&gt;0,1,0)</f>
        <v>1</v>
      </c>
      <c r="H2312" s="33">
        <f>COUNTIFS(Demand!$A$2:$A$4481,A2312,Demand!$B$2:$B$4481,B2312,Demand!$C$2:$C$4481,C2312)</f>
        <v>1</v>
      </c>
    </row>
    <row r="2313">
      <c r="A2313" s="32" t="str">
        <f>Demand!A2311</f>
        <v>S005</v>
      </c>
      <c r="B2313" s="35">
        <f>Demand!B2311</f>
        <v>46273.0</v>
      </c>
      <c r="C2313" s="33">
        <f>Demand!C2311</f>
        <v>13</v>
      </c>
      <c r="D2313" s="33">
        <f>Demand!E2311</f>
        <v>12</v>
      </c>
      <c r="E2313" s="33">
        <f>IF(Demand!F2311,1,0)</f>
        <v>0</v>
      </c>
      <c r="F2313" s="33">
        <f>COUNTIFS(c_store,A2313,c_date,B2313,c_hour,C2313)</f>
        <v>0</v>
      </c>
      <c r="G2313" s="33">
        <f>IF(F2313&gt;0,1,0)</f>
        <v>0</v>
      </c>
      <c r="H2313" s="33">
        <f>COUNTIFS(Demand!$A$2:$A$4481,A2313,Demand!$B$2:$B$4481,B2313,Demand!$C$2:$C$4481,C2313)</f>
        <v>1</v>
      </c>
    </row>
    <row r="2314">
      <c r="A2314" s="32" t="str">
        <f>Demand!A2312</f>
        <v>S005</v>
      </c>
      <c r="B2314" s="35">
        <f>Demand!B2312</f>
        <v>46273.0</v>
      </c>
      <c r="C2314" s="33">
        <f>Demand!C2312</f>
        <v>14</v>
      </c>
      <c r="D2314" s="33">
        <f>Demand!E2312</f>
        <v>13</v>
      </c>
      <c r="E2314" s="33">
        <f>IF(Demand!F2312,1,0)</f>
        <v>0</v>
      </c>
      <c r="F2314" s="33">
        <f>COUNTIFS(c_store,A2314,c_date,B2314,c_hour,C2314)</f>
        <v>1</v>
      </c>
      <c r="G2314" s="33">
        <f>IF(F2314&gt;0,1,0)</f>
        <v>1</v>
      </c>
      <c r="H2314" s="33">
        <f>COUNTIFS(Demand!$A$2:$A$4481,A2314,Demand!$B$2:$B$4481,B2314,Demand!$C$2:$C$4481,C2314)</f>
        <v>1</v>
      </c>
    </row>
    <row r="2315">
      <c r="A2315" s="32" t="str">
        <f>Demand!A2313</f>
        <v>S005</v>
      </c>
      <c r="B2315" s="35">
        <f>Demand!B2313</f>
        <v>46273.0</v>
      </c>
      <c r="C2315" s="33">
        <f>Demand!C2313</f>
        <v>15</v>
      </c>
      <c r="D2315" s="33">
        <f>Demand!E2313</f>
        <v>12</v>
      </c>
      <c r="E2315" s="33">
        <f>IF(Demand!F2313,1,0)</f>
        <v>0</v>
      </c>
      <c r="F2315" s="33">
        <f>COUNTIFS(c_store,A2315,c_date,B2315,c_hour,C2315)</f>
        <v>0</v>
      </c>
      <c r="G2315" s="33">
        <f>IF(F2315&gt;0,1,0)</f>
        <v>0</v>
      </c>
      <c r="H2315" s="33">
        <f>COUNTIFS(Demand!$A$2:$A$4481,A2315,Demand!$B$2:$B$4481,B2315,Demand!$C$2:$C$4481,C2315)</f>
        <v>1</v>
      </c>
    </row>
    <row r="2316">
      <c r="A2316" s="32" t="str">
        <f>Demand!A2314</f>
        <v>S005</v>
      </c>
      <c r="B2316" s="35">
        <f>Demand!B2314</f>
        <v>46273.0</v>
      </c>
      <c r="C2316" s="33">
        <f>Demand!C2314</f>
        <v>16</v>
      </c>
      <c r="D2316" s="33">
        <f>Demand!E2314</f>
        <v>9</v>
      </c>
      <c r="E2316" s="33">
        <f>IF(Demand!F2314,1,0)</f>
        <v>0</v>
      </c>
      <c r="F2316" s="33">
        <f>COUNTIFS(c_store,A2316,c_date,B2316,c_hour,C2316)</f>
        <v>0</v>
      </c>
      <c r="G2316" s="33">
        <f>IF(F2316&gt;0,1,0)</f>
        <v>0</v>
      </c>
      <c r="H2316" s="33">
        <f>COUNTIFS(Demand!$A$2:$A$4481,A2316,Demand!$B$2:$B$4481,B2316,Demand!$C$2:$C$4481,C2316)</f>
        <v>1</v>
      </c>
    </row>
    <row r="2317">
      <c r="A2317" s="32" t="str">
        <f>Demand!A2315</f>
        <v>S005</v>
      </c>
      <c r="B2317" s="35">
        <f>Demand!B2315</f>
        <v>46273.0</v>
      </c>
      <c r="C2317" s="33">
        <f>Demand!C2315</f>
        <v>17</v>
      </c>
      <c r="D2317" s="33">
        <f>Demand!E2315</f>
        <v>9</v>
      </c>
      <c r="E2317" s="33">
        <f>IF(Demand!F2315,1,0)</f>
        <v>0</v>
      </c>
      <c r="F2317" s="33">
        <f>COUNTIFS(c_store,A2317,c_date,B2317,c_hour,C2317)</f>
        <v>0</v>
      </c>
      <c r="G2317" s="33">
        <f>IF(F2317&gt;0,1,0)</f>
        <v>0</v>
      </c>
      <c r="H2317" s="33">
        <f>COUNTIFS(Demand!$A$2:$A$4481,A2317,Demand!$B$2:$B$4481,B2317,Demand!$C$2:$C$4481,C2317)</f>
        <v>1</v>
      </c>
    </row>
    <row r="2318">
      <c r="A2318" s="32" t="str">
        <f>Demand!A2316</f>
        <v>S005</v>
      </c>
      <c r="B2318" s="35">
        <f>Demand!B2316</f>
        <v>46273.0</v>
      </c>
      <c r="C2318" s="33">
        <f>Demand!C2316</f>
        <v>18</v>
      </c>
      <c r="D2318" s="33">
        <f>Demand!E2316</f>
        <v>13</v>
      </c>
      <c r="E2318" s="33">
        <f>IF(Demand!F2316,1,0)</f>
        <v>0</v>
      </c>
      <c r="F2318" s="33">
        <f>COUNTIFS(c_store,A2318,c_date,B2318,c_hour,C2318)</f>
        <v>1</v>
      </c>
      <c r="G2318" s="33">
        <f>IF(F2318&gt;0,1,0)</f>
        <v>1</v>
      </c>
      <c r="H2318" s="33">
        <f>COUNTIFS(Demand!$A$2:$A$4481,A2318,Demand!$B$2:$B$4481,B2318,Demand!$C$2:$C$4481,C2318)</f>
        <v>1</v>
      </c>
    </row>
    <row r="2319">
      <c r="A2319" s="32" t="str">
        <f>Demand!A2317</f>
        <v>S005</v>
      </c>
      <c r="B2319" s="35">
        <f>Demand!B2317</f>
        <v>46273.0</v>
      </c>
      <c r="C2319" s="33">
        <f>Demand!C2317</f>
        <v>19</v>
      </c>
      <c r="D2319" s="33">
        <f>Demand!E2317</f>
        <v>15</v>
      </c>
      <c r="E2319" s="33">
        <f>IF(Demand!F2317,1,0)</f>
        <v>1</v>
      </c>
      <c r="F2319" s="33">
        <f>COUNTIFS(c_store,A2319,c_date,B2319,c_hour,C2319)</f>
        <v>2</v>
      </c>
      <c r="G2319" s="33">
        <f>IF(F2319&gt;0,1,0)</f>
        <v>1</v>
      </c>
      <c r="H2319" s="33">
        <f>COUNTIFS(Demand!$A$2:$A$4481,A2319,Demand!$B$2:$B$4481,B2319,Demand!$C$2:$C$4481,C2319)</f>
        <v>1</v>
      </c>
    </row>
    <row r="2320">
      <c r="A2320" s="32" t="str">
        <f>Demand!A2318</f>
        <v>S005</v>
      </c>
      <c r="B2320" s="35">
        <f>Demand!B2318</f>
        <v>46273.0</v>
      </c>
      <c r="C2320" s="33">
        <f>Demand!C2318</f>
        <v>20</v>
      </c>
      <c r="D2320" s="33">
        <f>Demand!E2318</f>
        <v>21</v>
      </c>
      <c r="E2320" s="33">
        <f>IF(Demand!F2318,1,0)</f>
        <v>1</v>
      </c>
      <c r="F2320" s="33">
        <f>COUNTIFS(c_store,A2320,c_date,B2320,c_hour,C2320)</f>
        <v>0</v>
      </c>
      <c r="G2320" s="33">
        <f>IF(F2320&gt;0,1,0)</f>
        <v>0</v>
      </c>
      <c r="H2320" s="33">
        <f>COUNTIFS(Demand!$A$2:$A$4481,A2320,Demand!$B$2:$B$4481,B2320,Demand!$C$2:$C$4481,C2320)</f>
        <v>1</v>
      </c>
    </row>
    <row r="2321">
      <c r="A2321" s="32" t="str">
        <f>Demand!A2319</f>
        <v>S005</v>
      </c>
      <c r="B2321" s="35">
        <f>Demand!B2319</f>
        <v>46273.0</v>
      </c>
      <c r="C2321" s="33">
        <f>Demand!C2319</f>
        <v>21</v>
      </c>
      <c r="D2321" s="33">
        <f>Demand!E2319</f>
        <v>13</v>
      </c>
      <c r="E2321" s="33">
        <f>IF(Demand!F2319,1,0)</f>
        <v>1</v>
      </c>
      <c r="F2321" s="33">
        <f>COUNTIFS(c_store,A2321,c_date,B2321,c_hour,C2321)</f>
        <v>0</v>
      </c>
      <c r="G2321" s="33">
        <f>IF(F2321&gt;0,1,0)</f>
        <v>0</v>
      </c>
      <c r="H2321" s="33">
        <f>COUNTIFS(Demand!$A$2:$A$4481,A2321,Demand!$B$2:$B$4481,B2321,Demand!$C$2:$C$4481,C2321)</f>
        <v>1</v>
      </c>
    </row>
    <row r="2322">
      <c r="A2322" s="32" t="str">
        <f>Demand!A2320</f>
        <v>S005</v>
      </c>
      <c r="B2322" s="35">
        <f>Demand!B2320</f>
        <v>46273.0</v>
      </c>
      <c r="C2322" s="33">
        <f>Demand!C2320</f>
        <v>22</v>
      </c>
      <c r="D2322" s="33">
        <f>Demand!E2320</f>
        <v>9</v>
      </c>
      <c r="E2322" s="33">
        <f>IF(Demand!F2320,1,0)</f>
        <v>0</v>
      </c>
      <c r="F2322" s="33">
        <f>COUNTIFS(c_store,A2322,c_date,B2322,c_hour,C2322)</f>
        <v>0</v>
      </c>
      <c r="G2322" s="33">
        <f>IF(F2322&gt;0,1,0)</f>
        <v>0</v>
      </c>
      <c r="H2322" s="33">
        <f>COUNTIFS(Demand!$A$2:$A$4481,A2322,Demand!$B$2:$B$4481,B2322,Demand!$C$2:$C$4481,C2322)</f>
        <v>1</v>
      </c>
    </row>
    <row r="2323">
      <c r="A2323" s="32" t="str">
        <f>Demand!A2321</f>
        <v>S005</v>
      </c>
      <c r="B2323" s="35">
        <f>Demand!B2321</f>
        <v>46273.0</v>
      </c>
      <c r="C2323" s="33">
        <f>Demand!C2321</f>
        <v>23</v>
      </c>
      <c r="D2323" s="33">
        <f>Demand!E2321</f>
        <v>17</v>
      </c>
      <c r="E2323" s="33">
        <f>IF(Demand!F2321,1,0)</f>
        <v>0</v>
      </c>
      <c r="F2323" s="33">
        <f>COUNTIFS(c_store,A2323,c_date,B2323,c_hour,C2323)</f>
        <v>2</v>
      </c>
      <c r="G2323" s="33">
        <f>IF(F2323&gt;0,1,0)</f>
        <v>1</v>
      </c>
      <c r="H2323" s="33">
        <f>COUNTIFS(Demand!$A$2:$A$4481,A2323,Demand!$B$2:$B$4481,B2323,Demand!$C$2:$C$4481,C2323)</f>
        <v>1</v>
      </c>
    </row>
    <row r="2324">
      <c r="A2324" s="32" t="str">
        <f>Demand!A2322</f>
        <v>S006</v>
      </c>
      <c r="B2324" s="35">
        <f>Demand!B2322</f>
        <v>46273.0</v>
      </c>
      <c r="C2324" s="33">
        <f>Demand!C2322</f>
        <v>8</v>
      </c>
      <c r="D2324" s="33">
        <f>Demand!E2322</f>
        <v>22</v>
      </c>
      <c r="E2324" s="33">
        <f>IF(Demand!F2322,1,0)</f>
        <v>0</v>
      </c>
      <c r="F2324" s="33">
        <f>COUNTIFS(c_store,A2324,c_date,B2324,c_hour,C2324)</f>
        <v>0</v>
      </c>
      <c r="G2324" s="33">
        <f>IF(F2324&gt;0,1,0)</f>
        <v>0</v>
      </c>
      <c r="H2324" s="33">
        <f>COUNTIFS(Demand!$A$2:$A$4481,A2324,Demand!$B$2:$B$4481,B2324,Demand!$C$2:$C$4481,C2324)</f>
        <v>1</v>
      </c>
    </row>
    <row r="2325">
      <c r="A2325" s="32" t="str">
        <f>Demand!A2323</f>
        <v>S006</v>
      </c>
      <c r="B2325" s="35">
        <f>Demand!B2323</f>
        <v>46273.0</v>
      </c>
      <c r="C2325" s="33">
        <f>Demand!C2323</f>
        <v>9</v>
      </c>
      <c r="D2325" s="33">
        <f>Demand!E2323</f>
        <v>20</v>
      </c>
      <c r="E2325" s="33">
        <f>IF(Demand!F2323,1,0)</f>
        <v>0</v>
      </c>
      <c r="F2325" s="33">
        <f>COUNTIFS(c_store,A2325,c_date,B2325,c_hour,C2325)</f>
        <v>0</v>
      </c>
      <c r="G2325" s="33">
        <f>IF(F2325&gt;0,1,0)</f>
        <v>0</v>
      </c>
      <c r="H2325" s="33">
        <f>COUNTIFS(Demand!$A$2:$A$4481,A2325,Demand!$B$2:$B$4481,B2325,Demand!$C$2:$C$4481,C2325)</f>
        <v>1</v>
      </c>
    </row>
    <row r="2326">
      <c r="A2326" s="32" t="str">
        <f>Demand!A2324</f>
        <v>S006</v>
      </c>
      <c r="B2326" s="35">
        <f>Demand!B2324</f>
        <v>46273.0</v>
      </c>
      <c r="C2326" s="33">
        <f>Demand!C2324</f>
        <v>10</v>
      </c>
      <c r="D2326" s="33">
        <f>Demand!E2324</f>
        <v>25</v>
      </c>
      <c r="E2326" s="33">
        <f>IF(Demand!F2324,1,0)</f>
        <v>0</v>
      </c>
      <c r="F2326" s="33">
        <f>COUNTIFS(c_store,A2326,c_date,B2326,c_hour,C2326)</f>
        <v>0</v>
      </c>
      <c r="G2326" s="33">
        <f>IF(F2326&gt;0,1,0)</f>
        <v>0</v>
      </c>
      <c r="H2326" s="33">
        <f>COUNTIFS(Demand!$A$2:$A$4481,A2326,Demand!$B$2:$B$4481,B2326,Demand!$C$2:$C$4481,C2326)</f>
        <v>1</v>
      </c>
    </row>
    <row r="2327">
      <c r="A2327" s="32" t="str">
        <f>Demand!A2325</f>
        <v>S006</v>
      </c>
      <c r="B2327" s="35">
        <f>Demand!B2325</f>
        <v>46273.0</v>
      </c>
      <c r="C2327" s="33">
        <f>Demand!C2325</f>
        <v>11</v>
      </c>
      <c r="D2327" s="33">
        <f>Demand!E2325</f>
        <v>24</v>
      </c>
      <c r="E2327" s="33">
        <f>IF(Demand!F2325,1,0)</f>
        <v>0</v>
      </c>
      <c r="F2327" s="33">
        <f>COUNTIFS(c_store,A2327,c_date,B2327,c_hour,C2327)</f>
        <v>0</v>
      </c>
      <c r="G2327" s="33">
        <f>IF(F2327&gt;0,1,0)</f>
        <v>0</v>
      </c>
      <c r="H2327" s="33">
        <f>COUNTIFS(Demand!$A$2:$A$4481,A2327,Demand!$B$2:$B$4481,B2327,Demand!$C$2:$C$4481,C2327)</f>
        <v>1</v>
      </c>
    </row>
    <row r="2328">
      <c r="A2328" s="32" t="str">
        <f>Demand!A2326</f>
        <v>S006</v>
      </c>
      <c r="B2328" s="35">
        <f>Demand!B2326</f>
        <v>46273.0</v>
      </c>
      <c r="C2328" s="33">
        <f>Demand!C2326</f>
        <v>12</v>
      </c>
      <c r="D2328" s="33">
        <f>Demand!E2326</f>
        <v>26</v>
      </c>
      <c r="E2328" s="33">
        <f>IF(Demand!F2326,1,0)</f>
        <v>0</v>
      </c>
      <c r="F2328" s="33">
        <f>COUNTIFS(c_store,A2328,c_date,B2328,c_hour,C2328)</f>
        <v>0</v>
      </c>
      <c r="G2328" s="33">
        <f>IF(F2328&gt;0,1,0)</f>
        <v>0</v>
      </c>
      <c r="H2328" s="33">
        <f>COUNTIFS(Demand!$A$2:$A$4481,A2328,Demand!$B$2:$B$4481,B2328,Demand!$C$2:$C$4481,C2328)</f>
        <v>1</v>
      </c>
    </row>
    <row r="2329">
      <c r="A2329" s="32" t="str">
        <f>Demand!A2327</f>
        <v>S006</v>
      </c>
      <c r="B2329" s="35">
        <f>Demand!B2327</f>
        <v>46273.0</v>
      </c>
      <c r="C2329" s="33">
        <f>Demand!C2327</f>
        <v>13</v>
      </c>
      <c r="D2329" s="33">
        <f>Demand!E2327</f>
        <v>29</v>
      </c>
      <c r="E2329" s="33">
        <f>IF(Demand!F2327,1,0)</f>
        <v>0</v>
      </c>
      <c r="F2329" s="33">
        <f>COUNTIFS(c_store,A2329,c_date,B2329,c_hour,C2329)</f>
        <v>1</v>
      </c>
      <c r="G2329" s="33">
        <f>IF(F2329&gt;0,1,0)</f>
        <v>1</v>
      </c>
      <c r="H2329" s="33">
        <f>COUNTIFS(Demand!$A$2:$A$4481,A2329,Demand!$B$2:$B$4481,B2329,Demand!$C$2:$C$4481,C2329)</f>
        <v>1</v>
      </c>
    </row>
    <row r="2330">
      <c r="A2330" s="32" t="str">
        <f>Demand!A2328</f>
        <v>S006</v>
      </c>
      <c r="B2330" s="35">
        <f>Demand!B2328</f>
        <v>46273.0</v>
      </c>
      <c r="C2330" s="33">
        <f>Demand!C2328</f>
        <v>14</v>
      </c>
      <c r="D2330" s="33">
        <f>Demand!E2328</f>
        <v>19</v>
      </c>
      <c r="E2330" s="33">
        <f>IF(Demand!F2328,1,0)</f>
        <v>0</v>
      </c>
      <c r="F2330" s="33">
        <f>COUNTIFS(c_store,A2330,c_date,B2330,c_hour,C2330)</f>
        <v>0</v>
      </c>
      <c r="G2330" s="33">
        <f>IF(F2330&gt;0,1,0)</f>
        <v>0</v>
      </c>
      <c r="H2330" s="33">
        <f>COUNTIFS(Demand!$A$2:$A$4481,A2330,Demand!$B$2:$B$4481,B2330,Demand!$C$2:$C$4481,C2330)</f>
        <v>1</v>
      </c>
    </row>
    <row r="2331">
      <c r="A2331" s="32" t="str">
        <f>Demand!A2329</f>
        <v>S006</v>
      </c>
      <c r="B2331" s="35">
        <f>Demand!B2329</f>
        <v>46273.0</v>
      </c>
      <c r="C2331" s="33">
        <f>Demand!C2329</f>
        <v>15</v>
      </c>
      <c r="D2331" s="33">
        <f>Demand!E2329</f>
        <v>12</v>
      </c>
      <c r="E2331" s="33">
        <f>IF(Demand!F2329,1,0)</f>
        <v>0</v>
      </c>
      <c r="F2331" s="33">
        <f>COUNTIFS(c_store,A2331,c_date,B2331,c_hour,C2331)</f>
        <v>0</v>
      </c>
      <c r="G2331" s="33">
        <f>IF(F2331&gt;0,1,0)</f>
        <v>0</v>
      </c>
      <c r="H2331" s="33">
        <f>COUNTIFS(Demand!$A$2:$A$4481,A2331,Demand!$B$2:$B$4481,B2331,Demand!$C$2:$C$4481,C2331)</f>
        <v>1</v>
      </c>
    </row>
    <row r="2332">
      <c r="A2332" s="32" t="str">
        <f>Demand!A2330</f>
        <v>S006</v>
      </c>
      <c r="B2332" s="35">
        <f>Demand!B2330</f>
        <v>46273.0</v>
      </c>
      <c r="C2332" s="33">
        <f>Demand!C2330</f>
        <v>16</v>
      </c>
      <c r="D2332" s="33">
        <f>Demand!E2330</f>
        <v>32</v>
      </c>
      <c r="E2332" s="33">
        <f>IF(Demand!F2330,1,0)</f>
        <v>0</v>
      </c>
      <c r="F2332" s="33">
        <f>COUNTIFS(c_store,A2332,c_date,B2332,c_hour,C2332)</f>
        <v>0</v>
      </c>
      <c r="G2332" s="33">
        <f>IF(F2332&gt;0,1,0)</f>
        <v>0</v>
      </c>
      <c r="H2332" s="33">
        <f>COUNTIFS(Demand!$A$2:$A$4481,A2332,Demand!$B$2:$B$4481,B2332,Demand!$C$2:$C$4481,C2332)</f>
        <v>1</v>
      </c>
    </row>
    <row r="2333">
      <c r="A2333" s="32" t="str">
        <f>Demand!A2331</f>
        <v>S006</v>
      </c>
      <c r="B2333" s="35">
        <f>Demand!B2331</f>
        <v>46273.0</v>
      </c>
      <c r="C2333" s="33">
        <f>Demand!C2331</f>
        <v>17</v>
      </c>
      <c r="D2333" s="33">
        <f>Demand!E2331</f>
        <v>22</v>
      </c>
      <c r="E2333" s="33">
        <f>IF(Demand!F2331,1,0)</f>
        <v>0</v>
      </c>
      <c r="F2333" s="33">
        <f>COUNTIFS(c_store,A2333,c_date,B2333,c_hour,C2333)</f>
        <v>1</v>
      </c>
      <c r="G2333" s="33">
        <f>IF(F2333&gt;0,1,0)</f>
        <v>1</v>
      </c>
      <c r="H2333" s="33">
        <f>COUNTIFS(Demand!$A$2:$A$4481,A2333,Demand!$B$2:$B$4481,B2333,Demand!$C$2:$C$4481,C2333)</f>
        <v>1</v>
      </c>
    </row>
    <row r="2334">
      <c r="A2334" s="32" t="str">
        <f>Demand!A2332</f>
        <v>S006</v>
      </c>
      <c r="B2334" s="35">
        <f>Demand!B2332</f>
        <v>46273.0</v>
      </c>
      <c r="C2334" s="33">
        <f>Demand!C2332</f>
        <v>18</v>
      </c>
      <c r="D2334" s="33">
        <f>Demand!E2332</f>
        <v>27</v>
      </c>
      <c r="E2334" s="33">
        <f>IF(Demand!F2332,1,0)</f>
        <v>0</v>
      </c>
      <c r="F2334" s="33">
        <f>COUNTIFS(c_store,A2334,c_date,B2334,c_hour,C2334)</f>
        <v>1</v>
      </c>
      <c r="G2334" s="33">
        <f>IF(F2334&gt;0,1,0)</f>
        <v>1</v>
      </c>
      <c r="H2334" s="33">
        <f>COUNTIFS(Demand!$A$2:$A$4481,A2334,Demand!$B$2:$B$4481,B2334,Demand!$C$2:$C$4481,C2334)</f>
        <v>1</v>
      </c>
    </row>
    <row r="2335">
      <c r="A2335" s="32" t="str">
        <f>Demand!A2333</f>
        <v>S006</v>
      </c>
      <c r="B2335" s="35">
        <f>Demand!B2333</f>
        <v>46273.0</v>
      </c>
      <c r="C2335" s="33">
        <f>Demand!C2333</f>
        <v>19</v>
      </c>
      <c r="D2335" s="33">
        <f>Demand!E2333</f>
        <v>43</v>
      </c>
      <c r="E2335" s="33">
        <f>IF(Demand!F2333,1,0)</f>
        <v>1</v>
      </c>
      <c r="F2335" s="33">
        <f>COUNTIFS(c_store,A2335,c_date,B2335,c_hour,C2335)</f>
        <v>0</v>
      </c>
      <c r="G2335" s="33">
        <f>IF(F2335&gt;0,1,0)</f>
        <v>0</v>
      </c>
      <c r="H2335" s="33">
        <f>COUNTIFS(Demand!$A$2:$A$4481,A2335,Demand!$B$2:$B$4481,B2335,Demand!$C$2:$C$4481,C2335)</f>
        <v>1</v>
      </c>
    </row>
    <row r="2336">
      <c r="A2336" s="32" t="str">
        <f>Demand!A2334</f>
        <v>S006</v>
      </c>
      <c r="B2336" s="35">
        <f>Demand!B2334</f>
        <v>46273.0</v>
      </c>
      <c r="C2336" s="33">
        <f>Demand!C2334</f>
        <v>20</v>
      </c>
      <c r="D2336" s="33">
        <f>Demand!E2334</f>
        <v>39</v>
      </c>
      <c r="E2336" s="33">
        <f>IF(Demand!F2334,1,0)</f>
        <v>1</v>
      </c>
      <c r="F2336" s="33">
        <f>COUNTIFS(c_store,A2336,c_date,B2336,c_hour,C2336)</f>
        <v>1</v>
      </c>
      <c r="G2336" s="33">
        <f>IF(F2336&gt;0,1,0)</f>
        <v>1</v>
      </c>
      <c r="H2336" s="33">
        <f>COUNTIFS(Demand!$A$2:$A$4481,A2336,Demand!$B$2:$B$4481,B2336,Demand!$C$2:$C$4481,C2336)</f>
        <v>1</v>
      </c>
    </row>
    <row r="2337">
      <c r="A2337" s="32" t="str">
        <f>Demand!A2335</f>
        <v>S006</v>
      </c>
      <c r="B2337" s="35">
        <f>Demand!B2335</f>
        <v>46273.0</v>
      </c>
      <c r="C2337" s="33">
        <f>Demand!C2335</f>
        <v>21</v>
      </c>
      <c r="D2337" s="33">
        <f>Demand!E2335</f>
        <v>42</v>
      </c>
      <c r="E2337" s="33">
        <f>IF(Demand!F2335,1,0)</f>
        <v>1</v>
      </c>
      <c r="F2337" s="33">
        <f>COUNTIFS(c_store,A2337,c_date,B2337,c_hour,C2337)</f>
        <v>0</v>
      </c>
      <c r="G2337" s="33">
        <f>IF(F2337&gt;0,1,0)</f>
        <v>0</v>
      </c>
      <c r="H2337" s="33">
        <f>COUNTIFS(Demand!$A$2:$A$4481,A2337,Demand!$B$2:$B$4481,B2337,Demand!$C$2:$C$4481,C2337)</f>
        <v>1</v>
      </c>
    </row>
    <row r="2338">
      <c r="A2338" s="32" t="str">
        <f>Demand!A2336</f>
        <v>S006</v>
      </c>
      <c r="B2338" s="35">
        <f>Demand!B2336</f>
        <v>46273.0</v>
      </c>
      <c r="C2338" s="33">
        <f>Demand!C2336</f>
        <v>22</v>
      </c>
      <c r="D2338" s="33">
        <f>Demand!E2336</f>
        <v>21</v>
      </c>
      <c r="E2338" s="33">
        <f>IF(Demand!F2336,1,0)</f>
        <v>0</v>
      </c>
      <c r="F2338" s="33">
        <f>COUNTIFS(c_store,A2338,c_date,B2338,c_hour,C2338)</f>
        <v>0</v>
      </c>
      <c r="G2338" s="33">
        <f>IF(F2338&gt;0,1,0)</f>
        <v>0</v>
      </c>
      <c r="H2338" s="33">
        <f>COUNTIFS(Demand!$A$2:$A$4481,A2338,Demand!$B$2:$B$4481,B2338,Demand!$C$2:$C$4481,C2338)</f>
        <v>1</v>
      </c>
    </row>
    <row r="2339">
      <c r="A2339" s="32" t="str">
        <f>Demand!A2337</f>
        <v>S006</v>
      </c>
      <c r="B2339" s="35">
        <f>Demand!B2337</f>
        <v>46273.0</v>
      </c>
      <c r="C2339" s="33">
        <f>Demand!C2337</f>
        <v>23</v>
      </c>
      <c r="D2339" s="33">
        <f>Demand!E2337</f>
        <v>33</v>
      </c>
      <c r="E2339" s="33">
        <f>IF(Demand!F2337,1,0)</f>
        <v>0</v>
      </c>
      <c r="F2339" s="33">
        <f>COUNTIFS(c_store,A2339,c_date,B2339,c_hour,C2339)</f>
        <v>1</v>
      </c>
      <c r="G2339" s="33">
        <f>IF(F2339&gt;0,1,0)</f>
        <v>1</v>
      </c>
      <c r="H2339" s="33">
        <f>COUNTIFS(Demand!$A$2:$A$4481,A2339,Demand!$B$2:$B$4481,B2339,Demand!$C$2:$C$4481,C2339)</f>
        <v>1</v>
      </c>
    </row>
    <row r="2340">
      <c r="A2340" s="32" t="str">
        <f>Demand!A2338</f>
        <v>S007</v>
      </c>
      <c r="B2340" s="35">
        <f>Demand!B2338</f>
        <v>46273.0</v>
      </c>
      <c r="C2340" s="33">
        <f>Demand!C2338</f>
        <v>8</v>
      </c>
      <c r="D2340" s="33">
        <f>Demand!E2338</f>
        <v>23</v>
      </c>
      <c r="E2340" s="33">
        <f>IF(Demand!F2338,1,0)</f>
        <v>0</v>
      </c>
      <c r="F2340" s="33">
        <f>COUNTIFS(c_store,A2340,c_date,B2340,c_hour,C2340)</f>
        <v>0</v>
      </c>
      <c r="G2340" s="33">
        <f>IF(F2340&gt;0,1,0)</f>
        <v>0</v>
      </c>
      <c r="H2340" s="33">
        <f>COUNTIFS(Demand!$A$2:$A$4481,A2340,Demand!$B$2:$B$4481,B2340,Demand!$C$2:$C$4481,C2340)</f>
        <v>1</v>
      </c>
    </row>
    <row r="2341">
      <c r="A2341" s="32" t="str">
        <f>Demand!A2339</f>
        <v>S007</v>
      </c>
      <c r="B2341" s="35">
        <f>Demand!B2339</f>
        <v>46273.0</v>
      </c>
      <c r="C2341" s="33">
        <f>Demand!C2339</f>
        <v>9</v>
      </c>
      <c r="D2341" s="33">
        <f>Demand!E2339</f>
        <v>21</v>
      </c>
      <c r="E2341" s="33">
        <f>IF(Demand!F2339,1,0)</f>
        <v>0</v>
      </c>
      <c r="F2341" s="33">
        <f>COUNTIFS(c_store,A2341,c_date,B2341,c_hour,C2341)</f>
        <v>2</v>
      </c>
      <c r="G2341" s="33">
        <f>IF(F2341&gt;0,1,0)</f>
        <v>1</v>
      </c>
      <c r="H2341" s="33">
        <f>COUNTIFS(Demand!$A$2:$A$4481,A2341,Demand!$B$2:$B$4481,B2341,Demand!$C$2:$C$4481,C2341)</f>
        <v>1</v>
      </c>
    </row>
    <row r="2342">
      <c r="A2342" s="32" t="str">
        <f>Demand!A2340</f>
        <v>S007</v>
      </c>
      <c r="B2342" s="35">
        <f>Demand!B2340</f>
        <v>46273.0</v>
      </c>
      <c r="C2342" s="33">
        <f>Demand!C2340</f>
        <v>10</v>
      </c>
      <c r="D2342" s="33">
        <f>Demand!E2340</f>
        <v>23</v>
      </c>
      <c r="E2342" s="33">
        <f>IF(Demand!F2340,1,0)</f>
        <v>0</v>
      </c>
      <c r="F2342" s="33">
        <f>COUNTIFS(c_store,A2342,c_date,B2342,c_hour,C2342)</f>
        <v>0</v>
      </c>
      <c r="G2342" s="33">
        <f>IF(F2342&gt;0,1,0)</f>
        <v>0</v>
      </c>
      <c r="H2342" s="33">
        <f>COUNTIFS(Demand!$A$2:$A$4481,A2342,Demand!$B$2:$B$4481,B2342,Demand!$C$2:$C$4481,C2342)</f>
        <v>1</v>
      </c>
    </row>
    <row r="2343">
      <c r="A2343" s="32" t="str">
        <f>Demand!A2341</f>
        <v>S007</v>
      </c>
      <c r="B2343" s="35">
        <f>Demand!B2341</f>
        <v>46273.0</v>
      </c>
      <c r="C2343" s="33">
        <f>Demand!C2341</f>
        <v>11</v>
      </c>
      <c r="D2343" s="33">
        <f>Demand!E2341</f>
        <v>38</v>
      </c>
      <c r="E2343" s="33">
        <f>IF(Demand!F2341,1,0)</f>
        <v>0</v>
      </c>
      <c r="F2343" s="33">
        <f>COUNTIFS(c_store,A2343,c_date,B2343,c_hour,C2343)</f>
        <v>1</v>
      </c>
      <c r="G2343" s="33">
        <f>IF(F2343&gt;0,1,0)</f>
        <v>1</v>
      </c>
      <c r="H2343" s="33">
        <f>COUNTIFS(Demand!$A$2:$A$4481,A2343,Demand!$B$2:$B$4481,B2343,Demand!$C$2:$C$4481,C2343)</f>
        <v>1</v>
      </c>
    </row>
    <row r="2344">
      <c r="A2344" s="32" t="str">
        <f>Demand!A2342</f>
        <v>S007</v>
      </c>
      <c r="B2344" s="35">
        <f>Demand!B2342</f>
        <v>46273.0</v>
      </c>
      <c r="C2344" s="33">
        <f>Demand!C2342</f>
        <v>12</v>
      </c>
      <c r="D2344" s="33">
        <f>Demand!E2342</f>
        <v>38</v>
      </c>
      <c r="E2344" s="33">
        <f>IF(Demand!F2342,1,0)</f>
        <v>0</v>
      </c>
      <c r="F2344" s="33">
        <f>COUNTIFS(c_store,A2344,c_date,B2344,c_hour,C2344)</f>
        <v>0</v>
      </c>
      <c r="G2344" s="33">
        <f>IF(F2344&gt;0,1,0)</f>
        <v>0</v>
      </c>
      <c r="H2344" s="33">
        <f>COUNTIFS(Demand!$A$2:$A$4481,A2344,Demand!$B$2:$B$4481,B2344,Demand!$C$2:$C$4481,C2344)</f>
        <v>1</v>
      </c>
    </row>
    <row r="2345">
      <c r="A2345" s="32" t="str">
        <f>Demand!A2343</f>
        <v>S007</v>
      </c>
      <c r="B2345" s="35">
        <f>Demand!B2343</f>
        <v>46273.0</v>
      </c>
      <c r="C2345" s="33">
        <f>Demand!C2343</f>
        <v>13</v>
      </c>
      <c r="D2345" s="33">
        <f>Demand!E2343</f>
        <v>41</v>
      </c>
      <c r="E2345" s="33">
        <f>IF(Demand!F2343,1,0)</f>
        <v>0</v>
      </c>
      <c r="F2345" s="33">
        <f>COUNTIFS(c_store,A2345,c_date,B2345,c_hour,C2345)</f>
        <v>0</v>
      </c>
      <c r="G2345" s="33">
        <f>IF(F2345&gt;0,1,0)</f>
        <v>0</v>
      </c>
      <c r="H2345" s="33">
        <f>COUNTIFS(Demand!$A$2:$A$4481,A2345,Demand!$B$2:$B$4481,B2345,Demand!$C$2:$C$4481,C2345)</f>
        <v>1</v>
      </c>
    </row>
    <row r="2346">
      <c r="A2346" s="32" t="str">
        <f>Demand!A2344</f>
        <v>S007</v>
      </c>
      <c r="B2346" s="35">
        <f>Demand!B2344</f>
        <v>46273.0</v>
      </c>
      <c r="C2346" s="33">
        <f>Demand!C2344</f>
        <v>14</v>
      </c>
      <c r="D2346" s="33">
        <f>Demand!E2344</f>
        <v>34</v>
      </c>
      <c r="E2346" s="33">
        <f>IF(Demand!F2344,1,0)</f>
        <v>0</v>
      </c>
      <c r="F2346" s="33">
        <f>COUNTIFS(c_store,A2346,c_date,B2346,c_hour,C2346)</f>
        <v>1</v>
      </c>
      <c r="G2346" s="33">
        <f>IF(F2346&gt;0,1,0)</f>
        <v>1</v>
      </c>
      <c r="H2346" s="33">
        <f>COUNTIFS(Demand!$A$2:$A$4481,A2346,Demand!$B$2:$B$4481,B2346,Demand!$C$2:$C$4481,C2346)</f>
        <v>1</v>
      </c>
    </row>
    <row r="2347">
      <c r="A2347" s="32" t="str">
        <f>Demand!A2345</f>
        <v>S007</v>
      </c>
      <c r="B2347" s="35">
        <f>Demand!B2345</f>
        <v>46273.0</v>
      </c>
      <c r="C2347" s="33">
        <f>Demand!C2345</f>
        <v>15</v>
      </c>
      <c r="D2347" s="33">
        <f>Demand!E2345</f>
        <v>20</v>
      </c>
      <c r="E2347" s="33">
        <f>IF(Demand!F2345,1,0)</f>
        <v>0</v>
      </c>
      <c r="F2347" s="33">
        <f>COUNTIFS(c_store,A2347,c_date,B2347,c_hour,C2347)</f>
        <v>2</v>
      </c>
      <c r="G2347" s="33">
        <f>IF(F2347&gt;0,1,0)</f>
        <v>1</v>
      </c>
      <c r="H2347" s="33">
        <f>COUNTIFS(Demand!$A$2:$A$4481,A2347,Demand!$B$2:$B$4481,B2347,Demand!$C$2:$C$4481,C2347)</f>
        <v>1</v>
      </c>
    </row>
    <row r="2348">
      <c r="A2348" s="32" t="str">
        <f>Demand!A2346</f>
        <v>S007</v>
      </c>
      <c r="B2348" s="35">
        <f>Demand!B2346</f>
        <v>46273.0</v>
      </c>
      <c r="C2348" s="33">
        <f>Demand!C2346</f>
        <v>16</v>
      </c>
      <c r="D2348" s="33">
        <f>Demand!E2346</f>
        <v>33</v>
      </c>
      <c r="E2348" s="33">
        <f>IF(Demand!F2346,1,0)</f>
        <v>0</v>
      </c>
      <c r="F2348" s="33">
        <f>COUNTIFS(c_store,A2348,c_date,B2348,c_hour,C2348)</f>
        <v>1</v>
      </c>
      <c r="G2348" s="33">
        <f>IF(F2348&gt;0,1,0)</f>
        <v>1</v>
      </c>
      <c r="H2348" s="33">
        <f>COUNTIFS(Demand!$A$2:$A$4481,A2348,Demand!$B$2:$B$4481,B2348,Demand!$C$2:$C$4481,C2348)</f>
        <v>1</v>
      </c>
    </row>
    <row r="2349">
      <c r="A2349" s="32" t="str">
        <f>Demand!A2347</f>
        <v>S007</v>
      </c>
      <c r="B2349" s="35">
        <f>Demand!B2347</f>
        <v>46273.0</v>
      </c>
      <c r="C2349" s="33">
        <f>Demand!C2347</f>
        <v>17</v>
      </c>
      <c r="D2349" s="33">
        <f>Demand!E2347</f>
        <v>34</v>
      </c>
      <c r="E2349" s="33">
        <f>IF(Demand!F2347,1,0)</f>
        <v>0</v>
      </c>
      <c r="F2349" s="33">
        <f>COUNTIFS(c_store,A2349,c_date,B2349,c_hour,C2349)</f>
        <v>0</v>
      </c>
      <c r="G2349" s="33">
        <f>IF(F2349&gt;0,1,0)</f>
        <v>0</v>
      </c>
      <c r="H2349" s="33">
        <f>COUNTIFS(Demand!$A$2:$A$4481,A2349,Demand!$B$2:$B$4481,B2349,Demand!$C$2:$C$4481,C2349)</f>
        <v>1</v>
      </c>
    </row>
    <row r="2350">
      <c r="A2350" s="32" t="str">
        <f>Demand!A2348</f>
        <v>S007</v>
      </c>
      <c r="B2350" s="35">
        <f>Demand!B2348</f>
        <v>46273.0</v>
      </c>
      <c r="C2350" s="33">
        <f>Demand!C2348</f>
        <v>18</v>
      </c>
      <c r="D2350" s="33">
        <f>Demand!E2348</f>
        <v>47</v>
      </c>
      <c r="E2350" s="33">
        <f>IF(Demand!F2348,1,0)</f>
        <v>0</v>
      </c>
      <c r="F2350" s="33">
        <f>COUNTIFS(c_store,A2350,c_date,B2350,c_hour,C2350)</f>
        <v>0</v>
      </c>
      <c r="G2350" s="33">
        <f>IF(F2350&gt;0,1,0)</f>
        <v>0</v>
      </c>
      <c r="H2350" s="33">
        <f>COUNTIFS(Demand!$A$2:$A$4481,A2350,Demand!$B$2:$B$4481,B2350,Demand!$C$2:$C$4481,C2350)</f>
        <v>1</v>
      </c>
    </row>
    <row r="2351">
      <c r="A2351" s="32" t="str">
        <f>Demand!A2349</f>
        <v>S007</v>
      </c>
      <c r="B2351" s="35">
        <f>Demand!B2349</f>
        <v>46273.0</v>
      </c>
      <c r="C2351" s="33">
        <f>Demand!C2349</f>
        <v>19</v>
      </c>
      <c r="D2351" s="33">
        <f>Demand!E2349</f>
        <v>53</v>
      </c>
      <c r="E2351" s="33">
        <f>IF(Demand!F2349,1,0)</f>
        <v>1</v>
      </c>
      <c r="F2351" s="33">
        <f>COUNTIFS(c_store,A2351,c_date,B2351,c_hour,C2351)</f>
        <v>1</v>
      </c>
      <c r="G2351" s="33">
        <f>IF(F2351&gt;0,1,0)</f>
        <v>1</v>
      </c>
      <c r="H2351" s="33">
        <f>COUNTIFS(Demand!$A$2:$A$4481,A2351,Demand!$B$2:$B$4481,B2351,Demand!$C$2:$C$4481,C2351)</f>
        <v>1</v>
      </c>
    </row>
    <row r="2352">
      <c r="A2352" s="32" t="str">
        <f>Demand!A2350</f>
        <v>S007</v>
      </c>
      <c r="B2352" s="35">
        <f>Demand!B2350</f>
        <v>46273.0</v>
      </c>
      <c r="C2352" s="33">
        <f>Demand!C2350</f>
        <v>20</v>
      </c>
      <c r="D2352" s="33">
        <f>Demand!E2350</f>
        <v>42</v>
      </c>
      <c r="E2352" s="33">
        <f>IF(Demand!F2350,1,0)</f>
        <v>1</v>
      </c>
      <c r="F2352" s="33">
        <f>COUNTIFS(c_store,A2352,c_date,B2352,c_hour,C2352)</f>
        <v>3</v>
      </c>
      <c r="G2352" s="33">
        <f>IF(F2352&gt;0,1,0)</f>
        <v>1</v>
      </c>
      <c r="H2352" s="33">
        <f>COUNTIFS(Demand!$A$2:$A$4481,A2352,Demand!$B$2:$B$4481,B2352,Demand!$C$2:$C$4481,C2352)</f>
        <v>1</v>
      </c>
    </row>
    <row r="2353">
      <c r="A2353" s="32" t="str">
        <f>Demand!A2351</f>
        <v>S007</v>
      </c>
      <c r="B2353" s="35">
        <f>Demand!B2351</f>
        <v>46273.0</v>
      </c>
      <c r="C2353" s="33">
        <f>Demand!C2351</f>
        <v>21</v>
      </c>
      <c r="D2353" s="33">
        <f>Demand!E2351</f>
        <v>59</v>
      </c>
      <c r="E2353" s="33">
        <f>IF(Demand!F2351,1,0)</f>
        <v>1</v>
      </c>
      <c r="F2353" s="33">
        <f>COUNTIFS(c_store,A2353,c_date,B2353,c_hour,C2353)</f>
        <v>0</v>
      </c>
      <c r="G2353" s="33">
        <f>IF(F2353&gt;0,1,0)</f>
        <v>0</v>
      </c>
      <c r="H2353" s="33">
        <f>COUNTIFS(Demand!$A$2:$A$4481,A2353,Demand!$B$2:$B$4481,B2353,Demand!$C$2:$C$4481,C2353)</f>
        <v>1</v>
      </c>
    </row>
    <row r="2354">
      <c r="A2354" s="32" t="str">
        <f>Demand!A2352</f>
        <v>S007</v>
      </c>
      <c r="B2354" s="35">
        <f>Demand!B2352</f>
        <v>46273.0</v>
      </c>
      <c r="C2354" s="33">
        <f>Demand!C2352</f>
        <v>22</v>
      </c>
      <c r="D2354" s="33">
        <f>Demand!E2352</f>
        <v>43</v>
      </c>
      <c r="E2354" s="33">
        <f>IF(Demand!F2352,1,0)</f>
        <v>0</v>
      </c>
      <c r="F2354" s="33">
        <f>COUNTIFS(c_store,A2354,c_date,B2354,c_hour,C2354)</f>
        <v>0</v>
      </c>
      <c r="G2354" s="33">
        <f>IF(F2354&gt;0,1,0)</f>
        <v>0</v>
      </c>
      <c r="H2354" s="33">
        <f>COUNTIFS(Demand!$A$2:$A$4481,A2354,Demand!$B$2:$B$4481,B2354,Demand!$C$2:$C$4481,C2354)</f>
        <v>1</v>
      </c>
    </row>
    <row r="2355">
      <c r="A2355" s="32" t="str">
        <f>Demand!A2353</f>
        <v>S007</v>
      </c>
      <c r="B2355" s="35">
        <f>Demand!B2353</f>
        <v>46273.0</v>
      </c>
      <c r="C2355" s="33">
        <f>Demand!C2353</f>
        <v>23</v>
      </c>
      <c r="D2355" s="33">
        <f>Demand!E2353</f>
        <v>36</v>
      </c>
      <c r="E2355" s="33">
        <f>IF(Demand!F2353,1,0)</f>
        <v>0</v>
      </c>
      <c r="F2355" s="33">
        <f>COUNTIFS(c_store,A2355,c_date,B2355,c_hour,C2355)</f>
        <v>0</v>
      </c>
      <c r="G2355" s="33">
        <f>IF(F2355&gt;0,1,0)</f>
        <v>0</v>
      </c>
      <c r="H2355" s="33">
        <f>COUNTIFS(Demand!$A$2:$A$4481,A2355,Demand!$B$2:$B$4481,B2355,Demand!$C$2:$C$4481,C2355)</f>
        <v>1</v>
      </c>
    </row>
    <row r="2356">
      <c r="A2356" s="32" t="str">
        <f>Demand!A2354</f>
        <v>S008</v>
      </c>
      <c r="B2356" s="35">
        <f>Demand!B2354</f>
        <v>46273.0</v>
      </c>
      <c r="C2356" s="33">
        <f>Demand!C2354</f>
        <v>8</v>
      </c>
      <c r="D2356" s="33">
        <f>Demand!E2354</f>
        <v>14</v>
      </c>
      <c r="E2356" s="33">
        <f>IF(Demand!F2354,1,0)</f>
        <v>0</v>
      </c>
      <c r="F2356" s="33">
        <f>COUNTIFS(c_store,A2356,c_date,B2356,c_hour,C2356)</f>
        <v>0</v>
      </c>
      <c r="G2356" s="33">
        <f>IF(F2356&gt;0,1,0)</f>
        <v>0</v>
      </c>
      <c r="H2356" s="33">
        <f>COUNTIFS(Demand!$A$2:$A$4481,A2356,Demand!$B$2:$B$4481,B2356,Demand!$C$2:$C$4481,C2356)</f>
        <v>1</v>
      </c>
    </row>
    <row r="2357">
      <c r="A2357" s="32" t="str">
        <f>Demand!A2355</f>
        <v>S008</v>
      </c>
      <c r="B2357" s="35">
        <f>Demand!B2355</f>
        <v>46273.0</v>
      </c>
      <c r="C2357" s="33">
        <f>Demand!C2355</f>
        <v>9</v>
      </c>
      <c r="D2357" s="33">
        <f>Demand!E2355</f>
        <v>17</v>
      </c>
      <c r="E2357" s="33">
        <f>IF(Demand!F2355,1,0)</f>
        <v>0</v>
      </c>
      <c r="F2357" s="33">
        <f>COUNTIFS(c_store,A2357,c_date,B2357,c_hour,C2357)</f>
        <v>0</v>
      </c>
      <c r="G2357" s="33">
        <f>IF(F2357&gt;0,1,0)</f>
        <v>0</v>
      </c>
      <c r="H2357" s="33">
        <f>COUNTIFS(Demand!$A$2:$A$4481,A2357,Demand!$B$2:$B$4481,B2357,Demand!$C$2:$C$4481,C2357)</f>
        <v>1</v>
      </c>
    </row>
    <row r="2358">
      <c r="A2358" s="32" t="str">
        <f>Demand!A2356</f>
        <v>S008</v>
      </c>
      <c r="B2358" s="35">
        <f>Demand!B2356</f>
        <v>46273.0</v>
      </c>
      <c r="C2358" s="33">
        <f>Demand!C2356</f>
        <v>10</v>
      </c>
      <c r="D2358" s="33">
        <f>Demand!E2356</f>
        <v>13</v>
      </c>
      <c r="E2358" s="33">
        <f>IF(Demand!F2356,1,0)</f>
        <v>0</v>
      </c>
      <c r="F2358" s="33">
        <f>COUNTIFS(c_store,A2358,c_date,B2358,c_hour,C2358)</f>
        <v>0</v>
      </c>
      <c r="G2358" s="33">
        <f>IF(F2358&gt;0,1,0)</f>
        <v>0</v>
      </c>
      <c r="H2358" s="33">
        <f>COUNTIFS(Demand!$A$2:$A$4481,A2358,Demand!$B$2:$B$4481,B2358,Demand!$C$2:$C$4481,C2358)</f>
        <v>1</v>
      </c>
    </row>
    <row r="2359">
      <c r="A2359" s="32" t="str">
        <f>Demand!A2357</f>
        <v>S008</v>
      </c>
      <c r="B2359" s="35">
        <f>Demand!B2357</f>
        <v>46273.0</v>
      </c>
      <c r="C2359" s="33">
        <f>Demand!C2357</f>
        <v>11</v>
      </c>
      <c r="D2359" s="33">
        <f>Demand!E2357</f>
        <v>20</v>
      </c>
      <c r="E2359" s="33">
        <f>IF(Demand!F2357,1,0)</f>
        <v>0</v>
      </c>
      <c r="F2359" s="33">
        <f>COUNTIFS(c_store,A2359,c_date,B2359,c_hour,C2359)</f>
        <v>0</v>
      </c>
      <c r="G2359" s="33">
        <f>IF(F2359&gt;0,1,0)</f>
        <v>0</v>
      </c>
      <c r="H2359" s="33">
        <f>COUNTIFS(Demand!$A$2:$A$4481,A2359,Demand!$B$2:$B$4481,B2359,Demand!$C$2:$C$4481,C2359)</f>
        <v>1</v>
      </c>
    </row>
    <row r="2360">
      <c r="A2360" s="32" t="str">
        <f>Demand!A2358</f>
        <v>S008</v>
      </c>
      <c r="B2360" s="35">
        <f>Demand!B2358</f>
        <v>46273.0</v>
      </c>
      <c r="C2360" s="33">
        <f>Demand!C2358</f>
        <v>12</v>
      </c>
      <c r="D2360" s="33">
        <f>Demand!E2358</f>
        <v>38</v>
      </c>
      <c r="E2360" s="33">
        <f>IF(Demand!F2358,1,0)</f>
        <v>0</v>
      </c>
      <c r="F2360" s="33">
        <f>COUNTIFS(c_store,A2360,c_date,B2360,c_hour,C2360)</f>
        <v>0</v>
      </c>
      <c r="G2360" s="33">
        <f>IF(F2360&gt;0,1,0)</f>
        <v>0</v>
      </c>
      <c r="H2360" s="33">
        <f>COUNTIFS(Demand!$A$2:$A$4481,A2360,Demand!$B$2:$B$4481,B2360,Demand!$C$2:$C$4481,C2360)</f>
        <v>1</v>
      </c>
    </row>
    <row r="2361">
      <c r="A2361" s="32" t="str">
        <f>Demand!A2359</f>
        <v>S008</v>
      </c>
      <c r="B2361" s="35">
        <f>Demand!B2359</f>
        <v>46273.0</v>
      </c>
      <c r="C2361" s="33">
        <f>Demand!C2359</f>
        <v>13</v>
      </c>
      <c r="D2361" s="33">
        <f>Demand!E2359</f>
        <v>28</v>
      </c>
      <c r="E2361" s="33">
        <f>IF(Demand!F2359,1,0)</f>
        <v>0</v>
      </c>
      <c r="F2361" s="33">
        <f>COUNTIFS(c_store,A2361,c_date,B2361,c_hour,C2361)</f>
        <v>0</v>
      </c>
      <c r="G2361" s="33">
        <f>IF(F2361&gt;0,1,0)</f>
        <v>0</v>
      </c>
      <c r="H2361" s="33">
        <f>COUNTIFS(Demand!$A$2:$A$4481,A2361,Demand!$B$2:$B$4481,B2361,Demand!$C$2:$C$4481,C2361)</f>
        <v>1</v>
      </c>
    </row>
    <row r="2362">
      <c r="A2362" s="32" t="str">
        <f>Demand!A2360</f>
        <v>S008</v>
      </c>
      <c r="B2362" s="35">
        <f>Demand!B2360</f>
        <v>46273.0</v>
      </c>
      <c r="C2362" s="33">
        <f>Demand!C2360</f>
        <v>14</v>
      </c>
      <c r="D2362" s="33">
        <f>Demand!E2360</f>
        <v>9</v>
      </c>
      <c r="E2362" s="33">
        <f>IF(Demand!F2360,1,0)</f>
        <v>0</v>
      </c>
      <c r="F2362" s="33">
        <f>COUNTIFS(c_store,A2362,c_date,B2362,c_hour,C2362)</f>
        <v>0</v>
      </c>
      <c r="G2362" s="33">
        <f>IF(F2362&gt;0,1,0)</f>
        <v>0</v>
      </c>
      <c r="H2362" s="33">
        <f>COUNTIFS(Demand!$A$2:$A$4481,A2362,Demand!$B$2:$B$4481,B2362,Demand!$C$2:$C$4481,C2362)</f>
        <v>1</v>
      </c>
    </row>
    <row r="2363">
      <c r="A2363" s="32" t="str">
        <f>Demand!A2361</f>
        <v>S008</v>
      </c>
      <c r="B2363" s="35">
        <f>Demand!B2361</f>
        <v>46273.0</v>
      </c>
      <c r="C2363" s="33">
        <f>Demand!C2361</f>
        <v>15</v>
      </c>
      <c r="D2363" s="33">
        <f>Demand!E2361</f>
        <v>12</v>
      </c>
      <c r="E2363" s="33">
        <f>IF(Demand!F2361,1,0)</f>
        <v>0</v>
      </c>
      <c r="F2363" s="33">
        <f>COUNTIFS(c_store,A2363,c_date,B2363,c_hour,C2363)</f>
        <v>0</v>
      </c>
      <c r="G2363" s="33">
        <f>IF(F2363&gt;0,1,0)</f>
        <v>0</v>
      </c>
      <c r="H2363" s="33">
        <f>COUNTIFS(Demand!$A$2:$A$4481,A2363,Demand!$B$2:$B$4481,B2363,Demand!$C$2:$C$4481,C2363)</f>
        <v>1</v>
      </c>
    </row>
    <row r="2364">
      <c r="A2364" s="32" t="str">
        <f>Demand!A2362</f>
        <v>S008</v>
      </c>
      <c r="B2364" s="35">
        <f>Demand!B2362</f>
        <v>46273.0</v>
      </c>
      <c r="C2364" s="33">
        <f>Demand!C2362</f>
        <v>16</v>
      </c>
      <c r="D2364" s="33">
        <f>Demand!E2362</f>
        <v>17</v>
      </c>
      <c r="E2364" s="33">
        <f>IF(Demand!F2362,1,0)</f>
        <v>0</v>
      </c>
      <c r="F2364" s="33">
        <f>COUNTIFS(c_store,A2364,c_date,B2364,c_hour,C2364)</f>
        <v>0</v>
      </c>
      <c r="G2364" s="33">
        <f>IF(F2364&gt;0,1,0)</f>
        <v>0</v>
      </c>
      <c r="H2364" s="33">
        <f>COUNTIFS(Demand!$A$2:$A$4481,A2364,Demand!$B$2:$B$4481,B2364,Demand!$C$2:$C$4481,C2364)</f>
        <v>1</v>
      </c>
    </row>
    <row r="2365">
      <c r="A2365" s="32" t="str">
        <f>Demand!A2363</f>
        <v>S008</v>
      </c>
      <c r="B2365" s="35">
        <f>Demand!B2363</f>
        <v>46273.0</v>
      </c>
      <c r="C2365" s="33">
        <f>Demand!C2363</f>
        <v>17</v>
      </c>
      <c r="D2365" s="33">
        <f>Demand!E2363</f>
        <v>22</v>
      </c>
      <c r="E2365" s="33">
        <f>IF(Demand!F2363,1,0)</f>
        <v>0</v>
      </c>
      <c r="F2365" s="33">
        <f>COUNTIFS(c_store,A2365,c_date,B2365,c_hour,C2365)</f>
        <v>0</v>
      </c>
      <c r="G2365" s="33">
        <f>IF(F2365&gt;0,1,0)</f>
        <v>0</v>
      </c>
      <c r="H2365" s="33">
        <f>COUNTIFS(Demand!$A$2:$A$4481,A2365,Demand!$B$2:$B$4481,B2365,Demand!$C$2:$C$4481,C2365)</f>
        <v>1</v>
      </c>
    </row>
    <row r="2366">
      <c r="A2366" s="32" t="str">
        <f>Demand!A2364</f>
        <v>S008</v>
      </c>
      <c r="B2366" s="35">
        <f>Demand!B2364</f>
        <v>46273.0</v>
      </c>
      <c r="C2366" s="33">
        <f>Demand!C2364</f>
        <v>18</v>
      </c>
      <c r="D2366" s="33">
        <f>Demand!E2364</f>
        <v>25</v>
      </c>
      <c r="E2366" s="33">
        <f>IF(Demand!F2364,1,0)</f>
        <v>0</v>
      </c>
      <c r="F2366" s="33">
        <f>COUNTIFS(c_store,A2366,c_date,B2366,c_hour,C2366)</f>
        <v>0</v>
      </c>
      <c r="G2366" s="33">
        <f>IF(F2366&gt;0,1,0)</f>
        <v>0</v>
      </c>
      <c r="H2366" s="33">
        <f>COUNTIFS(Demand!$A$2:$A$4481,A2366,Demand!$B$2:$B$4481,B2366,Demand!$C$2:$C$4481,C2366)</f>
        <v>1</v>
      </c>
    </row>
    <row r="2367">
      <c r="A2367" s="32" t="str">
        <f>Demand!A2365</f>
        <v>S008</v>
      </c>
      <c r="B2367" s="35">
        <f>Demand!B2365</f>
        <v>46273.0</v>
      </c>
      <c r="C2367" s="33">
        <f>Demand!C2365</f>
        <v>19</v>
      </c>
      <c r="D2367" s="33">
        <f>Demand!E2365</f>
        <v>36</v>
      </c>
      <c r="E2367" s="33">
        <f>IF(Demand!F2365,1,0)</f>
        <v>1</v>
      </c>
      <c r="F2367" s="33">
        <f>COUNTIFS(c_store,A2367,c_date,B2367,c_hour,C2367)</f>
        <v>0</v>
      </c>
      <c r="G2367" s="33">
        <f>IF(F2367&gt;0,1,0)</f>
        <v>0</v>
      </c>
      <c r="H2367" s="33">
        <f>COUNTIFS(Demand!$A$2:$A$4481,A2367,Demand!$B$2:$B$4481,B2367,Demand!$C$2:$C$4481,C2367)</f>
        <v>1</v>
      </c>
    </row>
    <row r="2368">
      <c r="A2368" s="32" t="str">
        <f>Demand!A2366</f>
        <v>S008</v>
      </c>
      <c r="B2368" s="35">
        <f>Demand!B2366</f>
        <v>46273.0</v>
      </c>
      <c r="C2368" s="33">
        <f>Demand!C2366</f>
        <v>20</v>
      </c>
      <c r="D2368" s="33">
        <f>Demand!E2366</f>
        <v>39</v>
      </c>
      <c r="E2368" s="33">
        <f>IF(Demand!F2366,1,0)</f>
        <v>1</v>
      </c>
      <c r="F2368" s="33">
        <f>COUNTIFS(c_store,A2368,c_date,B2368,c_hour,C2368)</f>
        <v>1</v>
      </c>
      <c r="G2368" s="33">
        <f>IF(F2368&gt;0,1,0)</f>
        <v>1</v>
      </c>
      <c r="H2368" s="33">
        <f>COUNTIFS(Demand!$A$2:$A$4481,A2368,Demand!$B$2:$B$4481,B2368,Demand!$C$2:$C$4481,C2368)</f>
        <v>1</v>
      </c>
    </row>
    <row r="2369">
      <c r="A2369" s="32" t="str">
        <f>Demand!A2367</f>
        <v>S008</v>
      </c>
      <c r="B2369" s="35">
        <f>Demand!B2367</f>
        <v>46273.0</v>
      </c>
      <c r="C2369" s="33">
        <f>Demand!C2367</f>
        <v>21</v>
      </c>
      <c r="D2369" s="33">
        <f>Demand!E2367</f>
        <v>40</v>
      </c>
      <c r="E2369" s="33">
        <f>IF(Demand!F2367,1,0)</f>
        <v>1</v>
      </c>
      <c r="F2369" s="33">
        <f>COUNTIFS(c_store,A2369,c_date,B2369,c_hour,C2369)</f>
        <v>0</v>
      </c>
      <c r="G2369" s="33">
        <f>IF(F2369&gt;0,1,0)</f>
        <v>0</v>
      </c>
      <c r="H2369" s="33">
        <f>COUNTIFS(Demand!$A$2:$A$4481,A2369,Demand!$B$2:$B$4481,B2369,Demand!$C$2:$C$4481,C2369)</f>
        <v>1</v>
      </c>
    </row>
    <row r="2370">
      <c r="A2370" s="32" t="str">
        <f>Demand!A2368</f>
        <v>S008</v>
      </c>
      <c r="B2370" s="35">
        <f>Demand!B2368</f>
        <v>46273.0</v>
      </c>
      <c r="C2370" s="33">
        <f>Demand!C2368</f>
        <v>22</v>
      </c>
      <c r="D2370" s="33">
        <f>Demand!E2368</f>
        <v>21</v>
      </c>
      <c r="E2370" s="33">
        <f>IF(Demand!F2368,1,0)</f>
        <v>0</v>
      </c>
      <c r="F2370" s="33">
        <f>COUNTIFS(c_store,A2370,c_date,B2370,c_hour,C2370)</f>
        <v>0</v>
      </c>
      <c r="G2370" s="33">
        <f>IF(F2370&gt;0,1,0)</f>
        <v>0</v>
      </c>
      <c r="H2370" s="33">
        <f>COUNTIFS(Demand!$A$2:$A$4481,A2370,Demand!$B$2:$B$4481,B2370,Demand!$C$2:$C$4481,C2370)</f>
        <v>1</v>
      </c>
    </row>
    <row r="2371">
      <c r="A2371" s="32" t="str">
        <f>Demand!A2369</f>
        <v>S008</v>
      </c>
      <c r="B2371" s="35">
        <f>Demand!B2369</f>
        <v>46273.0</v>
      </c>
      <c r="C2371" s="33">
        <f>Demand!C2369</f>
        <v>23</v>
      </c>
      <c r="D2371" s="33">
        <f>Demand!E2369</f>
        <v>17</v>
      </c>
      <c r="E2371" s="33">
        <f>IF(Demand!F2369,1,0)</f>
        <v>0</v>
      </c>
      <c r="F2371" s="33">
        <f>COUNTIFS(c_store,A2371,c_date,B2371,c_hour,C2371)</f>
        <v>0</v>
      </c>
      <c r="G2371" s="33">
        <f>IF(F2371&gt;0,1,0)</f>
        <v>0</v>
      </c>
      <c r="H2371" s="33">
        <f>COUNTIFS(Demand!$A$2:$A$4481,A2371,Demand!$B$2:$B$4481,B2371,Demand!$C$2:$C$4481,C2371)</f>
        <v>1</v>
      </c>
    </row>
    <row r="2372">
      <c r="A2372" s="32" t="str">
        <f>Demand!A2370</f>
        <v>S009</v>
      </c>
      <c r="B2372" s="35">
        <f>Demand!B2370</f>
        <v>46273.0</v>
      </c>
      <c r="C2372" s="33">
        <f>Demand!C2370</f>
        <v>8</v>
      </c>
      <c r="D2372" s="33">
        <f>Demand!E2370</f>
        <v>26</v>
      </c>
      <c r="E2372" s="33">
        <f>IF(Demand!F2370,1,0)</f>
        <v>0</v>
      </c>
      <c r="F2372" s="33">
        <f>COUNTIFS(c_store,A2372,c_date,B2372,c_hour,C2372)</f>
        <v>0</v>
      </c>
      <c r="G2372" s="33">
        <f>IF(F2372&gt;0,1,0)</f>
        <v>0</v>
      </c>
      <c r="H2372" s="33">
        <f>COUNTIFS(Demand!$A$2:$A$4481,A2372,Demand!$B$2:$B$4481,B2372,Demand!$C$2:$C$4481,C2372)</f>
        <v>1</v>
      </c>
    </row>
    <row r="2373">
      <c r="A2373" s="32" t="str">
        <f>Demand!A2371</f>
        <v>S009</v>
      </c>
      <c r="B2373" s="35">
        <f>Demand!B2371</f>
        <v>46273.0</v>
      </c>
      <c r="C2373" s="33">
        <f>Demand!C2371</f>
        <v>9</v>
      </c>
      <c r="D2373" s="33">
        <f>Demand!E2371</f>
        <v>18</v>
      </c>
      <c r="E2373" s="33">
        <f>IF(Demand!F2371,1,0)</f>
        <v>0</v>
      </c>
      <c r="F2373" s="33">
        <f>COUNTIFS(c_store,A2373,c_date,B2373,c_hour,C2373)</f>
        <v>0</v>
      </c>
      <c r="G2373" s="33">
        <f>IF(F2373&gt;0,1,0)</f>
        <v>0</v>
      </c>
      <c r="H2373" s="33">
        <f>COUNTIFS(Demand!$A$2:$A$4481,A2373,Demand!$B$2:$B$4481,B2373,Demand!$C$2:$C$4481,C2373)</f>
        <v>1</v>
      </c>
    </row>
    <row r="2374">
      <c r="A2374" s="32" t="str">
        <f>Demand!A2372</f>
        <v>S009</v>
      </c>
      <c r="B2374" s="35">
        <f>Demand!B2372</f>
        <v>46273.0</v>
      </c>
      <c r="C2374" s="33">
        <f>Demand!C2372</f>
        <v>10</v>
      </c>
      <c r="D2374" s="33">
        <f>Demand!E2372</f>
        <v>29</v>
      </c>
      <c r="E2374" s="33">
        <f>IF(Demand!F2372,1,0)</f>
        <v>0</v>
      </c>
      <c r="F2374" s="33">
        <f>COUNTIFS(c_store,A2374,c_date,B2374,c_hour,C2374)</f>
        <v>1</v>
      </c>
      <c r="G2374" s="33">
        <f>IF(F2374&gt;0,1,0)</f>
        <v>1</v>
      </c>
      <c r="H2374" s="33">
        <f>COUNTIFS(Demand!$A$2:$A$4481,A2374,Demand!$B$2:$B$4481,B2374,Demand!$C$2:$C$4481,C2374)</f>
        <v>1</v>
      </c>
    </row>
    <row r="2375">
      <c r="A2375" s="32" t="str">
        <f>Demand!A2373</f>
        <v>S009</v>
      </c>
      <c r="B2375" s="35">
        <f>Demand!B2373</f>
        <v>46273.0</v>
      </c>
      <c r="C2375" s="33">
        <f>Demand!C2373</f>
        <v>11</v>
      </c>
      <c r="D2375" s="33">
        <f>Demand!E2373</f>
        <v>23</v>
      </c>
      <c r="E2375" s="33">
        <f>IF(Demand!F2373,1,0)</f>
        <v>0</v>
      </c>
      <c r="F2375" s="33">
        <f>COUNTIFS(c_store,A2375,c_date,B2375,c_hour,C2375)</f>
        <v>1</v>
      </c>
      <c r="G2375" s="33">
        <f>IF(F2375&gt;0,1,0)</f>
        <v>1</v>
      </c>
      <c r="H2375" s="33">
        <f>COUNTIFS(Demand!$A$2:$A$4481,A2375,Demand!$B$2:$B$4481,B2375,Demand!$C$2:$C$4481,C2375)</f>
        <v>1</v>
      </c>
    </row>
    <row r="2376">
      <c r="A2376" s="32" t="str">
        <f>Demand!A2374</f>
        <v>S009</v>
      </c>
      <c r="B2376" s="35">
        <f>Demand!B2374</f>
        <v>46273.0</v>
      </c>
      <c r="C2376" s="33">
        <f>Demand!C2374</f>
        <v>12</v>
      </c>
      <c r="D2376" s="33">
        <f>Demand!E2374</f>
        <v>31</v>
      </c>
      <c r="E2376" s="33">
        <f>IF(Demand!F2374,1,0)</f>
        <v>0</v>
      </c>
      <c r="F2376" s="33">
        <f>COUNTIFS(c_store,A2376,c_date,B2376,c_hour,C2376)</f>
        <v>0</v>
      </c>
      <c r="G2376" s="33">
        <f>IF(F2376&gt;0,1,0)</f>
        <v>0</v>
      </c>
      <c r="H2376" s="33">
        <f>COUNTIFS(Demand!$A$2:$A$4481,A2376,Demand!$B$2:$B$4481,B2376,Demand!$C$2:$C$4481,C2376)</f>
        <v>1</v>
      </c>
    </row>
    <row r="2377">
      <c r="A2377" s="32" t="str">
        <f>Demand!A2375</f>
        <v>S009</v>
      </c>
      <c r="B2377" s="35">
        <f>Demand!B2375</f>
        <v>46273.0</v>
      </c>
      <c r="C2377" s="33">
        <f>Demand!C2375</f>
        <v>13</v>
      </c>
      <c r="D2377" s="33">
        <f>Demand!E2375</f>
        <v>41</v>
      </c>
      <c r="E2377" s="33">
        <f>IF(Demand!F2375,1,0)</f>
        <v>0</v>
      </c>
      <c r="F2377" s="33">
        <f>COUNTIFS(c_store,A2377,c_date,B2377,c_hour,C2377)</f>
        <v>0</v>
      </c>
      <c r="G2377" s="33">
        <f>IF(F2377&gt;0,1,0)</f>
        <v>0</v>
      </c>
      <c r="H2377" s="33">
        <f>COUNTIFS(Demand!$A$2:$A$4481,A2377,Demand!$B$2:$B$4481,B2377,Demand!$C$2:$C$4481,C2377)</f>
        <v>1</v>
      </c>
    </row>
    <row r="2378">
      <c r="A2378" s="32" t="str">
        <f>Demand!A2376</f>
        <v>S009</v>
      </c>
      <c r="B2378" s="35">
        <f>Demand!B2376</f>
        <v>46273.0</v>
      </c>
      <c r="C2378" s="33">
        <f>Demand!C2376</f>
        <v>14</v>
      </c>
      <c r="D2378" s="33">
        <f>Demand!E2376</f>
        <v>27</v>
      </c>
      <c r="E2378" s="33">
        <f>IF(Demand!F2376,1,0)</f>
        <v>0</v>
      </c>
      <c r="F2378" s="33">
        <f>COUNTIFS(c_store,A2378,c_date,B2378,c_hour,C2378)</f>
        <v>1</v>
      </c>
      <c r="G2378" s="33">
        <f>IF(F2378&gt;0,1,0)</f>
        <v>1</v>
      </c>
      <c r="H2378" s="33">
        <f>COUNTIFS(Demand!$A$2:$A$4481,A2378,Demand!$B$2:$B$4481,B2378,Demand!$C$2:$C$4481,C2378)</f>
        <v>1</v>
      </c>
    </row>
    <row r="2379">
      <c r="A2379" s="32" t="str">
        <f>Demand!A2377</f>
        <v>S009</v>
      </c>
      <c r="B2379" s="35">
        <f>Demand!B2377</f>
        <v>46273.0</v>
      </c>
      <c r="C2379" s="33">
        <f>Demand!C2377</f>
        <v>15</v>
      </c>
      <c r="D2379" s="33">
        <f>Demand!E2377</f>
        <v>21</v>
      </c>
      <c r="E2379" s="33">
        <f>IF(Demand!F2377,1,0)</f>
        <v>0</v>
      </c>
      <c r="F2379" s="33">
        <f>COUNTIFS(c_store,A2379,c_date,B2379,c_hour,C2379)</f>
        <v>0</v>
      </c>
      <c r="G2379" s="33">
        <f>IF(F2379&gt;0,1,0)</f>
        <v>0</v>
      </c>
      <c r="H2379" s="33">
        <f>COUNTIFS(Demand!$A$2:$A$4481,A2379,Demand!$B$2:$B$4481,B2379,Demand!$C$2:$C$4481,C2379)</f>
        <v>1</v>
      </c>
    </row>
    <row r="2380">
      <c r="A2380" s="32" t="str">
        <f>Demand!A2378</f>
        <v>S009</v>
      </c>
      <c r="B2380" s="35">
        <f>Demand!B2378</f>
        <v>46273.0</v>
      </c>
      <c r="C2380" s="33">
        <f>Demand!C2378</f>
        <v>16</v>
      </c>
      <c r="D2380" s="33">
        <f>Demand!E2378</f>
        <v>23</v>
      </c>
      <c r="E2380" s="33">
        <f>IF(Demand!F2378,1,0)</f>
        <v>0</v>
      </c>
      <c r="F2380" s="33">
        <f>COUNTIFS(c_store,A2380,c_date,B2380,c_hour,C2380)</f>
        <v>1</v>
      </c>
      <c r="G2380" s="33">
        <f>IF(F2380&gt;0,1,0)</f>
        <v>1</v>
      </c>
      <c r="H2380" s="33">
        <f>COUNTIFS(Demand!$A$2:$A$4481,A2380,Demand!$B$2:$B$4481,B2380,Demand!$C$2:$C$4481,C2380)</f>
        <v>1</v>
      </c>
    </row>
    <row r="2381">
      <c r="A2381" s="32" t="str">
        <f>Demand!A2379</f>
        <v>S009</v>
      </c>
      <c r="B2381" s="35">
        <f>Demand!B2379</f>
        <v>46273.0</v>
      </c>
      <c r="C2381" s="33">
        <f>Demand!C2379</f>
        <v>17</v>
      </c>
      <c r="D2381" s="33">
        <f>Demand!E2379</f>
        <v>24</v>
      </c>
      <c r="E2381" s="33">
        <f>IF(Demand!F2379,1,0)</f>
        <v>0</v>
      </c>
      <c r="F2381" s="33">
        <f>COUNTIFS(c_store,A2381,c_date,B2381,c_hour,C2381)</f>
        <v>0</v>
      </c>
      <c r="G2381" s="33">
        <f>IF(F2381&gt;0,1,0)</f>
        <v>0</v>
      </c>
      <c r="H2381" s="33">
        <f>COUNTIFS(Demand!$A$2:$A$4481,A2381,Demand!$B$2:$B$4481,B2381,Demand!$C$2:$C$4481,C2381)</f>
        <v>1</v>
      </c>
    </row>
    <row r="2382">
      <c r="A2382" s="32" t="str">
        <f>Demand!A2380</f>
        <v>S009</v>
      </c>
      <c r="B2382" s="35">
        <f>Demand!B2380</f>
        <v>46273.0</v>
      </c>
      <c r="C2382" s="33">
        <f>Demand!C2380</f>
        <v>18</v>
      </c>
      <c r="D2382" s="33">
        <f>Demand!E2380</f>
        <v>25</v>
      </c>
      <c r="E2382" s="33">
        <f>IF(Demand!F2380,1,0)</f>
        <v>0</v>
      </c>
      <c r="F2382" s="33">
        <f>COUNTIFS(c_store,A2382,c_date,B2382,c_hour,C2382)</f>
        <v>2</v>
      </c>
      <c r="G2382" s="33">
        <f>IF(F2382&gt;0,1,0)</f>
        <v>1</v>
      </c>
      <c r="H2382" s="33">
        <f>COUNTIFS(Demand!$A$2:$A$4481,A2382,Demand!$B$2:$B$4481,B2382,Demand!$C$2:$C$4481,C2382)</f>
        <v>1</v>
      </c>
    </row>
    <row r="2383">
      <c r="A2383" s="32" t="str">
        <f>Demand!A2381</f>
        <v>S009</v>
      </c>
      <c r="B2383" s="35">
        <f>Demand!B2381</f>
        <v>46273.0</v>
      </c>
      <c r="C2383" s="33">
        <f>Demand!C2381</f>
        <v>19</v>
      </c>
      <c r="D2383" s="33">
        <f>Demand!E2381</f>
        <v>45</v>
      </c>
      <c r="E2383" s="33">
        <f>IF(Demand!F2381,1,0)</f>
        <v>1</v>
      </c>
      <c r="F2383" s="33">
        <f>COUNTIFS(c_store,A2383,c_date,B2383,c_hour,C2383)</f>
        <v>0</v>
      </c>
      <c r="G2383" s="33">
        <f>IF(F2383&gt;0,1,0)</f>
        <v>0</v>
      </c>
      <c r="H2383" s="33">
        <f>COUNTIFS(Demand!$A$2:$A$4481,A2383,Demand!$B$2:$B$4481,B2383,Demand!$C$2:$C$4481,C2383)</f>
        <v>1</v>
      </c>
    </row>
    <row r="2384">
      <c r="A2384" s="32" t="str">
        <f>Demand!A2382</f>
        <v>S009</v>
      </c>
      <c r="B2384" s="35">
        <f>Demand!B2382</f>
        <v>46273.0</v>
      </c>
      <c r="C2384" s="33">
        <f>Demand!C2382</f>
        <v>20</v>
      </c>
      <c r="D2384" s="33">
        <f>Demand!E2382</f>
        <v>37</v>
      </c>
      <c r="E2384" s="33">
        <f>IF(Demand!F2382,1,0)</f>
        <v>1</v>
      </c>
      <c r="F2384" s="33">
        <f>COUNTIFS(c_store,A2384,c_date,B2384,c_hour,C2384)</f>
        <v>0</v>
      </c>
      <c r="G2384" s="33">
        <f>IF(F2384&gt;0,1,0)</f>
        <v>0</v>
      </c>
      <c r="H2384" s="33">
        <f>COUNTIFS(Demand!$A$2:$A$4481,A2384,Demand!$B$2:$B$4481,B2384,Demand!$C$2:$C$4481,C2384)</f>
        <v>1</v>
      </c>
    </row>
    <row r="2385">
      <c r="A2385" s="32" t="str">
        <f>Demand!A2383</f>
        <v>S009</v>
      </c>
      <c r="B2385" s="35">
        <f>Demand!B2383</f>
        <v>46273.0</v>
      </c>
      <c r="C2385" s="33">
        <f>Demand!C2383</f>
        <v>21</v>
      </c>
      <c r="D2385" s="33">
        <f>Demand!E2383</f>
        <v>43</v>
      </c>
      <c r="E2385" s="33">
        <f>IF(Demand!F2383,1,0)</f>
        <v>1</v>
      </c>
      <c r="F2385" s="33">
        <f>COUNTIFS(c_store,A2385,c_date,B2385,c_hour,C2385)</f>
        <v>0</v>
      </c>
      <c r="G2385" s="33">
        <f>IF(F2385&gt;0,1,0)</f>
        <v>0</v>
      </c>
      <c r="H2385" s="33">
        <f>COUNTIFS(Demand!$A$2:$A$4481,A2385,Demand!$B$2:$B$4481,B2385,Demand!$C$2:$C$4481,C2385)</f>
        <v>1</v>
      </c>
    </row>
    <row r="2386">
      <c r="A2386" s="32" t="str">
        <f>Demand!A2384</f>
        <v>S009</v>
      </c>
      <c r="B2386" s="35">
        <f>Demand!B2384</f>
        <v>46273.0</v>
      </c>
      <c r="C2386" s="33">
        <f>Demand!C2384</f>
        <v>22</v>
      </c>
      <c r="D2386" s="33">
        <f>Demand!E2384</f>
        <v>28</v>
      </c>
      <c r="E2386" s="33">
        <f>IF(Demand!F2384,1,0)</f>
        <v>0</v>
      </c>
      <c r="F2386" s="33">
        <f>COUNTIFS(c_store,A2386,c_date,B2386,c_hour,C2386)</f>
        <v>0</v>
      </c>
      <c r="G2386" s="33">
        <f>IF(F2386&gt;0,1,0)</f>
        <v>0</v>
      </c>
      <c r="H2386" s="33">
        <f>COUNTIFS(Demand!$A$2:$A$4481,A2386,Demand!$B$2:$B$4481,B2386,Demand!$C$2:$C$4481,C2386)</f>
        <v>1</v>
      </c>
    </row>
    <row r="2387">
      <c r="A2387" s="32" t="str">
        <f>Demand!A2385</f>
        <v>S009</v>
      </c>
      <c r="B2387" s="35">
        <f>Demand!B2385</f>
        <v>46273.0</v>
      </c>
      <c r="C2387" s="33">
        <f>Demand!C2385</f>
        <v>23</v>
      </c>
      <c r="D2387" s="33">
        <f>Demand!E2385</f>
        <v>22</v>
      </c>
      <c r="E2387" s="33">
        <f>IF(Demand!F2385,1,0)</f>
        <v>0</v>
      </c>
      <c r="F2387" s="33">
        <f>COUNTIFS(c_store,A2387,c_date,B2387,c_hour,C2387)</f>
        <v>1</v>
      </c>
      <c r="G2387" s="33">
        <f>IF(F2387&gt;0,1,0)</f>
        <v>1</v>
      </c>
      <c r="H2387" s="33">
        <f>COUNTIFS(Demand!$A$2:$A$4481,A2387,Demand!$B$2:$B$4481,B2387,Demand!$C$2:$C$4481,C2387)</f>
        <v>1</v>
      </c>
    </row>
    <row r="2388">
      <c r="A2388" s="32" t="str">
        <f>Demand!A2386</f>
        <v>S010</v>
      </c>
      <c r="B2388" s="35">
        <f>Demand!B2386</f>
        <v>46273.0</v>
      </c>
      <c r="C2388" s="33">
        <f>Demand!C2386</f>
        <v>8</v>
      </c>
      <c r="D2388" s="33">
        <f>Demand!E2386</f>
        <v>18</v>
      </c>
      <c r="E2388" s="33">
        <f>IF(Demand!F2386,1,0)</f>
        <v>0</v>
      </c>
      <c r="F2388" s="33">
        <f>COUNTIFS(c_store,A2388,c_date,B2388,c_hour,C2388)</f>
        <v>0</v>
      </c>
      <c r="G2388" s="33">
        <f>IF(F2388&gt;0,1,0)</f>
        <v>0</v>
      </c>
      <c r="H2388" s="33">
        <f>COUNTIFS(Demand!$A$2:$A$4481,A2388,Demand!$B$2:$B$4481,B2388,Demand!$C$2:$C$4481,C2388)</f>
        <v>1</v>
      </c>
    </row>
    <row r="2389">
      <c r="A2389" s="32" t="str">
        <f>Demand!A2387</f>
        <v>S010</v>
      </c>
      <c r="B2389" s="35">
        <f>Demand!B2387</f>
        <v>46273.0</v>
      </c>
      <c r="C2389" s="33">
        <f>Demand!C2387</f>
        <v>9</v>
      </c>
      <c r="D2389" s="33">
        <f>Demand!E2387</f>
        <v>9</v>
      </c>
      <c r="E2389" s="33">
        <f>IF(Demand!F2387,1,0)</f>
        <v>0</v>
      </c>
      <c r="F2389" s="33">
        <f>COUNTIFS(c_store,A2389,c_date,B2389,c_hour,C2389)</f>
        <v>0</v>
      </c>
      <c r="G2389" s="33">
        <f>IF(F2389&gt;0,1,0)</f>
        <v>0</v>
      </c>
      <c r="H2389" s="33">
        <f>COUNTIFS(Demand!$A$2:$A$4481,A2389,Demand!$B$2:$B$4481,B2389,Demand!$C$2:$C$4481,C2389)</f>
        <v>1</v>
      </c>
    </row>
    <row r="2390">
      <c r="A2390" s="32" t="str">
        <f>Demand!A2388</f>
        <v>S010</v>
      </c>
      <c r="B2390" s="35">
        <f>Demand!B2388</f>
        <v>46273.0</v>
      </c>
      <c r="C2390" s="33">
        <f>Demand!C2388</f>
        <v>10</v>
      </c>
      <c r="D2390" s="33">
        <f>Demand!E2388</f>
        <v>19</v>
      </c>
      <c r="E2390" s="33">
        <f>IF(Demand!F2388,1,0)</f>
        <v>0</v>
      </c>
      <c r="F2390" s="33">
        <f>COUNTIFS(c_store,A2390,c_date,B2390,c_hour,C2390)</f>
        <v>0</v>
      </c>
      <c r="G2390" s="33">
        <f>IF(F2390&gt;0,1,0)</f>
        <v>0</v>
      </c>
      <c r="H2390" s="33">
        <f>COUNTIFS(Demand!$A$2:$A$4481,A2390,Demand!$B$2:$B$4481,B2390,Demand!$C$2:$C$4481,C2390)</f>
        <v>1</v>
      </c>
    </row>
    <row r="2391">
      <c r="A2391" s="32" t="str">
        <f>Demand!A2389</f>
        <v>S010</v>
      </c>
      <c r="B2391" s="35">
        <f>Demand!B2389</f>
        <v>46273.0</v>
      </c>
      <c r="C2391" s="33">
        <f>Demand!C2389</f>
        <v>11</v>
      </c>
      <c r="D2391" s="33">
        <f>Demand!E2389</f>
        <v>22</v>
      </c>
      <c r="E2391" s="33">
        <f>IF(Demand!F2389,1,0)</f>
        <v>0</v>
      </c>
      <c r="F2391" s="33">
        <f>COUNTIFS(c_store,A2391,c_date,B2391,c_hour,C2391)</f>
        <v>2</v>
      </c>
      <c r="G2391" s="33">
        <f>IF(F2391&gt;0,1,0)</f>
        <v>1</v>
      </c>
      <c r="H2391" s="33">
        <f>COUNTIFS(Demand!$A$2:$A$4481,A2391,Demand!$B$2:$B$4481,B2391,Demand!$C$2:$C$4481,C2391)</f>
        <v>1</v>
      </c>
    </row>
    <row r="2392">
      <c r="A2392" s="32" t="str">
        <f>Demand!A2390</f>
        <v>S010</v>
      </c>
      <c r="B2392" s="35">
        <f>Demand!B2390</f>
        <v>46273.0</v>
      </c>
      <c r="C2392" s="33">
        <f>Demand!C2390</f>
        <v>12</v>
      </c>
      <c r="D2392" s="33">
        <f>Demand!E2390</f>
        <v>30</v>
      </c>
      <c r="E2392" s="33">
        <f>IF(Demand!F2390,1,0)</f>
        <v>0</v>
      </c>
      <c r="F2392" s="33">
        <f>COUNTIFS(c_store,A2392,c_date,B2392,c_hour,C2392)</f>
        <v>1</v>
      </c>
      <c r="G2392" s="33">
        <f>IF(F2392&gt;0,1,0)</f>
        <v>1</v>
      </c>
      <c r="H2392" s="33">
        <f>COUNTIFS(Demand!$A$2:$A$4481,A2392,Demand!$B$2:$B$4481,B2392,Demand!$C$2:$C$4481,C2392)</f>
        <v>1</v>
      </c>
    </row>
    <row r="2393">
      <c r="A2393" s="32" t="str">
        <f>Demand!A2391</f>
        <v>S010</v>
      </c>
      <c r="B2393" s="35">
        <f>Demand!B2391</f>
        <v>46273.0</v>
      </c>
      <c r="C2393" s="33">
        <f>Demand!C2391</f>
        <v>13</v>
      </c>
      <c r="D2393" s="33">
        <f>Demand!E2391</f>
        <v>20</v>
      </c>
      <c r="E2393" s="33">
        <f>IF(Demand!F2391,1,0)</f>
        <v>0</v>
      </c>
      <c r="F2393" s="33">
        <f>COUNTIFS(c_store,A2393,c_date,B2393,c_hour,C2393)</f>
        <v>0</v>
      </c>
      <c r="G2393" s="33">
        <f>IF(F2393&gt;0,1,0)</f>
        <v>0</v>
      </c>
      <c r="H2393" s="33">
        <f>COUNTIFS(Demand!$A$2:$A$4481,A2393,Demand!$B$2:$B$4481,B2393,Demand!$C$2:$C$4481,C2393)</f>
        <v>1</v>
      </c>
    </row>
    <row r="2394">
      <c r="A2394" s="32" t="str">
        <f>Demand!A2392</f>
        <v>S010</v>
      </c>
      <c r="B2394" s="35">
        <f>Demand!B2392</f>
        <v>46273.0</v>
      </c>
      <c r="C2394" s="33">
        <f>Demand!C2392</f>
        <v>14</v>
      </c>
      <c r="D2394" s="33">
        <f>Demand!E2392</f>
        <v>12</v>
      </c>
      <c r="E2394" s="33">
        <f>IF(Demand!F2392,1,0)</f>
        <v>0</v>
      </c>
      <c r="F2394" s="33">
        <f>COUNTIFS(c_store,A2394,c_date,B2394,c_hour,C2394)</f>
        <v>0</v>
      </c>
      <c r="G2394" s="33">
        <f>IF(F2394&gt;0,1,0)</f>
        <v>0</v>
      </c>
      <c r="H2394" s="33">
        <f>COUNTIFS(Demand!$A$2:$A$4481,A2394,Demand!$B$2:$B$4481,B2394,Demand!$C$2:$C$4481,C2394)</f>
        <v>1</v>
      </c>
    </row>
    <row r="2395">
      <c r="A2395" s="32" t="str">
        <f>Demand!A2393</f>
        <v>S010</v>
      </c>
      <c r="B2395" s="35">
        <f>Demand!B2393</f>
        <v>46273.0</v>
      </c>
      <c r="C2395" s="33">
        <f>Demand!C2393</f>
        <v>15</v>
      </c>
      <c r="D2395" s="33">
        <f>Demand!E2393</f>
        <v>14</v>
      </c>
      <c r="E2395" s="33">
        <f>IF(Demand!F2393,1,0)</f>
        <v>0</v>
      </c>
      <c r="F2395" s="33">
        <f>COUNTIFS(c_store,A2395,c_date,B2395,c_hour,C2395)</f>
        <v>1</v>
      </c>
      <c r="G2395" s="33">
        <f>IF(F2395&gt;0,1,0)</f>
        <v>1</v>
      </c>
      <c r="H2395" s="33">
        <f>COUNTIFS(Demand!$A$2:$A$4481,A2395,Demand!$B$2:$B$4481,B2395,Demand!$C$2:$C$4481,C2395)</f>
        <v>1</v>
      </c>
    </row>
    <row r="2396">
      <c r="A2396" s="32" t="str">
        <f>Demand!A2394</f>
        <v>S010</v>
      </c>
      <c r="B2396" s="35">
        <f>Demand!B2394</f>
        <v>46273.0</v>
      </c>
      <c r="C2396" s="33">
        <f>Demand!C2394</f>
        <v>16</v>
      </c>
      <c r="D2396" s="33">
        <f>Demand!E2394</f>
        <v>21</v>
      </c>
      <c r="E2396" s="33">
        <f>IF(Demand!F2394,1,0)</f>
        <v>0</v>
      </c>
      <c r="F2396" s="33">
        <f>COUNTIFS(c_store,A2396,c_date,B2396,c_hour,C2396)</f>
        <v>1</v>
      </c>
      <c r="G2396" s="33">
        <f>IF(F2396&gt;0,1,0)</f>
        <v>1</v>
      </c>
      <c r="H2396" s="33">
        <f>COUNTIFS(Demand!$A$2:$A$4481,A2396,Demand!$B$2:$B$4481,B2396,Demand!$C$2:$C$4481,C2396)</f>
        <v>1</v>
      </c>
    </row>
    <row r="2397">
      <c r="A2397" s="32" t="str">
        <f>Demand!A2395</f>
        <v>S010</v>
      </c>
      <c r="B2397" s="35">
        <f>Demand!B2395</f>
        <v>46273.0</v>
      </c>
      <c r="C2397" s="33">
        <f>Demand!C2395</f>
        <v>17</v>
      </c>
      <c r="D2397" s="33">
        <f>Demand!E2395</f>
        <v>18</v>
      </c>
      <c r="E2397" s="33">
        <f>IF(Demand!F2395,1,0)</f>
        <v>0</v>
      </c>
      <c r="F2397" s="33">
        <f>COUNTIFS(c_store,A2397,c_date,B2397,c_hour,C2397)</f>
        <v>0</v>
      </c>
      <c r="G2397" s="33">
        <f>IF(F2397&gt;0,1,0)</f>
        <v>0</v>
      </c>
      <c r="H2397" s="33">
        <f>COUNTIFS(Demand!$A$2:$A$4481,A2397,Demand!$B$2:$B$4481,B2397,Demand!$C$2:$C$4481,C2397)</f>
        <v>1</v>
      </c>
    </row>
    <row r="2398">
      <c r="A2398" s="32" t="str">
        <f>Demand!A2396</f>
        <v>S010</v>
      </c>
      <c r="B2398" s="35">
        <f>Demand!B2396</f>
        <v>46273.0</v>
      </c>
      <c r="C2398" s="33">
        <f>Demand!C2396</f>
        <v>18</v>
      </c>
      <c r="D2398" s="33">
        <f>Demand!E2396</f>
        <v>22</v>
      </c>
      <c r="E2398" s="33">
        <f>IF(Demand!F2396,1,0)</f>
        <v>0</v>
      </c>
      <c r="F2398" s="33">
        <f>COUNTIFS(c_store,A2398,c_date,B2398,c_hour,C2398)</f>
        <v>0</v>
      </c>
      <c r="G2398" s="33">
        <f>IF(F2398&gt;0,1,0)</f>
        <v>0</v>
      </c>
      <c r="H2398" s="33">
        <f>COUNTIFS(Demand!$A$2:$A$4481,A2398,Demand!$B$2:$B$4481,B2398,Demand!$C$2:$C$4481,C2398)</f>
        <v>1</v>
      </c>
    </row>
    <row r="2399">
      <c r="A2399" s="32" t="str">
        <f>Demand!A2397</f>
        <v>S010</v>
      </c>
      <c r="B2399" s="35">
        <f>Demand!B2397</f>
        <v>46273.0</v>
      </c>
      <c r="C2399" s="33">
        <f>Demand!C2397</f>
        <v>19</v>
      </c>
      <c r="D2399" s="33">
        <f>Demand!E2397</f>
        <v>45</v>
      </c>
      <c r="E2399" s="33">
        <f>IF(Demand!F2397,1,0)</f>
        <v>1</v>
      </c>
      <c r="F2399" s="33">
        <f>COUNTIFS(c_store,A2399,c_date,B2399,c_hour,C2399)</f>
        <v>0</v>
      </c>
      <c r="G2399" s="33">
        <f>IF(F2399&gt;0,1,0)</f>
        <v>0</v>
      </c>
      <c r="H2399" s="33">
        <f>COUNTIFS(Demand!$A$2:$A$4481,A2399,Demand!$B$2:$B$4481,B2399,Demand!$C$2:$C$4481,C2399)</f>
        <v>1</v>
      </c>
    </row>
    <row r="2400">
      <c r="A2400" s="32" t="str">
        <f>Demand!A2398</f>
        <v>S010</v>
      </c>
      <c r="B2400" s="35">
        <f>Demand!B2398</f>
        <v>46273.0</v>
      </c>
      <c r="C2400" s="33">
        <f>Demand!C2398</f>
        <v>20</v>
      </c>
      <c r="D2400" s="33">
        <f>Demand!E2398</f>
        <v>35</v>
      </c>
      <c r="E2400" s="33">
        <f>IF(Demand!F2398,1,0)</f>
        <v>1</v>
      </c>
      <c r="F2400" s="33">
        <f>COUNTIFS(c_store,A2400,c_date,B2400,c_hour,C2400)</f>
        <v>0</v>
      </c>
      <c r="G2400" s="33">
        <f>IF(F2400&gt;0,1,0)</f>
        <v>0</v>
      </c>
      <c r="H2400" s="33">
        <f>COUNTIFS(Demand!$A$2:$A$4481,A2400,Demand!$B$2:$B$4481,B2400,Demand!$C$2:$C$4481,C2400)</f>
        <v>1</v>
      </c>
    </row>
    <row r="2401">
      <c r="A2401" s="32" t="str">
        <f>Demand!A2399</f>
        <v>S010</v>
      </c>
      <c r="B2401" s="35">
        <f>Demand!B2399</f>
        <v>46273.0</v>
      </c>
      <c r="C2401" s="33">
        <f>Demand!C2399</f>
        <v>21</v>
      </c>
      <c r="D2401" s="33">
        <f>Demand!E2399</f>
        <v>30</v>
      </c>
      <c r="E2401" s="33">
        <f>IF(Demand!F2399,1,0)</f>
        <v>1</v>
      </c>
      <c r="F2401" s="33">
        <f>COUNTIFS(c_store,A2401,c_date,B2401,c_hour,C2401)</f>
        <v>1</v>
      </c>
      <c r="G2401" s="33">
        <f>IF(F2401&gt;0,1,0)</f>
        <v>1</v>
      </c>
      <c r="H2401" s="33">
        <f>COUNTIFS(Demand!$A$2:$A$4481,A2401,Demand!$B$2:$B$4481,B2401,Demand!$C$2:$C$4481,C2401)</f>
        <v>1</v>
      </c>
    </row>
    <row r="2402">
      <c r="A2402" s="32" t="str">
        <f>Demand!A2400</f>
        <v>S010</v>
      </c>
      <c r="B2402" s="35">
        <f>Demand!B2400</f>
        <v>46273.0</v>
      </c>
      <c r="C2402" s="33">
        <f>Demand!C2400</f>
        <v>22</v>
      </c>
      <c r="D2402" s="33">
        <f>Demand!E2400</f>
        <v>21</v>
      </c>
      <c r="E2402" s="33">
        <f>IF(Demand!F2400,1,0)</f>
        <v>0</v>
      </c>
      <c r="F2402" s="33">
        <f>COUNTIFS(c_store,A2402,c_date,B2402,c_hour,C2402)</f>
        <v>2</v>
      </c>
      <c r="G2402" s="33">
        <f>IF(F2402&gt;0,1,0)</f>
        <v>1</v>
      </c>
      <c r="H2402" s="33">
        <f>COUNTIFS(Demand!$A$2:$A$4481,A2402,Demand!$B$2:$B$4481,B2402,Demand!$C$2:$C$4481,C2402)</f>
        <v>1</v>
      </c>
    </row>
    <row r="2403">
      <c r="A2403" s="32" t="str">
        <f>Demand!A2401</f>
        <v>S010</v>
      </c>
      <c r="B2403" s="35">
        <f>Demand!B2401</f>
        <v>46273.0</v>
      </c>
      <c r="C2403" s="33">
        <f>Demand!C2401</f>
        <v>23</v>
      </c>
      <c r="D2403" s="33">
        <f>Demand!E2401</f>
        <v>22</v>
      </c>
      <c r="E2403" s="33">
        <f>IF(Demand!F2401,1,0)</f>
        <v>0</v>
      </c>
      <c r="F2403" s="33">
        <f>COUNTIFS(c_store,A2403,c_date,B2403,c_hour,C2403)</f>
        <v>0</v>
      </c>
      <c r="G2403" s="33">
        <f>IF(F2403&gt;0,1,0)</f>
        <v>0</v>
      </c>
      <c r="H2403" s="33">
        <f>COUNTIFS(Demand!$A$2:$A$4481,A2403,Demand!$B$2:$B$4481,B2403,Demand!$C$2:$C$4481,C2403)</f>
        <v>1</v>
      </c>
    </row>
    <row r="2404">
      <c r="A2404" s="32" t="str">
        <f>Demand!A2402</f>
        <v>S011</v>
      </c>
      <c r="B2404" s="35">
        <f>Demand!B2402</f>
        <v>46273.0</v>
      </c>
      <c r="C2404" s="33">
        <f>Demand!C2402</f>
        <v>8</v>
      </c>
      <c r="D2404" s="33">
        <f>Demand!E2402</f>
        <v>21</v>
      </c>
      <c r="E2404" s="33">
        <f>IF(Demand!F2402,1,0)</f>
        <v>0</v>
      </c>
      <c r="F2404" s="33">
        <f>COUNTIFS(c_store,A2404,c_date,B2404,c_hour,C2404)</f>
        <v>0</v>
      </c>
      <c r="G2404" s="33">
        <f>IF(F2404&gt;0,1,0)</f>
        <v>0</v>
      </c>
      <c r="H2404" s="33">
        <f>COUNTIFS(Demand!$A$2:$A$4481,A2404,Demand!$B$2:$B$4481,B2404,Demand!$C$2:$C$4481,C2404)</f>
        <v>1</v>
      </c>
    </row>
    <row r="2405">
      <c r="A2405" s="32" t="str">
        <f>Demand!A2403</f>
        <v>S011</v>
      </c>
      <c r="B2405" s="35">
        <f>Demand!B2403</f>
        <v>46273.0</v>
      </c>
      <c r="C2405" s="33">
        <f>Demand!C2403</f>
        <v>9</v>
      </c>
      <c r="D2405" s="33">
        <f>Demand!E2403</f>
        <v>14</v>
      </c>
      <c r="E2405" s="33">
        <f>IF(Demand!F2403,1,0)</f>
        <v>0</v>
      </c>
      <c r="F2405" s="33">
        <f>COUNTIFS(c_store,A2405,c_date,B2405,c_hour,C2405)</f>
        <v>0</v>
      </c>
      <c r="G2405" s="33">
        <f>IF(F2405&gt;0,1,0)</f>
        <v>0</v>
      </c>
      <c r="H2405" s="33">
        <f>COUNTIFS(Demand!$A$2:$A$4481,A2405,Demand!$B$2:$B$4481,B2405,Demand!$C$2:$C$4481,C2405)</f>
        <v>1</v>
      </c>
    </row>
    <row r="2406">
      <c r="A2406" s="32" t="str">
        <f>Demand!A2404</f>
        <v>S011</v>
      </c>
      <c r="B2406" s="35">
        <f>Demand!B2404</f>
        <v>46273.0</v>
      </c>
      <c r="C2406" s="33">
        <f>Demand!C2404</f>
        <v>10</v>
      </c>
      <c r="D2406" s="33">
        <f>Demand!E2404</f>
        <v>21</v>
      </c>
      <c r="E2406" s="33">
        <f>IF(Demand!F2404,1,0)</f>
        <v>0</v>
      </c>
      <c r="F2406" s="33">
        <f>COUNTIFS(c_store,A2406,c_date,B2406,c_hour,C2406)</f>
        <v>0</v>
      </c>
      <c r="G2406" s="33">
        <f>IF(F2406&gt;0,1,0)</f>
        <v>0</v>
      </c>
      <c r="H2406" s="33">
        <f>COUNTIFS(Demand!$A$2:$A$4481,A2406,Demand!$B$2:$B$4481,B2406,Demand!$C$2:$C$4481,C2406)</f>
        <v>1</v>
      </c>
    </row>
    <row r="2407">
      <c r="A2407" s="32" t="str">
        <f>Demand!A2405</f>
        <v>S011</v>
      </c>
      <c r="B2407" s="35">
        <f>Demand!B2405</f>
        <v>46273.0</v>
      </c>
      <c r="C2407" s="33">
        <f>Demand!C2405</f>
        <v>11</v>
      </c>
      <c r="D2407" s="33">
        <f>Demand!E2405</f>
        <v>31</v>
      </c>
      <c r="E2407" s="33">
        <f>IF(Demand!F2405,1,0)</f>
        <v>0</v>
      </c>
      <c r="F2407" s="33">
        <f>COUNTIFS(c_store,A2407,c_date,B2407,c_hour,C2407)</f>
        <v>0</v>
      </c>
      <c r="G2407" s="33">
        <f>IF(F2407&gt;0,1,0)</f>
        <v>0</v>
      </c>
      <c r="H2407" s="33">
        <f>COUNTIFS(Demand!$A$2:$A$4481,A2407,Demand!$B$2:$B$4481,B2407,Demand!$C$2:$C$4481,C2407)</f>
        <v>1</v>
      </c>
    </row>
    <row r="2408">
      <c r="A2408" s="32" t="str">
        <f>Demand!A2406</f>
        <v>S011</v>
      </c>
      <c r="B2408" s="35">
        <f>Demand!B2406</f>
        <v>46273.0</v>
      </c>
      <c r="C2408" s="33">
        <f>Demand!C2406</f>
        <v>12</v>
      </c>
      <c r="D2408" s="33">
        <f>Demand!E2406</f>
        <v>36</v>
      </c>
      <c r="E2408" s="33">
        <f>IF(Demand!F2406,1,0)</f>
        <v>0</v>
      </c>
      <c r="F2408" s="33">
        <f>COUNTIFS(c_store,A2408,c_date,B2408,c_hour,C2408)</f>
        <v>0</v>
      </c>
      <c r="G2408" s="33">
        <f>IF(F2408&gt;0,1,0)</f>
        <v>0</v>
      </c>
      <c r="H2408" s="33">
        <f>COUNTIFS(Demand!$A$2:$A$4481,A2408,Demand!$B$2:$B$4481,B2408,Demand!$C$2:$C$4481,C2408)</f>
        <v>1</v>
      </c>
    </row>
    <row r="2409">
      <c r="A2409" s="32" t="str">
        <f>Demand!A2407</f>
        <v>S011</v>
      </c>
      <c r="B2409" s="35">
        <f>Demand!B2407</f>
        <v>46273.0</v>
      </c>
      <c r="C2409" s="33">
        <f>Demand!C2407</f>
        <v>13</v>
      </c>
      <c r="D2409" s="33">
        <f>Demand!E2407</f>
        <v>33</v>
      </c>
      <c r="E2409" s="33">
        <f>IF(Demand!F2407,1,0)</f>
        <v>0</v>
      </c>
      <c r="F2409" s="33">
        <f>COUNTIFS(c_store,A2409,c_date,B2409,c_hour,C2409)</f>
        <v>0</v>
      </c>
      <c r="G2409" s="33">
        <f>IF(F2409&gt;0,1,0)</f>
        <v>0</v>
      </c>
      <c r="H2409" s="33">
        <f>COUNTIFS(Demand!$A$2:$A$4481,A2409,Demand!$B$2:$B$4481,B2409,Demand!$C$2:$C$4481,C2409)</f>
        <v>1</v>
      </c>
    </row>
    <row r="2410">
      <c r="A2410" s="32" t="str">
        <f>Demand!A2408</f>
        <v>S011</v>
      </c>
      <c r="B2410" s="35">
        <f>Demand!B2408</f>
        <v>46273.0</v>
      </c>
      <c r="C2410" s="33">
        <f>Demand!C2408</f>
        <v>14</v>
      </c>
      <c r="D2410" s="33">
        <f>Demand!E2408</f>
        <v>23</v>
      </c>
      <c r="E2410" s="33">
        <f>IF(Demand!F2408,1,0)</f>
        <v>0</v>
      </c>
      <c r="F2410" s="33">
        <f>COUNTIFS(c_store,A2410,c_date,B2410,c_hour,C2410)</f>
        <v>0</v>
      </c>
      <c r="G2410" s="33">
        <f>IF(F2410&gt;0,1,0)</f>
        <v>0</v>
      </c>
      <c r="H2410" s="33">
        <f>COUNTIFS(Demand!$A$2:$A$4481,A2410,Demand!$B$2:$B$4481,B2410,Demand!$C$2:$C$4481,C2410)</f>
        <v>1</v>
      </c>
    </row>
    <row r="2411">
      <c r="A2411" s="32" t="str">
        <f>Demand!A2409</f>
        <v>S011</v>
      </c>
      <c r="B2411" s="35">
        <f>Demand!B2409</f>
        <v>46273.0</v>
      </c>
      <c r="C2411" s="33">
        <f>Demand!C2409</f>
        <v>15</v>
      </c>
      <c r="D2411" s="33">
        <f>Demand!E2409</f>
        <v>23</v>
      </c>
      <c r="E2411" s="33">
        <f>IF(Demand!F2409,1,0)</f>
        <v>0</v>
      </c>
      <c r="F2411" s="33">
        <f>COUNTIFS(c_store,A2411,c_date,B2411,c_hour,C2411)</f>
        <v>0</v>
      </c>
      <c r="G2411" s="33">
        <f>IF(F2411&gt;0,1,0)</f>
        <v>0</v>
      </c>
      <c r="H2411" s="33">
        <f>COUNTIFS(Demand!$A$2:$A$4481,A2411,Demand!$B$2:$B$4481,B2411,Demand!$C$2:$C$4481,C2411)</f>
        <v>1</v>
      </c>
    </row>
    <row r="2412">
      <c r="A2412" s="32" t="str">
        <f>Demand!A2410</f>
        <v>S011</v>
      </c>
      <c r="B2412" s="35">
        <f>Demand!B2410</f>
        <v>46273.0</v>
      </c>
      <c r="C2412" s="33">
        <f>Demand!C2410</f>
        <v>16</v>
      </c>
      <c r="D2412" s="33">
        <f>Demand!E2410</f>
        <v>39</v>
      </c>
      <c r="E2412" s="33">
        <f>IF(Demand!F2410,1,0)</f>
        <v>0</v>
      </c>
      <c r="F2412" s="33">
        <f>COUNTIFS(c_store,A2412,c_date,B2412,c_hour,C2412)</f>
        <v>0</v>
      </c>
      <c r="G2412" s="33">
        <f>IF(F2412&gt;0,1,0)</f>
        <v>0</v>
      </c>
      <c r="H2412" s="33">
        <f>COUNTIFS(Demand!$A$2:$A$4481,A2412,Demand!$B$2:$B$4481,B2412,Demand!$C$2:$C$4481,C2412)</f>
        <v>1</v>
      </c>
    </row>
    <row r="2413">
      <c r="A2413" s="32" t="str">
        <f>Demand!A2411</f>
        <v>S011</v>
      </c>
      <c r="B2413" s="35">
        <f>Demand!B2411</f>
        <v>46273.0</v>
      </c>
      <c r="C2413" s="33">
        <f>Demand!C2411</f>
        <v>17</v>
      </c>
      <c r="D2413" s="33">
        <f>Demand!E2411</f>
        <v>31</v>
      </c>
      <c r="E2413" s="33">
        <f>IF(Demand!F2411,1,0)</f>
        <v>0</v>
      </c>
      <c r="F2413" s="33">
        <f>COUNTIFS(c_store,A2413,c_date,B2413,c_hour,C2413)</f>
        <v>0</v>
      </c>
      <c r="G2413" s="33">
        <f>IF(F2413&gt;0,1,0)</f>
        <v>0</v>
      </c>
      <c r="H2413" s="33">
        <f>COUNTIFS(Demand!$A$2:$A$4481,A2413,Demand!$B$2:$B$4481,B2413,Demand!$C$2:$C$4481,C2413)</f>
        <v>1</v>
      </c>
    </row>
    <row r="2414">
      <c r="A2414" s="32" t="str">
        <f>Demand!A2412</f>
        <v>S011</v>
      </c>
      <c r="B2414" s="35">
        <f>Demand!B2412</f>
        <v>46273.0</v>
      </c>
      <c r="C2414" s="33">
        <f>Demand!C2412</f>
        <v>18</v>
      </c>
      <c r="D2414" s="33">
        <f>Demand!E2412</f>
        <v>32</v>
      </c>
      <c r="E2414" s="33">
        <f>IF(Demand!F2412,1,0)</f>
        <v>0</v>
      </c>
      <c r="F2414" s="33">
        <f>COUNTIFS(c_store,A2414,c_date,B2414,c_hour,C2414)</f>
        <v>1</v>
      </c>
      <c r="G2414" s="33">
        <f>IF(F2414&gt;0,1,0)</f>
        <v>1</v>
      </c>
      <c r="H2414" s="33">
        <f>COUNTIFS(Demand!$A$2:$A$4481,A2414,Demand!$B$2:$B$4481,B2414,Demand!$C$2:$C$4481,C2414)</f>
        <v>1</v>
      </c>
    </row>
    <row r="2415">
      <c r="A2415" s="32" t="str">
        <f>Demand!A2413</f>
        <v>S011</v>
      </c>
      <c r="B2415" s="35">
        <f>Demand!B2413</f>
        <v>46273.0</v>
      </c>
      <c r="C2415" s="33">
        <f>Demand!C2413</f>
        <v>19</v>
      </c>
      <c r="D2415" s="33">
        <f>Demand!E2413</f>
        <v>46</v>
      </c>
      <c r="E2415" s="33">
        <f>IF(Demand!F2413,1,0)</f>
        <v>1</v>
      </c>
      <c r="F2415" s="33">
        <f>COUNTIFS(c_store,A2415,c_date,B2415,c_hour,C2415)</f>
        <v>1</v>
      </c>
      <c r="G2415" s="33">
        <f>IF(F2415&gt;0,1,0)</f>
        <v>1</v>
      </c>
      <c r="H2415" s="33">
        <f>COUNTIFS(Demand!$A$2:$A$4481,A2415,Demand!$B$2:$B$4481,B2415,Demand!$C$2:$C$4481,C2415)</f>
        <v>1</v>
      </c>
    </row>
    <row r="2416">
      <c r="A2416" s="32" t="str">
        <f>Demand!A2414</f>
        <v>S011</v>
      </c>
      <c r="B2416" s="35">
        <f>Demand!B2414</f>
        <v>46273.0</v>
      </c>
      <c r="C2416" s="33">
        <f>Demand!C2414</f>
        <v>20</v>
      </c>
      <c r="D2416" s="33">
        <f>Demand!E2414</f>
        <v>42</v>
      </c>
      <c r="E2416" s="33">
        <f>IF(Demand!F2414,1,0)</f>
        <v>1</v>
      </c>
      <c r="F2416" s="33">
        <f>COUNTIFS(c_store,A2416,c_date,B2416,c_hour,C2416)</f>
        <v>0</v>
      </c>
      <c r="G2416" s="33">
        <f>IF(F2416&gt;0,1,0)</f>
        <v>0</v>
      </c>
      <c r="H2416" s="33">
        <f>COUNTIFS(Demand!$A$2:$A$4481,A2416,Demand!$B$2:$B$4481,B2416,Demand!$C$2:$C$4481,C2416)</f>
        <v>1</v>
      </c>
    </row>
    <row r="2417">
      <c r="A2417" s="32" t="str">
        <f>Demand!A2415</f>
        <v>S011</v>
      </c>
      <c r="B2417" s="35">
        <f>Demand!B2415</f>
        <v>46273.0</v>
      </c>
      <c r="C2417" s="33">
        <f>Demand!C2415</f>
        <v>21</v>
      </c>
      <c r="D2417" s="33">
        <f>Demand!E2415</f>
        <v>51</v>
      </c>
      <c r="E2417" s="33">
        <f>IF(Demand!F2415,1,0)</f>
        <v>1</v>
      </c>
      <c r="F2417" s="33">
        <f>COUNTIFS(c_store,A2417,c_date,B2417,c_hour,C2417)</f>
        <v>1</v>
      </c>
      <c r="G2417" s="33">
        <f>IF(F2417&gt;0,1,0)</f>
        <v>1</v>
      </c>
      <c r="H2417" s="33">
        <f>COUNTIFS(Demand!$A$2:$A$4481,A2417,Demand!$B$2:$B$4481,B2417,Demand!$C$2:$C$4481,C2417)</f>
        <v>1</v>
      </c>
    </row>
    <row r="2418">
      <c r="A2418" s="32" t="str">
        <f>Demand!A2416</f>
        <v>S011</v>
      </c>
      <c r="B2418" s="35">
        <f>Demand!B2416</f>
        <v>46273.0</v>
      </c>
      <c r="C2418" s="33">
        <f>Demand!C2416</f>
        <v>22</v>
      </c>
      <c r="D2418" s="33">
        <f>Demand!E2416</f>
        <v>34</v>
      </c>
      <c r="E2418" s="33">
        <f>IF(Demand!F2416,1,0)</f>
        <v>0</v>
      </c>
      <c r="F2418" s="33">
        <f>COUNTIFS(c_store,A2418,c_date,B2418,c_hour,C2418)</f>
        <v>0</v>
      </c>
      <c r="G2418" s="33">
        <f>IF(F2418&gt;0,1,0)</f>
        <v>0</v>
      </c>
      <c r="H2418" s="33">
        <f>COUNTIFS(Demand!$A$2:$A$4481,A2418,Demand!$B$2:$B$4481,B2418,Demand!$C$2:$C$4481,C2418)</f>
        <v>1</v>
      </c>
    </row>
    <row r="2419">
      <c r="A2419" s="32" t="str">
        <f>Demand!A2417</f>
        <v>S011</v>
      </c>
      <c r="B2419" s="35">
        <f>Demand!B2417</f>
        <v>46273.0</v>
      </c>
      <c r="C2419" s="33">
        <f>Demand!C2417</f>
        <v>23</v>
      </c>
      <c r="D2419" s="33">
        <f>Demand!E2417</f>
        <v>22</v>
      </c>
      <c r="E2419" s="33">
        <f>IF(Demand!F2417,1,0)</f>
        <v>0</v>
      </c>
      <c r="F2419" s="33">
        <f>COUNTIFS(c_store,A2419,c_date,B2419,c_hour,C2419)</f>
        <v>1</v>
      </c>
      <c r="G2419" s="33">
        <f>IF(F2419&gt;0,1,0)</f>
        <v>1</v>
      </c>
      <c r="H2419" s="33">
        <f>COUNTIFS(Demand!$A$2:$A$4481,A2419,Demand!$B$2:$B$4481,B2419,Demand!$C$2:$C$4481,C2419)</f>
        <v>1</v>
      </c>
    </row>
    <row r="2420">
      <c r="A2420" s="32" t="str">
        <f>Demand!A2418</f>
        <v>S012</v>
      </c>
      <c r="B2420" s="35">
        <f>Demand!B2418</f>
        <v>46273.0</v>
      </c>
      <c r="C2420" s="33">
        <f>Demand!C2418</f>
        <v>8</v>
      </c>
      <c r="D2420" s="33">
        <f>Demand!E2418</f>
        <v>10</v>
      </c>
      <c r="E2420" s="33">
        <f>IF(Demand!F2418,1,0)</f>
        <v>0</v>
      </c>
      <c r="F2420" s="33">
        <f>COUNTIFS(c_store,A2420,c_date,B2420,c_hour,C2420)</f>
        <v>0</v>
      </c>
      <c r="G2420" s="33">
        <f>IF(F2420&gt;0,1,0)</f>
        <v>0</v>
      </c>
      <c r="H2420" s="33">
        <f>COUNTIFS(Demand!$A$2:$A$4481,A2420,Demand!$B$2:$B$4481,B2420,Demand!$C$2:$C$4481,C2420)</f>
        <v>1</v>
      </c>
    </row>
    <row r="2421">
      <c r="A2421" s="32" t="str">
        <f>Demand!A2419</f>
        <v>S012</v>
      </c>
      <c r="B2421" s="35">
        <f>Demand!B2419</f>
        <v>46273.0</v>
      </c>
      <c r="C2421" s="33">
        <f>Demand!C2419</f>
        <v>9</v>
      </c>
      <c r="D2421" s="33">
        <f>Demand!E2419</f>
        <v>5</v>
      </c>
      <c r="E2421" s="33">
        <f>IF(Demand!F2419,1,0)</f>
        <v>0</v>
      </c>
      <c r="F2421" s="33">
        <f>COUNTIFS(c_store,A2421,c_date,B2421,c_hour,C2421)</f>
        <v>0</v>
      </c>
      <c r="G2421" s="33">
        <f>IF(F2421&gt;0,1,0)</f>
        <v>0</v>
      </c>
      <c r="H2421" s="33">
        <f>COUNTIFS(Demand!$A$2:$A$4481,A2421,Demand!$B$2:$B$4481,B2421,Demand!$C$2:$C$4481,C2421)</f>
        <v>1</v>
      </c>
    </row>
    <row r="2422">
      <c r="A2422" s="32" t="str">
        <f>Demand!A2420</f>
        <v>S012</v>
      </c>
      <c r="B2422" s="35">
        <f>Demand!B2420</f>
        <v>46273.0</v>
      </c>
      <c r="C2422" s="33">
        <f>Demand!C2420</f>
        <v>10</v>
      </c>
      <c r="D2422" s="33">
        <f>Demand!E2420</f>
        <v>9</v>
      </c>
      <c r="E2422" s="33">
        <f>IF(Demand!F2420,1,0)</f>
        <v>0</v>
      </c>
      <c r="F2422" s="33">
        <f>COUNTIFS(c_store,A2422,c_date,B2422,c_hour,C2422)</f>
        <v>0</v>
      </c>
      <c r="G2422" s="33">
        <f>IF(F2422&gt;0,1,0)</f>
        <v>0</v>
      </c>
      <c r="H2422" s="33">
        <f>COUNTIFS(Demand!$A$2:$A$4481,A2422,Demand!$B$2:$B$4481,B2422,Demand!$C$2:$C$4481,C2422)</f>
        <v>1</v>
      </c>
    </row>
    <row r="2423">
      <c r="A2423" s="32" t="str">
        <f>Demand!A2421</f>
        <v>S012</v>
      </c>
      <c r="B2423" s="35">
        <f>Demand!B2421</f>
        <v>46273.0</v>
      </c>
      <c r="C2423" s="33">
        <f>Demand!C2421</f>
        <v>11</v>
      </c>
      <c r="D2423" s="33">
        <f>Demand!E2421</f>
        <v>17</v>
      </c>
      <c r="E2423" s="33">
        <f>IF(Demand!F2421,1,0)</f>
        <v>0</v>
      </c>
      <c r="F2423" s="33">
        <f>COUNTIFS(c_store,A2423,c_date,B2423,c_hour,C2423)</f>
        <v>0</v>
      </c>
      <c r="G2423" s="33">
        <f>IF(F2423&gt;0,1,0)</f>
        <v>0</v>
      </c>
      <c r="H2423" s="33">
        <f>COUNTIFS(Demand!$A$2:$A$4481,A2423,Demand!$B$2:$B$4481,B2423,Demand!$C$2:$C$4481,C2423)</f>
        <v>1</v>
      </c>
    </row>
    <row r="2424">
      <c r="A2424" s="32" t="str">
        <f>Demand!A2422</f>
        <v>S012</v>
      </c>
      <c r="B2424" s="35">
        <f>Demand!B2422</f>
        <v>46273.0</v>
      </c>
      <c r="C2424" s="33">
        <f>Demand!C2422</f>
        <v>12</v>
      </c>
      <c r="D2424" s="33">
        <f>Demand!E2422</f>
        <v>17</v>
      </c>
      <c r="E2424" s="33">
        <f>IF(Demand!F2422,1,0)</f>
        <v>0</v>
      </c>
      <c r="F2424" s="33">
        <f>COUNTIFS(c_store,A2424,c_date,B2424,c_hour,C2424)</f>
        <v>0</v>
      </c>
      <c r="G2424" s="33">
        <f>IF(F2424&gt;0,1,0)</f>
        <v>0</v>
      </c>
      <c r="H2424" s="33">
        <f>COUNTIFS(Demand!$A$2:$A$4481,A2424,Demand!$B$2:$B$4481,B2424,Demand!$C$2:$C$4481,C2424)</f>
        <v>1</v>
      </c>
    </row>
    <row r="2425">
      <c r="A2425" s="32" t="str">
        <f>Demand!A2423</f>
        <v>S012</v>
      </c>
      <c r="B2425" s="35">
        <f>Demand!B2423</f>
        <v>46273.0</v>
      </c>
      <c r="C2425" s="33">
        <f>Demand!C2423</f>
        <v>13</v>
      </c>
      <c r="D2425" s="33">
        <f>Demand!E2423</f>
        <v>15</v>
      </c>
      <c r="E2425" s="33">
        <f>IF(Demand!F2423,1,0)</f>
        <v>0</v>
      </c>
      <c r="F2425" s="33">
        <f>COUNTIFS(c_store,A2425,c_date,B2425,c_hour,C2425)</f>
        <v>0</v>
      </c>
      <c r="G2425" s="33">
        <f>IF(F2425&gt;0,1,0)</f>
        <v>0</v>
      </c>
      <c r="H2425" s="33">
        <f>COUNTIFS(Demand!$A$2:$A$4481,A2425,Demand!$B$2:$B$4481,B2425,Demand!$C$2:$C$4481,C2425)</f>
        <v>1</v>
      </c>
    </row>
    <row r="2426">
      <c r="A2426" s="32" t="str">
        <f>Demand!A2424</f>
        <v>S012</v>
      </c>
      <c r="B2426" s="35">
        <f>Demand!B2424</f>
        <v>46273.0</v>
      </c>
      <c r="C2426" s="33">
        <f>Demand!C2424</f>
        <v>14</v>
      </c>
      <c r="D2426" s="33">
        <f>Demand!E2424</f>
        <v>5</v>
      </c>
      <c r="E2426" s="33">
        <f>IF(Demand!F2424,1,0)</f>
        <v>0</v>
      </c>
      <c r="F2426" s="33">
        <f>COUNTIFS(c_store,A2426,c_date,B2426,c_hour,C2426)</f>
        <v>0</v>
      </c>
      <c r="G2426" s="33">
        <f>IF(F2426&gt;0,1,0)</f>
        <v>0</v>
      </c>
      <c r="H2426" s="33">
        <f>COUNTIFS(Demand!$A$2:$A$4481,A2426,Demand!$B$2:$B$4481,B2426,Demand!$C$2:$C$4481,C2426)</f>
        <v>1</v>
      </c>
    </row>
    <row r="2427">
      <c r="A2427" s="32" t="str">
        <f>Demand!A2425</f>
        <v>S012</v>
      </c>
      <c r="B2427" s="35">
        <f>Demand!B2425</f>
        <v>46273.0</v>
      </c>
      <c r="C2427" s="33">
        <f>Demand!C2425</f>
        <v>15</v>
      </c>
      <c r="D2427" s="33">
        <f>Demand!E2425</f>
        <v>13</v>
      </c>
      <c r="E2427" s="33">
        <f>IF(Demand!F2425,1,0)</f>
        <v>0</v>
      </c>
      <c r="F2427" s="33">
        <f>COUNTIFS(c_store,A2427,c_date,B2427,c_hour,C2427)</f>
        <v>0</v>
      </c>
      <c r="G2427" s="33">
        <f>IF(F2427&gt;0,1,0)</f>
        <v>0</v>
      </c>
      <c r="H2427" s="33">
        <f>COUNTIFS(Demand!$A$2:$A$4481,A2427,Demand!$B$2:$B$4481,B2427,Demand!$C$2:$C$4481,C2427)</f>
        <v>1</v>
      </c>
    </row>
    <row r="2428">
      <c r="A2428" s="32" t="str">
        <f>Demand!A2426</f>
        <v>S012</v>
      </c>
      <c r="B2428" s="35">
        <f>Demand!B2426</f>
        <v>46273.0</v>
      </c>
      <c r="C2428" s="33">
        <f>Demand!C2426</f>
        <v>16</v>
      </c>
      <c r="D2428" s="33">
        <f>Demand!E2426</f>
        <v>12</v>
      </c>
      <c r="E2428" s="33">
        <f>IF(Demand!F2426,1,0)</f>
        <v>0</v>
      </c>
      <c r="F2428" s="33">
        <f>COUNTIFS(c_store,A2428,c_date,B2428,c_hour,C2428)</f>
        <v>0</v>
      </c>
      <c r="G2428" s="33">
        <f>IF(F2428&gt;0,1,0)</f>
        <v>0</v>
      </c>
      <c r="H2428" s="33">
        <f>COUNTIFS(Demand!$A$2:$A$4481,A2428,Demand!$B$2:$B$4481,B2428,Demand!$C$2:$C$4481,C2428)</f>
        <v>1</v>
      </c>
    </row>
    <row r="2429">
      <c r="A2429" s="32" t="str">
        <f>Demand!A2427</f>
        <v>S012</v>
      </c>
      <c r="B2429" s="35">
        <f>Demand!B2427</f>
        <v>46273.0</v>
      </c>
      <c r="C2429" s="33">
        <f>Demand!C2427</f>
        <v>17</v>
      </c>
      <c r="D2429" s="33">
        <f>Demand!E2427</f>
        <v>13</v>
      </c>
      <c r="E2429" s="33">
        <f>IF(Demand!F2427,1,0)</f>
        <v>0</v>
      </c>
      <c r="F2429" s="33">
        <f>COUNTIFS(c_store,A2429,c_date,B2429,c_hour,C2429)</f>
        <v>0</v>
      </c>
      <c r="G2429" s="33">
        <f>IF(F2429&gt;0,1,0)</f>
        <v>0</v>
      </c>
      <c r="H2429" s="33">
        <f>COUNTIFS(Demand!$A$2:$A$4481,A2429,Demand!$B$2:$B$4481,B2429,Demand!$C$2:$C$4481,C2429)</f>
        <v>1</v>
      </c>
    </row>
    <row r="2430">
      <c r="A2430" s="32" t="str">
        <f>Demand!A2428</f>
        <v>S012</v>
      </c>
      <c r="B2430" s="35">
        <f>Demand!B2428</f>
        <v>46273.0</v>
      </c>
      <c r="C2430" s="33">
        <f>Demand!C2428</f>
        <v>18</v>
      </c>
      <c r="D2430" s="33">
        <f>Demand!E2428</f>
        <v>17</v>
      </c>
      <c r="E2430" s="33">
        <f>IF(Demand!F2428,1,0)</f>
        <v>0</v>
      </c>
      <c r="F2430" s="33">
        <f>COUNTIFS(c_store,A2430,c_date,B2430,c_hour,C2430)</f>
        <v>1</v>
      </c>
      <c r="G2430" s="33">
        <f>IF(F2430&gt;0,1,0)</f>
        <v>1</v>
      </c>
      <c r="H2430" s="33">
        <f>COUNTIFS(Demand!$A$2:$A$4481,A2430,Demand!$B$2:$B$4481,B2430,Demand!$C$2:$C$4481,C2430)</f>
        <v>1</v>
      </c>
    </row>
    <row r="2431">
      <c r="A2431" s="32" t="str">
        <f>Demand!A2429</f>
        <v>S012</v>
      </c>
      <c r="B2431" s="35">
        <f>Demand!B2429</f>
        <v>46273.0</v>
      </c>
      <c r="C2431" s="33">
        <f>Demand!C2429</f>
        <v>19</v>
      </c>
      <c r="D2431" s="33">
        <f>Demand!E2429</f>
        <v>19</v>
      </c>
      <c r="E2431" s="33">
        <f>IF(Demand!F2429,1,0)</f>
        <v>1</v>
      </c>
      <c r="F2431" s="33">
        <f>COUNTIFS(c_store,A2431,c_date,B2431,c_hour,C2431)</f>
        <v>0</v>
      </c>
      <c r="G2431" s="33">
        <f>IF(F2431&gt;0,1,0)</f>
        <v>0</v>
      </c>
      <c r="H2431" s="33">
        <f>COUNTIFS(Demand!$A$2:$A$4481,A2431,Demand!$B$2:$B$4481,B2431,Demand!$C$2:$C$4481,C2431)</f>
        <v>1</v>
      </c>
    </row>
    <row r="2432">
      <c r="A2432" s="32" t="str">
        <f>Demand!A2430</f>
        <v>S012</v>
      </c>
      <c r="B2432" s="35">
        <f>Demand!B2430</f>
        <v>46273.0</v>
      </c>
      <c r="C2432" s="33">
        <f>Demand!C2430</f>
        <v>20</v>
      </c>
      <c r="D2432" s="33">
        <f>Demand!E2430</f>
        <v>21</v>
      </c>
      <c r="E2432" s="33">
        <f>IF(Demand!F2430,1,0)</f>
        <v>1</v>
      </c>
      <c r="F2432" s="33">
        <f>COUNTIFS(c_store,A2432,c_date,B2432,c_hour,C2432)</f>
        <v>0</v>
      </c>
      <c r="G2432" s="33">
        <f>IF(F2432&gt;0,1,0)</f>
        <v>0</v>
      </c>
      <c r="H2432" s="33">
        <f>COUNTIFS(Demand!$A$2:$A$4481,A2432,Demand!$B$2:$B$4481,B2432,Demand!$C$2:$C$4481,C2432)</f>
        <v>1</v>
      </c>
    </row>
    <row r="2433">
      <c r="A2433" s="32" t="str">
        <f>Demand!A2431</f>
        <v>S012</v>
      </c>
      <c r="B2433" s="35">
        <f>Demand!B2431</f>
        <v>46273.0</v>
      </c>
      <c r="C2433" s="33">
        <f>Demand!C2431</f>
        <v>21</v>
      </c>
      <c r="D2433" s="33">
        <f>Demand!E2431</f>
        <v>16</v>
      </c>
      <c r="E2433" s="33">
        <f>IF(Demand!F2431,1,0)</f>
        <v>1</v>
      </c>
      <c r="F2433" s="33">
        <f>COUNTIFS(c_store,A2433,c_date,B2433,c_hour,C2433)</f>
        <v>0</v>
      </c>
      <c r="G2433" s="33">
        <f>IF(F2433&gt;0,1,0)</f>
        <v>0</v>
      </c>
      <c r="H2433" s="33">
        <f>COUNTIFS(Demand!$A$2:$A$4481,A2433,Demand!$B$2:$B$4481,B2433,Demand!$C$2:$C$4481,C2433)</f>
        <v>1</v>
      </c>
    </row>
    <row r="2434">
      <c r="A2434" s="32" t="str">
        <f>Demand!A2432</f>
        <v>S012</v>
      </c>
      <c r="B2434" s="35">
        <f>Demand!B2432</f>
        <v>46273.0</v>
      </c>
      <c r="C2434" s="33">
        <f>Demand!C2432</f>
        <v>22</v>
      </c>
      <c r="D2434" s="33">
        <f>Demand!E2432</f>
        <v>16</v>
      </c>
      <c r="E2434" s="33">
        <f>IF(Demand!F2432,1,0)</f>
        <v>0</v>
      </c>
      <c r="F2434" s="33">
        <f>COUNTIFS(c_store,A2434,c_date,B2434,c_hour,C2434)</f>
        <v>0</v>
      </c>
      <c r="G2434" s="33">
        <f>IF(F2434&gt;0,1,0)</f>
        <v>0</v>
      </c>
      <c r="H2434" s="33">
        <f>COUNTIFS(Demand!$A$2:$A$4481,A2434,Demand!$B$2:$B$4481,B2434,Demand!$C$2:$C$4481,C2434)</f>
        <v>1</v>
      </c>
    </row>
    <row r="2435">
      <c r="A2435" s="32" t="str">
        <f>Demand!A2433</f>
        <v>S012</v>
      </c>
      <c r="B2435" s="35">
        <f>Demand!B2433</f>
        <v>46273.0</v>
      </c>
      <c r="C2435" s="33">
        <f>Demand!C2433</f>
        <v>23</v>
      </c>
      <c r="D2435" s="33">
        <f>Demand!E2433</f>
        <v>18</v>
      </c>
      <c r="E2435" s="33">
        <f>IF(Demand!F2433,1,0)</f>
        <v>0</v>
      </c>
      <c r="F2435" s="33">
        <f>COUNTIFS(c_store,A2435,c_date,B2435,c_hour,C2435)</f>
        <v>0</v>
      </c>
      <c r="G2435" s="33">
        <f>IF(F2435&gt;0,1,0)</f>
        <v>0</v>
      </c>
      <c r="H2435" s="33">
        <f>COUNTIFS(Demand!$A$2:$A$4481,A2435,Demand!$B$2:$B$4481,B2435,Demand!$C$2:$C$4481,C2435)</f>
        <v>1</v>
      </c>
    </row>
    <row r="2436">
      <c r="A2436" s="32" t="str">
        <f>Demand!A2434</f>
        <v>S013</v>
      </c>
      <c r="B2436" s="35">
        <f>Demand!B2434</f>
        <v>46273.0</v>
      </c>
      <c r="C2436" s="33">
        <f>Demand!C2434</f>
        <v>8</v>
      </c>
      <c r="D2436" s="33">
        <f>Demand!E2434</f>
        <v>37</v>
      </c>
      <c r="E2436" s="33">
        <f>IF(Demand!F2434,1,0)</f>
        <v>0</v>
      </c>
      <c r="F2436" s="33">
        <f>COUNTIFS(c_store,A2436,c_date,B2436,c_hour,C2436)</f>
        <v>0</v>
      </c>
      <c r="G2436" s="33">
        <f>IF(F2436&gt;0,1,0)</f>
        <v>0</v>
      </c>
      <c r="H2436" s="33">
        <f>COUNTIFS(Demand!$A$2:$A$4481,A2436,Demand!$B$2:$B$4481,B2436,Demand!$C$2:$C$4481,C2436)</f>
        <v>1</v>
      </c>
    </row>
    <row r="2437">
      <c r="A2437" s="32" t="str">
        <f>Demand!A2435</f>
        <v>S013</v>
      </c>
      <c r="B2437" s="35">
        <f>Demand!B2435</f>
        <v>46273.0</v>
      </c>
      <c r="C2437" s="33">
        <f>Demand!C2435</f>
        <v>9</v>
      </c>
      <c r="D2437" s="33">
        <f>Demand!E2435</f>
        <v>41</v>
      </c>
      <c r="E2437" s="33">
        <f>IF(Demand!F2435,1,0)</f>
        <v>0</v>
      </c>
      <c r="F2437" s="33">
        <f>COUNTIFS(c_store,A2437,c_date,B2437,c_hour,C2437)</f>
        <v>1</v>
      </c>
      <c r="G2437" s="33">
        <f>IF(F2437&gt;0,1,0)</f>
        <v>1</v>
      </c>
      <c r="H2437" s="33">
        <f>COUNTIFS(Demand!$A$2:$A$4481,A2437,Demand!$B$2:$B$4481,B2437,Demand!$C$2:$C$4481,C2437)</f>
        <v>1</v>
      </c>
    </row>
    <row r="2438">
      <c r="A2438" s="32" t="str">
        <f>Demand!A2436</f>
        <v>S013</v>
      </c>
      <c r="B2438" s="35">
        <f>Demand!B2436</f>
        <v>46273.0</v>
      </c>
      <c r="C2438" s="33">
        <f>Demand!C2436</f>
        <v>10</v>
      </c>
      <c r="D2438" s="33">
        <f>Demand!E2436</f>
        <v>29</v>
      </c>
      <c r="E2438" s="33">
        <f>IF(Demand!F2436,1,0)</f>
        <v>0</v>
      </c>
      <c r="F2438" s="33">
        <f>COUNTIFS(c_store,A2438,c_date,B2438,c_hour,C2438)</f>
        <v>0</v>
      </c>
      <c r="G2438" s="33">
        <f>IF(F2438&gt;0,1,0)</f>
        <v>0</v>
      </c>
      <c r="H2438" s="33">
        <f>COUNTIFS(Demand!$A$2:$A$4481,A2438,Demand!$B$2:$B$4481,B2438,Demand!$C$2:$C$4481,C2438)</f>
        <v>1</v>
      </c>
    </row>
    <row r="2439">
      <c r="A2439" s="32" t="str">
        <f>Demand!A2437</f>
        <v>S013</v>
      </c>
      <c r="B2439" s="35">
        <f>Demand!B2437</f>
        <v>46273.0</v>
      </c>
      <c r="C2439" s="33">
        <f>Demand!C2437</f>
        <v>11</v>
      </c>
      <c r="D2439" s="33">
        <f>Demand!E2437</f>
        <v>49</v>
      </c>
      <c r="E2439" s="33">
        <f>IF(Demand!F2437,1,0)</f>
        <v>0</v>
      </c>
      <c r="F2439" s="33">
        <f>COUNTIFS(c_store,A2439,c_date,B2439,c_hour,C2439)</f>
        <v>0</v>
      </c>
      <c r="G2439" s="33">
        <f>IF(F2439&gt;0,1,0)</f>
        <v>0</v>
      </c>
      <c r="H2439" s="33">
        <f>COUNTIFS(Demand!$A$2:$A$4481,A2439,Demand!$B$2:$B$4481,B2439,Demand!$C$2:$C$4481,C2439)</f>
        <v>1</v>
      </c>
    </row>
    <row r="2440">
      <c r="A2440" s="32" t="str">
        <f>Demand!A2438</f>
        <v>S013</v>
      </c>
      <c r="B2440" s="35">
        <f>Demand!B2438</f>
        <v>46273.0</v>
      </c>
      <c r="C2440" s="33">
        <f>Demand!C2438</f>
        <v>12</v>
      </c>
      <c r="D2440" s="33">
        <f>Demand!E2438</f>
        <v>54</v>
      </c>
      <c r="E2440" s="33">
        <f>IF(Demand!F2438,1,0)</f>
        <v>0</v>
      </c>
      <c r="F2440" s="33">
        <f>COUNTIFS(c_store,A2440,c_date,B2440,c_hour,C2440)</f>
        <v>0</v>
      </c>
      <c r="G2440" s="33">
        <f>IF(F2440&gt;0,1,0)</f>
        <v>0</v>
      </c>
      <c r="H2440" s="33">
        <f>COUNTIFS(Demand!$A$2:$A$4481,A2440,Demand!$B$2:$B$4481,B2440,Demand!$C$2:$C$4481,C2440)</f>
        <v>1</v>
      </c>
    </row>
    <row r="2441">
      <c r="A2441" s="32" t="str">
        <f>Demand!A2439</f>
        <v>S013</v>
      </c>
      <c r="B2441" s="35">
        <f>Demand!B2439</f>
        <v>46273.0</v>
      </c>
      <c r="C2441" s="33">
        <f>Demand!C2439</f>
        <v>13</v>
      </c>
      <c r="D2441" s="33">
        <f>Demand!E2439</f>
        <v>50</v>
      </c>
      <c r="E2441" s="33">
        <f>IF(Demand!F2439,1,0)</f>
        <v>0</v>
      </c>
      <c r="F2441" s="33">
        <f>COUNTIFS(c_store,A2441,c_date,B2441,c_hour,C2441)</f>
        <v>0</v>
      </c>
      <c r="G2441" s="33">
        <f>IF(F2441&gt;0,1,0)</f>
        <v>0</v>
      </c>
      <c r="H2441" s="33">
        <f>COUNTIFS(Demand!$A$2:$A$4481,A2441,Demand!$B$2:$B$4481,B2441,Demand!$C$2:$C$4481,C2441)</f>
        <v>1</v>
      </c>
    </row>
    <row r="2442">
      <c r="A2442" s="32" t="str">
        <f>Demand!A2440</f>
        <v>S013</v>
      </c>
      <c r="B2442" s="35">
        <f>Demand!B2440</f>
        <v>46273.0</v>
      </c>
      <c r="C2442" s="33">
        <f>Demand!C2440</f>
        <v>14</v>
      </c>
      <c r="D2442" s="33">
        <f>Demand!E2440</f>
        <v>40</v>
      </c>
      <c r="E2442" s="33">
        <f>IF(Demand!F2440,1,0)</f>
        <v>0</v>
      </c>
      <c r="F2442" s="33">
        <f>COUNTIFS(c_store,A2442,c_date,B2442,c_hour,C2442)</f>
        <v>0</v>
      </c>
      <c r="G2442" s="33">
        <f>IF(F2442&gt;0,1,0)</f>
        <v>0</v>
      </c>
      <c r="H2442" s="33">
        <f>COUNTIFS(Demand!$A$2:$A$4481,A2442,Demand!$B$2:$B$4481,B2442,Demand!$C$2:$C$4481,C2442)</f>
        <v>1</v>
      </c>
    </row>
    <row r="2443">
      <c r="A2443" s="32" t="str">
        <f>Demand!A2441</f>
        <v>S013</v>
      </c>
      <c r="B2443" s="35">
        <f>Demand!B2441</f>
        <v>46273.0</v>
      </c>
      <c r="C2443" s="33">
        <f>Demand!C2441</f>
        <v>15</v>
      </c>
      <c r="D2443" s="33">
        <f>Demand!E2441</f>
        <v>32</v>
      </c>
      <c r="E2443" s="33">
        <f>IF(Demand!F2441,1,0)</f>
        <v>0</v>
      </c>
      <c r="F2443" s="33">
        <f>COUNTIFS(c_store,A2443,c_date,B2443,c_hour,C2443)</f>
        <v>0</v>
      </c>
      <c r="G2443" s="33">
        <f>IF(F2443&gt;0,1,0)</f>
        <v>0</v>
      </c>
      <c r="H2443" s="33">
        <f>COUNTIFS(Demand!$A$2:$A$4481,A2443,Demand!$B$2:$B$4481,B2443,Demand!$C$2:$C$4481,C2443)</f>
        <v>1</v>
      </c>
    </row>
    <row r="2444">
      <c r="A2444" s="32" t="str">
        <f>Demand!A2442</f>
        <v>S013</v>
      </c>
      <c r="B2444" s="35">
        <f>Demand!B2442</f>
        <v>46273.0</v>
      </c>
      <c r="C2444" s="33">
        <f>Demand!C2442</f>
        <v>16</v>
      </c>
      <c r="D2444" s="33">
        <f>Demand!E2442</f>
        <v>39</v>
      </c>
      <c r="E2444" s="33">
        <f>IF(Demand!F2442,1,0)</f>
        <v>0</v>
      </c>
      <c r="F2444" s="33">
        <f>COUNTIFS(c_store,A2444,c_date,B2444,c_hour,C2444)</f>
        <v>0</v>
      </c>
      <c r="G2444" s="33">
        <f>IF(F2444&gt;0,1,0)</f>
        <v>0</v>
      </c>
      <c r="H2444" s="33">
        <f>COUNTIFS(Demand!$A$2:$A$4481,A2444,Demand!$B$2:$B$4481,B2444,Demand!$C$2:$C$4481,C2444)</f>
        <v>1</v>
      </c>
    </row>
    <row r="2445">
      <c r="A2445" s="32" t="str">
        <f>Demand!A2443</f>
        <v>S013</v>
      </c>
      <c r="B2445" s="35">
        <f>Demand!B2443</f>
        <v>46273.0</v>
      </c>
      <c r="C2445" s="33">
        <f>Demand!C2443</f>
        <v>17</v>
      </c>
      <c r="D2445" s="33">
        <f>Demand!E2443</f>
        <v>67</v>
      </c>
      <c r="E2445" s="33">
        <f>IF(Demand!F2443,1,0)</f>
        <v>0</v>
      </c>
      <c r="F2445" s="33">
        <f>COUNTIFS(c_store,A2445,c_date,B2445,c_hour,C2445)</f>
        <v>0</v>
      </c>
      <c r="G2445" s="33">
        <f>IF(F2445&gt;0,1,0)</f>
        <v>0</v>
      </c>
      <c r="H2445" s="33">
        <f>COUNTIFS(Demand!$A$2:$A$4481,A2445,Demand!$B$2:$B$4481,B2445,Demand!$C$2:$C$4481,C2445)</f>
        <v>1</v>
      </c>
    </row>
    <row r="2446">
      <c r="A2446" s="32" t="str">
        <f>Demand!A2444</f>
        <v>S013</v>
      </c>
      <c r="B2446" s="35">
        <f>Demand!B2444</f>
        <v>46273.0</v>
      </c>
      <c r="C2446" s="33">
        <f>Demand!C2444</f>
        <v>18</v>
      </c>
      <c r="D2446" s="33">
        <f>Demand!E2444</f>
        <v>42</v>
      </c>
      <c r="E2446" s="33">
        <f>IF(Demand!F2444,1,0)</f>
        <v>0</v>
      </c>
      <c r="F2446" s="33">
        <f>COUNTIFS(c_store,A2446,c_date,B2446,c_hour,C2446)</f>
        <v>2</v>
      </c>
      <c r="G2446" s="33">
        <f>IF(F2446&gt;0,1,0)</f>
        <v>1</v>
      </c>
      <c r="H2446" s="33">
        <f>COUNTIFS(Demand!$A$2:$A$4481,A2446,Demand!$B$2:$B$4481,B2446,Demand!$C$2:$C$4481,C2446)</f>
        <v>1</v>
      </c>
    </row>
    <row r="2447">
      <c r="A2447" s="32" t="str">
        <f>Demand!A2445</f>
        <v>S013</v>
      </c>
      <c r="B2447" s="35">
        <f>Demand!B2445</f>
        <v>46273.0</v>
      </c>
      <c r="C2447" s="33">
        <f>Demand!C2445</f>
        <v>19</v>
      </c>
      <c r="D2447" s="33">
        <f>Demand!E2445</f>
        <v>80</v>
      </c>
      <c r="E2447" s="33">
        <f>IF(Demand!F2445,1,0)</f>
        <v>1</v>
      </c>
      <c r="F2447" s="33">
        <f>COUNTIFS(c_store,A2447,c_date,B2447,c_hour,C2447)</f>
        <v>1</v>
      </c>
      <c r="G2447" s="33">
        <f>IF(F2447&gt;0,1,0)</f>
        <v>1</v>
      </c>
      <c r="H2447" s="33">
        <f>COUNTIFS(Demand!$A$2:$A$4481,A2447,Demand!$B$2:$B$4481,B2447,Demand!$C$2:$C$4481,C2447)</f>
        <v>1</v>
      </c>
    </row>
    <row r="2448">
      <c r="A2448" s="32" t="str">
        <f>Demand!A2446</f>
        <v>S013</v>
      </c>
      <c r="B2448" s="35">
        <f>Demand!B2446</f>
        <v>46273.0</v>
      </c>
      <c r="C2448" s="33">
        <f>Demand!C2446</f>
        <v>20</v>
      </c>
      <c r="D2448" s="33">
        <f>Demand!E2446</f>
        <v>72</v>
      </c>
      <c r="E2448" s="33">
        <f>IF(Demand!F2446,1,0)</f>
        <v>1</v>
      </c>
      <c r="F2448" s="33">
        <f>COUNTIFS(c_store,A2448,c_date,B2448,c_hour,C2448)</f>
        <v>0</v>
      </c>
      <c r="G2448" s="33">
        <f>IF(F2448&gt;0,1,0)</f>
        <v>0</v>
      </c>
      <c r="H2448" s="33">
        <f>COUNTIFS(Demand!$A$2:$A$4481,A2448,Demand!$B$2:$B$4481,B2448,Demand!$C$2:$C$4481,C2448)</f>
        <v>1</v>
      </c>
    </row>
    <row r="2449">
      <c r="A2449" s="32" t="str">
        <f>Demand!A2447</f>
        <v>S013</v>
      </c>
      <c r="B2449" s="35">
        <f>Demand!B2447</f>
        <v>46273.0</v>
      </c>
      <c r="C2449" s="33">
        <f>Demand!C2447</f>
        <v>21</v>
      </c>
      <c r="D2449" s="33">
        <f>Demand!E2447</f>
        <v>61</v>
      </c>
      <c r="E2449" s="33">
        <f>IF(Demand!F2447,1,0)</f>
        <v>1</v>
      </c>
      <c r="F2449" s="33">
        <f>COUNTIFS(c_store,A2449,c_date,B2449,c_hour,C2449)</f>
        <v>1</v>
      </c>
      <c r="G2449" s="33">
        <f>IF(F2449&gt;0,1,0)</f>
        <v>1</v>
      </c>
      <c r="H2449" s="33">
        <f>COUNTIFS(Demand!$A$2:$A$4481,A2449,Demand!$B$2:$B$4481,B2449,Demand!$C$2:$C$4481,C2449)</f>
        <v>1</v>
      </c>
    </row>
    <row r="2450">
      <c r="A2450" s="32" t="str">
        <f>Demand!A2448</f>
        <v>S013</v>
      </c>
      <c r="B2450" s="35">
        <f>Demand!B2448</f>
        <v>46273.0</v>
      </c>
      <c r="C2450" s="33">
        <f>Demand!C2448</f>
        <v>22</v>
      </c>
      <c r="D2450" s="33">
        <f>Demand!E2448</f>
        <v>56</v>
      </c>
      <c r="E2450" s="33">
        <f>IF(Demand!F2448,1,0)</f>
        <v>0</v>
      </c>
      <c r="F2450" s="33">
        <f>COUNTIFS(c_store,A2450,c_date,B2450,c_hour,C2450)</f>
        <v>0</v>
      </c>
      <c r="G2450" s="33">
        <f>IF(F2450&gt;0,1,0)</f>
        <v>0</v>
      </c>
      <c r="H2450" s="33">
        <f>COUNTIFS(Demand!$A$2:$A$4481,A2450,Demand!$B$2:$B$4481,B2450,Demand!$C$2:$C$4481,C2450)</f>
        <v>1</v>
      </c>
    </row>
    <row r="2451">
      <c r="A2451" s="32" t="str">
        <f>Demand!A2449</f>
        <v>S013</v>
      </c>
      <c r="B2451" s="35">
        <f>Demand!B2449</f>
        <v>46273.0</v>
      </c>
      <c r="C2451" s="33">
        <f>Demand!C2449</f>
        <v>23</v>
      </c>
      <c r="D2451" s="33">
        <f>Demand!E2449</f>
        <v>44</v>
      </c>
      <c r="E2451" s="33">
        <f>IF(Demand!F2449,1,0)</f>
        <v>0</v>
      </c>
      <c r="F2451" s="33">
        <f>COUNTIFS(c_store,A2451,c_date,B2451,c_hour,C2451)</f>
        <v>1</v>
      </c>
      <c r="G2451" s="33">
        <f>IF(F2451&gt;0,1,0)</f>
        <v>1</v>
      </c>
      <c r="H2451" s="33">
        <f>COUNTIFS(Demand!$A$2:$A$4481,A2451,Demand!$B$2:$B$4481,B2451,Demand!$C$2:$C$4481,C2451)</f>
        <v>1</v>
      </c>
    </row>
    <row r="2452">
      <c r="A2452" s="32" t="str">
        <f>Demand!A2450</f>
        <v>S014</v>
      </c>
      <c r="B2452" s="35">
        <f>Demand!B2450</f>
        <v>46273.0</v>
      </c>
      <c r="C2452" s="33">
        <f>Demand!C2450</f>
        <v>8</v>
      </c>
      <c r="D2452" s="33">
        <f>Demand!E2450</f>
        <v>29</v>
      </c>
      <c r="E2452" s="33">
        <f>IF(Demand!F2450,1,0)</f>
        <v>0</v>
      </c>
      <c r="F2452" s="33">
        <f>COUNTIFS(c_store,A2452,c_date,B2452,c_hour,C2452)</f>
        <v>0</v>
      </c>
      <c r="G2452" s="33">
        <f>IF(F2452&gt;0,1,0)</f>
        <v>0</v>
      </c>
      <c r="H2452" s="33">
        <f>COUNTIFS(Demand!$A$2:$A$4481,A2452,Demand!$B$2:$B$4481,B2452,Demand!$C$2:$C$4481,C2452)</f>
        <v>1</v>
      </c>
    </row>
    <row r="2453">
      <c r="A2453" s="32" t="str">
        <f>Demand!A2451</f>
        <v>S014</v>
      </c>
      <c r="B2453" s="35">
        <f>Demand!B2451</f>
        <v>46273.0</v>
      </c>
      <c r="C2453" s="33">
        <f>Demand!C2451</f>
        <v>9</v>
      </c>
      <c r="D2453" s="33">
        <f>Demand!E2451</f>
        <v>26</v>
      </c>
      <c r="E2453" s="33">
        <f>IF(Demand!F2451,1,0)</f>
        <v>0</v>
      </c>
      <c r="F2453" s="33">
        <f>COUNTIFS(c_store,A2453,c_date,B2453,c_hour,C2453)</f>
        <v>0</v>
      </c>
      <c r="G2453" s="33">
        <f>IF(F2453&gt;0,1,0)</f>
        <v>0</v>
      </c>
      <c r="H2453" s="33">
        <f>COUNTIFS(Demand!$A$2:$A$4481,A2453,Demand!$B$2:$B$4481,B2453,Demand!$C$2:$C$4481,C2453)</f>
        <v>1</v>
      </c>
    </row>
    <row r="2454">
      <c r="A2454" s="32" t="str">
        <f>Demand!A2452</f>
        <v>S014</v>
      </c>
      <c r="B2454" s="35">
        <f>Demand!B2452</f>
        <v>46273.0</v>
      </c>
      <c r="C2454" s="33">
        <f>Demand!C2452</f>
        <v>10</v>
      </c>
      <c r="D2454" s="33">
        <f>Demand!E2452</f>
        <v>26</v>
      </c>
      <c r="E2454" s="33">
        <f>IF(Demand!F2452,1,0)</f>
        <v>0</v>
      </c>
      <c r="F2454" s="33">
        <f>COUNTIFS(c_store,A2454,c_date,B2454,c_hour,C2454)</f>
        <v>0</v>
      </c>
      <c r="G2454" s="33">
        <f>IF(F2454&gt;0,1,0)</f>
        <v>0</v>
      </c>
      <c r="H2454" s="33">
        <f>COUNTIFS(Demand!$A$2:$A$4481,A2454,Demand!$B$2:$B$4481,B2454,Demand!$C$2:$C$4481,C2454)</f>
        <v>1</v>
      </c>
    </row>
    <row r="2455">
      <c r="A2455" s="32" t="str">
        <f>Demand!A2453</f>
        <v>S014</v>
      </c>
      <c r="B2455" s="35">
        <f>Demand!B2453</f>
        <v>46273.0</v>
      </c>
      <c r="C2455" s="33">
        <f>Demand!C2453</f>
        <v>11</v>
      </c>
      <c r="D2455" s="33">
        <f>Demand!E2453</f>
        <v>27</v>
      </c>
      <c r="E2455" s="33">
        <f>IF(Demand!F2453,1,0)</f>
        <v>0</v>
      </c>
      <c r="F2455" s="33">
        <f>COUNTIFS(c_store,A2455,c_date,B2455,c_hour,C2455)</f>
        <v>0</v>
      </c>
      <c r="G2455" s="33">
        <f>IF(F2455&gt;0,1,0)</f>
        <v>0</v>
      </c>
      <c r="H2455" s="33">
        <f>COUNTIFS(Demand!$A$2:$A$4481,A2455,Demand!$B$2:$B$4481,B2455,Demand!$C$2:$C$4481,C2455)</f>
        <v>1</v>
      </c>
    </row>
    <row r="2456">
      <c r="A2456" s="32" t="str">
        <f>Demand!A2454</f>
        <v>S014</v>
      </c>
      <c r="B2456" s="35">
        <f>Demand!B2454</f>
        <v>46273.0</v>
      </c>
      <c r="C2456" s="33">
        <f>Demand!C2454</f>
        <v>12</v>
      </c>
      <c r="D2456" s="33">
        <f>Demand!E2454</f>
        <v>38</v>
      </c>
      <c r="E2456" s="33">
        <f>IF(Demand!F2454,1,0)</f>
        <v>0</v>
      </c>
      <c r="F2456" s="33">
        <f>COUNTIFS(c_store,A2456,c_date,B2456,c_hour,C2456)</f>
        <v>1</v>
      </c>
      <c r="G2456" s="33">
        <f>IF(F2456&gt;0,1,0)</f>
        <v>1</v>
      </c>
      <c r="H2456" s="33">
        <f>COUNTIFS(Demand!$A$2:$A$4481,A2456,Demand!$B$2:$B$4481,B2456,Demand!$C$2:$C$4481,C2456)</f>
        <v>1</v>
      </c>
    </row>
    <row r="2457">
      <c r="A2457" s="32" t="str">
        <f>Demand!A2455</f>
        <v>S014</v>
      </c>
      <c r="B2457" s="35">
        <f>Demand!B2455</f>
        <v>46273.0</v>
      </c>
      <c r="C2457" s="33">
        <f>Demand!C2455</f>
        <v>13</v>
      </c>
      <c r="D2457" s="33">
        <f>Demand!E2455</f>
        <v>27</v>
      </c>
      <c r="E2457" s="33">
        <f>IF(Demand!F2455,1,0)</f>
        <v>0</v>
      </c>
      <c r="F2457" s="33">
        <f>COUNTIFS(c_store,A2457,c_date,B2457,c_hour,C2457)</f>
        <v>0</v>
      </c>
      <c r="G2457" s="33">
        <f>IF(F2457&gt;0,1,0)</f>
        <v>0</v>
      </c>
      <c r="H2457" s="33">
        <f>COUNTIFS(Demand!$A$2:$A$4481,A2457,Demand!$B$2:$B$4481,B2457,Demand!$C$2:$C$4481,C2457)</f>
        <v>1</v>
      </c>
    </row>
    <row r="2458">
      <c r="A2458" s="32" t="str">
        <f>Demand!A2456</f>
        <v>S014</v>
      </c>
      <c r="B2458" s="35">
        <f>Demand!B2456</f>
        <v>46273.0</v>
      </c>
      <c r="C2458" s="33">
        <f>Demand!C2456</f>
        <v>14</v>
      </c>
      <c r="D2458" s="33">
        <f>Demand!E2456</f>
        <v>33</v>
      </c>
      <c r="E2458" s="33">
        <f>IF(Demand!F2456,1,0)</f>
        <v>0</v>
      </c>
      <c r="F2458" s="33">
        <f>COUNTIFS(c_store,A2458,c_date,B2458,c_hour,C2458)</f>
        <v>0</v>
      </c>
      <c r="G2458" s="33">
        <f>IF(F2458&gt;0,1,0)</f>
        <v>0</v>
      </c>
      <c r="H2458" s="33">
        <f>COUNTIFS(Demand!$A$2:$A$4481,A2458,Demand!$B$2:$B$4481,B2458,Demand!$C$2:$C$4481,C2458)</f>
        <v>1</v>
      </c>
    </row>
    <row r="2459">
      <c r="A2459" s="32" t="str">
        <f>Demand!A2457</f>
        <v>S014</v>
      </c>
      <c r="B2459" s="35">
        <f>Demand!B2457</f>
        <v>46273.0</v>
      </c>
      <c r="C2459" s="33">
        <f>Demand!C2457</f>
        <v>15</v>
      </c>
      <c r="D2459" s="33">
        <f>Demand!E2457</f>
        <v>26</v>
      </c>
      <c r="E2459" s="33">
        <f>IF(Demand!F2457,1,0)</f>
        <v>0</v>
      </c>
      <c r="F2459" s="33">
        <f>COUNTIFS(c_store,A2459,c_date,B2459,c_hour,C2459)</f>
        <v>1</v>
      </c>
      <c r="G2459" s="33">
        <f>IF(F2459&gt;0,1,0)</f>
        <v>1</v>
      </c>
      <c r="H2459" s="33">
        <f>COUNTIFS(Demand!$A$2:$A$4481,A2459,Demand!$B$2:$B$4481,B2459,Demand!$C$2:$C$4481,C2459)</f>
        <v>1</v>
      </c>
    </row>
    <row r="2460">
      <c r="A2460" s="32" t="str">
        <f>Demand!A2458</f>
        <v>S014</v>
      </c>
      <c r="B2460" s="35">
        <f>Demand!B2458</f>
        <v>46273.0</v>
      </c>
      <c r="C2460" s="33">
        <f>Demand!C2458</f>
        <v>16</v>
      </c>
      <c r="D2460" s="33">
        <f>Demand!E2458</f>
        <v>38</v>
      </c>
      <c r="E2460" s="33">
        <f>IF(Demand!F2458,1,0)</f>
        <v>0</v>
      </c>
      <c r="F2460" s="33">
        <f>COUNTIFS(c_store,A2460,c_date,B2460,c_hour,C2460)</f>
        <v>0</v>
      </c>
      <c r="G2460" s="33">
        <f>IF(F2460&gt;0,1,0)</f>
        <v>0</v>
      </c>
      <c r="H2460" s="33">
        <f>COUNTIFS(Demand!$A$2:$A$4481,A2460,Demand!$B$2:$B$4481,B2460,Demand!$C$2:$C$4481,C2460)</f>
        <v>1</v>
      </c>
    </row>
    <row r="2461">
      <c r="A2461" s="32" t="str">
        <f>Demand!A2459</f>
        <v>S014</v>
      </c>
      <c r="B2461" s="35">
        <f>Demand!B2459</f>
        <v>46273.0</v>
      </c>
      <c r="C2461" s="33">
        <f>Demand!C2459</f>
        <v>17</v>
      </c>
      <c r="D2461" s="33">
        <f>Demand!E2459</f>
        <v>37</v>
      </c>
      <c r="E2461" s="33">
        <f>IF(Demand!F2459,1,0)</f>
        <v>0</v>
      </c>
      <c r="F2461" s="33">
        <f>COUNTIFS(c_store,A2461,c_date,B2461,c_hour,C2461)</f>
        <v>0</v>
      </c>
      <c r="G2461" s="33">
        <f>IF(F2461&gt;0,1,0)</f>
        <v>0</v>
      </c>
      <c r="H2461" s="33">
        <f>COUNTIFS(Demand!$A$2:$A$4481,A2461,Demand!$B$2:$B$4481,B2461,Demand!$C$2:$C$4481,C2461)</f>
        <v>1</v>
      </c>
    </row>
    <row r="2462">
      <c r="A2462" s="32" t="str">
        <f>Demand!A2460</f>
        <v>S014</v>
      </c>
      <c r="B2462" s="35">
        <f>Demand!B2460</f>
        <v>46273.0</v>
      </c>
      <c r="C2462" s="33">
        <f>Demand!C2460</f>
        <v>18</v>
      </c>
      <c r="D2462" s="33">
        <f>Demand!E2460</f>
        <v>42</v>
      </c>
      <c r="E2462" s="33">
        <f>IF(Demand!F2460,1,0)</f>
        <v>0</v>
      </c>
      <c r="F2462" s="33">
        <f>COUNTIFS(c_store,A2462,c_date,B2462,c_hour,C2462)</f>
        <v>0</v>
      </c>
      <c r="G2462" s="33">
        <f>IF(F2462&gt;0,1,0)</f>
        <v>0</v>
      </c>
      <c r="H2462" s="33">
        <f>COUNTIFS(Demand!$A$2:$A$4481,A2462,Demand!$B$2:$B$4481,B2462,Demand!$C$2:$C$4481,C2462)</f>
        <v>1</v>
      </c>
    </row>
    <row r="2463">
      <c r="A2463" s="32" t="str">
        <f>Demand!A2461</f>
        <v>S014</v>
      </c>
      <c r="B2463" s="35">
        <f>Demand!B2461</f>
        <v>46273.0</v>
      </c>
      <c r="C2463" s="33">
        <f>Demand!C2461</f>
        <v>19</v>
      </c>
      <c r="D2463" s="33">
        <f>Demand!E2461</f>
        <v>55</v>
      </c>
      <c r="E2463" s="33">
        <f>IF(Demand!F2461,1,0)</f>
        <v>1</v>
      </c>
      <c r="F2463" s="33">
        <f>COUNTIFS(c_store,A2463,c_date,B2463,c_hour,C2463)</f>
        <v>0</v>
      </c>
      <c r="G2463" s="33">
        <f>IF(F2463&gt;0,1,0)</f>
        <v>0</v>
      </c>
      <c r="H2463" s="33">
        <f>COUNTIFS(Demand!$A$2:$A$4481,A2463,Demand!$B$2:$B$4481,B2463,Demand!$C$2:$C$4481,C2463)</f>
        <v>1</v>
      </c>
    </row>
    <row r="2464">
      <c r="A2464" s="32" t="str">
        <f>Demand!A2462</f>
        <v>S014</v>
      </c>
      <c r="B2464" s="35">
        <f>Demand!B2462</f>
        <v>46273.0</v>
      </c>
      <c r="C2464" s="33">
        <f>Demand!C2462</f>
        <v>20</v>
      </c>
      <c r="D2464" s="33">
        <f>Demand!E2462</f>
        <v>62</v>
      </c>
      <c r="E2464" s="33">
        <f>IF(Demand!F2462,1,0)</f>
        <v>1</v>
      </c>
      <c r="F2464" s="33">
        <f>COUNTIFS(c_store,A2464,c_date,B2464,c_hour,C2464)</f>
        <v>2</v>
      </c>
      <c r="G2464" s="33">
        <f>IF(F2464&gt;0,1,0)</f>
        <v>1</v>
      </c>
      <c r="H2464" s="33">
        <f>COUNTIFS(Demand!$A$2:$A$4481,A2464,Demand!$B$2:$B$4481,B2464,Demand!$C$2:$C$4481,C2464)</f>
        <v>1</v>
      </c>
    </row>
    <row r="2465">
      <c r="A2465" s="32" t="str">
        <f>Demand!A2463</f>
        <v>S014</v>
      </c>
      <c r="B2465" s="35">
        <f>Demand!B2463</f>
        <v>46273.0</v>
      </c>
      <c r="C2465" s="33">
        <f>Demand!C2463</f>
        <v>21</v>
      </c>
      <c r="D2465" s="33">
        <f>Demand!E2463</f>
        <v>65</v>
      </c>
      <c r="E2465" s="33">
        <f>IF(Demand!F2463,1,0)</f>
        <v>1</v>
      </c>
      <c r="F2465" s="33">
        <f>COUNTIFS(c_store,A2465,c_date,B2465,c_hour,C2465)</f>
        <v>0</v>
      </c>
      <c r="G2465" s="33">
        <f>IF(F2465&gt;0,1,0)</f>
        <v>0</v>
      </c>
      <c r="H2465" s="33">
        <f>COUNTIFS(Demand!$A$2:$A$4481,A2465,Demand!$B$2:$B$4481,B2465,Demand!$C$2:$C$4481,C2465)</f>
        <v>1</v>
      </c>
    </row>
    <row r="2466">
      <c r="A2466" s="32" t="str">
        <f>Demand!A2464</f>
        <v>S014</v>
      </c>
      <c r="B2466" s="35">
        <f>Demand!B2464</f>
        <v>46273.0</v>
      </c>
      <c r="C2466" s="33">
        <f>Demand!C2464</f>
        <v>22</v>
      </c>
      <c r="D2466" s="33">
        <f>Demand!E2464</f>
        <v>38</v>
      </c>
      <c r="E2466" s="33">
        <f>IF(Demand!F2464,1,0)</f>
        <v>0</v>
      </c>
      <c r="F2466" s="33">
        <f>COUNTIFS(c_store,A2466,c_date,B2466,c_hour,C2466)</f>
        <v>1</v>
      </c>
      <c r="G2466" s="33">
        <f>IF(F2466&gt;0,1,0)</f>
        <v>1</v>
      </c>
      <c r="H2466" s="33">
        <f>COUNTIFS(Demand!$A$2:$A$4481,A2466,Demand!$B$2:$B$4481,B2466,Demand!$C$2:$C$4481,C2466)</f>
        <v>1</v>
      </c>
    </row>
    <row r="2467">
      <c r="A2467" s="32" t="str">
        <f>Demand!A2465</f>
        <v>S014</v>
      </c>
      <c r="B2467" s="35">
        <f>Demand!B2465</f>
        <v>46273.0</v>
      </c>
      <c r="C2467" s="33">
        <f>Demand!C2465</f>
        <v>23</v>
      </c>
      <c r="D2467" s="33">
        <f>Demand!E2465</f>
        <v>35</v>
      </c>
      <c r="E2467" s="33">
        <f>IF(Demand!F2465,1,0)</f>
        <v>0</v>
      </c>
      <c r="F2467" s="33">
        <f>COUNTIFS(c_store,A2467,c_date,B2467,c_hour,C2467)</f>
        <v>0</v>
      </c>
      <c r="G2467" s="33">
        <f>IF(F2467&gt;0,1,0)</f>
        <v>0</v>
      </c>
      <c r="H2467" s="33">
        <f>COUNTIFS(Demand!$A$2:$A$4481,A2467,Demand!$B$2:$B$4481,B2467,Demand!$C$2:$C$4481,C2467)</f>
        <v>1</v>
      </c>
    </row>
    <row r="2468">
      <c r="A2468" s="32" t="str">
        <f>Demand!A2466</f>
        <v>S015</v>
      </c>
      <c r="B2468" s="35">
        <f>Demand!B2466</f>
        <v>46273.0</v>
      </c>
      <c r="C2468" s="33">
        <f>Demand!C2466</f>
        <v>8</v>
      </c>
      <c r="D2468" s="33">
        <f>Demand!E2466</f>
        <v>21</v>
      </c>
      <c r="E2468" s="33">
        <f>IF(Demand!F2466,1,0)</f>
        <v>0</v>
      </c>
      <c r="F2468" s="33">
        <f>COUNTIFS(c_store,A2468,c_date,B2468,c_hour,C2468)</f>
        <v>0</v>
      </c>
      <c r="G2468" s="33">
        <f>IF(F2468&gt;0,1,0)</f>
        <v>0</v>
      </c>
      <c r="H2468" s="33">
        <f>COUNTIFS(Demand!$A$2:$A$4481,A2468,Demand!$B$2:$B$4481,B2468,Demand!$C$2:$C$4481,C2468)</f>
        <v>1</v>
      </c>
    </row>
    <row r="2469">
      <c r="A2469" s="32" t="str">
        <f>Demand!A2467</f>
        <v>S015</v>
      </c>
      <c r="B2469" s="35">
        <f>Demand!B2467</f>
        <v>46273.0</v>
      </c>
      <c r="C2469" s="33">
        <f>Demand!C2467</f>
        <v>9</v>
      </c>
      <c r="D2469" s="33">
        <f>Demand!E2467</f>
        <v>9</v>
      </c>
      <c r="E2469" s="33">
        <f>IF(Demand!F2467,1,0)</f>
        <v>0</v>
      </c>
      <c r="F2469" s="33">
        <f>COUNTIFS(c_store,A2469,c_date,B2469,c_hour,C2469)</f>
        <v>0</v>
      </c>
      <c r="G2469" s="33">
        <f>IF(F2469&gt;0,1,0)</f>
        <v>0</v>
      </c>
      <c r="H2469" s="33">
        <f>COUNTIFS(Demand!$A$2:$A$4481,A2469,Demand!$B$2:$B$4481,B2469,Demand!$C$2:$C$4481,C2469)</f>
        <v>1</v>
      </c>
    </row>
    <row r="2470">
      <c r="A2470" s="32" t="str">
        <f>Demand!A2468</f>
        <v>S015</v>
      </c>
      <c r="B2470" s="35">
        <f>Demand!B2468</f>
        <v>46273.0</v>
      </c>
      <c r="C2470" s="33">
        <f>Demand!C2468</f>
        <v>10</v>
      </c>
      <c r="D2470" s="33">
        <f>Demand!E2468</f>
        <v>17</v>
      </c>
      <c r="E2470" s="33">
        <f>IF(Demand!F2468,1,0)</f>
        <v>0</v>
      </c>
      <c r="F2470" s="33">
        <f>COUNTIFS(c_store,A2470,c_date,B2470,c_hour,C2470)</f>
        <v>1</v>
      </c>
      <c r="G2470" s="33">
        <f>IF(F2470&gt;0,1,0)</f>
        <v>1</v>
      </c>
      <c r="H2470" s="33">
        <f>COUNTIFS(Demand!$A$2:$A$4481,A2470,Demand!$B$2:$B$4481,B2470,Demand!$C$2:$C$4481,C2470)</f>
        <v>1</v>
      </c>
    </row>
    <row r="2471">
      <c r="A2471" s="32" t="str">
        <f>Demand!A2469</f>
        <v>S015</v>
      </c>
      <c r="B2471" s="35">
        <f>Demand!B2469</f>
        <v>46273.0</v>
      </c>
      <c r="C2471" s="33">
        <f>Demand!C2469</f>
        <v>11</v>
      </c>
      <c r="D2471" s="33">
        <f>Demand!E2469</f>
        <v>29</v>
      </c>
      <c r="E2471" s="33">
        <f>IF(Demand!F2469,1,0)</f>
        <v>0</v>
      </c>
      <c r="F2471" s="33">
        <f>COUNTIFS(c_store,A2471,c_date,B2471,c_hour,C2471)</f>
        <v>0</v>
      </c>
      <c r="G2471" s="33">
        <f>IF(F2471&gt;0,1,0)</f>
        <v>0</v>
      </c>
      <c r="H2471" s="33">
        <f>COUNTIFS(Demand!$A$2:$A$4481,A2471,Demand!$B$2:$B$4481,B2471,Demand!$C$2:$C$4481,C2471)</f>
        <v>1</v>
      </c>
    </row>
    <row r="2472">
      <c r="A2472" s="32" t="str">
        <f>Demand!A2470</f>
        <v>S015</v>
      </c>
      <c r="B2472" s="35">
        <f>Demand!B2470</f>
        <v>46273.0</v>
      </c>
      <c r="C2472" s="33">
        <f>Demand!C2470</f>
        <v>12</v>
      </c>
      <c r="D2472" s="33">
        <f>Demand!E2470</f>
        <v>31</v>
      </c>
      <c r="E2472" s="33">
        <f>IF(Demand!F2470,1,0)</f>
        <v>0</v>
      </c>
      <c r="F2472" s="33">
        <f>COUNTIFS(c_store,A2472,c_date,B2472,c_hour,C2472)</f>
        <v>1</v>
      </c>
      <c r="G2472" s="33">
        <f>IF(F2472&gt;0,1,0)</f>
        <v>1</v>
      </c>
      <c r="H2472" s="33">
        <f>COUNTIFS(Demand!$A$2:$A$4481,A2472,Demand!$B$2:$B$4481,B2472,Demand!$C$2:$C$4481,C2472)</f>
        <v>1</v>
      </c>
    </row>
    <row r="2473">
      <c r="A2473" s="32" t="str">
        <f>Demand!A2471</f>
        <v>S015</v>
      </c>
      <c r="B2473" s="35">
        <f>Demand!B2471</f>
        <v>46273.0</v>
      </c>
      <c r="C2473" s="33">
        <f>Demand!C2471</f>
        <v>13</v>
      </c>
      <c r="D2473" s="33">
        <f>Demand!E2471</f>
        <v>26</v>
      </c>
      <c r="E2473" s="33">
        <f>IF(Demand!F2471,1,0)</f>
        <v>0</v>
      </c>
      <c r="F2473" s="33">
        <f>COUNTIFS(c_store,A2473,c_date,B2473,c_hour,C2473)</f>
        <v>0</v>
      </c>
      <c r="G2473" s="33">
        <f>IF(F2473&gt;0,1,0)</f>
        <v>0</v>
      </c>
      <c r="H2473" s="33">
        <f>COUNTIFS(Demand!$A$2:$A$4481,A2473,Demand!$B$2:$B$4481,B2473,Demand!$C$2:$C$4481,C2473)</f>
        <v>1</v>
      </c>
    </row>
    <row r="2474">
      <c r="A2474" s="32" t="str">
        <f>Demand!A2472</f>
        <v>S015</v>
      </c>
      <c r="B2474" s="35">
        <f>Demand!B2472</f>
        <v>46273.0</v>
      </c>
      <c r="C2474" s="33">
        <f>Demand!C2472</f>
        <v>14</v>
      </c>
      <c r="D2474" s="33">
        <f>Demand!E2472</f>
        <v>15</v>
      </c>
      <c r="E2474" s="33">
        <f>IF(Demand!F2472,1,0)</f>
        <v>0</v>
      </c>
      <c r="F2474" s="33">
        <f>COUNTIFS(c_store,A2474,c_date,B2474,c_hour,C2474)</f>
        <v>0</v>
      </c>
      <c r="G2474" s="33">
        <f>IF(F2474&gt;0,1,0)</f>
        <v>0</v>
      </c>
      <c r="H2474" s="33">
        <f>COUNTIFS(Demand!$A$2:$A$4481,A2474,Demand!$B$2:$B$4481,B2474,Demand!$C$2:$C$4481,C2474)</f>
        <v>1</v>
      </c>
    </row>
    <row r="2475">
      <c r="A2475" s="32" t="str">
        <f>Demand!A2473</f>
        <v>S015</v>
      </c>
      <c r="B2475" s="35">
        <f>Demand!B2473</f>
        <v>46273.0</v>
      </c>
      <c r="C2475" s="33">
        <f>Demand!C2473</f>
        <v>15</v>
      </c>
      <c r="D2475" s="33">
        <f>Demand!E2473</f>
        <v>21</v>
      </c>
      <c r="E2475" s="33">
        <f>IF(Demand!F2473,1,0)</f>
        <v>0</v>
      </c>
      <c r="F2475" s="33">
        <f>COUNTIFS(c_store,A2475,c_date,B2475,c_hour,C2475)</f>
        <v>0</v>
      </c>
      <c r="G2475" s="33">
        <f>IF(F2475&gt;0,1,0)</f>
        <v>0</v>
      </c>
      <c r="H2475" s="33">
        <f>COUNTIFS(Demand!$A$2:$A$4481,A2475,Demand!$B$2:$B$4481,B2475,Demand!$C$2:$C$4481,C2475)</f>
        <v>1</v>
      </c>
    </row>
    <row r="2476">
      <c r="A2476" s="32" t="str">
        <f>Demand!A2474</f>
        <v>S015</v>
      </c>
      <c r="B2476" s="35">
        <f>Demand!B2474</f>
        <v>46273.0</v>
      </c>
      <c r="C2476" s="33">
        <f>Demand!C2474</f>
        <v>16</v>
      </c>
      <c r="D2476" s="33">
        <f>Demand!E2474</f>
        <v>29</v>
      </c>
      <c r="E2476" s="33">
        <f>IF(Demand!F2474,1,0)</f>
        <v>0</v>
      </c>
      <c r="F2476" s="33">
        <f>COUNTIFS(c_store,A2476,c_date,B2476,c_hour,C2476)</f>
        <v>0</v>
      </c>
      <c r="G2476" s="33">
        <f>IF(F2476&gt;0,1,0)</f>
        <v>0</v>
      </c>
      <c r="H2476" s="33">
        <f>COUNTIFS(Demand!$A$2:$A$4481,A2476,Demand!$B$2:$B$4481,B2476,Demand!$C$2:$C$4481,C2476)</f>
        <v>1</v>
      </c>
    </row>
    <row r="2477">
      <c r="A2477" s="32" t="str">
        <f>Demand!A2475</f>
        <v>S015</v>
      </c>
      <c r="B2477" s="35">
        <f>Demand!B2475</f>
        <v>46273.0</v>
      </c>
      <c r="C2477" s="33">
        <f>Demand!C2475</f>
        <v>17</v>
      </c>
      <c r="D2477" s="33">
        <f>Demand!E2475</f>
        <v>17</v>
      </c>
      <c r="E2477" s="33">
        <f>IF(Demand!F2475,1,0)</f>
        <v>0</v>
      </c>
      <c r="F2477" s="33">
        <f>COUNTIFS(c_store,A2477,c_date,B2477,c_hour,C2477)</f>
        <v>0</v>
      </c>
      <c r="G2477" s="33">
        <f>IF(F2477&gt;0,1,0)</f>
        <v>0</v>
      </c>
      <c r="H2477" s="33">
        <f>COUNTIFS(Demand!$A$2:$A$4481,A2477,Demand!$B$2:$B$4481,B2477,Demand!$C$2:$C$4481,C2477)</f>
        <v>1</v>
      </c>
    </row>
    <row r="2478">
      <c r="A2478" s="32" t="str">
        <f>Demand!A2476</f>
        <v>S015</v>
      </c>
      <c r="B2478" s="35">
        <f>Demand!B2476</f>
        <v>46273.0</v>
      </c>
      <c r="C2478" s="33">
        <f>Demand!C2476</f>
        <v>18</v>
      </c>
      <c r="D2478" s="33">
        <f>Demand!E2476</f>
        <v>23</v>
      </c>
      <c r="E2478" s="33">
        <f>IF(Demand!F2476,1,0)</f>
        <v>0</v>
      </c>
      <c r="F2478" s="33">
        <f>COUNTIFS(c_store,A2478,c_date,B2478,c_hour,C2478)</f>
        <v>1</v>
      </c>
      <c r="G2478" s="33">
        <f>IF(F2478&gt;0,1,0)</f>
        <v>1</v>
      </c>
      <c r="H2478" s="33">
        <f>COUNTIFS(Demand!$A$2:$A$4481,A2478,Demand!$B$2:$B$4481,B2478,Demand!$C$2:$C$4481,C2478)</f>
        <v>1</v>
      </c>
    </row>
    <row r="2479">
      <c r="A2479" s="32" t="str">
        <f>Demand!A2477</f>
        <v>S015</v>
      </c>
      <c r="B2479" s="35">
        <f>Demand!B2477</f>
        <v>46273.0</v>
      </c>
      <c r="C2479" s="33">
        <f>Demand!C2477</f>
        <v>19</v>
      </c>
      <c r="D2479" s="33">
        <f>Demand!E2477</f>
        <v>37</v>
      </c>
      <c r="E2479" s="33">
        <f>IF(Demand!F2477,1,0)</f>
        <v>1</v>
      </c>
      <c r="F2479" s="33">
        <f>COUNTIFS(c_store,A2479,c_date,B2479,c_hour,C2479)</f>
        <v>0</v>
      </c>
      <c r="G2479" s="33">
        <f>IF(F2479&gt;0,1,0)</f>
        <v>0</v>
      </c>
      <c r="H2479" s="33">
        <f>COUNTIFS(Demand!$A$2:$A$4481,A2479,Demand!$B$2:$B$4481,B2479,Demand!$C$2:$C$4481,C2479)</f>
        <v>1</v>
      </c>
    </row>
    <row r="2480">
      <c r="A2480" s="32" t="str">
        <f>Demand!A2478</f>
        <v>S015</v>
      </c>
      <c r="B2480" s="35">
        <f>Demand!B2478</f>
        <v>46273.0</v>
      </c>
      <c r="C2480" s="33">
        <f>Demand!C2478</f>
        <v>20</v>
      </c>
      <c r="D2480" s="33">
        <f>Demand!E2478</f>
        <v>32</v>
      </c>
      <c r="E2480" s="33">
        <f>IF(Demand!F2478,1,0)</f>
        <v>1</v>
      </c>
      <c r="F2480" s="33">
        <f>COUNTIFS(c_store,A2480,c_date,B2480,c_hour,C2480)</f>
        <v>0</v>
      </c>
      <c r="G2480" s="33">
        <f>IF(F2480&gt;0,1,0)</f>
        <v>0</v>
      </c>
      <c r="H2480" s="33">
        <f>COUNTIFS(Demand!$A$2:$A$4481,A2480,Demand!$B$2:$B$4481,B2480,Demand!$C$2:$C$4481,C2480)</f>
        <v>1</v>
      </c>
    </row>
    <row r="2481">
      <c r="A2481" s="32" t="str">
        <f>Demand!A2479</f>
        <v>S015</v>
      </c>
      <c r="B2481" s="35">
        <f>Demand!B2479</f>
        <v>46273.0</v>
      </c>
      <c r="C2481" s="33">
        <f>Demand!C2479</f>
        <v>21</v>
      </c>
      <c r="D2481" s="33">
        <f>Demand!E2479</f>
        <v>32</v>
      </c>
      <c r="E2481" s="33">
        <f>IF(Demand!F2479,1,0)</f>
        <v>1</v>
      </c>
      <c r="F2481" s="33">
        <f>COUNTIFS(c_store,A2481,c_date,B2481,c_hour,C2481)</f>
        <v>0</v>
      </c>
      <c r="G2481" s="33">
        <f>IF(F2481&gt;0,1,0)</f>
        <v>0</v>
      </c>
      <c r="H2481" s="33">
        <f>COUNTIFS(Demand!$A$2:$A$4481,A2481,Demand!$B$2:$B$4481,B2481,Demand!$C$2:$C$4481,C2481)</f>
        <v>1</v>
      </c>
    </row>
    <row r="2482">
      <c r="A2482" s="32" t="str">
        <f>Demand!A2480</f>
        <v>S015</v>
      </c>
      <c r="B2482" s="35">
        <f>Demand!B2480</f>
        <v>46273.0</v>
      </c>
      <c r="C2482" s="33">
        <f>Demand!C2480</f>
        <v>22</v>
      </c>
      <c r="D2482" s="33">
        <f>Demand!E2480</f>
        <v>17</v>
      </c>
      <c r="E2482" s="33">
        <f>IF(Demand!F2480,1,0)</f>
        <v>0</v>
      </c>
      <c r="F2482" s="33">
        <f>COUNTIFS(c_store,A2482,c_date,B2482,c_hour,C2482)</f>
        <v>0</v>
      </c>
      <c r="G2482" s="33">
        <f>IF(F2482&gt;0,1,0)</f>
        <v>0</v>
      </c>
      <c r="H2482" s="33">
        <f>COUNTIFS(Demand!$A$2:$A$4481,A2482,Demand!$B$2:$B$4481,B2482,Demand!$C$2:$C$4481,C2482)</f>
        <v>1</v>
      </c>
    </row>
    <row r="2483">
      <c r="A2483" s="32" t="str">
        <f>Demand!A2481</f>
        <v>S015</v>
      </c>
      <c r="B2483" s="35">
        <f>Demand!B2481</f>
        <v>46273.0</v>
      </c>
      <c r="C2483" s="33">
        <f>Demand!C2481</f>
        <v>23</v>
      </c>
      <c r="D2483" s="33">
        <f>Demand!E2481</f>
        <v>16</v>
      </c>
      <c r="E2483" s="33">
        <f>IF(Demand!F2481,1,0)</f>
        <v>0</v>
      </c>
      <c r="F2483" s="33">
        <f>COUNTIFS(c_store,A2483,c_date,B2483,c_hour,C2483)</f>
        <v>0</v>
      </c>
      <c r="G2483" s="33">
        <f>IF(F2483&gt;0,1,0)</f>
        <v>0</v>
      </c>
      <c r="H2483" s="33">
        <f>COUNTIFS(Demand!$A$2:$A$4481,A2483,Demand!$B$2:$B$4481,B2483,Demand!$C$2:$C$4481,C2483)</f>
        <v>1</v>
      </c>
    </row>
    <row r="2484">
      <c r="A2484" s="32" t="str">
        <f>Demand!A2482</f>
        <v>S016</v>
      </c>
      <c r="B2484" s="35">
        <f>Demand!B2482</f>
        <v>46273.0</v>
      </c>
      <c r="C2484" s="33">
        <f>Demand!C2482</f>
        <v>8</v>
      </c>
      <c r="D2484" s="33">
        <f>Demand!E2482</f>
        <v>17</v>
      </c>
      <c r="E2484" s="33">
        <f>IF(Demand!F2482,1,0)</f>
        <v>0</v>
      </c>
      <c r="F2484" s="33">
        <f>COUNTIFS(c_store,A2484,c_date,B2484,c_hour,C2484)</f>
        <v>0</v>
      </c>
      <c r="G2484" s="33">
        <f>IF(F2484&gt;0,1,0)</f>
        <v>0</v>
      </c>
      <c r="H2484" s="33">
        <f>COUNTIFS(Demand!$A$2:$A$4481,A2484,Demand!$B$2:$B$4481,B2484,Demand!$C$2:$C$4481,C2484)</f>
        <v>1</v>
      </c>
    </row>
    <row r="2485">
      <c r="A2485" s="32" t="str">
        <f>Demand!A2483</f>
        <v>S016</v>
      </c>
      <c r="B2485" s="35">
        <f>Demand!B2483</f>
        <v>46273.0</v>
      </c>
      <c r="C2485" s="33">
        <f>Demand!C2483</f>
        <v>9</v>
      </c>
      <c r="D2485" s="33">
        <f>Demand!E2483</f>
        <v>17</v>
      </c>
      <c r="E2485" s="33">
        <f>IF(Demand!F2483,1,0)</f>
        <v>0</v>
      </c>
      <c r="F2485" s="33">
        <f>COUNTIFS(c_store,A2485,c_date,B2485,c_hour,C2485)</f>
        <v>0</v>
      </c>
      <c r="G2485" s="33">
        <f>IF(F2485&gt;0,1,0)</f>
        <v>0</v>
      </c>
      <c r="H2485" s="33">
        <f>COUNTIFS(Demand!$A$2:$A$4481,A2485,Demand!$B$2:$B$4481,B2485,Demand!$C$2:$C$4481,C2485)</f>
        <v>1</v>
      </c>
    </row>
    <row r="2486">
      <c r="A2486" s="32" t="str">
        <f>Demand!A2484</f>
        <v>S016</v>
      </c>
      <c r="B2486" s="35">
        <f>Demand!B2484</f>
        <v>46273.0</v>
      </c>
      <c r="C2486" s="33">
        <f>Demand!C2484</f>
        <v>10</v>
      </c>
      <c r="D2486" s="33">
        <f>Demand!E2484</f>
        <v>12</v>
      </c>
      <c r="E2486" s="33">
        <f>IF(Demand!F2484,1,0)</f>
        <v>0</v>
      </c>
      <c r="F2486" s="33">
        <f>COUNTIFS(c_store,A2486,c_date,B2486,c_hour,C2486)</f>
        <v>0</v>
      </c>
      <c r="G2486" s="33">
        <f>IF(F2486&gt;0,1,0)</f>
        <v>0</v>
      </c>
      <c r="H2486" s="33">
        <f>COUNTIFS(Demand!$A$2:$A$4481,A2486,Demand!$B$2:$B$4481,B2486,Demand!$C$2:$C$4481,C2486)</f>
        <v>1</v>
      </c>
    </row>
    <row r="2487">
      <c r="A2487" s="32" t="str">
        <f>Demand!A2485</f>
        <v>S016</v>
      </c>
      <c r="B2487" s="35">
        <f>Demand!B2485</f>
        <v>46273.0</v>
      </c>
      <c r="C2487" s="33">
        <f>Demand!C2485</f>
        <v>11</v>
      </c>
      <c r="D2487" s="33">
        <f>Demand!E2485</f>
        <v>24</v>
      </c>
      <c r="E2487" s="33">
        <f>IF(Demand!F2485,1,0)</f>
        <v>0</v>
      </c>
      <c r="F2487" s="33">
        <f>COUNTIFS(c_store,A2487,c_date,B2487,c_hour,C2487)</f>
        <v>0</v>
      </c>
      <c r="G2487" s="33">
        <f>IF(F2487&gt;0,1,0)</f>
        <v>0</v>
      </c>
      <c r="H2487" s="33">
        <f>COUNTIFS(Demand!$A$2:$A$4481,A2487,Demand!$B$2:$B$4481,B2487,Demand!$C$2:$C$4481,C2487)</f>
        <v>1</v>
      </c>
    </row>
    <row r="2488">
      <c r="A2488" s="32" t="str">
        <f>Demand!A2486</f>
        <v>S016</v>
      </c>
      <c r="B2488" s="35">
        <f>Demand!B2486</f>
        <v>46273.0</v>
      </c>
      <c r="C2488" s="33">
        <f>Demand!C2486</f>
        <v>12</v>
      </c>
      <c r="D2488" s="33">
        <f>Demand!E2486</f>
        <v>25</v>
      </c>
      <c r="E2488" s="33">
        <f>IF(Demand!F2486,1,0)</f>
        <v>0</v>
      </c>
      <c r="F2488" s="33">
        <f>COUNTIFS(c_store,A2488,c_date,B2488,c_hour,C2488)</f>
        <v>0</v>
      </c>
      <c r="G2488" s="33">
        <f>IF(F2488&gt;0,1,0)</f>
        <v>0</v>
      </c>
      <c r="H2488" s="33">
        <f>COUNTIFS(Demand!$A$2:$A$4481,A2488,Demand!$B$2:$B$4481,B2488,Demand!$C$2:$C$4481,C2488)</f>
        <v>1</v>
      </c>
    </row>
    <row r="2489">
      <c r="A2489" s="32" t="str">
        <f>Demand!A2487</f>
        <v>S016</v>
      </c>
      <c r="B2489" s="35">
        <f>Demand!B2487</f>
        <v>46273.0</v>
      </c>
      <c r="C2489" s="33">
        <f>Demand!C2487</f>
        <v>13</v>
      </c>
      <c r="D2489" s="33">
        <f>Demand!E2487</f>
        <v>29</v>
      </c>
      <c r="E2489" s="33">
        <f>IF(Demand!F2487,1,0)</f>
        <v>0</v>
      </c>
      <c r="F2489" s="33">
        <f>COUNTIFS(c_store,A2489,c_date,B2489,c_hour,C2489)</f>
        <v>1</v>
      </c>
      <c r="G2489" s="33">
        <f>IF(F2489&gt;0,1,0)</f>
        <v>1</v>
      </c>
      <c r="H2489" s="33">
        <f>COUNTIFS(Demand!$A$2:$A$4481,A2489,Demand!$B$2:$B$4481,B2489,Demand!$C$2:$C$4481,C2489)</f>
        <v>1</v>
      </c>
    </row>
    <row r="2490">
      <c r="A2490" s="32" t="str">
        <f>Demand!A2488</f>
        <v>S016</v>
      </c>
      <c r="B2490" s="35">
        <f>Demand!B2488</f>
        <v>46273.0</v>
      </c>
      <c r="C2490" s="33">
        <f>Demand!C2488</f>
        <v>14</v>
      </c>
      <c r="D2490" s="33">
        <f>Demand!E2488</f>
        <v>18</v>
      </c>
      <c r="E2490" s="33">
        <f>IF(Demand!F2488,1,0)</f>
        <v>0</v>
      </c>
      <c r="F2490" s="33">
        <f>COUNTIFS(c_store,A2490,c_date,B2490,c_hour,C2490)</f>
        <v>1</v>
      </c>
      <c r="G2490" s="33">
        <f>IF(F2490&gt;0,1,0)</f>
        <v>1</v>
      </c>
      <c r="H2490" s="33">
        <f>COUNTIFS(Demand!$A$2:$A$4481,A2490,Demand!$B$2:$B$4481,B2490,Demand!$C$2:$C$4481,C2490)</f>
        <v>1</v>
      </c>
    </row>
    <row r="2491">
      <c r="A2491" s="32" t="str">
        <f>Demand!A2489</f>
        <v>S016</v>
      </c>
      <c r="B2491" s="35">
        <f>Demand!B2489</f>
        <v>46273.0</v>
      </c>
      <c r="C2491" s="33">
        <f>Demand!C2489</f>
        <v>15</v>
      </c>
      <c r="D2491" s="33">
        <f>Demand!E2489</f>
        <v>16</v>
      </c>
      <c r="E2491" s="33">
        <f>IF(Demand!F2489,1,0)</f>
        <v>0</v>
      </c>
      <c r="F2491" s="33">
        <f>COUNTIFS(c_store,A2491,c_date,B2491,c_hour,C2491)</f>
        <v>0</v>
      </c>
      <c r="G2491" s="33">
        <f>IF(F2491&gt;0,1,0)</f>
        <v>0</v>
      </c>
      <c r="H2491" s="33">
        <f>COUNTIFS(Demand!$A$2:$A$4481,A2491,Demand!$B$2:$B$4481,B2491,Demand!$C$2:$C$4481,C2491)</f>
        <v>1</v>
      </c>
    </row>
    <row r="2492">
      <c r="A2492" s="32" t="str">
        <f>Demand!A2490</f>
        <v>S016</v>
      </c>
      <c r="B2492" s="35">
        <f>Demand!B2490</f>
        <v>46273.0</v>
      </c>
      <c r="C2492" s="33">
        <f>Demand!C2490</f>
        <v>16</v>
      </c>
      <c r="D2492" s="33">
        <f>Demand!E2490</f>
        <v>23</v>
      </c>
      <c r="E2492" s="33">
        <f>IF(Demand!F2490,1,0)</f>
        <v>0</v>
      </c>
      <c r="F2492" s="33">
        <f>COUNTIFS(c_store,A2492,c_date,B2492,c_hour,C2492)</f>
        <v>0</v>
      </c>
      <c r="G2492" s="33">
        <f>IF(F2492&gt;0,1,0)</f>
        <v>0</v>
      </c>
      <c r="H2492" s="33">
        <f>COUNTIFS(Demand!$A$2:$A$4481,A2492,Demand!$B$2:$B$4481,B2492,Demand!$C$2:$C$4481,C2492)</f>
        <v>1</v>
      </c>
    </row>
    <row r="2493">
      <c r="A2493" s="32" t="str">
        <f>Demand!A2491</f>
        <v>S016</v>
      </c>
      <c r="B2493" s="35">
        <f>Demand!B2491</f>
        <v>46273.0</v>
      </c>
      <c r="C2493" s="33">
        <f>Demand!C2491</f>
        <v>17</v>
      </c>
      <c r="D2493" s="33">
        <f>Demand!E2491</f>
        <v>35</v>
      </c>
      <c r="E2493" s="33">
        <f>IF(Demand!F2491,1,0)</f>
        <v>0</v>
      </c>
      <c r="F2493" s="33">
        <f>COUNTIFS(c_store,A2493,c_date,B2493,c_hour,C2493)</f>
        <v>0</v>
      </c>
      <c r="G2493" s="33">
        <f>IF(F2493&gt;0,1,0)</f>
        <v>0</v>
      </c>
      <c r="H2493" s="33">
        <f>COUNTIFS(Demand!$A$2:$A$4481,A2493,Demand!$B$2:$B$4481,B2493,Demand!$C$2:$C$4481,C2493)</f>
        <v>1</v>
      </c>
    </row>
    <row r="2494">
      <c r="A2494" s="32" t="str">
        <f>Demand!A2492</f>
        <v>S016</v>
      </c>
      <c r="B2494" s="35">
        <f>Demand!B2492</f>
        <v>46273.0</v>
      </c>
      <c r="C2494" s="33">
        <f>Demand!C2492</f>
        <v>18</v>
      </c>
      <c r="D2494" s="33">
        <f>Demand!E2492</f>
        <v>25</v>
      </c>
      <c r="E2494" s="33">
        <f>IF(Demand!F2492,1,0)</f>
        <v>0</v>
      </c>
      <c r="F2494" s="33">
        <f>COUNTIFS(c_store,A2494,c_date,B2494,c_hour,C2494)</f>
        <v>0</v>
      </c>
      <c r="G2494" s="33">
        <f>IF(F2494&gt;0,1,0)</f>
        <v>0</v>
      </c>
      <c r="H2494" s="33">
        <f>COUNTIFS(Demand!$A$2:$A$4481,A2494,Demand!$B$2:$B$4481,B2494,Demand!$C$2:$C$4481,C2494)</f>
        <v>1</v>
      </c>
    </row>
    <row r="2495">
      <c r="A2495" s="32" t="str">
        <f>Demand!A2493</f>
        <v>S016</v>
      </c>
      <c r="B2495" s="35">
        <f>Demand!B2493</f>
        <v>46273.0</v>
      </c>
      <c r="C2495" s="33">
        <f>Demand!C2493</f>
        <v>19</v>
      </c>
      <c r="D2495" s="33">
        <f>Demand!E2493</f>
        <v>34</v>
      </c>
      <c r="E2495" s="33">
        <f>IF(Demand!F2493,1,0)</f>
        <v>1</v>
      </c>
      <c r="F2495" s="33">
        <f>COUNTIFS(c_store,A2495,c_date,B2495,c_hour,C2495)</f>
        <v>0</v>
      </c>
      <c r="G2495" s="33">
        <f>IF(F2495&gt;0,1,0)</f>
        <v>0</v>
      </c>
      <c r="H2495" s="33">
        <f>COUNTIFS(Demand!$A$2:$A$4481,A2495,Demand!$B$2:$B$4481,B2495,Demand!$C$2:$C$4481,C2495)</f>
        <v>1</v>
      </c>
    </row>
    <row r="2496">
      <c r="A2496" s="32" t="str">
        <f>Demand!A2494</f>
        <v>S016</v>
      </c>
      <c r="B2496" s="35">
        <f>Demand!B2494</f>
        <v>46273.0</v>
      </c>
      <c r="C2496" s="33">
        <f>Demand!C2494</f>
        <v>20</v>
      </c>
      <c r="D2496" s="33">
        <f>Demand!E2494</f>
        <v>29</v>
      </c>
      <c r="E2496" s="33">
        <f>IF(Demand!F2494,1,0)</f>
        <v>1</v>
      </c>
      <c r="F2496" s="33">
        <f>COUNTIFS(c_store,A2496,c_date,B2496,c_hour,C2496)</f>
        <v>1</v>
      </c>
      <c r="G2496" s="33">
        <f>IF(F2496&gt;0,1,0)</f>
        <v>1</v>
      </c>
      <c r="H2496" s="33">
        <f>COUNTIFS(Demand!$A$2:$A$4481,A2496,Demand!$B$2:$B$4481,B2496,Demand!$C$2:$C$4481,C2496)</f>
        <v>1</v>
      </c>
    </row>
    <row r="2497">
      <c r="A2497" s="32" t="str">
        <f>Demand!A2495</f>
        <v>S016</v>
      </c>
      <c r="B2497" s="35">
        <f>Demand!B2495</f>
        <v>46273.0</v>
      </c>
      <c r="C2497" s="33">
        <f>Demand!C2495</f>
        <v>21</v>
      </c>
      <c r="D2497" s="33">
        <f>Demand!E2495</f>
        <v>34</v>
      </c>
      <c r="E2497" s="33">
        <f>IF(Demand!F2495,1,0)</f>
        <v>1</v>
      </c>
      <c r="F2497" s="33">
        <f>COUNTIFS(c_store,A2497,c_date,B2497,c_hour,C2497)</f>
        <v>0</v>
      </c>
      <c r="G2497" s="33">
        <f>IF(F2497&gt;0,1,0)</f>
        <v>0</v>
      </c>
      <c r="H2497" s="33">
        <f>COUNTIFS(Demand!$A$2:$A$4481,A2497,Demand!$B$2:$B$4481,B2497,Demand!$C$2:$C$4481,C2497)</f>
        <v>1</v>
      </c>
    </row>
    <row r="2498">
      <c r="A2498" s="32" t="str">
        <f>Demand!A2496</f>
        <v>S016</v>
      </c>
      <c r="B2498" s="35">
        <f>Demand!B2496</f>
        <v>46273.0</v>
      </c>
      <c r="C2498" s="33">
        <f>Demand!C2496</f>
        <v>22</v>
      </c>
      <c r="D2498" s="33">
        <f>Demand!E2496</f>
        <v>20</v>
      </c>
      <c r="E2498" s="33">
        <f>IF(Demand!F2496,1,0)</f>
        <v>0</v>
      </c>
      <c r="F2498" s="33">
        <f>COUNTIFS(c_store,A2498,c_date,B2498,c_hour,C2498)</f>
        <v>0</v>
      </c>
      <c r="G2498" s="33">
        <f>IF(F2498&gt;0,1,0)</f>
        <v>0</v>
      </c>
      <c r="H2498" s="33">
        <f>COUNTIFS(Demand!$A$2:$A$4481,A2498,Demand!$B$2:$B$4481,B2498,Demand!$C$2:$C$4481,C2498)</f>
        <v>1</v>
      </c>
    </row>
    <row r="2499">
      <c r="A2499" s="32" t="str">
        <f>Demand!A2497</f>
        <v>S016</v>
      </c>
      <c r="B2499" s="35">
        <f>Demand!B2497</f>
        <v>46273.0</v>
      </c>
      <c r="C2499" s="33">
        <f>Demand!C2497</f>
        <v>23</v>
      </c>
      <c r="D2499" s="33">
        <f>Demand!E2497</f>
        <v>30</v>
      </c>
      <c r="E2499" s="33">
        <f>IF(Demand!F2497,1,0)</f>
        <v>0</v>
      </c>
      <c r="F2499" s="33">
        <f>COUNTIFS(c_store,A2499,c_date,B2499,c_hour,C2499)</f>
        <v>0</v>
      </c>
      <c r="G2499" s="33">
        <f>IF(F2499&gt;0,1,0)</f>
        <v>0</v>
      </c>
      <c r="H2499" s="33">
        <f>COUNTIFS(Demand!$A$2:$A$4481,A2499,Demand!$B$2:$B$4481,B2499,Demand!$C$2:$C$4481,C2499)</f>
        <v>1</v>
      </c>
    </row>
    <row r="2500">
      <c r="A2500" s="32" t="str">
        <f>Demand!A2498</f>
        <v>S017</v>
      </c>
      <c r="B2500" s="35">
        <f>Demand!B2498</f>
        <v>46273.0</v>
      </c>
      <c r="C2500" s="33">
        <f>Demand!C2498</f>
        <v>8</v>
      </c>
      <c r="D2500" s="33">
        <f>Demand!E2498</f>
        <v>32</v>
      </c>
      <c r="E2500" s="33">
        <f>IF(Demand!F2498,1,0)</f>
        <v>0</v>
      </c>
      <c r="F2500" s="33">
        <f>COUNTIFS(c_store,A2500,c_date,B2500,c_hour,C2500)</f>
        <v>0</v>
      </c>
      <c r="G2500" s="33">
        <f>IF(F2500&gt;0,1,0)</f>
        <v>0</v>
      </c>
      <c r="H2500" s="33">
        <f>COUNTIFS(Demand!$A$2:$A$4481,A2500,Demand!$B$2:$B$4481,B2500,Demand!$C$2:$C$4481,C2500)</f>
        <v>1</v>
      </c>
    </row>
    <row r="2501">
      <c r="A2501" s="32" t="str">
        <f>Demand!A2499</f>
        <v>S017</v>
      </c>
      <c r="B2501" s="35">
        <f>Demand!B2499</f>
        <v>46273.0</v>
      </c>
      <c r="C2501" s="33">
        <f>Demand!C2499</f>
        <v>9</v>
      </c>
      <c r="D2501" s="33">
        <f>Demand!E2499</f>
        <v>32</v>
      </c>
      <c r="E2501" s="33">
        <f>IF(Demand!F2499,1,0)</f>
        <v>0</v>
      </c>
      <c r="F2501" s="33">
        <f>COUNTIFS(c_store,A2501,c_date,B2501,c_hour,C2501)</f>
        <v>0</v>
      </c>
      <c r="G2501" s="33">
        <f>IF(F2501&gt;0,1,0)</f>
        <v>0</v>
      </c>
      <c r="H2501" s="33">
        <f>COUNTIFS(Demand!$A$2:$A$4481,A2501,Demand!$B$2:$B$4481,B2501,Demand!$C$2:$C$4481,C2501)</f>
        <v>1</v>
      </c>
    </row>
    <row r="2502">
      <c r="A2502" s="32" t="str">
        <f>Demand!A2500</f>
        <v>S017</v>
      </c>
      <c r="B2502" s="35">
        <f>Demand!B2500</f>
        <v>46273.0</v>
      </c>
      <c r="C2502" s="33">
        <f>Demand!C2500</f>
        <v>10</v>
      </c>
      <c r="D2502" s="33">
        <f>Demand!E2500</f>
        <v>21</v>
      </c>
      <c r="E2502" s="33">
        <f>IF(Demand!F2500,1,0)</f>
        <v>0</v>
      </c>
      <c r="F2502" s="33">
        <f>COUNTIFS(c_store,A2502,c_date,B2502,c_hour,C2502)</f>
        <v>0</v>
      </c>
      <c r="G2502" s="33">
        <f>IF(F2502&gt;0,1,0)</f>
        <v>0</v>
      </c>
      <c r="H2502" s="33">
        <f>COUNTIFS(Demand!$A$2:$A$4481,A2502,Demand!$B$2:$B$4481,B2502,Demand!$C$2:$C$4481,C2502)</f>
        <v>1</v>
      </c>
    </row>
    <row r="2503">
      <c r="A2503" s="32" t="str">
        <f>Demand!A2501</f>
        <v>S017</v>
      </c>
      <c r="B2503" s="35">
        <f>Demand!B2501</f>
        <v>46273.0</v>
      </c>
      <c r="C2503" s="33">
        <f>Demand!C2501</f>
        <v>11</v>
      </c>
      <c r="D2503" s="33">
        <f>Demand!E2501</f>
        <v>29</v>
      </c>
      <c r="E2503" s="33">
        <f>IF(Demand!F2501,1,0)</f>
        <v>0</v>
      </c>
      <c r="F2503" s="33">
        <f>COUNTIFS(c_store,A2503,c_date,B2503,c_hour,C2503)</f>
        <v>0</v>
      </c>
      <c r="G2503" s="33">
        <f>IF(F2503&gt;0,1,0)</f>
        <v>0</v>
      </c>
      <c r="H2503" s="33">
        <f>COUNTIFS(Demand!$A$2:$A$4481,A2503,Demand!$B$2:$B$4481,B2503,Demand!$C$2:$C$4481,C2503)</f>
        <v>1</v>
      </c>
    </row>
    <row r="2504">
      <c r="A2504" s="32" t="str">
        <f>Demand!A2502</f>
        <v>S017</v>
      </c>
      <c r="B2504" s="35">
        <f>Demand!B2502</f>
        <v>46273.0</v>
      </c>
      <c r="C2504" s="33">
        <f>Demand!C2502</f>
        <v>12</v>
      </c>
      <c r="D2504" s="33">
        <f>Demand!E2502</f>
        <v>36</v>
      </c>
      <c r="E2504" s="33">
        <f>IF(Demand!F2502,1,0)</f>
        <v>0</v>
      </c>
      <c r="F2504" s="33">
        <f>COUNTIFS(c_store,A2504,c_date,B2504,c_hour,C2504)</f>
        <v>2</v>
      </c>
      <c r="G2504" s="33">
        <f>IF(F2504&gt;0,1,0)</f>
        <v>1</v>
      </c>
      <c r="H2504" s="33">
        <f>COUNTIFS(Demand!$A$2:$A$4481,A2504,Demand!$B$2:$B$4481,B2504,Demand!$C$2:$C$4481,C2504)</f>
        <v>1</v>
      </c>
    </row>
    <row r="2505">
      <c r="A2505" s="32" t="str">
        <f>Demand!A2503</f>
        <v>S017</v>
      </c>
      <c r="B2505" s="35">
        <f>Demand!B2503</f>
        <v>46273.0</v>
      </c>
      <c r="C2505" s="33">
        <f>Demand!C2503</f>
        <v>13</v>
      </c>
      <c r="D2505" s="33">
        <f>Demand!E2503</f>
        <v>38</v>
      </c>
      <c r="E2505" s="33">
        <f>IF(Demand!F2503,1,0)</f>
        <v>0</v>
      </c>
      <c r="F2505" s="33">
        <f>COUNTIFS(c_store,A2505,c_date,B2505,c_hour,C2505)</f>
        <v>0</v>
      </c>
      <c r="G2505" s="33">
        <f>IF(F2505&gt;0,1,0)</f>
        <v>0</v>
      </c>
      <c r="H2505" s="33">
        <f>COUNTIFS(Demand!$A$2:$A$4481,A2505,Demand!$B$2:$B$4481,B2505,Demand!$C$2:$C$4481,C2505)</f>
        <v>1</v>
      </c>
    </row>
    <row r="2506">
      <c r="A2506" s="32" t="str">
        <f>Demand!A2504</f>
        <v>S017</v>
      </c>
      <c r="B2506" s="35">
        <f>Demand!B2504</f>
        <v>46273.0</v>
      </c>
      <c r="C2506" s="33">
        <f>Demand!C2504</f>
        <v>14</v>
      </c>
      <c r="D2506" s="33">
        <f>Demand!E2504</f>
        <v>25</v>
      </c>
      <c r="E2506" s="33">
        <f>IF(Demand!F2504,1,0)</f>
        <v>0</v>
      </c>
      <c r="F2506" s="33">
        <f>COUNTIFS(c_store,A2506,c_date,B2506,c_hour,C2506)</f>
        <v>1</v>
      </c>
      <c r="G2506" s="33">
        <f>IF(F2506&gt;0,1,0)</f>
        <v>1</v>
      </c>
      <c r="H2506" s="33">
        <f>COUNTIFS(Demand!$A$2:$A$4481,A2506,Demand!$B$2:$B$4481,B2506,Demand!$C$2:$C$4481,C2506)</f>
        <v>1</v>
      </c>
    </row>
    <row r="2507">
      <c r="A2507" s="32" t="str">
        <f>Demand!A2505</f>
        <v>S017</v>
      </c>
      <c r="B2507" s="35">
        <f>Demand!B2505</f>
        <v>46273.0</v>
      </c>
      <c r="C2507" s="33">
        <f>Demand!C2505</f>
        <v>15</v>
      </c>
      <c r="D2507" s="33">
        <f>Demand!E2505</f>
        <v>25</v>
      </c>
      <c r="E2507" s="33">
        <f>IF(Demand!F2505,1,0)</f>
        <v>0</v>
      </c>
      <c r="F2507" s="33">
        <f>COUNTIFS(c_store,A2507,c_date,B2507,c_hour,C2507)</f>
        <v>0</v>
      </c>
      <c r="G2507" s="33">
        <f>IF(F2507&gt;0,1,0)</f>
        <v>0</v>
      </c>
      <c r="H2507" s="33">
        <f>COUNTIFS(Demand!$A$2:$A$4481,A2507,Demand!$B$2:$B$4481,B2507,Demand!$C$2:$C$4481,C2507)</f>
        <v>1</v>
      </c>
    </row>
    <row r="2508">
      <c r="A2508" s="32" t="str">
        <f>Demand!A2506</f>
        <v>S017</v>
      </c>
      <c r="B2508" s="35">
        <f>Demand!B2506</f>
        <v>46273.0</v>
      </c>
      <c r="C2508" s="33">
        <f>Demand!C2506</f>
        <v>16</v>
      </c>
      <c r="D2508" s="33">
        <f>Demand!E2506</f>
        <v>31</v>
      </c>
      <c r="E2508" s="33">
        <f>IF(Demand!F2506,1,0)</f>
        <v>0</v>
      </c>
      <c r="F2508" s="33">
        <f>COUNTIFS(c_store,A2508,c_date,B2508,c_hour,C2508)</f>
        <v>0</v>
      </c>
      <c r="G2508" s="33">
        <f>IF(F2508&gt;0,1,0)</f>
        <v>0</v>
      </c>
      <c r="H2508" s="33">
        <f>COUNTIFS(Demand!$A$2:$A$4481,A2508,Demand!$B$2:$B$4481,B2508,Demand!$C$2:$C$4481,C2508)</f>
        <v>1</v>
      </c>
    </row>
    <row r="2509">
      <c r="A2509" s="32" t="str">
        <f>Demand!A2507</f>
        <v>S017</v>
      </c>
      <c r="B2509" s="35">
        <f>Demand!B2507</f>
        <v>46273.0</v>
      </c>
      <c r="C2509" s="33">
        <f>Demand!C2507</f>
        <v>17</v>
      </c>
      <c r="D2509" s="33">
        <f>Demand!E2507</f>
        <v>42</v>
      </c>
      <c r="E2509" s="33">
        <f>IF(Demand!F2507,1,0)</f>
        <v>0</v>
      </c>
      <c r="F2509" s="33">
        <f>COUNTIFS(c_store,A2509,c_date,B2509,c_hour,C2509)</f>
        <v>0</v>
      </c>
      <c r="G2509" s="33">
        <f>IF(F2509&gt;0,1,0)</f>
        <v>0</v>
      </c>
      <c r="H2509" s="33">
        <f>COUNTIFS(Demand!$A$2:$A$4481,A2509,Demand!$B$2:$B$4481,B2509,Demand!$C$2:$C$4481,C2509)</f>
        <v>1</v>
      </c>
    </row>
    <row r="2510">
      <c r="A2510" s="32" t="str">
        <f>Demand!A2508</f>
        <v>S017</v>
      </c>
      <c r="B2510" s="35">
        <f>Demand!B2508</f>
        <v>46273.0</v>
      </c>
      <c r="C2510" s="33">
        <f>Demand!C2508</f>
        <v>18</v>
      </c>
      <c r="D2510" s="33">
        <f>Demand!E2508</f>
        <v>40</v>
      </c>
      <c r="E2510" s="33">
        <f>IF(Demand!F2508,1,0)</f>
        <v>0</v>
      </c>
      <c r="F2510" s="33">
        <f>COUNTIFS(c_store,A2510,c_date,B2510,c_hour,C2510)</f>
        <v>1</v>
      </c>
      <c r="G2510" s="33">
        <f>IF(F2510&gt;0,1,0)</f>
        <v>1</v>
      </c>
      <c r="H2510" s="33">
        <f>COUNTIFS(Demand!$A$2:$A$4481,A2510,Demand!$B$2:$B$4481,B2510,Demand!$C$2:$C$4481,C2510)</f>
        <v>1</v>
      </c>
    </row>
    <row r="2511">
      <c r="A2511" s="32" t="str">
        <f>Demand!A2509</f>
        <v>S017</v>
      </c>
      <c r="B2511" s="35">
        <f>Demand!B2509</f>
        <v>46273.0</v>
      </c>
      <c r="C2511" s="33">
        <f>Demand!C2509</f>
        <v>19</v>
      </c>
      <c r="D2511" s="33">
        <f>Demand!E2509</f>
        <v>54</v>
      </c>
      <c r="E2511" s="33">
        <f>IF(Demand!F2509,1,0)</f>
        <v>1</v>
      </c>
      <c r="F2511" s="33">
        <f>COUNTIFS(c_store,A2511,c_date,B2511,c_hour,C2511)</f>
        <v>0</v>
      </c>
      <c r="G2511" s="33">
        <f>IF(F2511&gt;0,1,0)</f>
        <v>0</v>
      </c>
      <c r="H2511" s="33">
        <f>COUNTIFS(Demand!$A$2:$A$4481,A2511,Demand!$B$2:$B$4481,B2511,Demand!$C$2:$C$4481,C2511)</f>
        <v>1</v>
      </c>
    </row>
    <row r="2512">
      <c r="A2512" s="32" t="str">
        <f>Demand!A2510</f>
        <v>S017</v>
      </c>
      <c r="B2512" s="35">
        <f>Demand!B2510</f>
        <v>46273.0</v>
      </c>
      <c r="C2512" s="33">
        <f>Demand!C2510</f>
        <v>20</v>
      </c>
      <c r="D2512" s="33">
        <f>Demand!E2510</f>
        <v>39</v>
      </c>
      <c r="E2512" s="33">
        <f>IF(Demand!F2510,1,0)</f>
        <v>1</v>
      </c>
      <c r="F2512" s="33">
        <f>COUNTIFS(c_store,A2512,c_date,B2512,c_hour,C2512)</f>
        <v>0</v>
      </c>
      <c r="G2512" s="33">
        <f>IF(F2512&gt;0,1,0)</f>
        <v>0</v>
      </c>
      <c r="H2512" s="33">
        <f>COUNTIFS(Demand!$A$2:$A$4481,A2512,Demand!$B$2:$B$4481,B2512,Demand!$C$2:$C$4481,C2512)</f>
        <v>1</v>
      </c>
    </row>
    <row r="2513">
      <c r="A2513" s="32" t="str">
        <f>Demand!A2511</f>
        <v>S017</v>
      </c>
      <c r="B2513" s="35">
        <f>Demand!B2511</f>
        <v>46273.0</v>
      </c>
      <c r="C2513" s="33">
        <f>Demand!C2511</f>
        <v>21</v>
      </c>
      <c r="D2513" s="33">
        <f>Demand!E2511</f>
        <v>49</v>
      </c>
      <c r="E2513" s="33">
        <f>IF(Demand!F2511,1,0)</f>
        <v>1</v>
      </c>
      <c r="F2513" s="33">
        <f>COUNTIFS(c_store,A2513,c_date,B2513,c_hour,C2513)</f>
        <v>1</v>
      </c>
      <c r="G2513" s="33">
        <f>IF(F2513&gt;0,1,0)</f>
        <v>1</v>
      </c>
      <c r="H2513" s="33">
        <f>COUNTIFS(Demand!$A$2:$A$4481,A2513,Demand!$B$2:$B$4481,B2513,Demand!$C$2:$C$4481,C2513)</f>
        <v>1</v>
      </c>
    </row>
    <row r="2514">
      <c r="A2514" s="32" t="str">
        <f>Demand!A2512</f>
        <v>S017</v>
      </c>
      <c r="B2514" s="35">
        <f>Demand!B2512</f>
        <v>46273.0</v>
      </c>
      <c r="C2514" s="33">
        <f>Demand!C2512</f>
        <v>22</v>
      </c>
      <c r="D2514" s="33">
        <f>Demand!E2512</f>
        <v>38</v>
      </c>
      <c r="E2514" s="33">
        <f>IF(Demand!F2512,1,0)</f>
        <v>0</v>
      </c>
      <c r="F2514" s="33">
        <f>COUNTIFS(c_store,A2514,c_date,B2514,c_hour,C2514)</f>
        <v>0</v>
      </c>
      <c r="G2514" s="33">
        <f>IF(F2514&gt;0,1,0)</f>
        <v>0</v>
      </c>
      <c r="H2514" s="33">
        <f>COUNTIFS(Demand!$A$2:$A$4481,A2514,Demand!$B$2:$B$4481,B2514,Demand!$C$2:$C$4481,C2514)</f>
        <v>1</v>
      </c>
    </row>
    <row r="2515">
      <c r="A2515" s="32" t="str">
        <f>Demand!A2513</f>
        <v>S017</v>
      </c>
      <c r="B2515" s="35">
        <f>Demand!B2513</f>
        <v>46273.0</v>
      </c>
      <c r="C2515" s="33">
        <f>Demand!C2513</f>
        <v>23</v>
      </c>
      <c r="D2515" s="33">
        <f>Demand!E2513</f>
        <v>41</v>
      </c>
      <c r="E2515" s="33">
        <f>IF(Demand!F2513,1,0)</f>
        <v>0</v>
      </c>
      <c r="F2515" s="33">
        <f>COUNTIFS(c_store,A2515,c_date,B2515,c_hour,C2515)</f>
        <v>1</v>
      </c>
      <c r="G2515" s="33">
        <f>IF(F2515&gt;0,1,0)</f>
        <v>1</v>
      </c>
      <c r="H2515" s="33">
        <f>COUNTIFS(Demand!$A$2:$A$4481,A2515,Demand!$B$2:$B$4481,B2515,Demand!$C$2:$C$4481,C2515)</f>
        <v>1</v>
      </c>
    </row>
    <row r="2516">
      <c r="A2516" s="32" t="str">
        <f>Demand!A2514</f>
        <v>S018</v>
      </c>
      <c r="B2516" s="35">
        <f>Demand!B2514</f>
        <v>46273.0</v>
      </c>
      <c r="C2516" s="33">
        <f>Demand!C2514</f>
        <v>8</v>
      </c>
      <c r="D2516" s="33">
        <f>Demand!E2514</f>
        <v>19</v>
      </c>
      <c r="E2516" s="33">
        <f>IF(Demand!F2514,1,0)</f>
        <v>0</v>
      </c>
      <c r="F2516" s="33">
        <f>COUNTIFS(c_store,A2516,c_date,B2516,c_hour,C2516)</f>
        <v>2</v>
      </c>
      <c r="G2516" s="33">
        <f>IF(F2516&gt;0,1,0)</f>
        <v>1</v>
      </c>
      <c r="H2516" s="33">
        <f>COUNTIFS(Demand!$A$2:$A$4481,A2516,Demand!$B$2:$B$4481,B2516,Demand!$C$2:$C$4481,C2516)</f>
        <v>1</v>
      </c>
    </row>
    <row r="2517">
      <c r="A2517" s="32" t="str">
        <f>Demand!A2515</f>
        <v>S018</v>
      </c>
      <c r="B2517" s="35">
        <f>Demand!B2515</f>
        <v>46273.0</v>
      </c>
      <c r="C2517" s="33">
        <f>Demand!C2515</f>
        <v>9</v>
      </c>
      <c r="D2517" s="33">
        <f>Demand!E2515</f>
        <v>15</v>
      </c>
      <c r="E2517" s="33">
        <f>IF(Demand!F2515,1,0)</f>
        <v>0</v>
      </c>
      <c r="F2517" s="33">
        <f>COUNTIFS(c_store,A2517,c_date,B2517,c_hour,C2517)</f>
        <v>1</v>
      </c>
      <c r="G2517" s="33">
        <f>IF(F2517&gt;0,1,0)</f>
        <v>1</v>
      </c>
      <c r="H2517" s="33">
        <f>COUNTIFS(Demand!$A$2:$A$4481,A2517,Demand!$B$2:$B$4481,B2517,Demand!$C$2:$C$4481,C2517)</f>
        <v>1</v>
      </c>
    </row>
    <row r="2518">
      <c r="A2518" s="32" t="str">
        <f>Demand!A2516</f>
        <v>S018</v>
      </c>
      <c r="B2518" s="35">
        <f>Demand!B2516</f>
        <v>46273.0</v>
      </c>
      <c r="C2518" s="33">
        <f>Demand!C2516</f>
        <v>10</v>
      </c>
      <c r="D2518" s="33">
        <f>Demand!E2516</f>
        <v>27</v>
      </c>
      <c r="E2518" s="33">
        <f>IF(Demand!F2516,1,0)</f>
        <v>0</v>
      </c>
      <c r="F2518" s="33">
        <f>COUNTIFS(c_store,A2518,c_date,B2518,c_hour,C2518)</f>
        <v>0</v>
      </c>
      <c r="G2518" s="33">
        <f>IF(F2518&gt;0,1,0)</f>
        <v>0</v>
      </c>
      <c r="H2518" s="33">
        <f>COUNTIFS(Demand!$A$2:$A$4481,A2518,Demand!$B$2:$B$4481,B2518,Demand!$C$2:$C$4481,C2518)</f>
        <v>1</v>
      </c>
    </row>
    <row r="2519">
      <c r="A2519" s="32" t="str">
        <f>Demand!A2517</f>
        <v>S018</v>
      </c>
      <c r="B2519" s="35">
        <f>Demand!B2517</f>
        <v>46273.0</v>
      </c>
      <c r="C2519" s="33">
        <f>Demand!C2517</f>
        <v>11</v>
      </c>
      <c r="D2519" s="33">
        <f>Demand!E2517</f>
        <v>13</v>
      </c>
      <c r="E2519" s="33">
        <f>IF(Demand!F2517,1,0)</f>
        <v>0</v>
      </c>
      <c r="F2519" s="33">
        <f>COUNTIFS(c_store,A2519,c_date,B2519,c_hour,C2519)</f>
        <v>0</v>
      </c>
      <c r="G2519" s="33">
        <f>IF(F2519&gt;0,1,0)</f>
        <v>0</v>
      </c>
      <c r="H2519" s="33">
        <f>COUNTIFS(Demand!$A$2:$A$4481,A2519,Demand!$B$2:$B$4481,B2519,Demand!$C$2:$C$4481,C2519)</f>
        <v>1</v>
      </c>
    </row>
    <row r="2520">
      <c r="A2520" s="32" t="str">
        <f>Demand!A2518</f>
        <v>S018</v>
      </c>
      <c r="B2520" s="35">
        <f>Demand!B2518</f>
        <v>46273.0</v>
      </c>
      <c r="C2520" s="33">
        <f>Demand!C2518</f>
        <v>12</v>
      </c>
      <c r="D2520" s="33">
        <f>Demand!E2518</f>
        <v>14</v>
      </c>
      <c r="E2520" s="33">
        <f>IF(Demand!F2518,1,0)</f>
        <v>0</v>
      </c>
      <c r="F2520" s="33">
        <f>COUNTIFS(c_store,A2520,c_date,B2520,c_hour,C2520)</f>
        <v>0</v>
      </c>
      <c r="G2520" s="33">
        <f>IF(F2520&gt;0,1,0)</f>
        <v>0</v>
      </c>
      <c r="H2520" s="33">
        <f>COUNTIFS(Demand!$A$2:$A$4481,A2520,Demand!$B$2:$B$4481,B2520,Demand!$C$2:$C$4481,C2520)</f>
        <v>1</v>
      </c>
    </row>
    <row r="2521">
      <c r="A2521" s="32" t="str">
        <f>Demand!A2519</f>
        <v>S018</v>
      </c>
      <c r="B2521" s="35">
        <f>Demand!B2519</f>
        <v>46273.0</v>
      </c>
      <c r="C2521" s="33">
        <f>Demand!C2519</f>
        <v>13</v>
      </c>
      <c r="D2521" s="33">
        <f>Demand!E2519</f>
        <v>20</v>
      </c>
      <c r="E2521" s="33">
        <f>IF(Demand!F2519,1,0)</f>
        <v>0</v>
      </c>
      <c r="F2521" s="33">
        <f>COUNTIFS(c_store,A2521,c_date,B2521,c_hour,C2521)</f>
        <v>0</v>
      </c>
      <c r="G2521" s="33">
        <f>IF(F2521&gt;0,1,0)</f>
        <v>0</v>
      </c>
      <c r="H2521" s="33">
        <f>COUNTIFS(Demand!$A$2:$A$4481,A2521,Demand!$B$2:$B$4481,B2521,Demand!$C$2:$C$4481,C2521)</f>
        <v>1</v>
      </c>
    </row>
    <row r="2522">
      <c r="A2522" s="32" t="str">
        <f>Demand!A2520</f>
        <v>S018</v>
      </c>
      <c r="B2522" s="35">
        <f>Demand!B2520</f>
        <v>46273.0</v>
      </c>
      <c r="C2522" s="33">
        <f>Demand!C2520</f>
        <v>14</v>
      </c>
      <c r="D2522" s="33">
        <f>Demand!E2520</f>
        <v>12</v>
      </c>
      <c r="E2522" s="33">
        <f>IF(Demand!F2520,1,0)</f>
        <v>0</v>
      </c>
      <c r="F2522" s="33">
        <f>COUNTIFS(c_store,A2522,c_date,B2522,c_hour,C2522)</f>
        <v>0</v>
      </c>
      <c r="G2522" s="33">
        <f>IF(F2522&gt;0,1,0)</f>
        <v>0</v>
      </c>
      <c r="H2522" s="33">
        <f>COUNTIFS(Demand!$A$2:$A$4481,A2522,Demand!$B$2:$B$4481,B2522,Demand!$C$2:$C$4481,C2522)</f>
        <v>1</v>
      </c>
    </row>
    <row r="2523">
      <c r="A2523" s="32" t="str">
        <f>Demand!A2521</f>
        <v>S018</v>
      </c>
      <c r="B2523" s="35">
        <f>Demand!B2521</f>
        <v>46273.0</v>
      </c>
      <c r="C2523" s="33">
        <f>Demand!C2521</f>
        <v>15</v>
      </c>
      <c r="D2523" s="33">
        <f>Demand!E2521</f>
        <v>12</v>
      </c>
      <c r="E2523" s="33">
        <f>IF(Demand!F2521,1,0)</f>
        <v>0</v>
      </c>
      <c r="F2523" s="33">
        <f>COUNTIFS(c_store,A2523,c_date,B2523,c_hour,C2523)</f>
        <v>0</v>
      </c>
      <c r="G2523" s="33">
        <f>IF(F2523&gt;0,1,0)</f>
        <v>0</v>
      </c>
      <c r="H2523" s="33">
        <f>COUNTIFS(Demand!$A$2:$A$4481,A2523,Demand!$B$2:$B$4481,B2523,Demand!$C$2:$C$4481,C2523)</f>
        <v>1</v>
      </c>
    </row>
    <row r="2524">
      <c r="A2524" s="32" t="str">
        <f>Demand!A2522</f>
        <v>S018</v>
      </c>
      <c r="B2524" s="35">
        <f>Demand!B2522</f>
        <v>46273.0</v>
      </c>
      <c r="C2524" s="33">
        <f>Demand!C2522</f>
        <v>16</v>
      </c>
      <c r="D2524" s="33">
        <f>Demand!E2522</f>
        <v>15</v>
      </c>
      <c r="E2524" s="33">
        <f>IF(Demand!F2522,1,0)</f>
        <v>0</v>
      </c>
      <c r="F2524" s="33">
        <f>COUNTIFS(c_store,A2524,c_date,B2524,c_hour,C2524)</f>
        <v>1</v>
      </c>
      <c r="G2524" s="33">
        <f>IF(F2524&gt;0,1,0)</f>
        <v>1</v>
      </c>
      <c r="H2524" s="33">
        <f>COUNTIFS(Demand!$A$2:$A$4481,A2524,Demand!$B$2:$B$4481,B2524,Demand!$C$2:$C$4481,C2524)</f>
        <v>1</v>
      </c>
    </row>
    <row r="2525">
      <c r="A2525" s="32" t="str">
        <f>Demand!A2523</f>
        <v>S018</v>
      </c>
      <c r="B2525" s="35">
        <f>Demand!B2523</f>
        <v>46273.0</v>
      </c>
      <c r="C2525" s="33">
        <f>Demand!C2523</f>
        <v>17</v>
      </c>
      <c r="D2525" s="33">
        <f>Demand!E2523</f>
        <v>23</v>
      </c>
      <c r="E2525" s="33">
        <f>IF(Demand!F2523,1,0)</f>
        <v>0</v>
      </c>
      <c r="F2525" s="33">
        <f>COUNTIFS(c_store,A2525,c_date,B2525,c_hour,C2525)</f>
        <v>0</v>
      </c>
      <c r="G2525" s="33">
        <f>IF(F2525&gt;0,1,0)</f>
        <v>0</v>
      </c>
      <c r="H2525" s="33">
        <f>COUNTIFS(Demand!$A$2:$A$4481,A2525,Demand!$B$2:$B$4481,B2525,Demand!$C$2:$C$4481,C2525)</f>
        <v>1</v>
      </c>
    </row>
    <row r="2526">
      <c r="A2526" s="32" t="str">
        <f>Demand!A2524</f>
        <v>S018</v>
      </c>
      <c r="B2526" s="35">
        <f>Demand!B2524</f>
        <v>46273.0</v>
      </c>
      <c r="C2526" s="33">
        <f>Demand!C2524</f>
        <v>18</v>
      </c>
      <c r="D2526" s="33">
        <f>Demand!E2524</f>
        <v>14</v>
      </c>
      <c r="E2526" s="33">
        <f>IF(Demand!F2524,1,0)</f>
        <v>0</v>
      </c>
      <c r="F2526" s="33">
        <f>COUNTIFS(c_store,A2526,c_date,B2526,c_hour,C2526)</f>
        <v>0</v>
      </c>
      <c r="G2526" s="33">
        <f>IF(F2526&gt;0,1,0)</f>
        <v>0</v>
      </c>
      <c r="H2526" s="33">
        <f>COUNTIFS(Demand!$A$2:$A$4481,A2526,Demand!$B$2:$B$4481,B2526,Demand!$C$2:$C$4481,C2526)</f>
        <v>1</v>
      </c>
    </row>
    <row r="2527">
      <c r="A2527" s="32" t="str">
        <f>Demand!A2525</f>
        <v>S018</v>
      </c>
      <c r="B2527" s="35">
        <f>Demand!B2525</f>
        <v>46273.0</v>
      </c>
      <c r="C2527" s="33">
        <f>Demand!C2525</f>
        <v>19</v>
      </c>
      <c r="D2527" s="33">
        <f>Demand!E2525</f>
        <v>32</v>
      </c>
      <c r="E2527" s="33">
        <f>IF(Demand!F2525,1,0)</f>
        <v>1</v>
      </c>
      <c r="F2527" s="33">
        <f>COUNTIFS(c_store,A2527,c_date,B2527,c_hour,C2527)</f>
        <v>0</v>
      </c>
      <c r="G2527" s="33">
        <f>IF(F2527&gt;0,1,0)</f>
        <v>0</v>
      </c>
      <c r="H2527" s="33">
        <f>COUNTIFS(Demand!$A$2:$A$4481,A2527,Demand!$B$2:$B$4481,B2527,Demand!$C$2:$C$4481,C2527)</f>
        <v>1</v>
      </c>
    </row>
    <row r="2528">
      <c r="A2528" s="32" t="str">
        <f>Demand!A2526</f>
        <v>S018</v>
      </c>
      <c r="B2528" s="35">
        <f>Demand!B2526</f>
        <v>46273.0</v>
      </c>
      <c r="C2528" s="33">
        <f>Demand!C2526</f>
        <v>20</v>
      </c>
      <c r="D2528" s="33">
        <f>Demand!E2526</f>
        <v>42</v>
      </c>
      <c r="E2528" s="33">
        <f>IF(Demand!F2526,1,0)</f>
        <v>1</v>
      </c>
      <c r="F2528" s="33">
        <f>COUNTIFS(c_store,A2528,c_date,B2528,c_hour,C2528)</f>
        <v>0</v>
      </c>
      <c r="G2528" s="33">
        <f>IF(F2528&gt;0,1,0)</f>
        <v>0</v>
      </c>
      <c r="H2528" s="33">
        <f>COUNTIFS(Demand!$A$2:$A$4481,A2528,Demand!$B$2:$B$4481,B2528,Demand!$C$2:$C$4481,C2528)</f>
        <v>1</v>
      </c>
    </row>
    <row r="2529">
      <c r="A2529" s="32" t="str">
        <f>Demand!A2527</f>
        <v>S018</v>
      </c>
      <c r="B2529" s="35">
        <f>Demand!B2527</f>
        <v>46273.0</v>
      </c>
      <c r="C2529" s="33">
        <f>Demand!C2527</f>
        <v>21</v>
      </c>
      <c r="D2529" s="33">
        <f>Demand!E2527</f>
        <v>39</v>
      </c>
      <c r="E2529" s="33">
        <f>IF(Demand!F2527,1,0)</f>
        <v>1</v>
      </c>
      <c r="F2529" s="33">
        <f>COUNTIFS(c_store,A2529,c_date,B2529,c_hour,C2529)</f>
        <v>1</v>
      </c>
      <c r="G2529" s="33">
        <f>IF(F2529&gt;0,1,0)</f>
        <v>1</v>
      </c>
      <c r="H2529" s="33">
        <f>COUNTIFS(Demand!$A$2:$A$4481,A2529,Demand!$B$2:$B$4481,B2529,Demand!$C$2:$C$4481,C2529)</f>
        <v>1</v>
      </c>
    </row>
    <row r="2530">
      <c r="A2530" s="32" t="str">
        <f>Demand!A2528</f>
        <v>S018</v>
      </c>
      <c r="B2530" s="35">
        <f>Demand!B2528</f>
        <v>46273.0</v>
      </c>
      <c r="C2530" s="33">
        <f>Demand!C2528</f>
        <v>22</v>
      </c>
      <c r="D2530" s="33">
        <f>Demand!E2528</f>
        <v>18</v>
      </c>
      <c r="E2530" s="33">
        <f>IF(Demand!F2528,1,0)</f>
        <v>0</v>
      </c>
      <c r="F2530" s="33">
        <f>COUNTIFS(c_store,A2530,c_date,B2530,c_hour,C2530)</f>
        <v>1</v>
      </c>
      <c r="G2530" s="33">
        <f>IF(F2530&gt;0,1,0)</f>
        <v>1</v>
      </c>
      <c r="H2530" s="33">
        <f>COUNTIFS(Demand!$A$2:$A$4481,A2530,Demand!$B$2:$B$4481,B2530,Demand!$C$2:$C$4481,C2530)</f>
        <v>1</v>
      </c>
    </row>
    <row r="2531">
      <c r="A2531" s="32" t="str">
        <f>Demand!A2529</f>
        <v>S018</v>
      </c>
      <c r="B2531" s="35">
        <f>Demand!B2529</f>
        <v>46273.0</v>
      </c>
      <c r="C2531" s="33">
        <f>Demand!C2529</f>
        <v>23</v>
      </c>
      <c r="D2531" s="33">
        <f>Demand!E2529</f>
        <v>24</v>
      </c>
      <c r="E2531" s="33">
        <f>IF(Demand!F2529,1,0)</f>
        <v>0</v>
      </c>
      <c r="F2531" s="33">
        <f>COUNTIFS(c_store,A2531,c_date,B2531,c_hour,C2531)</f>
        <v>0</v>
      </c>
      <c r="G2531" s="33">
        <f>IF(F2531&gt;0,1,0)</f>
        <v>0</v>
      </c>
      <c r="H2531" s="33">
        <f>COUNTIFS(Demand!$A$2:$A$4481,A2531,Demand!$B$2:$B$4481,B2531,Demand!$C$2:$C$4481,C2531)</f>
        <v>1</v>
      </c>
    </row>
    <row r="2532">
      <c r="A2532" s="32" t="str">
        <f>Demand!A2530</f>
        <v>S019</v>
      </c>
      <c r="B2532" s="35">
        <f>Demand!B2530</f>
        <v>46273.0</v>
      </c>
      <c r="C2532" s="33">
        <f>Demand!C2530</f>
        <v>8</v>
      </c>
      <c r="D2532" s="33">
        <f>Demand!E2530</f>
        <v>11</v>
      </c>
      <c r="E2532" s="33">
        <f>IF(Demand!F2530,1,0)</f>
        <v>0</v>
      </c>
      <c r="F2532" s="33">
        <f>COUNTIFS(c_store,A2532,c_date,B2532,c_hour,C2532)</f>
        <v>0</v>
      </c>
      <c r="G2532" s="33">
        <f>IF(F2532&gt;0,1,0)</f>
        <v>0</v>
      </c>
      <c r="H2532" s="33">
        <f>COUNTIFS(Demand!$A$2:$A$4481,A2532,Demand!$B$2:$B$4481,B2532,Demand!$C$2:$C$4481,C2532)</f>
        <v>1</v>
      </c>
    </row>
    <row r="2533">
      <c r="A2533" s="32" t="str">
        <f>Demand!A2531</f>
        <v>S019</v>
      </c>
      <c r="B2533" s="35">
        <f>Demand!B2531</f>
        <v>46273.0</v>
      </c>
      <c r="C2533" s="33">
        <f>Demand!C2531</f>
        <v>9</v>
      </c>
      <c r="D2533" s="33">
        <f>Demand!E2531</f>
        <v>7</v>
      </c>
      <c r="E2533" s="33">
        <f>IF(Demand!F2531,1,0)</f>
        <v>0</v>
      </c>
      <c r="F2533" s="33">
        <f>COUNTIFS(c_store,A2533,c_date,B2533,c_hour,C2533)</f>
        <v>0</v>
      </c>
      <c r="G2533" s="33">
        <f>IF(F2533&gt;0,1,0)</f>
        <v>0</v>
      </c>
      <c r="H2533" s="33">
        <f>COUNTIFS(Demand!$A$2:$A$4481,A2533,Demand!$B$2:$B$4481,B2533,Demand!$C$2:$C$4481,C2533)</f>
        <v>1</v>
      </c>
    </row>
    <row r="2534">
      <c r="A2534" s="32" t="str">
        <f>Demand!A2532</f>
        <v>S019</v>
      </c>
      <c r="B2534" s="35">
        <f>Demand!B2532</f>
        <v>46273.0</v>
      </c>
      <c r="C2534" s="33">
        <f>Demand!C2532</f>
        <v>10</v>
      </c>
      <c r="D2534" s="33">
        <f>Demand!E2532</f>
        <v>12</v>
      </c>
      <c r="E2534" s="33">
        <f>IF(Demand!F2532,1,0)</f>
        <v>0</v>
      </c>
      <c r="F2534" s="33">
        <f>COUNTIFS(c_store,A2534,c_date,B2534,c_hour,C2534)</f>
        <v>0</v>
      </c>
      <c r="G2534" s="33">
        <f>IF(F2534&gt;0,1,0)</f>
        <v>0</v>
      </c>
      <c r="H2534" s="33">
        <f>COUNTIFS(Demand!$A$2:$A$4481,A2534,Demand!$B$2:$B$4481,B2534,Demand!$C$2:$C$4481,C2534)</f>
        <v>1</v>
      </c>
    </row>
    <row r="2535">
      <c r="A2535" s="32" t="str">
        <f>Demand!A2533</f>
        <v>S019</v>
      </c>
      <c r="B2535" s="35">
        <f>Demand!B2533</f>
        <v>46273.0</v>
      </c>
      <c r="C2535" s="33">
        <f>Demand!C2533</f>
        <v>11</v>
      </c>
      <c r="D2535" s="33">
        <f>Demand!E2533</f>
        <v>12</v>
      </c>
      <c r="E2535" s="33">
        <f>IF(Demand!F2533,1,0)</f>
        <v>0</v>
      </c>
      <c r="F2535" s="33">
        <f>COUNTIFS(c_store,A2535,c_date,B2535,c_hour,C2535)</f>
        <v>0</v>
      </c>
      <c r="G2535" s="33">
        <f>IF(F2535&gt;0,1,0)</f>
        <v>0</v>
      </c>
      <c r="H2535" s="33">
        <f>COUNTIFS(Demand!$A$2:$A$4481,A2535,Demand!$B$2:$B$4481,B2535,Demand!$C$2:$C$4481,C2535)</f>
        <v>1</v>
      </c>
    </row>
    <row r="2536">
      <c r="A2536" s="32" t="str">
        <f>Demand!A2534</f>
        <v>S019</v>
      </c>
      <c r="B2536" s="35">
        <f>Demand!B2534</f>
        <v>46273.0</v>
      </c>
      <c r="C2536" s="33">
        <f>Demand!C2534</f>
        <v>12</v>
      </c>
      <c r="D2536" s="33">
        <f>Demand!E2534</f>
        <v>22</v>
      </c>
      <c r="E2536" s="33">
        <f>IF(Demand!F2534,1,0)</f>
        <v>0</v>
      </c>
      <c r="F2536" s="33">
        <f>COUNTIFS(c_store,A2536,c_date,B2536,c_hour,C2536)</f>
        <v>0</v>
      </c>
      <c r="G2536" s="33">
        <f>IF(F2536&gt;0,1,0)</f>
        <v>0</v>
      </c>
      <c r="H2536" s="33">
        <f>COUNTIFS(Demand!$A$2:$A$4481,A2536,Demand!$B$2:$B$4481,B2536,Demand!$C$2:$C$4481,C2536)</f>
        <v>1</v>
      </c>
    </row>
    <row r="2537">
      <c r="A2537" s="32" t="str">
        <f>Demand!A2535</f>
        <v>S019</v>
      </c>
      <c r="B2537" s="35">
        <f>Demand!B2535</f>
        <v>46273.0</v>
      </c>
      <c r="C2537" s="33">
        <f>Demand!C2535</f>
        <v>13</v>
      </c>
      <c r="D2537" s="33">
        <f>Demand!E2535</f>
        <v>25</v>
      </c>
      <c r="E2537" s="33">
        <f>IF(Demand!F2535,1,0)</f>
        <v>0</v>
      </c>
      <c r="F2537" s="33">
        <f>COUNTIFS(c_store,A2537,c_date,B2537,c_hour,C2537)</f>
        <v>0</v>
      </c>
      <c r="G2537" s="33">
        <f>IF(F2537&gt;0,1,0)</f>
        <v>0</v>
      </c>
      <c r="H2537" s="33">
        <f>COUNTIFS(Demand!$A$2:$A$4481,A2537,Demand!$B$2:$B$4481,B2537,Demand!$C$2:$C$4481,C2537)</f>
        <v>1</v>
      </c>
    </row>
    <row r="2538">
      <c r="A2538" s="32" t="str">
        <f>Demand!A2536</f>
        <v>S019</v>
      </c>
      <c r="B2538" s="35">
        <f>Demand!B2536</f>
        <v>46273.0</v>
      </c>
      <c r="C2538" s="33">
        <f>Demand!C2536</f>
        <v>14</v>
      </c>
      <c r="D2538" s="33">
        <f>Demand!E2536</f>
        <v>24</v>
      </c>
      <c r="E2538" s="33">
        <f>IF(Demand!F2536,1,0)</f>
        <v>0</v>
      </c>
      <c r="F2538" s="33">
        <f>COUNTIFS(c_store,A2538,c_date,B2538,c_hour,C2538)</f>
        <v>0</v>
      </c>
      <c r="G2538" s="33">
        <f>IF(F2538&gt;0,1,0)</f>
        <v>0</v>
      </c>
      <c r="H2538" s="33">
        <f>COUNTIFS(Demand!$A$2:$A$4481,A2538,Demand!$B$2:$B$4481,B2538,Demand!$C$2:$C$4481,C2538)</f>
        <v>1</v>
      </c>
    </row>
    <row r="2539">
      <c r="A2539" s="32" t="str">
        <f>Demand!A2537</f>
        <v>S019</v>
      </c>
      <c r="B2539" s="35">
        <f>Demand!B2537</f>
        <v>46273.0</v>
      </c>
      <c r="C2539" s="33">
        <f>Demand!C2537</f>
        <v>15</v>
      </c>
      <c r="D2539" s="33">
        <f>Demand!E2537</f>
        <v>13</v>
      </c>
      <c r="E2539" s="33">
        <f>IF(Demand!F2537,1,0)</f>
        <v>0</v>
      </c>
      <c r="F2539" s="33">
        <f>COUNTIFS(c_store,A2539,c_date,B2539,c_hour,C2539)</f>
        <v>0</v>
      </c>
      <c r="G2539" s="33">
        <f>IF(F2539&gt;0,1,0)</f>
        <v>0</v>
      </c>
      <c r="H2539" s="33">
        <f>COUNTIFS(Demand!$A$2:$A$4481,A2539,Demand!$B$2:$B$4481,B2539,Demand!$C$2:$C$4481,C2539)</f>
        <v>1</v>
      </c>
    </row>
    <row r="2540">
      <c r="A2540" s="32" t="str">
        <f>Demand!A2538</f>
        <v>S019</v>
      </c>
      <c r="B2540" s="35">
        <f>Demand!B2538</f>
        <v>46273.0</v>
      </c>
      <c r="C2540" s="33">
        <f>Demand!C2538</f>
        <v>16</v>
      </c>
      <c r="D2540" s="33">
        <f>Demand!E2538</f>
        <v>23</v>
      </c>
      <c r="E2540" s="33">
        <f>IF(Demand!F2538,1,0)</f>
        <v>0</v>
      </c>
      <c r="F2540" s="33">
        <f>COUNTIFS(c_store,A2540,c_date,B2540,c_hour,C2540)</f>
        <v>1</v>
      </c>
      <c r="G2540" s="33">
        <f>IF(F2540&gt;0,1,0)</f>
        <v>1</v>
      </c>
      <c r="H2540" s="33">
        <f>COUNTIFS(Demand!$A$2:$A$4481,A2540,Demand!$B$2:$B$4481,B2540,Demand!$C$2:$C$4481,C2540)</f>
        <v>1</v>
      </c>
    </row>
    <row r="2541">
      <c r="A2541" s="32" t="str">
        <f>Demand!A2539</f>
        <v>S019</v>
      </c>
      <c r="B2541" s="35">
        <f>Demand!B2539</f>
        <v>46273.0</v>
      </c>
      <c r="C2541" s="33">
        <f>Demand!C2539</f>
        <v>17</v>
      </c>
      <c r="D2541" s="33">
        <f>Demand!E2539</f>
        <v>24</v>
      </c>
      <c r="E2541" s="33">
        <f>IF(Demand!F2539,1,0)</f>
        <v>0</v>
      </c>
      <c r="F2541" s="33">
        <f>COUNTIFS(c_store,A2541,c_date,B2541,c_hour,C2541)</f>
        <v>0</v>
      </c>
      <c r="G2541" s="33">
        <f>IF(F2541&gt;0,1,0)</f>
        <v>0</v>
      </c>
      <c r="H2541" s="33">
        <f>COUNTIFS(Demand!$A$2:$A$4481,A2541,Demand!$B$2:$B$4481,B2541,Demand!$C$2:$C$4481,C2541)</f>
        <v>1</v>
      </c>
    </row>
    <row r="2542">
      <c r="A2542" s="32" t="str">
        <f>Demand!A2540</f>
        <v>S019</v>
      </c>
      <c r="B2542" s="35">
        <f>Demand!B2540</f>
        <v>46273.0</v>
      </c>
      <c r="C2542" s="33">
        <f>Demand!C2540</f>
        <v>18</v>
      </c>
      <c r="D2542" s="33">
        <f>Demand!E2540</f>
        <v>28</v>
      </c>
      <c r="E2542" s="33">
        <f>IF(Demand!F2540,1,0)</f>
        <v>0</v>
      </c>
      <c r="F2542" s="33">
        <f>COUNTIFS(c_store,A2542,c_date,B2542,c_hour,C2542)</f>
        <v>0</v>
      </c>
      <c r="G2542" s="33">
        <f>IF(F2542&gt;0,1,0)</f>
        <v>0</v>
      </c>
      <c r="H2542" s="33">
        <f>COUNTIFS(Demand!$A$2:$A$4481,A2542,Demand!$B$2:$B$4481,B2542,Demand!$C$2:$C$4481,C2542)</f>
        <v>1</v>
      </c>
    </row>
    <row r="2543">
      <c r="A2543" s="32" t="str">
        <f>Demand!A2541</f>
        <v>S019</v>
      </c>
      <c r="B2543" s="35">
        <f>Demand!B2541</f>
        <v>46273.0</v>
      </c>
      <c r="C2543" s="33">
        <f>Demand!C2541</f>
        <v>19</v>
      </c>
      <c r="D2543" s="33">
        <f>Demand!E2541</f>
        <v>33</v>
      </c>
      <c r="E2543" s="33">
        <f>IF(Demand!F2541,1,0)</f>
        <v>1</v>
      </c>
      <c r="F2543" s="33">
        <f>COUNTIFS(c_store,A2543,c_date,B2543,c_hour,C2543)</f>
        <v>1</v>
      </c>
      <c r="G2543" s="33">
        <f>IF(F2543&gt;0,1,0)</f>
        <v>1</v>
      </c>
      <c r="H2543" s="33">
        <f>COUNTIFS(Demand!$A$2:$A$4481,A2543,Demand!$B$2:$B$4481,B2543,Demand!$C$2:$C$4481,C2543)</f>
        <v>1</v>
      </c>
    </row>
    <row r="2544">
      <c r="A2544" s="32" t="str">
        <f>Demand!A2542</f>
        <v>S019</v>
      </c>
      <c r="B2544" s="35">
        <f>Demand!B2542</f>
        <v>46273.0</v>
      </c>
      <c r="C2544" s="33">
        <f>Demand!C2542</f>
        <v>20</v>
      </c>
      <c r="D2544" s="33">
        <f>Demand!E2542</f>
        <v>38</v>
      </c>
      <c r="E2544" s="33">
        <f>IF(Demand!F2542,1,0)</f>
        <v>1</v>
      </c>
      <c r="F2544" s="33">
        <f>COUNTIFS(c_store,A2544,c_date,B2544,c_hour,C2544)</f>
        <v>0</v>
      </c>
      <c r="G2544" s="33">
        <f>IF(F2544&gt;0,1,0)</f>
        <v>0</v>
      </c>
      <c r="H2544" s="33">
        <f>COUNTIFS(Demand!$A$2:$A$4481,A2544,Demand!$B$2:$B$4481,B2544,Demand!$C$2:$C$4481,C2544)</f>
        <v>1</v>
      </c>
    </row>
    <row r="2545">
      <c r="A2545" s="32" t="str">
        <f>Demand!A2543</f>
        <v>S019</v>
      </c>
      <c r="B2545" s="35">
        <f>Demand!B2543</f>
        <v>46273.0</v>
      </c>
      <c r="C2545" s="33">
        <f>Demand!C2543</f>
        <v>21</v>
      </c>
      <c r="D2545" s="33">
        <f>Demand!E2543</f>
        <v>43</v>
      </c>
      <c r="E2545" s="33">
        <f>IF(Demand!F2543,1,0)</f>
        <v>1</v>
      </c>
      <c r="F2545" s="33">
        <f>COUNTIFS(c_store,A2545,c_date,B2545,c_hour,C2545)</f>
        <v>0</v>
      </c>
      <c r="G2545" s="33">
        <f>IF(F2545&gt;0,1,0)</f>
        <v>0</v>
      </c>
      <c r="H2545" s="33">
        <f>COUNTIFS(Demand!$A$2:$A$4481,A2545,Demand!$B$2:$B$4481,B2545,Demand!$C$2:$C$4481,C2545)</f>
        <v>1</v>
      </c>
    </row>
    <row r="2546">
      <c r="A2546" s="32" t="str">
        <f>Demand!A2544</f>
        <v>S019</v>
      </c>
      <c r="B2546" s="35">
        <f>Demand!B2544</f>
        <v>46273.0</v>
      </c>
      <c r="C2546" s="33">
        <f>Demand!C2544</f>
        <v>22</v>
      </c>
      <c r="D2546" s="33">
        <f>Demand!E2544</f>
        <v>14</v>
      </c>
      <c r="E2546" s="33">
        <f>IF(Demand!F2544,1,0)</f>
        <v>0</v>
      </c>
      <c r="F2546" s="33">
        <f>COUNTIFS(c_store,A2546,c_date,B2546,c_hour,C2546)</f>
        <v>0</v>
      </c>
      <c r="G2546" s="33">
        <f>IF(F2546&gt;0,1,0)</f>
        <v>0</v>
      </c>
      <c r="H2546" s="33">
        <f>COUNTIFS(Demand!$A$2:$A$4481,A2546,Demand!$B$2:$B$4481,B2546,Demand!$C$2:$C$4481,C2546)</f>
        <v>1</v>
      </c>
    </row>
    <row r="2547">
      <c r="A2547" s="32" t="str">
        <f>Demand!A2545</f>
        <v>S019</v>
      </c>
      <c r="B2547" s="35">
        <f>Demand!B2545</f>
        <v>46273.0</v>
      </c>
      <c r="C2547" s="33">
        <f>Demand!C2545</f>
        <v>23</v>
      </c>
      <c r="D2547" s="33">
        <f>Demand!E2545</f>
        <v>27</v>
      </c>
      <c r="E2547" s="33">
        <f>IF(Demand!F2545,1,0)</f>
        <v>0</v>
      </c>
      <c r="F2547" s="33">
        <f>COUNTIFS(c_store,A2547,c_date,B2547,c_hour,C2547)</f>
        <v>0</v>
      </c>
      <c r="G2547" s="33">
        <f>IF(F2547&gt;0,1,0)</f>
        <v>0</v>
      </c>
      <c r="H2547" s="33">
        <f>COUNTIFS(Demand!$A$2:$A$4481,A2547,Demand!$B$2:$B$4481,B2547,Demand!$C$2:$C$4481,C2547)</f>
        <v>1</v>
      </c>
    </row>
    <row r="2548">
      <c r="A2548" s="32" t="str">
        <f>Demand!A2546</f>
        <v>S020</v>
      </c>
      <c r="B2548" s="35">
        <f>Demand!B2546</f>
        <v>46273.0</v>
      </c>
      <c r="C2548" s="33">
        <f>Demand!C2546</f>
        <v>8</v>
      </c>
      <c r="D2548" s="33">
        <f>Demand!E2546</f>
        <v>7</v>
      </c>
      <c r="E2548" s="33">
        <f>IF(Demand!F2546,1,0)</f>
        <v>0</v>
      </c>
      <c r="F2548" s="33">
        <f>COUNTIFS(c_store,A2548,c_date,B2548,c_hour,C2548)</f>
        <v>0</v>
      </c>
      <c r="G2548" s="33">
        <f>IF(F2548&gt;0,1,0)</f>
        <v>0</v>
      </c>
      <c r="H2548" s="33">
        <f>COUNTIFS(Demand!$A$2:$A$4481,A2548,Demand!$B$2:$B$4481,B2548,Demand!$C$2:$C$4481,C2548)</f>
        <v>1</v>
      </c>
    </row>
    <row r="2549">
      <c r="A2549" s="32" t="str">
        <f>Demand!A2547</f>
        <v>S020</v>
      </c>
      <c r="B2549" s="35">
        <f>Demand!B2547</f>
        <v>46273.0</v>
      </c>
      <c r="C2549" s="33">
        <f>Demand!C2547</f>
        <v>9</v>
      </c>
      <c r="D2549" s="33">
        <f>Demand!E2547</f>
        <v>11</v>
      </c>
      <c r="E2549" s="33">
        <f>IF(Demand!F2547,1,0)</f>
        <v>0</v>
      </c>
      <c r="F2549" s="33">
        <f>COUNTIFS(c_store,A2549,c_date,B2549,c_hour,C2549)</f>
        <v>0</v>
      </c>
      <c r="G2549" s="33">
        <f>IF(F2549&gt;0,1,0)</f>
        <v>0</v>
      </c>
      <c r="H2549" s="33">
        <f>COUNTIFS(Demand!$A$2:$A$4481,A2549,Demand!$B$2:$B$4481,B2549,Demand!$C$2:$C$4481,C2549)</f>
        <v>1</v>
      </c>
    </row>
    <row r="2550">
      <c r="A2550" s="32" t="str">
        <f>Demand!A2548</f>
        <v>S020</v>
      </c>
      <c r="B2550" s="35">
        <f>Demand!B2548</f>
        <v>46273.0</v>
      </c>
      <c r="C2550" s="33">
        <f>Demand!C2548</f>
        <v>10</v>
      </c>
      <c r="D2550" s="33">
        <f>Demand!E2548</f>
        <v>7</v>
      </c>
      <c r="E2550" s="33">
        <f>IF(Demand!F2548,1,0)</f>
        <v>0</v>
      </c>
      <c r="F2550" s="33">
        <f>COUNTIFS(c_store,A2550,c_date,B2550,c_hour,C2550)</f>
        <v>0</v>
      </c>
      <c r="G2550" s="33">
        <f>IF(F2550&gt;0,1,0)</f>
        <v>0</v>
      </c>
      <c r="H2550" s="33">
        <f>COUNTIFS(Demand!$A$2:$A$4481,A2550,Demand!$B$2:$B$4481,B2550,Demand!$C$2:$C$4481,C2550)</f>
        <v>1</v>
      </c>
    </row>
    <row r="2551">
      <c r="A2551" s="32" t="str">
        <f>Demand!A2549</f>
        <v>S020</v>
      </c>
      <c r="B2551" s="35">
        <f>Demand!B2549</f>
        <v>46273.0</v>
      </c>
      <c r="C2551" s="33">
        <f>Demand!C2549</f>
        <v>11</v>
      </c>
      <c r="D2551" s="33">
        <f>Demand!E2549</f>
        <v>15</v>
      </c>
      <c r="E2551" s="33">
        <f>IF(Demand!F2549,1,0)</f>
        <v>0</v>
      </c>
      <c r="F2551" s="33">
        <f>COUNTIFS(c_store,A2551,c_date,B2551,c_hour,C2551)</f>
        <v>1</v>
      </c>
      <c r="G2551" s="33">
        <f>IF(F2551&gt;0,1,0)</f>
        <v>1</v>
      </c>
      <c r="H2551" s="33">
        <f>COUNTIFS(Demand!$A$2:$A$4481,A2551,Demand!$B$2:$B$4481,B2551,Demand!$C$2:$C$4481,C2551)</f>
        <v>1</v>
      </c>
    </row>
    <row r="2552">
      <c r="A2552" s="32" t="str">
        <f>Demand!A2550</f>
        <v>S020</v>
      </c>
      <c r="B2552" s="35">
        <f>Demand!B2550</f>
        <v>46273.0</v>
      </c>
      <c r="C2552" s="33">
        <f>Demand!C2550</f>
        <v>12</v>
      </c>
      <c r="D2552" s="33">
        <f>Demand!E2550</f>
        <v>14</v>
      </c>
      <c r="E2552" s="33">
        <f>IF(Demand!F2550,1,0)</f>
        <v>0</v>
      </c>
      <c r="F2552" s="33">
        <f>COUNTIFS(c_store,A2552,c_date,B2552,c_hour,C2552)</f>
        <v>0</v>
      </c>
      <c r="G2552" s="33">
        <f>IF(F2552&gt;0,1,0)</f>
        <v>0</v>
      </c>
      <c r="H2552" s="33">
        <f>COUNTIFS(Demand!$A$2:$A$4481,A2552,Demand!$B$2:$B$4481,B2552,Demand!$C$2:$C$4481,C2552)</f>
        <v>1</v>
      </c>
    </row>
    <row r="2553">
      <c r="A2553" s="32" t="str">
        <f>Demand!A2551</f>
        <v>S020</v>
      </c>
      <c r="B2553" s="35">
        <f>Demand!B2551</f>
        <v>46273.0</v>
      </c>
      <c r="C2553" s="33">
        <f>Demand!C2551</f>
        <v>13</v>
      </c>
      <c r="D2553" s="33">
        <f>Demand!E2551</f>
        <v>13</v>
      </c>
      <c r="E2553" s="33">
        <f>IF(Demand!F2551,1,0)</f>
        <v>0</v>
      </c>
      <c r="F2553" s="33">
        <f>COUNTIFS(c_store,A2553,c_date,B2553,c_hour,C2553)</f>
        <v>0</v>
      </c>
      <c r="G2553" s="33">
        <f>IF(F2553&gt;0,1,0)</f>
        <v>0</v>
      </c>
      <c r="H2553" s="33">
        <f>COUNTIFS(Demand!$A$2:$A$4481,A2553,Demand!$B$2:$B$4481,B2553,Demand!$C$2:$C$4481,C2553)</f>
        <v>1</v>
      </c>
    </row>
    <row r="2554">
      <c r="A2554" s="32" t="str">
        <f>Demand!A2552</f>
        <v>S020</v>
      </c>
      <c r="B2554" s="35">
        <f>Demand!B2552</f>
        <v>46273.0</v>
      </c>
      <c r="C2554" s="33">
        <f>Demand!C2552</f>
        <v>14</v>
      </c>
      <c r="D2554" s="33">
        <f>Demand!E2552</f>
        <v>12</v>
      </c>
      <c r="E2554" s="33">
        <f>IF(Demand!F2552,1,0)</f>
        <v>0</v>
      </c>
      <c r="F2554" s="33">
        <f>COUNTIFS(c_store,A2554,c_date,B2554,c_hour,C2554)</f>
        <v>0</v>
      </c>
      <c r="G2554" s="33">
        <f>IF(F2554&gt;0,1,0)</f>
        <v>0</v>
      </c>
      <c r="H2554" s="33">
        <f>COUNTIFS(Demand!$A$2:$A$4481,A2554,Demand!$B$2:$B$4481,B2554,Demand!$C$2:$C$4481,C2554)</f>
        <v>1</v>
      </c>
    </row>
    <row r="2555">
      <c r="A2555" s="32" t="str">
        <f>Demand!A2553</f>
        <v>S020</v>
      </c>
      <c r="B2555" s="35">
        <f>Demand!B2553</f>
        <v>46273.0</v>
      </c>
      <c r="C2555" s="33">
        <f>Demand!C2553</f>
        <v>15</v>
      </c>
      <c r="D2555" s="33">
        <f>Demand!E2553</f>
        <v>9</v>
      </c>
      <c r="E2555" s="33">
        <f>IF(Demand!F2553,1,0)</f>
        <v>0</v>
      </c>
      <c r="F2555" s="33">
        <f>COUNTIFS(c_store,A2555,c_date,B2555,c_hour,C2555)</f>
        <v>1</v>
      </c>
      <c r="G2555" s="33">
        <f>IF(F2555&gt;0,1,0)</f>
        <v>1</v>
      </c>
      <c r="H2555" s="33">
        <f>COUNTIFS(Demand!$A$2:$A$4481,A2555,Demand!$B$2:$B$4481,B2555,Demand!$C$2:$C$4481,C2555)</f>
        <v>1</v>
      </c>
    </row>
    <row r="2556">
      <c r="A2556" s="32" t="str">
        <f>Demand!A2554</f>
        <v>S020</v>
      </c>
      <c r="B2556" s="35">
        <f>Demand!B2554</f>
        <v>46273.0</v>
      </c>
      <c r="C2556" s="33">
        <f>Demand!C2554</f>
        <v>16</v>
      </c>
      <c r="D2556" s="33">
        <f>Demand!E2554</f>
        <v>13</v>
      </c>
      <c r="E2556" s="33">
        <f>IF(Demand!F2554,1,0)</f>
        <v>0</v>
      </c>
      <c r="F2556" s="33">
        <f>COUNTIFS(c_store,A2556,c_date,B2556,c_hour,C2556)</f>
        <v>0</v>
      </c>
      <c r="G2556" s="33">
        <f>IF(F2556&gt;0,1,0)</f>
        <v>0</v>
      </c>
      <c r="H2556" s="33">
        <f>COUNTIFS(Demand!$A$2:$A$4481,A2556,Demand!$B$2:$B$4481,B2556,Demand!$C$2:$C$4481,C2556)</f>
        <v>1</v>
      </c>
    </row>
    <row r="2557">
      <c r="A2557" s="32" t="str">
        <f>Demand!A2555</f>
        <v>S020</v>
      </c>
      <c r="B2557" s="35">
        <f>Demand!B2555</f>
        <v>46273.0</v>
      </c>
      <c r="C2557" s="33">
        <f>Demand!C2555</f>
        <v>17</v>
      </c>
      <c r="D2557" s="33">
        <f>Demand!E2555</f>
        <v>25</v>
      </c>
      <c r="E2557" s="33">
        <f>IF(Demand!F2555,1,0)</f>
        <v>0</v>
      </c>
      <c r="F2557" s="33">
        <f>COUNTIFS(c_store,A2557,c_date,B2557,c_hour,C2557)</f>
        <v>0</v>
      </c>
      <c r="G2557" s="33">
        <f>IF(F2557&gt;0,1,0)</f>
        <v>0</v>
      </c>
      <c r="H2557" s="33">
        <f>COUNTIFS(Demand!$A$2:$A$4481,A2557,Demand!$B$2:$B$4481,B2557,Demand!$C$2:$C$4481,C2557)</f>
        <v>1</v>
      </c>
    </row>
    <row r="2558">
      <c r="A2558" s="32" t="str">
        <f>Demand!A2556</f>
        <v>S020</v>
      </c>
      <c r="B2558" s="35">
        <f>Demand!B2556</f>
        <v>46273.0</v>
      </c>
      <c r="C2558" s="33">
        <f>Demand!C2556</f>
        <v>18</v>
      </c>
      <c r="D2558" s="33">
        <f>Demand!E2556</f>
        <v>10</v>
      </c>
      <c r="E2558" s="33">
        <f>IF(Demand!F2556,1,0)</f>
        <v>0</v>
      </c>
      <c r="F2558" s="33">
        <f>COUNTIFS(c_store,A2558,c_date,B2558,c_hour,C2558)</f>
        <v>0</v>
      </c>
      <c r="G2558" s="33">
        <f>IF(F2558&gt;0,1,0)</f>
        <v>0</v>
      </c>
      <c r="H2558" s="33">
        <f>COUNTIFS(Demand!$A$2:$A$4481,A2558,Demand!$B$2:$B$4481,B2558,Demand!$C$2:$C$4481,C2558)</f>
        <v>1</v>
      </c>
    </row>
    <row r="2559">
      <c r="A2559" s="32" t="str">
        <f>Demand!A2557</f>
        <v>S020</v>
      </c>
      <c r="B2559" s="35">
        <f>Demand!B2557</f>
        <v>46273.0</v>
      </c>
      <c r="C2559" s="33">
        <f>Demand!C2557</f>
        <v>19</v>
      </c>
      <c r="D2559" s="33">
        <f>Demand!E2557</f>
        <v>21</v>
      </c>
      <c r="E2559" s="33">
        <f>IF(Demand!F2557,1,0)</f>
        <v>1</v>
      </c>
      <c r="F2559" s="33">
        <f>COUNTIFS(c_store,A2559,c_date,B2559,c_hour,C2559)</f>
        <v>0</v>
      </c>
      <c r="G2559" s="33">
        <f>IF(F2559&gt;0,1,0)</f>
        <v>0</v>
      </c>
      <c r="H2559" s="33">
        <f>COUNTIFS(Demand!$A$2:$A$4481,A2559,Demand!$B$2:$B$4481,B2559,Demand!$C$2:$C$4481,C2559)</f>
        <v>1</v>
      </c>
    </row>
    <row r="2560">
      <c r="A2560" s="32" t="str">
        <f>Demand!A2558</f>
        <v>S020</v>
      </c>
      <c r="B2560" s="35">
        <f>Demand!B2558</f>
        <v>46273.0</v>
      </c>
      <c r="C2560" s="33">
        <f>Demand!C2558</f>
        <v>20</v>
      </c>
      <c r="D2560" s="33">
        <f>Demand!E2558</f>
        <v>22</v>
      </c>
      <c r="E2560" s="33">
        <f>IF(Demand!F2558,1,0)</f>
        <v>1</v>
      </c>
      <c r="F2560" s="33">
        <f>COUNTIFS(c_store,A2560,c_date,B2560,c_hour,C2560)</f>
        <v>1</v>
      </c>
      <c r="G2560" s="33">
        <f>IF(F2560&gt;0,1,0)</f>
        <v>1</v>
      </c>
      <c r="H2560" s="33">
        <f>COUNTIFS(Demand!$A$2:$A$4481,A2560,Demand!$B$2:$B$4481,B2560,Demand!$C$2:$C$4481,C2560)</f>
        <v>1</v>
      </c>
    </row>
    <row r="2561">
      <c r="A2561" s="32" t="str">
        <f>Demand!A2559</f>
        <v>S020</v>
      </c>
      <c r="B2561" s="35">
        <f>Demand!B2559</f>
        <v>46273.0</v>
      </c>
      <c r="C2561" s="33">
        <f>Demand!C2559</f>
        <v>21</v>
      </c>
      <c r="D2561" s="33">
        <f>Demand!E2559</f>
        <v>20</v>
      </c>
      <c r="E2561" s="33">
        <f>IF(Demand!F2559,1,0)</f>
        <v>1</v>
      </c>
      <c r="F2561" s="33">
        <f>COUNTIFS(c_store,A2561,c_date,B2561,c_hour,C2561)</f>
        <v>0</v>
      </c>
      <c r="G2561" s="33">
        <f>IF(F2561&gt;0,1,0)</f>
        <v>0</v>
      </c>
      <c r="H2561" s="33">
        <f>COUNTIFS(Demand!$A$2:$A$4481,A2561,Demand!$B$2:$B$4481,B2561,Demand!$C$2:$C$4481,C2561)</f>
        <v>1</v>
      </c>
    </row>
    <row r="2562">
      <c r="A2562" s="32" t="str">
        <f>Demand!A2560</f>
        <v>S020</v>
      </c>
      <c r="B2562" s="35">
        <f>Demand!B2560</f>
        <v>46273.0</v>
      </c>
      <c r="C2562" s="33">
        <f>Demand!C2560</f>
        <v>22</v>
      </c>
      <c r="D2562" s="33">
        <f>Demand!E2560</f>
        <v>19</v>
      </c>
      <c r="E2562" s="33">
        <f>IF(Demand!F2560,1,0)</f>
        <v>0</v>
      </c>
      <c r="F2562" s="33">
        <f>COUNTIFS(c_store,A2562,c_date,B2562,c_hour,C2562)</f>
        <v>0</v>
      </c>
      <c r="G2562" s="33">
        <f>IF(F2562&gt;0,1,0)</f>
        <v>0</v>
      </c>
      <c r="H2562" s="33">
        <f>COUNTIFS(Demand!$A$2:$A$4481,A2562,Demand!$B$2:$B$4481,B2562,Demand!$C$2:$C$4481,C2562)</f>
        <v>1</v>
      </c>
    </row>
    <row r="2563">
      <c r="A2563" s="32" t="str">
        <f>Demand!A2561</f>
        <v>S020</v>
      </c>
      <c r="B2563" s="35">
        <f>Demand!B2561</f>
        <v>46273.0</v>
      </c>
      <c r="C2563" s="33">
        <f>Demand!C2561</f>
        <v>23</v>
      </c>
      <c r="D2563" s="33">
        <f>Demand!E2561</f>
        <v>18</v>
      </c>
      <c r="E2563" s="33">
        <f>IF(Demand!F2561,1,0)</f>
        <v>0</v>
      </c>
      <c r="F2563" s="33">
        <f>COUNTIFS(c_store,A2563,c_date,B2563,c_hour,C2563)</f>
        <v>0</v>
      </c>
      <c r="G2563" s="33">
        <f>IF(F2563&gt;0,1,0)</f>
        <v>0</v>
      </c>
      <c r="H2563" s="33">
        <f>COUNTIFS(Demand!$A$2:$A$4481,A2563,Demand!$B$2:$B$4481,B2563,Demand!$C$2:$C$4481,C2563)</f>
        <v>1</v>
      </c>
    </row>
    <row r="2564">
      <c r="A2564" s="32" t="str">
        <f>Demand!A2562</f>
        <v>S001</v>
      </c>
      <c r="B2564" s="35">
        <f>Demand!B2562</f>
        <v>46274.0</v>
      </c>
      <c r="C2564" s="33">
        <f>Demand!C2562</f>
        <v>8</v>
      </c>
      <c r="D2564" s="33">
        <f>Demand!E2562</f>
        <v>9</v>
      </c>
      <c r="E2564" s="33">
        <f>IF(Demand!F2562,1,0)</f>
        <v>0</v>
      </c>
      <c r="F2564" s="33">
        <f>COUNTIFS(c_store,A2564,c_date,B2564,c_hour,C2564)</f>
        <v>1</v>
      </c>
      <c r="G2564" s="33">
        <f>IF(F2564&gt;0,1,0)</f>
        <v>1</v>
      </c>
      <c r="H2564" s="33">
        <f>COUNTIFS(Demand!$A$2:$A$4481,A2564,Demand!$B$2:$B$4481,B2564,Demand!$C$2:$C$4481,C2564)</f>
        <v>1</v>
      </c>
    </row>
    <row r="2565">
      <c r="A2565" s="32" t="str">
        <f>Demand!A2563</f>
        <v>S001</v>
      </c>
      <c r="B2565" s="35">
        <f>Demand!B2563</f>
        <v>46274.0</v>
      </c>
      <c r="C2565" s="33">
        <f>Demand!C2563</f>
        <v>9</v>
      </c>
      <c r="D2565" s="33">
        <f>Demand!E2563</f>
        <v>10</v>
      </c>
      <c r="E2565" s="33">
        <f>IF(Demand!F2563,1,0)</f>
        <v>0</v>
      </c>
      <c r="F2565" s="33">
        <f>COUNTIFS(c_store,A2565,c_date,B2565,c_hour,C2565)</f>
        <v>1</v>
      </c>
      <c r="G2565" s="33">
        <f>IF(F2565&gt;0,1,0)</f>
        <v>1</v>
      </c>
      <c r="H2565" s="33">
        <f>COUNTIFS(Demand!$A$2:$A$4481,A2565,Demand!$B$2:$B$4481,B2565,Demand!$C$2:$C$4481,C2565)</f>
        <v>1</v>
      </c>
    </row>
    <row r="2566">
      <c r="A2566" s="32" t="str">
        <f>Demand!A2564</f>
        <v>S001</v>
      </c>
      <c r="B2566" s="35">
        <f>Demand!B2564</f>
        <v>46274.0</v>
      </c>
      <c r="C2566" s="33">
        <f>Demand!C2564</f>
        <v>10</v>
      </c>
      <c r="D2566" s="33">
        <f>Demand!E2564</f>
        <v>16</v>
      </c>
      <c r="E2566" s="33">
        <f>IF(Demand!F2564,1,0)</f>
        <v>0</v>
      </c>
      <c r="F2566" s="33">
        <f>COUNTIFS(c_store,A2566,c_date,B2566,c_hour,C2566)</f>
        <v>0</v>
      </c>
      <c r="G2566" s="33">
        <f>IF(F2566&gt;0,1,0)</f>
        <v>0</v>
      </c>
      <c r="H2566" s="33">
        <f>COUNTIFS(Demand!$A$2:$A$4481,A2566,Demand!$B$2:$B$4481,B2566,Demand!$C$2:$C$4481,C2566)</f>
        <v>1</v>
      </c>
    </row>
    <row r="2567">
      <c r="A2567" s="32" t="str">
        <f>Demand!A2565</f>
        <v>S001</v>
      </c>
      <c r="B2567" s="35">
        <f>Demand!B2565</f>
        <v>46274.0</v>
      </c>
      <c r="C2567" s="33">
        <f>Demand!C2565</f>
        <v>11</v>
      </c>
      <c r="D2567" s="33">
        <f>Demand!E2565</f>
        <v>16</v>
      </c>
      <c r="E2567" s="33">
        <f>IF(Demand!F2565,1,0)</f>
        <v>0</v>
      </c>
      <c r="F2567" s="33">
        <f>COUNTIFS(c_store,A2567,c_date,B2567,c_hour,C2567)</f>
        <v>0</v>
      </c>
      <c r="G2567" s="33">
        <f>IF(F2567&gt;0,1,0)</f>
        <v>0</v>
      </c>
      <c r="H2567" s="33">
        <f>COUNTIFS(Demand!$A$2:$A$4481,A2567,Demand!$B$2:$B$4481,B2567,Demand!$C$2:$C$4481,C2567)</f>
        <v>1</v>
      </c>
    </row>
    <row r="2568">
      <c r="A2568" s="32" t="str">
        <f>Demand!A2566</f>
        <v>S001</v>
      </c>
      <c r="B2568" s="35">
        <f>Demand!B2566</f>
        <v>46274.0</v>
      </c>
      <c r="C2568" s="33">
        <f>Demand!C2566</f>
        <v>12</v>
      </c>
      <c r="D2568" s="33">
        <f>Demand!E2566</f>
        <v>17</v>
      </c>
      <c r="E2568" s="33">
        <f>IF(Demand!F2566,1,0)</f>
        <v>0</v>
      </c>
      <c r="F2568" s="33">
        <f>COUNTIFS(c_store,A2568,c_date,B2568,c_hour,C2568)</f>
        <v>1</v>
      </c>
      <c r="G2568" s="33">
        <f>IF(F2568&gt;0,1,0)</f>
        <v>1</v>
      </c>
      <c r="H2568" s="33">
        <f>COUNTIFS(Demand!$A$2:$A$4481,A2568,Demand!$B$2:$B$4481,B2568,Demand!$C$2:$C$4481,C2568)</f>
        <v>1</v>
      </c>
    </row>
    <row r="2569">
      <c r="A2569" s="32" t="str">
        <f>Demand!A2567</f>
        <v>S001</v>
      </c>
      <c r="B2569" s="35">
        <f>Demand!B2567</f>
        <v>46274.0</v>
      </c>
      <c r="C2569" s="33">
        <f>Demand!C2567</f>
        <v>13</v>
      </c>
      <c r="D2569" s="33">
        <f>Demand!E2567</f>
        <v>25</v>
      </c>
      <c r="E2569" s="33">
        <f>IF(Demand!F2567,1,0)</f>
        <v>0</v>
      </c>
      <c r="F2569" s="33">
        <f>COUNTIFS(c_store,A2569,c_date,B2569,c_hour,C2569)</f>
        <v>0</v>
      </c>
      <c r="G2569" s="33">
        <f>IF(F2569&gt;0,1,0)</f>
        <v>0</v>
      </c>
      <c r="H2569" s="33">
        <f>COUNTIFS(Demand!$A$2:$A$4481,A2569,Demand!$B$2:$B$4481,B2569,Demand!$C$2:$C$4481,C2569)</f>
        <v>1</v>
      </c>
    </row>
    <row r="2570">
      <c r="A2570" s="32" t="str">
        <f>Demand!A2568</f>
        <v>S001</v>
      </c>
      <c r="B2570" s="35">
        <f>Demand!B2568</f>
        <v>46274.0</v>
      </c>
      <c r="C2570" s="33">
        <f>Demand!C2568</f>
        <v>14</v>
      </c>
      <c r="D2570" s="33">
        <f>Demand!E2568</f>
        <v>7</v>
      </c>
      <c r="E2570" s="33">
        <f>IF(Demand!F2568,1,0)</f>
        <v>0</v>
      </c>
      <c r="F2570" s="33">
        <f>COUNTIFS(c_store,A2570,c_date,B2570,c_hour,C2570)</f>
        <v>0</v>
      </c>
      <c r="G2570" s="33">
        <f>IF(F2570&gt;0,1,0)</f>
        <v>0</v>
      </c>
      <c r="H2570" s="33">
        <f>COUNTIFS(Demand!$A$2:$A$4481,A2570,Demand!$B$2:$B$4481,B2570,Demand!$C$2:$C$4481,C2570)</f>
        <v>1</v>
      </c>
    </row>
    <row r="2571">
      <c r="A2571" s="32" t="str">
        <f>Demand!A2569</f>
        <v>S001</v>
      </c>
      <c r="B2571" s="35">
        <f>Demand!B2569</f>
        <v>46274.0</v>
      </c>
      <c r="C2571" s="33">
        <f>Demand!C2569</f>
        <v>15</v>
      </c>
      <c r="D2571" s="33">
        <f>Demand!E2569</f>
        <v>6</v>
      </c>
      <c r="E2571" s="33">
        <f>IF(Demand!F2569,1,0)</f>
        <v>0</v>
      </c>
      <c r="F2571" s="33">
        <f>COUNTIFS(c_store,A2571,c_date,B2571,c_hour,C2571)</f>
        <v>0</v>
      </c>
      <c r="G2571" s="33">
        <f>IF(F2571&gt;0,1,0)</f>
        <v>0</v>
      </c>
      <c r="H2571" s="33">
        <f>COUNTIFS(Demand!$A$2:$A$4481,A2571,Demand!$B$2:$B$4481,B2571,Demand!$C$2:$C$4481,C2571)</f>
        <v>1</v>
      </c>
    </row>
    <row r="2572">
      <c r="A2572" s="32" t="str">
        <f>Demand!A2570</f>
        <v>S001</v>
      </c>
      <c r="B2572" s="35">
        <f>Demand!B2570</f>
        <v>46274.0</v>
      </c>
      <c r="C2572" s="33">
        <f>Demand!C2570</f>
        <v>16</v>
      </c>
      <c r="D2572" s="33">
        <f>Demand!E2570</f>
        <v>17</v>
      </c>
      <c r="E2572" s="33">
        <f>IF(Demand!F2570,1,0)</f>
        <v>0</v>
      </c>
      <c r="F2572" s="33">
        <f>COUNTIFS(c_store,A2572,c_date,B2572,c_hour,C2572)</f>
        <v>0</v>
      </c>
      <c r="G2572" s="33">
        <f>IF(F2572&gt;0,1,0)</f>
        <v>0</v>
      </c>
      <c r="H2572" s="33">
        <f>COUNTIFS(Demand!$A$2:$A$4481,A2572,Demand!$B$2:$B$4481,B2572,Demand!$C$2:$C$4481,C2572)</f>
        <v>1</v>
      </c>
    </row>
    <row r="2573">
      <c r="A2573" s="32" t="str">
        <f>Demand!A2571</f>
        <v>S001</v>
      </c>
      <c r="B2573" s="35">
        <f>Demand!B2571</f>
        <v>46274.0</v>
      </c>
      <c r="C2573" s="33">
        <f>Demand!C2571</f>
        <v>17</v>
      </c>
      <c r="D2573" s="33">
        <f>Demand!E2571</f>
        <v>16</v>
      </c>
      <c r="E2573" s="33">
        <f>IF(Demand!F2571,1,0)</f>
        <v>0</v>
      </c>
      <c r="F2573" s="33">
        <f>COUNTIFS(c_store,A2573,c_date,B2573,c_hour,C2573)</f>
        <v>3</v>
      </c>
      <c r="G2573" s="33">
        <f>IF(F2573&gt;0,1,0)</f>
        <v>1</v>
      </c>
      <c r="H2573" s="33">
        <f>COUNTIFS(Demand!$A$2:$A$4481,A2573,Demand!$B$2:$B$4481,B2573,Demand!$C$2:$C$4481,C2573)</f>
        <v>1</v>
      </c>
    </row>
    <row r="2574">
      <c r="A2574" s="32" t="str">
        <f>Demand!A2572</f>
        <v>S001</v>
      </c>
      <c r="B2574" s="35">
        <f>Demand!B2572</f>
        <v>46274.0</v>
      </c>
      <c r="C2574" s="33">
        <f>Demand!C2572</f>
        <v>18</v>
      </c>
      <c r="D2574" s="33">
        <f>Demand!E2572</f>
        <v>21</v>
      </c>
      <c r="E2574" s="33">
        <f>IF(Demand!F2572,1,0)</f>
        <v>0</v>
      </c>
      <c r="F2574" s="33">
        <f>COUNTIFS(c_store,A2574,c_date,B2574,c_hour,C2574)</f>
        <v>0</v>
      </c>
      <c r="G2574" s="33">
        <f>IF(F2574&gt;0,1,0)</f>
        <v>0</v>
      </c>
      <c r="H2574" s="33">
        <f>COUNTIFS(Demand!$A$2:$A$4481,A2574,Demand!$B$2:$B$4481,B2574,Demand!$C$2:$C$4481,C2574)</f>
        <v>1</v>
      </c>
    </row>
    <row r="2575">
      <c r="A2575" s="32" t="str">
        <f>Demand!A2573</f>
        <v>S001</v>
      </c>
      <c r="B2575" s="35">
        <f>Demand!B2573</f>
        <v>46274.0</v>
      </c>
      <c r="C2575" s="33">
        <f>Demand!C2573</f>
        <v>19</v>
      </c>
      <c r="D2575" s="33">
        <f>Demand!E2573</f>
        <v>35</v>
      </c>
      <c r="E2575" s="33">
        <f>IF(Demand!F2573,1,0)</f>
        <v>1</v>
      </c>
      <c r="F2575" s="33">
        <f>COUNTIFS(c_store,A2575,c_date,B2575,c_hour,C2575)</f>
        <v>0</v>
      </c>
      <c r="G2575" s="33">
        <f>IF(F2575&gt;0,1,0)</f>
        <v>0</v>
      </c>
      <c r="H2575" s="33">
        <f>COUNTIFS(Demand!$A$2:$A$4481,A2575,Demand!$B$2:$B$4481,B2575,Demand!$C$2:$C$4481,C2575)</f>
        <v>1</v>
      </c>
    </row>
    <row r="2576">
      <c r="A2576" s="32" t="str">
        <f>Demand!A2574</f>
        <v>S001</v>
      </c>
      <c r="B2576" s="35">
        <f>Demand!B2574</f>
        <v>46274.0</v>
      </c>
      <c r="C2576" s="33">
        <f>Demand!C2574</f>
        <v>20</v>
      </c>
      <c r="D2576" s="33">
        <f>Demand!E2574</f>
        <v>22</v>
      </c>
      <c r="E2576" s="33">
        <f>IF(Demand!F2574,1,0)</f>
        <v>1</v>
      </c>
      <c r="F2576" s="33">
        <f>COUNTIFS(c_store,A2576,c_date,B2576,c_hour,C2576)</f>
        <v>0</v>
      </c>
      <c r="G2576" s="33">
        <f>IF(F2576&gt;0,1,0)</f>
        <v>0</v>
      </c>
      <c r="H2576" s="33">
        <f>COUNTIFS(Demand!$A$2:$A$4481,A2576,Demand!$B$2:$B$4481,B2576,Demand!$C$2:$C$4481,C2576)</f>
        <v>1</v>
      </c>
    </row>
    <row r="2577">
      <c r="A2577" s="32" t="str">
        <f>Demand!A2575</f>
        <v>S001</v>
      </c>
      <c r="B2577" s="35">
        <f>Demand!B2575</f>
        <v>46274.0</v>
      </c>
      <c r="C2577" s="33">
        <f>Demand!C2575</f>
        <v>21</v>
      </c>
      <c r="D2577" s="33">
        <f>Demand!E2575</f>
        <v>25</v>
      </c>
      <c r="E2577" s="33">
        <f>IF(Demand!F2575,1,0)</f>
        <v>1</v>
      </c>
      <c r="F2577" s="33">
        <f>COUNTIFS(c_store,A2577,c_date,B2577,c_hour,C2577)</f>
        <v>1</v>
      </c>
      <c r="G2577" s="33">
        <f>IF(F2577&gt;0,1,0)</f>
        <v>1</v>
      </c>
      <c r="H2577" s="33">
        <f>COUNTIFS(Demand!$A$2:$A$4481,A2577,Demand!$B$2:$B$4481,B2577,Demand!$C$2:$C$4481,C2577)</f>
        <v>1</v>
      </c>
    </row>
    <row r="2578">
      <c r="A2578" s="32" t="str">
        <f>Demand!A2576</f>
        <v>S001</v>
      </c>
      <c r="B2578" s="35">
        <f>Demand!B2576</f>
        <v>46274.0</v>
      </c>
      <c r="C2578" s="33">
        <f>Demand!C2576</f>
        <v>22</v>
      </c>
      <c r="D2578" s="33">
        <f>Demand!E2576</f>
        <v>17</v>
      </c>
      <c r="E2578" s="33">
        <f>IF(Demand!F2576,1,0)</f>
        <v>0</v>
      </c>
      <c r="F2578" s="33">
        <f>COUNTIFS(c_store,A2578,c_date,B2578,c_hour,C2578)</f>
        <v>1</v>
      </c>
      <c r="G2578" s="33">
        <f>IF(F2578&gt;0,1,0)</f>
        <v>1</v>
      </c>
      <c r="H2578" s="33">
        <f>COUNTIFS(Demand!$A$2:$A$4481,A2578,Demand!$B$2:$B$4481,B2578,Demand!$C$2:$C$4481,C2578)</f>
        <v>1</v>
      </c>
    </row>
    <row r="2579">
      <c r="A2579" s="32" t="str">
        <f>Demand!A2577</f>
        <v>S001</v>
      </c>
      <c r="B2579" s="35">
        <f>Demand!B2577</f>
        <v>46274.0</v>
      </c>
      <c r="C2579" s="33">
        <f>Demand!C2577</f>
        <v>23</v>
      </c>
      <c r="D2579" s="33">
        <f>Demand!E2577</f>
        <v>15</v>
      </c>
      <c r="E2579" s="33">
        <f>IF(Demand!F2577,1,0)</f>
        <v>0</v>
      </c>
      <c r="F2579" s="33">
        <f>COUNTIFS(c_store,A2579,c_date,B2579,c_hour,C2579)</f>
        <v>0</v>
      </c>
      <c r="G2579" s="33">
        <f>IF(F2579&gt;0,1,0)</f>
        <v>0</v>
      </c>
      <c r="H2579" s="33">
        <f>COUNTIFS(Demand!$A$2:$A$4481,A2579,Demand!$B$2:$B$4481,B2579,Demand!$C$2:$C$4481,C2579)</f>
        <v>1</v>
      </c>
    </row>
    <row r="2580">
      <c r="A2580" s="32" t="str">
        <f>Demand!A2578</f>
        <v>S002</v>
      </c>
      <c r="B2580" s="35">
        <f>Demand!B2578</f>
        <v>46274.0</v>
      </c>
      <c r="C2580" s="33">
        <f>Demand!C2578</f>
        <v>8</v>
      </c>
      <c r="D2580" s="33">
        <f>Demand!E2578</f>
        <v>15</v>
      </c>
      <c r="E2580" s="33">
        <f>IF(Demand!F2578,1,0)</f>
        <v>0</v>
      </c>
      <c r="F2580" s="33">
        <f>COUNTIFS(c_store,A2580,c_date,B2580,c_hour,C2580)</f>
        <v>0</v>
      </c>
      <c r="G2580" s="33">
        <f>IF(F2580&gt;0,1,0)</f>
        <v>0</v>
      </c>
      <c r="H2580" s="33">
        <f>COUNTIFS(Demand!$A$2:$A$4481,A2580,Demand!$B$2:$B$4481,B2580,Demand!$C$2:$C$4481,C2580)</f>
        <v>1</v>
      </c>
    </row>
    <row r="2581">
      <c r="A2581" s="32" t="str">
        <f>Demand!A2579</f>
        <v>S002</v>
      </c>
      <c r="B2581" s="35">
        <f>Demand!B2579</f>
        <v>46274.0</v>
      </c>
      <c r="C2581" s="33">
        <f>Demand!C2579</f>
        <v>9</v>
      </c>
      <c r="D2581" s="33">
        <f>Demand!E2579</f>
        <v>24</v>
      </c>
      <c r="E2581" s="33">
        <f>IF(Demand!F2579,1,0)</f>
        <v>0</v>
      </c>
      <c r="F2581" s="33">
        <f>COUNTIFS(c_store,A2581,c_date,B2581,c_hour,C2581)</f>
        <v>1</v>
      </c>
      <c r="G2581" s="33">
        <f>IF(F2581&gt;0,1,0)</f>
        <v>1</v>
      </c>
      <c r="H2581" s="33">
        <f>COUNTIFS(Demand!$A$2:$A$4481,A2581,Demand!$B$2:$B$4481,B2581,Demand!$C$2:$C$4481,C2581)</f>
        <v>1</v>
      </c>
    </row>
    <row r="2582">
      <c r="A2582" s="32" t="str">
        <f>Demand!A2580</f>
        <v>S002</v>
      </c>
      <c r="B2582" s="35">
        <f>Demand!B2580</f>
        <v>46274.0</v>
      </c>
      <c r="C2582" s="33">
        <f>Demand!C2580</f>
        <v>10</v>
      </c>
      <c r="D2582" s="33">
        <f>Demand!E2580</f>
        <v>27</v>
      </c>
      <c r="E2582" s="33">
        <f>IF(Demand!F2580,1,0)</f>
        <v>0</v>
      </c>
      <c r="F2582" s="33">
        <f>COUNTIFS(c_store,A2582,c_date,B2582,c_hour,C2582)</f>
        <v>0</v>
      </c>
      <c r="G2582" s="33">
        <f>IF(F2582&gt;0,1,0)</f>
        <v>0</v>
      </c>
      <c r="H2582" s="33">
        <f>COUNTIFS(Demand!$A$2:$A$4481,A2582,Demand!$B$2:$B$4481,B2582,Demand!$C$2:$C$4481,C2582)</f>
        <v>1</v>
      </c>
    </row>
    <row r="2583">
      <c r="A2583" s="32" t="str">
        <f>Demand!A2581</f>
        <v>S002</v>
      </c>
      <c r="B2583" s="35">
        <f>Demand!B2581</f>
        <v>46274.0</v>
      </c>
      <c r="C2583" s="33">
        <f>Demand!C2581</f>
        <v>11</v>
      </c>
      <c r="D2583" s="33">
        <f>Demand!E2581</f>
        <v>28</v>
      </c>
      <c r="E2583" s="33">
        <f>IF(Demand!F2581,1,0)</f>
        <v>0</v>
      </c>
      <c r="F2583" s="33">
        <f>COUNTIFS(c_store,A2583,c_date,B2583,c_hour,C2583)</f>
        <v>0</v>
      </c>
      <c r="G2583" s="33">
        <f>IF(F2583&gt;0,1,0)</f>
        <v>0</v>
      </c>
      <c r="H2583" s="33">
        <f>COUNTIFS(Demand!$A$2:$A$4481,A2583,Demand!$B$2:$B$4481,B2583,Demand!$C$2:$C$4481,C2583)</f>
        <v>1</v>
      </c>
    </row>
    <row r="2584">
      <c r="A2584" s="32" t="str">
        <f>Demand!A2582</f>
        <v>S002</v>
      </c>
      <c r="B2584" s="35">
        <f>Demand!B2582</f>
        <v>46274.0</v>
      </c>
      <c r="C2584" s="33">
        <f>Demand!C2582</f>
        <v>12</v>
      </c>
      <c r="D2584" s="33">
        <f>Demand!E2582</f>
        <v>37</v>
      </c>
      <c r="E2584" s="33">
        <f>IF(Demand!F2582,1,0)</f>
        <v>0</v>
      </c>
      <c r="F2584" s="33">
        <f>COUNTIFS(c_store,A2584,c_date,B2584,c_hour,C2584)</f>
        <v>0</v>
      </c>
      <c r="G2584" s="33">
        <f>IF(F2584&gt;0,1,0)</f>
        <v>0</v>
      </c>
      <c r="H2584" s="33">
        <f>COUNTIFS(Demand!$A$2:$A$4481,A2584,Demand!$B$2:$B$4481,B2584,Demand!$C$2:$C$4481,C2584)</f>
        <v>1</v>
      </c>
    </row>
    <row r="2585">
      <c r="A2585" s="32" t="str">
        <f>Demand!A2583</f>
        <v>S002</v>
      </c>
      <c r="B2585" s="35">
        <f>Demand!B2583</f>
        <v>46274.0</v>
      </c>
      <c r="C2585" s="33">
        <f>Demand!C2583</f>
        <v>13</v>
      </c>
      <c r="D2585" s="33">
        <f>Demand!E2583</f>
        <v>42</v>
      </c>
      <c r="E2585" s="33">
        <f>IF(Demand!F2583,1,0)</f>
        <v>0</v>
      </c>
      <c r="F2585" s="33">
        <f>COUNTIFS(c_store,A2585,c_date,B2585,c_hour,C2585)</f>
        <v>0</v>
      </c>
      <c r="G2585" s="33">
        <f>IF(F2585&gt;0,1,0)</f>
        <v>0</v>
      </c>
      <c r="H2585" s="33">
        <f>COUNTIFS(Demand!$A$2:$A$4481,A2585,Demand!$B$2:$B$4481,B2585,Demand!$C$2:$C$4481,C2585)</f>
        <v>1</v>
      </c>
    </row>
    <row r="2586">
      <c r="A2586" s="32" t="str">
        <f>Demand!A2584</f>
        <v>S002</v>
      </c>
      <c r="B2586" s="35">
        <f>Demand!B2584</f>
        <v>46274.0</v>
      </c>
      <c r="C2586" s="33">
        <f>Demand!C2584</f>
        <v>14</v>
      </c>
      <c r="D2586" s="33">
        <f>Demand!E2584</f>
        <v>19</v>
      </c>
      <c r="E2586" s="33">
        <f>IF(Demand!F2584,1,0)</f>
        <v>0</v>
      </c>
      <c r="F2586" s="33">
        <f>COUNTIFS(c_store,A2586,c_date,B2586,c_hour,C2586)</f>
        <v>0</v>
      </c>
      <c r="G2586" s="33">
        <f>IF(F2586&gt;0,1,0)</f>
        <v>0</v>
      </c>
      <c r="H2586" s="33">
        <f>COUNTIFS(Demand!$A$2:$A$4481,A2586,Demand!$B$2:$B$4481,B2586,Demand!$C$2:$C$4481,C2586)</f>
        <v>1</v>
      </c>
    </row>
    <row r="2587">
      <c r="A2587" s="32" t="str">
        <f>Demand!A2585</f>
        <v>S002</v>
      </c>
      <c r="B2587" s="35">
        <f>Demand!B2585</f>
        <v>46274.0</v>
      </c>
      <c r="C2587" s="33">
        <f>Demand!C2585</f>
        <v>15</v>
      </c>
      <c r="D2587" s="33">
        <f>Demand!E2585</f>
        <v>26</v>
      </c>
      <c r="E2587" s="33">
        <f>IF(Demand!F2585,1,0)</f>
        <v>0</v>
      </c>
      <c r="F2587" s="33">
        <f>COUNTIFS(c_store,A2587,c_date,B2587,c_hour,C2587)</f>
        <v>0</v>
      </c>
      <c r="G2587" s="33">
        <f>IF(F2587&gt;0,1,0)</f>
        <v>0</v>
      </c>
      <c r="H2587" s="33">
        <f>COUNTIFS(Demand!$A$2:$A$4481,A2587,Demand!$B$2:$B$4481,B2587,Demand!$C$2:$C$4481,C2587)</f>
        <v>1</v>
      </c>
    </row>
    <row r="2588">
      <c r="A2588" s="32" t="str">
        <f>Demand!A2586</f>
        <v>S002</v>
      </c>
      <c r="B2588" s="35">
        <f>Demand!B2586</f>
        <v>46274.0</v>
      </c>
      <c r="C2588" s="33">
        <f>Demand!C2586</f>
        <v>16</v>
      </c>
      <c r="D2588" s="33">
        <f>Demand!E2586</f>
        <v>36</v>
      </c>
      <c r="E2588" s="33">
        <f>IF(Demand!F2586,1,0)</f>
        <v>0</v>
      </c>
      <c r="F2588" s="33">
        <f>COUNTIFS(c_store,A2588,c_date,B2588,c_hour,C2588)</f>
        <v>0</v>
      </c>
      <c r="G2588" s="33">
        <f>IF(F2588&gt;0,1,0)</f>
        <v>0</v>
      </c>
      <c r="H2588" s="33">
        <f>COUNTIFS(Demand!$A$2:$A$4481,A2588,Demand!$B$2:$B$4481,B2588,Demand!$C$2:$C$4481,C2588)</f>
        <v>1</v>
      </c>
    </row>
    <row r="2589">
      <c r="A2589" s="32" t="str">
        <f>Demand!A2587</f>
        <v>S002</v>
      </c>
      <c r="B2589" s="35">
        <f>Demand!B2587</f>
        <v>46274.0</v>
      </c>
      <c r="C2589" s="33">
        <f>Demand!C2587</f>
        <v>17</v>
      </c>
      <c r="D2589" s="33">
        <f>Demand!E2587</f>
        <v>33</v>
      </c>
      <c r="E2589" s="33">
        <f>IF(Demand!F2587,1,0)</f>
        <v>0</v>
      </c>
      <c r="F2589" s="33">
        <f>COUNTIFS(c_store,A2589,c_date,B2589,c_hour,C2589)</f>
        <v>1</v>
      </c>
      <c r="G2589" s="33">
        <f>IF(F2589&gt;0,1,0)</f>
        <v>1</v>
      </c>
      <c r="H2589" s="33">
        <f>COUNTIFS(Demand!$A$2:$A$4481,A2589,Demand!$B$2:$B$4481,B2589,Demand!$C$2:$C$4481,C2589)</f>
        <v>1</v>
      </c>
    </row>
    <row r="2590">
      <c r="A2590" s="32" t="str">
        <f>Demand!A2588</f>
        <v>S002</v>
      </c>
      <c r="B2590" s="35">
        <f>Demand!B2588</f>
        <v>46274.0</v>
      </c>
      <c r="C2590" s="33">
        <f>Demand!C2588</f>
        <v>18</v>
      </c>
      <c r="D2590" s="33">
        <f>Demand!E2588</f>
        <v>43</v>
      </c>
      <c r="E2590" s="33">
        <f>IF(Demand!F2588,1,0)</f>
        <v>0</v>
      </c>
      <c r="F2590" s="33">
        <f>COUNTIFS(c_store,A2590,c_date,B2590,c_hour,C2590)</f>
        <v>0</v>
      </c>
      <c r="G2590" s="33">
        <f>IF(F2590&gt;0,1,0)</f>
        <v>0</v>
      </c>
      <c r="H2590" s="33">
        <f>COUNTIFS(Demand!$A$2:$A$4481,A2590,Demand!$B$2:$B$4481,B2590,Demand!$C$2:$C$4481,C2590)</f>
        <v>1</v>
      </c>
    </row>
    <row r="2591">
      <c r="A2591" s="32" t="str">
        <f>Demand!A2589</f>
        <v>S002</v>
      </c>
      <c r="B2591" s="35">
        <f>Demand!B2589</f>
        <v>46274.0</v>
      </c>
      <c r="C2591" s="33">
        <f>Demand!C2589</f>
        <v>19</v>
      </c>
      <c r="D2591" s="33">
        <f>Demand!E2589</f>
        <v>46</v>
      </c>
      <c r="E2591" s="33">
        <f>IF(Demand!F2589,1,0)</f>
        <v>1</v>
      </c>
      <c r="F2591" s="33">
        <f>COUNTIFS(c_store,A2591,c_date,B2591,c_hour,C2591)</f>
        <v>0</v>
      </c>
      <c r="G2591" s="33">
        <f>IF(F2591&gt;0,1,0)</f>
        <v>0</v>
      </c>
      <c r="H2591" s="33">
        <f>COUNTIFS(Demand!$A$2:$A$4481,A2591,Demand!$B$2:$B$4481,B2591,Demand!$C$2:$C$4481,C2591)</f>
        <v>1</v>
      </c>
    </row>
    <row r="2592">
      <c r="A2592" s="32" t="str">
        <f>Demand!A2590</f>
        <v>S002</v>
      </c>
      <c r="B2592" s="35">
        <f>Demand!B2590</f>
        <v>46274.0</v>
      </c>
      <c r="C2592" s="33">
        <f>Demand!C2590</f>
        <v>20</v>
      </c>
      <c r="D2592" s="33">
        <f>Demand!E2590</f>
        <v>60</v>
      </c>
      <c r="E2592" s="33">
        <f>IF(Demand!F2590,1,0)</f>
        <v>1</v>
      </c>
      <c r="F2592" s="33">
        <f>COUNTIFS(c_store,A2592,c_date,B2592,c_hour,C2592)</f>
        <v>1</v>
      </c>
      <c r="G2592" s="33">
        <f>IF(F2592&gt;0,1,0)</f>
        <v>1</v>
      </c>
      <c r="H2592" s="33">
        <f>COUNTIFS(Demand!$A$2:$A$4481,A2592,Demand!$B$2:$B$4481,B2592,Demand!$C$2:$C$4481,C2592)</f>
        <v>1</v>
      </c>
    </row>
    <row r="2593">
      <c r="A2593" s="32" t="str">
        <f>Demand!A2591</f>
        <v>S002</v>
      </c>
      <c r="B2593" s="35">
        <f>Demand!B2591</f>
        <v>46274.0</v>
      </c>
      <c r="C2593" s="33">
        <f>Demand!C2591</f>
        <v>21</v>
      </c>
      <c r="D2593" s="33">
        <f>Demand!E2591</f>
        <v>51</v>
      </c>
      <c r="E2593" s="33">
        <f>IF(Demand!F2591,1,0)</f>
        <v>1</v>
      </c>
      <c r="F2593" s="33">
        <f>COUNTIFS(c_store,A2593,c_date,B2593,c_hour,C2593)</f>
        <v>1</v>
      </c>
      <c r="G2593" s="33">
        <f>IF(F2593&gt;0,1,0)</f>
        <v>1</v>
      </c>
      <c r="H2593" s="33">
        <f>COUNTIFS(Demand!$A$2:$A$4481,A2593,Demand!$B$2:$B$4481,B2593,Demand!$C$2:$C$4481,C2593)</f>
        <v>1</v>
      </c>
    </row>
    <row r="2594">
      <c r="A2594" s="32" t="str">
        <f>Demand!A2592</f>
        <v>S002</v>
      </c>
      <c r="B2594" s="35">
        <f>Demand!B2592</f>
        <v>46274.0</v>
      </c>
      <c r="C2594" s="33">
        <f>Demand!C2592</f>
        <v>22</v>
      </c>
      <c r="D2594" s="33">
        <f>Demand!E2592</f>
        <v>42</v>
      </c>
      <c r="E2594" s="33">
        <f>IF(Demand!F2592,1,0)</f>
        <v>0</v>
      </c>
      <c r="F2594" s="33">
        <f>COUNTIFS(c_store,A2594,c_date,B2594,c_hour,C2594)</f>
        <v>1</v>
      </c>
      <c r="G2594" s="33">
        <f>IF(F2594&gt;0,1,0)</f>
        <v>1</v>
      </c>
      <c r="H2594" s="33">
        <f>COUNTIFS(Demand!$A$2:$A$4481,A2594,Demand!$B$2:$B$4481,B2594,Demand!$C$2:$C$4481,C2594)</f>
        <v>1</v>
      </c>
    </row>
    <row r="2595">
      <c r="A2595" s="32" t="str">
        <f>Demand!A2593</f>
        <v>S002</v>
      </c>
      <c r="B2595" s="35">
        <f>Demand!B2593</f>
        <v>46274.0</v>
      </c>
      <c r="C2595" s="33">
        <f>Demand!C2593</f>
        <v>23</v>
      </c>
      <c r="D2595" s="33">
        <f>Demand!E2593</f>
        <v>33</v>
      </c>
      <c r="E2595" s="33">
        <f>IF(Demand!F2593,1,0)</f>
        <v>0</v>
      </c>
      <c r="F2595" s="33">
        <f>COUNTIFS(c_store,A2595,c_date,B2595,c_hour,C2595)</f>
        <v>0</v>
      </c>
      <c r="G2595" s="33">
        <f>IF(F2595&gt;0,1,0)</f>
        <v>0</v>
      </c>
      <c r="H2595" s="33">
        <f>COUNTIFS(Demand!$A$2:$A$4481,A2595,Demand!$B$2:$B$4481,B2595,Demand!$C$2:$C$4481,C2595)</f>
        <v>1</v>
      </c>
    </row>
    <row r="2596">
      <c r="A2596" s="32" t="str">
        <f>Demand!A2594</f>
        <v>S003</v>
      </c>
      <c r="B2596" s="35">
        <f>Demand!B2594</f>
        <v>46274.0</v>
      </c>
      <c r="C2596" s="33">
        <f>Demand!C2594</f>
        <v>8</v>
      </c>
      <c r="D2596" s="33">
        <f>Demand!E2594</f>
        <v>37</v>
      </c>
      <c r="E2596" s="33">
        <f>IF(Demand!F2594,1,0)</f>
        <v>0</v>
      </c>
      <c r="F2596" s="33">
        <f>COUNTIFS(c_store,A2596,c_date,B2596,c_hour,C2596)</f>
        <v>0</v>
      </c>
      <c r="G2596" s="33">
        <f>IF(F2596&gt;0,1,0)</f>
        <v>0</v>
      </c>
      <c r="H2596" s="33">
        <f>COUNTIFS(Demand!$A$2:$A$4481,A2596,Demand!$B$2:$B$4481,B2596,Demand!$C$2:$C$4481,C2596)</f>
        <v>1</v>
      </c>
    </row>
    <row r="2597">
      <c r="A2597" s="32" t="str">
        <f>Demand!A2595</f>
        <v>S003</v>
      </c>
      <c r="B2597" s="35">
        <f>Demand!B2595</f>
        <v>46274.0</v>
      </c>
      <c r="C2597" s="33">
        <f>Demand!C2595</f>
        <v>9</v>
      </c>
      <c r="D2597" s="33">
        <f>Demand!E2595</f>
        <v>37</v>
      </c>
      <c r="E2597" s="33">
        <f>IF(Demand!F2595,1,0)</f>
        <v>0</v>
      </c>
      <c r="F2597" s="33">
        <f>COUNTIFS(c_store,A2597,c_date,B2597,c_hour,C2597)</f>
        <v>0</v>
      </c>
      <c r="G2597" s="33">
        <f>IF(F2597&gt;0,1,0)</f>
        <v>0</v>
      </c>
      <c r="H2597" s="33">
        <f>COUNTIFS(Demand!$A$2:$A$4481,A2597,Demand!$B$2:$B$4481,B2597,Demand!$C$2:$C$4481,C2597)</f>
        <v>1</v>
      </c>
    </row>
    <row r="2598">
      <c r="A2598" s="32" t="str">
        <f>Demand!A2596</f>
        <v>S003</v>
      </c>
      <c r="B2598" s="35">
        <f>Demand!B2596</f>
        <v>46274.0</v>
      </c>
      <c r="C2598" s="33">
        <f>Demand!C2596</f>
        <v>10</v>
      </c>
      <c r="D2598" s="33">
        <f>Demand!E2596</f>
        <v>28</v>
      </c>
      <c r="E2598" s="33">
        <f>IF(Demand!F2596,1,0)</f>
        <v>0</v>
      </c>
      <c r="F2598" s="33">
        <f>COUNTIFS(c_store,A2598,c_date,B2598,c_hour,C2598)</f>
        <v>1</v>
      </c>
      <c r="G2598" s="33">
        <f>IF(F2598&gt;0,1,0)</f>
        <v>1</v>
      </c>
      <c r="H2598" s="33">
        <f>COUNTIFS(Demand!$A$2:$A$4481,A2598,Demand!$B$2:$B$4481,B2598,Demand!$C$2:$C$4481,C2598)</f>
        <v>1</v>
      </c>
    </row>
    <row r="2599">
      <c r="A2599" s="32" t="str">
        <f>Demand!A2597</f>
        <v>S003</v>
      </c>
      <c r="B2599" s="35">
        <f>Demand!B2597</f>
        <v>46274.0</v>
      </c>
      <c r="C2599" s="33">
        <f>Demand!C2597</f>
        <v>11</v>
      </c>
      <c r="D2599" s="33">
        <f>Demand!E2597</f>
        <v>44</v>
      </c>
      <c r="E2599" s="33">
        <f>IF(Demand!F2597,1,0)</f>
        <v>0</v>
      </c>
      <c r="F2599" s="33">
        <f>COUNTIFS(c_store,A2599,c_date,B2599,c_hour,C2599)</f>
        <v>1</v>
      </c>
      <c r="G2599" s="33">
        <f>IF(F2599&gt;0,1,0)</f>
        <v>1</v>
      </c>
      <c r="H2599" s="33">
        <f>COUNTIFS(Demand!$A$2:$A$4481,A2599,Demand!$B$2:$B$4481,B2599,Demand!$C$2:$C$4481,C2599)</f>
        <v>1</v>
      </c>
    </row>
    <row r="2600">
      <c r="A2600" s="32" t="str">
        <f>Demand!A2598</f>
        <v>S003</v>
      </c>
      <c r="B2600" s="35">
        <f>Demand!B2598</f>
        <v>46274.0</v>
      </c>
      <c r="C2600" s="33">
        <f>Demand!C2598</f>
        <v>12</v>
      </c>
      <c r="D2600" s="33">
        <f>Demand!E2598</f>
        <v>50</v>
      </c>
      <c r="E2600" s="33">
        <f>IF(Demand!F2598,1,0)</f>
        <v>0</v>
      </c>
      <c r="F2600" s="33">
        <f>COUNTIFS(c_store,A2600,c_date,B2600,c_hour,C2600)</f>
        <v>1</v>
      </c>
      <c r="G2600" s="33">
        <f>IF(F2600&gt;0,1,0)</f>
        <v>1</v>
      </c>
      <c r="H2600" s="33">
        <f>COUNTIFS(Demand!$A$2:$A$4481,A2600,Demand!$B$2:$B$4481,B2600,Demand!$C$2:$C$4481,C2600)</f>
        <v>1</v>
      </c>
    </row>
    <row r="2601">
      <c r="A2601" s="32" t="str">
        <f>Demand!A2599</f>
        <v>S003</v>
      </c>
      <c r="B2601" s="35">
        <f>Demand!B2599</f>
        <v>46274.0</v>
      </c>
      <c r="C2601" s="33">
        <f>Demand!C2599</f>
        <v>13</v>
      </c>
      <c r="D2601" s="33">
        <f>Demand!E2599</f>
        <v>33</v>
      </c>
      <c r="E2601" s="33">
        <f>IF(Demand!F2599,1,0)</f>
        <v>0</v>
      </c>
      <c r="F2601" s="33">
        <f>COUNTIFS(c_store,A2601,c_date,B2601,c_hour,C2601)</f>
        <v>0</v>
      </c>
      <c r="G2601" s="33">
        <f>IF(F2601&gt;0,1,0)</f>
        <v>0</v>
      </c>
      <c r="H2601" s="33">
        <f>COUNTIFS(Demand!$A$2:$A$4481,A2601,Demand!$B$2:$B$4481,B2601,Demand!$C$2:$C$4481,C2601)</f>
        <v>1</v>
      </c>
    </row>
    <row r="2602">
      <c r="A2602" s="32" t="str">
        <f>Demand!A2600</f>
        <v>S003</v>
      </c>
      <c r="B2602" s="35">
        <f>Demand!B2600</f>
        <v>46274.0</v>
      </c>
      <c r="C2602" s="33">
        <f>Demand!C2600</f>
        <v>14</v>
      </c>
      <c r="D2602" s="33">
        <f>Demand!E2600</f>
        <v>30</v>
      </c>
      <c r="E2602" s="33">
        <f>IF(Demand!F2600,1,0)</f>
        <v>0</v>
      </c>
      <c r="F2602" s="33">
        <f>COUNTIFS(c_store,A2602,c_date,B2602,c_hour,C2602)</f>
        <v>0</v>
      </c>
      <c r="G2602" s="33">
        <f>IF(F2602&gt;0,1,0)</f>
        <v>0</v>
      </c>
      <c r="H2602" s="33">
        <f>COUNTIFS(Demand!$A$2:$A$4481,A2602,Demand!$B$2:$B$4481,B2602,Demand!$C$2:$C$4481,C2602)</f>
        <v>1</v>
      </c>
    </row>
    <row r="2603">
      <c r="A2603" s="32" t="str">
        <f>Demand!A2601</f>
        <v>S003</v>
      </c>
      <c r="B2603" s="35">
        <f>Demand!B2601</f>
        <v>46274.0</v>
      </c>
      <c r="C2603" s="33">
        <f>Demand!C2601</f>
        <v>15</v>
      </c>
      <c r="D2603" s="33">
        <f>Demand!E2601</f>
        <v>24</v>
      </c>
      <c r="E2603" s="33">
        <f>IF(Demand!F2601,1,0)</f>
        <v>0</v>
      </c>
      <c r="F2603" s="33">
        <f>COUNTIFS(c_store,A2603,c_date,B2603,c_hour,C2603)</f>
        <v>0</v>
      </c>
      <c r="G2603" s="33">
        <f>IF(F2603&gt;0,1,0)</f>
        <v>0</v>
      </c>
      <c r="H2603" s="33">
        <f>COUNTIFS(Demand!$A$2:$A$4481,A2603,Demand!$B$2:$B$4481,B2603,Demand!$C$2:$C$4481,C2603)</f>
        <v>1</v>
      </c>
    </row>
    <row r="2604">
      <c r="A2604" s="32" t="str">
        <f>Demand!A2602</f>
        <v>S003</v>
      </c>
      <c r="B2604" s="35">
        <f>Demand!B2602</f>
        <v>46274.0</v>
      </c>
      <c r="C2604" s="33">
        <f>Demand!C2602</f>
        <v>16</v>
      </c>
      <c r="D2604" s="33">
        <f>Demand!E2602</f>
        <v>42</v>
      </c>
      <c r="E2604" s="33">
        <f>IF(Demand!F2602,1,0)</f>
        <v>0</v>
      </c>
      <c r="F2604" s="33">
        <f>COUNTIFS(c_store,A2604,c_date,B2604,c_hour,C2604)</f>
        <v>1</v>
      </c>
      <c r="G2604" s="33">
        <f>IF(F2604&gt;0,1,0)</f>
        <v>1</v>
      </c>
      <c r="H2604" s="33">
        <f>COUNTIFS(Demand!$A$2:$A$4481,A2604,Demand!$B$2:$B$4481,B2604,Demand!$C$2:$C$4481,C2604)</f>
        <v>1</v>
      </c>
    </row>
    <row r="2605">
      <c r="A2605" s="32" t="str">
        <f>Demand!A2603</f>
        <v>S003</v>
      </c>
      <c r="B2605" s="35">
        <f>Demand!B2603</f>
        <v>46274.0</v>
      </c>
      <c r="C2605" s="33">
        <f>Demand!C2603</f>
        <v>17</v>
      </c>
      <c r="D2605" s="33">
        <f>Demand!E2603</f>
        <v>46</v>
      </c>
      <c r="E2605" s="33">
        <f>IF(Demand!F2603,1,0)</f>
        <v>0</v>
      </c>
      <c r="F2605" s="33">
        <f>COUNTIFS(c_store,A2605,c_date,B2605,c_hour,C2605)</f>
        <v>0</v>
      </c>
      <c r="G2605" s="33">
        <f>IF(F2605&gt;0,1,0)</f>
        <v>0</v>
      </c>
      <c r="H2605" s="33">
        <f>COUNTIFS(Demand!$A$2:$A$4481,A2605,Demand!$B$2:$B$4481,B2605,Demand!$C$2:$C$4481,C2605)</f>
        <v>1</v>
      </c>
    </row>
    <row r="2606">
      <c r="A2606" s="32" t="str">
        <f>Demand!A2604</f>
        <v>S003</v>
      </c>
      <c r="B2606" s="35">
        <f>Demand!B2604</f>
        <v>46274.0</v>
      </c>
      <c r="C2606" s="33">
        <f>Demand!C2604</f>
        <v>18</v>
      </c>
      <c r="D2606" s="33">
        <f>Demand!E2604</f>
        <v>36</v>
      </c>
      <c r="E2606" s="33">
        <f>IF(Demand!F2604,1,0)</f>
        <v>0</v>
      </c>
      <c r="F2606" s="33">
        <f>COUNTIFS(c_store,A2606,c_date,B2606,c_hour,C2606)</f>
        <v>0</v>
      </c>
      <c r="G2606" s="33">
        <f>IF(F2606&gt;0,1,0)</f>
        <v>0</v>
      </c>
      <c r="H2606" s="33">
        <f>COUNTIFS(Demand!$A$2:$A$4481,A2606,Demand!$B$2:$B$4481,B2606,Demand!$C$2:$C$4481,C2606)</f>
        <v>1</v>
      </c>
    </row>
    <row r="2607">
      <c r="A2607" s="32" t="str">
        <f>Demand!A2605</f>
        <v>S003</v>
      </c>
      <c r="B2607" s="35">
        <f>Demand!B2605</f>
        <v>46274.0</v>
      </c>
      <c r="C2607" s="33">
        <f>Demand!C2605</f>
        <v>19</v>
      </c>
      <c r="D2607" s="33">
        <f>Demand!E2605</f>
        <v>71</v>
      </c>
      <c r="E2607" s="33">
        <f>IF(Demand!F2605,1,0)</f>
        <v>1</v>
      </c>
      <c r="F2607" s="33">
        <f>COUNTIFS(c_store,A2607,c_date,B2607,c_hour,C2607)</f>
        <v>0</v>
      </c>
      <c r="G2607" s="33">
        <f>IF(F2607&gt;0,1,0)</f>
        <v>0</v>
      </c>
      <c r="H2607" s="33">
        <f>COUNTIFS(Demand!$A$2:$A$4481,A2607,Demand!$B$2:$B$4481,B2607,Demand!$C$2:$C$4481,C2607)</f>
        <v>1</v>
      </c>
    </row>
    <row r="2608">
      <c r="A2608" s="32" t="str">
        <f>Demand!A2606</f>
        <v>S003</v>
      </c>
      <c r="B2608" s="35">
        <f>Demand!B2606</f>
        <v>46274.0</v>
      </c>
      <c r="C2608" s="33">
        <f>Demand!C2606</f>
        <v>20</v>
      </c>
      <c r="D2608" s="33">
        <f>Demand!E2606</f>
        <v>66</v>
      </c>
      <c r="E2608" s="33">
        <f>IF(Demand!F2606,1,0)</f>
        <v>1</v>
      </c>
      <c r="F2608" s="33">
        <f>COUNTIFS(c_store,A2608,c_date,B2608,c_hour,C2608)</f>
        <v>0</v>
      </c>
      <c r="G2608" s="33">
        <f>IF(F2608&gt;0,1,0)</f>
        <v>0</v>
      </c>
      <c r="H2608" s="33">
        <f>COUNTIFS(Demand!$A$2:$A$4481,A2608,Demand!$B$2:$B$4481,B2608,Demand!$C$2:$C$4481,C2608)</f>
        <v>1</v>
      </c>
    </row>
    <row r="2609">
      <c r="A2609" s="32" t="str">
        <f>Demand!A2607</f>
        <v>S003</v>
      </c>
      <c r="B2609" s="35">
        <f>Demand!B2607</f>
        <v>46274.0</v>
      </c>
      <c r="C2609" s="33">
        <f>Demand!C2607</f>
        <v>21</v>
      </c>
      <c r="D2609" s="33">
        <f>Demand!E2607</f>
        <v>63</v>
      </c>
      <c r="E2609" s="33">
        <f>IF(Demand!F2607,1,0)</f>
        <v>1</v>
      </c>
      <c r="F2609" s="33">
        <f>COUNTIFS(c_store,A2609,c_date,B2609,c_hour,C2609)</f>
        <v>0</v>
      </c>
      <c r="G2609" s="33">
        <f>IF(F2609&gt;0,1,0)</f>
        <v>0</v>
      </c>
      <c r="H2609" s="33">
        <f>COUNTIFS(Demand!$A$2:$A$4481,A2609,Demand!$B$2:$B$4481,B2609,Demand!$C$2:$C$4481,C2609)</f>
        <v>1</v>
      </c>
    </row>
    <row r="2610">
      <c r="A2610" s="32" t="str">
        <f>Demand!A2608</f>
        <v>S003</v>
      </c>
      <c r="B2610" s="35">
        <f>Demand!B2608</f>
        <v>46274.0</v>
      </c>
      <c r="C2610" s="33">
        <f>Demand!C2608</f>
        <v>22</v>
      </c>
      <c r="D2610" s="33">
        <f>Demand!E2608</f>
        <v>31</v>
      </c>
      <c r="E2610" s="33">
        <f>IF(Demand!F2608,1,0)</f>
        <v>0</v>
      </c>
      <c r="F2610" s="33">
        <f>COUNTIFS(c_store,A2610,c_date,B2610,c_hour,C2610)</f>
        <v>0</v>
      </c>
      <c r="G2610" s="33">
        <f>IF(F2610&gt;0,1,0)</f>
        <v>0</v>
      </c>
      <c r="H2610" s="33">
        <f>COUNTIFS(Demand!$A$2:$A$4481,A2610,Demand!$B$2:$B$4481,B2610,Demand!$C$2:$C$4481,C2610)</f>
        <v>1</v>
      </c>
    </row>
    <row r="2611">
      <c r="A2611" s="32" t="str">
        <f>Demand!A2609</f>
        <v>S003</v>
      </c>
      <c r="B2611" s="35">
        <f>Demand!B2609</f>
        <v>46274.0</v>
      </c>
      <c r="C2611" s="33">
        <f>Demand!C2609</f>
        <v>23</v>
      </c>
      <c r="D2611" s="33">
        <f>Demand!E2609</f>
        <v>37</v>
      </c>
      <c r="E2611" s="33">
        <f>IF(Demand!F2609,1,0)</f>
        <v>0</v>
      </c>
      <c r="F2611" s="33">
        <f>COUNTIFS(c_store,A2611,c_date,B2611,c_hour,C2611)</f>
        <v>0</v>
      </c>
      <c r="G2611" s="33">
        <f>IF(F2611&gt;0,1,0)</f>
        <v>0</v>
      </c>
      <c r="H2611" s="33">
        <f>COUNTIFS(Demand!$A$2:$A$4481,A2611,Demand!$B$2:$B$4481,B2611,Demand!$C$2:$C$4481,C2611)</f>
        <v>1</v>
      </c>
    </row>
    <row r="2612">
      <c r="A2612" s="32" t="str">
        <f>Demand!A2610</f>
        <v>S004</v>
      </c>
      <c r="B2612" s="35">
        <f>Demand!B2610</f>
        <v>46274.0</v>
      </c>
      <c r="C2612" s="33">
        <f>Demand!C2610</f>
        <v>8</v>
      </c>
      <c r="D2612" s="33">
        <f>Demand!E2610</f>
        <v>29</v>
      </c>
      <c r="E2612" s="33">
        <f>IF(Demand!F2610,1,0)</f>
        <v>0</v>
      </c>
      <c r="F2612" s="33">
        <f>COUNTIFS(c_store,A2612,c_date,B2612,c_hour,C2612)</f>
        <v>0</v>
      </c>
      <c r="G2612" s="33">
        <f>IF(F2612&gt;0,1,0)</f>
        <v>0</v>
      </c>
      <c r="H2612" s="33">
        <f>COUNTIFS(Demand!$A$2:$A$4481,A2612,Demand!$B$2:$B$4481,B2612,Demand!$C$2:$C$4481,C2612)</f>
        <v>1</v>
      </c>
    </row>
    <row r="2613">
      <c r="A2613" s="32" t="str">
        <f>Demand!A2611</f>
        <v>S004</v>
      </c>
      <c r="B2613" s="35">
        <f>Demand!B2611</f>
        <v>46274.0</v>
      </c>
      <c r="C2613" s="33">
        <f>Demand!C2611</f>
        <v>9</v>
      </c>
      <c r="D2613" s="33">
        <f>Demand!E2611</f>
        <v>29</v>
      </c>
      <c r="E2613" s="33">
        <f>IF(Demand!F2611,1,0)</f>
        <v>0</v>
      </c>
      <c r="F2613" s="33">
        <f>COUNTIFS(c_store,A2613,c_date,B2613,c_hour,C2613)</f>
        <v>0</v>
      </c>
      <c r="G2613" s="33">
        <f>IF(F2613&gt;0,1,0)</f>
        <v>0</v>
      </c>
      <c r="H2613" s="33">
        <f>COUNTIFS(Demand!$A$2:$A$4481,A2613,Demand!$B$2:$B$4481,B2613,Demand!$C$2:$C$4481,C2613)</f>
        <v>1</v>
      </c>
    </row>
    <row r="2614">
      <c r="A2614" s="32" t="str">
        <f>Demand!A2612</f>
        <v>S004</v>
      </c>
      <c r="B2614" s="35">
        <f>Demand!B2612</f>
        <v>46274.0</v>
      </c>
      <c r="C2614" s="33">
        <f>Demand!C2612</f>
        <v>10</v>
      </c>
      <c r="D2614" s="33">
        <f>Demand!E2612</f>
        <v>23</v>
      </c>
      <c r="E2614" s="33">
        <f>IF(Demand!F2612,1,0)</f>
        <v>0</v>
      </c>
      <c r="F2614" s="33">
        <f>COUNTIFS(c_store,A2614,c_date,B2614,c_hour,C2614)</f>
        <v>0</v>
      </c>
      <c r="G2614" s="33">
        <f>IF(F2614&gt;0,1,0)</f>
        <v>0</v>
      </c>
      <c r="H2614" s="33">
        <f>COUNTIFS(Demand!$A$2:$A$4481,A2614,Demand!$B$2:$B$4481,B2614,Demand!$C$2:$C$4481,C2614)</f>
        <v>1</v>
      </c>
    </row>
    <row r="2615">
      <c r="A2615" s="32" t="str">
        <f>Demand!A2613</f>
        <v>S004</v>
      </c>
      <c r="B2615" s="35">
        <f>Demand!B2613</f>
        <v>46274.0</v>
      </c>
      <c r="C2615" s="33">
        <f>Demand!C2613</f>
        <v>11</v>
      </c>
      <c r="D2615" s="33">
        <f>Demand!E2613</f>
        <v>42</v>
      </c>
      <c r="E2615" s="33">
        <f>IF(Demand!F2613,1,0)</f>
        <v>0</v>
      </c>
      <c r="F2615" s="33">
        <f>COUNTIFS(c_store,A2615,c_date,B2615,c_hour,C2615)</f>
        <v>0</v>
      </c>
      <c r="G2615" s="33">
        <f>IF(F2615&gt;0,1,0)</f>
        <v>0</v>
      </c>
      <c r="H2615" s="33">
        <f>COUNTIFS(Demand!$A$2:$A$4481,A2615,Demand!$B$2:$B$4481,B2615,Demand!$C$2:$C$4481,C2615)</f>
        <v>1</v>
      </c>
    </row>
    <row r="2616">
      <c r="A2616" s="32" t="str">
        <f>Demand!A2614</f>
        <v>S004</v>
      </c>
      <c r="B2616" s="35">
        <f>Demand!B2614</f>
        <v>46274.0</v>
      </c>
      <c r="C2616" s="33">
        <f>Demand!C2614</f>
        <v>12</v>
      </c>
      <c r="D2616" s="33">
        <f>Demand!E2614</f>
        <v>50</v>
      </c>
      <c r="E2616" s="33">
        <f>IF(Demand!F2614,1,0)</f>
        <v>0</v>
      </c>
      <c r="F2616" s="33">
        <f>COUNTIFS(c_store,A2616,c_date,B2616,c_hour,C2616)</f>
        <v>0</v>
      </c>
      <c r="G2616" s="33">
        <f>IF(F2616&gt;0,1,0)</f>
        <v>0</v>
      </c>
      <c r="H2616" s="33">
        <f>COUNTIFS(Demand!$A$2:$A$4481,A2616,Demand!$B$2:$B$4481,B2616,Demand!$C$2:$C$4481,C2616)</f>
        <v>1</v>
      </c>
    </row>
    <row r="2617">
      <c r="A2617" s="32" t="str">
        <f>Demand!A2615</f>
        <v>S004</v>
      </c>
      <c r="B2617" s="35">
        <f>Demand!B2615</f>
        <v>46274.0</v>
      </c>
      <c r="C2617" s="33">
        <f>Demand!C2615</f>
        <v>13</v>
      </c>
      <c r="D2617" s="33">
        <f>Demand!E2615</f>
        <v>38</v>
      </c>
      <c r="E2617" s="33">
        <f>IF(Demand!F2615,1,0)</f>
        <v>0</v>
      </c>
      <c r="F2617" s="33">
        <f>COUNTIFS(c_store,A2617,c_date,B2617,c_hour,C2617)</f>
        <v>0</v>
      </c>
      <c r="G2617" s="33">
        <f>IF(F2617&gt;0,1,0)</f>
        <v>0</v>
      </c>
      <c r="H2617" s="33">
        <f>COUNTIFS(Demand!$A$2:$A$4481,A2617,Demand!$B$2:$B$4481,B2617,Demand!$C$2:$C$4481,C2617)</f>
        <v>1</v>
      </c>
    </row>
    <row r="2618">
      <c r="A2618" s="32" t="str">
        <f>Demand!A2616</f>
        <v>S004</v>
      </c>
      <c r="B2618" s="35">
        <f>Demand!B2616</f>
        <v>46274.0</v>
      </c>
      <c r="C2618" s="33">
        <f>Demand!C2616</f>
        <v>14</v>
      </c>
      <c r="D2618" s="33">
        <f>Demand!E2616</f>
        <v>37</v>
      </c>
      <c r="E2618" s="33">
        <f>IF(Demand!F2616,1,0)</f>
        <v>0</v>
      </c>
      <c r="F2618" s="33">
        <f>COUNTIFS(c_store,A2618,c_date,B2618,c_hour,C2618)</f>
        <v>0</v>
      </c>
      <c r="G2618" s="33">
        <f>IF(F2618&gt;0,1,0)</f>
        <v>0</v>
      </c>
      <c r="H2618" s="33">
        <f>COUNTIFS(Demand!$A$2:$A$4481,A2618,Demand!$B$2:$B$4481,B2618,Demand!$C$2:$C$4481,C2618)</f>
        <v>1</v>
      </c>
    </row>
    <row r="2619">
      <c r="A2619" s="32" t="str">
        <f>Demand!A2617</f>
        <v>S004</v>
      </c>
      <c r="B2619" s="35">
        <f>Demand!B2617</f>
        <v>46274.0</v>
      </c>
      <c r="C2619" s="33">
        <f>Demand!C2617</f>
        <v>15</v>
      </c>
      <c r="D2619" s="33">
        <f>Demand!E2617</f>
        <v>32</v>
      </c>
      <c r="E2619" s="33">
        <f>IF(Demand!F2617,1,0)</f>
        <v>0</v>
      </c>
      <c r="F2619" s="33">
        <f>COUNTIFS(c_store,A2619,c_date,B2619,c_hour,C2619)</f>
        <v>0</v>
      </c>
      <c r="G2619" s="33">
        <f>IF(F2619&gt;0,1,0)</f>
        <v>0</v>
      </c>
      <c r="H2619" s="33">
        <f>COUNTIFS(Demand!$A$2:$A$4481,A2619,Demand!$B$2:$B$4481,B2619,Demand!$C$2:$C$4481,C2619)</f>
        <v>1</v>
      </c>
    </row>
    <row r="2620">
      <c r="A2620" s="32" t="str">
        <f>Demand!A2618</f>
        <v>S004</v>
      </c>
      <c r="B2620" s="35">
        <f>Demand!B2618</f>
        <v>46274.0</v>
      </c>
      <c r="C2620" s="33">
        <f>Demand!C2618</f>
        <v>16</v>
      </c>
      <c r="D2620" s="33">
        <f>Demand!E2618</f>
        <v>37</v>
      </c>
      <c r="E2620" s="33">
        <f>IF(Demand!F2618,1,0)</f>
        <v>0</v>
      </c>
      <c r="F2620" s="33">
        <f>COUNTIFS(c_store,A2620,c_date,B2620,c_hour,C2620)</f>
        <v>0</v>
      </c>
      <c r="G2620" s="33">
        <f>IF(F2620&gt;0,1,0)</f>
        <v>0</v>
      </c>
      <c r="H2620" s="33">
        <f>COUNTIFS(Demand!$A$2:$A$4481,A2620,Demand!$B$2:$B$4481,B2620,Demand!$C$2:$C$4481,C2620)</f>
        <v>1</v>
      </c>
    </row>
    <row r="2621">
      <c r="A2621" s="32" t="str">
        <f>Demand!A2619</f>
        <v>S004</v>
      </c>
      <c r="B2621" s="35">
        <f>Demand!B2619</f>
        <v>46274.0</v>
      </c>
      <c r="C2621" s="33">
        <f>Demand!C2619</f>
        <v>17</v>
      </c>
      <c r="D2621" s="33">
        <f>Demand!E2619</f>
        <v>55</v>
      </c>
      <c r="E2621" s="33">
        <f>IF(Demand!F2619,1,0)</f>
        <v>0</v>
      </c>
      <c r="F2621" s="33">
        <f>COUNTIFS(c_store,A2621,c_date,B2621,c_hour,C2621)</f>
        <v>0</v>
      </c>
      <c r="G2621" s="33">
        <f>IF(F2621&gt;0,1,0)</f>
        <v>0</v>
      </c>
      <c r="H2621" s="33">
        <f>COUNTIFS(Demand!$A$2:$A$4481,A2621,Demand!$B$2:$B$4481,B2621,Demand!$C$2:$C$4481,C2621)</f>
        <v>1</v>
      </c>
    </row>
    <row r="2622">
      <c r="A2622" s="32" t="str">
        <f>Demand!A2620</f>
        <v>S004</v>
      </c>
      <c r="B2622" s="35">
        <f>Demand!B2620</f>
        <v>46274.0</v>
      </c>
      <c r="C2622" s="33">
        <f>Demand!C2620</f>
        <v>18</v>
      </c>
      <c r="D2622" s="33">
        <f>Demand!E2620</f>
        <v>44</v>
      </c>
      <c r="E2622" s="33">
        <f>IF(Demand!F2620,1,0)</f>
        <v>0</v>
      </c>
      <c r="F2622" s="33">
        <f>COUNTIFS(c_store,A2622,c_date,B2622,c_hour,C2622)</f>
        <v>0</v>
      </c>
      <c r="G2622" s="33">
        <f>IF(F2622&gt;0,1,0)</f>
        <v>0</v>
      </c>
      <c r="H2622" s="33">
        <f>COUNTIFS(Demand!$A$2:$A$4481,A2622,Demand!$B$2:$B$4481,B2622,Demand!$C$2:$C$4481,C2622)</f>
        <v>1</v>
      </c>
    </row>
    <row r="2623">
      <c r="A2623" s="32" t="str">
        <f>Demand!A2621</f>
        <v>S004</v>
      </c>
      <c r="B2623" s="35">
        <f>Demand!B2621</f>
        <v>46274.0</v>
      </c>
      <c r="C2623" s="33">
        <f>Demand!C2621</f>
        <v>19</v>
      </c>
      <c r="D2623" s="33">
        <f>Demand!E2621</f>
        <v>46</v>
      </c>
      <c r="E2623" s="33">
        <f>IF(Demand!F2621,1,0)</f>
        <v>1</v>
      </c>
      <c r="F2623" s="33">
        <f>COUNTIFS(c_store,A2623,c_date,B2623,c_hour,C2623)</f>
        <v>1</v>
      </c>
      <c r="G2623" s="33">
        <f>IF(F2623&gt;0,1,0)</f>
        <v>1</v>
      </c>
      <c r="H2623" s="33">
        <f>COUNTIFS(Demand!$A$2:$A$4481,A2623,Demand!$B$2:$B$4481,B2623,Demand!$C$2:$C$4481,C2623)</f>
        <v>1</v>
      </c>
    </row>
    <row r="2624">
      <c r="A2624" s="32" t="str">
        <f>Demand!A2622</f>
        <v>S004</v>
      </c>
      <c r="B2624" s="35">
        <f>Demand!B2622</f>
        <v>46274.0</v>
      </c>
      <c r="C2624" s="33">
        <f>Demand!C2622</f>
        <v>20</v>
      </c>
      <c r="D2624" s="33">
        <f>Demand!E2622</f>
        <v>58</v>
      </c>
      <c r="E2624" s="33">
        <f>IF(Demand!F2622,1,0)</f>
        <v>1</v>
      </c>
      <c r="F2624" s="33">
        <f>COUNTIFS(c_store,A2624,c_date,B2624,c_hour,C2624)</f>
        <v>0</v>
      </c>
      <c r="G2624" s="33">
        <f>IF(F2624&gt;0,1,0)</f>
        <v>0</v>
      </c>
      <c r="H2624" s="33">
        <f>COUNTIFS(Demand!$A$2:$A$4481,A2624,Demand!$B$2:$B$4481,B2624,Demand!$C$2:$C$4481,C2624)</f>
        <v>1</v>
      </c>
    </row>
    <row r="2625">
      <c r="A2625" s="32" t="str">
        <f>Demand!A2623</f>
        <v>S004</v>
      </c>
      <c r="B2625" s="35">
        <f>Demand!B2623</f>
        <v>46274.0</v>
      </c>
      <c r="C2625" s="33">
        <f>Demand!C2623</f>
        <v>21</v>
      </c>
      <c r="D2625" s="33">
        <f>Demand!E2623</f>
        <v>57</v>
      </c>
      <c r="E2625" s="33">
        <f>IF(Demand!F2623,1,0)</f>
        <v>1</v>
      </c>
      <c r="F2625" s="33">
        <f>COUNTIFS(c_store,A2625,c_date,B2625,c_hour,C2625)</f>
        <v>0</v>
      </c>
      <c r="G2625" s="33">
        <f>IF(F2625&gt;0,1,0)</f>
        <v>0</v>
      </c>
      <c r="H2625" s="33">
        <f>COUNTIFS(Demand!$A$2:$A$4481,A2625,Demand!$B$2:$B$4481,B2625,Demand!$C$2:$C$4481,C2625)</f>
        <v>1</v>
      </c>
    </row>
    <row r="2626">
      <c r="A2626" s="32" t="str">
        <f>Demand!A2624</f>
        <v>S004</v>
      </c>
      <c r="B2626" s="35">
        <f>Demand!B2624</f>
        <v>46274.0</v>
      </c>
      <c r="C2626" s="33">
        <f>Demand!C2624</f>
        <v>22</v>
      </c>
      <c r="D2626" s="33">
        <f>Demand!E2624</f>
        <v>40</v>
      </c>
      <c r="E2626" s="33">
        <f>IF(Demand!F2624,1,0)</f>
        <v>0</v>
      </c>
      <c r="F2626" s="33">
        <f>COUNTIFS(c_store,A2626,c_date,B2626,c_hour,C2626)</f>
        <v>0</v>
      </c>
      <c r="G2626" s="33">
        <f>IF(F2626&gt;0,1,0)</f>
        <v>0</v>
      </c>
      <c r="H2626" s="33">
        <f>COUNTIFS(Demand!$A$2:$A$4481,A2626,Demand!$B$2:$B$4481,B2626,Demand!$C$2:$C$4481,C2626)</f>
        <v>1</v>
      </c>
    </row>
    <row r="2627">
      <c r="A2627" s="32" t="str">
        <f>Demand!A2625</f>
        <v>S004</v>
      </c>
      <c r="B2627" s="35">
        <f>Demand!B2625</f>
        <v>46274.0</v>
      </c>
      <c r="C2627" s="33">
        <f>Demand!C2625</f>
        <v>23</v>
      </c>
      <c r="D2627" s="33">
        <f>Demand!E2625</f>
        <v>36</v>
      </c>
      <c r="E2627" s="33">
        <f>IF(Demand!F2625,1,0)</f>
        <v>0</v>
      </c>
      <c r="F2627" s="33">
        <f>COUNTIFS(c_store,A2627,c_date,B2627,c_hour,C2627)</f>
        <v>0</v>
      </c>
      <c r="G2627" s="33">
        <f>IF(F2627&gt;0,1,0)</f>
        <v>0</v>
      </c>
      <c r="H2627" s="33">
        <f>COUNTIFS(Demand!$A$2:$A$4481,A2627,Demand!$B$2:$B$4481,B2627,Demand!$C$2:$C$4481,C2627)</f>
        <v>1</v>
      </c>
    </row>
    <row r="2628">
      <c r="A2628" s="32" t="str">
        <f>Demand!A2626</f>
        <v>S005</v>
      </c>
      <c r="B2628" s="35">
        <f>Demand!B2626</f>
        <v>46274.0</v>
      </c>
      <c r="C2628" s="33">
        <f>Demand!C2626</f>
        <v>8</v>
      </c>
      <c r="D2628" s="33">
        <f>Demand!E2626</f>
        <v>10</v>
      </c>
      <c r="E2628" s="33">
        <f>IF(Demand!F2626,1,0)</f>
        <v>0</v>
      </c>
      <c r="F2628" s="33">
        <f>COUNTIFS(c_store,A2628,c_date,B2628,c_hour,C2628)</f>
        <v>1</v>
      </c>
      <c r="G2628" s="33">
        <f>IF(F2628&gt;0,1,0)</f>
        <v>1</v>
      </c>
      <c r="H2628" s="33">
        <f>COUNTIFS(Demand!$A$2:$A$4481,A2628,Demand!$B$2:$B$4481,B2628,Demand!$C$2:$C$4481,C2628)</f>
        <v>1</v>
      </c>
    </row>
    <row r="2629">
      <c r="A2629" s="32" t="str">
        <f>Demand!A2627</f>
        <v>S005</v>
      </c>
      <c r="B2629" s="35">
        <f>Demand!B2627</f>
        <v>46274.0</v>
      </c>
      <c r="C2629" s="33">
        <f>Demand!C2627</f>
        <v>9</v>
      </c>
      <c r="D2629" s="33">
        <f>Demand!E2627</f>
        <v>6</v>
      </c>
      <c r="E2629" s="33">
        <f>IF(Demand!F2627,1,0)</f>
        <v>0</v>
      </c>
      <c r="F2629" s="33">
        <f>COUNTIFS(c_store,A2629,c_date,B2629,c_hour,C2629)</f>
        <v>0</v>
      </c>
      <c r="G2629" s="33">
        <f>IF(F2629&gt;0,1,0)</f>
        <v>0</v>
      </c>
      <c r="H2629" s="33">
        <f>COUNTIFS(Demand!$A$2:$A$4481,A2629,Demand!$B$2:$B$4481,B2629,Demand!$C$2:$C$4481,C2629)</f>
        <v>1</v>
      </c>
    </row>
    <row r="2630">
      <c r="A2630" s="32" t="str">
        <f>Demand!A2628</f>
        <v>S005</v>
      </c>
      <c r="B2630" s="35">
        <f>Demand!B2628</f>
        <v>46274.0</v>
      </c>
      <c r="C2630" s="33">
        <f>Demand!C2628</f>
        <v>10</v>
      </c>
      <c r="D2630" s="33">
        <f>Demand!E2628</f>
        <v>7</v>
      </c>
      <c r="E2630" s="33">
        <f>IF(Demand!F2628,1,0)</f>
        <v>0</v>
      </c>
      <c r="F2630" s="33">
        <f>COUNTIFS(c_store,A2630,c_date,B2630,c_hour,C2630)</f>
        <v>0</v>
      </c>
      <c r="G2630" s="33">
        <f>IF(F2630&gt;0,1,0)</f>
        <v>0</v>
      </c>
      <c r="H2630" s="33">
        <f>COUNTIFS(Demand!$A$2:$A$4481,A2630,Demand!$B$2:$B$4481,B2630,Demand!$C$2:$C$4481,C2630)</f>
        <v>1</v>
      </c>
    </row>
    <row r="2631">
      <c r="A2631" s="32" t="str">
        <f>Demand!A2629</f>
        <v>S005</v>
      </c>
      <c r="B2631" s="35">
        <f>Demand!B2629</f>
        <v>46274.0</v>
      </c>
      <c r="C2631" s="33">
        <f>Demand!C2629</f>
        <v>11</v>
      </c>
      <c r="D2631" s="33">
        <f>Demand!E2629</f>
        <v>11</v>
      </c>
      <c r="E2631" s="33">
        <f>IF(Demand!F2629,1,0)</f>
        <v>0</v>
      </c>
      <c r="F2631" s="33">
        <f>COUNTIFS(c_store,A2631,c_date,B2631,c_hour,C2631)</f>
        <v>0</v>
      </c>
      <c r="G2631" s="33">
        <f>IF(F2631&gt;0,1,0)</f>
        <v>0</v>
      </c>
      <c r="H2631" s="33">
        <f>COUNTIFS(Demand!$A$2:$A$4481,A2631,Demand!$B$2:$B$4481,B2631,Demand!$C$2:$C$4481,C2631)</f>
        <v>1</v>
      </c>
    </row>
    <row r="2632">
      <c r="A2632" s="32" t="str">
        <f>Demand!A2630</f>
        <v>S005</v>
      </c>
      <c r="B2632" s="35">
        <f>Demand!B2630</f>
        <v>46274.0</v>
      </c>
      <c r="C2632" s="33">
        <f>Demand!C2630</f>
        <v>12</v>
      </c>
      <c r="D2632" s="33">
        <f>Demand!E2630</f>
        <v>6</v>
      </c>
      <c r="E2632" s="33">
        <f>IF(Demand!F2630,1,0)</f>
        <v>0</v>
      </c>
      <c r="F2632" s="33">
        <f>COUNTIFS(c_store,A2632,c_date,B2632,c_hour,C2632)</f>
        <v>0</v>
      </c>
      <c r="G2632" s="33">
        <f>IF(F2632&gt;0,1,0)</f>
        <v>0</v>
      </c>
      <c r="H2632" s="33">
        <f>COUNTIFS(Demand!$A$2:$A$4481,A2632,Demand!$B$2:$B$4481,B2632,Demand!$C$2:$C$4481,C2632)</f>
        <v>1</v>
      </c>
    </row>
    <row r="2633">
      <c r="A2633" s="32" t="str">
        <f>Demand!A2631</f>
        <v>S005</v>
      </c>
      <c r="B2633" s="35">
        <f>Demand!B2631</f>
        <v>46274.0</v>
      </c>
      <c r="C2633" s="33">
        <f>Demand!C2631</f>
        <v>13</v>
      </c>
      <c r="D2633" s="33">
        <f>Demand!E2631</f>
        <v>14</v>
      </c>
      <c r="E2633" s="33">
        <f>IF(Demand!F2631,1,0)</f>
        <v>0</v>
      </c>
      <c r="F2633" s="33">
        <f>COUNTIFS(c_store,A2633,c_date,B2633,c_hour,C2633)</f>
        <v>0</v>
      </c>
      <c r="G2633" s="33">
        <f>IF(F2633&gt;0,1,0)</f>
        <v>0</v>
      </c>
      <c r="H2633" s="33">
        <f>COUNTIFS(Demand!$A$2:$A$4481,A2633,Demand!$B$2:$B$4481,B2633,Demand!$C$2:$C$4481,C2633)</f>
        <v>1</v>
      </c>
    </row>
    <row r="2634">
      <c r="A2634" s="32" t="str">
        <f>Demand!A2632</f>
        <v>S005</v>
      </c>
      <c r="B2634" s="35">
        <f>Demand!B2632</f>
        <v>46274.0</v>
      </c>
      <c r="C2634" s="33">
        <f>Demand!C2632</f>
        <v>14</v>
      </c>
      <c r="D2634" s="33">
        <f>Demand!E2632</f>
        <v>10</v>
      </c>
      <c r="E2634" s="33">
        <f>IF(Demand!F2632,1,0)</f>
        <v>0</v>
      </c>
      <c r="F2634" s="33">
        <f>COUNTIFS(c_store,A2634,c_date,B2634,c_hour,C2634)</f>
        <v>0</v>
      </c>
      <c r="G2634" s="33">
        <f>IF(F2634&gt;0,1,0)</f>
        <v>0</v>
      </c>
      <c r="H2634" s="33">
        <f>COUNTIFS(Demand!$A$2:$A$4481,A2634,Demand!$B$2:$B$4481,B2634,Demand!$C$2:$C$4481,C2634)</f>
        <v>1</v>
      </c>
    </row>
    <row r="2635">
      <c r="A2635" s="32" t="str">
        <f>Demand!A2633</f>
        <v>S005</v>
      </c>
      <c r="B2635" s="35">
        <f>Demand!B2633</f>
        <v>46274.0</v>
      </c>
      <c r="C2635" s="33">
        <f>Demand!C2633</f>
        <v>15</v>
      </c>
      <c r="D2635" s="33">
        <f>Demand!E2633</f>
        <v>5</v>
      </c>
      <c r="E2635" s="33">
        <f>IF(Demand!F2633,1,0)</f>
        <v>0</v>
      </c>
      <c r="F2635" s="33">
        <f>COUNTIFS(c_store,A2635,c_date,B2635,c_hour,C2635)</f>
        <v>0</v>
      </c>
      <c r="G2635" s="33">
        <f>IF(F2635&gt;0,1,0)</f>
        <v>0</v>
      </c>
      <c r="H2635" s="33">
        <f>COUNTIFS(Demand!$A$2:$A$4481,A2635,Demand!$B$2:$B$4481,B2635,Demand!$C$2:$C$4481,C2635)</f>
        <v>1</v>
      </c>
    </row>
    <row r="2636">
      <c r="A2636" s="32" t="str">
        <f>Demand!A2634</f>
        <v>S005</v>
      </c>
      <c r="B2636" s="35">
        <f>Demand!B2634</f>
        <v>46274.0</v>
      </c>
      <c r="C2636" s="33">
        <f>Demand!C2634</f>
        <v>16</v>
      </c>
      <c r="D2636" s="33">
        <f>Demand!E2634</f>
        <v>16</v>
      </c>
      <c r="E2636" s="33">
        <f>IF(Demand!F2634,1,0)</f>
        <v>0</v>
      </c>
      <c r="F2636" s="33">
        <f>COUNTIFS(c_store,A2636,c_date,B2636,c_hour,C2636)</f>
        <v>0</v>
      </c>
      <c r="G2636" s="33">
        <f>IF(F2636&gt;0,1,0)</f>
        <v>0</v>
      </c>
      <c r="H2636" s="33">
        <f>COUNTIFS(Demand!$A$2:$A$4481,A2636,Demand!$B$2:$B$4481,B2636,Demand!$C$2:$C$4481,C2636)</f>
        <v>1</v>
      </c>
    </row>
    <row r="2637">
      <c r="A2637" s="32" t="str">
        <f>Demand!A2635</f>
        <v>S005</v>
      </c>
      <c r="B2637" s="35">
        <f>Demand!B2635</f>
        <v>46274.0</v>
      </c>
      <c r="C2637" s="33">
        <f>Demand!C2635</f>
        <v>17</v>
      </c>
      <c r="D2637" s="33">
        <f>Demand!E2635</f>
        <v>20</v>
      </c>
      <c r="E2637" s="33">
        <f>IF(Demand!F2635,1,0)</f>
        <v>0</v>
      </c>
      <c r="F2637" s="33">
        <f>COUNTIFS(c_store,A2637,c_date,B2637,c_hour,C2637)</f>
        <v>0</v>
      </c>
      <c r="G2637" s="33">
        <f>IF(F2637&gt;0,1,0)</f>
        <v>0</v>
      </c>
      <c r="H2637" s="33">
        <f>COUNTIFS(Demand!$A$2:$A$4481,A2637,Demand!$B$2:$B$4481,B2637,Demand!$C$2:$C$4481,C2637)</f>
        <v>1</v>
      </c>
    </row>
    <row r="2638">
      <c r="A2638" s="32" t="str">
        <f>Demand!A2636</f>
        <v>S005</v>
      </c>
      <c r="B2638" s="35">
        <f>Demand!B2636</f>
        <v>46274.0</v>
      </c>
      <c r="C2638" s="33">
        <f>Demand!C2636</f>
        <v>18</v>
      </c>
      <c r="D2638" s="33">
        <f>Demand!E2636</f>
        <v>16</v>
      </c>
      <c r="E2638" s="33">
        <f>IF(Demand!F2636,1,0)</f>
        <v>0</v>
      </c>
      <c r="F2638" s="33">
        <f>COUNTIFS(c_store,A2638,c_date,B2638,c_hour,C2638)</f>
        <v>0</v>
      </c>
      <c r="G2638" s="33">
        <f>IF(F2638&gt;0,1,0)</f>
        <v>0</v>
      </c>
      <c r="H2638" s="33">
        <f>COUNTIFS(Demand!$A$2:$A$4481,A2638,Demand!$B$2:$B$4481,B2638,Demand!$C$2:$C$4481,C2638)</f>
        <v>1</v>
      </c>
    </row>
    <row r="2639">
      <c r="A2639" s="32" t="str">
        <f>Demand!A2637</f>
        <v>S005</v>
      </c>
      <c r="B2639" s="35">
        <f>Demand!B2637</f>
        <v>46274.0</v>
      </c>
      <c r="C2639" s="33">
        <f>Demand!C2637</f>
        <v>19</v>
      </c>
      <c r="D2639" s="33">
        <f>Demand!E2637</f>
        <v>15</v>
      </c>
      <c r="E2639" s="33">
        <f>IF(Demand!F2637,1,0)</f>
        <v>1</v>
      </c>
      <c r="F2639" s="33">
        <f>COUNTIFS(c_store,A2639,c_date,B2639,c_hour,C2639)</f>
        <v>0</v>
      </c>
      <c r="G2639" s="33">
        <f>IF(F2639&gt;0,1,0)</f>
        <v>0</v>
      </c>
      <c r="H2639" s="33">
        <f>COUNTIFS(Demand!$A$2:$A$4481,A2639,Demand!$B$2:$B$4481,B2639,Demand!$C$2:$C$4481,C2639)</f>
        <v>1</v>
      </c>
    </row>
    <row r="2640">
      <c r="A2640" s="32" t="str">
        <f>Demand!A2638</f>
        <v>S005</v>
      </c>
      <c r="B2640" s="35">
        <f>Demand!B2638</f>
        <v>46274.0</v>
      </c>
      <c r="C2640" s="33">
        <f>Demand!C2638</f>
        <v>20</v>
      </c>
      <c r="D2640" s="33">
        <f>Demand!E2638</f>
        <v>25</v>
      </c>
      <c r="E2640" s="33">
        <f>IF(Demand!F2638,1,0)</f>
        <v>1</v>
      </c>
      <c r="F2640" s="33">
        <f>COUNTIFS(c_store,A2640,c_date,B2640,c_hour,C2640)</f>
        <v>0</v>
      </c>
      <c r="G2640" s="33">
        <f>IF(F2640&gt;0,1,0)</f>
        <v>0</v>
      </c>
      <c r="H2640" s="33">
        <f>COUNTIFS(Demand!$A$2:$A$4481,A2640,Demand!$B$2:$B$4481,B2640,Demand!$C$2:$C$4481,C2640)</f>
        <v>1</v>
      </c>
    </row>
    <row r="2641">
      <c r="A2641" s="32" t="str">
        <f>Demand!A2639</f>
        <v>S005</v>
      </c>
      <c r="B2641" s="35">
        <f>Demand!B2639</f>
        <v>46274.0</v>
      </c>
      <c r="C2641" s="33">
        <f>Demand!C2639</f>
        <v>21</v>
      </c>
      <c r="D2641" s="33">
        <f>Demand!E2639</f>
        <v>15</v>
      </c>
      <c r="E2641" s="33">
        <f>IF(Demand!F2639,1,0)</f>
        <v>1</v>
      </c>
      <c r="F2641" s="33">
        <f>COUNTIFS(c_store,A2641,c_date,B2641,c_hour,C2641)</f>
        <v>1</v>
      </c>
      <c r="G2641" s="33">
        <f>IF(F2641&gt;0,1,0)</f>
        <v>1</v>
      </c>
      <c r="H2641" s="33">
        <f>COUNTIFS(Demand!$A$2:$A$4481,A2641,Demand!$B$2:$B$4481,B2641,Demand!$C$2:$C$4481,C2641)</f>
        <v>1</v>
      </c>
    </row>
    <row r="2642">
      <c r="A2642" s="32" t="str">
        <f>Demand!A2640</f>
        <v>S005</v>
      </c>
      <c r="B2642" s="35">
        <f>Demand!B2640</f>
        <v>46274.0</v>
      </c>
      <c r="C2642" s="33">
        <f>Demand!C2640</f>
        <v>22</v>
      </c>
      <c r="D2642" s="33">
        <f>Demand!E2640</f>
        <v>15</v>
      </c>
      <c r="E2642" s="33">
        <f>IF(Demand!F2640,1,0)</f>
        <v>0</v>
      </c>
      <c r="F2642" s="33">
        <f>COUNTIFS(c_store,A2642,c_date,B2642,c_hour,C2642)</f>
        <v>0</v>
      </c>
      <c r="G2642" s="33">
        <f>IF(F2642&gt;0,1,0)</f>
        <v>0</v>
      </c>
      <c r="H2642" s="33">
        <f>COUNTIFS(Demand!$A$2:$A$4481,A2642,Demand!$B$2:$B$4481,B2642,Demand!$C$2:$C$4481,C2642)</f>
        <v>1</v>
      </c>
    </row>
    <row r="2643">
      <c r="A2643" s="32" t="str">
        <f>Demand!A2641</f>
        <v>S005</v>
      </c>
      <c r="B2643" s="35">
        <f>Demand!B2641</f>
        <v>46274.0</v>
      </c>
      <c r="C2643" s="33">
        <f>Demand!C2641</f>
        <v>23</v>
      </c>
      <c r="D2643" s="33">
        <f>Demand!E2641</f>
        <v>11</v>
      </c>
      <c r="E2643" s="33">
        <f>IF(Demand!F2641,1,0)</f>
        <v>0</v>
      </c>
      <c r="F2643" s="33">
        <f>COUNTIFS(c_store,A2643,c_date,B2643,c_hour,C2643)</f>
        <v>0</v>
      </c>
      <c r="G2643" s="33">
        <f>IF(F2643&gt;0,1,0)</f>
        <v>0</v>
      </c>
      <c r="H2643" s="33">
        <f>COUNTIFS(Demand!$A$2:$A$4481,A2643,Demand!$B$2:$B$4481,B2643,Demand!$C$2:$C$4481,C2643)</f>
        <v>1</v>
      </c>
    </row>
    <row r="2644">
      <c r="A2644" s="32" t="str">
        <f>Demand!A2642</f>
        <v>S006</v>
      </c>
      <c r="B2644" s="35">
        <f>Demand!B2642</f>
        <v>46274.0</v>
      </c>
      <c r="C2644" s="33">
        <f>Demand!C2642</f>
        <v>8</v>
      </c>
      <c r="D2644" s="33">
        <f>Demand!E2642</f>
        <v>17</v>
      </c>
      <c r="E2644" s="33">
        <f>IF(Demand!F2642,1,0)</f>
        <v>0</v>
      </c>
      <c r="F2644" s="33">
        <f>COUNTIFS(c_store,A2644,c_date,B2644,c_hour,C2644)</f>
        <v>0</v>
      </c>
      <c r="G2644" s="33">
        <f>IF(F2644&gt;0,1,0)</f>
        <v>0</v>
      </c>
      <c r="H2644" s="33">
        <f>COUNTIFS(Demand!$A$2:$A$4481,A2644,Demand!$B$2:$B$4481,B2644,Demand!$C$2:$C$4481,C2644)</f>
        <v>1</v>
      </c>
    </row>
    <row r="2645">
      <c r="A2645" s="32" t="str">
        <f>Demand!A2643</f>
        <v>S006</v>
      </c>
      <c r="B2645" s="35">
        <f>Demand!B2643</f>
        <v>46274.0</v>
      </c>
      <c r="C2645" s="33">
        <f>Demand!C2643</f>
        <v>9</v>
      </c>
      <c r="D2645" s="33">
        <f>Demand!E2643</f>
        <v>19</v>
      </c>
      <c r="E2645" s="33">
        <f>IF(Demand!F2643,1,0)</f>
        <v>0</v>
      </c>
      <c r="F2645" s="33">
        <f>COUNTIFS(c_store,A2645,c_date,B2645,c_hour,C2645)</f>
        <v>0</v>
      </c>
      <c r="G2645" s="33">
        <f>IF(F2645&gt;0,1,0)</f>
        <v>0</v>
      </c>
      <c r="H2645" s="33">
        <f>COUNTIFS(Demand!$A$2:$A$4481,A2645,Demand!$B$2:$B$4481,B2645,Demand!$C$2:$C$4481,C2645)</f>
        <v>1</v>
      </c>
    </row>
    <row r="2646">
      <c r="A2646" s="32" t="str">
        <f>Demand!A2644</f>
        <v>S006</v>
      </c>
      <c r="B2646" s="35">
        <f>Demand!B2644</f>
        <v>46274.0</v>
      </c>
      <c r="C2646" s="33">
        <f>Demand!C2644</f>
        <v>10</v>
      </c>
      <c r="D2646" s="33">
        <f>Demand!E2644</f>
        <v>18</v>
      </c>
      <c r="E2646" s="33">
        <f>IF(Demand!F2644,1,0)</f>
        <v>0</v>
      </c>
      <c r="F2646" s="33">
        <f>COUNTIFS(c_store,A2646,c_date,B2646,c_hour,C2646)</f>
        <v>0</v>
      </c>
      <c r="G2646" s="33">
        <f>IF(F2646&gt;0,1,0)</f>
        <v>0</v>
      </c>
      <c r="H2646" s="33">
        <f>COUNTIFS(Demand!$A$2:$A$4481,A2646,Demand!$B$2:$B$4481,B2646,Demand!$C$2:$C$4481,C2646)</f>
        <v>1</v>
      </c>
    </row>
    <row r="2647">
      <c r="A2647" s="32" t="str">
        <f>Demand!A2645</f>
        <v>S006</v>
      </c>
      <c r="B2647" s="35">
        <f>Demand!B2645</f>
        <v>46274.0</v>
      </c>
      <c r="C2647" s="33">
        <f>Demand!C2645</f>
        <v>11</v>
      </c>
      <c r="D2647" s="33">
        <f>Demand!E2645</f>
        <v>33</v>
      </c>
      <c r="E2647" s="33">
        <f>IF(Demand!F2645,1,0)</f>
        <v>0</v>
      </c>
      <c r="F2647" s="33">
        <f>COUNTIFS(c_store,A2647,c_date,B2647,c_hour,C2647)</f>
        <v>0</v>
      </c>
      <c r="G2647" s="33">
        <f>IF(F2647&gt;0,1,0)</f>
        <v>0</v>
      </c>
      <c r="H2647" s="33">
        <f>COUNTIFS(Demand!$A$2:$A$4481,A2647,Demand!$B$2:$B$4481,B2647,Demand!$C$2:$C$4481,C2647)</f>
        <v>1</v>
      </c>
    </row>
    <row r="2648">
      <c r="A2648" s="32" t="str">
        <f>Demand!A2646</f>
        <v>S006</v>
      </c>
      <c r="B2648" s="35">
        <f>Demand!B2646</f>
        <v>46274.0</v>
      </c>
      <c r="C2648" s="33">
        <f>Demand!C2646</f>
        <v>12</v>
      </c>
      <c r="D2648" s="33">
        <f>Demand!E2646</f>
        <v>24</v>
      </c>
      <c r="E2648" s="33">
        <f>IF(Demand!F2646,1,0)</f>
        <v>0</v>
      </c>
      <c r="F2648" s="33">
        <f>COUNTIFS(c_store,A2648,c_date,B2648,c_hour,C2648)</f>
        <v>0</v>
      </c>
      <c r="G2648" s="33">
        <f>IF(F2648&gt;0,1,0)</f>
        <v>0</v>
      </c>
      <c r="H2648" s="33">
        <f>COUNTIFS(Demand!$A$2:$A$4481,A2648,Demand!$B$2:$B$4481,B2648,Demand!$C$2:$C$4481,C2648)</f>
        <v>1</v>
      </c>
    </row>
    <row r="2649">
      <c r="A2649" s="32" t="str">
        <f>Demand!A2647</f>
        <v>S006</v>
      </c>
      <c r="B2649" s="35">
        <f>Demand!B2647</f>
        <v>46274.0</v>
      </c>
      <c r="C2649" s="33">
        <f>Demand!C2647</f>
        <v>13</v>
      </c>
      <c r="D2649" s="33">
        <f>Demand!E2647</f>
        <v>27</v>
      </c>
      <c r="E2649" s="33">
        <f>IF(Demand!F2647,1,0)</f>
        <v>0</v>
      </c>
      <c r="F2649" s="33">
        <f>COUNTIFS(c_store,A2649,c_date,B2649,c_hour,C2649)</f>
        <v>0</v>
      </c>
      <c r="G2649" s="33">
        <f>IF(F2649&gt;0,1,0)</f>
        <v>0</v>
      </c>
      <c r="H2649" s="33">
        <f>COUNTIFS(Demand!$A$2:$A$4481,A2649,Demand!$B$2:$B$4481,B2649,Demand!$C$2:$C$4481,C2649)</f>
        <v>1</v>
      </c>
    </row>
    <row r="2650">
      <c r="A2650" s="32" t="str">
        <f>Demand!A2648</f>
        <v>S006</v>
      </c>
      <c r="B2650" s="35">
        <f>Demand!B2648</f>
        <v>46274.0</v>
      </c>
      <c r="C2650" s="33">
        <f>Demand!C2648</f>
        <v>14</v>
      </c>
      <c r="D2650" s="33">
        <f>Demand!E2648</f>
        <v>15</v>
      </c>
      <c r="E2650" s="33">
        <f>IF(Demand!F2648,1,0)</f>
        <v>0</v>
      </c>
      <c r="F2650" s="33">
        <f>COUNTIFS(c_store,A2650,c_date,B2650,c_hour,C2650)</f>
        <v>1</v>
      </c>
      <c r="G2650" s="33">
        <f>IF(F2650&gt;0,1,0)</f>
        <v>1</v>
      </c>
      <c r="H2650" s="33">
        <f>COUNTIFS(Demand!$A$2:$A$4481,A2650,Demand!$B$2:$B$4481,B2650,Demand!$C$2:$C$4481,C2650)</f>
        <v>1</v>
      </c>
    </row>
    <row r="2651">
      <c r="A2651" s="32" t="str">
        <f>Demand!A2649</f>
        <v>S006</v>
      </c>
      <c r="B2651" s="35">
        <f>Demand!B2649</f>
        <v>46274.0</v>
      </c>
      <c r="C2651" s="33">
        <f>Demand!C2649</f>
        <v>15</v>
      </c>
      <c r="D2651" s="33">
        <f>Demand!E2649</f>
        <v>30</v>
      </c>
      <c r="E2651" s="33">
        <f>IF(Demand!F2649,1,0)</f>
        <v>0</v>
      </c>
      <c r="F2651" s="33">
        <f>COUNTIFS(c_store,A2651,c_date,B2651,c_hour,C2651)</f>
        <v>0</v>
      </c>
      <c r="G2651" s="33">
        <f>IF(F2651&gt;0,1,0)</f>
        <v>0</v>
      </c>
      <c r="H2651" s="33">
        <f>COUNTIFS(Demand!$A$2:$A$4481,A2651,Demand!$B$2:$B$4481,B2651,Demand!$C$2:$C$4481,C2651)</f>
        <v>1</v>
      </c>
    </row>
    <row r="2652">
      <c r="A2652" s="32" t="str">
        <f>Demand!A2650</f>
        <v>S006</v>
      </c>
      <c r="B2652" s="35">
        <f>Demand!B2650</f>
        <v>46274.0</v>
      </c>
      <c r="C2652" s="33">
        <f>Demand!C2650</f>
        <v>16</v>
      </c>
      <c r="D2652" s="33">
        <f>Demand!E2650</f>
        <v>23</v>
      </c>
      <c r="E2652" s="33">
        <f>IF(Demand!F2650,1,0)</f>
        <v>0</v>
      </c>
      <c r="F2652" s="33">
        <f>COUNTIFS(c_store,A2652,c_date,B2652,c_hour,C2652)</f>
        <v>1</v>
      </c>
      <c r="G2652" s="33">
        <f>IF(F2652&gt;0,1,0)</f>
        <v>1</v>
      </c>
      <c r="H2652" s="33">
        <f>COUNTIFS(Demand!$A$2:$A$4481,A2652,Demand!$B$2:$B$4481,B2652,Demand!$C$2:$C$4481,C2652)</f>
        <v>1</v>
      </c>
    </row>
    <row r="2653">
      <c r="A2653" s="32" t="str">
        <f>Demand!A2651</f>
        <v>S006</v>
      </c>
      <c r="B2653" s="35">
        <f>Demand!B2651</f>
        <v>46274.0</v>
      </c>
      <c r="C2653" s="33">
        <f>Demand!C2651</f>
        <v>17</v>
      </c>
      <c r="D2653" s="33">
        <f>Demand!E2651</f>
        <v>29</v>
      </c>
      <c r="E2653" s="33">
        <f>IF(Demand!F2651,1,0)</f>
        <v>0</v>
      </c>
      <c r="F2653" s="33">
        <f>COUNTIFS(c_store,A2653,c_date,B2653,c_hour,C2653)</f>
        <v>0</v>
      </c>
      <c r="G2653" s="33">
        <f>IF(F2653&gt;0,1,0)</f>
        <v>0</v>
      </c>
      <c r="H2653" s="33">
        <f>COUNTIFS(Demand!$A$2:$A$4481,A2653,Demand!$B$2:$B$4481,B2653,Demand!$C$2:$C$4481,C2653)</f>
        <v>1</v>
      </c>
    </row>
    <row r="2654">
      <c r="A2654" s="32" t="str">
        <f>Demand!A2652</f>
        <v>S006</v>
      </c>
      <c r="B2654" s="35">
        <f>Demand!B2652</f>
        <v>46274.0</v>
      </c>
      <c r="C2654" s="33">
        <f>Demand!C2652</f>
        <v>18</v>
      </c>
      <c r="D2654" s="33">
        <f>Demand!E2652</f>
        <v>26</v>
      </c>
      <c r="E2654" s="33">
        <f>IF(Demand!F2652,1,0)</f>
        <v>0</v>
      </c>
      <c r="F2654" s="33">
        <f>COUNTIFS(c_store,A2654,c_date,B2654,c_hour,C2654)</f>
        <v>1</v>
      </c>
      <c r="G2654" s="33">
        <f>IF(F2654&gt;0,1,0)</f>
        <v>1</v>
      </c>
      <c r="H2654" s="33">
        <f>COUNTIFS(Demand!$A$2:$A$4481,A2654,Demand!$B$2:$B$4481,B2654,Demand!$C$2:$C$4481,C2654)</f>
        <v>1</v>
      </c>
    </row>
    <row r="2655">
      <c r="A2655" s="32" t="str">
        <f>Demand!A2653</f>
        <v>S006</v>
      </c>
      <c r="B2655" s="35">
        <f>Demand!B2653</f>
        <v>46274.0</v>
      </c>
      <c r="C2655" s="33">
        <f>Demand!C2653</f>
        <v>19</v>
      </c>
      <c r="D2655" s="33">
        <f>Demand!E2653</f>
        <v>45</v>
      </c>
      <c r="E2655" s="33">
        <f>IF(Demand!F2653,1,0)</f>
        <v>1</v>
      </c>
      <c r="F2655" s="33">
        <f>COUNTIFS(c_store,A2655,c_date,B2655,c_hour,C2655)</f>
        <v>0</v>
      </c>
      <c r="G2655" s="33">
        <f>IF(F2655&gt;0,1,0)</f>
        <v>0</v>
      </c>
      <c r="H2655" s="33">
        <f>COUNTIFS(Demand!$A$2:$A$4481,A2655,Demand!$B$2:$B$4481,B2655,Demand!$C$2:$C$4481,C2655)</f>
        <v>1</v>
      </c>
    </row>
    <row r="2656">
      <c r="A2656" s="32" t="str">
        <f>Demand!A2654</f>
        <v>S006</v>
      </c>
      <c r="B2656" s="35">
        <f>Demand!B2654</f>
        <v>46274.0</v>
      </c>
      <c r="C2656" s="33">
        <f>Demand!C2654</f>
        <v>20</v>
      </c>
      <c r="D2656" s="33">
        <f>Demand!E2654</f>
        <v>21</v>
      </c>
      <c r="E2656" s="33">
        <f>IF(Demand!F2654,1,0)</f>
        <v>1</v>
      </c>
      <c r="F2656" s="33">
        <f>COUNTIFS(c_store,A2656,c_date,B2656,c_hour,C2656)</f>
        <v>0</v>
      </c>
      <c r="G2656" s="33">
        <f>IF(F2656&gt;0,1,0)</f>
        <v>0</v>
      </c>
      <c r="H2656" s="33">
        <f>COUNTIFS(Demand!$A$2:$A$4481,A2656,Demand!$B$2:$B$4481,B2656,Demand!$C$2:$C$4481,C2656)</f>
        <v>1</v>
      </c>
    </row>
    <row r="2657">
      <c r="A2657" s="32" t="str">
        <f>Demand!A2655</f>
        <v>S006</v>
      </c>
      <c r="B2657" s="35">
        <f>Demand!B2655</f>
        <v>46274.0</v>
      </c>
      <c r="C2657" s="33">
        <f>Demand!C2655</f>
        <v>21</v>
      </c>
      <c r="D2657" s="33">
        <f>Demand!E2655</f>
        <v>32</v>
      </c>
      <c r="E2657" s="33">
        <f>IF(Demand!F2655,1,0)</f>
        <v>1</v>
      </c>
      <c r="F2657" s="33">
        <f>COUNTIFS(c_store,A2657,c_date,B2657,c_hour,C2657)</f>
        <v>0</v>
      </c>
      <c r="G2657" s="33">
        <f>IF(F2657&gt;0,1,0)</f>
        <v>0</v>
      </c>
      <c r="H2657" s="33">
        <f>COUNTIFS(Demand!$A$2:$A$4481,A2657,Demand!$B$2:$B$4481,B2657,Demand!$C$2:$C$4481,C2657)</f>
        <v>1</v>
      </c>
    </row>
    <row r="2658">
      <c r="A2658" s="32" t="str">
        <f>Demand!A2656</f>
        <v>S006</v>
      </c>
      <c r="B2658" s="35">
        <f>Demand!B2656</f>
        <v>46274.0</v>
      </c>
      <c r="C2658" s="33">
        <f>Demand!C2656</f>
        <v>22</v>
      </c>
      <c r="D2658" s="33">
        <f>Demand!E2656</f>
        <v>17</v>
      </c>
      <c r="E2658" s="33">
        <f>IF(Demand!F2656,1,0)</f>
        <v>0</v>
      </c>
      <c r="F2658" s="33">
        <f>COUNTIFS(c_store,A2658,c_date,B2658,c_hour,C2658)</f>
        <v>1</v>
      </c>
      <c r="G2658" s="33">
        <f>IF(F2658&gt;0,1,0)</f>
        <v>1</v>
      </c>
      <c r="H2658" s="33">
        <f>COUNTIFS(Demand!$A$2:$A$4481,A2658,Demand!$B$2:$B$4481,B2658,Demand!$C$2:$C$4481,C2658)</f>
        <v>1</v>
      </c>
    </row>
    <row r="2659">
      <c r="A2659" s="32" t="str">
        <f>Demand!A2657</f>
        <v>S006</v>
      </c>
      <c r="B2659" s="35">
        <f>Demand!B2657</f>
        <v>46274.0</v>
      </c>
      <c r="C2659" s="33">
        <f>Demand!C2657</f>
        <v>23</v>
      </c>
      <c r="D2659" s="33">
        <f>Demand!E2657</f>
        <v>24</v>
      </c>
      <c r="E2659" s="33">
        <f>IF(Demand!F2657,1,0)</f>
        <v>0</v>
      </c>
      <c r="F2659" s="33">
        <f>COUNTIFS(c_store,A2659,c_date,B2659,c_hour,C2659)</f>
        <v>0</v>
      </c>
      <c r="G2659" s="33">
        <f>IF(F2659&gt;0,1,0)</f>
        <v>0</v>
      </c>
      <c r="H2659" s="33">
        <f>COUNTIFS(Demand!$A$2:$A$4481,A2659,Demand!$B$2:$B$4481,B2659,Demand!$C$2:$C$4481,C2659)</f>
        <v>1</v>
      </c>
    </row>
    <row r="2660">
      <c r="A2660" s="32" t="str">
        <f>Demand!A2658</f>
        <v>S007</v>
      </c>
      <c r="B2660" s="35">
        <f>Demand!B2658</f>
        <v>46274.0</v>
      </c>
      <c r="C2660" s="33">
        <f>Demand!C2658</f>
        <v>8</v>
      </c>
      <c r="D2660" s="33">
        <f>Demand!E2658</f>
        <v>23</v>
      </c>
      <c r="E2660" s="33">
        <f>IF(Demand!F2658,1,0)</f>
        <v>0</v>
      </c>
      <c r="F2660" s="33">
        <f>COUNTIFS(c_store,A2660,c_date,B2660,c_hour,C2660)</f>
        <v>0</v>
      </c>
      <c r="G2660" s="33">
        <f>IF(F2660&gt;0,1,0)</f>
        <v>0</v>
      </c>
      <c r="H2660" s="33">
        <f>COUNTIFS(Demand!$A$2:$A$4481,A2660,Demand!$B$2:$B$4481,B2660,Demand!$C$2:$C$4481,C2660)</f>
        <v>1</v>
      </c>
    </row>
    <row r="2661">
      <c r="A2661" s="32" t="str">
        <f>Demand!A2659</f>
        <v>S007</v>
      </c>
      <c r="B2661" s="35">
        <f>Demand!B2659</f>
        <v>46274.0</v>
      </c>
      <c r="C2661" s="33">
        <f>Demand!C2659</f>
        <v>9</v>
      </c>
      <c r="D2661" s="33">
        <f>Demand!E2659</f>
        <v>20</v>
      </c>
      <c r="E2661" s="33">
        <f>IF(Demand!F2659,1,0)</f>
        <v>0</v>
      </c>
      <c r="F2661" s="33">
        <f>COUNTIFS(c_store,A2661,c_date,B2661,c_hour,C2661)</f>
        <v>1</v>
      </c>
      <c r="G2661" s="33">
        <f>IF(F2661&gt;0,1,0)</f>
        <v>1</v>
      </c>
      <c r="H2661" s="33">
        <f>COUNTIFS(Demand!$A$2:$A$4481,A2661,Demand!$B$2:$B$4481,B2661,Demand!$C$2:$C$4481,C2661)</f>
        <v>1</v>
      </c>
    </row>
    <row r="2662">
      <c r="A2662" s="32" t="str">
        <f>Demand!A2660</f>
        <v>S007</v>
      </c>
      <c r="B2662" s="35">
        <f>Demand!B2660</f>
        <v>46274.0</v>
      </c>
      <c r="C2662" s="33">
        <f>Demand!C2660</f>
        <v>10</v>
      </c>
      <c r="D2662" s="33">
        <f>Demand!E2660</f>
        <v>23</v>
      </c>
      <c r="E2662" s="33">
        <f>IF(Demand!F2660,1,0)</f>
        <v>0</v>
      </c>
      <c r="F2662" s="33">
        <f>COUNTIFS(c_store,A2662,c_date,B2662,c_hour,C2662)</f>
        <v>0</v>
      </c>
      <c r="G2662" s="33">
        <f>IF(F2662&gt;0,1,0)</f>
        <v>0</v>
      </c>
      <c r="H2662" s="33">
        <f>COUNTIFS(Demand!$A$2:$A$4481,A2662,Demand!$B$2:$B$4481,B2662,Demand!$C$2:$C$4481,C2662)</f>
        <v>1</v>
      </c>
    </row>
    <row r="2663">
      <c r="A2663" s="32" t="str">
        <f>Demand!A2661</f>
        <v>S007</v>
      </c>
      <c r="B2663" s="35">
        <f>Demand!B2661</f>
        <v>46274.0</v>
      </c>
      <c r="C2663" s="33">
        <f>Demand!C2661</f>
        <v>11</v>
      </c>
      <c r="D2663" s="33">
        <f>Demand!E2661</f>
        <v>32</v>
      </c>
      <c r="E2663" s="33">
        <f>IF(Demand!F2661,1,0)</f>
        <v>0</v>
      </c>
      <c r="F2663" s="33">
        <f>COUNTIFS(c_store,A2663,c_date,B2663,c_hour,C2663)</f>
        <v>0</v>
      </c>
      <c r="G2663" s="33">
        <f>IF(F2663&gt;0,1,0)</f>
        <v>0</v>
      </c>
      <c r="H2663" s="33">
        <f>COUNTIFS(Demand!$A$2:$A$4481,A2663,Demand!$B$2:$B$4481,B2663,Demand!$C$2:$C$4481,C2663)</f>
        <v>1</v>
      </c>
    </row>
    <row r="2664">
      <c r="A2664" s="32" t="str">
        <f>Demand!A2662</f>
        <v>S007</v>
      </c>
      <c r="B2664" s="35">
        <f>Demand!B2662</f>
        <v>46274.0</v>
      </c>
      <c r="C2664" s="33">
        <f>Demand!C2662</f>
        <v>12</v>
      </c>
      <c r="D2664" s="33">
        <f>Demand!E2662</f>
        <v>39</v>
      </c>
      <c r="E2664" s="33">
        <f>IF(Demand!F2662,1,0)</f>
        <v>0</v>
      </c>
      <c r="F2664" s="33">
        <f>COUNTIFS(c_store,A2664,c_date,B2664,c_hour,C2664)</f>
        <v>0</v>
      </c>
      <c r="G2664" s="33">
        <f>IF(F2664&gt;0,1,0)</f>
        <v>0</v>
      </c>
      <c r="H2664" s="33">
        <f>COUNTIFS(Demand!$A$2:$A$4481,A2664,Demand!$B$2:$B$4481,B2664,Demand!$C$2:$C$4481,C2664)</f>
        <v>1</v>
      </c>
    </row>
    <row r="2665">
      <c r="A2665" s="32" t="str">
        <f>Demand!A2663</f>
        <v>S007</v>
      </c>
      <c r="B2665" s="35">
        <f>Demand!B2663</f>
        <v>46274.0</v>
      </c>
      <c r="C2665" s="33">
        <f>Demand!C2663</f>
        <v>13</v>
      </c>
      <c r="D2665" s="33">
        <f>Demand!E2663</f>
        <v>40</v>
      </c>
      <c r="E2665" s="33">
        <f>IF(Demand!F2663,1,0)</f>
        <v>0</v>
      </c>
      <c r="F2665" s="33">
        <f>COUNTIFS(c_store,A2665,c_date,B2665,c_hour,C2665)</f>
        <v>0</v>
      </c>
      <c r="G2665" s="33">
        <f>IF(F2665&gt;0,1,0)</f>
        <v>0</v>
      </c>
      <c r="H2665" s="33">
        <f>COUNTIFS(Demand!$A$2:$A$4481,A2665,Demand!$B$2:$B$4481,B2665,Demand!$C$2:$C$4481,C2665)</f>
        <v>1</v>
      </c>
    </row>
    <row r="2666">
      <c r="A2666" s="32" t="str">
        <f>Demand!A2664</f>
        <v>S007</v>
      </c>
      <c r="B2666" s="35">
        <f>Demand!B2664</f>
        <v>46274.0</v>
      </c>
      <c r="C2666" s="33">
        <f>Demand!C2664</f>
        <v>14</v>
      </c>
      <c r="D2666" s="33">
        <f>Demand!E2664</f>
        <v>32</v>
      </c>
      <c r="E2666" s="33">
        <f>IF(Demand!F2664,1,0)</f>
        <v>0</v>
      </c>
      <c r="F2666" s="33">
        <f>COUNTIFS(c_store,A2666,c_date,B2666,c_hour,C2666)</f>
        <v>1</v>
      </c>
      <c r="G2666" s="33">
        <f>IF(F2666&gt;0,1,0)</f>
        <v>1</v>
      </c>
      <c r="H2666" s="33">
        <f>COUNTIFS(Demand!$A$2:$A$4481,A2666,Demand!$B$2:$B$4481,B2666,Demand!$C$2:$C$4481,C2666)</f>
        <v>1</v>
      </c>
    </row>
    <row r="2667">
      <c r="A2667" s="32" t="str">
        <f>Demand!A2665</f>
        <v>S007</v>
      </c>
      <c r="B2667" s="35">
        <f>Demand!B2665</f>
        <v>46274.0</v>
      </c>
      <c r="C2667" s="33">
        <f>Demand!C2665</f>
        <v>15</v>
      </c>
      <c r="D2667" s="33">
        <f>Demand!E2665</f>
        <v>29</v>
      </c>
      <c r="E2667" s="33">
        <f>IF(Demand!F2665,1,0)</f>
        <v>0</v>
      </c>
      <c r="F2667" s="33">
        <f>COUNTIFS(c_store,A2667,c_date,B2667,c_hour,C2667)</f>
        <v>0</v>
      </c>
      <c r="G2667" s="33">
        <f>IF(F2667&gt;0,1,0)</f>
        <v>0</v>
      </c>
      <c r="H2667" s="33">
        <f>COUNTIFS(Demand!$A$2:$A$4481,A2667,Demand!$B$2:$B$4481,B2667,Demand!$C$2:$C$4481,C2667)</f>
        <v>1</v>
      </c>
    </row>
    <row r="2668">
      <c r="A2668" s="32" t="str">
        <f>Demand!A2666</f>
        <v>S007</v>
      </c>
      <c r="B2668" s="35">
        <f>Demand!B2666</f>
        <v>46274.0</v>
      </c>
      <c r="C2668" s="33">
        <f>Demand!C2666</f>
        <v>16</v>
      </c>
      <c r="D2668" s="33">
        <f>Demand!E2666</f>
        <v>39</v>
      </c>
      <c r="E2668" s="33">
        <f>IF(Demand!F2666,1,0)</f>
        <v>0</v>
      </c>
      <c r="F2668" s="33">
        <f>COUNTIFS(c_store,A2668,c_date,B2668,c_hour,C2668)</f>
        <v>0</v>
      </c>
      <c r="G2668" s="33">
        <f>IF(F2668&gt;0,1,0)</f>
        <v>0</v>
      </c>
      <c r="H2668" s="33">
        <f>COUNTIFS(Demand!$A$2:$A$4481,A2668,Demand!$B$2:$B$4481,B2668,Demand!$C$2:$C$4481,C2668)</f>
        <v>1</v>
      </c>
    </row>
    <row r="2669">
      <c r="A2669" s="32" t="str">
        <f>Demand!A2667</f>
        <v>S007</v>
      </c>
      <c r="B2669" s="35">
        <f>Demand!B2667</f>
        <v>46274.0</v>
      </c>
      <c r="C2669" s="33">
        <f>Demand!C2667</f>
        <v>17</v>
      </c>
      <c r="D2669" s="33">
        <f>Demand!E2667</f>
        <v>29</v>
      </c>
      <c r="E2669" s="33">
        <f>IF(Demand!F2667,1,0)</f>
        <v>0</v>
      </c>
      <c r="F2669" s="33">
        <f>COUNTIFS(c_store,A2669,c_date,B2669,c_hour,C2669)</f>
        <v>0</v>
      </c>
      <c r="G2669" s="33">
        <f>IF(F2669&gt;0,1,0)</f>
        <v>0</v>
      </c>
      <c r="H2669" s="33">
        <f>COUNTIFS(Demand!$A$2:$A$4481,A2669,Demand!$B$2:$B$4481,B2669,Demand!$C$2:$C$4481,C2669)</f>
        <v>1</v>
      </c>
    </row>
    <row r="2670">
      <c r="A2670" s="32" t="str">
        <f>Demand!A2668</f>
        <v>S007</v>
      </c>
      <c r="B2670" s="35">
        <f>Demand!B2668</f>
        <v>46274.0</v>
      </c>
      <c r="C2670" s="33">
        <f>Demand!C2668</f>
        <v>18</v>
      </c>
      <c r="D2670" s="33">
        <f>Demand!E2668</f>
        <v>33</v>
      </c>
      <c r="E2670" s="33">
        <f>IF(Demand!F2668,1,0)</f>
        <v>0</v>
      </c>
      <c r="F2670" s="33">
        <f>COUNTIFS(c_store,A2670,c_date,B2670,c_hour,C2670)</f>
        <v>0</v>
      </c>
      <c r="G2670" s="33">
        <f>IF(F2670&gt;0,1,0)</f>
        <v>0</v>
      </c>
      <c r="H2670" s="33">
        <f>COUNTIFS(Demand!$A$2:$A$4481,A2670,Demand!$B$2:$B$4481,B2670,Demand!$C$2:$C$4481,C2670)</f>
        <v>1</v>
      </c>
    </row>
    <row r="2671">
      <c r="A2671" s="32" t="str">
        <f>Demand!A2669</f>
        <v>S007</v>
      </c>
      <c r="B2671" s="35">
        <f>Demand!B2669</f>
        <v>46274.0</v>
      </c>
      <c r="C2671" s="33">
        <f>Demand!C2669</f>
        <v>19</v>
      </c>
      <c r="D2671" s="33">
        <f>Demand!E2669</f>
        <v>44</v>
      </c>
      <c r="E2671" s="33">
        <f>IF(Demand!F2669,1,0)</f>
        <v>1</v>
      </c>
      <c r="F2671" s="33">
        <f>COUNTIFS(c_store,A2671,c_date,B2671,c_hour,C2671)</f>
        <v>0</v>
      </c>
      <c r="G2671" s="33">
        <f>IF(F2671&gt;0,1,0)</f>
        <v>0</v>
      </c>
      <c r="H2671" s="33">
        <f>COUNTIFS(Demand!$A$2:$A$4481,A2671,Demand!$B$2:$B$4481,B2671,Demand!$C$2:$C$4481,C2671)</f>
        <v>1</v>
      </c>
    </row>
    <row r="2672">
      <c r="A2672" s="32" t="str">
        <f>Demand!A2670</f>
        <v>S007</v>
      </c>
      <c r="B2672" s="35">
        <f>Demand!B2670</f>
        <v>46274.0</v>
      </c>
      <c r="C2672" s="33">
        <f>Demand!C2670</f>
        <v>20</v>
      </c>
      <c r="D2672" s="33">
        <f>Demand!E2670</f>
        <v>52</v>
      </c>
      <c r="E2672" s="33">
        <f>IF(Demand!F2670,1,0)</f>
        <v>1</v>
      </c>
      <c r="F2672" s="33">
        <f>COUNTIFS(c_store,A2672,c_date,B2672,c_hour,C2672)</f>
        <v>0</v>
      </c>
      <c r="G2672" s="33">
        <f>IF(F2672&gt;0,1,0)</f>
        <v>0</v>
      </c>
      <c r="H2672" s="33">
        <f>COUNTIFS(Demand!$A$2:$A$4481,A2672,Demand!$B$2:$B$4481,B2672,Demand!$C$2:$C$4481,C2672)</f>
        <v>1</v>
      </c>
    </row>
    <row r="2673">
      <c r="A2673" s="32" t="str">
        <f>Demand!A2671</f>
        <v>S007</v>
      </c>
      <c r="B2673" s="35">
        <f>Demand!B2671</f>
        <v>46274.0</v>
      </c>
      <c r="C2673" s="33">
        <f>Demand!C2671</f>
        <v>21</v>
      </c>
      <c r="D2673" s="33">
        <f>Demand!E2671</f>
        <v>48</v>
      </c>
      <c r="E2673" s="33">
        <f>IF(Demand!F2671,1,0)</f>
        <v>1</v>
      </c>
      <c r="F2673" s="33">
        <f>COUNTIFS(c_store,A2673,c_date,B2673,c_hour,C2673)</f>
        <v>1</v>
      </c>
      <c r="G2673" s="33">
        <f>IF(F2673&gt;0,1,0)</f>
        <v>1</v>
      </c>
      <c r="H2673" s="33">
        <f>COUNTIFS(Demand!$A$2:$A$4481,A2673,Demand!$B$2:$B$4481,B2673,Demand!$C$2:$C$4481,C2673)</f>
        <v>1</v>
      </c>
    </row>
    <row r="2674">
      <c r="A2674" s="32" t="str">
        <f>Demand!A2672</f>
        <v>S007</v>
      </c>
      <c r="B2674" s="35">
        <f>Demand!B2672</f>
        <v>46274.0</v>
      </c>
      <c r="C2674" s="33">
        <f>Demand!C2672</f>
        <v>22</v>
      </c>
      <c r="D2674" s="33">
        <f>Demand!E2672</f>
        <v>38</v>
      </c>
      <c r="E2674" s="33">
        <f>IF(Demand!F2672,1,0)</f>
        <v>0</v>
      </c>
      <c r="F2674" s="33">
        <f>COUNTIFS(c_store,A2674,c_date,B2674,c_hour,C2674)</f>
        <v>1</v>
      </c>
      <c r="G2674" s="33">
        <f>IF(F2674&gt;0,1,0)</f>
        <v>1</v>
      </c>
      <c r="H2674" s="33">
        <f>COUNTIFS(Demand!$A$2:$A$4481,A2674,Demand!$B$2:$B$4481,B2674,Demand!$C$2:$C$4481,C2674)</f>
        <v>1</v>
      </c>
    </row>
    <row r="2675">
      <c r="A2675" s="32" t="str">
        <f>Demand!A2673</f>
        <v>S007</v>
      </c>
      <c r="B2675" s="35">
        <f>Demand!B2673</f>
        <v>46274.0</v>
      </c>
      <c r="C2675" s="33">
        <f>Demand!C2673</f>
        <v>23</v>
      </c>
      <c r="D2675" s="33">
        <f>Demand!E2673</f>
        <v>41</v>
      </c>
      <c r="E2675" s="33">
        <f>IF(Demand!F2673,1,0)</f>
        <v>0</v>
      </c>
      <c r="F2675" s="33">
        <f>COUNTIFS(c_store,A2675,c_date,B2675,c_hour,C2675)</f>
        <v>1</v>
      </c>
      <c r="G2675" s="33">
        <f>IF(F2675&gt;0,1,0)</f>
        <v>1</v>
      </c>
      <c r="H2675" s="33">
        <f>COUNTIFS(Demand!$A$2:$A$4481,A2675,Demand!$B$2:$B$4481,B2675,Demand!$C$2:$C$4481,C2675)</f>
        <v>1</v>
      </c>
    </row>
    <row r="2676">
      <c r="A2676" s="32" t="str">
        <f>Demand!A2674</f>
        <v>S008</v>
      </c>
      <c r="B2676" s="35">
        <f>Demand!B2674</f>
        <v>46274.0</v>
      </c>
      <c r="C2676" s="33">
        <f>Demand!C2674</f>
        <v>8</v>
      </c>
      <c r="D2676" s="33">
        <f>Demand!E2674</f>
        <v>20</v>
      </c>
      <c r="E2676" s="33">
        <f>IF(Demand!F2674,1,0)</f>
        <v>0</v>
      </c>
      <c r="F2676" s="33">
        <f>COUNTIFS(c_store,A2676,c_date,B2676,c_hour,C2676)</f>
        <v>1</v>
      </c>
      <c r="G2676" s="33">
        <f>IF(F2676&gt;0,1,0)</f>
        <v>1</v>
      </c>
      <c r="H2676" s="33">
        <f>COUNTIFS(Demand!$A$2:$A$4481,A2676,Demand!$B$2:$B$4481,B2676,Demand!$C$2:$C$4481,C2676)</f>
        <v>1</v>
      </c>
    </row>
    <row r="2677">
      <c r="A2677" s="32" t="str">
        <f>Demand!A2675</f>
        <v>S008</v>
      </c>
      <c r="B2677" s="35">
        <f>Demand!B2675</f>
        <v>46274.0</v>
      </c>
      <c r="C2677" s="33">
        <f>Demand!C2675</f>
        <v>9</v>
      </c>
      <c r="D2677" s="33">
        <f>Demand!E2675</f>
        <v>15</v>
      </c>
      <c r="E2677" s="33">
        <f>IF(Demand!F2675,1,0)</f>
        <v>0</v>
      </c>
      <c r="F2677" s="33">
        <f>COUNTIFS(c_store,A2677,c_date,B2677,c_hour,C2677)</f>
        <v>1</v>
      </c>
      <c r="G2677" s="33">
        <f>IF(F2677&gt;0,1,0)</f>
        <v>1</v>
      </c>
      <c r="H2677" s="33">
        <f>COUNTIFS(Demand!$A$2:$A$4481,A2677,Demand!$B$2:$B$4481,B2677,Demand!$C$2:$C$4481,C2677)</f>
        <v>1</v>
      </c>
    </row>
    <row r="2678">
      <c r="A2678" s="32" t="str">
        <f>Demand!A2676</f>
        <v>S008</v>
      </c>
      <c r="B2678" s="35">
        <f>Demand!B2676</f>
        <v>46274.0</v>
      </c>
      <c r="C2678" s="33">
        <f>Demand!C2676</f>
        <v>10</v>
      </c>
      <c r="D2678" s="33">
        <f>Demand!E2676</f>
        <v>15</v>
      </c>
      <c r="E2678" s="33">
        <f>IF(Demand!F2676,1,0)</f>
        <v>0</v>
      </c>
      <c r="F2678" s="33">
        <f>COUNTIFS(c_store,A2678,c_date,B2678,c_hour,C2678)</f>
        <v>0</v>
      </c>
      <c r="G2678" s="33">
        <f>IF(F2678&gt;0,1,0)</f>
        <v>0</v>
      </c>
      <c r="H2678" s="33">
        <f>COUNTIFS(Demand!$A$2:$A$4481,A2678,Demand!$B$2:$B$4481,B2678,Demand!$C$2:$C$4481,C2678)</f>
        <v>1</v>
      </c>
    </row>
    <row r="2679">
      <c r="A2679" s="32" t="str">
        <f>Demand!A2677</f>
        <v>S008</v>
      </c>
      <c r="B2679" s="35">
        <f>Demand!B2677</f>
        <v>46274.0</v>
      </c>
      <c r="C2679" s="33">
        <f>Demand!C2677</f>
        <v>11</v>
      </c>
      <c r="D2679" s="33">
        <f>Demand!E2677</f>
        <v>30</v>
      </c>
      <c r="E2679" s="33">
        <f>IF(Demand!F2677,1,0)</f>
        <v>0</v>
      </c>
      <c r="F2679" s="33">
        <f>COUNTIFS(c_store,A2679,c_date,B2679,c_hour,C2679)</f>
        <v>0</v>
      </c>
      <c r="G2679" s="33">
        <f>IF(F2679&gt;0,1,0)</f>
        <v>0</v>
      </c>
      <c r="H2679" s="33">
        <f>COUNTIFS(Demand!$A$2:$A$4481,A2679,Demand!$B$2:$B$4481,B2679,Demand!$C$2:$C$4481,C2679)</f>
        <v>1</v>
      </c>
    </row>
    <row r="2680">
      <c r="A2680" s="32" t="str">
        <f>Demand!A2678</f>
        <v>S008</v>
      </c>
      <c r="B2680" s="35">
        <f>Demand!B2678</f>
        <v>46274.0</v>
      </c>
      <c r="C2680" s="33">
        <f>Demand!C2678</f>
        <v>12</v>
      </c>
      <c r="D2680" s="33">
        <f>Demand!E2678</f>
        <v>26</v>
      </c>
      <c r="E2680" s="33">
        <f>IF(Demand!F2678,1,0)</f>
        <v>0</v>
      </c>
      <c r="F2680" s="33">
        <f>COUNTIFS(c_store,A2680,c_date,B2680,c_hour,C2680)</f>
        <v>0</v>
      </c>
      <c r="G2680" s="33">
        <f>IF(F2680&gt;0,1,0)</f>
        <v>0</v>
      </c>
      <c r="H2680" s="33">
        <f>COUNTIFS(Demand!$A$2:$A$4481,A2680,Demand!$B$2:$B$4481,B2680,Demand!$C$2:$C$4481,C2680)</f>
        <v>1</v>
      </c>
    </row>
    <row r="2681">
      <c r="A2681" s="32" t="str">
        <f>Demand!A2679</f>
        <v>S008</v>
      </c>
      <c r="B2681" s="35">
        <f>Demand!B2679</f>
        <v>46274.0</v>
      </c>
      <c r="C2681" s="33">
        <f>Demand!C2679</f>
        <v>13</v>
      </c>
      <c r="D2681" s="33">
        <f>Demand!E2679</f>
        <v>29</v>
      </c>
      <c r="E2681" s="33">
        <f>IF(Demand!F2679,1,0)</f>
        <v>0</v>
      </c>
      <c r="F2681" s="33">
        <f>COUNTIFS(c_store,A2681,c_date,B2681,c_hour,C2681)</f>
        <v>0</v>
      </c>
      <c r="G2681" s="33">
        <f>IF(F2681&gt;0,1,0)</f>
        <v>0</v>
      </c>
      <c r="H2681" s="33">
        <f>COUNTIFS(Demand!$A$2:$A$4481,A2681,Demand!$B$2:$B$4481,B2681,Demand!$C$2:$C$4481,C2681)</f>
        <v>1</v>
      </c>
    </row>
    <row r="2682">
      <c r="A2682" s="32" t="str">
        <f>Demand!A2680</f>
        <v>S008</v>
      </c>
      <c r="B2682" s="35">
        <f>Demand!B2680</f>
        <v>46274.0</v>
      </c>
      <c r="C2682" s="33">
        <f>Demand!C2680</f>
        <v>14</v>
      </c>
      <c r="D2682" s="33">
        <f>Demand!E2680</f>
        <v>12</v>
      </c>
      <c r="E2682" s="33">
        <f>IF(Demand!F2680,1,0)</f>
        <v>0</v>
      </c>
      <c r="F2682" s="33">
        <f>COUNTIFS(c_store,A2682,c_date,B2682,c_hour,C2682)</f>
        <v>0</v>
      </c>
      <c r="G2682" s="33">
        <f>IF(F2682&gt;0,1,0)</f>
        <v>0</v>
      </c>
      <c r="H2682" s="33">
        <f>COUNTIFS(Demand!$A$2:$A$4481,A2682,Demand!$B$2:$B$4481,B2682,Demand!$C$2:$C$4481,C2682)</f>
        <v>1</v>
      </c>
    </row>
    <row r="2683">
      <c r="A2683" s="32" t="str">
        <f>Demand!A2681</f>
        <v>S008</v>
      </c>
      <c r="B2683" s="35">
        <f>Demand!B2681</f>
        <v>46274.0</v>
      </c>
      <c r="C2683" s="33">
        <f>Demand!C2681</f>
        <v>15</v>
      </c>
      <c r="D2683" s="33">
        <f>Demand!E2681</f>
        <v>14</v>
      </c>
      <c r="E2683" s="33">
        <f>IF(Demand!F2681,1,0)</f>
        <v>0</v>
      </c>
      <c r="F2683" s="33">
        <f>COUNTIFS(c_store,A2683,c_date,B2683,c_hour,C2683)</f>
        <v>0</v>
      </c>
      <c r="G2683" s="33">
        <f>IF(F2683&gt;0,1,0)</f>
        <v>0</v>
      </c>
      <c r="H2683" s="33">
        <f>COUNTIFS(Demand!$A$2:$A$4481,A2683,Demand!$B$2:$B$4481,B2683,Demand!$C$2:$C$4481,C2683)</f>
        <v>1</v>
      </c>
    </row>
    <row r="2684">
      <c r="A2684" s="32" t="str">
        <f>Demand!A2682</f>
        <v>S008</v>
      </c>
      <c r="B2684" s="35">
        <f>Demand!B2682</f>
        <v>46274.0</v>
      </c>
      <c r="C2684" s="33">
        <f>Demand!C2682</f>
        <v>16</v>
      </c>
      <c r="D2684" s="33">
        <f>Demand!E2682</f>
        <v>17</v>
      </c>
      <c r="E2684" s="33">
        <f>IF(Demand!F2682,1,0)</f>
        <v>0</v>
      </c>
      <c r="F2684" s="33">
        <f>COUNTIFS(c_store,A2684,c_date,B2684,c_hour,C2684)</f>
        <v>0</v>
      </c>
      <c r="G2684" s="33">
        <f>IF(F2684&gt;0,1,0)</f>
        <v>0</v>
      </c>
      <c r="H2684" s="33">
        <f>COUNTIFS(Demand!$A$2:$A$4481,A2684,Demand!$B$2:$B$4481,B2684,Demand!$C$2:$C$4481,C2684)</f>
        <v>1</v>
      </c>
    </row>
    <row r="2685">
      <c r="A2685" s="32" t="str">
        <f>Demand!A2683</f>
        <v>S008</v>
      </c>
      <c r="B2685" s="35">
        <f>Demand!B2683</f>
        <v>46274.0</v>
      </c>
      <c r="C2685" s="33">
        <f>Demand!C2683</f>
        <v>17</v>
      </c>
      <c r="D2685" s="33">
        <f>Demand!E2683</f>
        <v>28</v>
      </c>
      <c r="E2685" s="33">
        <f>IF(Demand!F2683,1,0)</f>
        <v>0</v>
      </c>
      <c r="F2685" s="33">
        <f>COUNTIFS(c_store,A2685,c_date,B2685,c_hour,C2685)</f>
        <v>1</v>
      </c>
      <c r="G2685" s="33">
        <f>IF(F2685&gt;0,1,0)</f>
        <v>1</v>
      </c>
      <c r="H2685" s="33">
        <f>COUNTIFS(Demand!$A$2:$A$4481,A2685,Demand!$B$2:$B$4481,B2685,Demand!$C$2:$C$4481,C2685)</f>
        <v>1</v>
      </c>
    </row>
    <row r="2686">
      <c r="A2686" s="32" t="str">
        <f>Demand!A2684</f>
        <v>S008</v>
      </c>
      <c r="B2686" s="35">
        <f>Demand!B2684</f>
        <v>46274.0</v>
      </c>
      <c r="C2686" s="33">
        <f>Demand!C2684</f>
        <v>18</v>
      </c>
      <c r="D2686" s="33">
        <f>Demand!E2684</f>
        <v>18</v>
      </c>
      <c r="E2686" s="33">
        <f>IF(Demand!F2684,1,0)</f>
        <v>0</v>
      </c>
      <c r="F2686" s="33">
        <f>COUNTIFS(c_store,A2686,c_date,B2686,c_hour,C2686)</f>
        <v>2</v>
      </c>
      <c r="G2686" s="33">
        <f>IF(F2686&gt;0,1,0)</f>
        <v>1</v>
      </c>
      <c r="H2686" s="33">
        <f>COUNTIFS(Demand!$A$2:$A$4481,A2686,Demand!$B$2:$B$4481,B2686,Demand!$C$2:$C$4481,C2686)</f>
        <v>1</v>
      </c>
    </row>
    <row r="2687">
      <c r="A2687" s="32" t="str">
        <f>Demand!A2685</f>
        <v>S008</v>
      </c>
      <c r="B2687" s="35">
        <f>Demand!B2685</f>
        <v>46274.0</v>
      </c>
      <c r="C2687" s="33">
        <f>Demand!C2685</f>
        <v>19</v>
      </c>
      <c r="D2687" s="33">
        <f>Demand!E2685</f>
        <v>41</v>
      </c>
      <c r="E2687" s="33">
        <f>IF(Demand!F2685,1,0)</f>
        <v>1</v>
      </c>
      <c r="F2687" s="33">
        <f>COUNTIFS(c_store,A2687,c_date,B2687,c_hour,C2687)</f>
        <v>2</v>
      </c>
      <c r="G2687" s="33">
        <f>IF(F2687&gt;0,1,0)</f>
        <v>1</v>
      </c>
      <c r="H2687" s="33">
        <f>COUNTIFS(Demand!$A$2:$A$4481,A2687,Demand!$B$2:$B$4481,B2687,Demand!$C$2:$C$4481,C2687)</f>
        <v>1</v>
      </c>
    </row>
    <row r="2688">
      <c r="A2688" s="32" t="str">
        <f>Demand!A2686</f>
        <v>S008</v>
      </c>
      <c r="B2688" s="35">
        <f>Demand!B2686</f>
        <v>46274.0</v>
      </c>
      <c r="C2688" s="33">
        <f>Demand!C2686</f>
        <v>20</v>
      </c>
      <c r="D2688" s="33">
        <f>Demand!E2686</f>
        <v>47</v>
      </c>
      <c r="E2688" s="33">
        <f>IF(Demand!F2686,1,0)</f>
        <v>1</v>
      </c>
      <c r="F2688" s="33">
        <f>COUNTIFS(c_store,A2688,c_date,B2688,c_hour,C2688)</f>
        <v>0</v>
      </c>
      <c r="G2688" s="33">
        <f>IF(F2688&gt;0,1,0)</f>
        <v>0</v>
      </c>
      <c r="H2688" s="33">
        <f>COUNTIFS(Demand!$A$2:$A$4481,A2688,Demand!$B$2:$B$4481,B2688,Demand!$C$2:$C$4481,C2688)</f>
        <v>1</v>
      </c>
    </row>
    <row r="2689">
      <c r="A2689" s="32" t="str">
        <f>Demand!A2687</f>
        <v>S008</v>
      </c>
      <c r="B2689" s="35">
        <f>Demand!B2687</f>
        <v>46274.0</v>
      </c>
      <c r="C2689" s="33">
        <f>Demand!C2687</f>
        <v>21</v>
      </c>
      <c r="D2689" s="33">
        <f>Demand!E2687</f>
        <v>31</v>
      </c>
      <c r="E2689" s="33">
        <f>IF(Demand!F2687,1,0)</f>
        <v>1</v>
      </c>
      <c r="F2689" s="33">
        <f>COUNTIFS(c_store,A2689,c_date,B2689,c_hour,C2689)</f>
        <v>0</v>
      </c>
      <c r="G2689" s="33">
        <f>IF(F2689&gt;0,1,0)</f>
        <v>0</v>
      </c>
      <c r="H2689" s="33">
        <f>COUNTIFS(Demand!$A$2:$A$4481,A2689,Demand!$B$2:$B$4481,B2689,Demand!$C$2:$C$4481,C2689)</f>
        <v>1</v>
      </c>
    </row>
    <row r="2690">
      <c r="A2690" s="32" t="str">
        <f>Demand!A2688</f>
        <v>S008</v>
      </c>
      <c r="B2690" s="35">
        <f>Demand!B2688</f>
        <v>46274.0</v>
      </c>
      <c r="C2690" s="33">
        <f>Demand!C2688</f>
        <v>22</v>
      </c>
      <c r="D2690" s="33">
        <f>Demand!E2688</f>
        <v>22</v>
      </c>
      <c r="E2690" s="33">
        <f>IF(Demand!F2688,1,0)</f>
        <v>0</v>
      </c>
      <c r="F2690" s="33">
        <f>COUNTIFS(c_store,A2690,c_date,B2690,c_hour,C2690)</f>
        <v>0</v>
      </c>
      <c r="G2690" s="33">
        <f>IF(F2690&gt;0,1,0)</f>
        <v>0</v>
      </c>
      <c r="H2690" s="33">
        <f>COUNTIFS(Demand!$A$2:$A$4481,A2690,Demand!$B$2:$B$4481,B2690,Demand!$C$2:$C$4481,C2690)</f>
        <v>1</v>
      </c>
    </row>
    <row r="2691">
      <c r="A2691" s="32" t="str">
        <f>Demand!A2689</f>
        <v>S008</v>
      </c>
      <c r="B2691" s="35">
        <f>Demand!B2689</f>
        <v>46274.0</v>
      </c>
      <c r="C2691" s="33">
        <f>Demand!C2689</f>
        <v>23</v>
      </c>
      <c r="D2691" s="33">
        <f>Demand!E2689</f>
        <v>25</v>
      </c>
      <c r="E2691" s="33">
        <f>IF(Demand!F2689,1,0)</f>
        <v>0</v>
      </c>
      <c r="F2691" s="33">
        <f>COUNTIFS(c_store,A2691,c_date,B2691,c_hour,C2691)</f>
        <v>0</v>
      </c>
      <c r="G2691" s="33">
        <f>IF(F2691&gt;0,1,0)</f>
        <v>0</v>
      </c>
      <c r="H2691" s="33">
        <f>COUNTIFS(Demand!$A$2:$A$4481,A2691,Demand!$B$2:$B$4481,B2691,Demand!$C$2:$C$4481,C2691)</f>
        <v>1</v>
      </c>
    </row>
    <row r="2692">
      <c r="A2692" s="32" t="str">
        <f>Demand!A2690</f>
        <v>S009</v>
      </c>
      <c r="B2692" s="35">
        <f>Demand!B2690</f>
        <v>46274.0</v>
      </c>
      <c r="C2692" s="33">
        <f>Demand!C2690</f>
        <v>8</v>
      </c>
      <c r="D2692" s="33">
        <f>Demand!E2690</f>
        <v>17</v>
      </c>
      <c r="E2692" s="33">
        <f>IF(Demand!F2690,1,0)</f>
        <v>0</v>
      </c>
      <c r="F2692" s="33">
        <f>COUNTIFS(c_store,A2692,c_date,B2692,c_hour,C2692)</f>
        <v>0</v>
      </c>
      <c r="G2692" s="33">
        <f>IF(F2692&gt;0,1,0)</f>
        <v>0</v>
      </c>
      <c r="H2692" s="33">
        <f>COUNTIFS(Demand!$A$2:$A$4481,A2692,Demand!$B$2:$B$4481,B2692,Demand!$C$2:$C$4481,C2692)</f>
        <v>1</v>
      </c>
    </row>
    <row r="2693">
      <c r="A2693" s="32" t="str">
        <f>Demand!A2691</f>
        <v>S009</v>
      </c>
      <c r="B2693" s="35">
        <f>Demand!B2691</f>
        <v>46274.0</v>
      </c>
      <c r="C2693" s="33">
        <f>Demand!C2691</f>
        <v>9</v>
      </c>
      <c r="D2693" s="33">
        <f>Demand!E2691</f>
        <v>17</v>
      </c>
      <c r="E2693" s="33">
        <f>IF(Demand!F2691,1,0)</f>
        <v>0</v>
      </c>
      <c r="F2693" s="33">
        <f>COUNTIFS(c_store,A2693,c_date,B2693,c_hour,C2693)</f>
        <v>0</v>
      </c>
      <c r="G2693" s="33">
        <f>IF(F2693&gt;0,1,0)</f>
        <v>0</v>
      </c>
      <c r="H2693" s="33">
        <f>COUNTIFS(Demand!$A$2:$A$4481,A2693,Demand!$B$2:$B$4481,B2693,Demand!$C$2:$C$4481,C2693)</f>
        <v>1</v>
      </c>
    </row>
    <row r="2694">
      <c r="A2694" s="32" t="str">
        <f>Demand!A2692</f>
        <v>S009</v>
      </c>
      <c r="B2694" s="35">
        <f>Demand!B2692</f>
        <v>46274.0</v>
      </c>
      <c r="C2694" s="33">
        <f>Demand!C2692</f>
        <v>10</v>
      </c>
      <c r="D2694" s="33">
        <f>Demand!E2692</f>
        <v>18</v>
      </c>
      <c r="E2694" s="33">
        <f>IF(Demand!F2692,1,0)</f>
        <v>0</v>
      </c>
      <c r="F2694" s="33">
        <f>COUNTIFS(c_store,A2694,c_date,B2694,c_hour,C2694)</f>
        <v>2</v>
      </c>
      <c r="G2694" s="33">
        <f>IF(F2694&gt;0,1,0)</f>
        <v>1</v>
      </c>
      <c r="H2694" s="33">
        <f>COUNTIFS(Demand!$A$2:$A$4481,A2694,Demand!$B$2:$B$4481,B2694,Demand!$C$2:$C$4481,C2694)</f>
        <v>1</v>
      </c>
    </row>
    <row r="2695">
      <c r="A2695" s="32" t="str">
        <f>Demand!A2693</f>
        <v>S009</v>
      </c>
      <c r="B2695" s="35">
        <f>Demand!B2693</f>
        <v>46274.0</v>
      </c>
      <c r="C2695" s="33">
        <f>Demand!C2693</f>
        <v>11</v>
      </c>
      <c r="D2695" s="33">
        <f>Demand!E2693</f>
        <v>28</v>
      </c>
      <c r="E2695" s="33">
        <f>IF(Demand!F2693,1,0)</f>
        <v>0</v>
      </c>
      <c r="F2695" s="33">
        <f>COUNTIFS(c_store,A2695,c_date,B2695,c_hour,C2695)</f>
        <v>0</v>
      </c>
      <c r="G2695" s="33">
        <f>IF(F2695&gt;0,1,0)</f>
        <v>0</v>
      </c>
      <c r="H2695" s="33">
        <f>COUNTIFS(Demand!$A$2:$A$4481,A2695,Demand!$B$2:$B$4481,B2695,Demand!$C$2:$C$4481,C2695)</f>
        <v>1</v>
      </c>
    </row>
    <row r="2696">
      <c r="A2696" s="32" t="str">
        <f>Demand!A2694</f>
        <v>S009</v>
      </c>
      <c r="B2696" s="35">
        <f>Demand!B2694</f>
        <v>46274.0</v>
      </c>
      <c r="C2696" s="33">
        <f>Demand!C2694</f>
        <v>12</v>
      </c>
      <c r="D2696" s="33">
        <f>Demand!E2694</f>
        <v>30</v>
      </c>
      <c r="E2696" s="33">
        <f>IF(Demand!F2694,1,0)</f>
        <v>0</v>
      </c>
      <c r="F2696" s="33">
        <f>COUNTIFS(c_store,A2696,c_date,B2696,c_hour,C2696)</f>
        <v>0</v>
      </c>
      <c r="G2696" s="33">
        <f>IF(F2696&gt;0,1,0)</f>
        <v>0</v>
      </c>
      <c r="H2696" s="33">
        <f>COUNTIFS(Demand!$A$2:$A$4481,A2696,Demand!$B$2:$B$4481,B2696,Demand!$C$2:$C$4481,C2696)</f>
        <v>1</v>
      </c>
    </row>
    <row r="2697">
      <c r="A2697" s="32" t="str">
        <f>Demand!A2695</f>
        <v>S009</v>
      </c>
      <c r="B2697" s="35">
        <f>Demand!B2695</f>
        <v>46274.0</v>
      </c>
      <c r="C2697" s="33">
        <f>Demand!C2695</f>
        <v>13</v>
      </c>
      <c r="D2697" s="33">
        <f>Demand!E2695</f>
        <v>33</v>
      </c>
      <c r="E2697" s="33">
        <f>IF(Demand!F2695,1,0)</f>
        <v>0</v>
      </c>
      <c r="F2697" s="33">
        <f>COUNTIFS(c_store,A2697,c_date,B2697,c_hour,C2697)</f>
        <v>0</v>
      </c>
      <c r="G2697" s="33">
        <f>IF(F2697&gt;0,1,0)</f>
        <v>0</v>
      </c>
      <c r="H2697" s="33">
        <f>COUNTIFS(Demand!$A$2:$A$4481,A2697,Demand!$B$2:$B$4481,B2697,Demand!$C$2:$C$4481,C2697)</f>
        <v>1</v>
      </c>
    </row>
    <row r="2698">
      <c r="A2698" s="32" t="str">
        <f>Demand!A2696</f>
        <v>S009</v>
      </c>
      <c r="B2698" s="35">
        <f>Demand!B2696</f>
        <v>46274.0</v>
      </c>
      <c r="C2698" s="33">
        <f>Demand!C2696</f>
        <v>14</v>
      </c>
      <c r="D2698" s="33">
        <f>Demand!E2696</f>
        <v>21</v>
      </c>
      <c r="E2698" s="33">
        <f>IF(Demand!F2696,1,0)</f>
        <v>0</v>
      </c>
      <c r="F2698" s="33">
        <f>COUNTIFS(c_store,A2698,c_date,B2698,c_hour,C2698)</f>
        <v>0</v>
      </c>
      <c r="G2698" s="33">
        <f>IF(F2698&gt;0,1,0)</f>
        <v>0</v>
      </c>
      <c r="H2698" s="33">
        <f>COUNTIFS(Demand!$A$2:$A$4481,A2698,Demand!$B$2:$B$4481,B2698,Demand!$C$2:$C$4481,C2698)</f>
        <v>1</v>
      </c>
    </row>
    <row r="2699">
      <c r="A2699" s="32" t="str">
        <f>Demand!A2697</f>
        <v>S009</v>
      </c>
      <c r="B2699" s="35">
        <f>Demand!B2697</f>
        <v>46274.0</v>
      </c>
      <c r="C2699" s="33">
        <f>Demand!C2697</f>
        <v>15</v>
      </c>
      <c r="D2699" s="33">
        <f>Demand!E2697</f>
        <v>16</v>
      </c>
      <c r="E2699" s="33">
        <f>IF(Demand!F2697,1,0)</f>
        <v>0</v>
      </c>
      <c r="F2699" s="33">
        <f>COUNTIFS(c_store,A2699,c_date,B2699,c_hour,C2699)</f>
        <v>1</v>
      </c>
      <c r="G2699" s="33">
        <f>IF(F2699&gt;0,1,0)</f>
        <v>1</v>
      </c>
      <c r="H2699" s="33">
        <f>COUNTIFS(Demand!$A$2:$A$4481,A2699,Demand!$B$2:$B$4481,B2699,Demand!$C$2:$C$4481,C2699)</f>
        <v>1</v>
      </c>
    </row>
    <row r="2700">
      <c r="A2700" s="32" t="str">
        <f>Demand!A2698</f>
        <v>S009</v>
      </c>
      <c r="B2700" s="35">
        <f>Demand!B2698</f>
        <v>46274.0</v>
      </c>
      <c r="C2700" s="33">
        <f>Demand!C2698</f>
        <v>16</v>
      </c>
      <c r="D2700" s="33">
        <f>Demand!E2698</f>
        <v>29</v>
      </c>
      <c r="E2700" s="33">
        <f>IF(Demand!F2698,1,0)</f>
        <v>0</v>
      </c>
      <c r="F2700" s="33">
        <f>COUNTIFS(c_store,A2700,c_date,B2700,c_hour,C2700)</f>
        <v>3</v>
      </c>
      <c r="G2700" s="33">
        <f>IF(F2700&gt;0,1,0)</f>
        <v>1</v>
      </c>
      <c r="H2700" s="33">
        <f>COUNTIFS(Demand!$A$2:$A$4481,A2700,Demand!$B$2:$B$4481,B2700,Demand!$C$2:$C$4481,C2700)</f>
        <v>1</v>
      </c>
    </row>
    <row r="2701">
      <c r="A2701" s="32" t="str">
        <f>Demand!A2699</f>
        <v>S009</v>
      </c>
      <c r="B2701" s="35">
        <f>Demand!B2699</f>
        <v>46274.0</v>
      </c>
      <c r="C2701" s="33">
        <f>Demand!C2699</f>
        <v>17</v>
      </c>
      <c r="D2701" s="33">
        <f>Demand!E2699</f>
        <v>35</v>
      </c>
      <c r="E2701" s="33">
        <f>IF(Demand!F2699,1,0)</f>
        <v>0</v>
      </c>
      <c r="F2701" s="33">
        <f>COUNTIFS(c_store,A2701,c_date,B2701,c_hour,C2701)</f>
        <v>0</v>
      </c>
      <c r="G2701" s="33">
        <f>IF(F2701&gt;0,1,0)</f>
        <v>0</v>
      </c>
      <c r="H2701" s="33">
        <f>COUNTIFS(Demand!$A$2:$A$4481,A2701,Demand!$B$2:$B$4481,B2701,Demand!$C$2:$C$4481,C2701)</f>
        <v>1</v>
      </c>
    </row>
    <row r="2702">
      <c r="A2702" s="32" t="str">
        <f>Demand!A2700</f>
        <v>S009</v>
      </c>
      <c r="B2702" s="35">
        <f>Demand!B2700</f>
        <v>46274.0</v>
      </c>
      <c r="C2702" s="33">
        <f>Demand!C2700</f>
        <v>18</v>
      </c>
      <c r="D2702" s="33">
        <f>Demand!E2700</f>
        <v>25</v>
      </c>
      <c r="E2702" s="33">
        <f>IF(Demand!F2700,1,0)</f>
        <v>0</v>
      </c>
      <c r="F2702" s="33">
        <f>COUNTIFS(c_store,A2702,c_date,B2702,c_hour,C2702)</f>
        <v>0</v>
      </c>
      <c r="G2702" s="33">
        <f>IF(F2702&gt;0,1,0)</f>
        <v>0</v>
      </c>
      <c r="H2702" s="33">
        <f>COUNTIFS(Demand!$A$2:$A$4481,A2702,Demand!$B$2:$B$4481,B2702,Demand!$C$2:$C$4481,C2702)</f>
        <v>1</v>
      </c>
    </row>
    <row r="2703">
      <c r="A2703" s="32" t="str">
        <f>Demand!A2701</f>
        <v>S009</v>
      </c>
      <c r="B2703" s="35">
        <f>Demand!B2701</f>
        <v>46274.0</v>
      </c>
      <c r="C2703" s="33">
        <f>Demand!C2701</f>
        <v>19</v>
      </c>
      <c r="D2703" s="33">
        <f>Demand!E2701</f>
        <v>39</v>
      </c>
      <c r="E2703" s="33">
        <f>IF(Demand!F2701,1,0)</f>
        <v>1</v>
      </c>
      <c r="F2703" s="33">
        <f>COUNTIFS(c_store,A2703,c_date,B2703,c_hour,C2703)</f>
        <v>0</v>
      </c>
      <c r="G2703" s="33">
        <f>IF(F2703&gt;0,1,0)</f>
        <v>0</v>
      </c>
      <c r="H2703" s="33">
        <f>COUNTIFS(Demand!$A$2:$A$4481,A2703,Demand!$B$2:$B$4481,B2703,Demand!$C$2:$C$4481,C2703)</f>
        <v>1</v>
      </c>
    </row>
    <row r="2704">
      <c r="A2704" s="32" t="str">
        <f>Demand!A2702</f>
        <v>S009</v>
      </c>
      <c r="B2704" s="35">
        <f>Demand!B2702</f>
        <v>46274.0</v>
      </c>
      <c r="C2704" s="33">
        <f>Demand!C2702</f>
        <v>20</v>
      </c>
      <c r="D2704" s="33">
        <f>Demand!E2702</f>
        <v>40</v>
      </c>
      <c r="E2704" s="33">
        <f>IF(Demand!F2702,1,0)</f>
        <v>1</v>
      </c>
      <c r="F2704" s="33">
        <f>COUNTIFS(c_store,A2704,c_date,B2704,c_hour,C2704)</f>
        <v>0</v>
      </c>
      <c r="G2704" s="33">
        <f>IF(F2704&gt;0,1,0)</f>
        <v>0</v>
      </c>
      <c r="H2704" s="33">
        <f>COUNTIFS(Demand!$A$2:$A$4481,A2704,Demand!$B$2:$B$4481,B2704,Demand!$C$2:$C$4481,C2704)</f>
        <v>1</v>
      </c>
    </row>
    <row r="2705">
      <c r="A2705" s="32" t="str">
        <f>Demand!A2703</f>
        <v>S009</v>
      </c>
      <c r="B2705" s="35">
        <f>Demand!B2703</f>
        <v>46274.0</v>
      </c>
      <c r="C2705" s="33">
        <f>Demand!C2703</f>
        <v>21</v>
      </c>
      <c r="D2705" s="33">
        <f>Demand!E2703</f>
        <v>48</v>
      </c>
      <c r="E2705" s="33">
        <f>IF(Demand!F2703,1,0)</f>
        <v>1</v>
      </c>
      <c r="F2705" s="33">
        <f>COUNTIFS(c_store,A2705,c_date,B2705,c_hour,C2705)</f>
        <v>0</v>
      </c>
      <c r="G2705" s="33">
        <f>IF(F2705&gt;0,1,0)</f>
        <v>0</v>
      </c>
      <c r="H2705" s="33">
        <f>COUNTIFS(Demand!$A$2:$A$4481,A2705,Demand!$B$2:$B$4481,B2705,Demand!$C$2:$C$4481,C2705)</f>
        <v>1</v>
      </c>
    </row>
    <row r="2706">
      <c r="A2706" s="32" t="str">
        <f>Demand!A2704</f>
        <v>S009</v>
      </c>
      <c r="B2706" s="35">
        <f>Demand!B2704</f>
        <v>46274.0</v>
      </c>
      <c r="C2706" s="33">
        <f>Demand!C2704</f>
        <v>22</v>
      </c>
      <c r="D2706" s="33">
        <f>Demand!E2704</f>
        <v>26</v>
      </c>
      <c r="E2706" s="33">
        <f>IF(Demand!F2704,1,0)</f>
        <v>0</v>
      </c>
      <c r="F2706" s="33">
        <f>COUNTIFS(c_store,A2706,c_date,B2706,c_hour,C2706)</f>
        <v>0</v>
      </c>
      <c r="G2706" s="33">
        <f>IF(F2706&gt;0,1,0)</f>
        <v>0</v>
      </c>
      <c r="H2706" s="33">
        <f>COUNTIFS(Demand!$A$2:$A$4481,A2706,Demand!$B$2:$B$4481,B2706,Demand!$C$2:$C$4481,C2706)</f>
        <v>1</v>
      </c>
    </row>
    <row r="2707">
      <c r="A2707" s="32" t="str">
        <f>Demand!A2705</f>
        <v>S009</v>
      </c>
      <c r="B2707" s="35">
        <f>Demand!B2705</f>
        <v>46274.0</v>
      </c>
      <c r="C2707" s="33">
        <f>Demand!C2705</f>
        <v>23</v>
      </c>
      <c r="D2707" s="33">
        <f>Demand!E2705</f>
        <v>29</v>
      </c>
      <c r="E2707" s="33">
        <f>IF(Demand!F2705,1,0)</f>
        <v>0</v>
      </c>
      <c r="F2707" s="33">
        <f>COUNTIFS(c_store,A2707,c_date,B2707,c_hour,C2707)</f>
        <v>2</v>
      </c>
      <c r="G2707" s="33">
        <f>IF(F2707&gt;0,1,0)</f>
        <v>1</v>
      </c>
      <c r="H2707" s="33">
        <f>COUNTIFS(Demand!$A$2:$A$4481,A2707,Demand!$B$2:$B$4481,B2707,Demand!$C$2:$C$4481,C2707)</f>
        <v>1</v>
      </c>
    </row>
    <row r="2708">
      <c r="A2708" s="32" t="str">
        <f>Demand!A2706</f>
        <v>S010</v>
      </c>
      <c r="B2708" s="35">
        <f>Demand!B2706</f>
        <v>46274.0</v>
      </c>
      <c r="C2708" s="33">
        <f>Demand!C2706</f>
        <v>8</v>
      </c>
      <c r="D2708" s="33">
        <f>Demand!E2706</f>
        <v>16</v>
      </c>
      <c r="E2708" s="33">
        <f>IF(Demand!F2706,1,0)</f>
        <v>0</v>
      </c>
      <c r="F2708" s="33">
        <f>COUNTIFS(c_store,A2708,c_date,B2708,c_hour,C2708)</f>
        <v>1</v>
      </c>
      <c r="G2708" s="33">
        <f>IF(F2708&gt;0,1,0)</f>
        <v>1</v>
      </c>
      <c r="H2708" s="33">
        <f>COUNTIFS(Demand!$A$2:$A$4481,A2708,Demand!$B$2:$B$4481,B2708,Demand!$C$2:$C$4481,C2708)</f>
        <v>1</v>
      </c>
    </row>
    <row r="2709">
      <c r="A2709" s="32" t="str">
        <f>Demand!A2707</f>
        <v>S010</v>
      </c>
      <c r="B2709" s="35">
        <f>Demand!B2707</f>
        <v>46274.0</v>
      </c>
      <c r="C2709" s="33">
        <f>Demand!C2707</f>
        <v>9</v>
      </c>
      <c r="D2709" s="33">
        <f>Demand!E2707</f>
        <v>18</v>
      </c>
      <c r="E2709" s="33">
        <f>IF(Demand!F2707,1,0)</f>
        <v>0</v>
      </c>
      <c r="F2709" s="33">
        <f>COUNTIFS(c_store,A2709,c_date,B2709,c_hour,C2709)</f>
        <v>0</v>
      </c>
      <c r="G2709" s="33">
        <f>IF(F2709&gt;0,1,0)</f>
        <v>0</v>
      </c>
      <c r="H2709" s="33">
        <f>COUNTIFS(Demand!$A$2:$A$4481,A2709,Demand!$B$2:$B$4481,B2709,Demand!$C$2:$C$4481,C2709)</f>
        <v>1</v>
      </c>
    </row>
    <row r="2710">
      <c r="A2710" s="32" t="str">
        <f>Demand!A2708</f>
        <v>S010</v>
      </c>
      <c r="B2710" s="35">
        <f>Demand!B2708</f>
        <v>46274.0</v>
      </c>
      <c r="C2710" s="33">
        <f>Demand!C2708</f>
        <v>10</v>
      </c>
      <c r="D2710" s="33">
        <f>Demand!E2708</f>
        <v>11</v>
      </c>
      <c r="E2710" s="33">
        <f>IF(Demand!F2708,1,0)</f>
        <v>0</v>
      </c>
      <c r="F2710" s="33">
        <f>COUNTIFS(c_store,A2710,c_date,B2710,c_hour,C2710)</f>
        <v>0</v>
      </c>
      <c r="G2710" s="33">
        <f>IF(F2710&gt;0,1,0)</f>
        <v>0</v>
      </c>
      <c r="H2710" s="33">
        <f>COUNTIFS(Demand!$A$2:$A$4481,A2710,Demand!$B$2:$B$4481,B2710,Demand!$C$2:$C$4481,C2710)</f>
        <v>1</v>
      </c>
    </row>
    <row r="2711">
      <c r="A2711" s="32" t="str">
        <f>Demand!A2709</f>
        <v>S010</v>
      </c>
      <c r="B2711" s="35">
        <f>Demand!B2709</f>
        <v>46274.0</v>
      </c>
      <c r="C2711" s="33">
        <f>Demand!C2709</f>
        <v>11</v>
      </c>
      <c r="D2711" s="33">
        <f>Demand!E2709</f>
        <v>16</v>
      </c>
      <c r="E2711" s="33">
        <f>IF(Demand!F2709,1,0)</f>
        <v>0</v>
      </c>
      <c r="F2711" s="33">
        <f>COUNTIFS(c_store,A2711,c_date,B2711,c_hour,C2711)</f>
        <v>0</v>
      </c>
      <c r="G2711" s="33">
        <f>IF(F2711&gt;0,1,0)</f>
        <v>0</v>
      </c>
      <c r="H2711" s="33">
        <f>COUNTIFS(Demand!$A$2:$A$4481,A2711,Demand!$B$2:$B$4481,B2711,Demand!$C$2:$C$4481,C2711)</f>
        <v>1</v>
      </c>
    </row>
    <row r="2712">
      <c r="A2712" s="32" t="str">
        <f>Demand!A2710</f>
        <v>S010</v>
      </c>
      <c r="B2712" s="35">
        <f>Demand!B2710</f>
        <v>46274.0</v>
      </c>
      <c r="C2712" s="33">
        <f>Demand!C2710</f>
        <v>12</v>
      </c>
      <c r="D2712" s="33">
        <f>Demand!E2710</f>
        <v>16</v>
      </c>
      <c r="E2712" s="33">
        <f>IF(Demand!F2710,1,0)</f>
        <v>0</v>
      </c>
      <c r="F2712" s="33">
        <f>COUNTIFS(c_store,A2712,c_date,B2712,c_hour,C2712)</f>
        <v>0</v>
      </c>
      <c r="G2712" s="33">
        <f>IF(F2712&gt;0,1,0)</f>
        <v>0</v>
      </c>
      <c r="H2712" s="33">
        <f>COUNTIFS(Demand!$A$2:$A$4481,A2712,Demand!$B$2:$B$4481,B2712,Demand!$C$2:$C$4481,C2712)</f>
        <v>1</v>
      </c>
    </row>
    <row r="2713">
      <c r="A2713" s="32" t="str">
        <f>Demand!A2711</f>
        <v>S010</v>
      </c>
      <c r="B2713" s="35">
        <f>Demand!B2711</f>
        <v>46274.0</v>
      </c>
      <c r="C2713" s="33">
        <f>Demand!C2711</f>
        <v>13</v>
      </c>
      <c r="D2713" s="33">
        <f>Demand!E2711</f>
        <v>19</v>
      </c>
      <c r="E2713" s="33">
        <f>IF(Demand!F2711,1,0)</f>
        <v>0</v>
      </c>
      <c r="F2713" s="33">
        <f>COUNTIFS(c_store,A2713,c_date,B2713,c_hour,C2713)</f>
        <v>0</v>
      </c>
      <c r="G2713" s="33">
        <f>IF(F2713&gt;0,1,0)</f>
        <v>0</v>
      </c>
      <c r="H2713" s="33">
        <f>COUNTIFS(Demand!$A$2:$A$4481,A2713,Demand!$B$2:$B$4481,B2713,Demand!$C$2:$C$4481,C2713)</f>
        <v>1</v>
      </c>
    </row>
    <row r="2714">
      <c r="A2714" s="32" t="str">
        <f>Demand!A2712</f>
        <v>S010</v>
      </c>
      <c r="B2714" s="35">
        <f>Demand!B2712</f>
        <v>46274.0</v>
      </c>
      <c r="C2714" s="33">
        <f>Demand!C2712</f>
        <v>14</v>
      </c>
      <c r="D2714" s="33">
        <f>Demand!E2712</f>
        <v>13</v>
      </c>
      <c r="E2714" s="33">
        <f>IF(Demand!F2712,1,0)</f>
        <v>0</v>
      </c>
      <c r="F2714" s="33">
        <f>COUNTIFS(c_store,A2714,c_date,B2714,c_hour,C2714)</f>
        <v>0</v>
      </c>
      <c r="G2714" s="33">
        <f>IF(F2714&gt;0,1,0)</f>
        <v>0</v>
      </c>
      <c r="H2714" s="33">
        <f>COUNTIFS(Demand!$A$2:$A$4481,A2714,Demand!$B$2:$B$4481,B2714,Demand!$C$2:$C$4481,C2714)</f>
        <v>1</v>
      </c>
    </row>
    <row r="2715">
      <c r="A2715" s="32" t="str">
        <f>Demand!A2713</f>
        <v>S010</v>
      </c>
      <c r="B2715" s="35">
        <f>Demand!B2713</f>
        <v>46274.0</v>
      </c>
      <c r="C2715" s="33">
        <f>Demand!C2713</f>
        <v>15</v>
      </c>
      <c r="D2715" s="33">
        <f>Demand!E2713</f>
        <v>15</v>
      </c>
      <c r="E2715" s="33">
        <f>IF(Demand!F2713,1,0)</f>
        <v>0</v>
      </c>
      <c r="F2715" s="33">
        <f>COUNTIFS(c_store,A2715,c_date,B2715,c_hour,C2715)</f>
        <v>0</v>
      </c>
      <c r="G2715" s="33">
        <f>IF(F2715&gt;0,1,0)</f>
        <v>0</v>
      </c>
      <c r="H2715" s="33">
        <f>COUNTIFS(Demand!$A$2:$A$4481,A2715,Demand!$B$2:$B$4481,B2715,Demand!$C$2:$C$4481,C2715)</f>
        <v>1</v>
      </c>
    </row>
    <row r="2716">
      <c r="A2716" s="32" t="str">
        <f>Demand!A2714</f>
        <v>S010</v>
      </c>
      <c r="B2716" s="35">
        <f>Demand!B2714</f>
        <v>46274.0</v>
      </c>
      <c r="C2716" s="33">
        <f>Demand!C2714</f>
        <v>16</v>
      </c>
      <c r="D2716" s="33">
        <f>Demand!E2714</f>
        <v>27</v>
      </c>
      <c r="E2716" s="33">
        <f>IF(Demand!F2714,1,0)</f>
        <v>0</v>
      </c>
      <c r="F2716" s="33">
        <f>COUNTIFS(c_store,A2716,c_date,B2716,c_hour,C2716)</f>
        <v>0</v>
      </c>
      <c r="G2716" s="33">
        <f>IF(F2716&gt;0,1,0)</f>
        <v>0</v>
      </c>
      <c r="H2716" s="33">
        <f>COUNTIFS(Demand!$A$2:$A$4481,A2716,Demand!$B$2:$B$4481,B2716,Demand!$C$2:$C$4481,C2716)</f>
        <v>1</v>
      </c>
    </row>
    <row r="2717">
      <c r="A2717" s="32" t="str">
        <f>Demand!A2715</f>
        <v>S010</v>
      </c>
      <c r="B2717" s="35">
        <f>Demand!B2715</f>
        <v>46274.0</v>
      </c>
      <c r="C2717" s="33">
        <f>Demand!C2715</f>
        <v>17</v>
      </c>
      <c r="D2717" s="33">
        <f>Demand!E2715</f>
        <v>23</v>
      </c>
      <c r="E2717" s="33">
        <f>IF(Demand!F2715,1,0)</f>
        <v>0</v>
      </c>
      <c r="F2717" s="33">
        <f>COUNTIFS(c_store,A2717,c_date,B2717,c_hour,C2717)</f>
        <v>0</v>
      </c>
      <c r="G2717" s="33">
        <f>IF(F2717&gt;0,1,0)</f>
        <v>0</v>
      </c>
      <c r="H2717" s="33">
        <f>COUNTIFS(Demand!$A$2:$A$4481,A2717,Demand!$B$2:$B$4481,B2717,Demand!$C$2:$C$4481,C2717)</f>
        <v>1</v>
      </c>
    </row>
    <row r="2718">
      <c r="A2718" s="32" t="str">
        <f>Demand!A2716</f>
        <v>S010</v>
      </c>
      <c r="B2718" s="35">
        <f>Demand!B2716</f>
        <v>46274.0</v>
      </c>
      <c r="C2718" s="33">
        <f>Demand!C2716</f>
        <v>18</v>
      </c>
      <c r="D2718" s="33">
        <f>Demand!E2716</f>
        <v>24</v>
      </c>
      <c r="E2718" s="33">
        <f>IF(Demand!F2716,1,0)</f>
        <v>0</v>
      </c>
      <c r="F2718" s="33">
        <f>COUNTIFS(c_store,A2718,c_date,B2718,c_hour,C2718)</f>
        <v>0</v>
      </c>
      <c r="G2718" s="33">
        <f>IF(F2718&gt;0,1,0)</f>
        <v>0</v>
      </c>
      <c r="H2718" s="33">
        <f>COUNTIFS(Demand!$A$2:$A$4481,A2718,Demand!$B$2:$B$4481,B2718,Demand!$C$2:$C$4481,C2718)</f>
        <v>1</v>
      </c>
    </row>
    <row r="2719">
      <c r="A2719" s="32" t="str">
        <f>Demand!A2717</f>
        <v>S010</v>
      </c>
      <c r="B2719" s="35">
        <f>Demand!B2717</f>
        <v>46274.0</v>
      </c>
      <c r="C2719" s="33">
        <f>Demand!C2717</f>
        <v>19</v>
      </c>
      <c r="D2719" s="33">
        <f>Demand!E2717</f>
        <v>36</v>
      </c>
      <c r="E2719" s="33">
        <f>IF(Demand!F2717,1,0)</f>
        <v>1</v>
      </c>
      <c r="F2719" s="33">
        <f>COUNTIFS(c_store,A2719,c_date,B2719,c_hour,C2719)</f>
        <v>0</v>
      </c>
      <c r="G2719" s="33">
        <f>IF(F2719&gt;0,1,0)</f>
        <v>0</v>
      </c>
      <c r="H2719" s="33">
        <f>COUNTIFS(Demand!$A$2:$A$4481,A2719,Demand!$B$2:$B$4481,B2719,Demand!$C$2:$C$4481,C2719)</f>
        <v>1</v>
      </c>
    </row>
    <row r="2720">
      <c r="A2720" s="32" t="str">
        <f>Demand!A2718</f>
        <v>S010</v>
      </c>
      <c r="B2720" s="35">
        <f>Demand!B2718</f>
        <v>46274.0</v>
      </c>
      <c r="C2720" s="33">
        <f>Demand!C2718</f>
        <v>20</v>
      </c>
      <c r="D2720" s="33">
        <f>Demand!E2718</f>
        <v>30</v>
      </c>
      <c r="E2720" s="33">
        <f>IF(Demand!F2718,1,0)</f>
        <v>1</v>
      </c>
      <c r="F2720" s="33">
        <f>COUNTIFS(c_store,A2720,c_date,B2720,c_hour,C2720)</f>
        <v>0</v>
      </c>
      <c r="G2720" s="33">
        <f>IF(F2720&gt;0,1,0)</f>
        <v>0</v>
      </c>
      <c r="H2720" s="33">
        <f>COUNTIFS(Demand!$A$2:$A$4481,A2720,Demand!$B$2:$B$4481,B2720,Demand!$C$2:$C$4481,C2720)</f>
        <v>1</v>
      </c>
    </row>
    <row r="2721">
      <c r="A2721" s="32" t="str">
        <f>Demand!A2719</f>
        <v>S010</v>
      </c>
      <c r="B2721" s="35">
        <f>Demand!B2719</f>
        <v>46274.0</v>
      </c>
      <c r="C2721" s="33">
        <f>Demand!C2719</f>
        <v>21</v>
      </c>
      <c r="D2721" s="33">
        <f>Demand!E2719</f>
        <v>29</v>
      </c>
      <c r="E2721" s="33">
        <f>IF(Demand!F2719,1,0)</f>
        <v>1</v>
      </c>
      <c r="F2721" s="33">
        <f>COUNTIFS(c_store,A2721,c_date,B2721,c_hour,C2721)</f>
        <v>1</v>
      </c>
      <c r="G2721" s="33">
        <f>IF(F2721&gt;0,1,0)</f>
        <v>1</v>
      </c>
      <c r="H2721" s="33">
        <f>COUNTIFS(Demand!$A$2:$A$4481,A2721,Demand!$B$2:$B$4481,B2721,Demand!$C$2:$C$4481,C2721)</f>
        <v>1</v>
      </c>
    </row>
    <row r="2722">
      <c r="A2722" s="32" t="str">
        <f>Demand!A2720</f>
        <v>S010</v>
      </c>
      <c r="B2722" s="35">
        <f>Demand!B2720</f>
        <v>46274.0</v>
      </c>
      <c r="C2722" s="33">
        <f>Demand!C2720</f>
        <v>22</v>
      </c>
      <c r="D2722" s="33">
        <f>Demand!E2720</f>
        <v>20</v>
      </c>
      <c r="E2722" s="33">
        <f>IF(Demand!F2720,1,0)</f>
        <v>0</v>
      </c>
      <c r="F2722" s="33">
        <f>COUNTIFS(c_store,A2722,c_date,B2722,c_hour,C2722)</f>
        <v>0</v>
      </c>
      <c r="G2722" s="33">
        <f>IF(F2722&gt;0,1,0)</f>
        <v>0</v>
      </c>
      <c r="H2722" s="33">
        <f>COUNTIFS(Demand!$A$2:$A$4481,A2722,Demand!$B$2:$B$4481,B2722,Demand!$C$2:$C$4481,C2722)</f>
        <v>1</v>
      </c>
    </row>
    <row r="2723">
      <c r="A2723" s="32" t="str">
        <f>Demand!A2721</f>
        <v>S010</v>
      </c>
      <c r="B2723" s="35">
        <f>Demand!B2721</f>
        <v>46274.0</v>
      </c>
      <c r="C2723" s="33">
        <f>Demand!C2721</f>
        <v>23</v>
      </c>
      <c r="D2723" s="33">
        <f>Demand!E2721</f>
        <v>24</v>
      </c>
      <c r="E2723" s="33">
        <f>IF(Demand!F2721,1,0)</f>
        <v>0</v>
      </c>
      <c r="F2723" s="33">
        <f>COUNTIFS(c_store,A2723,c_date,B2723,c_hour,C2723)</f>
        <v>1</v>
      </c>
      <c r="G2723" s="33">
        <f>IF(F2723&gt;0,1,0)</f>
        <v>1</v>
      </c>
      <c r="H2723" s="33">
        <f>COUNTIFS(Demand!$A$2:$A$4481,A2723,Demand!$B$2:$B$4481,B2723,Demand!$C$2:$C$4481,C2723)</f>
        <v>1</v>
      </c>
    </row>
    <row r="2724">
      <c r="A2724" s="32" t="str">
        <f>Demand!A2722</f>
        <v>S011</v>
      </c>
      <c r="B2724" s="35">
        <f>Demand!B2722</f>
        <v>46274.0</v>
      </c>
      <c r="C2724" s="33">
        <f>Demand!C2722</f>
        <v>8</v>
      </c>
      <c r="D2724" s="33">
        <f>Demand!E2722</f>
        <v>23</v>
      </c>
      <c r="E2724" s="33">
        <f>IF(Demand!F2722,1,0)</f>
        <v>0</v>
      </c>
      <c r="F2724" s="33">
        <f>COUNTIFS(c_store,A2724,c_date,B2724,c_hour,C2724)</f>
        <v>0</v>
      </c>
      <c r="G2724" s="33">
        <f>IF(F2724&gt;0,1,0)</f>
        <v>0</v>
      </c>
      <c r="H2724" s="33">
        <f>COUNTIFS(Demand!$A$2:$A$4481,A2724,Demand!$B$2:$B$4481,B2724,Demand!$C$2:$C$4481,C2724)</f>
        <v>1</v>
      </c>
    </row>
    <row r="2725">
      <c r="A2725" s="32" t="str">
        <f>Demand!A2723</f>
        <v>S011</v>
      </c>
      <c r="B2725" s="35">
        <f>Demand!B2723</f>
        <v>46274.0</v>
      </c>
      <c r="C2725" s="33">
        <f>Demand!C2723</f>
        <v>9</v>
      </c>
      <c r="D2725" s="33">
        <f>Demand!E2723</f>
        <v>30</v>
      </c>
      <c r="E2725" s="33">
        <f>IF(Demand!F2723,1,0)</f>
        <v>0</v>
      </c>
      <c r="F2725" s="33">
        <f>COUNTIFS(c_store,A2725,c_date,B2725,c_hour,C2725)</f>
        <v>1</v>
      </c>
      <c r="G2725" s="33">
        <f>IF(F2725&gt;0,1,0)</f>
        <v>1</v>
      </c>
      <c r="H2725" s="33">
        <f>COUNTIFS(Demand!$A$2:$A$4481,A2725,Demand!$B$2:$B$4481,B2725,Demand!$C$2:$C$4481,C2725)</f>
        <v>1</v>
      </c>
    </row>
    <row r="2726">
      <c r="A2726" s="32" t="str">
        <f>Demand!A2724</f>
        <v>S011</v>
      </c>
      <c r="B2726" s="35">
        <f>Demand!B2724</f>
        <v>46274.0</v>
      </c>
      <c r="C2726" s="33">
        <f>Demand!C2724</f>
        <v>10</v>
      </c>
      <c r="D2726" s="33">
        <f>Demand!E2724</f>
        <v>20</v>
      </c>
      <c r="E2726" s="33">
        <f>IF(Demand!F2724,1,0)</f>
        <v>0</v>
      </c>
      <c r="F2726" s="33">
        <f>COUNTIFS(c_store,A2726,c_date,B2726,c_hour,C2726)</f>
        <v>0</v>
      </c>
      <c r="G2726" s="33">
        <f>IF(F2726&gt;0,1,0)</f>
        <v>0</v>
      </c>
      <c r="H2726" s="33">
        <f>COUNTIFS(Demand!$A$2:$A$4481,A2726,Demand!$B$2:$B$4481,B2726,Demand!$C$2:$C$4481,C2726)</f>
        <v>1</v>
      </c>
    </row>
    <row r="2727">
      <c r="A2727" s="32" t="str">
        <f>Demand!A2725</f>
        <v>S011</v>
      </c>
      <c r="B2727" s="35">
        <f>Demand!B2725</f>
        <v>46274.0</v>
      </c>
      <c r="C2727" s="33">
        <f>Demand!C2725</f>
        <v>11</v>
      </c>
      <c r="D2727" s="33">
        <f>Demand!E2725</f>
        <v>25</v>
      </c>
      <c r="E2727" s="33">
        <f>IF(Demand!F2725,1,0)</f>
        <v>0</v>
      </c>
      <c r="F2727" s="33">
        <f>COUNTIFS(c_store,A2727,c_date,B2727,c_hour,C2727)</f>
        <v>0</v>
      </c>
      <c r="G2727" s="33">
        <f>IF(F2727&gt;0,1,0)</f>
        <v>0</v>
      </c>
      <c r="H2727" s="33">
        <f>COUNTIFS(Demand!$A$2:$A$4481,A2727,Demand!$B$2:$B$4481,B2727,Demand!$C$2:$C$4481,C2727)</f>
        <v>1</v>
      </c>
    </row>
    <row r="2728">
      <c r="A2728" s="32" t="str">
        <f>Demand!A2726</f>
        <v>S011</v>
      </c>
      <c r="B2728" s="35">
        <f>Demand!B2726</f>
        <v>46274.0</v>
      </c>
      <c r="C2728" s="33">
        <f>Demand!C2726</f>
        <v>12</v>
      </c>
      <c r="D2728" s="33">
        <f>Demand!E2726</f>
        <v>31</v>
      </c>
      <c r="E2728" s="33">
        <f>IF(Demand!F2726,1,0)</f>
        <v>0</v>
      </c>
      <c r="F2728" s="33">
        <f>COUNTIFS(c_store,A2728,c_date,B2728,c_hour,C2728)</f>
        <v>2</v>
      </c>
      <c r="G2728" s="33">
        <f>IF(F2728&gt;0,1,0)</f>
        <v>1</v>
      </c>
      <c r="H2728" s="33">
        <f>COUNTIFS(Demand!$A$2:$A$4481,A2728,Demand!$B$2:$B$4481,B2728,Demand!$C$2:$C$4481,C2728)</f>
        <v>1</v>
      </c>
    </row>
    <row r="2729">
      <c r="A2729" s="32" t="str">
        <f>Demand!A2727</f>
        <v>S011</v>
      </c>
      <c r="B2729" s="35">
        <f>Demand!B2727</f>
        <v>46274.0</v>
      </c>
      <c r="C2729" s="33">
        <f>Demand!C2727</f>
        <v>13</v>
      </c>
      <c r="D2729" s="33">
        <f>Demand!E2727</f>
        <v>32</v>
      </c>
      <c r="E2729" s="33">
        <f>IF(Demand!F2727,1,0)</f>
        <v>0</v>
      </c>
      <c r="F2729" s="33">
        <f>COUNTIFS(c_store,A2729,c_date,B2729,c_hour,C2729)</f>
        <v>0</v>
      </c>
      <c r="G2729" s="33">
        <f>IF(F2729&gt;0,1,0)</f>
        <v>0</v>
      </c>
      <c r="H2729" s="33">
        <f>COUNTIFS(Demand!$A$2:$A$4481,A2729,Demand!$B$2:$B$4481,B2729,Demand!$C$2:$C$4481,C2729)</f>
        <v>1</v>
      </c>
    </row>
    <row r="2730">
      <c r="A2730" s="32" t="str">
        <f>Demand!A2728</f>
        <v>S011</v>
      </c>
      <c r="B2730" s="35">
        <f>Demand!B2728</f>
        <v>46274.0</v>
      </c>
      <c r="C2730" s="33">
        <f>Demand!C2728</f>
        <v>14</v>
      </c>
      <c r="D2730" s="33">
        <f>Demand!E2728</f>
        <v>26</v>
      </c>
      <c r="E2730" s="33">
        <f>IF(Demand!F2728,1,0)</f>
        <v>0</v>
      </c>
      <c r="F2730" s="33">
        <f>COUNTIFS(c_store,A2730,c_date,B2730,c_hour,C2730)</f>
        <v>0</v>
      </c>
      <c r="G2730" s="33">
        <f>IF(F2730&gt;0,1,0)</f>
        <v>0</v>
      </c>
      <c r="H2730" s="33">
        <f>COUNTIFS(Demand!$A$2:$A$4481,A2730,Demand!$B$2:$B$4481,B2730,Demand!$C$2:$C$4481,C2730)</f>
        <v>1</v>
      </c>
    </row>
    <row r="2731">
      <c r="A2731" s="32" t="str">
        <f>Demand!A2729</f>
        <v>S011</v>
      </c>
      <c r="B2731" s="35">
        <f>Demand!B2729</f>
        <v>46274.0</v>
      </c>
      <c r="C2731" s="33">
        <f>Demand!C2729</f>
        <v>15</v>
      </c>
      <c r="D2731" s="33">
        <f>Demand!E2729</f>
        <v>15</v>
      </c>
      <c r="E2731" s="33">
        <f>IF(Demand!F2729,1,0)</f>
        <v>0</v>
      </c>
      <c r="F2731" s="33">
        <f>COUNTIFS(c_store,A2731,c_date,B2731,c_hour,C2731)</f>
        <v>0</v>
      </c>
      <c r="G2731" s="33">
        <f>IF(F2731&gt;0,1,0)</f>
        <v>0</v>
      </c>
      <c r="H2731" s="33">
        <f>COUNTIFS(Demand!$A$2:$A$4481,A2731,Demand!$B$2:$B$4481,B2731,Demand!$C$2:$C$4481,C2731)</f>
        <v>1</v>
      </c>
    </row>
    <row r="2732">
      <c r="A2732" s="32" t="str">
        <f>Demand!A2730</f>
        <v>S011</v>
      </c>
      <c r="B2732" s="35">
        <f>Demand!B2730</f>
        <v>46274.0</v>
      </c>
      <c r="C2732" s="33">
        <f>Demand!C2730</f>
        <v>16</v>
      </c>
      <c r="D2732" s="33">
        <f>Demand!E2730</f>
        <v>37</v>
      </c>
      <c r="E2732" s="33">
        <f>IF(Demand!F2730,1,0)</f>
        <v>0</v>
      </c>
      <c r="F2732" s="33">
        <f>COUNTIFS(c_store,A2732,c_date,B2732,c_hour,C2732)</f>
        <v>0</v>
      </c>
      <c r="G2732" s="33">
        <f>IF(F2732&gt;0,1,0)</f>
        <v>0</v>
      </c>
      <c r="H2732" s="33">
        <f>COUNTIFS(Demand!$A$2:$A$4481,A2732,Demand!$B$2:$B$4481,B2732,Demand!$C$2:$C$4481,C2732)</f>
        <v>1</v>
      </c>
    </row>
    <row r="2733">
      <c r="A2733" s="32" t="str">
        <f>Demand!A2731</f>
        <v>S011</v>
      </c>
      <c r="B2733" s="35">
        <f>Demand!B2731</f>
        <v>46274.0</v>
      </c>
      <c r="C2733" s="33">
        <f>Demand!C2731</f>
        <v>17</v>
      </c>
      <c r="D2733" s="33">
        <f>Demand!E2731</f>
        <v>32</v>
      </c>
      <c r="E2733" s="33">
        <f>IF(Demand!F2731,1,0)</f>
        <v>0</v>
      </c>
      <c r="F2733" s="33">
        <f>COUNTIFS(c_store,A2733,c_date,B2733,c_hour,C2733)</f>
        <v>0</v>
      </c>
      <c r="G2733" s="33">
        <f>IF(F2733&gt;0,1,0)</f>
        <v>0</v>
      </c>
      <c r="H2733" s="33">
        <f>COUNTIFS(Demand!$A$2:$A$4481,A2733,Demand!$B$2:$B$4481,B2733,Demand!$C$2:$C$4481,C2733)</f>
        <v>1</v>
      </c>
    </row>
    <row r="2734">
      <c r="A2734" s="32" t="str">
        <f>Demand!A2732</f>
        <v>S011</v>
      </c>
      <c r="B2734" s="35">
        <f>Demand!B2732</f>
        <v>46274.0</v>
      </c>
      <c r="C2734" s="33">
        <f>Demand!C2732</f>
        <v>18</v>
      </c>
      <c r="D2734" s="33">
        <f>Demand!E2732</f>
        <v>38</v>
      </c>
      <c r="E2734" s="33">
        <f>IF(Demand!F2732,1,0)</f>
        <v>0</v>
      </c>
      <c r="F2734" s="33">
        <f>COUNTIFS(c_store,A2734,c_date,B2734,c_hour,C2734)</f>
        <v>1</v>
      </c>
      <c r="G2734" s="33">
        <f>IF(F2734&gt;0,1,0)</f>
        <v>1</v>
      </c>
      <c r="H2734" s="33">
        <f>COUNTIFS(Demand!$A$2:$A$4481,A2734,Demand!$B$2:$B$4481,B2734,Demand!$C$2:$C$4481,C2734)</f>
        <v>1</v>
      </c>
    </row>
    <row r="2735">
      <c r="A2735" s="32" t="str">
        <f>Demand!A2733</f>
        <v>S011</v>
      </c>
      <c r="B2735" s="35">
        <f>Demand!B2733</f>
        <v>46274.0</v>
      </c>
      <c r="C2735" s="33">
        <f>Demand!C2733</f>
        <v>19</v>
      </c>
      <c r="D2735" s="33">
        <f>Demand!E2733</f>
        <v>45</v>
      </c>
      <c r="E2735" s="33">
        <f>IF(Demand!F2733,1,0)</f>
        <v>1</v>
      </c>
      <c r="F2735" s="33">
        <f>COUNTIFS(c_store,A2735,c_date,B2735,c_hour,C2735)</f>
        <v>0</v>
      </c>
      <c r="G2735" s="33">
        <f>IF(F2735&gt;0,1,0)</f>
        <v>0</v>
      </c>
      <c r="H2735" s="33">
        <f>COUNTIFS(Demand!$A$2:$A$4481,A2735,Demand!$B$2:$B$4481,B2735,Demand!$C$2:$C$4481,C2735)</f>
        <v>1</v>
      </c>
    </row>
    <row r="2736">
      <c r="A2736" s="32" t="str">
        <f>Demand!A2734</f>
        <v>S011</v>
      </c>
      <c r="B2736" s="35">
        <f>Demand!B2734</f>
        <v>46274.0</v>
      </c>
      <c r="C2736" s="33">
        <f>Demand!C2734</f>
        <v>20</v>
      </c>
      <c r="D2736" s="33">
        <f>Demand!E2734</f>
        <v>46</v>
      </c>
      <c r="E2736" s="33">
        <f>IF(Demand!F2734,1,0)</f>
        <v>1</v>
      </c>
      <c r="F2736" s="33">
        <f>COUNTIFS(c_store,A2736,c_date,B2736,c_hour,C2736)</f>
        <v>0</v>
      </c>
      <c r="G2736" s="33">
        <f>IF(F2736&gt;0,1,0)</f>
        <v>0</v>
      </c>
      <c r="H2736" s="33">
        <f>COUNTIFS(Demand!$A$2:$A$4481,A2736,Demand!$B$2:$B$4481,B2736,Demand!$C$2:$C$4481,C2736)</f>
        <v>1</v>
      </c>
    </row>
    <row r="2737">
      <c r="A2737" s="32" t="str">
        <f>Demand!A2735</f>
        <v>S011</v>
      </c>
      <c r="B2737" s="35">
        <f>Demand!B2735</f>
        <v>46274.0</v>
      </c>
      <c r="C2737" s="33">
        <f>Demand!C2735</f>
        <v>21</v>
      </c>
      <c r="D2737" s="33">
        <f>Demand!E2735</f>
        <v>48</v>
      </c>
      <c r="E2737" s="33">
        <f>IF(Demand!F2735,1,0)</f>
        <v>1</v>
      </c>
      <c r="F2737" s="33">
        <f>COUNTIFS(c_store,A2737,c_date,B2737,c_hour,C2737)</f>
        <v>0</v>
      </c>
      <c r="G2737" s="33">
        <f>IF(F2737&gt;0,1,0)</f>
        <v>0</v>
      </c>
      <c r="H2737" s="33">
        <f>COUNTIFS(Demand!$A$2:$A$4481,A2737,Demand!$B$2:$B$4481,B2737,Demand!$C$2:$C$4481,C2737)</f>
        <v>1</v>
      </c>
    </row>
    <row r="2738">
      <c r="A2738" s="32" t="str">
        <f>Demand!A2736</f>
        <v>S011</v>
      </c>
      <c r="B2738" s="35">
        <f>Demand!B2736</f>
        <v>46274.0</v>
      </c>
      <c r="C2738" s="33">
        <f>Demand!C2736</f>
        <v>22</v>
      </c>
      <c r="D2738" s="33">
        <f>Demand!E2736</f>
        <v>33</v>
      </c>
      <c r="E2738" s="33">
        <f>IF(Demand!F2736,1,0)</f>
        <v>0</v>
      </c>
      <c r="F2738" s="33">
        <f>COUNTIFS(c_store,A2738,c_date,B2738,c_hour,C2738)</f>
        <v>0</v>
      </c>
      <c r="G2738" s="33">
        <f>IF(F2738&gt;0,1,0)</f>
        <v>0</v>
      </c>
      <c r="H2738" s="33">
        <f>COUNTIFS(Demand!$A$2:$A$4481,A2738,Demand!$B$2:$B$4481,B2738,Demand!$C$2:$C$4481,C2738)</f>
        <v>1</v>
      </c>
    </row>
    <row r="2739">
      <c r="A2739" s="32" t="str">
        <f>Demand!A2737</f>
        <v>S011</v>
      </c>
      <c r="B2739" s="35">
        <f>Demand!B2737</f>
        <v>46274.0</v>
      </c>
      <c r="C2739" s="33">
        <f>Demand!C2737</f>
        <v>23</v>
      </c>
      <c r="D2739" s="33">
        <f>Demand!E2737</f>
        <v>32</v>
      </c>
      <c r="E2739" s="33">
        <f>IF(Demand!F2737,1,0)</f>
        <v>0</v>
      </c>
      <c r="F2739" s="33">
        <f>COUNTIFS(c_store,A2739,c_date,B2739,c_hour,C2739)</f>
        <v>1</v>
      </c>
      <c r="G2739" s="33">
        <f>IF(F2739&gt;0,1,0)</f>
        <v>1</v>
      </c>
      <c r="H2739" s="33">
        <f>COUNTIFS(Demand!$A$2:$A$4481,A2739,Demand!$B$2:$B$4481,B2739,Demand!$C$2:$C$4481,C2739)</f>
        <v>1</v>
      </c>
    </row>
    <row r="2740">
      <c r="A2740" s="32" t="str">
        <f>Demand!A2738</f>
        <v>S012</v>
      </c>
      <c r="B2740" s="35">
        <f>Demand!B2738</f>
        <v>46274.0</v>
      </c>
      <c r="C2740" s="33">
        <f>Demand!C2738</f>
        <v>8</v>
      </c>
      <c r="D2740" s="33">
        <f>Demand!E2738</f>
        <v>9</v>
      </c>
      <c r="E2740" s="33">
        <f>IF(Demand!F2738,1,0)</f>
        <v>0</v>
      </c>
      <c r="F2740" s="33">
        <f>COUNTIFS(c_store,A2740,c_date,B2740,c_hour,C2740)</f>
        <v>0</v>
      </c>
      <c r="G2740" s="33">
        <f>IF(F2740&gt;0,1,0)</f>
        <v>0</v>
      </c>
      <c r="H2740" s="33">
        <f>COUNTIFS(Demand!$A$2:$A$4481,A2740,Demand!$B$2:$B$4481,B2740,Demand!$C$2:$C$4481,C2740)</f>
        <v>1</v>
      </c>
    </row>
    <row r="2741">
      <c r="A2741" s="32" t="str">
        <f>Demand!A2739</f>
        <v>S012</v>
      </c>
      <c r="B2741" s="35">
        <f>Demand!B2739</f>
        <v>46274.0</v>
      </c>
      <c r="C2741" s="33">
        <f>Demand!C2739</f>
        <v>9</v>
      </c>
      <c r="D2741" s="33">
        <f>Demand!E2739</f>
        <v>11</v>
      </c>
      <c r="E2741" s="33">
        <f>IF(Demand!F2739,1,0)</f>
        <v>0</v>
      </c>
      <c r="F2741" s="33">
        <f>COUNTIFS(c_store,A2741,c_date,B2741,c_hour,C2741)</f>
        <v>0</v>
      </c>
      <c r="G2741" s="33">
        <f>IF(F2741&gt;0,1,0)</f>
        <v>0</v>
      </c>
      <c r="H2741" s="33">
        <f>COUNTIFS(Demand!$A$2:$A$4481,A2741,Demand!$B$2:$B$4481,B2741,Demand!$C$2:$C$4481,C2741)</f>
        <v>1</v>
      </c>
    </row>
    <row r="2742">
      <c r="A2742" s="32" t="str">
        <f>Demand!A2740</f>
        <v>S012</v>
      </c>
      <c r="B2742" s="35">
        <f>Demand!B2740</f>
        <v>46274.0</v>
      </c>
      <c r="C2742" s="33">
        <f>Demand!C2740</f>
        <v>10</v>
      </c>
      <c r="D2742" s="33">
        <f>Demand!E2740</f>
        <v>12</v>
      </c>
      <c r="E2742" s="33">
        <f>IF(Demand!F2740,1,0)</f>
        <v>0</v>
      </c>
      <c r="F2742" s="33">
        <f>COUNTIFS(c_store,A2742,c_date,B2742,c_hour,C2742)</f>
        <v>0</v>
      </c>
      <c r="G2742" s="33">
        <f>IF(F2742&gt;0,1,0)</f>
        <v>0</v>
      </c>
      <c r="H2742" s="33">
        <f>COUNTIFS(Demand!$A$2:$A$4481,A2742,Demand!$B$2:$B$4481,B2742,Demand!$C$2:$C$4481,C2742)</f>
        <v>1</v>
      </c>
    </row>
    <row r="2743">
      <c r="A2743" s="32" t="str">
        <f>Demand!A2741</f>
        <v>S012</v>
      </c>
      <c r="B2743" s="35">
        <f>Demand!B2741</f>
        <v>46274.0</v>
      </c>
      <c r="C2743" s="33">
        <f>Demand!C2741</f>
        <v>11</v>
      </c>
      <c r="D2743" s="33">
        <f>Demand!E2741</f>
        <v>21</v>
      </c>
      <c r="E2743" s="33">
        <f>IF(Demand!F2741,1,0)</f>
        <v>0</v>
      </c>
      <c r="F2743" s="33">
        <f>COUNTIFS(c_store,A2743,c_date,B2743,c_hour,C2743)</f>
        <v>1</v>
      </c>
      <c r="G2743" s="33">
        <f>IF(F2743&gt;0,1,0)</f>
        <v>1</v>
      </c>
      <c r="H2743" s="33">
        <f>COUNTIFS(Demand!$A$2:$A$4481,A2743,Demand!$B$2:$B$4481,B2743,Demand!$C$2:$C$4481,C2743)</f>
        <v>1</v>
      </c>
    </row>
    <row r="2744">
      <c r="A2744" s="32" t="str">
        <f>Demand!A2742</f>
        <v>S012</v>
      </c>
      <c r="B2744" s="35">
        <f>Demand!B2742</f>
        <v>46274.0</v>
      </c>
      <c r="C2744" s="33">
        <f>Demand!C2742</f>
        <v>12</v>
      </c>
      <c r="D2744" s="33">
        <f>Demand!E2742</f>
        <v>17</v>
      </c>
      <c r="E2744" s="33">
        <f>IF(Demand!F2742,1,0)</f>
        <v>0</v>
      </c>
      <c r="F2744" s="33">
        <f>COUNTIFS(c_store,A2744,c_date,B2744,c_hour,C2744)</f>
        <v>1</v>
      </c>
      <c r="G2744" s="33">
        <f>IF(F2744&gt;0,1,0)</f>
        <v>1</v>
      </c>
      <c r="H2744" s="33">
        <f>COUNTIFS(Demand!$A$2:$A$4481,A2744,Demand!$B$2:$B$4481,B2744,Demand!$C$2:$C$4481,C2744)</f>
        <v>1</v>
      </c>
    </row>
    <row r="2745">
      <c r="A2745" s="32" t="str">
        <f>Demand!A2743</f>
        <v>S012</v>
      </c>
      <c r="B2745" s="35">
        <f>Demand!B2743</f>
        <v>46274.0</v>
      </c>
      <c r="C2745" s="33">
        <f>Demand!C2743</f>
        <v>13</v>
      </c>
      <c r="D2745" s="33">
        <f>Demand!E2743</f>
        <v>16</v>
      </c>
      <c r="E2745" s="33">
        <f>IF(Demand!F2743,1,0)</f>
        <v>0</v>
      </c>
      <c r="F2745" s="33">
        <f>COUNTIFS(c_store,A2745,c_date,B2745,c_hour,C2745)</f>
        <v>0</v>
      </c>
      <c r="G2745" s="33">
        <f>IF(F2745&gt;0,1,0)</f>
        <v>0</v>
      </c>
      <c r="H2745" s="33">
        <f>COUNTIFS(Demand!$A$2:$A$4481,A2745,Demand!$B$2:$B$4481,B2745,Demand!$C$2:$C$4481,C2745)</f>
        <v>1</v>
      </c>
    </row>
    <row r="2746">
      <c r="A2746" s="32" t="str">
        <f>Demand!A2744</f>
        <v>S012</v>
      </c>
      <c r="B2746" s="35">
        <f>Demand!B2744</f>
        <v>46274.0</v>
      </c>
      <c r="C2746" s="33">
        <f>Demand!C2744</f>
        <v>14</v>
      </c>
      <c r="D2746" s="33">
        <f>Demand!E2744</f>
        <v>10</v>
      </c>
      <c r="E2746" s="33">
        <f>IF(Demand!F2744,1,0)</f>
        <v>0</v>
      </c>
      <c r="F2746" s="33">
        <f>COUNTIFS(c_store,A2746,c_date,B2746,c_hour,C2746)</f>
        <v>0</v>
      </c>
      <c r="G2746" s="33">
        <f>IF(F2746&gt;0,1,0)</f>
        <v>0</v>
      </c>
      <c r="H2746" s="33">
        <f>COUNTIFS(Demand!$A$2:$A$4481,A2746,Demand!$B$2:$B$4481,B2746,Demand!$C$2:$C$4481,C2746)</f>
        <v>1</v>
      </c>
    </row>
    <row r="2747">
      <c r="A2747" s="32" t="str">
        <f>Demand!A2745</f>
        <v>S012</v>
      </c>
      <c r="B2747" s="35">
        <f>Demand!B2745</f>
        <v>46274.0</v>
      </c>
      <c r="C2747" s="33">
        <f>Demand!C2745</f>
        <v>15</v>
      </c>
      <c r="D2747" s="33">
        <f>Demand!E2745</f>
        <v>10</v>
      </c>
      <c r="E2747" s="33">
        <f>IF(Demand!F2745,1,0)</f>
        <v>0</v>
      </c>
      <c r="F2747" s="33">
        <f>COUNTIFS(c_store,A2747,c_date,B2747,c_hour,C2747)</f>
        <v>0</v>
      </c>
      <c r="G2747" s="33">
        <f>IF(F2747&gt;0,1,0)</f>
        <v>0</v>
      </c>
      <c r="H2747" s="33">
        <f>COUNTIFS(Demand!$A$2:$A$4481,A2747,Demand!$B$2:$B$4481,B2747,Demand!$C$2:$C$4481,C2747)</f>
        <v>1</v>
      </c>
    </row>
    <row r="2748">
      <c r="A2748" s="32" t="str">
        <f>Demand!A2746</f>
        <v>S012</v>
      </c>
      <c r="B2748" s="35">
        <f>Demand!B2746</f>
        <v>46274.0</v>
      </c>
      <c r="C2748" s="33">
        <f>Demand!C2746</f>
        <v>16</v>
      </c>
      <c r="D2748" s="33">
        <f>Demand!E2746</f>
        <v>12</v>
      </c>
      <c r="E2748" s="33">
        <f>IF(Demand!F2746,1,0)</f>
        <v>0</v>
      </c>
      <c r="F2748" s="33">
        <f>COUNTIFS(c_store,A2748,c_date,B2748,c_hour,C2748)</f>
        <v>1</v>
      </c>
      <c r="G2748" s="33">
        <f>IF(F2748&gt;0,1,0)</f>
        <v>1</v>
      </c>
      <c r="H2748" s="33">
        <f>COUNTIFS(Demand!$A$2:$A$4481,A2748,Demand!$B$2:$B$4481,B2748,Demand!$C$2:$C$4481,C2748)</f>
        <v>1</v>
      </c>
    </row>
    <row r="2749">
      <c r="A2749" s="32" t="str">
        <f>Demand!A2747</f>
        <v>S012</v>
      </c>
      <c r="B2749" s="35">
        <f>Demand!B2747</f>
        <v>46274.0</v>
      </c>
      <c r="C2749" s="33">
        <f>Demand!C2747</f>
        <v>17</v>
      </c>
      <c r="D2749" s="33">
        <f>Demand!E2747</f>
        <v>15</v>
      </c>
      <c r="E2749" s="33">
        <f>IF(Demand!F2747,1,0)</f>
        <v>0</v>
      </c>
      <c r="F2749" s="33">
        <f>COUNTIFS(c_store,A2749,c_date,B2749,c_hour,C2749)</f>
        <v>0</v>
      </c>
      <c r="G2749" s="33">
        <f>IF(F2749&gt;0,1,0)</f>
        <v>0</v>
      </c>
      <c r="H2749" s="33">
        <f>COUNTIFS(Demand!$A$2:$A$4481,A2749,Demand!$B$2:$B$4481,B2749,Demand!$C$2:$C$4481,C2749)</f>
        <v>1</v>
      </c>
    </row>
    <row r="2750">
      <c r="A2750" s="32" t="str">
        <f>Demand!A2748</f>
        <v>S012</v>
      </c>
      <c r="B2750" s="35">
        <f>Demand!B2748</f>
        <v>46274.0</v>
      </c>
      <c r="C2750" s="33">
        <f>Demand!C2748</f>
        <v>18</v>
      </c>
      <c r="D2750" s="33">
        <f>Demand!E2748</f>
        <v>16</v>
      </c>
      <c r="E2750" s="33">
        <f>IF(Demand!F2748,1,0)</f>
        <v>0</v>
      </c>
      <c r="F2750" s="33">
        <f>COUNTIFS(c_store,A2750,c_date,B2750,c_hour,C2750)</f>
        <v>0</v>
      </c>
      <c r="G2750" s="33">
        <f>IF(F2750&gt;0,1,0)</f>
        <v>0</v>
      </c>
      <c r="H2750" s="33">
        <f>COUNTIFS(Demand!$A$2:$A$4481,A2750,Demand!$B$2:$B$4481,B2750,Demand!$C$2:$C$4481,C2750)</f>
        <v>1</v>
      </c>
    </row>
    <row r="2751">
      <c r="A2751" s="32" t="str">
        <f>Demand!A2749</f>
        <v>S012</v>
      </c>
      <c r="B2751" s="35">
        <f>Demand!B2749</f>
        <v>46274.0</v>
      </c>
      <c r="C2751" s="33">
        <f>Demand!C2749</f>
        <v>19</v>
      </c>
      <c r="D2751" s="33">
        <f>Demand!E2749</f>
        <v>13</v>
      </c>
      <c r="E2751" s="33">
        <f>IF(Demand!F2749,1,0)</f>
        <v>1</v>
      </c>
      <c r="F2751" s="33">
        <f>COUNTIFS(c_store,A2751,c_date,B2751,c_hour,C2751)</f>
        <v>0</v>
      </c>
      <c r="G2751" s="33">
        <f>IF(F2751&gt;0,1,0)</f>
        <v>0</v>
      </c>
      <c r="H2751" s="33">
        <f>COUNTIFS(Demand!$A$2:$A$4481,A2751,Demand!$B$2:$B$4481,B2751,Demand!$C$2:$C$4481,C2751)</f>
        <v>1</v>
      </c>
    </row>
    <row r="2752">
      <c r="A2752" s="32" t="str">
        <f>Demand!A2750</f>
        <v>S012</v>
      </c>
      <c r="B2752" s="35">
        <f>Demand!B2750</f>
        <v>46274.0</v>
      </c>
      <c r="C2752" s="33">
        <f>Demand!C2750</f>
        <v>20</v>
      </c>
      <c r="D2752" s="33">
        <f>Demand!E2750</f>
        <v>25</v>
      </c>
      <c r="E2752" s="33">
        <f>IF(Demand!F2750,1,0)</f>
        <v>1</v>
      </c>
      <c r="F2752" s="33">
        <f>COUNTIFS(c_store,A2752,c_date,B2752,c_hour,C2752)</f>
        <v>0</v>
      </c>
      <c r="G2752" s="33">
        <f>IF(F2752&gt;0,1,0)</f>
        <v>0</v>
      </c>
      <c r="H2752" s="33">
        <f>COUNTIFS(Demand!$A$2:$A$4481,A2752,Demand!$B$2:$B$4481,B2752,Demand!$C$2:$C$4481,C2752)</f>
        <v>1</v>
      </c>
    </row>
    <row r="2753">
      <c r="A2753" s="32" t="str">
        <f>Demand!A2751</f>
        <v>S012</v>
      </c>
      <c r="B2753" s="35">
        <f>Demand!B2751</f>
        <v>46274.0</v>
      </c>
      <c r="C2753" s="33">
        <f>Demand!C2751</f>
        <v>21</v>
      </c>
      <c r="D2753" s="33">
        <f>Demand!E2751</f>
        <v>24</v>
      </c>
      <c r="E2753" s="33">
        <f>IF(Demand!F2751,1,0)</f>
        <v>1</v>
      </c>
      <c r="F2753" s="33">
        <f>COUNTIFS(c_store,A2753,c_date,B2753,c_hour,C2753)</f>
        <v>0</v>
      </c>
      <c r="G2753" s="33">
        <f>IF(F2753&gt;0,1,0)</f>
        <v>0</v>
      </c>
      <c r="H2753" s="33">
        <f>COUNTIFS(Demand!$A$2:$A$4481,A2753,Demand!$B$2:$B$4481,B2753,Demand!$C$2:$C$4481,C2753)</f>
        <v>1</v>
      </c>
    </row>
    <row r="2754">
      <c r="A2754" s="32" t="str">
        <f>Demand!A2752</f>
        <v>S012</v>
      </c>
      <c r="B2754" s="35">
        <f>Demand!B2752</f>
        <v>46274.0</v>
      </c>
      <c r="C2754" s="33">
        <f>Demand!C2752</f>
        <v>22</v>
      </c>
      <c r="D2754" s="33">
        <f>Demand!E2752</f>
        <v>14</v>
      </c>
      <c r="E2754" s="33">
        <f>IF(Demand!F2752,1,0)</f>
        <v>0</v>
      </c>
      <c r="F2754" s="33">
        <f>COUNTIFS(c_store,A2754,c_date,B2754,c_hour,C2754)</f>
        <v>0</v>
      </c>
      <c r="G2754" s="33">
        <f>IF(F2754&gt;0,1,0)</f>
        <v>0</v>
      </c>
      <c r="H2754" s="33">
        <f>COUNTIFS(Demand!$A$2:$A$4481,A2754,Demand!$B$2:$B$4481,B2754,Demand!$C$2:$C$4481,C2754)</f>
        <v>1</v>
      </c>
    </row>
    <row r="2755">
      <c r="A2755" s="32" t="str">
        <f>Demand!A2753</f>
        <v>S012</v>
      </c>
      <c r="B2755" s="35">
        <f>Demand!B2753</f>
        <v>46274.0</v>
      </c>
      <c r="C2755" s="33">
        <f>Demand!C2753</f>
        <v>23</v>
      </c>
      <c r="D2755" s="33">
        <f>Demand!E2753</f>
        <v>23</v>
      </c>
      <c r="E2755" s="33">
        <f>IF(Demand!F2753,1,0)</f>
        <v>0</v>
      </c>
      <c r="F2755" s="33">
        <f>COUNTIFS(c_store,A2755,c_date,B2755,c_hour,C2755)</f>
        <v>0</v>
      </c>
      <c r="G2755" s="33">
        <f>IF(F2755&gt;0,1,0)</f>
        <v>0</v>
      </c>
      <c r="H2755" s="33">
        <f>COUNTIFS(Demand!$A$2:$A$4481,A2755,Demand!$B$2:$B$4481,B2755,Demand!$C$2:$C$4481,C2755)</f>
        <v>1</v>
      </c>
    </row>
    <row r="2756">
      <c r="A2756" s="32" t="str">
        <f>Demand!A2754</f>
        <v>S013</v>
      </c>
      <c r="B2756" s="35">
        <f>Demand!B2754</f>
        <v>46274.0</v>
      </c>
      <c r="C2756" s="33">
        <f>Demand!C2754</f>
        <v>8</v>
      </c>
      <c r="D2756" s="33">
        <f>Demand!E2754</f>
        <v>33</v>
      </c>
      <c r="E2756" s="33">
        <f>IF(Demand!F2754,1,0)</f>
        <v>0</v>
      </c>
      <c r="F2756" s="33">
        <f>COUNTIFS(c_store,A2756,c_date,B2756,c_hour,C2756)</f>
        <v>0</v>
      </c>
      <c r="G2756" s="33">
        <f>IF(F2756&gt;0,1,0)</f>
        <v>0</v>
      </c>
      <c r="H2756" s="33">
        <f>COUNTIFS(Demand!$A$2:$A$4481,A2756,Demand!$B$2:$B$4481,B2756,Demand!$C$2:$C$4481,C2756)</f>
        <v>1</v>
      </c>
    </row>
    <row r="2757">
      <c r="A2757" s="32" t="str">
        <f>Demand!A2755</f>
        <v>S013</v>
      </c>
      <c r="B2757" s="35">
        <f>Demand!B2755</f>
        <v>46274.0</v>
      </c>
      <c r="C2757" s="33">
        <f>Demand!C2755</f>
        <v>9</v>
      </c>
      <c r="D2757" s="33">
        <f>Demand!E2755</f>
        <v>31</v>
      </c>
      <c r="E2757" s="33">
        <f>IF(Demand!F2755,1,0)</f>
        <v>0</v>
      </c>
      <c r="F2757" s="33">
        <f>COUNTIFS(c_store,A2757,c_date,B2757,c_hour,C2757)</f>
        <v>0</v>
      </c>
      <c r="G2757" s="33">
        <f>IF(F2757&gt;0,1,0)</f>
        <v>0</v>
      </c>
      <c r="H2757" s="33">
        <f>COUNTIFS(Demand!$A$2:$A$4481,A2757,Demand!$B$2:$B$4481,B2757,Demand!$C$2:$C$4481,C2757)</f>
        <v>1</v>
      </c>
    </row>
    <row r="2758">
      <c r="A2758" s="32" t="str">
        <f>Demand!A2756</f>
        <v>S013</v>
      </c>
      <c r="B2758" s="35">
        <f>Demand!B2756</f>
        <v>46274.0</v>
      </c>
      <c r="C2758" s="33">
        <f>Demand!C2756</f>
        <v>10</v>
      </c>
      <c r="D2758" s="33">
        <f>Demand!E2756</f>
        <v>25</v>
      </c>
      <c r="E2758" s="33">
        <f>IF(Demand!F2756,1,0)</f>
        <v>0</v>
      </c>
      <c r="F2758" s="33">
        <f>COUNTIFS(c_store,A2758,c_date,B2758,c_hour,C2758)</f>
        <v>1</v>
      </c>
      <c r="G2758" s="33">
        <f>IF(F2758&gt;0,1,0)</f>
        <v>1</v>
      </c>
      <c r="H2758" s="33">
        <f>COUNTIFS(Demand!$A$2:$A$4481,A2758,Demand!$B$2:$B$4481,B2758,Demand!$C$2:$C$4481,C2758)</f>
        <v>1</v>
      </c>
    </row>
    <row r="2759">
      <c r="A2759" s="32" t="str">
        <f>Demand!A2757</f>
        <v>S013</v>
      </c>
      <c r="B2759" s="35">
        <f>Demand!B2757</f>
        <v>46274.0</v>
      </c>
      <c r="C2759" s="33">
        <f>Demand!C2757</f>
        <v>11</v>
      </c>
      <c r="D2759" s="33">
        <f>Demand!E2757</f>
        <v>41</v>
      </c>
      <c r="E2759" s="33">
        <f>IF(Demand!F2757,1,0)</f>
        <v>0</v>
      </c>
      <c r="F2759" s="33">
        <f>COUNTIFS(c_store,A2759,c_date,B2759,c_hour,C2759)</f>
        <v>0</v>
      </c>
      <c r="G2759" s="33">
        <f>IF(F2759&gt;0,1,0)</f>
        <v>0</v>
      </c>
      <c r="H2759" s="33">
        <f>COUNTIFS(Demand!$A$2:$A$4481,A2759,Demand!$B$2:$B$4481,B2759,Demand!$C$2:$C$4481,C2759)</f>
        <v>1</v>
      </c>
    </row>
    <row r="2760">
      <c r="A2760" s="32" t="str">
        <f>Demand!A2758</f>
        <v>S013</v>
      </c>
      <c r="B2760" s="35">
        <f>Demand!B2758</f>
        <v>46274.0</v>
      </c>
      <c r="C2760" s="33">
        <f>Demand!C2758</f>
        <v>12</v>
      </c>
      <c r="D2760" s="33">
        <f>Demand!E2758</f>
        <v>49</v>
      </c>
      <c r="E2760" s="33">
        <f>IF(Demand!F2758,1,0)</f>
        <v>0</v>
      </c>
      <c r="F2760" s="33">
        <f>COUNTIFS(c_store,A2760,c_date,B2760,c_hour,C2760)</f>
        <v>0</v>
      </c>
      <c r="G2760" s="33">
        <f>IF(F2760&gt;0,1,0)</f>
        <v>0</v>
      </c>
      <c r="H2760" s="33">
        <f>COUNTIFS(Demand!$A$2:$A$4481,A2760,Demand!$B$2:$B$4481,B2760,Demand!$C$2:$C$4481,C2760)</f>
        <v>1</v>
      </c>
    </row>
    <row r="2761">
      <c r="A2761" s="32" t="str">
        <f>Demand!A2759</f>
        <v>S013</v>
      </c>
      <c r="B2761" s="35">
        <f>Demand!B2759</f>
        <v>46274.0</v>
      </c>
      <c r="C2761" s="33">
        <f>Demand!C2759</f>
        <v>13</v>
      </c>
      <c r="D2761" s="33">
        <f>Demand!E2759</f>
        <v>49</v>
      </c>
      <c r="E2761" s="33">
        <f>IF(Demand!F2759,1,0)</f>
        <v>0</v>
      </c>
      <c r="F2761" s="33">
        <f>COUNTIFS(c_store,A2761,c_date,B2761,c_hour,C2761)</f>
        <v>0</v>
      </c>
      <c r="G2761" s="33">
        <f>IF(F2761&gt;0,1,0)</f>
        <v>0</v>
      </c>
      <c r="H2761" s="33">
        <f>COUNTIFS(Demand!$A$2:$A$4481,A2761,Demand!$B$2:$B$4481,B2761,Demand!$C$2:$C$4481,C2761)</f>
        <v>1</v>
      </c>
    </row>
    <row r="2762">
      <c r="A2762" s="32" t="str">
        <f>Demand!A2760</f>
        <v>S013</v>
      </c>
      <c r="B2762" s="35">
        <f>Demand!B2760</f>
        <v>46274.0</v>
      </c>
      <c r="C2762" s="33">
        <f>Demand!C2760</f>
        <v>14</v>
      </c>
      <c r="D2762" s="33">
        <f>Demand!E2760</f>
        <v>32</v>
      </c>
      <c r="E2762" s="33">
        <f>IF(Demand!F2760,1,0)</f>
        <v>0</v>
      </c>
      <c r="F2762" s="33">
        <f>COUNTIFS(c_store,A2762,c_date,B2762,c_hour,C2762)</f>
        <v>1</v>
      </c>
      <c r="G2762" s="33">
        <f>IF(F2762&gt;0,1,0)</f>
        <v>1</v>
      </c>
      <c r="H2762" s="33">
        <f>COUNTIFS(Demand!$A$2:$A$4481,A2762,Demand!$B$2:$B$4481,B2762,Demand!$C$2:$C$4481,C2762)</f>
        <v>1</v>
      </c>
    </row>
    <row r="2763">
      <c r="A2763" s="32" t="str">
        <f>Demand!A2761</f>
        <v>S013</v>
      </c>
      <c r="B2763" s="35">
        <f>Demand!B2761</f>
        <v>46274.0</v>
      </c>
      <c r="C2763" s="33">
        <f>Demand!C2761</f>
        <v>15</v>
      </c>
      <c r="D2763" s="33">
        <f>Demand!E2761</f>
        <v>40</v>
      </c>
      <c r="E2763" s="33">
        <f>IF(Demand!F2761,1,0)</f>
        <v>0</v>
      </c>
      <c r="F2763" s="33">
        <f>COUNTIFS(c_store,A2763,c_date,B2763,c_hour,C2763)</f>
        <v>0</v>
      </c>
      <c r="G2763" s="33">
        <f>IF(F2763&gt;0,1,0)</f>
        <v>0</v>
      </c>
      <c r="H2763" s="33">
        <f>COUNTIFS(Demand!$A$2:$A$4481,A2763,Demand!$B$2:$B$4481,B2763,Demand!$C$2:$C$4481,C2763)</f>
        <v>1</v>
      </c>
    </row>
    <row r="2764">
      <c r="A2764" s="32" t="str">
        <f>Demand!A2762</f>
        <v>S013</v>
      </c>
      <c r="B2764" s="35">
        <f>Demand!B2762</f>
        <v>46274.0</v>
      </c>
      <c r="C2764" s="33">
        <f>Demand!C2762</f>
        <v>16</v>
      </c>
      <c r="D2764" s="33">
        <f>Demand!E2762</f>
        <v>55</v>
      </c>
      <c r="E2764" s="33">
        <f>IF(Demand!F2762,1,0)</f>
        <v>0</v>
      </c>
      <c r="F2764" s="33">
        <f>COUNTIFS(c_store,A2764,c_date,B2764,c_hour,C2764)</f>
        <v>1</v>
      </c>
      <c r="G2764" s="33">
        <f>IF(F2764&gt;0,1,0)</f>
        <v>1</v>
      </c>
      <c r="H2764" s="33">
        <f>COUNTIFS(Demand!$A$2:$A$4481,A2764,Demand!$B$2:$B$4481,B2764,Demand!$C$2:$C$4481,C2764)</f>
        <v>1</v>
      </c>
    </row>
    <row r="2765">
      <c r="A2765" s="32" t="str">
        <f>Demand!A2763</f>
        <v>S013</v>
      </c>
      <c r="B2765" s="35">
        <f>Demand!B2763</f>
        <v>46274.0</v>
      </c>
      <c r="C2765" s="33">
        <f>Demand!C2763</f>
        <v>17</v>
      </c>
      <c r="D2765" s="33">
        <f>Demand!E2763</f>
        <v>49</v>
      </c>
      <c r="E2765" s="33">
        <f>IF(Demand!F2763,1,0)</f>
        <v>0</v>
      </c>
      <c r="F2765" s="33">
        <f>COUNTIFS(c_store,A2765,c_date,B2765,c_hour,C2765)</f>
        <v>0</v>
      </c>
      <c r="G2765" s="33">
        <f>IF(F2765&gt;0,1,0)</f>
        <v>0</v>
      </c>
      <c r="H2765" s="33">
        <f>COUNTIFS(Demand!$A$2:$A$4481,A2765,Demand!$B$2:$B$4481,B2765,Demand!$C$2:$C$4481,C2765)</f>
        <v>1</v>
      </c>
    </row>
    <row r="2766">
      <c r="A2766" s="32" t="str">
        <f>Demand!A2764</f>
        <v>S013</v>
      </c>
      <c r="B2766" s="35">
        <f>Demand!B2764</f>
        <v>46274.0</v>
      </c>
      <c r="C2766" s="33">
        <f>Demand!C2764</f>
        <v>18</v>
      </c>
      <c r="D2766" s="33">
        <f>Demand!E2764</f>
        <v>46</v>
      </c>
      <c r="E2766" s="33">
        <f>IF(Demand!F2764,1,0)</f>
        <v>0</v>
      </c>
      <c r="F2766" s="33">
        <f>COUNTIFS(c_store,A2766,c_date,B2766,c_hour,C2766)</f>
        <v>1</v>
      </c>
      <c r="G2766" s="33">
        <f>IF(F2766&gt;0,1,0)</f>
        <v>1</v>
      </c>
      <c r="H2766" s="33">
        <f>COUNTIFS(Demand!$A$2:$A$4481,A2766,Demand!$B$2:$B$4481,B2766,Demand!$C$2:$C$4481,C2766)</f>
        <v>1</v>
      </c>
    </row>
    <row r="2767">
      <c r="A2767" s="32" t="str">
        <f>Demand!A2765</f>
        <v>S013</v>
      </c>
      <c r="B2767" s="35">
        <f>Demand!B2765</f>
        <v>46274.0</v>
      </c>
      <c r="C2767" s="33">
        <f>Demand!C2765</f>
        <v>19</v>
      </c>
      <c r="D2767" s="33">
        <f>Demand!E2765</f>
        <v>85</v>
      </c>
      <c r="E2767" s="33">
        <f>IF(Demand!F2765,1,0)</f>
        <v>1</v>
      </c>
      <c r="F2767" s="33">
        <f>COUNTIFS(c_store,A2767,c_date,B2767,c_hour,C2767)</f>
        <v>0</v>
      </c>
      <c r="G2767" s="33">
        <f>IF(F2767&gt;0,1,0)</f>
        <v>0</v>
      </c>
      <c r="H2767" s="33">
        <f>COUNTIFS(Demand!$A$2:$A$4481,A2767,Demand!$B$2:$B$4481,B2767,Demand!$C$2:$C$4481,C2767)</f>
        <v>1</v>
      </c>
    </row>
    <row r="2768">
      <c r="A2768" s="32" t="str">
        <f>Demand!A2766</f>
        <v>S013</v>
      </c>
      <c r="B2768" s="35">
        <f>Demand!B2766</f>
        <v>46274.0</v>
      </c>
      <c r="C2768" s="33">
        <f>Demand!C2766</f>
        <v>20</v>
      </c>
      <c r="D2768" s="33">
        <f>Demand!E2766</f>
        <v>74</v>
      </c>
      <c r="E2768" s="33">
        <f>IF(Demand!F2766,1,0)</f>
        <v>1</v>
      </c>
      <c r="F2768" s="33">
        <f>COUNTIFS(c_store,A2768,c_date,B2768,c_hour,C2768)</f>
        <v>0</v>
      </c>
      <c r="G2768" s="33">
        <f>IF(F2768&gt;0,1,0)</f>
        <v>0</v>
      </c>
      <c r="H2768" s="33">
        <f>COUNTIFS(Demand!$A$2:$A$4481,A2768,Demand!$B$2:$B$4481,B2768,Demand!$C$2:$C$4481,C2768)</f>
        <v>1</v>
      </c>
    </row>
    <row r="2769">
      <c r="A2769" s="32" t="str">
        <f>Demand!A2767</f>
        <v>S013</v>
      </c>
      <c r="B2769" s="35">
        <f>Demand!B2767</f>
        <v>46274.0</v>
      </c>
      <c r="C2769" s="33">
        <f>Demand!C2767</f>
        <v>21</v>
      </c>
      <c r="D2769" s="33">
        <f>Demand!E2767</f>
        <v>69</v>
      </c>
      <c r="E2769" s="33">
        <f>IF(Demand!F2767,1,0)</f>
        <v>1</v>
      </c>
      <c r="F2769" s="33">
        <f>COUNTIFS(c_store,A2769,c_date,B2769,c_hour,C2769)</f>
        <v>1</v>
      </c>
      <c r="G2769" s="33">
        <f>IF(F2769&gt;0,1,0)</f>
        <v>1</v>
      </c>
      <c r="H2769" s="33">
        <f>COUNTIFS(Demand!$A$2:$A$4481,A2769,Demand!$B$2:$B$4481,B2769,Demand!$C$2:$C$4481,C2769)</f>
        <v>1</v>
      </c>
    </row>
    <row r="2770">
      <c r="A2770" s="32" t="str">
        <f>Demand!A2768</f>
        <v>S013</v>
      </c>
      <c r="B2770" s="35">
        <f>Demand!B2768</f>
        <v>46274.0</v>
      </c>
      <c r="C2770" s="33">
        <f>Demand!C2768</f>
        <v>22</v>
      </c>
      <c r="D2770" s="33">
        <f>Demand!E2768</f>
        <v>71</v>
      </c>
      <c r="E2770" s="33">
        <f>IF(Demand!F2768,1,0)</f>
        <v>0</v>
      </c>
      <c r="F2770" s="33">
        <f>COUNTIFS(c_store,A2770,c_date,B2770,c_hour,C2770)</f>
        <v>0</v>
      </c>
      <c r="G2770" s="33">
        <f>IF(F2770&gt;0,1,0)</f>
        <v>0</v>
      </c>
      <c r="H2770" s="33">
        <f>COUNTIFS(Demand!$A$2:$A$4481,A2770,Demand!$B$2:$B$4481,B2770,Demand!$C$2:$C$4481,C2770)</f>
        <v>1</v>
      </c>
    </row>
    <row r="2771">
      <c r="A2771" s="32" t="str">
        <f>Demand!A2769</f>
        <v>S013</v>
      </c>
      <c r="B2771" s="35">
        <f>Demand!B2769</f>
        <v>46274.0</v>
      </c>
      <c r="C2771" s="33">
        <f>Demand!C2769</f>
        <v>23</v>
      </c>
      <c r="D2771" s="33">
        <f>Demand!E2769</f>
        <v>51</v>
      </c>
      <c r="E2771" s="33">
        <f>IF(Demand!F2769,1,0)</f>
        <v>0</v>
      </c>
      <c r="F2771" s="33">
        <f>COUNTIFS(c_store,A2771,c_date,B2771,c_hour,C2771)</f>
        <v>1</v>
      </c>
      <c r="G2771" s="33">
        <f>IF(F2771&gt;0,1,0)</f>
        <v>1</v>
      </c>
      <c r="H2771" s="33">
        <f>COUNTIFS(Demand!$A$2:$A$4481,A2771,Demand!$B$2:$B$4481,B2771,Demand!$C$2:$C$4481,C2771)</f>
        <v>1</v>
      </c>
    </row>
    <row r="2772">
      <c r="A2772" s="32" t="str">
        <f>Demand!A2770</f>
        <v>S014</v>
      </c>
      <c r="B2772" s="35">
        <f>Demand!B2770</f>
        <v>46274.0</v>
      </c>
      <c r="C2772" s="33">
        <f>Demand!C2770</f>
        <v>8</v>
      </c>
      <c r="D2772" s="33">
        <f>Demand!E2770</f>
        <v>23</v>
      </c>
      <c r="E2772" s="33">
        <f>IF(Demand!F2770,1,0)</f>
        <v>0</v>
      </c>
      <c r="F2772" s="33">
        <f>COUNTIFS(c_store,A2772,c_date,B2772,c_hour,C2772)</f>
        <v>0</v>
      </c>
      <c r="G2772" s="33">
        <f>IF(F2772&gt;0,1,0)</f>
        <v>0</v>
      </c>
      <c r="H2772" s="33">
        <f>COUNTIFS(Demand!$A$2:$A$4481,A2772,Demand!$B$2:$B$4481,B2772,Demand!$C$2:$C$4481,C2772)</f>
        <v>1</v>
      </c>
    </row>
    <row r="2773">
      <c r="A2773" s="32" t="str">
        <f>Demand!A2771</f>
        <v>S014</v>
      </c>
      <c r="B2773" s="35">
        <f>Demand!B2771</f>
        <v>46274.0</v>
      </c>
      <c r="C2773" s="33">
        <f>Demand!C2771</f>
        <v>9</v>
      </c>
      <c r="D2773" s="33">
        <f>Demand!E2771</f>
        <v>32</v>
      </c>
      <c r="E2773" s="33">
        <f>IF(Demand!F2771,1,0)</f>
        <v>0</v>
      </c>
      <c r="F2773" s="33">
        <f>COUNTIFS(c_store,A2773,c_date,B2773,c_hour,C2773)</f>
        <v>0</v>
      </c>
      <c r="G2773" s="33">
        <f>IF(F2773&gt;0,1,0)</f>
        <v>0</v>
      </c>
      <c r="H2773" s="33">
        <f>COUNTIFS(Demand!$A$2:$A$4481,A2773,Demand!$B$2:$B$4481,B2773,Demand!$C$2:$C$4481,C2773)</f>
        <v>1</v>
      </c>
    </row>
    <row r="2774">
      <c r="A2774" s="32" t="str">
        <f>Demand!A2772</f>
        <v>S014</v>
      </c>
      <c r="B2774" s="35">
        <f>Demand!B2772</f>
        <v>46274.0</v>
      </c>
      <c r="C2774" s="33">
        <f>Demand!C2772</f>
        <v>10</v>
      </c>
      <c r="D2774" s="33">
        <f>Demand!E2772</f>
        <v>28</v>
      </c>
      <c r="E2774" s="33">
        <f>IF(Demand!F2772,1,0)</f>
        <v>0</v>
      </c>
      <c r="F2774" s="33">
        <f>COUNTIFS(c_store,A2774,c_date,B2774,c_hour,C2774)</f>
        <v>0</v>
      </c>
      <c r="G2774" s="33">
        <f>IF(F2774&gt;0,1,0)</f>
        <v>0</v>
      </c>
      <c r="H2774" s="33">
        <f>COUNTIFS(Demand!$A$2:$A$4481,A2774,Demand!$B$2:$B$4481,B2774,Demand!$C$2:$C$4481,C2774)</f>
        <v>1</v>
      </c>
    </row>
    <row r="2775">
      <c r="A2775" s="32" t="str">
        <f>Demand!A2773</f>
        <v>S014</v>
      </c>
      <c r="B2775" s="35">
        <f>Demand!B2773</f>
        <v>46274.0</v>
      </c>
      <c r="C2775" s="33">
        <f>Demand!C2773</f>
        <v>11</v>
      </c>
      <c r="D2775" s="33">
        <f>Demand!E2773</f>
        <v>33</v>
      </c>
      <c r="E2775" s="33">
        <f>IF(Demand!F2773,1,0)</f>
        <v>0</v>
      </c>
      <c r="F2775" s="33">
        <f>COUNTIFS(c_store,A2775,c_date,B2775,c_hour,C2775)</f>
        <v>0</v>
      </c>
      <c r="G2775" s="33">
        <f>IF(F2775&gt;0,1,0)</f>
        <v>0</v>
      </c>
      <c r="H2775" s="33">
        <f>COUNTIFS(Demand!$A$2:$A$4481,A2775,Demand!$B$2:$B$4481,B2775,Demand!$C$2:$C$4481,C2775)</f>
        <v>1</v>
      </c>
    </row>
    <row r="2776">
      <c r="A2776" s="32" t="str">
        <f>Demand!A2774</f>
        <v>S014</v>
      </c>
      <c r="B2776" s="35">
        <f>Demand!B2774</f>
        <v>46274.0</v>
      </c>
      <c r="C2776" s="33">
        <f>Demand!C2774</f>
        <v>12</v>
      </c>
      <c r="D2776" s="33">
        <f>Demand!E2774</f>
        <v>44</v>
      </c>
      <c r="E2776" s="33">
        <f>IF(Demand!F2774,1,0)</f>
        <v>0</v>
      </c>
      <c r="F2776" s="33">
        <f>COUNTIFS(c_store,A2776,c_date,B2776,c_hour,C2776)</f>
        <v>1</v>
      </c>
      <c r="G2776" s="33">
        <f>IF(F2776&gt;0,1,0)</f>
        <v>1</v>
      </c>
      <c r="H2776" s="33">
        <f>COUNTIFS(Demand!$A$2:$A$4481,A2776,Demand!$B$2:$B$4481,B2776,Demand!$C$2:$C$4481,C2776)</f>
        <v>1</v>
      </c>
    </row>
    <row r="2777">
      <c r="A2777" s="32" t="str">
        <f>Demand!A2775</f>
        <v>S014</v>
      </c>
      <c r="B2777" s="35">
        <f>Demand!B2775</f>
        <v>46274.0</v>
      </c>
      <c r="C2777" s="33">
        <f>Demand!C2775</f>
        <v>13</v>
      </c>
      <c r="D2777" s="33">
        <f>Demand!E2775</f>
        <v>36</v>
      </c>
      <c r="E2777" s="33">
        <f>IF(Demand!F2775,1,0)</f>
        <v>0</v>
      </c>
      <c r="F2777" s="33">
        <f>COUNTIFS(c_store,A2777,c_date,B2777,c_hour,C2777)</f>
        <v>0</v>
      </c>
      <c r="G2777" s="33">
        <f>IF(F2777&gt;0,1,0)</f>
        <v>0</v>
      </c>
      <c r="H2777" s="33">
        <f>COUNTIFS(Demand!$A$2:$A$4481,A2777,Demand!$B$2:$B$4481,B2777,Demand!$C$2:$C$4481,C2777)</f>
        <v>1</v>
      </c>
    </row>
    <row r="2778">
      <c r="A2778" s="32" t="str">
        <f>Demand!A2776</f>
        <v>S014</v>
      </c>
      <c r="B2778" s="35">
        <f>Demand!B2776</f>
        <v>46274.0</v>
      </c>
      <c r="C2778" s="33">
        <f>Demand!C2776</f>
        <v>14</v>
      </c>
      <c r="D2778" s="33">
        <f>Demand!E2776</f>
        <v>25</v>
      </c>
      <c r="E2778" s="33">
        <f>IF(Demand!F2776,1,0)</f>
        <v>0</v>
      </c>
      <c r="F2778" s="33">
        <f>COUNTIFS(c_store,A2778,c_date,B2778,c_hour,C2778)</f>
        <v>0</v>
      </c>
      <c r="G2778" s="33">
        <f>IF(F2778&gt;0,1,0)</f>
        <v>0</v>
      </c>
      <c r="H2778" s="33">
        <f>COUNTIFS(Demand!$A$2:$A$4481,A2778,Demand!$B$2:$B$4481,B2778,Demand!$C$2:$C$4481,C2778)</f>
        <v>1</v>
      </c>
    </row>
    <row r="2779">
      <c r="A2779" s="32" t="str">
        <f>Demand!A2777</f>
        <v>S014</v>
      </c>
      <c r="B2779" s="35">
        <f>Demand!B2777</f>
        <v>46274.0</v>
      </c>
      <c r="C2779" s="33">
        <f>Demand!C2777</f>
        <v>15</v>
      </c>
      <c r="D2779" s="33">
        <f>Demand!E2777</f>
        <v>17</v>
      </c>
      <c r="E2779" s="33">
        <f>IF(Demand!F2777,1,0)</f>
        <v>0</v>
      </c>
      <c r="F2779" s="33">
        <f>COUNTIFS(c_store,A2779,c_date,B2779,c_hour,C2779)</f>
        <v>0</v>
      </c>
      <c r="G2779" s="33">
        <f>IF(F2779&gt;0,1,0)</f>
        <v>0</v>
      </c>
      <c r="H2779" s="33">
        <f>COUNTIFS(Demand!$A$2:$A$4481,A2779,Demand!$B$2:$B$4481,B2779,Demand!$C$2:$C$4481,C2779)</f>
        <v>1</v>
      </c>
    </row>
    <row r="2780">
      <c r="A2780" s="32" t="str">
        <f>Demand!A2778</f>
        <v>S014</v>
      </c>
      <c r="B2780" s="35">
        <f>Demand!B2778</f>
        <v>46274.0</v>
      </c>
      <c r="C2780" s="33">
        <f>Demand!C2778</f>
        <v>16</v>
      </c>
      <c r="D2780" s="33">
        <f>Demand!E2778</f>
        <v>43</v>
      </c>
      <c r="E2780" s="33">
        <f>IF(Demand!F2778,1,0)</f>
        <v>0</v>
      </c>
      <c r="F2780" s="33">
        <f>COUNTIFS(c_store,A2780,c_date,B2780,c_hour,C2780)</f>
        <v>0</v>
      </c>
      <c r="G2780" s="33">
        <f>IF(F2780&gt;0,1,0)</f>
        <v>0</v>
      </c>
      <c r="H2780" s="33">
        <f>COUNTIFS(Demand!$A$2:$A$4481,A2780,Demand!$B$2:$B$4481,B2780,Demand!$C$2:$C$4481,C2780)</f>
        <v>1</v>
      </c>
    </row>
    <row r="2781">
      <c r="A2781" s="32" t="str">
        <f>Demand!A2779</f>
        <v>S014</v>
      </c>
      <c r="B2781" s="35">
        <f>Demand!B2779</f>
        <v>46274.0</v>
      </c>
      <c r="C2781" s="33">
        <f>Demand!C2779</f>
        <v>17</v>
      </c>
      <c r="D2781" s="33">
        <f>Demand!E2779</f>
        <v>36</v>
      </c>
      <c r="E2781" s="33">
        <f>IF(Demand!F2779,1,0)</f>
        <v>0</v>
      </c>
      <c r="F2781" s="33">
        <f>COUNTIFS(c_store,A2781,c_date,B2781,c_hour,C2781)</f>
        <v>1</v>
      </c>
      <c r="G2781" s="33">
        <f>IF(F2781&gt;0,1,0)</f>
        <v>1</v>
      </c>
      <c r="H2781" s="33">
        <f>COUNTIFS(Demand!$A$2:$A$4481,A2781,Demand!$B$2:$B$4481,B2781,Demand!$C$2:$C$4481,C2781)</f>
        <v>1</v>
      </c>
    </row>
    <row r="2782">
      <c r="A2782" s="32" t="str">
        <f>Demand!A2780</f>
        <v>S014</v>
      </c>
      <c r="B2782" s="35">
        <f>Demand!B2780</f>
        <v>46274.0</v>
      </c>
      <c r="C2782" s="33">
        <f>Demand!C2780</f>
        <v>18</v>
      </c>
      <c r="D2782" s="33">
        <f>Demand!E2780</f>
        <v>32</v>
      </c>
      <c r="E2782" s="33">
        <f>IF(Demand!F2780,1,0)</f>
        <v>0</v>
      </c>
      <c r="F2782" s="33">
        <f>COUNTIFS(c_store,A2782,c_date,B2782,c_hour,C2782)</f>
        <v>0</v>
      </c>
      <c r="G2782" s="33">
        <f>IF(F2782&gt;0,1,0)</f>
        <v>0</v>
      </c>
      <c r="H2782" s="33">
        <f>COUNTIFS(Demand!$A$2:$A$4481,A2782,Demand!$B$2:$B$4481,B2782,Demand!$C$2:$C$4481,C2782)</f>
        <v>1</v>
      </c>
    </row>
    <row r="2783">
      <c r="A2783" s="32" t="str">
        <f>Demand!A2781</f>
        <v>S014</v>
      </c>
      <c r="B2783" s="35">
        <f>Demand!B2781</f>
        <v>46274.0</v>
      </c>
      <c r="C2783" s="33">
        <f>Demand!C2781</f>
        <v>19</v>
      </c>
      <c r="D2783" s="33">
        <f>Demand!E2781</f>
        <v>49</v>
      </c>
      <c r="E2783" s="33">
        <f>IF(Demand!F2781,1,0)</f>
        <v>1</v>
      </c>
      <c r="F2783" s="33">
        <f>COUNTIFS(c_store,A2783,c_date,B2783,c_hour,C2783)</f>
        <v>1</v>
      </c>
      <c r="G2783" s="33">
        <f>IF(F2783&gt;0,1,0)</f>
        <v>1</v>
      </c>
      <c r="H2783" s="33">
        <f>COUNTIFS(Demand!$A$2:$A$4481,A2783,Demand!$B$2:$B$4481,B2783,Demand!$C$2:$C$4481,C2783)</f>
        <v>1</v>
      </c>
    </row>
    <row r="2784">
      <c r="A2784" s="32" t="str">
        <f>Demand!A2782</f>
        <v>S014</v>
      </c>
      <c r="B2784" s="35">
        <f>Demand!B2782</f>
        <v>46274.0</v>
      </c>
      <c r="C2784" s="33">
        <f>Demand!C2782</f>
        <v>20</v>
      </c>
      <c r="D2784" s="33">
        <f>Demand!E2782</f>
        <v>52</v>
      </c>
      <c r="E2784" s="33">
        <f>IF(Demand!F2782,1,0)</f>
        <v>1</v>
      </c>
      <c r="F2784" s="33">
        <f>COUNTIFS(c_store,A2784,c_date,B2784,c_hour,C2784)</f>
        <v>0</v>
      </c>
      <c r="G2784" s="33">
        <f>IF(F2784&gt;0,1,0)</f>
        <v>0</v>
      </c>
      <c r="H2784" s="33">
        <f>COUNTIFS(Demand!$A$2:$A$4481,A2784,Demand!$B$2:$B$4481,B2784,Demand!$C$2:$C$4481,C2784)</f>
        <v>1</v>
      </c>
    </row>
    <row r="2785">
      <c r="A2785" s="32" t="str">
        <f>Demand!A2783</f>
        <v>S014</v>
      </c>
      <c r="B2785" s="35">
        <f>Demand!B2783</f>
        <v>46274.0</v>
      </c>
      <c r="C2785" s="33">
        <f>Demand!C2783</f>
        <v>21</v>
      </c>
      <c r="D2785" s="33">
        <f>Demand!E2783</f>
        <v>54</v>
      </c>
      <c r="E2785" s="33">
        <f>IF(Demand!F2783,1,0)</f>
        <v>1</v>
      </c>
      <c r="F2785" s="33">
        <f>COUNTIFS(c_store,A2785,c_date,B2785,c_hour,C2785)</f>
        <v>0</v>
      </c>
      <c r="G2785" s="33">
        <f>IF(F2785&gt;0,1,0)</f>
        <v>0</v>
      </c>
      <c r="H2785" s="33">
        <f>COUNTIFS(Demand!$A$2:$A$4481,A2785,Demand!$B$2:$B$4481,B2785,Demand!$C$2:$C$4481,C2785)</f>
        <v>1</v>
      </c>
    </row>
    <row r="2786">
      <c r="A2786" s="32" t="str">
        <f>Demand!A2784</f>
        <v>S014</v>
      </c>
      <c r="B2786" s="35">
        <f>Demand!B2784</f>
        <v>46274.0</v>
      </c>
      <c r="C2786" s="33">
        <f>Demand!C2784</f>
        <v>22</v>
      </c>
      <c r="D2786" s="33">
        <f>Demand!E2784</f>
        <v>28</v>
      </c>
      <c r="E2786" s="33">
        <f>IF(Demand!F2784,1,0)</f>
        <v>0</v>
      </c>
      <c r="F2786" s="33">
        <f>COUNTIFS(c_store,A2786,c_date,B2786,c_hour,C2786)</f>
        <v>0</v>
      </c>
      <c r="G2786" s="33">
        <f>IF(F2786&gt;0,1,0)</f>
        <v>0</v>
      </c>
      <c r="H2786" s="33">
        <f>COUNTIFS(Demand!$A$2:$A$4481,A2786,Demand!$B$2:$B$4481,B2786,Demand!$C$2:$C$4481,C2786)</f>
        <v>1</v>
      </c>
    </row>
    <row r="2787">
      <c r="A2787" s="32" t="str">
        <f>Demand!A2785</f>
        <v>S014</v>
      </c>
      <c r="B2787" s="35">
        <f>Demand!B2785</f>
        <v>46274.0</v>
      </c>
      <c r="C2787" s="33">
        <f>Demand!C2785</f>
        <v>23</v>
      </c>
      <c r="D2787" s="33">
        <f>Demand!E2785</f>
        <v>45</v>
      </c>
      <c r="E2787" s="33">
        <f>IF(Demand!F2785,1,0)</f>
        <v>0</v>
      </c>
      <c r="F2787" s="33">
        <f>COUNTIFS(c_store,A2787,c_date,B2787,c_hour,C2787)</f>
        <v>0</v>
      </c>
      <c r="G2787" s="33">
        <f>IF(F2787&gt;0,1,0)</f>
        <v>0</v>
      </c>
      <c r="H2787" s="33">
        <f>COUNTIFS(Demand!$A$2:$A$4481,A2787,Demand!$B$2:$B$4481,B2787,Demand!$C$2:$C$4481,C2787)</f>
        <v>1</v>
      </c>
    </row>
    <row r="2788">
      <c r="A2788" s="32" t="str">
        <f>Demand!A2786</f>
        <v>S015</v>
      </c>
      <c r="B2788" s="35">
        <f>Demand!B2786</f>
        <v>46274.0</v>
      </c>
      <c r="C2788" s="33">
        <f>Demand!C2786</f>
        <v>8</v>
      </c>
      <c r="D2788" s="33">
        <f>Demand!E2786</f>
        <v>14</v>
      </c>
      <c r="E2788" s="33">
        <f>IF(Demand!F2786,1,0)</f>
        <v>0</v>
      </c>
      <c r="F2788" s="33">
        <f>COUNTIFS(c_store,A2788,c_date,B2788,c_hour,C2788)</f>
        <v>0</v>
      </c>
      <c r="G2788" s="33">
        <f>IF(F2788&gt;0,1,0)</f>
        <v>0</v>
      </c>
      <c r="H2788" s="33">
        <f>COUNTIFS(Demand!$A$2:$A$4481,A2788,Demand!$B$2:$B$4481,B2788,Demand!$C$2:$C$4481,C2788)</f>
        <v>1</v>
      </c>
    </row>
    <row r="2789">
      <c r="A2789" s="32" t="str">
        <f>Demand!A2787</f>
        <v>S015</v>
      </c>
      <c r="B2789" s="35">
        <f>Demand!B2787</f>
        <v>46274.0</v>
      </c>
      <c r="C2789" s="33">
        <f>Demand!C2787</f>
        <v>9</v>
      </c>
      <c r="D2789" s="33">
        <f>Demand!E2787</f>
        <v>15</v>
      </c>
      <c r="E2789" s="33">
        <f>IF(Demand!F2787,1,0)</f>
        <v>0</v>
      </c>
      <c r="F2789" s="33">
        <f>COUNTIFS(c_store,A2789,c_date,B2789,c_hour,C2789)</f>
        <v>0</v>
      </c>
      <c r="G2789" s="33">
        <f>IF(F2789&gt;0,1,0)</f>
        <v>0</v>
      </c>
      <c r="H2789" s="33">
        <f>COUNTIFS(Demand!$A$2:$A$4481,A2789,Demand!$B$2:$B$4481,B2789,Demand!$C$2:$C$4481,C2789)</f>
        <v>1</v>
      </c>
    </row>
    <row r="2790">
      <c r="A2790" s="32" t="str">
        <f>Demand!A2788</f>
        <v>S015</v>
      </c>
      <c r="B2790" s="35">
        <f>Demand!B2788</f>
        <v>46274.0</v>
      </c>
      <c r="C2790" s="33">
        <f>Demand!C2788</f>
        <v>10</v>
      </c>
      <c r="D2790" s="33">
        <f>Demand!E2788</f>
        <v>11</v>
      </c>
      <c r="E2790" s="33">
        <f>IF(Demand!F2788,1,0)</f>
        <v>0</v>
      </c>
      <c r="F2790" s="33">
        <f>COUNTIFS(c_store,A2790,c_date,B2790,c_hour,C2790)</f>
        <v>0</v>
      </c>
      <c r="G2790" s="33">
        <f>IF(F2790&gt;0,1,0)</f>
        <v>0</v>
      </c>
      <c r="H2790" s="33">
        <f>COUNTIFS(Demand!$A$2:$A$4481,A2790,Demand!$B$2:$B$4481,B2790,Demand!$C$2:$C$4481,C2790)</f>
        <v>1</v>
      </c>
    </row>
    <row r="2791">
      <c r="A2791" s="32" t="str">
        <f>Demand!A2789</f>
        <v>S015</v>
      </c>
      <c r="B2791" s="35">
        <f>Demand!B2789</f>
        <v>46274.0</v>
      </c>
      <c r="C2791" s="33">
        <f>Demand!C2789</f>
        <v>11</v>
      </c>
      <c r="D2791" s="33">
        <f>Demand!E2789</f>
        <v>23</v>
      </c>
      <c r="E2791" s="33">
        <f>IF(Demand!F2789,1,0)</f>
        <v>0</v>
      </c>
      <c r="F2791" s="33">
        <f>COUNTIFS(c_store,A2791,c_date,B2791,c_hour,C2791)</f>
        <v>0</v>
      </c>
      <c r="G2791" s="33">
        <f>IF(F2791&gt;0,1,0)</f>
        <v>0</v>
      </c>
      <c r="H2791" s="33">
        <f>COUNTIFS(Demand!$A$2:$A$4481,A2791,Demand!$B$2:$B$4481,B2791,Demand!$C$2:$C$4481,C2791)</f>
        <v>1</v>
      </c>
    </row>
    <row r="2792">
      <c r="A2792" s="32" t="str">
        <f>Demand!A2790</f>
        <v>S015</v>
      </c>
      <c r="B2792" s="35">
        <f>Demand!B2790</f>
        <v>46274.0</v>
      </c>
      <c r="C2792" s="33">
        <f>Demand!C2790</f>
        <v>12</v>
      </c>
      <c r="D2792" s="33">
        <f>Demand!E2790</f>
        <v>32</v>
      </c>
      <c r="E2792" s="33">
        <f>IF(Demand!F2790,1,0)</f>
        <v>0</v>
      </c>
      <c r="F2792" s="33">
        <f>COUNTIFS(c_store,A2792,c_date,B2792,c_hour,C2792)</f>
        <v>1</v>
      </c>
      <c r="G2792" s="33">
        <f>IF(F2792&gt;0,1,0)</f>
        <v>1</v>
      </c>
      <c r="H2792" s="33">
        <f>COUNTIFS(Demand!$A$2:$A$4481,A2792,Demand!$B$2:$B$4481,B2792,Demand!$C$2:$C$4481,C2792)</f>
        <v>1</v>
      </c>
    </row>
    <row r="2793">
      <c r="A2793" s="32" t="str">
        <f>Demand!A2791</f>
        <v>S015</v>
      </c>
      <c r="B2793" s="35">
        <f>Demand!B2791</f>
        <v>46274.0</v>
      </c>
      <c r="C2793" s="33">
        <f>Demand!C2791</f>
        <v>13</v>
      </c>
      <c r="D2793" s="33">
        <f>Demand!E2791</f>
        <v>22</v>
      </c>
      <c r="E2793" s="33">
        <f>IF(Demand!F2791,1,0)</f>
        <v>0</v>
      </c>
      <c r="F2793" s="33">
        <f>COUNTIFS(c_store,A2793,c_date,B2793,c_hour,C2793)</f>
        <v>0</v>
      </c>
      <c r="G2793" s="33">
        <f>IF(F2793&gt;0,1,0)</f>
        <v>0</v>
      </c>
      <c r="H2793" s="33">
        <f>COUNTIFS(Demand!$A$2:$A$4481,A2793,Demand!$B$2:$B$4481,B2793,Demand!$C$2:$C$4481,C2793)</f>
        <v>1</v>
      </c>
    </row>
    <row r="2794">
      <c r="A2794" s="32" t="str">
        <f>Demand!A2792</f>
        <v>S015</v>
      </c>
      <c r="B2794" s="35">
        <f>Demand!B2792</f>
        <v>46274.0</v>
      </c>
      <c r="C2794" s="33">
        <f>Demand!C2792</f>
        <v>14</v>
      </c>
      <c r="D2794" s="33">
        <f>Demand!E2792</f>
        <v>10</v>
      </c>
      <c r="E2794" s="33">
        <f>IF(Demand!F2792,1,0)</f>
        <v>0</v>
      </c>
      <c r="F2794" s="33">
        <f>COUNTIFS(c_store,A2794,c_date,B2794,c_hour,C2794)</f>
        <v>1</v>
      </c>
      <c r="G2794" s="33">
        <f>IF(F2794&gt;0,1,0)</f>
        <v>1</v>
      </c>
      <c r="H2794" s="33">
        <f>COUNTIFS(Demand!$A$2:$A$4481,A2794,Demand!$B$2:$B$4481,B2794,Demand!$C$2:$C$4481,C2794)</f>
        <v>1</v>
      </c>
    </row>
    <row r="2795">
      <c r="A2795" s="32" t="str">
        <f>Demand!A2793</f>
        <v>S015</v>
      </c>
      <c r="B2795" s="35">
        <f>Demand!B2793</f>
        <v>46274.0</v>
      </c>
      <c r="C2795" s="33">
        <f>Demand!C2793</f>
        <v>15</v>
      </c>
      <c r="D2795" s="33">
        <f>Demand!E2793</f>
        <v>20</v>
      </c>
      <c r="E2795" s="33">
        <f>IF(Demand!F2793,1,0)</f>
        <v>0</v>
      </c>
      <c r="F2795" s="33">
        <f>COUNTIFS(c_store,A2795,c_date,B2795,c_hour,C2795)</f>
        <v>1</v>
      </c>
      <c r="G2795" s="33">
        <f>IF(F2795&gt;0,1,0)</f>
        <v>1</v>
      </c>
      <c r="H2795" s="33">
        <f>COUNTIFS(Demand!$A$2:$A$4481,A2795,Demand!$B$2:$B$4481,B2795,Demand!$C$2:$C$4481,C2795)</f>
        <v>1</v>
      </c>
    </row>
    <row r="2796">
      <c r="A2796" s="32" t="str">
        <f>Demand!A2794</f>
        <v>S015</v>
      </c>
      <c r="B2796" s="35">
        <f>Demand!B2794</f>
        <v>46274.0</v>
      </c>
      <c r="C2796" s="33">
        <f>Demand!C2794</f>
        <v>16</v>
      </c>
      <c r="D2796" s="33">
        <f>Demand!E2794</f>
        <v>19</v>
      </c>
      <c r="E2796" s="33">
        <f>IF(Demand!F2794,1,0)</f>
        <v>0</v>
      </c>
      <c r="F2796" s="33">
        <f>COUNTIFS(c_store,A2796,c_date,B2796,c_hour,C2796)</f>
        <v>0</v>
      </c>
      <c r="G2796" s="33">
        <f>IF(F2796&gt;0,1,0)</f>
        <v>0</v>
      </c>
      <c r="H2796" s="33">
        <f>COUNTIFS(Demand!$A$2:$A$4481,A2796,Demand!$B$2:$B$4481,B2796,Demand!$C$2:$C$4481,C2796)</f>
        <v>1</v>
      </c>
    </row>
    <row r="2797">
      <c r="A2797" s="32" t="str">
        <f>Demand!A2795</f>
        <v>S015</v>
      </c>
      <c r="B2797" s="35">
        <f>Demand!B2795</f>
        <v>46274.0</v>
      </c>
      <c r="C2797" s="33">
        <f>Demand!C2795</f>
        <v>17</v>
      </c>
      <c r="D2797" s="33">
        <f>Demand!E2795</f>
        <v>24</v>
      </c>
      <c r="E2797" s="33">
        <f>IF(Demand!F2795,1,0)</f>
        <v>0</v>
      </c>
      <c r="F2797" s="33">
        <f>COUNTIFS(c_store,A2797,c_date,B2797,c_hour,C2797)</f>
        <v>0</v>
      </c>
      <c r="G2797" s="33">
        <f>IF(F2797&gt;0,1,0)</f>
        <v>0</v>
      </c>
      <c r="H2797" s="33">
        <f>COUNTIFS(Demand!$A$2:$A$4481,A2797,Demand!$B$2:$B$4481,B2797,Demand!$C$2:$C$4481,C2797)</f>
        <v>1</v>
      </c>
    </row>
    <row r="2798">
      <c r="A2798" s="32" t="str">
        <f>Demand!A2796</f>
        <v>S015</v>
      </c>
      <c r="B2798" s="35">
        <f>Demand!B2796</f>
        <v>46274.0</v>
      </c>
      <c r="C2798" s="33">
        <f>Demand!C2796</f>
        <v>18</v>
      </c>
      <c r="D2798" s="33">
        <f>Demand!E2796</f>
        <v>23</v>
      </c>
      <c r="E2798" s="33">
        <f>IF(Demand!F2796,1,0)</f>
        <v>0</v>
      </c>
      <c r="F2798" s="33">
        <f>COUNTIFS(c_store,A2798,c_date,B2798,c_hour,C2798)</f>
        <v>0</v>
      </c>
      <c r="G2798" s="33">
        <f>IF(F2798&gt;0,1,0)</f>
        <v>0</v>
      </c>
      <c r="H2798" s="33">
        <f>COUNTIFS(Demand!$A$2:$A$4481,A2798,Demand!$B$2:$B$4481,B2798,Demand!$C$2:$C$4481,C2798)</f>
        <v>1</v>
      </c>
    </row>
    <row r="2799">
      <c r="A2799" s="32" t="str">
        <f>Demand!A2797</f>
        <v>S015</v>
      </c>
      <c r="B2799" s="35">
        <f>Demand!B2797</f>
        <v>46274.0</v>
      </c>
      <c r="C2799" s="33">
        <f>Demand!C2797</f>
        <v>19</v>
      </c>
      <c r="D2799" s="33">
        <f>Demand!E2797</f>
        <v>31</v>
      </c>
      <c r="E2799" s="33">
        <f>IF(Demand!F2797,1,0)</f>
        <v>1</v>
      </c>
      <c r="F2799" s="33">
        <f>COUNTIFS(c_store,A2799,c_date,B2799,c_hour,C2799)</f>
        <v>0</v>
      </c>
      <c r="G2799" s="33">
        <f>IF(F2799&gt;0,1,0)</f>
        <v>0</v>
      </c>
      <c r="H2799" s="33">
        <f>COUNTIFS(Demand!$A$2:$A$4481,A2799,Demand!$B$2:$B$4481,B2799,Demand!$C$2:$C$4481,C2799)</f>
        <v>1</v>
      </c>
    </row>
    <row r="2800">
      <c r="A2800" s="32" t="str">
        <f>Demand!A2798</f>
        <v>S015</v>
      </c>
      <c r="B2800" s="35">
        <f>Demand!B2798</f>
        <v>46274.0</v>
      </c>
      <c r="C2800" s="33">
        <f>Demand!C2798</f>
        <v>20</v>
      </c>
      <c r="D2800" s="33">
        <f>Demand!E2798</f>
        <v>38</v>
      </c>
      <c r="E2800" s="33">
        <f>IF(Demand!F2798,1,0)</f>
        <v>1</v>
      </c>
      <c r="F2800" s="33">
        <f>COUNTIFS(c_store,A2800,c_date,B2800,c_hour,C2800)</f>
        <v>1</v>
      </c>
      <c r="G2800" s="33">
        <f>IF(F2800&gt;0,1,0)</f>
        <v>1</v>
      </c>
      <c r="H2800" s="33">
        <f>COUNTIFS(Demand!$A$2:$A$4481,A2800,Demand!$B$2:$B$4481,B2800,Demand!$C$2:$C$4481,C2800)</f>
        <v>1</v>
      </c>
    </row>
    <row r="2801">
      <c r="A2801" s="32" t="str">
        <f>Demand!A2799</f>
        <v>S015</v>
      </c>
      <c r="B2801" s="35">
        <f>Demand!B2799</f>
        <v>46274.0</v>
      </c>
      <c r="C2801" s="33">
        <f>Demand!C2799</f>
        <v>21</v>
      </c>
      <c r="D2801" s="33">
        <f>Demand!E2799</f>
        <v>33</v>
      </c>
      <c r="E2801" s="33">
        <f>IF(Demand!F2799,1,0)</f>
        <v>1</v>
      </c>
      <c r="F2801" s="33">
        <f>COUNTIFS(c_store,A2801,c_date,B2801,c_hour,C2801)</f>
        <v>0</v>
      </c>
      <c r="G2801" s="33">
        <f>IF(F2801&gt;0,1,0)</f>
        <v>0</v>
      </c>
      <c r="H2801" s="33">
        <f>COUNTIFS(Demand!$A$2:$A$4481,A2801,Demand!$B$2:$B$4481,B2801,Demand!$C$2:$C$4481,C2801)</f>
        <v>1</v>
      </c>
    </row>
    <row r="2802">
      <c r="A2802" s="32" t="str">
        <f>Demand!A2800</f>
        <v>S015</v>
      </c>
      <c r="B2802" s="35">
        <f>Demand!B2800</f>
        <v>46274.0</v>
      </c>
      <c r="C2802" s="33">
        <f>Demand!C2800</f>
        <v>22</v>
      </c>
      <c r="D2802" s="33">
        <f>Demand!E2800</f>
        <v>23</v>
      </c>
      <c r="E2802" s="33">
        <f>IF(Demand!F2800,1,0)</f>
        <v>0</v>
      </c>
      <c r="F2802" s="33">
        <f>COUNTIFS(c_store,A2802,c_date,B2802,c_hour,C2802)</f>
        <v>1</v>
      </c>
      <c r="G2802" s="33">
        <f>IF(F2802&gt;0,1,0)</f>
        <v>1</v>
      </c>
      <c r="H2802" s="33">
        <f>COUNTIFS(Demand!$A$2:$A$4481,A2802,Demand!$B$2:$B$4481,B2802,Demand!$C$2:$C$4481,C2802)</f>
        <v>1</v>
      </c>
    </row>
    <row r="2803">
      <c r="A2803" s="32" t="str">
        <f>Demand!A2801</f>
        <v>S015</v>
      </c>
      <c r="B2803" s="35">
        <f>Demand!B2801</f>
        <v>46274.0</v>
      </c>
      <c r="C2803" s="33">
        <f>Demand!C2801</f>
        <v>23</v>
      </c>
      <c r="D2803" s="33">
        <f>Demand!E2801</f>
        <v>36</v>
      </c>
      <c r="E2803" s="33">
        <f>IF(Demand!F2801,1,0)</f>
        <v>0</v>
      </c>
      <c r="F2803" s="33">
        <f>COUNTIFS(c_store,A2803,c_date,B2803,c_hour,C2803)</f>
        <v>0</v>
      </c>
      <c r="G2803" s="33">
        <f>IF(F2803&gt;0,1,0)</f>
        <v>0</v>
      </c>
      <c r="H2803" s="33">
        <f>COUNTIFS(Demand!$A$2:$A$4481,A2803,Demand!$B$2:$B$4481,B2803,Demand!$C$2:$C$4481,C2803)</f>
        <v>1</v>
      </c>
    </row>
    <row r="2804">
      <c r="A2804" s="32" t="str">
        <f>Demand!A2802</f>
        <v>S016</v>
      </c>
      <c r="B2804" s="35">
        <f>Demand!B2802</f>
        <v>46274.0</v>
      </c>
      <c r="C2804" s="33">
        <f>Demand!C2802</f>
        <v>8</v>
      </c>
      <c r="D2804" s="33">
        <f>Demand!E2802</f>
        <v>11</v>
      </c>
      <c r="E2804" s="33">
        <f>IF(Demand!F2802,1,0)</f>
        <v>0</v>
      </c>
      <c r="F2804" s="33">
        <f>COUNTIFS(c_store,A2804,c_date,B2804,c_hour,C2804)</f>
        <v>0</v>
      </c>
      <c r="G2804" s="33">
        <f>IF(F2804&gt;0,1,0)</f>
        <v>0</v>
      </c>
      <c r="H2804" s="33">
        <f>COUNTIFS(Demand!$A$2:$A$4481,A2804,Demand!$B$2:$B$4481,B2804,Demand!$C$2:$C$4481,C2804)</f>
        <v>1</v>
      </c>
    </row>
    <row r="2805">
      <c r="A2805" s="32" t="str">
        <f>Demand!A2803</f>
        <v>S016</v>
      </c>
      <c r="B2805" s="35">
        <f>Demand!B2803</f>
        <v>46274.0</v>
      </c>
      <c r="C2805" s="33">
        <f>Demand!C2803</f>
        <v>9</v>
      </c>
      <c r="D2805" s="33">
        <f>Demand!E2803</f>
        <v>15</v>
      </c>
      <c r="E2805" s="33">
        <f>IF(Demand!F2803,1,0)</f>
        <v>0</v>
      </c>
      <c r="F2805" s="33">
        <f>COUNTIFS(c_store,A2805,c_date,B2805,c_hour,C2805)</f>
        <v>0</v>
      </c>
      <c r="G2805" s="33">
        <f>IF(F2805&gt;0,1,0)</f>
        <v>0</v>
      </c>
      <c r="H2805" s="33">
        <f>COUNTIFS(Demand!$A$2:$A$4481,A2805,Demand!$B$2:$B$4481,B2805,Demand!$C$2:$C$4481,C2805)</f>
        <v>1</v>
      </c>
    </row>
    <row r="2806">
      <c r="A2806" s="32" t="str">
        <f>Demand!A2804</f>
        <v>S016</v>
      </c>
      <c r="B2806" s="35">
        <f>Demand!B2804</f>
        <v>46274.0</v>
      </c>
      <c r="C2806" s="33">
        <f>Demand!C2804</f>
        <v>10</v>
      </c>
      <c r="D2806" s="33">
        <f>Demand!E2804</f>
        <v>18</v>
      </c>
      <c r="E2806" s="33">
        <f>IF(Demand!F2804,1,0)</f>
        <v>0</v>
      </c>
      <c r="F2806" s="33">
        <f>COUNTIFS(c_store,A2806,c_date,B2806,c_hour,C2806)</f>
        <v>0</v>
      </c>
      <c r="G2806" s="33">
        <f>IF(F2806&gt;0,1,0)</f>
        <v>0</v>
      </c>
      <c r="H2806" s="33">
        <f>COUNTIFS(Demand!$A$2:$A$4481,A2806,Demand!$B$2:$B$4481,B2806,Demand!$C$2:$C$4481,C2806)</f>
        <v>1</v>
      </c>
    </row>
    <row r="2807">
      <c r="A2807" s="32" t="str">
        <f>Demand!A2805</f>
        <v>S016</v>
      </c>
      <c r="B2807" s="35">
        <f>Demand!B2805</f>
        <v>46274.0</v>
      </c>
      <c r="C2807" s="33">
        <f>Demand!C2805</f>
        <v>11</v>
      </c>
      <c r="D2807" s="33">
        <f>Demand!E2805</f>
        <v>19</v>
      </c>
      <c r="E2807" s="33">
        <f>IF(Demand!F2805,1,0)</f>
        <v>0</v>
      </c>
      <c r="F2807" s="33">
        <f>COUNTIFS(c_store,A2807,c_date,B2807,c_hour,C2807)</f>
        <v>1</v>
      </c>
      <c r="G2807" s="33">
        <f>IF(F2807&gt;0,1,0)</f>
        <v>1</v>
      </c>
      <c r="H2807" s="33">
        <f>COUNTIFS(Demand!$A$2:$A$4481,A2807,Demand!$B$2:$B$4481,B2807,Demand!$C$2:$C$4481,C2807)</f>
        <v>1</v>
      </c>
    </row>
    <row r="2808">
      <c r="A2808" s="32" t="str">
        <f>Demand!A2806</f>
        <v>S016</v>
      </c>
      <c r="B2808" s="35">
        <f>Demand!B2806</f>
        <v>46274.0</v>
      </c>
      <c r="C2808" s="33">
        <f>Demand!C2806</f>
        <v>12</v>
      </c>
      <c r="D2808" s="33">
        <f>Demand!E2806</f>
        <v>31</v>
      </c>
      <c r="E2808" s="33">
        <f>IF(Demand!F2806,1,0)</f>
        <v>0</v>
      </c>
      <c r="F2808" s="33">
        <f>COUNTIFS(c_store,A2808,c_date,B2808,c_hour,C2808)</f>
        <v>1</v>
      </c>
      <c r="G2808" s="33">
        <f>IF(F2808&gt;0,1,0)</f>
        <v>1</v>
      </c>
      <c r="H2808" s="33">
        <f>COUNTIFS(Demand!$A$2:$A$4481,A2808,Demand!$B$2:$B$4481,B2808,Demand!$C$2:$C$4481,C2808)</f>
        <v>1</v>
      </c>
    </row>
    <row r="2809">
      <c r="A2809" s="32" t="str">
        <f>Demand!A2807</f>
        <v>S016</v>
      </c>
      <c r="B2809" s="35">
        <f>Demand!B2807</f>
        <v>46274.0</v>
      </c>
      <c r="C2809" s="33">
        <f>Demand!C2807</f>
        <v>13</v>
      </c>
      <c r="D2809" s="33">
        <f>Demand!E2807</f>
        <v>26</v>
      </c>
      <c r="E2809" s="33">
        <f>IF(Demand!F2807,1,0)</f>
        <v>0</v>
      </c>
      <c r="F2809" s="33">
        <f>COUNTIFS(c_store,A2809,c_date,B2809,c_hour,C2809)</f>
        <v>0</v>
      </c>
      <c r="G2809" s="33">
        <f>IF(F2809&gt;0,1,0)</f>
        <v>0</v>
      </c>
      <c r="H2809" s="33">
        <f>COUNTIFS(Demand!$A$2:$A$4481,A2809,Demand!$B$2:$B$4481,B2809,Demand!$C$2:$C$4481,C2809)</f>
        <v>1</v>
      </c>
    </row>
    <row r="2810">
      <c r="A2810" s="32" t="str">
        <f>Demand!A2808</f>
        <v>S016</v>
      </c>
      <c r="B2810" s="35">
        <f>Demand!B2808</f>
        <v>46274.0</v>
      </c>
      <c r="C2810" s="33">
        <f>Demand!C2808</f>
        <v>14</v>
      </c>
      <c r="D2810" s="33">
        <f>Demand!E2808</f>
        <v>12</v>
      </c>
      <c r="E2810" s="33">
        <f>IF(Demand!F2808,1,0)</f>
        <v>0</v>
      </c>
      <c r="F2810" s="33">
        <f>COUNTIFS(c_store,A2810,c_date,B2810,c_hour,C2810)</f>
        <v>0</v>
      </c>
      <c r="G2810" s="33">
        <f>IF(F2810&gt;0,1,0)</f>
        <v>0</v>
      </c>
      <c r="H2810" s="33">
        <f>COUNTIFS(Demand!$A$2:$A$4481,A2810,Demand!$B$2:$B$4481,B2810,Demand!$C$2:$C$4481,C2810)</f>
        <v>1</v>
      </c>
    </row>
    <row r="2811">
      <c r="A2811" s="32" t="str">
        <f>Demand!A2809</f>
        <v>S016</v>
      </c>
      <c r="B2811" s="35">
        <f>Demand!B2809</f>
        <v>46274.0</v>
      </c>
      <c r="C2811" s="33">
        <f>Demand!C2809</f>
        <v>15</v>
      </c>
      <c r="D2811" s="33">
        <f>Demand!E2809</f>
        <v>24</v>
      </c>
      <c r="E2811" s="33">
        <f>IF(Demand!F2809,1,0)</f>
        <v>0</v>
      </c>
      <c r="F2811" s="33">
        <f>COUNTIFS(c_store,A2811,c_date,B2811,c_hour,C2811)</f>
        <v>0</v>
      </c>
      <c r="G2811" s="33">
        <f>IF(F2811&gt;0,1,0)</f>
        <v>0</v>
      </c>
      <c r="H2811" s="33">
        <f>COUNTIFS(Demand!$A$2:$A$4481,A2811,Demand!$B$2:$B$4481,B2811,Demand!$C$2:$C$4481,C2811)</f>
        <v>1</v>
      </c>
    </row>
    <row r="2812">
      <c r="A2812" s="32" t="str">
        <f>Demand!A2810</f>
        <v>S016</v>
      </c>
      <c r="B2812" s="35">
        <f>Demand!B2810</f>
        <v>46274.0</v>
      </c>
      <c r="C2812" s="33">
        <f>Demand!C2810</f>
        <v>16</v>
      </c>
      <c r="D2812" s="33">
        <f>Demand!E2810</f>
        <v>26</v>
      </c>
      <c r="E2812" s="33">
        <f>IF(Demand!F2810,1,0)</f>
        <v>0</v>
      </c>
      <c r="F2812" s="33">
        <f>COUNTIFS(c_store,A2812,c_date,B2812,c_hour,C2812)</f>
        <v>0</v>
      </c>
      <c r="G2812" s="33">
        <f>IF(F2812&gt;0,1,0)</f>
        <v>0</v>
      </c>
      <c r="H2812" s="33">
        <f>COUNTIFS(Demand!$A$2:$A$4481,A2812,Demand!$B$2:$B$4481,B2812,Demand!$C$2:$C$4481,C2812)</f>
        <v>1</v>
      </c>
    </row>
    <row r="2813">
      <c r="A2813" s="32" t="str">
        <f>Demand!A2811</f>
        <v>S016</v>
      </c>
      <c r="B2813" s="35">
        <f>Demand!B2811</f>
        <v>46274.0</v>
      </c>
      <c r="C2813" s="33">
        <f>Demand!C2811</f>
        <v>17</v>
      </c>
      <c r="D2813" s="33">
        <f>Demand!E2811</f>
        <v>20</v>
      </c>
      <c r="E2813" s="33">
        <f>IF(Demand!F2811,1,0)</f>
        <v>0</v>
      </c>
      <c r="F2813" s="33">
        <f>COUNTIFS(c_store,A2813,c_date,B2813,c_hour,C2813)</f>
        <v>0</v>
      </c>
      <c r="G2813" s="33">
        <f>IF(F2813&gt;0,1,0)</f>
        <v>0</v>
      </c>
      <c r="H2813" s="33">
        <f>COUNTIFS(Demand!$A$2:$A$4481,A2813,Demand!$B$2:$B$4481,B2813,Demand!$C$2:$C$4481,C2813)</f>
        <v>1</v>
      </c>
    </row>
    <row r="2814">
      <c r="A2814" s="32" t="str">
        <f>Demand!A2812</f>
        <v>S016</v>
      </c>
      <c r="B2814" s="35">
        <f>Demand!B2812</f>
        <v>46274.0</v>
      </c>
      <c r="C2814" s="33">
        <f>Demand!C2812</f>
        <v>18</v>
      </c>
      <c r="D2814" s="33">
        <f>Demand!E2812</f>
        <v>19</v>
      </c>
      <c r="E2814" s="33">
        <f>IF(Demand!F2812,1,0)</f>
        <v>0</v>
      </c>
      <c r="F2814" s="33">
        <f>COUNTIFS(c_store,A2814,c_date,B2814,c_hour,C2814)</f>
        <v>0</v>
      </c>
      <c r="G2814" s="33">
        <f>IF(F2814&gt;0,1,0)</f>
        <v>0</v>
      </c>
      <c r="H2814" s="33">
        <f>COUNTIFS(Demand!$A$2:$A$4481,A2814,Demand!$B$2:$B$4481,B2814,Demand!$C$2:$C$4481,C2814)</f>
        <v>1</v>
      </c>
    </row>
    <row r="2815">
      <c r="A2815" s="32" t="str">
        <f>Demand!A2813</f>
        <v>S016</v>
      </c>
      <c r="B2815" s="35">
        <f>Demand!B2813</f>
        <v>46274.0</v>
      </c>
      <c r="C2815" s="33">
        <f>Demand!C2813</f>
        <v>19</v>
      </c>
      <c r="D2815" s="33">
        <f>Demand!E2813</f>
        <v>42</v>
      </c>
      <c r="E2815" s="33">
        <f>IF(Demand!F2813,1,0)</f>
        <v>1</v>
      </c>
      <c r="F2815" s="33">
        <f>COUNTIFS(c_store,A2815,c_date,B2815,c_hour,C2815)</f>
        <v>0</v>
      </c>
      <c r="G2815" s="33">
        <f>IF(F2815&gt;0,1,0)</f>
        <v>0</v>
      </c>
      <c r="H2815" s="33">
        <f>COUNTIFS(Demand!$A$2:$A$4481,A2815,Demand!$B$2:$B$4481,B2815,Demand!$C$2:$C$4481,C2815)</f>
        <v>1</v>
      </c>
    </row>
    <row r="2816">
      <c r="A2816" s="32" t="str">
        <f>Demand!A2814</f>
        <v>S016</v>
      </c>
      <c r="B2816" s="35">
        <f>Demand!B2814</f>
        <v>46274.0</v>
      </c>
      <c r="C2816" s="33">
        <f>Demand!C2814</f>
        <v>20</v>
      </c>
      <c r="D2816" s="33">
        <f>Demand!E2814</f>
        <v>38</v>
      </c>
      <c r="E2816" s="33">
        <f>IF(Demand!F2814,1,0)</f>
        <v>1</v>
      </c>
      <c r="F2816" s="33">
        <f>COUNTIFS(c_store,A2816,c_date,B2816,c_hour,C2816)</f>
        <v>2</v>
      </c>
      <c r="G2816" s="33">
        <f>IF(F2816&gt;0,1,0)</f>
        <v>1</v>
      </c>
      <c r="H2816" s="33">
        <f>COUNTIFS(Demand!$A$2:$A$4481,A2816,Demand!$B$2:$B$4481,B2816,Demand!$C$2:$C$4481,C2816)</f>
        <v>1</v>
      </c>
    </row>
    <row r="2817">
      <c r="A2817" s="32" t="str">
        <f>Demand!A2815</f>
        <v>S016</v>
      </c>
      <c r="B2817" s="35">
        <f>Demand!B2815</f>
        <v>46274.0</v>
      </c>
      <c r="C2817" s="33">
        <f>Demand!C2815</f>
        <v>21</v>
      </c>
      <c r="D2817" s="33">
        <f>Demand!E2815</f>
        <v>41</v>
      </c>
      <c r="E2817" s="33">
        <f>IF(Demand!F2815,1,0)</f>
        <v>1</v>
      </c>
      <c r="F2817" s="33">
        <f>COUNTIFS(c_store,A2817,c_date,B2817,c_hour,C2817)</f>
        <v>0</v>
      </c>
      <c r="G2817" s="33">
        <f>IF(F2817&gt;0,1,0)</f>
        <v>0</v>
      </c>
      <c r="H2817" s="33">
        <f>COUNTIFS(Demand!$A$2:$A$4481,A2817,Demand!$B$2:$B$4481,B2817,Demand!$C$2:$C$4481,C2817)</f>
        <v>1</v>
      </c>
    </row>
    <row r="2818">
      <c r="A2818" s="32" t="str">
        <f>Demand!A2816</f>
        <v>S016</v>
      </c>
      <c r="B2818" s="35">
        <f>Demand!B2816</f>
        <v>46274.0</v>
      </c>
      <c r="C2818" s="33">
        <f>Demand!C2816</f>
        <v>22</v>
      </c>
      <c r="D2818" s="33">
        <f>Demand!E2816</f>
        <v>22</v>
      </c>
      <c r="E2818" s="33">
        <f>IF(Demand!F2816,1,0)</f>
        <v>0</v>
      </c>
      <c r="F2818" s="33">
        <f>COUNTIFS(c_store,A2818,c_date,B2818,c_hour,C2818)</f>
        <v>0</v>
      </c>
      <c r="G2818" s="33">
        <f>IF(F2818&gt;0,1,0)</f>
        <v>0</v>
      </c>
      <c r="H2818" s="33">
        <f>COUNTIFS(Demand!$A$2:$A$4481,A2818,Demand!$B$2:$B$4481,B2818,Demand!$C$2:$C$4481,C2818)</f>
        <v>1</v>
      </c>
    </row>
    <row r="2819">
      <c r="A2819" s="32" t="str">
        <f>Demand!A2817</f>
        <v>S016</v>
      </c>
      <c r="B2819" s="35">
        <f>Demand!B2817</f>
        <v>46274.0</v>
      </c>
      <c r="C2819" s="33">
        <f>Demand!C2817</f>
        <v>23</v>
      </c>
      <c r="D2819" s="33">
        <f>Demand!E2817</f>
        <v>32</v>
      </c>
      <c r="E2819" s="33">
        <f>IF(Demand!F2817,1,0)</f>
        <v>0</v>
      </c>
      <c r="F2819" s="33">
        <f>COUNTIFS(c_store,A2819,c_date,B2819,c_hour,C2819)</f>
        <v>0</v>
      </c>
      <c r="G2819" s="33">
        <f>IF(F2819&gt;0,1,0)</f>
        <v>0</v>
      </c>
      <c r="H2819" s="33">
        <f>COUNTIFS(Demand!$A$2:$A$4481,A2819,Demand!$B$2:$B$4481,B2819,Demand!$C$2:$C$4481,C2819)</f>
        <v>1</v>
      </c>
    </row>
    <row r="2820">
      <c r="A2820" s="32" t="str">
        <f>Demand!A2818</f>
        <v>S017</v>
      </c>
      <c r="B2820" s="35">
        <f>Demand!B2818</f>
        <v>46274.0</v>
      </c>
      <c r="C2820" s="33">
        <f>Demand!C2818</f>
        <v>8</v>
      </c>
      <c r="D2820" s="33">
        <f>Demand!E2818</f>
        <v>25</v>
      </c>
      <c r="E2820" s="33">
        <f>IF(Demand!F2818,1,0)</f>
        <v>0</v>
      </c>
      <c r="F2820" s="33">
        <f>COUNTIFS(c_store,A2820,c_date,B2820,c_hour,C2820)</f>
        <v>0</v>
      </c>
      <c r="G2820" s="33">
        <f>IF(F2820&gt;0,1,0)</f>
        <v>0</v>
      </c>
      <c r="H2820" s="33">
        <f>COUNTIFS(Demand!$A$2:$A$4481,A2820,Demand!$B$2:$B$4481,B2820,Demand!$C$2:$C$4481,C2820)</f>
        <v>1</v>
      </c>
    </row>
    <row r="2821">
      <c r="A2821" s="32" t="str">
        <f>Demand!A2819</f>
        <v>S017</v>
      </c>
      <c r="B2821" s="35">
        <f>Demand!B2819</f>
        <v>46274.0</v>
      </c>
      <c r="C2821" s="33">
        <f>Demand!C2819</f>
        <v>9</v>
      </c>
      <c r="D2821" s="33">
        <f>Demand!E2819</f>
        <v>30</v>
      </c>
      <c r="E2821" s="33">
        <f>IF(Demand!F2819,1,0)</f>
        <v>0</v>
      </c>
      <c r="F2821" s="33">
        <f>COUNTIFS(c_store,A2821,c_date,B2821,c_hour,C2821)</f>
        <v>0</v>
      </c>
      <c r="G2821" s="33">
        <f>IF(F2821&gt;0,1,0)</f>
        <v>0</v>
      </c>
      <c r="H2821" s="33">
        <f>COUNTIFS(Demand!$A$2:$A$4481,A2821,Demand!$B$2:$B$4481,B2821,Demand!$C$2:$C$4481,C2821)</f>
        <v>1</v>
      </c>
    </row>
    <row r="2822">
      <c r="A2822" s="32" t="str">
        <f>Demand!A2820</f>
        <v>S017</v>
      </c>
      <c r="B2822" s="35">
        <f>Demand!B2820</f>
        <v>46274.0</v>
      </c>
      <c r="C2822" s="33">
        <f>Demand!C2820</f>
        <v>10</v>
      </c>
      <c r="D2822" s="33">
        <f>Demand!E2820</f>
        <v>22</v>
      </c>
      <c r="E2822" s="33">
        <f>IF(Demand!F2820,1,0)</f>
        <v>0</v>
      </c>
      <c r="F2822" s="33">
        <f>COUNTIFS(c_store,A2822,c_date,B2822,c_hour,C2822)</f>
        <v>0</v>
      </c>
      <c r="G2822" s="33">
        <f>IF(F2822&gt;0,1,0)</f>
        <v>0</v>
      </c>
      <c r="H2822" s="33">
        <f>COUNTIFS(Demand!$A$2:$A$4481,A2822,Demand!$B$2:$B$4481,B2822,Demand!$C$2:$C$4481,C2822)</f>
        <v>1</v>
      </c>
    </row>
    <row r="2823">
      <c r="A2823" s="32" t="str">
        <f>Demand!A2821</f>
        <v>S017</v>
      </c>
      <c r="B2823" s="35">
        <f>Demand!B2821</f>
        <v>46274.0</v>
      </c>
      <c r="C2823" s="33">
        <f>Demand!C2821</f>
        <v>11</v>
      </c>
      <c r="D2823" s="33">
        <f>Demand!E2821</f>
        <v>34</v>
      </c>
      <c r="E2823" s="33">
        <f>IF(Demand!F2821,1,0)</f>
        <v>0</v>
      </c>
      <c r="F2823" s="33">
        <f>COUNTIFS(c_store,A2823,c_date,B2823,c_hour,C2823)</f>
        <v>1</v>
      </c>
      <c r="G2823" s="33">
        <f>IF(F2823&gt;0,1,0)</f>
        <v>1</v>
      </c>
      <c r="H2823" s="33">
        <f>COUNTIFS(Demand!$A$2:$A$4481,A2823,Demand!$B$2:$B$4481,B2823,Demand!$C$2:$C$4481,C2823)</f>
        <v>1</v>
      </c>
    </row>
    <row r="2824">
      <c r="A2824" s="32" t="str">
        <f>Demand!A2822</f>
        <v>S017</v>
      </c>
      <c r="B2824" s="35">
        <f>Demand!B2822</f>
        <v>46274.0</v>
      </c>
      <c r="C2824" s="33">
        <f>Demand!C2822</f>
        <v>12</v>
      </c>
      <c r="D2824" s="33">
        <f>Demand!E2822</f>
        <v>36</v>
      </c>
      <c r="E2824" s="33">
        <f>IF(Demand!F2822,1,0)</f>
        <v>0</v>
      </c>
      <c r="F2824" s="33">
        <f>COUNTIFS(c_store,A2824,c_date,B2824,c_hour,C2824)</f>
        <v>0</v>
      </c>
      <c r="G2824" s="33">
        <f>IF(F2824&gt;0,1,0)</f>
        <v>0</v>
      </c>
      <c r="H2824" s="33">
        <f>COUNTIFS(Demand!$A$2:$A$4481,A2824,Demand!$B$2:$B$4481,B2824,Demand!$C$2:$C$4481,C2824)</f>
        <v>1</v>
      </c>
    </row>
    <row r="2825">
      <c r="A2825" s="32" t="str">
        <f>Demand!A2823</f>
        <v>S017</v>
      </c>
      <c r="B2825" s="35">
        <f>Demand!B2823</f>
        <v>46274.0</v>
      </c>
      <c r="C2825" s="33">
        <f>Demand!C2823</f>
        <v>13</v>
      </c>
      <c r="D2825" s="33">
        <f>Demand!E2823</f>
        <v>31</v>
      </c>
      <c r="E2825" s="33">
        <f>IF(Demand!F2823,1,0)</f>
        <v>0</v>
      </c>
      <c r="F2825" s="33">
        <f>COUNTIFS(c_store,A2825,c_date,B2825,c_hour,C2825)</f>
        <v>0</v>
      </c>
      <c r="G2825" s="33">
        <f>IF(F2825&gt;0,1,0)</f>
        <v>0</v>
      </c>
      <c r="H2825" s="33">
        <f>COUNTIFS(Demand!$A$2:$A$4481,A2825,Demand!$B$2:$B$4481,B2825,Demand!$C$2:$C$4481,C2825)</f>
        <v>1</v>
      </c>
    </row>
    <row r="2826">
      <c r="A2826" s="32" t="str">
        <f>Demand!A2824</f>
        <v>S017</v>
      </c>
      <c r="B2826" s="35">
        <f>Demand!B2824</f>
        <v>46274.0</v>
      </c>
      <c r="C2826" s="33">
        <f>Demand!C2824</f>
        <v>14</v>
      </c>
      <c r="D2826" s="33">
        <f>Demand!E2824</f>
        <v>20</v>
      </c>
      <c r="E2826" s="33">
        <f>IF(Demand!F2824,1,0)</f>
        <v>0</v>
      </c>
      <c r="F2826" s="33">
        <f>COUNTIFS(c_store,A2826,c_date,B2826,c_hour,C2826)</f>
        <v>0</v>
      </c>
      <c r="G2826" s="33">
        <f>IF(F2826&gt;0,1,0)</f>
        <v>0</v>
      </c>
      <c r="H2826" s="33">
        <f>COUNTIFS(Demand!$A$2:$A$4481,A2826,Demand!$B$2:$B$4481,B2826,Demand!$C$2:$C$4481,C2826)</f>
        <v>1</v>
      </c>
    </row>
    <row r="2827">
      <c r="A2827" s="32" t="str">
        <f>Demand!A2825</f>
        <v>S017</v>
      </c>
      <c r="B2827" s="35">
        <f>Demand!B2825</f>
        <v>46274.0</v>
      </c>
      <c r="C2827" s="33">
        <f>Demand!C2825</f>
        <v>15</v>
      </c>
      <c r="D2827" s="33">
        <f>Demand!E2825</f>
        <v>19</v>
      </c>
      <c r="E2827" s="33">
        <f>IF(Demand!F2825,1,0)</f>
        <v>0</v>
      </c>
      <c r="F2827" s="33">
        <f>COUNTIFS(c_store,A2827,c_date,B2827,c_hour,C2827)</f>
        <v>0</v>
      </c>
      <c r="G2827" s="33">
        <f>IF(F2827&gt;0,1,0)</f>
        <v>0</v>
      </c>
      <c r="H2827" s="33">
        <f>COUNTIFS(Demand!$A$2:$A$4481,A2827,Demand!$B$2:$B$4481,B2827,Demand!$C$2:$C$4481,C2827)</f>
        <v>1</v>
      </c>
    </row>
    <row r="2828">
      <c r="A2828" s="32" t="str">
        <f>Demand!A2826</f>
        <v>S017</v>
      </c>
      <c r="B2828" s="35">
        <f>Demand!B2826</f>
        <v>46274.0</v>
      </c>
      <c r="C2828" s="33">
        <f>Demand!C2826</f>
        <v>16</v>
      </c>
      <c r="D2828" s="33">
        <f>Demand!E2826</f>
        <v>34</v>
      </c>
      <c r="E2828" s="33">
        <f>IF(Demand!F2826,1,0)</f>
        <v>0</v>
      </c>
      <c r="F2828" s="33">
        <f>COUNTIFS(c_store,A2828,c_date,B2828,c_hour,C2828)</f>
        <v>0</v>
      </c>
      <c r="G2828" s="33">
        <f>IF(F2828&gt;0,1,0)</f>
        <v>0</v>
      </c>
      <c r="H2828" s="33">
        <f>COUNTIFS(Demand!$A$2:$A$4481,A2828,Demand!$B$2:$B$4481,B2828,Demand!$C$2:$C$4481,C2828)</f>
        <v>1</v>
      </c>
    </row>
    <row r="2829">
      <c r="A2829" s="32" t="str">
        <f>Demand!A2827</f>
        <v>S017</v>
      </c>
      <c r="B2829" s="35">
        <f>Demand!B2827</f>
        <v>46274.0</v>
      </c>
      <c r="C2829" s="33">
        <f>Demand!C2827</f>
        <v>17</v>
      </c>
      <c r="D2829" s="33">
        <f>Demand!E2827</f>
        <v>27</v>
      </c>
      <c r="E2829" s="33">
        <f>IF(Demand!F2827,1,0)</f>
        <v>0</v>
      </c>
      <c r="F2829" s="33">
        <f>COUNTIFS(c_store,A2829,c_date,B2829,c_hour,C2829)</f>
        <v>0</v>
      </c>
      <c r="G2829" s="33">
        <f>IF(F2829&gt;0,1,0)</f>
        <v>0</v>
      </c>
      <c r="H2829" s="33">
        <f>COUNTIFS(Demand!$A$2:$A$4481,A2829,Demand!$B$2:$B$4481,B2829,Demand!$C$2:$C$4481,C2829)</f>
        <v>1</v>
      </c>
    </row>
    <row r="2830">
      <c r="A2830" s="32" t="str">
        <f>Demand!A2828</f>
        <v>S017</v>
      </c>
      <c r="B2830" s="35">
        <f>Demand!B2828</f>
        <v>46274.0</v>
      </c>
      <c r="C2830" s="33">
        <f>Demand!C2828</f>
        <v>18</v>
      </c>
      <c r="D2830" s="33">
        <f>Demand!E2828</f>
        <v>42</v>
      </c>
      <c r="E2830" s="33">
        <f>IF(Demand!F2828,1,0)</f>
        <v>0</v>
      </c>
      <c r="F2830" s="33">
        <f>COUNTIFS(c_store,A2830,c_date,B2830,c_hour,C2830)</f>
        <v>1</v>
      </c>
      <c r="G2830" s="33">
        <f>IF(F2830&gt;0,1,0)</f>
        <v>1</v>
      </c>
      <c r="H2830" s="33">
        <f>COUNTIFS(Demand!$A$2:$A$4481,A2830,Demand!$B$2:$B$4481,B2830,Demand!$C$2:$C$4481,C2830)</f>
        <v>1</v>
      </c>
    </row>
    <row r="2831">
      <c r="A2831" s="32" t="str">
        <f>Demand!A2829</f>
        <v>S017</v>
      </c>
      <c r="B2831" s="35">
        <f>Demand!B2829</f>
        <v>46274.0</v>
      </c>
      <c r="C2831" s="33">
        <f>Demand!C2829</f>
        <v>19</v>
      </c>
      <c r="D2831" s="33">
        <f>Demand!E2829</f>
        <v>42</v>
      </c>
      <c r="E2831" s="33">
        <f>IF(Demand!F2829,1,0)</f>
        <v>1</v>
      </c>
      <c r="F2831" s="33">
        <f>COUNTIFS(c_store,A2831,c_date,B2831,c_hour,C2831)</f>
        <v>1</v>
      </c>
      <c r="G2831" s="33">
        <f>IF(F2831&gt;0,1,0)</f>
        <v>1</v>
      </c>
      <c r="H2831" s="33">
        <f>COUNTIFS(Demand!$A$2:$A$4481,A2831,Demand!$B$2:$B$4481,B2831,Demand!$C$2:$C$4481,C2831)</f>
        <v>1</v>
      </c>
    </row>
    <row r="2832">
      <c r="A2832" s="32" t="str">
        <f>Demand!A2830</f>
        <v>S017</v>
      </c>
      <c r="B2832" s="35">
        <f>Demand!B2830</f>
        <v>46274.0</v>
      </c>
      <c r="C2832" s="33">
        <f>Demand!C2830</f>
        <v>20</v>
      </c>
      <c r="D2832" s="33">
        <f>Demand!E2830</f>
        <v>51</v>
      </c>
      <c r="E2832" s="33">
        <f>IF(Demand!F2830,1,0)</f>
        <v>1</v>
      </c>
      <c r="F2832" s="33">
        <f>COUNTIFS(c_store,A2832,c_date,B2832,c_hour,C2832)</f>
        <v>0</v>
      </c>
      <c r="G2832" s="33">
        <f>IF(F2832&gt;0,1,0)</f>
        <v>0</v>
      </c>
      <c r="H2832" s="33">
        <f>COUNTIFS(Demand!$A$2:$A$4481,A2832,Demand!$B$2:$B$4481,B2832,Demand!$C$2:$C$4481,C2832)</f>
        <v>1</v>
      </c>
    </row>
    <row r="2833">
      <c r="A2833" s="32" t="str">
        <f>Demand!A2831</f>
        <v>S017</v>
      </c>
      <c r="B2833" s="35">
        <f>Demand!B2831</f>
        <v>46274.0</v>
      </c>
      <c r="C2833" s="33">
        <f>Demand!C2831</f>
        <v>21</v>
      </c>
      <c r="D2833" s="33">
        <f>Demand!E2831</f>
        <v>66</v>
      </c>
      <c r="E2833" s="33">
        <f>IF(Demand!F2831,1,0)</f>
        <v>1</v>
      </c>
      <c r="F2833" s="33">
        <f>COUNTIFS(c_store,A2833,c_date,B2833,c_hour,C2833)</f>
        <v>2</v>
      </c>
      <c r="G2833" s="33">
        <f>IF(F2833&gt;0,1,0)</f>
        <v>1</v>
      </c>
      <c r="H2833" s="33">
        <f>COUNTIFS(Demand!$A$2:$A$4481,A2833,Demand!$B$2:$B$4481,B2833,Demand!$C$2:$C$4481,C2833)</f>
        <v>1</v>
      </c>
    </row>
    <row r="2834">
      <c r="A2834" s="32" t="str">
        <f>Demand!A2832</f>
        <v>S017</v>
      </c>
      <c r="B2834" s="35">
        <f>Demand!B2832</f>
        <v>46274.0</v>
      </c>
      <c r="C2834" s="33">
        <f>Demand!C2832</f>
        <v>22</v>
      </c>
      <c r="D2834" s="33">
        <f>Demand!E2832</f>
        <v>44</v>
      </c>
      <c r="E2834" s="33">
        <f>IF(Demand!F2832,1,0)</f>
        <v>0</v>
      </c>
      <c r="F2834" s="33">
        <f>COUNTIFS(c_store,A2834,c_date,B2834,c_hour,C2834)</f>
        <v>1</v>
      </c>
      <c r="G2834" s="33">
        <f>IF(F2834&gt;0,1,0)</f>
        <v>1</v>
      </c>
      <c r="H2834" s="33">
        <f>COUNTIFS(Demand!$A$2:$A$4481,A2834,Demand!$B$2:$B$4481,B2834,Demand!$C$2:$C$4481,C2834)</f>
        <v>1</v>
      </c>
    </row>
    <row r="2835">
      <c r="A2835" s="32" t="str">
        <f>Demand!A2833</f>
        <v>S017</v>
      </c>
      <c r="B2835" s="35">
        <f>Demand!B2833</f>
        <v>46274.0</v>
      </c>
      <c r="C2835" s="33">
        <f>Demand!C2833</f>
        <v>23</v>
      </c>
      <c r="D2835" s="33">
        <f>Demand!E2833</f>
        <v>53</v>
      </c>
      <c r="E2835" s="33">
        <f>IF(Demand!F2833,1,0)</f>
        <v>0</v>
      </c>
      <c r="F2835" s="33">
        <f>COUNTIFS(c_store,A2835,c_date,B2835,c_hour,C2835)</f>
        <v>0</v>
      </c>
      <c r="G2835" s="33">
        <f>IF(F2835&gt;0,1,0)</f>
        <v>0</v>
      </c>
      <c r="H2835" s="33">
        <f>COUNTIFS(Demand!$A$2:$A$4481,A2835,Demand!$B$2:$B$4481,B2835,Demand!$C$2:$C$4481,C2835)</f>
        <v>1</v>
      </c>
    </row>
    <row r="2836">
      <c r="A2836" s="32" t="str">
        <f>Demand!A2834</f>
        <v>S018</v>
      </c>
      <c r="B2836" s="35">
        <f>Demand!B2834</f>
        <v>46274.0</v>
      </c>
      <c r="C2836" s="33">
        <f>Demand!C2834</f>
        <v>8</v>
      </c>
      <c r="D2836" s="33">
        <f>Demand!E2834</f>
        <v>14</v>
      </c>
      <c r="E2836" s="33">
        <f>IF(Demand!F2834,1,0)</f>
        <v>0</v>
      </c>
      <c r="F2836" s="33">
        <f>COUNTIFS(c_store,A2836,c_date,B2836,c_hour,C2836)</f>
        <v>0</v>
      </c>
      <c r="G2836" s="33">
        <f>IF(F2836&gt;0,1,0)</f>
        <v>0</v>
      </c>
      <c r="H2836" s="33">
        <f>COUNTIFS(Demand!$A$2:$A$4481,A2836,Demand!$B$2:$B$4481,B2836,Demand!$C$2:$C$4481,C2836)</f>
        <v>1</v>
      </c>
    </row>
    <row r="2837">
      <c r="A2837" s="32" t="str">
        <f>Demand!A2835</f>
        <v>S018</v>
      </c>
      <c r="B2837" s="35">
        <f>Demand!B2835</f>
        <v>46274.0</v>
      </c>
      <c r="C2837" s="33">
        <f>Demand!C2835</f>
        <v>9</v>
      </c>
      <c r="D2837" s="33">
        <f>Demand!E2835</f>
        <v>16</v>
      </c>
      <c r="E2837" s="33">
        <f>IF(Demand!F2835,1,0)</f>
        <v>0</v>
      </c>
      <c r="F2837" s="33">
        <f>COUNTIFS(c_store,A2837,c_date,B2837,c_hour,C2837)</f>
        <v>0</v>
      </c>
      <c r="G2837" s="33">
        <f>IF(F2837&gt;0,1,0)</f>
        <v>0</v>
      </c>
      <c r="H2837" s="33">
        <f>COUNTIFS(Demand!$A$2:$A$4481,A2837,Demand!$B$2:$B$4481,B2837,Demand!$C$2:$C$4481,C2837)</f>
        <v>1</v>
      </c>
    </row>
    <row r="2838">
      <c r="A2838" s="32" t="str">
        <f>Demand!A2836</f>
        <v>S018</v>
      </c>
      <c r="B2838" s="35">
        <f>Demand!B2836</f>
        <v>46274.0</v>
      </c>
      <c r="C2838" s="33">
        <f>Demand!C2836</f>
        <v>10</v>
      </c>
      <c r="D2838" s="33">
        <f>Demand!E2836</f>
        <v>15</v>
      </c>
      <c r="E2838" s="33">
        <f>IF(Demand!F2836,1,0)</f>
        <v>0</v>
      </c>
      <c r="F2838" s="33">
        <f>COUNTIFS(c_store,A2838,c_date,B2838,c_hour,C2838)</f>
        <v>0</v>
      </c>
      <c r="G2838" s="33">
        <f>IF(F2838&gt;0,1,0)</f>
        <v>0</v>
      </c>
      <c r="H2838" s="33">
        <f>COUNTIFS(Demand!$A$2:$A$4481,A2838,Demand!$B$2:$B$4481,B2838,Demand!$C$2:$C$4481,C2838)</f>
        <v>1</v>
      </c>
    </row>
    <row r="2839">
      <c r="A2839" s="32" t="str">
        <f>Demand!A2837</f>
        <v>S018</v>
      </c>
      <c r="B2839" s="35">
        <f>Demand!B2837</f>
        <v>46274.0</v>
      </c>
      <c r="C2839" s="33">
        <f>Demand!C2837</f>
        <v>11</v>
      </c>
      <c r="D2839" s="33">
        <f>Demand!E2837</f>
        <v>19</v>
      </c>
      <c r="E2839" s="33">
        <f>IF(Demand!F2837,1,0)</f>
        <v>0</v>
      </c>
      <c r="F2839" s="33">
        <f>COUNTIFS(c_store,A2839,c_date,B2839,c_hour,C2839)</f>
        <v>0</v>
      </c>
      <c r="G2839" s="33">
        <f>IF(F2839&gt;0,1,0)</f>
        <v>0</v>
      </c>
      <c r="H2839" s="33">
        <f>COUNTIFS(Demand!$A$2:$A$4481,A2839,Demand!$B$2:$B$4481,B2839,Demand!$C$2:$C$4481,C2839)</f>
        <v>1</v>
      </c>
    </row>
    <row r="2840">
      <c r="A2840" s="32" t="str">
        <f>Demand!A2838</f>
        <v>S018</v>
      </c>
      <c r="B2840" s="35">
        <f>Demand!B2838</f>
        <v>46274.0</v>
      </c>
      <c r="C2840" s="33">
        <f>Demand!C2838</f>
        <v>12</v>
      </c>
      <c r="D2840" s="33">
        <f>Demand!E2838</f>
        <v>18</v>
      </c>
      <c r="E2840" s="33">
        <f>IF(Demand!F2838,1,0)</f>
        <v>0</v>
      </c>
      <c r="F2840" s="33">
        <f>COUNTIFS(c_store,A2840,c_date,B2840,c_hour,C2840)</f>
        <v>0</v>
      </c>
      <c r="G2840" s="33">
        <f>IF(F2840&gt;0,1,0)</f>
        <v>0</v>
      </c>
      <c r="H2840" s="33">
        <f>COUNTIFS(Demand!$A$2:$A$4481,A2840,Demand!$B$2:$B$4481,B2840,Demand!$C$2:$C$4481,C2840)</f>
        <v>1</v>
      </c>
    </row>
    <row r="2841">
      <c r="A2841" s="32" t="str">
        <f>Demand!A2839</f>
        <v>S018</v>
      </c>
      <c r="B2841" s="35">
        <f>Demand!B2839</f>
        <v>46274.0</v>
      </c>
      <c r="C2841" s="33">
        <f>Demand!C2839</f>
        <v>13</v>
      </c>
      <c r="D2841" s="33">
        <f>Demand!E2839</f>
        <v>17</v>
      </c>
      <c r="E2841" s="33">
        <f>IF(Demand!F2839,1,0)</f>
        <v>0</v>
      </c>
      <c r="F2841" s="33">
        <f>COUNTIFS(c_store,A2841,c_date,B2841,c_hour,C2841)</f>
        <v>0</v>
      </c>
      <c r="G2841" s="33">
        <f>IF(F2841&gt;0,1,0)</f>
        <v>0</v>
      </c>
      <c r="H2841" s="33">
        <f>COUNTIFS(Demand!$A$2:$A$4481,A2841,Demand!$B$2:$B$4481,B2841,Demand!$C$2:$C$4481,C2841)</f>
        <v>1</v>
      </c>
    </row>
    <row r="2842">
      <c r="A2842" s="32" t="str">
        <f>Demand!A2840</f>
        <v>S018</v>
      </c>
      <c r="B2842" s="35">
        <f>Demand!B2840</f>
        <v>46274.0</v>
      </c>
      <c r="C2842" s="33">
        <f>Demand!C2840</f>
        <v>14</v>
      </c>
      <c r="D2842" s="33">
        <f>Demand!E2840</f>
        <v>21</v>
      </c>
      <c r="E2842" s="33">
        <f>IF(Demand!F2840,1,0)</f>
        <v>0</v>
      </c>
      <c r="F2842" s="33">
        <f>COUNTIFS(c_store,A2842,c_date,B2842,c_hour,C2842)</f>
        <v>0</v>
      </c>
      <c r="G2842" s="33">
        <f>IF(F2842&gt;0,1,0)</f>
        <v>0</v>
      </c>
      <c r="H2842" s="33">
        <f>COUNTIFS(Demand!$A$2:$A$4481,A2842,Demand!$B$2:$B$4481,B2842,Demand!$C$2:$C$4481,C2842)</f>
        <v>1</v>
      </c>
    </row>
    <row r="2843">
      <c r="A2843" s="32" t="str">
        <f>Demand!A2841</f>
        <v>S018</v>
      </c>
      <c r="B2843" s="35">
        <f>Demand!B2841</f>
        <v>46274.0</v>
      </c>
      <c r="C2843" s="33">
        <f>Demand!C2841</f>
        <v>15</v>
      </c>
      <c r="D2843" s="33">
        <f>Demand!E2841</f>
        <v>7</v>
      </c>
      <c r="E2843" s="33">
        <f>IF(Demand!F2841,1,0)</f>
        <v>0</v>
      </c>
      <c r="F2843" s="33">
        <f>COUNTIFS(c_store,A2843,c_date,B2843,c_hour,C2843)</f>
        <v>0</v>
      </c>
      <c r="G2843" s="33">
        <f>IF(F2843&gt;0,1,0)</f>
        <v>0</v>
      </c>
      <c r="H2843" s="33">
        <f>COUNTIFS(Demand!$A$2:$A$4481,A2843,Demand!$B$2:$B$4481,B2843,Demand!$C$2:$C$4481,C2843)</f>
        <v>1</v>
      </c>
    </row>
    <row r="2844">
      <c r="A2844" s="32" t="str">
        <f>Demand!A2842</f>
        <v>S018</v>
      </c>
      <c r="B2844" s="35">
        <f>Demand!B2842</f>
        <v>46274.0</v>
      </c>
      <c r="C2844" s="33">
        <f>Demand!C2842</f>
        <v>16</v>
      </c>
      <c r="D2844" s="33">
        <f>Demand!E2842</f>
        <v>16</v>
      </c>
      <c r="E2844" s="33">
        <f>IF(Demand!F2842,1,0)</f>
        <v>0</v>
      </c>
      <c r="F2844" s="33">
        <f>COUNTIFS(c_store,A2844,c_date,B2844,c_hour,C2844)</f>
        <v>0</v>
      </c>
      <c r="G2844" s="33">
        <f>IF(F2844&gt;0,1,0)</f>
        <v>0</v>
      </c>
      <c r="H2844" s="33">
        <f>COUNTIFS(Demand!$A$2:$A$4481,A2844,Demand!$B$2:$B$4481,B2844,Demand!$C$2:$C$4481,C2844)</f>
        <v>1</v>
      </c>
    </row>
    <row r="2845">
      <c r="A2845" s="32" t="str">
        <f>Demand!A2843</f>
        <v>S018</v>
      </c>
      <c r="B2845" s="35">
        <f>Demand!B2843</f>
        <v>46274.0</v>
      </c>
      <c r="C2845" s="33">
        <f>Demand!C2843</f>
        <v>17</v>
      </c>
      <c r="D2845" s="33">
        <f>Demand!E2843</f>
        <v>17</v>
      </c>
      <c r="E2845" s="33">
        <f>IF(Demand!F2843,1,0)</f>
        <v>0</v>
      </c>
      <c r="F2845" s="33">
        <f>COUNTIFS(c_store,A2845,c_date,B2845,c_hour,C2845)</f>
        <v>1</v>
      </c>
      <c r="G2845" s="33">
        <f>IF(F2845&gt;0,1,0)</f>
        <v>1</v>
      </c>
      <c r="H2845" s="33">
        <f>COUNTIFS(Demand!$A$2:$A$4481,A2845,Demand!$B$2:$B$4481,B2845,Demand!$C$2:$C$4481,C2845)</f>
        <v>1</v>
      </c>
    </row>
    <row r="2846">
      <c r="A2846" s="32" t="str">
        <f>Demand!A2844</f>
        <v>S018</v>
      </c>
      <c r="B2846" s="35">
        <f>Demand!B2844</f>
        <v>46274.0</v>
      </c>
      <c r="C2846" s="33">
        <f>Demand!C2844</f>
        <v>18</v>
      </c>
      <c r="D2846" s="33">
        <f>Demand!E2844</f>
        <v>21</v>
      </c>
      <c r="E2846" s="33">
        <f>IF(Demand!F2844,1,0)</f>
        <v>0</v>
      </c>
      <c r="F2846" s="33">
        <f>COUNTIFS(c_store,A2846,c_date,B2846,c_hour,C2846)</f>
        <v>0</v>
      </c>
      <c r="G2846" s="33">
        <f>IF(F2846&gt;0,1,0)</f>
        <v>0</v>
      </c>
      <c r="H2846" s="33">
        <f>COUNTIFS(Demand!$A$2:$A$4481,A2846,Demand!$B$2:$B$4481,B2846,Demand!$C$2:$C$4481,C2846)</f>
        <v>1</v>
      </c>
    </row>
    <row r="2847">
      <c r="A2847" s="32" t="str">
        <f>Demand!A2845</f>
        <v>S018</v>
      </c>
      <c r="B2847" s="35">
        <f>Demand!B2845</f>
        <v>46274.0</v>
      </c>
      <c r="C2847" s="33">
        <f>Demand!C2845</f>
        <v>19</v>
      </c>
      <c r="D2847" s="33">
        <f>Demand!E2845</f>
        <v>33</v>
      </c>
      <c r="E2847" s="33">
        <f>IF(Demand!F2845,1,0)</f>
        <v>1</v>
      </c>
      <c r="F2847" s="33">
        <f>COUNTIFS(c_store,A2847,c_date,B2847,c_hour,C2847)</f>
        <v>0</v>
      </c>
      <c r="G2847" s="33">
        <f>IF(F2847&gt;0,1,0)</f>
        <v>0</v>
      </c>
      <c r="H2847" s="33">
        <f>COUNTIFS(Demand!$A$2:$A$4481,A2847,Demand!$B$2:$B$4481,B2847,Demand!$C$2:$C$4481,C2847)</f>
        <v>1</v>
      </c>
    </row>
    <row r="2848">
      <c r="A2848" s="32" t="str">
        <f>Demand!A2846</f>
        <v>S018</v>
      </c>
      <c r="B2848" s="35">
        <f>Demand!B2846</f>
        <v>46274.0</v>
      </c>
      <c r="C2848" s="33">
        <f>Demand!C2846</f>
        <v>20</v>
      </c>
      <c r="D2848" s="33">
        <f>Demand!E2846</f>
        <v>23</v>
      </c>
      <c r="E2848" s="33">
        <f>IF(Demand!F2846,1,0)</f>
        <v>1</v>
      </c>
      <c r="F2848" s="33">
        <f>COUNTIFS(c_store,A2848,c_date,B2848,c_hour,C2848)</f>
        <v>0</v>
      </c>
      <c r="G2848" s="33">
        <f>IF(F2848&gt;0,1,0)</f>
        <v>0</v>
      </c>
      <c r="H2848" s="33">
        <f>COUNTIFS(Demand!$A$2:$A$4481,A2848,Demand!$B$2:$B$4481,B2848,Demand!$C$2:$C$4481,C2848)</f>
        <v>1</v>
      </c>
    </row>
    <row r="2849">
      <c r="A2849" s="32" t="str">
        <f>Demand!A2847</f>
        <v>S018</v>
      </c>
      <c r="B2849" s="35">
        <f>Demand!B2847</f>
        <v>46274.0</v>
      </c>
      <c r="C2849" s="33">
        <f>Demand!C2847</f>
        <v>21</v>
      </c>
      <c r="D2849" s="33">
        <f>Demand!E2847</f>
        <v>28</v>
      </c>
      <c r="E2849" s="33">
        <f>IF(Demand!F2847,1,0)</f>
        <v>1</v>
      </c>
      <c r="F2849" s="33">
        <f>COUNTIFS(c_store,A2849,c_date,B2849,c_hour,C2849)</f>
        <v>0</v>
      </c>
      <c r="G2849" s="33">
        <f>IF(F2849&gt;0,1,0)</f>
        <v>0</v>
      </c>
      <c r="H2849" s="33">
        <f>COUNTIFS(Demand!$A$2:$A$4481,A2849,Demand!$B$2:$B$4481,B2849,Demand!$C$2:$C$4481,C2849)</f>
        <v>1</v>
      </c>
    </row>
    <row r="2850">
      <c r="A2850" s="32" t="str">
        <f>Demand!A2848</f>
        <v>S018</v>
      </c>
      <c r="B2850" s="35">
        <f>Demand!B2848</f>
        <v>46274.0</v>
      </c>
      <c r="C2850" s="33">
        <f>Demand!C2848</f>
        <v>22</v>
      </c>
      <c r="D2850" s="33">
        <f>Demand!E2848</f>
        <v>23</v>
      </c>
      <c r="E2850" s="33">
        <f>IF(Demand!F2848,1,0)</f>
        <v>0</v>
      </c>
      <c r="F2850" s="33">
        <f>COUNTIFS(c_store,A2850,c_date,B2850,c_hour,C2850)</f>
        <v>0</v>
      </c>
      <c r="G2850" s="33">
        <f>IF(F2850&gt;0,1,0)</f>
        <v>0</v>
      </c>
      <c r="H2850" s="33">
        <f>COUNTIFS(Demand!$A$2:$A$4481,A2850,Demand!$B$2:$B$4481,B2850,Demand!$C$2:$C$4481,C2850)</f>
        <v>1</v>
      </c>
    </row>
    <row r="2851">
      <c r="A2851" s="32" t="str">
        <f>Demand!A2849</f>
        <v>S018</v>
      </c>
      <c r="B2851" s="35">
        <f>Demand!B2849</f>
        <v>46274.0</v>
      </c>
      <c r="C2851" s="33">
        <f>Demand!C2849</f>
        <v>23</v>
      </c>
      <c r="D2851" s="33">
        <f>Demand!E2849</f>
        <v>18</v>
      </c>
      <c r="E2851" s="33">
        <f>IF(Demand!F2849,1,0)</f>
        <v>0</v>
      </c>
      <c r="F2851" s="33">
        <f>COUNTIFS(c_store,A2851,c_date,B2851,c_hour,C2851)</f>
        <v>1</v>
      </c>
      <c r="G2851" s="33">
        <f>IF(F2851&gt;0,1,0)</f>
        <v>1</v>
      </c>
      <c r="H2851" s="33">
        <f>COUNTIFS(Demand!$A$2:$A$4481,A2851,Demand!$B$2:$B$4481,B2851,Demand!$C$2:$C$4481,C2851)</f>
        <v>1</v>
      </c>
    </row>
    <row r="2852">
      <c r="A2852" s="32" t="str">
        <f>Demand!A2850</f>
        <v>S019</v>
      </c>
      <c r="B2852" s="35">
        <f>Demand!B2850</f>
        <v>46274.0</v>
      </c>
      <c r="C2852" s="33">
        <f>Demand!C2850</f>
        <v>8</v>
      </c>
      <c r="D2852" s="33">
        <f>Demand!E2850</f>
        <v>13</v>
      </c>
      <c r="E2852" s="33">
        <f>IF(Demand!F2850,1,0)</f>
        <v>0</v>
      </c>
      <c r="F2852" s="33">
        <f>COUNTIFS(c_store,A2852,c_date,B2852,c_hour,C2852)</f>
        <v>0</v>
      </c>
      <c r="G2852" s="33">
        <f>IF(F2852&gt;0,1,0)</f>
        <v>0</v>
      </c>
      <c r="H2852" s="33">
        <f>COUNTIFS(Demand!$A$2:$A$4481,A2852,Demand!$B$2:$B$4481,B2852,Demand!$C$2:$C$4481,C2852)</f>
        <v>1</v>
      </c>
    </row>
    <row r="2853">
      <c r="A2853" s="32" t="str">
        <f>Demand!A2851</f>
        <v>S019</v>
      </c>
      <c r="B2853" s="35">
        <f>Demand!B2851</f>
        <v>46274.0</v>
      </c>
      <c r="C2853" s="33">
        <f>Demand!C2851</f>
        <v>9</v>
      </c>
      <c r="D2853" s="33">
        <f>Demand!E2851</f>
        <v>13</v>
      </c>
      <c r="E2853" s="33">
        <f>IF(Demand!F2851,1,0)</f>
        <v>0</v>
      </c>
      <c r="F2853" s="33">
        <f>COUNTIFS(c_store,A2853,c_date,B2853,c_hour,C2853)</f>
        <v>0</v>
      </c>
      <c r="G2853" s="33">
        <f>IF(F2853&gt;0,1,0)</f>
        <v>0</v>
      </c>
      <c r="H2853" s="33">
        <f>COUNTIFS(Demand!$A$2:$A$4481,A2853,Demand!$B$2:$B$4481,B2853,Demand!$C$2:$C$4481,C2853)</f>
        <v>1</v>
      </c>
    </row>
    <row r="2854">
      <c r="A2854" s="32" t="str">
        <f>Demand!A2852</f>
        <v>S019</v>
      </c>
      <c r="B2854" s="35">
        <f>Demand!B2852</f>
        <v>46274.0</v>
      </c>
      <c r="C2854" s="33">
        <f>Demand!C2852</f>
        <v>10</v>
      </c>
      <c r="D2854" s="33">
        <f>Demand!E2852</f>
        <v>14</v>
      </c>
      <c r="E2854" s="33">
        <f>IF(Demand!F2852,1,0)</f>
        <v>0</v>
      </c>
      <c r="F2854" s="33">
        <f>COUNTIFS(c_store,A2854,c_date,B2854,c_hour,C2854)</f>
        <v>1</v>
      </c>
      <c r="G2854" s="33">
        <f>IF(F2854&gt;0,1,0)</f>
        <v>1</v>
      </c>
      <c r="H2854" s="33">
        <f>COUNTIFS(Demand!$A$2:$A$4481,A2854,Demand!$B$2:$B$4481,B2854,Demand!$C$2:$C$4481,C2854)</f>
        <v>1</v>
      </c>
    </row>
    <row r="2855">
      <c r="A2855" s="32" t="str">
        <f>Demand!A2853</f>
        <v>S019</v>
      </c>
      <c r="B2855" s="35">
        <f>Demand!B2853</f>
        <v>46274.0</v>
      </c>
      <c r="C2855" s="33">
        <f>Demand!C2853</f>
        <v>11</v>
      </c>
      <c r="D2855" s="33">
        <f>Demand!E2853</f>
        <v>20</v>
      </c>
      <c r="E2855" s="33">
        <f>IF(Demand!F2853,1,0)</f>
        <v>0</v>
      </c>
      <c r="F2855" s="33">
        <f>COUNTIFS(c_store,A2855,c_date,B2855,c_hour,C2855)</f>
        <v>0</v>
      </c>
      <c r="G2855" s="33">
        <f>IF(F2855&gt;0,1,0)</f>
        <v>0</v>
      </c>
      <c r="H2855" s="33">
        <f>COUNTIFS(Demand!$A$2:$A$4481,A2855,Demand!$B$2:$B$4481,B2855,Demand!$C$2:$C$4481,C2855)</f>
        <v>1</v>
      </c>
    </row>
    <row r="2856">
      <c r="A2856" s="32" t="str">
        <f>Demand!A2854</f>
        <v>S019</v>
      </c>
      <c r="B2856" s="35">
        <f>Demand!B2854</f>
        <v>46274.0</v>
      </c>
      <c r="C2856" s="33">
        <f>Demand!C2854</f>
        <v>12</v>
      </c>
      <c r="D2856" s="33">
        <f>Demand!E2854</f>
        <v>20</v>
      </c>
      <c r="E2856" s="33">
        <f>IF(Demand!F2854,1,0)</f>
        <v>0</v>
      </c>
      <c r="F2856" s="33">
        <f>COUNTIFS(c_store,A2856,c_date,B2856,c_hour,C2856)</f>
        <v>0</v>
      </c>
      <c r="G2856" s="33">
        <f>IF(F2856&gt;0,1,0)</f>
        <v>0</v>
      </c>
      <c r="H2856" s="33">
        <f>COUNTIFS(Demand!$A$2:$A$4481,A2856,Demand!$B$2:$B$4481,B2856,Demand!$C$2:$C$4481,C2856)</f>
        <v>1</v>
      </c>
    </row>
    <row r="2857">
      <c r="A2857" s="32" t="str">
        <f>Demand!A2855</f>
        <v>S019</v>
      </c>
      <c r="B2857" s="35">
        <f>Demand!B2855</f>
        <v>46274.0</v>
      </c>
      <c r="C2857" s="33">
        <f>Demand!C2855</f>
        <v>13</v>
      </c>
      <c r="D2857" s="33">
        <f>Demand!E2855</f>
        <v>23</v>
      </c>
      <c r="E2857" s="33">
        <f>IF(Demand!F2855,1,0)</f>
        <v>0</v>
      </c>
      <c r="F2857" s="33">
        <f>COUNTIFS(c_store,A2857,c_date,B2857,c_hour,C2857)</f>
        <v>0</v>
      </c>
      <c r="G2857" s="33">
        <f>IF(F2857&gt;0,1,0)</f>
        <v>0</v>
      </c>
      <c r="H2857" s="33">
        <f>COUNTIFS(Demand!$A$2:$A$4481,A2857,Demand!$B$2:$B$4481,B2857,Demand!$C$2:$C$4481,C2857)</f>
        <v>1</v>
      </c>
    </row>
    <row r="2858">
      <c r="A2858" s="32" t="str">
        <f>Demand!A2856</f>
        <v>S019</v>
      </c>
      <c r="B2858" s="35">
        <f>Demand!B2856</f>
        <v>46274.0</v>
      </c>
      <c r="C2858" s="33">
        <f>Demand!C2856</f>
        <v>14</v>
      </c>
      <c r="D2858" s="33">
        <f>Demand!E2856</f>
        <v>16</v>
      </c>
      <c r="E2858" s="33">
        <f>IF(Demand!F2856,1,0)</f>
        <v>0</v>
      </c>
      <c r="F2858" s="33">
        <f>COUNTIFS(c_store,A2858,c_date,B2858,c_hour,C2858)</f>
        <v>0</v>
      </c>
      <c r="G2858" s="33">
        <f>IF(F2858&gt;0,1,0)</f>
        <v>0</v>
      </c>
      <c r="H2858" s="33">
        <f>COUNTIFS(Demand!$A$2:$A$4481,A2858,Demand!$B$2:$B$4481,B2858,Demand!$C$2:$C$4481,C2858)</f>
        <v>1</v>
      </c>
    </row>
    <row r="2859">
      <c r="A2859" s="32" t="str">
        <f>Demand!A2857</f>
        <v>S019</v>
      </c>
      <c r="B2859" s="35">
        <f>Demand!B2857</f>
        <v>46274.0</v>
      </c>
      <c r="C2859" s="33">
        <f>Demand!C2857</f>
        <v>15</v>
      </c>
      <c r="D2859" s="33">
        <f>Demand!E2857</f>
        <v>19</v>
      </c>
      <c r="E2859" s="33">
        <f>IF(Demand!F2857,1,0)</f>
        <v>0</v>
      </c>
      <c r="F2859" s="33">
        <f>COUNTIFS(c_store,A2859,c_date,B2859,c_hour,C2859)</f>
        <v>0</v>
      </c>
      <c r="G2859" s="33">
        <f>IF(F2859&gt;0,1,0)</f>
        <v>0</v>
      </c>
      <c r="H2859" s="33">
        <f>COUNTIFS(Demand!$A$2:$A$4481,A2859,Demand!$B$2:$B$4481,B2859,Demand!$C$2:$C$4481,C2859)</f>
        <v>1</v>
      </c>
    </row>
    <row r="2860">
      <c r="A2860" s="32" t="str">
        <f>Demand!A2858</f>
        <v>S019</v>
      </c>
      <c r="B2860" s="35">
        <f>Demand!B2858</f>
        <v>46274.0</v>
      </c>
      <c r="C2860" s="33">
        <f>Demand!C2858</f>
        <v>16</v>
      </c>
      <c r="D2860" s="33">
        <f>Demand!E2858</f>
        <v>17</v>
      </c>
      <c r="E2860" s="33">
        <f>IF(Demand!F2858,1,0)</f>
        <v>0</v>
      </c>
      <c r="F2860" s="33">
        <f>COUNTIFS(c_store,A2860,c_date,B2860,c_hour,C2860)</f>
        <v>1</v>
      </c>
      <c r="G2860" s="33">
        <f>IF(F2860&gt;0,1,0)</f>
        <v>1</v>
      </c>
      <c r="H2860" s="33">
        <f>COUNTIFS(Demand!$A$2:$A$4481,A2860,Demand!$B$2:$B$4481,B2860,Demand!$C$2:$C$4481,C2860)</f>
        <v>1</v>
      </c>
    </row>
    <row r="2861">
      <c r="A2861" s="32" t="str">
        <f>Demand!A2859</f>
        <v>S019</v>
      </c>
      <c r="B2861" s="35">
        <f>Demand!B2859</f>
        <v>46274.0</v>
      </c>
      <c r="C2861" s="33">
        <f>Demand!C2859</f>
        <v>17</v>
      </c>
      <c r="D2861" s="33">
        <f>Demand!E2859</f>
        <v>19</v>
      </c>
      <c r="E2861" s="33">
        <f>IF(Demand!F2859,1,0)</f>
        <v>0</v>
      </c>
      <c r="F2861" s="33">
        <f>COUNTIFS(c_store,A2861,c_date,B2861,c_hour,C2861)</f>
        <v>0</v>
      </c>
      <c r="G2861" s="33">
        <f>IF(F2861&gt;0,1,0)</f>
        <v>0</v>
      </c>
      <c r="H2861" s="33">
        <f>COUNTIFS(Demand!$A$2:$A$4481,A2861,Demand!$B$2:$B$4481,B2861,Demand!$C$2:$C$4481,C2861)</f>
        <v>1</v>
      </c>
    </row>
    <row r="2862">
      <c r="A2862" s="32" t="str">
        <f>Demand!A2860</f>
        <v>S019</v>
      </c>
      <c r="B2862" s="35">
        <f>Demand!B2860</f>
        <v>46274.0</v>
      </c>
      <c r="C2862" s="33">
        <f>Demand!C2860</f>
        <v>18</v>
      </c>
      <c r="D2862" s="33">
        <f>Demand!E2860</f>
        <v>9</v>
      </c>
      <c r="E2862" s="33">
        <f>IF(Demand!F2860,1,0)</f>
        <v>0</v>
      </c>
      <c r="F2862" s="33">
        <f>COUNTIFS(c_store,A2862,c_date,B2862,c_hour,C2862)</f>
        <v>0</v>
      </c>
      <c r="G2862" s="33">
        <f>IF(F2862&gt;0,1,0)</f>
        <v>0</v>
      </c>
      <c r="H2862" s="33">
        <f>COUNTIFS(Demand!$A$2:$A$4481,A2862,Demand!$B$2:$B$4481,B2862,Demand!$C$2:$C$4481,C2862)</f>
        <v>1</v>
      </c>
    </row>
    <row r="2863">
      <c r="A2863" s="32" t="str">
        <f>Demand!A2861</f>
        <v>S019</v>
      </c>
      <c r="B2863" s="35">
        <f>Demand!B2861</f>
        <v>46274.0</v>
      </c>
      <c r="C2863" s="33">
        <f>Demand!C2861</f>
        <v>19</v>
      </c>
      <c r="D2863" s="33">
        <f>Demand!E2861</f>
        <v>19</v>
      </c>
      <c r="E2863" s="33">
        <f>IF(Demand!F2861,1,0)</f>
        <v>1</v>
      </c>
      <c r="F2863" s="33">
        <f>COUNTIFS(c_store,A2863,c_date,B2863,c_hour,C2863)</f>
        <v>0</v>
      </c>
      <c r="G2863" s="33">
        <f>IF(F2863&gt;0,1,0)</f>
        <v>0</v>
      </c>
      <c r="H2863" s="33">
        <f>COUNTIFS(Demand!$A$2:$A$4481,A2863,Demand!$B$2:$B$4481,B2863,Demand!$C$2:$C$4481,C2863)</f>
        <v>1</v>
      </c>
    </row>
    <row r="2864">
      <c r="A2864" s="32" t="str">
        <f>Demand!A2862</f>
        <v>S019</v>
      </c>
      <c r="B2864" s="35">
        <f>Demand!B2862</f>
        <v>46274.0</v>
      </c>
      <c r="C2864" s="33">
        <f>Demand!C2862</f>
        <v>20</v>
      </c>
      <c r="D2864" s="33">
        <f>Demand!E2862</f>
        <v>38</v>
      </c>
      <c r="E2864" s="33">
        <f>IF(Demand!F2862,1,0)</f>
        <v>1</v>
      </c>
      <c r="F2864" s="33">
        <f>COUNTIFS(c_store,A2864,c_date,B2864,c_hour,C2864)</f>
        <v>1</v>
      </c>
      <c r="G2864" s="33">
        <f>IF(F2864&gt;0,1,0)</f>
        <v>1</v>
      </c>
      <c r="H2864" s="33">
        <f>COUNTIFS(Demand!$A$2:$A$4481,A2864,Demand!$B$2:$B$4481,B2864,Demand!$C$2:$C$4481,C2864)</f>
        <v>1</v>
      </c>
    </row>
    <row r="2865">
      <c r="A2865" s="32" t="str">
        <f>Demand!A2863</f>
        <v>S019</v>
      </c>
      <c r="B2865" s="35">
        <f>Demand!B2863</f>
        <v>46274.0</v>
      </c>
      <c r="C2865" s="33">
        <f>Demand!C2863</f>
        <v>21</v>
      </c>
      <c r="D2865" s="33">
        <f>Demand!E2863</f>
        <v>28</v>
      </c>
      <c r="E2865" s="33">
        <f>IF(Demand!F2863,1,0)</f>
        <v>1</v>
      </c>
      <c r="F2865" s="33">
        <f>COUNTIFS(c_store,A2865,c_date,B2865,c_hour,C2865)</f>
        <v>0</v>
      </c>
      <c r="G2865" s="33">
        <f>IF(F2865&gt;0,1,0)</f>
        <v>0</v>
      </c>
      <c r="H2865" s="33">
        <f>COUNTIFS(Demand!$A$2:$A$4481,A2865,Demand!$B$2:$B$4481,B2865,Demand!$C$2:$C$4481,C2865)</f>
        <v>1</v>
      </c>
    </row>
    <row r="2866">
      <c r="A2866" s="32" t="str">
        <f>Demand!A2864</f>
        <v>S019</v>
      </c>
      <c r="B2866" s="35">
        <f>Demand!B2864</f>
        <v>46274.0</v>
      </c>
      <c r="C2866" s="33">
        <f>Demand!C2864</f>
        <v>22</v>
      </c>
      <c r="D2866" s="33">
        <f>Demand!E2864</f>
        <v>32</v>
      </c>
      <c r="E2866" s="33">
        <f>IF(Demand!F2864,1,0)</f>
        <v>0</v>
      </c>
      <c r="F2866" s="33">
        <f>COUNTIFS(c_store,A2866,c_date,B2866,c_hour,C2866)</f>
        <v>0</v>
      </c>
      <c r="G2866" s="33">
        <f>IF(F2866&gt;0,1,0)</f>
        <v>0</v>
      </c>
      <c r="H2866" s="33">
        <f>COUNTIFS(Demand!$A$2:$A$4481,A2866,Demand!$B$2:$B$4481,B2866,Demand!$C$2:$C$4481,C2866)</f>
        <v>1</v>
      </c>
    </row>
    <row r="2867">
      <c r="A2867" s="32" t="str">
        <f>Demand!A2865</f>
        <v>S019</v>
      </c>
      <c r="B2867" s="35">
        <f>Demand!B2865</f>
        <v>46274.0</v>
      </c>
      <c r="C2867" s="33">
        <f>Demand!C2865</f>
        <v>23</v>
      </c>
      <c r="D2867" s="33">
        <f>Demand!E2865</f>
        <v>22</v>
      </c>
      <c r="E2867" s="33">
        <f>IF(Demand!F2865,1,0)</f>
        <v>0</v>
      </c>
      <c r="F2867" s="33">
        <f>COUNTIFS(c_store,A2867,c_date,B2867,c_hour,C2867)</f>
        <v>1</v>
      </c>
      <c r="G2867" s="33">
        <f>IF(F2867&gt;0,1,0)</f>
        <v>1</v>
      </c>
      <c r="H2867" s="33">
        <f>COUNTIFS(Demand!$A$2:$A$4481,A2867,Demand!$B$2:$B$4481,B2867,Demand!$C$2:$C$4481,C2867)</f>
        <v>1</v>
      </c>
    </row>
    <row r="2868">
      <c r="A2868" s="32" t="str">
        <f>Demand!A2866</f>
        <v>S020</v>
      </c>
      <c r="B2868" s="35">
        <f>Demand!B2866</f>
        <v>46274.0</v>
      </c>
      <c r="C2868" s="33">
        <f>Demand!C2866</f>
        <v>8</v>
      </c>
      <c r="D2868" s="33">
        <f>Demand!E2866</f>
        <v>16</v>
      </c>
      <c r="E2868" s="33">
        <f>IF(Demand!F2866,1,0)</f>
        <v>0</v>
      </c>
      <c r="F2868" s="33">
        <f>COUNTIFS(c_store,A2868,c_date,B2868,c_hour,C2868)</f>
        <v>0</v>
      </c>
      <c r="G2868" s="33">
        <f>IF(F2868&gt;0,1,0)</f>
        <v>0</v>
      </c>
      <c r="H2868" s="33">
        <f>COUNTIFS(Demand!$A$2:$A$4481,A2868,Demand!$B$2:$B$4481,B2868,Demand!$C$2:$C$4481,C2868)</f>
        <v>1</v>
      </c>
    </row>
    <row r="2869">
      <c r="A2869" s="32" t="str">
        <f>Demand!A2867</f>
        <v>S020</v>
      </c>
      <c r="B2869" s="35">
        <f>Demand!B2867</f>
        <v>46274.0</v>
      </c>
      <c r="C2869" s="33">
        <f>Demand!C2867</f>
        <v>9</v>
      </c>
      <c r="D2869" s="33">
        <f>Demand!E2867</f>
        <v>10</v>
      </c>
      <c r="E2869" s="33">
        <f>IF(Demand!F2867,1,0)</f>
        <v>0</v>
      </c>
      <c r="F2869" s="33">
        <f>COUNTIFS(c_store,A2869,c_date,B2869,c_hour,C2869)</f>
        <v>0</v>
      </c>
      <c r="G2869" s="33">
        <f>IF(F2869&gt;0,1,0)</f>
        <v>0</v>
      </c>
      <c r="H2869" s="33">
        <f>COUNTIFS(Demand!$A$2:$A$4481,A2869,Demand!$B$2:$B$4481,B2869,Demand!$C$2:$C$4481,C2869)</f>
        <v>1</v>
      </c>
    </row>
    <row r="2870">
      <c r="A2870" s="32" t="str">
        <f>Demand!A2868</f>
        <v>S020</v>
      </c>
      <c r="B2870" s="35">
        <f>Demand!B2868</f>
        <v>46274.0</v>
      </c>
      <c r="C2870" s="33">
        <f>Demand!C2868</f>
        <v>10</v>
      </c>
      <c r="D2870" s="33">
        <f>Demand!E2868</f>
        <v>5</v>
      </c>
      <c r="E2870" s="33">
        <f>IF(Demand!F2868,1,0)</f>
        <v>0</v>
      </c>
      <c r="F2870" s="33">
        <f>COUNTIFS(c_store,A2870,c_date,B2870,c_hour,C2870)</f>
        <v>1</v>
      </c>
      <c r="G2870" s="33">
        <f>IF(F2870&gt;0,1,0)</f>
        <v>1</v>
      </c>
      <c r="H2870" s="33">
        <f>COUNTIFS(Demand!$A$2:$A$4481,A2870,Demand!$B$2:$B$4481,B2870,Demand!$C$2:$C$4481,C2870)</f>
        <v>1</v>
      </c>
    </row>
    <row r="2871">
      <c r="A2871" s="32" t="str">
        <f>Demand!A2869</f>
        <v>S020</v>
      </c>
      <c r="B2871" s="35">
        <f>Demand!B2869</f>
        <v>46274.0</v>
      </c>
      <c r="C2871" s="33">
        <f>Demand!C2869</f>
        <v>11</v>
      </c>
      <c r="D2871" s="33">
        <f>Demand!E2869</f>
        <v>18</v>
      </c>
      <c r="E2871" s="33">
        <f>IF(Demand!F2869,1,0)</f>
        <v>0</v>
      </c>
      <c r="F2871" s="33">
        <f>COUNTIFS(c_store,A2871,c_date,B2871,c_hour,C2871)</f>
        <v>0</v>
      </c>
      <c r="G2871" s="33">
        <f>IF(F2871&gt;0,1,0)</f>
        <v>0</v>
      </c>
      <c r="H2871" s="33">
        <f>COUNTIFS(Demand!$A$2:$A$4481,A2871,Demand!$B$2:$B$4481,B2871,Demand!$C$2:$C$4481,C2871)</f>
        <v>1</v>
      </c>
    </row>
    <row r="2872">
      <c r="A2872" s="32" t="str">
        <f>Demand!A2870</f>
        <v>S020</v>
      </c>
      <c r="B2872" s="35">
        <f>Demand!B2870</f>
        <v>46274.0</v>
      </c>
      <c r="C2872" s="33">
        <f>Demand!C2870</f>
        <v>12</v>
      </c>
      <c r="D2872" s="33">
        <f>Demand!E2870</f>
        <v>12</v>
      </c>
      <c r="E2872" s="33">
        <f>IF(Demand!F2870,1,0)</f>
        <v>0</v>
      </c>
      <c r="F2872" s="33">
        <f>COUNTIFS(c_store,A2872,c_date,B2872,c_hour,C2872)</f>
        <v>1</v>
      </c>
      <c r="G2872" s="33">
        <f>IF(F2872&gt;0,1,0)</f>
        <v>1</v>
      </c>
      <c r="H2872" s="33">
        <f>COUNTIFS(Demand!$A$2:$A$4481,A2872,Demand!$B$2:$B$4481,B2872,Demand!$C$2:$C$4481,C2872)</f>
        <v>1</v>
      </c>
    </row>
    <row r="2873">
      <c r="A2873" s="32" t="str">
        <f>Demand!A2871</f>
        <v>S020</v>
      </c>
      <c r="B2873" s="35">
        <f>Demand!B2871</f>
        <v>46274.0</v>
      </c>
      <c r="C2873" s="33">
        <f>Demand!C2871</f>
        <v>13</v>
      </c>
      <c r="D2873" s="33">
        <f>Demand!E2871</f>
        <v>15</v>
      </c>
      <c r="E2873" s="33">
        <f>IF(Demand!F2871,1,0)</f>
        <v>0</v>
      </c>
      <c r="F2873" s="33">
        <f>COUNTIFS(c_store,A2873,c_date,B2873,c_hour,C2873)</f>
        <v>0</v>
      </c>
      <c r="G2873" s="33">
        <f>IF(F2873&gt;0,1,0)</f>
        <v>0</v>
      </c>
      <c r="H2873" s="33">
        <f>COUNTIFS(Demand!$A$2:$A$4481,A2873,Demand!$B$2:$B$4481,B2873,Demand!$C$2:$C$4481,C2873)</f>
        <v>1</v>
      </c>
    </row>
    <row r="2874">
      <c r="A2874" s="32" t="str">
        <f>Demand!A2872</f>
        <v>S020</v>
      </c>
      <c r="B2874" s="35">
        <f>Demand!B2872</f>
        <v>46274.0</v>
      </c>
      <c r="C2874" s="33">
        <f>Demand!C2872</f>
        <v>14</v>
      </c>
      <c r="D2874" s="33">
        <f>Demand!E2872</f>
        <v>11</v>
      </c>
      <c r="E2874" s="33">
        <f>IF(Demand!F2872,1,0)</f>
        <v>0</v>
      </c>
      <c r="F2874" s="33">
        <f>COUNTIFS(c_store,A2874,c_date,B2874,c_hour,C2874)</f>
        <v>1</v>
      </c>
      <c r="G2874" s="33">
        <f>IF(F2874&gt;0,1,0)</f>
        <v>1</v>
      </c>
      <c r="H2874" s="33">
        <f>COUNTIFS(Demand!$A$2:$A$4481,A2874,Demand!$B$2:$B$4481,B2874,Demand!$C$2:$C$4481,C2874)</f>
        <v>1</v>
      </c>
    </row>
    <row r="2875">
      <c r="A2875" s="32" t="str">
        <f>Demand!A2873</f>
        <v>S020</v>
      </c>
      <c r="B2875" s="35">
        <f>Demand!B2873</f>
        <v>46274.0</v>
      </c>
      <c r="C2875" s="33">
        <f>Demand!C2873</f>
        <v>15</v>
      </c>
      <c r="D2875" s="33">
        <f>Demand!E2873</f>
        <v>9</v>
      </c>
      <c r="E2875" s="33">
        <f>IF(Demand!F2873,1,0)</f>
        <v>0</v>
      </c>
      <c r="F2875" s="33">
        <f>COUNTIFS(c_store,A2875,c_date,B2875,c_hour,C2875)</f>
        <v>0</v>
      </c>
      <c r="G2875" s="33">
        <f>IF(F2875&gt;0,1,0)</f>
        <v>0</v>
      </c>
      <c r="H2875" s="33">
        <f>COUNTIFS(Demand!$A$2:$A$4481,A2875,Demand!$B$2:$B$4481,B2875,Demand!$C$2:$C$4481,C2875)</f>
        <v>1</v>
      </c>
    </row>
    <row r="2876">
      <c r="A2876" s="32" t="str">
        <f>Demand!A2874</f>
        <v>S020</v>
      </c>
      <c r="B2876" s="35">
        <f>Demand!B2874</f>
        <v>46274.0</v>
      </c>
      <c r="C2876" s="33">
        <f>Demand!C2874</f>
        <v>16</v>
      </c>
      <c r="D2876" s="33">
        <f>Demand!E2874</f>
        <v>11</v>
      </c>
      <c r="E2876" s="33">
        <f>IF(Demand!F2874,1,0)</f>
        <v>0</v>
      </c>
      <c r="F2876" s="33">
        <f>COUNTIFS(c_store,A2876,c_date,B2876,c_hour,C2876)</f>
        <v>0</v>
      </c>
      <c r="G2876" s="33">
        <f>IF(F2876&gt;0,1,0)</f>
        <v>0</v>
      </c>
      <c r="H2876" s="33">
        <f>COUNTIFS(Demand!$A$2:$A$4481,A2876,Demand!$B$2:$B$4481,B2876,Demand!$C$2:$C$4481,C2876)</f>
        <v>1</v>
      </c>
    </row>
    <row r="2877">
      <c r="A2877" s="32" t="str">
        <f>Demand!A2875</f>
        <v>S020</v>
      </c>
      <c r="B2877" s="35">
        <f>Demand!B2875</f>
        <v>46274.0</v>
      </c>
      <c r="C2877" s="33">
        <f>Demand!C2875</f>
        <v>17</v>
      </c>
      <c r="D2877" s="33">
        <f>Demand!E2875</f>
        <v>16</v>
      </c>
      <c r="E2877" s="33">
        <f>IF(Demand!F2875,1,0)</f>
        <v>0</v>
      </c>
      <c r="F2877" s="33">
        <f>COUNTIFS(c_store,A2877,c_date,B2877,c_hour,C2877)</f>
        <v>0</v>
      </c>
      <c r="G2877" s="33">
        <f>IF(F2877&gt;0,1,0)</f>
        <v>0</v>
      </c>
      <c r="H2877" s="33">
        <f>COUNTIFS(Demand!$A$2:$A$4481,A2877,Demand!$B$2:$B$4481,B2877,Demand!$C$2:$C$4481,C2877)</f>
        <v>1</v>
      </c>
    </row>
    <row r="2878">
      <c r="A2878" s="32" t="str">
        <f>Demand!A2876</f>
        <v>S020</v>
      </c>
      <c r="B2878" s="35">
        <f>Demand!B2876</f>
        <v>46274.0</v>
      </c>
      <c r="C2878" s="33">
        <f>Demand!C2876</f>
        <v>18</v>
      </c>
      <c r="D2878" s="33">
        <f>Demand!E2876</f>
        <v>13</v>
      </c>
      <c r="E2878" s="33">
        <f>IF(Demand!F2876,1,0)</f>
        <v>0</v>
      </c>
      <c r="F2878" s="33">
        <f>COUNTIFS(c_store,A2878,c_date,B2878,c_hour,C2878)</f>
        <v>0</v>
      </c>
      <c r="G2878" s="33">
        <f>IF(F2878&gt;0,1,0)</f>
        <v>0</v>
      </c>
      <c r="H2878" s="33">
        <f>COUNTIFS(Demand!$A$2:$A$4481,A2878,Demand!$B$2:$B$4481,B2878,Demand!$C$2:$C$4481,C2878)</f>
        <v>1</v>
      </c>
    </row>
    <row r="2879">
      <c r="A2879" s="32" t="str">
        <f>Demand!A2877</f>
        <v>S020</v>
      </c>
      <c r="B2879" s="35">
        <f>Demand!B2877</f>
        <v>46274.0</v>
      </c>
      <c r="C2879" s="33">
        <f>Demand!C2877</f>
        <v>19</v>
      </c>
      <c r="D2879" s="33">
        <f>Demand!E2877</f>
        <v>16</v>
      </c>
      <c r="E2879" s="33">
        <f>IF(Demand!F2877,1,0)</f>
        <v>1</v>
      </c>
      <c r="F2879" s="33">
        <f>COUNTIFS(c_store,A2879,c_date,B2879,c_hour,C2879)</f>
        <v>0</v>
      </c>
      <c r="G2879" s="33">
        <f>IF(F2879&gt;0,1,0)</f>
        <v>0</v>
      </c>
      <c r="H2879" s="33">
        <f>COUNTIFS(Demand!$A$2:$A$4481,A2879,Demand!$B$2:$B$4481,B2879,Demand!$C$2:$C$4481,C2879)</f>
        <v>1</v>
      </c>
    </row>
    <row r="2880">
      <c r="A2880" s="32" t="str">
        <f>Demand!A2878</f>
        <v>S020</v>
      </c>
      <c r="B2880" s="35">
        <f>Demand!B2878</f>
        <v>46274.0</v>
      </c>
      <c r="C2880" s="33">
        <f>Demand!C2878</f>
        <v>20</v>
      </c>
      <c r="D2880" s="33">
        <f>Demand!E2878</f>
        <v>24</v>
      </c>
      <c r="E2880" s="33">
        <f>IF(Demand!F2878,1,0)</f>
        <v>1</v>
      </c>
      <c r="F2880" s="33">
        <f>COUNTIFS(c_store,A2880,c_date,B2880,c_hour,C2880)</f>
        <v>1</v>
      </c>
      <c r="G2880" s="33">
        <f>IF(F2880&gt;0,1,0)</f>
        <v>1</v>
      </c>
      <c r="H2880" s="33">
        <f>COUNTIFS(Demand!$A$2:$A$4481,A2880,Demand!$B$2:$B$4481,B2880,Demand!$C$2:$C$4481,C2880)</f>
        <v>1</v>
      </c>
    </row>
    <row r="2881">
      <c r="A2881" s="32" t="str">
        <f>Demand!A2879</f>
        <v>S020</v>
      </c>
      <c r="B2881" s="35">
        <f>Demand!B2879</f>
        <v>46274.0</v>
      </c>
      <c r="C2881" s="33">
        <f>Demand!C2879</f>
        <v>21</v>
      </c>
      <c r="D2881" s="33">
        <f>Demand!E2879</f>
        <v>17</v>
      </c>
      <c r="E2881" s="33">
        <f>IF(Demand!F2879,1,0)</f>
        <v>1</v>
      </c>
      <c r="F2881" s="33">
        <f>COUNTIFS(c_store,A2881,c_date,B2881,c_hour,C2881)</f>
        <v>0</v>
      </c>
      <c r="G2881" s="33">
        <f>IF(F2881&gt;0,1,0)</f>
        <v>0</v>
      </c>
      <c r="H2881" s="33">
        <f>COUNTIFS(Demand!$A$2:$A$4481,A2881,Demand!$B$2:$B$4481,B2881,Demand!$C$2:$C$4481,C2881)</f>
        <v>1</v>
      </c>
    </row>
    <row r="2882">
      <c r="A2882" s="32" t="str">
        <f>Demand!A2880</f>
        <v>S020</v>
      </c>
      <c r="B2882" s="35">
        <f>Demand!B2880</f>
        <v>46274.0</v>
      </c>
      <c r="C2882" s="33">
        <f>Demand!C2880</f>
        <v>22</v>
      </c>
      <c r="D2882" s="33">
        <f>Demand!E2880</f>
        <v>13</v>
      </c>
      <c r="E2882" s="33">
        <f>IF(Demand!F2880,1,0)</f>
        <v>0</v>
      </c>
      <c r="F2882" s="33">
        <f>COUNTIFS(c_store,A2882,c_date,B2882,c_hour,C2882)</f>
        <v>0</v>
      </c>
      <c r="G2882" s="33">
        <f>IF(F2882&gt;0,1,0)</f>
        <v>0</v>
      </c>
      <c r="H2882" s="33">
        <f>COUNTIFS(Demand!$A$2:$A$4481,A2882,Demand!$B$2:$B$4481,B2882,Demand!$C$2:$C$4481,C2882)</f>
        <v>1</v>
      </c>
    </row>
    <row r="2883">
      <c r="A2883" s="32" t="str">
        <f>Demand!A2881</f>
        <v>S020</v>
      </c>
      <c r="B2883" s="35">
        <f>Demand!B2881</f>
        <v>46274.0</v>
      </c>
      <c r="C2883" s="33">
        <f>Demand!C2881</f>
        <v>23</v>
      </c>
      <c r="D2883" s="33">
        <f>Demand!E2881</f>
        <v>14</v>
      </c>
      <c r="E2883" s="33">
        <f>IF(Demand!F2881,1,0)</f>
        <v>0</v>
      </c>
      <c r="F2883" s="33">
        <f>COUNTIFS(c_store,A2883,c_date,B2883,c_hour,C2883)</f>
        <v>1</v>
      </c>
      <c r="G2883" s="33">
        <f>IF(F2883&gt;0,1,0)</f>
        <v>1</v>
      </c>
      <c r="H2883" s="33">
        <f>COUNTIFS(Demand!$A$2:$A$4481,A2883,Demand!$B$2:$B$4481,B2883,Demand!$C$2:$C$4481,C2883)</f>
        <v>1</v>
      </c>
    </row>
    <row r="2884">
      <c r="A2884" s="32" t="str">
        <f>Demand!A2882</f>
        <v>S001</v>
      </c>
      <c r="B2884" s="35">
        <f>Demand!B2882</f>
        <v>46275.0</v>
      </c>
      <c r="C2884" s="33">
        <f>Demand!C2882</f>
        <v>8</v>
      </c>
      <c r="D2884" s="33">
        <f>Demand!E2882</f>
        <v>15</v>
      </c>
      <c r="E2884" s="33">
        <f>IF(Demand!F2882,1,0)</f>
        <v>0</v>
      </c>
      <c r="F2884" s="33">
        <f>COUNTIFS(c_store,A2884,c_date,B2884,c_hour,C2884)</f>
        <v>0</v>
      </c>
      <c r="G2884" s="33">
        <f>IF(F2884&gt;0,1,0)</f>
        <v>0</v>
      </c>
      <c r="H2884" s="33">
        <f>COUNTIFS(Demand!$A$2:$A$4481,A2884,Demand!$B$2:$B$4481,B2884,Demand!$C$2:$C$4481,C2884)</f>
        <v>1</v>
      </c>
    </row>
    <row r="2885">
      <c r="A2885" s="32" t="str">
        <f>Demand!A2883</f>
        <v>S001</v>
      </c>
      <c r="B2885" s="35">
        <f>Demand!B2883</f>
        <v>46275.0</v>
      </c>
      <c r="C2885" s="33">
        <f>Demand!C2883</f>
        <v>9</v>
      </c>
      <c r="D2885" s="33">
        <f>Demand!E2883</f>
        <v>12</v>
      </c>
      <c r="E2885" s="33">
        <f>IF(Demand!F2883,1,0)</f>
        <v>0</v>
      </c>
      <c r="F2885" s="33">
        <f>COUNTIFS(c_store,A2885,c_date,B2885,c_hour,C2885)</f>
        <v>0</v>
      </c>
      <c r="G2885" s="33">
        <f>IF(F2885&gt;0,1,0)</f>
        <v>0</v>
      </c>
      <c r="H2885" s="33">
        <f>COUNTIFS(Demand!$A$2:$A$4481,A2885,Demand!$B$2:$B$4481,B2885,Demand!$C$2:$C$4481,C2885)</f>
        <v>1</v>
      </c>
    </row>
    <row r="2886">
      <c r="A2886" s="32" t="str">
        <f>Demand!A2884</f>
        <v>S001</v>
      </c>
      <c r="B2886" s="35">
        <f>Demand!B2884</f>
        <v>46275.0</v>
      </c>
      <c r="C2886" s="33">
        <f>Demand!C2884</f>
        <v>10</v>
      </c>
      <c r="D2886" s="33">
        <f>Demand!E2884</f>
        <v>12</v>
      </c>
      <c r="E2886" s="33">
        <f>IF(Demand!F2884,1,0)</f>
        <v>0</v>
      </c>
      <c r="F2886" s="33">
        <f>COUNTIFS(c_store,A2886,c_date,B2886,c_hour,C2886)</f>
        <v>0</v>
      </c>
      <c r="G2886" s="33">
        <f>IF(F2886&gt;0,1,0)</f>
        <v>0</v>
      </c>
      <c r="H2886" s="33">
        <f>COUNTIFS(Demand!$A$2:$A$4481,A2886,Demand!$B$2:$B$4481,B2886,Demand!$C$2:$C$4481,C2886)</f>
        <v>1</v>
      </c>
    </row>
    <row r="2887">
      <c r="A2887" s="32" t="str">
        <f>Demand!A2885</f>
        <v>S001</v>
      </c>
      <c r="B2887" s="35">
        <f>Demand!B2885</f>
        <v>46275.0</v>
      </c>
      <c r="C2887" s="33">
        <f>Demand!C2885</f>
        <v>11</v>
      </c>
      <c r="D2887" s="33">
        <f>Demand!E2885</f>
        <v>20</v>
      </c>
      <c r="E2887" s="33">
        <f>IF(Demand!F2885,1,0)</f>
        <v>0</v>
      </c>
      <c r="F2887" s="33">
        <f>COUNTIFS(c_store,A2887,c_date,B2887,c_hour,C2887)</f>
        <v>0</v>
      </c>
      <c r="G2887" s="33">
        <f>IF(F2887&gt;0,1,0)</f>
        <v>0</v>
      </c>
      <c r="H2887" s="33">
        <f>COUNTIFS(Demand!$A$2:$A$4481,A2887,Demand!$B$2:$B$4481,B2887,Demand!$C$2:$C$4481,C2887)</f>
        <v>1</v>
      </c>
    </row>
    <row r="2888">
      <c r="A2888" s="32" t="str">
        <f>Demand!A2886</f>
        <v>S001</v>
      </c>
      <c r="B2888" s="35">
        <f>Demand!B2886</f>
        <v>46275.0</v>
      </c>
      <c r="C2888" s="33">
        <f>Demand!C2886</f>
        <v>12</v>
      </c>
      <c r="D2888" s="33">
        <f>Demand!E2886</f>
        <v>16</v>
      </c>
      <c r="E2888" s="33">
        <f>IF(Demand!F2886,1,0)</f>
        <v>0</v>
      </c>
      <c r="F2888" s="33">
        <f>COUNTIFS(c_store,A2888,c_date,B2888,c_hour,C2888)</f>
        <v>0</v>
      </c>
      <c r="G2888" s="33">
        <f>IF(F2888&gt;0,1,0)</f>
        <v>0</v>
      </c>
      <c r="H2888" s="33">
        <f>COUNTIFS(Demand!$A$2:$A$4481,A2888,Demand!$B$2:$B$4481,B2888,Demand!$C$2:$C$4481,C2888)</f>
        <v>1</v>
      </c>
    </row>
    <row r="2889">
      <c r="A2889" s="32" t="str">
        <f>Demand!A2887</f>
        <v>S001</v>
      </c>
      <c r="B2889" s="35">
        <f>Demand!B2887</f>
        <v>46275.0</v>
      </c>
      <c r="C2889" s="33">
        <f>Demand!C2887</f>
        <v>13</v>
      </c>
      <c r="D2889" s="33">
        <f>Demand!E2887</f>
        <v>23</v>
      </c>
      <c r="E2889" s="33">
        <f>IF(Demand!F2887,1,0)</f>
        <v>0</v>
      </c>
      <c r="F2889" s="33">
        <f>COUNTIFS(c_store,A2889,c_date,B2889,c_hour,C2889)</f>
        <v>1</v>
      </c>
      <c r="G2889" s="33">
        <f>IF(F2889&gt;0,1,0)</f>
        <v>1</v>
      </c>
      <c r="H2889" s="33">
        <f>COUNTIFS(Demand!$A$2:$A$4481,A2889,Demand!$B$2:$B$4481,B2889,Demand!$C$2:$C$4481,C2889)</f>
        <v>1</v>
      </c>
    </row>
    <row r="2890">
      <c r="A2890" s="32" t="str">
        <f>Demand!A2888</f>
        <v>S001</v>
      </c>
      <c r="B2890" s="35">
        <f>Demand!B2888</f>
        <v>46275.0</v>
      </c>
      <c r="C2890" s="33">
        <f>Demand!C2888</f>
        <v>14</v>
      </c>
      <c r="D2890" s="33">
        <f>Demand!E2888</f>
        <v>13</v>
      </c>
      <c r="E2890" s="33">
        <f>IF(Demand!F2888,1,0)</f>
        <v>0</v>
      </c>
      <c r="F2890" s="33">
        <f>COUNTIFS(c_store,A2890,c_date,B2890,c_hour,C2890)</f>
        <v>0</v>
      </c>
      <c r="G2890" s="33">
        <f>IF(F2890&gt;0,1,0)</f>
        <v>0</v>
      </c>
      <c r="H2890" s="33">
        <f>COUNTIFS(Demand!$A$2:$A$4481,A2890,Demand!$B$2:$B$4481,B2890,Demand!$C$2:$C$4481,C2890)</f>
        <v>1</v>
      </c>
    </row>
    <row r="2891">
      <c r="A2891" s="32" t="str">
        <f>Demand!A2889</f>
        <v>S001</v>
      </c>
      <c r="B2891" s="35">
        <f>Demand!B2889</f>
        <v>46275.0</v>
      </c>
      <c r="C2891" s="33">
        <f>Demand!C2889</f>
        <v>15</v>
      </c>
      <c r="D2891" s="33">
        <f>Demand!E2889</f>
        <v>13</v>
      </c>
      <c r="E2891" s="33">
        <f>IF(Demand!F2889,1,0)</f>
        <v>0</v>
      </c>
      <c r="F2891" s="33">
        <f>COUNTIFS(c_store,A2891,c_date,B2891,c_hour,C2891)</f>
        <v>0</v>
      </c>
      <c r="G2891" s="33">
        <f>IF(F2891&gt;0,1,0)</f>
        <v>0</v>
      </c>
      <c r="H2891" s="33">
        <f>COUNTIFS(Demand!$A$2:$A$4481,A2891,Demand!$B$2:$B$4481,B2891,Demand!$C$2:$C$4481,C2891)</f>
        <v>1</v>
      </c>
    </row>
    <row r="2892">
      <c r="A2892" s="32" t="str">
        <f>Demand!A2890</f>
        <v>S001</v>
      </c>
      <c r="B2892" s="35">
        <f>Demand!B2890</f>
        <v>46275.0</v>
      </c>
      <c r="C2892" s="33">
        <f>Demand!C2890</f>
        <v>16</v>
      </c>
      <c r="D2892" s="33">
        <f>Demand!E2890</f>
        <v>14</v>
      </c>
      <c r="E2892" s="33">
        <f>IF(Demand!F2890,1,0)</f>
        <v>0</v>
      </c>
      <c r="F2892" s="33">
        <f>COUNTIFS(c_store,A2892,c_date,B2892,c_hour,C2892)</f>
        <v>0</v>
      </c>
      <c r="G2892" s="33">
        <f>IF(F2892&gt;0,1,0)</f>
        <v>0</v>
      </c>
      <c r="H2892" s="33">
        <f>COUNTIFS(Demand!$A$2:$A$4481,A2892,Demand!$B$2:$B$4481,B2892,Demand!$C$2:$C$4481,C2892)</f>
        <v>1</v>
      </c>
    </row>
    <row r="2893">
      <c r="A2893" s="32" t="str">
        <f>Demand!A2891</f>
        <v>S001</v>
      </c>
      <c r="B2893" s="35">
        <f>Demand!B2891</f>
        <v>46275.0</v>
      </c>
      <c r="C2893" s="33">
        <f>Demand!C2891</f>
        <v>17</v>
      </c>
      <c r="D2893" s="33">
        <f>Demand!E2891</f>
        <v>10</v>
      </c>
      <c r="E2893" s="33">
        <f>IF(Demand!F2891,1,0)</f>
        <v>0</v>
      </c>
      <c r="F2893" s="33">
        <f>COUNTIFS(c_store,A2893,c_date,B2893,c_hour,C2893)</f>
        <v>0</v>
      </c>
      <c r="G2893" s="33">
        <f>IF(F2893&gt;0,1,0)</f>
        <v>0</v>
      </c>
      <c r="H2893" s="33">
        <f>COUNTIFS(Demand!$A$2:$A$4481,A2893,Demand!$B$2:$B$4481,B2893,Demand!$C$2:$C$4481,C2893)</f>
        <v>1</v>
      </c>
    </row>
    <row r="2894">
      <c r="A2894" s="32" t="str">
        <f>Demand!A2892</f>
        <v>S001</v>
      </c>
      <c r="B2894" s="35">
        <f>Demand!B2892</f>
        <v>46275.0</v>
      </c>
      <c r="C2894" s="33">
        <f>Demand!C2892</f>
        <v>18</v>
      </c>
      <c r="D2894" s="33">
        <f>Demand!E2892</f>
        <v>10</v>
      </c>
      <c r="E2894" s="33">
        <f>IF(Demand!F2892,1,0)</f>
        <v>0</v>
      </c>
      <c r="F2894" s="33">
        <f>COUNTIFS(c_store,A2894,c_date,B2894,c_hour,C2894)</f>
        <v>0</v>
      </c>
      <c r="G2894" s="33">
        <f>IF(F2894&gt;0,1,0)</f>
        <v>0</v>
      </c>
      <c r="H2894" s="33">
        <f>COUNTIFS(Demand!$A$2:$A$4481,A2894,Demand!$B$2:$B$4481,B2894,Demand!$C$2:$C$4481,C2894)</f>
        <v>1</v>
      </c>
    </row>
    <row r="2895">
      <c r="A2895" s="32" t="str">
        <f>Demand!A2893</f>
        <v>S001</v>
      </c>
      <c r="B2895" s="35">
        <f>Demand!B2893</f>
        <v>46275.0</v>
      </c>
      <c r="C2895" s="33">
        <f>Demand!C2893</f>
        <v>19</v>
      </c>
      <c r="D2895" s="33">
        <f>Demand!E2893</f>
        <v>29</v>
      </c>
      <c r="E2895" s="33">
        <f>IF(Demand!F2893,1,0)</f>
        <v>1</v>
      </c>
      <c r="F2895" s="33">
        <f>COUNTIFS(c_store,A2895,c_date,B2895,c_hour,C2895)</f>
        <v>0</v>
      </c>
      <c r="G2895" s="33">
        <f>IF(F2895&gt;0,1,0)</f>
        <v>0</v>
      </c>
      <c r="H2895" s="33">
        <f>COUNTIFS(Demand!$A$2:$A$4481,A2895,Demand!$B$2:$B$4481,B2895,Demand!$C$2:$C$4481,C2895)</f>
        <v>1</v>
      </c>
    </row>
    <row r="2896">
      <c r="A2896" s="32" t="str">
        <f>Demand!A2894</f>
        <v>S001</v>
      </c>
      <c r="B2896" s="35">
        <f>Demand!B2894</f>
        <v>46275.0</v>
      </c>
      <c r="C2896" s="33">
        <f>Demand!C2894</f>
        <v>20</v>
      </c>
      <c r="D2896" s="33">
        <f>Demand!E2894</f>
        <v>25</v>
      </c>
      <c r="E2896" s="33">
        <f>IF(Demand!F2894,1,0)</f>
        <v>1</v>
      </c>
      <c r="F2896" s="33">
        <f>COUNTIFS(c_store,A2896,c_date,B2896,c_hour,C2896)</f>
        <v>1</v>
      </c>
      <c r="G2896" s="33">
        <f>IF(F2896&gt;0,1,0)</f>
        <v>1</v>
      </c>
      <c r="H2896" s="33">
        <f>COUNTIFS(Demand!$A$2:$A$4481,A2896,Demand!$B$2:$B$4481,B2896,Demand!$C$2:$C$4481,C2896)</f>
        <v>1</v>
      </c>
    </row>
    <row r="2897">
      <c r="A2897" s="32" t="str">
        <f>Demand!A2895</f>
        <v>S001</v>
      </c>
      <c r="B2897" s="35">
        <f>Demand!B2895</f>
        <v>46275.0</v>
      </c>
      <c r="C2897" s="33">
        <f>Demand!C2895</f>
        <v>21</v>
      </c>
      <c r="D2897" s="33">
        <f>Demand!E2895</f>
        <v>22</v>
      </c>
      <c r="E2897" s="33">
        <f>IF(Demand!F2895,1,0)</f>
        <v>1</v>
      </c>
      <c r="F2897" s="33">
        <f>COUNTIFS(c_store,A2897,c_date,B2897,c_hour,C2897)</f>
        <v>0</v>
      </c>
      <c r="G2897" s="33">
        <f>IF(F2897&gt;0,1,0)</f>
        <v>0</v>
      </c>
      <c r="H2897" s="33">
        <f>COUNTIFS(Demand!$A$2:$A$4481,A2897,Demand!$B$2:$B$4481,B2897,Demand!$C$2:$C$4481,C2897)</f>
        <v>1</v>
      </c>
    </row>
    <row r="2898">
      <c r="A2898" s="32" t="str">
        <f>Demand!A2896</f>
        <v>S001</v>
      </c>
      <c r="B2898" s="35">
        <f>Demand!B2896</f>
        <v>46275.0</v>
      </c>
      <c r="C2898" s="33">
        <f>Demand!C2896</f>
        <v>22</v>
      </c>
      <c r="D2898" s="33">
        <f>Demand!E2896</f>
        <v>12</v>
      </c>
      <c r="E2898" s="33">
        <f>IF(Demand!F2896,1,0)</f>
        <v>0</v>
      </c>
      <c r="F2898" s="33">
        <f>COUNTIFS(c_store,A2898,c_date,B2898,c_hour,C2898)</f>
        <v>0</v>
      </c>
      <c r="G2898" s="33">
        <f>IF(F2898&gt;0,1,0)</f>
        <v>0</v>
      </c>
      <c r="H2898" s="33">
        <f>COUNTIFS(Demand!$A$2:$A$4481,A2898,Demand!$B$2:$B$4481,B2898,Demand!$C$2:$C$4481,C2898)</f>
        <v>1</v>
      </c>
    </row>
    <row r="2899">
      <c r="A2899" s="32" t="str">
        <f>Demand!A2897</f>
        <v>S001</v>
      </c>
      <c r="B2899" s="35">
        <f>Demand!B2897</f>
        <v>46275.0</v>
      </c>
      <c r="C2899" s="33">
        <f>Demand!C2897</f>
        <v>23</v>
      </c>
      <c r="D2899" s="33">
        <f>Demand!E2897</f>
        <v>13</v>
      </c>
      <c r="E2899" s="33">
        <f>IF(Demand!F2897,1,0)</f>
        <v>0</v>
      </c>
      <c r="F2899" s="33">
        <f>COUNTIFS(c_store,A2899,c_date,B2899,c_hour,C2899)</f>
        <v>0</v>
      </c>
      <c r="G2899" s="33">
        <f>IF(F2899&gt;0,1,0)</f>
        <v>0</v>
      </c>
      <c r="H2899" s="33">
        <f>COUNTIFS(Demand!$A$2:$A$4481,A2899,Demand!$B$2:$B$4481,B2899,Demand!$C$2:$C$4481,C2899)</f>
        <v>1</v>
      </c>
    </row>
    <row r="2900">
      <c r="A2900" s="32" t="str">
        <f>Demand!A2898</f>
        <v>S002</v>
      </c>
      <c r="B2900" s="35">
        <f>Demand!B2898</f>
        <v>46275.0</v>
      </c>
      <c r="C2900" s="33">
        <f>Demand!C2898</f>
        <v>8</v>
      </c>
      <c r="D2900" s="33">
        <f>Demand!E2898</f>
        <v>23</v>
      </c>
      <c r="E2900" s="33">
        <f>IF(Demand!F2898,1,0)</f>
        <v>0</v>
      </c>
      <c r="F2900" s="33">
        <f>COUNTIFS(c_store,A2900,c_date,B2900,c_hour,C2900)</f>
        <v>0</v>
      </c>
      <c r="G2900" s="33">
        <f>IF(F2900&gt;0,1,0)</f>
        <v>0</v>
      </c>
      <c r="H2900" s="33">
        <f>COUNTIFS(Demand!$A$2:$A$4481,A2900,Demand!$B$2:$B$4481,B2900,Demand!$C$2:$C$4481,C2900)</f>
        <v>1</v>
      </c>
    </row>
    <row r="2901">
      <c r="A2901" s="32" t="str">
        <f>Demand!A2899</f>
        <v>S002</v>
      </c>
      <c r="B2901" s="35">
        <f>Demand!B2899</f>
        <v>46275.0</v>
      </c>
      <c r="C2901" s="33">
        <f>Demand!C2899</f>
        <v>9</v>
      </c>
      <c r="D2901" s="33">
        <f>Demand!E2899</f>
        <v>27</v>
      </c>
      <c r="E2901" s="33">
        <f>IF(Demand!F2899,1,0)</f>
        <v>0</v>
      </c>
      <c r="F2901" s="33">
        <f>COUNTIFS(c_store,A2901,c_date,B2901,c_hour,C2901)</f>
        <v>0</v>
      </c>
      <c r="G2901" s="33">
        <f>IF(F2901&gt;0,1,0)</f>
        <v>0</v>
      </c>
      <c r="H2901" s="33">
        <f>COUNTIFS(Demand!$A$2:$A$4481,A2901,Demand!$B$2:$B$4481,B2901,Demand!$C$2:$C$4481,C2901)</f>
        <v>1</v>
      </c>
    </row>
    <row r="2902">
      <c r="A2902" s="32" t="str">
        <f>Demand!A2900</f>
        <v>S002</v>
      </c>
      <c r="B2902" s="35">
        <f>Demand!B2900</f>
        <v>46275.0</v>
      </c>
      <c r="C2902" s="33">
        <f>Demand!C2900</f>
        <v>10</v>
      </c>
      <c r="D2902" s="33">
        <f>Demand!E2900</f>
        <v>12</v>
      </c>
      <c r="E2902" s="33">
        <f>IF(Demand!F2900,1,0)</f>
        <v>0</v>
      </c>
      <c r="F2902" s="33">
        <f>COUNTIFS(c_store,A2902,c_date,B2902,c_hour,C2902)</f>
        <v>0</v>
      </c>
      <c r="G2902" s="33">
        <f>IF(F2902&gt;0,1,0)</f>
        <v>0</v>
      </c>
      <c r="H2902" s="33">
        <f>COUNTIFS(Demand!$A$2:$A$4481,A2902,Demand!$B$2:$B$4481,B2902,Demand!$C$2:$C$4481,C2902)</f>
        <v>1</v>
      </c>
    </row>
    <row r="2903">
      <c r="A2903" s="32" t="str">
        <f>Demand!A2901</f>
        <v>S002</v>
      </c>
      <c r="B2903" s="35">
        <f>Demand!B2901</f>
        <v>46275.0</v>
      </c>
      <c r="C2903" s="33">
        <f>Demand!C2901</f>
        <v>11</v>
      </c>
      <c r="D2903" s="33">
        <f>Demand!E2901</f>
        <v>35</v>
      </c>
      <c r="E2903" s="33">
        <f>IF(Demand!F2901,1,0)</f>
        <v>0</v>
      </c>
      <c r="F2903" s="33">
        <f>COUNTIFS(c_store,A2903,c_date,B2903,c_hour,C2903)</f>
        <v>2</v>
      </c>
      <c r="G2903" s="33">
        <f>IF(F2903&gt;0,1,0)</f>
        <v>1</v>
      </c>
      <c r="H2903" s="33">
        <f>COUNTIFS(Demand!$A$2:$A$4481,A2903,Demand!$B$2:$B$4481,B2903,Demand!$C$2:$C$4481,C2903)</f>
        <v>1</v>
      </c>
    </row>
    <row r="2904">
      <c r="A2904" s="32" t="str">
        <f>Demand!A2902</f>
        <v>S002</v>
      </c>
      <c r="B2904" s="35">
        <f>Demand!B2902</f>
        <v>46275.0</v>
      </c>
      <c r="C2904" s="33">
        <f>Demand!C2902</f>
        <v>12</v>
      </c>
      <c r="D2904" s="33">
        <f>Demand!E2902</f>
        <v>39</v>
      </c>
      <c r="E2904" s="33">
        <f>IF(Demand!F2902,1,0)</f>
        <v>0</v>
      </c>
      <c r="F2904" s="33">
        <f>COUNTIFS(c_store,A2904,c_date,B2904,c_hour,C2904)</f>
        <v>0</v>
      </c>
      <c r="G2904" s="33">
        <f>IF(F2904&gt;0,1,0)</f>
        <v>0</v>
      </c>
      <c r="H2904" s="33">
        <f>COUNTIFS(Demand!$A$2:$A$4481,A2904,Demand!$B$2:$B$4481,B2904,Demand!$C$2:$C$4481,C2904)</f>
        <v>1</v>
      </c>
    </row>
    <row r="2905">
      <c r="A2905" s="32" t="str">
        <f>Demand!A2903</f>
        <v>S002</v>
      </c>
      <c r="B2905" s="35">
        <f>Demand!B2903</f>
        <v>46275.0</v>
      </c>
      <c r="C2905" s="33">
        <f>Demand!C2903</f>
        <v>13</v>
      </c>
      <c r="D2905" s="33">
        <f>Demand!E2903</f>
        <v>38</v>
      </c>
      <c r="E2905" s="33">
        <f>IF(Demand!F2903,1,0)</f>
        <v>0</v>
      </c>
      <c r="F2905" s="33">
        <f>COUNTIFS(c_store,A2905,c_date,B2905,c_hour,C2905)</f>
        <v>0</v>
      </c>
      <c r="G2905" s="33">
        <f>IF(F2905&gt;0,1,0)</f>
        <v>0</v>
      </c>
      <c r="H2905" s="33">
        <f>COUNTIFS(Demand!$A$2:$A$4481,A2905,Demand!$B$2:$B$4481,B2905,Demand!$C$2:$C$4481,C2905)</f>
        <v>1</v>
      </c>
    </row>
    <row r="2906">
      <c r="A2906" s="32" t="str">
        <f>Demand!A2904</f>
        <v>S002</v>
      </c>
      <c r="B2906" s="35">
        <f>Demand!B2904</f>
        <v>46275.0</v>
      </c>
      <c r="C2906" s="33">
        <f>Demand!C2904</f>
        <v>14</v>
      </c>
      <c r="D2906" s="33">
        <f>Demand!E2904</f>
        <v>26</v>
      </c>
      <c r="E2906" s="33">
        <f>IF(Demand!F2904,1,0)</f>
        <v>0</v>
      </c>
      <c r="F2906" s="33">
        <f>COUNTIFS(c_store,A2906,c_date,B2906,c_hour,C2906)</f>
        <v>0</v>
      </c>
      <c r="G2906" s="33">
        <f>IF(F2906&gt;0,1,0)</f>
        <v>0</v>
      </c>
      <c r="H2906" s="33">
        <f>COUNTIFS(Demand!$A$2:$A$4481,A2906,Demand!$B$2:$B$4481,B2906,Demand!$C$2:$C$4481,C2906)</f>
        <v>1</v>
      </c>
    </row>
    <row r="2907">
      <c r="A2907" s="32" t="str">
        <f>Demand!A2905</f>
        <v>S002</v>
      </c>
      <c r="B2907" s="35">
        <f>Demand!B2905</f>
        <v>46275.0</v>
      </c>
      <c r="C2907" s="33">
        <f>Demand!C2905</f>
        <v>15</v>
      </c>
      <c r="D2907" s="33">
        <f>Demand!E2905</f>
        <v>25</v>
      </c>
      <c r="E2907" s="33">
        <f>IF(Demand!F2905,1,0)</f>
        <v>0</v>
      </c>
      <c r="F2907" s="33">
        <f>COUNTIFS(c_store,A2907,c_date,B2907,c_hour,C2907)</f>
        <v>0</v>
      </c>
      <c r="G2907" s="33">
        <f>IF(F2907&gt;0,1,0)</f>
        <v>0</v>
      </c>
      <c r="H2907" s="33">
        <f>COUNTIFS(Demand!$A$2:$A$4481,A2907,Demand!$B$2:$B$4481,B2907,Demand!$C$2:$C$4481,C2907)</f>
        <v>1</v>
      </c>
    </row>
    <row r="2908">
      <c r="A2908" s="32" t="str">
        <f>Demand!A2906</f>
        <v>S002</v>
      </c>
      <c r="B2908" s="35">
        <f>Demand!B2906</f>
        <v>46275.0</v>
      </c>
      <c r="C2908" s="33">
        <f>Demand!C2906</f>
        <v>16</v>
      </c>
      <c r="D2908" s="33">
        <f>Demand!E2906</f>
        <v>31</v>
      </c>
      <c r="E2908" s="33">
        <f>IF(Demand!F2906,1,0)</f>
        <v>0</v>
      </c>
      <c r="F2908" s="33">
        <f>COUNTIFS(c_store,A2908,c_date,B2908,c_hour,C2908)</f>
        <v>1</v>
      </c>
      <c r="G2908" s="33">
        <f>IF(F2908&gt;0,1,0)</f>
        <v>1</v>
      </c>
      <c r="H2908" s="33">
        <f>COUNTIFS(Demand!$A$2:$A$4481,A2908,Demand!$B$2:$B$4481,B2908,Demand!$C$2:$C$4481,C2908)</f>
        <v>1</v>
      </c>
    </row>
    <row r="2909">
      <c r="A2909" s="32" t="str">
        <f>Demand!A2907</f>
        <v>S002</v>
      </c>
      <c r="B2909" s="35">
        <f>Demand!B2907</f>
        <v>46275.0</v>
      </c>
      <c r="C2909" s="33">
        <f>Demand!C2907</f>
        <v>17</v>
      </c>
      <c r="D2909" s="33">
        <f>Demand!E2907</f>
        <v>37</v>
      </c>
      <c r="E2909" s="33">
        <f>IF(Demand!F2907,1,0)</f>
        <v>0</v>
      </c>
      <c r="F2909" s="33">
        <f>COUNTIFS(c_store,A2909,c_date,B2909,c_hour,C2909)</f>
        <v>2</v>
      </c>
      <c r="G2909" s="33">
        <f>IF(F2909&gt;0,1,0)</f>
        <v>1</v>
      </c>
      <c r="H2909" s="33">
        <f>COUNTIFS(Demand!$A$2:$A$4481,A2909,Demand!$B$2:$B$4481,B2909,Demand!$C$2:$C$4481,C2909)</f>
        <v>1</v>
      </c>
    </row>
    <row r="2910">
      <c r="A2910" s="32" t="str">
        <f>Demand!A2908</f>
        <v>S002</v>
      </c>
      <c r="B2910" s="35">
        <f>Demand!B2908</f>
        <v>46275.0</v>
      </c>
      <c r="C2910" s="33">
        <f>Demand!C2908</f>
        <v>18</v>
      </c>
      <c r="D2910" s="33">
        <f>Demand!E2908</f>
        <v>32</v>
      </c>
      <c r="E2910" s="33">
        <f>IF(Demand!F2908,1,0)</f>
        <v>0</v>
      </c>
      <c r="F2910" s="33">
        <f>COUNTIFS(c_store,A2910,c_date,B2910,c_hour,C2910)</f>
        <v>0</v>
      </c>
      <c r="G2910" s="33">
        <f>IF(F2910&gt;0,1,0)</f>
        <v>0</v>
      </c>
      <c r="H2910" s="33">
        <f>COUNTIFS(Demand!$A$2:$A$4481,A2910,Demand!$B$2:$B$4481,B2910,Demand!$C$2:$C$4481,C2910)</f>
        <v>1</v>
      </c>
    </row>
    <row r="2911">
      <c r="A2911" s="32" t="str">
        <f>Demand!A2909</f>
        <v>S002</v>
      </c>
      <c r="B2911" s="35">
        <f>Demand!B2909</f>
        <v>46275.0</v>
      </c>
      <c r="C2911" s="33">
        <f>Demand!C2909</f>
        <v>19</v>
      </c>
      <c r="D2911" s="33">
        <f>Demand!E2909</f>
        <v>46</v>
      </c>
      <c r="E2911" s="33">
        <f>IF(Demand!F2909,1,0)</f>
        <v>1</v>
      </c>
      <c r="F2911" s="33">
        <f>COUNTIFS(c_store,A2911,c_date,B2911,c_hour,C2911)</f>
        <v>0</v>
      </c>
      <c r="G2911" s="33">
        <f>IF(F2911&gt;0,1,0)</f>
        <v>0</v>
      </c>
      <c r="H2911" s="33">
        <f>COUNTIFS(Demand!$A$2:$A$4481,A2911,Demand!$B$2:$B$4481,B2911,Demand!$C$2:$C$4481,C2911)</f>
        <v>1</v>
      </c>
    </row>
    <row r="2912">
      <c r="A2912" s="32" t="str">
        <f>Demand!A2910</f>
        <v>S002</v>
      </c>
      <c r="B2912" s="35">
        <f>Demand!B2910</f>
        <v>46275.0</v>
      </c>
      <c r="C2912" s="33">
        <f>Demand!C2910</f>
        <v>20</v>
      </c>
      <c r="D2912" s="33">
        <f>Demand!E2910</f>
        <v>57</v>
      </c>
      <c r="E2912" s="33">
        <f>IF(Demand!F2910,1,0)</f>
        <v>1</v>
      </c>
      <c r="F2912" s="33">
        <f>COUNTIFS(c_store,A2912,c_date,B2912,c_hour,C2912)</f>
        <v>2</v>
      </c>
      <c r="G2912" s="33">
        <f>IF(F2912&gt;0,1,0)</f>
        <v>1</v>
      </c>
      <c r="H2912" s="33">
        <f>COUNTIFS(Demand!$A$2:$A$4481,A2912,Demand!$B$2:$B$4481,B2912,Demand!$C$2:$C$4481,C2912)</f>
        <v>1</v>
      </c>
    </row>
    <row r="2913">
      <c r="A2913" s="32" t="str">
        <f>Demand!A2911</f>
        <v>S002</v>
      </c>
      <c r="B2913" s="35">
        <f>Demand!B2911</f>
        <v>46275.0</v>
      </c>
      <c r="C2913" s="33">
        <f>Demand!C2911</f>
        <v>21</v>
      </c>
      <c r="D2913" s="33">
        <f>Demand!E2911</f>
        <v>44</v>
      </c>
      <c r="E2913" s="33">
        <f>IF(Demand!F2911,1,0)</f>
        <v>1</v>
      </c>
      <c r="F2913" s="33">
        <f>COUNTIFS(c_store,A2913,c_date,B2913,c_hour,C2913)</f>
        <v>0</v>
      </c>
      <c r="G2913" s="33">
        <f>IF(F2913&gt;0,1,0)</f>
        <v>0</v>
      </c>
      <c r="H2913" s="33">
        <f>COUNTIFS(Demand!$A$2:$A$4481,A2913,Demand!$B$2:$B$4481,B2913,Demand!$C$2:$C$4481,C2913)</f>
        <v>1</v>
      </c>
    </row>
    <row r="2914">
      <c r="A2914" s="32" t="str">
        <f>Demand!A2912</f>
        <v>S002</v>
      </c>
      <c r="B2914" s="35">
        <f>Demand!B2912</f>
        <v>46275.0</v>
      </c>
      <c r="C2914" s="33">
        <f>Demand!C2912</f>
        <v>22</v>
      </c>
      <c r="D2914" s="33">
        <f>Demand!E2912</f>
        <v>31</v>
      </c>
      <c r="E2914" s="33">
        <f>IF(Demand!F2912,1,0)</f>
        <v>0</v>
      </c>
      <c r="F2914" s="33">
        <f>COUNTIFS(c_store,A2914,c_date,B2914,c_hour,C2914)</f>
        <v>0</v>
      </c>
      <c r="G2914" s="33">
        <f>IF(F2914&gt;0,1,0)</f>
        <v>0</v>
      </c>
      <c r="H2914" s="33">
        <f>COUNTIFS(Demand!$A$2:$A$4481,A2914,Demand!$B$2:$B$4481,B2914,Demand!$C$2:$C$4481,C2914)</f>
        <v>1</v>
      </c>
    </row>
    <row r="2915">
      <c r="A2915" s="32" t="str">
        <f>Demand!A2913</f>
        <v>S002</v>
      </c>
      <c r="B2915" s="35">
        <f>Demand!B2913</f>
        <v>46275.0</v>
      </c>
      <c r="C2915" s="33">
        <f>Demand!C2913</f>
        <v>23</v>
      </c>
      <c r="D2915" s="33">
        <f>Demand!E2913</f>
        <v>34</v>
      </c>
      <c r="E2915" s="33">
        <f>IF(Demand!F2913,1,0)</f>
        <v>0</v>
      </c>
      <c r="F2915" s="33">
        <f>COUNTIFS(c_store,A2915,c_date,B2915,c_hour,C2915)</f>
        <v>1</v>
      </c>
      <c r="G2915" s="33">
        <f>IF(F2915&gt;0,1,0)</f>
        <v>1</v>
      </c>
      <c r="H2915" s="33">
        <f>COUNTIFS(Demand!$A$2:$A$4481,A2915,Demand!$B$2:$B$4481,B2915,Demand!$C$2:$C$4481,C2915)</f>
        <v>1</v>
      </c>
    </row>
    <row r="2916">
      <c r="A2916" s="32" t="str">
        <f>Demand!A2914</f>
        <v>S003</v>
      </c>
      <c r="B2916" s="35">
        <f>Demand!B2914</f>
        <v>46275.0</v>
      </c>
      <c r="C2916" s="33">
        <f>Demand!C2914</f>
        <v>8</v>
      </c>
      <c r="D2916" s="33">
        <f>Demand!E2914</f>
        <v>24</v>
      </c>
      <c r="E2916" s="33">
        <f>IF(Demand!F2914,1,0)</f>
        <v>0</v>
      </c>
      <c r="F2916" s="33">
        <f>COUNTIFS(c_store,A2916,c_date,B2916,c_hour,C2916)</f>
        <v>1</v>
      </c>
      <c r="G2916" s="33">
        <f>IF(F2916&gt;0,1,0)</f>
        <v>1</v>
      </c>
      <c r="H2916" s="33">
        <f>COUNTIFS(Demand!$A$2:$A$4481,A2916,Demand!$B$2:$B$4481,B2916,Demand!$C$2:$C$4481,C2916)</f>
        <v>1</v>
      </c>
    </row>
    <row r="2917">
      <c r="A2917" s="32" t="str">
        <f>Demand!A2915</f>
        <v>S003</v>
      </c>
      <c r="B2917" s="35">
        <f>Demand!B2915</f>
        <v>46275.0</v>
      </c>
      <c r="C2917" s="33">
        <f>Demand!C2915</f>
        <v>9</v>
      </c>
      <c r="D2917" s="33">
        <f>Demand!E2915</f>
        <v>31</v>
      </c>
      <c r="E2917" s="33">
        <f>IF(Demand!F2915,1,0)</f>
        <v>0</v>
      </c>
      <c r="F2917" s="33">
        <f>COUNTIFS(c_store,A2917,c_date,B2917,c_hour,C2917)</f>
        <v>0</v>
      </c>
      <c r="G2917" s="33">
        <f>IF(F2917&gt;0,1,0)</f>
        <v>0</v>
      </c>
      <c r="H2917" s="33">
        <f>COUNTIFS(Demand!$A$2:$A$4481,A2917,Demand!$B$2:$B$4481,B2917,Demand!$C$2:$C$4481,C2917)</f>
        <v>1</v>
      </c>
    </row>
    <row r="2918">
      <c r="A2918" s="32" t="str">
        <f>Demand!A2916</f>
        <v>S003</v>
      </c>
      <c r="B2918" s="35">
        <f>Demand!B2916</f>
        <v>46275.0</v>
      </c>
      <c r="C2918" s="33">
        <f>Demand!C2916</f>
        <v>10</v>
      </c>
      <c r="D2918" s="33">
        <f>Demand!E2916</f>
        <v>30</v>
      </c>
      <c r="E2918" s="33">
        <f>IF(Demand!F2916,1,0)</f>
        <v>0</v>
      </c>
      <c r="F2918" s="33">
        <f>COUNTIFS(c_store,A2918,c_date,B2918,c_hour,C2918)</f>
        <v>0</v>
      </c>
      <c r="G2918" s="33">
        <f>IF(F2918&gt;0,1,0)</f>
        <v>0</v>
      </c>
      <c r="H2918" s="33">
        <f>COUNTIFS(Demand!$A$2:$A$4481,A2918,Demand!$B$2:$B$4481,B2918,Demand!$C$2:$C$4481,C2918)</f>
        <v>1</v>
      </c>
    </row>
    <row r="2919">
      <c r="A2919" s="32" t="str">
        <f>Demand!A2917</f>
        <v>S003</v>
      </c>
      <c r="B2919" s="35">
        <f>Demand!B2917</f>
        <v>46275.0</v>
      </c>
      <c r="C2919" s="33">
        <f>Demand!C2917</f>
        <v>11</v>
      </c>
      <c r="D2919" s="33">
        <f>Demand!E2917</f>
        <v>42</v>
      </c>
      <c r="E2919" s="33">
        <f>IF(Demand!F2917,1,0)</f>
        <v>0</v>
      </c>
      <c r="F2919" s="33">
        <f>COUNTIFS(c_store,A2919,c_date,B2919,c_hour,C2919)</f>
        <v>1</v>
      </c>
      <c r="G2919" s="33">
        <f>IF(F2919&gt;0,1,0)</f>
        <v>1</v>
      </c>
      <c r="H2919" s="33">
        <f>COUNTIFS(Demand!$A$2:$A$4481,A2919,Demand!$B$2:$B$4481,B2919,Demand!$C$2:$C$4481,C2919)</f>
        <v>1</v>
      </c>
    </row>
    <row r="2920">
      <c r="A2920" s="32" t="str">
        <f>Demand!A2918</f>
        <v>S003</v>
      </c>
      <c r="B2920" s="35">
        <f>Demand!B2918</f>
        <v>46275.0</v>
      </c>
      <c r="C2920" s="33">
        <f>Demand!C2918</f>
        <v>12</v>
      </c>
      <c r="D2920" s="33">
        <f>Demand!E2918</f>
        <v>34</v>
      </c>
      <c r="E2920" s="33">
        <f>IF(Demand!F2918,1,0)</f>
        <v>0</v>
      </c>
      <c r="F2920" s="33">
        <f>COUNTIFS(c_store,A2920,c_date,B2920,c_hour,C2920)</f>
        <v>0</v>
      </c>
      <c r="G2920" s="33">
        <f>IF(F2920&gt;0,1,0)</f>
        <v>0</v>
      </c>
      <c r="H2920" s="33">
        <f>COUNTIFS(Demand!$A$2:$A$4481,A2920,Demand!$B$2:$B$4481,B2920,Demand!$C$2:$C$4481,C2920)</f>
        <v>1</v>
      </c>
    </row>
    <row r="2921">
      <c r="A2921" s="32" t="str">
        <f>Demand!A2919</f>
        <v>S003</v>
      </c>
      <c r="B2921" s="35">
        <f>Demand!B2919</f>
        <v>46275.0</v>
      </c>
      <c r="C2921" s="33">
        <f>Demand!C2919</f>
        <v>13</v>
      </c>
      <c r="D2921" s="33">
        <f>Demand!E2919</f>
        <v>37</v>
      </c>
      <c r="E2921" s="33">
        <f>IF(Demand!F2919,1,0)</f>
        <v>0</v>
      </c>
      <c r="F2921" s="33">
        <f>COUNTIFS(c_store,A2921,c_date,B2921,c_hour,C2921)</f>
        <v>1</v>
      </c>
      <c r="G2921" s="33">
        <f>IF(F2921&gt;0,1,0)</f>
        <v>1</v>
      </c>
      <c r="H2921" s="33">
        <f>COUNTIFS(Demand!$A$2:$A$4481,A2921,Demand!$B$2:$B$4481,B2921,Demand!$C$2:$C$4481,C2921)</f>
        <v>1</v>
      </c>
    </row>
    <row r="2922">
      <c r="A2922" s="32" t="str">
        <f>Demand!A2920</f>
        <v>S003</v>
      </c>
      <c r="B2922" s="35">
        <f>Demand!B2920</f>
        <v>46275.0</v>
      </c>
      <c r="C2922" s="33">
        <f>Demand!C2920</f>
        <v>14</v>
      </c>
      <c r="D2922" s="33">
        <f>Demand!E2920</f>
        <v>29</v>
      </c>
      <c r="E2922" s="33">
        <f>IF(Demand!F2920,1,0)</f>
        <v>0</v>
      </c>
      <c r="F2922" s="33">
        <f>COUNTIFS(c_store,A2922,c_date,B2922,c_hour,C2922)</f>
        <v>1</v>
      </c>
      <c r="G2922" s="33">
        <f>IF(F2922&gt;0,1,0)</f>
        <v>1</v>
      </c>
      <c r="H2922" s="33">
        <f>COUNTIFS(Demand!$A$2:$A$4481,A2922,Demand!$B$2:$B$4481,B2922,Demand!$C$2:$C$4481,C2922)</f>
        <v>1</v>
      </c>
    </row>
    <row r="2923">
      <c r="A2923" s="32" t="str">
        <f>Demand!A2921</f>
        <v>S003</v>
      </c>
      <c r="B2923" s="35">
        <f>Demand!B2921</f>
        <v>46275.0</v>
      </c>
      <c r="C2923" s="33">
        <f>Demand!C2921</f>
        <v>15</v>
      </c>
      <c r="D2923" s="33">
        <f>Demand!E2921</f>
        <v>29</v>
      </c>
      <c r="E2923" s="33">
        <f>IF(Demand!F2921,1,0)</f>
        <v>0</v>
      </c>
      <c r="F2923" s="33">
        <f>COUNTIFS(c_store,A2923,c_date,B2923,c_hour,C2923)</f>
        <v>0</v>
      </c>
      <c r="G2923" s="33">
        <f>IF(F2923&gt;0,1,0)</f>
        <v>0</v>
      </c>
      <c r="H2923" s="33">
        <f>COUNTIFS(Demand!$A$2:$A$4481,A2923,Demand!$B$2:$B$4481,B2923,Demand!$C$2:$C$4481,C2923)</f>
        <v>1</v>
      </c>
    </row>
    <row r="2924">
      <c r="A2924" s="32" t="str">
        <f>Demand!A2922</f>
        <v>S003</v>
      </c>
      <c r="B2924" s="35">
        <f>Demand!B2922</f>
        <v>46275.0</v>
      </c>
      <c r="C2924" s="33">
        <f>Demand!C2922</f>
        <v>16</v>
      </c>
      <c r="D2924" s="33">
        <f>Demand!E2922</f>
        <v>48</v>
      </c>
      <c r="E2924" s="33">
        <f>IF(Demand!F2922,1,0)</f>
        <v>0</v>
      </c>
      <c r="F2924" s="33">
        <f>COUNTIFS(c_store,A2924,c_date,B2924,c_hour,C2924)</f>
        <v>0</v>
      </c>
      <c r="G2924" s="33">
        <f>IF(F2924&gt;0,1,0)</f>
        <v>0</v>
      </c>
      <c r="H2924" s="33">
        <f>COUNTIFS(Demand!$A$2:$A$4481,A2924,Demand!$B$2:$B$4481,B2924,Demand!$C$2:$C$4481,C2924)</f>
        <v>1</v>
      </c>
    </row>
    <row r="2925">
      <c r="A2925" s="32" t="str">
        <f>Demand!A2923</f>
        <v>S003</v>
      </c>
      <c r="B2925" s="35">
        <f>Demand!B2923</f>
        <v>46275.0</v>
      </c>
      <c r="C2925" s="33">
        <f>Demand!C2923</f>
        <v>17</v>
      </c>
      <c r="D2925" s="33">
        <f>Demand!E2923</f>
        <v>47</v>
      </c>
      <c r="E2925" s="33">
        <f>IF(Demand!F2923,1,0)</f>
        <v>0</v>
      </c>
      <c r="F2925" s="33">
        <f>COUNTIFS(c_store,A2925,c_date,B2925,c_hour,C2925)</f>
        <v>1</v>
      </c>
      <c r="G2925" s="33">
        <f>IF(F2925&gt;0,1,0)</f>
        <v>1</v>
      </c>
      <c r="H2925" s="33">
        <f>COUNTIFS(Demand!$A$2:$A$4481,A2925,Demand!$B$2:$B$4481,B2925,Demand!$C$2:$C$4481,C2925)</f>
        <v>1</v>
      </c>
    </row>
    <row r="2926">
      <c r="A2926" s="32" t="str">
        <f>Demand!A2924</f>
        <v>S003</v>
      </c>
      <c r="B2926" s="35">
        <f>Demand!B2924</f>
        <v>46275.0</v>
      </c>
      <c r="C2926" s="33">
        <f>Demand!C2924</f>
        <v>18</v>
      </c>
      <c r="D2926" s="33">
        <f>Demand!E2924</f>
        <v>46</v>
      </c>
      <c r="E2926" s="33">
        <f>IF(Demand!F2924,1,0)</f>
        <v>0</v>
      </c>
      <c r="F2926" s="33">
        <f>COUNTIFS(c_store,A2926,c_date,B2926,c_hour,C2926)</f>
        <v>0</v>
      </c>
      <c r="G2926" s="33">
        <f>IF(F2926&gt;0,1,0)</f>
        <v>0</v>
      </c>
      <c r="H2926" s="33">
        <f>COUNTIFS(Demand!$A$2:$A$4481,A2926,Demand!$B$2:$B$4481,B2926,Demand!$C$2:$C$4481,C2926)</f>
        <v>1</v>
      </c>
    </row>
    <row r="2927">
      <c r="A2927" s="32" t="str">
        <f>Demand!A2925</f>
        <v>S003</v>
      </c>
      <c r="B2927" s="35">
        <f>Demand!B2925</f>
        <v>46275.0</v>
      </c>
      <c r="C2927" s="33">
        <f>Demand!C2925</f>
        <v>19</v>
      </c>
      <c r="D2927" s="33">
        <f>Demand!E2925</f>
        <v>79</v>
      </c>
      <c r="E2927" s="33">
        <f>IF(Demand!F2925,1,0)</f>
        <v>1</v>
      </c>
      <c r="F2927" s="33">
        <f>COUNTIFS(c_store,A2927,c_date,B2927,c_hour,C2927)</f>
        <v>0</v>
      </c>
      <c r="G2927" s="33">
        <f>IF(F2927&gt;0,1,0)</f>
        <v>0</v>
      </c>
      <c r="H2927" s="33">
        <f>COUNTIFS(Demand!$A$2:$A$4481,A2927,Demand!$B$2:$B$4481,B2927,Demand!$C$2:$C$4481,C2927)</f>
        <v>1</v>
      </c>
    </row>
    <row r="2928">
      <c r="A2928" s="32" t="str">
        <f>Demand!A2926</f>
        <v>S003</v>
      </c>
      <c r="B2928" s="35">
        <f>Demand!B2926</f>
        <v>46275.0</v>
      </c>
      <c r="C2928" s="33">
        <f>Demand!C2926</f>
        <v>20</v>
      </c>
      <c r="D2928" s="33">
        <f>Demand!E2926</f>
        <v>70</v>
      </c>
      <c r="E2928" s="33">
        <f>IF(Demand!F2926,1,0)</f>
        <v>1</v>
      </c>
      <c r="F2928" s="33">
        <f>COUNTIFS(c_store,A2928,c_date,B2928,c_hour,C2928)</f>
        <v>1</v>
      </c>
      <c r="G2928" s="33">
        <f>IF(F2928&gt;0,1,0)</f>
        <v>1</v>
      </c>
      <c r="H2928" s="33">
        <f>COUNTIFS(Demand!$A$2:$A$4481,A2928,Demand!$B$2:$B$4481,B2928,Demand!$C$2:$C$4481,C2928)</f>
        <v>1</v>
      </c>
    </row>
    <row r="2929">
      <c r="A2929" s="32" t="str">
        <f>Demand!A2927</f>
        <v>S003</v>
      </c>
      <c r="B2929" s="35">
        <f>Demand!B2927</f>
        <v>46275.0</v>
      </c>
      <c r="C2929" s="33">
        <f>Demand!C2927</f>
        <v>21</v>
      </c>
      <c r="D2929" s="33">
        <f>Demand!E2927</f>
        <v>69</v>
      </c>
      <c r="E2929" s="33">
        <f>IF(Demand!F2927,1,0)</f>
        <v>1</v>
      </c>
      <c r="F2929" s="33">
        <f>COUNTIFS(c_store,A2929,c_date,B2929,c_hour,C2929)</f>
        <v>0</v>
      </c>
      <c r="G2929" s="33">
        <f>IF(F2929&gt;0,1,0)</f>
        <v>0</v>
      </c>
      <c r="H2929" s="33">
        <f>COUNTIFS(Demand!$A$2:$A$4481,A2929,Demand!$B$2:$B$4481,B2929,Demand!$C$2:$C$4481,C2929)</f>
        <v>1</v>
      </c>
    </row>
    <row r="2930">
      <c r="A2930" s="32" t="str">
        <f>Demand!A2928</f>
        <v>S003</v>
      </c>
      <c r="B2930" s="35">
        <f>Demand!B2928</f>
        <v>46275.0</v>
      </c>
      <c r="C2930" s="33">
        <f>Demand!C2928</f>
        <v>22</v>
      </c>
      <c r="D2930" s="33">
        <f>Demand!E2928</f>
        <v>42</v>
      </c>
      <c r="E2930" s="33">
        <f>IF(Demand!F2928,1,0)</f>
        <v>0</v>
      </c>
      <c r="F2930" s="33">
        <f>COUNTIFS(c_store,A2930,c_date,B2930,c_hour,C2930)</f>
        <v>0</v>
      </c>
      <c r="G2930" s="33">
        <f>IF(F2930&gt;0,1,0)</f>
        <v>0</v>
      </c>
      <c r="H2930" s="33">
        <f>COUNTIFS(Demand!$A$2:$A$4481,A2930,Demand!$B$2:$B$4481,B2930,Demand!$C$2:$C$4481,C2930)</f>
        <v>1</v>
      </c>
    </row>
    <row r="2931">
      <c r="A2931" s="32" t="str">
        <f>Demand!A2929</f>
        <v>S003</v>
      </c>
      <c r="B2931" s="35">
        <f>Demand!B2929</f>
        <v>46275.0</v>
      </c>
      <c r="C2931" s="33">
        <f>Demand!C2929</f>
        <v>23</v>
      </c>
      <c r="D2931" s="33">
        <f>Demand!E2929</f>
        <v>39</v>
      </c>
      <c r="E2931" s="33">
        <f>IF(Demand!F2929,1,0)</f>
        <v>0</v>
      </c>
      <c r="F2931" s="33">
        <f>COUNTIFS(c_store,A2931,c_date,B2931,c_hour,C2931)</f>
        <v>1</v>
      </c>
      <c r="G2931" s="33">
        <f>IF(F2931&gt;0,1,0)</f>
        <v>1</v>
      </c>
      <c r="H2931" s="33">
        <f>COUNTIFS(Demand!$A$2:$A$4481,A2931,Demand!$B$2:$B$4481,B2931,Demand!$C$2:$C$4481,C2931)</f>
        <v>1</v>
      </c>
    </row>
    <row r="2932">
      <c r="A2932" s="32" t="str">
        <f>Demand!A2930</f>
        <v>S004</v>
      </c>
      <c r="B2932" s="35">
        <f>Demand!B2930</f>
        <v>46275.0</v>
      </c>
      <c r="C2932" s="33">
        <f>Demand!C2930</f>
        <v>8</v>
      </c>
      <c r="D2932" s="33">
        <f>Demand!E2930</f>
        <v>43</v>
      </c>
      <c r="E2932" s="33">
        <f>IF(Demand!F2930,1,0)</f>
        <v>0</v>
      </c>
      <c r="F2932" s="33">
        <f>COUNTIFS(c_store,A2932,c_date,B2932,c_hour,C2932)</f>
        <v>1</v>
      </c>
      <c r="G2932" s="33">
        <f>IF(F2932&gt;0,1,0)</f>
        <v>1</v>
      </c>
      <c r="H2932" s="33">
        <f>COUNTIFS(Demand!$A$2:$A$4481,A2932,Demand!$B$2:$B$4481,B2932,Demand!$C$2:$C$4481,C2932)</f>
        <v>1</v>
      </c>
    </row>
    <row r="2933">
      <c r="A2933" s="32" t="str">
        <f>Demand!A2931</f>
        <v>S004</v>
      </c>
      <c r="B2933" s="35">
        <f>Demand!B2931</f>
        <v>46275.0</v>
      </c>
      <c r="C2933" s="33">
        <f>Demand!C2931</f>
        <v>9</v>
      </c>
      <c r="D2933" s="33">
        <f>Demand!E2931</f>
        <v>36</v>
      </c>
      <c r="E2933" s="33">
        <f>IF(Demand!F2931,1,0)</f>
        <v>0</v>
      </c>
      <c r="F2933" s="33">
        <f>COUNTIFS(c_store,A2933,c_date,B2933,c_hour,C2933)</f>
        <v>1</v>
      </c>
      <c r="G2933" s="33">
        <f>IF(F2933&gt;0,1,0)</f>
        <v>1</v>
      </c>
      <c r="H2933" s="33">
        <f>COUNTIFS(Demand!$A$2:$A$4481,A2933,Demand!$B$2:$B$4481,B2933,Demand!$C$2:$C$4481,C2933)</f>
        <v>1</v>
      </c>
    </row>
    <row r="2934">
      <c r="A2934" s="32" t="str">
        <f>Demand!A2932</f>
        <v>S004</v>
      </c>
      <c r="B2934" s="35">
        <f>Demand!B2932</f>
        <v>46275.0</v>
      </c>
      <c r="C2934" s="33">
        <f>Demand!C2932</f>
        <v>10</v>
      </c>
      <c r="D2934" s="33">
        <f>Demand!E2932</f>
        <v>24</v>
      </c>
      <c r="E2934" s="33">
        <f>IF(Demand!F2932,1,0)</f>
        <v>0</v>
      </c>
      <c r="F2934" s="33">
        <f>COUNTIFS(c_store,A2934,c_date,B2934,c_hour,C2934)</f>
        <v>0</v>
      </c>
      <c r="G2934" s="33">
        <f>IF(F2934&gt;0,1,0)</f>
        <v>0</v>
      </c>
      <c r="H2934" s="33">
        <f>COUNTIFS(Demand!$A$2:$A$4481,A2934,Demand!$B$2:$B$4481,B2934,Demand!$C$2:$C$4481,C2934)</f>
        <v>1</v>
      </c>
    </row>
    <row r="2935">
      <c r="A2935" s="32" t="str">
        <f>Demand!A2933</f>
        <v>S004</v>
      </c>
      <c r="B2935" s="35">
        <f>Demand!B2933</f>
        <v>46275.0</v>
      </c>
      <c r="C2935" s="33">
        <f>Demand!C2933</f>
        <v>11</v>
      </c>
      <c r="D2935" s="33">
        <f>Demand!E2933</f>
        <v>49</v>
      </c>
      <c r="E2935" s="33">
        <f>IF(Demand!F2933,1,0)</f>
        <v>0</v>
      </c>
      <c r="F2935" s="33">
        <f>COUNTIFS(c_store,A2935,c_date,B2935,c_hour,C2935)</f>
        <v>1</v>
      </c>
      <c r="G2935" s="33">
        <f>IF(F2935&gt;0,1,0)</f>
        <v>1</v>
      </c>
      <c r="H2935" s="33">
        <f>COUNTIFS(Demand!$A$2:$A$4481,A2935,Demand!$B$2:$B$4481,B2935,Demand!$C$2:$C$4481,C2935)</f>
        <v>1</v>
      </c>
    </row>
    <row r="2936">
      <c r="A2936" s="32" t="str">
        <f>Demand!A2934</f>
        <v>S004</v>
      </c>
      <c r="B2936" s="35">
        <f>Demand!B2934</f>
        <v>46275.0</v>
      </c>
      <c r="C2936" s="33">
        <f>Demand!C2934</f>
        <v>12</v>
      </c>
      <c r="D2936" s="33">
        <f>Demand!E2934</f>
        <v>39</v>
      </c>
      <c r="E2936" s="33">
        <f>IF(Demand!F2934,1,0)</f>
        <v>0</v>
      </c>
      <c r="F2936" s="33">
        <f>COUNTIFS(c_store,A2936,c_date,B2936,c_hour,C2936)</f>
        <v>1</v>
      </c>
      <c r="G2936" s="33">
        <f>IF(F2936&gt;0,1,0)</f>
        <v>1</v>
      </c>
      <c r="H2936" s="33">
        <f>COUNTIFS(Demand!$A$2:$A$4481,A2936,Demand!$B$2:$B$4481,B2936,Demand!$C$2:$C$4481,C2936)</f>
        <v>1</v>
      </c>
    </row>
    <row r="2937">
      <c r="A2937" s="32" t="str">
        <f>Demand!A2935</f>
        <v>S004</v>
      </c>
      <c r="B2937" s="35">
        <f>Demand!B2935</f>
        <v>46275.0</v>
      </c>
      <c r="C2937" s="33">
        <f>Demand!C2935</f>
        <v>13</v>
      </c>
      <c r="D2937" s="33">
        <f>Demand!E2935</f>
        <v>47</v>
      </c>
      <c r="E2937" s="33">
        <f>IF(Demand!F2935,1,0)</f>
        <v>0</v>
      </c>
      <c r="F2937" s="33">
        <f>COUNTIFS(c_store,A2937,c_date,B2937,c_hour,C2937)</f>
        <v>1</v>
      </c>
      <c r="G2937" s="33">
        <f>IF(F2937&gt;0,1,0)</f>
        <v>1</v>
      </c>
      <c r="H2937" s="33">
        <f>COUNTIFS(Demand!$A$2:$A$4481,A2937,Demand!$B$2:$B$4481,B2937,Demand!$C$2:$C$4481,C2937)</f>
        <v>1</v>
      </c>
    </row>
    <row r="2938">
      <c r="A2938" s="32" t="str">
        <f>Demand!A2936</f>
        <v>S004</v>
      </c>
      <c r="B2938" s="35">
        <f>Demand!B2936</f>
        <v>46275.0</v>
      </c>
      <c r="C2938" s="33">
        <f>Demand!C2936</f>
        <v>14</v>
      </c>
      <c r="D2938" s="33">
        <f>Demand!E2936</f>
        <v>30</v>
      </c>
      <c r="E2938" s="33">
        <f>IF(Demand!F2936,1,0)</f>
        <v>0</v>
      </c>
      <c r="F2938" s="33">
        <f>COUNTIFS(c_store,A2938,c_date,B2938,c_hour,C2938)</f>
        <v>2</v>
      </c>
      <c r="G2938" s="33">
        <f>IF(F2938&gt;0,1,0)</f>
        <v>1</v>
      </c>
      <c r="H2938" s="33">
        <f>COUNTIFS(Demand!$A$2:$A$4481,A2938,Demand!$B$2:$B$4481,B2938,Demand!$C$2:$C$4481,C2938)</f>
        <v>1</v>
      </c>
    </row>
    <row r="2939">
      <c r="A2939" s="32" t="str">
        <f>Demand!A2937</f>
        <v>S004</v>
      </c>
      <c r="B2939" s="35">
        <f>Demand!B2937</f>
        <v>46275.0</v>
      </c>
      <c r="C2939" s="33">
        <f>Demand!C2937</f>
        <v>15</v>
      </c>
      <c r="D2939" s="33">
        <f>Demand!E2937</f>
        <v>25</v>
      </c>
      <c r="E2939" s="33">
        <f>IF(Demand!F2937,1,0)</f>
        <v>0</v>
      </c>
      <c r="F2939" s="33">
        <f>COUNTIFS(c_store,A2939,c_date,B2939,c_hour,C2939)</f>
        <v>1</v>
      </c>
      <c r="G2939" s="33">
        <f>IF(F2939&gt;0,1,0)</f>
        <v>1</v>
      </c>
      <c r="H2939" s="33">
        <f>COUNTIFS(Demand!$A$2:$A$4481,A2939,Demand!$B$2:$B$4481,B2939,Demand!$C$2:$C$4481,C2939)</f>
        <v>1</v>
      </c>
    </row>
    <row r="2940">
      <c r="A2940" s="32" t="str">
        <f>Demand!A2938</f>
        <v>S004</v>
      </c>
      <c r="B2940" s="35">
        <f>Demand!B2938</f>
        <v>46275.0</v>
      </c>
      <c r="C2940" s="33">
        <f>Demand!C2938</f>
        <v>16</v>
      </c>
      <c r="D2940" s="33">
        <f>Demand!E2938</f>
        <v>43</v>
      </c>
      <c r="E2940" s="33">
        <f>IF(Demand!F2938,1,0)</f>
        <v>0</v>
      </c>
      <c r="F2940" s="33">
        <f>COUNTIFS(c_store,A2940,c_date,B2940,c_hour,C2940)</f>
        <v>0</v>
      </c>
      <c r="G2940" s="33">
        <f>IF(F2940&gt;0,1,0)</f>
        <v>0</v>
      </c>
      <c r="H2940" s="33">
        <f>COUNTIFS(Demand!$A$2:$A$4481,A2940,Demand!$B$2:$B$4481,B2940,Demand!$C$2:$C$4481,C2940)</f>
        <v>1</v>
      </c>
    </row>
    <row r="2941">
      <c r="A2941" s="32" t="str">
        <f>Demand!A2939</f>
        <v>S004</v>
      </c>
      <c r="B2941" s="35">
        <f>Demand!B2939</f>
        <v>46275.0</v>
      </c>
      <c r="C2941" s="33">
        <f>Demand!C2939</f>
        <v>17</v>
      </c>
      <c r="D2941" s="33">
        <f>Demand!E2939</f>
        <v>38</v>
      </c>
      <c r="E2941" s="33">
        <f>IF(Demand!F2939,1,0)</f>
        <v>0</v>
      </c>
      <c r="F2941" s="33">
        <f>COUNTIFS(c_store,A2941,c_date,B2941,c_hour,C2941)</f>
        <v>0</v>
      </c>
      <c r="G2941" s="33">
        <f>IF(F2941&gt;0,1,0)</f>
        <v>0</v>
      </c>
      <c r="H2941" s="33">
        <f>COUNTIFS(Demand!$A$2:$A$4481,A2941,Demand!$B$2:$B$4481,B2941,Demand!$C$2:$C$4481,C2941)</f>
        <v>1</v>
      </c>
    </row>
    <row r="2942">
      <c r="A2942" s="32" t="str">
        <f>Demand!A2940</f>
        <v>S004</v>
      </c>
      <c r="B2942" s="35">
        <f>Demand!B2940</f>
        <v>46275.0</v>
      </c>
      <c r="C2942" s="33">
        <f>Demand!C2940</f>
        <v>18</v>
      </c>
      <c r="D2942" s="33">
        <f>Demand!E2940</f>
        <v>42</v>
      </c>
      <c r="E2942" s="33">
        <f>IF(Demand!F2940,1,0)</f>
        <v>0</v>
      </c>
      <c r="F2942" s="33">
        <f>COUNTIFS(c_store,A2942,c_date,B2942,c_hour,C2942)</f>
        <v>0</v>
      </c>
      <c r="G2942" s="33">
        <f>IF(F2942&gt;0,1,0)</f>
        <v>0</v>
      </c>
      <c r="H2942" s="33">
        <f>COUNTIFS(Demand!$A$2:$A$4481,A2942,Demand!$B$2:$B$4481,B2942,Demand!$C$2:$C$4481,C2942)</f>
        <v>1</v>
      </c>
    </row>
    <row r="2943">
      <c r="A2943" s="32" t="str">
        <f>Demand!A2941</f>
        <v>S004</v>
      </c>
      <c r="B2943" s="35">
        <f>Demand!B2941</f>
        <v>46275.0</v>
      </c>
      <c r="C2943" s="33">
        <f>Demand!C2941</f>
        <v>19</v>
      </c>
      <c r="D2943" s="33">
        <f>Demand!E2941</f>
        <v>66</v>
      </c>
      <c r="E2943" s="33">
        <f>IF(Demand!F2941,1,0)</f>
        <v>1</v>
      </c>
      <c r="F2943" s="33">
        <f>COUNTIFS(c_store,A2943,c_date,B2943,c_hour,C2943)</f>
        <v>1</v>
      </c>
      <c r="G2943" s="33">
        <f>IF(F2943&gt;0,1,0)</f>
        <v>1</v>
      </c>
      <c r="H2943" s="33">
        <f>COUNTIFS(Demand!$A$2:$A$4481,A2943,Demand!$B$2:$B$4481,B2943,Demand!$C$2:$C$4481,C2943)</f>
        <v>1</v>
      </c>
    </row>
    <row r="2944">
      <c r="A2944" s="32" t="str">
        <f>Demand!A2942</f>
        <v>S004</v>
      </c>
      <c r="B2944" s="35">
        <f>Demand!B2942</f>
        <v>46275.0</v>
      </c>
      <c r="C2944" s="33">
        <f>Demand!C2942</f>
        <v>20</v>
      </c>
      <c r="D2944" s="33">
        <f>Demand!E2942</f>
        <v>63</v>
      </c>
      <c r="E2944" s="33">
        <f>IF(Demand!F2942,1,0)</f>
        <v>1</v>
      </c>
      <c r="F2944" s="33">
        <f>COUNTIFS(c_store,A2944,c_date,B2944,c_hour,C2944)</f>
        <v>1</v>
      </c>
      <c r="G2944" s="33">
        <f>IF(F2944&gt;0,1,0)</f>
        <v>1</v>
      </c>
      <c r="H2944" s="33">
        <f>COUNTIFS(Demand!$A$2:$A$4481,A2944,Demand!$B$2:$B$4481,B2944,Demand!$C$2:$C$4481,C2944)</f>
        <v>1</v>
      </c>
    </row>
    <row r="2945">
      <c r="A2945" s="32" t="str">
        <f>Demand!A2943</f>
        <v>S004</v>
      </c>
      <c r="B2945" s="35">
        <f>Demand!B2943</f>
        <v>46275.0</v>
      </c>
      <c r="C2945" s="33">
        <f>Demand!C2943</f>
        <v>21</v>
      </c>
      <c r="D2945" s="33">
        <f>Demand!E2943</f>
        <v>69</v>
      </c>
      <c r="E2945" s="33">
        <f>IF(Demand!F2943,1,0)</f>
        <v>1</v>
      </c>
      <c r="F2945" s="33">
        <f>COUNTIFS(c_store,A2945,c_date,B2945,c_hour,C2945)</f>
        <v>1</v>
      </c>
      <c r="G2945" s="33">
        <f>IF(F2945&gt;0,1,0)</f>
        <v>1</v>
      </c>
      <c r="H2945" s="33">
        <f>COUNTIFS(Demand!$A$2:$A$4481,A2945,Demand!$B$2:$B$4481,B2945,Demand!$C$2:$C$4481,C2945)</f>
        <v>1</v>
      </c>
    </row>
    <row r="2946">
      <c r="A2946" s="32" t="str">
        <f>Demand!A2944</f>
        <v>S004</v>
      </c>
      <c r="B2946" s="35">
        <f>Demand!B2944</f>
        <v>46275.0</v>
      </c>
      <c r="C2946" s="33">
        <f>Demand!C2944</f>
        <v>22</v>
      </c>
      <c r="D2946" s="33">
        <f>Demand!E2944</f>
        <v>42</v>
      </c>
      <c r="E2946" s="33">
        <f>IF(Demand!F2944,1,0)</f>
        <v>0</v>
      </c>
      <c r="F2946" s="33">
        <f>COUNTIFS(c_store,A2946,c_date,B2946,c_hour,C2946)</f>
        <v>0</v>
      </c>
      <c r="G2946" s="33">
        <f>IF(F2946&gt;0,1,0)</f>
        <v>0</v>
      </c>
      <c r="H2946" s="33">
        <f>COUNTIFS(Demand!$A$2:$A$4481,A2946,Demand!$B$2:$B$4481,B2946,Demand!$C$2:$C$4481,C2946)</f>
        <v>1</v>
      </c>
    </row>
    <row r="2947">
      <c r="A2947" s="32" t="str">
        <f>Demand!A2945</f>
        <v>S004</v>
      </c>
      <c r="B2947" s="35">
        <f>Demand!B2945</f>
        <v>46275.0</v>
      </c>
      <c r="C2947" s="33">
        <f>Demand!C2945</f>
        <v>23</v>
      </c>
      <c r="D2947" s="33">
        <f>Demand!E2945</f>
        <v>51</v>
      </c>
      <c r="E2947" s="33">
        <f>IF(Demand!F2945,1,0)</f>
        <v>0</v>
      </c>
      <c r="F2947" s="33">
        <f>COUNTIFS(c_store,A2947,c_date,B2947,c_hour,C2947)</f>
        <v>0</v>
      </c>
      <c r="G2947" s="33">
        <f>IF(F2947&gt;0,1,0)</f>
        <v>0</v>
      </c>
      <c r="H2947" s="33">
        <f>COUNTIFS(Demand!$A$2:$A$4481,A2947,Demand!$B$2:$B$4481,B2947,Demand!$C$2:$C$4481,C2947)</f>
        <v>1</v>
      </c>
    </row>
    <row r="2948">
      <c r="A2948" s="32" t="str">
        <f>Demand!A2946</f>
        <v>S005</v>
      </c>
      <c r="B2948" s="35">
        <f>Demand!B2946</f>
        <v>46275.0</v>
      </c>
      <c r="C2948" s="33">
        <f>Demand!C2946</f>
        <v>8</v>
      </c>
      <c r="D2948" s="33">
        <f>Demand!E2946</f>
        <v>9</v>
      </c>
      <c r="E2948" s="33">
        <f>IF(Demand!F2946,1,0)</f>
        <v>0</v>
      </c>
      <c r="F2948" s="33">
        <f>COUNTIFS(c_store,A2948,c_date,B2948,c_hour,C2948)</f>
        <v>0</v>
      </c>
      <c r="G2948" s="33">
        <f>IF(F2948&gt;0,1,0)</f>
        <v>0</v>
      </c>
      <c r="H2948" s="33">
        <f>COUNTIFS(Demand!$A$2:$A$4481,A2948,Demand!$B$2:$B$4481,B2948,Demand!$C$2:$C$4481,C2948)</f>
        <v>1</v>
      </c>
    </row>
    <row r="2949">
      <c r="A2949" s="32" t="str">
        <f>Demand!A2947</f>
        <v>S005</v>
      </c>
      <c r="B2949" s="35">
        <f>Demand!B2947</f>
        <v>46275.0</v>
      </c>
      <c r="C2949" s="33">
        <f>Demand!C2947</f>
        <v>9</v>
      </c>
      <c r="D2949" s="33">
        <f>Demand!E2947</f>
        <v>7</v>
      </c>
      <c r="E2949" s="33">
        <f>IF(Demand!F2947,1,0)</f>
        <v>0</v>
      </c>
      <c r="F2949" s="33">
        <f>COUNTIFS(c_store,A2949,c_date,B2949,c_hour,C2949)</f>
        <v>0</v>
      </c>
      <c r="G2949" s="33">
        <f>IF(F2949&gt;0,1,0)</f>
        <v>0</v>
      </c>
      <c r="H2949" s="33">
        <f>COUNTIFS(Demand!$A$2:$A$4481,A2949,Demand!$B$2:$B$4481,B2949,Demand!$C$2:$C$4481,C2949)</f>
        <v>1</v>
      </c>
    </row>
    <row r="2950">
      <c r="A2950" s="32" t="str">
        <f>Demand!A2948</f>
        <v>S005</v>
      </c>
      <c r="B2950" s="35">
        <f>Demand!B2948</f>
        <v>46275.0</v>
      </c>
      <c r="C2950" s="33">
        <f>Demand!C2948</f>
        <v>10</v>
      </c>
      <c r="D2950" s="33">
        <f>Demand!E2948</f>
        <v>11</v>
      </c>
      <c r="E2950" s="33">
        <f>IF(Demand!F2948,1,0)</f>
        <v>0</v>
      </c>
      <c r="F2950" s="33">
        <f>COUNTIFS(c_store,A2950,c_date,B2950,c_hour,C2950)</f>
        <v>1</v>
      </c>
      <c r="G2950" s="33">
        <f>IF(F2950&gt;0,1,0)</f>
        <v>1</v>
      </c>
      <c r="H2950" s="33">
        <f>COUNTIFS(Demand!$A$2:$A$4481,A2950,Demand!$B$2:$B$4481,B2950,Demand!$C$2:$C$4481,C2950)</f>
        <v>1</v>
      </c>
    </row>
    <row r="2951">
      <c r="A2951" s="32" t="str">
        <f>Demand!A2949</f>
        <v>S005</v>
      </c>
      <c r="B2951" s="35">
        <f>Demand!B2949</f>
        <v>46275.0</v>
      </c>
      <c r="C2951" s="33">
        <f>Demand!C2949</f>
        <v>11</v>
      </c>
      <c r="D2951" s="33">
        <f>Demand!E2949</f>
        <v>9</v>
      </c>
      <c r="E2951" s="33">
        <f>IF(Demand!F2949,1,0)</f>
        <v>0</v>
      </c>
      <c r="F2951" s="33">
        <f>COUNTIFS(c_store,A2951,c_date,B2951,c_hour,C2951)</f>
        <v>0</v>
      </c>
      <c r="G2951" s="33">
        <f>IF(F2951&gt;0,1,0)</f>
        <v>0</v>
      </c>
      <c r="H2951" s="33">
        <f>COUNTIFS(Demand!$A$2:$A$4481,A2951,Demand!$B$2:$B$4481,B2951,Demand!$C$2:$C$4481,C2951)</f>
        <v>1</v>
      </c>
    </row>
    <row r="2952">
      <c r="A2952" s="32" t="str">
        <f>Demand!A2950</f>
        <v>S005</v>
      </c>
      <c r="B2952" s="35">
        <f>Demand!B2950</f>
        <v>46275.0</v>
      </c>
      <c r="C2952" s="33">
        <f>Demand!C2950</f>
        <v>12</v>
      </c>
      <c r="D2952" s="33">
        <f>Demand!E2950</f>
        <v>9</v>
      </c>
      <c r="E2952" s="33">
        <f>IF(Demand!F2950,1,0)</f>
        <v>0</v>
      </c>
      <c r="F2952" s="33">
        <f>COUNTIFS(c_store,A2952,c_date,B2952,c_hour,C2952)</f>
        <v>1</v>
      </c>
      <c r="G2952" s="33">
        <f>IF(F2952&gt;0,1,0)</f>
        <v>1</v>
      </c>
      <c r="H2952" s="33">
        <f>COUNTIFS(Demand!$A$2:$A$4481,A2952,Demand!$B$2:$B$4481,B2952,Demand!$C$2:$C$4481,C2952)</f>
        <v>1</v>
      </c>
    </row>
    <row r="2953">
      <c r="A2953" s="32" t="str">
        <f>Demand!A2951</f>
        <v>S005</v>
      </c>
      <c r="B2953" s="35">
        <f>Demand!B2951</f>
        <v>46275.0</v>
      </c>
      <c r="C2953" s="33">
        <f>Demand!C2951</f>
        <v>13</v>
      </c>
      <c r="D2953" s="33">
        <f>Demand!E2951</f>
        <v>12</v>
      </c>
      <c r="E2953" s="33">
        <f>IF(Demand!F2951,1,0)</f>
        <v>0</v>
      </c>
      <c r="F2953" s="33">
        <f>COUNTIFS(c_store,A2953,c_date,B2953,c_hour,C2953)</f>
        <v>0</v>
      </c>
      <c r="G2953" s="33">
        <f>IF(F2953&gt;0,1,0)</f>
        <v>0</v>
      </c>
      <c r="H2953" s="33">
        <f>COUNTIFS(Demand!$A$2:$A$4481,A2953,Demand!$B$2:$B$4481,B2953,Demand!$C$2:$C$4481,C2953)</f>
        <v>1</v>
      </c>
    </row>
    <row r="2954">
      <c r="A2954" s="32" t="str">
        <f>Demand!A2952</f>
        <v>S005</v>
      </c>
      <c r="B2954" s="35">
        <f>Demand!B2952</f>
        <v>46275.0</v>
      </c>
      <c r="C2954" s="33">
        <f>Demand!C2952</f>
        <v>14</v>
      </c>
      <c r="D2954" s="33">
        <f>Demand!E2952</f>
        <v>6</v>
      </c>
      <c r="E2954" s="33">
        <f>IF(Demand!F2952,1,0)</f>
        <v>0</v>
      </c>
      <c r="F2954" s="33">
        <f>COUNTIFS(c_store,A2954,c_date,B2954,c_hour,C2954)</f>
        <v>0</v>
      </c>
      <c r="G2954" s="33">
        <f>IF(F2954&gt;0,1,0)</f>
        <v>0</v>
      </c>
      <c r="H2954" s="33">
        <f>COUNTIFS(Demand!$A$2:$A$4481,A2954,Demand!$B$2:$B$4481,B2954,Demand!$C$2:$C$4481,C2954)</f>
        <v>1</v>
      </c>
    </row>
    <row r="2955">
      <c r="A2955" s="32" t="str">
        <f>Demand!A2953</f>
        <v>S005</v>
      </c>
      <c r="B2955" s="35">
        <f>Demand!B2953</f>
        <v>46275.0</v>
      </c>
      <c r="C2955" s="33">
        <f>Demand!C2953</f>
        <v>15</v>
      </c>
      <c r="D2955" s="33">
        <f>Demand!E2953</f>
        <v>5</v>
      </c>
      <c r="E2955" s="33">
        <f>IF(Demand!F2953,1,0)</f>
        <v>0</v>
      </c>
      <c r="F2955" s="33">
        <f>COUNTIFS(c_store,A2955,c_date,B2955,c_hour,C2955)</f>
        <v>0</v>
      </c>
      <c r="G2955" s="33">
        <f>IF(F2955&gt;0,1,0)</f>
        <v>0</v>
      </c>
      <c r="H2955" s="33">
        <f>COUNTIFS(Demand!$A$2:$A$4481,A2955,Demand!$B$2:$B$4481,B2955,Demand!$C$2:$C$4481,C2955)</f>
        <v>1</v>
      </c>
    </row>
    <row r="2956">
      <c r="A2956" s="32" t="str">
        <f>Demand!A2954</f>
        <v>S005</v>
      </c>
      <c r="B2956" s="35">
        <f>Demand!B2954</f>
        <v>46275.0</v>
      </c>
      <c r="C2956" s="33">
        <f>Demand!C2954</f>
        <v>16</v>
      </c>
      <c r="D2956" s="33">
        <f>Demand!E2954</f>
        <v>14</v>
      </c>
      <c r="E2956" s="33">
        <f>IF(Demand!F2954,1,0)</f>
        <v>0</v>
      </c>
      <c r="F2956" s="33">
        <f>COUNTIFS(c_store,A2956,c_date,B2956,c_hour,C2956)</f>
        <v>0</v>
      </c>
      <c r="G2956" s="33">
        <f>IF(F2956&gt;0,1,0)</f>
        <v>0</v>
      </c>
      <c r="H2956" s="33">
        <f>COUNTIFS(Demand!$A$2:$A$4481,A2956,Demand!$B$2:$B$4481,B2956,Demand!$C$2:$C$4481,C2956)</f>
        <v>1</v>
      </c>
    </row>
    <row r="2957">
      <c r="A2957" s="32" t="str">
        <f>Demand!A2955</f>
        <v>S005</v>
      </c>
      <c r="B2957" s="35">
        <f>Demand!B2955</f>
        <v>46275.0</v>
      </c>
      <c r="C2957" s="33">
        <f>Demand!C2955</f>
        <v>17</v>
      </c>
      <c r="D2957" s="33">
        <f>Demand!E2955</f>
        <v>13</v>
      </c>
      <c r="E2957" s="33">
        <f>IF(Demand!F2955,1,0)</f>
        <v>0</v>
      </c>
      <c r="F2957" s="33">
        <f>COUNTIFS(c_store,A2957,c_date,B2957,c_hour,C2957)</f>
        <v>0</v>
      </c>
      <c r="G2957" s="33">
        <f>IF(F2957&gt;0,1,0)</f>
        <v>0</v>
      </c>
      <c r="H2957" s="33">
        <f>COUNTIFS(Demand!$A$2:$A$4481,A2957,Demand!$B$2:$B$4481,B2957,Demand!$C$2:$C$4481,C2957)</f>
        <v>1</v>
      </c>
    </row>
    <row r="2958">
      <c r="A2958" s="32" t="str">
        <f>Demand!A2956</f>
        <v>S005</v>
      </c>
      <c r="B2958" s="35">
        <f>Demand!B2956</f>
        <v>46275.0</v>
      </c>
      <c r="C2958" s="33">
        <f>Demand!C2956</f>
        <v>18</v>
      </c>
      <c r="D2958" s="33">
        <f>Demand!E2956</f>
        <v>6</v>
      </c>
      <c r="E2958" s="33">
        <f>IF(Demand!F2956,1,0)</f>
        <v>0</v>
      </c>
      <c r="F2958" s="33">
        <f>COUNTIFS(c_store,A2958,c_date,B2958,c_hour,C2958)</f>
        <v>1</v>
      </c>
      <c r="G2958" s="33">
        <f>IF(F2958&gt;0,1,0)</f>
        <v>1</v>
      </c>
      <c r="H2958" s="33">
        <f>COUNTIFS(Demand!$A$2:$A$4481,A2958,Demand!$B$2:$B$4481,B2958,Demand!$C$2:$C$4481,C2958)</f>
        <v>1</v>
      </c>
    </row>
    <row r="2959">
      <c r="A2959" s="32" t="str">
        <f>Demand!A2957</f>
        <v>S005</v>
      </c>
      <c r="B2959" s="35">
        <f>Demand!B2957</f>
        <v>46275.0</v>
      </c>
      <c r="C2959" s="33">
        <f>Demand!C2957</f>
        <v>19</v>
      </c>
      <c r="D2959" s="33">
        <f>Demand!E2957</f>
        <v>16</v>
      </c>
      <c r="E2959" s="33">
        <f>IF(Demand!F2957,1,0)</f>
        <v>1</v>
      </c>
      <c r="F2959" s="33">
        <f>COUNTIFS(c_store,A2959,c_date,B2959,c_hour,C2959)</f>
        <v>1</v>
      </c>
      <c r="G2959" s="33">
        <f>IF(F2959&gt;0,1,0)</f>
        <v>1</v>
      </c>
      <c r="H2959" s="33">
        <f>COUNTIFS(Demand!$A$2:$A$4481,A2959,Demand!$B$2:$B$4481,B2959,Demand!$C$2:$C$4481,C2959)</f>
        <v>1</v>
      </c>
    </row>
    <row r="2960">
      <c r="A2960" s="32" t="str">
        <f>Demand!A2958</f>
        <v>S005</v>
      </c>
      <c r="B2960" s="35">
        <f>Demand!B2958</f>
        <v>46275.0</v>
      </c>
      <c r="C2960" s="33">
        <f>Demand!C2958</f>
        <v>20</v>
      </c>
      <c r="D2960" s="33">
        <f>Demand!E2958</f>
        <v>14</v>
      </c>
      <c r="E2960" s="33">
        <f>IF(Demand!F2958,1,0)</f>
        <v>1</v>
      </c>
      <c r="F2960" s="33">
        <f>COUNTIFS(c_store,A2960,c_date,B2960,c_hour,C2960)</f>
        <v>0</v>
      </c>
      <c r="G2960" s="33">
        <f>IF(F2960&gt;0,1,0)</f>
        <v>0</v>
      </c>
      <c r="H2960" s="33">
        <f>COUNTIFS(Demand!$A$2:$A$4481,A2960,Demand!$B$2:$B$4481,B2960,Demand!$C$2:$C$4481,C2960)</f>
        <v>1</v>
      </c>
    </row>
    <row r="2961">
      <c r="A2961" s="32" t="str">
        <f>Demand!A2959</f>
        <v>S005</v>
      </c>
      <c r="B2961" s="35">
        <f>Demand!B2959</f>
        <v>46275.0</v>
      </c>
      <c r="C2961" s="33">
        <f>Demand!C2959</f>
        <v>21</v>
      </c>
      <c r="D2961" s="33">
        <f>Demand!E2959</f>
        <v>24</v>
      </c>
      <c r="E2961" s="33">
        <f>IF(Demand!F2959,1,0)</f>
        <v>1</v>
      </c>
      <c r="F2961" s="33">
        <f>COUNTIFS(c_store,A2961,c_date,B2961,c_hour,C2961)</f>
        <v>0</v>
      </c>
      <c r="G2961" s="33">
        <f>IF(F2961&gt;0,1,0)</f>
        <v>0</v>
      </c>
      <c r="H2961" s="33">
        <f>COUNTIFS(Demand!$A$2:$A$4481,A2961,Demand!$B$2:$B$4481,B2961,Demand!$C$2:$C$4481,C2961)</f>
        <v>1</v>
      </c>
    </row>
    <row r="2962">
      <c r="A2962" s="32" t="str">
        <f>Demand!A2960</f>
        <v>S005</v>
      </c>
      <c r="B2962" s="35">
        <f>Demand!B2960</f>
        <v>46275.0</v>
      </c>
      <c r="C2962" s="33">
        <f>Demand!C2960</f>
        <v>22</v>
      </c>
      <c r="D2962" s="33">
        <f>Demand!E2960</f>
        <v>11</v>
      </c>
      <c r="E2962" s="33">
        <f>IF(Demand!F2960,1,0)</f>
        <v>0</v>
      </c>
      <c r="F2962" s="33">
        <f>COUNTIFS(c_store,A2962,c_date,B2962,c_hour,C2962)</f>
        <v>0</v>
      </c>
      <c r="G2962" s="33">
        <f>IF(F2962&gt;0,1,0)</f>
        <v>0</v>
      </c>
      <c r="H2962" s="33">
        <f>COUNTIFS(Demand!$A$2:$A$4481,A2962,Demand!$B$2:$B$4481,B2962,Demand!$C$2:$C$4481,C2962)</f>
        <v>1</v>
      </c>
    </row>
    <row r="2963">
      <c r="A2963" s="32" t="str">
        <f>Demand!A2961</f>
        <v>S005</v>
      </c>
      <c r="B2963" s="35">
        <f>Demand!B2961</f>
        <v>46275.0</v>
      </c>
      <c r="C2963" s="33">
        <f>Demand!C2961</f>
        <v>23</v>
      </c>
      <c r="D2963" s="33">
        <f>Demand!E2961</f>
        <v>13</v>
      </c>
      <c r="E2963" s="33">
        <f>IF(Demand!F2961,1,0)</f>
        <v>0</v>
      </c>
      <c r="F2963" s="33">
        <f>COUNTIFS(c_store,A2963,c_date,B2963,c_hour,C2963)</f>
        <v>1</v>
      </c>
      <c r="G2963" s="33">
        <f>IF(F2963&gt;0,1,0)</f>
        <v>1</v>
      </c>
      <c r="H2963" s="33">
        <f>COUNTIFS(Demand!$A$2:$A$4481,A2963,Demand!$B$2:$B$4481,B2963,Demand!$C$2:$C$4481,C2963)</f>
        <v>1</v>
      </c>
    </row>
    <row r="2964">
      <c r="A2964" s="32" t="str">
        <f>Demand!A2962</f>
        <v>S006</v>
      </c>
      <c r="B2964" s="35">
        <f>Demand!B2962</f>
        <v>46275.0</v>
      </c>
      <c r="C2964" s="33">
        <f>Demand!C2962</f>
        <v>8</v>
      </c>
      <c r="D2964" s="33">
        <f>Demand!E2962</f>
        <v>14</v>
      </c>
      <c r="E2964" s="33">
        <f>IF(Demand!F2962,1,0)</f>
        <v>0</v>
      </c>
      <c r="F2964" s="33">
        <f>COUNTIFS(c_store,A2964,c_date,B2964,c_hour,C2964)</f>
        <v>0</v>
      </c>
      <c r="G2964" s="33">
        <f>IF(F2964&gt;0,1,0)</f>
        <v>0</v>
      </c>
      <c r="H2964" s="33">
        <f>COUNTIFS(Demand!$A$2:$A$4481,A2964,Demand!$B$2:$B$4481,B2964,Demand!$C$2:$C$4481,C2964)</f>
        <v>1</v>
      </c>
    </row>
    <row r="2965">
      <c r="A2965" s="32" t="str">
        <f>Demand!A2963</f>
        <v>S006</v>
      </c>
      <c r="B2965" s="35">
        <f>Demand!B2963</f>
        <v>46275.0</v>
      </c>
      <c r="C2965" s="33">
        <f>Demand!C2963</f>
        <v>9</v>
      </c>
      <c r="D2965" s="33">
        <f>Demand!E2963</f>
        <v>15</v>
      </c>
      <c r="E2965" s="33">
        <f>IF(Demand!F2963,1,0)</f>
        <v>0</v>
      </c>
      <c r="F2965" s="33">
        <f>COUNTIFS(c_store,A2965,c_date,B2965,c_hour,C2965)</f>
        <v>0</v>
      </c>
      <c r="G2965" s="33">
        <f>IF(F2965&gt;0,1,0)</f>
        <v>0</v>
      </c>
      <c r="H2965" s="33">
        <f>COUNTIFS(Demand!$A$2:$A$4481,A2965,Demand!$B$2:$B$4481,B2965,Demand!$C$2:$C$4481,C2965)</f>
        <v>1</v>
      </c>
    </row>
    <row r="2966">
      <c r="A2966" s="32" t="str">
        <f>Demand!A2964</f>
        <v>S006</v>
      </c>
      <c r="B2966" s="35">
        <f>Demand!B2964</f>
        <v>46275.0</v>
      </c>
      <c r="C2966" s="33">
        <f>Demand!C2964</f>
        <v>10</v>
      </c>
      <c r="D2966" s="33">
        <f>Demand!E2964</f>
        <v>30</v>
      </c>
      <c r="E2966" s="33">
        <f>IF(Demand!F2964,1,0)</f>
        <v>0</v>
      </c>
      <c r="F2966" s="33">
        <f>COUNTIFS(c_store,A2966,c_date,B2966,c_hour,C2966)</f>
        <v>0</v>
      </c>
      <c r="G2966" s="33">
        <f>IF(F2966&gt;0,1,0)</f>
        <v>0</v>
      </c>
      <c r="H2966" s="33">
        <f>COUNTIFS(Demand!$A$2:$A$4481,A2966,Demand!$B$2:$B$4481,B2966,Demand!$C$2:$C$4481,C2966)</f>
        <v>1</v>
      </c>
    </row>
    <row r="2967">
      <c r="A2967" s="32" t="str">
        <f>Demand!A2965</f>
        <v>S006</v>
      </c>
      <c r="B2967" s="35">
        <f>Demand!B2965</f>
        <v>46275.0</v>
      </c>
      <c r="C2967" s="33">
        <f>Demand!C2965</f>
        <v>11</v>
      </c>
      <c r="D2967" s="33">
        <f>Demand!E2965</f>
        <v>31</v>
      </c>
      <c r="E2967" s="33">
        <f>IF(Demand!F2965,1,0)</f>
        <v>0</v>
      </c>
      <c r="F2967" s="33">
        <f>COUNTIFS(c_store,A2967,c_date,B2967,c_hour,C2967)</f>
        <v>0</v>
      </c>
      <c r="G2967" s="33">
        <f>IF(F2967&gt;0,1,0)</f>
        <v>0</v>
      </c>
      <c r="H2967" s="33">
        <f>COUNTIFS(Demand!$A$2:$A$4481,A2967,Demand!$B$2:$B$4481,B2967,Demand!$C$2:$C$4481,C2967)</f>
        <v>1</v>
      </c>
    </row>
    <row r="2968">
      <c r="A2968" s="32" t="str">
        <f>Demand!A2966</f>
        <v>S006</v>
      </c>
      <c r="B2968" s="35">
        <f>Demand!B2966</f>
        <v>46275.0</v>
      </c>
      <c r="C2968" s="33">
        <f>Demand!C2966</f>
        <v>12</v>
      </c>
      <c r="D2968" s="33">
        <f>Demand!E2966</f>
        <v>24</v>
      </c>
      <c r="E2968" s="33">
        <f>IF(Demand!F2966,1,0)</f>
        <v>0</v>
      </c>
      <c r="F2968" s="33">
        <f>COUNTIFS(c_store,A2968,c_date,B2968,c_hour,C2968)</f>
        <v>0</v>
      </c>
      <c r="G2968" s="33">
        <f>IF(F2968&gt;0,1,0)</f>
        <v>0</v>
      </c>
      <c r="H2968" s="33">
        <f>COUNTIFS(Demand!$A$2:$A$4481,A2968,Demand!$B$2:$B$4481,B2968,Demand!$C$2:$C$4481,C2968)</f>
        <v>1</v>
      </c>
    </row>
    <row r="2969">
      <c r="A2969" s="32" t="str">
        <f>Demand!A2967</f>
        <v>S006</v>
      </c>
      <c r="B2969" s="35">
        <f>Demand!B2967</f>
        <v>46275.0</v>
      </c>
      <c r="C2969" s="33">
        <f>Demand!C2967</f>
        <v>13</v>
      </c>
      <c r="D2969" s="33">
        <f>Demand!E2967</f>
        <v>22</v>
      </c>
      <c r="E2969" s="33">
        <f>IF(Demand!F2967,1,0)</f>
        <v>0</v>
      </c>
      <c r="F2969" s="33">
        <f>COUNTIFS(c_store,A2969,c_date,B2969,c_hour,C2969)</f>
        <v>0</v>
      </c>
      <c r="G2969" s="33">
        <f>IF(F2969&gt;0,1,0)</f>
        <v>0</v>
      </c>
      <c r="H2969" s="33">
        <f>COUNTIFS(Demand!$A$2:$A$4481,A2969,Demand!$B$2:$B$4481,B2969,Demand!$C$2:$C$4481,C2969)</f>
        <v>1</v>
      </c>
    </row>
    <row r="2970">
      <c r="A2970" s="32" t="str">
        <f>Demand!A2968</f>
        <v>S006</v>
      </c>
      <c r="B2970" s="35">
        <f>Demand!B2968</f>
        <v>46275.0</v>
      </c>
      <c r="C2970" s="33">
        <f>Demand!C2968</f>
        <v>14</v>
      </c>
      <c r="D2970" s="33">
        <f>Demand!E2968</f>
        <v>23</v>
      </c>
      <c r="E2970" s="33">
        <f>IF(Demand!F2968,1,0)</f>
        <v>0</v>
      </c>
      <c r="F2970" s="33">
        <f>COUNTIFS(c_store,A2970,c_date,B2970,c_hour,C2970)</f>
        <v>1</v>
      </c>
      <c r="G2970" s="33">
        <f>IF(F2970&gt;0,1,0)</f>
        <v>1</v>
      </c>
      <c r="H2970" s="33">
        <f>COUNTIFS(Demand!$A$2:$A$4481,A2970,Demand!$B$2:$B$4481,B2970,Demand!$C$2:$C$4481,C2970)</f>
        <v>1</v>
      </c>
    </row>
    <row r="2971">
      <c r="A2971" s="32" t="str">
        <f>Demand!A2969</f>
        <v>S006</v>
      </c>
      <c r="B2971" s="35">
        <f>Demand!B2969</f>
        <v>46275.0</v>
      </c>
      <c r="C2971" s="33">
        <f>Demand!C2969</f>
        <v>15</v>
      </c>
      <c r="D2971" s="33">
        <f>Demand!E2969</f>
        <v>20</v>
      </c>
      <c r="E2971" s="33">
        <f>IF(Demand!F2969,1,0)</f>
        <v>0</v>
      </c>
      <c r="F2971" s="33">
        <f>COUNTIFS(c_store,A2971,c_date,B2971,c_hour,C2971)</f>
        <v>1</v>
      </c>
      <c r="G2971" s="33">
        <f>IF(F2971&gt;0,1,0)</f>
        <v>1</v>
      </c>
      <c r="H2971" s="33">
        <f>COUNTIFS(Demand!$A$2:$A$4481,A2971,Demand!$B$2:$B$4481,B2971,Demand!$C$2:$C$4481,C2971)</f>
        <v>1</v>
      </c>
    </row>
    <row r="2972">
      <c r="A2972" s="32" t="str">
        <f>Demand!A2970</f>
        <v>S006</v>
      </c>
      <c r="B2972" s="35">
        <f>Demand!B2970</f>
        <v>46275.0</v>
      </c>
      <c r="C2972" s="33">
        <f>Demand!C2970</f>
        <v>16</v>
      </c>
      <c r="D2972" s="33">
        <f>Demand!E2970</f>
        <v>22</v>
      </c>
      <c r="E2972" s="33">
        <f>IF(Demand!F2970,1,0)</f>
        <v>0</v>
      </c>
      <c r="F2972" s="33">
        <f>COUNTIFS(c_store,A2972,c_date,B2972,c_hour,C2972)</f>
        <v>1</v>
      </c>
      <c r="G2972" s="33">
        <f>IF(F2972&gt;0,1,0)</f>
        <v>1</v>
      </c>
      <c r="H2972" s="33">
        <f>COUNTIFS(Demand!$A$2:$A$4481,A2972,Demand!$B$2:$B$4481,B2972,Demand!$C$2:$C$4481,C2972)</f>
        <v>1</v>
      </c>
    </row>
    <row r="2973">
      <c r="A2973" s="32" t="str">
        <f>Demand!A2971</f>
        <v>S006</v>
      </c>
      <c r="B2973" s="35">
        <f>Demand!B2971</f>
        <v>46275.0</v>
      </c>
      <c r="C2973" s="33">
        <f>Demand!C2971</f>
        <v>17</v>
      </c>
      <c r="D2973" s="33">
        <f>Demand!E2971</f>
        <v>28</v>
      </c>
      <c r="E2973" s="33">
        <f>IF(Demand!F2971,1,0)</f>
        <v>0</v>
      </c>
      <c r="F2973" s="33">
        <f>COUNTIFS(c_store,A2973,c_date,B2973,c_hour,C2973)</f>
        <v>0</v>
      </c>
      <c r="G2973" s="33">
        <f>IF(F2973&gt;0,1,0)</f>
        <v>0</v>
      </c>
      <c r="H2973" s="33">
        <f>COUNTIFS(Demand!$A$2:$A$4481,A2973,Demand!$B$2:$B$4481,B2973,Demand!$C$2:$C$4481,C2973)</f>
        <v>1</v>
      </c>
    </row>
    <row r="2974">
      <c r="A2974" s="32" t="str">
        <f>Demand!A2972</f>
        <v>S006</v>
      </c>
      <c r="B2974" s="35">
        <f>Demand!B2972</f>
        <v>46275.0</v>
      </c>
      <c r="C2974" s="33">
        <f>Demand!C2972</f>
        <v>18</v>
      </c>
      <c r="D2974" s="33">
        <f>Demand!E2972</f>
        <v>25</v>
      </c>
      <c r="E2974" s="33">
        <f>IF(Demand!F2972,1,0)</f>
        <v>0</v>
      </c>
      <c r="F2974" s="33">
        <f>COUNTIFS(c_store,A2974,c_date,B2974,c_hour,C2974)</f>
        <v>2</v>
      </c>
      <c r="G2974" s="33">
        <f>IF(F2974&gt;0,1,0)</f>
        <v>1</v>
      </c>
      <c r="H2974" s="33">
        <f>COUNTIFS(Demand!$A$2:$A$4481,A2974,Demand!$B$2:$B$4481,B2974,Demand!$C$2:$C$4481,C2974)</f>
        <v>1</v>
      </c>
    </row>
    <row r="2975">
      <c r="A2975" s="32" t="str">
        <f>Demand!A2973</f>
        <v>S006</v>
      </c>
      <c r="B2975" s="35">
        <f>Demand!B2973</f>
        <v>46275.0</v>
      </c>
      <c r="C2975" s="33">
        <f>Demand!C2973</f>
        <v>19</v>
      </c>
      <c r="D2975" s="33">
        <f>Demand!E2973</f>
        <v>47</v>
      </c>
      <c r="E2975" s="33">
        <f>IF(Demand!F2973,1,0)</f>
        <v>1</v>
      </c>
      <c r="F2975" s="33">
        <f>COUNTIFS(c_store,A2975,c_date,B2975,c_hour,C2975)</f>
        <v>0</v>
      </c>
      <c r="G2975" s="33">
        <f>IF(F2975&gt;0,1,0)</f>
        <v>0</v>
      </c>
      <c r="H2975" s="33">
        <f>COUNTIFS(Demand!$A$2:$A$4481,A2975,Demand!$B$2:$B$4481,B2975,Demand!$C$2:$C$4481,C2975)</f>
        <v>1</v>
      </c>
    </row>
    <row r="2976">
      <c r="A2976" s="32" t="str">
        <f>Demand!A2974</f>
        <v>S006</v>
      </c>
      <c r="B2976" s="35">
        <f>Demand!B2974</f>
        <v>46275.0</v>
      </c>
      <c r="C2976" s="33">
        <f>Demand!C2974</f>
        <v>20</v>
      </c>
      <c r="D2976" s="33">
        <f>Demand!E2974</f>
        <v>35</v>
      </c>
      <c r="E2976" s="33">
        <f>IF(Demand!F2974,1,0)</f>
        <v>1</v>
      </c>
      <c r="F2976" s="33">
        <f>COUNTIFS(c_store,A2976,c_date,B2976,c_hour,C2976)</f>
        <v>0</v>
      </c>
      <c r="G2976" s="33">
        <f>IF(F2976&gt;0,1,0)</f>
        <v>0</v>
      </c>
      <c r="H2976" s="33">
        <f>COUNTIFS(Demand!$A$2:$A$4481,A2976,Demand!$B$2:$B$4481,B2976,Demand!$C$2:$C$4481,C2976)</f>
        <v>1</v>
      </c>
    </row>
    <row r="2977">
      <c r="A2977" s="32" t="str">
        <f>Demand!A2975</f>
        <v>S006</v>
      </c>
      <c r="B2977" s="35">
        <f>Demand!B2975</f>
        <v>46275.0</v>
      </c>
      <c r="C2977" s="33">
        <f>Demand!C2975</f>
        <v>21</v>
      </c>
      <c r="D2977" s="33">
        <f>Demand!E2975</f>
        <v>40</v>
      </c>
      <c r="E2977" s="33">
        <f>IF(Demand!F2975,1,0)</f>
        <v>1</v>
      </c>
      <c r="F2977" s="33">
        <f>COUNTIFS(c_store,A2977,c_date,B2977,c_hour,C2977)</f>
        <v>0</v>
      </c>
      <c r="G2977" s="33">
        <f>IF(F2977&gt;0,1,0)</f>
        <v>0</v>
      </c>
      <c r="H2977" s="33">
        <f>COUNTIFS(Demand!$A$2:$A$4481,A2977,Demand!$B$2:$B$4481,B2977,Demand!$C$2:$C$4481,C2977)</f>
        <v>1</v>
      </c>
    </row>
    <row r="2978">
      <c r="A2978" s="32" t="str">
        <f>Demand!A2976</f>
        <v>S006</v>
      </c>
      <c r="B2978" s="35">
        <f>Demand!B2976</f>
        <v>46275.0</v>
      </c>
      <c r="C2978" s="33">
        <f>Demand!C2976</f>
        <v>22</v>
      </c>
      <c r="D2978" s="33">
        <f>Demand!E2976</f>
        <v>25</v>
      </c>
      <c r="E2978" s="33">
        <f>IF(Demand!F2976,1,0)</f>
        <v>0</v>
      </c>
      <c r="F2978" s="33">
        <f>COUNTIFS(c_store,A2978,c_date,B2978,c_hour,C2978)</f>
        <v>0</v>
      </c>
      <c r="G2978" s="33">
        <f>IF(F2978&gt;0,1,0)</f>
        <v>0</v>
      </c>
      <c r="H2978" s="33">
        <f>COUNTIFS(Demand!$A$2:$A$4481,A2978,Demand!$B$2:$B$4481,B2978,Demand!$C$2:$C$4481,C2978)</f>
        <v>1</v>
      </c>
    </row>
    <row r="2979">
      <c r="A2979" s="32" t="str">
        <f>Demand!A2977</f>
        <v>S006</v>
      </c>
      <c r="B2979" s="35">
        <f>Demand!B2977</f>
        <v>46275.0</v>
      </c>
      <c r="C2979" s="33">
        <f>Demand!C2977</f>
        <v>23</v>
      </c>
      <c r="D2979" s="33">
        <f>Demand!E2977</f>
        <v>29</v>
      </c>
      <c r="E2979" s="33">
        <f>IF(Demand!F2977,1,0)</f>
        <v>0</v>
      </c>
      <c r="F2979" s="33">
        <f>COUNTIFS(c_store,A2979,c_date,B2979,c_hour,C2979)</f>
        <v>1</v>
      </c>
      <c r="G2979" s="33">
        <f>IF(F2979&gt;0,1,0)</f>
        <v>1</v>
      </c>
      <c r="H2979" s="33">
        <f>COUNTIFS(Demand!$A$2:$A$4481,A2979,Demand!$B$2:$B$4481,B2979,Demand!$C$2:$C$4481,C2979)</f>
        <v>1</v>
      </c>
    </row>
    <row r="2980">
      <c r="A2980" s="32" t="str">
        <f>Demand!A2978</f>
        <v>S007</v>
      </c>
      <c r="B2980" s="35">
        <f>Demand!B2978</f>
        <v>46275.0</v>
      </c>
      <c r="C2980" s="33">
        <f>Demand!C2978</f>
        <v>8</v>
      </c>
      <c r="D2980" s="33">
        <f>Demand!E2978</f>
        <v>29</v>
      </c>
      <c r="E2980" s="33">
        <f>IF(Demand!F2978,1,0)</f>
        <v>0</v>
      </c>
      <c r="F2980" s="33">
        <f>COUNTIFS(c_store,A2980,c_date,B2980,c_hour,C2980)</f>
        <v>0</v>
      </c>
      <c r="G2980" s="33">
        <f>IF(F2980&gt;0,1,0)</f>
        <v>0</v>
      </c>
      <c r="H2980" s="33">
        <f>COUNTIFS(Demand!$A$2:$A$4481,A2980,Demand!$B$2:$B$4481,B2980,Demand!$C$2:$C$4481,C2980)</f>
        <v>1</v>
      </c>
    </row>
    <row r="2981">
      <c r="A2981" s="32" t="str">
        <f>Demand!A2979</f>
        <v>S007</v>
      </c>
      <c r="B2981" s="35">
        <f>Demand!B2979</f>
        <v>46275.0</v>
      </c>
      <c r="C2981" s="33">
        <f>Demand!C2979</f>
        <v>9</v>
      </c>
      <c r="D2981" s="33">
        <f>Demand!E2979</f>
        <v>30</v>
      </c>
      <c r="E2981" s="33">
        <f>IF(Demand!F2979,1,0)</f>
        <v>0</v>
      </c>
      <c r="F2981" s="33">
        <f>COUNTIFS(c_store,A2981,c_date,B2981,c_hour,C2981)</f>
        <v>1</v>
      </c>
      <c r="G2981" s="33">
        <f>IF(F2981&gt;0,1,0)</f>
        <v>1</v>
      </c>
      <c r="H2981" s="33">
        <f>COUNTIFS(Demand!$A$2:$A$4481,A2981,Demand!$B$2:$B$4481,B2981,Demand!$C$2:$C$4481,C2981)</f>
        <v>1</v>
      </c>
    </row>
    <row r="2982">
      <c r="A2982" s="32" t="str">
        <f>Demand!A2980</f>
        <v>S007</v>
      </c>
      <c r="B2982" s="35">
        <f>Demand!B2980</f>
        <v>46275.0</v>
      </c>
      <c r="C2982" s="33">
        <f>Demand!C2980</f>
        <v>10</v>
      </c>
      <c r="D2982" s="33">
        <f>Demand!E2980</f>
        <v>33</v>
      </c>
      <c r="E2982" s="33">
        <f>IF(Demand!F2980,1,0)</f>
        <v>0</v>
      </c>
      <c r="F2982" s="33">
        <f>COUNTIFS(c_store,A2982,c_date,B2982,c_hour,C2982)</f>
        <v>0</v>
      </c>
      <c r="G2982" s="33">
        <f>IF(F2982&gt;0,1,0)</f>
        <v>0</v>
      </c>
      <c r="H2982" s="33">
        <f>COUNTIFS(Demand!$A$2:$A$4481,A2982,Demand!$B$2:$B$4481,B2982,Demand!$C$2:$C$4481,C2982)</f>
        <v>1</v>
      </c>
    </row>
    <row r="2983">
      <c r="A2983" s="32" t="str">
        <f>Demand!A2981</f>
        <v>S007</v>
      </c>
      <c r="B2983" s="35">
        <f>Demand!B2981</f>
        <v>46275.0</v>
      </c>
      <c r="C2983" s="33">
        <f>Demand!C2981</f>
        <v>11</v>
      </c>
      <c r="D2983" s="33">
        <f>Demand!E2981</f>
        <v>43</v>
      </c>
      <c r="E2983" s="33">
        <f>IF(Demand!F2981,1,0)</f>
        <v>0</v>
      </c>
      <c r="F2983" s="33">
        <f>COUNTIFS(c_store,A2983,c_date,B2983,c_hour,C2983)</f>
        <v>1</v>
      </c>
      <c r="G2983" s="33">
        <f>IF(F2983&gt;0,1,0)</f>
        <v>1</v>
      </c>
      <c r="H2983" s="33">
        <f>COUNTIFS(Demand!$A$2:$A$4481,A2983,Demand!$B$2:$B$4481,B2983,Demand!$C$2:$C$4481,C2983)</f>
        <v>1</v>
      </c>
    </row>
    <row r="2984">
      <c r="A2984" s="32" t="str">
        <f>Demand!A2982</f>
        <v>S007</v>
      </c>
      <c r="B2984" s="35">
        <f>Demand!B2982</f>
        <v>46275.0</v>
      </c>
      <c r="C2984" s="33">
        <f>Demand!C2982</f>
        <v>12</v>
      </c>
      <c r="D2984" s="33">
        <f>Demand!E2982</f>
        <v>46</v>
      </c>
      <c r="E2984" s="33">
        <f>IF(Demand!F2982,1,0)</f>
        <v>0</v>
      </c>
      <c r="F2984" s="33">
        <f>COUNTIFS(c_store,A2984,c_date,B2984,c_hour,C2984)</f>
        <v>0</v>
      </c>
      <c r="G2984" s="33">
        <f>IF(F2984&gt;0,1,0)</f>
        <v>0</v>
      </c>
      <c r="H2984" s="33">
        <f>COUNTIFS(Demand!$A$2:$A$4481,A2984,Demand!$B$2:$B$4481,B2984,Demand!$C$2:$C$4481,C2984)</f>
        <v>1</v>
      </c>
    </row>
    <row r="2985">
      <c r="A2985" s="32" t="str">
        <f>Demand!A2983</f>
        <v>S007</v>
      </c>
      <c r="B2985" s="35">
        <f>Demand!B2983</f>
        <v>46275.0</v>
      </c>
      <c r="C2985" s="33">
        <f>Demand!C2983</f>
        <v>13</v>
      </c>
      <c r="D2985" s="33">
        <f>Demand!E2983</f>
        <v>42</v>
      </c>
      <c r="E2985" s="33">
        <f>IF(Demand!F2983,1,0)</f>
        <v>0</v>
      </c>
      <c r="F2985" s="33">
        <f>COUNTIFS(c_store,A2985,c_date,B2985,c_hour,C2985)</f>
        <v>0</v>
      </c>
      <c r="G2985" s="33">
        <f>IF(F2985&gt;0,1,0)</f>
        <v>0</v>
      </c>
      <c r="H2985" s="33">
        <f>COUNTIFS(Demand!$A$2:$A$4481,A2985,Demand!$B$2:$B$4481,B2985,Demand!$C$2:$C$4481,C2985)</f>
        <v>1</v>
      </c>
    </row>
    <row r="2986">
      <c r="A2986" s="32" t="str">
        <f>Demand!A2984</f>
        <v>S007</v>
      </c>
      <c r="B2986" s="35">
        <f>Demand!B2984</f>
        <v>46275.0</v>
      </c>
      <c r="C2986" s="33">
        <f>Demand!C2984</f>
        <v>14</v>
      </c>
      <c r="D2986" s="33">
        <f>Demand!E2984</f>
        <v>29</v>
      </c>
      <c r="E2986" s="33">
        <f>IF(Demand!F2984,1,0)</f>
        <v>0</v>
      </c>
      <c r="F2986" s="33">
        <f>COUNTIFS(c_store,A2986,c_date,B2986,c_hour,C2986)</f>
        <v>0</v>
      </c>
      <c r="G2986" s="33">
        <f>IF(F2986&gt;0,1,0)</f>
        <v>0</v>
      </c>
      <c r="H2986" s="33">
        <f>COUNTIFS(Demand!$A$2:$A$4481,A2986,Demand!$B$2:$B$4481,B2986,Demand!$C$2:$C$4481,C2986)</f>
        <v>1</v>
      </c>
    </row>
    <row r="2987">
      <c r="A2987" s="32" t="str">
        <f>Demand!A2985</f>
        <v>S007</v>
      </c>
      <c r="B2987" s="35">
        <f>Demand!B2985</f>
        <v>46275.0</v>
      </c>
      <c r="C2987" s="33">
        <f>Demand!C2985</f>
        <v>15</v>
      </c>
      <c r="D2987" s="33">
        <f>Demand!E2985</f>
        <v>39</v>
      </c>
      <c r="E2987" s="33">
        <f>IF(Demand!F2985,1,0)</f>
        <v>0</v>
      </c>
      <c r="F2987" s="33">
        <f>COUNTIFS(c_store,A2987,c_date,B2987,c_hour,C2987)</f>
        <v>1</v>
      </c>
      <c r="G2987" s="33">
        <f>IF(F2987&gt;0,1,0)</f>
        <v>1</v>
      </c>
      <c r="H2987" s="33">
        <f>COUNTIFS(Demand!$A$2:$A$4481,A2987,Demand!$B$2:$B$4481,B2987,Demand!$C$2:$C$4481,C2987)</f>
        <v>1</v>
      </c>
    </row>
    <row r="2988">
      <c r="A2988" s="32" t="str">
        <f>Demand!A2986</f>
        <v>S007</v>
      </c>
      <c r="B2988" s="35">
        <f>Demand!B2986</f>
        <v>46275.0</v>
      </c>
      <c r="C2988" s="33">
        <f>Demand!C2986</f>
        <v>16</v>
      </c>
      <c r="D2988" s="33">
        <f>Demand!E2986</f>
        <v>50</v>
      </c>
      <c r="E2988" s="33">
        <f>IF(Demand!F2986,1,0)</f>
        <v>0</v>
      </c>
      <c r="F2988" s="33">
        <f>COUNTIFS(c_store,A2988,c_date,B2988,c_hour,C2988)</f>
        <v>0</v>
      </c>
      <c r="G2988" s="33">
        <f>IF(F2988&gt;0,1,0)</f>
        <v>0</v>
      </c>
      <c r="H2988" s="33">
        <f>COUNTIFS(Demand!$A$2:$A$4481,A2988,Demand!$B$2:$B$4481,B2988,Demand!$C$2:$C$4481,C2988)</f>
        <v>1</v>
      </c>
    </row>
    <row r="2989">
      <c r="A2989" s="32" t="str">
        <f>Demand!A2987</f>
        <v>S007</v>
      </c>
      <c r="B2989" s="35">
        <f>Demand!B2987</f>
        <v>46275.0</v>
      </c>
      <c r="C2989" s="33">
        <f>Demand!C2987</f>
        <v>17</v>
      </c>
      <c r="D2989" s="33">
        <f>Demand!E2987</f>
        <v>35</v>
      </c>
      <c r="E2989" s="33">
        <f>IF(Demand!F2987,1,0)</f>
        <v>0</v>
      </c>
      <c r="F2989" s="33">
        <f>COUNTIFS(c_store,A2989,c_date,B2989,c_hour,C2989)</f>
        <v>0</v>
      </c>
      <c r="G2989" s="33">
        <f>IF(F2989&gt;0,1,0)</f>
        <v>0</v>
      </c>
      <c r="H2989" s="33">
        <f>COUNTIFS(Demand!$A$2:$A$4481,A2989,Demand!$B$2:$B$4481,B2989,Demand!$C$2:$C$4481,C2989)</f>
        <v>1</v>
      </c>
    </row>
    <row r="2990">
      <c r="A2990" s="32" t="str">
        <f>Demand!A2988</f>
        <v>S007</v>
      </c>
      <c r="B2990" s="35">
        <f>Demand!B2988</f>
        <v>46275.0</v>
      </c>
      <c r="C2990" s="33">
        <f>Demand!C2988</f>
        <v>18</v>
      </c>
      <c r="D2990" s="33">
        <f>Demand!E2988</f>
        <v>41</v>
      </c>
      <c r="E2990" s="33">
        <f>IF(Demand!F2988,1,0)</f>
        <v>0</v>
      </c>
      <c r="F2990" s="33">
        <f>COUNTIFS(c_store,A2990,c_date,B2990,c_hour,C2990)</f>
        <v>0</v>
      </c>
      <c r="G2990" s="33">
        <f>IF(F2990&gt;0,1,0)</f>
        <v>0</v>
      </c>
      <c r="H2990" s="33">
        <f>COUNTIFS(Demand!$A$2:$A$4481,A2990,Demand!$B$2:$B$4481,B2990,Demand!$C$2:$C$4481,C2990)</f>
        <v>1</v>
      </c>
    </row>
    <row r="2991">
      <c r="A2991" s="32" t="str">
        <f>Demand!A2989</f>
        <v>S007</v>
      </c>
      <c r="B2991" s="35">
        <f>Demand!B2989</f>
        <v>46275.0</v>
      </c>
      <c r="C2991" s="33">
        <f>Demand!C2989</f>
        <v>19</v>
      </c>
      <c r="D2991" s="33">
        <f>Demand!E2989</f>
        <v>57</v>
      </c>
      <c r="E2991" s="33">
        <f>IF(Demand!F2989,1,0)</f>
        <v>1</v>
      </c>
      <c r="F2991" s="33">
        <f>COUNTIFS(c_store,A2991,c_date,B2991,c_hour,C2991)</f>
        <v>1</v>
      </c>
      <c r="G2991" s="33">
        <f>IF(F2991&gt;0,1,0)</f>
        <v>1</v>
      </c>
      <c r="H2991" s="33">
        <f>COUNTIFS(Demand!$A$2:$A$4481,A2991,Demand!$B$2:$B$4481,B2991,Demand!$C$2:$C$4481,C2991)</f>
        <v>1</v>
      </c>
    </row>
    <row r="2992">
      <c r="A2992" s="32" t="str">
        <f>Demand!A2990</f>
        <v>S007</v>
      </c>
      <c r="B2992" s="35">
        <f>Demand!B2990</f>
        <v>46275.0</v>
      </c>
      <c r="C2992" s="33">
        <f>Demand!C2990</f>
        <v>20</v>
      </c>
      <c r="D2992" s="33">
        <f>Demand!E2990</f>
        <v>57</v>
      </c>
      <c r="E2992" s="33">
        <f>IF(Demand!F2990,1,0)</f>
        <v>1</v>
      </c>
      <c r="F2992" s="33">
        <f>COUNTIFS(c_store,A2992,c_date,B2992,c_hour,C2992)</f>
        <v>1</v>
      </c>
      <c r="G2992" s="33">
        <f>IF(F2992&gt;0,1,0)</f>
        <v>1</v>
      </c>
      <c r="H2992" s="33">
        <f>COUNTIFS(Demand!$A$2:$A$4481,A2992,Demand!$B$2:$B$4481,B2992,Demand!$C$2:$C$4481,C2992)</f>
        <v>1</v>
      </c>
    </row>
    <row r="2993">
      <c r="A2993" s="32" t="str">
        <f>Demand!A2991</f>
        <v>S007</v>
      </c>
      <c r="B2993" s="35">
        <f>Demand!B2991</f>
        <v>46275.0</v>
      </c>
      <c r="C2993" s="33">
        <f>Demand!C2991</f>
        <v>21</v>
      </c>
      <c r="D2993" s="33">
        <f>Demand!E2991</f>
        <v>59</v>
      </c>
      <c r="E2993" s="33">
        <f>IF(Demand!F2991,1,0)</f>
        <v>1</v>
      </c>
      <c r="F2993" s="33">
        <f>COUNTIFS(c_store,A2993,c_date,B2993,c_hour,C2993)</f>
        <v>2</v>
      </c>
      <c r="G2993" s="33">
        <f>IF(F2993&gt;0,1,0)</f>
        <v>1</v>
      </c>
      <c r="H2993" s="33">
        <f>COUNTIFS(Demand!$A$2:$A$4481,A2993,Demand!$B$2:$B$4481,B2993,Demand!$C$2:$C$4481,C2993)</f>
        <v>1</v>
      </c>
    </row>
    <row r="2994">
      <c r="A2994" s="32" t="str">
        <f>Demand!A2992</f>
        <v>S007</v>
      </c>
      <c r="B2994" s="35">
        <f>Demand!B2992</f>
        <v>46275.0</v>
      </c>
      <c r="C2994" s="33">
        <f>Demand!C2992</f>
        <v>22</v>
      </c>
      <c r="D2994" s="33">
        <f>Demand!E2992</f>
        <v>32</v>
      </c>
      <c r="E2994" s="33">
        <f>IF(Demand!F2992,1,0)</f>
        <v>0</v>
      </c>
      <c r="F2994" s="33">
        <f>COUNTIFS(c_store,A2994,c_date,B2994,c_hour,C2994)</f>
        <v>0</v>
      </c>
      <c r="G2994" s="33">
        <f>IF(F2994&gt;0,1,0)</f>
        <v>0</v>
      </c>
      <c r="H2994" s="33">
        <f>COUNTIFS(Demand!$A$2:$A$4481,A2994,Demand!$B$2:$B$4481,B2994,Demand!$C$2:$C$4481,C2994)</f>
        <v>1</v>
      </c>
    </row>
    <row r="2995">
      <c r="A2995" s="32" t="str">
        <f>Demand!A2993</f>
        <v>S007</v>
      </c>
      <c r="B2995" s="35">
        <f>Demand!B2993</f>
        <v>46275.0</v>
      </c>
      <c r="C2995" s="33">
        <f>Demand!C2993</f>
        <v>23</v>
      </c>
      <c r="D2995" s="33">
        <f>Demand!E2993</f>
        <v>23</v>
      </c>
      <c r="E2995" s="33">
        <f>IF(Demand!F2993,1,0)</f>
        <v>0</v>
      </c>
      <c r="F2995" s="33">
        <f>COUNTIFS(c_store,A2995,c_date,B2995,c_hour,C2995)</f>
        <v>0</v>
      </c>
      <c r="G2995" s="33">
        <f>IF(F2995&gt;0,1,0)</f>
        <v>0</v>
      </c>
      <c r="H2995" s="33">
        <f>COUNTIFS(Demand!$A$2:$A$4481,A2995,Demand!$B$2:$B$4481,B2995,Demand!$C$2:$C$4481,C2995)</f>
        <v>1</v>
      </c>
    </row>
    <row r="2996">
      <c r="A2996" s="32" t="str">
        <f>Demand!A2994</f>
        <v>S008</v>
      </c>
      <c r="B2996" s="35">
        <f>Demand!B2994</f>
        <v>46275.0</v>
      </c>
      <c r="C2996" s="33">
        <f>Demand!C2994</f>
        <v>8</v>
      </c>
      <c r="D2996" s="33">
        <f>Demand!E2994</f>
        <v>21</v>
      </c>
      <c r="E2996" s="33">
        <f>IF(Demand!F2994,1,0)</f>
        <v>0</v>
      </c>
      <c r="F2996" s="33">
        <f>COUNTIFS(c_store,A2996,c_date,B2996,c_hour,C2996)</f>
        <v>0</v>
      </c>
      <c r="G2996" s="33">
        <f>IF(F2996&gt;0,1,0)</f>
        <v>0</v>
      </c>
      <c r="H2996" s="33">
        <f>COUNTIFS(Demand!$A$2:$A$4481,A2996,Demand!$B$2:$B$4481,B2996,Demand!$C$2:$C$4481,C2996)</f>
        <v>1</v>
      </c>
    </row>
    <row r="2997">
      <c r="A2997" s="32" t="str">
        <f>Demand!A2995</f>
        <v>S008</v>
      </c>
      <c r="B2997" s="35">
        <f>Demand!B2995</f>
        <v>46275.0</v>
      </c>
      <c r="C2997" s="33">
        <f>Demand!C2995</f>
        <v>9</v>
      </c>
      <c r="D2997" s="33">
        <f>Demand!E2995</f>
        <v>19</v>
      </c>
      <c r="E2997" s="33">
        <f>IF(Demand!F2995,1,0)</f>
        <v>0</v>
      </c>
      <c r="F2997" s="33">
        <f>COUNTIFS(c_store,A2997,c_date,B2997,c_hour,C2997)</f>
        <v>0</v>
      </c>
      <c r="G2997" s="33">
        <f>IF(F2997&gt;0,1,0)</f>
        <v>0</v>
      </c>
      <c r="H2997" s="33">
        <f>COUNTIFS(Demand!$A$2:$A$4481,A2997,Demand!$B$2:$B$4481,B2997,Demand!$C$2:$C$4481,C2997)</f>
        <v>1</v>
      </c>
    </row>
    <row r="2998">
      <c r="A2998" s="32" t="str">
        <f>Demand!A2996</f>
        <v>S008</v>
      </c>
      <c r="B2998" s="35">
        <f>Demand!B2996</f>
        <v>46275.0</v>
      </c>
      <c r="C2998" s="33">
        <f>Demand!C2996</f>
        <v>10</v>
      </c>
      <c r="D2998" s="33">
        <f>Demand!E2996</f>
        <v>17</v>
      </c>
      <c r="E2998" s="33">
        <f>IF(Demand!F2996,1,0)</f>
        <v>0</v>
      </c>
      <c r="F2998" s="33">
        <f>COUNTIFS(c_store,A2998,c_date,B2998,c_hour,C2998)</f>
        <v>0</v>
      </c>
      <c r="G2998" s="33">
        <f>IF(F2998&gt;0,1,0)</f>
        <v>0</v>
      </c>
      <c r="H2998" s="33">
        <f>COUNTIFS(Demand!$A$2:$A$4481,A2998,Demand!$B$2:$B$4481,B2998,Demand!$C$2:$C$4481,C2998)</f>
        <v>1</v>
      </c>
    </row>
    <row r="2999">
      <c r="A2999" s="32" t="str">
        <f>Demand!A2997</f>
        <v>S008</v>
      </c>
      <c r="B2999" s="35">
        <f>Demand!B2997</f>
        <v>46275.0</v>
      </c>
      <c r="C2999" s="33">
        <f>Demand!C2997</f>
        <v>11</v>
      </c>
      <c r="D2999" s="33">
        <f>Demand!E2997</f>
        <v>23</v>
      </c>
      <c r="E2999" s="33">
        <f>IF(Demand!F2997,1,0)</f>
        <v>0</v>
      </c>
      <c r="F2999" s="33">
        <f>COUNTIFS(c_store,A2999,c_date,B2999,c_hour,C2999)</f>
        <v>1</v>
      </c>
      <c r="G2999" s="33">
        <f>IF(F2999&gt;0,1,0)</f>
        <v>1</v>
      </c>
      <c r="H2999" s="33">
        <f>COUNTIFS(Demand!$A$2:$A$4481,A2999,Demand!$B$2:$B$4481,B2999,Demand!$C$2:$C$4481,C2999)</f>
        <v>1</v>
      </c>
    </row>
    <row r="3000">
      <c r="A3000" s="32" t="str">
        <f>Demand!A2998</f>
        <v>S008</v>
      </c>
      <c r="B3000" s="35">
        <f>Demand!B2998</f>
        <v>46275.0</v>
      </c>
      <c r="C3000" s="33">
        <f>Demand!C2998</f>
        <v>12</v>
      </c>
      <c r="D3000" s="33">
        <f>Demand!E2998</f>
        <v>24</v>
      </c>
      <c r="E3000" s="33">
        <f>IF(Demand!F2998,1,0)</f>
        <v>0</v>
      </c>
      <c r="F3000" s="33">
        <f>COUNTIFS(c_store,A3000,c_date,B3000,c_hour,C3000)</f>
        <v>0</v>
      </c>
      <c r="G3000" s="33">
        <f>IF(F3000&gt;0,1,0)</f>
        <v>0</v>
      </c>
      <c r="H3000" s="33">
        <f>COUNTIFS(Demand!$A$2:$A$4481,A3000,Demand!$B$2:$B$4481,B3000,Demand!$C$2:$C$4481,C3000)</f>
        <v>1</v>
      </c>
    </row>
    <row r="3001">
      <c r="A3001" s="32" t="str">
        <f>Demand!A2999</f>
        <v>S008</v>
      </c>
      <c r="B3001" s="35">
        <f>Demand!B2999</f>
        <v>46275.0</v>
      </c>
      <c r="C3001" s="33">
        <f>Demand!C2999</f>
        <v>13</v>
      </c>
      <c r="D3001" s="33">
        <f>Demand!E2999</f>
        <v>18</v>
      </c>
      <c r="E3001" s="33">
        <f>IF(Demand!F2999,1,0)</f>
        <v>0</v>
      </c>
      <c r="F3001" s="33">
        <f>COUNTIFS(c_store,A3001,c_date,B3001,c_hour,C3001)</f>
        <v>0</v>
      </c>
      <c r="G3001" s="33">
        <f>IF(F3001&gt;0,1,0)</f>
        <v>0</v>
      </c>
      <c r="H3001" s="33">
        <f>COUNTIFS(Demand!$A$2:$A$4481,A3001,Demand!$B$2:$B$4481,B3001,Demand!$C$2:$C$4481,C3001)</f>
        <v>1</v>
      </c>
    </row>
    <row r="3002">
      <c r="A3002" s="32" t="str">
        <f>Demand!A3000</f>
        <v>S008</v>
      </c>
      <c r="B3002" s="35">
        <f>Demand!B3000</f>
        <v>46275.0</v>
      </c>
      <c r="C3002" s="33">
        <f>Demand!C3000</f>
        <v>14</v>
      </c>
      <c r="D3002" s="33">
        <f>Demand!E3000</f>
        <v>16</v>
      </c>
      <c r="E3002" s="33">
        <f>IF(Demand!F3000,1,0)</f>
        <v>0</v>
      </c>
      <c r="F3002" s="33">
        <f>COUNTIFS(c_store,A3002,c_date,B3002,c_hour,C3002)</f>
        <v>0</v>
      </c>
      <c r="G3002" s="33">
        <f>IF(F3002&gt;0,1,0)</f>
        <v>0</v>
      </c>
      <c r="H3002" s="33">
        <f>COUNTIFS(Demand!$A$2:$A$4481,A3002,Demand!$B$2:$B$4481,B3002,Demand!$C$2:$C$4481,C3002)</f>
        <v>1</v>
      </c>
    </row>
    <row r="3003">
      <c r="A3003" s="32" t="str">
        <f>Demand!A3001</f>
        <v>S008</v>
      </c>
      <c r="B3003" s="35">
        <f>Demand!B3001</f>
        <v>46275.0</v>
      </c>
      <c r="C3003" s="33">
        <f>Demand!C3001</f>
        <v>15</v>
      </c>
      <c r="D3003" s="33">
        <f>Demand!E3001</f>
        <v>17</v>
      </c>
      <c r="E3003" s="33">
        <f>IF(Demand!F3001,1,0)</f>
        <v>0</v>
      </c>
      <c r="F3003" s="33">
        <f>COUNTIFS(c_store,A3003,c_date,B3003,c_hour,C3003)</f>
        <v>0</v>
      </c>
      <c r="G3003" s="33">
        <f>IF(F3003&gt;0,1,0)</f>
        <v>0</v>
      </c>
      <c r="H3003" s="33">
        <f>COUNTIFS(Demand!$A$2:$A$4481,A3003,Demand!$B$2:$B$4481,B3003,Demand!$C$2:$C$4481,C3003)</f>
        <v>1</v>
      </c>
    </row>
    <row r="3004">
      <c r="A3004" s="32" t="str">
        <f>Demand!A3002</f>
        <v>S008</v>
      </c>
      <c r="B3004" s="35">
        <f>Demand!B3002</f>
        <v>46275.0</v>
      </c>
      <c r="C3004" s="33">
        <f>Demand!C3002</f>
        <v>16</v>
      </c>
      <c r="D3004" s="33">
        <f>Demand!E3002</f>
        <v>18</v>
      </c>
      <c r="E3004" s="33">
        <f>IF(Demand!F3002,1,0)</f>
        <v>0</v>
      </c>
      <c r="F3004" s="33">
        <f>COUNTIFS(c_store,A3004,c_date,B3004,c_hour,C3004)</f>
        <v>2</v>
      </c>
      <c r="G3004" s="33">
        <f>IF(F3004&gt;0,1,0)</f>
        <v>1</v>
      </c>
      <c r="H3004" s="33">
        <f>COUNTIFS(Demand!$A$2:$A$4481,A3004,Demand!$B$2:$B$4481,B3004,Demand!$C$2:$C$4481,C3004)</f>
        <v>1</v>
      </c>
    </row>
    <row r="3005">
      <c r="A3005" s="32" t="str">
        <f>Demand!A3003</f>
        <v>S008</v>
      </c>
      <c r="B3005" s="35">
        <f>Demand!B3003</f>
        <v>46275.0</v>
      </c>
      <c r="C3005" s="33">
        <f>Demand!C3003</f>
        <v>17</v>
      </c>
      <c r="D3005" s="33">
        <f>Demand!E3003</f>
        <v>20</v>
      </c>
      <c r="E3005" s="33">
        <f>IF(Demand!F3003,1,0)</f>
        <v>0</v>
      </c>
      <c r="F3005" s="33">
        <f>COUNTIFS(c_store,A3005,c_date,B3005,c_hour,C3005)</f>
        <v>0</v>
      </c>
      <c r="G3005" s="33">
        <f>IF(F3005&gt;0,1,0)</f>
        <v>0</v>
      </c>
      <c r="H3005" s="33">
        <f>COUNTIFS(Demand!$A$2:$A$4481,A3005,Demand!$B$2:$B$4481,B3005,Demand!$C$2:$C$4481,C3005)</f>
        <v>1</v>
      </c>
    </row>
    <row r="3006">
      <c r="A3006" s="32" t="str">
        <f>Demand!A3004</f>
        <v>S008</v>
      </c>
      <c r="B3006" s="35">
        <f>Demand!B3004</f>
        <v>46275.0</v>
      </c>
      <c r="C3006" s="33">
        <f>Demand!C3004</f>
        <v>18</v>
      </c>
      <c r="D3006" s="33">
        <f>Demand!E3004</f>
        <v>27</v>
      </c>
      <c r="E3006" s="33">
        <f>IF(Demand!F3004,1,0)</f>
        <v>0</v>
      </c>
      <c r="F3006" s="33">
        <f>COUNTIFS(c_store,A3006,c_date,B3006,c_hour,C3006)</f>
        <v>0</v>
      </c>
      <c r="G3006" s="33">
        <f>IF(F3006&gt;0,1,0)</f>
        <v>0</v>
      </c>
      <c r="H3006" s="33">
        <f>COUNTIFS(Demand!$A$2:$A$4481,A3006,Demand!$B$2:$B$4481,B3006,Demand!$C$2:$C$4481,C3006)</f>
        <v>1</v>
      </c>
    </row>
    <row r="3007">
      <c r="A3007" s="32" t="str">
        <f>Demand!A3005</f>
        <v>S008</v>
      </c>
      <c r="B3007" s="35">
        <f>Demand!B3005</f>
        <v>46275.0</v>
      </c>
      <c r="C3007" s="33">
        <f>Demand!C3005</f>
        <v>19</v>
      </c>
      <c r="D3007" s="33">
        <f>Demand!E3005</f>
        <v>25</v>
      </c>
      <c r="E3007" s="33">
        <f>IF(Demand!F3005,1,0)</f>
        <v>1</v>
      </c>
      <c r="F3007" s="33">
        <f>COUNTIFS(c_store,A3007,c_date,B3007,c_hour,C3007)</f>
        <v>0</v>
      </c>
      <c r="G3007" s="33">
        <f>IF(F3007&gt;0,1,0)</f>
        <v>0</v>
      </c>
      <c r="H3007" s="33">
        <f>COUNTIFS(Demand!$A$2:$A$4481,A3007,Demand!$B$2:$B$4481,B3007,Demand!$C$2:$C$4481,C3007)</f>
        <v>1</v>
      </c>
    </row>
    <row r="3008">
      <c r="A3008" s="32" t="str">
        <f>Demand!A3006</f>
        <v>S008</v>
      </c>
      <c r="B3008" s="35">
        <f>Demand!B3006</f>
        <v>46275.0</v>
      </c>
      <c r="C3008" s="33">
        <f>Demand!C3006</f>
        <v>20</v>
      </c>
      <c r="D3008" s="33">
        <f>Demand!E3006</f>
        <v>37</v>
      </c>
      <c r="E3008" s="33">
        <f>IF(Demand!F3006,1,0)</f>
        <v>1</v>
      </c>
      <c r="F3008" s="33">
        <f>COUNTIFS(c_store,A3008,c_date,B3008,c_hour,C3008)</f>
        <v>0</v>
      </c>
      <c r="G3008" s="33">
        <f>IF(F3008&gt;0,1,0)</f>
        <v>0</v>
      </c>
      <c r="H3008" s="33">
        <f>COUNTIFS(Demand!$A$2:$A$4481,A3008,Demand!$B$2:$B$4481,B3008,Demand!$C$2:$C$4481,C3008)</f>
        <v>1</v>
      </c>
    </row>
    <row r="3009">
      <c r="A3009" s="32" t="str">
        <f>Demand!A3007</f>
        <v>S008</v>
      </c>
      <c r="B3009" s="35">
        <f>Demand!B3007</f>
        <v>46275.0</v>
      </c>
      <c r="C3009" s="33">
        <f>Demand!C3007</f>
        <v>21</v>
      </c>
      <c r="D3009" s="33">
        <f>Demand!E3007</f>
        <v>31</v>
      </c>
      <c r="E3009" s="33">
        <f>IF(Demand!F3007,1,0)</f>
        <v>1</v>
      </c>
      <c r="F3009" s="33">
        <f>COUNTIFS(c_store,A3009,c_date,B3009,c_hour,C3009)</f>
        <v>0</v>
      </c>
      <c r="G3009" s="33">
        <f>IF(F3009&gt;0,1,0)</f>
        <v>0</v>
      </c>
      <c r="H3009" s="33">
        <f>COUNTIFS(Demand!$A$2:$A$4481,A3009,Demand!$B$2:$B$4481,B3009,Demand!$C$2:$C$4481,C3009)</f>
        <v>1</v>
      </c>
    </row>
    <row r="3010">
      <c r="A3010" s="32" t="str">
        <f>Demand!A3008</f>
        <v>S008</v>
      </c>
      <c r="B3010" s="35">
        <f>Demand!B3008</f>
        <v>46275.0</v>
      </c>
      <c r="C3010" s="33">
        <f>Demand!C3008</f>
        <v>22</v>
      </c>
      <c r="D3010" s="33">
        <f>Demand!E3008</f>
        <v>11</v>
      </c>
      <c r="E3010" s="33">
        <f>IF(Demand!F3008,1,0)</f>
        <v>0</v>
      </c>
      <c r="F3010" s="33">
        <f>COUNTIFS(c_store,A3010,c_date,B3010,c_hour,C3010)</f>
        <v>1</v>
      </c>
      <c r="G3010" s="33">
        <f>IF(F3010&gt;0,1,0)</f>
        <v>1</v>
      </c>
      <c r="H3010" s="33">
        <f>COUNTIFS(Demand!$A$2:$A$4481,A3010,Demand!$B$2:$B$4481,B3010,Demand!$C$2:$C$4481,C3010)</f>
        <v>1</v>
      </c>
    </row>
    <row r="3011">
      <c r="A3011" s="32" t="str">
        <f>Demand!A3009</f>
        <v>S008</v>
      </c>
      <c r="B3011" s="35">
        <f>Demand!B3009</f>
        <v>46275.0</v>
      </c>
      <c r="C3011" s="33">
        <f>Demand!C3009</f>
        <v>23</v>
      </c>
      <c r="D3011" s="33">
        <f>Demand!E3009</f>
        <v>23</v>
      </c>
      <c r="E3011" s="33">
        <f>IF(Demand!F3009,1,0)</f>
        <v>0</v>
      </c>
      <c r="F3011" s="33">
        <f>COUNTIFS(c_store,A3011,c_date,B3011,c_hour,C3011)</f>
        <v>0</v>
      </c>
      <c r="G3011" s="33">
        <f>IF(F3011&gt;0,1,0)</f>
        <v>0</v>
      </c>
      <c r="H3011" s="33">
        <f>COUNTIFS(Demand!$A$2:$A$4481,A3011,Demand!$B$2:$B$4481,B3011,Demand!$C$2:$C$4481,C3011)</f>
        <v>1</v>
      </c>
    </row>
    <row r="3012">
      <c r="A3012" s="32" t="str">
        <f>Demand!A3010</f>
        <v>S009</v>
      </c>
      <c r="B3012" s="35">
        <f>Demand!B3010</f>
        <v>46275.0</v>
      </c>
      <c r="C3012" s="33">
        <f>Demand!C3010</f>
        <v>8</v>
      </c>
      <c r="D3012" s="33">
        <f>Demand!E3010</f>
        <v>15</v>
      </c>
      <c r="E3012" s="33">
        <f>IF(Demand!F3010,1,0)</f>
        <v>0</v>
      </c>
      <c r="F3012" s="33">
        <f>COUNTIFS(c_store,A3012,c_date,B3012,c_hour,C3012)</f>
        <v>0</v>
      </c>
      <c r="G3012" s="33">
        <f>IF(F3012&gt;0,1,0)</f>
        <v>0</v>
      </c>
      <c r="H3012" s="33">
        <f>COUNTIFS(Demand!$A$2:$A$4481,A3012,Demand!$B$2:$B$4481,B3012,Demand!$C$2:$C$4481,C3012)</f>
        <v>1</v>
      </c>
    </row>
    <row r="3013">
      <c r="A3013" s="32" t="str">
        <f>Demand!A3011</f>
        <v>S009</v>
      </c>
      <c r="B3013" s="35">
        <f>Demand!B3011</f>
        <v>46275.0</v>
      </c>
      <c r="C3013" s="33">
        <f>Demand!C3011</f>
        <v>9</v>
      </c>
      <c r="D3013" s="33">
        <f>Demand!E3011</f>
        <v>15</v>
      </c>
      <c r="E3013" s="33">
        <f>IF(Demand!F3011,1,0)</f>
        <v>0</v>
      </c>
      <c r="F3013" s="33">
        <f>COUNTIFS(c_store,A3013,c_date,B3013,c_hour,C3013)</f>
        <v>1</v>
      </c>
      <c r="G3013" s="33">
        <f>IF(F3013&gt;0,1,0)</f>
        <v>1</v>
      </c>
      <c r="H3013" s="33">
        <f>COUNTIFS(Demand!$A$2:$A$4481,A3013,Demand!$B$2:$B$4481,B3013,Demand!$C$2:$C$4481,C3013)</f>
        <v>1</v>
      </c>
    </row>
    <row r="3014">
      <c r="A3014" s="32" t="str">
        <f>Demand!A3012</f>
        <v>S009</v>
      </c>
      <c r="B3014" s="35">
        <f>Demand!B3012</f>
        <v>46275.0</v>
      </c>
      <c r="C3014" s="33">
        <f>Demand!C3012</f>
        <v>10</v>
      </c>
      <c r="D3014" s="33">
        <f>Demand!E3012</f>
        <v>16</v>
      </c>
      <c r="E3014" s="33">
        <f>IF(Demand!F3012,1,0)</f>
        <v>0</v>
      </c>
      <c r="F3014" s="33">
        <f>COUNTIFS(c_store,A3014,c_date,B3014,c_hour,C3014)</f>
        <v>0</v>
      </c>
      <c r="G3014" s="33">
        <f>IF(F3014&gt;0,1,0)</f>
        <v>0</v>
      </c>
      <c r="H3014" s="33">
        <f>COUNTIFS(Demand!$A$2:$A$4481,A3014,Demand!$B$2:$B$4481,B3014,Demand!$C$2:$C$4481,C3014)</f>
        <v>1</v>
      </c>
    </row>
    <row r="3015">
      <c r="A3015" s="32" t="str">
        <f>Demand!A3013</f>
        <v>S009</v>
      </c>
      <c r="B3015" s="35">
        <f>Demand!B3013</f>
        <v>46275.0</v>
      </c>
      <c r="C3015" s="33">
        <f>Demand!C3013</f>
        <v>11</v>
      </c>
      <c r="D3015" s="33">
        <f>Demand!E3013</f>
        <v>29</v>
      </c>
      <c r="E3015" s="33">
        <f>IF(Demand!F3013,1,0)</f>
        <v>0</v>
      </c>
      <c r="F3015" s="33">
        <f>COUNTIFS(c_store,A3015,c_date,B3015,c_hour,C3015)</f>
        <v>0</v>
      </c>
      <c r="G3015" s="33">
        <f>IF(F3015&gt;0,1,0)</f>
        <v>0</v>
      </c>
      <c r="H3015" s="33">
        <f>COUNTIFS(Demand!$A$2:$A$4481,A3015,Demand!$B$2:$B$4481,B3015,Demand!$C$2:$C$4481,C3015)</f>
        <v>1</v>
      </c>
    </row>
    <row r="3016">
      <c r="A3016" s="32" t="str">
        <f>Demand!A3014</f>
        <v>S009</v>
      </c>
      <c r="B3016" s="35">
        <f>Demand!B3014</f>
        <v>46275.0</v>
      </c>
      <c r="C3016" s="33">
        <f>Demand!C3014</f>
        <v>12</v>
      </c>
      <c r="D3016" s="33">
        <f>Demand!E3014</f>
        <v>22</v>
      </c>
      <c r="E3016" s="33">
        <f>IF(Demand!F3014,1,0)</f>
        <v>0</v>
      </c>
      <c r="F3016" s="33">
        <f>COUNTIFS(c_store,A3016,c_date,B3016,c_hour,C3016)</f>
        <v>0</v>
      </c>
      <c r="G3016" s="33">
        <f>IF(F3016&gt;0,1,0)</f>
        <v>0</v>
      </c>
      <c r="H3016" s="33">
        <f>COUNTIFS(Demand!$A$2:$A$4481,A3016,Demand!$B$2:$B$4481,B3016,Demand!$C$2:$C$4481,C3016)</f>
        <v>1</v>
      </c>
    </row>
    <row r="3017">
      <c r="A3017" s="32" t="str">
        <f>Demand!A3015</f>
        <v>S009</v>
      </c>
      <c r="B3017" s="35">
        <f>Demand!B3015</f>
        <v>46275.0</v>
      </c>
      <c r="C3017" s="33">
        <f>Demand!C3015</f>
        <v>13</v>
      </c>
      <c r="D3017" s="33">
        <f>Demand!E3015</f>
        <v>29</v>
      </c>
      <c r="E3017" s="33">
        <f>IF(Demand!F3015,1,0)</f>
        <v>0</v>
      </c>
      <c r="F3017" s="33">
        <f>COUNTIFS(c_store,A3017,c_date,B3017,c_hour,C3017)</f>
        <v>0</v>
      </c>
      <c r="G3017" s="33">
        <f>IF(F3017&gt;0,1,0)</f>
        <v>0</v>
      </c>
      <c r="H3017" s="33">
        <f>COUNTIFS(Demand!$A$2:$A$4481,A3017,Demand!$B$2:$B$4481,B3017,Demand!$C$2:$C$4481,C3017)</f>
        <v>1</v>
      </c>
    </row>
    <row r="3018">
      <c r="A3018" s="32" t="str">
        <f>Demand!A3016</f>
        <v>S009</v>
      </c>
      <c r="B3018" s="35">
        <f>Demand!B3016</f>
        <v>46275.0</v>
      </c>
      <c r="C3018" s="33">
        <f>Demand!C3016</f>
        <v>14</v>
      </c>
      <c r="D3018" s="33">
        <f>Demand!E3016</f>
        <v>23</v>
      </c>
      <c r="E3018" s="33">
        <f>IF(Demand!F3016,1,0)</f>
        <v>0</v>
      </c>
      <c r="F3018" s="33">
        <f>COUNTIFS(c_store,A3018,c_date,B3018,c_hour,C3018)</f>
        <v>1</v>
      </c>
      <c r="G3018" s="33">
        <f>IF(F3018&gt;0,1,0)</f>
        <v>1</v>
      </c>
      <c r="H3018" s="33">
        <f>COUNTIFS(Demand!$A$2:$A$4481,A3018,Demand!$B$2:$B$4481,B3018,Demand!$C$2:$C$4481,C3018)</f>
        <v>1</v>
      </c>
    </row>
    <row r="3019">
      <c r="A3019" s="32" t="str">
        <f>Demand!A3017</f>
        <v>S009</v>
      </c>
      <c r="B3019" s="35">
        <f>Demand!B3017</f>
        <v>46275.0</v>
      </c>
      <c r="C3019" s="33">
        <f>Demand!C3017</f>
        <v>15</v>
      </c>
      <c r="D3019" s="33">
        <f>Demand!E3017</f>
        <v>22</v>
      </c>
      <c r="E3019" s="33">
        <f>IF(Demand!F3017,1,0)</f>
        <v>0</v>
      </c>
      <c r="F3019" s="33">
        <f>COUNTIFS(c_store,A3019,c_date,B3019,c_hour,C3019)</f>
        <v>0</v>
      </c>
      <c r="G3019" s="33">
        <f>IF(F3019&gt;0,1,0)</f>
        <v>0</v>
      </c>
      <c r="H3019" s="33">
        <f>COUNTIFS(Demand!$A$2:$A$4481,A3019,Demand!$B$2:$B$4481,B3019,Demand!$C$2:$C$4481,C3019)</f>
        <v>1</v>
      </c>
    </row>
    <row r="3020">
      <c r="A3020" s="32" t="str">
        <f>Demand!A3018</f>
        <v>S009</v>
      </c>
      <c r="B3020" s="35">
        <f>Demand!B3018</f>
        <v>46275.0</v>
      </c>
      <c r="C3020" s="33">
        <f>Demand!C3018</f>
        <v>16</v>
      </c>
      <c r="D3020" s="33">
        <f>Demand!E3018</f>
        <v>29</v>
      </c>
      <c r="E3020" s="33">
        <f>IF(Demand!F3018,1,0)</f>
        <v>0</v>
      </c>
      <c r="F3020" s="33">
        <f>COUNTIFS(c_store,A3020,c_date,B3020,c_hour,C3020)</f>
        <v>0</v>
      </c>
      <c r="G3020" s="33">
        <f>IF(F3020&gt;0,1,0)</f>
        <v>0</v>
      </c>
      <c r="H3020" s="33">
        <f>COUNTIFS(Demand!$A$2:$A$4481,A3020,Demand!$B$2:$B$4481,B3020,Demand!$C$2:$C$4481,C3020)</f>
        <v>1</v>
      </c>
    </row>
    <row r="3021">
      <c r="A3021" s="32" t="str">
        <f>Demand!A3019</f>
        <v>S009</v>
      </c>
      <c r="B3021" s="35">
        <f>Demand!B3019</f>
        <v>46275.0</v>
      </c>
      <c r="C3021" s="33">
        <f>Demand!C3019</f>
        <v>17</v>
      </c>
      <c r="D3021" s="33">
        <f>Demand!E3019</f>
        <v>31</v>
      </c>
      <c r="E3021" s="33">
        <f>IF(Demand!F3019,1,0)</f>
        <v>0</v>
      </c>
      <c r="F3021" s="33">
        <f>COUNTIFS(c_store,A3021,c_date,B3021,c_hour,C3021)</f>
        <v>0</v>
      </c>
      <c r="G3021" s="33">
        <f>IF(F3021&gt;0,1,0)</f>
        <v>0</v>
      </c>
      <c r="H3021" s="33">
        <f>COUNTIFS(Demand!$A$2:$A$4481,A3021,Demand!$B$2:$B$4481,B3021,Demand!$C$2:$C$4481,C3021)</f>
        <v>1</v>
      </c>
    </row>
    <row r="3022">
      <c r="A3022" s="32" t="str">
        <f>Demand!A3020</f>
        <v>S009</v>
      </c>
      <c r="B3022" s="35">
        <f>Demand!B3020</f>
        <v>46275.0</v>
      </c>
      <c r="C3022" s="33">
        <f>Demand!C3020</f>
        <v>18</v>
      </c>
      <c r="D3022" s="33">
        <f>Demand!E3020</f>
        <v>32</v>
      </c>
      <c r="E3022" s="33">
        <f>IF(Demand!F3020,1,0)</f>
        <v>0</v>
      </c>
      <c r="F3022" s="33">
        <f>COUNTIFS(c_store,A3022,c_date,B3022,c_hour,C3022)</f>
        <v>2</v>
      </c>
      <c r="G3022" s="33">
        <f>IF(F3022&gt;0,1,0)</f>
        <v>1</v>
      </c>
      <c r="H3022" s="33">
        <f>COUNTIFS(Demand!$A$2:$A$4481,A3022,Demand!$B$2:$B$4481,B3022,Demand!$C$2:$C$4481,C3022)</f>
        <v>1</v>
      </c>
    </row>
    <row r="3023">
      <c r="A3023" s="32" t="str">
        <f>Demand!A3021</f>
        <v>S009</v>
      </c>
      <c r="B3023" s="35">
        <f>Demand!B3021</f>
        <v>46275.0</v>
      </c>
      <c r="C3023" s="33">
        <f>Demand!C3021</f>
        <v>19</v>
      </c>
      <c r="D3023" s="33">
        <f>Demand!E3021</f>
        <v>49</v>
      </c>
      <c r="E3023" s="33">
        <f>IF(Demand!F3021,1,0)</f>
        <v>1</v>
      </c>
      <c r="F3023" s="33">
        <f>COUNTIFS(c_store,A3023,c_date,B3023,c_hour,C3023)</f>
        <v>0</v>
      </c>
      <c r="G3023" s="33">
        <f>IF(F3023&gt;0,1,0)</f>
        <v>0</v>
      </c>
      <c r="H3023" s="33">
        <f>COUNTIFS(Demand!$A$2:$A$4481,A3023,Demand!$B$2:$B$4481,B3023,Demand!$C$2:$C$4481,C3023)</f>
        <v>1</v>
      </c>
    </row>
    <row r="3024">
      <c r="A3024" s="32" t="str">
        <f>Demand!A3022</f>
        <v>S009</v>
      </c>
      <c r="B3024" s="35">
        <f>Demand!B3022</f>
        <v>46275.0</v>
      </c>
      <c r="C3024" s="33">
        <f>Demand!C3022</f>
        <v>20</v>
      </c>
      <c r="D3024" s="33">
        <f>Demand!E3022</f>
        <v>47</v>
      </c>
      <c r="E3024" s="33">
        <f>IF(Demand!F3022,1,0)</f>
        <v>1</v>
      </c>
      <c r="F3024" s="33">
        <f>COUNTIFS(c_store,A3024,c_date,B3024,c_hour,C3024)</f>
        <v>0</v>
      </c>
      <c r="G3024" s="33">
        <f>IF(F3024&gt;0,1,0)</f>
        <v>0</v>
      </c>
      <c r="H3024" s="33">
        <f>COUNTIFS(Demand!$A$2:$A$4481,A3024,Demand!$B$2:$B$4481,B3024,Demand!$C$2:$C$4481,C3024)</f>
        <v>1</v>
      </c>
    </row>
    <row r="3025">
      <c r="A3025" s="32" t="str">
        <f>Demand!A3023</f>
        <v>S009</v>
      </c>
      <c r="B3025" s="35">
        <f>Demand!B3023</f>
        <v>46275.0</v>
      </c>
      <c r="C3025" s="33">
        <f>Demand!C3023</f>
        <v>21</v>
      </c>
      <c r="D3025" s="33">
        <f>Demand!E3023</f>
        <v>43</v>
      </c>
      <c r="E3025" s="33">
        <f>IF(Demand!F3023,1,0)</f>
        <v>1</v>
      </c>
      <c r="F3025" s="33">
        <f>COUNTIFS(c_store,A3025,c_date,B3025,c_hour,C3025)</f>
        <v>0</v>
      </c>
      <c r="G3025" s="33">
        <f>IF(F3025&gt;0,1,0)</f>
        <v>0</v>
      </c>
      <c r="H3025" s="33">
        <f>COUNTIFS(Demand!$A$2:$A$4481,A3025,Demand!$B$2:$B$4481,B3025,Demand!$C$2:$C$4481,C3025)</f>
        <v>1</v>
      </c>
    </row>
    <row r="3026">
      <c r="A3026" s="32" t="str">
        <f>Demand!A3024</f>
        <v>S009</v>
      </c>
      <c r="B3026" s="35">
        <f>Demand!B3024</f>
        <v>46275.0</v>
      </c>
      <c r="C3026" s="33">
        <f>Demand!C3024</f>
        <v>22</v>
      </c>
      <c r="D3026" s="33">
        <f>Demand!E3024</f>
        <v>33</v>
      </c>
      <c r="E3026" s="33">
        <f>IF(Demand!F3024,1,0)</f>
        <v>0</v>
      </c>
      <c r="F3026" s="33">
        <f>COUNTIFS(c_store,A3026,c_date,B3026,c_hour,C3026)</f>
        <v>0</v>
      </c>
      <c r="G3026" s="33">
        <f>IF(F3026&gt;0,1,0)</f>
        <v>0</v>
      </c>
      <c r="H3026" s="33">
        <f>COUNTIFS(Demand!$A$2:$A$4481,A3026,Demand!$B$2:$B$4481,B3026,Demand!$C$2:$C$4481,C3026)</f>
        <v>1</v>
      </c>
    </row>
    <row r="3027">
      <c r="A3027" s="32" t="str">
        <f>Demand!A3025</f>
        <v>S009</v>
      </c>
      <c r="B3027" s="35">
        <f>Demand!B3025</f>
        <v>46275.0</v>
      </c>
      <c r="C3027" s="33">
        <f>Demand!C3025</f>
        <v>23</v>
      </c>
      <c r="D3027" s="33">
        <f>Demand!E3025</f>
        <v>36</v>
      </c>
      <c r="E3027" s="33">
        <f>IF(Demand!F3025,1,0)</f>
        <v>0</v>
      </c>
      <c r="F3027" s="33">
        <f>COUNTIFS(c_store,A3027,c_date,B3027,c_hour,C3027)</f>
        <v>0</v>
      </c>
      <c r="G3027" s="33">
        <f>IF(F3027&gt;0,1,0)</f>
        <v>0</v>
      </c>
      <c r="H3027" s="33">
        <f>COUNTIFS(Demand!$A$2:$A$4481,A3027,Demand!$B$2:$B$4481,B3027,Demand!$C$2:$C$4481,C3027)</f>
        <v>1</v>
      </c>
    </row>
    <row r="3028">
      <c r="A3028" s="32" t="str">
        <f>Demand!A3026</f>
        <v>S010</v>
      </c>
      <c r="B3028" s="35">
        <f>Demand!B3026</f>
        <v>46275.0</v>
      </c>
      <c r="C3028" s="33">
        <f>Demand!C3026</f>
        <v>8</v>
      </c>
      <c r="D3028" s="33">
        <f>Demand!E3026</f>
        <v>16</v>
      </c>
      <c r="E3028" s="33">
        <f>IF(Demand!F3026,1,0)</f>
        <v>0</v>
      </c>
      <c r="F3028" s="33">
        <f>COUNTIFS(c_store,A3028,c_date,B3028,c_hour,C3028)</f>
        <v>0</v>
      </c>
      <c r="G3028" s="33">
        <f>IF(F3028&gt;0,1,0)</f>
        <v>0</v>
      </c>
      <c r="H3028" s="33">
        <f>COUNTIFS(Demand!$A$2:$A$4481,A3028,Demand!$B$2:$B$4481,B3028,Demand!$C$2:$C$4481,C3028)</f>
        <v>1</v>
      </c>
    </row>
    <row r="3029">
      <c r="A3029" s="32" t="str">
        <f>Demand!A3027</f>
        <v>S010</v>
      </c>
      <c r="B3029" s="35">
        <f>Demand!B3027</f>
        <v>46275.0</v>
      </c>
      <c r="C3029" s="33">
        <f>Demand!C3027</f>
        <v>9</v>
      </c>
      <c r="D3029" s="33">
        <f>Demand!E3027</f>
        <v>10</v>
      </c>
      <c r="E3029" s="33">
        <f>IF(Demand!F3027,1,0)</f>
        <v>0</v>
      </c>
      <c r="F3029" s="33">
        <f>COUNTIFS(c_store,A3029,c_date,B3029,c_hour,C3029)</f>
        <v>0</v>
      </c>
      <c r="G3029" s="33">
        <f>IF(F3029&gt;0,1,0)</f>
        <v>0</v>
      </c>
      <c r="H3029" s="33">
        <f>COUNTIFS(Demand!$A$2:$A$4481,A3029,Demand!$B$2:$B$4481,B3029,Demand!$C$2:$C$4481,C3029)</f>
        <v>1</v>
      </c>
    </row>
    <row r="3030">
      <c r="A3030" s="32" t="str">
        <f>Demand!A3028</f>
        <v>S010</v>
      </c>
      <c r="B3030" s="35">
        <f>Demand!B3028</f>
        <v>46275.0</v>
      </c>
      <c r="C3030" s="33">
        <f>Demand!C3028</f>
        <v>10</v>
      </c>
      <c r="D3030" s="33">
        <f>Demand!E3028</f>
        <v>12</v>
      </c>
      <c r="E3030" s="33">
        <f>IF(Demand!F3028,1,0)</f>
        <v>0</v>
      </c>
      <c r="F3030" s="33">
        <f>COUNTIFS(c_store,A3030,c_date,B3030,c_hour,C3030)</f>
        <v>0</v>
      </c>
      <c r="G3030" s="33">
        <f>IF(F3030&gt;0,1,0)</f>
        <v>0</v>
      </c>
      <c r="H3030" s="33">
        <f>COUNTIFS(Demand!$A$2:$A$4481,A3030,Demand!$B$2:$B$4481,B3030,Demand!$C$2:$C$4481,C3030)</f>
        <v>1</v>
      </c>
    </row>
    <row r="3031">
      <c r="A3031" s="32" t="str">
        <f>Demand!A3029</f>
        <v>S010</v>
      </c>
      <c r="B3031" s="35">
        <f>Demand!B3029</f>
        <v>46275.0</v>
      </c>
      <c r="C3031" s="33">
        <f>Demand!C3029</f>
        <v>11</v>
      </c>
      <c r="D3031" s="33">
        <f>Demand!E3029</f>
        <v>17</v>
      </c>
      <c r="E3031" s="33">
        <f>IF(Demand!F3029,1,0)</f>
        <v>0</v>
      </c>
      <c r="F3031" s="33">
        <f>COUNTIFS(c_store,A3031,c_date,B3031,c_hour,C3031)</f>
        <v>0</v>
      </c>
      <c r="G3031" s="33">
        <f>IF(F3031&gt;0,1,0)</f>
        <v>0</v>
      </c>
      <c r="H3031" s="33">
        <f>COUNTIFS(Demand!$A$2:$A$4481,A3031,Demand!$B$2:$B$4481,B3031,Demand!$C$2:$C$4481,C3031)</f>
        <v>1</v>
      </c>
    </row>
    <row r="3032">
      <c r="A3032" s="32" t="str">
        <f>Demand!A3030</f>
        <v>S010</v>
      </c>
      <c r="B3032" s="35">
        <f>Demand!B3030</f>
        <v>46275.0</v>
      </c>
      <c r="C3032" s="33">
        <f>Demand!C3030</f>
        <v>12</v>
      </c>
      <c r="D3032" s="33">
        <f>Demand!E3030</f>
        <v>25</v>
      </c>
      <c r="E3032" s="33">
        <f>IF(Demand!F3030,1,0)</f>
        <v>0</v>
      </c>
      <c r="F3032" s="33">
        <f>COUNTIFS(c_store,A3032,c_date,B3032,c_hour,C3032)</f>
        <v>0</v>
      </c>
      <c r="G3032" s="33">
        <f>IF(F3032&gt;0,1,0)</f>
        <v>0</v>
      </c>
      <c r="H3032" s="33">
        <f>COUNTIFS(Demand!$A$2:$A$4481,A3032,Demand!$B$2:$B$4481,B3032,Demand!$C$2:$C$4481,C3032)</f>
        <v>1</v>
      </c>
    </row>
    <row r="3033">
      <c r="A3033" s="32" t="str">
        <f>Demand!A3031</f>
        <v>S010</v>
      </c>
      <c r="B3033" s="35">
        <f>Demand!B3031</f>
        <v>46275.0</v>
      </c>
      <c r="C3033" s="33">
        <f>Demand!C3031</f>
        <v>13</v>
      </c>
      <c r="D3033" s="33">
        <f>Demand!E3031</f>
        <v>22</v>
      </c>
      <c r="E3033" s="33">
        <f>IF(Demand!F3031,1,0)</f>
        <v>0</v>
      </c>
      <c r="F3033" s="33">
        <f>COUNTIFS(c_store,A3033,c_date,B3033,c_hour,C3033)</f>
        <v>0</v>
      </c>
      <c r="G3033" s="33">
        <f>IF(F3033&gt;0,1,0)</f>
        <v>0</v>
      </c>
      <c r="H3033" s="33">
        <f>COUNTIFS(Demand!$A$2:$A$4481,A3033,Demand!$B$2:$B$4481,B3033,Demand!$C$2:$C$4481,C3033)</f>
        <v>1</v>
      </c>
    </row>
    <row r="3034">
      <c r="A3034" s="32" t="str">
        <f>Demand!A3032</f>
        <v>S010</v>
      </c>
      <c r="B3034" s="35">
        <f>Demand!B3032</f>
        <v>46275.0</v>
      </c>
      <c r="C3034" s="33">
        <f>Demand!C3032</f>
        <v>14</v>
      </c>
      <c r="D3034" s="33">
        <f>Demand!E3032</f>
        <v>15</v>
      </c>
      <c r="E3034" s="33">
        <f>IF(Demand!F3032,1,0)</f>
        <v>0</v>
      </c>
      <c r="F3034" s="33">
        <f>COUNTIFS(c_store,A3034,c_date,B3034,c_hour,C3034)</f>
        <v>0</v>
      </c>
      <c r="G3034" s="33">
        <f>IF(F3034&gt;0,1,0)</f>
        <v>0</v>
      </c>
      <c r="H3034" s="33">
        <f>COUNTIFS(Demand!$A$2:$A$4481,A3034,Demand!$B$2:$B$4481,B3034,Demand!$C$2:$C$4481,C3034)</f>
        <v>1</v>
      </c>
    </row>
    <row r="3035">
      <c r="A3035" s="32" t="str">
        <f>Demand!A3033</f>
        <v>S010</v>
      </c>
      <c r="B3035" s="35">
        <f>Demand!B3033</f>
        <v>46275.0</v>
      </c>
      <c r="C3035" s="33">
        <f>Demand!C3033</f>
        <v>15</v>
      </c>
      <c r="D3035" s="33">
        <f>Demand!E3033</f>
        <v>16</v>
      </c>
      <c r="E3035" s="33">
        <f>IF(Demand!F3033,1,0)</f>
        <v>0</v>
      </c>
      <c r="F3035" s="33">
        <f>COUNTIFS(c_store,A3035,c_date,B3035,c_hour,C3035)</f>
        <v>1</v>
      </c>
      <c r="G3035" s="33">
        <f>IF(F3035&gt;0,1,0)</f>
        <v>1</v>
      </c>
      <c r="H3035" s="33">
        <f>COUNTIFS(Demand!$A$2:$A$4481,A3035,Demand!$B$2:$B$4481,B3035,Demand!$C$2:$C$4481,C3035)</f>
        <v>1</v>
      </c>
    </row>
    <row r="3036">
      <c r="A3036" s="32" t="str">
        <f>Demand!A3034</f>
        <v>S010</v>
      </c>
      <c r="B3036" s="35">
        <f>Demand!B3034</f>
        <v>46275.0</v>
      </c>
      <c r="C3036" s="33">
        <f>Demand!C3034</f>
        <v>16</v>
      </c>
      <c r="D3036" s="33">
        <f>Demand!E3034</f>
        <v>18</v>
      </c>
      <c r="E3036" s="33">
        <f>IF(Demand!F3034,1,0)</f>
        <v>0</v>
      </c>
      <c r="F3036" s="33">
        <f>COUNTIFS(c_store,A3036,c_date,B3036,c_hour,C3036)</f>
        <v>0</v>
      </c>
      <c r="G3036" s="33">
        <f>IF(F3036&gt;0,1,0)</f>
        <v>0</v>
      </c>
      <c r="H3036" s="33">
        <f>COUNTIFS(Demand!$A$2:$A$4481,A3036,Demand!$B$2:$B$4481,B3036,Demand!$C$2:$C$4481,C3036)</f>
        <v>1</v>
      </c>
    </row>
    <row r="3037">
      <c r="A3037" s="32" t="str">
        <f>Demand!A3035</f>
        <v>S010</v>
      </c>
      <c r="B3037" s="35">
        <f>Demand!B3035</f>
        <v>46275.0</v>
      </c>
      <c r="C3037" s="33">
        <f>Demand!C3035</f>
        <v>17</v>
      </c>
      <c r="D3037" s="33">
        <f>Demand!E3035</f>
        <v>17</v>
      </c>
      <c r="E3037" s="33">
        <f>IF(Demand!F3035,1,0)</f>
        <v>0</v>
      </c>
      <c r="F3037" s="33">
        <f>COUNTIFS(c_store,A3037,c_date,B3037,c_hour,C3037)</f>
        <v>0</v>
      </c>
      <c r="G3037" s="33">
        <f>IF(F3037&gt;0,1,0)</f>
        <v>0</v>
      </c>
      <c r="H3037" s="33">
        <f>COUNTIFS(Demand!$A$2:$A$4481,A3037,Demand!$B$2:$B$4481,B3037,Demand!$C$2:$C$4481,C3037)</f>
        <v>1</v>
      </c>
    </row>
    <row r="3038">
      <c r="A3038" s="32" t="str">
        <f>Demand!A3036</f>
        <v>S010</v>
      </c>
      <c r="B3038" s="35">
        <f>Demand!B3036</f>
        <v>46275.0</v>
      </c>
      <c r="C3038" s="33">
        <f>Demand!C3036</f>
        <v>18</v>
      </c>
      <c r="D3038" s="33">
        <f>Demand!E3036</f>
        <v>23</v>
      </c>
      <c r="E3038" s="33">
        <f>IF(Demand!F3036,1,0)</f>
        <v>0</v>
      </c>
      <c r="F3038" s="33">
        <f>COUNTIFS(c_store,A3038,c_date,B3038,c_hour,C3038)</f>
        <v>0</v>
      </c>
      <c r="G3038" s="33">
        <f>IF(F3038&gt;0,1,0)</f>
        <v>0</v>
      </c>
      <c r="H3038" s="33">
        <f>COUNTIFS(Demand!$A$2:$A$4481,A3038,Demand!$B$2:$B$4481,B3038,Demand!$C$2:$C$4481,C3038)</f>
        <v>1</v>
      </c>
    </row>
    <row r="3039">
      <c r="A3039" s="32" t="str">
        <f>Demand!A3037</f>
        <v>S010</v>
      </c>
      <c r="B3039" s="35">
        <f>Demand!B3037</f>
        <v>46275.0</v>
      </c>
      <c r="C3039" s="33">
        <f>Demand!C3037</f>
        <v>19</v>
      </c>
      <c r="D3039" s="33">
        <f>Demand!E3037</f>
        <v>34</v>
      </c>
      <c r="E3039" s="33">
        <f>IF(Demand!F3037,1,0)</f>
        <v>1</v>
      </c>
      <c r="F3039" s="33">
        <f>COUNTIFS(c_store,A3039,c_date,B3039,c_hour,C3039)</f>
        <v>0</v>
      </c>
      <c r="G3039" s="33">
        <f>IF(F3039&gt;0,1,0)</f>
        <v>0</v>
      </c>
      <c r="H3039" s="33">
        <f>COUNTIFS(Demand!$A$2:$A$4481,A3039,Demand!$B$2:$B$4481,B3039,Demand!$C$2:$C$4481,C3039)</f>
        <v>1</v>
      </c>
    </row>
    <row r="3040">
      <c r="A3040" s="32" t="str">
        <f>Demand!A3038</f>
        <v>S010</v>
      </c>
      <c r="B3040" s="35">
        <f>Demand!B3038</f>
        <v>46275.0</v>
      </c>
      <c r="C3040" s="33">
        <f>Demand!C3038</f>
        <v>20</v>
      </c>
      <c r="D3040" s="33">
        <f>Demand!E3038</f>
        <v>47</v>
      </c>
      <c r="E3040" s="33">
        <f>IF(Demand!F3038,1,0)</f>
        <v>1</v>
      </c>
      <c r="F3040" s="33">
        <f>COUNTIFS(c_store,A3040,c_date,B3040,c_hour,C3040)</f>
        <v>1</v>
      </c>
      <c r="G3040" s="33">
        <f>IF(F3040&gt;0,1,0)</f>
        <v>1</v>
      </c>
      <c r="H3040" s="33">
        <f>COUNTIFS(Demand!$A$2:$A$4481,A3040,Demand!$B$2:$B$4481,B3040,Demand!$C$2:$C$4481,C3040)</f>
        <v>1</v>
      </c>
    </row>
    <row r="3041">
      <c r="A3041" s="32" t="str">
        <f>Demand!A3039</f>
        <v>S010</v>
      </c>
      <c r="B3041" s="35">
        <f>Demand!B3039</f>
        <v>46275.0</v>
      </c>
      <c r="C3041" s="33">
        <f>Demand!C3039</f>
        <v>21</v>
      </c>
      <c r="D3041" s="33">
        <f>Demand!E3039</f>
        <v>30</v>
      </c>
      <c r="E3041" s="33">
        <f>IF(Demand!F3039,1,0)</f>
        <v>1</v>
      </c>
      <c r="F3041" s="33">
        <f>COUNTIFS(c_store,A3041,c_date,B3041,c_hour,C3041)</f>
        <v>0</v>
      </c>
      <c r="G3041" s="33">
        <f>IF(F3041&gt;0,1,0)</f>
        <v>0</v>
      </c>
      <c r="H3041" s="33">
        <f>COUNTIFS(Demand!$A$2:$A$4481,A3041,Demand!$B$2:$B$4481,B3041,Demand!$C$2:$C$4481,C3041)</f>
        <v>1</v>
      </c>
    </row>
    <row r="3042">
      <c r="A3042" s="32" t="str">
        <f>Demand!A3040</f>
        <v>S010</v>
      </c>
      <c r="B3042" s="35">
        <f>Demand!B3040</f>
        <v>46275.0</v>
      </c>
      <c r="C3042" s="33">
        <f>Demand!C3040</f>
        <v>22</v>
      </c>
      <c r="D3042" s="33">
        <f>Demand!E3040</f>
        <v>17</v>
      </c>
      <c r="E3042" s="33">
        <f>IF(Demand!F3040,1,0)</f>
        <v>0</v>
      </c>
      <c r="F3042" s="33">
        <f>COUNTIFS(c_store,A3042,c_date,B3042,c_hour,C3042)</f>
        <v>0</v>
      </c>
      <c r="G3042" s="33">
        <f>IF(F3042&gt;0,1,0)</f>
        <v>0</v>
      </c>
      <c r="H3042" s="33">
        <f>COUNTIFS(Demand!$A$2:$A$4481,A3042,Demand!$B$2:$B$4481,B3042,Demand!$C$2:$C$4481,C3042)</f>
        <v>1</v>
      </c>
    </row>
    <row r="3043">
      <c r="A3043" s="32" t="str">
        <f>Demand!A3041</f>
        <v>S010</v>
      </c>
      <c r="B3043" s="35">
        <f>Demand!B3041</f>
        <v>46275.0</v>
      </c>
      <c r="C3043" s="33">
        <f>Demand!C3041</f>
        <v>23</v>
      </c>
      <c r="D3043" s="33">
        <f>Demand!E3041</f>
        <v>24</v>
      </c>
      <c r="E3043" s="33">
        <f>IF(Demand!F3041,1,0)</f>
        <v>0</v>
      </c>
      <c r="F3043" s="33">
        <f>COUNTIFS(c_store,A3043,c_date,B3043,c_hour,C3043)</f>
        <v>0</v>
      </c>
      <c r="G3043" s="33">
        <f>IF(F3043&gt;0,1,0)</f>
        <v>0</v>
      </c>
      <c r="H3043" s="33">
        <f>COUNTIFS(Demand!$A$2:$A$4481,A3043,Demand!$B$2:$B$4481,B3043,Demand!$C$2:$C$4481,C3043)</f>
        <v>1</v>
      </c>
    </row>
    <row r="3044">
      <c r="A3044" s="32" t="str">
        <f>Demand!A3042</f>
        <v>S011</v>
      </c>
      <c r="B3044" s="35">
        <f>Demand!B3042</f>
        <v>46275.0</v>
      </c>
      <c r="C3044" s="33">
        <f>Demand!C3042</f>
        <v>8</v>
      </c>
      <c r="D3044" s="33">
        <f>Demand!E3042</f>
        <v>20</v>
      </c>
      <c r="E3044" s="33">
        <f>IF(Demand!F3042,1,0)</f>
        <v>0</v>
      </c>
      <c r="F3044" s="33">
        <f>COUNTIFS(c_store,A3044,c_date,B3044,c_hour,C3044)</f>
        <v>0</v>
      </c>
      <c r="G3044" s="33">
        <f>IF(F3044&gt;0,1,0)</f>
        <v>0</v>
      </c>
      <c r="H3044" s="33">
        <f>COUNTIFS(Demand!$A$2:$A$4481,A3044,Demand!$B$2:$B$4481,B3044,Demand!$C$2:$C$4481,C3044)</f>
        <v>1</v>
      </c>
    </row>
    <row r="3045">
      <c r="A3045" s="32" t="str">
        <f>Demand!A3043</f>
        <v>S011</v>
      </c>
      <c r="B3045" s="35">
        <f>Demand!B3043</f>
        <v>46275.0</v>
      </c>
      <c r="C3045" s="33">
        <f>Demand!C3043</f>
        <v>9</v>
      </c>
      <c r="D3045" s="33">
        <f>Demand!E3043</f>
        <v>21</v>
      </c>
      <c r="E3045" s="33">
        <f>IF(Demand!F3043,1,0)</f>
        <v>0</v>
      </c>
      <c r="F3045" s="33">
        <f>COUNTIFS(c_store,A3045,c_date,B3045,c_hour,C3045)</f>
        <v>0</v>
      </c>
      <c r="G3045" s="33">
        <f>IF(F3045&gt;0,1,0)</f>
        <v>0</v>
      </c>
      <c r="H3045" s="33">
        <f>COUNTIFS(Demand!$A$2:$A$4481,A3045,Demand!$B$2:$B$4481,B3045,Demand!$C$2:$C$4481,C3045)</f>
        <v>1</v>
      </c>
    </row>
    <row r="3046">
      <c r="A3046" s="32" t="str">
        <f>Demand!A3044</f>
        <v>S011</v>
      </c>
      <c r="B3046" s="35">
        <f>Demand!B3044</f>
        <v>46275.0</v>
      </c>
      <c r="C3046" s="33">
        <f>Demand!C3044</f>
        <v>10</v>
      </c>
      <c r="D3046" s="33">
        <f>Demand!E3044</f>
        <v>17</v>
      </c>
      <c r="E3046" s="33">
        <f>IF(Demand!F3044,1,0)</f>
        <v>0</v>
      </c>
      <c r="F3046" s="33">
        <f>COUNTIFS(c_store,A3046,c_date,B3046,c_hour,C3046)</f>
        <v>0</v>
      </c>
      <c r="G3046" s="33">
        <f>IF(F3046&gt;0,1,0)</f>
        <v>0</v>
      </c>
      <c r="H3046" s="33">
        <f>COUNTIFS(Demand!$A$2:$A$4481,A3046,Demand!$B$2:$B$4481,B3046,Demand!$C$2:$C$4481,C3046)</f>
        <v>1</v>
      </c>
    </row>
    <row r="3047">
      <c r="A3047" s="32" t="str">
        <f>Demand!A3045</f>
        <v>S011</v>
      </c>
      <c r="B3047" s="35">
        <f>Demand!B3045</f>
        <v>46275.0</v>
      </c>
      <c r="C3047" s="33">
        <f>Demand!C3045</f>
        <v>11</v>
      </c>
      <c r="D3047" s="33">
        <f>Demand!E3045</f>
        <v>33</v>
      </c>
      <c r="E3047" s="33">
        <f>IF(Demand!F3045,1,0)</f>
        <v>0</v>
      </c>
      <c r="F3047" s="33">
        <f>COUNTIFS(c_store,A3047,c_date,B3047,c_hour,C3047)</f>
        <v>1</v>
      </c>
      <c r="G3047" s="33">
        <f>IF(F3047&gt;0,1,0)</f>
        <v>1</v>
      </c>
      <c r="H3047" s="33">
        <f>COUNTIFS(Demand!$A$2:$A$4481,A3047,Demand!$B$2:$B$4481,B3047,Demand!$C$2:$C$4481,C3047)</f>
        <v>1</v>
      </c>
    </row>
    <row r="3048">
      <c r="A3048" s="32" t="str">
        <f>Demand!A3046</f>
        <v>S011</v>
      </c>
      <c r="B3048" s="35">
        <f>Demand!B3046</f>
        <v>46275.0</v>
      </c>
      <c r="C3048" s="33">
        <f>Demand!C3046</f>
        <v>12</v>
      </c>
      <c r="D3048" s="33">
        <f>Demand!E3046</f>
        <v>35</v>
      </c>
      <c r="E3048" s="33">
        <f>IF(Demand!F3046,1,0)</f>
        <v>0</v>
      </c>
      <c r="F3048" s="33">
        <f>COUNTIFS(c_store,A3048,c_date,B3048,c_hour,C3048)</f>
        <v>0</v>
      </c>
      <c r="G3048" s="33">
        <f>IF(F3048&gt;0,1,0)</f>
        <v>0</v>
      </c>
      <c r="H3048" s="33">
        <f>COUNTIFS(Demand!$A$2:$A$4481,A3048,Demand!$B$2:$B$4481,B3048,Demand!$C$2:$C$4481,C3048)</f>
        <v>1</v>
      </c>
    </row>
    <row r="3049">
      <c r="A3049" s="32" t="str">
        <f>Demand!A3047</f>
        <v>S011</v>
      </c>
      <c r="B3049" s="35">
        <f>Demand!B3047</f>
        <v>46275.0</v>
      </c>
      <c r="C3049" s="33">
        <f>Demand!C3047</f>
        <v>13</v>
      </c>
      <c r="D3049" s="33">
        <f>Demand!E3047</f>
        <v>30</v>
      </c>
      <c r="E3049" s="33">
        <f>IF(Demand!F3047,1,0)</f>
        <v>0</v>
      </c>
      <c r="F3049" s="33">
        <f>COUNTIFS(c_store,A3049,c_date,B3049,c_hour,C3049)</f>
        <v>0</v>
      </c>
      <c r="G3049" s="33">
        <f>IF(F3049&gt;0,1,0)</f>
        <v>0</v>
      </c>
      <c r="H3049" s="33">
        <f>COUNTIFS(Demand!$A$2:$A$4481,A3049,Demand!$B$2:$B$4481,B3049,Demand!$C$2:$C$4481,C3049)</f>
        <v>1</v>
      </c>
    </row>
    <row r="3050">
      <c r="A3050" s="32" t="str">
        <f>Demand!A3048</f>
        <v>S011</v>
      </c>
      <c r="B3050" s="35">
        <f>Demand!B3048</f>
        <v>46275.0</v>
      </c>
      <c r="C3050" s="33">
        <f>Demand!C3048</f>
        <v>14</v>
      </c>
      <c r="D3050" s="33">
        <f>Demand!E3048</f>
        <v>23</v>
      </c>
      <c r="E3050" s="33">
        <f>IF(Demand!F3048,1,0)</f>
        <v>0</v>
      </c>
      <c r="F3050" s="33">
        <f>COUNTIFS(c_store,A3050,c_date,B3050,c_hour,C3050)</f>
        <v>0</v>
      </c>
      <c r="G3050" s="33">
        <f>IF(F3050&gt;0,1,0)</f>
        <v>0</v>
      </c>
      <c r="H3050" s="33">
        <f>COUNTIFS(Demand!$A$2:$A$4481,A3050,Demand!$B$2:$B$4481,B3050,Demand!$C$2:$C$4481,C3050)</f>
        <v>1</v>
      </c>
    </row>
    <row r="3051">
      <c r="A3051" s="32" t="str">
        <f>Demand!A3049</f>
        <v>S011</v>
      </c>
      <c r="B3051" s="35">
        <f>Demand!B3049</f>
        <v>46275.0</v>
      </c>
      <c r="C3051" s="33">
        <f>Demand!C3049</f>
        <v>15</v>
      </c>
      <c r="D3051" s="33">
        <f>Demand!E3049</f>
        <v>20</v>
      </c>
      <c r="E3051" s="33">
        <f>IF(Demand!F3049,1,0)</f>
        <v>0</v>
      </c>
      <c r="F3051" s="33">
        <f>COUNTIFS(c_store,A3051,c_date,B3051,c_hour,C3051)</f>
        <v>0</v>
      </c>
      <c r="G3051" s="33">
        <f>IF(F3051&gt;0,1,0)</f>
        <v>0</v>
      </c>
      <c r="H3051" s="33">
        <f>COUNTIFS(Demand!$A$2:$A$4481,A3051,Demand!$B$2:$B$4481,B3051,Demand!$C$2:$C$4481,C3051)</f>
        <v>1</v>
      </c>
    </row>
    <row r="3052">
      <c r="A3052" s="32" t="str">
        <f>Demand!A3050</f>
        <v>S011</v>
      </c>
      <c r="B3052" s="35">
        <f>Demand!B3050</f>
        <v>46275.0</v>
      </c>
      <c r="C3052" s="33">
        <f>Demand!C3050</f>
        <v>16</v>
      </c>
      <c r="D3052" s="33">
        <f>Demand!E3050</f>
        <v>29</v>
      </c>
      <c r="E3052" s="33">
        <f>IF(Demand!F3050,1,0)</f>
        <v>0</v>
      </c>
      <c r="F3052" s="33">
        <f>COUNTIFS(c_store,A3052,c_date,B3052,c_hour,C3052)</f>
        <v>0</v>
      </c>
      <c r="G3052" s="33">
        <f>IF(F3052&gt;0,1,0)</f>
        <v>0</v>
      </c>
      <c r="H3052" s="33">
        <f>COUNTIFS(Demand!$A$2:$A$4481,A3052,Demand!$B$2:$B$4481,B3052,Demand!$C$2:$C$4481,C3052)</f>
        <v>1</v>
      </c>
    </row>
    <row r="3053">
      <c r="A3053" s="32" t="str">
        <f>Demand!A3051</f>
        <v>S011</v>
      </c>
      <c r="B3053" s="35">
        <f>Demand!B3051</f>
        <v>46275.0</v>
      </c>
      <c r="C3053" s="33">
        <f>Demand!C3051</f>
        <v>17</v>
      </c>
      <c r="D3053" s="33">
        <f>Demand!E3051</f>
        <v>38</v>
      </c>
      <c r="E3053" s="33">
        <f>IF(Demand!F3051,1,0)</f>
        <v>0</v>
      </c>
      <c r="F3053" s="33">
        <f>COUNTIFS(c_store,A3053,c_date,B3053,c_hour,C3053)</f>
        <v>0</v>
      </c>
      <c r="G3053" s="33">
        <f>IF(F3053&gt;0,1,0)</f>
        <v>0</v>
      </c>
      <c r="H3053" s="33">
        <f>COUNTIFS(Demand!$A$2:$A$4481,A3053,Demand!$B$2:$B$4481,B3053,Demand!$C$2:$C$4481,C3053)</f>
        <v>1</v>
      </c>
    </row>
    <row r="3054">
      <c r="A3054" s="32" t="str">
        <f>Demand!A3052</f>
        <v>S011</v>
      </c>
      <c r="B3054" s="35">
        <f>Demand!B3052</f>
        <v>46275.0</v>
      </c>
      <c r="C3054" s="33">
        <f>Demand!C3052</f>
        <v>18</v>
      </c>
      <c r="D3054" s="33">
        <f>Demand!E3052</f>
        <v>31</v>
      </c>
      <c r="E3054" s="33">
        <f>IF(Demand!F3052,1,0)</f>
        <v>0</v>
      </c>
      <c r="F3054" s="33">
        <f>COUNTIFS(c_store,A3054,c_date,B3054,c_hour,C3054)</f>
        <v>1</v>
      </c>
      <c r="G3054" s="33">
        <f>IF(F3054&gt;0,1,0)</f>
        <v>1</v>
      </c>
      <c r="H3054" s="33">
        <f>COUNTIFS(Demand!$A$2:$A$4481,A3054,Demand!$B$2:$B$4481,B3054,Demand!$C$2:$C$4481,C3054)</f>
        <v>1</v>
      </c>
    </row>
    <row r="3055">
      <c r="A3055" s="32" t="str">
        <f>Demand!A3053</f>
        <v>S011</v>
      </c>
      <c r="B3055" s="35">
        <f>Demand!B3053</f>
        <v>46275.0</v>
      </c>
      <c r="C3055" s="33">
        <f>Demand!C3053</f>
        <v>19</v>
      </c>
      <c r="D3055" s="33">
        <f>Demand!E3053</f>
        <v>39</v>
      </c>
      <c r="E3055" s="33">
        <f>IF(Demand!F3053,1,0)</f>
        <v>1</v>
      </c>
      <c r="F3055" s="33">
        <f>COUNTIFS(c_store,A3055,c_date,B3055,c_hour,C3055)</f>
        <v>0</v>
      </c>
      <c r="G3055" s="33">
        <f>IF(F3055&gt;0,1,0)</f>
        <v>0</v>
      </c>
      <c r="H3055" s="33">
        <f>COUNTIFS(Demand!$A$2:$A$4481,A3055,Demand!$B$2:$B$4481,B3055,Demand!$C$2:$C$4481,C3055)</f>
        <v>1</v>
      </c>
    </row>
    <row r="3056">
      <c r="A3056" s="32" t="str">
        <f>Demand!A3054</f>
        <v>S011</v>
      </c>
      <c r="B3056" s="35">
        <f>Demand!B3054</f>
        <v>46275.0</v>
      </c>
      <c r="C3056" s="33">
        <f>Demand!C3054</f>
        <v>20</v>
      </c>
      <c r="D3056" s="33">
        <f>Demand!E3054</f>
        <v>46</v>
      </c>
      <c r="E3056" s="33">
        <f>IF(Demand!F3054,1,0)</f>
        <v>1</v>
      </c>
      <c r="F3056" s="33">
        <f>COUNTIFS(c_store,A3056,c_date,B3056,c_hour,C3056)</f>
        <v>0</v>
      </c>
      <c r="G3056" s="33">
        <f>IF(F3056&gt;0,1,0)</f>
        <v>0</v>
      </c>
      <c r="H3056" s="33">
        <f>COUNTIFS(Demand!$A$2:$A$4481,A3056,Demand!$B$2:$B$4481,B3056,Demand!$C$2:$C$4481,C3056)</f>
        <v>1</v>
      </c>
    </row>
    <row r="3057">
      <c r="A3057" s="32" t="str">
        <f>Demand!A3055</f>
        <v>S011</v>
      </c>
      <c r="B3057" s="35">
        <f>Demand!B3055</f>
        <v>46275.0</v>
      </c>
      <c r="C3057" s="33">
        <f>Demand!C3055</f>
        <v>21</v>
      </c>
      <c r="D3057" s="33">
        <f>Demand!E3055</f>
        <v>41</v>
      </c>
      <c r="E3057" s="33">
        <f>IF(Demand!F3055,1,0)</f>
        <v>1</v>
      </c>
      <c r="F3057" s="33">
        <f>COUNTIFS(c_store,A3057,c_date,B3057,c_hour,C3057)</f>
        <v>0</v>
      </c>
      <c r="G3057" s="33">
        <f>IF(F3057&gt;0,1,0)</f>
        <v>0</v>
      </c>
      <c r="H3057" s="33">
        <f>COUNTIFS(Demand!$A$2:$A$4481,A3057,Demand!$B$2:$B$4481,B3057,Demand!$C$2:$C$4481,C3057)</f>
        <v>1</v>
      </c>
    </row>
    <row r="3058">
      <c r="A3058" s="32" t="str">
        <f>Demand!A3056</f>
        <v>S011</v>
      </c>
      <c r="B3058" s="35">
        <f>Demand!B3056</f>
        <v>46275.0</v>
      </c>
      <c r="C3058" s="33">
        <f>Demand!C3056</f>
        <v>22</v>
      </c>
      <c r="D3058" s="33">
        <f>Demand!E3056</f>
        <v>29</v>
      </c>
      <c r="E3058" s="33">
        <f>IF(Demand!F3056,1,0)</f>
        <v>0</v>
      </c>
      <c r="F3058" s="33">
        <f>COUNTIFS(c_store,A3058,c_date,B3058,c_hour,C3058)</f>
        <v>0</v>
      </c>
      <c r="G3058" s="33">
        <f>IF(F3058&gt;0,1,0)</f>
        <v>0</v>
      </c>
      <c r="H3058" s="33">
        <f>COUNTIFS(Demand!$A$2:$A$4481,A3058,Demand!$B$2:$B$4481,B3058,Demand!$C$2:$C$4481,C3058)</f>
        <v>1</v>
      </c>
    </row>
    <row r="3059">
      <c r="A3059" s="32" t="str">
        <f>Demand!A3057</f>
        <v>S011</v>
      </c>
      <c r="B3059" s="35">
        <f>Demand!B3057</f>
        <v>46275.0</v>
      </c>
      <c r="C3059" s="33">
        <f>Demand!C3057</f>
        <v>23</v>
      </c>
      <c r="D3059" s="33">
        <f>Demand!E3057</f>
        <v>29</v>
      </c>
      <c r="E3059" s="33">
        <f>IF(Demand!F3057,1,0)</f>
        <v>0</v>
      </c>
      <c r="F3059" s="33">
        <f>COUNTIFS(c_store,A3059,c_date,B3059,c_hour,C3059)</f>
        <v>1</v>
      </c>
      <c r="G3059" s="33">
        <f>IF(F3059&gt;0,1,0)</f>
        <v>1</v>
      </c>
      <c r="H3059" s="33">
        <f>COUNTIFS(Demand!$A$2:$A$4481,A3059,Demand!$B$2:$B$4481,B3059,Demand!$C$2:$C$4481,C3059)</f>
        <v>1</v>
      </c>
    </row>
    <row r="3060">
      <c r="A3060" s="32" t="str">
        <f>Demand!A3058</f>
        <v>S012</v>
      </c>
      <c r="B3060" s="35">
        <f>Demand!B3058</f>
        <v>46275.0</v>
      </c>
      <c r="C3060" s="33">
        <f>Demand!C3058</f>
        <v>8</v>
      </c>
      <c r="D3060" s="33">
        <f>Demand!E3058</f>
        <v>11</v>
      </c>
      <c r="E3060" s="33">
        <f>IF(Demand!F3058,1,0)</f>
        <v>0</v>
      </c>
      <c r="F3060" s="33">
        <f>COUNTIFS(c_store,A3060,c_date,B3060,c_hour,C3060)</f>
        <v>0</v>
      </c>
      <c r="G3060" s="33">
        <f>IF(F3060&gt;0,1,0)</f>
        <v>0</v>
      </c>
      <c r="H3060" s="33">
        <f>COUNTIFS(Demand!$A$2:$A$4481,A3060,Demand!$B$2:$B$4481,B3060,Demand!$C$2:$C$4481,C3060)</f>
        <v>1</v>
      </c>
    </row>
    <row r="3061">
      <c r="A3061" s="32" t="str">
        <f>Demand!A3059</f>
        <v>S012</v>
      </c>
      <c r="B3061" s="35">
        <f>Demand!B3059</f>
        <v>46275.0</v>
      </c>
      <c r="C3061" s="33">
        <f>Demand!C3059</f>
        <v>9</v>
      </c>
      <c r="D3061" s="33">
        <f>Demand!E3059</f>
        <v>9</v>
      </c>
      <c r="E3061" s="33">
        <f>IF(Demand!F3059,1,0)</f>
        <v>0</v>
      </c>
      <c r="F3061" s="33">
        <f>COUNTIFS(c_store,A3061,c_date,B3061,c_hour,C3061)</f>
        <v>0</v>
      </c>
      <c r="G3061" s="33">
        <f>IF(F3061&gt;0,1,0)</f>
        <v>0</v>
      </c>
      <c r="H3061" s="33">
        <f>COUNTIFS(Demand!$A$2:$A$4481,A3061,Demand!$B$2:$B$4481,B3061,Demand!$C$2:$C$4481,C3061)</f>
        <v>1</v>
      </c>
    </row>
    <row r="3062">
      <c r="A3062" s="32" t="str">
        <f>Demand!A3060</f>
        <v>S012</v>
      </c>
      <c r="B3062" s="35">
        <f>Demand!B3060</f>
        <v>46275.0</v>
      </c>
      <c r="C3062" s="33">
        <f>Demand!C3060</f>
        <v>10</v>
      </c>
      <c r="D3062" s="33">
        <f>Demand!E3060</f>
        <v>15</v>
      </c>
      <c r="E3062" s="33">
        <f>IF(Demand!F3060,1,0)</f>
        <v>0</v>
      </c>
      <c r="F3062" s="33">
        <f>COUNTIFS(c_store,A3062,c_date,B3062,c_hour,C3062)</f>
        <v>0</v>
      </c>
      <c r="G3062" s="33">
        <f>IF(F3062&gt;0,1,0)</f>
        <v>0</v>
      </c>
      <c r="H3062" s="33">
        <f>COUNTIFS(Demand!$A$2:$A$4481,A3062,Demand!$B$2:$B$4481,B3062,Demand!$C$2:$C$4481,C3062)</f>
        <v>1</v>
      </c>
    </row>
    <row r="3063">
      <c r="A3063" s="32" t="str">
        <f>Demand!A3061</f>
        <v>S012</v>
      </c>
      <c r="B3063" s="35">
        <f>Demand!B3061</f>
        <v>46275.0</v>
      </c>
      <c r="C3063" s="33">
        <f>Demand!C3061</f>
        <v>11</v>
      </c>
      <c r="D3063" s="33">
        <f>Demand!E3061</f>
        <v>13</v>
      </c>
      <c r="E3063" s="33">
        <f>IF(Demand!F3061,1,0)</f>
        <v>0</v>
      </c>
      <c r="F3063" s="33">
        <f>COUNTIFS(c_store,A3063,c_date,B3063,c_hour,C3063)</f>
        <v>0</v>
      </c>
      <c r="G3063" s="33">
        <f>IF(F3063&gt;0,1,0)</f>
        <v>0</v>
      </c>
      <c r="H3063" s="33">
        <f>COUNTIFS(Demand!$A$2:$A$4481,A3063,Demand!$B$2:$B$4481,B3063,Demand!$C$2:$C$4481,C3063)</f>
        <v>1</v>
      </c>
    </row>
    <row r="3064">
      <c r="A3064" s="32" t="str">
        <f>Demand!A3062</f>
        <v>S012</v>
      </c>
      <c r="B3064" s="35">
        <f>Demand!B3062</f>
        <v>46275.0</v>
      </c>
      <c r="C3064" s="33">
        <f>Demand!C3062</f>
        <v>12</v>
      </c>
      <c r="D3064" s="33">
        <f>Demand!E3062</f>
        <v>17</v>
      </c>
      <c r="E3064" s="33">
        <f>IF(Demand!F3062,1,0)</f>
        <v>0</v>
      </c>
      <c r="F3064" s="33">
        <f>COUNTIFS(c_store,A3064,c_date,B3064,c_hour,C3064)</f>
        <v>0</v>
      </c>
      <c r="G3064" s="33">
        <f>IF(F3064&gt;0,1,0)</f>
        <v>0</v>
      </c>
      <c r="H3064" s="33">
        <f>COUNTIFS(Demand!$A$2:$A$4481,A3064,Demand!$B$2:$B$4481,B3064,Demand!$C$2:$C$4481,C3064)</f>
        <v>1</v>
      </c>
    </row>
    <row r="3065">
      <c r="A3065" s="32" t="str">
        <f>Demand!A3063</f>
        <v>S012</v>
      </c>
      <c r="B3065" s="35">
        <f>Demand!B3063</f>
        <v>46275.0</v>
      </c>
      <c r="C3065" s="33">
        <f>Demand!C3063</f>
        <v>13</v>
      </c>
      <c r="D3065" s="33">
        <f>Demand!E3063</f>
        <v>14</v>
      </c>
      <c r="E3065" s="33">
        <f>IF(Demand!F3063,1,0)</f>
        <v>0</v>
      </c>
      <c r="F3065" s="33">
        <f>COUNTIFS(c_store,A3065,c_date,B3065,c_hour,C3065)</f>
        <v>0</v>
      </c>
      <c r="G3065" s="33">
        <f>IF(F3065&gt;0,1,0)</f>
        <v>0</v>
      </c>
      <c r="H3065" s="33">
        <f>COUNTIFS(Demand!$A$2:$A$4481,A3065,Demand!$B$2:$B$4481,B3065,Demand!$C$2:$C$4481,C3065)</f>
        <v>1</v>
      </c>
    </row>
    <row r="3066">
      <c r="A3066" s="32" t="str">
        <f>Demand!A3064</f>
        <v>S012</v>
      </c>
      <c r="B3066" s="35">
        <f>Demand!B3064</f>
        <v>46275.0</v>
      </c>
      <c r="C3066" s="33">
        <f>Demand!C3064</f>
        <v>14</v>
      </c>
      <c r="D3066" s="33">
        <f>Demand!E3064</f>
        <v>12</v>
      </c>
      <c r="E3066" s="33">
        <f>IF(Demand!F3064,1,0)</f>
        <v>0</v>
      </c>
      <c r="F3066" s="33">
        <f>COUNTIFS(c_store,A3066,c_date,B3066,c_hour,C3066)</f>
        <v>0</v>
      </c>
      <c r="G3066" s="33">
        <f>IF(F3066&gt;0,1,0)</f>
        <v>0</v>
      </c>
      <c r="H3066" s="33">
        <f>COUNTIFS(Demand!$A$2:$A$4481,A3066,Demand!$B$2:$B$4481,B3066,Demand!$C$2:$C$4481,C3066)</f>
        <v>1</v>
      </c>
    </row>
    <row r="3067">
      <c r="A3067" s="32" t="str">
        <f>Demand!A3065</f>
        <v>S012</v>
      </c>
      <c r="B3067" s="35">
        <f>Demand!B3065</f>
        <v>46275.0</v>
      </c>
      <c r="C3067" s="33">
        <f>Demand!C3065</f>
        <v>15</v>
      </c>
      <c r="D3067" s="33">
        <f>Demand!E3065</f>
        <v>7</v>
      </c>
      <c r="E3067" s="33">
        <f>IF(Demand!F3065,1,0)</f>
        <v>0</v>
      </c>
      <c r="F3067" s="33">
        <f>COUNTIFS(c_store,A3067,c_date,B3067,c_hour,C3067)</f>
        <v>0</v>
      </c>
      <c r="G3067" s="33">
        <f>IF(F3067&gt;0,1,0)</f>
        <v>0</v>
      </c>
      <c r="H3067" s="33">
        <f>COUNTIFS(Demand!$A$2:$A$4481,A3067,Demand!$B$2:$B$4481,B3067,Demand!$C$2:$C$4481,C3067)</f>
        <v>1</v>
      </c>
    </row>
    <row r="3068">
      <c r="A3068" s="32" t="str">
        <f>Demand!A3066</f>
        <v>S012</v>
      </c>
      <c r="B3068" s="35">
        <f>Demand!B3066</f>
        <v>46275.0</v>
      </c>
      <c r="C3068" s="33">
        <f>Demand!C3066</f>
        <v>16</v>
      </c>
      <c r="D3068" s="33">
        <f>Demand!E3066</f>
        <v>21</v>
      </c>
      <c r="E3068" s="33">
        <f>IF(Demand!F3066,1,0)</f>
        <v>0</v>
      </c>
      <c r="F3068" s="33">
        <f>COUNTIFS(c_store,A3068,c_date,B3068,c_hour,C3068)</f>
        <v>1</v>
      </c>
      <c r="G3068" s="33">
        <f>IF(F3068&gt;0,1,0)</f>
        <v>1</v>
      </c>
      <c r="H3068" s="33">
        <f>COUNTIFS(Demand!$A$2:$A$4481,A3068,Demand!$B$2:$B$4481,B3068,Demand!$C$2:$C$4481,C3068)</f>
        <v>1</v>
      </c>
    </row>
    <row r="3069">
      <c r="A3069" s="32" t="str">
        <f>Demand!A3067</f>
        <v>S012</v>
      </c>
      <c r="B3069" s="35">
        <f>Demand!B3067</f>
        <v>46275.0</v>
      </c>
      <c r="C3069" s="33">
        <f>Demand!C3067</f>
        <v>17</v>
      </c>
      <c r="D3069" s="33">
        <f>Demand!E3067</f>
        <v>15</v>
      </c>
      <c r="E3069" s="33">
        <f>IF(Demand!F3067,1,0)</f>
        <v>0</v>
      </c>
      <c r="F3069" s="33">
        <f>COUNTIFS(c_store,A3069,c_date,B3069,c_hour,C3069)</f>
        <v>1</v>
      </c>
      <c r="G3069" s="33">
        <f>IF(F3069&gt;0,1,0)</f>
        <v>1</v>
      </c>
      <c r="H3069" s="33">
        <f>COUNTIFS(Demand!$A$2:$A$4481,A3069,Demand!$B$2:$B$4481,B3069,Demand!$C$2:$C$4481,C3069)</f>
        <v>1</v>
      </c>
    </row>
    <row r="3070">
      <c r="A3070" s="32" t="str">
        <f>Demand!A3068</f>
        <v>S012</v>
      </c>
      <c r="B3070" s="35">
        <f>Demand!B3068</f>
        <v>46275.0</v>
      </c>
      <c r="C3070" s="33">
        <f>Demand!C3068</f>
        <v>18</v>
      </c>
      <c r="D3070" s="33">
        <f>Demand!E3068</f>
        <v>15</v>
      </c>
      <c r="E3070" s="33">
        <f>IF(Demand!F3068,1,0)</f>
        <v>0</v>
      </c>
      <c r="F3070" s="33">
        <f>COUNTIFS(c_store,A3070,c_date,B3070,c_hour,C3070)</f>
        <v>0</v>
      </c>
      <c r="G3070" s="33">
        <f>IF(F3070&gt;0,1,0)</f>
        <v>0</v>
      </c>
      <c r="H3070" s="33">
        <f>COUNTIFS(Demand!$A$2:$A$4481,A3070,Demand!$B$2:$B$4481,B3070,Demand!$C$2:$C$4481,C3070)</f>
        <v>1</v>
      </c>
    </row>
    <row r="3071">
      <c r="A3071" s="32" t="str">
        <f>Demand!A3069</f>
        <v>S012</v>
      </c>
      <c r="B3071" s="35">
        <f>Demand!B3069</f>
        <v>46275.0</v>
      </c>
      <c r="C3071" s="33">
        <f>Demand!C3069</f>
        <v>19</v>
      </c>
      <c r="D3071" s="33">
        <f>Demand!E3069</f>
        <v>18</v>
      </c>
      <c r="E3071" s="33">
        <f>IF(Demand!F3069,1,0)</f>
        <v>1</v>
      </c>
      <c r="F3071" s="33">
        <f>COUNTIFS(c_store,A3071,c_date,B3071,c_hour,C3071)</f>
        <v>0</v>
      </c>
      <c r="G3071" s="33">
        <f>IF(F3071&gt;0,1,0)</f>
        <v>0</v>
      </c>
      <c r="H3071" s="33">
        <f>COUNTIFS(Demand!$A$2:$A$4481,A3071,Demand!$B$2:$B$4481,B3071,Demand!$C$2:$C$4481,C3071)</f>
        <v>1</v>
      </c>
    </row>
    <row r="3072">
      <c r="A3072" s="32" t="str">
        <f>Demand!A3070</f>
        <v>S012</v>
      </c>
      <c r="B3072" s="35">
        <f>Demand!B3070</f>
        <v>46275.0</v>
      </c>
      <c r="C3072" s="33">
        <f>Demand!C3070</f>
        <v>20</v>
      </c>
      <c r="D3072" s="33">
        <f>Demand!E3070</f>
        <v>22</v>
      </c>
      <c r="E3072" s="33">
        <f>IF(Demand!F3070,1,0)</f>
        <v>1</v>
      </c>
      <c r="F3072" s="33">
        <f>COUNTIFS(c_store,A3072,c_date,B3072,c_hour,C3072)</f>
        <v>0</v>
      </c>
      <c r="G3072" s="33">
        <f>IF(F3072&gt;0,1,0)</f>
        <v>0</v>
      </c>
      <c r="H3072" s="33">
        <f>COUNTIFS(Demand!$A$2:$A$4481,A3072,Demand!$B$2:$B$4481,B3072,Demand!$C$2:$C$4481,C3072)</f>
        <v>1</v>
      </c>
    </row>
    <row r="3073">
      <c r="A3073" s="32" t="str">
        <f>Demand!A3071</f>
        <v>S012</v>
      </c>
      <c r="B3073" s="35">
        <f>Demand!B3071</f>
        <v>46275.0</v>
      </c>
      <c r="C3073" s="33">
        <f>Demand!C3071</f>
        <v>21</v>
      </c>
      <c r="D3073" s="33">
        <f>Demand!E3071</f>
        <v>25</v>
      </c>
      <c r="E3073" s="33">
        <f>IF(Demand!F3071,1,0)</f>
        <v>1</v>
      </c>
      <c r="F3073" s="33">
        <f>COUNTIFS(c_store,A3073,c_date,B3073,c_hour,C3073)</f>
        <v>0</v>
      </c>
      <c r="G3073" s="33">
        <f>IF(F3073&gt;0,1,0)</f>
        <v>0</v>
      </c>
      <c r="H3073" s="33">
        <f>COUNTIFS(Demand!$A$2:$A$4481,A3073,Demand!$B$2:$B$4481,B3073,Demand!$C$2:$C$4481,C3073)</f>
        <v>1</v>
      </c>
    </row>
    <row r="3074">
      <c r="A3074" s="32" t="str">
        <f>Demand!A3072</f>
        <v>S012</v>
      </c>
      <c r="B3074" s="35">
        <f>Demand!B3072</f>
        <v>46275.0</v>
      </c>
      <c r="C3074" s="33">
        <f>Demand!C3072</f>
        <v>22</v>
      </c>
      <c r="D3074" s="33">
        <f>Demand!E3072</f>
        <v>11</v>
      </c>
      <c r="E3074" s="33">
        <f>IF(Demand!F3072,1,0)</f>
        <v>0</v>
      </c>
      <c r="F3074" s="33">
        <f>COUNTIFS(c_store,A3074,c_date,B3074,c_hour,C3074)</f>
        <v>0</v>
      </c>
      <c r="G3074" s="33">
        <f>IF(F3074&gt;0,1,0)</f>
        <v>0</v>
      </c>
      <c r="H3074" s="33">
        <f>COUNTIFS(Demand!$A$2:$A$4481,A3074,Demand!$B$2:$B$4481,B3074,Demand!$C$2:$C$4481,C3074)</f>
        <v>1</v>
      </c>
    </row>
    <row r="3075">
      <c r="A3075" s="32" t="str">
        <f>Demand!A3073</f>
        <v>S012</v>
      </c>
      <c r="B3075" s="35">
        <f>Demand!B3073</f>
        <v>46275.0</v>
      </c>
      <c r="C3075" s="33">
        <f>Demand!C3073</f>
        <v>23</v>
      </c>
      <c r="D3075" s="33">
        <f>Demand!E3073</f>
        <v>11</v>
      </c>
      <c r="E3075" s="33">
        <f>IF(Demand!F3073,1,0)</f>
        <v>0</v>
      </c>
      <c r="F3075" s="33">
        <f>COUNTIFS(c_store,A3075,c_date,B3075,c_hour,C3075)</f>
        <v>1</v>
      </c>
      <c r="G3075" s="33">
        <f>IF(F3075&gt;0,1,0)</f>
        <v>1</v>
      </c>
      <c r="H3075" s="33">
        <f>COUNTIFS(Demand!$A$2:$A$4481,A3075,Demand!$B$2:$B$4481,B3075,Demand!$C$2:$C$4481,C3075)</f>
        <v>1</v>
      </c>
    </row>
    <row r="3076">
      <c r="A3076" s="32" t="str">
        <f>Demand!A3074</f>
        <v>S013</v>
      </c>
      <c r="B3076" s="35">
        <f>Demand!B3074</f>
        <v>46275.0</v>
      </c>
      <c r="C3076" s="33">
        <f>Demand!C3074</f>
        <v>8</v>
      </c>
      <c r="D3076" s="33">
        <f>Demand!E3074</f>
        <v>35</v>
      </c>
      <c r="E3076" s="33">
        <f>IF(Demand!F3074,1,0)</f>
        <v>0</v>
      </c>
      <c r="F3076" s="33">
        <f>COUNTIFS(c_store,A3076,c_date,B3076,c_hour,C3076)</f>
        <v>0</v>
      </c>
      <c r="G3076" s="33">
        <f>IF(F3076&gt;0,1,0)</f>
        <v>0</v>
      </c>
      <c r="H3076" s="33">
        <f>COUNTIFS(Demand!$A$2:$A$4481,A3076,Demand!$B$2:$B$4481,B3076,Demand!$C$2:$C$4481,C3076)</f>
        <v>1</v>
      </c>
    </row>
    <row r="3077">
      <c r="A3077" s="32" t="str">
        <f>Demand!A3075</f>
        <v>S013</v>
      </c>
      <c r="B3077" s="35">
        <f>Demand!B3075</f>
        <v>46275.0</v>
      </c>
      <c r="C3077" s="33">
        <f>Demand!C3075</f>
        <v>9</v>
      </c>
      <c r="D3077" s="33">
        <f>Demand!E3075</f>
        <v>39</v>
      </c>
      <c r="E3077" s="33">
        <f>IF(Demand!F3075,1,0)</f>
        <v>0</v>
      </c>
      <c r="F3077" s="33">
        <f>COUNTIFS(c_store,A3077,c_date,B3077,c_hour,C3077)</f>
        <v>0</v>
      </c>
      <c r="G3077" s="33">
        <f>IF(F3077&gt;0,1,0)</f>
        <v>0</v>
      </c>
      <c r="H3077" s="33">
        <f>COUNTIFS(Demand!$A$2:$A$4481,A3077,Demand!$B$2:$B$4481,B3077,Demand!$C$2:$C$4481,C3077)</f>
        <v>1</v>
      </c>
    </row>
    <row r="3078">
      <c r="A3078" s="32" t="str">
        <f>Demand!A3076</f>
        <v>S013</v>
      </c>
      <c r="B3078" s="35">
        <f>Demand!B3076</f>
        <v>46275.0</v>
      </c>
      <c r="C3078" s="33">
        <f>Demand!C3076</f>
        <v>10</v>
      </c>
      <c r="D3078" s="33">
        <f>Demand!E3076</f>
        <v>42</v>
      </c>
      <c r="E3078" s="33">
        <f>IF(Demand!F3076,1,0)</f>
        <v>0</v>
      </c>
      <c r="F3078" s="33">
        <f>COUNTIFS(c_store,A3078,c_date,B3078,c_hour,C3078)</f>
        <v>0</v>
      </c>
      <c r="G3078" s="33">
        <f>IF(F3078&gt;0,1,0)</f>
        <v>0</v>
      </c>
      <c r="H3078" s="33">
        <f>COUNTIFS(Demand!$A$2:$A$4481,A3078,Demand!$B$2:$B$4481,B3078,Demand!$C$2:$C$4481,C3078)</f>
        <v>1</v>
      </c>
    </row>
    <row r="3079">
      <c r="A3079" s="32" t="str">
        <f>Demand!A3077</f>
        <v>S013</v>
      </c>
      <c r="B3079" s="35">
        <f>Demand!B3077</f>
        <v>46275.0</v>
      </c>
      <c r="C3079" s="33">
        <f>Demand!C3077</f>
        <v>11</v>
      </c>
      <c r="D3079" s="33">
        <f>Demand!E3077</f>
        <v>40</v>
      </c>
      <c r="E3079" s="33">
        <f>IF(Demand!F3077,1,0)</f>
        <v>0</v>
      </c>
      <c r="F3079" s="33">
        <f>COUNTIFS(c_store,A3079,c_date,B3079,c_hour,C3079)</f>
        <v>0</v>
      </c>
      <c r="G3079" s="33">
        <f>IF(F3079&gt;0,1,0)</f>
        <v>0</v>
      </c>
      <c r="H3079" s="33">
        <f>COUNTIFS(Demand!$A$2:$A$4481,A3079,Demand!$B$2:$B$4481,B3079,Demand!$C$2:$C$4481,C3079)</f>
        <v>1</v>
      </c>
    </row>
    <row r="3080">
      <c r="A3080" s="32" t="str">
        <f>Demand!A3078</f>
        <v>S013</v>
      </c>
      <c r="B3080" s="35">
        <f>Demand!B3078</f>
        <v>46275.0</v>
      </c>
      <c r="C3080" s="33">
        <f>Demand!C3078</f>
        <v>12</v>
      </c>
      <c r="D3080" s="33">
        <f>Demand!E3078</f>
        <v>47</v>
      </c>
      <c r="E3080" s="33">
        <f>IF(Demand!F3078,1,0)</f>
        <v>0</v>
      </c>
      <c r="F3080" s="33">
        <f>COUNTIFS(c_store,A3080,c_date,B3080,c_hour,C3080)</f>
        <v>0</v>
      </c>
      <c r="G3080" s="33">
        <f>IF(F3080&gt;0,1,0)</f>
        <v>0</v>
      </c>
      <c r="H3080" s="33">
        <f>COUNTIFS(Demand!$A$2:$A$4481,A3080,Demand!$B$2:$B$4481,B3080,Demand!$C$2:$C$4481,C3080)</f>
        <v>1</v>
      </c>
    </row>
    <row r="3081">
      <c r="A3081" s="32" t="str">
        <f>Demand!A3079</f>
        <v>S013</v>
      </c>
      <c r="B3081" s="35">
        <f>Demand!B3079</f>
        <v>46275.0</v>
      </c>
      <c r="C3081" s="33">
        <f>Demand!C3079</f>
        <v>13</v>
      </c>
      <c r="D3081" s="33">
        <f>Demand!E3079</f>
        <v>50</v>
      </c>
      <c r="E3081" s="33">
        <f>IF(Demand!F3079,1,0)</f>
        <v>0</v>
      </c>
      <c r="F3081" s="33">
        <f>COUNTIFS(c_store,A3081,c_date,B3081,c_hour,C3081)</f>
        <v>1</v>
      </c>
      <c r="G3081" s="33">
        <f>IF(F3081&gt;0,1,0)</f>
        <v>1</v>
      </c>
      <c r="H3081" s="33">
        <f>COUNTIFS(Demand!$A$2:$A$4481,A3081,Demand!$B$2:$B$4481,B3081,Demand!$C$2:$C$4481,C3081)</f>
        <v>1</v>
      </c>
    </row>
    <row r="3082">
      <c r="A3082" s="32" t="str">
        <f>Demand!A3080</f>
        <v>S013</v>
      </c>
      <c r="B3082" s="35">
        <f>Demand!B3080</f>
        <v>46275.0</v>
      </c>
      <c r="C3082" s="33">
        <f>Demand!C3080</f>
        <v>14</v>
      </c>
      <c r="D3082" s="33">
        <f>Demand!E3080</f>
        <v>39</v>
      </c>
      <c r="E3082" s="33">
        <f>IF(Demand!F3080,1,0)</f>
        <v>0</v>
      </c>
      <c r="F3082" s="33">
        <f>COUNTIFS(c_store,A3082,c_date,B3082,c_hour,C3082)</f>
        <v>0</v>
      </c>
      <c r="G3082" s="33">
        <f>IF(F3082&gt;0,1,0)</f>
        <v>0</v>
      </c>
      <c r="H3082" s="33">
        <f>COUNTIFS(Demand!$A$2:$A$4481,A3082,Demand!$B$2:$B$4481,B3082,Demand!$C$2:$C$4481,C3082)</f>
        <v>1</v>
      </c>
    </row>
    <row r="3083">
      <c r="A3083" s="32" t="str">
        <f>Demand!A3081</f>
        <v>S013</v>
      </c>
      <c r="B3083" s="35">
        <f>Demand!B3081</f>
        <v>46275.0</v>
      </c>
      <c r="C3083" s="33">
        <f>Demand!C3081</f>
        <v>15</v>
      </c>
      <c r="D3083" s="33">
        <f>Demand!E3081</f>
        <v>46</v>
      </c>
      <c r="E3083" s="33">
        <f>IF(Demand!F3081,1,0)</f>
        <v>0</v>
      </c>
      <c r="F3083" s="33">
        <f>COUNTIFS(c_store,A3083,c_date,B3083,c_hour,C3083)</f>
        <v>1</v>
      </c>
      <c r="G3083" s="33">
        <f>IF(F3083&gt;0,1,0)</f>
        <v>1</v>
      </c>
      <c r="H3083" s="33">
        <f>COUNTIFS(Demand!$A$2:$A$4481,A3083,Demand!$B$2:$B$4481,B3083,Demand!$C$2:$C$4481,C3083)</f>
        <v>1</v>
      </c>
    </row>
    <row r="3084">
      <c r="A3084" s="32" t="str">
        <f>Demand!A3082</f>
        <v>S013</v>
      </c>
      <c r="B3084" s="35">
        <f>Demand!B3082</f>
        <v>46275.0</v>
      </c>
      <c r="C3084" s="33">
        <f>Demand!C3082</f>
        <v>16</v>
      </c>
      <c r="D3084" s="33">
        <f>Demand!E3082</f>
        <v>52</v>
      </c>
      <c r="E3084" s="33">
        <f>IF(Demand!F3082,1,0)</f>
        <v>0</v>
      </c>
      <c r="F3084" s="33">
        <f>COUNTIFS(c_store,A3084,c_date,B3084,c_hour,C3084)</f>
        <v>1</v>
      </c>
      <c r="G3084" s="33">
        <f>IF(F3084&gt;0,1,0)</f>
        <v>1</v>
      </c>
      <c r="H3084" s="33">
        <f>COUNTIFS(Demand!$A$2:$A$4481,A3084,Demand!$B$2:$B$4481,B3084,Demand!$C$2:$C$4481,C3084)</f>
        <v>1</v>
      </c>
    </row>
    <row r="3085">
      <c r="A3085" s="32" t="str">
        <f>Demand!A3083</f>
        <v>S013</v>
      </c>
      <c r="B3085" s="35">
        <f>Demand!B3083</f>
        <v>46275.0</v>
      </c>
      <c r="C3085" s="33">
        <f>Demand!C3083</f>
        <v>17</v>
      </c>
      <c r="D3085" s="33">
        <f>Demand!E3083</f>
        <v>58</v>
      </c>
      <c r="E3085" s="33">
        <f>IF(Demand!F3083,1,0)</f>
        <v>0</v>
      </c>
      <c r="F3085" s="33">
        <f>COUNTIFS(c_store,A3085,c_date,B3085,c_hour,C3085)</f>
        <v>0</v>
      </c>
      <c r="G3085" s="33">
        <f>IF(F3085&gt;0,1,0)</f>
        <v>0</v>
      </c>
      <c r="H3085" s="33">
        <f>COUNTIFS(Demand!$A$2:$A$4481,A3085,Demand!$B$2:$B$4481,B3085,Demand!$C$2:$C$4481,C3085)</f>
        <v>1</v>
      </c>
    </row>
    <row r="3086">
      <c r="A3086" s="32" t="str">
        <f>Demand!A3084</f>
        <v>S013</v>
      </c>
      <c r="B3086" s="35">
        <f>Demand!B3084</f>
        <v>46275.0</v>
      </c>
      <c r="C3086" s="33">
        <f>Demand!C3084</f>
        <v>18</v>
      </c>
      <c r="D3086" s="33">
        <f>Demand!E3084</f>
        <v>52</v>
      </c>
      <c r="E3086" s="33">
        <f>IF(Demand!F3084,1,0)</f>
        <v>0</v>
      </c>
      <c r="F3086" s="33">
        <f>COUNTIFS(c_store,A3086,c_date,B3086,c_hour,C3086)</f>
        <v>0</v>
      </c>
      <c r="G3086" s="33">
        <f>IF(F3086&gt;0,1,0)</f>
        <v>0</v>
      </c>
      <c r="H3086" s="33">
        <f>COUNTIFS(Demand!$A$2:$A$4481,A3086,Demand!$B$2:$B$4481,B3086,Demand!$C$2:$C$4481,C3086)</f>
        <v>1</v>
      </c>
    </row>
    <row r="3087">
      <c r="A3087" s="32" t="str">
        <f>Demand!A3085</f>
        <v>S013</v>
      </c>
      <c r="B3087" s="35">
        <f>Demand!B3085</f>
        <v>46275.0</v>
      </c>
      <c r="C3087" s="33">
        <f>Demand!C3085</f>
        <v>19</v>
      </c>
      <c r="D3087" s="33">
        <f>Demand!E3085</f>
        <v>71</v>
      </c>
      <c r="E3087" s="33">
        <f>IF(Demand!F3085,1,0)</f>
        <v>1</v>
      </c>
      <c r="F3087" s="33">
        <f>COUNTIFS(c_store,A3087,c_date,B3087,c_hour,C3087)</f>
        <v>1</v>
      </c>
      <c r="G3087" s="33">
        <f>IF(F3087&gt;0,1,0)</f>
        <v>1</v>
      </c>
      <c r="H3087" s="33">
        <f>COUNTIFS(Demand!$A$2:$A$4481,A3087,Demand!$B$2:$B$4481,B3087,Demand!$C$2:$C$4481,C3087)</f>
        <v>1</v>
      </c>
    </row>
    <row r="3088">
      <c r="A3088" s="32" t="str">
        <f>Demand!A3086</f>
        <v>S013</v>
      </c>
      <c r="B3088" s="35">
        <f>Demand!B3086</f>
        <v>46275.0</v>
      </c>
      <c r="C3088" s="33">
        <f>Demand!C3086</f>
        <v>20</v>
      </c>
      <c r="D3088" s="33">
        <f>Demand!E3086</f>
        <v>71</v>
      </c>
      <c r="E3088" s="33">
        <f>IF(Demand!F3086,1,0)</f>
        <v>1</v>
      </c>
      <c r="F3088" s="33">
        <f>COUNTIFS(c_store,A3088,c_date,B3088,c_hour,C3088)</f>
        <v>1</v>
      </c>
      <c r="G3088" s="33">
        <f>IF(F3088&gt;0,1,0)</f>
        <v>1</v>
      </c>
      <c r="H3088" s="33">
        <f>COUNTIFS(Demand!$A$2:$A$4481,A3088,Demand!$B$2:$B$4481,B3088,Demand!$C$2:$C$4481,C3088)</f>
        <v>1</v>
      </c>
    </row>
    <row r="3089">
      <c r="A3089" s="32" t="str">
        <f>Demand!A3087</f>
        <v>S013</v>
      </c>
      <c r="B3089" s="35">
        <f>Demand!B3087</f>
        <v>46275.0</v>
      </c>
      <c r="C3089" s="33">
        <f>Demand!C3087</f>
        <v>21</v>
      </c>
      <c r="D3089" s="33">
        <f>Demand!E3087</f>
        <v>75</v>
      </c>
      <c r="E3089" s="33">
        <f>IF(Demand!F3087,1,0)</f>
        <v>1</v>
      </c>
      <c r="F3089" s="33">
        <f>COUNTIFS(c_store,A3089,c_date,B3089,c_hour,C3089)</f>
        <v>0</v>
      </c>
      <c r="G3089" s="33">
        <f>IF(F3089&gt;0,1,0)</f>
        <v>0</v>
      </c>
      <c r="H3089" s="33">
        <f>COUNTIFS(Demand!$A$2:$A$4481,A3089,Demand!$B$2:$B$4481,B3089,Demand!$C$2:$C$4481,C3089)</f>
        <v>1</v>
      </c>
    </row>
    <row r="3090">
      <c r="A3090" s="32" t="str">
        <f>Demand!A3088</f>
        <v>S013</v>
      </c>
      <c r="B3090" s="35">
        <f>Demand!B3088</f>
        <v>46275.0</v>
      </c>
      <c r="C3090" s="33">
        <f>Demand!C3088</f>
        <v>22</v>
      </c>
      <c r="D3090" s="33">
        <f>Demand!E3088</f>
        <v>40</v>
      </c>
      <c r="E3090" s="33">
        <f>IF(Demand!F3088,1,0)</f>
        <v>0</v>
      </c>
      <c r="F3090" s="33">
        <f>COUNTIFS(c_store,A3090,c_date,B3090,c_hour,C3090)</f>
        <v>1</v>
      </c>
      <c r="G3090" s="33">
        <f>IF(F3090&gt;0,1,0)</f>
        <v>1</v>
      </c>
      <c r="H3090" s="33">
        <f>COUNTIFS(Demand!$A$2:$A$4481,A3090,Demand!$B$2:$B$4481,B3090,Demand!$C$2:$C$4481,C3090)</f>
        <v>1</v>
      </c>
    </row>
    <row r="3091">
      <c r="A3091" s="32" t="str">
        <f>Demand!A3089</f>
        <v>S013</v>
      </c>
      <c r="B3091" s="35">
        <f>Demand!B3089</f>
        <v>46275.0</v>
      </c>
      <c r="C3091" s="33">
        <f>Demand!C3089</f>
        <v>23</v>
      </c>
      <c r="D3091" s="33">
        <f>Demand!E3089</f>
        <v>49</v>
      </c>
      <c r="E3091" s="33">
        <f>IF(Demand!F3089,1,0)</f>
        <v>0</v>
      </c>
      <c r="F3091" s="33">
        <f>COUNTIFS(c_store,A3091,c_date,B3091,c_hour,C3091)</f>
        <v>0</v>
      </c>
      <c r="G3091" s="33">
        <f>IF(F3091&gt;0,1,0)</f>
        <v>0</v>
      </c>
      <c r="H3091" s="33">
        <f>COUNTIFS(Demand!$A$2:$A$4481,A3091,Demand!$B$2:$B$4481,B3091,Demand!$C$2:$C$4481,C3091)</f>
        <v>1</v>
      </c>
    </row>
    <row r="3092">
      <c r="A3092" s="32" t="str">
        <f>Demand!A3090</f>
        <v>S014</v>
      </c>
      <c r="B3092" s="35">
        <f>Demand!B3090</f>
        <v>46275.0</v>
      </c>
      <c r="C3092" s="33">
        <f>Demand!C3090</f>
        <v>8</v>
      </c>
      <c r="D3092" s="33">
        <f>Demand!E3090</f>
        <v>22</v>
      </c>
      <c r="E3092" s="33">
        <f>IF(Demand!F3090,1,0)</f>
        <v>0</v>
      </c>
      <c r="F3092" s="33">
        <f>COUNTIFS(c_store,A3092,c_date,B3092,c_hour,C3092)</f>
        <v>0</v>
      </c>
      <c r="G3092" s="33">
        <f>IF(F3092&gt;0,1,0)</f>
        <v>0</v>
      </c>
      <c r="H3092" s="33">
        <f>COUNTIFS(Demand!$A$2:$A$4481,A3092,Demand!$B$2:$B$4481,B3092,Demand!$C$2:$C$4481,C3092)</f>
        <v>1</v>
      </c>
    </row>
    <row r="3093">
      <c r="A3093" s="32" t="str">
        <f>Demand!A3091</f>
        <v>S014</v>
      </c>
      <c r="B3093" s="35">
        <f>Demand!B3091</f>
        <v>46275.0</v>
      </c>
      <c r="C3093" s="33">
        <f>Demand!C3091</f>
        <v>9</v>
      </c>
      <c r="D3093" s="33">
        <f>Demand!E3091</f>
        <v>20</v>
      </c>
      <c r="E3093" s="33">
        <f>IF(Demand!F3091,1,0)</f>
        <v>0</v>
      </c>
      <c r="F3093" s="33">
        <f>COUNTIFS(c_store,A3093,c_date,B3093,c_hour,C3093)</f>
        <v>0</v>
      </c>
      <c r="G3093" s="33">
        <f>IF(F3093&gt;0,1,0)</f>
        <v>0</v>
      </c>
      <c r="H3093" s="33">
        <f>COUNTIFS(Demand!$A$2:$A$4481,A3093,Demand!$B$2:$B$4481,B3093,Demand!$C$2:$C$4481,C3093)</f>
        <v>1</v>
      </c>
    </row>
    <row r="3094">
      <c r="A3094" s="32" t="str">
        <f>Demand!A3092</f>
        <v>S014</v>
      </c>
      <c r="B3094" s="35">
        <f>Demand!B3092</f>
        <v>46275.0</v>
      </c>
      <c r="C3094" s="33">
        <f>Demand!C3092</f>
        <v>10</v>
      </c>
      <c r="D3094" s="33">
        <f>Demand!E3092</f>
        <v>21</v>
      </c>
      <c r="E3094" s="33">
        <f>IF(Demand!F3092,1,0)</f>
        <v>0</v>
      </c>
      <c r="F3094" s="33">
        <f>COUNTIFS(c_store,A3094,c_date,B3094,c_hour,C3094)</f>
        <v>0</v>
      </c>
      <c r="G3094" s="33">
        <f>IF(F3094&gt;0,1,0)</f>
        <v>0</v>
      </c>
      <c r="H3094" s="33">
        <f>COUNTIFS(Demand!$A$2:$A$4481,A3094,Demand!$B$2:$B$4481,B3094,Demand!$C$2:$C$4481,C3094)</f>
        <v>1</v>
      </c>
    </row>
    <row r="3095">
      <c r="A3095" s="32" t="str">
        <f>Demand!A3093</f>
        <v>S014</v>
      </c>
      <c r="B3095" s="35">
        <f>Demand!B3093</f>
        <v>46275.0</v>
      </c>
      <c r="C3095" s="33">
        <f>Demand!C3093</f>
        <v>11</v>
      </c>
      <c r="D3095" s="33">
        <f>Demand!E3093</f>
        <v>31</v>
      </c>
      <c r="E3095" s="33">
        <f>IF(Demand!F3093,1,0)</f>
        <v>0</v>
      </c>
      <c r="F3095" s="33">
        <f>COUNTIFS(c_store,A3095,c_date,B3095,c_hour,C3095)</f>
        <v>2</v>
      </c>
      <c r="G3095" s="33">
        <f>IF(F3095&gt;0,1,0)</f>
        <v>1</v>
      </c>
      <c r="H3095" s="33">
        <f>COUNTIFS(Demand!$A$2:$A$4481,A3095,Demand!$B$2:$B$4481,B3095,Demand!$C$2:$C$4481,C3095)</f>
        <v>1</v>
      </c>
    </row>
    <row r="3096">
      <c r="A3096" s="32" t="str">
        <f>Demand!A3094</f>
        <v>S014</v>
      </c>
      <c r="B3096" s="35">
        <f>Demand!B3094</f>
        <v>46275.0</v>
      </c>
      <c r="C3096" s="33">
        <f>Demand!C3094</f>
        <v>12</v>
      </c>
      <c r="D3096" s="33">
        <f>Demand!E3094</f>
        <v>43</v>
      </c>
      <c r="E3096" s="33">
        <f>IF(Demand!F3094,1,0)</f>
        <v>0</v>
      </c>
      <c r="F3096" s="33">
        <f>COUNTIFS(c_store,A3096,c_date,B3096,c_hour,C3096)</f>
        <v>0</v>
      </c>
      <c r="G3096" s="33">
        <f>IF(F3096&gt;0,1,0)</f>
        <v>0</v>
      </c>
      <c r="H3096" s="33">
        <f>COUNTIFS(Demand!$A$2:$A$4481,A3096,Demand!$B$2:$B$4481,B3096,Demand!$C$2:$C$4481,C3096)</f>
        <v>1</v>
      </c>
    </row>
    <row r="3097">
      <c r="A3097" s="32" t="str">
        <f>Demand!A3095</f>
        <v>S014</v>
      </c>
      <c r="B3097" s="35">
        <f>Demand!B3095</f>
        <v>46275.0</v>
      </c>
      <c r="C3097" s="33">
        <f>Demand!C3095</f>
        <v>13</v>
      </c>
      <c r="D3097" s="33">
        <f>Demand!E3095</f>
        <v>30</v>
      </c>
      <c r="E3097" s="33">
        <f>IF(Demand!F3095,1,0)</f>
        <v>0</v>
      </c>
      <c r="F3097" s="33">
        <f>COUNTIFS(c_store,A3097,c_date,B3097,c_hour,C3097)</f>
        <v>1</v>
      </c>
      <c r="G3097" s="33">
        <f>IF(F3097&gt;0,1,0)</f>
        <v>1</v>
      </c>
      <c r="H3097" s="33">
        <f>COUNTIFS(Demand!$A$2:$A$4481,A3097,Demand!$B$2:$B$4481,B3097,Demand!$C$2:$C$4481,C3097)</f>
        <v>1</v>
      </c>
    </row>
    <row r="3098">
      <c r="A3098" s="32" t="str">
        <f>Demand!A3096</f>
        <v>S014</v>
      </c>
      <c r="B3098" s="35">
        <f>Demand!B3096</f>
        <v>46275.0</v>
      </c>
      <c r="C3098" s="33">
        <f>Demand!C3096</f>
        <v>14</v>
      </c>
      <c r="D3098" s="33">
        <f>Demand!E3096</f>
        <v>29</v>
      </c>
      <c r="E3098" s="33">
        <f>IF(Demand!F3096,1,0)</f>
        <v>0</v>
      </c>
      <c r="F3098" s="33">
        <f>COUNTIFS(c_store,A3098,c_date,B3098,c_hour,C3098)</f>
        <v>1</v>
      </c>
      <c r="G3098" s="33">
        <f>IF(F3098&gt;0,1,0)</f>
        <v>1</v>
      </c>
      <c r="H3098" s="33">
        <f>COUNTIFS(Demand!$A$2:$A$4481,A3098,Demand!$B$2:$B$4481,B3098,Demand!$C$2:$C$4481,C3098)</f>
        <v>1</v>
      </c>
    </row>
    <row r="3099">
      <c r="A3099" s="32" t="str">
        <f>Demand!A3097</f>
        <v>S014</v>
      </c>
      <c r="B3099" s="35">
        <f>Demand!B3097</f>
        <v>46275.0</v>
      </c>
      <c r="C3099" s="33">
        <f>Demand!C3097</f>
        <v>15</v>
      </c>
      <c r="D3099" s="33">
        <f>Demand!E3097</f>
        <v>31</v>
      </c>
      <c r="E3099" s="33">
        <f>IF(Demand!F3097,1,0)</f>
        <v>0</v>
      </c>
      <c r="F3099" s="33">
        <f>COUNTIFS(c_store,A3099,c_date,B3099,c_hour,C3099)</f>
        <v>0</v>
      </c>
      <c r="G3099" s="33">
        <f>IF(F3099&gt;0,1,0)</f>
        <v>0</v>
      </c>
      <c r="H3099" s="33">
        <f>COUNTIFS(Demand!$A$2:$A$4481,A3099,Demand!$B$2:$B$4481,B3099,Demand!$C$2:$C$4481,C3099)</f>
        <v>1</v>
      </c>
    </row>
    <row r="3100">
      <c r="A3100" s="32" t="str">
        <f>Demand!A3098</f>
        <v>S014</v>
      </c>
      <c r="B3100" s="35">
        <f>Demand!B3098</f>
        <v>46275.0</v>
      </c>
      <c r="C3100" s="33">
        <f>Demand!C3098</f>
        <v>16</v>
      </c>
      <c r="D3100" s="33">
        <f>Demand!E3098</f>
        <v>37</v>
      </c>
      <c r="E3100" s="33">
        <f>IF(Demand!F3098,1,0)</f>
        <v>0</v>
      </c>
      <c r="F3100" s="33">
        <f>COUNTIFS(c_store,A3100,c_date,B3100,c_hour,C3100)</f>
        <v>0</v>
      </c>
      <c r="G3100" s="33">
        <f>IF(F3100&gt;0,1,0)</f>
        <v>0</v>
      </c>
      <c r="H3100" s="33">
        <f>COUNTIFS(Demand!$A$2:$A$4481,A3100,Demand!$B$2:$B$4481,B3100,Demand!$C$2:$C$4481,C3100)</f>
        <v>1</v>
      </c>
    </row>
    <row r="3101">
      <c r="A3101" s="32" t="str">
        <f>Demand!A3099</f>
        <v>S014</v>
      </c>
      <c r="B3101" s="35">
        <f>Demand!B3099</f>
        <v>46275.0</v>
      </c>
      <c r="C3101" s="33">
        <f>Demand!C3099</f>
        <v>17</v>
      </c>
      <c r="D3101" s="33">
        <f>Demand!E3099</f>
        <v>48</v>
      </c>
      <c r="E3101" s="33">
        <f>IF(Demand!F3099,1,0)</f>
        <v>0</v>
      </c>
      <c r="F3101" s="33">
        <f>COUNTIFS(c_store,A3101,c_date,B3101,c_hour,C3101)</f>
        <v>1</v>
      </c>
      <c r="G3101" s="33">
        <f>IF(F3101&gt;0,1,0)</f>
        <v>1</v>
      </c>
      <c r="H3101" s="33">
        <f>COUNTIFS(Demand!$A$2:$A$4481,A3101,Demand!$B$2:$B$4481,B3101,Demand!$C$2:$C$4481,C3101)</f>
        <v>1</v>
      </c>
    </row>
    <row r="3102">
      <c r="A3102" s="32" t="str">
        <f>Demand!A3100</f>
        <v>S014</v>
      </c>
      <c r="B3102" s="35">
        <f>Demand!B3100</f>
        <v>46275.0</v>
      </c>
      <c r="C3102" s="33">
        <f>Demand!C3100</f>
        <v>18</v>
      </c>
      <c r="D3102" s="33">
        <f>Demand!E3100</f>
        <v>47</v>
      </c>
      <c r="E3102" s="33">
        <f>IF(Demand!F3100,1,0)</f>
        <v>0</v>
      </c>
      <c r="F3102" s="33">
        <f>COUNTIFS(c_store,A3102,c_date,B3102,c_hour,C3102)</f>
        <v>2</v>
      </c>
      <c r="G3102" s="33">
        <f>IF(F3102&gt;0,1,0)</f>
        <v>1</v>
      </c>
      <c r="H3102" s="33">
        <f>COUNTIFS(Demand!$A$2:$A$4481,A3102,Demand!$B$2:$B$4481,B3102,Demand!$C$2:$C$4481,C3102)</f>
        <v>1</v>
      </c>
    </row>
    <row r="3103">
      <c r="A3103" s="32" t="str">
        <f>Demand!A3101</f>
        <v>S014</v>
      </c>
      <c r="B3103" s="35">
        <f>Demand!B3101</f>
        <v>46275.0</v>
      </c>
      <c r="C3103" s="33">
        <f>Demand!C3101</f>
        <v>19</v>
      </c>
      <c r="D3103" s="33">
        <f>Demand!E3101</f>
        <v>54</v>
      </c>
      <c r="E3103" s="33">
        <f>IF(Demand!F3101,1,0)</f>
        <v>1</v>
      </c>
      <c r="F3103" s="33">
        <f>COUNTIFS(c_store,A3103,c_date,B3103,c_hour,C3103)</f>
        <v>0</v>
      </c>
      <c r="G3103" s="33">
        <f>IF(F3103&gt;0,1,0)</f>
        <v>0</v>
      </c>
      <c r="H3103" s="33">
        <f>COUNTIFS(Demand!$A$2:$A$4481,A3103,Demand!$B$2:$B$4481,B3103,Demand!$C$2:$C$4481,C3103)</f>
        <v>1</v>
      </c>
    </row>
    <row r="3104">
      <c r="A3104" s="32" t="str">
        <f>Demand!A3102</f>
        <v>S014</v>
      </c>
      <c r="B3104" s="35">
        <f>Demand!B3102</f>
        <v>46275.0</v>
      </c>
      <c r="C3104" s="33">
        <f>Demand!C3102</f>
        <v>20</v>
      </c>
      <c r="D3104" s="33">
        <f>Demand!E3102</f>
        <v>54</v>
      </c>
      <c r="E3104" s="33">
        <f>IF(Demand!F3102,1,0)</f>
        <v>1</v>
      </c>
      <c r="F3104" s="33">
        <f>COUNTIFS(c_store,A3104,c_date,B3104,c_hour,C3104)</f>
        <v>1</v>
      </c>
      <c r="G3104" s="33">
        <f>IF(F3104&gt;0,1,0)</f>
        <v>1</v>
      </c>
      <c r="H3104" s="33">
        <f>COUNTIFS(Demand!$A$2:$A$4481,A3104,Demand!$B$2:$B$4481,B3104,Demand!$C$2:$C$4481,C3104)</f>
        <v>1</v>
      </c>
    </row>
    <row r="3105">
      <c r="A3105" s="32" t="str">
        <f>Demand!A3103</f>
        <v>S014</v>
      </c>
      <c r="B3105" s="35">
        <f>Demand!B3103</f>
        <v>46275.0</v>
      </c>
      <c r="C3105" s="33">
        <f>Demand!C3103</f>
        <v>21</v>
      </c>
      <c r="D3105" s="33">
        <f>Demand!E3103</f>
        <v>59</v>
      </c>
      <c r="E3105" s="33">
        <f>IF(Demand!F3103,1,0)</f>
        <v>1</v>
      </c>
      <c r="F3105" s="33">
        <f>COUNTIFS(c_store,A3105,c_date,B3105,c_hour,C3105)</f>
        <v>0</v>
      </c>
      <c r="G3105" s="33">
        <f>IF(F3105&gt;0,1,0)</f>
        <v>0</v>
      </c>
      <c r="H3105" s="33">
        <f>COUNTIFS(Demand!$A$2:$A$4481,A3105,Demand!$B$2:$B$4481,B3105,Demand!$C$2:$C$4481,C3105)</f>
        <v>1</v>
      </c>
    </row>
    <row r="3106">
      <c r="A3106" s="32" t="str">
        <f>Demand!A3104</f>
        <v>S014</v>
      </c>
      <c r="B3106" s="35">
        <f>Demand!B3104</f>
        <v>46275.0</v>
      </c>
      <c r="C3106" s="33">
        <f>Demand!C3104</f>
        <v>22</v>
      </c>
      <c r="D3106" s="33">
        <f>Demand!E3104</f>
        <v>26</v>
      </c>
      <c r="E3106" s="33">
        <f>IF(Demand!F3104,1,0)</f>
        <v>0</v>
      </c>
      <c r="F3106" s="33">
        <f>COUNTIFS(c_store,A3106,c_date,B3106,c_hour,C3106)</f>
        <v>0</v>
      </c>
      <c r="G3106" s="33">
        <f>IF(F3106&gt;0,1,0)</f>
        <v>0</v>
      </c>
      <c r="H3106" s="33">
        <f>COUNTIFS(Demand!$A$2:$A$4481,A3106,Demand!$B$2:$B$4481,B3106,Demand!$C$2:$C$4481,C3106)</f>
        <v>1</v>
      </c>
    </row>
    <row r="3107">
      <c r="A3107" s="32" t="str">
        <f>Demand!A3105</f>
        <v>S014</v>
      </c>
      <c r="B3107" s="35">
        <f>Demand!B3105</f>
        <v>46275.0</v>
      </c>
      <c r="C3107" s="33">
        <f>Demand!C3105</f>
        <v>23</v>
      </c>
      <c r="D3107" s="33">
        <f>Demand!E3105</f>
        <v>39</v>
      </c>
      <c r="E3107" s="33">
        <f>IF(Demand!F3105,1,0)</f>
        <v>0</v>
      </c>
      <c r="F3107" s="33">
        <f>COUNTIFS(c_store,A3107,c_date,B3107,c_hour,C3107)</f>
        <v>0</v>
      </c>
      <c r="G3107" s="33">
        <f>IF(F3107&gt;0,1,0)</f>
        <v>0</v>
      </c>
      <c r="H3107" s="33">
        <f>COUNTIFS(Demand!$A$2:$A$4481,A3107,Demand!$B$2:$B$4481,B3107,Demand!$C$2:$C$4481,C3107)</f>
        <v>1</v>
      </c>
    </row>
    <row r="3108">
      <c r="A3108" s="32" t="str">
        <f>Demand!A3106</f>
        <v>S015</v>
      </c>
      <c r="B3108" s="35">
        <f>Demand!B3106</f>
        <v>46275.0</v>
      </c>
      <c r="C3108" s="33">
        <f>Demand!C3106</f>
        <v>8</v>
      </c>
      <c r="D3108" s="33">
        <f>Demand!E3106</f>
        <v>19</v>
      </c>
      <c r="E3108" s="33">
        <f>IF(Demand!F3106,1,0)</f>
        <v>0</v>
      </c>
      <c r="F3108" s="33">
        <f>COUNTIFS(c_store,A3108,c_date,B3108,c_hour,C3108)</f>
        <v>1</v>
      </c>
      <c r="G3108" s="33">
        <f>IF(F3108&gt;0,1,0)</f>
        <v>1</v>
      </c>
      <c r="H3108" s="33">
        <f>COUNTIFS(Demand!$A$2:$A$4481,A3108,Demand!$B$2:$B$4481,B3108,Demand!$C$2:$C$4481,C3108)</f>
        <v>1</v>
      </c>
    </row>
    <row r="3109">
      <c r="A3109" s="32" t="str">
        <f>Demand!A3107</f>
        <v>S015</v>
      </c>
      <c r="B3109" s="35">
        <f>Demand!B3107</f>
        <v>46275.0</v>
      </c>
      <c r="C3109" s="33">
        <f>Demand!C3107</f>
        <v>9</v>
      </c>
      <c r="D3109" s="33">
        <f>Demand!E3107</f>
        <v>9</v>
      </c>
      <c r="E3109" s="33">
        <f>IF(Demand!F3107,1,0)</f>
        <v>0</v>
      </c>
      <c r="F3109" s="33">
        <f>COUNTIFS(c_store,A3109,c_date,B3109,c_hour,C3109)</f>
        <v>1</v>
      </c>
      <c r="G3109" s="33">
        <f>IF(F3109&gt;0,1,0)</f>
        <v>1</v>
      </c>
      <c r="H3109" s="33">
        <f>COUNTIFS(Demand!$A$2:$A$4481,A3109,Demand!$B$2:$B$4481,B3109,Demand!$C$2:$C$4481,C3109)</f>
        <v>1</v>
      </c>
    </row>
    <row r="3110">
      <c r="A3110" s="32" t="str">
        <f>Demand!A3108</f>
        <v>S015</v>
      </c>
      <c r="B3110" s="35">
        <f>Demand!B3108</f>
        <v>46275.0</v>
      </c>
      <c r="C3110" s="33">
        <f>Demand!C3108</f>
        <v>10</v>
      </c>
      <c r="D3110" s="33">
        <f>Demand!E3108</f>
        <v>23</v>
      </c>
      <c r="E3110" s="33">
        <f>IF(Demand!F3108,1,0)</f>
        <v>0</v>
      </c>
      <c r="F3110" s="33">
        <f>COUNTIFS(c_store,A3110,c_date,B3110,c_hour,C3110)</f>
        <v>0</v>
      </c>
      <c r="G3110" s="33">
        <f>IF(F3110&gt;0,1,0)</f>
        <v>0</v>
      </c>
      <c r="H3110" s="33">
        <f>COUNTIFS(Demand!$A$2:$A$4481,A3110,Demand!$B$2:$B$4481,B3110,Demand!$C$2:$C$4481,C3110)</f>
        <v>1</v>
      </c>
    </row>
    <row r="3111">
      <c r="A3111" s="32" t="str">
        <f>Demand!A3109</f>
        <v>S015</v>
      </c>
      <c r="B3111" s="35">
        <f>Demand!B3109</f>
        <v>46275.0</v>
      </c>
      <c r="C3111" s="33">
        <f>Demand!C3109</f>
        <v>11</v>
      </c>
      <c r="D3111" s="33">
        <f>Demand!E3109</f>
        <v>30</v>
      </c>
      <c r="E3111" s="33">
        <f>IF(Demand!F3109,1,0)</f>
        <v>0</v>
      </c>
      <c r="F3111" s="33">
        <f>COUNTIFS(c_store,A3111,c_date,B3111,c_hour,C3111)</f>
        <v>1</v>
      </c>
      <c r="G3111" s="33">
        <f>IF(F3111&gt;0,1,0)</f>
        <v>1</v>
      </c>
      <c r="H3111" s="33">
        <f>COUNTIFS(Demand!$A$2:$A$4481,A3111,Demand!$B$2:$B$4481,B3111,Demand!$C$2:$C$4481,C3111)</f>
        <v>1</v>
      </c>
    </row>
    <row r="3112">
      <c r="A3112" s="32" t="str">
        <f>Demand!A3110</f>
        <v>S015</v>
      </c>
      <c r="B3112" s="35">
        <f>Demand!B3110</f>
        <v>46275.0</v>
      </c>
      <c r="C3112" s="33">
        <f>Demand!C3110</f>
        <v>12</v>
      </c>
      <c r="D3112" s="33">
        <f>Demand!E3110</f>
        <v>22</v>
      </c>
      <c r="E3112" s="33">
        <f>IF(Demand!F3110,1,0)</f>
        <v>0</v>
      </c>
      <c r="F3112" s="33">
        <f>COUNTIFS(c_store,A3112,c_date,B3112,c_hour,C3112)</f>
        <v>1</v>
      </c>
      <c r="G3112" s="33">
        <f>IF(F3112&gt;0,1,0)</f>
        <v>1</v>
      </c>
      <c r="H3112" s="33">
        <f>COUNTIFS(Demand!$A$2:$A$4481,A3112,Demand!$B$2:$B$4481,B3112,Demand!$C$2:$C$4481,C3112)</f>
        <v>1</v>
      </c>
    </row>
    <row r="3113">
      <c r="A3113" s="32" t="str">
        <f>Demand!A3111</f>
        <v>S015</v>
      </c>
      <c r="B3113" s="35">
        <f>Demand!B3111</f>
        <v>46275.0</v>
      </c>
      <c r="C3113" s="33">
        <f>Demand!C3111</f>
        <v>13</v>
      </c>
      <c r="D3113" s="33">
        <f>Demand!E3111</f>
        <v>28</v>
      </c>
      <c r="E3113" s="33">
        <f>IF(Demand!F3111,1,0)</f>
        <v>0</v>
      </c>
      <c r="F3113" s="33">
        <f>COUNTIFS(c_store,A3113,c_date,B3113,c_hour,C3113)</f>
        <v>0</v>
      </c>
      <c r="G3113" s="33">
        <f>IF(F3113&gt;0,1,0)</f>
        <v>0</v>
      </c>
      <c r="H3113" s="33">
        <f>COUNTIFS(Demand!$A$2:$A$4481,A3113,Demand!$B$2:$B$4481,B3113,Demand!$C$2:$C$4481,C3113)</f>
        <v>1</v>
      </c>
    </row>
    <row r="3114">
      <c r="A3114" s="32" t="str">
        <f>Demand!A3112</f>
        <v>S015</v>
      </c>
      <c r="B3114" s="35">
        <f>Demand!B3112</f>
        <v>46275.0</v>
      </c>
      <c r="C3114" s="33">
        <f>Demand!C3112</f>
        <v>14</v>
      </c>
      <c r="D3114" s="33">
        <f>Demand!E3112</f>
        <v>17</v>
      </c>
      <c r="E3114" s="33">
        <f>IF(Demand!F3112,1,0)</f>
        <v>0</v>
      </c>
      <c r="F3114" s="33">
        <f>COUNTIFS(c_store,A3114,c_date,B3114,c_hour,C3114)</f>
        <v>0</v>
      </c>
      <c r="G3114" s="33">
        <f>IF(F3114&gt;0,1,0)</f>
        <v>0</v>
      </c>
      <c r="H3114" s="33">
        <f>COUNTIFS(Demand!$A$2:$A$4481,A3114,Demand!$B$2:$B$4481,B3114,Demand!$C$2:$C$4481,C3114)</f>
        <v>1</v>
      </c>
    </row>
    <row r="3115">
      <c r="A3115" s="32" t="str">
        <f>Demand!A3113</f>
        <v>S015</v>
      </c>
      <c r="B3115" s="35">
        <f>Demand!B3113</f>
        <v>46275.0</v>
      </c>
      <c r="C3115" s="33">
        <f>Demand!C3113</f>
        <v>15</v>
      </c>
      <c r="D3115" s="33">
        <f>Demand!E3113</f>
        <v>12</v>
      </c>
      <c r="E3115" s="33">
        <f>IF(Demand!F3113,1,0)</f>
        <v>0</v>
      </c>
      <c r="F3115" s="33">
        <f>COUNTIFS(c_store,A3115,c_date,B3115,c_hour,C3115)</f>
        <v>0</v>
      </c>
      <c r="G3115" s="33">
        <f>IF(F3115&gt;0,1,0)</f>
        <v>0</v>
      </c>
      <c r="H3115" s="33">
        <f>COUNTIFS(Demand!$A$2:$A$4481,A3115,Demand!$B$2:$B$4481,B3115,Demand!$C$2:$C$4481,C3115)</f>
        <v>1</v>
      </c>
    </row>
    <row r="3116">
      <c r="A3116" s="32" t="str">
        <f>Demand!A3114</f>
        <v>S015</v>
      </c>
      <c r="B3116" s="35">
        <f>Demand!B3114</f>
        <v>46275.0</v>
      </c>
      <c r="C3116" s="33">
        <f>Demand!C3114</f>
        <v>16</v>
      </c>
      <c r="D3116" s="33">
        <f>Demand!E3114</f>
        <v>16</v>
      </c>
      <c r="E3116" s="33">
        <f>IF(Demand!F3114,1,0)</f>
        <v>0</v>
      </c>
      <c r="F3116" s="33">
        <f>COUNTIFS(c_store,A3116,c_date,B3116,c_hour,C3116)</f>
        <v>1</v>
      </c>
      <c r="G3116" s="33">
        <f>IF(F3116&gt;0,1,0)</f>
        <v>1</v>
      </c>
      <c r="H3116" s="33">
        <f>COUNTIFS(Demand!$A$2:$A$4481,A3116,Demand!$B$2:$B$4481,B3116,Demand!$C$2:$C$4481,C3116)</f>
        <v>1</v>
      </c>
    </row>
    <row r="3117">
      <c r="A3117" s="32" t="str">
        <f>Demand!A3115</f>
        <v>S015</v>
      </c>
      <c r="B3117" s="35">
        <f>Demand!B3115</f>
        <v>46275.0</v>
      </c>
      <c r="C3117" s="33">
        <f>Demand!C3115</f>
        <v>17</v>
      </c>
      <c r="D3117" s="33">
        <f>Demand!E3115</f>
        <v>21</v>
      </c>
      <c r="E3117" s="33">
        <f>IF(Demand!F3115,1,0)</f>
        <v>0</v>
      </c>
      <c r="F3117" s="33">
        <f>COUNTIFS(c_store,A3117,c_date,B3117,c_hour,C3117)</f>
        <v>1</v>
      </c>
      <c r="G3117" s="33">
        <f>IF(F3117&gt;0,1,0)</f>
        <v>1</v>
      </c>
      <c r="H3117" s="33">
        <f>COUNTIFS(Demand!$A$2:$A$4481,A3117,Demand!$B$2:$B$4481,B3117,Demand!$C$2:$C$4481,C3117)</f>
        <v>1</v>
      </c>
    </row>
    <row r="3118">
      <c r="A3118" s="32" t="str">
        <f>Demand!A3116</f>
        <v>S015</v>
      </c>
      <c r="B3118" s="35">
        <f>Demand!B3116</f>
        <v>46275.0</v>
      </c>
      <c r="C3118" s="33">
        <f>Demand!C3116</f>
        <v>18</v>
      </c>
      <c r="D3118" s="33">
        <f>Demand!E3116</f>
        <v>30</v>
      </c>
      <c r="E3118" s="33">
        <f>IF(Demand!F3116,1,0)</f>
        <v>0</v>
      </c>
      <c r="F3118" s="33">
        <f>COUNTIFS(c_store,A3118,c_date,B3118,c_hour,C3118)</f>
        <v>1</v>
      </c>
      <c r="G3118" s="33">
        <f>IF(F3118&gt;0,1,0)</f>
        <v>1</v>
      </c>
      <c r="H3118" s="33">
        <f>COUNTIFS(Demand!$A$2:$A$4481,A3118,Demand!$B$2:$B$4481,B3118,Demand!$C$2:$C$4481,C3118)</f>
        <v>1</v>
      </c>
    </row>
    <row r="3119">
      <c r="A3119" s="32" t="str">
        <f>Demand!A3117</f>
        <v>S015</v>
      </c>
      <c r="B3119" s="35">
        <f>Demand!B3117</f>
        <v>46275.0</v>
      </c>
      <c r="C3119" s="33">
        <f>Demand!C3117</f>
        <v>19</v>
      </c>
      <c r="D3119" s="33">
        <f>Demand!E3117</f>
        <v>33</v>
      </c>
      <c r="E3119" s="33">
        <f>IF(Demand!F3117,1,0)</f>
        <v>1</v>
      </c>
      <c r="F3119" s="33">
        <f>COUNTIFS(c_store,A3119,c_date,B3119,c_hour,C3119)</f>
        <v>0</v>
      </c>
      <c r="G3119" s="33">
        <f>IF(F3119&gt;0,1,0)</f>
        <v>0</v>
      </c>
      <c r="H3119" s="33">
        <f>COUNTIFS(Demand!$A$2:$A$4481,A3119,Demand!$B$2:$B$4481,B3119,Demand!$C$2:$C$4481,C3119)</f>
        <v>1</v>
      </c>
    </row>
    <row r="3120">
      <c r="A3120" s="32" t="str">
        <f>Demand!A3118</f>
        <v>S015</v>
      </c>
      <c r="B3120" s="35">
        <f>Demand!B3118</f>
        <v>46275.0</v>
      </c>
      <c r="C3120" s="33">
        <f>Demand!C3118</f>
        <v>20</v>
      </c>
      <c r="D3120" s="33">
        <f>Demand!E3118</f>
        <v>29</v>
      </c>
      <c r="E3120" s="33">
        <f>IF(Demand!F3118,1,0)</f>
        <v>1</v>
      </c>
      <c r="F3120" s="33">
        <f>COUNTIFS(c_store,A3120,c_date,B3120,c_hour,C3120)</f>
        <v>1</v>
      </c>
      <c r="G3120" s="33">
        <f>IF(F3120&gt;0,1,0)</f>
        <v>1</v>
      </c>
      <c r="H3120" s="33">
        <f>COUNTIFS(Demand!$A$2:$A$4481,A3120,Demand!$B$2:$B$4481,B3120,Demand!$C$2:$C$4481,C3120)</f>
        <v>1</v>
      </c>
    </row>
    <row r="3121">
      <c r="A3121" s="32" t="str">
        <f>Demand!A3119</f>
        <v>S015</v>
      </c>
      <c r="B3121" s="35">
        <f>Demand!B3119</f>
        <v>46275.0</v>
      </c>
      <c r="C3121" s="33">
        <f>Demand!C3119</f>
        <v>21</v>
      </c>
      <c r="D3121" s="33">
        <f>Demand!E3119</f>
        <v>36</v>
      </c>
      <c r="E3121" s="33">
        <f>IF(Demand!F3119,1,0)</f>
        <v>1</v>
      </c>
      <c r="F3121" s="33">
        <f>COUNTIFS(c_store,A3121,c_date,B3121,c_hour,C3121)</f>
        <v>1</v>
      </c>
      <c r="G3121" s="33">
        <f>IF(F3121&gt;0,1,0)</f>
        <v>1</v>
      </c>
      <c r="H3121" s="33">
        <f>COUNTIFS(Demand!$A$2:$A$4481,A3121,Demand!$B$2:$B$4481,B3121,Demand!$C$2:$C$4481,C3121)</f>
        <v>1</v>
      </c>
    </row>
    <row r="3122">
      <c r="A3122" s="32" t="str">
        <f>Demand!A3120</f>
        <v>S015</v>
      </c>
      <c r="B3122" s="35">
        <f>Demand!B3120</f>
        <v>46275.0</v>
      </c>
      <c r="C3122" s="33">
        <f>Demand!C3120</f>
        <v>22</v>
      </c>
      <c r="D3122" s="33">
        <f>Demand!E3120</f>
        <v>31</v>
      </c>
      <c r="E3122" s="33">
        <f>IF(Demand!F3120,1,0)</f>
        <v>0</v>
      </c>
      <c r="F3122" s="33">
        <f>COUNTIFS(c_store,A3122,c_date,B3122,c_hour,C3122)</f>
        <v>0</v>
      </c>
      <c r="G3122" s="33">
        <f>IF(F3122&gt;0,1,0)</f>
        <v>0</v>
      </c>
      <c r="H3122" s="33">
        <f>COUNTIFS(Demand!$A$2:$A$4481,A3122,Demand!$B$2:$B$4481,B3122,Demand!$C$2:$C$4481,C3122)</f>
        <v>1</v>
      </c>
    </row>
    <row r="3123">
      <c r="A3123" s="32" t="str">
        <f>Demand!A3121</f>
        <v>S015</v>
      </c>
      <c r="B3123" s="35">
        <f>Demand!B3121</f>
        <v>46275.0</v>
      </c>
      <c r="C3123" s="33">
        <f>Demand!C3121</f>
        <v>23</v>
      </c>
      <c r="D3123" s="33">
        <f>Demand!E3121</f>
        <v>18</v>
      </c>
      <c r="E3123" s="33">
        <f>IF(Demand!F3121,1,0)</f>
        <v>0</v>
      </c>
      <c r="F3123" s="33">
        <f>COUNTIFS(c_store,A3123,c_date,B3123,c_hour,C3123)</f>
        <v>0</v>
      </c>
      <c r="G3123" s="33">
        <f>IF(F3123&gt;0,1,0)</f>
        <v>0</v>
      </c>
      <c r="H3123" s="33">
        <f>COUNTIFS(Demand!$A$2:$A$4481,A3123,Demand!$B$2:$B$4481,B3123,Demand!$C$2:$C$4481,C3123)</f>
        <v>1</v>
      </c>
    </row>
    <row r="3124">
      <c r="A3124" s="32" t="str">
        <f>Demand!A3122</f>
        <v>S016</v>
      </c>
      <c r="B3124" s="35">
        <f>Demand!B3122</f>
        <v>46275.0</v>
      </c>
      <c r="C3124" s="33">
        <f>Demand!C3122</f>
        <v>8</v>
      </c>
      <c r="D3124" s="33">
        <f>Demand!E3122</f>
        <v>14</v>
      </c>
      <c r="E3124" s="33">
        <f>IF(Demand!F3122,1,0)</f>
        <v>0</v>
      </c>
      <c r="F3124" s="33">
        <f>COUNTIFS(c_store,A3124,c_date,B3124,c_hour,C3124)</f>
        <v>2</v>
      </c>
      <c r="G3124" s="33">
        <f>IF(F3124&gt;0,1,0)</f>
        <v>1</v>
      </c>
      <c r="H3124" s="33">
        <f>COUNTIFS(Demand!$A$2:$A$4481,A3124,Demand!$B$2:$B$4481,B3124,Demand!$C$2:$C$4481,C3124)</f>
        <v>1</v>
      </c>
    </row>
    <row r="3125">
      <c r="A3125" s="32" t="str">
        <f>Demand!A3123</f>
        <v>S016</v>
      </c>
      <c r="B3125" s="35">
        <f>Demand!B3123</f>
        <v>46275.0</v>
      </c>
      <c r="C3125" s="33">
        <f>Demand!C3123</f>
        <v>9</v>
      </c>
      <c r="D3125" s="33">
        <f>Demand!E3123</f>
        <v>16</v>
      </c>
      <c r="E3125" s="33">
        <f>IF(Demand!F3123,1,0)</f>
        <v>0</v>
      </c>
      <c r="F3125" s="33">
        <f>COUNTIFS(c_store,A3125,c_date,B3125,c_hour,C3125)</f>
        <v>0</v>
      </c>
      <c r="G3125" s="33">
        <f>IF(F3125&gt;0,1,0)</f>
        <v>0</v>
      </c>
      <c r="H3125" s="33">
        <f>COUNTIFS(Demand!$A$2:$A$4481,A3125,Demand!$B$2:$B$4481,B3125,Demand!$C$2:$C$4481,C3125)</f>
        <v>1</v>
      </c>
    </row>
    <row r="3126">
      <c r="A3126" s="32" t="str">
        <f>Demand!A3124</f>
        <v>S016</v>
      </c>
      <c r="B3126" s="35">
        <f>Demand!B3124</f>
        <v>46275.0</v>
      </c>
      <c r="C3126" s="33">
        <f>Demand!C3124</f>
        <v>10</v>
      </c>
      <c r="D3126" s="33">
        <f>Demand!E3124</f>
        <v>20</v>
      </c>
      <c r="E3126" s="33">
        <f>IF(Demand!F3124,1,0)</f>
        <v>0</v>
      </c>
      <c r="F3126" s="33">
        <f>COUNTIFS(c_store,A3126,c_date,B3126,c_hour,C3126)</f>
        <v>0</v>
      </c>
      <c r="G3126" s="33">
        <f>IF(F3126&gt;0,1,0)</f>
        <v>0</v>
      </c>
      <c r="H3126" s="33">
        <f>COUNTIFS(Demand!$A$2:$A$4481,A3126,Demand!$B$2:$B$4481,B3126,Demand!$C$2:$C$4481,C3126)</f>
        <v>1</v>
      </c>
    </row>
    <row r="3127">
      <c r="A3127" s="32" t="str">
        <f>Demand!A3125</f>
        <v>S016</v>
      </c>
      <c r="B3127" s="35">
        <f>Demand!B3125</f>
        <v>46275.0</v>
      </c>
      <c r="C3127" s="33">
        <f>Demand!C3125</f>
        <v>11</v>
      </c>
      <c r="D3127" s="33">
        <f>Demand!E3125</f>
        <v>20</v>
      </c>
      <c r="E3127" s="33">
        <f>IF(Demand!F3125,1,0)</f>
        <v>0</v>
      </c>
      <c r="F3127" s="33">
        <f>COUNTIFS(c_store,A3127,c_date,B3127,c_hour,C3127)</f>
        <v>2</v>
      </c>
      <c r="G3127" s="33">
        <f>IF(F3127&gt;0,1,0)</f>
        <v>1</v>
      </c>
      <c r="H3127" s="33">
        <f>COUNTIFS(Demand!$A$2:$A$4481,A3127,Demand!$B$2:$B$4481,B3127,Demand!$C$2:$C$4481,C3127)</f>
        <v>1</v>
      </c>
    </row>
    <row r="3128">
      <c r="A3128" s="32" t="str">
        <f>Demand!A3126</f>
        <v>S016</v>
      </c>
      <c r="B3128" s="35">
        <f>Demand!B3126</f>
        <v>46275.0</v>
      </c>
      <c r="C3128" s="33">
        <f>Demand!C3126</f>
        <v>12</v>
      </c>
      <c r="D3128" s="33">
        <f>Demand!E3126</f>
        <v>25</v>
      </c>
      <c r="E3128" s="33">
        <f>IF(Demand!F3126,1,0)</f>
        <v>0</v>
      </c>
      <c r="F3128" s="33">
        <f>COUNTIFS(c_store,A3128,c_date,B3128,c_hour,C3128)</f>
        <v>1</v>
      </c>
      <c r="G3128" s="33">
        <f>IF(F3128&gt;0,1,0)</f>
        <v>1</v>
      </c>
      <c r="H3128" s="33">
        <f>COUNTIFS(Demand!$A$2:$A$4481,A3128,Demand!$B$2:$B$4481,B3128,Demand!$C$2:$C$4481,C3128)</f>
        <v>1</v>
      </c>
    </row>
    <row r="3129">
      <c r="A3129" s="32" t="str">
        <f>Demand!A3127</f>
        <v>S016</v>
      </c>
      <c r="B3129" s="35">
        <f>Demand!B3127</f>
        <v>46275.0</v>
      </c>
      <c r="C3129" s="33">
        <f>Demand!C3127</f>
        <v>13</v>
      </c>
      <c r="D3129" s="33">
        <f>Demand!E3127</f>
        <v>26</v>
      </c>
      <c r="E3129" s="33">
        <f>IF(Demand!F3127,1,0)</f>
        <v>0</v>
      </c>
      <c r="F3129" s="33">
        <f>COUNTIFS(c_store,A3129,c_date,B3129,c_hour,C3129)</f>
        <v>0</v>
      </c>
      <c r="G3129" s="33">
        <f>IF(F3129&gt;0,1,0)</f>
        <v>0</v>
      </c>
      <c r="H3129" s="33">
        <f>COUNTIFS(Demand!$A$2:$A$4481,A3129,Demand!$B$2:$B$4481,B3129,Demand!$C$2:$C$4481,C3129)</f>
        <v>1</v>
      </c>
    </row>
    <row r="3130">
      <c r="A3130" s="32" t="str">
        <f>Demand!A3128</f>
        <v>S016</v>
      </c>
      <c r="B3130" s="35">
        <f>Demand!B3128</f>
        <v>46275.0</v>
      </c>
      <c r="C3130" s="33">
        <f>Demand!C3128</f>
        <v>14</v>
      </c>
      <c r="D3130" s="33">
        <f>Demand!E3128</f>
        <v>18</v>
      </c>
      <c r="E3130" s="33">
        <f>IF(Demand!F3128,1,0)</f>
        <v>0</v>
      </c>
      <c r="F3130" s="33">
        <f>COUNTIFS(c_store,A3130,c_date,B3130,c_hour,C3130)</f>
        <v>0</v>
      </c>
      <c r="G3130" s="33">
        <f>IF(F3130&gt;0,1,0)</f>
        <v>0</v>
      </c>
      <c r="H3130" s="33">
        <f>COUNTIFS(Demand!$A$2:$A$4481,A3130,Demand!$B$2:$B$4481,B3130,Demand!$C$2:$C$4481,C3130)</f>
        <v>1</v>
      </c>
    </row>
    <row r="3131">
      <c r="A3131" s="32" t="str">
        <f>Demand!A3129</f>
        <v>S016</v>
      </c>
      <c r="B3131" s="35">
        <f>Demand!B3129</f>
        <v>46275.0</v>
      </c>
      <c r="C3131" s="33">
        <f>Demand!C3129</f>
        <v>15</v>
      </c>
      <c r="D3131" s="33">
        <f>Demand!E3129</f>
        <v>15</v>
      </c>
      <c r="E3131" s="33">
        <f>IF(Demand!F3129,1,0)</f>
        <v>0</v>
      </c>
      <c r="F3131" s="33">
        <f>COUNTIFS(c_store,A3131,c_date,B3131,c_hour,C3131)</f>
        <v>0</v>
      </c>
      <c r="G3131" s="33">
        <f>IF(F3131&gt;0,1,0)</f>
        <v>0</v>
      </c>
      <c r="H3131" s="33">
        <f>COUNTIFS(Demand!$A$2:$A$4481,A3131,Demand!$B$2:$B$4481,B3131,Demand!$C$2:$C$4481,C3131)</f>
        <v>1</v>
      </c>
    </row>
    <row r="3132">
      <c r="A3132" s="32" t="str">
        <f>Demand!A3130</f>
        <v>S016</v>
      </c>
      <c r="B3132" s="35">
        <f>Demand!B3130</f>
        <v>46275.0</v>
      </c>
      <c r="C3132" s="33">
        <f>Demand!C3130</f>
        <v>16</v>
      </c>
      <c r="D3132" s="33">
        <f>Demand!E3130</f>
        <v>22</v>
      </c>
      <c r="E3132" s="33">
        <f>IF(Demand!F3130,1,0)</f>
        <v>0</v>
      </c>
      <c r="F3132" s="33">
        <f>COUNTIFS(c_store,A3132,c_date,B3132,c_hour,C3132)</f>
        <v>0</v>
      </c>
      <c r="G3132" s="33">
        <f>IF(F3132&gt;0,1,0)</f>
        <v>0</v>
      </c>
      <c r="H3132" s="33">
        <f>COUNTIFS(Demand!$A$2:$A$4481,A3132,Demand!$B$2:$B$4481,B3132,Demand!$C$2:$C$4481,C3132)</f>
        <v>1</v>
      </c>
    </row>
    <row r="3133">
      <c r="A3133" s="32" t="str">
        <f>Demand!A3131</f>
        <v>S016</v>
      </c>
      <c r="B3133" s="35">
        <f>Demand!B3131</f>
        <v>46275.0</v>
      </c>
      <c r="C3133" s="33">
        <f>Demand!C3131</f>
        <v>17</v>
      </c>
      <c r="D3133" s="33">
        <f>Demand!E3131</f>
        <v>23</v>
      </c>
      <c r="E3133" s="33">
        <f>IF(Demand!F3131,1,0)</f>
        <v>0</v>
      </c>
      <c r="F3133" s="33">
        <f>COUNTIFS(c_store,A3133,c_date,B3133,c_hour,C3133)</f>
        <v>0</v>
      </c>
      <c r="G3133" s="33">
        <f>IF(F3133&gt;0,1,0)</f>
        <v>0</v>
      </c>
      <c r="H3133" s="33">
        <f>COUNTIFS(Demand!$A$2:$A$4481,A3133,Demand!$B$2:$B$4481,B3133,Demand!$C$2:$C$4481,C3133)</f>
        <v>1</v>
      </c>
    </row>
    <row r="3134">
      <c r="A3134" s="32" t="str">
        <f>Demand!A3132</f>
        <v>S016</v>
      </c>
      <c r="B3134" s="35">
        <f>Demand!B3132</f>
        <v>46275.0</v>
      </c>
      <c r="C3134" s="33">
        <f>Demand!C3132</f>
        <v>18</v>
      </c>
      <c r="D3134" s="33">
        <f>Demand!E3132</f>
        <v>24</v>
      </c>
      <c r="E3134" s="33">
        <f>IF(Demand!F3132,1,0)</f>
        <v>0</v>
      </c>
      <c r="F3134" s="33">
        <f>COUNTIFS(c_store,A3134,c_date,B3134,c_hour,C3134)</f>
        <v>0</v>
      </c>
      <c r="G3134" s="33">
        <f>IF(F3134&gt;0,1,0)</f>
        <v>0</v>
      </c>
      <c r="H3134" s="33">
        <f>COUNTIFS(Demand!$A$2:$A$4481,A3134,Demand!$B$2:$B$4481,B3134,Demand!$C$2:$C$4481,C3134)</f>
        <v>1</v>
      </c>
    </row>
    <row r="3135">
      <c r="A3135" s="32" t="str">
        <f>Demand!A3133</f>
        <v>S016</v>
      </c>
      <c r="B3135" s="35">
        <f>Demand!B3133</f>
        <v>46275.0</v>
      </c>
      <c r="C3135" s="33">
        <f>Demand!C3133</f>
        <v>19</v>
      </c>
      <c r="D3135" s="33">
        <f>Demand!E3133</f>
        <v>28</v>
      </c>
      <c r="E3135" s="33">
        <f>IF(Demand!F3133,1,0)</f>
        <v>1</v>
      </c>
      <c r="F3135" s="33">
        <f>COUNTIFS(c_store,A3135,c_date,B3135,c_hour,C3135)</f>
        <v>0</v>
      </c>
      <c r="G3135" s="33">
        <f>IF(F3135&gt;0,1,0)</f>
        <v>0</v>
      </c>
      <c r="H3135" s="33">
        <f>COUNTIFS(Demand!$A$2:$A$4481,A3135,Demand!$B$2:$B$4481,B3135,Demand!$C$2:$C$4481,C3135)</f>
        <v>1</v>
      </c>
    </row>
    <row r="3136">
      <c r="A3136" s="32" t="str">
        <f>Demand!A3134</f>
        <v>S016</v>
      </c>
      <c r="B3136" s="35">
        <f>Demand!B3134</f>
        <v>46275.0</v>
      </c>
      <c r="C3136" s="33">
        <f>Demand!C3134</f>
        <v>20</v>
      </c>
      <c r="D3136" s="33">
        <f>Demand!E3134</f>
        <v>36</v>
      </c>
      <c r="E3136" s="33">
        <f>IF(Demand!F3134,1,0)</f>
        <v>1</v>
      </c>
      <c r="F3136" s="33">
        <f>COUNTIFS(c_store,A3136,c_date,B3136,c_hour,C3136)</f>
        <v>0</v>
      </c>
      <c r="G3136" s="33">
        <f>IF(F3136&gt;0,1,0)</f>
        <v>0</v>
      </c>
      <c r="H3136" s="33">
        <f>COUNTIFS(Demand!$A$2:$A$4481,A3136,Demand!$B$2:$B$4481,B3136,Demand!$C$2:$C$4481,C3136)</f>
        <v>1</v>
      </c>
    </row>
    <row r="3137">
      <c r="A3137" s="32" t="str">
        <f>Demand!A3135</f>
        <v>S016</v>
      </c>
      <c r="B3137" s="35">
        <f>Demand!B3135</f>
        <v>46275.0</v>
      </c>
      <c r="C3137" s="33">
        <f>Demand!C3135</f>
        <v>21</v>
      </c>
      <c r="D3137" s="33">
        <f>Demand!E3135</f>
        <v>36</v>
      </c>
      <c r="E3137" s="33">
        <f>IF(Demand!F3135,1,0)</f>
        <v>1</v>
      </c>
      <c r="F3137" s="33">
        <f>COUNTIFS(c_store,A3137,c_date,B3137,c_hour,C3137)</f>
        <v>0</v>
      </c>
      <c r="G3137" s="33">
        <f>IF(F3137&gt;0,1,0)</f>
        <v>0</v>
      </c>
      <c r="H3137" s="33">
        <f>COUNTIFS(Demand!$A$2:$A$4481,A3137,Demand!$B$2:$B$4481,B3137,Demand!$C$2:$C$4481,C3137)</f>
        <v>1</v>
      </c>
    </row>
    <row r="3138">
      <c r="A3138" s="32" t="str">
        <f>Demand!A3136</f>
        <v>S016</v>
      </c>
      <c r="B3138" s="35">
        <f>Demand!B3136</f>
        <v>46275.0</v>
      </c>
      <c r="C3138" s="33">
        <f>Demand!C3136</f>
        <v>22</v>
      </c>
      <c r="D3138" s="33">
        <f>Demand!E3136</f>
        <v>31</v>
      </c>
      <c r="E3138" s="33">
        <f>IF(Demand!F3136,1,0)</f>
        <v>0</v>
      </c>
      <c r="F3138" s="33">
        <f>COUNTIFS(c_store,A3138,c_date,B3138,c_hour,C3138)</f>
        <v>1</v>
      </c>
      <c r="G3138" s="33">
        <f>IF(F3138&gt;0,1,0)</f>
        <v>1</v>
      </c>
      <c r="H3138" s="33">
        <f>COUNTIFS(Demand!$A$2:$A$4481,A3138,Demand!$B$2:$B$4481,B3138,Demand!$C$2:$C$4481,C3138)</f>
        <v>1</v>
      </c>
    </row>
    <row r="3139">
      <c r="A3139" s="32" t="str">
        <f>Demand!A3137</f>
        <v>S016</v>
      </c>
      <c r="B3139" s="35">
        <f>Demand!B3137</f>
        <v>46275.0</v>
      </c>
      <c r="C3139" s="33">
        <f>Demand!C3137</f>
        <v>23</v>
      </c>
      <c r="D3139" s="33">
        <f>Demand!E3137</f>
        <v>29</v>
      </c>
      <c r="E3139" s="33">
        <f>IF(Demand!F3137,1,0)</f>
        <v>0</v>
      </c>
      <c r="F3139" s="33">
        <f>COUNTIFS(c_store,A3139,c_date,B3139,c_hour,C3139)</f>
        <v>1</v>
      </c>
      <c r="G3139" s="33">
        <f>IF(F3139&gt;0,1,0)</f>
        <v>1</v>
      </c>
      <c r="H3139" s="33">
        <f>COUNTIFS(Demand!$A$2:$A$4481,A3139,Demand!$B$2:$B$4481,B3139,Demand!$C$2:$C$4481,C3139)</f>
        <v>1</v>
      </c>
    </row>
    <row r="3140">
      <c r="A3140" s="32" t="str">
        <f>Demand!A3138</f>
        <v>S017</v>
      </c>
      <c r="B3140" s="35">
        <f>Demand!B3138</f>
        <v>46275.0</v>
      </c>
      <c r="C3140" s="33">
        <f>Demand!C3138</f>
        <v>8</v>
      </c>
      <c r="D3140" s="33">
        <f>Demand!E3138</f>
        <v>24</v>
      </c>
      <c r="E3140" s="33">
        <f>IF(Demand!F3138,1,0)</f>
        <v>0</v>
      </c>
      <c r="F3140" s="33">
        <f>COUNTIFS(c_store,A3140,c_date,B3140,c_hour,C3140)</f>
        <v>0</v>
      </c>
      <c r="G3140" s="33">
        <f>IF(F3140&gt;0,1,0)</f>
        <v>0</v>
      </c>
      <c r="H3140" s="33">
        <f>COUNTIFS(Demand!$A$2:$A$4481,A3140,Demand!$B$2:$B$4481,B3140,Demand!$C$2:$C$4481,C3140)</f>
        <v>1</v>
      </c>
    </row>
    <row r="3141">
      <c r="A3141" s="32" t="str">
        <f>Demand!A3139</f>
        <v>S017</v>
      </c>
      <c r="B3141" s="35">
        <f>Demand!B3139</f>
        <v>46275.0</v>
      </c>
      <c r="C3141" s="33">
        <f>Demand!C3139</f>
        <v>9</v>
      </c>
      <c r="D3141" s="33">
        <f>Demand!E3139</f>
        <v>29</v>
      </c>
      <c r="E3141" s="33">
        <f>IF(Demand!F3139,1,0)</f>
        <v>0</v>
      </c>
      <c r="F3141" s="33">
        <f>COUNTIFS(c_store,A3141,c_date,B3141,c_hour,C3141)</f>
        <v>1</v>
      </c>
      <c r="G3141" s="33">
        <f>IF(F3141&gt;0,1,0)</f>
        <v>1</v>
      </c>
      <c r="H3141" s="33">
        <f>COUNTIFS(Demand!$A$2:$A$4481,A3141,Demand!$B$2:$B$4481,B3141,Demand!$C$2:$C$4481,C3141)</f>
        <v>1</v>
      </c>
    </row>
    <row r="3142">
      <c r="A3142" s="32" t="str">
        <f>Demand!A3140</f>
        <v>S017</v>
      </c>
      <c r="B3142" s="35">
        <f>Demand!B3140</f>
        <v>46275.0</v>
      </c>
      <c r="C3142" s="33">
        <f>Demand!C3140</f>
        <v>10</v>
      </c>
      <c r="D3142" s="33">
        <f>Demand!E3140</f>
        <v>23</v>
      </c>
      <c r="E3142" s="33">
        <f>IF(Demand!F3140,1,0)</f>
        <v>0</v>
      </c>
      <c r="F3142" s="33">
        <f>COUNTIFS(c_store,A3142,c_date,B3142,c_hour,C3142)</f>
        <v>1</v>
      </c>
      <c r="G3142" s="33">
        <f>IF(F3142&gt;0,1,0)</f>
        <v>1</v>
      </c>
      <c r="H3142" s="33">
        <f>COUNTIFS(Demand!$A$2:$A$4481,A3142,Demand!$B$2:$B$4481,B3142,Demand!$C$2:$C$4481,C3142)</f>
        <v>1</v>
      </c>
    </row>
    <row r="3143">
      <c r="A3143" s="32" t="str">
        <f>Demand!A3141</f>
        <v>S017</v>
      </c>
      <c r="B3143" s="35">
        <f>Demand!B3141</f>
        <v>46275.0</v>
      </c>
      <c r="C3143" s="33">
        <f>Demand!C3141</f>
        <v>11</v>
      </c>
      <c r="D3143" s="33">
        <f>Demand!E3141</f>
        <v>40</v>
      </c>
      <c r="E3143" s="33">
        <f>IF(Demand!F3141,1,0)</f>
        <v>0</v>
      </c>
      <c r="F3143" s="33">
        <f>COUNTIFS(c_store,A3143,c_date,B3143,c_hour,C3143)</f>
        <v>0</v>
      </c>
      <c r="G3143" s="33">
        <f>IF(F3143&gt;0,1,0)</f>
        <v>0</v>
      </c>
      <c r="H3143" s="33">
        <f>COUNTIFS(Demand!$A$2:$A$4481,A3143,Demand!$B$2:$B$4481,B3143,Demand!$C$2:$C$4481,C3143)</f>
        <v>1</v>
      </c>
    </row>
    <row r="3144">
      <c r="A3144" s="32" t="str">
        <f>Demand!A3142</f>
        <v>S017</v>
      </c>
      <c r="B3144" s="35">
        <f>Demand!B3142</f>
        <v>46275.0</v>
      </c>
      <c r="C3144" s="33">
        <f>Demand!C3142</f>
        <v>12</v>
      </c>
      <c r="D3144" s="33">
        <f>Demand!E3142</f>
        <v>35</v>
      </c>
      <c r="E3144" s="33">
        <f>IF(Demand!F3142,1,0)</f>
        <v>0</v>
      </c>
      <c r="F3144" s="33">
        <f>COUNTIFS(c_store,A3144,c_date,B3144,c_hour,C3144)</f>
        <v>0</v>
      </c>
      <c r="G3144" s="33">
        <f>IF(F3144&gt;0,1,0)</f>
        <v>0</v>
      </c>
      <c r="H3144" s="33">
        <f>COUNTIFS(Demand!$A$2:$A$4481,A3144,Demand!$B$2:$B$4481,B3144,Demand!$C$2:$C$4481,C3144)</f>
        <v>1</v>
      </c>
    </row>
    <row r="3145">
      <c r="A3145" s="32" t="str">
        <f>Demand!A3143</f>
        <v>S017</v>
      </c>
      <c r="B3145" s="35">
        <f>Demand!B3143</f>
        <v>46275.0</v>
      </c>
      <c r="C3145" s="33">
        <f>Demand!C3143</f>
        <v>13</v>
      </c>
      <c r="D3145" s="33">
        <f>Demand!E3143</f>
        <v>38</v>
      </c>
      <c r="E3145" s="33">
        <f>IF(Demand!F3143,1,0)</f>
        <v>0</v>
      </c>
      <c r="F3145" s="33">
        <f>COUNTIFS(c_store,A3145,c_date,B3145,c_hour,C3145)</f>
        <v>0</v>
      </c>
      <c r="G3145" s="33">
        <f>IF(F3145&gt;0,1,0)</f>
        <v>0</v>
      </c>
      <c r="H3145" s="33">
        <f>COUNTIFS(Demand!$A$2:$A$4481,A3145,Demand!$B$2:$B$4481,B3145,Demand!$C$2:$C$4481,C3145)</f>
        <v>1</v>
      </c>
    </row>
    <row r="3146">
      <c r="A3146" s="32" t="str">
        <f>Demand!A3144</f>
        <v>S017</v>
      </c>
      <c r="B3146" s="35">
        <f>Demand!B3144</f>
        <v>46275.0</v>
      </c>
      <c r="C3146" s="33">
        <f>Demand!C3144</f>
        <v>14</v>
      </c>
      <c r="D3146" s="33">
        <f>Demand!E3144</f>
        <v>24</v>
      </c>
      <c r="E3146" s="33">
        <f>IF(Demand!F3144,1,0)</f>
        <v>0</v>
      </c>
      <c r="F3146" s="33">
        <f>COUNTIFS(c_store,A3146,c_date,B3146,c_hour,C3146)</f>
        <v>0</v>
      </c>
      <c r="G3146" s="33">
        <f>IF(F3146&gt;0,1,0)</f>
        <v>0</v>
      </c>
      <c r="H3146" s="33">
        <f>COUNTIFS(Demand!$A$2:$A$4481,A3146,Demand!$B$2:$B$4481,B3146,Demand!$C$2:$C$4481,C3146)</f>
        <v>1</v>
      </c>
    </row>
    <row r="3147">
      <c r="A3147" s="32" t="str">
        <f>Demand!A3145</f>
        <v>S017</v>
      </c>
      <c r="B3147" s="35">
        <f>Demand!B3145</f>
        <v>46275.0</v>
      </c>
      <c r="C3147" s="33">
        <f>Demand!C3145</f>
        <v>15</v>
      </c>
      <c r="D3147" s="33">
        <f>Demand!E3145</f>
        <v>21</v>
      </c>
      <c r="E3147" s="33">
        <f>IF(Demand!F3145,1,0)</f>
        <v>0</v>
      </c>
      <c r="F3147" s="33">
        <f>COUNTIFS(c_store,A3147,c_date,B3147,c_hour,C3147)</f>
        <v>1</v>
      </c>
      <c r="G3147" s="33">
        <f>IF(F3147&gt;0,1,0)</f>
        <v>1</v>
      </c>
      <c r="H3147" s="33">
        <f>COUNTIFS(Demand!$A$2:$A$4481,A3147,Demand!$B$2:$B$4481,B3147,Demand!$C$2:$C$4481,C3147)</f>
        <v>1</v>
      </c>
    </row>
    <row r="3148">
      <c r="A3148" s="32" t="str">
        <f>Demand!A3146</f>
        <v>S017</v>
      </c>
      <c r="B3148" s="35">
        <f>Demand!B3146</f>
        <v>46275.0</v>
      </c>
      <c r="C3148" s="33">
        <f>Demand!C3146</f>
        <v>16</v>
      </c>
      <c r="D3148" s="33">
        <f>Demand!E3146</f>
        <v>42</v>
      </c>
      <c r="E3148" s="33">
        <f>IF(Demand!F3146,1,0)</f>
        <v>0</v>
      </c>
      <c r="F3148" s="33">
        <f>COUNTIFS(c_store,A3148,c_date,B3148,c_hour,C3148)</f>
        <v>0</v>
      </c>
      <c r="G3148" s="33">
        <f>IF(F3148&gt;0,1,0)</f>
        <v>0</v>
      </c>
      <c r="H3148" s="33">
        <f>COUNTIFS(Demand!$A$2:$A$4481,A3148,Demand!$B$2:$B$4481,B3148,Demand!$C$2:$C$4481,C3148)</f>
        <v>1</v>
      </c>
    </row>
    <row r="3149">
      <c r="A3149" s="32" t="str">
        <f>Demand!A3147</f>
        <v>S017</v>
      </c>
      <c r="B3149" s="35">
        <f>Demand!B3147</f>
        <v>46275.0</v>
      </c>
      <c r="C3149" s="33">
        <f>Demand!C3147</f>
        <v>17</v>
      </c>
      <c r="D3149" s="33">
        <f>Demand!E3147</f>
        <v>44</v>
      </c>
      <c r="E3149" s="33">
        <f>IF(Demand!F3147,1,0)</f>
        <v>0</v>
      </c>
      <c r="F3149" s="33">
        <f>COUNTIFS(c_store,A3149,c_date,B3149,c_hour,C3149)</f>
        <v>0</v>
      </c>
      <c r="G3149" s="33">
        <f>IF(F3149&gt;0,1,0)</f>
        <v>0</v>
      </c>
      <c r="H3149" s="33">
        <f>COUNTIFS(Demand!$A$2:$A$4481,A3149,Demand!$B$2:$B$4481,B3149,Demand!$C$2:$C$4481,C3149)</f>
        <v>1</v>
      </c>
    </row>
    <row r="3150">
      <c r="A3150" s="32" t="str">
        <f>Demand!A3148</f>
        <v>S017</v>
      </c>
      <c r="B3150" s="35">
        <f>Demand!B3148</f>
        <v>46275.0</v>
      </c>
      <c r="C3150" s="33">
        <f>Demand!C3148</f>
        <v>18</v>
      </c>
      <c r="D3150" s="33">
        <f>Demand!E3148</f>
        <v>37</v>
      </c>
      <c r="E3150" s="33">
        <f>IF(Demand!F3148,1,0)</f>
        <v>0</v>
      </c>
      <c r="F3150" s="33">
        <f>COUNTIFS(c_store,A3150,c_date,B3150,c_hour,C3150)</f>
        <v>0</v>
      </c>
      <c r="G3150" s="33">
        <f>IF(F3150&gt;0,1,0)</f>
        <v>0</v>
      </c>
      <c r="H3150" s="33">
        <f>COUNTIFS(Demand!$A$2:$A$4481,A3150,Demand!$B$2:$B$4481,B3150,Demand!$C$2:$C$4481,C3150)</f>
        <v>1</v>
      </c>
    </row>
    <row r="3151">
      <c r="A3151" s="32" t="str">
        <f>Demand!A3149</f>
        <v>S017</v>
      </c>
      <c r="B3151" s="35">
        <f>Demand!B3149</f>
        <v>46275.0</v>
      </c>
      <c r="C3151" s="33">
        <f>Demand!C3149</f>
        <v>19</v>
      </c>
      <c r="D3151" s="33">
        <f>Demand!E3149</f>
        <v>50</v>
      </c>
      <c r="E3151" s="33">
        <f>IF(Demand!F3149,1,0)</f>
        <v>1</v>
      </c>
      <c r="F3151" s="33">
        <f>COUNTIFS(c_store,A3151,c_date,B3151,c_hour,C3151)</f>
        <v>2</v>
      </c>
      <c r="G3151" s="33">
        <f>IF(F3151&gt;0,1,0)</f>
        <v>1</v>
      </c>
      <c r="H3151" s="33">
        <f>COUNTIFS(Demand!$A$2:$A$4481,A3151,Demand!$B$2:$B$4481,B3151,Demand!$C$2:$C$4481,C3151)</f>
        <v>1</v>
      </c>
    </row>
    <row r="3152">
      <c r="A3152" s="32" t="str">
        <f>Demand!A3150</f>
        <v>S017</v>
      </c>
      <c r="B3152" s="35">
        <f>Demand!B3150</f>
        <v>46275.0</v>
      </c>
      <c r="C3152" s="33">
        <f>Demand!C3150</f>
        <v>20</v>
      </c>
      <c r="D3152" s="33">
        <f>Demand!E3150</f>
        <v>40</v>
      </c>
      <c r="E3152" s="33">
        <f>IF(Demand!F3150,1,0)</f>
        <v>1</v>
      </c>
      <c r="F3152" s="33">
        <f>COUNTIFS(c_store,A3152,c_date,B3152,c_hour,C3152)</f>
        <v>0</v>
      </c>
      <c r="G3152" s="33">
        <f>IF(F3152&gt;0,1,0)</f>
        <v>0</v>
      </c>
      <c r="H3152" s="33">
        <f>COUNTIFS(Demand!$A$2:$A$4481,A3152,Demand!$B$2:$B$4481,B3152,Demand!$C$2:$C$4481,C3152)</f>
        <v>1</v>
      </c>
    </row>
    <row r="3153">
      <c r="A3153" s="32" t="str">
        <f>Demand!A3151</f>
        <v>S017</v>
      </c>
      <c r="B3153" s="35">
        <f>Demand!B3151</f>
        <v>46275.0</v>
      </c>
      <c r="C3153" s="33">
        <f>Demand!C3151</f>
        <v>21</v>
      </c>
      <c r="D3153" s="33">
        <f>Demand!E3151</f>
        <v>55</v>
      </c>
      <c r="E3153" s="33">
        <f>IF(Demand!F3151,1,0)</f>
        <v>1</v>
      </c>
      <c r="F3153" s="33">
        <f>COUNTIFS(c_store,A3153,c_date,B3153,c_hour,C3153)</f>
        <v>1</v>
      </c>
      <c r="G3153" s="33">
        <f>IF(F3153&gt;0,1,0)</f>
        <v>1</v>
      </c>
      <c r="H3153" s="33">
        <f>COUNTIFS(Demand!$A$2:$A$4481,A3153,Demand!$B$2:$B$4481,B3153,Demand!$C$2:$C$4481,C3153)</f>
        <v>1</v>
      </c>
    </row>
    <row r="3154">
      <c r="A3154" s="32" t="str">
        <f>Demand!A3152</f>
        <v>S017</v>
      </c>
      <c r="B3154" s="35">
        <f>Demand!B3152</f>
        <v>46275.0</v>
      </c>
      <c r="C3154" s="33">
        <f>Demand!C3152</f>
        <v>22</v>
      </c>
      <c r="D3154" s="33">
        <f>Demand!E3152</f>
        <v>44</v>
      </c>
      <c r="E3154" s="33">
        <f>IF(Demand!F3152,1,0)</f>
        <v>0</v>
      </c>
      <c r="F3154" s="33">
        <f>COUNTIFS(c_store,A3154,c_date,B3154,c_hour,C3154)</f>
        <v>0</v>
      </c>
      <c r="G3154" s="33">
        <f>IF(F3154&gt;0,1,0)</f>
        <v>0</v>
      </c>
      <c r="H3154" s="33">
        <f>COUNTIFS(Demand!$A$2:$A$4481,A3154,Demand!$B$2:$B$4481,B3154,Demand!$C$2:$C$4481,C3154)</f>
        <v>1</v>
      </c>
    </row>
    <row r="3155">
      <c r="A3155" s="32" t="str">
        <f>Demand!A3153</f>
        <v>S017</v>
      </c>
      <c r="B3155" s="35">
        <f>Demand!B3153</f>
        <v>46275.0</v>
      </c>
      <c r="C3155" s="33">
        <f>Demand!C3153</f>
        <v>23</v>
      </c>
      <c r="D3155" s="33">
        <f>Demand!E3153</f>
        <v>33</v>
      </c>
      <c r="E3155" s="33">
        <f>IF(Demand!F3153,1,0)</f>
        <v>0</v>
      </c>
      <c r="F3155" s="33">
        <f>COUNTIFS(c_store,A3155,c_date,B3155,c_hour,C3155)</f>
        <v>1</v>
      </c>
      <c r="G3155" s="33">
        <f>IF(F3155&gt;0,1,0)</f>
        <v>1</v>
      </c>
      <c r="H3155" s="33">
        <f>COUNTIFS(Demand!$A$2:$A$4481,A3155,Demand!$B$2:$B$4481,B3155,Demand!$C$2:$C$4481,C3155)</f>
        <v>1</v>
      </c>
    </row>
    <row r="3156">
      <c r="A3156" s="32" t="str">
        <f>Demand!A3154</f>
        <v>S018</v>
      </c>
      <c r="B3156" s="35">
        <f>Demand!B3154</f>
        <v>46275.0</v>
      </c>
      <c r="C3156" s="33">
        <f>Demand!C3154</f>
        <v>8</v>
      </c>
      <c r="D3156" s="33">
        <f>Demand!E3154</f>
        <v>14</v>
      </c>
      <c r="E3156" s="33">
        <f>IF(Demand!F3154,1,0)</f>
        <v>0</v>
      </c>
      <c r="F3156" s="33">
        <f>COUNTIFS(c_store,A3156,c_date,B3156,c_hour,C3156)</f>
        <v>0</v>
      </c>
      <c r="G3156" s="33">
        <f>IF(F3156&gt;0,1,0)</f>
        <v>0</v>
      </c>
      <c r="H3156" s="33">
        <f>COUNTIFS(Demand!$A$2:$A$4481,A3156,Demand!$B$2:$B$4481,B3156,Demand!$C$2:$C$4481,C3156)</f>
        <v>1</v>
      </c>
    </row>
    <row r="3157">
      <c r="A3157" s="32" t="str">
        <f>Demand!A3155</f>
        <v>S018</v>
      </c>
      <c r="B3157" s="35">
        <f>Demand!B3155</f>
        <v>46275.0</v>
      </c>
      <c r="C3157" s="33">
        <f>Demand!C3155</f>
        <v>9</v>
      </c>
      <c r="D3157" s="33">
        <f>Demand!E3155</f>
        <v>17</v>
      </c>
      <c r="E3157" s="33">
        <f>IF(Demand!F3155,1,0)</f>
        <v>0</v>
      </c>
      <c r="F3157" s="33">
        <f>COUNTIFS(c_store,A3157,c_date,B3157,c_hour,C3157)</f>
        <v>0</v>
      </c>
      <c r="G3157" s="33">
        <f>IF(F3157&gt;0,1,0)</f>
        <v>0</v>
      </c>
      <c r="H3157" s="33">
        <f>COUNTIFS(Demand!$A$2:$A$4481,A3157,Demand!$B$2:$B$4481,B3157,Demand!$C$2:$C$4481,C3157)</f>
        <v>1</v>
      </c>
    </row>
    <row r="3158">
      <c r="A3158" s="32" t="str">
        <f>Demand!A3156</f>
        <v>S018</v>
      </c>
      <c r="B3158" s="35">
        <f>Demand!B3156</f>
        <v>46275.0</v>
      </c>
      <c r="C3158" s="33">
        <f>Demand!C3156</f>
        <v>10</v>
      </c>
      <c r="D3158" s="33">
        <f>Demand!E3156</f>
        <v>14</v>
      </c>
      <c r="E3158" s="33">
        <f>IF(Demand!F3156,1,0)</f>
        <v>0</v>
      </c>
      <c r="F3158" s="33">
        <f>COUNTIFS(c_store,A3158,c_date,B3158,c_hour,C3158)</f>
        <v>1</v>
      </c>
      <c r="G3158" s="33">
        <f>IF(F3158&gt;0,1,0)</f>
        <v>1</v>
      </c>
      <c r="H3158" s="33">
        <f>COUNTIFS(Demand!$A$2:$A$4481,A3158,Demand!$B$2:$B$4481,B3158,Demand!$C$2:$C$4481,C3158)</f>
        <v>1</v>
      </c>
    </row>
    <row r="3159">
      <c r="A3159" s="32" t="str">
        <f>Demand!A3157</f>
        <v>S018</v>
      </c>
      <c r="B3159" s="35">
        <f>Demand!B3157</f>
        <v>46275.0</v>
      </c>
      <c r="C3159" s="33">
        <f>Demand!C3157</f>
        <v>11</v>
      </c>
      <c r="D3159" s="33">
        <f>Demand!E3157</f>
        <v>17</v>
      </c>
      <c r="E3159" s="33">
        <f>IF(Demand!F3157,1,0)</f>
        <v>0</v>
      </c>
      <c r="F3159" s="33">
        <f>COUNTIFS(c_store,A3159,c_date,B3159,c_hour,C3159)</f>
        <v>0</v>
      </c>
      <c r="G3159" s="33">
        <f>IF(F3159&gt;0,1,0)</f>
        <v>0</v>
      </c>
      <c r="H3159" s="33">
        <f>COUNTIFS(Demand!$A$2:$A$4481,A3159,Demand!$B$2:$B$4481,B3159,Demand!$C$2:$C$4481,C3159)</f>
        <v>1</v>
      </c>
    </row>
    <row r="3160">
      <c r="A3160" s="32" t="str">
        <f>Demand!A3158</f>
        <v>S018</v>
      </c>
      <c r="B3160" s="35">
        <f>Demand!B3158</f>
        <v>46275.0</v>
      </c>
      <c r="C3160" s="33">
        <f>Demand!C3158</f>
        <v>12</v>
      </c>
      <c r="D3160" s="33">
        <f>Demand!E3158</f>
        <v>22</v>
      </c>
      <c r="E3160" s="33">
        <f>IF(Demand!F3158,1,0)</f>
        <v>0</v>
      </c>
      <c r="F3160" s="33">
        <f>COUNTIFS(c_store,A3160,c_date,B3160,c_hour,C3160)</f>
        <v>0</v>
      </c>
      <c r="G3160" s="33">
        <f>IF(F3160&gt;0,1,0)</f>
        <v>0</v>
      </c>
      <c r="H3160" s="33">
        <f>COUNTIFS(Demand!$A$2:$A$4481,A3160,Demand!$B$2:$B$4481,B3160,Demand!$C$2:$C$4481,C3160)</f>
        <v>1</v>
      </c>
    </row>
    <row r="3161">
      <c r="A3161" s="32" t="str">
        <f>Demand!A3159</f>
        <v>S018</v>
      </c>
      <c r="B3161" s="35">
        <f>Demand!B3159</f>
        <v>46275.0</v>
      </c>
      <c r="C3161" s="33">
        <f>Demand!C3159</f>
        <v>13</v>
      </c>
      <c r="D3161" s="33">
        <f>Demand!E3159</f>
        <v>18</v>
      </c>
      <c r="E3161" s="33">
        <f>IF(Demand!F3159,1,0)</f>
        <v>0</v>
      </c>
      <c r="F3161" s="33">
        <f>COUNTIFS(c_store,A3161,c_date,B3161,c_hour,C3161)</f>
        <v>0</v>
      </c>
      <c r="G3161" s="33">
        <f>IF(F3161&gt;0,1,0)</f>
        <v>0</v>
      </c>
      <c r="H3161" s="33">
        <f>COUNTIFS(Demand!$A$2:$A$4481,A3161,Demand!$B$2:$B$4481,B3161,Demand!$C$2:$C$4481,C3161)</f>
        <v>1</v>
      </c>
    </row>
    <row r="3162">
      <c r="A3162" s="32" t="str">
        <f>Demand!A3160</f>
        <v>S018</v>
      </c>
      <c r="B3162" s="35">
        <f>Demand!B3160</f>
        <v>46275.0</v>
      </c>
      <c r="C3162" s="33">
        <f>Demand!C3160</f>
        <v>14</v>
      </c>
      <c r="D3162" s="33">
        <f>Demand!E3160</f>
        <v>9</v>
      </c>
      <c r="E3162" s="33">
        <f>IF(Demand!F3160,1,0)</f>
        <v>0</v>
      </c>
      <c r="F3162" s="33">
        <f>COUNTIFS(c_store,A3162,c_date,B3162,c_hour,C3162)</f>
        <v>0</v>
      </c>
      <c r="G3162" s="33">
        <f>IF(F3162&gt;0,1,0)</f>
        <v>0</v>
      </c>
      <c r="H3162" s="33">
        <f>COUNTIFS(Demand!$A$2:$A$4481,A3162,Demand!$B$2:$B$4481,B3162,Demand!$C$2:$C$4481,C3162)</f>
        <v>1</v>
      </c>
    </row>
    <row r="3163">
      <c r="A3163" s="32" t="str">
        <f>Demand!A3161</f>
        <v>S018</v>
      </c>
      <c r="B3163" s="35">
        <f>Demand!B3161</f>
        <v>46275.0</v>
      </c>
      <c r="C3163" s="33">
        <f>Demand!C3161</f>
        <v>15</v>
      </c>
      <c r="D3163" s="33">
        <f>Demand!E3161</f>
        <v>11</v>
      </c>
      <c r="E3163" s="33">
        <f>IF(Demand!F3161,1,0)</f>
        <v>0</v>
      </c>
      <c r="F3163" s="33">
        <f>COUNTIFS(c_store,A3163,c_date,B3163,c_hour,C3163)</f>
        <v>1</v>
      </c>
      <c r="G3163" s="33">
        <f>IF(F3163&gt;0,1,0)</f>
        <v>1</v>
      </c>
      <c r="H3163" s="33">
        <f>COUNTIFS(Demand!$A$2:$A$4481,A3163,Demand!$B$2:$B$4481,B3163,Demand!$C$2:$C$4481,C3163)</f>
        <v>1</v>
      </c>
    </row>
    <row r="3164">
      <c r="A3164" s="32" t="str">
        <f>Demand!A3162</f>
        <v>S018</v>
      </c>
      <c r="B3164" s="35">
        <f>Demand!B3162</f>
        <v>46275.0</v>
      </c>
      <c r="C3164" s="33">
        <f>Demand!C3162</f>
        <v>16</v>
      </c>
      <c r="D3164" s="33">
        <f>Demand!E3162</f>
        <v>23</v>
      </c>
      <c r="E3164" s="33">
        <f>IF(Demand!F3162,1,0)</f>
        <v>0</v>
      </c>
      <c r="F3164" s="33">
        <f>COUNTIFS(c_store,A3164,c_date,B3164,c_hour,C3164)</f>
        <v>0</v>
      </c>
      <c r="G3164" s="33">
        <f>IF(F3164&gt;0,1,0)</f>
        <v>0</v>
      </c>
      <c r="H3164" s="33">
        <f>COUNTIFS(Demand!$A$2:$A$4481,A3164,Demand!$B$2:$B$4481,B3164,Demand!$C$2:$C$4481,C3164)</f>
        <v>1</v>
      </c>
    </row>
    <row r="3165">
      <c r="A3165" s="32" t="str">
        <f>Demand!A3163</f>
        <v>S018</v>
      </c>
      <c r="B3165" s="35">
        <f>Demand!B3163</f>
        <v>46275.0</v>
      </c>
      <c r="C3165" s="33">
        <f>Demand!C3163</f>
        <v>17</v>
      </c>
      <c r="D3165" s="33">
        <f>Demand!E3163</f>
        <v>20</v>
      </c>
      <c r="E3165" s="33">
        <f>IF(Demand!F3163,1,0)</f>
        <v>0</v>
      </c>
      <c r="F3165" s="33">
        <f>COUNTIFS(c_store,A3165,c_date,B3165,c_hour,C3165)</f>
        <v>0</v>
      </c>
      <c r="G3165" s="33">
        <f>IF(F3165&gt;0,1,0)</f>
        <v>0</v>
      </c>
      <c r="H3165" s="33">
        <f>COUNTIFS(Demand!$A$2:$A$4481,A3165,Demand!$B$2:$B$4481,B3165,Demand!$C$2:$C$4481,C3165)</f>
        <v>1</v>
      </c>
    </row>
    <row r="3166">
      <c r="A3166" s="32" t="str">
        <f>Demand!A3164</f>
        <v>S018</v>
      </c>
      <c r="B3166" s="35">
        <f>Demand!B3164</f>
        <v>46275.0</v>
      </c>
      <c r="C3166" s="33">
        <f>Demand!C3164</f>
        <v>18</v>
      </c>
      <c r="D3166" s="33">
        <f>Demand!E3164</f>
        <v>17</v>
      </c>
      <c r="E3166" s="33">
        <f>IF(Demand!F3164,1,0)</f>
        <v>0</v>
      </c>
      <c r="F3166" s="33">
        <f>COUNTIFS(c_store,A3166,c_date,B3166,c_hour,C3166)</f>
        <v>1</v>
      </c>
      <c r="G3166" s="33">
        <f>IF(F3166&gt;0,1,0)</f>
        <v>1</v>
      </c>
      <c r="H3166" s="33">
        <f>COUNTIFS(Demand!$A$2:$A$4481,A3166,Demand!$B$2:$B$4481,B3166,Demand!$C$2:$C$4481,C3166)</f>
        <v>1</v>
      </c>
    </row>
    <row r="3167">
      <c r="A3167" s="32" t="str">
        <f>Demand!A3165</f>
        <v>S018</v>
      </c>
      <c r="B3167" s="35">
        <f>Demand!B3165</f>
        <v>46275.0</v>
      </c>
      <c r="C3167" s="33">
        <f>Demand!C3165</f>
        <v>19</v>
      </c>
      <c r="D3167" s="33">
        <f>Demand!E3165</f>
        <v>29</v>
      </c>
      <c r="E3167" s="33">
        <f>IF(Demand!F3165,1,0)</f>
        <v>1</v>
      </c>
      <c r="F3167" s="33">
        <f>COUNTIFS(c_store,A3167,c_date,B3167,c_hour,C3167)</f>
        <v>0</v>
      </c>
      <c r="G3167" s="33">
        <f>IF(F3167&gt;0,1,0)</f>
        <v>0</v>
      </c>
      <c r="H3167" s="33">
        <f>COUNTIFS(Demand!$A$2:$A$4481,A3167,Demand!$B$2:$B$4481,B3167,Demand!$C$2:$C$4481,C3167)</f>
        <v>1</v>
      </c>
    </row>
    <row r="3168">
      <c r="A3168" s="32" t="str">
        <f>Demand!A3166</f>
        <v>S018</v>
      </c>
      <c r="B3168" s="35">
        <f>Demand!B3166</f>
        <v>46275.0</v>
      </c>
      <c r="C3168" s="33">
        <f>Demand!C3166</f>
        <v>20</v>
      </c>
      <c r="D3168" s="33">
        <f>Demand!E3166</f>
        <v>26</v>
      </c>
      <c r="E3168" s="33">
        <f>IF(Demand!F3166,1,0)</f>
        <v>1</v>
      </c>
      <c r="F3168" s="33">
        <f>COUNTIFS(c_store,A3168,c_date,B3168,c_hour,C3168)</f>
        <v>0</v>
      </c>
      <c r="G3168" s="33">
        <f>IF(F3168&gt;0,1,0)</f>
        <v>0</v>
      </c>
      <c r="H3168" s="33">
        <f>COUNTIFS(Demand!$A$2:$A$4481,A3168,Demand!$B$2:$B$4481,B3168,Demand!$C$2:$C$4481,C3168)</f>
        <v>1</v>
      </c>
    </row>
    <row r="3169">
      <c r="A3169" s="32" t="str">
        <f>Demand!A3167</f>
        <v>S018</v>
      </c>
      <c r="B3169" s="35">
        <f>Demand!B3167</f>
        <v>46275.0</v>
      </c>
      <c r="C3169" s="33">
        <f>Demand!C3167</f>
        <v>21</v>
      </c>
      <c r="D3169" s="33">
        <f>Demand!E3167</f>
        <v>30</v>
      </c>
      <c r="E3169" s="33">
        <f>IF(Demand!F3167,1,0)</f>
        <v>1</v>
      </c>
      <c r="F3169" s="33">
        <f>COUNTIFS(c_store,A3169,c_date,B3169,c_hour,C3169)</f>
        <v>0</v>
      </c>
      <c r="G3169" s="33">
        <f>IF(F3169&gt;0,1,0)</f>
        <v>0</v>
      </c>
      <c r="H3169" s="33">
        <f>COUNTIFS(Demand!$A$2:$A$4481,A3169,Demand!$B$2:$B$4481,B3169,Demand!$C$2:$C$4481,C3169)</f>
        <v>1</v>
      </c>
    </row>
    <row r="3170">
      <c r="A3170" s="32" t="str">
        <f>Demand!A3168</f>
        <v>S018</v>
      </c>
      <c r="B3170" s="35">
        <f>Demand!B3168</f>
        <v>46275.0</v>
      </c>
      <c r="C3170" s="33">
        <f>Demand!C3168</f>
        <v>22</v>
      </c>
      <c r="D3170" s="33">
        <f>Demand!E3168</f>
        <v>23</v>
      </c>
      <c r="E3170" s="33">
        <f>IF(Demand!F3168,1,0)</f>
        <v>0</v>
      </c>
      <c r="F3170" s="33">
        <f>COUNTIFS(c_store,A3170,c_date,B3170,c_hour,C3170)</f>
        <v>0</v>
      </c>
      <c r="G3170" s="33">
        <f>IF(F3170&gt;0,1,0)</f>
        <v>0</v>
      </c>
      <c r="H3170" s="33">
        <f>COUNTIFS(Demand!$A$2:$A$4481,A3170,Demand!$B$2:$B$4481,B3170,Demand!$C$2:$C$4481,C3170)</f>
        <v>1</v>
      </c>
    </row>
    <row r="3171">
      <c r="A3171" s="32" t="str">
        <f>Demand!A3169</f>
        <v>S018</v>
      </c>
      <c r="B3171" s="35">
        <f>Demand!B3169</f>
        <v>46275.0</v>
      </c>
      <c r="C3171" s="33">
        <f>Demand!C3169</f>
        <v>23</v>
      </c>
      <c r="D3171" s="33">
        <f>Demand!E3169</f>
        <v>17</v>
      </c>
      <c r="E3171" s="33">
        <f>IF(Demand!F3169,1,0)</f>
        <v>0</v>
      </c>
      <c r="F3171" s="33">
        <f>COUNTIFS(c_store,A3171,c_date,B3171,c_hour,C3171)</f>
        <v>0</v>
      </c>
      <c r="G3171" s="33">
        <f>IF(F3171&gt;0,1,0)</f>
        <v>0</v>
      </c>
      <c r="H3171" s="33">
        <f>COUNTIFS(Demand!$A$2:$A$4481,A3171,Demand!$B$2:$B$4481,B3171,Demand!$C$2:$C$4481,C3171)</f>
        <v>1</v>
      </c>
    </row>
    <row r="3172">
      <c r="A3172" s="32" t="str">
        <f>Demand!A3170</f>
        <v>S019</v>
      </c>
      <c r="B3172" s="35">
        <f>Demand!B3170</f>
        <v>46275.0</v>
      </c>
      <c r="C3172" s="33">
        <f>Demand!C3170</f>
        <v>8</v>
      </c>
      <c r="D3172" s="33">
        <f>Demand!E3170</f>
        <v>22</v>
      </c>
      <c r="E3172" s="33">
        <f>IF(Demand!F3170,1,0)</f>
        <v>0</v>
      </c>
      <c r="F3172" s="33">
        <f>COUNTIFS(c_store,A3172,c_date,B3172,c_hour,C3172)</f>
        <v>1</v>
      </c>
      <c r="G3172" s="33">
        <f>IF(F3172&gt;0,1,0)</f>
        <v>1</v>
      </c>
      <c r="H3172" s="33">
        <f>COUNTIFS(Demand!$A$2:$A$4481,A3172,Demand!$B$2:$B$4481,B3172,Demand!$C$2:$C$4481,C3172)</f>
        <v>1</v>
      </c>
    </row>
    <row r="3173">
      <c r="A3173" s="32" t="str">
        <f>Demand!A3171</f>
        <v>S019</v>
      </c>
      <c r="B3173" s="35">
        <f>Demand!B3171</f>
        <v>46275.0</v>
      </c>
      <c r="C3173" s="33">
        <f>Demand!C3171</f>
        <v>9</v>
      </c>
      <c r="D3173" s="33">
        <f>Demand!E3171</f>
        <v>10</v>
      </c>
      <c r="E3173" s="33">
        <f>IF(Demand!F3171,1,0)</f>
        <v>0</v>
      </c>
      <c r="F3173" s="33">
        <f>COUNTIFS(c_store,A3173,c_date,B3173,c_hour,C3173)</f>
        <v>0</v>
      </c>
      <c r="G3173" s="33">
        <f>IF(F3173&gt;0,1,0)</f>
        <v>0</v>
      </c>
      <c r="H3173" s="33">
        <f>COUNTIFS(Demand!$A$2:$A$4481,A3173,Demand!$B$2:$B$4481,B3173,Demand!$C$2:$C$4481,C3173)</f>
        <v>1</v>
      </c>
    </row>
    <row r="3174">
      <c r="A3174" s="32" t="str">
        <f>Demand!A3172</f>
        <v>S019</v>
      </c>
      <c r="B3174" s="35">
        <f>Demand!B3172</f>
        <v>46275.0</v>
      </c>
      <c r="C3174" s="33">
        <f>Demand!C3172</f>
        <v>10</v>
      </c>
      <c r="D3174" s="33">
        <f>Demand!E3172</f>
        <v>20</v>
      </c>
      <c r="E3174" s="33">
        <f>IF(Demand!F3172,1,0)</f>
        <v>0</v>
      </c>
      <c r="F3174" s="33">
        <f>COUNTIFS(c_store,A3174,c_date,B3174,c_hour,C3174)</f>
        <v>1</v>
      </c>
      <c r="G3174" s="33">
        <f>IF(F3174&gt;0,1,0)</f>
        <v>1</v>
      </c>
      <c r="H3174" s="33">
        <f>COUNTIFS(Demand!$A$2:$A$4481,A3174,Demand!$B$2:$B$4481,B3174,Demand!$C$2:$C$4481,C3174)</f>
        <v>1</v>
      </c>
    </row>
    <row r="3175">
      <c r="A3175" s="32" t="str">
        <f>Demand!A3173</f>
        <v>S019</v>
      </c>
      <c r="B3175" s="35">
        <f>Demand!B3173</f>
        <v>46275.0</v>
      </c>
      <c r="C3175" s="33">
        <f>Demand!C3173</f>
        <v>11</v>
      </c>
      <c r="D3175" s="33">
        <f>Demand!E3173</f>
        <v>15</v>
      </c>
      <c r="E3175" s="33">
        <f>IF(Demand!F3173,1,0)</f>
        <v>0</v>
      </c>
      <c r="F3175" s="33">
        <f>COUNTIFS(c_store,A3175,c_date,B3175,c_hour,C3175)</f>
        <v>0</v>
      </c>
      <c r="G3175" s="33">
        <f>IF(F3175&gt;0,1,0)</f>
        <v>0</v>
      </c>
      <c r="H3175" s="33">
        <f>COUNTIFS(Demand!$A$2:$A$4481,A3175,Demand!$B$2:$B$4481,B3175,Demand!$C$2:$C$4481,C3175)</f>
        <v>1</v>
      </c>
    </row>
    <row r="3176">
      <c r="A3176" s="32" t="str">
        <f>Demand!A3174</f>
        <v>S019</v>
      </c>
      <c r="B3176" s="35">
        <f>Demand!B3174</f>
        <v>46275.0</v>
      </c>
      <c r="C3176" s="33">
        <f>Demand!C3174</f>
        <v>12</v>
      </c>
      <c r="D3176" s="33">
        <f>Demand!E3174</f>
        <v>24</v>
      </c>
      <c r="E3176" s="33">
        <f>IF(Demand!F3174,1,0)</f>
        <v>0</v>
      </c>
      <c r="F3176" s="33">
        <f>COUNTIFS(c_store,A3176,c_date,B3176,c_hour,C3176)</f>
        <v>0</v>
      </c>
      <c r="G3176" s="33">
        <f>IF(F3176&gt;0,1,0)</f>
        <v>0</v>
      </c>
      <c r="H3176" s="33">
        <f>COUNTIFS(Demand!$A$2:$A$4481,A3176,Demand!$B$2:$B$4481,B3176,Demand!$C$2:$C$4481,C3176)</f>
        <v>1</v>
      </c>
    </row>
    <row r="3177">
      <c r="A3177" s="32" t="str">
        <f>Demand!A3175</f>
        <v>S019</v>
      </c>
      <c r="B3177" s="35">
        <f>Demand!B3175</f>
        <v>46275.0</v>
      </c>
      <c r="C3177" s="33">
        <f>Demand!C3175</f>
        <v>13</v>
      </c>
      <c r="D3177" s="33">
        <f>Demand!E3175</f>
        <v>25</v>
      </c>
      <c r="E3177" s="33">
        <f>IF(Demand!F3175,1,0)</f>
        <v>0</v>
      </c>
      <c r="F3177" s="33">
        <f>COUNTIFS(c_store,A3177,c_date,B3177,c_hour,C3177)</f>
        <v>1</v>
      </c>
      <c r="G3177" s="33">
        <f>IF(F3177&gt;0,1,0)</f>
        <v>1</v>
      </c>
      <c r="H3177" s="33">
        <f>COUNTIFS(Demand!$A$2:$A$4481,A3177,Demand!$B$2:$B$4481,B3177,Demand!$C$2:$C$4481,C3177)</f>
        <v>1</v>
      </c>
    </row>
    <row r="3178">
      <c r="A3178" s="32" t="str">
        <f>Demand!A3176</f>
        <v>S019</v>
      </c>
      <c r="B3178" s="35">
        <f>Demand!B3176</f>
        <v>46275.0</v>
      </c>
      <c r="C3178" s="33">
        <f>Demand!C3176</f>
        <v>14</v>
      </c>
      <c r="D3178" s="33">
        <f>Demand!E3176</f>
        <v>17</v>
      </c>
      <c r="E3178" s="33">
        <f>IF(Demand!F3176,1,0)</f>
        <v>0</v>
      </c>
      <c r="F3178" s="33">
        <f>COUNTIFS(c_store,A3178,c_date,B3178,c_hour,C3178)</f>
        <v>0</v>
      </c>
      <c r="G3178" s="33">
        <f>IF(F3178&gt;0,1,0)</f>
        <v>0</v>
      </c>
      <c r="H3178" s="33">
        <f>COUNTIFS(Demand!$A$2:$A$4481,A3178,Demand!$B$2:$B$4481,B3178,Demand!$C$2:$C$4481,C3178)</f>
        <v>1</v>
      </c>
    </row>
    <row r="3179">
      <c r="A3179" s="32" t="str">
        <f>Demand!A3177</f>
        <v>S019</v>
      </c>
      <c r="B3179" s="35">
        <f>Demand!B3177</f>
        <v>46275.0</v>
      </c>
      <c r="C3179" s="33">
        <f>Demand!C3177</f>
        <v>15</v>
      </c>
      <c r="D3179" s="33">
        <f>Demand!E3177</f>
        <v>13</v>
      </c>
      <c r="E3179" s="33">
        <f>IF(Demand!F3177,1,0)</f>
        <v>0</v>
      </c>
      <c r="F3179" s="33">
        <f>COUNTIFS(c_store,A3179,c_date,B3179,c_hour,C3179)</f>
        <v>0</v>
      </c>
      <c r="G3179" s="33">
        <f>IF(F3179&gt;0,1,0)</f>
        <v>0</v>
      </c>
      <c r="H3179" s="33">
        <f>COUNTIFS(Demand!$A$2:$A$4481,A3179,Demand!$B$2:$B$4481,B3179,Demand!$C$2:$C$4481,C3179)</f>
        <v>1</v>
      </c>
    </row>
    <row r="3180">
      <c r="A3180" s="32" t="str">
        <f>Demand!A3178</f>
        <v>S019</v>
      </c>
      <c r="B3180" s="35">
        <f>Demand!B3178</f>
        <v>46275.0</v>
      </c>
      <c r="C3180" s="33">
        <f>Demand!C3178</f>
        <v>16</v>
      </c>
      <c r="D3180" s="33">
        <f>Demand!E3178</f>
        <v>19</v>
      </c>
      <c r="E3180" s="33">
        <f>IF(Demand!F3178,1,0)</f>
        <v>0</v>
      </c>
      <c r="F3180" s="33">
        <f>COUNTIFS(c_store,A3180,c_date,B3180,c_hour,C3180)</f>
        <v>0</v>
      </c>
      <c r="G3180" s="33">
        <f>IF(F3180&gt;0,1,0)</f>
        <v>0</v>
      </c>
      <c r="H3180" s="33">
        <f>COUNTIFS(Demand!$A$2:$A$4481,A3180,Demand!$B$2:$B$4481,B3180,Demand!$C$2:$C$4481,C3180)</f>
        <v>1</v>
      </c>
    </row>
    <row r="3181">
      <c r="A3181" s="32" t="str">
        <f>Demand!A3179</f>
        <v>S019</v>
      </c>
      <c r="B3181" s="35">
        <f>Demand!B3179</f>
        <v>46275.0</v>
      </c>
      <c r="C3181" s="33">
        <f>Demand!C3179</f>
        <v>17</v>
      </c>
      <c r="D3181" s="33">
        <f>Demand!E3179</f>
        <v>22</v>
      </c>
      <c r="E3181" s="33">
        <f>IF(Demand!F3179,1,0)</f>
        <v>0</v>
      </c>
      <c r="F3181" s="33">
        <f>COUNTIFS(c_store,A3181,c_date,B3181,c_hour,C3181)</f>
        <v>0</v>
      </c>
      <c r="G3181" s="33">
        <f>IF(F3181&gt;0,1,0)</f>
        <v>0</v>
      </c>
      <c r="H3181" s="33">
        <f>COUNTIFS(Demand!$A$2:$A$4481,A3181,Demand!$B$2:$B$4481,B3181,Demand!$C$2:$C$4481,C3181)</f>
        <v>1</v>
      </c>
    </row>
    <row r="3182">
      <c r="A3182" s="32" t="str">
        <f>Demand!A3180</f>
        <v>S019</v>
      </c>
      <c r="B3182" s="35">
        <f>Demand!B3180</f>
        <v>46275.0</v>
      </c>
      <c r="C3182" s="33">
        <f>Demand!C3180</f>
        <v>18</v>
      </c>
      <c r="D3182" s="33">
        <f>Demand!E3180</f>
        <v>21</v>
      </c>
      <c r="E3182" s="33">
        <f>IF(Demand!F3180,1,0)</f>
        <v>0</v>
      </c>
      <c r="F3182" s="33">
        <f>COUNTIFS(c_store,A3182,c_date,B3182,c_hour,C3182)</f>
        <v>1</v>
      </c>
      <c r="G3182" s="33">
        <f>IF(F3182&gt;0,1,0)</f>
        <v>1</v>
      </c>
      <c r="H3182" s="33">
        <f>COUNTIFS(Demand!$A$2:$A$4481,A3182,Demand!$B$2:$B$4481,B3182,Demand!$C$2:$C$4481,C3182)</f>
        <v>1</v>
      </c>
    </row>
    <row r="3183">
      <c r="A3183" s="32" t="str">
        <f>Demand!A3181</f>
        <v>S019</v>
      </c>
      <c r="B3183" s="35">
        <f>Demand!B3181</f>
        <v>46275.0</v>
      </c>
      <c r="C3183" s="33">
        <f>Demand!C3181</f>
        <v>19</v>
      </c>
      <c r="D3183" s="33">
        <f>Demand!E3181</f>
        <v>36</v>
      </c>
      <c r="E3183" s="33">
        <f>IF(Demand!F3181,1,0)</f>
        <v>1</v>
      </c>
      <c r="F3183" s="33">
        <f>COUNTIFS(c_store,A3183,c_date,B3183,c_hour,C3183)</f>
        <v>0</v>
      </c>
      <c r="G3183" s="33">
        <f>IF(F3183&gt;0,1,0)</f>
        <v>0</v>
      </c>
      <c r="H3183" s="33">
        <f>COUNTIFS(Demand!$A$2:$A$4481,A3183,Demand!$B$2:$B$4481,B3183,Demand!$C$2:$C$4481,C3183)</f>
        <v>1</v>
      </c>
    </row>
    <row r="3184">
      <c r="A3184" s="32" t="str">
        <f>Demand!A3182</f>
        <v>S019</v>
      </c>
      <c r="B3184" s="35">
        <f>Demand!B3182</f>
        <v>46275.0</v>
      </c>
      <c r="C3184" s="33">
        <f>Demand!C3182</f>
        <v>20</v>
      </c>
      <c r="D3184" s="33">
        <f>Demand!E3182</f>
        <v>25</v>
      </c>
      <c r="E3184" s="33">
        <f>IF(Demand!F3182,1,0)</f>
        <v>1</v>
      </c>
      <c r="F3184" s="33">
        <f>COUNTIFS(c_store,A3184,c_date,B3184,c_hour,C3184)</f>
        <v>0</v>
      </c>
      <c r="G3184" s="33">
        <f>IF(F3184&gt;0,1,0)</f>
        <v>0</v>
      </c>
      <c r="H3184" s="33">
        <f>COUNTIFS(Demand!$A$2:$A$4481,A3184,Demand!$B$2:$B$4481,B3184,Demand!$C$2:$C$4481,C3184)</f>
        <v>1</v>
      </c>
    </row>
    <row r="3185">
      <c r="A3185" s="32" t="str">
        <f>Demand!A3183</f>
        <v>S019</v>
      </c>
      <c r="B3185" s="35">
        <f>Demand!B3183</f>
        <v>46275.0</v>
      </c>
      <c r="C3185" s="33">
        <f>Demand!C3183</f>
        <v>21</v>
      </c>
      <c r="D3185" s="33">
        <f>Demand!E3183</f>
        <v>40</v>
      </c>
      <c r="E3185" s="33">
        <f>IF(Demand!F3183,1,0)</f>
        <v>1</v>
      </c>
      <c r="F3185" s="33">
        <f>COUNTIFS(c_store,A3185,c_date,B3185,c_hour,C3185)</f>
        <v>0</v>
      </c>
      <c r="G3185" s="33">
        <f>IF(F3185&gt;0,1,0)</f>
        <v>0</v>
      </c>
      <c r="H3185" s="33">
        <f>COUNTIFS(Demand!$A$2:$A$4481,A3185,Demand!$B$2:$B$4481,B3185,Demand!$C$2:$C$4481,C3185)</f>
        <v>1</v>
      </c>
    </row>
    <row r="3186">
      <c r="A3186" s="32" t="str">
        <f>Demand!A3184</f>
        <v>S019</v>
      </c>
      <c r="B3186" s="35">
        <f>Demand!B3184</f>
        <v>46275.0</v>
      </c>
      <c r="C3186" s="33">
        <f>Demand!C3184</f>
        <v>22</v>
      </c>
      <c r="D3186" s="33">
        <f>Demand!E3184</f>
        <v>15</v>
      </c>
      <c r="E3186" s="33">
        <f>IF(Demand!F3184,1,0)</f>
        <v>0</v>
      </c>
      <c r="F3186" s="33">
        <f>COUNTIFS(c_store,A3186,c_date,B3186,c_hour,C3186)</f>
        <v>0</v>
      </c>
      <c r="G3186" s="33">
        <f>IF(F3186&gt;0,1,0)</f>
        <v>0</v>
      </c>
      <c r="H3186" s="33">
        <f>COUNTIFS(Demand!$A$2:$A$4481,A3186,Demand!$B$2:$B$4481,B3186,Demand!$C$2:$C$4481,C3186)</f>
        <v>1</v>
      </c>
    </row>
    <row r="3187">
      <c r="A3187" s="32" t="str">
        <f>Demand!A3185</f>
        <v>S019</v>
      </c>
      <c r="B3187" s="35">
        <f>Demand!B3185</f>
        <v>46275.0</v>
      </c>
      <c r="C3187" s="33">
        <f>Demand!C3185</f>
        <v>23</v>
      </c>
      <c r="D3187" s="33">
        <f>Demand!E3185</f>
        <v>23</v>
      </c>
      <c r="E3187" s="33">
        <f>IF(Demand!F3185,1,0)</f>
        <v>0</v>
      </c>
      <c r="F3187" s="33">
        <f>COUNTIFS(c_store,A3187,c_date,B3187,c_hour,C3187)</f>
        <v>0</v>
      </c>
      <c r="G3187" s="33">
        <f>IF(F3187&gt;0,1,0)</f>
        <v>0</v>
      </c>
      <c r="H3187" s="33">
        <f>COUNTIFS(Demand!$A$2:$A$4481,A3187,Demand!$B$2:$B$4481,B3187,Demand!$C$2:$C$4481,C3187)</f>
        <v>1</v>
      </c>
    </row>
    <row r="3188">
      <c r="A3188" s="32" t="str">
        <f>Demand!A3186</f>
        <v>S020</v>
      </c>
      <c r="B3188" s="35">
        <f>Demand!B3186</f>
        <v>46275.0</v>
      </c>
      <c r="C3188" s="33">
        <f>Demand!C3186</f>
        <v>8</v>
      </c>
      <c r="D3188" s="33">
        <f>Demand!E3186</f>
        <v>6</v>
      </c>
      <c r="E3188" s="33">
        <f>IF(Demand!F3186,1,0)</f>
        <v>0</v>
      </c>
      <c r="F3188" s="33">
        <f>COUNTIFS(c_store,A3188,c_date,B3188,c_hour,C3188)</f>
        <v>0</v>
      </c>
      <c r="G3188" s="33">
        <f>IF(F3188&gt;0,1,0)</f>
        <v>0</v>
      </c>
      <c r="H3188" s="33">
        <f>COUNTIFS(Demand!$A$2:$A$4481,A3188,Demand!$B$2:$B$4481,B3188,Demand!$C$2:$C$4481,C3188)</f>
        <v>1</v>
      </c>
    </row>
    <row r="3189">
      <c r="A3189" s="32" t="str">
        <f>Demand!A3187</f>
        <v>S020</v>
      </c>
      <c r="B3189" s="35">
        <f>Demand!B3187</f>
        <v>46275.0</v>
      </c>
      <c r="C3189" s="33">
        <f>Demand!C3187</f>
        <v>9</v>
      </c>
      <c r="D3189" s="33">
        <f>Demand!E3187</f>
        <v>12</v>
      </c>
      <c r="E3189" s="33">
        <f>IF(Demand!F3187,1,0)</f>
        <v>0</v>
      </c>
      <c r="F3189" s="33">
        <f>COUNTIFS(c_store,A3189,c_date,B3189,c_hour,C3189)</f>
        <v>1</v>
      </c>
      <c r="G3189" s="33">
        <f>IF(F3189&gt;0,1,0)</f>
        <v>1</v>
      </c>
      <c r="H3189" s="33">
        <f>COUNTIFS(Demand!$A$2:$A$4481,A3189,Demand!$B$2:$B$4481,B3189,Demand!$C$2:$C$4481,C3189)</f>
        <v>1</v>
      </c>
    </row>
    <row r="3190">
      <c r="A3190" s="32" t="str">
        <f>Demand!A3188</f>
        <v>S020</v>
      </c>
      <c r="B3190" s="35">
        <f>Demand!B3188</f>
        <v>46275.0</v>
      </c>
      <c r="C3190" s="33">
        <f>Demand!C3188</f>
        <v>10</v>
      </c>
      <c r="D3190" s="33">
        <f>Demand!E3188</f>
        <v>17</v>
      </c>
      <c r="E3190" s="33">
        <f>IF(Demand!F3188,1,0)</f>
        <v>0</v>
      </c>
      <c r="F3190" s="33">
        <f>COUNTIFS(c_store,A3190,c_date,B3190,c_hour,C3190)</f>
        <v>0</v>
      </c>
      <c r="G3190" s="33">
        <f>IF(F3190&gt;0,1,0)</f>
        <v>0</v>
      </c>
      <c r="H3190" s="33">
        <f>COUNTIFS(Demand!$A$2:$A$4481,A3190,Demand!$B$2:$B$4481,B3190,Demand!$C$2:$C$4481,C3190)</f>
        <v>1</v>
      </c>
    </row>
    <row r="3191">
      <c r="A3191" s="32" t="str">
        <f>Demand!A3189</f>
        <v>S020</v>
      </c>
      <c r="B3191" s="35">
        <f>Demand!B3189</f>
        <v>46275.0</v>
      </c>
      <c r="C3191" s="33">
        <f>Demand!C3189</f>
        <v>11</v>
      </c>
      <c r="D3191" s="33">
        <f>Demand!E3189</f>
        <v>19</v>
      </c>
      <c r="E3191" s="33">
        <f>IF(Demand!F3189,1,0)</f>
        <v>0</v>
      </c>
      <c r="F3191" s="33">
        <f>COUNTIFS(c_store,A3191,c_date,B3191,c_hour,C3191)</f>
        <v>0</v>
      </c>
      <c r="G3191" s="33">
        <f>IF(F3191&gt;0,1,0)</f>
        <v>0</v>
      </c>
      <c r="H3191" s="33">
        <f>COUNTIFS(Demand!$A$2:$A$4481,A3191,Demand!$B$2:$B$4481,B3191,Demand!$C$2:$C$4481,C3191)</f>
        <v>1</v>
      </c>
    </row>
    <row r="3192">
      <c r="A3192" s="32" t="str">
        <f>Demand!A3190</f>
        <v>S020</v>
      </c>
      <c r="B3192" s="35">
        <f>Demand!B3190</f>
        <v>46275.0</v>
      </c>
      <c r="C3192" s="33">
        <f>Demand!C3190</f>
        <v>12</v>
      </c>
      <c r="D3192" s="33">
        <f>Demand!E3190</f>
        <v>10</v>
      </c>
      <c r="E3192" s="33">
        <f>IF(Demand!F3190,1,0)</f>
        <v>0</v>
      </c>
      <c r="F3192" s="33">
        <f>COUNTIFS(c_store,A3192,c_date,B3192,c_hour,C3192)</f>
        <v>0</v>
      </c>
      <c r="G3192" s="33">
        <f>IF(F3192&gt;0,1,0)</f>
        <v>0</v>
      </c>
      <c r="H3192" s="33">
        <f>COUNTIFS(Demand!$A$2:$A$4481,A3192,Demand!$B$2:$B$4481,B3192,Demand!$C$2:$C$4481,C3192)</f>
        <v>1</v>
      </c>
    </row>
    <row r="3193">
      <c r="A3193" s="32" t="str">
        <f>Demand!A3191</f>
        <v>S020</v>
      </c>
      <c r="B3193" s="35">
        <f>Demand!B3191</f>
        <v>46275.0</v>
      </c>
      <c r="C3193" s="33">
        <f>Demand!C3191</f>
        <v>13</v>
      </c>
      <c r="D3193" s="33">
        <f>Demand!E3191</f>
        <v>21</v>
      </c>
      <c r="E3193" s="33">
        <f>IF(Demand!F3191,1,0)</f>
        <v>0</v>
      </c>
      <c r="F3193" s="33">
        <f>COUNTIFS(c_store,A3193,c_date,B3193,c_hour,C3193)</f>
        <v>1</v>
      </c>
      <c r="G3193" s="33">
        <f>IF(F3193&gt;0,1,0)</f>
        <v>1</v>
      </c>
      <c r="H3193" s="33">
        <f>COUNTIFS(Demand!$A$2:$A$4481,A3193,Demand!$B$2:$B$4481,B3193,Demand!$C$2:$C$4481,C3193)</f>
        <v>1</v>
      </c>
    </row>
    <row r="3194">
      <c r="A3194" s="32" t="str">
        <f>Demand!A3192</f>
        <v>S020</v>
      </c>
      <c r="B3194" s="35">
        <f>Demand!B3192</f>
        <v>46275.0</v>
      </c>
      <c r="C3194" s="33">
        <f>Demand!C3192</f>
        <v>14</v>
      </c>
      <c r="D3194" s="33">
        <f>Demand!E3192</f>
        <v>17</v>
      </c>
      <c r="E3194" s="33">
        <f>IF(Demand!F3192,1,0)</f>
        <v>0</v>
      </c>
      <c r="F3194" s="33">
        <f>COUNTIFS(c_store,A3194,c_date,B3194,c_hour,C3194)</f>
        <v>0</v>
      </c>
      <c r="G3194" s="33">
        <f>IF(F3194&gt;0,1,0)</f>
        <v>0</v>
      </c>
      <c r="H3194" s="33">
        <f>COUNTIFS(Demand!$A$2:$A$4481,A3194,Demand!$B$2:$B$4481,B3194,Demand!$C$2:$C$4481,C3194)</f>
        <v>1</v>
      </c>
    </row>
    <row r="3195">
      <c r="A3195" s="32" t="str">
        <f>Demand!A3193</f>
        <v>S020</v>
      </c>
      <c r="B3195" s="35">
        <f>Demand!B3193</f>
        <v>46275.0</v>
      </c>
      <c r="C3195" s="33">
        <f>Demand!C3193</f>
        <v>15</v>
      </c>
      <c r="D3195" s="33">
        <f>Demand!E3193</f>
        <v>15</v>
      </c>
      <c r="E3195" s="33">
        <f>IF(Demand!F3193,1,0)</f>
        <v>0</v>
      </c>
      <c r="F3195" s="33">
        <f>COUNTIFS(c_store,A3195,c_date,B3195,c_hour,C3195)</f>
        <v>4</v>
      </c>
      <c r="G3195" s="33">
        <f>IF(F3195&gt;0,1,0)</f>
        <v>1</v>
      </c>
      <c r="H3195" s="33">
        <f>COUNTIFS(Demand!$A$2:$A$4481,A3195,Demand!$B$2:$B$4481,B3195,Demand!$C$2:$C$4481,C3195)</f>
        <v>1</v>
      </c>
    </row>
    <row r="3196">
      <c r="A3196" s="32" t="str">
        <f>Demand!A3194</f>
        <v>S020</v>
      </c>
      <c r="B3196" s="35">
        <f>Demand!B3194</f>
        <v>46275.0</v>
      </c>
      <c r="C3196" s="33">
        <f>Demand!C3194</f>
        <v>16</v>
      </c>
      <c r="D3196" s="33">
        <f>Demand!E3194</f>
        <v>11</v>
      </c>
      <c r="E3196" s="33">
        <f>IF(Demand!F3194,1,0)</f>
        <v>0</v>
      </c>
      <c r="F3196" s="33">
        <f>COUNTIFS(c_store,A3196,c_date,B3196,c_hour,C3196)</f>
        <v>0</v>
      </c>
      <c r="G3196" s="33">
        <f>IF(F3196&gt;0,1,0)</f>
        <v>0</v>
      </c>
      <c r="H3196" s="33">
        <f>COUNTIFS(Demand!$A$2:$A$4481,A3196,Demand!$B$2:$B$4481,B3196,Demand!$C$2:$C$4481,C3196)</f>
        <v>1</v>
      </c>
    </row>
    <row r="3197">
      <c r="A3197" s="32" t="str">
        <f>Demand!A3195</f>
        <v>S020</v>
      </c>
      <c r="B3197" s="35">
        <f>Demand!B3195</f>
        <v>46275.0</v>
      </c>
      <c r="C3197" s="33">
        <f>Demand!C3195</f>
        <v>17</v>
      </c>
      <c r="D3197" s="33">
        <f>Demand!E3195</f>
        <v>9</v>
      </c>
      <c r="E3197" s="33">
        <f>IF(Demand!F3195,1,0)</f>
        <v>0</v>
      </c>
      <c r="F3197" s="33">
        <f>COUNTIFS(c_store,A3197,c_date,B3197,c_hour,C3197)</f>
        <v>0</v>
      </c>
      <c r="G3197" s="33">
        <f>IF(F3197&gt;0,1,0)</f>
        <v>0</v>
      </c>
      <c r="H3197" s="33">
        <f>COUNTIFS(Demand!$A$2:$A$4481,A3197,Demand!$B$2:$B$4481,B3197,Demand!$C$2:$C$4481,C3197)</f>
        <v>1</v>
      </c>
    </row>
    <row r="3198">
      <c r="A3198" s="32" t="str">
        <f>Demand!A3196</f>
        <v>S020</v>
      </c>
      <c r="B3198" s="35">
        <f>Demand!B3196</f>
        <v>46275.0</v>
      </c>
      <c r="C3198" s="33">
        <f>Demand!C3196</f>
        <v>18</v>
      </c>
      <c r="D3198" s="33">
        <f>Demand!E3196</f>
        <v>15</v>
      </c>
      <c r="E3198" s="33">
        <f>IF(Demand!F3196,1,0)</f>
        <v>0</v>
      </c>
      <c r="F3198" s="33">
        <f>COUNTIFS(c_store,A3198,c_date,B3198,c_hour,C3198)</f>
        <v>0</v>
      </c>
      <c r="G3198" s="33">
        <f>IF(F3198&gt;0,1,0)</f>
        <v>0</v>
      </c>
      <c r="H3198" s="33">
        <f>COUNTIFS(Demand!$A$2:$A$4481,A3198,Demand!$B$2:$B$4481,B3198,Demand!$C$2:$C$4481,C3198)</f>
        <v>1</v>
      </c>
    </row>
    <row r="3199">
      <c r="A3199" s="32" t="str">
        <f>Demand!A3197</f>
        <v>S020</v>
      </c>
      <c r="B3199" s="35">
        <f>Demand!B3197</f>
        <v>46275.0</v>
      </c>
      <c r="C3199" s="33">
        <f>Demand!C3197</f>
        <v>19</v>
      </c>
      <c r="D3199" s="33">
        <f>Demand!E3197</f>
        <v>22</v>
      </c>
      <c r="E3199" s="33">
        <f>IF(Demand!F3197,1,0)</f>
        <v>1</v>
      </c>
      <c r="F3199" s="33">
        <f>COUNTIFS(c_store,A3199,c_date,B3199,c_hour,C3199)</f>
        <v>0</v>
      </c>
      <c r="G3199" s="33">
        <f>IF(F3199&gt;0,1,0)</f>
        <v>0</v>
      </c>
      <c r="H3199" s="33">
        <f>COUNTIFS(Demand!$A$2:$A$4481,A3199,Demand!$B$2:$B$4481,B3199,Demand!$C$2:$C$4481,C3199)</f>
        <v>1</v>
      </c>
    </row>
    <row r="3200">
      <c r="A3200" s="32" t="str">
        <f>Demand!A3198</f>
        <v>S020</v>
      </c>
      <c r="B3200" s="35">
        <f>Demand!B3198</f>
        <v>46275.0</v>
      </c>
      <c r="C3200" s="33">
        <f>Demand!C3198</f>
        <v>20</v>
      </c>
      <c r="D3200" s="33">
        <f>Demand!E3198</f>
        <v>23</v>
      </c>
      <c r="E3200" s="33">
        <f>IF(Demand!F3198,1,0)</f>
        <v>1</v>
      </c>
      <c r="F3200" s="33">
        <f>COUNTIFS(c_store,A3200,c_date,B3200,c_hour,C3200)</f>
        <v>0</v>
      </c>
      <c r="G3200" s="33">
        <f>IF(F3200&gt;0,1,0)</f>
        <v>0</v>
      </c>
      <c r="H3200" s="33">
        <f>COUNTIFS(Demand!$A$2:$A$4481,A3200,Demand!$B$2:$B$4481,B3200,Demand!$C$2:$C$4481,C3200)</f>
        <v>1</v>
      </c>
    </row>
    <row r="3201">
      <c r="A3201" s="32" t="str">
        <f>Demand!A3199</f>
        <v>S020</v>
      </c>
      <c r="B3201" s="35">
        <f>Demand!B3199</f>
        <v>46275.0</v>
      </c>
      <c r="C3201" s="33">
        <f>Demand!C3199</f>
        <v>21</v>
      </c>
      <c r="D3201" s="33">
        <f>Demand!E3199</f>
        <v>21</v>
      </c>
      <c r="E3201" s="33">
        <f>IF(Demand!F3199,1,0)</f>
        <v>1</v>
      </c>
      <c r="F3201" s="33">
        <f>COUNTIFS(c_store,A3201,c_date,B3201,c_hour,C3201)</f>
        <v>2</v>
      </c>
      <c r="G3201" s="33">
        <f>IF(F3201&gt;0,1,0)</f>
        <v>1</v>
      </c>
      <c r="H3201" s="33">
        <f>COUNTIFS(Demand!$A$2:$A$4481,A3201,Demand!$B$2:$B$4481,B3201,Demand!$C$2:$C$4481,C3201)</f>
        <v>1</v>
      </c>
    </row>
    <row r="3202">
      <c r="A3202" s="32" t="str">
        <f>Demand!A3200</f>
        <v>S020</v>
      </c>
      <c r="B3202" s="35">
        <f>Demand!B3200</f>
        <v>46275.0</v>
      </c>
      <c r="C3202" s="33">
        <f>Demand!C3200</f>
        <v>22</v>
      </c>
      <c r="D3202" s="33">
        <f>Demand!E3200</f>
        <v>10</v>
      </c>
      <c r="E3202" s="33">
        <f>IF(Demand!F3200,1,0)</f>
        <v>0</v>
      </c>
      <c r="F3202" s="33">
        <f>COUNTIFS(c_store,A3202,c_date,B3202,c_hour,C3202)</f>
        <v>2</v>
      </c>
      <c r="G3202" s="33">
        <f>IF(F3202&gt;0,1,0)</f>
        <v>1</v>
      </c>
      <c r="H3202" s="33">
        <f>COUNTIFS(Demand!$A$2:$A$4481,A3202,Demand!$B$2:$B$4481,B3202,Demand!$C$2:$C$4481,C3202)</f>
        <v>1</v>
      </c>
    </row>
    <row r="3203">
      <c r="A3203" s="32" t="str">
        <f>Demand!A3201</f>
        <v>S020</v>
      </c>
      <c r="B3203" s="35">
        <f>Demand!B3201</f>
        <v>46275.0</v>
      </c>
      <c r="C3203" s="33">
        <f>Demand!C3201</f>
        <v>23</v>
      </c>
      <c r="D3203" s="33">
        <f>Demand!E3201</f>
        <v>14</v>
      </c>
      <c r="E3203" s="33">
        <f>IF(Demand!F3201,1,0)</f>
        <v>0</v>
      </c>
      <c r="F3203" s="33">
        <f>COUNTIFS(c_store,A3203,c_date,B3203,c_hour,C3203)</f>
        <v>0</v>
      </c>
      <c r="G3203" s="33">
        <f>IF(F3203&gt;0,1,0)</f>
        <v>0</v>
      </c>
      <c r="H3203" s="33">
        <f>COUNTIFS(Demand!$A$2:$A$4481,A3203,Demand!$B$2:$B$4481,B3203,Demand!$C$2:$C$4481,C3203)</f>
        <v>1</v>
      </c>
    </row>
    <row r="3204">
      <c r="A3204" s="32" t="str">
        <f>Demand!A3202</f>
        <v>S001</v>
      </c>
      <c r="B3204" s="35">
        <f>Demand!B3202</f>
        <v>46276.0</v>
      </c>
      <c r="C3204" s="33">
        <f>Demand!C3202</f>
        <v>8</v>
      </c>
      <c r="D3204" s="33">
        <f>Demand!E3202</f>
        <v>10</v>
      </c>
      <c r="E3204" s="33">
        <f>IF(Demand!F3202,1,0)</f>
        <v>0</v>
      </c>
      <c r="F3204" s="33">
        <f>COUNTIFS(c_store,A3204,c_date,B3204,c_hour,C3204)</f>
        <v>0</v>
      </c>
      <c r="G3204" s="33">
        <f>IF(F3204&gt;0,1,0)</f>
        <v>0</v>
      </c>
      <c r="H3204" s="33">
        <f>COUNTIFS(Demand!$A$2:$A$4481,A3204,Demand!$B$2:$B$4481,B3204,Demand!$C$2:$C$4481,C3204)</f>
        <v>1</v>
      </c>
    </row>
    <row r="3205">
      <c r="A3205" s="32" t="str">
        <f>Demand!A3203</f>
        <v>S001</v>
      </c>
      <c r="B3205" s="35">
        <f>Demand!B3203</f>
        <v>46276.0</v>
      </c>
      <c r="C3205" s="33">
        <f>Demand!C3203</f>
        <v>9</v>
      </c>
      <c r="D3205" s="33">
        <f>Demand!E3203</f>
        <v>12</v>
      </c>
      <c r="E3205" s="33">
        <f>IF(Demand!F3203,1,0)</f>
        <v>0</v>
      </c>
      <c r="F3205" s="33">
        <f>COUNTIFS(c_store,A3205,c_date,B3205,c_hour,C3205)</f>
        <v>0</v>
      </c>
      <c r="G3205" s="33">
        <f>IF(F3205&gt;0,1,0)</f>
        <v>0</v>
      </c>
      <c r="H3205" s="33">
        <f>COUNTIFS(Demand!$A$2:$A$4481,A3205,Demand!$B$2:$B$4481,B3205,Demand!$C$2:$C$4481,C3205)</f>
        <v>1</v>
      </c>
    </row>
    <row r="3206">
      <c r="A3206" s="32" t="str">
        <f>Demand!A3204</f>
        <v>S001</v>
      </c>
      <c r="B3206" s="35">
        <f>Demand!B3204</f>
        <v>46276.0</v>
      </c>
      <c r="C3206" s="33">
        <f>Demand!C3204</f>
        <v>10</v>
      </c>
      <c r="D3206" s="33">
        <f>Demand!E3204</f>
        <v>10</v>
      </c>
      <c r="E3206" s="33">
        <f>IF(Demand!F3204,1,0)</f>
        <v>0</v>
      </c>
      <c r="F3206" s="33">
        <f>COUNTIFS(c_store,A3206,c_date,B3206,c_hour,C3206)</f>
        <v>0</v>
      </c>
      <c r="G3206" s="33">
        <f>IF(F3206&gt;0,1,0)</f>
        <v>0</v>
      </c>
      <c r="H3206" s="33">
        <f>COUNTIFS(Demand!$A$2:$A$4481,A3206,Demand!$B$2:$B$4481,B3206,Demand!$C$2:$C$4481,C3206)</f>
        <v>1</v>
      </c>
    </row>
    <row r="3207">
      <c r="A3207" s="32" t="str">
        <f>Demand!A3205</f>
        <v>S001</v>
      </c>
      <c r="B3207" s="35">
        <f>Demand!B3205</f>
        <v>46276.0</v>
      </c>
      <c r="C3207" s="33">
        <f>Demand!C3205</f>
        <v>11</v>
      </c>
      <c r="D3207" s="33">
        <f>Demand!E3205</f>
        <v>19</v>
      </c>
      <c r="E3207" s="33">
        <f>IF(Demand!F3205,1,0)</f>
        <v>0</v>
      </c>
      <c r="F3207" s="33">
        <f>COUNTIFS(c_store,A3207,c_date,B3207,c_hour,C3207)</f>
        <v>1</v>
      </c>
      <c r="G3207" s="33">
        <f>IF(F3207&gt;0,1,0)</f>
        <v>1</v>
      </c>
      <c r="H3207" s="33">
        <f>COUNTIFS(Demand!$A$2:$A$4481,A3207,Demand!$B$2:$B$4481,B3207,Demand!$C$2:$C$4481,C3207)</f>
        <v>1</v>
      </c>
    </row>
    <row r="3208">
      <c r="A3208" s="32" t="str">
        <f>Demand!A3206</f>
        <v>S001</v>
      </c>
      <c r="B3208" s="35">
        <f>Demand!B3206</f>
        <v>46276.0</v>
      </c>
      <c r="C3208" s="33">
        <f>Demand!C3206</f>
        <v>12</v>
      </c>
      <c r="D3208" s="33">
        <f>Demand!E3206</f>
        <v>24</v>
      </c>
      <c r="E3208" s="33">
        <f>IF(Demand!F3206,1,0)</f>
        <v>0</v>
      </c>
      <c r="F3208" s="33">
        <f>COUNTIFS(c_store,A3208,c_date,B3208,c_hour,C3208)</f>
        <v>0</v>
      </c>
      <c r="G3208" s="33">
        <f>IF(F3208&gt;0,1,0)</f>
        <v>0</v>
      </c>
      <c r="H3208" s="33">
        <f>COUNTIFS(Demand!$A$2:$A$4481,A3208,Demand!$B$2:$B$4481,B3208,Demand!$C$2:$C$4481,C3208)</f>
        <v>1</v>
      </c>
    </row>
    <row r="3209">
      <c r="A3209" s="32" t="str">
        <f>Demand!A3207</f>
        <v>S001</v>
      </c>
      <c r="B3209" s="35">
        <f>Demand!B3207</f>
        <v>46276.0</v>
      </c>
      <c r="C3209" s="33">
        <f>Demand!C3207</f>
        <v>13</v>
      </c>
      <c r="D3209" s="33">
        <f>Demand!E3207</f>
        <v>15</v>
      </c>
      <c r="E3209" s="33">
        <f>IF(Demand!F3207,1,0)</f>
        <v>0</v>
      </c>
      <c r="F3209" s="33">
        <f>COUNTIFS(c_store,A3209,c_date,B3209,c_hour,C3209)</f>
        <v>0</v>
      </c>
      <c r="G3209" s="33">
        <f>IF(F3209&gt;0,1,0)</f>
        <v>0</v>
      </c>
      <c r="H3209" s="33">
        <f>COUNTIFS(Demand!$A$2:$A$4481,A3209,Demand!$B$2:$B$4481,B3209,Demand!$C$2:$C$4481,C3209)</f>
        <v>1</v>
      </c>
    </row>
    <row r="3210">
      <c r="A3210" s="32" t="str">
        <f>Demand!A3208</f>
        <v>S001</v>
      </c>
      <c r="B3210" s="35">
        <f>Demand!B3208</f>
        <v>46276.0</v>
      </c>
      <c r="C3210" s="33">
        <f>Demand!C3208</f>
        <v>14</v>
      </c>
      <c r="D3210" s="33">
        <f>Demand!E3208</f>
        <v>11</v>
      </c>
      <c r="E3210" s="33">
        <f>IF(Demand!F3208,1,0)</f>
        <v>0</v>
      </c>
      <c r="F3210" s="33">
        <f>COUNTIFS(c_store,A3210,c_date,B3210,c_hour,C3210)</f>
        <v>0</v>
      </c>
      <c r="G3210" s="33">
        <f>IF(F3210&gt;0,1,0)</f>
        <v>0</v>
      </c>
      <c r="H3210" s="33">
        <f>COUNTIFS(Demand!$A$2:$A$4481,A3210,Demand!$B$2:$B$4481,B3210,Demand!$C$2:$C$4481,C3210)</f>
        <v>1</v>
      </c>
    </row>
    <row r="3211">
      <c r="A3211" s="32" t="str">
        <f>Demand!A3209</f>
        <v>S001</v>
      </c>
      <c r="B3211" s="35">
        <f>Demand!B3209</f>
        <v>46276.0</v>
      </c>
      <c r="C3211" s="33">
        <f>Demand!C3209</f>
        <v>15</v>
      </c>
      <c r="D3211" s="33">
        <f>Demand!E3209</f>
        <v>10</v>
      </c>
      <c r="E3211" s="33">
        <f>IF(Demand!F3209,1,0)</f>
        <v>0</v>
      </c>
      <c r="F3211" s="33">
        <f>COUNTIFS(c_store,A3211,c_date,B3211,c_hour,C3211)</f>
        <v>1</v>
      </c>
      <c r="G3211" s="33">
        <f>IF(F3211&gt;0,1,0)</f>
        <v>1</v>
      </c>
      <c r="H3211" s="33">
        <f>COUNTIFS(Demand!$A$2:$A$4481,A3211,Demand!$B$2:$B$4481,B3211,Demand!$C$2:$C$4481,C3211)</f>
        <v>1</v>
      </c>
    </row>
    <row r="3212">
      <c r="A3212" s="32" t="str">
        <f>Demand!A3210</f>
        <v>S001</v>
      </c>
      <c r="B3212" s="35">
        <f>Demand!B3210</f>
        <v>46276.0</v>
      </c>
      <c r="C3212" s="33">
        <f>Demand!C3210</f>
        <v>16</v>
      </c>
      <c r="D3212" s="33">
        <f>Demand!E3210</f>
        <v>19</v>
      </c>
      <c r="E3212" s="33">
        <f>IF(Demand!F3210,1,0)</f>
        <v>0</v>
      </c>
      <c r="F3212" s="33">
        <f>COUNTIFS(c_store,A3212,c_date,B3212,c_hour,C3212)</f>
        <v>0</v>
      </c>
      <c r="G3212" s="33">
        <f>IF(F3212&gt;0,1,0)</f>
        <v>0</v>
      </c>
      <c r="H3212" s="33">
        <f>COUNTIFS(Demand!$A$2:$A$4481,A3212,Demand!$B$2:$B$4481,B3212,Demand!$C$2:$C$4481,C3212)</f>
        <v>1</v>
      </c>
    </row>
    <row r="3213">
      <c r="A3213" s="32" t="str">
        <f>Demand!A3211</f>
        <v>S001</v>
      </c>
      <c r="B3213" s="35">
        <f>Demand!B3211</f>
        <v>46276.0</v>
      </c>
      <c r="C3213" s="33">
        <f>Demand!C3211</f>
        <v>17</v>
      </c>
      <c r="D3213" s="33">
        <f>Demand!E3211</f>
        <v>6</v>
      </c>
      <c r="E3213" s="33">
        <f>IF(Demand!F3211,1,0)</f>
        <v>0</v>
      </c>
      <c r="F3213" s="33">
        <f>COUNTIFS(c_store,A3213,c_date,B3213,c_hour,C3213)</f>
        <v>0</v>
      </c>
      <c r="G3213" s="33">
        <f>IF(F3213&gt;0,1,0)</f>
        <v>0</v>
      </c>
      <c r="H3213" s="33">
        <f>COUNTIFS(Demand!$A$2:$A$4481,A3213,Demand!$B$2:$B$4481,B3213,Demand!$C$2:$C$4481,C3213)</f>
        <v>1</v>
      </c>
    </row>
    <row r="3214">
      <c r="A3214" s="32" t="str">
        <f>Demand!A3212</f>
        <v>S001</v>
      </c>
      <c r="B3214" s="35">
        <f>Demand!B3212</f>
        <v>46276.0</v>
      </c>
      <c r="C3214" s="33">
        <f>Demand!C3212</f>
        <v>18</v>
      </c>
      <c r="D3214" s="33">
        <f>Demand!E3212</f>
        <v>15</v>
      </c>
      <c r="E3214" s="33">
        <f>IF(Demand!F3212,1,0)</f>
        <v>0</v>
      </c>
      <c r="F3214" s="33">
        <f>COUNTIFS(c_store,A3214,c_date,B3214,c_hour,C3214)</f>
        <v>1</v>
      </c>
      <c r="G3214" s="33">
        <f>IF(F3214&gt;0,1,0)</f>
        <v>1</v>
      </c>
      <c r="H3214" s="33">
        <f>COUNTIFS(Demand!$A$2:$A$4481,A3214,Demand!$B$2:$B$4481,B3214,Demand!$C$2:$C$4481,C3214)</f>
        <v>1</v>
      </c>
    </row>
    <row r="3215">
      <c r="A3215" s="32" t="str">
        <f>Demand!A3213</f>
        <v>S001</v>
      </c>
      <c r="B3215" s="35">
        <f>Demand!B3213</f>
        <v>46276.0</v>
      </c>
      <c r="C3215" s="33">
        <f>Demand!C3213</f>
        <v>19</v>
      </c>
      <c r="D3215" s="33">
        <f>Demand!E3213</f>
        <v>37</v>
      </c>
      <c r="E3215" s="33">
        <f>IF(Demand!F3213,1,0)</f>
        <v>1</v>
      </c>
      <c r="F3215" s="33">
        <f>COUNTIFS(c_store,A3215,c_date,B3215,c_hour,C3215)</f>
        <v>0</v>
      </c>
      <c r="G3215" s="33">
        <f>IF(F3215&gt;0,1,0)</f>
        <v>0</v>
      </c>
      <c r="H3215" s="33">
        <f>COUNTIFS(Demand!$A$2:$A$4481,A3215,Demand!$B$2:$B$4481,B3215,Demand!$C$2:$C$4481,C3215)</f>
        <v>1</v>
      </c>
    </row>
    <row r="3216">
      <c r="A3216" s="32" t="str">
        <f>Demand!A3214</f>
        <v>S001</v>
      </c>
      <c r="B3216" s="35">
        <f>Demand!B3214</f>
        <v>46276.0</v>
      </c>
      <c r="C3216" s="33">
        <f>Demand!C3214</f>
        <v>20</v>
      </c>
      <c r="D3216" s="33">
        <f>Demand!E3214</f>
        <v>26</v>
      </c>
      <c r="E3216" s="33">
        <f>IF(Demand!F3214,1,0)</f>
        <v>1</v>
      </c>
      <c r="F3216" s="33">
        <f>COUNTIFS(c_store,A3216,c_date,B3216,c_hour,C3216)</f>
        <v>1</v>
      </c>
      <c r="G3216" s="33">
        <f>IF(F3216&gt;0,1,0)</f>
        <v>1</v>
      </c>
      <c r="H3216" s="33">
        <f>COUNTIFS(Demand!$A$2:$A$4481,A3216,Demand!$B$2:$B$4481,B3216,Demand!$C$2:$C$4481,C3216)</f>
        <v>1</v>
      </c>
    </row>
    <row r="3217">
      <c r="A3217" s="32" t="str">
        <f>Demand!A3215</f>
        <v>S001</v>
      </c>
      <c r="B3217" s="35">
        <f>Demand!B3215</f>
        <v>46276.0</v>
      </c>
      <c r="C3217" s="33">
        <f>Demand!C3215</f>
        <v>21</v>
      </c>
      <c r="D3217" s="33">
        <f>Demand!E3215</f>
        <v>23</v>
      </c>
      <c r="E3217" s="33">
        <f>IF(Demand!F3215,1,0)</f>
        <v>1</v>
      </c>
      <c r="F3217" s="33">
        <f>COUNTIFS(c_store,A3217,c_date,B3217,c_hour,C3217)</f>
        <v>0</v>
      </c>
      <c r="G3217" s="33">
        <f>IF(F3217&gt;0,1,0)</f>
        <v>0</v>
      </c>
      <c r="H3217" s="33">
        <f>COUNTIFS(Demand!$A$2:$A$4481,A3217,Demand!$B$2:$B$4481,B3217,Demand!$C$2:$C$4481,C3217)</f>
        <v>1</v>
      </c>
    </row>
    <row r="3218">
      <c r="A3218" s="32" t="str">
        <f>Demand!A3216</f>
        <v>S001</v>
      </c>
      <c r="B3218" s="35">
        <f>Demand!B3216</f>
        <v>46276.0</v>
      </c>
      <c r="C3218" s="33">
        <f>Demand!C3216</f>
        <v>22</v>
      </c>
      <c r="D3218" s="33">
        <f>Demand!E3216</f>
        <v>13</v>
      </c>
      <c r="E3218" s="33">
        <f>IF(Demand!F3216,1,0)</f>
        <v>0</v>
      </c>
      <c r="F3218" s="33">
        <f>COUNTIFS(c_store,A3218,c_date,B3218,c_hour,C3218)</f>
        <v>0</v>
      </c>
      <c r="G3218" s="33">
        <f>IF(F3218&gt;0,1,0)</f>
        <v>0</v>
      </c>
      <c r="H3218" s="33">
        <f>COUNTIFS(Demand!$A$2:$A$4481,A3218,Demand!$B$2:$B$4481,B3218,Demand!$C$2:$C$4481,C3218)</f>
        <v>1</v>
      </c>
    </row>
    <row r="3219">
      <c r="A3219" s="32" t="str">
        <f>Demand!A3217</f>
        <v>S001</v>
      </c>
      <c r="B3219" s="35">
        <f>Demand!B3217</f>
        <v>46276.0</v>
      </c>
      <c r="C3219" s="33">
        <f>Demand!C3217</f>
        <v>23</v>
      </c>
      <c r="D3219" s="33">
        <f>Demand!E3217</f>
        <v>15</v>
      </c>
      <c r="E3219" s="33">
        <f>IF(Demand!F3217,1,0)</f>
        <v>0</v>
      </c>
      <c r="F3219" s="33">
        <f>COUNTIFS(c_store,A3219,c_date,B3219,c_hour,C3219)</f>
        <v>1</v>
      </c>
      <c r="G3219" s="33">
        <f>IF(F3219&gt;0,1,0)</f>
        <v>1</v>
      </c>
      <c r="H3219" s="33">
        <f>COUNTIFS(Demand!$A$2:$A$4481,A3219,Demand!$B$2:$B$4481,B3219,Demand!$C$2:$C$4481,C3219)</f>
        <v>1</v>
      </c>
    </row>
    <row r="3220">
      <c r="A3220" s="32" t="str">
        <f>Demand!A3218</f>
        <v>S002</v>
      </c>
      <c r="B3220" s="35">
        <f>Demand!B3218</f>
        <v>46276.0</v>
      </c>
      <c r="C3220" s="33">
        <f>Demand!C3218</f>
        <v>8</v>
      </c>
      <c r="D3220" s="33">
        <f>Demand!E3218</f>
        <v>23</v>
      </c>
      <c r="E3220" s="33">
        <f>IF(Demand!F3218,1,0)</f>
        <v>0</v>
      </c>
      <c r="F3220" s="33">
        <f>COUNTIFS(c_store,A3220,c_date,B3220,c_hour,C3220)</f>
        <v>1</v>
      </c>
      <c r="G3220" s="33">
        <f>IF(F3220&gt;0,1,0)</f>
        <v>1</v>
      </c>
      <c r="H3220" s="33">
        <f>COUNTIFS(Demand!$A$2:$A$4481,A3220,Demand!$B$2:$B$4481,B3220,Demand!$C$2:$C$4481,C3220)</f>
        <v>1</v>
      </c>
    </row>
    <row r="3221">
      <c r="A3221" s="32" t="str">
        <f>Demand!A3219</f>
        <v>S002</v>
      </c>
      <c r="B3221" s="35">
        <f>Demand!B3219</f>
        <v>46276.0</v>
      </c>
      <c r="C3221" s="33">
        <f>Demand!C3219</f>
        <v>9</v>
      </c>
      <c r="D3221" s="33">
        <f>Demand!E3219</f>
        <v>24</v>
      </c>
      <c r="E3221" s="33">
        <f>IF(Demand!F3219,1,0)</f>
        <v>0</v>
      </c>
      <c r="F3221" s="33">
        <f>COUNTIFS(c_store,A3221,c_date,B3221,c_hour,C3221)</f>
        <v>1</v>
      </c>
      <c r="G3221" s="33">
        <f>IF(F3221&gt;0,1,0)</f>
        <v>1</v>
      </c>
      <c r="H3221" s="33">
        <f>COUNTIFS(Demand!$A$2:$A$4481,A3221,Demand!$B$2:$B$4481,B3221,Demand!$C$2:$C$4481,C3221)</f>
        <v>1</v>
      </c>
    </row>
    <row r="3222">
      <c r="A3222" s="32" t="str">
        <f>Demand!A3220</f>
        <v>S002</v>
      </c>
      <c r="B3222" s="35">
        <f>Demand!B3220</f>
        <v>46276.0</v>
      </c>
      <c r="C3222" s="33">
        <f>Demand!C3220</f>
        <v>10</v>
      </c>
      <c r="D3222" s="33">
        <f>Demand!E3220</f>
        <v>26</v>
      </c>
      <c r="E3222" s="33">
        <f>IF(Demand!F3220,1,0)</f>
        <v>0</v>
      </c>
      <c r="F3222" s="33">
        <f>COUNTIFS(c_store,A3222,c_date,B3222,c_hour,C3222)</f>
        <v>0</v>
      </c>
      <c r="G3222" s="33">
        <f>IF(F3222&gt;0,1,0)</f>
        <v>0</v>
      </c>
      <c r="H3222" s="33">
        <f>COUNTIFS(Demand!$A$2:$A$4481,A3222,Demand!$B$2:$B$4481,B3222,Demand!$C$2:$C$4481,C3222)</f>
        <v>1</v>
      </c>
    </row>
    <row r="3223">
      <c r="A3223" s="32" t="str">
        <f>Demand!A3221</f>
        <v>S002</v>
      </c>
      <c r="B3223" s="35">
        <f>Demand!B3221</f>
        <v>46276.0</v>
      </c>
      <c r="C3223" s="33">
        <f>Demand!C3221</f>
        <v>11</v>
      </c>
      <c r="D3223" s="33">
        <f>Demand!E3221</f>
        <v>30</v>
      </c>
      <c r="E3223" s="33">
        <f>IF(Demand!F3221,1,0)</f>
        <v>0</v>
      </c>
      <c r="F3223" s="33">
        <f>COUNTIFS(c_store,A3223,c_date,B3223,c_hour,C3223)</f>
        <v>1</v>
      </c>
      <c r="G3223" s="33">
        <f>IF(F3223&gt;0,1,0)</f>
        <v>1</v>
      </c>
      <c r="H3223" s="33">
        <f>COUNTIFS(Demand!$A$2:$A$4481,A3223,Demand!$B$2:$B$4481,B3223,Demand!$C$2:$C$4481,C3223)</f>
        <v>1</v>
      </c>
    </row>
    <row r="3224">
      <c r="A3224" s="32" t="str">
        <f>Demand!A3222</f>
        <v>S002</v>
      </c>
      <c r="B3224" s="35">
        <f>Demand!B3222</f>
        <v>46276.0</v>
      </c>
      <c r="C3224" s="33">
        <f>Demand!C3222</f>
        <v>12</v>
      </c>
      <c r="D3224" s="33">
        <f>Demand!E3222</f>
        <v>43</v>
      </c>
      <c r="E3224" s="33">
        <f>IF(Demand!F3222,1,0)</f>
        <v>0</v>
      </c>
      <c r="F3224" s="33">
        <f>COUNTIFS(c_store,A3224,c_date,B3224,c_hour,C3224)</f>
        <v>0</v>
      </c>
      <c r="G3224" s="33">
        <f>IF(F3224&gt;0,1,0)</f>
        <v>0</v>
      </c>
      <c r="H3224" s="33">
        <f>COUNTIFS(Demand!$A$2:$A$4481,A3224,Demand!$B$2:$B$4481,B3224,Demand!$C$2:$C$4481,C3224)</f>
        <v>1</v>
      </c>
    </row>
    <row r="3225">
      <c r="A3225" s="32" t="str">
        <f>Demand!A3223</f>
        <v>S002</v>
      </c>
      <c r="B3225" s="35">
        <f>Demand!B3223</f>
        <v>46276.0</v>
      </c>
      <c r="C3225" s="33">
        <f>Demand!C3223</f>
        <v>13</v>
      </c>
      <c r="D3225" s="33">
        <f>Demand!E3223</f>
        <v>33</v>
      </c>
      <c r="E3225" s="33">
        <f>IF(Demand!F3223,1,0)</f>
        <v>0</v>
      </c>
      <c r="F3225" s="33">
        <f>COUNTIFS(c_store,A3225,c_date,B3225,c_hour,C3225)</f>
        <v>1</v>
      </c>
      <c r="G3225" s="33">
        <f>IF(F3225&gt;0,1,0)</f>
        <v>1</v>
      </c>
      <c r="H3225" s="33">
        <f>COUNTIFS(Demand!$A$2:$A$4481,A3225,Demand!$B$2:$B$4481,B3225,Demand!$C$2:$C$4481,C3225)</f>
        <v>1</v>
      </c>
    </row>
    <row r="3226">
      <c r="A3226" s="32" t="str">
        <f>Demand!A3224</f>
        <v>S002</v>
      </c>
      <c r="B3226" s="35">
        <f>Demand!B3224</f>
        <v>46276.0</v>
      </c>
      <c r="C3226" s="33">
        <f>Demand!C3224</f>
        <v>14</v>
      </c>
      <c r="D3226" s="33">
        <f>Demand!E3224</f>
        <v>23</v>
      </c>
      <c r="E3226" s="33">
        <f>IF(Demand!F3224,1,0)</f>
        <v>0</v>
      </c>
      <c r="F3226" s="33">
        <f>COUNTIFS(c_store,A3226,c_date,B3226,c_hour,C3226)</f>
        <v>0</v>
      </c>
      <c r="G3226" s="33">
        <f>IF(F3226&gt;0,1,0)</f>
        <v>0</v>
      </c>
      <c r="H3226" s="33">
        <f>COUNTIFS(Demand!$A$2:$A$4481,A3226,Demand!$B$2:$B$4481,B3226,Demand!$C$2:$C$4481,C3226)</f>
        <v>1</v>
      </c>
    </row>
    <row r="3227">
      <c r="A3227" s="32" t="str">
        <f>Demand!A3225</f>
        <v>S002</v>
      </c>
      <c r="B3227" s="35">
        <f>Demand!B3225</f>
        <v>46276.0</v>
      </c>
      <c r="C3227" s="33">
        <f>Demand!C3225</f>
        <v>15</v>
      </c>
      <c r="D3227" s="33">
        <f>Demand!E3225</f>
        <v>29</v>
      </c>
      <c r="E3227" s="33">
        <f>IF(Demand!F3225,1,0)</f>
        <v>0</v>
      </c>
      <c r="F3227" s="33">
        <f>COUNTIFS(c_store,A3227,c_date,B3227,c_hour,C3227)</f>
        <v>0</v>
      </c>
      <c r="G3227" s="33">
        <f>IF(F3227&gt;0,1,0)</f>
        <v>0</v>
      </c>
      <c r="H3227" s="33">
        <f>COUNTIFS(Demand!$A$2:$A$4481,A3227,Demand!$B$2:$B$4481,B3227,Demand!$C$2:$C$4481,C3227)</f>
        <v>1</v>
      </c>
    </row>
    <row r="3228">
      <c r="A3228" s="32" t="str">
        <f>Demand!A3226</f>
        <v>S002</v>
      </c>
      <c r="B3228" s="35">
        <f>Demand!B3226</f>
        <v>46276.0</v>
      </c>
      <c r="C3228" s="33">
        <f>Demand!C3226</f>
        <v>16</v>
      </c>
      <c r="D3228" s="33">
        <f>Demand!E3226</f>
        <v>40</v>
      </c>
      <c r="E3228" s="33">
        <f>IF(Demand!F3226,1,0)</f>
        <v>0</v>
      </c>
      <c r="F3228" s="33">
        <f>COUNTIFS(c_store,A3228,c_date,B3228,c_hour,C3228)</f>
        <v>0</v>
      </c>
      <c r="G3228" s="33">
        <f>IF(F3228&gt;0,1,0)</f>
        <v>0</v>
      </c>
      <c r="H3228" s="33">
        <f>COUNTIFS(Demand!$A$2:$A$4481,A3228,Demand!$B$2:$B$4481,B3228,Demand!$C$2:$C$4481,C3228)</f>
        <v>1</v>
      </c>
    </row>
    <row r="3229">
      <c r="A3229" s="32" t="str">
        <f>Demand!A3227</f>
        <v>S002</v>
      </c>
      <c r="B3229" s="35">
        <f>Demand!B3227</f>
        <v>46276.0</v>
      </c>
      <c r="C3229" s="33">
        <f>Demand!C3227</f>
        <v>17</v>
      </c>
      <c r="D3229" s="33">
        <f>Demand!E3227</f>
        <v>45</v>
      </c>
      <c r="E3229" s="33">
        <f>IF(Demand!F3227,1,0)</f>
        <v>0</v>
      </c>
      <c r="F3229" s="33">
        <f>COUNTIFS(c_store,A3229,c_date,B3229,c_hour,C3229)</f>
        <v>1</v>
      </c>
      <c r="G3229" s="33">
        <f>IF(F3229&gt;0,1,0)</f>
        <v>1</v>
      </c>
      <c r="H3229" s="33">
        <f>COUNTIFS(Demand!$A$2:$A$4481,A3229,Demand!$B$2:$B$4481,B3229,Demand!$C$2:$C$4481,C3229)</f>
        <v>1</v>
      </c>
    </row>
    <row r="3230">
      <c r="A3230" s="32" t="str">
        <f>Demand!A3228</f>
        <v>S002</v>
      </c>
      <c r="B3230" s="35">
        <f>Demand!B3228</f>
        <v>46276.0</v>
      </c>
      <c r="C3230" s="33">
        <f>Demand!C3228</f>
        <v>18</v>
      </c>
      <c r="D3230" s="33">
        <f>Demand!E3228</f>
        <v>35</v>
      </c>
      <c r="E3230" s="33">
        <f>IF(Demand!F3228,1,0)</f>
        <v>0</v>
      </c>
      <c r="F3230" s="33">
        <f>COUNTIFS(c_store,A3230,c_date,B3230,c_hour,C3230)</f>
        <v>1</v>
      </c>
      <c r="G3230" s="33">
        <f>IF(F3230&gt;0,1,0)</f>
        <v>1</v>
      </c>
      <c r="H3230" s="33">
        <f>COUNTIFS(Demand!$A$2:$A$4481,A3230,Demand!$B$2:$B$4481,B3230,Demand!$C$2:$C$4481,C3230)</f>
        <v>1</v>
      </c>
    </row>
    <row r="3231">
      <c r="A3231" s="32" t="str">
        <f>Demand!A3229</f>
        <v>S002</v>
      </c>
      <c r="B3231" s="35">
        <f>Demand!B3229</f>
        <v>46276.0</v>
      </c>
      <c r="C3231" s="33">
        <f>Demand!C3229</f>
        <v>19</v>
      </c>
      <c r="D3231" s="33">
        <f>Demand!E3229</f>
        <v>53</v>
      </c>
      <c r="E3231" s="33">
        <f>IF(Demand!F3229,1,0)</f>
        <v>1</v>
      </c>
      <c r="F3231" s="33">
        <f>COUNTIFS(c_store,A3231,c_date,B3231,c_hour,C3231)</f>
        <v>0</v>
      </c>
      <c r="G3231" s="33">
        <f>IF(F3231&gt;0,1,0)</f>
        <v>0</v>
      </c>
      <c r="H3231" s="33">
        <f>COUNTIFS(Demand!$A$2:$A$4481,A3231,Demand!$B$2:$B$4481,B3231,Demand!$C$2:$C$4481,C3231)</f>
        <v>1</v>
      </c>
    </row>
    <row r="3232">
      <c r="A3232" s="32" t="str">
        <f>Demand!A3230</f>
        <v>S002</v>
      </c>
      <c r="B3232" s="35">
        <f>Demand!B3230</f>
        <v>46276.0</v>
      </c>
      <c r="C3232" s="33">
        <f>Demand!C3230</f>
        <v>20</v>
      </c>
      <c r="D3232" s="33">
        <f>Demand!E3230</f>
        <v>56</v>
      </c>
      <c r="E3232" s="33">
        <f>IF(Demand!F3230,1,0)</f>
        <v>1</v>
      </c>
      <c r="F3232" s="33">
        <f>COUNTIFS(c_store,A3232,c_date,B3232,c_hour,C3232)</f>
        <v>0</v>
      </c>
      <c r="G3232" s="33">
        <f>IF(F3232&gt;0,1,0)</f>
        <v>0</v>
      </c>
      <c r="H3232" s="33">
        <f>COUNTIFS(Demand!$A$2:$A$4481,A3232,Demand!$B$2:$B$4481,B3232,Demand!$C$2:$C$4481,C3232)</f>
        <v>1</v>
      </c>
    </row>
    <row r="3233">
      <c r="A3233" s="32" t="str">
        <f>Demand!A3231</f>
        <v>S002</v>
      </c>
      <c r="B3233" s="35">
        <f>Demand!B3231</f>
        <v>46276.0</v>
      </c>
      <c r="C3233" s="33">
        <f>Demand!C3231</f>
        <v>21</v>
      </c>
      <c r="D3233" s="33">
        <f>Demand!E3231</f>
        <v>48</v>
      </c>
      <c r="E3233" s="33">
        <f>IF(Demand!F3231,1,0)</f>
        <v>1</v>
      </c>
      <c r="F3233" s="33">
        <f>COUNTIFS(c_store,A3233,c_date,B3233,c_hour,C3233)</f>
        <v>1</v>
      </c>
      <c r="G3233" s="33">
        <f>IF(F3233&gt;0,1,0)</f>
        <v>1</v>
      </c>
      <c r="H3233" s="33">
        <f>COUNTIFS(Demand!$A$2:$A$4481,A3233,Demand!$B$2:$B$4481,B3233,Demand!$C$2:$C$4481,C3233)</f>
        <v>1</v>
      </c>
    </row>
    <row r="3234">
      <c r="A3234" s="32" t="str">
        <f>Demand!A3232</f>
        <v>S002</v>
      </c>
      <c r="B3234" s="35">
        <f>Demand!B3232</f>
        <v>46276.0</v>
      </c>
      <c r="C3234" s="33">
        <f>Demand!C3232</f>
        <v>22</v>
      </c>
      <c r="D3234" s="33">
        <f>Demand!E3232</f>
        <v>38</v>
      </c>
      <c r="E3234" s="33">
        <f>IF(Demand!F3232,1,0)</f>
        <v>0</v>
      </c>
      <c r="F3234" s="33">
        <f>COUNTIFS(c_store,A3234,c_date,B3234,c_hour,C3234)</f>
        <v>1</v>
      </c>
      <c r="G3234" s="33">
        <f>IF(F3234&gt;0,1,0)</f>
        <v>1</v>
      </c>
      <c r="H3234" s="33">
        <f>COUNTIFS(Demand!$A$2:$A$4481,A3234,Demand!$B$2:$B$4481,B3234,Demand!$C$2:$C$4481,C3234)</f>
        <v>1</v>
      </c>
    </row>
    <row r="3235">
      <c r="A3235" s="32" t="str">
        <f>Demand!A3233</f>
        <v>S002</v>
      </c>
      <c r="B3235" s="35">
        <f>Demand!B3233</f>
        <v>46276.0</v>
      </c>
      <c r="C3235" s="33">
        <f>Demand!C3233</f>
        <v>23</v>
      </c>
      <c r="D3235" s="33">
        <f>Demand!E3233</f>
        <v>39</v>
      </c>
      <c r="E3235" s="33">
        <f>IF(Demand!F3233,1,0)</f>
        <v>0</v>
      </c>
      <c r="F3235" s="33">
        <f>COUNTIFS(c_store,A3235,c_date,B3235,c_hour,C3235)</f>
        <v>0</v>
      </c>
      <c r="G3235" s="33">
        <f>IF(F3235&gt;0,1,0)</f>
        <v>0</v>
      </c>
      <c r="H3235" s="33">
        <f>COUNTIFS(Demand!$A$2:$A$4481,A3235,Demand!$B$2:$B$4481,B3235,Demand!$C$2:$C$4481,C3235)</f>
        <v>1</v>
      </c>
    </row>
    <row r="3236">
      <c r="A3236" s="32" t="str">
        <f>Demand!A3234</f>
        <v>S003</v>
      </c>
      <c r="B3236" s="35">
        <f>Demand!B3234</f>
        <v>46276.0</v>
      </c>
      <c r="C3236" s="33">
        <f>Demand!C3234</f>
        <v>8</v>
      </c>
      <c r="D3236" s="33">
        <f>Demand!E3234</f>
        <v>20</v>
      </c>
      <c r="E3236" s="33">
        <f>IF(Demand!F3234,1,0)</f>
        <v>0</v>
      </c>
      <c r="F3236" s="33">
        <f>COUNTIFS(c_store,A3236,c_date,B3236,c_hour,C3236)</f>
        <v>1</v>
      </c>
      <c r="G3236" s="33">
        <f>IF(F3236&gt;0,1,0)</f>
        <v>1</v>
      </c>
      <c r="H3236" s="33">
        <f>COUNTIFS(Demand!$A$2:$A$4481,A3236,Demand!$B$2:$B$4481,B3236,Demand!$C$2:$C$4481,C3236)</f>
        <v>1</v>
      </c>
    </row>
    <row r="3237">
      <c r="A3237" s="32" t="str">
        <f>Demand!A3235</f>
        <v>S003</v>
      </c>
      <c r="B3237" s="35">
        <f>Demand!B3235</f>
        <v>46276.0</v>
      </c>
      <c r="C3237" s="33">
        <f>Demand!C3235</f>
        <v>9</v>
      </c>
      <c r="D3237" s="33">
        <f>Demand!E3235</f>
        <v>31</v>
      </c>
      <c r="E3237" s="33">
        <f>IF(Demand!F3235,1,0)</f>
        <v>0</v>
      </c>
      <c r="F3237" s="33">
        <f>COUNTIFS(c_store,A3237,c_date,B3237,c_hour,C3237)</f>
        <v>0</v>
      </c>
      <c r="G3237" s="33">
        <f>IF(F3237&gt;0,1,0)</f>
        <v>0</v>
      </c>
      <c r="H3237" s="33">
        <f>COUNTIFS(Demand!$A$2:$A$4481,A3237,Demand!$B$2:$B$4481,B3237,Demand!$C$2:$C$4481,C3237)</f>
        <v>1</v>
      </c>
    </row>
    <row r="3238">
      <c r="A3238" s="32" t="str">
        <f>Demand!A3236</f>
        <v>S003</v>
      </c>
      <c r="B3238" s="35">
        <f>Demand!B3236</f>
        <v>46276.0</v>
      </c>
      <c r="C3238" s="33">
        <f>Demand!C3236</f>
        <v>10</v>
      </c>
      <c r="D3238" s="33">
        <f>Demand!E3236</f>
        <v>31</v>
      </c>
      <c r="E3238" s="33">
        <f>IF(Demand!F3236,1,0)</f>
        <v>0</v>
      </c>
      <c r="F3238" s="33">
        <f>COUNTIFS(c_store,A3238,c_date,B3238,c_hour,C3238)</f>
        <v>1</v>
      </c>
      <c r="G3238" s="33">
        <f>IF(F3238&gt;0,1,0)</f>
        <v>1</v>
      </c>
      <c r="H3238" s="33">
        <f>COUNTIFS(Demand!$A$2:$A$4481,A3238,Demand!$B$2:$B$4481,B3238,Demand!$C$2:$C$4481,C3238)</f>
        <v>1</v>
      </c>
    </row>
    <row r="3239">
      <c r="A3239" s="32" t="str">
        <f>Demand!A3237</f>
        <v>S003</v>
      </c>
      <c r="B3239" s="35">
        <f>Demand!B3237</f>
        <v>46276.0</v>
      </c>
      <c r="C3239" s="33">
        <f>Demand!C3237</f>
        <v>11</v>
      </c>
      <c r="D3239" s="33">
        <f>Demand!E3237</f>
        <v>52</v>
      </c>
      <c r="E3239" s="33">
        <f>IF(Demand!F3237,1,0)</f>
        <v>0</v>
      </c>
      <c r="F3239" s="33">
        <f>COUNTIFS(c_store,A3239,c_date,B3239,c_hour,C3239)</f>
        <v>0</v>
      </c>
      <c r="G3239" s="33">
        <f>IF(F3239&gt;0,1,0)</f>
        <v>0</v>
      </c>
      <c r="H3239" s="33">
        <f>COUNTIFS(Demand!$A$2:$A$4481,A3239,Demand!$B$2:$B$4481,B3239,Demand!$C$2:$C$4481,C3239)</f>
        <v>1</v>
      </c>
    </row>
    <row r="3240">
      <c r="A3240" s="32" t="str">
        <f>Demand!A3238</f>
        <v>S003</v>
      </c>
      <c r="B3240" s="35">
        <f>Demand!B3238</f>
        <v>46276.0</v>
      </c>
      <c r="C3240" s="33">
        <f>Demand!C3238</f>
        <v>12</v>
      </c>
      <c r="D3240" s="33">
        <f>Demand!E3238</f>
        <v>55</v>
      </c>
      <c r="E3240" s="33">
        <f>IF(Demand!F3238,1,0)</f>
        <v>0</v>
      </c>
      <c r="F3240" s="33">
        <f>COUNTIFS(c_store,A3240,c_date,B3240,c_hour,C3240)</f>
        <v>0</v>
      </c>
      <c r="G3240" s="33">
        <f>IF(F3240&gt;0,1,0)</f>
        <v>0</v>
      </c>
      <c r="H3240" s="33">
        <f>COUNTIFS(Demand!$A$2:$A$4481,A3240,Demand!$B$2:$B$4481,B3240,Demand!$C$2:$C$4481,C3240)</f>
        <v>1</v>
      </c>
    </row>
    <row r="3241">
      <c r="A3241" s="32" t="str">
        <f>Demand!A3239</f>
        <v>S003</v>
      </c>
      <c r="B3241" s="35">
        <f>Demand!B3239</f>
        <v>46276.0</v>
      </c>
      <c r="C3241" s="33">
        <f>Demand!C3239</f>
        <v>13</v>
      </c>
      <c r="D3241" s="33">
        <f>Demand!E3239</f>
        <v>39</v>
      </c>
      <c r="E3241" s="33">
        <f>IF(Demand!F3239,1,0)</f>
        <v>0</v>
      </c>
      <c r="F3241" s="33">
        <f>COUNTIFS(c_store,A3241,c_date,B3241,c_hour,C3241)</f>
        <v>0</v>
      </c>
      <c r="G3241" s="33">
        <f>IF(F3241&gt;0,1,0)</f>
        <v>0</v>
      </c>
      <c r="H3241" s="33">
        <f>COUNTIFS(Demand!$A$2:$A$4481,A3241,Demand!$B$2:$B$4481,B3241,Demand!$C$2:$C$4481,C3241)</f>
        <v>1</v>
      </c>
    </row>
    <row r="3242">
      <c r="A3242" s="32" t="str">
        <f>Demand!A3240</f>
        <v>S003</v>
      </c>
      <c r="B3242" s="35">
        <f>Demand!B3240</f>
        <v>46276.0</v>
      </c>
      <c r="C3242" s="33">
        <f>Demand!C3240</f>
        <v>14</v>
      </c>
      <c r="D3242" s="33">
        <f>Demand!E3240</f>
        <v>27</v>
      </c>
      <c r="E3242" s="33">
        <f>IF(Demand!F3240,1,0)</f>
        <v>0</v>
      </c>
      <c r="F3242" s="33">
        <f>COUNTIFS(c_store,A3242,c_date,B3242,c_hour,C3242)</f>
        <v>0</v>
      </c>
      <c r="G3242" s="33">
        <f>IF(F3242&gt;0,1,0)</f>
        <v>0</v>
      </c>
      <c r="H3242" s="33">
        <f>COUNTIFS(Demand!$A$2:$A$4481,A3242,Demand!$B$2:$B$4481,B3242,Demand!$C$2:$C$4481,C3242)</f>
        <v>1</v>
      </c>
    </row>
    <row r="3243">
      <c r="A3243" s="32" t="str">
        <f>Demand!A3241</f>
        <v>S003</v>
      </c>
      <c r="B3243" s="35">
        <f>Demand!B3241</f>
        <v>46276.0</v>
      </c>
      <c r="C3243" s="33">
        <f>Demand!C3241</f>
        <v>15</v>
      </c>
      <c r="D3243" s="33">
        <f>Demand!E3241</f>
        <v>31</v>
      </c>
      <c r="E3243" s="33">
        <f>IF(Demand!F3241,1,0)</f>
        <v>0</v>
      </c>
      <c r="F3243" s="33">
        <f>COUNTIFS(c_store,A3243,c_date,B3243,c_hour,C3243)</f>
        <v>0</v>
      </c>
      <c r="G3243" s="33">
        <f>IF(F3243&gt;0,1,0)</f>
        <v>0</v>
      </c>
      <c r="H3243" s="33">
        <f>COUNTIFS(Demand!$A$2:$A$4481,A3243,Demand!$B$2:$B$4481,B3243,Demand!$C$2:$C$4481,C3243)</f>
        <v>1</v>
      </c>
    </row>
    <row r="3244">
      <c r="A3244" s="32" t="str">
        <f>Demand!A3242</f>
        <v>S003</v>
      </c>
      <c r="B3244" s="35">
        <f>Demand!B3242</f>
        <v>46276.0</v>
      </c>
      <c r="C3244" s="33">
        <f>Demand!C3242</f>
        <v>16</v>
      </c>
      <c r="D3244" s="33">
        <f>Demand!E3242</f>
        <v>40</v>
      </c>
      <c r="E3244" s="33">
        <f>IF(Demand!F3242,1,0)</f>
        <v>0</v>
      </c>
      <c r="F3244" s="33">
        <f>COUNTIFS(c_store,A3244,c_date,B3244,c_hour,C3244)</f>
        <v>1</v>
      </c>
      <c r="G3244" s="33">
        <f>IF(F3244&gt;0,1,0)</f>
        <v>1</v>
      </c>
      <c r="H3244" s="33">
        <f>COUNTIFS(Demand!$A$2:$A$4481,A3244,Demand!$B$2:$B$4481,B3244,Demand!$C$2:$C$4481,C3244)</f>
        <v>1</v>
      </c>
    </row>
    <row r="3245">
      <c r="A3245" s="32" t="str">
        <f>Demand!A3243</f>
        <v>S003</v>
      </c>
      <c r="B3245" s="35">
        <f>Demand!B3243</f>
        <v>46276.0</v>
      </c>
      <c r="C3245" s="33">
        <f>Demand!C3243</f>
        <v>17</v>
      </c>
      <c r="D3245" s="33">
        <f>Demand!E3243</f>
        <v>39</v>
      </c>
      <c r="E3245" s="33">
        <f>IF(Demand!F3243,1,0)</f>
        <v>0</v>
      </c>
      <c r="F3245" s="33">
        <f>COUNTIFS(c_store,A3245,c_date,B3245,c_hour,C3245)</f>
        <v>0</v>
      </c>
      <c r="G3245" s="33">
        <f>IF(F3245&gt;0,1,0)</f>
        <v>0</v>
      </c>
      <c r="H3245" s="33">
        <f>COUNTIFS(Demand!$A$2:$A$4481,A3245,Demand!$B$2:$B$4481,B3245,Demand!$C$2:$C$4481,C3245)</f>
        <v>1</v>
      </c>
    </row>
    <row r="3246">
      <c r="A3246" s="32" t="str">
        <f>Demand!A3244</f>
        <v>S003</v>
      </c>
      <c r="B3246" s="35">
        <f>Demand!B3244</f>
        <v>46276.0</v>
      </c>
      <c r="C3246" s="33">
        <f>Demand!C3244</f>
        <v>18</v>
      </c>
      <c r="D3246" s="33">
        <f>Demand!E3244</f>
        <v>49</v>
      </c>
      <c r="E3246" s="33">
        <f>IF(Demand!F3244,1,0)</f>
        <v>0</v>
      </c>
      <c r="F3246" s="33">
        <f>COUNTIFS(c_store,A3246,c_date,B3246,c_hour,C3246)</f>
        <v>0</v>
      </c>
      <c r="G3246" s="33">
        <f>IF(F3246&gt;0,1,0)</f>
        <v>0</v>
      </c>
      <c r="H3246" s="33">
        <f>COUNTIFS(Demand!$A$2:$A$4481,A3246,Demand!$B$2:$B$4481,B3246,Demand!$C$2:$C$4481,C3246)</f>
        <v>1</v>
      </c>
    </row>
    <row r="3247">
      <c r="A3247" s="32" t="str">
        <f>Demand!A3245</f>
        <v>S003</v>
      </c>
      <c r="B3247" s="35">
        <f>Demand!B3245</f>
        <v>46276.0</v>
      </c>
      <c r="C3247" s="33">
        <f>Demand!C3245</f>
        <v>19</v>
      </c>
      <c r="D3247" s="33">
        <f>Demand!E3245</f>
        <v>62</v>
      </c>
      <c r="E3247" s="33">
        <f>IF(Demand!F3245,1,0)</f>
        <v>1</v>
      </c>
      <c r="F3247" s="33">
        <f>COUNTIFS(c_store,A3247,c_date,B3247,c_hour,C3247)</f>
        <v>0</v>
      </c>
      <c r="G3247" s="33">
        <f>IF(F3247&gt;0,1,0)</f>
        <v>0</v>
      </c>
      <c r="H3247" s="33">
        <f>COUNTIFS(Demand!$A$2:$A$4481,A3247,Demand!$B$2:$B$4481,B3247,Demand!$C$2:$C$4481,C3247)</f>
        <v>1</v>
      </c>
    </row>
    <row r="3248">
      <c r="A3248" s="32" t="str">
        <f>Demand!A3246</f>
        <v>S003</v>
      </c>
      <c r="B3248" s="35">
        <f>Demand!B3246</f>
        <v>46276.0</v>
      </c>
      <c r="C3248" s="33">
        <f>Demand!C3246</f>
        <v>20</v>
      </c>
      <c r="D3248" s="33">
        <f>Demand!E3246</f>
        <v>52</v>
      </c>
      <c r="E3248" s="33">
        <f>IF(Demand!F3246,1,0)</f>
        <v>1</v>
      </c>
      <c r="F3248" s="33">
        <f>COUNTIFS(c_store,A3248,c_date,B3248,c_hour,C3248)</f>
        <v>0</v>
      </c>
      <c r="G3248" s="33">
        <f>IF(F3248&gt;0,1,0)</f>
        <v>0</v>
      </c>
      <c r="H3248" s="33">
        <f>COUNTIFS(Demand!$A$2:$A$4481,A3248,Demand!$B$2:$B$4481,B3248,Demand!$C$2:$C$4481,C3248)</f>
        <v>1</v>
      </c>
    </row>
    <row r="3249">
      <c r="A3249" s="32" t="str">
        <f>Demand!A3247</f>
        <v>S003</v>
      </c>
      <c r="B3249" s="35">
        <f>Demand!B3247</f>
        <v>46276.0</v>
      </c>
      <c r="C3249" s="33">
        <f>Demand!C3247</f>
        <v>21</v>
      </c>
      <c r="D3249" s="33">
        <f>Demand!E3247</f>
        <v>56</v>
      </c>
      <c r="E3249" s="33">
        <f>IF(Demand!F3247,1,0)</f>
        <v>1</v>
      </c>
      <c r="F3249" s="33">
        <f>COUNTIFS(c_store,A3249,c_date,B3249,c_hour,C3249)</f>
        <v>0</v>
      </c>
      <c r="G3249" s="33">
        <f>IF(F3249&gt;0,1,0)</f>
        <v>0</v>
      </c>
      <c r="H3249" s="33">
        <f>COUNTIFS(Demand!$A$2:$A$4481,A3249,Demand!$B$2:$B$4481,B3249,Demand!$C$2:$C$4481,C3249)</f>
        <v>1</v>
      </c>
    </row>
    <row r="3250">
      <c r="A3250" s="32" t="str">
        <f>Demand!A3248</f>
        <v>S003</v>
      </c>
      <c r="B3250" s="35">
        <f>Demand!B3248</f>
        <v>46276.0</v>
      </c>
      <c r="C3250" s="33">
        <f>Demand!C3248</f>
        <v>22</v>
      </c>
      <c r="D3250" s="33">
        <f>Demand!E3248</f>
        <v>34</v>
      </c>
      <c r="E3250" s="33">
        <f>IF(Demand!F3248,1,0)</f>
        <v>0</v>
      </c>
      <c r="F3250" s="33">
        <f>COUNTIFS(c_store,A3250,c_date,B3250,c_hour,C3250)</f>
        <v>0</v>
      </c>
      <c r="G3250" s="33">
        <f>IF(F3250&gt;0,1,0)</f>
        <v>0</v>
      </c>
      <c r="H3250" s="33">
        <f>COUNTIFS(Demand!$A$2:$A$4481,A3250,Demand!$B$2:$B$4481,B3250,Demand!$C$2:$C$4481,C3250)</f>
        <v>1</v>
      </c>
    </row>
    <row r="3251">
      <c r="A3251" s="32" t="str">
        <f>Demand!A3249</f>
        <v>S003</v>
      </c>
      <c r="B3251" s="35">
        <f>Demand!B3249</f>
        <v>46276.0</v>
      </c>
      <c r="C3251" s="33">
        <f>Demand!C3249</f>
        <v>23</v>
      </c>
      <c r="D3251" s="33">
        <f>Demand!E3249</f>
        <v>36</v>
      </c>
      <c r="E3251" s="33">
        <f>IF(Demand!F3249,1,0)</f>
        <v>0</v>
      </c>
      <c r="F3251" s="33">
        <f>COUNTIFS(c_store,A3251,c_date,B3251,c_hour,C3251)</f>
        <v>1</v>
      </c>
      <c r="G3251" s="33">
        <f>IF(F3251&gt;0,1,0)</f>
        <v>1</v>
      </c>
      <c r="H3251" s="33">
        <f>COUNTIFS(Demand!$A$2:$A$4481,A3251,Demand!$B$2:$B$4481,B3251,Demand!$C$2:$C$4481,C3251)</f>
        <v>1</v>
      </c>
    </row>
    <row r="3252">
      <c r="A3252" s="32" t="str">
        <f>Demand!A3250</f>
        <v>S004</v>
      </c>
      <c r="B3252" s="35">
        <f>Demand!B3250</f>
        <v>46276.0</v>
      </c>
      <c r="C3252" s="33">
        <f>Demand!C3250</f>
        <v>8</v>
      </c>
      <c r="D3252" s="33">
        <f>Demand!E3250</f>
        <v>24</v>
      </c>
      <c r="E3252" s="33">
        <f>IF(Demand!F3250,1,0)</f>
        <v>0</v>
      </c>
      <c r="F3252" s="33">
        <f>COUNTIFS(c_store,A3252,c_date,B3252,c_hour,C3252)</f>
        <v>0</v>
      </c>
      <c r="G3252" s="33">
        <f>IF(F3252&gt;0,1,0)</f>
        <v>0</v>
      </c>
      <c r="H3252" s="33">
        <f>COUNTIFS(Demand!$A$2:$A$4481,A3252,Demand!$B$2:$B$4481,B3252,Demand!$C$2:$C$4481,C3252)</f>
        <v>1</v>
      </c>
    </row>
    <row r="3253">
      <c r="A3253" s="32" t="str">
        <f>Demand!A3251</f>
        <v>S004</v>
      </c>
      <c r="B3253" s="35">
        <f>Demand!B3251</f>
        <v>46276.0</v>
      </c>
      <c r="C3253" s="33">
        <f>Demand!C3251</f>
        <v>9</v>
      </c>
      <c r="D3253" s="33">
        <f>Demand!E3251</f>
        <v>30</v>
      </c>
      <c r="E3253" s="33">
        <f>IF(Demand!F3251,1,0)</f>
        <v>0</v>
      </c>
      <c r="F3253" s="33">
        <f>COUNTIFS(c_store,A3253,c_date,B3253,c_hour,C3253)</f>
        <v>0</v>
      </c>
      <c r="G3253" s="33">
        <f>IF(F3253&gt;0,1,0)</f>
        <v>0</v>
      </c>
      <c r="H3253" s="33">
        <f>COUNTIFS(Demand!$A$2:$A$4481,A3253,Demand!$B$2:$B$4481,B3253,Demand!$C$2:$C$4481,C3253)</f>
        <v>1</v>
      </c>
    </row>
    <row r="3254">
      <c r="A3254" s="32" t="str">
        <f>Demand!A3252</f>
        <v>S004</v>
      </c>
      <c r="B3254" s="35">
        <f>Demand!B3252</f>
        <v>46276.0</v>
      </c>
      <c r="C3254" s="33">
        <f>Demand!C3252</f>
        <v>10</v>
      </c>
      <c r="D3254" s="33">
        <f>Demand!E3252</f>
        <v>21</v>
      </c>
      <c r="E3254" s="33">
        <f>IF(Demand!F3252,1,0)</f>
        <v>0</v>
      </c>
      <c r="F3254" s="33">
        <f>COUNTIFS(c_store,A3254,c_date,B3254,c_hour,C3254)</f>
        <v>2</v>
      </c>
      <c r="G3254" s="33">
        <f>IF(F3254&gt;0,1,0)</f>
        <v>1</v>
      </c>
      <c r="H3254" s="33">
        <f>COUNTIFS(Demand!$A$2:$A$4481,A3254,Demand!$B$2:$B$4481,B3254,Demand!$C$2:$C$4481,C3254)</f>
        <v>1</v>
      </c>
    </row>
    <row r="3255">
      <c r="A3255" s="32" t="str">
        <f>Demand!A3253</f>
        <v>S004</v>
      </c>
      <c r="B3255" s="35">
        <f>Demand!B3253</f>
        <v>46276.0</v>
      </c>
      <c r="C3255" s="33">
        <f>Demand!C3253</f>
        <v>11</v>
      </c>
      <c r="D3255" s="33">
        <f>Demand!E3253</f>
        <v>40</v>
      </c>
      <c r="E3255" s="33">
        <f>IF(Demand!F3253,1,0)</f>
        <v>0</v>
      </c>
      <c r="F3255" s="33">
        <f>COUNTIFS(c_store,A3255,c_date,B3255,c_hour,C3255)</f>
        <v>1</v>
      </c>
      <c r="G3255" s="33">
        <f>IF(F3255&gt;0,1,0)</f>
        <v>1</v>
      </c>
      <c r="H3255" s="33">
        <f>COUNTIFS(Demand!$A$2:$A$4481,A3255,Demand!$B$2:$B$4481,B3255,Demand!$C$2:$C$4481,C3255)</f>
        <v>1</v>
      </c>
    </row>
    <row r="3256">
      <c r="A3256" s="32" t="str">
        <f>Demand!A3254</f>
        <v>S004</v>
      </c>
      <c r="B3256" s="35">
        <f>Demand!B3254</f>
        <v>46276.0</v>
      </c>
      <c r="C3256" s="33">
        <f>Demand!C3254</f>
        <v>12</v>
      </c>
      <c r="D3256" s="33">
        <f>Demand!E3254</f>
        <v>49</v>
      </c>
      <c r="E3256" s="33">
        <f>IF(Demand!F3254,1,0)</f>
        <v>0</v>
      </c>
      <c r="F3256" s="33">
        <f>COUNTIFS(c_store,A3256,c_date,B3256,c_hour,C3256)</f>
        <v>0</v>
      </c>
      <c r="G3256" s="33">
        <f>IF(F3256&gt;0,1,0)</f>
        <v>0</v>
      </c>
      <c r="H3256" s="33">
        <f>COUNTIFS(Demand!$A$2:$A$4481,A3256,Demand!$B$2:$B$4481,B3256,Demand!$C$2:$C$4481,C3256)</f>
        <v>1</v>
      </c>
    </row>
    <row r="3257">
      <c r="A3257" s="32" t="str">
        <f>Demand!A3255</f>
        <v>S004</v>
      </c>
      <c r="B3257" s="35">
        <f>Demand!B3255</f>
        <v>46276.0</v>
      </c>
      <c r="C3257" s="33">
        <f>Demand!C3255</f>
        <v>13</v>
      </c>
      <c r="D3257" s="33">
        <f>Demand!E3255</f>
        <v>42</v>
      </c>
      <c r="E3257" s="33">
        <f>IF(Demand!F3255,1,0)</f>
        <v>0</v>
      </c>
      <c r="F3257" s="33">
        <f>COUNTIFS(c_store,A3257,c_date,B3257,c_hour,C3257)</f>
        <v>1</v>
      </c>
      <c r="G3257" s="33">
        <f>IF(F3257&gt;0,1,0)</f>
        <v>1</v>
      </c>
      <c r="H3257" s="33">
        <f>COUNTIFS(Demand!$A$2:$A$4481,A3257,Demand!$B$2:$B$4481,B3257,Demand!$C$2:$C$4481,C3257)</f>
        <v>1</v>
      </c>
    </row>
    <row r="3258">
      <c r="A3258" s="32" t="str">
        <f>Demand!A3256</f>
        <v>S004</v>
      </c>
      <c r="B3258" s="35">
        <f>Demand!B3256</f>
        <v>46276.0</v>
      </c>
      <c r="C3258" s="33">
        <f>Demand!C3256</f>
        <v>14</v>
      </c>
      <c r="D3258" s="33">
        <f>Demand!E3256</f>
        <v>34</v>
      </c>
      <c r="E3258" s="33">
        <f>IF(Demand!F3256,1,0)</f>
        <v>0</v>
      </c>
      <c r="F3258" s="33">
        <f>COUNTIFS(c_store,A3258,c_date,B3258,c_hour,C3258)</f>
        <v>0</v>
      </c>
      <c r="G3258" s="33">
        <f>IF(F3258&gt;0,1,0)</f>
        <v>0</v>
      </c>
      <c r="H3258" s="33">
        <f>COUNTIFS(Demand!$A$2:$A$4481,A3258,Demand!$B$2:$B$4481,B3258,Demand!$C$2:$C$4481,C3258)</f>
        <v>1</v>
      </c>
    </row>
    <row r="3259">
      <c r="A3259" s="32" t="str">
        <f>Demand!A3257</f>
        <v>S004</v>
      </c>
      <c r="B3259" s="35">
        <f>Demand!B3257</f>
        <v>46276.0</v>
      </c>
      <c r="C3259" s="33">
        <f>Demand!C3257</f>
        <v>15</v>
      </c>
      <c r="D3259" s="33">
        <f>Demand!E3257</f>
        <v>35</v>
      </c>
      <c r="E3259" s="33">
        <f>IF(Demand!F3257,1,0)</f>
        <v>0</v>
      </c>
      <c r="F3259" s="33">
        <f>COUNTIFS(c_store,A3259,c_date,B3259,c_hour,C3259)</f>
        <v>0</v>
      </c>
      <c r="G3259" s="33">
        <f>IF(F3259&gt;0,1,0)</f>
        <v>0</v>
      </c>
      <c r="H3259" s="33">
        <f>COUNTIFS(Demand!$A$2:$A$4481,A3259,Demand!$B$2:$B$4481,B3259,Demand!$C$2:$C$4481,C3259)</f>
        <v>1</v>
      </c>
    </row>
    <row r="3260">
      <c r="A3260" s="32" t="str">
        <f>Demand!A3258</f>
        <v>S004</v>
      </c>
      <c r="B3260" s="35">
        <f>Demand!B3258</f>
        <v>46276.0</v>
      </c>
      <c r="C3260" s="33">
        <f>Demand!C3258</f>
        <v>16</v>
      </c>
      <c r="D3260" s="33">
        <f>Demand!E3258</f>
        <v>36</v>
      </c>
      <c r="E3260" s="33">
        <f>IF(Demand!F3258,1,0)</f>
        <v>0</v>
      </c>
      <c r="F3260" s="33">
        <f>COUNTIFS(c_store,A3260,c_date,B3260,c_hour,C3260)</f>
        <v>1</v>
      </c>
      <c r="G3260" s="33">
        <f>IF(F3260&gt;0,1,0)</f>
        <v>1</v>
      </c>
      <c r="H3260" s="33">
        <f>COUNTIFS(Demand!$A$2:$A$4481,A3260,Demand!$B$2:$B$4481,B3260,Demand!$C$2:$C$4481,C3260)</f>
        <v>1</v>
      </c>
    </row>
    <row r="3261">
      <c r="A3261" s="32" t="str">
        <f>Demand!A3259</f>
        <v>S004</v>
      </c>
      <c r="B3261" s="35">
        <f>Demand!B3259</f>
        <v>46276.0</v>
      </c>
      <c r="C3261" s="33">
        <f>Demand!C3259</f>
        <v>17</v>
      </c>
      <c r="D3261" s="33">
        <f>Demand!E3259</f>
        <v>29</v>
      </c>
      <c r="E3261" s="33">
        <f>IF(Demand!F3259,1,0)</f>
        <v>0</v>
      </c>
      <c r="F3261" s="33">
        <f>COUNTIFS(c_store,A3261,c_date,B3261,c_hour,C3261)</f>
        <v>0</v>
      </c>
      <c r="G3261" s="33">
        <f>IF(F3261&gt;0,1,0)</f>
        <v>0</v>
      </c>
      <c r="H3261" s="33">
        <f>COUNTIFS(Demand!$A$2:$A$4481,A3261,Demand!$B$2:$B$4481,B3261,Demand!$C$2:$C$4481,C3261)</f>
        <v>1</v>
      </c>
    </row>
    <row r="3262">
      <c r="A3262" s="32" t="str">
        <f>Demand!A3260</f>
        <v>S004</v>
      </c>
      <c r="B3262" s="35">
        <f>Demand!B3260</f>
        <v>46276.0</v>
      </c>
      <c r="C3262" s="33">
        <f>Demand!C3260</f>
        <v>18</v>
      </c>
      <c r="D3262" s="33">
        <f>Demand!E3260</f>
        <v>34</v>
      </c>
      <c r="E3262" s="33">
        <f>IF(Demand!F3260,1,0)</f>
        <v>0</v>
      </c>
      <c r="F3262" s="33">
        <f>COUNTIFS(c_store,A3262,c_date,B3262,c_hour,C3262)</f>
        <v>1</v>
      </c>
      <c r="G3262" s="33">
        <f>IF(F3262&gt;0,1,0)</f>
        <v>1</v>
      </c>
      <c r="H3262" s="33">
        <f>COUNTIFS(Demand!$A$2:$A$4481,A3262,Demand!$B$2:$B$4481,B3262,Demand!$C$2:$C$4481,C3262)</f>
        <v>1</v>
      </c>
    </row>
    <row r="3263">
      <c r="A3263" s="32" t="str">
        <f>Demand!A3261</f>
        <v>S004</v>
      </c>
      <c r="B3263" s="35">
        <f>Demand!B3261</f>
        <v>46276.0</v>
      </c>
      <c r="C3263" s="33">
        <f>Demand!C3261</f>
        <v>19</v>
      </c>
      <c r="D3263" s="33">
        <f>Demand!E3261</f>
        <v>65</v>
      </c>
      <c r="E3263" s="33">
        <f>IF(Demand!F3261,1,0)</f>
        <v>1</v>
      </c>
      <c r="F3263" s="33">
        <f>COUNTIFS(c_store,A3263,c_date,B3263,c_hour,C3263)</f>
        <v>0</v>
      </c>
      <c r="G3263" s="33">
        <f>IF(F3263&gt;0,1,0)</f>
        <v>0</v>
      </c>
      <c r="H3263" s="33">
        <f>COUNTIFS(Demand!$A$2:$A$4481,A3263,Demand!$B$2:$B$4481,B3263,Demand!$C$2:$C$4481,C3263)</f>
        <v>1</v>
      </c>
    </row>
    <row r="3264">
      <c r="A3264" s="32" t="str">
        <f>Demand!A3262</f>
        <v>S004</v>
      </c>
      <c r="B3264" s="35">
        <f>Demand!B3262</f>
        <v>46276.0</v>
      </c>
      <c r="C3264" s="33">
        <f>Demand!C3262</f>
        <v>20</v>
      </c>
      <c r="D3264" s="33">
        <f>Demand!E3262</f>
        <v>59</v>
      </c>
      <c r="E3264" s="33">
        <f>IF(Demand!F3262,1,0)</f>
        <v>1</v>
      </c>
      <c r="F3264" s="33">
        <f>COUNTIFS(c_store,A3264,c_date,B3264,c_hour,C3264)</f>
        <v>1</v>
      </c>
      <c r="G3264" s="33">
        <f>IF(F3264&gt;0,1,0)</f>
        <v>1</v>
      </c>
      <c r="H3264" s="33">
        <f>COUNTIFS(Demand!$A$2:$A$4481,A3264,Demand!$B$2:$B$4481,B3264,Demand!$C$2:$C$4481,C3264)</f>
        <v>1</v>
      </c>
    </row>
    <row r="3265">
      <c r="A3265" s="32" t="str">
        <f>Demand!A3263</f>
        <v>S004</v>
      </c>
      <c r="B3265" s="35">
        <f>Demand!B3263</f>
        <v>46276.0</v>
      </c>
      <c r="C3265" s="33">
        <f>Demand!C3263</f>
        <v>21</v>
      </c>
      <c r="D3265" s="33">
        <f>Demand!E3263</f>
        <v>62</v>
      </c>
      <c r="E3265" s="33">
        <f>IF(Demand!F3263,1,0)</f>
        <v>1</v>
      </c>
      <c r="F3265" s="33">
        <f>COUNTIFS(c_store,A3265,c_date,B3265,c_hour,C3265)</f>
        <v>1</v>
      </c>
      <c r="G3265" s="33">
        <f>IF(F3265&gt;0,1,0)</f>
        <v>1</v>
      </c>
      <c r="H3265" s="33">
        <f>COUNTIFS(Demand!$A$2:$A$4481,A3265,Demand!$B$2:$B$4481,B3265,Demand!$C$2:$C$4481,C3265)</f>
        <v>1</v>
      </c>
    </row>
    <row r="3266">
      <c r="A3266" s="32" t="str">
        <f>Demand!A3264</f>
        <v>S004</v>
      </c>
      <c r="B3266" s="35">
        <f>Demand!B3264</f>
        <v>46276.0</v>
      </c>
      <c r="C3266" s="33">
        <f>Demand!C3264</f>
        <v>22</v>
      </c>
      <c r="D3266" s="33">
        <f>Demand!E3264</f>
        <v>32</v>
      </c>
      <c r="E3266" s="33">
        <f>IF(Demand!F3264,1,0)</f>
        <v>0</v>
      </c>
      <c r="F3266" s="33">
        <f>COUNTIFS(c_store,A3266,c_date,B3266,c_hour,C3266)</f>
        <v>0</v>
      </c>
      <c r="G3266" s="33">
        <f>IF(F3266&gt;0,1,0)</f>
        <v>0</v>
      </c>
      <c r="H3266" s="33">
        <f>COUNTIFS(Demand!$A$2:$A$4481,A3266,Demand!$B$2:$B$4481,B3266,Demand!$C$2:$C$4481,C3266)</f>
        <v>1</v>
      </c>
    </row>
    <row r="3267">
      <c r="A3267" s="32" t="str">
        <f>Demand!A3265</f>
        <v>S004</v>
      </c>
      <c r="B3267" s="35">
        <f>Demand!B3265</f>
        <v>46276.0</v>
      </c>
      <c r="C3267" s="33">
        <f>Demand!C3265</f>
        <v>23</v>
      </c>
      <c r="D3267" s="33">
        <f>Demand!E3265</f>
        <v>38</v>
      </c>
      <c r="E3267" s="33">
        <f>IF(Demand!F3265,1,0)</f>
        <v>0</v>
      </c>
      <c r="F3267" s="33">
        <f>COUNTIFS(c_store,A3267,c_date,B3267,c_hour,C3267)</f>
        <v>0</v>
      </c>
      <c r="G3267" s="33">
        <f>IF(F3267&gt;0,1,0)</f>
        <v>0</v>
      </c>
      <c r="H3267" s="33">
        <f>COUNTIFS(Demand!$A$2:$A$4481,A3267,Demand!$B$2:$B$4481,B3267,Demand!$C$2:$C$4481,C3267)</f>
        <v>1</v>
      </c>
    </row>
    <row r="3268">
      <c r="A3268" s="32" t="str">
        <f>Demand!A3266</f>
        <v>S005</v>
      </c>
      <c r="B3268" s="35">
        <f>Demand!B3266</f>
        <v>46276.0</v>
      </c>
      <c r="C3268" s="33">
        <f>Demand!C3266</f>
        <v>8</v>
      </c>
      <c r="D3268" s="33">
        <f>Demand!E3266</f>
        <v>11</v>
      </c>
      <c r="E3268" s="33">
        <f>IF(Demand!F3266,1,0)</f>
        <v>0</v>
      </c>
      <c r="F3268" s="33">
        <f>COUNTIFS(c_store,A3268,c_date,B3268,c_hour,C3268)</f>
        <v>0</v>
      </c>
      <c r="G3268" s="33">
        <f>IF(F3268&gt;0,1,0)</f>
        <v>0</v>
      </c>
      <c r="H3268" s="33">
        <f>COUNTIFS(Demand!$A$2:$A$4481,A3268,Demand!$B$2:$B$4481,B3268,Demand!$C$2:$C$4481,C3268)</f>
        <v>1</v>
      </c>
    </row>
    <row r="3269">
      <c r="A3269" s="32" t="str">
        <f>Demand!A3267</f>
        <v>S005</v>
      </c>
      <c r="B3269" s="35">
        <f>Demand!B3267</f>
        <v>46276.0</v>
      </c>
      <c r="C3269" s="33">
        <f>Demand!C3267</f>
        <v>9</v>
      </c>
      <c r="D3269" s="33">
        <f>Demand!E3267</f>
        <v>11</v>
      </c>
      <c r="E3269" s="33">
        <f>IF(Demand!F3267,1,0)</f>
        <v>0</v>
      </c>
      <c r="F3269" s="33">
        <f>COUNTIFS(c_store,A3269,c_date,B3269,c_hour,C3269)</f>
        <v>1</v>
      </c>
      <c r="G3269" s="33">
        <f>IF(F3269&gt;0,1,0)</f>
        <v>1</v>
      </c>
      <c r="H3269" s="33">
        <f>COUNTIFS(Demand!$A$2:$A$4481,A3269,Demand!$B$2:$B$4481,B3269,Demand!$C$2:$C$4481,C3269)</f>
        <v>1</v>
      </c>
    </row>
    <row r="3270">
      <c r="A3270" s="32" t="str">
        <f>Demand!A3268</f>
        <v>S005</v>
      </c>
      <c r="B3270" s="35">
        <f>Demand!B3268</f>
        <v>46276.0</v>
      </c>
      <c r="C3270" s="33">
        <f>Demand!C3268</f>
        <v>10</v>
      </c>
      <c r="D3270" s="33">
        <f>Demand!E3268</f>
        <v>13</v>
      </c>
      <c r="E3270" s="33">
        <f>IF(Demand!F3268,1,0)</f>
        <v>0</v>
      </c>
      <c r="F3270" s="33">
        <f>COUNTIFS(c_store,A3270,c_date,B3270,c_hour,C3270)</f>
        <v>0</v>
      </c>
      <c r="G3270" s="33">
        <f>IF(F3270&gt;0,1,0)</f>
        <v>0</v>
      </c>
      <c r="H3270" s="33">
        <f>COUNTIFS(Demand!$A$2:$A$4481,A3270,Demand!$B$2:$B$4481,B3270,Demand!$C$2:$C$4481,C3270)</f>
        <v>1</v>
      </c>
    </row>
    <row r="3271">
      <c r="A3271" s="32" t="str">
        <f>Demand!A3269</f>
        <v>S005</v>
      </c>
      <c r="B3271" s="35">
        <f>Demand!B3269</f>
        <v>46276.0</v>
      </c>
      <c r="C3271" s="33">
        <f>Demand!C3269</f>
        <v>11</v>
      </c>
      <c r="D3271" s="33">
        <f>Demand!E3269</f>
        <v>13</v>
      </c>
      <c r="E3271" s="33">
        <f>IF(Demand!F3269,1,0)</f>
        <v>0</v>
      </c>
      <c r="F3271" s="33">
        <f>COUNTIFS(c_store,A3271,c_date,B3271,c_hour,C3271)</f>
        <v>1</v>
      </c>
      <c r="G3271" s="33">
        <f>IF(F3271&gt;0,1,0)</f>
        <v>1</v>
      </c>
      <c r="H3271" s="33">
        <f>COUNTIFS(Demand!$A$2:$A$4481,A3271,Demand!$B$2:$B$4481,B3271,Demand!$C$2:$C$4481,C3271)</f>
        <v>1</v>
      </c>
    </row>
    <row r="3272">
      <c r="A3272" s="32" t="str">
        <f>Demand!A3270</f>
        <v>S005</v>
      </c>
      <c r="B3272" s="35">
        <f>Demand!B3270</f>
        <v>46276.0</v>
      </c>
      <c r="C3272" s="33">
        <f>Demand!C3270</f>
        <v>12</v>
      </c>
      <c r="D3272" s="33">
        <f>Demand!E3270</f>
        <v>13</v>
      </c>
      <c r="E3272" s="33">
        <f>IF(Demand!F3270,1,0)</f>
        <v>0</v>
      </c>
      <c r="F3272" s="33">
        <f>COUNTIFS(c_store,A3272,c_date,B3272,c_hour,C3272)</f>
        <v>0</v>
      </c>
      <c r="G3272" s="33">
        <f>IF(F3272&gt;0,1,0)</f>
        <v>0</v>
      </c>
      <c r="H3272" s="33">
        <f>COUNTIFS(Demand!$A$2:$A$4481,A3272,Demand!$B$2:$B$4481,B3272,Demand!$C$2:$C$4481,C3272)</f>
        <v>1</v>
      </c>
    </row>
    <row r="3273">
      <c r="A3273" s="32" t="str">
        <f>Demand!A3271</f>
        <v>S005</v>
      </c>
      <c r="B3273" s="35">
        <f>Demand!B3271</f>
        <v>46276.0</v>
      </c>
      <c r="C3273" s="33">
        <f>Demand!C3271</f>
        <v>13</v>
      </c>
      <c r="D3273" s="33">
        <f>Demand!E3271</f>
        <v>23</v>
      </c>
      <c r="E3273" s="33">
        <f>IF(Demand!F3271,1,0)</f>
        <v>0</v>
      </c>
      <c r="F3273" s="33">
        <f>COUNTIFS(c_store,A3273,c_date,B3273,c_hour,C3273)</f>
        <v>0</v>
      </c>
      <c r="G3273" s="33">
        <f>IF(F3273&gt;0,1,0)</f>
        <v>0</v>
      </c>
      <c r="H3273" s="33">
        <f>COUNTIFS(Demand!$A$2:$A$4481,A3273,Demand!$B$2:$B$4481,B3273,Demand!$C$2:$C$4481,C3273)</f>
        <v>1</v>
      </c>
    </row>
    <row r="3274">
      <c r="A3274" s="32" t="str">
        <f>Demand!A3272</f>
        <v>S005</v>
      </c>
      <c r="B3274" s="35">
        <f>Demand!B3272</f>
        <v>46276.0</v>
      </c>
      <c r="C3274" s="33">
        <f>Demand!C3272</f>
        <v>14</v>
      </c>
      <c r="D3274" s="33">
        <f>Demand!E3272</f>
        <v>9</v>
      </c>
      <c r="E3274" s="33">
        <f>IF(Demand!F3272,1,0)</f>
        <v>0</v>
      </c>
      <c r="F3274" s="33">
        <f>COUNTIFS(c_store,A3274,c_date,B3274,c_hour,C3274)</f>
        <v>1</v>
      </c>
      <c r="G3274" s="33">
        <f>IF(F3274&gt;0,1,0)</f>
        <v>1</v>
      </c>
      <c r="H3274" s="33">
        <f>COUNTIFS(Demand!$A$2:$A$4481,A3274,Demand!$B$2:$B$4481,B3274,Demand!$C$2:$C$4481,C3274)</f>
        <v>1</v>
      </c>
    </row>
    <row r="3275">
      <c r="A3275" s="32" t="str">
        <f>Demand!A3273</f>
        <v>S005</v>
      </c>
      <c r="B3275" s="35">
        <f>Demand!B3273</f>
        <v>46276.0</v>
      </c>
      <c r="C3275" s="33">
        <f>Demand!C3273</f>
        <v>15</v>
      </c>
      <c r="D3275" s="33">
        <f>Demand!E3273</f>
        <v>11</v>
      </c>
      <c r="E3275" s="33">
        <f>IF(Demand!F3273,1,0)</f>
        <v>0</v>
      </c>
      <c r="F3275" s="33">
        <f>COUNTIFS(c_store,A3275,c_date,B3275,c_hour,C3275)</f>
        <v>1</v>
      </c>
      <c r="G3275" s="33">
        <f>IF(F3275&gt;0,1,0)</f>
        <v>1</v>
      </c>
      <c r="H3275" s="33">
        <f>COUNTIFS(Demand!$A$2:$A$4481,A3275,Demand!$B$2:$B$4481,B3275,Demand!$C$2:$C$4481,C3275)</f>
        <v>1</v>
      </c>
    </row>
    <row r="3276">
      <c r="A3276" s="32" t="str">
        <f>Demand!A3274</f>
        <v>S005</v>
      </c>
      <c r="B3276" s="35">
        <f>Demand!B3274</f>
        <v>46276.0</v>
      </c>
      <c r="C3276" s="33">
        <f>Demand!C3274</f>
        <v>16</v>
      </c>
      <c r="D3276" s="33">
        <f>Demand!E3274</f>
        <v>13</v>
      </c>
      <c r="E3276" s="33">
        <f>IF(Demand!F3274,1,0)</f>
        <v>0</v>
      </c>
      <c r="F3276" s="33">
        <f>COUNTIFS(c_store,A3276,c_date,B3276,c_hour,C3276)</f>
        <v>0</v>
      </c>
      <c r="G3276" s="33">
        <f>IF(F3276&gt;0,1,0)</f>
        <v>0</v>
      </c>
      <c r="H3276" s="33">
        <f>COUNTIFS(Demand!$A$2:$A$4481,A3276,Demand!$B$2:$B$4481,B3276,Demand!$C$2:$C$4481,C3276)</f>
        <v>1</v>
      </c>
    </row>
    <row r="3277">
      <c r="A3277" s="32" t="str">
        <f>Demand!A3275</f>
        <v>S005</v>
      </c>
      <c r="B3277" s="35">
        <f>Demand!B3275</f>
        <v>46276.0</v>
      </c>
      <c r="C3277" s="33">
        <f>Demand!C3275</f>
        <v>17</v>
      </c>
      <c r="D3277" s="33">
        <f>Demand!E3275</f>
        <v>9</v>
      </c>
      <c r="E3277" s="33">
        <f>IF(Demand!F3275,1,0)</f>
        <v>0</v>
      </c>
      <c r="F3277" s="33">
        <f>COUNTIFS(c_store,A3277,c_date,B3277,c_hour,C3277)</f>
        <v>1</v>
      </c>
      <c r="G3277" s="33">
        <f>IF(F3277&gt;0,1,0)</f>
        <v>1</v>
      </c>
      <c r="H3277" s="33">
        <f>COUNTIFS(Demand!$A$2:$A$4481,A3277,Demand!$B$2:$B$4481,B3277,Demand!$C$2:$C$4481,C3277)</f>
        <v>1</v>
      </c>
    </row>
    <row r="3278">
      <c r="A3278" s="32" t="str">
        <f>Demand!A3276</f>
        <v>S005</v>
      </c>
      <c r="B3278" s="35">
        <f>Demand!B3276</f>
        <v>46276.0</v>
      </c>
      <c r="C3278" s="33">
        <f>Demand!C3276</f>
        <v>18</v>
      </c>
      <c r="D3278" s="33">
        <f>Demand!E3276</f>
        <v>15</v>
      </c>
      <c r="E3278" s="33">
        <f>IF(Demand!F3276,1,0)</f>
        <v>0</v>
      </c>
      <c r="F3278" s="33">
        <f>COUNTIFS(c_store,A3278,c_date,B3278,c_hour,C3278)</f>
        <v>0</v>
      </c>
      <c r="G3278" s="33">
        <f>IF(F3278&gt;0,1,0)</f>
        <v>0</v>
      </c>
      <c r="H3278" s="33">
        <f>COUNTIFS(Demand!$A$2:$A$4481,A3278,Demand!$B$2:$B$4481,B3278,Demand!$C$2:$C$4481,C3278)</f>
        <v>1</v>
      </c>
    </row>
    <row r="3279">
      <c r="A3279" s="32" t="str">
        <f>Demand!A3277</f>
        <v>S005</v>
      </c>
      <c r="B3279" s="35">
        <f>Demand!B3277</f>
        <v>46276.0</v>
      </c>
      <c r="C3279" s="33">
        <f>Demand!C3277</f>
        <v>19</v>
      </c>
      <c r="D3279" s="33">
        <f>Demand!E3277</f>
        <v>17</v>
      </c>
      <c r="E3279" s="33">
        <f>IF(Demand!F3277,1,0)</f>
        <v>1</v>
      </c>
      <c r="F3279" s="33">
        <f>COUNTIFS(c_store,A3279,c_date,B3279,c_hour,C3279)</f>
        <v>0</v>
      </c>
      <c r="G3279" s="33">
        <f>IF(F3279&gt;0,1,0)</f>
        <v>0</v>
      </c>
      <c r="H3279" s="33">
        <f>COUNTIFS(Demand!$A$2:$A$4481,A3279,Demand!$B$2:$B$4481,B3279,Demand!$C$2:$C$4481,C3279)</f>
        <v>1</v>
      </c>
    </row>
    <row r="3280">
      <c r="A3280" s="32" t="str">
        <f>Demand!A3278</f>
        <v>S005</v>
      </c>
      <c r="B3280" s="35">
        <f>Demand!B3278</f>
        <v>46276.0</v>
      </c>
      <c r="C3280" s="33">
        <f>Demand!C3278</f>
        <v>20</v>
      </c>
      <c r="D3280" s="33">
        <f>Demand!E3278</f>
        <v>15</v>
      </c>
      <c r="E3280" s="33">
        <f>IF(Demand!F3278,1,0)</f>
        <v>1</v>
      </c>
      <c r="F3280" s="33">
        <f>COUNTIFS(c_store,A3280,c_date,B3280,c_hour,C3280)</f>
        <v>1</v>
      </c>
      <c r="G3280" s="33">
        <f>IF(F3280&gt;0,1,0)</f>
        <v>1</v>
      </c>
      <c r="H3280" s="33">
        <f>COUNTIFS(Demand!$A$2:$A$4481,A3280,Demand!$B$2:$B$4481,B3280,Demand!$C$2:$C$4481,C3280)</f>
        <v>1</v>
      </c>
    </row>
    <row r="3281">
      <c r="A3281" s="32" t="str">
        <f>Demand!A3279</f>
        <v>S005</v>
      </c>
      <c r="B3281" s="35">
        <f>Demand!B3279</f>
        <v>46276.0</v>
      </c>
      <c r="C3281" s="33">
        <f>Demand!C3279</f>
        <v>21</v>
      </c>
      <c r="D3281" s="33">
        <f>Demand!E3279</f>
        <v>26</v>
      </c>
      <c r="E3281" s="33">
        <f>IF(Demand!F3279,1,0)</f>
        <v>1</v>
      </c>
      <c r="F3281" s="33">
        <f>COUNTIFS(c_store,A3281,c_date,B3281,c_hour,C3281)</f>
        <v>0</v>
      </c>
      <c r="G3281" s="33">
        <f>IF(F3281&gt;0,1,0)</f>
        <v>0</v>
      </c>
      <c r="H3281" s="33">
        <f>COUNTIFS(Demand!$A$2:$A$4481,A3281,Demand!$B$2:$B$4481,B3281,Demand!$C$2:$C$4481,C3281)</f>
        <v>1</v>
      </c>
    </row>
    <row r="3282">
      <c r="A3282" s="32" t="str">
        <f>Demand!A3280</f>
        <v>S005</v>
      </c>
      <c r="B3282" s="35">
        <f>Demand!B3280</f>
        <v>46276.0</v>
      </c>
      <c r="C3282" s="33">
        <f>Demand!C3280</f>
        <v>22</v>
      </c>
      <c r="D3282" s="33">
        <f>Demand!E3280</f>
        <v>13</v>
      </c>
      <c r="E3282" s="33">
        <f>IF(Demand!F3280,1,0)</f>
        <v>0</v>
      </c>
      <c r="F3282" s="33">
        <f>COUNTIFS(c_store,A3282,c_date,B3282,c_hour,C3282)</f>
        <v>0</v>
      </c>
      <c r="G3282" s="33">
        <f>IF(F3282&gt;0,1,0)</f>
        <v>0</v>
      </c>
      <c r="H3282" s="33">
        <f>COUNTIFS(Demand!$A$2:$A$4481,A3282,Demand!$B$2:$B$4481,B3282,Demand!$C$2:$C$4481,C3282)</f>
        <v>1</v>
      </c>
    </row>
    <row r="3283">
      <c r="A3283" s="32" t="str">
        <f>Demand!A3281</f>
        <v>S005</v>
      </c>
      <c r="B3283" s="35">
        <f>Demand!B3281</f>
        <v>46276.0</v>
      </c>
      <c r="C3283" s="33">
        <f>Demand!C3281</f>
        <v>23</v>
      </c>
      <c r="D3283" s="33">
        <f>Demand!E3281</f>
        <v>17</v>
      </c>
      <c r="E3283" s="33">
        <f>IF(Demand!F3281,1,0)</f>
        <v>0</v>
      </c>
      <c r="F3283" s="33">
        <f>COUNTIFS(c_store,A3283,c_date,B3283,c_hour,C3283)</f>
        <v>0</v>
      </c>
      <c r="G3283" s="33">
        <f>IF(F3283&gt;0,1,0)</f>
        <v>0</v>
      </c>
      <c r="H3283" s="33">
        <f>COUNTIFS(Demand!$A$2:$A$4481,A3283,Demand!$B$2:$B$4481,B3283,Demand!$C$2:$C$4481,C3283)</f>
        <v>1</v>
      </c>
    </row>
    <row r="3284">
      <c r="A3284" s="32" t="str">
        <f>Demand!A3282</f>
        <v>S006</v>
      </c>
      <c r="B3284" s="35">
        <f>Demand!B3282</f>
        <v>46276.0</v>
      </c>
      <c r="C3284" s="33">
        <f>Demand!C3282</f>
        <v>8</v>
      </c>
      <c r="D3284" s="33">
        <f>Demand!E3282</f>
        <v>22</v>
      </c>
      <c r="E3284" s="33">
        <f>IF(Demand!F3282,1,0)</f>
        <v>0</v>
      </c>
      <c r="F3284" s="33">
        <f>COUNTIFS(c_store,A3284,c_date,B3284,c_hour,C3284)</f>
        <v>0</v>
      </c>
      <c r="G3284" s="33">
        <f>IF(F3284&gt;0,1,0)</f>
        <v>0</v>
      </c>
      <c r="H3284" s="33">
        <f>COUNTIFS(Demand!$A$2:$A$4481,A3284,Demand!$B$2:$B$4481,B3284,Demand!$C$2:$C$4481,C3284)</f>
        <v>1</v>
      </c>
    </row>
    <row r="3285">
      <c r="A3285" s="32" t="str">
        <f>Demand!A3283</f>
        <v>S006</v>
      </c>
      <c r="B3285" s="35">
        <f>Demand!B3283</f>
        <v>46276.0</v>
      </c>
      <c r="C3285" s="33">
        <f>Demand!C3283</f>
        <v>9</v>
      </c>
      <c r="D3285" s="33">
        <f>Demand!E3283</f>
        <v>26</v>
      </c>
      <c r="E3285" s="33">
        <f>IF(Demand!F3283,1,0)</f>
        <v>0</v>
      </c>
      <c r="F3285" s="33">
        <f>COUNTIFS(c_store,A3285,c_date,B3285,c_hour,C3285)</f>
        <v>1</v>
      </c>
      <c r="G3285" s="33">
        <f>IF(F3285&gt;0,1,0)</f>
        <v>1</v>
      </c>
      <c r="H3285" s="33">
        <f>COUNTIFS(Demand!$A$2:$A$4481,A3285,Demand!$B$2:$B$4481,B3285,Demand!$C$2:$C$4481,C3285)</f>
        <v>1</v>
      </c>
    </row>
    <row r="3286">
      <c r="A3286" s="32" t="str">
        <f>Demand!A3284</f>
        <v>S006</v>
      </c>
      <c r="B3286" s="35">
        <f>Demand!B3284</f>
        <v>46276.0</v>
      </c>
      <c r="C3286" s="33">
        <f>Demand!C3284</f>
        <v>10</v>
      </c>
      <c r="D3286" s="33">
        <f>Demand!E3284</f>
        <v>23</v>
      </c>
      <c r="E3286" s="33">
        <f>IF(Demand!F3284,1,0)</f>
        <v>0</v>
      </c>
      <c r="F3286" s="33">
        <f>COUNTIFS(c_store,A3286,c_date,B3286,c_hour,C3286)</f>
        <v>0</v>
      </c>
      <c r="G3286" s="33">
        <f>IF(F3286&gt;0,1,0)</f>
        <v>0</v>
      </c>
      <c r="H3286" s="33">
        <f>COUNTIFS(Demand!$A$2:$A$4481,A3286,Demand!$B$2:$B$4481,B3286,Demand!$C$2:$C$4481,C3286)</f>
        <v>1</v>
      </c>
    </row>
    <row r="3287">
      <c r="A3287" s="32" t="str">
        <f>Demand!A3285</f>
        <v>S006</v>
      </c>
      <c r="B3287" s="35">
        <f>Demand!B3285</f>
        <v>46276.0</v>
      </c>
      <c r="C3287" s="33">
        <f>Demand!C3285</f>
        <v>11</v>
      </c>
      <c r="D3287" s="33">
        <f>Demand!E3285</f>
        <v>28</v>
      </c>
      <c r="E3287" s="33">
        <f>IF(Demand!F3285,1,0)</f>
        <v>0</v>
      </c>
      <c r="F3287" s="33">
        <f>COUNTIFS(c_store,A3287,c_date,B3287,c_hour,C3287)</f>
        <v>0</v>
      </c>
      <c r="G3287" s="33">
        <f>IF(F3287&gt;0,1,0)</f>
        <v>0</v>
      </c>
      <c r="H3287" s="33">
        <f>COUNTIFS(Demand!$A$2:$A$4481,A3287,Demand!$B$2:$B$4481,B3287,Demand!$C$2:$C$4481,C3287)</f>
        <v>1</v>
      </c>
    </row>
    <row r="3288">
      <c r="A3288" s="32" t="str">
        <f>Demand!A3286</f>
        <v>S006</v>
      </c>
      <c r="B3288" s="35">
        <f>Demand!B3286</f>
        <v>46276.0</v>
      </c>
      <c r="C3288" s="33">
        <f>Demand!C3286</f>
        <v>12</v>
      </c>
      <c r="D3288" s="33">
        <f>Demand!E3286</f>
        <v>31</v>
      </c>
      <c r="E3288" s="33">
        <f>IF(Demand!F3286,1,0)</f>
        <v>0</v>
      </c>
      <c r="F3288" s="33">
        <f>COUNTIFS(c_store,A3288,c_date,B3288,c_hour,C3288)</f>
        <v>1</v>
      </c>
      <c r="G3288" s="33">
        <f>IF(F3288&gt;0,1,0)</f>
        <v>1</v>
      </c>
      <c r="H3288" s="33">
        <f>COUNTIFS(Demand!$A$2:$A$4481,A3288,Demand!$B$2:$B$4481,B3288,Demand!$C$2:$C$4481,C3288)</f>
        <v>1</v>
      </c>
    </row>
    <row r="3289">
      <c r="A3289" s="32" t="str">
        <f>Demand!A3287</f>
        <v>S006</v>
      </c>
      <c r="B3289" s="35">
        <f>Demand!B3287</f>
        <v>46276.0</v>
      </c>
      <c r="C3289" s="33">
        <f>Demand!C3287</f>
        <v>13</v>
      </c>
      <c r="D3289" s="33">
        <f>Demand!E3287</f>
        <v>26</v>
      </c>
      <c r="E3289" s="33">
        <f>IF(Demand!F3287,1,0)</f>
        <v>0</v>
      </c>
      <c r="F3289" s="33">
        <f>COUNTIFS(c_store,A3289,c_date,B3289,c_hour,C3289)</f>
        <v>0</v>
      </c>
      <c r="G3289" s="33">
        <f>IF(F3289&gt;0,1,0)</f>
        <v>0</v>
      </c>
      <c r="H3289" s="33">
        <f>COUNTIFS(Demand!$A$2:$A$4481,A3289,Demand!$B$2:$B$4481,B3289,Demand!$C$2:$C$4481,C3289)</f>
        <v>1</v>
      </c>
    </row>
    <row r="3290">
      <c r="A3290" s="32" t="str">
        <f>Demand!A3288</f>
        <v>S006</v>
      </c>
      <c r="B3290" s="35">
        <f>Demand!B3288</f>
        <v>46276.0</v>
      </c>
      <c r="C3290" s="33">
        <f>Demand!C3288</f>
        <v>14</v>
      </c>
      <c r="D3290" s="33">
        <f>Demand!E3288</f>
        <v>19</v>
      </c>
      <c r="E3290" s="33">
        <f>IF(Demand!F3288,1,0)</f>
        <v>0</v>
      </c>
      <c r="F3290" s="33">
        <f>COUNTIFS(c_store,A3290,c_date,B3290,c_hour,C3290)</f>
        <v>0</v>
      </c>
      <c r="G3290" s="33">
        <f>IF(F3290&gt;0,1,0)</f>
        <v>0</v>
      </c>
      <c r="H3290" s="33">
        <f>COUNTIFS(Demand!$A$2:$A$4481,A3290,Demand!$B$2:$B$4481,B3290,Demand!$C$2:$C$4481,C3290)</f>
        <v>1</v>
      </c>
    </row>
    <row r="3291">
      <c r="A3291" s="32" t="str">
        <f>Demand!A3289</f>
        <v>S006</v>
      </c>
      <c r="B3291" s="35">
        <f>Demand!B3289</f>
        <v>46276.0</v>
      </c>
      <c r="C3291" s="33">
        <f>Demand!C3289</f>
        <v>15</v>
      </c>
      <c r="D3291" s="33">
        <f>Demand!E3289</f>
        <v>20</v>
      </c>
      <c r="E3291" s="33">
        <f>IF(Demand!F3289,1,0)</f>
        <v>0</v>
      </c>
      <c r="F3291" s="33">
        <f>COUNTIFS(c_store,A3291,c_date,B3291,c_hour,C3291)</f>
        <v>0</v>
      </c>
      <c r="G3291" s="33">
        <f>IF(F3291&gt;0,1,0)</f>
        <v>0</v>
      </c>
      <c r="H3291" s="33">
        <f>COUNTIFS(Demand!$A$2:$A$4481,A3291,Demand!$B$2:$B$4481,B3291,Demand!$C$2:$C$4481,C3291)</f>
        <v>1</v>
      </c>
    </row>
    <row r="3292">
      <c r="A3292" s="32" t="str">
        <f>Demand!A3290</f>
        <v>S006</v>
      </c>
      <c r="B3292" s="35">
        <f>Demand!B3290</f>
        <v>46276.0</v>
      </c>
      <c r="C3292" s="33">
        <f>Demand!C3290</f>
        <v>16</v>
      </c>
      <c r="D3292" s="33">
        <f>Demand!E3290</f>
        <v>41</v>
      </c>
      <c r="E3292" s="33">
        <f>IF(Demand!F3290,1,0)</f>
        <v>0</v>
      </c>
      <c r="F3292" s="33">
        <f>COUNTIFS(c_store,A3292,c_date,B3292,c_hour,C3292)</f>
        <v>0</v>
      </c>
      <c r="G3292" s="33">
        <f>IF(F3292&gt;0,1,0)</f>
        <v>0</v>
      </c>
      <c r="H3292" s="33">
        <f>COUNTIFS(Demand!$A$2:$A$4481,A3292,Demand!$B$2:$B$4481,B3292,Demand!$C$2:$C$4481,C3292)</f>
        <v>1</v>
      </c>
    </row>
    <row r="3293">
      <c r="A3293" s="32" t="str">
        <f>Demand!A3291</f>
        <v>S006</v>
      </c>
      <c r="B3293" s="35">
        <f>Demand!B3291</f>
        <v>46276.0</v>
      </c>
      <c r="C3293" s="33">
        <f>Demand!C3291</f>
        <v>17</v>
      </c>
      <c r="D3293" s="33">
        <f>Demand!E3291</f>
        <v>25</v>
      </c>
      <c r="E3293" s="33">
        <f>IF(Demand!F3291,1,0)</f>
        <v>0</v>
      </c>
      <c r="F3293" s="33">
        <f>COUNTIFS(c_store,A3293,c_date,B3293,c_hour,C3293)</f>
        <v>1</v>
      </c>
      <c r="G3293" s="33">
        <f>IF(F3293&gt;0,1,0)</f>
        <v>1</v>
      </c>
      <c r="H3293" s="33">
        <f>COUNTIFS(Demand!$A$2:$A$4481,A3293,Demand!$B$2:$B$4481,B3293,Demand!$C$2:$C$4481,C3293)</f>
        <v>1</v>
      </c>
    </row>
    <row r="3294">
      <c r="A3294" s="32" t="str">
        <f>Demand!A3292</f>
        <v>S006</v>
      </c>
      <c r="B3294" s="35">
        <f>Demand!B3292</f>
        <v>46276.0</v>
      </c>
      <c r="C3294" s="33">
        <f>Demand!C3292</f>
        <v>18</v>
      </c>
      <c r="D3294" s="33">
        <f>Demand!E3292</f>
        <v>26</v>
      </c>
      <c r="E3294" s="33">
        <f>IF(Demand!F3292,1,0)</f>
        <v>0</v>
      </c>
      <c r="F3294" s="33">
        <f>COUNTIFS(c_store,A3294,c_date,B3294,c_hour,C3294)</f>
        <v>0</v>
      </c>
      <c r="G3294" s="33">
        <f>IF(F3294&gt;0,1,0)</f>
        <v>0</v>
      </c>
      <c r="H3294" s="33">
        <f>COUNTIFS(Demand!$A$2:$A$4481,A3294,Demand!$B$2:$B$4481,B3294,Demand!$C$2:$C$4481,C3294)</f>
        <v>1</v>
      </c>
    </row>
    <row r="3295">
      <c r="A3295" s="32" t="str">
        <f>Demand!A3293</f>
        <v>S006</v>
      </c>
      <c r="B3295" s="35">
        <f>Demand!B3293</f>
        <v>46276.0</v>
      </c>
      <c r="C3295" s="33">
        <f>Demand!C3293</f>
        <v>19</v>
      </c>
      <c r="D3295" s="33">
        <f>Demand!E3293</f>
        <v>28</v>
      </c>
      <c r="E3295" s="33">
        <f>IF(Demand!F3293,1,0)</f>
        <v>1</v>
      </c>
      <c r="F3295" s="33">
        <f>COUNTIFS(c_store,A3295,c_date,B3295,c_hour,C3295)</f>
        <v>0</v>
      </c>
      <c r="G3295" s="33">
        <f>IF(F3295&gt;0,1,0)</f>
        <v>0</v>
      </c>
      <c r="H3295" s="33">
        <f>COUNTIFS(Demand!$A$2:$A$4481,A3295,Demand!$B$2:$B$4481,B3295,Demand!$C$2:$C$4481,C3295)</f>
        <v>1</v>
      </c>
    </row>
    <row r="3296">
      <c r="A3296" s="32" t="str">
        <f>Demand!A3294</f>
        <v>S006</v>
      </c>
      <c r="B3296" s="35">
        <f>Demand!B3294</f>
        <v>46276.0</v>
      </c>
      <c r="C3296" s="33">
        <f>Demand!C3294</f>
        <v>20</v>
      </c>
      <c r="D3296" s="33">
        <f>Demand!E3294</f>
        <v>36</v>
      </c>
      <c r="E3296" s="33">
        <f>IF(Demand!F3294,1,0)</f>
        <v>1</v>
      </c>
      <c r="F3296" s="33">
        <f>COUNTIFS(c_store,A3296,c_date,B3296,c_hour,C3296)</f>
        <v>0</v>
      </c>
      <c r="G3296" s="33">
        <f>IF(F3296&gt;0,1,0)</f>
        <v>0</v>
      </c>
      <c r="H3296" s="33">
        <f>COUNTIFS(Demand!$A$2:$A$4481,A3296,Demand!$B$2:$B$4481,B3296,Demand!$C$2:$C$4481,C3296)</f>
        <v>1</v>
      </c>
    </row>
    <row r="3297">
      <c r="A3297" s="32" t="str">
        <f>Demand!A3295</f>
        <v>S006</v>
      </c>
      <c r="B3297" s="35">
        <f>Demand!B3295</f>
        <v>46276.0</v>
      </c>
      <c r="C3297" s="33">
        <f>Demand!C3295</f>
        <v>21</v>
      </c>
      <c r="D3297" s="33">
        <f>Demand!E3295</f>
        <v>33</v>
      </c>
      <c r="E3297" s="33">
        <f>IF(Demand!F3295,1,0)</f>
        <v>1</v>
      </c>
      <c r="F3297" s="33">
        <f>COUNTIFS(c_store,A3297,c_date,B3297,c_hour,C3297)</f>
        <v>0</v>
      </c>
      <c r="G3297" s="33">
        <f>IF(F3297&gt;0,1,0)</f>
        <v>0</v>
      </c>
      <c r="H3297" s="33">
        <f>COUNTIFS(Demand!$A$2:$A$4481,A3297,Demand!$B$2:$B$4481,B3297,Demand!$C$2:$C$4481,C3297)</f>
        <v>1</v>
      </c>
    </row>
    <row r="3298">
      <c r="A3298" s="32" t="str">
        <f>Demand!A3296</f>
        <v>S006</v>
      </c>
      <c r="B3298" s="35">
        <f>Demand!B3296</f>
        <v>46276.0</v>
      </c>
      <c r="C3298" s="33">
        <f>Demand!C3296</f>
        <v>22</v>
      </c>
      <c r="D3298" s="33">
        <f>Demand!E3296</f>
        <v>32</v>
      </c>
      <c r="E3298" s="33">
        <f>IF(Demand!F3296,1,0)</f>
        <v>0</v>
      </c>
      <c r="F3298" s="33">
        <f>COUNTIFS(c_store,A3298,c_date,B3298,c_hour,C3298)</f>
        <v>0</v>
      </c>
      <c r="G3298" s="33">
        <f>IF(F3298&gt;0,1,0)</f>
        <v>0</v>
      </c>
      <c r="H3298" s="33">
        <f>COUNTIFS(Demand!$A$2:$A$4481,A3298,Demand!$B$2:$B$4481,B3298,Demand!$C$2:$C$4481,C3298)</f>
        <v>1</v>
      </c>
    </row>
    <row r="3299">
      <c r="A3299" s="32" t="str">
        <f>Demand!A3297</f>
        <v>S006</v>
      </c>
      <c r="B3299" s="35">
        <f>Demand!B3297</f>
        <v>46276.0</v>
      </c>
      <c r="C3299" s="33">
        <f>Demand!C3297</f>
        <v>23</v>
      </c>
      <c r="D3299" s="33">
        <f>Demand!E3297</f>
        <v>22</v>
      </c>
      <c r="E3299" s="33">
        <f>IF(Demand!F3297,1,0)</f>
        <v>0</v>
      </c>
      <c r="F3299" s="33">
        <f>COUNTIFS(c_store,A3299,c_date,B3299,c_hour,C3299)</f>
        <v>0</v>
      </c>
      <c r="G3299" s="33">
        <f>IF(F3299&gt;0,1,0)</f>
        <v>0</v>
      </c>
      <c r="H3299" s="33">
        <f>COUNTIFS(Demand!$A$2:$A$4481,A3299,Demand!$B$2:$B$4481,B3299,Demand!$C$2:$C$4481,C3299)</f>
        <v>1</v>
      </c>
    </row>
    <row r="3300">
      <c r="A3300" s="32" t="str">
        <f>Demand!A3298</f>
        <v>S007</v>
      </c>
      <c r="B3300" s="35">
        <f>Demand!B3298</f>
        <v>46276.0</v>
      </c>
      <c r="C3300" s="33">
        <f>Demand!C3298</f>
        <v>8</v>
      </c>
      <c r="D3300" s="33">
        <f>Demand!E3298</f>
        <v>31</v>
      </c>
      <c r="E3300" s="33">
        <f>IF(Demand!F3298,1,0)</f>
        <v>0</v>
      </c>
      <c r="F3300" s="33">
        <f>COUNTIFS(c_store,A3300,c_date,B3300,c_hour,C3300)</f>
        <v>0</v>
      </c>
      <c r="G3300" s="33">
        <f>IF(F3300&gt;0,1,0)</f>
        <v>0</v>
      </c>
      <c r="H3300" s="33">
        <f>COUNTIFS(Demand!$A$2:$A$4481,A3300,Demand!$B$2:$B$4481,B3300,Demand!$C$2:$C$4481,C3300)</f>
        <v>1</v>
      </c>
    </row>
    <row r="3301">
      <c r="A3301" s="32" t="str">
        <f>Demand!A3299</f>
        <v>S007</v>
      </c>
      <c r="B3301" s="35">
        <f>Demand!B3299</f>
        <v>46276.0</v>
      </c>
      <c r="C3301" s="33">
        <f>Demand!C3299</f>
        <v>9</v>
      </c>
      <c r="D3301" s="33">
        <f>Demand!E3299</f>
        <v>28</v>
      </c>
      <c r="E3301" s="33">
        <f>IF(Demand!F3299,1,0)</f>
        <v>0</v>
      </c>
      <c r="F3301" s="33">
        <f>COUNTIFS(c_store,A3301,c_date,B3301,c_hour,C3301)</f>
        <v>1</v>
      </c>
      <c r="G3301" s="33">
        <f>IF(F3301&gt;0,1,0)</f>
        <v>1</v>
      </c>
      <c r="H3301" s="33">
        <f>COUNTIFS(Demand!$A$2:$A$4481,A3301,Demand!$B$2:$B$4481,B3301,Demand!$C$2:$C$4481,C3301)</f>
        <v>1</v>
      </c>
    </row>
    <row r="3302">
      <c r="A3302" s="32" t="str">
        <f>Demand!A3300</f>
        <v>S007</v>
      </c>
      <c r="B3302" s="35">
        <f>Demand!B3300</f>
        <v>46276.0</v>
      </c>
      <c r="C3302" s="33">
        <f>Demand!C3300</f>
        <v>10</v>
      </c>
      <c r="D3302" s="33">
        <f>Demand!E3300</f>
        <v>18</v>
      </c>
      <c r="E3302" s="33">
        <f>IF(Demand!F3300,1,0)</f>
        <v>0</v>
      </c>
      <c r="F3302" s="33">
        <f>COUNTIFS(c_store,A3302,c_date,B3302,c_hour,C3302)</f>
        <v>1</v>
      </c>
      <c r="G3302" s="33">
        <f>IF(F3302&gt;0,1,0)</f>
        <v>1</v>
      </c>
      <c r="H3302" s="33">
        <f>COUNTIFS(Demand!$A$2:$A$4481,A3302,Demand!$B$2:$B$4481,B3302,Demand!$C$2:$C$4481,C3302)</f>
        <v>1</v>
      </c>
    </row>
    <row r="3303">
      <c r="A3303" s="32" t="str">
        <f>Demand!A3301</f>
        <v>S007</v>
      </c>
      <c r="B3303" s="35">
        <f>Demand!B3301</f>
        <v>46276.0</v>
      </c>
      <c r="C3303" s="33">
        <f>Demand!C3301</f>
        <v>11</v>
      </c>
      <c r="D3303" s="33">
        <f>Demand!E3301</f>
        <v>48</v>
      </c>
      <c r="E3303" s="33">
        <f>IF(Demand!F3301,1,0)</f>
        <v>0</v>
      </c>
      <c r="F3303" s="33">
        <f>COUNTIFS(c_store,A3303,c_date,B3303,c_hour,C3303)</f>
        <v>1</v>
      </c>
      <c r="G3303" s="33">
        <f>IF(F3303&gt;0,1,0)</f>
        <v>1</v>
      </c>
      <c r="H3303" s="33">
        <f>COUNTIFS(Demand!$A$2:$A$4481,A3303,Demand!$B$2:$B$4481,B3303,Demand!$C$2:$C$4481,C3303)</f>
        <v>1</v>
      </c>
    </row>
    <row r="3304">
      <c r="A3304" s="32" t="str">
        <f>Demand!A3302</f>
        <v>S007</v>
      </c>
      <c r="B3304" s="35">
        <f>Demand!B3302</f>
        <v>46276.0</v>
      </c>
      <c r="C3304" s="33">
        <f>Demand!C3302</f>
        <v>12</v>
      </c>
      <c r="D3304" s="33">
        <f>Demand!E3302</f>
        <v>36</v>
      </c>
      <c r="E3304" s="33">
        <f>IF(Demand!F3302,1,0)</f>
        <v>0</v>
      </c>
      <c r="F3304" s="33">
        <f>COUNTIFS(c_store,A3304,c_date,B3304,c_hour,C3304)</f>
        <v>0</v>
      </c>
      <c r="G3304" s="33">
        <f>IF(F3304&gt;0,1,0)</f>
        <v>0</v>
      </c>
      <c r="H3304" s="33">
        <f>COUNTIFS(Demand!$A$2:$A$4481,A3304,Demand!$B$2:$B$4481,B3304,Demand!$C$2:$C$4481,C3304)</f>
        <v>1</v>
      </c>
    </row>
    <row r="3305">
      <c r="A3305" s="32" t="str">
        <f>Demand!A3303</f>
        <v>S007</v>
      </c>
      <c r="B3305" s="35">
        <f>Demand!B3303</f>
        <v>46276.0</v>
      </c>
      <c r="C3305" s="33">
        <f>Demand!C3303</f>
        <v>13</v>
      </c>
      <c r="D3305" s="33">
        <f>Demand!E3303</f>
        <v>41</v>
      </c>
      <c r="E3305" s="33">
        <f>IF(Demand!F3303,1,0)</f>
        <v>0</v>
      </c>
      <c r="F3305" s="33">
        <f>COUNTIFS(c_store,A3305,c_date,B3305,c_hour,C3305)</f>
        <v>0</v>
      </c>
      <c r="G3305" s="33">
        <f>IF(F3305&gt;0,1,0)</f>
        <v>0</v>
      </c>
      <c r="H3305" s="33">
        <f>COUNTIFS(Demand!$A$2:$A$4481,A3305,Demand!$B$2:$B$4481,B3305,Demand!$C$2:$C$4481,C3305)</f>
        <v>1</v>
      </c>
    </row>
    <row r="3306">
      <c r="A3306" s="32" t="str">
        <f>Demand!A3304</f>
        <v>S007</v>
      </c>
      <c r="B3306" s="35">
        <f>Demand!B3304</f>
        <v>46276.0</v>
      </c>
      <c r="C3306" s="33">
        <f>Demand!C3304</f>
        <v>14</v>
      </c>
      <c r="D3306" s="33">
        <f>Demand!E3304</f>
        <v>30</v>
      </c>
      <c r="E3306" s="33">
        <f>IF(Demand!F3304,1,0)</f>
        <v>0</v>
      </c>
      <c r="F3306" s="33">
        <f>COUNTIFS(c_store,A3306,c_date,B3306,c_hour,C3306)</f>
        <v>0</v>
      </c>
      <c r="G3306" s="33">
        <f>IF(F3306&gt;0,1,0)</f>
        <v>0</v>
      </c>
      <c r="H3306" s="33">
        <f>COUNTIFS(Demand!$A$2:$A$4481,A3306,Demand!$B$2:$B$4481,B3306,Demand!$C$2:$C$4481,C3306)</f>
        <v>1</v>
      </c>
    </row>
    <row r="3307">
      <c r="A3307" s="32" t="str">
        <f>Demand!A3305</f>
        <v>S007</v>
      </c>
      <c r="B3307" s="35">
        <f>Demand!B3305</f>
        <v>46276.0</v>
      </c>
      <c r="C3307" s="33">
        <f>Demand!C3305</f>
        <v>15</v>
      </c>
      <c r="D3307" s="33">
        <f>Demand!E3305</f>
        <v>30</v>
      </c>
      <c r="E3307" s="33">
        <f>IF(Demand!F3305,1,0)</f>
        <v>0</v>
      </c>
      <c r="F3307" s="33">
        <f>COUNTIFS(c_store,A3307,c_date,B3307,c_hour,C3307)</f>
        <v>0</v>
      </c>
      <c r="G3307" s="33">
        <f>IF(F3307&gt;0,1,0)</f>
        <v>0</v>
      </c>
      <c r="H3307" s="33">
        <f>COUNTIFS(Demand!$A$2:$A$4481,A3307,Demand!$B$2:$B$4481,B3307,Demand!$C$2:$C$4481,C3307)</f>
        <v>1</v>
      </c>
    </row>
    <row r="3308">
      <c r="A3308" s="32" t="str">
        <f>Demand!A3306</f>
        <v>S007</v>
      </c>
      <c r="B3308" s="35">
        <f>Demand!B3306</f>
        <v>46276.0</v>
      </c>
      <c r="C3308" s="33">
        <f>Demand!C3306</f>
        <v>16</v>
      </c>
      <c r="D3308" s="33">
        <f>Demand!E3306</f>
        <v>32</v>
      </c>
      <c r="E3308" s="33">
        <f>IF(Demand!F3306,1,0)</f>
        <v>0</v>
      </c>
      <c r="F3308" s="33">
        <f>COUNTIFS(c_store,A3308,c_date,B3308,c_hour,C3308)</f>
        <v>0</v>
      </c>
      <c r="G3308" s="33">
        <f>IF(F3308&gt;0,1,0)</f>
        <v>0</v>
      </c>
      <c r="H3308" s="33">
        <f>COUNTIFS(Demand!$A$2:$A$4481,A3308,Demand!$B$2:$B$4481,B3308,Demand!$C$2:$C$4481,C3308)</f>
        <v>1</v>
      </c>
    </row>
    <row r="3309">
      <c r="A3309" s="32" t="str">
        <f>Demand!A3307</f>
        <v>S007</v>
      </c>
      <c r="B3309" s="35">
        <f>Demand!B3307</f>
        <v>46276.0</v>
      </c>
      <c r="C3309" s="33">
        <f>Demand!C3307</f>
        <v>17</v>
      </c>
      <c r="D3309" s="33">
        <f>Demand!E3307</f>
        <v>33</v>
      </c>
      <c r="E3309" s="33">
        <f>IF(Demand!F3307,1,0)</f>
        <v>0</v>
      </c>
      <c r="F3309" s="33">
        <f>COUNTIFS(c_store,A3309,c_date,B3309,c_hour,C3309)</f>
        <v>0</v>
      </c>
      <c r="G3309" s="33">
        <f>IF(F3309&gt;0,1,0)</f>
        <v>0</v>
      </c>
      <c r="H3309" s="33">
        <f>COUNTIFS(Demand!$A$2:$A$4481,A3309,Demand!$B$2:$B$4481,B3309,Demand!$C$2:$C$4481,C3309)</f>
        <v>1</v>
      </c>
    </row>
    <row r="3310">
      <c r="A3310" s="32" t="str">
        <f>Demand!A3308</f>
        <v>S007</v>
      </c>
      <c r="B3310" s="35">
        <f>Demand!B3308</f>
        <v>46276.0</v>
      </c>
      <c r="C3310" s="33">
        <f>Demand!C3308</f>
        <v>18</v>
      </c>
      <c r="D3310" s="33">
        <f>Demand!E3308</f>
        <v>39</v>
      </c>
      <c r="E3310" s="33">
        <f>IF(Demand!F3308,1,0)</f>
        <v>0</v>
      </c>
      <c r="F3310" s="33">
        <f>COUNTIFS(c_store,A3310,c_date,B3310,c_hour,C3310)</f>
        <v>1</v>
      </c>
      <c r="G3310" s="33">
        <f>IF(F3310&gt;0,1,0)</f>
        <v>1</v>
      </c>
      <c r="H3310" s="33">
        <f>COUNTIFS(Demand!$A$2:$A$4481,A3310,Demand!$B$2:$B$4481,B3310,Demand!$C$2:$C$4481,C3310)</f>
        <v>1</v>
      </c>
    </row>
    <row r="3311">
      <c r="A3311" s="32" t="str">
        <f>Demand!A3309</f>
        <v>S007</v>
      </c>
      <c r="B3311" s="35">
        <f>Demand!B3309</f>
        <v>46276.0</v>
      </c>
      <c r="C3311" s="33">
        <f>Demand!C3309</f>
        <v>19</v>
      </c>
      <c r="D3311" s="33">
        <f>Demand!E3309</f>
        <v>63</v>
      </c>
      <c r="E3311" s="33">
        <f>IF(Demand!F3309,1,0)</f>
        <v>1</v>
      </c>
      <c r="F3311" s="33">
        <f>COUNTIFS(c_store,A3311,c_date,B3311,c_hour,C3311)</f>
        <v>1</v>
      </c>
      <c r="G3311" s="33">
        <f>IF(F3311&gt;0,1,0)</f>
        <v>1</v>
      </c>
      <c r="H3311" s="33">
        <f>COUNTIFS(Demand!$A$2:$A$4481,A3311,Demand!$B$2:$B$4481,B3311,Demand!$C$2:$C$4481,C3311)</f>
        <v>1</v>
      </c>
    </row>
    <row r="3312">
      <c r="A3312" s="32" t="str">
        <f>Demand!A3310</f>
        <v>S007</v>
      </c>
      <c r="B3312" s="35">
        <f>Demand!B3310</f>
        <v>46276.0</v>
      </c>
      <c r="C3312" s="33">
        <f>Demand!C3310</f>
        <v>20</v>
      </c>
      <c r="D3312" s="33">
        <f>Demand!E3310</f>
        <v>52</v>
      </c>
      <c r="E3312" s="33">
        <f>IF(Demand!F3310,1,0)</f>
        <v>1</v>
      </c>
      <c r="F3312" s="33">
        <f>COUNTIFS(c_store,A3312,c_date,B3312,c_hour,C3312)</f>
        <v>0</v>
      </c>
      <c r="G3312" s="33">
        <f>IF(F3312&gt;0,1,0)</f>
        <v>0</v>
      </c>
      <c r="H3312" s="33">
        <f>COUNTIFS(Demand!$A$2:$A$4481,A3312,Demand!$B$2:$B$4481,B3312,Demand!$C$2:$C$4481,C3312)</f>
        <v>1</v>
      </c>
    </row>
    <row r="3313">
      <c r="A3313" s="32" t="str">
        <f>Demand!A3311</f>
        <v>S007</v>
      </c>
      <c r="B3313" s="35">
        <f>Demand!B3311</f>
        <v>46276.0</v>
      </c>
      <c r="C3313" s="33">
        <f>Demand!C3311</f>
        <v>21</v>
      </c>
      <c r="D3313" s="33">
        <f>Demand!E3311</f>
        <v>60</v>
      </c>
      <c r="E3313" s="33">
        <f>IF(Demand!F3311,1,0)</f>
        <v>1</v>
      </c>
      <c r="F3313" s="33">
        <f>COUNTIFS(c_store,A3313,c_date,B3313,c_hour,C3313)</f>
        <v>2</v>
      </c>
      <c r="G3313" s="33">
        <f>IF(F3313&gt;0,1,0)</f>
        <v>1</v>
      </c>
      <c r="H3313" s="33">
        <f>COUNTIFS(Demand!$A$2:$A$4481,A3313,Demand!$B$2:$B$4481,B3313,Demand!$C$2:$C$4481,C3313)</f>
        <v>1</v>
      </c>
    </row>
    <row r="3314">
      <c r="A3314" s="32" t="str">
        <f>Demand!A3312</f>
        <v>S007</v>
      </c>
      <c r="B3314" s="35">
        <f>Demand!B3312</f>
        <v>46276.0</v>
      </c>
      <c r="C3314" s="33">
        <f>Demand!C3312</f>
        <v>22</v>
      </c>
      <c r="D3314" s="33">
        <f>Demand!E3312</f>
        <v>38</v>
      </c>
      <c r="E3314" s="33">
        <f>IF(Demand!F3312,1,0)</f>
        <v>0</v>
      </c>
      <c r="F3314" s="33">
        <f>COUNTIFS(c_store,A3314,c_date,B3314,c_hour,C3314)</f>
        <v>0</v>
      </c>
      <c r="G3314" s="33">
        <f>IF(F3314&gt;0,1,0)</f>
        <v>0</v>
      </c>
      <c r="H3314" s="33">
        <f>COUNTIFS(Demand!$A$2:$A$4481,A3314,Demand!$B$2:$B$4481,B3314,Demand!$C$2:$C$4481,C3314)</f>
        <v>1</v>
      </c>
    </row>
    <row r="3315">
      <c r="A3315" s="32" t="str">
        <f>Demand!A3313</f>
        <v>S007</v>
      </c>
      <c r="B3315" s="35">
        <f>Demand!B3313</f>
        <v>46276.0</v>
      </c>
      <c r="C3315" s="33">
        <f>Demand!C3313</f>
        <v>23</v>
      </c>
      <c r="D3315" s="33">
        <f>Demand!E3313</f>
        <v>35</v>
      </c>
      <c r="E3315" s="33">
        <f>IF(Demand!F3313,1,0)</f>
        <v>0</v>
      </c>
      <c r="F3315" s="33">
        <f>COUNTIFS(c_store,A3315,c_date,B3315,c_hour,C3315)</f>
        <v>0</v>
      </c>
      <c r="G3315" s="33">
        <f>IF(F3315&gt;0,1,0)</f>
        <v>0</v>
      </c>
      <c r="H3315" s="33">
        <f>COUNTIFS(Demand!$A$2:$A$4481,A3315,Demand!$B$2:$B$4481,B3315,Demand!$C$2:$C$4481,C3315)</f>
        <v>1</v>
      </c>
    </row>
    <row r="3316">
      <c r="A3316" s="32" t="str">
        <f>Demand!A3314</f>
        <v>S008</v>
      </c>
      <c r="B3316" s="35">
        <f>Demand!B3314</f>
        <v>46276.0</v>
      </c>
      <c r="C3316" s="33">
        <f>Demand!C3314</f>
        <v>8</v>
      </c>
      <c r="D3316" s="33">
        <f>Demand!E3314</f>
        <v>17</v>
      </c>
      <c r="E3316" s="33">
        <f>IF(Demand!F3314,1,0)</f>
        <v>0</v>
      </c>
      <c r="F3316" s="33">
        <f>COUNTIFS(c_store,A3316,c_date,B3316,c_hour,C3316)</f>
        <v>1</v>
      </c>
      <c r="G3316" s="33">
        <f>IF(F3316&gt;0,1,0)</f>
        <v>1</v>
      </c>
      <c r="H3316" s="33">
        <f>COUNTIFS(Demand!$A$2:$A$4481,A3316,Demand!$B$2:$B$4481,B3316,Demand!$C$2:$C$4481,C3316)</f>
        <v>1</v>
      </c>
    </row>
    <row r="3317">
      <c r="A3317" s="32" t="str">
        <f>Demand!A3315</f>
        <v>S008</v>
      </c>
      <c r="B3317" s="35">
        <f>Demand!B3315</f>
        <v>46276.0</v>
      </c>
      <c r="C3317" s="33">
        <f>Demand!C3315</f>
        <v>9</v>
      </c>
      <c r="D3317" s="33">
        <f>Demand!E3315</f>
        <v>16</v>
      </c>
      <c r="E3317" s="33">
        <f>IF(Demand!F3315,1,0)</f>
        <v>0</v>
      </c>
      <c r="F3317" s="33">
        <f>COUNTIFS(c_store,A3317,c_date,B3317,c_hour,C3317)</f>
        <v>0</v>
      </c>
      <c r="G3317" s="33">
        <f>IF(F3317&gt;0,1,0)</f>
        <v>0</v>
      </c>
      <c r="H3317" s="33">
        <f>COUNTIFS(Demand!$A$2:$A$4481,A3317,Demand!$B$2:$B$4481,B3317,Demand!$C$2:$C$4481,C3317)</f>
        <v>1</v>
      </c>
    </row>
    <row r="3318">
      <c r="A3318" s="32" t="str">
        <f>Demand!A3316</f>
        <v>S008</v>
      </c>
      <c r="B3318" s="35">
        <f>Demand!B3316</f>
        <v>46276.0</v>
      </c>
      <c r="C3318" s="33">
        <f>Demand!C3316</f>
        <v>10</v>
      </c>
      <c r="D3318" s="33">
        <f>Demand!E3316</f>
        <v>20</v>
      </c>
      <c r="E3318" s="33">
        <f>IF(Demand!F3316,1,0)</f>
        <v>0</v>
      </c>
      <c r="F3318" s="33">
        <f>COUNTIFS(c_store,A3318,c_date,B3318,c_hour,C3318)</f>
        <v>0</v>
      </c>
      <c r="G3318" s="33">
        <f>IF(F3318&gt;0,1,0)</f>
        <v>0</v>
      </c>
      <c r="H3318" s="33">
        <f>COUNTIFS(Demand!$A$2:$A$4481,A3318,Demand!$B$2:$B$4481,B3318,Demand!$C$2:$C$4481,C3318)</f>
        <v>1</v>
      </c>
    </row>
    <row r="3319">
      <c r="A3319" s="32" t="str">
        <f>Demand!A3317</f>
        <v>S008</v>
      </c>
      <c r="B3319" s="35">
        <f>Demand!B3317</f>
        <v>46276.0</v>
      </c>
      <c r="C3319" s="33">
        <f>Demand!C3317</f>
        <v>11</v>
      </c>
      <c r="D3319" s="33">
        <f>Demand!E3317</f>
        <v>23</v>
      </c>
      <c r="E3319" s="33">
        <f>IF(Demand!F3317,1,0)</f>
        <v>0</v>
      </c>
      <c r="F3319" s="33">
        <f>COUNTIFS(c_store,A3319,c_date,B3319,c_hour,C3319)</f>
        <v>1</v>
      </c>
      <c r="G3319" s="33">
        <f>IF(F3319&gt;0,1,0)</f>
        <v>1</v>
      </c>
      <c r="H3319" s="33">
        <f>COUNTIFS(Demand!$A$2:$A$4481,A3319,Demand!$B$2:$B$4481,B3319,Demand!$C$2:$C$4481,C3319)</f>
        <v>1</v>
      </c>
    </row>
    <row r="3320">
      <c r="A3320" s="32" t="str">
        <f>Demand!A3318</f>
        <v>S008</v>
      </c>
      <c r="B3320" s="35">
        <f>Demand!B3318</f>
        <v>46276.0</v>
      </c>
      <c r="C3320" s="33">
        <f>Demand!C3318</f>
        <v>12</v>
      </c>
      <c r="D3320" s="33">
        <f>Demand!E3318</f>
        <v>29</v>
      </c>
      <c r="E3320" s="33">
        <f>IF(Demand!F3318,1,0)</f>
        <v>0</v>
      </c>
      <c r="F3320" s="33">
        <f>COUNTIFS(c_store,A3320,c_date,B3320,c_hour,C3320)</f>
        <v>0</v>
      </c>
      <c r="G3320" s="33">
        <f>IF(F3320&gt;0,1,0)</f>
        <v>0</v>
      </c>
      <c r="H3320" s="33">
        <f>COUNTIFS(Demand!$A$2:$A$4481,A3320,Demand!$B$2:$B$4481,B3320,Demand!$C$2:$C$4481,C3320)</f>
        <v>1</v>
      </c>
    </row>
    <row r="3321">
      <c r="A3321" s="32" t="str">
        <f>Demand!A3319</f>
        <v>S008</v>
      </c>
      <c r="B3321" s="35">
        <f>Demand!B3319</f>
        <v>46276.0</v>
      </c>
      <c r="C3321" s="33">
        <f>Demand!C3319</f>
        <v>13</v>
      </c>
      <c r="D3321" s="33">
        <f>Demand!E3319</f>
        <v>21</v>
      </c>
      <c r="E3321" s="33">
        <f>IF(Demand!F3319,1,0)</f>
        <v>0</v>
      </c>
      <c r="F3321" s="33">
        <f>COUNTIFS(c_store,A3321,c_date,B3321,c_hour,C3321)</f>
        <v>0</v>
      </c>
      <c r="G3321" s="33">
        <f>IF(F3321&gt;0,1,0)</f>
        <v>0</v>
      </c>
      <c r="H3321" s="33">
        <f>COUNTIFS(Demand!$A$2:$A$4481,A3321,Demand!$B$2:$B$4481,B3321,Demand!$C$2:$C$4481,C3321)</f>
        <v>1</v>
      </c>
    </row>
    <row r="3322">
      <c r="A3322" s="32" t="str">
        <f>Demand!A3320</f>
        <v>S008</v>
      </c>
      <c r="B3322" s="35">
        <f>Demand!B3320</f>
        <v>46276.0</v>
      </c>
      <c r="C3322" s="33">
        <f>Demand!C3320</f>
        <v>14</v>
      </c>
      <c r="D3322" s="33">
        <f>Demand!E3320</f>
        <v>21</v>
      </c>
      <c r="E3322" s="33">
        <f>IF(Demand!F3320,1,0)</f>
        <v>0</v>
      </c>
      <c r="F3322" s="33">
        <f>COUNTIFS(c_store,A3322,c_date,B3322,c_hour,C3322)</f>
        <v>1</v>
      </c>
      <c r="G3322" s="33">
        <f>IF(F3322&gt;0,1,0)</f>
        <v>1</v>
      </c>
      <c r="H3322" s="33">
        <f>COUNTIFS(Demand!$A$2:$A$4481,A3322,Demand!$B$2:$B$4481,B3322,Demand!$C$2:$C$4481,C3322)</f>
        <v>1</v>
      </c>
    </row>
    <row r="3323">
      <c r="A3323" s="32" t="str">
        <f>Demand!A3321</f>
        <v>S008</v>
      </c>
      <c r="B3323" s="35">
        <f>Demand!B3321</f>
        <v>46276.0</v>
      </c>
      <c r="C3323" s="33">
        <f>Demand!C3321</f>
        <v>15</v>
      </c>
      <c r="D3323" s="33">
        <f>Demand!E3321</f>
        <v>20</v>
      </c>
      <c r="E3323" s="33">
        <f>IF(Demand!F3321,1,0)</f>
        <v>0</v>
      </c>
      <c r="F3323" s="33">
        <f>COUNTIFS(c_store,A3323,c_date,B3323,c_hour,C3323)</f>
        <v>0</v>
      </c>
      <c r="G3323" s="33">
        <f>IF(F3323&gt;0,1,0)</f>
        <v>0</v>
      </c>
      <c r="H3323" s="33">
        <f>COUNTIFS(Demand!$A$2:$A$4481,A3323,Demand!$B$2:$B$4481,B3323,Demand!$C$2:$C$4481,C3323)</f>
        <v>1</v>
      </c>
    </row>
    <row r="3324">
      <c r="A3324" s="32" t="str">
        <f>Demand!A3322</f>
        <v>S008</v>
      </c>
      <c r="B3324" s="35">
        <f>Demand!B3322</f>
        <v>46276.0</v>
      </c>
      <c r="C3324" s="33">
        <f>Demand!C3322</f>
        <v>16</v>
      </c>
      <c r="D3324" s="33">
        <f>Demand!E3322</f>
        <v>25</v>
      </c>
      <c r="E3324" s="33">
        <f>IF(Demand!F3322,1,0)</f>
        <v>0</v>
      </c>
      <c r="F3324" s="33">
        <f>COUNTIFS(c_store,A3324,c_date,B3324,c_hour,C3324)</f>
        <v>0</v>
      </c>
      <c r="G3324" s="33">
        <f>IF(F3324&gt;0,1,0)</f>
        <v>0</v>
      </c>
      <c r="H3324" s="33">
        <f>COUNTIFS(Demand!$A$2:$A$4481,A3324,Demand!$B$2:$B$4481,B3324,Demand!$C$2:$C$4481,C3324)</f>
        <v>1</v>
      </c>
    </row>
    <row r="3325">
      <c r="A3325" s="32" t="str">
        <f>Demand!A3323</f>
        <v>S008</v>
      </c>
      <c r="B3325" s="35">
        <f>Demand!B3323</f>
        <v>46276.0</v>
      </c>
      <c r="C3325" s="33">
        <f>Demand!C3323</f>
        <v>17</v>
      </c>
      <c r="D3325" s="33">
        <f>Demand!E3323</f>
        <v>28</v>
      </c>
      <c r="E3325" s="33">
        <f>IF(Demand!F3323,1,0)</f>
        <v>0</v>
      </c>
      <c r="F3325" s="33">
        <f>COUNTIFS(c_store,A3325,c_date,B3325,c_hour,C3325)</f>
        <v>0</v>
      </c>
      <c r="G3325" s="33">
        <f>IF(F3325&gt;0,1,0)</f>
        <v>0</v>
      </c>
      <c r="H3325" s="33">
        <f>COUNTIFS(Demand!$A$2:$A$4481,A3325,Demand!$B$2:$B$4481,B3325,Demand!$C$2:$C$4481,C3325)</f>
        <v>1</v>
      </c>
    </row>
    <row r="3326">
      <c r="A3326" s="32" t="str">
        <f>Demand!A3324</f>
        <v>S008</v>
      </c>
      <c r="B3326" s="35">
        <f>Demand!B3324</f>
        <v>46276.0</v>
      </c>
      <c r="C3326" s="33">
        <f>Demand!C3324</f>
        <v>18</v>
      </c>
      <c r="D3326" s="33">
        <f>Demand!E3324</f>
        <v>32</v>
      </c>
      <c r="E3326" s="33">
        <f>IF(Demand!F3324,1,0)</f>
        <v>0</v>
      </c>
      <c r="F3326" s="33">
        <f>COUNTIFS(c_store,A3326,c_date,B3326,c_hour,C3326)</f>
        <v>1</v>
      </c>
      <c r="G3326" s="33">
        <f>IF(F3326&gt;0,1,0)</f>
        <v>1</v>
      </c>
      <c r="H3326" s="33">
        <f>COUNTIFS(Demand!$A$2:$A$4481,A3326,Demand!$B$2:$B$4481,B3326,Demand!$C$2:$C$4481,C3326)</f>
        <v>1</v>
      </c>
    </row>
    <row r="3327">
      <c r="A3327" s="32" t="str">
        <f>Demand!A3325</f>
        <v>S008</v>
      </c>
      <c r="B3327" s="35">
        <f>Demand!B3325</f>
        <v>46276.0</v>
      </c>
      <c r="C3327" s="33">
        <f>Demand!C3325</f>
        <v>19</v>
      </c>
      <c r="D3327" s="33">
        <f>Demand!E3325</f>
        <v>38</v>
      </c>
      <c r="E3327" s="33">
        <f>IF(Demand!F3325,1,0)</f>
        <v>1</v>
      </c>
      <c r="F3327" s="33">
        <f>COUNTIFS(c_store,A3327,c_date,B3327,c_hour,C3327)</f>
        <v>2</v>
      </c>
      <c r="G3327" s="33">
        <f>IF(F3327&gt;0,1,0)</f>
        <v>1</v>
      </c>
      <c r="H3327" s="33">
        <f>COUNTIFS(Demand!$A$2:$A$4481,A3327,Demand!$B$2:$B$4481,B3327,Demand!$C$2:$C$4481,C3327)</f>
        <v>1</v>
      </c>
    </row>
    <row r="3328">
      <c r="A3328" s="32" t="str">
        <f>Demand!A3326</f>
        <v>S008</v>
      </c>
      <c r="B3328" s="35">
        <f>Demand!B3326</f>
        <v>46276.0</v>
      </c>
      <c r="C3328" s="33">
        <f>Demand!C3326</f>
        <v>20</v>
      </c>
      <c r="D3328" s="33">
        <f>Demand!E3326</f>
        <v>37</v>
      </c>
      <c r="E3328" s="33">
        <f>IF(Demand!F3326,1,0)</f>
        <v>1</v>
      </c>
      <c r="F3328" s="33">
        <f>COUNTIFS(c_store,A3328,c_date,B3328,c_hour,C3328)</f>
        <v>0</v>
      </c>
      <c r="G3328" s="33">
        <f>IF(F3328&gt;0,1,0)</f>
        <v>0</v>
      </c>
      <c r="H3328" s="33">
        <f>COUNTIFS(Demand!$A$2:$A$4481,A3328,Demand!$B$2:$B$4481,B3328,Demand!$C$2:$C$4481,C3328)</f>
        <v>1</v>
      </c>
    </row>
    <row r="3329">
      <c r="A3329" s="32" t="str">
        <f>Demand!A3327</f>
        <v>S008</v>
      </c>
      <c r="B3329" s="35">
        <f>Demand!B3327</f>
        <v>46276.0</v>
      </c>
      <c r="C3329" s="33">
        <f>Demand!C3327</f>
        <v>21</v>
      </c>
      <c r="D3329" s="33">
        <f>Demand!E3327</f>
        <v>29</v>
      </c>
      <c r="E3329" s="33">
        <f>IF(Demand!F3327,1,0)</f>
        <v>1</v>
      </c>
      <c r="F3329" s="33">
        <f>COUNTIFS(c_store,A3329,c_date,B3329,c_hour,C3329)</f>
        <v>0</v>
      </c>
      <c r="G3329" s="33">
        <f>IF(F3329&gt;0,1,0)</f>
        <v>0</v>
      </c>
      <c r="H3329" s="33">
        <f>COUNTIFS(Demand!$A$2:$A$4481,A3329,Demand!$B$2:$B$4481,B3329,Demand!$C$2:$C$4481,C3329)</f>
        <v>1</v>
      </c>
    </row>
    <row r="3330">
      <c r="A3330" s="32" t="str">
        <f>Demand!A3328</f>
        <v>S008</v>
      </c>
      <c r="B3330" s="35">
        <f>Demand!B3328</f>
        <v>46276.0</v>
      </c>
      <c r="C3330" s="33">
        <f>Demand!C3328</f>
        <v>22</v>
      </c>
      <c r="D3330" s="33">
        <f>Demand!E3328</f>
        <v>22</v>
      </c>
      <c r="E3330" s="33">
        <f>IF(Demand!F3328,1,0)</f>
        <v>0</v>
      </c>
      <c r="F3330" s="33">
        <f>COUNTIFS(c_store,A3330,c_date,B3330,c_hour,C3330)</f>
        <v>0</v>
      </c>
      <c r="G3330" s="33">
        <f>IF(F3330&gt;0,1,0)</f>
        <v>0</v>
      </c>
      <c r="H3330" s="33">
        <f>COUNTIFS(Demand!$A$2:$A$4481,A3330,Demand!$B$2:$B$4481,B3330,Demand!$C$2:$C$4481,C3330)</f>
        <v>1</v>
      </c>
    </row>
    <row r="3331">
      <c r="A3331" s="32" t="str">
        <f>Demand!A3329</f>
        <v>S008</v>
      </c>
      <c r="B3331" s="35">
        <f>Demand!B3329</f>
        <v>46276.0</v>
      </c>
      <c r="C3331" s="33">
        <f>Demand!C3329</f>
        <v>23</v>
      </c>
      <c r="D3331" s="33">
        <f>Demand!E3329</f>
        <v>19</v>
      </c>
      <c r="E3331" s="33">
        <f>IF(Demand!F3329,1,0)</f>
        <v>0</v>
      </c>
      <c r="F3331" s="33">
        <f>COUNTIFS(c_store,A3331,c_date,B3331,c_hour,C3331)</f>
        <v>0</v>
      </c>
      <c r="G3331" s="33">
        <f>IF(F3331&gt;0,1,0)</f>
        <v>0</v>
      </c>
      <c r="H3331" s="33">
        <f>COUNTIFS(Demand!$A$2:$A$4481,A3331,Demand!$B$2:$B$4481,B3331,Demand!$C$2:$C$4481,C3331)</f>
        <v>1</v>
      </c>
    </row>
    <row r="3332">
      <c r="A3332" s="32" t="str">
        <f>Demand!A3330</f>
        <v>S009</v>
      </c>
      <c r="B3332" s="35">
        <f>Demand!B3330</f>
        <v>46276.0</v>
      </c>
      <c r="C3332" s="33">
        <f>Demand!C3330</f>
        <v>8</v>
      </c>
      <c r="D3332" s="33">
        <f>Demand!E3330</f>
        <v>13</v>
      </c>
      <c r="E3332" s="33">
        <f>IF(Demand!F3330,1,0)</f>
        <v>0</v>
      </c>
      <c r="F3332" s="33">
        <f>COUNTIFS(c_store,A3332,c_date,B3332,c_hour,C3332)</f>
        <v>0</v>
      </c>
      <c r="G3332" s="33">
        <f>IF(F3332&gt;0,1,0)</f>
        <v>0</v>
      </c>
      <c r="H3332" s="33">
        <f>COUNTIFS(Demand!$A$2:$A$4481,A3332,Demand!$B$2:$B$4481,B3332,Demand!$C$2:$C$4481,C3332)</f>
        <v>1</v>
      </c>
    </row>
    <row r="3333">
      <c r="A3333" s="32" t="str">
        <f>Demand!A3331</f>
        <v>S009</v>
      </c>
      <c r="B3333" s="35">
        <f>Demand!B3331</f>
        <v>46276.0</v>
      </c>
      <c r="C3333" s="33">
        <f>Demand!C3331</f>
        <v>9</v>
      </c>
      <c r="D3333" s="33">
        <f>Demand!E3331</f>
        <v>19</v>
      </c>
      <c r="E3333" s="33">
        <f>IF(Demand!F3331,1,0)</f>
        <v>0</v>
      </c>
      <c r="F3333" s="33">
        <f>COUNTIFS(c_store,A3333,c_date,B3333,c_hour,C3333)</f>
        <v>0</v>
      </c>
      <c r="G3333" s="33">
        <f>IF(F3333&gt;0,1,0)</f>
        <v>0</v>
      </c>
      <c r="H3333" s="33">
        <f>COUNTIFS(Demand!$A$2:$A$4481,A3333,Demand!$B$2:$B$4481,B3333,Demand!$C$2:$C$4481,C3333)</f>
        <v>1</v>
      </c>
    </row>
    <row r="3334">
      <c r="A3334" s="32" t="str">
        <f>Demand!A3332</f>
        <v>S009</v>
      </c>
      <c r="B3334" s="35">
        <f>Demand!B3332</f>
        <v>46276.0</v>
      </c>
      <c r="C3334" s="33">
        <f>Demand!C3332</f>
        <v>10</v>
      </c>
      <c r="D3334" s="33">
        <f>Demand!E3332</f>
        <v>23</v>
      </c>
      <c r="E3334" s="33">
        <f>IF(Demand!F3332,1,0)</f>
        <v>0</v>
      </c>
      <c r="F3334" s="33">
        <f>COUNTIFS(c_store,A3334,c_date,B3334,c_hour,C3334)</f>
        <v>0</v>
      </c>
      <c r="G3334" s="33">
        <f>IF(F3334&gt;0,1,0)</f>
        <v>0</v>
      </c>
      <c r="H3334" s="33">
        <f>COUNTIFS(Demand!$A$2:$A$4481,A3334,Demand!$B$2:$B$4481,B3334,Demand!$C$2:$C$4481,C3334)</f>
        <v>1</v>
      </c>
    </row>
    <row r="3335">
      <c r="A3335" s="32" t="str">
        <f>Demand!A3333</f>
        <v>S009</v>
      </c>
      <c r="B3335" s="35">
        <f>Demand!B3333</f>
        <v>46276.0</v>
      </c>
      <c r="C3335" s="33">
        <f>Demand!C3333</f>
        <v>11</v>
      </c>
      <c r="D3335" s="33">
        <f>Demand!E3333</f>
        <v>33</v>
      </c>
      <c r="E3335" s="33">
        <f>IF(Demand!F3333,1,0)</f>
        <v>0</v>
      </c>
      <c r="F3335" s="33">
        <f>COUNTIFS(c_store,A3335,c_date,B3335,c_hour,C3335)</f>
        <v>1</v>
      </c>
      <c r="G3335" s="33">
        <f>IF(F3335&gt;0,1,0)</f>
        <v>1</v>
      </c>
      <c r="H3335" s="33">
        <f>COUNTIFS(Demand!$A$2:$A$4481,A3335,Demand!$B$2:$B$4481,B3335,Demand!$C$2:$C$4481,C3335)</f>
        <v>1</v>
      </c>
    </row>
    <row r="3336">
      <c r="A3336" s="32" t="str">
        <f>Demand!A3334</f>
        <v>S009</v>
      </c>
      <c r="B3336" s="35">
        <f>Demand!B3334</f>
        <v>46276.0</v>
      </c>
      <c r="C3336" s="33">
        <f>Demand!C3334</f>
        <v>12</v>
      </c>
      <c r="D3336" s="33">
        <f>Demand!E3334</f>
        <v>31</v>
      </c>
      <c r="E3336" s="33">
        <f>IF(Demand!F3334,1,0)</f>
        <v>0</v>
      </c>
      <c r="F3336" s="33">
        <f>COUNTIFS(c_store,A3336,c_date,B3336,c_hour,C3336)</f>
        <v>0</v>
      </c>
      <c r="G3336" s="33">
        <f>IF(F3336&gt;0,1,0)</f>
        <v>0</v>
      </c>
      <c r="H3336" s="33">
        <f>COUNTIFS(Demand!$A$2:$A$4481,A3336,Demand!$B$2:$B$4481,B3336,Demand!$C$2:$C$4481,C3336)</f>
        <v>1</v>
      </c>
    </row>
    <row r="3337">
      <c r="A3337" s="32" t="str">
        <f>Demand!A3335</f>
        <v>S009</v>
      </c>
      <c r="B3337" s="35">
        <f>Demand!B3335</f>
        <v>46276.0</v>
      </c>
      <c r="C3337" s="33">
        <f>Demand!C3335</f>
        <v>13</v>
      </c>
      <c r="D3337" s="33">
        <f>Demand!E3335</f>
        <v>34</v>
      </c>
      <c r="E3337" s="33">
        <f>IF(Demand!F3335,1,0)</f>
        <v>0</v>
      </c>
      <c r="F3337" s="33">
        <f>COUNTIFS(c_store,A3337,c_date,B3337,c_hour,C3337)</f>
        <v>0</v>
      </c>
      <c r="G3337" s="33">
        <f>IF(F3337&gt;0,1,0)</f>
        <v>0</v>
      </c>
      <c r="H3337" s="33">
        <f>COUNTIFS(Demand!$A$2:$A$4481,A3337,Demand!$B$2:$B$4481,B3337,Demand!$C$2:$C$4481,C3337)</f>
        <v>1</v>
      </c>
    </row>
    <row r="3338">
      <c r="A3338" s="32" t="str">
        <f>Demand!A3336</f>
        <v>S009</v>
      </c>
      <c r="B3338" s="35">
        <f>Demand!B3336</f>
        <v>46276.0</v>
      </c>
      <c r="C3338" s="33">
        <f>Demand!C3336</f>
        <v>14</v>
      </c>
      <c r="D3338" s="33">
        <f>Demand!E3336</f>
        <v>20</v>
      </c>
      <c r="E3338" s="33">
        <f>IF(Demand!F3336,1,0)</f>
        <v>0</v>
      </c>
      <c r="F3338" s="33">
        <f>COUNTIFS(c_store,A3338,c_date,B3338,c_hour,C3338)</f>
        <v>0</v>
      </c>
      <c r="G3338" s="33">
        <f>IF(F3338&gt;0,1,0)</f>
        <v>0</v>
      </c>
      <c r="H3338" s="33">
        <f>COUNTIFS(Demand!$A$2:$A$4481,A3338,Demand!$B$2:$B$4481,B3338,Demand!$C$2:$C$4481,C3338)</f>
        <v>1</v>
      </c>
    </row>
    <row r="3339">
      <c r="A3339" s="32" t="str">
        <f>Demand!A3337</f>
        <v>S009</v>
      </c>
      <c r="B3339" s="35">
        <f>Demand!B3337</f>
        <v>46276.0</v>
      </c>
      <c r="C3339" s="33">
        <f>Demand!C3337</f>
        <v>15</v>
      </c>
      <c r="D3339" s="33">
        <f>Demand!E3337</f>
        <v>19</v>
      </c>
      <c r="E3339" s="33">
        <f>IF(Demand!F3337,1,0)</f>
        <v>0</v>
      </c>
      <c r="F3339" s="33">
        <f>COUNTIFS(c_store,A3339,c_date,B3339,c_hour,C3339)</f>
        <v>0</v>
      </c>
      <c r="G3339" s="33">
        <f>IF(F3339&gt;0,1,0)</f>
        <v>0</v>
      </c>
      <c r="H3339" s="33">
        <f>COUNTIFS(Demand!$A$2:$A$4481,A3339,Demand!$B$2:$B$4481,B3339,Demand!$C$2:$C$4481,C3339)</f>
        <v>1</v>
      </c>
    </row>
    <row r="3340">
      <c r="A3340" s="32" t="str">
        <f>Demand!A3338</f>
        <v>S009</v>
      </c>
      <c r="B3340" s="35">
        <f>Demand!B3338</f>
        <v>46276.0</v>
      </c>
      <c r="C3340" s="33">
        <f>Demand!C3338</f>
        <v>16</v>
      </c>
      <c r="D3340" s="33">
        <f>Demand!E3338</f>
        <v>34</v>
      </c>
      <c r="E3340" s="33">
        <f>IF(Demand!F3338,1,0)</f>
        <v>0</v>
      </c>
      <c r="F3340" s="33">
        <f>COUNTIFS(c_store,A3340,c_date,B3340,c_hour,C3340)</f>
        <v>1</v>
      </c>
      <c r="G3340" s="33">
        <f>IF(F3340&gt;0,1,0)</f>
        <v>1</v>
      </c>
      <c r="H3340" s="33">
        <f>COUNTIFS(Demand!$A$2:$A$4481,A3340,Demand!$B$2:$B$4481,B3340,Demand!$C$2:$C$4481,C3340)</f>
        <v>1</v>
      </c>
    </row>
    <row r="3341">
      <c r="A3341" s="32" t="str">
        <f>Demand!A3339</f>
        <v>S009</v>
      </c>
      <c r="B3341" s="35">
        <f>Demand!B3339</f>
        <v>46276.0</v>
      </c>
      <c r="C3341" s="33">
        <f>Demand!C3339</f>
        <v>17</v>
      </c>
      <c r="D3341" s="33">
        <f>Demand!E3339</f>
        <v>37</v>
      </c>
      <c r="E3341" s="33">
        <f>IF(Demand!F3339,1,0)</f>
        <v>0</v>
      </c>
      <c r="F3341" s="33">
        <f>COUNTIFS(c_store,A3341,c_date,B3341,c_hour,C3341)</f>
        <v>2</v>
      </c>
      <c r="G3341" s="33">
        <f>IF(F3341&gt;0,1,0)</f>
        <v>1</v>
      </c>
      <c r="H3341" s="33">
        <f>COUNTIFS(Demand!$A$2:$A$4481,A3341,Demand!$B$2:$B$4481,B3341,Demand!$C$2:$C$4481,C3341)</f>
        <v>1</v>
      </c>
    </row>
    <row r="3342">
      <c r="A3342" s="32" t="str">
        <f>Demand!A3340</f>
        <v>S009</v>
      </c>
      <c r="B3342" s="35">
        <f>Demand!B3340</f>
        <v>46276.0</v>
      </c>
      <c r="C3342" s="33">
        <f>Demand!C3340</f>
        <v>18</v>
      </c>
      <c r="D3342" s="33">
        <f>Demand!E3340</f>
        <v>24</v>
      </c>
      <c r="E3342" s="33">
        <f>IF(Demand!F3340,1,0)</f>
        <v>0</v>
      </c>
      <c r="F3342" s="33">
        <f>COUNTIFS(c_store,A3342,c_date,B3342,c_hour,C3342)</f>
        <v>0</v>
      </c>
      <c r="G3342" s="33">
        <f>IF(F3342&gt;0,1,0)</f>
        <v>0</v>
      </c>
      <c r="H3342" s="33">
        <f>COUNTIFS(Demand!$A$2:$A$4481,A3342,Demand!$B$2:$B$4481,B3342,Demand!$C$2:$C$4481,C3342)</f>
        <v>1</v>
      </c>
    </row>
    <row r="3343">
      <c r="A3343" s="32" t="str">
        <f>Demand!A3341</f>
        <v>S009</v>
      </c>
      <c r="B3343" s="35">
        <f>Demand!B3341</f>
        <v>46276.0</v>
      </c>
      <c r="C3343" s="33">
        <f>Demand!C3341</f>
        <v>19</v>
      </c>
      <c r="D3343" s="33">
        <f>Demand!E3341</f>
        <v>35</v>
      </c>
      <c r="E3343" s="33">
        <f>IF(Demand!F3341,1,0)</f>
        <v>1</v>
      </c>
      <c r="F3343" s="33">
        <f>COUNTIFS(c_store,A3343,c_date,B3343,c_hour,C3343)</f>
        <v>0</v>
      </c>
      <c r="G3343" s="33">
        <f>IF(F3343&gt;0,1,0)</f>
        <v>0</v>
      </c>
      <c r="H3343" s="33">
        <f>COUNTIFS(Demand!$A$2:$A$4481,A3343,Demand!$B$2:$B$4481,B3343,Demand!$C$2:$C$4481,C3343)</f>
        <v>1</v>
      </c>
    </row>
    <row r="3344">
      <c r="A3344" s="32" t="str">
        <f>Demand!A3342</f>
        <v>S009</v>
      </c>
      <c r="B3344" s="35">
        <f>Demand!B3342</f>
        <v>46276.0</v>
      </c>
      <c r="C3344" s="33">
        <f>Demand!C3342</f>
        <v>20</v>
      </c>
      <c r="D3344" s="33">
        <f>Demand!E3342</f>
        <v>44</v>
      </c>
      <c r="E3344" s="33">
        <f>IF(Demand!F3342,1,0)</f>
        <v>1</v>
      </c>
      <c r="F3344" s="33">
        <f>COUNTIFS(c_store,A3344,c_date,B3344,c_hour,C3344)</f>
        <v>0</v>
      </c>
      <c r="G3344" s="33">
        <f>IF(F3344&gt;0,1,0)</f>
        <v>0</v>
      </c>
      <c r="H3344" s="33">
        <f>COUNTIFS(Demand!$A$2:$A$4481,A3344,Demand!$B$2:$B$4481,B3344,Demand!$C$2:$C$4481,C3344)</f>
        <v>1</v>
      </c>
    </row>
    <row r="3345">
      <c r="A3345" s="32" t="str">
        <f>Demand!A3343</f>
        <v>S009</v>
      </c>
      <c r="B3345" s="35">
        <f>Demand!B3343</f>
        <v>46276.0</v>
      </c>
      <c r="C3345" s="33">
        <f>Demand!C3343</f>
        <v>21</v>
      </c>
      <c r="D3345" s="33">
        <f>Demand!E3343</f>
        <v>38</v>
      </c>
      <c r="E3345" s="33">
        <f>IF(Demand!F3343,1,0)</f>
        <v>1</v>
      </c>
      <c r="F3345" s="33">
        <f>COUNTIFS(c_store,A3345,c_date,B3345,c_hour,C3345)</f>
        <v>0</v>
      </c>
      <c r="G3345" s="33">
        <f>IF(F3345&gt;0,1,0)</f>
        <v>0</v>
      </c>
      <c r="H3345" s="33">
        <f>COUNTIFS(Demand!$A$2:$A$4481,A3345,Demand!$B$2:$B$4481,B3345,Demand!$C$2:$C$4481,C3345)</f>
        <v>1</v>
      </c>
    </row>
    <row r="3346">
      <c r="A3346" s="32" t="str">
        <f>Demand!A3344</f>
        <v>S009</v>
      </c>
      <c r="B3346" s="35">
        <f>Demand!B3344</f>
        <v>46276.0</v>
      </c>
      <c r="C3346" s="33">
        <f>Demand!C3344</f>
        <v>22</v>
      </c>
      <c r="D3346" s="33">
        <f>Demand!E3344</f>
        <v>30</v>
      </c>
      <c r="E3346" s="33">
        <f>IF(Demand!F3344,1,0)</f>
        <v>0</v>
      </c>
      <c r="F3346" s="33">
        <f>COUNTIFS(c_store,A3346,c_date,B3346,c_hour,C3346)</f>
        <v>0</v>
      </c>
      <c r="G3346" s="33">
        <f>IF(F3346&gt;0,1,0)</f>
        <v>0</v>
      </c>
      <c r="H3346" s="33">
        <f>COUNTIFS(Demand!$A$2:$A$4481,A3346,Demand!$B$2:$B$4481,B3346,Demand!$C$2:$C$4481,C3346)</f>
        <v>1</v>
      </c>
    </row>
    <row r="3347">
      <c r="A3347" s="32" t="str">
        <f>Demand!A3345</f>
        <v>S009</v>
      </c>
      <c r="B3347" s="35">
        <f>Demand!B3345</f>
        <v>46276.0</v>
      </c>
      <c r="C3347" s="33">
        <f>Demand!C3345</f>
        <v>23</v>
      </c>
      <c r="D3347" s="33">
        <f>Demand!E3345</f>
        <v>30</v>
      </c>
      <c r="E3347" s="33">
        <f>IF(Demand!F3345,1,0)</f>
        <v>0</v>
      </c>
      <c r="F3347" s="33">
        <f>COUNTIFS(c_store,A3347,c_date,B3347,c_hour,C3347)</f>
        <v>0</v>
      </c>
      <c r="G3347" s="33">
        <f>IF(F3347&gt;0,1,0)</f>
        <v>0</v>
      </c>
      <c r="H3347" s="33">
        <f>COUNTIFS(Demand!$A$2:$A$4481,A3347,Demand!$B$2:$B$4481,B3347,Demand!$C$2:$C$4481,C3347)</f>
        <v>1</v>
      </c>
    </row>
    <row r="3348">
      <c r="A3348" s="32" t="str">
        <f>Demand!A3346</f>
        <v>S010</v>
      </c>
      <c r="B3348" s="35">
        <f>Demand!B3346</f>
        <v>46276.0</v>
      </c>
      <c r="C3348" s="33">
        <f>Demand!C3346</f>
        <v>8</v>
      </c>
      <c r="D3348" s="33">
        <f>Demand!E3346</f>
        <v>16</v>
      </c>
      <c r="E3348" s="33">
        <f>IF(Demand!F3346,1,0)</f>
        <v>0</v>
      </c>
      <c r="F3348" s="33">
        <f>COUNTIFS(c_store,A3348,c_date,B3348,c_hour,C3348)</f>
        <v>0</v>
      </c>
      <c r="G3348" s="33">
        <f>IF(F3348&gt;0,1,0)</f>
        <v>0</v>
      </c>
      <c r="H3348" s="33">
        <f>COUNTIFS(Demand!$A$2:$A$4481,A3348,Demand!$B$2:$B$4481,B3348,Demand!$C$2:$C$4481,C3348)</f>
        <v>1</v>
      </c>
    </row>
    <row r="3349">
      <c r="A3349" s="32" t="str">
        <f>Demand!A3347</f>
        <v>S010</v>
      </c>
      <c r="B3349" s="35">
        <f>Demand!B3347</f>
        <v>46276.0</v>
      </c>
      <c r="C3349" s="33">
        <f>Demand!C3347</f>
        <v>9</v>
      </c>
      <c r="D3349" s="33">
        <f>Demand!E3347</f>
        <v>18</v>
      </c>
      <c r="E3349" s="33">
        <f>IF(Demand!F3347,1,0)</f>
        <v>0</v>
      </c>
      <c r="F3349" s="33">
        <f>COUNTIFS(c_store,A3349,c_date,B3349,c_hour,C3349)</f>
        <v>1</v>
      </c>
      <c r="G3349" s="33">
        <f>IF(F3349&gt;0,1,0)</f>
        <v>1</v>
      </c>
      <c r="H3349" s="33">
        <f>COUNTIFS(Demand!$A$2:$A$4481,A3349,Demand!$B$2:$B$4481,B3349,Demand!$C$2:$C$4481,C3349)</f>
        <v>1</v>
      </c>
    </row>
    <row r="3350">
      <c r="A3350" s="32" t="str">
        <f>Demand!A3348</f>
        <v>S010</v>
      </c>
      <c r="B3350" s="35">
        <f>Demand!B3348</f>
        <v>46276.0</v>
      </c>
      <c r="C3350" s="33">
        <f>Demand!C3348</f>
        <v>10</v>
      </c>
      <c r="D3350" s="33">
        <f>Demand!E3348</f>
        <v>9</v>
      </c>
      <c r="E3350" s="33">
        <f>IF(Demand!F3348,1,0)</f>
        <v>0</v>
      </c>
      <c r="F3350" s="33">
        <f>COUNTIFS(c_store,A3350,c_date,B3350,c_hour,C3350)</f>
        <v>0</v>
      </c>
      <c r="G3350" s="33">
        <f>IF(F3350&gt;0,1,0)</f>
        <v>0</v>
      </c>
      <c r="H3350" s="33">
        <f>COUNTIFS(Demand!$A$2:$A$4481,A3350,Demand!$B$2:$B$4481,B3350,Demand!$C$2:$C$4481,C3350)</f>
        <v>1</v>
      </c>
    </row>
    <row r="3351">
      <c r="A3351" s="32" t="str">
        <f>Demand!A3349</f>
        <v>S010</v>
      </c>
      <c r="B3351" s="35">
        <f>Demand!B3349</f>
        <v>46276.0</v>
      </c>
      <c r="C3351" s="33">
        <f>Demand!C3349</f>
        <v>11</v>
      </c>
      <c r="D3351" s="33">
        <f>Demand!E3349</f>
        <v>19</v>
      </c>
      <c r="E3351" s="33">
        <f>IF(Demand!F3349,1,0)</f>
        <v>0</v>
      </c>
      <c r="F3351" s="33">
        <f>COUNTIFS(c_store,A3351,c_date,B3351,c_hour,C3351)</f>
        <v>0</v>
      </c>
      <c r="G3351" s="33">
        <f>IF(F3351&gt;0,1,0)</f>
        <v>0</v>
      </c>
      <c r="H3351" s="33">
        <f>COUNTIFS(Demand!$A$2:$A$4481,A3351,Demand!$B$2:$B$4481,B3351,Demand!$C$2:$C$4481,C3351)</f>
        <v>1</v>
      </c>
    </row>
    <row r="3352">
      <c r="A3352" s="32" t="str">
        <f>Demand!A3350</f>
        <v>S010</v>
      </c>
      <c r="B3352" s="35">
        <f>Demand!B3350</f>
        <v>46276.0</v>
      </c>
      <c r="C3352" s="33">
        <f>Demand!C3350</f>
        <v>12</v>
      </c>
      <c r="D3352" s="33">
        <f>Demand!E3350</f>
        <v>32</v>
      </c>
      <c r="E3352" s="33">
        <f>IF(Demand!F3350,1,0)</f>
        <v>0</v>
      </c>
      <c r="F3352" s="33">
        <f>COUNTIFS(c_store,A3352,c_date,B3352,c_hour,C3352)</f>
        <v>0</v>
      </c>
      <c r="G3352" s="33">
        <f>IF(F3352&gt;0,1,0)</f>
        <v>0</v>
      </c>
      <c r="H3352" s="33">
        <f>COUNTIFS(Demand!$A$2:$A$4481,A3352,Demand!$B$2:$B$4481,B3352,Demand!$C$2:$C$4481,C3352)</f>
        <v>1</v>
      </c>
    </row>
    <row r="3353">
      <c r="A3353" s="32" t="str">
        <f>Demand!A3351</f>
        <v>S010</v>
      </c>
      <c r="B3353" s="35">
        <f>Demand!B3351</f>
        <v>46276.0</v>
      </c>
      <c r="C3353" s="33">
        <f>Demand!C3351</f>
        <v>13</v>
      </c>
      <c r="D3353" s="33">
        <f>Demand!E3351</f>
        <v>23</v>
      </c>
      <c r="E3353" s="33">
        <f>IF(Demand!F3351,1,0)</f>
        <v>0</v>
      </c>
      <c r="F3353" s="33">
        <f>COUNTIFS(c_store,A3353,c_date,B3353,c_hour,C3353)</f>
        <v>0</v>
      </c>
      <c r="G3353" s="33">
        <f>IF(F3353&gt;0,1,0)</f>
        <v>0</v>
      </c>
      <c r="H3353" s="33">
        <f>COUNTIFS(Demand!$A$2:$A$4481,A3353,Demand!$B$2:$B$4481,B3353,Demand!$C$2:$C$4481,C3353)</f>
        <v>1</v>
      </c>
    </row>
    <row r="3354">
      <c r="A3354" s="32" t="str">
        <f>Demand!A3352</f>
        <v>S010</v>
      </c>
      <c r="B3354" s="35">
        <f>Demand!B3352</f>
        <v>46276.0</v>
      </c>
      <c r="C3354" s="33">
        <f>Demand!C3352</f>
        <v>14</v>
      </c>
      <c r="D3354" s="33">
        <f>Demand!E3352</f>
        <v>14</v>
      </c>
      <c r="E3354" s="33">
        <f>IF(Demand!F3352,1,0)</f>
        <v>0</v>
      </c>
      <c r="F3354" s="33">
        <f>COUNTIFS(c_store,A3354,c_date,B3354,c_hour,C3354)</f>
        <v>0</v>
      </c>
      <c r="G3354" s="33">
        <f>IF(F3354&gt;0,1,0)</f>
        <v>0</v>
      </c>
      <c r="H3354" s="33">
        <f>COUNTIFS(Demand!$A$2:$A$4481,A3354,Demand!$B$2:$B$4481,B3354,Demand!$C$2:$C$4481,C3354)</f>
        <v>1</v>
      </c>
    </row>
    <row r="3355">
      <c r="A3355" s="32" t="str">
        <f>Demand!A3353</f>
        <v>S010</v>
      </c>
      <c r="B3355" s="35">
        <f>Demand!B3353</f>
        <v>46276.0</v>
      </c>
      <c r="C3355" s="33">
        <f>Demand!C3353</f>
        <v>15</v>
      </c>
      <c r="D3355" s="33">
        <f>Demand!E3353</f>
        <v>18</v>
      </c>
      <c r="E3355" s="33">
        <f>IF(Demand!F3353,1,0)</f>
        <v>0</v>
      </c>
      <c r="F3355" s="33">
        <f>COUNTIFS(c_store,A3355,c_date,B3355,c_hour,C3355)</f>
        <v>0</v>
      </c>
      <c r="G3355" s="33">
        <f>IF(F3355&gt;0,1,0)</f>
        <v>0</v>
      </c>
      <c r="H3355" s="33">
        <f>COUNTIFS(Demand!$A$2:$A$4481,A3355,Demand!$B$2:$B$4481,B3355,Demand!$C$2:$C$4481,C3355)</f>
        <v>1</v>
      </c>
    </row>
    <row r="3356">
      <c r="A3356" s="32" t="str">
        <f>Demand!A3354</f>
        <v>S010</v>
      </c>
      <c r="B3356" s="35">
        <f>Demand!B3354</f>
        <v>46276.0</v>
      </c>
      <c r="C3356" s="33">
        <f>Demand!C3354</f>
        <v>16</v>
      </c>
      <c r="D3356" s="33">
        <f>Demand!E3354</f>
        <v>33</v>
      </c>
      <c r="E3356" s="33">
        <f>IF(Demand!F3354,1,0)</f>
        <v>0</v>
      </c>
      <c r="F3356" s="33">
        <f>COUNTIFS(c_store,A3356,c_date,B3356,c_hour,C3356)</f>
        <v>0</v>
      </c>
      <c r="G3356" s="33">
        <f>IF(F3356&gt;0,1,0)</f>
        <v>0</v>
      </c>
      <c r="H3356" s="33">
        <f>COUNTIFS(Demand!$A$2:$A$4481,A3356,Demand!$B$2:$B$4481,B3356,Demand!$C$2:$C$4481,C3356)</f>
        <v>1</v>
      </c>
    </row>
    <row r="3357">
      <c r="A3357" s="32" t="str">
        <f>Demand!A3355</f>
        <v>S010</v>
      </c>
      <c r="B3357" s="35">
        <f>Demand!B3355</f>
        <v>46276.0</v>
      </c>
      <c r="C3357" s="33">
        <f>Demand!C3355</f>
        <v>17</v>
      </c>
      <c r="D3357" s="33">
        <f>Demand!E3355</f>
        <v>16</v>
      </c>
      <c r="E3357" s="33">
        <f>IF(Demand!F3355,1,0)</f>
        <v>0</v>
      </c>
      <c r="F3357" s="33">
        <f>COUNTIFS(c_store,A3357,c_date,B3357,c_hour,C3357)</f>
        <v>0</v>
      </c>
      <c r="G3357" s="33">
        <f>IF(F3357&gt;0,1,0)</f>
        <v>0</v>
      </c>
      <c r="H3357" s="33">
        <f>COUNTIFS(Demand!$A$2:$A$4481,A3357,Demand!$B$2:$B$4481,B3357,Demand!$C$2:$C$4481,C3357)</f>
        <v>1</v>
      </c>
    </row>
    <row r="3358">
      <c r="A3358" s="32" t="str">
        <f>Demand!A3356</f>
        <v>S010</v>
      </c>
      <c r="B3358" s="35">
        <f>Demand!B3356</f>
        <v>46276.0</v>
      </c>
      <c r="C3358" s="33">
        <f>Demand!C3356</f>
        <v>18</v>
      </c>
      <c r="D3358" s="33">
        <f>Demand!E3356</f>
        <v>26</v>
      </c>
      <c r="E3358" s="33">
        <f>IF(Demand!F3356,1,0)</f>
        <v>0</v>
      </c>
      <c r="F3358" s="33">
        <f>COUNTIFS(c_store,A3358,c_date,B3358,c_hour,C3358)</f>
        <v>1</v>
      </c>
      <c r="G3358" s="33">
        <f>IF(F3358&gt;0,1,0)</f>
        <v>1</v>
      </c>
      <c r="H3358" s="33">
        <f>COUNTIFS(Demand!$A$2:$A$4481,A3358,Demand!$B$2:$B$4481,B3358,Demand!$C$2:$C$4481,C3358)</f>
        <v>1</v>
      </c>
    </row>
    <row r="3359">
      <c r="A3359" s="32" t="str">
        <f>Demand!A3357</f>
        <v>S010</v>
      </c>
      <c r="B3359" s="35">
        <f>Demand!B3357</f>
        <v>46276.0</v>
      </c>
      <c r="C3359" s="33">
        <f>Demand!C3357</f>
        <v>19</v>
      </c>
      <c r="D3359" s="33">
        <f>Demand!E3357</f>
        <v>38</v>
      </c>
      <c r="E3359" s="33">
        <f>IF(Demand!F3357,1,0)</f>
        <v>1</v>
      </c>
      <c r="F3359" s="33">
        <f>COUNTIFS(c_store,A3359,c_date,B3359,c_hour,C3359)</f>
        <v>0</v>
      </c>
      <c r="G3359" s="33">
        <f>IF(F3359&gt;0,1,0)</f>
        <v>0</v>
      </c>
      <c r="H3359" s="33">
        <f>COUNTIFS(Demand!$A$2:$A$4481,A3359,Demand!$B$2:$B$4481,B3359,Demand!$C$2:$C$4481,C3359)</f>
        <v>1</v>
      </c>
    </row>
    <row r="3360">
      <c r="A3360" s="32" t="str">
        <f>Demand!A3358</f>
        <v>S010</v>
      </c>
      <c r="B3360" s="35">
        <f>Demand!B3358</f>
        <v>46276.0</v>
      </c>
      <c r="C3360" s="33">
        <f>Demand!C3358</f>
        <v>20</v>
      </c>
      <c r="D3360" s="33">
        <f>Demand!E3358</f>
        <v>34</v>
      </c>
      <c r="E3360" s="33">
        <f>IF(Demand!F3358,1,0)</f>
        <v>1</v>
      </c>
      <c r="F3360" s="33">
        <f>COUNTIFS(c_store,A3360,c_date,B3360,c_hour,C3360)</f>
        <v>0</v>
      </c>
      <c r="G3360" s="33">
        <f>IF(F3360&gt;0,1,0)</f>
        <v>0</v>
      </c>
      <c r="H3360" s="33">
        <f>COUNTIFS(Demand!$A$2:$A$4481,A3360,Demand!$B$2:$B$4481,B3360,Demand!$C$2:$C$4481,C3360)</f>
        <v>1</v>
      </c>
    </row>
    <row r="3361">
      <c r="A3361" s="32" t="str">
        <f>Demand!A3359</f>
        <v>S010</v>
      </c>
      <c r="B3361" s="35">
        <f>Demand!B3359</f>
        <v>46276.0</v>
      </c>
      <c r="C3361" s="33">
        <f>Demand!C3359</f>
        <v>21</v>
      </c>
      <c r="D3361" s="33">
        <f>Demand!E3359</f>
        <v>36</v>
      </c>
      <c r="E3361" s="33">
        <f>IF(Demand!F3359,1,0)</f>
        <v>1</v>
      </c>
      <c r="F3361" s="33">
        <f>COUNTIFS(c_store,A3361,c_date,B3361,c_hour,C3361)</f>
        <v>0</v>
      </c>
      <c r="G3361" s="33">
        <f>IF(F3361&gt;0,1,0)</f>
        <v>0</v>
      </c>
      <c r="H3361" s="33">
        <f>COUNTIFS(Demand!$A$2:$A$4481,A3361,Demand!$B$2:$B$4481,B3361,Demand!$C$2:$C$4481,C3361)</f>
        <v>1</v>
      </c>
    </row>
    <row r="3362">
      <c r="A3362" s="32" t="str">
        <f>Demand!A3360</f>
        <v>S010</v>
      </c>
      <c r="B3362" s="35">
        <f>Demand!B3360</f>
        <v>46276.0</v>
      </c>
      <c r="C3362" s="33">
        <f>Demand!C3360</f>
        <v>22</v>
      </c>
      <c r="D3362" s="33">
        <f>Demand!E3360</f>
        <v>13</v>
      </c>
      <c r="E3362" s="33">
        <f>IF(Demand!F3360,1,0)</f>
        <v>0</v>
      </c>
      <c r="F3362" s="33">
        <f>COUNTIFS(c_store,A3362,c_date,B3362,c_hour,C3362)</f>
        <v>1</v>
      </c>
      <c r="G3362" s="33">
        <f>IF(F3362&gt;0,1,0)</f>
        <v>1</v>
      </c>
      <c r="H3362" s="33">
        <f>COUNTIFS(Demand!$A$2:$A$4481,A3362,Demand!$B$2:$B$4481,B3362,Demand!$C$2:$C$4481,C3362)</f>
        <v>1</v>
      </c>
    </row>
    <row r="3363">
      <c r="A3363" s="32" t="str">
        <f>Demand!A3361</f>
        <v>S010</v>
      </c>
      <c r="B3363" s="35">
        <f>Demand!B3361</f>
        <v>46276.0</v>
      </c>
      <c r="C3363" s="33">
        <f>Demand!C3361</f>
        <v>23</v>
      </c>
      <c r="D3363" s="33">
        <f>Demand!E3361</f>
        <v>21</v>
      </c>
      <c r="E3363" s="33">
        <f>IF(Demand!F3361,1,0)</f>
        <v>0</v>
      </c>
      <c r="F3363" s="33">
        <f>COUNTIFS(c_store,A3363,c_date,B3363,c_hour,C3363)</f>
        <v>1</v>
      </c>
      <c r="G3363" s="33">
        <f>IF(F3363&gt;0,1,0)</f>
        <v>1</v>
      </c>
      <c r="H3363" s="33">
        <f>COUNTIFS(Demand!$A$2:$A$4481,A3363,Demand!$B$2:$B$4481,B3363,Demand!$C$2:$C$4481,C3363)</f>
        <v>1</v>
      </c>
    </row>
    <row r="3364">
      <c r="A3364" s="32" t="str">
        <f>Demand!A3362</f>
        <v>S011</v>
      </c>
      <c r="B3364" s="35">
        <f>Demand!B3362</f>
        <v>46276.0</v>
      </c>
      <c r="C3364" s="33">
        <f>Demand!C3362</f>
        <v>8</v>
      </c>
      <c r="D3364" s="33">
        <f>Demand!E3362</f>
        <v>25</v>
      </c>
      <c r="E3364" s="33">
        <f>IF(Demand!F3362,1,0)</f>
        <v>0</v>
      </c>
      <c r="F3364" s="33">
        <f>COUNTIFS(c_store,A3364,c_date,B3364,c_hour,C3364)</f>
        <v>0</v>
      </c>
      <c r="G3364" s="33">
        <f>IF(F3364&gt;0,1,0)</f>
        <v>0</v>
      </c>
      <c r="H3364" s="33">
        <f>COUNTIFS(Demand!$A$2:$A$4481,A3364,Demand!$B$2:$B$4481,B3364,Demand!$C$2:$C$4481,C3364)</f>
        <v>1</v>
      </c>
    </row>
    <row r="3365">
      <c r="A3365" s="32" t="str">
        <f>Demand!A3363</f>
        <v>S011</v>
      </c>
      <c r="B3365" s="35">
        <f>Demand!B3363</f>
        <v>46276.0</v>
      </c>
      <c r="C3365" s="33">
        <f>Demand!C3363</f>
        <v>9</v>
      </c>
      <c r="D3365" s="33">
        <f>Demand!E3363</f>
        <v>28</v>
      </c>
      <c r="E3365" s="33">
        <f>IF(Demand!F3363,1,0)</f>
        <v>0</v>
      </c>
      <c r="F3365" s="33">
        <f>COUNTIFS(c_store,A3365,c_date,B3365,c_hour,C3365)</f>
        <v>0</v>
      </c>
      <c r="G3365" s="33">
        <f>IF(F3365&gt;0,1,0)</f>
        <v>0</v>
      </c>
      <c r="H3365" s="33">
        <f>COUNTIFS(Demand!$A$2:$A$4481,A3365,Demand!$B$2:$B$4481,B3365,Demand!$C$2:$C$4481,C3365)</f>
        <v>1</v>
      </c>
    </row>
    <row r="3366">
      <c r="A3366" s="32" t="str">
        <f>Demand!A3364</f>
        <v>S011</v>
      </c>
      <c r="B3366" s="35">
        <f>Demand!B3364</f>
        <v>46276.0</v>
      </c>
      <c r="C3366" s="33">
        <f>Demand!C3364</f>
        <v>10</v>
      </c>
      <c r="D3366" s="33">
        <f>Demand!E3364</f>
        <v>20</v>
      </c>
      <c r="E3366" s="33">
        <f>IF(Demand!F3364,1,0)</f>
        <v>0</v>
      </c>
      <c r="F3366" s="33">
        <f>COUNTIFS(c_store,A3366,c_date,B3366,c_hour,C3366)</f>
        <v>0</v>
      </c>
      <c r="G3366" s="33">
        <f>IF(F3366&gt;0,1,0)</f>
        <v>0</v>
      </c>
      <c r="H3366" s="33">
        <f>COUNTIFS(Demand!$A$2:$A$4481,A3366,Demand!$B$2:$B$4481,B3366,Demand!$C$2:$C$4481,C3366)</f>
        <v>1</v>
      </c>
    </row>
    <row r="3367">
      <c r="A3367" s="32" t="str">
        <f>Demand!A3365</f>
        <v>S011</v>
      </c>
      <c r="B3367" s="35">
        <f>Demand!B3365</f>
        <v>46276.0</v>
      </c>
      <c r="C3367" s="33">
        <f>Demand!C3365</f>
        <v>11</v>
      </c>
      <c r="D3367" s="33">
        <f>Demand!E3365</f>
        <v>29</v>
      </c>
      <c r="E3367" s="33">
        <f>IF(Demand!F3365,1,0)</f>
        <v>0</v>
      </c>
      <c r="F3367" s="33">
        <f>COUNTIFS(c_store,A3367,c_date,B3367,c_hour,C3367)</f>
        <v>0</v>
      </c>
      <c r="G3367" s="33">
        <f>IF(F3367&gt;0,1,0)</f>
        <v>0</v>
      </c>
      <c r="H3367" s="33">
        <f>COUNTIFS(Demand!$A$2:$A$4481,A3367,Demand!$B$2:$B$4481,B3367,Demand!$C$2:$C$4481,C3367)</f>
        <v>1</v>
      </c>
    </row>
    <row r="3368">
      <c r="A3368" s="32" t="str">
        <f>Demand!A3366</f>
        <v>S011</v>
      </c>
      <c r="B3368" s="35">
        <f>Demand!B3366</f>
        <v>46276.0</v>
      </c>
      <c r="C3368" s="33">
        <f>Demand!C3366</f>
        <v>12</v>
      </c>
      <c r="D3368" s="33">
        <f>Demand!E3366</f>
        <v>42</v>
      </c>
      <c r="E3368" s="33">
        <f>IF(Demand!F3366,1,0)</f>
        <v>0</v>
      </c>
      <c r="F3368" s="33">
        <f>COUNTIFS(c_store,A3368,c_date,B3368,c_hour,C3368)</f>
        <v>0</v>
      </c>
      <c r="G3368" s="33">
        <f>IF(F3368&gt;0,1,0)</f>
        <v>0</v>
      </c>
      <c r="H3368" s="33">
        <f>COUNTIFS(Demand!$A$2:$A$4481,A3368,Demand!$B$2:$B$4481,B3368,Demand!$C$2:$C$4481,C3368)</f>
        <v>1</v>
      </c>
    </row>
    <row r="3369">
      <c r="A3369" s="32" t="str">
        <f>Demand!A3367</f>
        <v>S011</v>
      </c>
      <c r="B3369" s="35">
        <f>Demand!B3367</f>
        <v>46276.0</v>
      </c>
      <c r="C3369" s="33">
        <f>Demand!C3367</f>
        <v>13</v>
      </c>
      <c r="D3369" s="33">
        <f>Demand!E3367</f>
        <v>30</v>
      </c>
      <c r="E3369" s="33">
        <f>IF(Demand!F3367,1,0)</f>
        <v>0</v>
      </c>
      <c r="F3369" s="33">
        <f>COUNTIFS(c_store,A3369,c_date,B3369,c_hour,C3369)</f>
        <v>0</v>
      </c>
      <c r="G3369" s="33">
        <f>IF(F3369&gt;0,1,0)</f>
        <v>0</v>
      </c>
      <c r="H3369" s="33">
        <f>COUNTIFS(Demand!$A$2:$A$4481,A3369,Demand!$B$2:$B$4481,B3369,Demand!$C$2:$C$4481,C3369)</f>
        <v>1</v>
      </c>
    </row>
    <row r="3370">
      <c r="A3370" s="32" t="str">
        <f>Demand!A3368</f>
        <v>S011</v>
      </c>
      <c r="B3370" s="35">
        <f>Demand!B3368</f>
        <v>46276.0</v>
      </c>
      <c r="C3370" s="33">
        <f>Demand!C3368</f>
        <v>14</v>
      </c>
      <c r="D3370" s="33">
        <f>Demand!E3368</f>
        <v>27</v>
      </c>
      <c r="E3370" s="33">
        <f>IF(Demand!F3368,1,0)</f>
        <v>0</v>
      </c>
      <c r="F3370" s="33">
        <f>COUNTIFS(c_store,A3370,c_date,B3370,c_hour,C3370)</f>
        <v>2</v>
      </c>
      <c r="G3370" s="33">
        <f>IF(F3370&gt;0,1,0)</f>
        <v>1</v>
      </c>
      <c r="H3370" s="33">
        <f>COUNTIFS(Demand!$A$2:$A$4481,A3370,Demand!$B$2:$B$4481,B3370,Demand!$C$2:$C$4481,C3370)</f>
        <v>1</v>
      </c>
    </row>
    <row r="3371">
      <c r="A3371" s="32" t="str">
        <f>Demand!A3369</f>
        <v>S011</v>
      </c>
      <c r="B3371" s="35">
        <f>Demand!B3369</f>
        <v>46276.0</v>
      </c>
      <c r="C3371" s="33">
        <f>Demand!C3369</f>
        <v>15</v>
      </c>
      <c r="D3371" s="33">
        <f>Demand!E3369</f>
        <v>25</v>
      </c>
      <c r="E3371" s="33">
        <f>IF(Demand!F3369,1,0)</f>
        <v>0</v>
      </c>
      <c r="F3371" s="33">
        <f>COUNTIFS(c_store,A3371,c_date,B3371,c_hour,C3371)</f>
        <v>0</v>
      </c>
      <c r="G3371" s="33">
        <f>IF(F3371&gt;0,1,0)</f>
        <v>0</v>
      </c>
      <c r="H3371" s="33">
        <f>COUNTIFS(Demand!$A$2:$A$4481,A3371,Demand!$B$2:$B$4481,B3371,Demand!$C$2:$C$4481,C3371)</f>
        <v>1</v>
      </c>
    </row>
    <row r="3372">
      <c r="A3372" s="32" t="str">
        <f>Demand!A3370</f>
        <v>S011</v>
      </c>
      <c r="B3372" s="35">
        <f>Demand!B3370</f>
        <v>46276.0</v>
      </c>
      <c r="C3372" s="33">
        <f>Demand!C3370</f>
        <v>16</v>
      </c>
      <c r="D3372" s="33">
        <f>Demand!E3370</f>
        <v>20</v>
      </c>
      <c r="E3372" s="33">
        <f>IF(Demand!F3370,1,0)</f>
        <v>0</v>
      </c>
      <c r="F3372" s="33">
        <f>COUNTIFS(c_store,A3372,c_date,B3372,c_hour,C3372)</f>
        <v>0</v>
      </c>
      <c r="G3372" s="33">
        <f>IF(F3372&gt;0,1,0)</f>
        <v>0</v>
      </c>
      <c r="H3372" s="33">
        <f>COUNTIFS(Demand!$A$2:$A$4481,A3372,Demand!$B$2:$B$4481,B3372,Demand!$C$2:$C$4481,C3372)</f>
        <v>1</v>
      </c>
    </row>
    <row r="3373">
      <c r="A3373" s="32" t="str">
        <f>Demand!A3371</f>
        <v>S011</v>
      </c>
      <c r="B3373" s="35">
        <f>Demand!B3371</f>
        <v>46276.0</v>
      </c>
      <c r="C3373" s="33">
        <f>Demand!C3371</f>
        <v>17</v>
      </c>
      <c r="D3373" s="33">
        <f>Demand!E3371</f>
        <v>30</v>
      </c>
      <c r="E3373" s="33">
        <f>IF(Demand!F3371,1,0)</f>
        <v>0</v>
      </c>
      <c r="F3373" s="33">
        <f>COUNTIFS(c_store,A3373,c_date,B3373,c_hour,C3373)</f>
        <v>0</v>
      </c>
      <c r="G3373" s="33">
        <f>IF(F3373&gt;0,1,0)</f>
        <v>0</v>
      </c>
      <c r="H3373" s="33">
        <f>COUNTIFS(Demand!$A$2:$A$4481,A3373,Demand!$B$2:$B$4481,B3373,Demand!$C$2:$C$4481,C3373)</f>
        <v>1</v>
      </c>
    </row>
    <row r="3374">
      <c r="A3374" s="32" t="str">
        <f>Demand!A3372</f>
        <v>S011</v>
      </c>
      <c r="B3374" s="35">
        <f>Demand!B3372</f>
        <v>46276.0</v>
      </c>
      <c r="C3374" s="33">
        <f>Demand!C3372</f>
        <v>18</v>
      </c>
      <c r="D3374" s="33">
        <f>Demand!E3372</f>
        <v>34</v>
      </c>
      <c r="E3374" s="33">
        <f>IF(Demand!F3372,1,0)</f>
        <v>0</v>
      </c>
      <c r="F3374" s="33">
        <f>COUNTIFS(c_store,A3374,c_date,B3374,c_hour,C3374)</f>
        <v>0</v>
      </c>
      <c r="G3374" s="33">
        <f>IF(F3374&gt;0,1,0)</f>
        <v>0</v>
      </c>
      <c r="H3374" s="33">
        <f>COUNTIFS(Demand!$A$2:$A$4481,A3374,Demand!$B$2:$B$4481,B3374,Demand!$C$2:$C$4481,C3374)</f>
        <v>1</v>
      </c>
    </row>
    <row r="3375">
      <c r="A3375" s="32" t="str">
        <f>Demand!A3373</f>
        <v>S011</v>
      </c>
      <c r="B3375" s="35">
        <f>Demand!B3373</f>
        <v>46276.0</v>
      </c>
      <c r="C3375" s="33">
        <f>Demand!C3373</f>
        <v>19</v>
      </c>
      <c r="D3375" s="33">
        <f>Demand!E3373</f>
        <v>38</v>
      </c>
      <c r="E3375" s="33">
        <f>IF(Demand!F3373,1,0)</f>
        <v>1</v>
      </c>
      <c r="F3375" s="33">
        <f>COUNTIFS(c_store,A3375,c_date,B3375,c_hour,C3375)</f>
        <v>1</v>
      </c>
      <c r="G3375" s="33">
        <f>IF(F3375&gt;0,1,0)</f>
        <v>1</v>
      </c>
      <c r="H3375" s="33">
        <f>COUNTIFS(Demand!$A$2:$A$4481,A3375,Demand!$B$2:$B$4481,B3375,Demand!$C$2:$C$4481,C3375)</f>
        <v>1</v>
      </c>
    </row>
    <row r="3376">
      <c r="A3376" s="32" t="str">
        <f>Demand!A3374</f>
        <v>S011</v>
      </c>
      <c r="B3376" s="35">
        <f>Demand!B3374</f>
        <v>46276.0</v>
      </c>
      <c r="C3376" s="33">
        <f>Demand!C3374</f>
        <v>20</v>
      </c>
      <c r="D3376" s="33">
        <f>Demand!E3374</f>
        <v>62</v>
      </c>
      <c r="E3376" s="33">
        <f>IF(Demand!F3374,1,0)</f>
        <v>1</v>
      </c>
      <c r="F3376" s="33">
        <f>COUNTIFS(c_store,A3376,c_date,B3376,c_hour,C3376)</f>
        <v>0</v>
      </c>
      <c r="G3376" s="33">
        <f>IF(F3376&gt;0,1,0)</f>
        <v>0</v>
      </c>
      <c r="H3376" s="33">
        <f>COUNTIFS(Demand!$A$2:$A$4481,A3376,Demand!$B$2:$B$4481,B3376,Demand!$C$2:$C$4481,C3376)</f>
        <v>1</v>
      </c>
    </row>
    <row r="3377">
      <c r="A3377" s="32" t="str">
        <f>Demand!A3375</f>
        <v>S011</v>
      </c>
      <c r="B3377" s="35">
        <f>Demand!B3375</f>
        <v>46276.0</v>
      </c>
      <c r="C3377" s="33">
        <f>Demand!C3375</f>
        <v>21</v>
      </c>
      <c r="D3377" s="33">
        <f>Demand!E3375</f>
        <v>47</v>
      </c>
      <c r="E3377" s="33">
        <f>IF(Demand!F3375,1,0)</f>
        <v>1</v>
      </c>
      <c r="F3377" s="33">
        <f>COUNTIFS(c_store,A3377,c_date,B3377,c_hour,C3377)</f>
        <v>0</v>
      </c>
      <c r="G3377" s="33">
        <f>IF(F3377&gt;0,1,0)</f>
        <v>0</v>
      </c>
      <c r="H3377" s="33">
        <f>COUNTIFS(Demand!$A$2:$A$4481,A3377,Demand!$B$2:$B$4481,B3377,Demand!$C$2:$C$4481,C3377)</f>
        <v>1</v>
      </c>
    </row>
    <row r="3378">
      <c r="A3378" s="32" t="str">
        <f>Demand!A3376</f>
        <v>S011</v>
      </c>
      <c r="B3378" s="35">
        <f>Demand!B3376</f>
        <v>46276.0</v>
      </c>
      <c r="C3378" s="33">
        <f>Demand!C3376</f>
        <v>22</v>
      </c>
      <c r="D3378" s="33">
        <f>Demand!E3376</f>
        <v>30</v>
      </c>
      <c r="E3378" s="33">
        <f>IF(Demand!F3376,1,0)</f>
        <v>0</v>
      </c>
      <c r="F3378" s="33">
        <f>COUNTIFS(c_store,A3378,c_date,B3378,c_hour,C3378)</f>
        <v>0</v>
      </c>
      <c r="G3378" s="33">
        <f>IF(F3378&gt;0,1,0)</f>
        <v>0</v>
      </c>
      <c r="H3378" s="33">
        <f>COUNTIFS(Demand!$A$2:$A$4481,A3378,Demand!$B$2:$B$4481,B3378,Demand!$C$2:$C$4481,C3378)</f>
        <v>1</v>
      </c>
    </row>
    <row r="3379">
      <c r="A3379" s="32" t="str">
        <f>Demand!A3377</f>
        <v>S011</v>
      </c>
      <c r="B3379" s="35">
        <f>Demand!B3377</f>
        <v>46276.0</v>
      </c>
      <c r="C3379" s="33">
        <f>Demand!C3377</f>
        <v>23</v>
      </c>
      <c r="D3379" s="33">
        <f>Demand!E3377</f>
        <v>32</v>
      </c>
      <c r="E3379" s="33">
        <f>IF(Demand!F3377,1,0)</f>
        <v>0</v>
      </c>
      <c r="F3379" s="33">
        <f>COUNTIFS(c_store,A3379,c_date,B3379,c_hour,C3379)</f>
        <v>1</v>
      </c>
      <c r="G3379" s="33">
        <f>IF(F3379&gt;0,1,0)</f>
        <v>1</v>
      </c>
      <c r="H3379" s="33">
        <f>COUNTIFS(Demand!$A$2:$A$4481,A3379,Demand!$B$2:$B$4481,B3379,Demand!$C$2:$C$4481,C3379)</f>
        <v>1</v>
      </c>
    </row>
    <row r="3380">
      <c r="A3380" s="32" t="str">
        <f>Demand!A3378</f>
        <v>S012</v>
      </c>
      <c r="B3380" s="35">
        <f>Demand!B3378</f>
        <v>46276.0</v>
      </c>
      <c r="C3380" s="33">
        <f>Demand!C3378</f>
        <v>8</v>
      </c>
      <c r="D3380" s="33">
        <f>Demand!E3378</f>
        <v>17</v>
      </c>
      <c r="E3380" s="33">
        <f>IF(Demand!F3378,1,0)</f>
        <v>0</v>
      </c>
      <c r="F3380" s="33">
        <f>COUNTIFS(c_store,A3380,c_date,B3380,c_hour,C3380)</f>
        <v>0</v>
      </c>
      <c r="G3380" s="33">
        <f>IF(F3380&gt;0,1,0)</f>
        <v>0</v>
      </c>
      <c r="H3380" s="33">
        <f>COUNTIFS(Demand!$A$2:$A$4481,A3380,Demand!$B$2:$B$4481,B3380,Demand!$C$2:$C$4481,C3380)</f>
        <v>1</v>
      </c>
    </row>
    <row r="3381">
      <c r="A3381" s="32" t="str">
        <f>Demand!A3379</f>
        <v>S012</v>
      </c>
      <c r="B3381" s="35">
        <f>Demand!B3379</f>
        <v>46276.0</v>
      </c>
      <c r="C3381" s="33">
        <f>Demand!C3379</f>
        <v>9</v>
      </c>
      <c r="D3381" s="33">
        <f>Demand!E3379</f>
        <v>13</v>
      </c>
      <c r="E3381" s="33">
        <f>IF(Demand!F3379,1,0)</f>
        <v>0</v>
      </c>
      <c r="F3381" s="33">
        <f>COUNTIFS(c_store,A3381,c_date,B3381,c_hour,C3381)</f>
        <v>0</v>
      </c>
      <c r="G3381" s="33">
        <f>IF(F3381&gt;0,1,0)</f>
        <v>0</v>
      </c>
      <c r="H3381" s="33">
        <f>COUNTIFS(Demand!$A$2:$A$4481,A3381,Demand!$B$2:$B$4481,B3381,Demand!$C$2:$C$4481,C3381)</f>
        <v>1</v>
      </c>
    </row>
    <row r="3382">
      <c r="A3382" s="32" t="str">
        <f>Demand!A3380</f>
        <v>S012</v>
      </c>
      <c r="B3382" s="35">
        <f>Demand!B3380</f>
        <v>46276.0</v>
      </c>
      <c r="C3382" s="33">
        <f>Demand!C3380</f>
        <v>10</v>
      </c>
      <c r="D3382" s="33">
        <f>Demand!E3380</f>
        <v>8</v>
      </c>
      <c r="E3382" s="33">
        <f>IF(Demand!F3380,1,0)</f>
        <v>0</v>
      </c>
      <c r="F3382" s="33">
        <f>COUNTIFS(c_store,A3382,c_date,B3382,c_hour,C3382)</f>
        <v>0</v>
      </c>
      <c r="G3382" s="33">
        <f>IF(F3382&gt;0,1,0)</f>
        <v>0</v>
      </c>
      <c r="H3382" s="33">
        <f>COUNTIFS(Demand!$A$2:$A$4481,A3382,Demand!$B$2:$B$4481,B3382,Demand!$C$2:$C$4481,C3382)</f>
        <v>1</v>
      </c>
    </row>
    <row r="3383">
      <c r="A3383" s="32" t="str">
        <f>Demand!A3381</f>
        <v>S012</v>
      </c>
      <c r="B3383" s="35">
        <f>Demand!B3381</f>
        <v>46276.0</v>
      </c>
      <c r="C3383" s="33">
        <f>Demand!C3381</f>
        <v>11</v>
      </c>
      <c r="D3383" s="33">
        <f>Demand!E3381</f>
        <v>15</v>
      </c>
      <c r="E3383" s="33">
        <f>IF(Demand!F3381,1,0)</f>
        <v>0</v>
      </c>
      <c r="F3383" s="33">
        <f>COUNTIFS(c_store,A3383,c_date,B3383,c_hour,C3383)</f>
        <v>0</v>
      </c>
      <c r="G3383" s="33">
        <f>IF(F3383&gt;0,1,0)</f>
        <v>0</v>
      </c>
      <c r="H3383" s="33">
        <f>COUNTIFS(Demand!$A$2:$A$4481,A3383,Demand!$B$2:$B$4481,B3383,Demand!$C$2:$C$4481,C3383)</f>
        <v>1</v>
      </c>
    </row>
    <row r="3384">
      <c r="A3384" s="32" t="str">
        <f>Demand!A3382</f>
        <v>S012</v>
      </c>
      <c r="B3384" s="35">
        <f>Demand!B3382</f>
        <v>46276.0</v>
      </c>
      <c r="C3384" s="33">
        <f>Demand!C3382</f>
        <v>12</v>
      </c>
      <c r="D3384" s="33">
        <f>Demand!E3382</f>
        <v>13</v>
      </c>
      <c r="E3384" s="33">
        <f>IF(Demand!F3382,1,0)</f>
        <v>0</v>
      </c>
      <c r="F3384" s="33">
        <f>COUNTIFS(c_store,A3384,c_date,B3384,c_hour,C3384)</f>
        <v>0</v>
      </c>
      <c r="G3384" s="33">
        <f>IF(F3384&gt;0,1,0)</f>
        <v>0</v>
      </c>
      <c r="H3384" s="33">
        <f>COUNTIFS(Demand!$A$2:$A$4481,A3384,Demand!$B$2:$B$4481,B3384,Demand!$C$2:$C$4481,C3384)</f>
        <v>1</v>
      </c>
    </row>
    <row r="3385">
      <c r="A3385" s="32" t="str">
        <f>Demand!A3383</f>
        <v>S012</v>
      </c>
      <c r="B3385" s="35">
        <f>Demand!B3383</f>
        <v>46276.0</v>
      </c>
      <c r="C3385" s="33">
        <f>Demand!C3383</f>
        <v>13</v>
      </c>
      <c r="D3385" s="33">
        <f>Demand!E3383</f>
        <v>16</v>
      </c>
      <c r="E3385" s="33">
        <f>IF(Demand!F3383,1,0)</f>
        <v>0</v>
      </c>
      <c r="F3385" s="33">
        <f>COUNTIFS(c_store,A3385,c_date,B3385,c_hour,C3385)</f>
        <v>0</v>
      </c>
      <c r="G3385" s="33">
        <f>IF(F3385&gt;0,1,0)</f>
        <v>0</v>
      </c>
      <c r="H3385" s="33">
        <f>COUNTIFS(Demand!$A$2:$A$4481,A3385,Demand!$B$2:$B$4481,B3385,Demand!$C$2:$C$4481,C3385)</f>
        <v>1</v>
      </c>
    </row>
    <row r="3386">
      <c r="A3386" s="32" t="str">
        <f>Demand!A3384</f>
        <v>S012</v>
      </c>
      <c r="B3386" s="35">
        <f>Demand!B3384</f>
        <v>46276.0</v>
      </c>
      <c r="C3386" s="33">
        <f>Demand!C3384</f>
        <v>14</v>
      </c>
      <c r="D3386" s="33">
        <f>Demand!E3384</f>
        <v>14</v>
      </c>
      <c r="E3386" s="33">
        <f>IF(Demand!F3384,1,0)</f>
        <v>0</v>
      </c>
      <c r="F3386" s="33">
        <f>COUNTIFS(c_store,A3386,c_date,B3386,c_hour,C3386)</f>
        <v>0</v>
      </c>
      <c r="G3386" s="33">
        <f>IF(F3386&gt;0,1,0)</f>
        <v>0</v>
      </c>
      <c r="H3386" s="33">
        <f>COUNTIFS(Demand!$A$2:$A$4481,A3386,Demand!$B$2:$B$4481,B3386,Demand!$C$2:$C$4481,C3386)</f>
        <v>1</v>
      </c>
    </row>
    <row r="3387">
      <c r="A3387" s="32" t="str">
        <f>Demand!A3385</f>
        <v>S012</v>
      </c>
      <c r="B3387" s="35">
        <f>Demand!B3385</f>
        <v>46276.0</v>
      </c>
      <c r="C3387" s="33">
        <f>Demand!C3385</f>
        <v>15</v>
      </c>
      <c r="D3387" s="33">
        <f>Demand!E3385</f>
        <v>12</v>
      </c>
      <c r="E3387" s="33">
        <f>IF(Demand!F3385,1,0)</f>
        <v>0</v>
      </c>
      <c r="F3387" s="33">
        <f>COUNTIFS(c_store,A3387,c_date,B3387,c_hour,C3387)</f>
        <v>0</v>
      </c>
      <c r="G3387" s="33">
        <f>IF(F3387&gt;0,1,0)</f>
        <v>0</v>
      </c>
      <c r="H3387" s="33">
        <f>COUNTIFS(Demand!$A$2:$A$4481,A3387,Demand!$B$2:$B$4481,B3387,Demand!$C$2:$C$4481,C3387)</f>
        <v>1</v>
      </c>
    </row>
    <row r="3388">
      <c r="A3388" s="32" t="str">
        <f>Demand!A3386</f>
        <v>S012</v>
      </c>
      <c r="B3388" s="35">
        <f>Demand!B3386</f>
        <v>46276.0</v>
      </c>
      <c r="C3388" s="33">
        <f>Demand!C3386</f>
        <v>16</v>
      </c>
      <c r="D3388" s="33">
        <f>Demand!E3386</f>
        <v>20</v>
      </c>
      <c r="E3388" s="33">
        <f>IF(Demand!F3386,1,0)</f>
        <v>0</v>
      </c>
      <c r="F3388" s="33">
        <f>COUNTIFS(c_store,A3388,c_date,B3388,c_hour,C3388)</f>
        <v>1</v>
      </c>
      <c r="G3388" s="33">
        <f>IF(F3388&gt;0,1,0)</f>
        <v>1</v>
      </c>
      <c r="H3388" s="33">
        <f>COUNTIFS(Demand!$A$2:$A$4481,A3388,Demand!$B$2:$B$4481,B3388,Demand!$C$2:$C$4481,C3388)</f>
        <v>1</v>
      </c>
    </row>
    <row r="3389">
      <c r="A3389" s="32" t="str">
        <f>Demand!A3387</f>
        <v>S012</v>
      </c>
      <c r="B3389" s="35">
        <f>Demand!B3387</f>
        <v>46276.0</v>
      </c>
      <c r="C3389" s="33">
        <f>Demand!C3387</f>
        <v>17</v>
      </c>
      <c r="D3389" s="33">
        <f>Demand!E3387</f>
        <v>15</v>
      </c>
      <c r="E3389" s="33">
        <f>IF(Demand!F3387,1,0)</f>
        <v>0</v>
      </c>
      <c r="F3389" s="33">
        <f>COUNTIFS(c_store,A3389,c_date,B3389,c_hour,C3389)</f>
        <v>2</v>
      </c>
      <c r="G3389" s="33">
        <f>IF(F3389&gt;0,1,0)</f>
        <v>1</v>
      </c>
      <c r="H3389" s="33">
        <f>COUNTIFS(Demand!$A$2:$A$4481,A3389,Demand!$B$2:$B$4481,B3389,Demand!$C$2:$C$4481,C3389)</f>
        <v>1</v>
      </c>
    </row>
    <row r="3390">
      <c r="A3390" s="32" t="str">
        <f>Demand!A3388</f>
        <v>S012</v>
      </c>
      <c r="B3390" s="35">
        <f>Demand!B3388</f>
        <v>46276.0</v>
      </c>
      <c r="C3390" s="33">
        <f>Demand!C3388</f>
        <v>18</v>
      </c>
      <c r="D3390" s="33">
        <f>Demand!E3388</f>
        <v>12</v>
      </c>
      <c r="E3390" s="33">
        <f>IF(Demand!F3388,1,0)</f>
        <v>0</v>
      </c>
      <c r="F3390" s="33">
        <f>COUNTIFS(c_store,A3390,c_date,B3390,c_hour,C3390)</f>
        <v>1</v>
      </c>
      <c r="G3390" s="33">
        <f>IF(F3390&gt;0,1,0)</f>
        <v>1</v>
      </c>
      <c r="H3390" s="33">
        <f>COUNTIFS(Demand!$A$2:$A$4481,A3390,Demand!$B$2:$B$4481,B3390,Demand!$C$2:$C$4481,C3390)</f>
        <v>1</v>
      </c>
    </row>
    <row r="3391">
      <c r="A3391" s="32" t="str">
        <f>Demand!A3389</f>
        <v>S012</v>
      </c>
      <c r="B3391" s="35">
        <f>Demand!B3389</f>
        <v>46276.0</v>
      </c>
      <c r="C3391" s="33">
        <f>Demand!C3389</f>
        <v>19</v>
      </c>
      <c r="D3391" s="33">
        <f>Demand!E3389</f>
        <v>23</v>
      </c>
      <c r="E3391" s="33">
        <f>IF(Demand!F3389,1,0)</f>
        <v>1</v>
      </c>
      <c r="F3391" s="33">
        <f>COUNTIFS(c_store,A3391,c_date,B3391,c_hour,C3391)</f>
        <v>0</v>
      </c>
      <c r="G3391" s="33">
        <f>IF(F3391&gt;0,1,0)</f>
        <v>0</v>
      </c>
      <c r="H3391" s="33">
        <f>COUNTIFS(Demand!$A$2:$A$4481,A3391,Demand!$B$2:$B$4481,B3391,Demand!$C$2:$C$4481,C3391)</f>
        <v>1</v>
      </c>
    </row>
    <row r="3392">
      <c r="A3392" s="32" t="str">
        <f>Demand!A3390</f>
        <v>S012</v>
      </c>
      <c r="B3392" s="35">
        <f>Demand!B3390</f>
        <v>46276.0</v>
      </c>
      <c r="C3392" s="33">
        <f>Demand!C3390</f>
        <v>20</v>
      </c>
      <c r="D3392" s="33">
        <f>Demand!E3390</f>
        <v>15</v>
      </c>
      <c r="E3392" s="33">
        <f>IF(Demand!F3390,1,0)</f>
        <v>1</v>
      </c>
      <c r="F3392" s="33">
        <f>COUNTIFS(c_store,A3392,c_date,B3392,c_hour,C3392)</f>
        <v>0</v>
      </c>
      <c r="G3392" s="33">
        <f>IF(F3392&gt;0,1,0)</f>
        <v>0</v>
      </c>
      <c r="H3392" s="33">
        <f>COUNTIFS(Demand!$A$2:$A$4481,A3392,Demand!$B$2:$B$4481,B3392,Demand!$C$2:$C$4481,C3392)</f>
        <v>1</v>
      </c>
    </row>
    <row r="3393">
      <c r="A3393" s="32" t="str">
        <f>Demand!A3391</f>
        <v>S012</v>
      </c>
      <c r="B3393" s="35">
        <f>Demand!B3391</f>
        <v>46276.0</v>
      </c>
      <c r="C3393" s="33">
        <f>Demand!C3391</f>
        <v>21</v>
      </c>
      <c r="D3393" s="33">
        <f>Demand!E3391</f>
        <v>19</v>
      </c>
      <c r="E3393" s="33">
        <f>IF(Demand!F3391,1,0)</f>
        <v>1</v>
      </c>
      <c r="F3393" s="33">
        <f>COUNTIFS(c_store,A3393,c_date,B3393,c_hour,C3393)</f>
        <v>2</v>
      </c>
      <c r="G3393" s="33">
        <f>IF(F3393&gt;0,1,0)</f>
        <v>1</v>
      </c>
      <c r="H3393" s="33">
        <f>COUNTIFS(Demand!$A$2:$A$4481,A3393,Demand!$B$2:$B$4481,B3393,Demand!$C$2:$C$4481,C3393)</f>
        <v>1</v>
      </c>
    </row>
    <row r="3394">
      <c r="A3394" s="32" t="str">
        <f>Demand!A3392</f>
        <v>S012</v>
      </c>
      <c r="B3394" s="35">
        <f>Demand!B3392</f>
        <v>46276.0</v>
      </c>
      <c r="C3394" s="33">
        <f>Demand!C3392</f>
        <v>22</v>
      </c>
      <c r="D3394" s="33">
        <f>Demand!E3392</f>
        <v>17</v>
      </c>
      <c r="E3394" s="33">
        <f>IF(Demand!F3392,1,0)</f>
        <v>0</v>
      </c>
      <c r="F3394" s="33">
        <f>COUNTIFS(c_store,A3394,c_date,B3394,c_hour,C3394)</f>
        <v>1</v>
      </c>
      <c r="G3394" s="33">
        <f>IF(F3394&gt;0,1,0)</f>
        <v>1</v>
      </c>
      <c r="H3394" s="33">
        <f>COUNTIFS(Demand!$A$2:$A$4481,A3394,Demand!$B$2:$B$4481,B3394,Demand!$C$2:$C$4481,C3394)</f>
        <v>1</v>
      </c>
    </row>
    <row r="3395">
      <c r="A3395" s="32" t="str">
        <f>Demand!A3393</f>
        <v>S012</v>
      </c>
      <c r="B3395" s="35">
        <f>Demand!B3393</f>
        <v>46276.0</v>
      </c>
      <c r="C3395" s="33">
        <f>Demand!C3393</f>
        <v>23</v>
      </c>
      <c r="D3395" s="33">
        <f>Demand!E3393</f>
        <v>14</v>
      </c>
      <c r="E3395" s="33">
        <f>IF(Demand!F3393,1,0)</f>
        <v>0</v>
      </c>
      <c r="F3395" s="33">
        <f>COUNTIFS(c_store,A3395,c_date,B3395,c_hour,C3395)</f>
        <v>0</v>
      </c>
      <c r="G3395" s="33">
        <f>IF(F3395&gt;0,1,0)</f>
        <v>0</v>
      </c>
      <c r="H3395" s="33">
        <f>COUNTIFS(Demand!$A$2:$A$4481,A3395,Demand!$B$2:$B$4481,B3395,Demand!$C$2:$C$4481,C3395)</f>
        <v>1</v>
      </c>
    </row>
    <row r="3396">
      <c r="A3396" s="32" t="str">
        <f>Demand!A3394</f>
        <v>S013</v>
      </c>
      <c r="B3396" s="35">
        <f>Demand!B3394</f>
        <v>46276.0</v>
      </c>
      <c r="C3396" s="33">
        <f>Demand!C3394</f>
        <v>8</v>
      </c>
      <c r="D3396" s="33">
        <f>Demand!E3394</f>
        <v>46</v>
      </c>
      <c r="E3396" s="33">
        <f>IF(Demand!F3394,1,0)</f>
        <v>0</v>
      </c>
      <c r="F3396" s="33">
        <f>COUNTIFS(c_store,A3396,c_date,B3396,c_hour,C3396)</f>
        <v>1</v>
      </c>
      <c r="G3396" s="33">
        <f>IF(F3396&gt;0,1,0)</f>
        <v>1</v>
      </c>
      <c r="H3396" s="33">
        <f>COUNTIFS(Demand!$A$2:$A$4481,A3396,Demand!$B$2:$B$4481,B3396,Demand!$C$2:$C$4481,C3396)</f>
        <v>1</v>
      </c>
    </row>
    <row r="3397">
      <c r="A3397" s="32" t="str">
        <f>Demand!A3395</f>
        <v>S013</v>
      </c>
      <c r="B3397" s="35">
        <f>Demand!B3395</f>
        <v>46276.0</v>
      </c>
      <c r="C3397" s="33">
        <f>Demand!C3395</f>
        <v>9</v>
      </c>
      <c r="D3397" s="33">
        <f>Demand!E3395</f>
        <v>35</v>
      </c>
      <c r="E3397" s="33">
        <f>IF(Demand!F3395,1,0)</f>
        <v>0</v>
      </c>
      <c r="F3397" s="33">
        <f>COUNTIFS(c_store,A3397,c_date,B3397,c_hour,C3397)</f>
        <v>1</v>
      </c>
      <c r="G3397" s="33">
        <f>IF(F3397&gt;0,1,0)</f>
        <v>1</v>
      </c>
      <c r="H3397" s="33">
        <f>COUNTIFS(Demand!$A$2:$A$4481,A3397,Demand!$B$2:$B$4481,B3397,Demand!$C$2:$C$4481,C3397)</f>
        <v>1</v>
      </c>
    </row>
    <row r="3398">
      <c r="A3398" s="32" t="str">
        <f>Demand!A3396</f>
        <v>S013</v>
      </c>
      <c r="B3398" s="35">
        <f>Demand!B3396</f>
        <v>46276.0</v>
      </c>
      <c r="C3398" s="33">
        <f>Demand!C3396</f>
        <v>10</v>
      </c>
      <c r="D3398" s="33">
        <f>Demand!E3396</f>
        <v>32</v>
      </c>
      <c r="E3398" s="33">
        <f>IF(Demand!F3396,1,0)</f>
        <v>0</v>
      </c>
      <c r="F3398" s="33">
        <f>COUNTIFS(c_store,A3398,c_date,B3398,c_hour,C3398)</f>
        <v>0</v>
      </c>
      <c r="G3398" s="33">
        <f>IF(F3398&gt;0,1,0)</f>
        <v>0</v>
      </c>
      <c r="H3398" s="33">
        <f>COUNTIFS(Demand!$A$2:$A$4481,A3398,Demand!$B$2:$B$4481,B3398,Demand!$C$2:$C$4481,C3398)</f>
        <v>1</v>
      </c>
    </row>
    <row r="3399">
      <c r="A3399" s="32" t="str">
        <f>Demand!A3397</f>
        <v>S013</v>
      </c>
      <c r="B3399" s="35">
        <f>Demand!B3397</f>
        <v>46276.0</v>
      </c>
      <c r="C3399" s="33">
        <f>Demand!C3397</f>
        <v>11</v>
      </c>
      <c r="D3399" s="33">
        <f>Demand!E3397</f>
        <v>71</v>
      </c>
      <c r="E3399" s="33">
        <f>IF(Demand!F3397,1,0)</f>
        <v>0</v>
      </c>
      <c r="F3399" s="33">
        <f>COUNTIFS(c_store,A3399,c_date,B3399,c_hour,C3399)</f>
        <v>0</v>
      </c>
      <c r="G3399" s="33">
        <f>IF(F3399&gt;0,1,0)</f>
        <v>0</v>
      </c>
      <c r="H3399" s="33">
        <f>COUNTIFS(Demand!$A$2:$A$4481,A3399,Demand!$B$2:$B$4481,B3399,Demand!$C$2:$C$4481,C3399)</f>
        <v>1</v>
      </c>
    </row>
    <row r="3400">
      <c r="A3400" s="32" t="str">
        <f>Demand!A3398</f>
        <v>S013</v>
      </c>
      <c r="B3400" s="35">
        <f>Demand!B3398</f>
        <v>46276.0</v>
      </c>
      <c r="C3400" s="33">
        <f>Demand!C3398</f>
        <v>12</v>
      </c>
      <c r="D3400" s="33">
        <f>Demand!E3398</f>
        <v>67</v>
      </c>
      <c r="E3400" s="33">
        <f>IF(Demand!F3398,1,0)</f>
        <v>0</v>
      </c>
      <c r="F3400" s="33">
        <f>COUNTIFS(c_store,A3400,c_date,B3400,c_hour,C3400)</f>
        <v>0</v>
      </c>
      <c r="G3400" s="33">
        <f>IF(F3400&gt;0,1,0)</f>
        <v>0</v>
      </c>
      <c r="H3400" s="33">
        <f>COUNTIFS(Demand!$A$2:$A$4481,A3400,Demand!$B$2:$B$4481,B3400,Demand!$C$2:$C$4481,C3400)</f>
        <v>1</v>
      </c>
    </row>
    <row r="3401">
      <c r="A3401" s="32" t="str">
        <f>Demand!A3399</f>
        <v>S013</v>
      </c>
      <c r="B3401" s="35">
        <f>Demand!B3399</f>
        <v>46276.0</v>
      </c>
      <c r="C3401" s="33">
        <f>Demand!C3399</f>
        <v>13</v>
      </c>
      <c r="D3401" s="33">
        <f>Demand!E3399</f>
        <v>41</v>
      </c>
      <c r="E3401" s="33">
        <f>IF(Demand!F3399,1,0)</f>
        <v>0</v>
      </c>
      <c r="F3401" s="33">
        <f>COUNTIFS(c_store,A3401,c_date,B3401,c_hour,C3401)</f>
        <v>0</v>
      </c>
      <c r="G3401" s="33">
        <f>IF(F3401&gt;0,1,0)</f>
        <v>0</v>
      </c>
      <c r="H3401" s="33">
        <f>COUNTIFS(Demand!$A$2:$A$4481,A3401,Demand!$B$2:$B$4481,B3401,Demand!$C$2:$C$4481,C3401)</f>
        <v>1</v>
      </c>
    </row>
    <row r="3402">
      <c r="A3402" s="32" t="str">
        <f>Demand!A3400</f>
        <v>S013</v>
      </c>
      <c r="B3402" s="35">
        <f>Demand!B3400</f>
        <v>46276.0</v>
      </c>
      <c r="C3402" s="33">
        <f>Demand!C3400</f>
        <v>14</v>
      </c>
      <c r="D3402" s="33">
        <f>Demand!E3400</f>
        <v>31</v>
      </c>
      <c r="E3402" s="33">
        <f>IF(Demand!F3400,1,0)</f>
        <v>0</v>
      </c>
      <c r="F3402" s="33">
        <f>COUNTIFS(c_store,A3402,c_date,B3402,c_hour,C3402)</f>
        <v>0</v>
      </c>
      <c r="G3402" s="33">
        <f>IF(F3402&gt;0,1,0)</f>
        <v>0</v>
      </c>
      <c r="H3402" s="33">
        <f>COUNTIFS(Demand!$A$2:$A$4481,A3402,Demand!$B$2:$B$4481,B3402,Demand!$C$2:$C$4481,C3402)</f>
        <v>1</v>
      </c>
    </row>
    <row r="3403">
      <c r="A3403" s="32" t="str">
        <f>Demand!A3401</f>
        <v>S013</v>
      </c>
      <c r="B3403" s="35">
        <f>Demand!B3401</f>
        <v>46276.0</v>
      </c>
      <c r="C3403" s="33">
        <f>Demand!C3401</f>
        <v>15</v>
      </c>
      <c r="D3403" s="33">
        <f>Demand!E3401</f>
        <v>37</v>
      </c>
      <c r="E3403" s="33">
        <f>IF(Demand!F3401,1,0)</f>
        <v>0</v>
      </c>
      <c r="F3403" s="33">
        <f>COUNTIFS(c_store,A3403,c_date,B3403,c_hour,C3403)</f>
        <v>1</v>
      </c>
      <c r="G3403" s="33">
        <f>IF(F3403&gt;0,1,0)</f>
        <v>1</v>
      </c>
      <c r="H3403" s="33">
        <f>COUNTIFS(Demand!$A$2:$A$4481,A3403,Demand!$B$2:$B$4481,B3403,Demand!$C$2:$C$4481,C3403)</f>
        <v>1</v>
      </c>
    </row>
    <row r="3404">
      <c r="A3404" s="32" t="str">
        <f>Demand!A3402</f>
        <v>S013</v>
      </c>
      <c r="B3404" s="35">
        <f>Demand!B3402</f>
        <v>46276.0</v>
      </c>
      <c r="C3404" s="33">
        <f>Demand!C3402</f>
        <v>16</v>
      </c>
      <c r="D3404" s="33">
        <f>Demand!E3402</f>
        <v>46</v>
      </c>
      <c r="E3404" s="33">
        <f>IF(Demand!F3402,1,0)</f>
        <v>0</v>
      </c>
      <c r="F3404" s="33">
        <f>COUNTIFS(c_store,A3404,c_date,B3404,c_hour,C3404)</f>
        <v>1</v>
      </c>
      <c r="G3404" s="33">
        <f>IF(F3404&gt;0,1,0)</f>
        <v>1</v>
      </c>
      <c r="H3404" s="33">
        <f>COUNTIFS(Demand!$A$2:$A$4481,A3404,Demand!$B$2:$B$4481,B3404,Demand!$C$2:$C$4481,C3404)</f>
        <v>1</v>
      </c>
    </row>
    <row r="3405">
      <c r="A3405" s="32" t="str">
        <f>Demand!A3403</f>
        <v>S013</v>
      </c>
      <c r="B3405" s="35">
        <f>Demand!B3403</f>
        <v>46276.0</v>
      </c>
      <c r="C3405" s="33">
        <f>Demand!C3403</f>
        <v>17</v>
      </c>
      <c r="D3405" s="33">
        <f>Demand!E3403</f>
        <v>51</v>
      </c>
      <c r="E3405" s="33">
        <f>IF(Demand!F3403,1,0)</f>
        <v>0</v>
      </c>
      <c r="F3405" s="33">
        <f>COUNTIFS(c_store,A3405,c_date,B3405,c_hour,C3405)</f>
        <v>0</v>
      </c>
      <c r="G3405" s="33">
        <f>IF(F3405&gt;0,1,0)</f>
        <v>0</v>
      </c>
      <c r="H3405" s="33">
        <f>COUNTIFS(Demand!$A$2:$A$4481,A3405,Demand!$B$2:$B$4481,B3405,Demand!$C$2:$C$4481,C3405)</f>
        <v>1</v>
      </c>
    </row>
    <row r="3406">
      <c r="A3406" s="32" t="str">
        <f>Demand!A3404</f>
        <v>S013</v>
      </c>
      <c r="B3406" s="35">
        <f>Demand!B3404</f>
        <v>46276.0</v>
      </c>
      <c r="C3406" s="33">
        <f>Demand!C3404</f>
        <v>18</v>
      </c>
      <c r="D3406" s="33">
        <f>Demand!E3404</f>
        <v>54</v>
      </c>
      <c r="E3406" s="33">
        <f>IF(Demand!F3404,1,0)</f>
        <v>0</v>
      </c>
      <c r="F3406" s="33">
        <f>COUNTIFS(c_store,A3406,c_date,B3406,c_hour,C3406)</f>
        <v>1</v>
      </c>
      <c r="G3406" s="33">
        <f>IF(F3406&gt;0,1,0)</f>
        <v>1</v>
      </c>
      <c r="H3406" s="33">
        <f>COUNTIFS(Demand!$A$2:$A$4481,A3406,Demand!$B$2:$B$4481,B3406,Demand!$C$2:$C$4481,C3406)</f>
        <v>1</v>
      </c>
    </row>
    <row r="3407">
      <c r="A3407" s="32" t="str">
        <f>Demand!A3405</f>
        <v>S013</v>
      </c>
      <c r="B3407" s="35">
        <f>Demand!B3405</f>
        <v>46276.0</v>
      </c>
      <c r="C3407" s="33">
        <f>Demand!C3405</f>
        <v>19</v>
      </c>
      <c r="D3407" s="33">
        <f>Demand!E3405</f>
        <v>82</v>
      </c>
      <c r="E3407" s="33">
        <f>IF(Demand!F3405,1,0)</f>
        <v>1</v>
      </c>
      <c r="F3407" s="33">
        <f>COUNTIFS(c_store,A3407,c_date,B3407,c_hour,C3407)</f>
        <v>0</v>
      </c>
      <c r="G3407" s="33">
        <f>IF(F3407&gt;0,1,0)</f>
        <v>0</v>
      </c>
      <c r="H3407" s="33">
        <f>COUNTIFS(Demand!$A$2:$A$4481,A3407,Demand!$B$2:$B$4481,B3407,Demand!$C$2:$C$4481,C3407)</f>
        <v>1</v>
      </c>
    </row>
    <row r="3408">
      <c r="A3408" s="32" t="str">
        <f>Demand!A3406</f>
        <v>S013</v>
      </c>
      <c r="B3408" s="35">
        <f>Demand!B3406</f>
        <v>46276.0</v>
      </c>
      <c r="C3408" s="33">
        <f>Demand!C3406</f>
        <v>20</v>
      </c>
      <c r="D3408" s="33">
        <f>Demand!E3406</f>
        <v>90</v>
      </c>
      <c r="E3408" s="33">
        <f>IF(Demand!F3406,1,0)</f>
        <v>1</v>
      </c>
      <c r="F3408" s="33">
        <f>COUNTIFS(c_store,A3408,c_date,B3408,c_hour,C3408)</f>
        <v>0</v>
      </c>
      <c r="G3408" s="33">
        <f>IF(F3408&gt;0,1,0)</f>
        <v>0</v>
      </c>
      <c r="H3408" s="33">
        <f>COUNTIFS(Demand!$A$2:$A$4481,A3408,Demand!$B$2:$B$4481,B3408,Demand!$C$2:$C$4481,C3408)</f>
        <v>1</v>
      </c>
    </row>
    <row r="3409">
      <c r="A3409" s="32" t="str">
        <f>Demand!A3407</f>
        <v>S013</v>
      </c>
      <c r="B3409" s="35">
        <f>Demand!B3407</f>
        <v>46276.0</v>
      </c>
      <c r="C3409" s="33">
        <f>Demand!C3407</f>
        <v>21</v>
      </c>
      <c r="D3409" s="33">
        <f>Demand!E3407</f>
        <v>76</v>
      </c>
      <c r="E3409" s="33">
        <f>IF(Demand!F3407,1,0)</f>
        <v>1</v>
      </c>
      <c r="F3409" s="33">
        <f>COUNTIFS(c_store,A3409,c_date,B3409,c_hour,C3409)</f>
        <v>1</v>
      </c>
      <c r="G3409" s="33">
        <f>IF(F3409&gt;0,1,0)</f>
        <v>1</v>
      </c>
      <c r="H3409" s="33">
        <f>COUNTIFS(Demand!$A$2:$A$4481,A3409,Demand!$B$2:$B$4481,B3409,Demand!$C$2:$C$4481,C3409)</f>
        <v>1</v>
      </c>
    </row>
    <row r="3410">
      <c r="A3410" s="32" t="str">
        <f>Demand!A3408</f>
        <v>S013</v>
      </c>
      <c r="B3410" s="35">
        <f>Demand!B3408</f>
        <v>46276.0</v>
      </c>
      <c r="C3410" s="33">
        <f>Demand!C3408</f>
        <v>22</v>
      </c>
      <c r="D3410" s="33">
        <f>Demand!E3408</f>
        <v>42</v>
      </c>
      <c r="E3410" s="33">
        <f>IF(Demand!F3408,1,0)</f>
        <v>0</v>
      </c>
      <c r="F3410" s="33">
        <f>COUNTIFS(c_store,A3410,c_date,B3410,c_hour,C3410)</f>
        <v>0</v>
      </c>
      <c r="G3410" s="33">
        <f>IF(F3410&gt;0,1,0)</f>
        <v>0</v>
      </c>
      <c r="H3410" s="33">
        <f>COUNTIFS(Demand!$A$2:$A$4481,A3410,Demand!$B$2:$B$4481,B3410,Demand!$C$2:$C$4481,C3410)</f>
        <v>1</v>
      </c>
    </row>
    <row r="3411">
      <c r="A3411" s="32" t="str">
        <f>Demand!A3409</f>
        <v>S013</v>
      </c>
      <c r="B3411" s="35">
        <f>Demand!B3409</f>
        <v>46276.0</v>
      </c>
      <c r="C3411" s="33">
        <f>Demand!C3409</f>
        <v>23</v>
      </c>
      <c r="D3411" s="33">
        <f>Demand!E3409</f>
        <v>51</v>
      </c>
      <c r="E3411" s="33">
        <f>IF(Demand!F3409,1,0)</f>
        <v>0</v>
      </c>
      <c r="F3411" s="33">
        <f>COUNTIFS(c_store,A3411,c_date,B3411,c_hour,C3411)</f>
        <v>0</v>
      </c>
      <c r="G3411" s="33">
        <f>IF(F3411&gt;0,1,0)</f>
        <v>0</v>
      </c>
      <c r="H3411" s="33">
        <f>COUNTIFS(Demand!$A$2:$A$4481,A3411,Demand!$B$2:$B$4481,B3411,Demand!$C$2:$C$4481,C3411)</f>
        <v>1</v>
      </c>
    </row>
    <row r="3412">
      <c r="A3412" s="32" t="str">
        <f>Demand!A3410</f>
        <v>S014</v>
      </c>
      <c r="B3412" s="35">
        <f>Demand!B3410</f>
        <v>46276.0</v>
      </c>
      <c r="C3412" s="33">
        <f>Demand!C3410</f>
        <v>8</v>
      </c>
      <c r="D3412" s="33">
        <f>Demand!E3410</f>
        <v>31</v>
      </c>
      <c r="E3412" s="33">
        <f>IF(Demand!F3410,1,0)</f>
        <v>0</v>
      </c>
      <c r="F3412" s="33">
        <f>COUNTIFS(c_store,A3412,c_date,B3412,c_hour,C3412)</f>
        <v>0</v>
      </c>
      <c r="G3412" s="33">
        <f>IF(F3412&gt;0,1,0)</f>
        <v>0</v>
      </c>
      <c r="H3412" s="33">
        <f>COUNTIFS(Demand!$A$2:$A$4481,A3412,Demand!$B$2:$B$4481,B3412,Demand!$C$2:$C$4481,C3412)</f>
        <v>1</v>
      </c>
    </row>
    <row r="3413">
      <c r="A3413" s="32" t="str">
        <f>Demand!A3411</f>
        <v>S014</v>
      </c>
      <c r="B3413" s="35">
        <f>Demand!B3411</f>
        <v>46276.0</v>
      </c>
      <c r="C3413" s="33">
        <f>Demand!C3411</f>
        <v>9</v>
      </c>
      <c r="D3413" s="33">
        <f>Demand!E3411</f>
        <v>31</v>
      </c>
      <c r="E3413" s="33">
        <f>IF(Demand!F3411,1,0)</f>
        <v>0</v>
      </c>
      <c r="F3413" s="33">
        <f>COUNTIFS(c_store,A3413,c_date,B3413,c_hour,C3413)</f>
        <v>0</v>
      </c>
      <c r="G3413" s="33">
        <f>IF(F3413&gt;0,1,0)</f>
        <v>0</v>
      </c>
      <c r="H3413" s="33">
        <f>COUNTIFS(Demand!$A$2:$A$4481,A3413,Demand!$B$2:$B$4481,B3413,Demand!$C$2:$C$4481,C3413)</f>
        <v>1</v>
      </c>
    </row>
    <row r="3414">
      <c r="A3414" s="32" t="str">
        <f>Demand!A3412</f>
        <v>S014</v>
      </c>
      <c r="B3414" s="35">
        <f>Demand!B3412</f>
        <v>46276.0</v>
      </c>
      <c r="C3414" s="33">
        <f>Demand!C3412</f>
        <v>10</v>
      </c>
      <c r="D3414" s="33">
        <f>Demand!E3412</f>
        <v>20</v>
      </c>
      <c r="E3414" s="33">
        <f>IF(Demand!F3412,1,0)</f>
        <v>0</v>
      </c>
      <c r="F3414" s="33">
        <f>COUNTIFS(c_store,A3414,c_date,B3414,c_hour,C3414)</f>
        <v>0</v>
      </c>
      <c r="G3414" s="33">
        <f>IF(F3414&gt;0,1,0)</f>
        <v>0</v>
      </c>
      <c r="H3414" s="33">
        <f>COUNTIFS(Demand!$A$2:$A$4481,A3414,Demand!$B$2:$B$4481,B3414,Demand!$C$2:$C$4481,C3414)</f>
        <v>1</v>
      </c>
    </row>
    <row r="3415">
      <c r="A3415" s="32" t="str">
        <f>Demand!A3413</f>
        <v>S014</v>
      </c>
      <c r="B3415" s="35">
        <f>Demand!B3413</f>
        <v>46276.0</v>
      </c>
      <c r="C3415" s="33">
        <f>Demand!C3413</f>
        <v>11</v>
      </c>
      <c r="D3415" s="33">
        <f>Demand!E3413</f>
        <v>37</v>
      </c>
      <c r="E3415" s="33">
        <f>IF(Demand!F3413,1,0)</f>
        <v>0</v>
      </c>
      <c r="F3415" s="33">
        <f>COUNTIFS(c_store,A3415,c_date,B3415,c_hour,C3415)</f>
        <v>0</v>
      </c>
      <c r="G3415" s="33">
        <f>IF(F3415&gt;0,1,0)</f>
        <v>0</v>
      </c>
      <c r="H3415" s="33">
        <f>COUNTIFS(Demand!$A$2:$A$4481,A3415,Demand!$B$2:$B$4481,B3415,Demand!$C$2:$C$4481,C3415)</f>
        <v>1</v>
      </c>
    </row>
    <row r="3416">
      <c r="A3416" s="32" t="str">
        <f>Demand!A3414</f>
        <v>S014</v>
      </c>
      <c r="B3416" s="35">
        <f>Demand!B3414</f>
        <v>46276.0</v>
      </c>
      <c r="C3416" s="33">
        <f>Demand!C3414</f>
        <v>12</v>
      </c>
      <c r="D3416" s="33">
        <f>Demand!E3414</f>
        <v>34</v>
      </c>
      <c r="E3416" s="33">
        <f>IF(Demand!F3414,1,0)</f>
        <v>0</v>
      </c>
      <c r="F3416" s="33">
        <f>COUNTIFS(c_store,A3416,c_date,B3416,c_hour,C3416)</f>
        <v>0</v>
      </c>
      <c r="G3416" s="33">
        <f>IF(F3416&gt;0,1,0)</f>
        <v>0</v>
      </c>
      <c r="H3416" s="33">
        <f>COUNTIFS(Demand!$A$2:$A$4481,A3416,Demand!$B$2:$B$4481,B3416,Demand!$C$2:$C$4481,C3416)</f>
        <v>1</v>
      </c>
    </row>
    <row r="3417">
      <c r="A3417" s="32" t="str">
        <f>Demand!A3415</f>
        <v>S014</v>
      </c>
      <c r="B3417" s="35">
        <f>Demand!B3415</f>
        <v>46276.0</v>
      </c>
      <c r="C3417" s="33">
        <f>Demand!C3415</f>
        <v>13</v>
      </c>
      <c r="D3417" s="33">
        <f>Demand!E3415</f>
        <v>31</v>
      </c>
      <c r="E3417" s="33">
        <f>IF(Demand!F3415,1,0)</f>
        <v>0</v>
      </c>
      <c r="F3417" s="33">
        <f>COUNTIFS(c_store,A3417,c_date,B3417,c_hour,C3417)</f>
        <v>0</v>
      </c>
      <c r="G3417" s="33">
        <f>IF(F3417&gt;0,1,0)</f>
        <v>0</v>
      </c>
      <c r="H3417" s="33">
        <f>COUNTIFS(Demand!$A$2:$A$4481,A3417,Demand!$B$2:$B$4481,B3417,Demand!$C$2:$C$4481,C3417)</f>
        <v>1</v>
      </c>
    </row>
    <row r="3418">
      <c r="A3418" s="32" t="str">
        <f>Demand!A3416</f>
        <v>S014</v>
      </c>
      <c r="B3418" s="35">
        <f>Demand!B3416</f>
        <v>46276.0</v>
      </c>
      <c r="C3418" s="33">
        <f>Demand!C3416</f>
        <v>14</v>
      </c>
      <c r="D3418" s="33">
        <f>Demand!E3416</f>
        <v>20</v>
      </c>
      <c r="E3418" s="33">
        <f>IF(Demand!F3416,1,0)</f>
        <v>0</v>
      </c>
      <c r="F3418" s="33">
        <f>COUNTIFS(c_store,A3418,c_date,B3418,c_hour,C3418)</f>
        <v>1</v>
      </c>
      <c r="G3418" s="33">
        <f>IF(F3418&gt;0,1,0)</f>
        <v>1</v>
      </c>
      <c r="H3418" s="33">
        <f>COUNTIFS(Demand!$A$2:$A$4481,A3418,Demand!$B$2:$B$4481,B3418,Demand!$C$2:$C$4481,C3418)</f>
        <v>1</v>
      </c>
    </row>
    <row r="3419">
      <c r="A3419" s="32" t="str">
        <f>Demand!A3417</f>
        <v>S014</v>
      </c>
      <c r="B3419" s="35">
        <f>Demand!B3417</f>
        <v>46276.0</v>
      </c>
      <c r="C3419" s="33">
        <f>Demand!C3417</f>
        <v>15</v>
      </c>
      <c r="D3419" s="33">
        <f>Demand!E3417</f>
        <v>32</v>
      </c>
      <c r="E3419" s="33">
        <f>IF(Demand!F3417,1,0)</f>
        <v>0</v>
      </c>
      <c r="F3419" s="33">
        <f>COUNTIFS(c_store,A3419,c_date,B3419,c_hour,C3419)</f>
        <v>0</v>
      </c>
      <c r="G3419" s="33">
        <f>IF(F3419&gt;0,1,0)</f>
        <v>0</v>
      </c>
      <c r="H3419" s="33">
        <f>COUNTIFS(Demand!$A$2:$A$4481,A3419,Demand!$B$2:$B$4481,B3419,Demand!$C$2:$C$4481,C3419)</f>
        <v>1</v>
      </c>
    </row>
    <row r="3420">
      <c r="A3420" s="32" t="str">
        <f>Demand!A3418</f>
        <v>S014</v>
      </c>
      <c r="B3420" s="35">
        <f>Demand!B3418</f>
        <v>46276.0</v>
      </c>
      <c r="C3420" s="33">
        <f>Demand!C3418</f>
        <v>16</v>
      </c>
      <c r="D3420" s="33">
        <f>Demand!E3418</f>
        <v>40</v>
      </c>
      <c r="E3420" s="33">
        <f>IF(Demand!F3418,1,0)</f>
        <v>0</v>
      </c>
      <c r="F3420" s="33">
        <f>COUNTIFS(c_store,A3420,c_date,B3420,c_hour,C3420)</f>
        <v>0</v>
      </c>
      <c r="G3420" s="33">
        <f>IF(F3420&gt;0,1,0)</f>
        <v>0</v>
      </c>
      <c r="H3420" s="33">
        <f>COUNTIFS(Demand!$A$2:$A$4481,A3420,Demand!$B$2:$B$4481,B3420,Demand!$C$2:$C$4481,C3420)</f>
        <v>1</v>
      </c>
    </row>
    <row r="3421">
      <c r="A3421" s="32" t="str">
        <f>Demand!A3419</f>
        <v>S014</v>
      </c>
      <c r="B3421" s="35">
        <f>Demand!B3419</f>
        <v>46276.0</v>
      </c>
      <c r="C3421" s="33">
        <f>Demand!C3419</f>
        <v>17</v>
      </c>
      <c r="D3421" s="33">
        <f>Demand!E3419</f>
        <v>40</v>
      </c>
      <c r="E3421" s="33">
        <f>IF(Demand!F3419,1,0)</f>
        <v>0</v>
      </c>
      <c r="F3421" s="33">
        <f>COUNTIFS(c_store,A3421,c_date,B3421,c_hour,C3421)</f>
        <v>0</v>
      </c>
      <c r="G3421" s="33">
        <f>IF(F3421&gt;0,1,0)</f>
        <v>0</v>
      </c>
      <c r="H3421" s="33">
        <f>COUNTIFS(Demand!$A$2:$A$4481,A3421,Demand!$B$2:$B$4481,B3421,Demand!$C$2:$C$4481,C3421)</f>
        <v>1</v>
      </c>
    </row>
    <row r="3422">
      <c r="A3422" s="32" t="str">
        <f>Demand!A3420</f>
        <v>S014</v>
      </c>
      <c r="B3422" s="35">
        <f>Demand!B3420</f>
        <v>46276.0</v>
      </c>
      <c r="C3422" s="33">
        <f>Demand!C3420</f>
        <v>18</v>
      </c>
      <c r="D3422" s="33">
        <f>Demand!E3420</f>
        <v>48</v>
      </c>
      <c r="E3422" s="33">
        <f>IF(Demand!F3420,1,0)</f>
        <v>0</v>
      </c>
      <c r="F3422" s="33">
        <f>COUNTIFS(c_store,A3422,c_date,B3422,c_hour,C3422)</f>
        <v>1</v>
      </c>
      <c r="G3422" s="33">
        <f>IF(F3422&gt;0,1,0)</f>
        <v>1</v>
      </c>
      <c r="H3422" s="33">
        <f>COUNTIFS(Demand!$A$2:$A$4481,A3422,Demand!$B$2:$B$4481,B3422,Demand!$C$2:$C$4481,C3422)</f>
        <v>1</v>
      </c>
    </row>
    <row r="3423">
      <c r="A3423" s="32" t="str">
        <f>Demand!A3421</f>
        <v>S014</v>
      </c>
      <c r="B3423" s="35">
        <f>Demand!B3421</f>
        <v>46276.0</v>
      </c>
      <c r="C3423" s="33">
        <f>Demand!C3421</f>
        <v>19</v>
      </c>
      <c r="D3423" s="33">
        <f>Demand!E3421</f>
        <v>56</v>
      </c>
      <c r="E3423" s="33">
        <f>IF(Demand!F3421,1,0)</f>
        <v>1</v>
      </c>
      <c r="F3423" s="33">
        <f>COUNTIFS(c_store,A3423,c_date,B3423,c_hour,C3423)</f>
        <v>1</v>
      </c>
      <c r="G3423" s="33">
        <f>IF(F3423&gt;0,1,0)</f>
        <v>1</v>
      </c>
      <c r="H3423" s="33">
        <f>COUNTIFS(Demand!$A$2:$A$4481,A3423,Demand!$B$2:$B$4481,B3423,Demand!$C$2:$C$4481,C3423)</f>
        <v>1</v>
      </c>
    </row>
    <row r="3424">
      <c r="A3424" s="32" t="str">
        <f>Demand!A3422</f>
        <v>S014</v>
      </c>
      <c r="B3424" s="35">
        <f>Demand!B3422</f>
        <v>46276.0</v>
      </c>
      <c r="C3424" s="33">
        <f>Demand!C3422</f>
        <v>20</v>
      </c>
      <c r="D3424" s="33">
        <f>Demand!E3422</f>
        <v>58</v>
      </c>
      <c r="E3424" s="33">
        <f>IF(Demand!F3422,1,0)</f>
        <v>1</v>
      </c>
      <c r="F3424" s="33">
        <f>COUNTIFS(c_store,A3424,c_date,B3424,c_hour,C3424)</f>
        <v>0</v>
      </c>
      <c r="G3424" s="33">
        <f>IF(F3424&gt;0,1,0)</f>
        <v>0</v>
      </c>
      <c r="H3424" s="33">
        <f>COUNTIFS(Demand!$A$2:$A$4481,A3424,Demand!$B$2:$B$4481,B3424,Demand!$C$2:$C$4481,C3424)</f>
        <v>1</v>
      </c>
    </row>
    <row r="3425">
      <c r="A3425" s="32" t="str">
        <f>Demand!A3423</f>
        <v>S014</v>
      </c>
      <c r="B3425" s="35">
        <f>Demand!B3423</f>
        <v>46276.0</v>
      </c>
      <c r="C3425" s="33">
        <f>Demand!C3423</f>
        <v>21</v>
      </c>
      <c r="D3425" s="33">
        <f>Demand!E3423</f>
        <v>49</v>
      </c>
      <c r="E3425" s="33">
        <f>IF(Demand!F3423,1,0)</f>
        <v>1</v>
      </c>
      <c r="F3425" s="33">
        <f>COUNTIFS(c_store,A3425,c_date,B3425,c_hour,C3425)</f>
        <v>1</v>
      </c>
      <c r="G3425" s="33">
        <f>IF(F3425&gt;0,1,0)</f>
        <v>1</v>
      </c>
      <c r="H3425" s="33">
        <f>COUNTIFS(Demand!$A$2:$A$4481,A3425,Demand!$B$2:$B$4481,B3425,Demand!$C$2:$C$4481,C3425)</f>
        <v>1</v>
      </c>
    </row>
    <row r="3426">
      <c r="A3426" s="32" t="str">
        <f>Demand!A3424</f>
        <v>S014</v>
      </c>
      <c r="B3426" s="35">
        <f>Demand!B3424</f>
        <v>46276.0</v>
      </c>
      <c r="C3426" s="33">
        <f>Demand!C3424</f>
        <v>22</v>
      </c>
      <c r="D3426" s="33">
        <f>Demand!E3424</f>
        <v>36</v>
      </c>
      <c r="E3426" s="33">
        <f>IF(Demand!F3424,1,0)</f>
        <v>0</v>
      </c>
      <c r="F3426" s="33">
        <f>COUNTIFS(c_store,A3426,c_date,B3426,c_hour,C3426)</f>
        <v>0</v>
      </c>
      <c r="G3426" s="33">
        <f>IF(F3426&gt;0,1,0)</f>
        <v>0</v>
      </c>
      <c r="H3426" s="33">
        <f>COUNTIFS(Demand!$A$2:$A$4481,A3426,Demand!$B$2:$B$4481,B3426,Demand!$C$2:$C$4481,C3426)</f>
        <v>1</v>
      </c>
    </row>
    <row r="3427">
      <c r="A3427" s="32" t="str">
        <f>Demand!A3425</f>
        <v>S014</v>
      </c>
      <c r="B3427" s="35">
        <f>Demand!B3425</f>
        <v>46276.0</v>
      </c>
      <c r="C3427" s="33">
        <f>Demand!C3425</f>
        <v>23</v>
      </c>
      <c r="D3427" s="33">
        <f>Demand!E3425</f>
        <v>40</v>
      </c>
      <c r="E3427" s="33">
        <f>IF(Demand!F3425,1,0)</f>
        <v>0</v>
      </c>
      <c r="F3427" s="33">
        <f>COUNTIFS(c_store,A3427,c_date,B3427,c_hour,C3427)</f>
        <v>0</v>
      </c>
      <c r="G3427" s="33">
        <f>IF(F3427&gt;0,1,0)</f>
        <v>0</v>
      </c>
      <c r="H3427" s="33">
        <f>COUNTIFS(Demand!$A$2:$A$4481,A3427,Demand!$B$2:$B$4481,B3427,Demand!$C$2:$C$4481,C3427)</f>
        <v>1</v>
      </c>
    </row>
    <row r="3428">
      <c r="A3428" s="32" t="str">
        <f>Demand!A3426</f>
        <v>S015</v>
      </c>
      <c r="B3428" s="35">
        <f>Demand!B3426</f>
        <v>46276.0</v>
      </c>
      <c r="C3428" s="33">
        <f>Demand!C3426</f>
        <v>8</v>
      </c>
      <c r="D3428" s="33">
        <f>Demand!E3426</f>
        <v>23</v>
      </c>
      <c r="E3428" s="33">
        <f>IF(Demand!F3426,1,0)</f>
        <v>0</v>
      </c>
      <c r="F3428" s="33">
        <f>COUNTIFS(c_store,A3428,c_date,B3428,c_hour,C3428)</f>
        <v>1</v>
      </c>
      <c r="G3428" s="33">
        <f>IF(F3428&gt;0,1,0)</f>
        <v>1</v>
      </c>
      <c r="H3428" s="33">
        <f>COUNTIFS(Demand!$A$2:$A$4481,A3428,Demand!$B$2:$B$4481,B3428,Demand!$C$2:$C$4481,C3428)</f>
        <v>1</v>
      </c>
    </row>
    <row r="3429">
      <c r="A3429" s="32" t="str">
        <f>Demand!A3427</f>
        <v>S015</v>
      </c>
      <c r="B3429" s="35">
        <f>Demand!B3427</f>
        <v>46276.0</v>
      </c>
      <c r="C3429" s="33">
        <f>Demand!C3427</f>
        <v>9</v>
      </c>
      <c r="D3429" s="33">
        <f>Demand!E3427</f>
        <v>14</v>
      </c>
      <c r="E3429" s="33">
        <f>IF(Demand!F3427,1,0)</f>
        <v>0</v>
      </c>
      <c r="F3429" s="33">
        <f>COUNTIFS(c_store,A3429,c_date,B3429,c_hour,C3429)</f>
        <v>1</v>
      </c>
      <c r="G3429" s="33">
        <f>IF(F3429&gt;0,1,0)</f>
        <v>1</v>
      </c>
      <c r="H3429" s="33">
        <f>COUNTIFS(Demand!$A$2:$A$4481,A3429,Demand!$B$2:$B$4481,B3429,Demand!$C$2:$C$4481,C3429)</f>
        <v>1</v>
      </c>
    </row>
    <row r="3430">
      <c r="A3430" s="32" t="str">
        <f>Demand!A3428</f>
        <v>S015</v>
      </c>
      <c r="B3430" s="35">
        <f>Demand!B3428</f>
        <v>46276.0</v>
      </c>
      <c r="C3430" s="33">
        <f>Demand!C3428</f>
        <v>10</v>
      </c>
      <c r="D3430" s="33">
        <f>Demand!E3428</f>
        <v>21</v>
      </c>
      <c r="E3430" s="33">
        <f>IF(Demand!F3428,1,0)</f>
        <v>0</v>
      </c>
      <c r="F3430" s="33">
        <f>COUNTIFS(c_store,A3430,c_date,B3430,c_hour,C3430)</f>
        <v>0</v>
      </c>
      <c r="G3430" s="33">
        <f>IF(F3430&gt;0,1,0)</f>
        <v>0</v>
      </c>
      <c r="H3430" s="33">
        <f>COUNTIFS(Demand!$A$2:$A$4481,A3430,Demand!$B$2:$B$4481,B3430,Demand!$C$2:$C$4481,C3430)</f>
        <v>1</v>
      </c>
    </row>
    <row r="3431">
      <c r="A3431" s="32" t="str">
        <f>Demand!A3429</f>
        <v>S015</v>
      </c>
      <c r="B3431" s="35">
        <f>Demand!B3429</f>
        <v>46276.0</v>
      </c>
      <c r="C3431" s="33">
        <f>Demand!C3429</f>
        <v>11</v>
      </c>
      <c r="D3431" s="33">
        <f>Demand!E3429</f>
        <v>20</v>
      </c>
      <c r="E3431" s="33">
        <f>IF(Demand!F3429,1,0)</f>
        <v>0</v>
      </c>
      <c r="F3431" s="33">
        <f>COUNTIFS(c_store,A3431,c_date,B3431,c_hour,C3431)</f>
        <v>0</v>
      </c>
      <c r="G3431" s="33">
        <f>IF(F3431&gt;0,1,0)</f>
        <v>0</v>
      </c>
      <c r="H3431" s="33">
        <f>COUNTIFS(Demand!$A$2:$A$4481,A3431,Demand!$B$2:$B$4481,B3431,Demand!$C$2:$C$4481,C3431)</f>
        <v>1</v>
      </c>
    </row>
    <row r="3432">
      <c r="A3432" s="32" t="str">
        <f>Demand!A3430</f>
        <v>S015</v>
      </c>
      <c r="B3432" s="35">
        <f>Demand!B3430</f>
        <v>46276.0</v>
      </c>
      <c r="C3432" s="33">
        <f>Demand!C3430</f>
        <v>12</v>
      </c>
      <c r="D3432" s="33">
        <f>Demand!E3430</f>
        <v>16</v>
      </c>
      <c r="E3432" s="33">
        <f>IF(Demand!F3430,1,0)</f>
        <v>0</v>
      </c>
      <c r="F3432" s="33">
        <f>COUNTIFS(c_store,A3432,c_date,B3432,c_hour,C3432)</f>
        <v>1</v>
      </c>
      <c r="G3432" s="33">
        <f>IF(F3432&gt;0,1,0)</f>
        <v>1</v>
      </c>
      <c r="H3432" s="33">
        <f>COUNTIFS(Demand!$A$2:$A$4481,A3432,Demand!$B$2:$B$4481,B3432,Demand!$C$2:$C$4481,C3432)</f>
        <v>1</v>
      </c>
    </row>
    <row r="3433">
      <c r="A3433" s="32" t="str">
        <f>Demand!A3431</f>
        <v>S015</v>
      </c>
      <c r="B3433" s="35">
        <f>Demand!B3431</f>
        <v>46276.0</v>
      </c>
      <c r="C3433" s="33">
        <f>Demand!C3431</f>
        <v>13</v>
      </c>
      <c r="D3433" s="33">
        <f>Demand!E3431</f>
        <v>16</v>
      </c>
      <c r="E3433" s="33">
        <f>IF(Demand!F3431,1,0)</f>
        <v>0</v>
      </c>
      <c r="F3433" s="33">
        <f>COUNTIFS(c_store,A3433,c_date,B3433,c_hour,C3433)</f>
        <v>0</v>
      </c>
      <c r="G3433" s="33">
        <f>IF(F3433&gt;0,1,0)</f>
        <v>0</v>
      </c>
      <c r="H3433" s="33">
        <f>COUNTIFS(Demand!$A$2:$A$4481,A3433,Demand!$B$2:$B$4481,B3433,Demand!$C$2:$C$4481,C3433)</f>
        <v>1</v>
      </c>
    </row>
    <row r="3434">
      <c r="A3434" s="32" t="str">
        <f>Demand!A3432</f>
        <v>S015</v>
      </c>
      <c r="B3434" s="35">
        <f>Demand!B3432</f>
        <v>46276.0</v>
      </c>
      <c r="C3434" s="33">
        <f>Demand!C3432</f>
        <v>14</v>
      </c>
      <c r="D3434" s="33">
        <f>Demand!E3432</f>
        <v>16</v>
      </c>
      <c r="E3434" s="33">
        <f>IF(Demand!F3432,1,0)</f>
        <v>0</v>
      </c>
      <c r="F3434" s="33">
        <f>COUNTIFS(c_store,A3434,c_date,B3434,c_hour,C3434)</f>
        <v>0</v>
      </c>
      <c r="G3434" s="33">
        <f>IF(F3434&gt;0,1,0)</f>
        <v>0</v>
      </c>
      <c r="H3434" s="33">
        <f>COUNTIFS(Demand!$A$2:$A$4481,A3434,Demand!$B$2:$B$4481,B3434,Demand!$C$2:$C$4481,C3434)</f>
        <v>1</v>
      </c>
    </row>
    <row r="3435">
      <c r="A3435" s="32" t="str">
        <f>Demand!A3433</f>
        <v>S015</v>
      </c>
      <c r="B3435" s="35">
        <f>Demand!B3433</f>
        <v>46276.0</v>
      </c>
      <c r="C3435" s="33">
        <f>Demand!C3433</f>
        <v>15</v>
      </c>
      <c r="D3435" s="33">
        <f>Demand!E3433</f>
        <v>15</v>
      </c>
      <c r="E3435" s="33">
        <f>IF(Demand!F3433,1,0)</f>
        <v>0</v>
      </c>
      <c r="F3435" s="33">
        <f>COUNTIFS(c_store,A3435,c_date,B3435,c_hour,C3435)</f>
        <v>0</v>
      </c>
      <c r="G3435" s="33">
        <f>IF(F3435&gt;0,1,0)</f>
        <v>0</v>
      </c>
      <c r="H3435" s="33">
        <f>COUNTIFS(Demand!$A$2:$A$4481,A3435,Demand!$B$2:$B$4481,B3435,Demand!$C$2:$C$4481,C3435)</f>
        <v>1</v>
      </c>
    </row>
    <row r="3436">
      <c r="A3436" s="32" t="str">
        <f>Demand!A3434</f>
        <v>S015</v>
      </c>
      <c r="B3436" s="35">
        <f>Demand!B3434</f>
        <v>46276.0</v>
      </c>
      <c r="C3436" s="33">
        <f>Demand!C3434</f>
        <v>16</v>
      </c>
      <c r="D3436" s="33">
        <f>Demand!E3434</f>
        <v>12</v>
      </c>
      <c r="E3436" s="33">
        <f>IF(Demand!F3434,1,0)</f>
        <v>0</v>
      </c>
      <c r="F3436" s="33">
        <f>COUNTIFS(c_store,A3436,c_date,B3436,c_hour,C3436)</f>
        <v>1</v>
      </c>
      <c r="G3436" s="33">
        <f>IF(F3436&gt;0,1,0)</f>
        <v>1</v>
      </c>
      <c r="H3436" s="33">
        <f>COUNTIFS(Demand!$A$2:$A$4481,A3436,Demand!$B$2:$B$4481,B3436,Demand!$C$2:$C$4481,C3436)</f>
        <v>1</v>
      </c>
    </row>
    <row r="3437">
      <c r="A3437" s="32" t="str">
        <f>Demand!A3435</f>
        <v>S015</v>
      </c>
      <c r="B3437" s="35">
        <f>Demand!B3435</f>
        <v>46276.0</v>
      </c>
      <c r="C3437" s="33">
        <f>Demand!C3435</f>
        <v>17</v>
      </c>
      <c r="D3437" s="33">
        <f>Demand!E3435</f>
        <v>33</v>
      </c>
      <c r="E3437" s="33">
        <f>IF(Demand!F3435,1,0)</f>
        <v>0</v>
      </c>
      <c r="F3437" s="33">
        <f>COUNTIFS(c_store,A3437,c_date,B3437,c_hour,C3437)</f>
        <v>0</v>
      </c>
      <c r="G3437" s="33">
        <f>IF(F3437&gt;0,1,0)</f>
        <v>0</v>
      </c>
      <c r="H3437" s="33">
        <f>COUNTIFS(Demand!$A$2:$A$4481,A3437,Demand!$B$2:$B$4481,B3437,Demand!$C$2:$C$4481,C3437)</f>
        <v>1</v>
      </c>
    </row>
    <row r="3438">
      <c r="A3438" s="32" t="str">
        <f>Demand!A3436</f>
        <v>S015</v>
      </c>
      <c r="B3438" s="35">
        <f>Demand!B3436</f>
        <v>46276.0</v>
      </c>
      <c r="C3438" s="33">
        <f>Demand!C3436</f>
        <v>18</v>
      </c>
      <c r="D3438" s="33">
        <f>Demand!E3436</f>
        <v>19</v>
      </c>
      <c r="E3438" s="33">
        <f>IF(Demand!F3436,1,0)</f>
        <v>0</v>
      </c>
      <c r="F3438" s="33">
        <f>COUNTIFS(c_store,A3438,c_date,B3438,c_hour,C3438)</f>
        <v>1</v>
      </c>
      <c r="G3438" s="33">
        <f>IF(F3438&gt;0,1,0)</f>
        <v>1</v>
      </c>
      <c r="H3438" s="33">
        <f>COUNTIFS(Demand!$A$2:$A$4481,A3438,Demand!$B$2:$B$4481,B3438,Demand!$C$2:$C$4481,C3438)</f>
        <v>1</v>
      </c>
    </row>
    <row r="3439">
      <c r="A3439" s="32" t="str">
        <f>Demand!A3437</f>
        <v>S015</v>
      </c>
      <c r="B3439" s="35">
        <f>Demand!B3437</f>
        <v>46276.0</v>
      </c>
      <c r="C3439" s="33">
        <f>Demand!C3437</f>
        <v>19</v>
      </c>
      <c r="D3439" s="33">
        <f>Demand!E3437</f>
        <v>32</v>
      </c>
      <c r="E3439" s="33">
        <f>IF(Demand!F3437,1,0)</f>
        <v>1</v>
      </c>
      <c r="F3439" s="33">
        <f>COUNTIFS(c_store,A3439,c_date,B3439,c_hour,C3439)</f>
        <v>0</v>
      </c>
      <c r="G3439" s="33">
        <f>IF(F3439&gt;0,1,0)</f>
        <v>0</v>
      </c>
      <c r="H3439" s="33">
        <f>COUNTIFS(Demand!$A$2:$A$4481,A3439,Demand!$B$2:$B$4481,B3439,Demand!$C$2:$C$4481,C3439)</f>
        <v>1</v>
      </c>
    </row>
    <row r="3440">
      <c r="A3440" s="32" t="str">
        <f>Demand!A3438</f>
        <v>S015</v>
      </c>
      <c r="B3440" s="35">
        <f>Demand!B3438</f>
        <v>46276.0</v>
      </c>
      <c r="C3440" s="33">
        <f>Demand!C3438</f>
        <v>20</v>
      </c>
      <c r="D3440" s="33">
        <f>Demand!E3438</f>
        <v>22</v>
      </c>
      <c r="E3440" s="33">
        <f>IF(Demand!F3438,1,0)</f>
        <v>1</v>
      </c>
      <c r="F3440" s="33">
        <f>COUNTIFS(c_store,A3440,c_date,B3440,c_hour,C3440)</f>
        <v>0</v>
      </c>
      <c r="G3440" s="33">
        <f>IF(F3440&gt;0,1,0)</f>
        <v>0</v>
      </c>
      <c r="H3440" s="33">
        <f>COUNTIFS(Demand!$A$2:$A$4481,A3440,Demand!$B$2:$B$4481,B3440,Demand!$C$2:$C$4481,C3440)</f>
        <v>1</v>
      </c>
    </row>
    <row r="3441">
      <c r="A3441" s="32" t="str">
        <f>Demand!A3439</f>
        <v>S015</v>
      </c>
      <c r="B3441" s="35">
        <f>Demand!B3439</f>
        <v>46276.0</v>
      </c>
      <c r="C3441" s="33">
        <f>Demand!C3439</f>
        <v>21</v>
      </c>
      <c r="D3441" s="33">
        <f>Demand!E3439</f>
        <v>37</v>
      </c>
      <c r="E3441" s="33">
        <f>IF(Demand!F3439,1,0)</f>
        <v>1</v>
      </c>
      <c r="F3441" s="33">
        <f>COUNTIFS(c_store,A3441,c_date,B3441,c_hour,C3441)</f>
        <v>0</v>
      </c>
      <c r="G3441" s="33">
        <f>IF(F3441&gt;0,1,0)</f>
        <v>0</v>
      </c>
      <c r="H3441" s="33">
        <f>COUNTIFS(Demand!$A$2:$A$4481,A3441,Demand!$B$2:$B$4481,B3441,Demand!$C$2:$C$4481,C3441)</f>
        <v>1</v>
      </c>
    </row>
    <row r="3442">
      <c r="A3442" s="32" t="str">
        <f>Demand!A3440</f>
        <v>S015</v>
      </c>
      <c r="B3442" s="35">
        <f>Demand!B3440</f>
        <v>46276.0</v>
      </c>
      <c r="C3442" s="33">
        <f>Demand!C3440</f>
        <v>22</v>
      </c>
      <c r="D3442" s="33">
        <f>Demand!E3440</f>
        <v>27</v>
      </c>
      <c r="E3442" s="33">
        <f>IF(Demand!F3440,1,0)</f>
        <v>0</v>
      </c>
      <c r="F3442" s="33">
        <f>COUNTIFS(c_store,A3442,c_date,B3442,c_hour,C3442)</f>
        <v>0</v>
      </c>
      <c r="G3442" s="33">
        <f>IF(F3442&gt;0,1,0)</f>
        <v>0</v>
      </c>
      <c r="H3442" s="33">
        <f>COUNTIFS(Demand!$A$2:$A$4481,A3442,Demand!$B$2:$B$4481,B3442,Demand!$C$2:$C$4481,C3442)</f>
        <v>1</v>
      </c>
    </row>
    <row r="3443">
      <c r="A3443" s="32" t="str">
        <f>Demand!A3441</f>
        <v>S015</v>
      </c>
      <c r="B3443" s="35">
        <f>Demand!B3441</f>
        <v>46276.0</v>
      </c>
      <c r="C3443" s="33">
        <f>Demand!C3441</f>
        <v>23</v>
      </c>
      <c r="D3443" s="33">
        <f>Demand!E3441</f>
        <v>27</v>
      </c>
      <c r="E3443" s="33">
        <f>IF(Demand!F3441,1,0)</f>
        <v>0</v>
      </c>
      <c r="F3443" s="33">
        <f>COUNTIFS(c_store,A3443,c_date,B3443,c_hour,C3443)</f>
        <v>0</v>
      </c>
      <c r="G3443" s="33">
        <f>IF(F3443&gt;0,1,0)</f>
        <v>0</v>
      </c>
      <c r="H3443" s="33">
        <f>COUNTIFS(Demand!$A$2:$A$4481,A3443,Demand!$B$2:$B$4481,B3443,Demand!$C$2:$C$4481,C3443)</f>
        <v>1</v>
      </c>
    </row>
    <row r="3444">
      <c r="A3444" s="32" t="str">
        <f>Demand!A3442</f>
        <v>S016</v>
      </c>
      <c r="B3444" s="35">
        <f>Demand!B3442</f>
        <v>46276.0</v>
      </c>
      <c r="C3444" s="33">
        <f>Demand!C3442</f>
        <v>8</v>
      </c>
      <c r="D3444" s="33">
        <f>Demand!E3442</f>
        <v>19</v>
      </c>
      <c r="E3444" s="33">
        <f>IF(Demand!F3442,1,0)</f>
        <v>0</v>
      </c>
      <c r="F3444" s="33">
        <f>COUNTIFS(c_store,A3444,c_date,B3444,c_hour,C3444)</f>
        <v>0</v>
      </c>
      <c r="G3444" s="33">
        <f>IF(F3444&gt;0,1,0)</f>
        <v>0</v>
      </c>
      <c r="H3444" s="33">
        <f>COUNTIFS(Demand!$A$2:$A$4481,A3444,Demand!$B$2:$B$4481,B3444,Demand!$C$2:$C$4481,C3444)</f>
        <v>1</v>
      </c>
    </row>
    <row r="3445">
      <c r="A3445" s="32" t="str">
        <f>Demand!A3443</f>
        <v>S016</v>
      </c>
      <c r="B3445" s="35">
        <f>Demand!B3443</f>
        <v>46276.0</v>
      </c>
      <c r="C3445" s="33">
        <f>Demand!C3443</f>
        <v>9</v>
      </c>
      <c r="D3445" s="33">
        <f>Demand!E3443</f>
        <v>18</v>
      </c>
      <c r="E3445" s="33">
        <f>IF(Demand!F3443,1,0)</f>
        <v>0</v>
      </c>
      <c r="F3445" s="33">
        <f>COUNTIFS(c_store,A3445,c_date,B3445,c_hour,C3445)</f>
        <v>1</v>
      </c>
      <c r="G3445" s="33">
        <f>IF(F3445&gt;0,1,0)</f>
        <v>1</v>
      </c>
      <c r="H3445" s="33">
        <f>COUNTIFS(Demand!$A$2:$A$4481,A3445,Demand!$B$2:$B$4481,B3445,Demand!$C$2:$C$4481,C3445)</f>
        <v>1</v>
      </c>
    </row>
    <row r="3446">
      <c r="A3446" s="32" t="str">
        <f>Demand!A3444</f>
        <v>S016</v>
      </c>
      <c r="B3446" s="35">
        <f>Demand!B3444</f>
        <v>46276.0</v>
      </c>
      <c r="C3446" s="33">
        <f>Demand!C3444</f>
        <v>10</v>
      </c>
      <c r="D3446" s="33">
        <f>Demand!E3444</f>
        <v>18</v>
      </c>
      <c r="E3446" s="33">
        <f>IF(Demand!F3444,1,0)</f>
        <v>0</v>
      </c>
      <c r="F3446" s="33">
        <f>COUNTIFS(c_store,A3446,c_date,B3446,c_hour,C3446)</f>
        <v>1</v>
      </c>
      <c r="G3446" s="33">
        <f>IF(F3446&gt;0,1,0)</f>
        <v>1</v>
      </c>
      <c r="H3446" s="33">
        <f>COUNTIFS(Demand!$A$2:$A$4481,A3446,Demand!$B$2:$B$4481,B3446,Demand!$C$2:$C$4481,C3446)</f>
        <v>1</v>
      </c>
    </row>
    <row r="3447">
      <c r="A3447" s="32" t="str">
        <f>Demand!A3445</f>
        <v>S016</v>
      </c>
      <c r="B3447" s="35">
        <f>Demand!B3445</f>
        <v>46276.0</v>
      </c>
      <c r="C3447" s="33">
        <f>Demand!C3445</f>
        <v>11</v>
      </c>
      <c r="D3447" s="33">
        <f>Demand!E3445</f>
        <v>26</v>
      </c>
      <c r="E3447" s="33">
        <f>IF(Demand!F3445,1,0)</f>
        <v>0</v>
      </c>
      <c r="F3447" s="33">
        <f>COUNTIFS(c_store,A3447,c_date,B3447,c_hour,C3447)</f>
        <v>0</v>
      </c>
      <c r="G3447" s="33">
        <f>IF(F3447&gt;0,1,0)</f>
        <v>0</v>
      </c>
      <c r="H3447" s="33">
        <f>COUNTIFS(Demand!$A$2:$A$4481,A3447,Demand!$B$2:$B$4481,B3447,Demand!$C$2:$C$4481,C3447)</f>
        <v>1</v>
      </c>
    </row>
    <row r="3448">
      <c r="A3448" s="32" t="str">
        <f>Demand!A3446</f>
        <v>S016</v>
      </c>
      <c r="B3448" s="35">
        <f>Demand!B3446</f>
        <v>46276.0</v>
      </c>
      <c r="C3448" s="33">
        <f>Demand!C3446</f>
        <v>12</v>
      </c>
      <c r="D3448" s="33">
        <f>Demand!E3446</f>
        <v>29</v>
      </c>
      <c r="E3448" s="33">
        <f>IF(Demand!F3446,1,0)</f>
        <v>0</v>
      </c>
      <c r="F3448" s="33">
        <f>COUNTIFS(c_store,A3448,c_date,B3448,c_hour,C3448)</f>
        <v>0</v>
      </c>
      <c r="G3448" s="33">
        <f>IF(F3448&gt;0,1,0)</f>
        <v>0</v>
      </c>
      <c r="H3448" s="33">
        <f>COUNTIFS(Demand!$A$2:$A$4481,A3448,Demand!$B$2:$B$4481,B3448,Demand!$C$2:$C$4481,C3448)</f>
        <v>1</v>
      </c>
    </row>
    <row r="3449">
      <c r="A3449" s="32" t="str">
        <f>Demand!A3447</f>
        <v>S016</v>
      </c>
      <c r="B3449" s="35">
        <f>Demand!B3447</f>
        <v>46276.0</v>
      </c>
      <c r="C3449" s="33">
        <f>Demand!C3447</f>
        <v>13</v>
      </c>
      <c r="D3449" s="33">
        <f>Demand!E3447</f>
        <v>16</v>
      </c>
      <c r="E3449" s="33">
        <f>IF(Demand!F3447,1,0)</f>
        <v>0</v>
      </c>
      <c r="F3449" s="33">
        <f>COUNTIFS(c_store,A3449,c_date,B3449,c_hour,C3449)</f>
        <v>0</v>
      </c>
      <c r="G3449" s="33">
        <f>IF(F3449&gt;0,1,0)</f>
        <v>0</v>
      </c>
      <c r="H3449" s="33">
        <f>COUNTIFS(Demand!$A$2:$A$4481,A3449,Demand!$B$2:$B$4481,B3449,Demand!$C$2:$C$4481,C3449)</f>
        <v>1</v>
      </c>
    </row>
    <row r="3450">
      <c r="A3450" s="32" t="str">
        <f>Demand!A3448</f>
        <v>S016</v>
      </c>
      <c r="B3450" s="35">
        <f>Demand!B3448</f>
        <v>46276.0</v>
      </c>
      <c r="C3450" s="33">
        <f>Demand!C3448</f>
        <v>14</v>
      </c>
      <c r="D3450" s="33">
        <f>Demand!E3448</f>
        <v>24</v>
      </c>
      <c r="E3450" s="33">
        <f>IF(Demand!F3448,1,0)</f>
        <v>0</v>
      </c>
      <c r="F3450" s="33">
        <f>COUNTIFS(c_store,A3450,c_date,B3450,c_hour,C3450)</f>
        <v>0</v>
      </c>
      <c r="G3450" s="33">
        <f>IF(F3450&gt;0,1,0)</f>
        <v>0</v>
      </c>
      <c r="H3450" s="33">
        <f>COUNTIFS(Demand!$A$2:$A$4481,A3450,Demand!$B$2:$B$4481,B3450,Demand!$C$2:$C$4481,C3450)</f>
        <v>1</v>
      </c>
    </row>
    <row r="3451">
      <c r="A3451" s="32" t="str">
        <f>Demand!A3449</f>
        <v>S016</v>
      </c>
      <c r="B3451" s="35">
        <f>Demand!B3449</f>
        <v>46276.0</v>
      </c>
      <c r="C3451" s="33">
        <f>Demand!C3449</f>
        <v>15</v>
      </c>
      <c r="D3451" s="33">
        <f>Demand!E3449</f>
        <v>13</v>
      </c>
      <c r="E3451" s="33">
        <f>IF(Demand!F3449,1,0)</f>
        <v>0</v>
      </c>
      <c r="F3451" s="33">
        <f>COUNTIFS(c_store,A3451,c_date,B3451,c_hour,C3451)</f>
        <v>0</v>
      </c>
      <c r="G3451" s="33">
        <f>IF(F3451&gt;0,1,0)</f>
        <v>0</v>
      </c>
      <c r="H3451" s="33">
        <f>COUNTIFS(Demand!$A$2:$A$4481,A3451,Demand!$B$2:$B$4481,B3451,Demand!$C$2:$C$4481,C3451)</f>
        <v>1</v>
      </c>
    </row>
    <row r="3452">
      <c r="A3452" s="32" t="str">
        <f>Demand!A3450</f>
        <v>S016</v>
      </c>
      <c r="B3452" s="35">
        <f>Demand!B3450</f>
        <v>46276.0</v>
      </c>
      <c r="C3452" s="33">
        <f>Demand!C3450</f>
        <v>16</v>
      </c>
      <c r="D3452" s="33">
        <f>Demand!E3450</f>
        <v>23</v>
      </c>
      <c r="E3452" s="33">
        <f>IF(Demand!F3450,1,0)</f>
        <v>0</v>
      </c>
      <c r="F3452" s="33">
        <f>COUNTIFS(c_store,A3452,c_date,B3452,c_hour,C3452)</f>
        <v>0</v>
      </c>
      <c r="G3452" s="33">
        <f>IF(F3452&gt;0,1,0)</f>
        <v>0</v>
      </c>
      <c r="H3452" s="33">
        <f>COUNTIFS(Demand!$A$2:$A$4481,A3452,Demand!$B$2:$B$4481,B3452,Demand!$C$2:$C$4481,C3452)</f>
        <v>1</v>
      </c>
    </row>
    <row r="3453">
      <c r="A3453" s="32" t="str">
        <f>Demand!A3451</f>
        <v>S016</v>
      </c>
      <c r="B3453" s="35">
        <f>Demand!B3451</f>
        <v>46276.0</v>
      </c>
      <c r="C3453" s="33">
        <f>Demand!C3451</f>
        <v>17</v>
      </c>
      <c r="D3453" s="33">
        <f>Demand!E3451</f>
        <v>22</v>
      </c>
      <c r="E3453" s="33">
        <f>IF(Demand!F3451,1,0)</f>
        <v>0</v>
      </c>
      <c r="F3453" s="33">
        <f>COUNTIFS(c_store,A3453,c_date,B3453,c_hour,C3453)</f>
        <v>0</v>
      </c>
      <c r="G3453" s="33">
        <f>IF(F3453&gt;0,1,0)</f>
        <v>0</v>
      </c>
      <c r="H3453" s="33">
        <f>COUNTIFS(Demand!$A$2:$A$4481,A3453,Demand!$B$2:$B$4481,B3453,Demand!$C$2:$C$4481,C3453)</f>
        <v>1</v>
      </c>
    </row>
    <row r="3454">
      <c r="A3454" s="32" t="str">
        <f>Demand!A3452</f>
        <v>S016</v>
      </c>
      <c r="B3454" s="35">
        <f>Demand!B3452</f>
        <v>46276.0</v>
      </c>
      <c r="C3454" s="33">
        <f>Demand!C3452</f>
        <v>18</v>
      </c>
      <c r="D3454" s="33">
        <f>Demand!E3452</f>
        <v>41</v>
      </c>
      <c r="E3454" s="33">
        <f>IF(Demand!F3452,1,0)</f>
        <v>0</v>
      </c>
      <c r="F3454" s="33">
        <f>COUNTIFS(c_store,A3454,c_date,B3454,c_hour,C3454)</f>
        <v>0</v>
      </c>
      <c r="G3454" s="33">
        <f>IF(F3454&gt;0,1,0)</f>
        <v>0</v>
      </c>
      <c r="H3454" s="33">
        <f>COUNTIFS(Demand!$A$2:$A$4481,A3454,Demand!$B$2:$B$4481,B3454,Demand!$C$2:$C$4481,C3454)</f>
        <v>1</v>
      </c>
    </row>
    <row r="3455">
      <c r="A3455" s="32" t="str">
        <f>Demand!A3453</f>
        <v>S016</v>
      </c>
      <c r="B3455" s="35">
        <f>Demand!B3453</f>
        <v>46276.0</v>
      </c>
      <c r="C3455" s="33">
        <f>Demand!C3453</f>
        <v>19</v>
      </c>
      <c r="D3455" s="33">
        <f>Demand!E3453</f>
        <v>26</v>
      </c>
      <c r="E3455" s="33">
        <f>IF(Demand!F3453,1,0)</f>
        <v>1</v>
      </c>
      <c r="F3455" s="33">
        <f>COUNTIFS(c_store,A3455,c_date,B3455,c_hour,C3455)</f>
        <v>0</v>
      </c>
      <c r="G3455" s="33">
        <f>IF(F3455&gt;0,1,0)</f>
        <v>0</v>
      </c>
      <c r="H3455" s="33">
        <f>COUNTIFS(Demand!$A$2:$A$4481,A3455,Demand!$B$2:$B$4481,B3455,Demand!$C$2:$C$4481,C3455)</f>
        <v>1</v>
      </c>
    </row>
    <row r="3456">
      <c r="A3456" s="32" t="str">
        <f>Demand!A3454</f>
        <v>S016</v>
      </c>
      <c r="B3456" s="35">
        <f>Demand!B3454</f>
        <v>46276.0</v>
      </c>
      <c r="C3456" s="33">
        <f>Demand!C3454</f>
        <v>20</v>
      </c>
      <c r="D3456" s="33">
        <f>Demand!E3454</f>
        <v>37</v>
      </c>
      <c r="E3456" s="33">
        <f>IF(Demand!F3454,1,0)</f>
        <v>1</v>
      </c>
      <c r="F3456" s="33">
        <f>COUNTIFS(c_store,A3456,c_date,B3456,c_hour,C3456)</f>
        <v>0</v>
      </c>
      <c r="G3456" s="33">
        <f>IF(F3456&gt;0,1,0)</f>
        <v>0</v>
      </c>
      <c r="H3456" s="33">
        <f>COUNTIFS(Demand!$A$2:$A$4481,A3456,Demand!$B$2:$B$4481,B3456,Demand!$C$2:$C$4481,C3456)</f>
        <v>1</v>
      </c>
    </row>
    <row r="3457">
      <c r="A3457" s="32" t="str">
        <f>Demand!A3455</f>
        <v>S016</v>
      </c>
      <c r="B3457" s="35">
        <f>Demand!B3455</f>
        <v>46276.0</v>
      </c>
      <c r="C3457" s="33">
        <f>Demand!C3455</f>
        <v>21</v>
      </c>
      <c r="D3457" s="33">
        <f>Demand!E3455</f>
        <v>48</v>
      </c>
      <c r="E3457" s="33">
        <f>IF(Demand!F3455,1,0)</f>
        <v>1</v>
      </c>
      <c r="F3457" s="33">
        <f>COUNTIFS(c_store,A3457,c_date,B3457,c_hour,C3457)</f>
        <v>0</v>
      </c>
      <c r="G3457" s="33">
        <f>IF(F3457&gt;0,1,0)</f>
        <v>0</v>
      </c>
      <c r="H3457" s="33">
        <f>COUNTIFS(Demand!$A$2:$A$4481,A3457,Demand!$B$2:$B$4481,B3457,Demand!$C$2:$C$4481,C3457)</f>
        <v>1</v>
      </c>
    </row>
    <row r="3458">
      <c r="A3458" s="32" t="str">
        <f>Demand!A3456</f>
        <v>S016</v>
      </c>
      <c r="B3458" s="35">
        <f>Demand!B3456</f>
        <v>46276.0</v>
      </c>
      <c r="C3458" s="33">
        <f>Demand!C3456</f>
        <v>22</v>
      </c>
      <c r="D3458" s="33">
        <f>Demand!E3456</f>
        <v>31</v>
      </c>
      <c r="E3458" s="33">
        <f>IF(Demand!F3456,1,0)</f>
        <v>0</v>
      </c>
      <c r="F3458" s="33">
        <f>COUNTIFS(c_store,A3458,c_date,B3458,c_hour,C3458)</f>
        <v>0</v>
      </c>
      <c r="G3458" s="33">
        <f>IF(F3458&gt;0,1,0)</f>
        <v>0</v>
      </c>
      <c r="H3458" s="33">
        <f>COUNTIFS(Demand!$A$2:$A$4481,A3458,Demand!$B$2:$B$4481,B3458,Demand!$C$2:$C$4481,C3458)</f>
        <v>1</v>
      </c>
    </row>
    <row r="3459">
      <c r="A3459" s="32" t="str">
        <f>Demand!A3457</f>
        <v>S016</v>
      </c>
      <c r="B3459" s="35">
        <f>Demand!B3457</f>
        <v>46276.0</v>
      </c>
      <c r="C3459" s="33">
        <f>Demand!C3457</f>
        <v>23</v>
      </c>
      <c r="D3459" s="33">
        <f>Demand!E3457</f>
        <v>29</v>
      </c>
      <c r="E3459" s="33">
        <f>IF(Demand!F3457,1,0)</f>
        <v>0</v>
      </c>
      <c r="F3459" s="33">
        <f>COUNTIFS(c_store,A3459,c_date,B3459,c_hour,C3459)</f>
        <v>0</v>
      </c>
      <c r="G3459" s="33">
        <f>IF(F3459&gt;0,1,0)</f>
        <v>0</v>
      </c>
      <c r="H3459" s="33">
        <f>COUNTIFS(Demand!$A$2:$A$4481,A3459,Demand!$B$2:$B$4481,B3459,Demand!$C$2:$C$4481,C3459)</f>
        <v>1</v>
      </c>
    </row>
    <row r="3460">
      <c r="A3460" s="32" t="str">
        <f>Demand!A3458</f>
        <v>S017</v>
      </c>
      <c r="B3460" s="35">
        <f>Demand!B3458</f>
        <v>46276.0</v>
      </c>
      <c r="C3460" s="33">
        <f>Demand!C3458</f>
        <v>8</v>
      </c>
      <c r="D3460" s="33">
        <f>Demand!E3458</f>
        <v>17</v>
      </c>
      <c r="E3460" s="33">
        <f>IF(Demand!F3458,1,0)</f>
        <v>0</v>
      </c>
      <c r="F3460" s="33">
        <f>COUNTIFS(c_store,A3460,c_date,B3460,c_hour,C3460)</f>
        <v>1</v>
      </c>
      <c r="G3460" s="33">
        <f>IF(F3460&gt;0,1,0)</f>
        <v>1</v>
      </c>
      <c r="H3460" s="33">
        <f>COUNTIFS(Demand!$A$2:$A$4481,A3460,Demand!$B$2:$B$4481,B3460,Demand!$C$2:$C$4481,C3460)</f>
        <v>1</v>
      </c>
    </row>
    <row r="3461">
      <c r="A3461" s="32" t="str">
        <f>Demand!A3459</f>
        <v>S017</v>
      </c>
      <c r="B3461" s="35">
        <f>Demand!B3459</f>
        <v>46276.0</v>
      </c>
      <c r="C3461" s="33">
        <f>Demand!C3459</f>
        <v>9</v>
      </c>
      <c r="D3461" s="33">
        <f>Demand!E3459</f>
        <v>12</v>
      </c>
      <c r="E3461" s="33">
        <f>IF(Demand!F3459,1,0)</f>
        <v>0</v>
      </c>
      <c r="F3461" s="33">
        <f>COUNTIFS(c_store,A3461,c_date,B3461,c_hour,C3461)</f>
        <v>0</v>
      </c>
      <c r="G3461" s="33">
        <f>IF(F3461&gt;0,1,0)</f>
        <v>0</v>
      </c>
      <c r="H3461" s="33">
        <f>COUNTIFS(Demand!$A$2:$A$4481,A3461,Demand!$B$2:$B$4481,B3461,Demand!$C$2:$C$4481,C3461)</f>
        <v>1</v>
      </c>
    </row>
    <row r="3462">
      <c r="A3462" s="32" t="str">
        <f>Demand!A3460</f>
        <v>S017</v>
      </c>
      <c r="B3462" s="35">
        <f>Demand!B3460</f>
        <v>46276.0</v>
      </c>
      <c r="C3462" s="33">
        <f>Demand!C3460</f>
        <v>10</v>
      </c>
      <c r="D3462" s="33">
        <f>Demand!E3460</f>
        <v>27</v>
      </c>
      <c r="E3462" s="33">
        <f>IF(Demand!F3460,1,0)</f>
        <v>0</v>
      </c>
      <c r="F3462" s="33">
        <f>COUNTIFS(c_store,A3462,c_date,B3462,c_hour,C3462)</f>
        <v>0</v>
      </c>
      <c r="G3462" s="33">
        <f>IF(F3462&gt;0,1,0)</f>
        <v>0</v>
      </c>
      <c r="H3462" s="33">
        <f>COUNTIFS(Demand!$A$2:$A$4481,A3462,Demand!$B$2:$B$4481,B3462,Demand!$C$2:$C$4481,C3462)</f>
        <v>1</v>
      </c>
    </row>
    <row r="3463">
      <c r="A3463" s="32" t="str">
        <f>Demand!A3461</f>
        <v>S017</v>
      </c>
      <c r="B3463" s="35">
        <f>Demand!B3461</f>
        <v>46276.0</v>
      </c>
      <c r="C3463" s="33">
        <f>Demand!C3461</f>
        <v>11</v>
      </c>
      <c r="D3463" s="33">
        <f>Demand!E3461</f>
        <v>45</v>
      </c>
      <c r="E3463" s="33">
        <f>IF(Demand!F3461,1,0)</f>
        <v>0</v>
      </c>
      <c r="F3463" s="33">
        <f>COUNTIFS(c_store,A3463,c_date,B3463,c_hour,C3463)</f>
        <v>2</v>
      </c>
      <c r="G3463" s="33">
        <f>IF(F3463&gt;0,1,0)</f>
        <v>1</v>
      </c>
      <c r="H3463" s="33">
        <f>COUNTIFS(Demand!$A$2:$A$4481,A3463,Demand!$B$2:$B$4481,B3463,Demand!$C$2:$C$4481,C3463)</f>
        <v>1</v>
      </c>
    </row>
    <row r="3464">
      <c r="A3464" s="32" t="str">
        <f>Demand!A3462</f>
        <v>S017</v>
      </c>
      <c r="B3464" s="35">
        <f>Demand!B3462</f>
        <v>46276.0</v>
      </c>
      <c r="C3464" s="33">
        <f>Demand!C3462</f>
        <v>12</v>
      </c>
      <c r="D3464" s="33">
        <f>Demand!E3462</f>
        <v>38</v>
      </c>
      <c r="E3464" s="33">
        <f>IF(Demand!F3462,1,0)</f>
        <v>0</v>
      </c>
      <c r="F3464" s="33">
        <f>COUNTIFS(c_store,A3464,c_date,B3464,c_hour,C3464)</f>
        <v>1</v>
      </c>
      <c r="G3464" s="33">
        <f>IF(F3464&gt;0,1,0)</f>
        <v>1</v>
      </c>
      <c r="H3464" s="33">
        <f>COUNTIFS(Demand!$A$2:$A$4481,A3464,Demand!$B$2:$B$4481,B3464,Demand!$C$2:$C$4481,C3464)</f>
        <v>1</v>
      </c>
    </row>
    <row r="3465">
      <c r="A3465" s="32" t="str">
        <f>Demand!A3463</f>
        <v>S017</v>
      </c>
      <c r="B3465" s="35">
        <f>Demand!B3463</f>
        <v>46276.0</v>
      </c>
      <c r="C3465" s="33">
        <f>Demand!C3463</f>
        <v>13</v>
      </c>
      <c r="D3465" s="33">
        <f>Demand!E3463</f>
        <v>47</v>
      </c>
      <c r="E3465" s="33">
        <f>IF(Demand!F3463,1,0)</f>
        <v>0</v>
      </c>
      <c r="F3465" s="33">
        <f>COUNTIFS(c_store,A3465,c_date,B3465,c_hour,C3465)</f>
        <v>1</v>
      </c>
      <c r="G3465" s="33">
        <f>IF(F3465&gt;0,1,0)</f>
        <v>1</v>
      </c>
      <c r="H3465" s="33">
        <f>COUNTIFS(Demand!$A$2:$A$4481,A3465,Demand!$B$2:$B$4481,B3465,Demand!$C$2:$C$4481,C3465)</f>
        <v>1</v>
      </c>
    </row>
    <row r="3466">
      <c r="A3466" s="32" t="str">
        <f>Demand!A3464</f>
        <v>S017</v>
      </c>
      <c r="B3466" s="35">
        <f>Demand!B3464</f>
        <v>46276.0</v>
      </c>
      <c r="C3466" s="33">
        <f>Demand!C3464</f>
        <v>14</v>
      </c>
      <c r="D3466" s="33">
        <f>Demand!E3464</f>
        <v>28</v>
      </c>
      <c r="E3466" s="33">
        <f>IF(Demand!F3464,1,0)</f>
        <v>0</v>
      </c>
      <c r="F3466" s="33">
        <f>COUNTIFS(c_store,A3466,c_date,B3466,c_hour,C3466)</f>
        <v>1</v>
      </c>
      <c r="G3466" s="33">
        <f>IF(F3466&gt;0,1,0)</f>
        <v>1</v>
      </c>
      <c r="H3466" s="33">
        <f>COUNTIFS(Demand!$A$2:$A$4481,A3466,Demand!$B$2:$B$4481,B3466,Demand!$C$2:$C$4481,C3466)</f>
        <v>1</v>
      </c>
    </row>
    <row r="3467">
      <c r="A3467" s="32" t="str">
        <f>Demand!A3465</f>
        <v>S017</v>
      </c>
      <c r="B3467" s="35">
        <f>Demand!B3465</f>
        <v>46276.0</v>
      </c>
      <c r="C3467" s="33">
        <f>Demand!C3465</f>
        <v>15</v>
      </c>
      <c r="D3467" s="33">
        <f>Demand!E3465</f>
        <v>30</v>
      </c>
      <c r="E3467" s="33">
        <f>IF(Demand!F3465,1,0)</f>
        <v>0</v>
      </c>
      <c r="F3467" s="33">
        <f>COUNTIFS(c_store,A3467,c_date,B3467,c_hour,C3467)</f>
        <v>0</v>
      </c>
      <c r="G3467" s="33">
        <f>IF(F3467&gt;0,1,0)</f>
        <v>0</v>
      </c>
      <c r="H3467" s="33">
        <f>COUNTIFS(Demand!$A$2:$A$4481,A3467,Demand!$B$2:$B$4481,B3467,Demand!$C$2:$C$4481,C3467)</f>
        <v>1</v>
      </c>
    </row>
    <row r="3468">
      <c r="A3468" s="32" t="str">
        <f>Demand!A3466</f>
        <v>S017</v>
      </c>
      <c r="B3468" s="35">
        <f>Demand!B3466</f>
        <v>46276.0</v>
      </c>
      <c r="C3468" s="33">
        <f>Demand!C3466</f>
        <v>16</v>
      </c>
      <c r="D3468" s="33">
        <f>Demand!E3466</f>
        <v>48</v>
      </c>
      <c r="E3468" s="33">
        <f>IF(Demand!F3466,1,0)</f>
        <v>0</v>
      </c>
      <c r="F3468" s="33">
        <f>COUNTIFS(c_store,A3468,c_date,B3468,c_hour,C3468)</f>
        <v>0</v>
      </c>
      <c r="G3468" s="33">
        <f>IF(F3468&gt;0,1,0)</f>
        <v>0</v>
      </c>
      <c r="H3468" s="33">
        <f>COUNTIFS(Demand!$A$2:$A$4481,A3468,Demand!$B$2:$B$4481,B3468,Demand!$C$2:$C$4481,C3468)</f>
        <v>1</v>
      </c>
    </row>
    <row r="3469">
      <c r="A3469" s="32" t="str">
        <f>Demand!A3467</f>
        <v>S017</v>
      </c>
      <c r="B3469" s="35">
        <f>Demand!B3467</f>
        <v>46276.0</v>
      </c>
      <c r="C3469" s="33">
        <f>Demand!C3467</f>
        <v>17</v>
      </c>
      <c r="D3469" s="33">
        <f>Demand!E3467</f>
        <v>38</v>
      </c>
      <c r="E3469" s="33">
        <f>IF(Demand!F3467,1,0)</f>
        <v>0</v>
      </c>
      <c r="F3469" s="33">
        <f>COUNTIFS(c_store,A3469,c_date,B3469,c_hour,C3469)</f>
        <v>0</v>
      </c>
      <c r="G3469" s="33">
        <f>IF(F3469&gt;0,1,0)</f>
        <v>0</v>
      </c>
      <c r="H3469" s="33">
        <f>COUNTIFS(Demand!$A$2:$A$4481,A3469,Demand!$B$2:$B$4481,B3469,Demand!$C$2:$C$4481,C3469)</f>
        <v>1</v>
      </c>
    </row>
    <row r="3470">
      <c r="A3470" s="32" t="str">
        <f>Demand!A3468</f>
        <v>S017</v>
      </c>
      <c r="B3470" s="35">
        <f>Demand!B3468</f>
        <v>46276.0</v>
      </c>
      <c r="C3470" s="33">
        <f>Demand!C3468</f>
        <v>18</v>
      </c>
      <c r="D3470" s="33">
        <f>Demand!E3468</f>
        <v>29</v>
      </c>
      <c r="E3470" s="33">
        <f>IF(Demand!F3468,1,0)</f>
        <v>0</v>
      </c>
      <c r="F3470" s="33">
        <f>COUNTIFS(c_store,A3470,c_date,B3470,c_hour,C3470)</f>
        <v>1</v>
      </c>
      <c r="G3470" s="33">
        <f>IF(F3470&gt;0,1,0)</f>
        <v>1</v>
      </c>
      <c r="H3470" s="33">
        <f>COUNTIFS(Demand!$A$2:$A$4481,A3470,Demand!$B$2:$B$4481,B3470,Demand!$C$2:$C$4481,C3470)</f>
        <v>1</v>
      </c>
    </row>
    <row r="3471">
      <c r="A3471" s="32" t="str">
        <f>Demand!A3469</f>
        <v>S017</v>
      </c>
      <c r="B3471" s="35">
        <f>Demand!B3469</f>
        <v>46276.0</v>
      </c>
      <c r="C3471" s="33">
        <f>Demand!C3469</f>
        <v>19</v>
      </c>
      <c r="D3471" s="33">
        <f>Demand!E3469</f>
        <v>51</v>
      </c>
      <c r="E3471" s="33">
        <f>IF(Demand!F3469,1,0)</f>
        <v>1</v>
      </c>
      <c r="F3471" s="33">
        <f>COUNTIFS(c_store,A3471,c_date,B3471,c_hour,C3471)</f>
        <v>0</v>
      </c>
      <c r="G3471" s="33">
        <f>IF(F3471&gt;0,1,0)</f>
        <v>0</v>
      </c>
      <c r="H3471" s="33">
        <f>COUNTIFS(Demand!$A$2:$A$4481,A3471,Demand!$B$2:$B$4481,B3471,Demand!$C$2:$C$4481,C3471)</f>
        <v>1</v>
      </c>
    </row>
    <row r="3472">
      <c r="A3472" s="32" t="str">
        <f>Demand!A3470</f>
        <v>S017</v>
      </c>
      <c r="B3472" s="35">
        <f>Demand!B3470</f>
        <v>46276.0</v>
      </c>
      <c r="C3472" s="33">
        <f>Demand!C3470</f>
        <v>20</v>
      </c>
      <c r="D3472" s="33">
        <f>Demand!E3470</f>
        <v>58</v>
      </c>
      <c r="E3472" s="33">
        <f>IF(Demand!F3470,1,0)</f>
        <v>1</v>
      </c>
      <c r="F3472" s="33">
        <f>COUNTIFS(c_store,A3472,c_date,B3472,c_hour,C3472)</f>
        <v>0</v>
      </c>
      <c r="G3472" s="33">
        <f>IF(F3472&gt;0,1,0)</f>
        <v>0</v>
      </c>
      <c r="H3472" s="33">
        <f>COUNTIFS(Demand!$A$2:$A$4481,A3472,Demand!$B$2:$B$4481,B3472,Demand!$C$2:$C$4481,C3472)</f>
        <v>1</v>
      </c>
    </row>
    <row r="3473">
      <c r="A3473" s="32" t="str">
        <f>Demand!A3471</f>
        <v>S017</v>
      </c>
      <c r="B3473" s="35">
        <f>Demand!B3471</f>
        <v>46276.0</v>
      </c>
      <c r="C3473" s="33">
        <f>Demand!C3471</f>
        <v>21</v>
      </c>
      <c r="D3473" s="33">
        <f>Demand!E3471</f>
        <v>47</v>
      </c>
      <c r="E3473" s="33">
        <f>IF(Demand!F3471,1,0)</f>
        <v>1</v>
      </c>
      <c r="F3473" s="33">
        <f>COUNTIFS(c_store,A3473,c_date,B3473,c_hour,C3473)</f>
        <v>0</v>
      </c>
      <c r="G3473" s="33">
        <f>IF(F3473&gt;0,1,0)</f>
        <v>0</v>
      </c>
      <c r="H3473" s="33">
        <f>COUNTIFS(Demand!$A$2:$A$4481,A3473,Demand!$B$2:$B$4481,B3473,Demand!$C$2:$C$4481,C3473)</f>
        <v>1</v>
      </c>
    </row>
    <row r="3474">
      <c r="A3474" s="32" t="str">
        <f>Demand!A3472</f>
        <v>S017</v>
      </c>
      <c r="B3474" s="35">
        <f>Demand!B3472</f>
        <v>46276.0</v>
      </c>
      <c r="C3474" s="33">
        <f>Demand!C3472</f>
        <v>22</v>
      </c>
      <c r="D3474" s="33">
        <f>Demand!E3472</f>
        <v>35</v>
      </c>
      <c r="E3474" s="33">
        <f>IF(Demand!F3472,1,0)</f>
        <v>0</v>
      </c>
      <c r="F3474" s="33">
        <f>COUNTIFS(c_store,A3474,c_date,B3474,c_hour,C3474)</f>
        <v>1</v>
      </c>
      <c r="G3474" s="33">
        <f>IF(F3474&gt;0,1,0)</f>
        <v>1</v>
      </c>
      <c r="H3474" s="33">
        <f>COUNTIFS(Demand!$A$2:$A$4481,A3474,Demand!$B$2:$B$4481,B3474,Demand!$C$2:$C$4481,C3474)</f>
        <v>1</v>
      </c>
    </row>
    <row r="3475">
      <c r="A3475" s="32" t="str">
        <f>Demand!A3473</f>
        <v>S017</v>
      </c>
      <c r="B3475" s="35">
        <f>Demand!B3473</f>
        <v>46276.0</v>
      </c>
      <c r="C3475" s="33">
        <f>Demand!C3473</f>
        <v>23</v>
      </c>
      <c r="D3475" s="33">
        <f>Demand!E3473</f>
        <v>37</v>
      </c>
      <c r="E3475" s="33">
        <f>IF(Demand!F3473,1,0)</f>
        <v>0</v>
      </c>
      <c r="F3475" s="33">
        <f>COUNTIFS(c_store,A3475,c_date,B3475,c_hour,C3475)</f>
        <v>0</v>
      </c>
      <c r="G3475" s="33">
        <f>IF(F3475&gt;0,1,0)</f>
        <v>0</v>
      </c>
      <c r="H3475" s="33">
        <f>COUNTIFS(Demand!$A$2:$A$4481,A3475,Demand!$B$2:$B$4481,B3475,Demand!$C$2:$C$4481,C3475)</f>
        <v>1</v>
      </c>
    </row>
    <row r="3476">
      <c r="A3476" s="32" t="str">
        <f>Demand!A3474</f>
        <v>S018</v>
      </c>
      <c r="B3476" s="35">
        <f>Demand!B3474</f>
        <v>46276.0</v>
      </c>
      <c r="C3476" s="33">
        <f>Demand!C3474</f>
        <v>8</v>
      </c>
      <c r="D3476" s="33">
        <f>Demand!E3474</f>
        <v>16</v>
      </c>
      <c r="E3476" s="33">
        <f>IF(Demand!F3474,1,0)</f>
        <v>0</v>
      </c>
      <c r="F3476" s="33">
        <f>COUNTIFS(c_store,A3476,c_date,B3476,c_hour,C3476)</f>
        <v>0</v>
      </c>
      <c r="G3476" s="33">
        <f>IF(F3476&gt;0,1,0)</f>
        <v>0</v>
      </c>
      <c r="H3476" s="33">
        <f>COUNTIFS(Demand!$A$2:$A$4481,A3476,Demand!$B$2:$B$4481,B3476,Demand!$C$2:$C$4481,C3476)</f>
        <v>1</v>
      </c>
    </row>
    <row r="3477">
      <c r="A3477" s="32" t="str">
        <f>Demand!A3475</f>
        <v>S018</v>
      </c>
      <c r="B3477" s="35">
        <f>Demand!B3475</f>
        <v>46276.0</v>
      </c>
      <c r="C3477" s="33">
        <f>Demand!C3475</f>
        <v>9</v>
      </c>
      <c r="D3477" s="33">
        <f>Demand!E3475</f>
        <v>15</v>
      </c>
      <c r="E3477" s="33">
        <f>IF(Demand!F3475,1,0)</f>
        <v>0</v>
      </c>
      <c r="F3477" s="33">
        <f>COUNTIFS(c_store,A3477,c_date,B3477,c_hour,C3477)</f>
        <v>0</v>
      </c>
      <c r="G3477" s="33">
        <f>IF(F3477&gt;0,1,0)</f>
        <v>0</v>
      </c>
      <c r="H3477" s="33">
        <f>COUNTIFS(Demand!$A$2:$A$4481,A3477,Demand!$B$2:$B$4481,B3477,Demand!$C$2:$C$4481,C3477)</f>
        <v>1</v>
      </c>
    </row>
    <row r="3478">
      <c r="A3478" s="32" t="str">
        <f>Demand!A3476</f>
        <v>S018</v>
      </c>
      <c r="B3478" s="35">
        <f>Demand!B3476</f>
        <v>46276.0</v>
      </c>
      <c r="C3478" s="33">
        <f>Demand!C3476</f>
        <v>10</v>
      </c>
      <c r="D3478" s="33">
        <f>Demand!E3476</f>
        <v>15</v>
      </c>
      <c r="E3478" s="33">
        <f>IF(Demand!F3476,1,0)</f>
        <v>0</v>
      </c>
      <c r="F3478" s="33">
        <f>COUNTIFS(c_store,A3478,c_date,B3478,c_hour,C3478)</f>
        <v>3</v>
      </c>
      <c r="G3478" s="33">
        <f>IF(F3478&gt;0,1,0)</f>
        <v>1</v>
      </c>
      <c r="H3478" s="33">
        <f>COUNTIFS(Demand!$A$2:$A$4481,A3478,Demand!$B$2:$B$4481,B3478,Demand!$C$2:$C$4481,C3478)</f>
        <v>1</v>
      </c>
    </row>
    <row r="3479">
      <c r="A3479" s="32" t="str">
        <f>Demand!A3477</f>
        <v>S018</v>
      </c>
      <c r="B3479" s="35">
        <f>Demand!B3477</f>
        <v>46276.0</v>
      </c>
      <c r="C3479" s="33">
        <f>Demand!C3477</f>
        <v>11</v>
      </c>
      <c r="D3479" s="33">
        <f>Demand!E3477</f>
        <v>15</v>
      </c>
      <c r="E3479" s="33">
        <f>IF(Demand!F3477,1,0)</f>
        <v>0</v>
      </c>
      <c r="F3479" s="33">
        <f>COUNTIFS(c_store,A3479,c_date,B3479,c_hour,C3479)</f>
        <v>1</v>
      </c>
      <c r="G3479" s="33">
        <f>IF(F3479&gt;0,1,0)</f>
        <v>1</v>
      </c>
      <c r="H3479" s="33">
        <f>COUNTIFS(Demand!$A$2:$A$4481,A3479,Demand!$B$2:$B$4481,B3479,Demand!$C$2:$C$4481,C3479)</f>
        <v>1</v>
      </c>
    </row>
    <row r="3480">
      <c r="A3480" s="32" t="str">
        <f>Demand!A3478</f>
        <v>S018</v>
      </c>
      <c r="B3480" s="35">
        <f>Demand!B3478</f>
        <v>46276.0</v>
      </c>
      <c r="C3480" s="33">
        <f>Demand!C3478</f>
        <v>12</v>
      </c>
      <c r="D3480" s="33">
        <f>Demand!E3478</f>
        <v>20</v>
      </c>
      <c r="E3480" s="33">
        <f>IF(Demand!F3478,1,0)</f>
        <v>0</v>
      </c>
      <c r="F3480" s="33">
        <f>COUNTIFS(c_store,A3480,c_date,B3480,c_hour,C3480)</f>
        <v>0</v>
      </c>
      <c r="G3480" s="33">
        <f>IF(F3480&gt;0,1,0)</f>
        <v>0</v>
      </c>
      <c r="H3480" s="33">
        <f>COUNTIFS(Demand!$A$2:$A$4481,A3480,Demand!$B$2:$B$4481,B3480,Demand!$C$2:$C$4481,C3480)</f>
        <v>1</v>
      </c>
    </row>
    <row r="3481">
      <c r="A3481" s="32" t="str">
        <f>Demand!A3479</f>
        <v>S018</v>
      </c>
      <c r="B3481" s="35">
        <f>Demand!B3479</f>
        <v>46276.0</v>
      </c>
      <c r="C3481" s="33">
        <f>Demand!C3479</f>
        <v>13</v>
      </c>
      <c r="D3481" s="33">
        <f>Demand!E3479</f>
        <v>23</v>
      </c>
      <c r="E3481" s="33">
        <f>IF(Demand!F3479,1,0)</f>
        <v>0</v>
      </c>
      <c r="F3481" s="33">
        <f>COUNTIFS(c_store,A3481,c_date,B3481,c_hour,C3481)</f>
        <v>0</v>
      </c>
      <c r="G3481" s="33">
        <f>IF(F3481&gt;0,1,0)</f>
        <v>0</v>
      </c>
      <c r="H3481" s="33">
        <f>COUNTIFS(Demand!$A$2:$A$4481,A3481,Demand!$B$2:$B$4481,B3481,Demand!$C$2:$C$4481,C3481)</f>
        <v>1</v>
      </c>
    </row>
    <row r="3482">
      <c r="A3482" s="32" t="str">
        <f>Demand!A3480</f>
        <v>S018</v>
      </c>
      <c r="B3482" s="35">
        <f>Demand!B3480</f>
        <v>46276.0</v>
      </c>
      <c r="C3482" s="33">
        <f>Demand!C3480</f>
        <v>14</v>
      </c>
      <c r="D3482" s="33">
        <f>Demand!E3480</f>
        <v>11</v>
      </c>
      <c r="E3482" s="33">
        <f>IF(Demand!F3480,1,0)</f>
        <v>0</v>
      </c>
      <c r="F3482" s="33">
        <f>COUNTIFS(c_store,A3482,c_date,B3482,c_hour,C3482)</f>
        <v>0</v>
      </c>
      <c r="G3482" s="33">
        <f>IF(F3482&gt;0,1,0)</f>
        <v>0</v>
      </c>
      <c r="H3482" s="33">
        <f>COUNTIFS(Demand!$A$2:$A$4481,A3482,Demand!$B$2:$B$4481,B3482,Demand!$C$2:$C$4481,C3482)</f>
        <v>1</v>
      </c>
    </row>
    <row r="3483">
      <c r="A3483" s="32" t="str">
        <f>Demand!A3481</f>
        <v>S018</v>
      </c>
      <c r="B3483" s="35">
        <f>Demand!B3481</f>
        <v>46276.0</v>
      </c>
      <c r="C3483" s="33">
        <f>Demand!C3481</f>
        <v>15</v>
      </c>
      <c r="D3483" s="33">
        <f>Demand!E3481</f>
        <v>15</v>
      </c>
      <c r="E3483" s="33">
        <f>IF(Demand!F3481,1,0)</f>
        <v>0</v>
      </c>
      <c r="F3483" s="33">
        <f>COUNTIFS(c_store,A3483,c_date,B3483,c_hour,C3483)</f>
        <v>1</v>
      </c>
      <c r="G3483" s="33">
        <f>IF(F3483&gt;0,1,0)</f>
        <v>1</v>
      </c>
      <c r="H3483" s="33">
        <f>COUNTIFS(Demand!$A$2:$A$4481,A3483,Demand!$B$2:$B$4481,B3483,Demand!$C$2:$C$4481,C3483)</f>
        <v>1</v>
      </c>
    </row>
    <row r="3484">
      <c r="A3484" s="32" t="str">
        <f>Demand!A3482</f>
        <v>S018</v>
      </c>
      <c r="B3484" s="35">
        <f>Demand!B3482</f>
        <v>46276.0</v>
      </c>
      <c r="C3484" s="33">
        <f>Demand!C3482</f>
        <v>16</v>
      </c>
      <c r="D3484" s="33">
        <f>Demand!E3482</f>
        <v>21</v>
      </c>
      <c r="E3484" s="33">
        <f>IF(Demand!F3482,1,0)</f>
        <v>0</v>
      </c>
      <c r="F3484" s="33">
        <f>COUNTIFS(c_store,A3484,c_date,B3484,c_hour,C3484)</f>
        <v>0</v>
      </c>
      <c r="G3484" s="33">
        <f>IF(F3484&gt;0,1,0)</f>
        <v>0</v>
      </c>
      <c r="H3484" s="33">
        <f>COUNTIFS(Demand!$A$2:$A$4481,A3484,Demand!$B$2:$B$4481,B3484,Demand!$C$2:$C$4481,C3484)</f>
        <v>1</v>
      </c>
    </row>
    <row r="3485">
      <c r="A3485" s="32" t="str">
        <f>Demand!A3483</f>
        <v>S018</v>
      </c>
      <c r="B3485" s="35">
        <f>Demand!B3483</f>
        <v>46276.0</v>
      </c>
      <c r="C3485" s="33">
        <f>Demand!C3483</f>
        <v>17</v>
      </c>
      <c r="D3485" s="33">
        <f>Demand!E3483</f>
        <v>16</v>
      </c>
      <c r="E3485" s="33">
        <f>IF(Demand!F3483,1,0)</f>
        <v>0</v>
      </c>
      <c r="F3485" s="33">
        <f>COUNTIFS(c_store,A3485,c_date,B3485,c_hour,C3485)</f>
        <v>0</v>
      </c>
      <c r="G3485" s="33">
        <f>IF(F3485&gt;0,1,0)</f>
        <v>0</v>
      </c>
      <c r="H3485" s="33">
        <f>COUNTIFS(Demand!$A$2:$A$4481,A3485,Demand!$B$2:$B$4481,B3485,Demand!$C$2:$C$4481,C3485)</f>
        <v>1</v>
      </c>
    </row>
    <row r="3486">
      <c r="A3486" s="32" t="str">
        <f>Demand!A3484</f>
        <v>S018</v>
      </c>
      <c r="B3486" s="35">
        <f>Demand!B3484</f>
        <v>46276.0</v>
      </c>
      <c r="C3486" s="33">
        <f>Demand!C3484</f>
        <v>18</v>
      </c>
      <c r="D3486" s="33">
        <f>Demand!E3484</f>
        <v>20</v>
      </c>
      <c r="E3486" s="33">
        <f>IF(Demand!F3484,1,0)</f>
        <v>0</v>
      </c>
      <c r="F3486" s="33">
        <f>COUNTIFS(c_store,A3486,c_date,B3486,c_hour,C3486)</f>
        <v>0</v>
      </c>
      <c r="G3486" s="33">
        <f>IF(F3486&gt;0,1,0)</f>
        <v>0</v>
      </c>
      <c r="H3486" s="33">
        <f>COUNTIFS(Demand!$A$2:$A$4481,A3486,Demand!$B$2:$B$4481,B3486,Demand!$C$2:$C$4481,C3486)</f>
        <v>1</v>
      </c>
    </row>
    <row r="3487">
      <c r="A3487" s="32" t="str">
        <f>Demand!A3485</f>
        <v>S018</v>
      </c>
      <c r="B3487" s="35">
        <f>Demand!B3485</f>
        <v>46276.0</v>
      </c>
      <c r="C3487" s="33">
        <f>Demand!C3485</f>
        <v>19</v>
      </c>
      <c r="D3487" s="33">
        <f>Demand!E3485</f>
        <v>31</v>
      </c>
      <c r="E3487" s="33">
        <f>IF(Demand!F3485,1,0)</f>
        <v>1</v>
      </c>
      <c r="F3487" s="33">
        <f>COUNTIFS(c_store,A3487,c_date,B3487,c_hour,C3487)</f>
        <v>0</v>
      </c>
      <c r="G3487" s="33">
        <f>IF(F3487&gt;0,1,0)</f>
        <v>0</v>
      </c>
      <c r="H3487" s="33">
        <f>COUNTIFS(Demand!$A$2:$A$4481,A3487,Demand!$B$2:$B$4481,B3487,Demand!$C$2:$C$4481,C3487)</f>
        <v>1</v>
      </c>
    </row>
    <row r="3488">
      <c r="A3488" s="32" t="str">
        <f>Demand!A3486</f>
        <v>S018</v>
      </c>
      <c r="B3488" s="35">
        <f>Demand!B3486</f>
        <v>46276.0</v>
      </c>
      <c r="C3488" s="33">
        <f>Demand!C3486</f>
        <v>20</v>
      </c>
      <c r="D3488" s="33">
        <f>Demand!E3486</f>
        <v>39</v>
      </c>
      <c r="E3488" s="33">
        <f>IF(Demand!F3486,1,0)</f>
        <v>1</v>
      </c>
      <c r="F3488" s="33">
        <f>COUNTIFS(c_store,A3488,c_date,B3488,c_hour,C3488)</f>
        <v>1</v>
      </c>
      <c r="G3488" s="33">
        <f>IF(F3488&gt;0,1,0)</f>
        <v>1</v>
      </c>
      <c r="H3488" s="33">
        <f>COUNTIFS(Demand!$A$2:$A$4481,A3488,Demand!$B$2:$B$4481,B3488,Demand!$C$2:$C$4481,C3488)</f>
        <v>1</v>
      </c>
    </row>
    <row r="3489">
      <c r="A3489" s="32" t="str">
        <f>Demand!A3487</f>
        <v>S018</v>
      </c>
      <c r="B3489" s="35">
        <f>Demand!B3487</f>
        <v>46276.0</v>
      </c>
      <c r="C3489" s="33">
        <f>Demand!C3487</f>
        <v>21</v>
      </c>
      <c r="D3489" s="33">
        <f>Demand!E3487</f>
        <v>34</v>
      </c>
      <c r="E3489" s="33">
        <f>IF(Demand!F3487,1,0)</f>
        <v>1</v>
      </c>
      <c r="F3489" s="33">
        <f>COUNTIFS(c_store,A3489,c_date,B3489,c_hour,C3489)</f>
        <v>0</v>
      </c>
      <c r="G3489" s="33">
        <f>IF(F3489&gt;0,1,0)</f>
        <v>0</v>
      </c>
      <c r="H3489" s="33">
        <f>COUNTIFS(Demand!$A$2:$A$4481,A3489,Demand!$B$2:$B$4481,B3489,Demand!$C$2:$C$4481,C3489)</f>
        <v>1</v>
      </c>
    </row>
    <row r="3490">
      <c r="A3490" s="32" t="str">
        <f>Demand!A3488</f>
        <v>S018</v>
      </c>
      <c r="B3490" s="35">
        <f>Demand!B3488</f>
        <v>46276.0</v>
      </c>
      <c r="C3490" s="33">
        <f>Demand!C3488</f>
        <v>22</v>
      </c>
      <c r="D3490" s="33">
        <f>Demand!E3488</f>
        <v>20</v>
      </c>
      <c r="E3490" s="33">
        <f>IF(Demand!F3488,1,0)</f>
        <v>0</v>
      </c>
      <c r="F3490" s="33">
        <f>COUNTIFS(c_store,A3490,c_date,B3490,c_hour,C3490)</f>
        <v>0</v>
      </c>
      <c r="G3490" s="33">
        <f>IF(F3490&gt;0,1,0)</f>
        <v>0</v>
      </c>
      <c r="H3490" s="33">
        <f>COUNTIFS(Demand!$A$2:$A$4481,A3490,Demand!$B$2:$B$4481,B3490,Demand!$C$2:$C$4481,C3490)</f>
        <v>1</v>
      </c>
    </row>
    <row r="3491">
      <c r="A3491" s="32" t="str">
        <f>Demand!A3489</f>
        <v>S018</v>
      </c>
      <c r="B3491" s="35">
        <f>Demand!B3489</f>
        <v>46276.0</v>
      </c>
      <c r="C3491" s="33">
        <f>Demand!C3489</f>
        <v>23</v>
      </c>
      <c r="D3491" s="33">
        <f>Demand!E3489</f>
        <v>28</v>
      </c>
      <c r="E3491" s="33">
        <f>IF(Demand!F3489,1,0)</f>
        <v>0</v>
      </c>
      <c r="F3491" s="33">
        <f>COUNTIFS(c_store,A3491,c_date,B3491,c_hour,C3491)</f>
        <v>0</v>
      </c>
      <c r="G3491" s="33">
        <f>IF(F3491&gt;0,1,0)</f>
        <v>0</v>
      </c>
      <c r="H3491" s="33">
        <f>COUNTIFS(Demand!$A$2:$A$4481,A3491,Demand!$B$2:$B$4481,B3491,Demand!$C$2:$C$4481,C3491)</f>
        <v>1</v>
      </c>
    </row>
    <row r="3492">
      <c r="A3492" s="32" t="str">
        <f>Demand!A3490</f>
        <v>S019</v>
      </c>
      <c r="B3492" s="35">
        <f>Demand!B3490</f>
        <v>46276.0</v>
      </c>
      <c r="C3492" s="33">
        <f>Demand!C3490</f>
        <v>8</v>
      </c>
      <c r="D3492" s="33">
        <f>Demand!E3490</f>
        <v>17</v>
      </c>
      <c r="E3492" s="33">
        <f>IF(Demand!F3490,1,0)</f>
        <v>0</v>
      </c>
      <c r="F3492" s="33">
        <f>COUNTIFS(c_store,A3492,c_date,B3492,c_hour,C3492)</f>
        <v>0</v>
      </c>
      <c r="G3492" s="33">
        <f>IF(F3492&gt;0,1,0)</f>
        <v>0</v>
      </c>
      <c r="H3492" s="33">
        <f>COUNTIFS(Demand!$A$2:$A$4481,A3492,Demand!$B$2:$B$4481,B3492,Demand!$C$2:$C$4481,C3492)</f>
        <v>1</v>
      </c>
    </row>
    <row r="3493">
      <c r="A3493" s="32" t="str">
        <f>Demand!A3491</f>
        <v>S019</v>
      </c>
      <c r="B3493" s="35">
        <f>Demand!B3491</f>
        <v>46276.0</v>
      </c>
      <c r="C3493" s="33">
        <f>Demand!C3491</f>
        <v>9</v>
      </c>
      <c r="D3493" s="33">
        <f>Demand!E3491</f>
        <v>19</v>
      </c>
      <c r="E3493" s="33">
        <f>IF(Demand!F3491,1,0)</f>
        <v>0</v>
      </c>
      <c r="F3493" s="33">
        <f>COUNTIFS(c_store,A3493,c_date,B3493,c_hour,C3493)</f>
        <v>0</v>
      </c>
      <c r="G3493" s="33">
        <f>IF(F3493&gt;0,1,0)</f>
        <v>0</v>
      </c>
      <c r="H3493" s="33">
        <f>COUNTIFS(Demand!$A$2:$A$4481,A3493,Demand!$B$2:$B$4481,B3493,Demand!$C$2:$C$4481,C3493)</f>
        <v>1</v>
      </c>
    </row>
    <row r="3494">
      <c r="A3494" s="32" t="str">
        <f>Demand!A3492</f>
        <v>S019</v>
      </c>
      <c r="B3494" s="35">
        <f>Demand!B3492</f>
        <v>46276.0</v>
      </c>
      <c r="C3494" s="33">
        <f>Demand!C3492</f>
        <v>10</v>
      </c>
      <c r="D3494" s="33">
        <f>Demand!E3492</f>
        <v>7</v>
      </c>
      <c r="E3494" s="33">
        <f>IF(Demand!F3492,1,0)</f>
        <v>0</v>
      </c>
      <c r="F3494" s="33">
        <f>COUNTIFS(c_store,A3494,c_date,B3494,c_hour,C3494)</f>
        <v>0</v>
      </c>
      <c r="G3494" s="33">
        <f>IF(F3494&gt;0,1,0)</f>
        <v>0</v>
      </c>
      <c r="H3494" s="33">
        <f>COUNTIFS(Demand!$A$2:$A$4481,A3494,Demand!$B$2:$B$4481,B3494,Demand!$C$2:$C$4481,C3494)</f>
        <v>1</v>
      </c>
    </row>
    <row r="3495">
      <c r="A3495" s="32" t="str">
        <f>Demand!A3493</f>
        <v>S019</v>
      </c>
      <c r="B3495" s="35">
        <f>Demand!B3493</f>
        <v>46276.0</v>
      </c>
      <c r="C3495" s="33">
        <f>Demand!C3493</f>
        <v>11</v>
      </c>
      <c r="D3495" s="33">
        <f>Demand!E3493</f>
        <v>16</v>
      </c>
      <c r="E3495" s="33">
        <f>IF(Demand!F3493,1,0)</f>
        <v>0</v>
      </c>
      <c r="F3495" s="33">
        <f>COUNTIFS(c_store,A3495,c_date,B3495,c_hour,C3495)</f>
        <v>0</v>
      </c>
      <c r="G3495" s="33">
        <f>IF(F3495&gt;0,1,0)</f>
        <v>0</v>
      </c>
      <c r="H3495" s="33">
        <f>COUNTIFS(Demand!$A$2:$A$4481,A3495,Demand!$B$2:$B$4481,B3495,Demand!$C$2:$C$4481,C3495)</f>
        <v>1</v>
      </c>
    </row>
    <row r="3496">
      <c r="A3496" s="32" t="str">
        <f>Demand!A3494</f>
        <v>S019</v>
      </c>
      <c r="B3496" s="35">
        <f>Demand!B3494</f>
        <v>46276.0</v>
      </c>
      <c r="C3496" s="33">
        <f>Demand!C3494</f>
        <v>12</v>
      </c>
      <c r="D3496" s="33">
        <f>Demand!E3494</f>
        <v>17</v>
      </c>
      <c r="E3496" s="33">
        <f>IF(Demand!F3494,1,0)</f>
        <v>0</v>
      </c>
      <c r="F3496" s="33">
        <f>COUNTIFS(c_store,A3496,c_date,B3496,c_hour,C3496)</f>
        <v>0</v>
      </c>
      <c r="G3496" s="33">
        <f>IF(F3496&gt;0,1,0)</f>
        <v>0</v>
      </c>
      <c r="H3496" s="33">
        <f>COUNTIFS(Demand!$A$2:$A$4481,A3496,Demand!$B$2:$B$4481,B3496,Demand!$C$2:$C$4481,C3496)</f>
        <v>1</v>
      </c>
    </row>
    <row r="3497">
      <c r="A3497" s="32" t="str">
        <f>Demand!A3495</f>
        <v>S019</v>
      </c>
      <c r="B3497" s="35">
        <f>Demand!B3495</f>
        <v>46276.0</v>
      </c>
      <c r="C3497" s="33">
        <f>Demand!C3495</f>
        <v>13</v>
      </c>
      <c r="D3497" s="33">
        <f>Demand!E3495</f>
        <v>29</v>
      </c>
      <c r="E3497" s="33">
        <f>IF(Demand!F3495,1,0)</f>
        <v>0</v>
      </c>
      <c r="F3497" s="33">
        <f>COUNTIFS(c_store,A3497,c_date,B3497,c_hour,C3497)</f>
        <v>1</v>
      </c>
      <c r="G3497" s="33">
        <f>IF(F3497&gt;0,1,0)</f>
        <v>1</v>
      </c>
      <c r="H3497" s="33">
        <f>COUNTIFS(Demand!$A$2:$A$4481,A3497,Demand!$B$2:$B$4481,B3497,Demand!$C$2:$C$4481,C3497)</f>
        <v>1</v>
      </c>
    </row>
    <row r="3498">
      <c r="A3498" s="32" t="str">
        <f>Demand!A3496</f>
        <v>S019</v>
      </c>
      <c r="B3498" s="35">
        <f>Demand!B3496</f>
        <v>46276.0</v>
      </c>
      <c r="C3498" s="33">
        <f>Demand!C3496</f>
        <v>14</v>
      </c>
      <c r="D3498" s="33">
        <f>Demand!E3496</f>
        <v>19</v>
      </c>
      <c r="E3498" s="33">
        <f>IF(Demand!F3496,1,0)</f>
        <v>0</v>
      </c>
      <c r="F3498" s="33">
        <f>COUNTIFS(c_store,A3498,c_date,B3498,c_hour,C3498)</f>
        <v>0</v>
      </c>
      <c r="G3498" s="33">
        <f>IF(F3498&gt;0,1,0)</f>
        <v>0</v>
      </c>
      <c r="H3498" s="33">
        <f>COUNTIFS(Demand!$A$2:$A$4481,A3498,Demand!$B$2:$B$4481,B3498,Demand!$C$2:$C$4481,C3498)</f>
        <v>1</v>
      </c>
    </row>
    <row r="3499">
      <c r="A3499" s="32" t="str">
        <f>Demand!A3497</f>
        <v>S019</v>
      </c>
      <c r="B3499" s="35">
        <f>Demand!B3497</f>
        <v>46276.0</v>
      </c>
      <c r="C3499" s="33">
        <f>Demand!C3497</f>
        <v>15</v>
      </c>
      <c r="D3499" s="33">
        <f>Demand!E3497</f>
        <v>14</v>
      </c>
      <c r="E3499" s="33">
        <f>IF(Demand!F3497,1,0)</f>
        <v>0</v>
      </c>
      <c r="F3499" s="33">
        <f>COUNTIFS(c_store,A3499,c_date,B3499,c_hour,C3499)</f>
        <v>1</v>
      </c>
      <c r="G3499" s="33">
        <f>IF(F3499&gt;0,1,0)</f>
        <v>1</v>
      </c>
      <c r="H3499" s="33">
        <f>COUNTIFS(Demand!$A$2:$A$4481,A3499,Demand!$B$2:$B$4481,B3499,Demand!$C$2:$C$4481,C3499)</f>
        <v>1</v>
      </c>
    </row>
    <row r="3500">
      <c r="A3500" s="32" t="str">
        <f>Demand!A3498</f>
        <v>S019</v>
      </c>
      <c r="B3500" s="35">
        <f>Demand!B3498</f>
        <v>46276.0</v>
      </c>
      <c r="C3500" s="33">
        <f>Demand!C3498</f>
        <v>16</v>
      </c>
      <c r="D3500" s="33">
        <f>Demand!E3498</f>
        <v>24</v>
      </c>
      <c r="E3500" s="33">
        <f>IF(Demand!F3498,1,0)</f>
        <v>0</v>
      </c>
      <c r="F3500" s="33">
        <f>COUNTIFS(c_store,A3500,c_date,B3500,c_hour,C3500)</f>
        <v>0</v>
      </c>
      <c r="G3500" s="33">
        <f>IF(F3500&gt;0,1,0)</f>
        <v>0</v>
      </c>
      <c r="H3500" s="33">
        <f>COUNTIFS(Demand!$A$2:$A$4481,A3500,Demand!$B$2:$B$4481,B3500,Demand!$C$2:$C$4481,C3500)</f>
        <v>1</v>
      </c>
    </row>
    <row r="3501">
      <c r="A3501" s="32" t="str">
        <f>Demand!A3499</f>
        <v>S019</v>
      </c>
      <c r="B3501" s="35">
        <f>Demand!B3499</f>
        <v>46276.0</v>
      </c>
      <c r="C3501" s="33">
        <f>Demand!C3499</f>
        <v>17</v>
      </c>
      <c r="D3501" s="33">
        <f>Demand!E3499</f>
        <v>17</v>
      </c>
      <c r="E3501" s="33">
        <f>IF(Demand!F3499,1,0)</f>
        <v>0</v>
      </c>
      <c r="F3501" s="33">
        <f>COUNTIFS(c_store,A3501,c_date,B3501,c_hour,C3501)</f>
        <v>0</v>
      </c>
      <c r="G3501" s="33">
        <f>IF(F3501&gt;0,1,0)</f>
        <v>0</v>
      </c>
      <c r="H3501" s="33">
        <f>COUNTIFS(Demand!$A$2:$A$4481,A3501,Demand!$B$2:$B$4481,B3501,Demand!$C$2:$C$4481,C3501)</f>
        <v>1</v>
      </c>
    </row>
    <row r="3502">
      <c r="A3502" s="32" t="str">
        <f>Demand!A3500</f>
        <v>S019</v>
      </c>
      <c r="B3502" s="35">
        <f>Demand!B3500</f>
        <v>46276.0</v>
      </c>
      <c r="C3502" s="33">
        <f>Demand!C3500</f>
        <v>18</v>
      </c>
      <c r="D3502" s="33">
        <f>Demand!E3500</f>
        <v>22</v>
      </c>
      <c r="E3502" s="33">
        <f>IF(Demand!F3500,1,0)</f>
        <v>0</v>
      </c>
      <c r="F3502" s="33">
        <f>COUNTIFS(c_store,A3502,c_date,B3502,c_hour,C3502)</f>
        <v>1</v>
      </c>
      <c r="G3502" s="33">
        <f>IF(F3502&gt;0,1,0)</f>
        <v>1</v>
      </c>
      <c r="H3502" s="33">
        <f>COUNTIFS(Demand!$A$2:$A$4481,A3502,Demand!$B$2:$B$4481,B3502,Demand!$C$2:$C$4481,C3502)</f>
        <v>1</v>
      </c>
    </row>
    <row r="3503">
      <c r="A3503" s="32" t="str">
        <f>Demand!A3501</f>
        <v>S019</v>
      </c>
      <c r="B3503" s="35">
        <f>Demand!B3501</f>
        <v>46276.0</v>
      </c>
      <c r="C3503" s="33">
        <f>Demand!C3501</f>
        <v>19</v>
      </c>
      <c r="D3503" s="33">
        <f>Demand!E3501</f>
        <v>36</v>
      </c>
      <c r="E3503" s="33">
        <f>IF(Demand!F3501,1,0)</f>
        <v>1</v>
      </c>
      <c r="F3503" s="33">
        <f>COUNTIFS(c_store,A3503,c_date,B3503,c_hour,C3503)</f>
        <v>0</v>
      </c>
      <c r="G3503" s="33">
        <f>IF(F3503&gt;0,1,0)</f>
        <v>0</v>
      </c>
      <c r="H3503" s="33">
        <f>COUNTIFS(Demand!$A$2:$A$4481,A3503,Demand!$B$2:$B$4481,B3503,Demand!$C$2:$C$4481,C3503)</f>
        <v>1</v>
      </c>
    </row>
    <row r="3504">
      <c r="A3504" s="32" t="str">
        <f>Demand!A3502</f>
        <v>S019</v>
      </c>
      <c r="B3504" s="35">
        <f>Demand!B3502</f>
        <v>46276.0</v>
      </c>
      <c r="C3504" s="33">
        <f>Demand!C3502</f>
        <v>20</v>
      </c>
      <c r="D3504" s="33">
        <f>Demand!E3502</f>
        <v>31</v>
      </c>
      <c r="E3504" s="33">
        <f>IF(Demand!F3502,1,0)</f>
        <v>1</v>
      </c>
      <c r="F3504" s="33">
        <f>COUNTIFS(c_store,A3504,c_date,B3504,c_hour,C3504)</f>
        <v>0</v>
      </c>
      <c r="G3504" s="33">
        <f>IF(F3504&gt;0,1,0)</f>
        <v>0</v>
      </c>
      <c r="H3504" s="33">
        <f>COUNTIFS(Demand!$A$2:$A$4481,A3504,Demand!$B$2:$B$4481,B3504,Demand!$C$2:$C$4481,C3504)</f>
        <v>1</v>
      </c>
    </row>
    <row r="3505">
      <c r="A3505" s="32" t="str">
        <f>Demand!A3503</f>
        <v>S019</v>
      </c>
      <c r="B3505" s="35">
        <f>Demand!B3503</f>
        <v>46276.0</v>
      </c>
      <c r="C3505" s="33">
        <f>Demand!C3503</f>
        <v>21</v>
      </c>
      <c r="D3505" s="33">
        <f>Demand!E3503</f>
        <v>29</v>
      </c>
      <c r="E3505" s="33">
        <f>IF(Demand!F3503,1,0)</f>
        <v>1</v>
      </c>
      <c r="F3505" s="33">
        <f>COUNTIFS(c_store,A3505,c_date,B3505,c_hour,C3505)</f>
        <v>0</v>
      </c>
      <c r="G3505" s="33">
        <f>IF(F3505&gt;0,1,0)</f>
        <v>0</v>
      </c>
      <c r="H3505" s="33">
        <f>COUNTIFS(Demand!$A$2:$A$4481,A3505,Demand!$B$2:$B$4481,B3505,Demand!$C$2:$C$4481,C3505)</f>
        <v>1</v>
      </c>
    </row>
    <row r="3506">
      <c r="A3506" s="32" t="str">
        <f>Demand!A3504</f>
        <v>S019</v>
      </c>
      <c r="B3506" s="35">
        <f>Demand!B3504</f>
        <v>46276.0</v>
      </c>
      <c r="C3506" s="33">
        <f>Demand!C3504</f>
        <v>22</v>
      </c>
      <c r="D3506" s="33">
        <f>Demand!E3504</f>
        <v>33</v>
      </c>
      <c r="E3506" s="33">
        <f>IF(Demand!F3504,1,0)</f>
        <v>0</v>
      </c>
      <c r="F3506" s="33">
        <f>COUNTIFS(c_store,A3506,c_date,B3506,c_hour,C3506)</f>
        <v>0</v>
      </c>
      <c r="G3506" s="33">
        <f>IF(F3506&gt;0,1,0)</f>
        <v>0</v>
      </c>
      <c r="H3506" s="33">
        <f>COUNTIFS(Demand!$A$2:$A$4481,A3506,Demand!$B$2:$B$4481,B3506,Demand!$C$2:$C$4481,C3506)</f>
        <v>1</v>
      </c>
    </row>
    <row r="3507">
      <c r="A3507" s="32" t="str">
        <f>Demand!A3505</f>
        <v>S019</v>
      </c>
      <c r="B3507" s="35">
        <f>Demand!B3505</f>
        <v>46276.0</v>
      </c>
      <c r="C3507" s="33">
        <f>Demand!C3505</f>
        <v>23</v>
      </c>
      <c r="D3507" s="33">
        <f>Demand!E3505</f>
        <v>24</v>
      </c>
      <c r="E3507" s="33">
        <f>IF(Demand!F3505,1,0)</f>
        <v>0</v>
      </c>
      <c r="F3507" s="33">
        <f>COUNTIFS(c_store,A3507,c_date,B3507,c_hour,C3507)</f>
        <v>2</v>
      </c>
      <c r="G3507" s="33">
        <f>IF(F3507&gt;0,1,0)</f>
        <v>1</v>
      </c>
      <c r="H3507" s="33">
        <f>COUNTIFS(Demand!$A$2:$A$4481,A3507,Demand!$B$2:$B$4481,B3507,Demand!$C$2:$C$4481,C3507)</f>
        <v>1</v>
      </c>
    </row>
    <row r="3508">
      <c r="A3508" s="32" t="str">
        <f>Demand!A3506</f>
        <v>S020</v>
      </c>
      <c r="B3508" s="35">
        <f>Demand!B3506</f>
        <v>46276.0</v>
      </c>
      <c r="C3508" s="33">
        <f>Demand!C3506</f>
        <v>8</v>
      </c>
      <c r="D3508" s="33">
        <f>Demand!E3506</f>
        <v>11</v>
      </c>
      <c r="E3508" s="33">
        <f>IF(Demand!F3506,1,0)</f>
        <v>0</v>
      </c>
      <c r="F3508" s="33">
        <f>COUNTIFS(c_store,A3508,c_date,B3508,c_hour,C3508)</f>
        <v>1</v>
      </c>
      <c r="G3508" s="33">
        <f>IF(F3508&gt;0,1,0)</f>
        <v>1</v>
      </c>
      <c r="H3508" s="33">
        <f>COUNTIFS(Demand!$A$2:$A$4481,A3508,Demand!$B$2:$B$4481,B3508,Demand!$C$2:$C$4481,C3508)</f>
        <v>1</v>
      </c>
    </row>
    <row r="3509">
      <c r="A3509" s="32" t="str">
        <f>Demand!A3507</f>
        <v>S020</v>
      </c>
      <c r="B3509" s="35">
        <f>Demand!B3507</f>
        <v>46276.0</v>
      </c>
      <c r="C3509" s="33">
        <f>Demand!C3507</f>
        <v>9</v>
      </c>
      <c r="D3509" s="33">
        <f>Demand!E3507</f>
        <v>9</v>
      </c>
      <c r="E3509" s="33">
        <f>IF(Demand!F3507,1,0)</f>
        <v>0</v>
      </c>
      <c r="F3509" s="33">
        <f>COUNTIFS(c_store,A3509,c_date,B3509,c_hour,C3509)</f>
        <v>0</v>
      </c>
      <c r="G3509" s="33">
        <f>IF(F3509&gt;0,1,0)</f>
        <v>0</v>
      </c>
      <c r="H3509" s="33">
        <f>COUNTIFS(Demand!$A$2:$A$4481,A3509,Demand!$B$2:$B$4481,B3509,Demand!$C$2:$C$4481,C3509)</f>
        <v>1</v>
      </c>
    </row>
    <row r="3510">
      <c r="A3510" s="32" t="str">
        <f>Demand!A3508</f>
        <v>S020</v>
      </c>
      <c r="B3510" s="35">
        <f>Demand!B3508</f>
        <v>46276.0</v>
      </c>
      <c r="C3510" s="33">
        <f>Demand!C3508</f>
        <v>10</v>
      </c>
      <c r="D3510" s="33">
        <f>Demand!E3508</f>
        <v>13</v>
      </c>
      <c r="E3510" s="33">
        <f>IF(Demand!F3508,1,0)</f>
        <v>0</v>
      </c>
      <c r="F3510" s="33">
        <f>COUNTIFS(c_store,A3510,c_date,B3510,c_hour,C3510)</f>
        <v>1</v>
      </c>
      <c r="G3510" s="33">
        <f>IF(F3510&gt;0,1,0)</f>
        <v>1</v>
      </c>
      <c r="H3510" s="33">
        <f>COUNTIFS(Demand!$A$2:$A$4481,A3510,Demand!$B$2:$B$4481,B3510,Demand!$C$2:$C$4481,C3510)</f>
        <v>1</v>
      </c>
    </row>
    <row r="3511">
      <c r="A3511" s="32" t="str">
        <f>Demand!A3509</f>
        <v>S020</v>
      </c>
      <c r="B3511" s="35">
        <f>Demand!B3509</f>
        <v>46276.0</v>
      </c>
      <c r="C3511" s="33">
        <f>Demand!C3509</f>
        <v>11</v>
      </c>
      <c r="D3511" s="33">
        <f>Demand!E3509</f>
        <v>16</v>
      </c>
      <c r="E3511" s="33">
        <f>IF(Demand!F3509,1,0)</f>
        <v>0</v>
      </c>
      <c r="F3511" s="33">
        <f>COUNTIFS(c_store,A3511,c_date,B3511,c_hour,C3511)</f>
        <v>0</v>
      </c>
      <c r="G3511" s="33">
        <f>IF(F3511&gt;0,1,0)</f>
        <v>0</v>
      </c>
      <c r="H3511" s="33">
        <f>COUNTIFS(Demand!$A$2:$A$4481,A3511,Demand!$B$2:$B$4481,B3511,Demand!$C$2:$C$4481,C3511)</f>
        <v>1</v>
      </c>
    </row>
    <row r="3512">
      <c r="A3512" s="32" t="str">
        <f>Demand!A3510</f>
        <v>S020</v>
      </c>
      <c r="B3512" s="35">
        <f>Demand!B3510</f>
        <v>46276.0</v>
      </c>
      <c r="C3512" s="33">
        <f>Demand!C3510</f>
        <v>12</v>
      </c>
      <c r="D3512" s="33">
        <f>Demand!E3510</f>
        <v>21</v>
      </c>
      <c r="E3512" s="33">
        <f>IF(Demand!F3510,1,0)</f>
        <v>0</v>
      </c>
      <c r="F3512" s="33">
        <f>COUNTIFS(c_store,A3512,c_date,B3512,c_hour,C3512)</f>
        <v>1</v>
      </c>
      <c r="G3512" s="33">
        <f>IF(F3512&gt;0,1,0)</f>
        <v>1</v>
      </c>
      <c r="H3512" s="33">
        <f>COUNTIFS(Demand!$A$2:$A$4481,A3512,Demand!$B$2:$B$4481,B3512,Demand!$C$2:$C$4481,C3512)</f>
        <v>1</v>
      </c>
    </row>
    <row r="3513">
      <c r="A3513" s="32" t="str">
        <f>Demand!A3511</f>
        <v>S020</v>
      </c>
      <c r="B3513" s="35">
        <f>Demand!B3511</f>
        <v>46276.0</v>
      </c>
      <c r="C3513" s="33">
        <f>Demand!C3511</f>
        <v>13</v>
      </c>
      <c r="D3513" s="33">
        <f>Demand!E3511</f>
        <v>20</v>
      </c>
      <c r="E3513" s="33">
        <f>IF(Demand!F3511,1,0)</f>
        <v>0</v>
      </c>
      <c r="F3513" s="33">
        <f>COUNTIFS(c_store,A3513,c_date,B3513,c_hour,C3513)</f>
        <v>0</v>
      </c>
      <c r="G3513" s="33">
        <f>IF(F3513&gt;0,1,0)</f>
        <v>0</v>
      </c>
      <c r="H3513" s="33">
        <f>COUNTIFS(Demand!$A$2:$A$4481,A3513,Demand!$B$2:$B$4481,B3513,Demand!$C$2:$C$4481,C3513)</f>
        <v>1</v>
      </c>
    </row>
    <row r="3514">
      <c r="A3514" s="32" t="str">
        <f>Demand!A3512</f>
        <v>S020</v>
      </c>
      <c r="B3514" s="35">
        <f>Demand!B3512</f>
        <v>46276.0</v>
      </c>
      <c r="C3514" s="33">
        <f>Demand!C3512</f>
        <v>14</v>
      </c>
      <c r="D3514" s="33">
        <f>Demand!E3512</f>
        <v>5</v>
      </c>
      <c r="E3514" s="33">
        <f>IF(Demand!F3512,1,0)</f>
        <v>0</v>
      </c>
      <c r="F3514" s="33">
        <f>COUNTIFS(c_store,A3514,c_date,B3514,c_hour,C3514)</f>
        <v>0</v>
      </c>
      <c r="G3514" s="33">
        <f>IF(F3514&gt;0,1,0)</f>
        <v>0</v>
      </c>
      <c r="H3514" s="33">
        <f>COUNTIFS(Demand!$A$2:$A$4481,A3514,Demand!$B$2:$B$4481,B3514,Demand!$C$2:$C$4481,C3514)</f>
        <v>1</v>
      </c>
    </row>
    <row r="3515">
      <c r="A3515" s="32" t="str">
        <f>Demand!A3513</f>
        <v>S020</v>
      </c>
      <c r="B3515" s="35">
        <f>Demand!B3513</f>
        <v>46276.0</v>
      </c>
      <c r="C3515" s="33">
        <f>Demand!C3513</f>
        <v>15</v>
      </c>
      <c r="D3515" s="33">
        <f>Demand!E3513</f>
        <v>10</v>
      </c>
      <c r="E3515" s="33">
        <f>IF(Demand!F3513,1,0)</f>
        <v>0</v>
      </c>
      <c r="F3515" s="33">
        <f>COUNTIFS(c_store,A3515,c_date,B3515,c_hour,C3515)</f>
        <v>0</v>
      </c>
      <c r="G3515" s="33">
        <f>IF(F3515&gt;0,1,0)</f>
        <v>0</v>
      </c>
      <c r="H3515" s="33">
        <f>COUNTIFS(Demand!$A$2:$A$4481,A3515,Demand!$B$2:$B$4481,B3515,Demand!$C$2:$C$4481,C3515)</f>
        <v>1</v>
      </c>
    </row>
    <row r="3516">
      <c r="A3516" s="32" t="str">
        <f>Demand!A3514</f>
        <v>S020</v>
      </c>
      <c r="B3516" s="35">
        <f>Demand!B3514</f>
        <v>46276.0</v>
      </c>
      <c r="C3516" s="33">
        <f>Demand!C3514</f>
        <v>16</v>
      </c>
      <c r="D3516" s="33">
        <f>Demand!E3514</f>
        <v>16</v>
      </c>
      <c r="E3516" s="33">
        <f>IF(Demand!F3514,1,0)</f>
        <v>0</v>
      </c>
      <c r="F3516" s="33">
        <f>COUNTIFS(c_store,A3516,c_date,B3516,c_hour,C3516)</f>
        <v>0</v>
      </c>
      <c r="G3516" s="33">
        <f>IF(F3516&gt;0,1,0)</f>
        <v>0</v>
      </c>
      <c r="H3516" s="33">
        <f>COUNTIFS(Demand!$A$2:$A$4481,A3516,Demand!$B$2:$B$4481,B3516,Demand!$C$2:$C$4481,C3516)</f>
        <v>1</v>
      </c>
    </row>
    <row r="3517">
      <c r="A3517" s="32" t="str">
        <f>Demand!A3515</f>
        <v>S020</v>
      </c>
      <c r="B3517" s="35">
        <f>Demand!B3515</f>
        <v>46276.0</v>
      </c>
      <c r="C3517" s="33">
        <f>Demand!C3515</f>
        <v>17</v>
      </c>
      <c r="D3517" s="33">
        <f>Demand!E3515</f>
        <v>14</v>
      </c>
      <c r="E3517" s="33">
        <f>IF(Demand!F3515,1,0)</f>
        <v>0</v>
      </c>
      <c r="F3517" s="33">
        <f>COUNTIFS(c_store,A3517,c_date,B3517,c_hour,C3517)</f>
        <v>1</v>
      </c>
      <c r="G3517" s="33">
        <f>IF(F3517&gt;0,1,0)</f>
        <v>1</v>
      </c>
      <c r="H3517" s="33">
        <f>COUNTIFS(Demand!$A$2:$A$4481,A3517,Demand!$B$2:$B$4481,B3517,Demand!$C$2:$C$4481,C3517)</f>
        <v>1</v>
      </c>
    </row>
    <row r="3518">
      <c r="A3518" s="32" t="str">
        <f>Demand!A3516</f>
        <v>S020</v>
      </c>
      <c r="B3518" s="35">
        <f>Demand!B3516</f>
        <v>46276.0</v>
      </c>
      <c r="C3518" s="33">
        <f>Demand!C3516</f>
        <v>18</v>
      </c>
      <c r="D3518" s="33">
        <f>Demand!E3516</f>
        <v>17</v>
      </c>
      <c r="E3518" s="33">
        <f>IF(Demand!F3516,1,0)</f>
        <v>0</v>
      </c>
      <c r="F3518" s="33">
        <f>COUNTIFS(c_store,A3518,c_date,B3518,c_hour,C3518)</f>
        <v>0</v>
      </c>
      <c r="G3518" s="33">
        <f>IF(F3518&gt;0,1,0)</f>
        <v>0</v>
      </c>
      <c r="H3518" s="33">
        <f>COUNTIFS(Demand!$A$2:$A$4481,A3518,Demand!$B$2:$B$4481,B3518,Demand!$C$2:$C$4481,C3518)</f>
        <v>1</v>
      </c>
    </row>
    <row r="3519">
      <c r="A3519" s="32" t="str">
        <f>Demand!A3517</f>
        <v>S020</v>
      </c>
      <c r="B3519" s="35">
        <f>Demand!B3517</f>
        <v>46276.0</v>
      </c>
      <c r="C3519" s="33">
        <f>Demand!C3517</f>
        <v>19</v>
      </c>
      <c r="D3519" s="33">
        <f>Demand!E3517</f>
        <v>19</v>
      </c>
      <c r="E3519" s="33">
        <f>IF(Demand!F3517,1,0)</f>
        <v>1</v>
      </c>
      <c r="F3519" s="33">
        <f>COUNTIFS(c_store,A3519,c_date,B3519,c_hour,C3519)</f>
        <v>0</v>
      </c>
      <c r="G3519" s="33">
        <f>IF(F3519&gt;0,1,0)</f>
        <v>0</v>
      </c>
      <c r="H3519" s="33">
        <f>COUNTIFS(Demand!$A$2:$A$4481,A3519,Demand!$B$2:$B$4481,B3519,Demand!$C$2:$C$4481,C3519)</f>
        <v>1</v>
      </c>
    </row>
    <row r="3520">
      <c r="A3520" s="32" t="str">
        <f>Demand!A3518</f>
        <v>S020</v>
      </c>
      <c r="B3520" s="35">
        <f>Demand!B3518</f>
        <v>46276.0</v>
      </c>
      <c r="C3520" s="33">
        <f>Demand!C3518</f>
        <v>20</v>
      </c>
      <c r="D3520" s="33">
        <f>Demand!E3518</f>
        <v>25</v>
      </c>
      <c r="E3520" s="33">
        <f>IF(Demand!F3518,1,0)</f>
        <v>1</v>
      </c>
      <c r="F3520" s="33">
        <f>COUNTIFS(c_store,A3520,c_date,B3520,c_hour,C3520)</f>
        <v>0</v>
      </c>
      <c r="G3520" s="33">
        <f>IF(F3520&gt;0,1,0)</f>
        <v>0</v>
      </c>
      <c r="H3520" s="33">
        <f>COUNTIFS(Demand!$A$2:$A$4481,A3520,Demand!$B$2:$B$4481,B3520,Demand!$C$2:$C$4481,C3520)</f>
        <v>1</v>
      </c>
    </row>
    <row r="3521">
      <c r="A3521" s="32" t="str">
        <f>Demand!A3519</f>
        <v>S020</v>
      </c>
      <c r="B3521" s="35">
        <f>Demand!B3519</f>
        <v>46276.0</v>
      </c>
      <c r="C3521" s="33">
        <f>Demand!C3519</f>
        <v>21</v>
      </c>
      <c r="D3521" s="33">
        <f>Demand!E3519</f>
        <v>19</v>
      </c>
      <c r="E3521" s="33">
        <f>IF(Demand!F3519,1,0)</f>
        <v>1</v>
      </c>
      <c r="F3521" s="33">
        <f>COUNTIFS(c_store,A3521,c_date,B3521,c_hour,C3521)</f>
        <v>1</v>
      </c>
      <c r="G3521" s="33">
        <f>IF(F3521&gt;0,1,0)</f>
        <v>1</v>
      </c>
      <c r="H3521" s="33">
        <f>COUNTIFS(Demand!$A$2:$A$4481,A3521,Demand!$B$2:$B$4481,B3521,Demand!$C$2:$C$4481,C3521)</f>
        <v>1</v>
      </c>
    </row>
    <row r="3522">
      <c r="A3522" s="32" t="str">
        <f>Demand!A3520</f>
        <v>S020</v>
      </c>
      <c r="B3522" s="35">
        <f>Demand!B3520</f>
        <v>46276.0</v>
      </c>
      <c r="C3522" s="33">
        <f>Demand!C3520</f>
        <v>22</v>
      </c>
      <c r="D3522" s="33">
        <f>Demand!E3520</f>
        <v>11</v>
      </c>
      <c r="E3522" s="33">
        <f>IF(Demand!F3520,1,0)</f>
        <v>0</v>
      </c>
      <c r="F3522" s="33">
        <f>COUNTIFS(c_store,A3522,c_date,B3522,c_hour,C3522)</f>
        <v>0</v>
      </c>
      <c r="G3522" s="33">
        <f>IF(F3522&gt;0,1,0)</f>
        <v>0</v>
      </c>
      <c r="H3522" s="33">
        <f>COUNTIFS(Demand!$A$2:$A$4481,A3522,Demand!$B$2:$B$4481,B3522,Demand!$C$2:$C$4481,C3522)</f>
        <v>1</v>
      </c>
    </row>
    <row r="3523">
      <c r="A3523" s="32" t="str">
        <f>Demand!A3521</f>
        <v>S020</v>
      </c>
      <c r="B3523" s="35">
        <f>Demand!B3521</f>
        <v>46276.0</v>
      </c>
      <c r="C3523" s="33">
        <f>Demand!C3521</f>
        <v>23</v>
      </c>
      <c r="D3523" s="33">
        <f>Demand!E3521</f>
        <v>17</v>
      </c>
      <c r="E3523" s="33">
        <f>IF(Demand!F3521,1,0)</f>
        <v>0</v>
      </c>
      <c r="F3523" s="33">
        <f>COUNTIFS(c_store,A3523,c_date,B3523,c_hour,C3523)</f>
        <v>2</v>
      </c>
      <c r="G3523" s="33">
        <f>IF(F3523&gt;0,1,0)</f>
        <v>1</v>
      </c>
      <c r="H3523" s="33">
        <f>COUNTIFS(Demand!$A$2:$A$4481,A3523,Demand!$B$2:$B$4481,B3523,Demand!$C$2:$C$4481,C3523)</f>
        <v>1</v>
      </c>
    </row>
    <row r="3524">
      <c r="A3524" s="32" t="str">
        <f>Demand!A3522</f>
        <v>S001</v>
      </c>
      <c r="B3524" s="35">
        <f>Demand!B3522</f>
        <v>46277.0</v>
      </c>
      <c r="C3524" s="33">
        <f>Demand!C3522</f>
        <v>8</v>
      </c>
      <c r="D3524" s="33">
        <f>Demand!E3522</f>
        <v>11</v>
      </c>
      <c r="E3524" s="33">
        <f>IF(Demand!F3522,1,0)</f>
        <v>0</v>
      </c>
      <c r="F3524" s="33">
        <f>COUNTIFS(c_store,A3524,c_date,B3524,c_hour,C3524)</f>
        <v>0</v>
      </c>
      <c r="G3524" s="33">
        <f>IF(F3524&gt;0,1,0)</f>
        <v>0</v>
      </c>
      <c r="H3524" s="33">
        <f>COUNTIFS(Demand!$A$2:$A$4481,A3524,Demand!$B$2:$B$4481,B3524,Demand!$C$2:$C$4481,C3524)</f>
        <v>1</v>
      </c>
    </row>
    <row r="3525">
      <c r="A3525" s="32" t="str">
        <f>Demand!A3523</f>
        <v>S001</v>
      </c>
      <c r="B3525" s="35">
        <f>Demand!B3523</f>
        <v>46277.0</v>
      </c>
      <c r="C3525" s="33">
        <f>Demand!C3523</f>
        <v>9</v>
      </c>
      <c r="D3525" s="33">
        <f>Demand!E3523</f>
        <v>13</v>
      </c>
      <c r="E3525" s="33">
        <f>IF(Demand!F3523,1,0)</f>
        <v>0</v>
      </c>
      <c r="F3525" s="33">
        <f>COUNTIFS(c_store,A3525,c_date,B3525,c_hour,C3525)</f>
        <v>0</v>
      </c>
      <c r="G3525" s="33">
        <f>IF(F3525&gt;0,1,0)</f>
        <v>0</v>
      </c>
      <c r="H3525" s="33">
        <f>COUNTIFS(Demand!$A$2:$A$4481,A3525,Demand!$B$2:$B$4481,B3525,Demand!$C$2:$C$4481,C3525)</f>
        <v>1</v>
      </c>
    </row>
    <row r="3526">
      <c r="A3526" s="32" t="str">
        <f>Demand!A3524</f>
        <v>S001</v>
      </c>
      <c r="B3526" s="35">
        <f>Demand!B3524</f>
        <v>46277.0</v>
      </c>
      <c r="C3526" s="33">
        <f>Demand!C3524</f>
        <v>10</v>
      </c>
      <c r="D3526" s="33">
        <f>Demand!E3524</f>
        <v>17</v>
      </c>
      <c r="E3526" s="33">
        <f>IF(Demand!F3524,1,0)</f>
        <v>0</v>
      </c>
      <c r="F3526" s="33">
        <f>COUNTIFS(c_store,A3526,c_date,B3526,c_hour,C3526)</f>
        <v>1</v>
      </c>
      <c r="G3526" s="33">
        <f>IF(F3526&gt;0,1,0)</f>
        <v>1</v>
      </c>
      <c r="H3526" s="33">
        <f>COUNTIFS(Demand!$A$2:$A$4481,A3526,Demand!$B$2:$B$4481,B3526,Demand!$C$2:$C$4481,C3526)</f>
        <v>1</v>
      </c>
    </row>
    <row r="3527">
      <c r="A3527" s="32" t="str">
        <f>Demand!A3525</f>
        <v>S001</v>
      </c>
      <c r="B3527" s="35">
        <f>Demand!B3525</f>
        <v>46277.0</v>
      </c>
      <c r="C3527" s="33">
        <f>Demand!C3525</f>
        <v>11</v>
      </c>
      <c r="D3527" s="33">
        <f>Demand!E3525</f>
        <v>21</v>
      </c>
      <c r="E3527" s="33">
        <f>IF(Demand!F3525,1,0)</f>
        <v>0</v>
      </c>
      <c r="F3527" s="33">
        <f>COUNTIFS(c_store,A3527,c_date,B3527,c_hour,C3527)</f>
        <v>0</v>
      </c>
      <c r="G3527" s="33">
        <f>IF(F3527&gt;0,1,0)</f>
        <v>0</v>
      </c>
      <c r="H3527" s="33">
        <f>COUNTIFS(Demand!$A$2:$A$4481,A3527,Demand!$B$2:$B$4481,B3527,Demand!$C$2:$C$4481,C3527)</f>
        <v>1</v>
      </c>
    </row>
    <row r="3528">
      <c r="A3528" s="32" t="str">
        <f>Demand!A3526</f>
        <v>S001</v>
      </c>
      <c r="B3528" s="35">
        <f>Demand!B3526</f>
        <v>46277.0</v>
      </c>
      <c r="C3528" s="33">
        <f>Demand!C3526</f>
        <v>12</v>
      </c>
      <c r="D3528" s="33">
        <f>Demand!E3526</f>
        <v>27</v>
      </c>
      <c r="E3528" s="33">
        <f>IF(Demand!F3526,1,0)</f>
        <v>0</v>
      </c>
      <c r="F3528" s="33">
        <f>COUNTIFS(c_store,A3528,c_date,B3528,c_hour,C3528)</f>
        <v>0</v>
      </c>
      <c r="G3528" s="33">
        <f>IF(F3528&gt;0,1,0)</f>
        <v>0</v>
      </c>
      <c r="H3528" s="33">
        <f>COUNTIFS(Demand!$A$2:$A$4481,A3528,Demand!$B$2:$B$4481,B3528,Demand!$C$2:$C$4481,C3528)</f>
        <v>1</v>
      </c>
    </row>
    <row r="3529">
      <c r="A3529" s="32" t="str">
        <f>Demand!A3527</f>
        <v>S001</v>
      </c>
      <c r="B3529" s="35">
        <f>Demand!B3527</f>
        <v>46277.0</v>
      </c>
      <c r="C3529" s="33">
        <f>Demand!C3527</f>
        <v>13</v>
      </c>
      <c r="D3529" s="33">
        <f>Demand!E3527</f>
        <v>13</v>
      </c>
      <c r="E3529" s="33">
        <f>IF(Demand!F3527,1,0)</f>
        <v>0</v>
      </c>
      <c r="F3529" s="33">
        <f>COUNTIFS(c_store,A3529,c_date,B3529,c_hour,C3529)</f>
        <v>0</v>
      </c>
      <c r="G3529" s="33">
        <f>IF(F3529&gt;0,1,0)</f>
        <v>0</v>
      </c>
      <c r="H3529" s="33">
        <f>COUNTIFS(Demand!$A$2:$A$4481,A3529,Demand!$B$2:$B$4481,B3529,Demand!$C$2:$C$4481,C3529)</f>
        <v>1</v>
      </c>
    </row>
    <row r="3530">
      <c r="A3530" s="32" t="str">
        <f>Demand!A3528</f>
        <v>S001</v>
      </c>
      <c r="B3530" s="35">
        <f>Demand!B3528</f>
        <v>46277.0</v>
      </c>
      <c r="C3530" s="33">
        <f>Demand!C3528</f>
        <v>14</v>
      </c>
      <c r="D3530" s="33">
        <f>Demand!E3528</f>
        <v>12</v>
      </c>
      <c r="E3530" s="33">
        <f>IF(Demand!F3528,1,0)</f>
        <v>0</v>
      </c>
      <c r="F3530" s="33">
        <f>COUNTIFS(c_store,A3530,c_date,B3530,c_hour,C3530)</f>
        <v>0</v>
      </c>
      <c r="G3530" s="33">
        <f>IF(F3530&gt;0,1,0)</f>
        <v>0</v>
      </c>
      <c r="H3530" s="33">
        <f>COUNTIFS(Demand!$A$2:$A$4481,A3530,Demand!$B$2:$B$4481,B3530,Demand!$C$2:$C$4481,C3530)</f>
        <v>1</v>
      </c>
    </row>
    <row r="3531">
      <c r="A3531" s="32" t="str">
        <f>Demand!A3529</f>
        <v>S001</v>
      </c>
      <c r="B3531" s="35">
        <f>Demand!B3529</f>
        <v>46277.0</v>
      </c>
      <c r="C3531" s="33">
        <f>Demand!C3529</f>
        <v>15</v>
      </c>
      <c r="D3531" s="33">
        <f>Demand!E3529</f>
        <v>7</v>
      </c>
      <c r="E3531" s="33">
        <f>IF(Demand!F3529,1,0)</f>
        <v>0</v>
      </c>
      <c r="F3531" s="33">
        <f>COUNTIFS(c_store,A3531,c_date,B3531,c_hour,C3531)</f>
        <v>1</v>
      </c>
      <c r="G3531" s="33">
        <f>IF(F3531&gt;0,1,0)</f>
        <v>1</v>
      </c>
      <c r="H3531" s="33">
        <f>COUNTIFS(Demand!$A$2:$A$4481,A3531,Demand!$B$2:$B$4481,B3531,Demand!$C$2:$C$4481,C3531)</f>
        <v>1</v>
      </c>
    </row>
    <row r="3532">
      <c r="A3532" s="32" t="str">
        <f>Demand!A3530</f>
        <v>S001</v>
      </c>
      <c r="B3532" s="35">
        <f>Demand!B3530</f>
        <v>46277.0</v>
      </c>
      <c r="C3532" s="33">
        <f>Demand!C3530</f>
        <v>16</v>
      </c>
      <c r="D3532" s="33">
        <f>Demand!E3530</f>
        <v>10</v>
      </c>
      <c r="E3532" s="33">
        <f>IF(Demand!F3530,1,0)</f>
        <v>0</v>
      </c>
      <c r="F3532" s="33">
        <f>COUNTIFS(c_store,A3532,c_date,B3532,c_hour,C3532)</f>
        <v>0</v>
      </c>
      <c r="G3532" s="33">
        <f>IF(F3532&gt;0,1,0)</f>
        <v>0</v>
      </c>
      <c r="H3532" s="33">
        <f>COUNTIFS(Demand!$A$2:$A$4481,A3532,Demand!$B$2:$B$4481,B3532,Demand!$C$2:$C$4481,C3532)</f>
        <v>1</v>
      </c>
    </row>
    <row r="3533">
      <c r="A3533" s="32" t="str">
        <f>Demand!A3531</f>
        <v>S001</v>
      </c>
      <c r="B3533" s="35">
        <f>Demand!B3531</f>
        <v>46277.0</v>
      </c>
      <c r="C3533" s="33">
        <f>Demand!C3531</f>
        <v>17</v>
      </c>
      <c r="D3533" s="33">
        <f>Demand!E3531</f>
        <v>7</v>
      </c>
      <c r="E3533" s="33">
        <f>IF(Demand!F3531,1,0)</f>
        <v>0</v>
      </c>
      <c r="F3533" s="33">
        <f>COUNTIFS(c_store,A3533,c_date,B3533,c_hour,C3533)</f>
        <v>1</v>
      </c>
      <c r="G3533" s="33">
        <f>IF(F3533&gt;0,1,0)</f>
        <v>1</v>
      </c>
      <c r="H3533" s="33">
        <f>COUNTIFS(Demand!$A$2:$A$4481,A3533,Demand!$B$2:$B$4481,B3533,Demand!$C$2:$C$4481,C3533)</f>
        <v>1</v>
      </c>
    </row>
    <row r="3534">
      <c r="A3534" s="32" t="str">
        <f>Demand!A3532</f>
        <v>S001</v>
      </c>
      <c r="B3534" s="35">
        <f>Demand!B3532</f>
        <v>46277.0</v>
      </c>
      <c r="C3534" s="33">
        <f>Demand!C3532</f>
        <v>18</v>
      </c>
      <c r="D3534" s="33">
        <f>Demand!E3532</f>
        <v>18</v>
      </c>
      <c r="E3534" s="33">
        <f>IF(Demand!F3532,1,0)</f>
        <v>0</v>
      </c>
      <c r="F3534" s="33">
        <f>COUNTIFS(c_store,A3534,c_date,B3534,c_hour,C3534)</f>
        <v>0</v>
      </c>
      <c r="G3534" s="33">
        <f>IF(F3534&gt;0,1,0)</f>
        <v>0</v>
      </c>
      <c r="H3534" s="33">
        <f>COUNTIFS(Demand!$A$2:$A$4481,A3534,Demand!$B$2:$B$4481,B3534,Demand!$C$2:$C$4481,C3534)</f>
        <v>1</v>
      </c>
    </row>
    <row r="3535">
      <c r="A3535" s="32" t="str">
        <f>Demand!A3533</f>
        <v>S001</v>
      </c>
      <c r="B3535" s="35">
        <f>Demand!B3533</f>
        <v>46277.0</v>
      </c>
      <c r="C3535" s="33">
        <f>Demand!C3533</f>
        <v>19</v>
      </c>
      <c r="D3535" s="33">
        <f>Demand!E3533</f>
        <v>23</v>
      </c>
      <c r="E3535" s="33">
        <f>IF(Demand!F3533,1,0)</f>
        <v>1</v>
      </c>
      <c r="F3535" s="33">
        <f>COUNTIFS(c_store,A3535,c_date,B3535,c_hour,C3535)</f>
        <v>1</v>
      </c>
      <c r="G3535" s="33">
        <f>IF(F3535&gt;0,1,0)</f>
        <v>1</v>
      </c>
      <c r="H3535" s="33">
        <f>COUNTIFS(Demand!$A$2:$A$4481,A3535,Demand!$B$2:$B$4481,B3535,Demand!$C$2:$C$4481,C3535)</f>
        <v>1</v>
      </c>
    </row>
    <row r="3536">
      <c r="A3536" s="32" t="str">
        <f>Demand!A3534</f>
        <v>S001</v>
      </c>
      <c r="B3536" s="35">
        <f>Demand!B3534</f>
        <v>46277.0</v>
      </c>
      <c r="C3536" s="33">
        <f>Demand!C3534</f>
        <v>20</v>
      </c>
      <c r="D3536" s="33">
        <f>Demand!E3534</f>
        <v>19</v>
      </c>
      <c r="E3536" s="33">
        <f>IF(Demand!F3534,1,0)</f>
        <v>1</v>
      </c>
      <c r="F3536" s="33">
        <f>COUNTIFS(c_store,A3536,c_date,B3536,c_hour,C3536)</f>
        <v>0</v>
      </c>
      <c r="G3536" s="33">
        <f>IF(F3536&gt;0,1,0)</f>
        <v>0</v>
      </c>
      <c r="H3536" s="33">
        <f>COUNTIFS(Demand!$A$2:$A$4481,A3536,Demand!$B$2:$B$4481,B3536,Demand!$C$2:$C$4481,C3536)</f>
        <v>1</v>
      </c>
    </row>
    <row r="3537">
      <c r="A3537" s="32" t="str">
        <f>Demand!A3535</f>
        <v>S001</v>
      </c>
      <c r="B3537" s="35">
        <f>Demand!B3535</f>
        <v>46277.0</v>
      </c>
      <c r="C3537" s="33">
        <f>Demand!C3535</f>
        <v>21</v>
      </c>
      <c r="D3537" s="33">
        <f>Demand!E3535</f>
        <v>26</v>
      </c>
      <c r="E3537" s="33">
        <f>IF(Demand!F3535,1,0)</f>
        <v>1</v>
      </c>
      <c r="F3537" s="33">
        <f>COUNTIFS(c_store,A3537,c_date,B3537,c_hour,C3537)</f>
        <v>0</v>
      </c>
      <c r="G3537" s="33">
        <f>IF(F3537&gt;0,1,0)</f>
        <v>0</v>
      </c>
      <c r="H3537" s="33">
        <f>COUNTIFS(Demand!$A$2:$A$4481,A3537,Demand!$B$2:$B$4481,B3537,Demand!$C$2:$C$4481,C3537)</f>
        <v>1</v>
      </c>
    </row>
    <row r="3538">
      <c r="A3538" s="32" t="str">
        <f>Demand!A3536</f>
        <v>S001</v>
      </c>
      <c r="B3538" s="35">
        <f>Demand!B3536</f>
        <v>46277.0</v>
      </c>
      <c r="C3538" s="33">
        <f>Demand!C3536</f>
        <v>22</v>
      </c>
      <c r="D3538" s="33">
        <f>Demand!E3536</f>
        <v>17</v>
      </c>
      <c r="E3538" s="33">
        <f>IF(Demand!F3536,1,0)</f>
        <v>0</v>
      </c>
      <c r="F3538" s="33">
        <f>COUNTIFS(c_store,A3538,c_date,B3538,c_hour,C3538)</f>
        <v>2</v>
      </c>
      <c r="G3538" s="33">
        <f>IF(F3538&gt;0,1,0)</f>
        <v>1</v>
      </c>
      <c r="H3538" s="33">
        <f>COUNTIFS(Demand!$A$2:$A$4481,A3538,Demand!$B$2:$B$4481,B3538,Demand!$C$2:$C$4481,C3538)</f>
        <v>1</v>
      </c>
    </row>
    <row r="3539">
      <c r="A3539" s="32" t="str">
        <f>Demand!A3537</f>
        <v>S001</v>
      </c>
      <c r="B3539" s="35">
        <f>Demand!B3537</f>
        <v>46277.0</v>
      </c>
      <c r="C3539" s="33">
        <f>Demand!C3537</f>
        <v>23</v>
      </c>
      <c r="D3539" s="33">
        <f>Demand!E3537</f>
        <v>14</v>
      </c>
      <c r="E3539" s="33">
        <f>IF(Demand!F3537,1,0)</f>
        <v>0</v>
      </c>
      <c r="F3539" s="33">
        <f>COUNTIFS(c_store,A3539,c_date,B3539,c_hour,C3539)</f>
        <v>0</v>
      </c>
      <c r="G3539" s="33">
        <f>IF(F3539&gt;0,1,0)</f>
        <v>0</v>
      </c>
      <c r="H3539" s="33">
        <f>COUNTIFS(Demand!$A$2:$A$4481,A3539,Demand!$B$2:$B$4481,B3539,Demand!$C$2:$C$4481,C3539)</f>
        <v>1</v>
      </c>
    </row>
    <row r="3540">
      <c r="A3540" s="32" t="str">
        <f>Demand!A3538</f>
        <v>S002</v>
      </c>
      <c r="B3540" s="35">
        <f>Demand!B3538</f>
        <v>46277.0</v>
      </c>
      <c r="C3540" s="33">
        <f>Demand!C3538</f>
        <v>8</v>
      </c>
      <c r="D3540" s="33">
        <f>Demand!E3538</f>
        <v>27</v>
      </c>
      <c r="E3540" s="33">
        <f>IF(Demand!F3538,1,0)</f>
        <v>0</v>
      </c>
      <c r="F3540" s="33">
        <f>COUNTIFS(c_store,A3540,c_date,B3540,c_hour,C3540)</f>
        <v>0</v>
      </c>
      <c r="G3540" s="33">
        <f>IF(F3540&gt;0,1,0)</f>
        <v>0</v>
      </c>
      <c r="H3540" s="33">
        <f>COUNTIFS(Demand!$A$2:$A$4481,A3540,Demand!$B$2:$B$4481,B3540,Demand!$C$2:$C$4481,C3540)</f>
        <v>1</v>
      </c>
    </row>
    <row r="3541">
      <c r="A3541" s="32" t="str">
        <f>Demand!A3539</f>
        <v>S002</v>
      </c>
      <c r="B3541" s="35">
        <f>Demand!B3539</f>
        <v>46277.0</v>
      </c>
      <c r="C3541" s="33">
        <f>Demand!C3539</f>
        <v>9</v>
      </c>
      <c r="D3541" s="33">
        <f>Demand!E3539</f>
        <v>18</v>
      </c>
      <c r="E3541" s="33">
        <f>IF(Demand!F3539,1,0)</f>
        <v>0</v>
      </c>
      <c r="F3541" s="33">
        <f>COUNTIFS(c_store,A3541,c_date,B3541,c_hour,C3541)</f>
        <v>1</v>
      </c>
      <c r="G3541" s="33">
        <f>IF(F3541&gt;0,1,0)</f>
        <v>1</v>
      </c>
      <c r="H3541" s="33">
        <f>COUNTIFS(Demand!$A$2:$A$4481,A3541,Demand!$B$2:$B$4481,B3541,Demand!$C$2:$C$4481,C3541)</f>
        <v>1</v>
      </c>
    </row>
    <row r="3542">
      <c r="A3542" s="32" t="str">
        <f>Demand!A3540</f>
        <v>S002</v>
      </c>
      <c r="B3542" s="35">
        <f>Demand!B3540</f>
        <v>46277.0</v>
      </c>
      <c r="C3542" s="33">
        <f>Demand!C3540</f>
        <v>10</v>
      </c>
      <c r="D3542" s="33">
        <f>Demand!E3540</f>
        <v>27</v>
      </c>
      <c r="E3542" s="33">
        <f>IF(Demand!F3540,1,0)</f>
        <v>0</v>
      </c>
      <c r="F3542" s="33">
        <f>COUNTIFS(c_store,A3542,c_date,B3542,c_hour,C3542)</f>
        <v>0</v>
      </c>
      <c r="G3542" s="33">
        <f>IF(F3542&gt;0,1,0)</f>
        <v>0</v>
      </c>
      <c r="H3542" s="33">
        <f>COUNTIFS(Demand!$A$2:$A$4481,A3542,Demand!$B$2:$B$4481,B3542,Demand!$C$2:$C$4481,C3542)</f>
        <v>1</v>
      </c>
    </row>
    <row r="3543">
      <c r="A3543" s="32" t="str">
        <f>Demand!A3541</f>
        <v>S002</v>
      </c>
      <c r="B3543" s="35">
        <f>Demand!B3541</f>
        <v>46277.0</v>
      </c>
      <c r="C3543" s="33">
        <f>Demand!C3541</f>
        <v>11</v>
      </c>
      <c r="D3543" s="33">
        <f>Demand!E3541</f>
        <v>29</v>
      </c>
      <c r="E3543" s="33">
        <f>IF(Demand!F3541,1,0)</f>
        <v>0</v>
      </c>
      <c r="F3543" s="33">
        <f>COUNTIFS(c_store,A3543,c_date,B3543,c_hour,C3543)</f>
        <v>0</v>
      </c>
      <c r="G3543" s="33">
        <f>IF(F3543&gt;0,1,0)</f>
        <v>0</v>
      </c>
      <c r="H3543" s="33">
        <f>COUNTIFS(Demand!$A$2:$A$4481,A3543,Demand!$B$2:$B$4481,B3543,Demand!$C$2:$C$4481,C3543)</f>
        <v>1</v>
      </c>
    </row>
    <row r="3544">
      <c r="A3544" s="32" t="str">
        <f>Demand!A3542</f>
        <v>S002</v>
      </c>
      <c r="B3544" s="35">
        <f>Demand!B3542</f>
        <v>46277.0</v>
      </c>
      <c r="C3544" s="33">
        <f>Demand!C3542</f>
        <v>12</v>
      </c>
      <c r="D3544" s="33">
        <f>Demand!E3542</f>
        <v>37</v>
      </c>
      <c r="E3544" s="33">
        <f>IF(Demand!F3542,1,0)</f>
        <v>0</v>
      </c>
      <c r="F3544" s="33">
        <f>COUNTIFS(c_store,A3544,c_date,B3544,c_hour,C3544)</f>
        <v>0</v>
      </c>
      <c r="G3544" s="33">
        <f>IF(F3544&gt;0,1,0)</f>
        <v>0</v>
      </c>
      <c r="H3544" s="33">
        <f>COUNTIFS(Demand!$A$2:$A$4481,A3544,Demand!$B$2:$B$4481,B3544,Demand!$C$2:$C$4481,C3544)</f>
        <v>1</v>
      </c>
    </row>
    <row r="3545">
      <c r="A3545" s="32" t="str">
        <f>Demand!A3543</f>
        <v>S002</v>
      </c>
      <c r="B3545" s="35">
        <f>Demand!B3543</f>
        <v>46277.0</v>
      </c>
      <c r="C3545" s="33">
        <f>Demand!C3543</f>
        <v>13</v>
      </c>
      <c r="D3545" s="33">
        <f>Demand!E3543</f>
        <v>39</v>
      </c>
      <c r="E3545" s="33">
        <f>IF(Demand!F3543,1,0)</f>
        <v>0</v>
      </c>
      <c r="F3545" s="33">
        <f>COUNTIFS(c_store,A3545,c_date,B3545,c_hour,C3545)</f>
        <v>1</v>
      </c>
      <c r="G3545" s="33">
        <f>IF(F3545&gt;0,1,0)</f>
        <v>1</v>
      </c>
      <c r="H3545" s="33">
        <f>COUNTIFS(Demand!$A$2:$A$4481,A3545,Demand!$B$2:$B$4481,B3545,Demand!$C$2:$C$4481,C3545)</f>
        <v>1</v>
      </c>
    </row>
    <row r="3546">
      <c r="A3546" s="32" t="str">
        <f>Demand!A3544</f>
        <v>S002</v>
      </c>
      <c r="B3546" s="35">
        <f>Demand!B3544</f>
        <v>46277.0</v>
      </c>
      <c r="C3546" s="33">
        <f>Demand!C3544</f>
        <v>14</v>
      </c>
      <c r="D3546" s="33">
        <f>Demand!E3544</f>
        <v>31</v>
      </c>
      <c r="E3546" s="33">
        <f>IF(Demand!F3544,1,0)</f>
        <v>0</v>
      </c>
      <c r="F3546" s="33">
        <f>COUNTIFS(c_store,A3546,c_date,B3546,c_hour,C3546)</f>
        <v>1</v>
      </c>
      <c r="G3546" s="33">
        <f>IF(F3546&gt;0,1,0)</f>
        <v>1</v>
      </c>
      <c r="H3546" s="33">
        <f>COUNTIFS(Demand!$A$2:$A$4481,A3546,Demand!$B$2:$B$4481,B3546,Demand!$C$2:$C$4481,C3546)</f>
        <v>1</v>
      </c>
    </row>
    <row r="3547">
      <c r="A3547" s="32" t="str">
        <f>Demand!A3545</f>
        <v>S002</v>
      </c>
      <c r="B3547" s="35">
        <f>Demand!B3545</f>
        <v>46277.0</v>
      </c>
      <c r="C3547" s="33">
        <f>Demand!C3545</f>
        <v>15</v>
      </c>
      <c r="D3547" s="33">
        <f>Demand!E3545</f>
        <v>28</v>
      </c>
      <c r="E3547" s="33">
        <f>IF(Demand!F3545,1,0)</f>
        <v>0</v>
      </c>
      <c r="F3547" s="33">
        <f>COUNTIFS(c_store,A3547,c_date,B3547,c_hour,C3547)</f>
        <v>1</v>
      </c>
      <c r="G3547" s="33">
        <f>IF(F3547&gt;0,1,0)</f>
        <v>1</v>
      </c>
      <c r="H3547" s="33">
        <f>COUNTIFS(Demand!$A$2:$A$4481,A3547,Demand!$B$2:$B$4481,B3547,Demand!$C$2:$C$4481,C3547)</f>
        <v>1</v>
      </c>
    </row>
    <row r="3548">
      <c r="A3548" s="32" t="str">
        <f>Demand!A3546</f>
        <v>S002</v>
      </c>
      <c r="B3548" s="35">
        <f>Demand!B3546</f>
        <v>46277.0</v>
      </c>
      <c r="C3548" s="33">
        <f>Demand!C3546</f>
        <v>16</v>
      </c>
      <c r="D3548" s="33">
        <f>Demand!E3546</f>
        <v>35</v>
      </c>
      <c r="E3548" s="33">
        <f>IF(Demand!F3546,1,0)</f>
        <v>0</v>
      </c>
      <c r="F3548" s="33">
        <f>COUNTIFS(c_store,A3548,c_date,B3548,c_hour,C3548)</f>
        <v>0</v>
      </c>
      <c r="G3548" s="33">
        <f>IF(F3548&gt;0,1,0)</f>
        <v>0</v>
      </c>
      <c r="H3548" s="33">
        <f>COUNTIFS(Demand!$A$2:$A$4481,A3548,Demand!$B$2:$B$4481,B3548,Demand!$C$2:$C$4481,C3548)</f>
        <v>1</v>
      </c>
    </row>
    <row r="3549">
      <c r="A3549" s="32" t="str">
        <f>Demand!A3547</f>
        <v>S002</v>
      </c>
      <c r="B3549" s="35">
        <f>Demand!B3547</f>
        <v>46277.0</v>
      </c>
      <c r="C3549" s="33">
        <f>Demand!C3547</f>
        <v>17</v>
      </c>
      <c r="D3549" s="33">
        <f>Demand!E3547</f>
        <v>33</v>
      </c>
      <c r="E3549" s="33">
        <f>IF(Demand!F3547,1,0)</f>
        <v>0</v>
      </c>
      <c r="F3549" s="33">
        <f>COUNTIFS(c_store,A3549,c_date,B3549,c_hour,C3549)</f>
        <v>0</v>
      </c>
      <c r="G3549" s="33">
        <f>IF(F3549&gt;0,1,0)</f>
        <v>0</v>
      </c>
      <c r="H3549" s="33">
        <f>COUNTIFS(Demand!$A$2:$A$4481,A3549,Demand!$B$2:$B$4481,B3549,Demand!$C$2:$C$4481,C3549)</f>
        <v>1</v>
      </c>
    </row>
    <row r="3550">
      <c r="A3550" s="32" t="str">
        <f>Demand!A3548</f>
        <v>S002</v>
      </c>
      <c r="B3550" s="35">
        <f>Demand!B3548</f>
        <v>46277.0</v>
      </c>
      <c r="C3550" s="33">
        <f>Demand!C3548</f>
        <v>18</v>
      </c>
      <c r="D3550" s="33">
        <f>Demand!E3548</f>
        <v>38</v>
      </c>
      <c r="E3550" s="33">
        <f>IF(Demand!F3548,1,0)</f>
        <v>0</v>
      </c>
      <c r="F3550" s="33">
        <f>COUNTIFS(c_store,A3550,c_date,B3550,c_hour,C3550)</f>
        <v>0</v>
      </c>
      <c r="G3550" s="33">
        <f>IF(F3550&gt;0,1,0)</f>
        <v>0</v>
      </c>
      <c r="H3550" s="33">
        <f>COUNTIFS(Demand!$A$2:$A$4481,A3550,Demand!$B$2:$B$4481,B3550,Demand!$C$2:$C$4481,C3550)</f>
        <v>1</v>
      </c>
    </row>
    <row r="3551">
      <c r="A3551" s="32" t="str">
        <f>Demand!A3549</f>
        <v>S002</v>
      </c>
      <c r="B3551" s="35">
        <f>Demand!B3549</f>
        <v>46277.0</v>
      </c>
      <c r="C3551" s="33">
        <f>Demand!C3549</f>
        <v>19</v>
      </c>
      <c r="D3551" s="33">
        <f>Demand!E3549</f>
        <v>55</v>
      </c>
      <c r="E3551" s="33">
        <f>IF(Demand!F3549,1,0)</f>
        <v>1</v>
      </c>
      <c r="F3551" s="33">
        <f>COUNTIFS(c_store,A3551,c_date,B3551,c_hour,C3551)</f>
        <v>0</v>
      </c>
      <c r="G3551" s="33">
        <f>IF(F3551&gt;0,1,0)</f>
        <v>0</v>
      </c>
      <c r="H3551" s="33">
        <f>COUNTIFS(Demand!$A$2:$A$4481,A3551,Demand!$B$2:$B$4481,B3551,Demand!$C$2:$C$4481,C3551)</f>
        <v>1</v>
      </c>
    </row>
    <row r="3552">
      <c r="A3552" s="32" t="str">
        <f>Demand!A3550</f>
        <v>S002</v>
      </c>
      <c r="B3552" s="35">
        <f>Demand!B3550</f>
        <v>46277.0</v>
      </c>
      <c r="C3552" s="33">
        <f>Demand!C3550</f>
        <v>20</v>
      </c>
      <c r="D3552" s="33">
        <f>Demand!E3550</f>
        <v>60</v>
      </c>
      <c r="E3552" s="33">
        <f>IF(Demand!F3550,1,0)</f>
        <v>1</v>
      </c>
      <c r="F3552" s="33">
        <f>COUNTIFS(c_store,A3552,c_date,B3552,c_hour,C3552)</f>
        <v>0</v>
      </c>
      <c r="G3552" s="33">
        <f>IF(F3552&gt;0,1,0)</f>
        <v>0</v>
      </c>
      <c r="H3552" s="33">
        <f>COUNTIFS(Demand!$A$2:$A$4481,A3552,Demand!$B$2:$B$4481,B3552,Demand!$C$2:$C$4481,C3552)</f>
        <v>1</v>
      </c>
    </row>
    <row r="3553">
      <c r="A3553" s="32" t="str">
        <f>Demand!A3551</f>
        <v>S002</v>
      </c>
      <c r="B3553" s="35">
        <f>Demand!B3551</f>
        <v>46277.0</v>
      </c>
      <c r="C3553" s="33">
        <f>Demand!C3551</f>
        <v>21</v>
      </c>
      <c r="D3553" s="33">
        <f>Demand!E3551</f>
        <v>64</v>
      </c>
      <c r="E3553" s="33">
        <f>IF(Demand!F3551,1,0)</f>
        <v>1</v>
      </c>
      <c r="F3553" s="33">
        <f>COUNTIFS(c_store,A3553,c_date,B3553,c_hour,C3553)</f>
        <v>0</v>
      </c>
      <c r="G3553" s="33">
        <f>IF(F3553&gt;0,1,0)</f>
        <v>0</v>
      </c>
      <c r="H3553" s="33">
        <f>COUNTIFS(Demand!$A$2:$A$4481,A3553,Demand!$B$2:$B$4481,B3553,Demand!$C$2:$C$4481,C3553)</f>
        <v>1</v>
      </c>
    </row>
    <row r="3554">
      <c r="A3554" s="32" t="str">
        <f>Demand!A3552</f>
        <v>S002</v>
      </c>
      <c r="B3554" s="35">
        <f>Demand!B3552</f>
        <v>46277.0</v>
      </c>
      <c r="C3554" s="33">
        <f>Demand!C3552</f>
        <v>22</v>
      </c>
      <c r="D3554" s="33">
        <f>Demand!E3552</f>
        <v>43</v>
      </c>
      <c r="E3554" s="33">
        <f>IF(Demand!F3552,1,0)</f>
        <v>0</v>
      </c>
      <c r="F3554" s="33">
        <f>COUNTIFS(c_store,A3554,c_date,B3554,c_hour,C3554)</f>
        <v>0</v>
      </c>
      <c r="G3554" s="33">
        <f>IF(F3554&gt;0,1,0)</f>
        <v>0</v>
      </c>
      <c r="H3554" s="33">
        <f>COUNTIFS(Demand!$A$2:$A$4481,A3554,Demand!$B$2:$B$4481,B3554,Demand!$C$2:$C$4481,C3554)</f>
        <v>1</v>
      </c>
    </row>
    <row r="3555">
      <c r="A3555" s="32" t="str">
        <f>Demand!A3553</f>
        <v>S002</v>
      </c>
      <c r="B3555" s="35">
        <f>Demand!B3553</f>
        <v>46277.0</v>
      </c>
      <c r="C3555" s="33">
        <f>Demand!C3553</f>
        <v>23</v>
      </c>
      <c r="D3555" s="33">
        <f>Demand!E3553</f>
        <v>39</v>
      </c>
      <c r="E3555" s="33">
        <f>IF(Demand!F3553,1,0)</f>
        <v>0</v>
      </c>
      <c r="F3555" s="33">
        <f>COUNTIFS(c_store,A3555,c_date,B3555,c_hour,C3555)</f>
        <v>0</v>
      </c>
      <c r="G3555" s="33">
        <f>IF(F3555&gt;0,1,0)</f>
        <v>0</v>
      </c>
      <c r="H3555" s="33">
        <f>COUNTIFS(Demand!$A$2:$A$4481,A3555,Demand!$B$2:$B$4481,B3555,Demand!$C$2:$C$4481,C3555)</f>
        <v>1</v>
      </c>
    </row>
    <row r="3556">
      <c r="A3556" s="32" t="str">
        <f>Demand!A3554</f>
        <v>S003</v>
      </c>
      <c r="B3556" s="35">
        <f>Demand!B3554</f>
        <v>46277.0</v>
      </c>
      <c r="C3556" s="33">
        <f>Demand!C3554</f>
        <v>8</v>
      </c>
      <c r="D3556" s="33">
        <f>Demand!E3554</f>
        <v>35</v>
      </c>
      <c r="E3556" s="33">
        <f>IF(Demand!F3554,1,0)</f>
        <v>0</v>
      </c>
      <c r="F3556" s="33">
        <f>COUNTIFS(c_store,A3556,c_date,B3556,c_hour,C3556)</f>
        <v>2</v>
      </c>
      <c r="G3556" s="33">
        <f>IF(F3556&gt;0,1,0)</f>
        <v>1</v>
      </c>
      <c r="H3556" s="33">
        <f>COUNTIFS(Demand!$A$2:$A$4481,A3556,Demand!$B$2:$B$4481,B3556,Demand!$C$2:$C$4481,C3556)</f>
        <v>1</v>
      </c>
    </row>
    <row r="3557">
      <c r="A3557" s="32" t="str">
        <f>Demand!A3555</f>
        <v>S003</v>
      </c>
      <c r="B3557" s="35">
        <f>Demand!B3555</f>
        <v>46277.0</v>
      </c>
      <c r="C3557" s="33">
        <f>Demand!C3555</f>
        <v>9</v>
      </c>
      <c r="D3557" s="33">
        <f>Demand!E3555</f>
        <v>34</v>
      </c>
      <c r="E3557" s="33">
        <f>IF(Demand!F3555,1,0)</f>
        <v>0</v>
      </c>
      <c r="F3557" s="33">
        <f>COUNTIFS(c_store,A3557,c_date,B3557,c_hour,C3557)</f>
        <v>0</v>
      </c>
      <c r="G3557" s="33">
        <f>IF(F3557&gt;0,1,0)</f>
        <v>0</v>
      </c>
      <c r="H3557" s="33">
        <f>COUNTIFS(Demand!$A$2:$A$4481,A3557,Demand!$B$2:$B$4481,B3557,Demand!$C$2:$C$4481,C3557)</f>
        <v>1</v>
      </c>
    </row>
    <row r="3558">
      <c r="A3558" s="32" t="str">
        <f>Demand!A3556</f>
        <v>S003</v>
      </c>
      <c r="B3558" s="35">
        <f>Demand!B3556</f>
        <v>46277.0</v>
      </c>
      <c r="C3558" s="33">
        <f>Demand!C3556</f>
        <v>10</v>
      </c>
      <c r="D3558" s="33">
        <f>Demand!E3556</f>
        <v>30</v>
      </c>
      <c r="E3558" s="33">
        <f>IF(Demand!F3556,1,0)</f>
        <v>0</v>
      </c>
      <c r="F3558" s="33">
        <f>COUNTIFS(c_store,A3558,c_date,B3558,c_hour,C3558)</f>
        <v>1</v>
      </c>
      <c r="G3558" s="33">
        <f>IF(F3558&gt;0,1,0)</f>
        <v>1</v>
      </c>
      <c r="H3558" s="33">
        <f>COUNTIFS(Demand!$A$2:$A$4481,A3558,Demand!$B$2:$B$4481,B3558,Demand!$C$2:$C$4481,C3558)</f>
        <v>1</v>
      </c>
    </row>
    <row r="3559">
      <c r="A3559" s="32" t="str">
        <f>Demand!A3557</f>
        <v>S003</v>
      </c>
      <c r="B3559" s="35">
        <f>Demand!B3557</f>
        <v>46277.0</v>
      </c>
      <c r="C3559" s="33">
        <f>Demand!C3557</f>
        <v>11</v>
      </c>
      <c r="D3559" s="33">
        <f>Demand!E3557</f>
        <v>54</v>
      </c>
      <c r="E3559" s="33">
        <f>IF(Demand!F3557,1,0)</f>
        <v>0</v>
      </c>
      <c r="F3559" s="33">
        <f>COUNTIFS(c_store,A3559,c_date,B3559,c_hour,C3559)</f>
        <v>2</v>
      </c>
      <c r="G3559" s="33">
        <f>IF(F3559&gt;0,1,0)</f>
        <v>1</v>
      </c>
      <c r="H3559" s="33">
        <f>COUNTIFS(Demand!$A$2:$A$4481,A3559,Demand!$B$2:$B$4481,B3559,Demand!$C$2:$C$4481,C3559)</f>
        <v>1</v>
      </c>
    </row>
    <row r="3560">
      <c r="A3560" s="32" t="str">
        <f>Demand!A3558</f>
        <v>S003</v>
      </c>
      <c r="B3560" s="35">
        <f>Demand!B3558</f>
        <v>46277.0</v>
      </c>
      <c r="C3560" s="33">
        <f>Demand!C3558</f>
        <v>12</v>
      </c>
      <c r="D3560" s="33">
        <f>Demand!E3558</f>
        <v>52</v>
      </c>
      <c r="E3560" s="33">
        <f>IF(Demand!F3558,1,0)</f>
        <v>0</v>
      </c>
      <c r="F3560" s="33">
        <f>COUNTIFS(c_store,A3560,c_date,B3560,c_hour,C3560)</f>
        <v>0</v>
      </c>
      <c r="G3560" s="33">
        <f>IF(F3560&gt;0,1,0)</f>
        <v>0</v>
      </c>
      <c r="H3560" s="33">
        <f>COUNTIFS(Demand!$A$2:$A$4481,A3560,Demand!$B$2:$B$4481,B3560,Demand!$C$2:$C$4481,C3560)</f>
        <v>1</v>
      </c>
    </row>
    <row r="3561">
      <c r="A3561" s="32" t="str">
        <f>Demand!A3559</f>
        <v>S003</v>
      </c>
      <c r="B3561" s="35">
        <f>Demand!B3559</f>
        <v>46277.0</v>
      </c>
      <c r="C3561" s="33">
        <f>Demand!C3559</f>
        <v>13</v>
      </c>
      <c r="D3561" s="33">
        <f>Demand!E3559</f>
        <v>39</v>
      </c>
      <c r="E3561" s="33">
        <f>IF(Demand!F3559,1,0)</f>
        <v>0</v>
      </c>
      <c r="F3561" s="33">
        <f>COUNTIFS(c_store,A3561,c_date,B3561,c_hour,C3561)</f>
        <v>0</v>
      </c>
      <c r="G3561" s="33">
        <f>IF(F3561&gt;0,1,0)</f>
        <v>0</v>
      </c>
      <c r="H3561" s="33">
        <f>COUNTIFS(Demand!$A$2:$A$4481,A3561,Demand!$B$2:$B$4481,B3561,Demand!$C$2:$C$4481,C3561)</f>
        <v>1</v>
      </c>
    </row>
    <row r="3562">
      <c r="A3562" s="32" t="str">
        <f>Demand!A3560</f>
        <v>S003</v>
      </c>
      <c r="B3562" s="35">
        <f>Demand!B3560</f>
        <v>46277.0</v>
      </c>
      <c r="C3562" s="33">
        <f>Demand!C3560</f>
        <v>14</v>
      </c>
      <c r="D3562" s="33">
        <f>Demand!E3560</f>
        <v>33</v>
      </c>
      <c r="E3562" s="33">
        <f>IF(Demand!F3560,1,0)</f>
        <v>0</v>
      </c>
      <c r="F3562" s="33">
        <f>COUNTIFS(c_store,A3562,c_date,B3562,c_hour,C3562)</f>
        <v>0</v>
      </c>
      <c r="G3562" s="33">
        <f>IF(F3562&gt;0,1,0)</f>
        <v>0</v>
      </c>
      <c r="H3562" s="33">
        <f>COUNTIFS(Demand!$A$2:$A$4481,A3562,Demand!$B$2:$B$4481,B3562,Demand!$C$2:$C$4481,C3562)</f>
        <v>1</v>
      </c>
    </row>
    <row r="3563">
      <c r="A3563" s="32" t="str">
        <f>Demand!A3561</f>
        <v>S003</v>
      </c>
      <c r="B3563" s="35">
        <f>Demand!B3561</f>
        <v>46277.0</v>
      </c>
      <c r="C3563" s="33">
        <f>Demand!C3561</f>
        <v>15</v>
      </c>
      <c r="D3563" s="33">
        <f>Demand!E3561</f>
        <v>36</v>
      </c>
      <c r="E3563" s="33">
        <f>IF(Demand!F3561,1,0)</f>
        <v>0</v>
      </c>
      <c r="F3563" s="33">
        <f>COUNTIFS(c_store,A3563,c_date,B3563,c_hour,C3563)</f>
        <v>0</v>
      </c>
      <c r="G3563" s="33">
        <f>IF(F3563&gt;0,1,0)</f>
        <v>0</v>
      </c>
      <c r="H3563" s="33">
        <f>COUNTIFS(Demand!$A$2:$A$4481,A3563,Demand!$B$2:$B$4481,B3563,Demand!$C$2:$C$4481,C3563)</f>
        <v>1</v>
      </c>
    </row>
    <row r="3564">
      <c r="A3564" s="32" t="str">
        <f>Demand!A3562</f>
        <v>S003</v>
      </c>
      <c r="B3564" s="35">
        <f>Demand!B3562</f>
        <v>46277.0</v>
      </c>
      <c r="C3564" s="33">
        <f>Demand!C3562</f>
        <v>16</v>
      </c>
      <c r="D3564" s="33">
        <f>Demand!E3562</f>
        <v>40</v>
      </c>
      <c r="E3564" s="33">
        <f>IF(Demand!F3562,1,0)</f>
        <v>0</v>
      </c>
      <c r="F3564" s="33">
        <f>COUNTIFS(c_store,A3564,c_date,B3564,c_hour,C3564)</f>
        <v>0</v>
      </c>
      <c r="G3564" s="33">
        <f>IF(F3564&gt;0,1,0)</f>
        <v>0</v>
      </c>
      <c r="H3564" s="33">
        <f>COUNTIFS(Demand!$A$2:$A$4481,A3564,Demand!$B$2:$B$4481,B3564,Demand!$C$2:$C$4481,C3564)</f>
        <v>1</v>
      </c>
    </row>
    <row r="3565">
      <c r="A3565" s="32" t="str">
        <f>Demand!A3563</f>
        <v>S003</v>
      </c>
      <c r="B3565" s="35">
        <f>Demand!B3563</f>
        <v>46277.0</v>
      </c>
      <c r="C3565" s="33">
        <f>Demand!C3563</f>
        <v>17</v>
      </c>
      <c r="D3565" s="33">
        <f>Demand!E3563</f>
        <v>40</v>
      </c>
      <c r="E3565" s="33">
        <f>IF(Demand!F3563,1,0)</f>
        <v>0</v>
      </c>
      <c r="F3565" s="33">
        <f>COUNTIFS(c_store,A3565,c_date,B3565,c_hour,C3565)</f>
        <v>0</v>
      </c>
      <c r="G3565" s="33">
        <f>IF(F3565&gt;0,1,0)</f>
        <v>0</v>
      </c>
      <c r="H3565" s="33">
        <f>COUNTIFS(Demand!$A$2:$A$4481,A3565,Demand!$B$2:$B$4481,B3565,Demand!$C$2:$C$4481,C3565)</f>
        <v>1</v>
      </c>
    </row>
    <row r="3566">
      <c r="A3566" s="32" t="str">
        <f>Demand!A3564</f>
        <v>S003</v>
      </c>
      <c r="B3566" s="35">
        <f>Demand!B3564</f>
        <v>46277.0</v>
      </c>
      <c r="C3566" s="33">
        <f>Demand!C3564</f>
        <v>18</v>
      </c>
      <c r="D3566" s="33">
        <f>Demand!E3564</f>
        <v>42</v>
      </c>
      <c r="E3566" s="33">
        <f>IF(Demand!F3564,1,0)</f>
        <v>0</v>
      </c>
      <c r="F3566" s="33">
        <f>COUNTIFS(c_store,A3566,c_date,B3566,c_hour,C3566)</f>
        <v>1</v>
      </c>
      <c r="G3566" s="33">
        <f>IF(F3566&gt;0,1,0)</f>
        <v>1</v>
      </c>
      <c r="H3566" s="33">
        <f>COUNTIFS(Demand!$A$2:$A$4481,A3566,Demand!$B$2:$B$4481,B3566,Demand!$C$2:$C$4481,C3566)</f>
        <v>1</v>
      </c>
    </row>
    <row r="3567">
      <c r="A3567" s="32" t="str">
        <f>Demand!A3565</f>
        <v>S003</v>
      </c>
      <c r="B3567" s="35">
        <f>Demand!B3565</f>
        <v>46277.0</v>
      </c>
      <c r="C3567" s="33">
        <f>Demand!C3565</f>
        <v>19</v>
      </c>
      <c r="D3567" s="33">
        <f>Demand!E3565</f>
        <v>79</v>
      </c>
      <c r="E3567" s="33">
        <f>IF(Demand!F3565,1,0)</f>
        <v>1</v>
      </c>
      <c r="F3567" s="33">
        <f>COUNTIFS(c_store,A3567,c_date,B3567,c_hour,C3567)</f>
        <v>1</v>
      </c>
      <c r="G3567" s="33">
        <f>IF(F3567&gt;0,1,0)</f>
        <v>1</v>
      </c>
      <c r="H3567" s="33">
        <f>COUNTIFS(Demand!$A$2:$A$4481,A3567,Demand!$B$2:$B$4481,B3567,Demand!$C$2:$C$4481,C3567)</f>
        <v>1</v>
      </c>
    </row>
    <row r="3568">
      <c r="A3568" s="32" t="str">
        <f>Demand!A3566</f>
        <v>S003</v>
      </c>
      <c r="B3568" s="35">
        <f>Demand!B3566</f>
        <v>46277.0</v>
      </c>
      <c r="C3568" s="33">
        <f>Demand!C3566</f>
        <v>20</v>
      </c>
      <c r="D3568" s="33">
        <f>Demand!E3566</f>
        <v>64</v>
      </c>
      <c r="E3568" s="33">
        <f>IF(Demand!F3566,1,0)</f>
        <v>1</v>
      </c>
      <c r="F3568" s="33">
        <f>COUNTIFS(c_store,A3568,c_date,B3568,c_hour,C3568)</f>
        <v>0</v>
      </c>
      <c r="G3568" s="33">
        <f>IF(F3568&gt;0,1,0)</f>
        <v>0</v>
      </c>
      <c r="H3568" s="33">
        <f>COUNTIFS(Demand!$A$2:$A$4481,A3568,Demand!$B$2:$B$4481,B3568,Demand!$C$2:$C$4481,C3568)</f>
        <v>1</v>
      </c>
    </row>
    <row r="3569">
      <c r="A3569" s="32" t="str">
        <f>Demand!A3567</f>
        <v>S003</v>
      </c>
      <c r="B3569" s="35">
        <f>Demand!B3567</f>
        <v>46277.0</v>
      </c>
      <c r="C3569" s="33">
        <f>Demand!C3567</f>
        <v>21</v>
      </c>
      <c r="D3569" s="33">
        <f>Demand!E3567</f>
        <v>52</v>
      </c>
      <c r="E3569" s="33">
        <f>IF(Demand!F3567,1,0)</f>
        <v>1</v>
      </c>
      <c r="F3569" s="33">
        <f>COUNTIFS(c_store,A3569,c_date,B3569,c_hour,C3569)</f>
        <v>0</v>
      </c>
      <c r="G3569" s="33">
        <f>IF(F3569&gt;0,1,0)</f>
        <v>0</v>
      </c>
      <c r="H3569" s="33">
        <f>COUNTIFS(Demand!$A$2:$A$4481,A3569,Demand!$B$2:$B$4481,B3569,Demand!$C$2:$C$4481,C3569)</f>
        <v>1</v>
      </c>
    </row>
    <row r="3570">
      <c r="A3570" s="32" t="str">
        <f>Demand!A3568</f>
        <v>S003</v>
      </c>
      <c r="B3570" s="35">
        <f>Demand!B3568</f>
        <v>46277.0</v>
      </c>
      <c r="C3570" s="33">
        <f>Demand!C3568</f>
        <v>22</v>
      </c>
      <c r="D3570" s="33">
        <f>Demand!E3568</f>
        <v>41</v>
      </c>
      <c r="E3570" s="33">
        <f>IF(Demand!F3568,1,0)</f>
        <v>0</v>
      </c>
      <c r="F3570" s="33">
        <f>COUNTIFS(c_store,A3570,c_date,B3570,c_hour,C3570)</f>
        <v>1</v>
      </c>
      <c r="G3570" s="33">
        <f>IF(F3570&gt;0,1,0)</f>
        <v>1</v>
      </c>
      <c r="H3570" s="33">
        <f>COUNTIFS(Demand!$A$2:$A$4481,A3570,Demand!$B$2:$B$4481,B3570,Demand!$C$2:$C$4481,C3570)</f>
        <v>1</v>
      </c>
    </row>
    <row r="3571">
      <c r="A3571" s="32" t="str">
        <f>Demand!A3569</f>
        <v>S003</v>
      </c>
      <c r="B3571" s="35">
        <f>Demand!B3569</f>
        <v>46277.0</v>
      </c>
      <c r="C3571" s="33">
        <f>Demand!C3569</f>
        <v>23</v>
      </c>
      <c r="D3571" s="33">
        <f>Demand!E3569</f>
        <v>43</v>
      </c>
      <c r="E3571" s="33">
        <f>IF(Demand!F3569,1,0)</f>
        <v>0</v>
      </c>
      <c r="F3571" s="33">
        <f>COUNTIFS(c_store,A3571,c_date,B3571,c_hour,C3571)</f>
        <v>1</v>
      </c>
      <c r="G3571" s="33">
        <f>IF(F3571&gt;0,1,0)</f>
        <v>1</v>
      </c>
      <c r="H3571" s="33">
        <f>COUNTIFS(Demand!$A$2:$A$4481,A3571,Demand!$B$2:$B$4481,B3571,Demand!$C$2:$C$4481,C3571)</f>
        <v>1</v>
      </c>
    </row>
    <row r="3572">
      <c r="A3572" s="32" t="str">
        <f>Demand!A3570</f>
        <v>S004</v>
      </c>
      <c r="B3572" s="35">
        <f>Demand!B3570</f>
        <v>46277.0</v>
      </c>
      <c r="C3572" s="33">
        <f>Demand!C3570</f>
        <v>8</v>
      </c>
      <c r="D3572" s="33">
        <f>Demand!E3570</f>
        <v>43</v>
      </c>
      <c r="E3572" s="33">
        <f>IF(Demand!F3570,1,0)</f>
        <v>0</v>
      </c>
      <c r="F3572" s="33">
        <f>COUNTIFS(c_store,A3572,c_date,B3572,c_hour,C3572)</f>
        <v>0</v>
      </c>
      <c r="G3572" s="33">
        <f>IF(F3572&gt;0,1,0)</f>
        <v>0</v>
      </c>
      <c r="H3572" s="33">
        <f>COUNTIFS(Demand!$A$2:$A$4481,A3572,Demand!$B$2:$B$4481,B3572,Demand!$C$2:$C$4481,C3572)</f>
        <v>1</v>
      </c>
    </row>
    <row r="3573">
      <c r="A3573" s="32" t="str">
        <f>Demand!A3571</f>
        <v>S004</v>
      </c>
      <c r="B3573" s="35">
        <f>Demand!B3571</f>
        <v>46277.0</v>
      </c>
      <c r="C3573" s="33">
        <f>Demand!C3571</f>
        <v>9</v>
      </c>
      <c r="D3573" s="33">
        <f>Demand!E3571</f>
        <v>24</v>
      </c>
      <c r="E3573" s="33">
        <f>IF(Demand!F3571,1,0)</f>
        <v>0</v>
      </c>
      <c r="F3573" s="33">
        <f>COUNTIFS(c_store,A3573,c_date,B3573,c_hour,C3573)</f>
        <v>0</v>
      </c>
      <c r="G3573" s="33">
        <f>IF(F3573&gt;0,1,0)</f>
        <v>0</v>
      </c>
      <c r="H3573" s="33">
        <f>COUNTIFS(Demand!$A$2:$A$4481,A3573,Demand!$B$2:$B$4481,B3573,Demand!$C$2:$C$4481,C3573)</f>
        <v>1</v>
      </c>
    </row>
    <row r="3574">
      <c r="A3574" s="32" t="str">
        <f>Demand!A3572</f>
        <v>S004</v>
      </c>
      <c r="B3574" s="35">
        <f>Demand!B3572</f>
        <v>46277.0</v>
      </c>
      <c r="C3574" s="33">
        <f>Demand!C3572</f>
        <v>10</v>
      </c>
      <c r="D3574" s="33">
        <f>Demand!E3572</f>
        <v>37</v>
      </c>
      <c r="E3574" s="33">
        <f>IF(Demand!F3572,1,0)</f>
        <v>0</v>
      </c>
      <c r="F3574" s="33">
        <f>COUNTIFS(c_store,A3574,c_date,B3574,c_hour,C3574)</f>
        <v>0</v>
      </c>
      <c r="G3574" s="33">
        <f>IF(F3574&gt;0,1,0)</f>
        <v>0</v>
      </c>
      <c r="H3574" s="33">
        <f>COUNTIFS(Demand!$A$2:$A$4481,A3574,Demand!$B$2:$B$4481,B3574,Demand!$C$2:$C$4481,C3574)</f>
        <v>1</v>
      </c>
    </row>
    <row r="3575">
      <c r="A3575" s="32" t="str">
        <f>Demand!A3573</f>
        <v>S004</v>
      </c>
      <c r="B3575" s="35">
        <f>Demand!B3573</f>
        <v>46277.0</v>
      </c>
      <c r="C3575" s="33">
        <f>Demand!C3573</f>
        <v>11</v>
      </c>
      <c r="D3575" s="33">
        <f>Demand!E3573</f>
        <v>52</v>
      </c>
      <c r="E3575" s="33">
        <f>IF(Demand!F3573,1,0)</f>
        <v>0</v>
      </c>
      <c r="F3575" s="33">
        <f>COUNTIFS(c_store,A3575,c_date,B3575,c_hour,C3575)</f>
        <v>0</v>
      </c>
      <c r="G3575" s="33">
        <f>IF(F3575&gt;0,1,0)</f>
        <v>0</v>
      </c>
      <c r="H3575" s="33">
        <f>COUNTIFS(Demand!$A$2:$A$4481,A3575,Demand!$B$2:$B$4481,B3575,Demand!$C$2:$C$4481,C3575)</f>
        <v>1</v>
      </c>
    </row>
    <row r="3576">
      <c r="A3576" s="32" t="str">
        <f>Demand!A3574</f>
        <v>S004</v>
      </c>
      <c r="B3576" s="35">
        <f>Demand!B3574</f>
        <v>46277.0</v>
      </c>
      <c r="C3576" s="33">
        <f>Demand!C3574</f>
        <v>12</v>
      </c>
      <c r="D3576" s="33">
        <f>Demand!E3574</f>
        <v>44</v>
      </c>
      <c r="E3576" s="33">
        <f>IF(Demand!F3574,1,0)</f>
        <v>0</v>
      </c>
      <c r="F3576" s="33">
        <f>COUNTIFS(c_store,A3576,c_date,B3576,c_hour,C3576)</f>
        <v>0</v>
      </c>
      <c r="G3576" s="33">
        <f>IF(F3576&gt;0,1,0)</f>
        <v>0</v>
      </c>
      <c r="H3576" s="33">
        <f>COUNTIFS(Demand!$A$2:$A$4481,A3576,Demand!$B$2:$B$4481,B3576,Demand!$C$2:$C$4481,C3576)</f>
        <v>1</v>
      </c>
    </row>
    <row r="3577">
      <c r="A3577" s="32" t="str">
        <f>Demand!A3575</f>
        <v>S004</v>
      </c>
      <c r="B3577" s="35">
        <f>Demand!B3575</f>
        <v>46277.0</v>
      </c>
      <c r="C3577" s="33">
        <f>Demand!C3575</f>
        <v>13</v>
      </c>
      <c r="D3577" s="33">
        <f>Demand!E3575</f>
        <v>33</v>
      </c>
      <c r="E3577" s="33">
        <f>IF(Demand!F3575,1,0)</f>
        <v>0</v>
      </c>
      <c r="F3577" s="33">
        <f>COUNTIFS(c_store,A3577,c_date,B3577,c_hour,C3577)</f>
        <v>1</v>
      </c>
      <c r="G3577" s="33">
        <f>IF(F3577&gt;0,1,0)</f>
        <v>1</v>
      </c>
      <c r="H3577" s="33">
        <f>COUNTIFS(Demand!$A$2:$A$4481,A3577,Demand!$B$2:$B$4481,B3577,Demand!$C$2:$C$4481,C3577)</f>
        <v>1</v>
      </c>
    </row>
    <row r="3578">
      <c r="A3578" s="32" t="str">
        <f>Demand!A3576</f>
        <v>S004</v>
      </c>
      <c r="B3578" s="35">
        <f>Demand!B3576</f>
        <v>46277.0</v>
      </c>
      <c r="C3578" s="33">
        <f>Demand!C3576</f>
        <v>14</v>
      </c>
      <c r="D3578" s="33">
        <f>Demand!E3576</f>
        <v>26</v>
      </c>
      <c r="E3578" s="33">
        <f>IF(Demand!F3576,1,0)</f>
        <v>0</v>
      </c>
      <c r="F3578" s="33">
        <f>COUNTIFS(c_store,A3578,c_date,B3578,c_hour,C3578)</f>
        <v>0</v>
      </c>
      <c r="G3578" s="33">
        <f>IF(F3578&gt;0,1,0)</f>
        <v>0</v>
      </c>
      <c r="H3578" s="33">
        <f>COUNTIFS(Demand!$A$2:$A$4481,A3578,Demand!$B$2:$B$4481,B3578,Demand!$C$2:$C$4481,C3578)</f>
        <v>1</v>
      </c>
    </row>
    <row r="3579">
      <c r="A3579" s="32" t="str">
        <f>Demand!A3577</f>
        <v>S004</v>
      </c>
      <c r="B3579" s="35">
        <f>Demand!B3577</f>
        <v>46277.0</v>
      </c>
      <c r="C3579" s="33">
        <f>Demand!C3577</f>
        <v>15</v>
      </c>
      <c r="D3579" s="33">
        <f>Demand!E3577</f>
        <v>43</v>
      </c>
      <c r="E3579" s="33">
        <f>IF(Demand!F3577,1,0)</f>
        <v>0</v>
      </c>
      <c r="F3579" s="33">
        <f>COUNTIFS(c_store,A3579,c_date,B3579,c_hour,C3579)</f>
        <v>0</v>
      </c>
      <c r="G3579" s="33">
        <f>IF(F3579&gt;0,1,0)</f>
        <v>0</v>
      </c>
      <c r="H3579" s="33">
        <f>COUNTIFS(Demand!$A$2:$A$4481,A3579,Demand!$B$2:$B$4481,B3579,Demand!$C$2:$C$4481,C3579)</f>
        <v>1</v>
      </c>
    </row>
    <row r="3580">
      <c r="A3580" s="32" t="str">
        <f>Demand!A3578</f>
        <v>S004</v>
      </c>
      <c r="B3580" s="35">
        <f>Demand!B3578</f>
        <v>46277.0</v>
      </c>
      <c r="C3580" s="33">
        <f>Demand!C3578</f>
        <v>16</v>
      </c>
      <c r="D3580" s="33">
        <f>Demand!E3578</f>
        <v>50</v>
      </c>
      <c r="E3580" s="33">
        <f>IF(Demand!F3578,1,0)</f>
        <v>0</v>
      </c>
      <c r="F3580" s="33">
        <f>COUNTIFS(c_store,A3580,c_date,B3580,c_hour,C3580)</f>
        <v>0</v>
      </c>
      <c r="G3580" s="33">
        <f>IF(F3580&gt;0,1,0)</f>
        <v>0</v>
      </c>
      <c r="H3580" s="33">
        <f>COUNTIFS(Demand!$A$2:$A$4481,A3580,Demand!$B$2:$B$4481,B3580,Demand!$C$2:$C$4481,C3580)</f>
        <v>1</v>
      </c>
    </row>
    <row r="3581">
      <c r="A3581" s="32" t="str">
        <f>Demand!A3579</f>
        <v>S004</v>
      </c>
      <c r="B3581" s="35">
        <f>Demand!B3579</f>
        <v>46277.0</v>
      </c>
      <c r="C3581" s="33">
        <f>Demand!C3579</f>
        <v>17</v>
      </c>
      <c r="D3581" s="33">
        <f>Demand!E3579</f>
        <v>54</v>
      </c>
      <c r="E3581" s="33">
        <f>IF(Demand!F3579,1,0)</f>
        <v>0</v>
      </c>
      <c r="F3581" s="33">
        <f>COUNTIFS(c_store,A3581,c_date,B3581,c_hour,C3581)</f>
        <v>0</v>
      </c>
      <c r="G3581" s="33">
        <f>IF(F3581&gt;0,1,0)</f>
        <v>0</v>
      </c>
      <c r="H3581" s="33">
        <f>COUNTIFS(Demand!$A$2:$A$4481,A3581,Demand!$B$2:$B$4481,B3581,Demand!$C$2:$C$4481,C3581)</f>
        <v>1</v>
      </c>
    </row>
    <row r="3582">
      <c r="A3582" s="32" t="str">
        <f>Demand!A3580</f>
        <v>S004</v>
      </c>
      <c r="B3582" s="35">
        <f>Demand!B3580</f>
        <v>46277.0</v>
      </c>
      <c r="C3582" s="33">
        <f>Demand!C3580</f>
        <v>18</v>
      </c>
      <c r="D3582" s="33">
        <f>Demand!E3580</f>
        <v>34</v>
      </c>
      <c r="E3582" s="33">
        <f>IF(Demand!F3580,1,0)</f>
        <v>0</v>
      </c>
      <c r="F3582" s="33">
        <f>COUNTIFS(c_store,A3582,c_date,B3582,c_hour,C3582)</f>
        <v>1</v>
      </c>
      <c r="G3582" s="33">
        <f>IF(F3582&gt;0,1,0)</f>
        <v>1</v>
      </c>
      <c r="H3582" s="33">
        <f>COUNTIFS(Demand!$A$2:$A$4481,A3582,Demand!$B$2:$B$4481,B3582,Demand!$C$2:$C$4481,C3582)</f>
        <v>1</v>
      </c>
    </row>
    <row r="3583">
      <c r="A3583" s="32" t="str">
        <f>Demand!A3581</f>
        <v>S004</v>
      </c>
      <c r="B3583" s="35">
        <f>Demand!B3581</f>
        <v>46277.0</v>
      </c>
      <c r="C3583" s="33">
        <f>Demand!C3581</f>
        <v>19</v>
      </c>
      <c r="D3583" s="33">
        <f>Demand!E3581</f>
        <v>74</v>
      </c>
      <c r="E3583" s="33">
        <f>IF(Demand!F3581,1,0)</f>
        <v>1</v>
      </c>
      <c r="F3583" s="33">
        <f>COUNTIFS(c_store,A3583,c_date,B3583,c_hour,C3583)</f>
        <v>0</v>
      </c>
      <c r="G3583" s="33">
        <f>IF(F3583&gt;0,1,0)</f>
        <v>0</v>
      </c>
      <c r="H3583" s="33">
        <f>COUNTIFS(Demand!$A$2:$A$4481,A3583,Demand!$B$2:$B$4481,B3583,Demand!$C$2:$C$4481,C3583)</f>
        <v>1</v>
      </c>
    </row>
    <row r="3584">
      <c r="A3584" s="32" t="str">
        <f>Demand!A3582</f>
        <v>S004</v>
      </c>
      <c r="B3584" s="35">
        <f>Demand!B3582</f>
        <v>46277.0</v>
      </c>
      <c r="C3584" s="33">
        <f>Demand!C3582</f>
        <v>20</v>
      </c>
      <c r="D3584" s="33">
        <f>Demand!E3582</f>
        <v>89</v>
      </c>
      <c r="E3584" s="33">
        <f>IF(Demand!F3582,1,0)</f>
        <v>1</v>
      </c>
      <c r="F3584" s="33">
        <f>COUNTIFS(c_store,A3584,c_date,B3584,c_hour,C3584)</f>
        <v>0</v>
      </c>
      <c r="G3584" s="33">
        <f>IF(F3584&gt;0,1,0)</f>
        <v>0</v>
      </c>
      <c r="H3584" s="33">
        <f>COUNTIFS(Demand!$A$2:$A$4481,A3584,Demand!$B$2:$B$4481,B3584,Demand!$C$2:$C$4481,C3584)</f>
        <v>1</v>
      </c>
    </row>
    <row r="3585">
      <c r="A3585" s="32" t="str">
        <f>Demand!A3583</f>
        <v>S004</v>
      </c>
      <c r="B3585" s="35">
        <f>Demand!B3583</f>
        <v>46277.0</v>
      </c>
      <c r="C3585" s="33">
        <f>Demand!C3583</f>
        <v>21</v>
      </c>
      <c r="D3585" s="33">
        <f>Demand!E3583</f>
        <v>79</v>
      </c>
      <c r="E3585" s="33">
        <f>IF(Demand!F3583,1,0)</f>
        <v>1</v>
      </c>
      <c r="F3585" s="33">
        <f>COUNTIFS(c_store,A3585,c_date,B3585,c_hour,C3585)</f>
        <v>1</v>
      </c>
      <c r="G3585" s="33">
        <f>IF(F3585&gt;0,1,0)</f>
        <v>1</v>
      </c>
      <c r="H3585" s="33">
        <f>COUNTIFS(Demand!$A$2:$A$4481,A3585,Demand!$B$2:$B$4481,B3585,Demand!$C$2:$C$4481,C3585)</f>
        <v>1</v>
      </c>
    </row>
    <row r="3586">
      <c r="A3586" s="32" t="str">
        <f>Demand!A3584</f>
        <v>S004</v>
      </c>
      <c r="B3586" s="35">
        <f>Demand!B3584</f>
        <v>46277.0</v>
      </c>
      <c r="C3586" s="33">
        <f>Demand!C3584</f>
        <v>22</v>
      </c>
      <c r="D3586" s="33">
        <f>Demand!E3584</f>
        <v>50</v>
      </c>
      <c r="E3586" s="33">
        <f>IF(Demand!F3584,1,0)</f>
        <v>0</v>
      </c>
      <c r="F3586" s="33">
        <f>COUNTIFS(c_store,A3586,c_date,B3586,c_hour,C3586)</f>
        <v>0</v>
      </c>
      <c r="G3586" s="33">
        <f>IF(F3586&gt;0,1,0)</f>
        <v>0</v>
      </c>
      <c r="H3586" s="33">
        <f>COUNTIFS(Demand!$A$2:$A$4481,A3586,Demand!$B$2:$B$4481,B3586,Demand!$C$2:$C$4481,C3586)</f>
        <v>1</v>
      </c>
    </row>
    <row r="3587">
      <c r="A3587" s="32" t="str">
        <f>Demand!A3585</f>
        <v>S004</v>
      </c>
      <c r="B3587" s="35">
        <f>Demand!B3585</f>
        <v>46277.0</v>
      </c>
      <c r="C3587" s="33">
        <f>Demand!C3585</f>
        <v>23</v>
      </c>
      <c r="D3587" s="33">
        <f>Demand!E3585</f>
        <v>37</v>
      </c>
      <c r="E3587" s="33">
        <f>IF(Demand!F3585,1,0)</f>
        <v>0</v>
      </c>
      <c r="F3587" s="33">
        <f>COUNTIFS(c_store,A3587,c_date,B3587,c_hour,C3587)</f>
        <v>0</v>
      </c>
      <c r="G3587" s="33">
        <f>IF(F3587&gt;0,1,0)</f>
        <v>0</v>
      </c>
      <c r="H3587" s="33">
        <f>COUNTIFS(Demand!$A$2:$A$4481,A3587,Demand!$B$2:$B$4481,B3587,Demand!$C$2:$C$4481,C3587)</f>
        <v>1</v>
      </c>
    </row>
    <row r="3588">
      <c r="A3588" s="32" t="str">
        <f>Demand!A3586</f>
        <v>S005</v>
      </c>
      <c r="B3588" s="35">
        <f>Demand!B3586</f>
        <v>46277.0</v>
      </c>
      <c r="C3588" s="33">
        <f>Demand!C3586</f>
        <v>8</v>
      </c>
      <c r="D3588" s="33">
        <f>Demand!E3586</f>
        <v>9</v>
      </c>
      <c r="E3588" s="33">
        <f>IF(Demand!F3586,1,0)</f>
        <v>0</v>
      </c>
      <c r="F3588" s="33">
        <f>COUNTIFS(c_store,A3588,c_date,B3588,c_hour,C3588)</f>
        <v>0</v>
      </c>
      <c r="G3588" s="33">
        <f>IF(F3588&gt;0,1,0)</f>
        <v>0</v>
      </c>
      <c r="H3588" s="33">
        <f>COUNTIFS(Demand!$A$2:$A$4481,A3588,Demand!$B$2:$B$4481,B3588,Demand!$C$2:$C$4481,C3588)</f>
        <v>1</v>
      </c>
    </row>
    <row r="3589">
      <c r="A3589" s="32" t="str">
        <f>Demand!A3587</f>
        <v>S005</v>
      </c>
      <c r="B3589" s="35">
        <f>Demand!B3587</f>
        <v>46277.0</v>
      </c>
      <c r="C3589" s="33">
        <f>Demand!C3587</f>
        <v>9</v>
      </c>
      <c r="D3589" s="33">
        <f>Demand!E3587</f>
        <v>10</v>
      </c>
      <c r="E3589" s="33">
        <f>IF(Demand!F3587,1,0)</f>
        <v>0</v>
      </c>
      <c r="F3589" s="33">
        <f>COUNTIFS(c_store,A3589,c_date,B3589,c_hour,C3589)</f>
        <v>0</v>
      </c>
      <c r="G3589" s="33">
        <f>IF(F3589&gt;0,1,0)</f>
        <v>0</v>
      </c>
      <c r="H3589" s="33">
        <f>COUNTIFS(Demand!$A$2:$A$4481,A3589,Demand!$B$2:$B$4481,B3589,Demand!$C$2:$C$4481,C3589)</f>
        <v>1</v>
      </c>
    </row>
    <row r="3590">
      <c r="A3590" s="32" t="str">
        <f>Demand!A3588</f>
        <v>S005</v>
      </c>
      <c r="B3590" s="35">
        <f>Demand!B3588</f>
        <v>46277.0</v>
      </c>
      <c r="C3590" s="33">
        <f>Demand!C3588</f>
        <v>10</v>
      </c>
      <c r="D3590" s="33">
        <f>Demand!E3588</f>
        <v>14</v>
      </c>
      <c r="E3590" s="33">
        <f>IF(Demand!F3588,1,0)</f>
        <v>0</v>
      </c>
      <c r="F3590" s="33">
        <f>COUNTIFS(c_store,A3590,c_date,B3590,c_hour,C3590)</f>
        <v>1</v>
      </c>
      <c r="G3590" s="33">
        <f>IF(F3590&gt;0,1,0)</f>
        <v>1</v>
      </c>
      <c r="H3590" s="33">
        <f>COUNTIFS(Demand!$A$2:$A$4481,A3590,Demand!$B$2:$B$4481,B3590,Demand!$C$2:$C$4481,C3590)</f>
        <v>1</v>
      </c>
    </row>
    <row r="3591">
      <c r="A3591" s="32" t="str">
        <f>Demand!A3589</f>
        <v>S005</v>
      </c>
      <c r="B3591" s="35">
        <f>Demand!B3589</f>
        <v>46277.0</v>
      </c>
      <c r="C3591" s="33">
        <f>Demand!C3589</f>
        <v>11</v>
      </c>
      <c r="D3591" s="33">
        <f>Demand!E3589</f>
        <v>13</v>
      </c>
      <c r="E3591" s="33">
        <f>IF(Demand!F3589,1,0)</f>
        <v>0</v>
      </c>
      <c r="F3591" s="33">
        <f>COUNTIFS(c_store,A3591,c_date,B3591,c_hour,C3591)</f>
        <v>0</v>
      </c>
      <c r="G3591" s="33">
        <f>IF(F3591&gt;0,1,0)</f>
        <v>0</v>
      </c>
      <c r="H3591" s="33">
        <f>COUNTIFS(Demand!$A$2:$A$4481,A3591,Demand!$B$2:$B$4481,B3591,Demand!$C$2:$C$4481,C3591)</f>
        <v>1</v>
      </c>
    </row>
    <row r="3592">
      <c r="A3592" s="32" t="str">
        <f>Demand!A3590</f>
        <v>S005</v>
      </c>
      <c r="B3592" s="35">
        <f>Demand!B3590</f>
        <v>46277.0</v>
      </c>
      <c r="C3592" s="33">
        <f>Demand!C3590</f>
        <v>12</v>
      </c>
      <c r="D3592" s="33">
        <f>Demand!E3590</f>
        <v>13</v>
      </c>
      <c r="E3592" s="33">
        <f>IF(Demand!F3590,1,0)</f>
        <v>0</v>
      </c>
      <c r="F3592" s="33">
        <f>COUNTIFS(c_store,A3592,c_date,B3592,c_hour,C3592)</f>
        <v>0</v>
      </c>
      <c r="G3592" s="33">
        <f>IF(F3592&gt;0,1,0)</f>
        <v>0</v>
      </c>
      <c r="H3592" s="33">
        <f>COUNTIFS(Demand!$A$2:$A$4481,A3592,Demand!$B$2:$B$4481,B3592,Demand!$C$2:$C$4481,C3592)</f>
        <v>1</v>
      </c>
    </row>
    <row r="3593">
      <c r="A3593" s="32" t="str">
        <f>Demand!A3591</f>
        <v>S005</v>
      </c>
      <c r="B3593" s="35">
        <f>Demand!B3591</f>
        <v>46277.0</v>
      </c>
      <c r="C3593" s="33">
        <f>Demand!C3591</f>
        <v>13</v>
      </c>
      <c r="D3593" s="33">
        <f>Demand!E3591</f>
        <v>8</v>
      </c>
      <c r="E3593" s="33">
        <f>IF(Demand!F3591,1,0)</f>
        <v>0</v>
      </c>
      <c r="F3593" s="33">
        <f>COUNTIFS(c_store,A3593,c_date,B3593,c_hour,C3593)</f>
        <v>0</v>
      </c>
      <c r="G3593" s="33">
        <f>IF(F3593&gt;0,1,0)</f>
        <v>0</v>
      </c>
      <c r="H3593" s="33">
        <f>COUNTIFS(Demand!$A$2:$A$4481,A3593,Demand!$B$2:$B$4481,B3593,Demand!$C$2:$C$4481,C3593)</f>
        <v>1</v>
      </c>
    </row>
    <row r="3594">
      <c r="A3594" s="32" t="str">
        <f>Demand!A3592</f>
        <v>S005</v>
      </c>
      <c r="B3594" s="35">
        <f>Demand!B3592</f>
        <v>46277.0</v>
      </c>
      <c r="C3594" s="33">
        <f>Demand!C3592</f>
        <v>14</v>
      </c>
      <c r="D3594" s="33">
        <f>Demand!E3592</f>
        <v>11</v>
      </c>
      <c r="E3594" s="33">
        <f>IF(Demand!F3592,1,0)</f>
        <v>0</v>
      </c>
      <c r="F3594" s="33">
        <f>COUNTIFS(c_store,A3594,c_date,B3594,c_hour,C3594)</f>
        <v>1</v>
      </c>
      <c r="G3594" s="33">
        <f>IF(F3594&gt;0,1,0)</f>
        <v>1</v>
      </c>
      <c r="H3594" s="33">
        <f>COUNTIFS(Demand!$A$2:$A$4481,A3594,Demand!$B$2:$B$4481,B3594,Demand!$C$2:$C$4481,C3594)</f>
        <v>1</v>
      </c>
    </row>
    <row r="3595">
      <c r="A3595" s="32" t="str">
        <f>Demand!A3593</f>
        <v>S005</v>
      </c>
      <c r="B3595" s="35">
        <f>Demand!B3593</f>
        <v>46277.0</v>
      </c>
      <c r="C3595" s="33">
        <f>Demand!C3593</f>
        <v>15</v>
      </c>
      <c r="D3595" s="33">
        <f>Demand!E3593</f>
        <v>7</v>
      </c>
      <c r="E3595" s="33">
        <f>IF(Demand!F3593,1,0)</f>
        <v>0</v>
      </c>
      <c r="F3595" s="33">
        <f>COUNTIFS(c_store,A3595,c_date,B3595,c_hour,C3595)</f>
        <v>0</v>
      </c>
      <c r="G3595" s="33">
        <f>IF(F3595&gt;0,1,0)</f>
        <v>0</v>
      </c>
      <c r="H3595" s="33">
        <f>COUNTIFS(Demand!$A$2:$A$4481,A3595,Demand!$B$2:$B$4481,B3595,Demand!$C$2:$C$4481,C3595)</f>
        <v>1</v>
      </c>
    </row>
    <row r="3596">
      <c r="A3596" s="32" t="str">
        <f>Demand!A3594</f>
        <v>S005</v>
      </c>
      <c r="B3596" s="35">
        <f>Demand!B3594</f>
        <v>46277.0</v>
      </c>
      <c r="C3596" s="33">
        <f>Demand!C3594</f>
        <v>16</v>
      </c>
      <c r="D3596" s="33">
        <f>Demand!E3594</f>
        <v>16</v>
      </c>
      <c r="E3596" s="33">
        <f>IF(Demand!F3594,1,0)</f>
        <v>0</v>
      </c>
      <c r="F3596" s="33">
        <f>COUNTIFS(c_store,A3596,c_date,B3596,c_hour,C3596)</f>
        <v>0</v>
      </c>
      <c r="G3596" s="33">
        <f>IF(F3596&gt;0,1,0)</f>
        <v>0</v>
      </c>
      <c r="H3596" s="33">
        <f>COUNTIFS(Demand!$A$2:$A$4481,A3596,Demand!$B$2:$B$4481,B3596,Demand!$C$2:$C$4481,C3596)</f>
        <v>1</v>
      </c>
    </row>
    <row r="3597">
      <c r="A3597" s="32" t="str">
        <f>Demand!A3595</f>
        <v>S005</v>
      </c>
      <c r="B3597" s="35">
        <f>Demand!B3595</f>
        <v>46277.0</v>
      </c>
      <c r="C3597" s="33">
        <f>Demand!C3595</f>
        <v>17</v>
      </c>
      <c r="D3597" s="33">
        <f>Demand!E3595</f>
        <v>15</v>
      </c>
      <c r="E3597" s="33">
        <f>IF(Demand!F3595,1,0)</f>
        <v>0</v>
      </c>
      <c r="F3597" s="33">
        <f>COUNTIFS(c_store,A3597,c_date,B3597,c_hour,C3597)</f>
        <v>0</v>
      </c>
      <c r="G3597" s="33">
        <f>IF(F3597&gt;0,1,0)</f>
        <v>0</v>
      </c>
      <c r="H3597" s="33">
        <f>COUNTIFS(Demand!$A$2:$A$4481,A3597,Demand!$B$2:$B$4481,B3597,Demand!$C$2:$C$4481,C3597)</f>
        <v>1</v>
      </c>
    </row>
    <row r="3598">
      <c r="A3598" s="32" t="str">
        <f>Demand!A3596</f>
        <v>S005</v>
      </c>
      <c r="B3598" s="35">
        <f>Demand!B3596</f>
        <v>46277.0</v>
      </c>
      <c r="C3598" s="33">
        <f>Demand!C3596</f>
        <v>18</v>
      </c>
      <c r="D3598" s="33">
        <f>Demand!E3596</f>
        <v>17</v>
      </c>
      <c r="E3598" s="33">
        <f>IF(Demand!F3596,1,0)</f>
        <v>0</v>
      </c>
      <c r="F3598" s="33">
        <f>COUNTIFS(c_store,A3598,c_date,B3598,c_hour,C3598)</f>
        <v>0</v>
      </c>
      <c r="G3598" s="33">
        <f>IF(F3598&gt;0,1,0)</f>
        <v>0</v>
      </c>
      <c r="H3598" s="33">
        <f>COUNTIFS(Demand!$A$2:$A$4481,A3598,Demand!$B$2:$B$4481,B3598,Demand!$C$2:$C$4481,C3598)</f>
        <v>1</v>
      </c>
    </row>
    <row r="3599">
      <c r="A3599" s="32" t="str">
        <f>Demand!A3597</f>
        <v>S005</v>
      </c>
      <c r="B3599" s="35">
        <f>Demand!B3597</f>
        <v>46277.0</v>
      </c>
      <c r="C3599" s="33">
        <f>Demand!C3597</f>
        <v>19</v>
      </c>
      <c r="D3599" s="33">
        <f>Demand!E3597</f>
        <v>24</v>
      </c>
      <c r="E3599" s="33">
        <f>IF(Demand!F3597,1,0)</f>
        <v>1</v>
      </c>
      <c r="F3599" s="33">
        <f>COUNTIFS(c_store,A3599,c_date,B3599,c_hour,C3599)</f>
        <v>2</v>
      </c>
      <c r="G3599" s="33">
        <f>IF(F3599&gt;0,1,0)</f>
        <v>1</v>
      </c>
      <c r="H3599" s="33">
        <f>COUNTIFS(Demand!$A$2:$A$4481,A3599,Demand!$B$2:$B$4481,B3599,Demand!$C$2:$C$4481,C3599)</f>
        <v>1</v>
      </c>
    </row>
    <row r="3600">
      <c r="A3600" s="32" t="str">
        <f>Demand!A3598</f>
        <v>S005</v>
      </c>
      <c r="B3600" s="35">
        <f>Demand!B3598</f>
        <v>46277.0</v>
      </c>
      <c r="C3600" s="33">
        <f>Demand!C3598</f>
        <v>20</v>
      </c>
      <c r="D3600" s="33">
        <f>Demand!E3598</f>
        <v>16</v>
      </c>
      <c r="E3600" s="33">
        <f>IF(Demand!F3598,1,0)</f>
        <v>1</v>
      </c>
      <c r="F3600" s="33">
        <f>COUNTIFS(c_store,A3600,c_date,B3600,c_hour,C3600)</f>
        <v>1</v>
      </c>
      <c r="G3600" s="33">
        <f>IF(F3600&gt;0,1,0)</f>
        <v>1</v>
      </c>
      <c r="H3600" s="33">
        <f>COUNTIFS(Demand!$A$2:$A$4481,A3600,Demand!$B$2:$B$4481,B3600,Demand!$C$2:$C$4481,C3600)</f>
        <v>1</v>
      </c>
    </row>
    <row r="3601">
      <c r="A3601" s="32" t="str">
        <f>Demand!A3599</f>
        <v>S005</v>
      </c>
      <c r="B3601" s="35">
        <f>Demand!B3599</f>
        <v>46277.0</v>
      </c>
      <c r="C3601" s="33">
        <f>Demand!C3599</f>
        <v>21</v>
      </c>
      <c r="D3601" s="33">
        <f>Demand!E3599</f>
        <v>23</v>
      </c>
      <c r="E3601" s="33">
        <f>IF(Demand!F3599,1,0)</f>
        <v>1</v>
      </c>
      <c r="F3601" s="33">
        <f>COUNTIFS(c_store,A3601,c_date,B3601,c_hour,C3601)</f>
        <v>0</v>
      </c>
      <c r="G3601" s="33">
        <f>IF(F3601&gt;0,1,0)</f>
        <v>0</v>
      </c>
      <c r="H3601" s="33">
        <f>COUNTIFS(Demand!$A$2:$A$4481,A3601,Demand!$B$2:$B$4481,B3601,Demand!$C$2:$C$4481,C3601)</f>
        <v>1</v>
      </c>
    </row>
    <row r="3602">
      <c r="A3602" s="32" t="str">
        <f>Demand!A3600</f>
        <v>S005</v>
      </c>
      <c r="B3602" s="35">
        <f>Demand!B3600</f>
        <v>46277.0</v>
      </c>
      <c r="C3602" s="33">
        <f>Demand!C3600</f>
        <v>22</v>
      </c>
      <c r="D3602" s="33">
        <f>Demand!E3600</f>
        <v>10</v>
      </c>
      <c r="E3602" s="33">
        <f>IF(Demand!F3600,1,0)</f>
        <v>0</v>
      </c>
      <c r="F3602" s="33">
        <f>COUNTIFS(c_store,A3602,c_date,B3602,c_hour,C3602)</f>
        <v>0</v>
      </c>
      <c r="G3602" s="33">
        <f>IF(F3602&gt;0,1,0)</f>
        <v>0</v>
      </c>
      <c r="H3602" s="33">
        <f>COUNTIFS(Demand!$A$2:$A$4481,A3602,Demand!$B$2:$B$4481,B3602,Demand!$C$2:$C$4481,C3602)</f>
        <v>1</v>
      </c>
    </row>
    <row r="3603">
      <c r="A3603" s="32" t="str">
        <f>Demand!A3601</f>
        <v>S005</v>
      </c>
      <c r="B3603" s="35">
        <f>Demand!B3601</f>
        <v>46277.0</v>
      </c>
      <c r="C3603" s="33">
        <f>Demand!C3601</f>
        <v>23</v>
      </c>
      <c r="D3603" s="33">
        <f>Demand!E3601</f>
        <v>10</v>
      </c>
      <c r="E3603" s="33">
        <f>IF(Demand!F3601,1,0)</f>
        <v>0</v>
      </c>
      <c r="F3603" s="33">
        <f>COUNTIFS(c_store,A3603,c_date,B3603,c_hour,C3603)</f>
        <v>1</v>
      </c>
      <c r="G3603" s="33">
        <f>IF(F3603&gt;0,1,0)</f>
        <v>1</v>
      </c>
      <c r="H3603" s="33">
        <f>COUNTIFS(Demand!$A$2:$A$4481,A3603,Demand!$B$2:$B$4481,B3603,Demand!$C$2:$C$4481,C3603)</f>
        <v>1</v>
      </c>
    </row>
    <row r="3604">
      <c r="A3604" s="32" t="str">
        <f>Demand!A3602</f>
        <v>S006</v>
      </c>
      <c r="B3604" s="35">
        <f>Demand!B3602</f>
        <v>46277.0</v>
      </c>
      <c r="C3604" s="33">
        <f>Demand!C3602</f>
        <v>8</v>
      </c>
      <c r="D3604" s="33">
        <f>Demand!E3602</f>
        <v>23</v>
      </c>
      <c r="E3604" s="33">
        <f>IF(Demand!F3602,1,0)</f>
        <v>0</v>
      </c>
      <c r="F3604" s="33">
        <f>COUNTIFS(c_store,A3604,c_date,B3604,c_hour,C3604)</f>
        <v>0</v>
      </c>
      <c r="G3604" s="33">
        <f>IF(F3604&gt;0,1,0)</f>
        <v>0</v>
      </c>
      <c r="H3604" s="33">
        <f>COUNTIFS(Demand!$A$2:$A$4481,A3604,Demand!$B$2:$B$4481,B3604,Demand!$C$2:$C$4481,C3604)</f>
        <v>1</v>
      </c>
    </row>
    <row r="3605">
      <c r="A3605" s="32" t="str">
        <f>Demand!A3603</f>
        <v>S006</v>
      </c>
      <c r="B3605" s="35">
        <f>Demand!B3603</f>
        <v>46277.0</v>
      </c>
      <c r="C3605" s="33">
        <f>Demand!C3603</f>
        <v>9</v>
      </c>
      <c r="D3605" s="33">
        <f>Demand!E3603</f>
        <v>27</v>
      </c>
      <c r="E3605" s="33">
        <f>IF(Demand!F3603,1,0)</f>
        <v>0</v>
      </c>
      <c r="F3605" s="33">
        <f>COUNTIFS(c_store,A3605,c_date,B3605,c_hour,C3605)</f>
        <v>0</v>
      </c>
      <c r="G3605" s="33">
        <f>IF(F3605&gt;0,1,0)</f>
        <v>0</v>
      </c>
      <c r="H3605" s="33">
        <f>COUNTIFS(Demand!$A$2:$A$4481,A3605,Demand!$B$2:$B$4481,B3605,Demand!$C$2:$C$4481,C3605)</f>
        <v>1</v>
      </c>
    </row>
    <row r="3606">
      <c r="A3606" s="32" t="str">
        <f>Demand!A3604</f>
        <v>S006</v>
      </c>
      <c r="B3606" s="35">
        <f>Demand!B3604</f>
        <v>46277.0</v>
      </c>
      <c r="C3606" s="33">
        <f>Demand!C3604</f>
        <v>10</v>
      </c>
      <c r="D3606" s="33">
        <f>Demand!E3604</f>
        <v>25</v>
      </c>
      <c r="E3606" s="33">
        <f>IF(Demand!F3604,1,0)</f>
        <v>0</v>
      </c>
      <c r="F3606" s="33">
        <f>COUNTIFS(c_store,A3606,c_date,B3606,c_hour,C3606)</f>
        <v>0</v>
      </c>
      <c r="G3606" s="33">
        <f>IF(F3606&gt;0,1,0)</f>
        <v>0</v>
      </c>
      <c r="H3606" s="33">
        <f>COUNTIFS(Demand!$A$2:$A$4481,A3606,Demand!$B$2:$B$4481,B3606,Demand!$C$2:$C$4481,C3606)</f>
        <v>1</v>
      </c>
    </row>
    <row r="3607">
      <c r="A3607" s="32" t="str">
        <f>Demand!A3605</f>
        <v>S006</v>
      </c>
      <c r="B3607" s="35">
        <f>Demand!B3605</f>
        <v>46277.0</v>
      </c>
      <c r="C3607" s="33">
        <f>Demand!C3605</f>
        <v>11</v>
      </c>
      <c r="D3607" s="33">
        <f>Demand!E3605</f>
        <v>20</v>
      </c>
      <c r="E3607" s="33">
        <f>IF(Demand!F3605,1,0)</f>
        <v>0</v>
      </c>
      <c r="F3607" s="33">
        <f>COUNTIFS(c_store,A3607,c_date,B3607,c_hour,C3607)</f>
        <v>0</v>
      </c>
      <c r="G3607" s="33">
        <f>IF(F3607&gt;0,1,0)</f>
        <v>0</v>
      </c>
      <c r="H3607" s="33">
        <f>COUNTIFS(Demand!$A$2:$A$4481,A3607,Demand!$B$2:$B$4481,B3607,Demand!$C$2:$C$4481,C3607)</f>
        <v>1</v>
      </c>
    </row>
    <row r="3608">
      <c r="A3608" s="32" t="str">
        <f>Demand!A3606</f>
        <v>S006</v>
      </c>
      <c r="B3608" s="35">
        <f>Demand!B3606</f>
        <v>46277.0</v>
      </c>
      <c r="C3608" s="33">
        <f>Demand!C3606</f>
        <v>12</v>
      </c>
      <c r="D3608" s="33">
        <f>Demand!E3606</f>
        <v>22</v>
      </c>
      <c r="E3608" s="33">
        <f>IF(Demand!F3606,1,0)</f>
        <v>0</v>
      </c>
      <c r="F3608" s="33">
        <f>COUNTIFS(c_store,A3608,c_date,B3608,c_hour,C3608)</f>
        <v>1</v>
      </c>
      <c r="G3608" s="33">
        <f>IF(F3608&gt;0,1,0)</f>
        <v>1</v>
      </c>
      <c r="H3608" s="33">
        <f>COUNTIFS(Demand!$A$2:$A$4481,A3608,Demand!$B$2:$B$4481,B3608,Demand!$C$2:$C$4481,C3608)</f>
        <v>1</v>
      </c>
    </row>
    <row r="3609">
      <c r="A3609" s="32" t="str">
        <f>Demand!A3607</f>
        <v>S006</v>
      </c>
      <c r="B3609" s="35">
        <f>Demand!B3607</f>
        <v>46277.0</v>
      </c>
      <c r="C3609" s="33">
        <f>Demand!C3607</f>
        <v>13</v>
      </c>
      <c r="D3609" s="33">
        <f>Demand!E3607</f>
        <v>26</v>
      </c>
      <c r="E3609" s="33">
        <f>IF(Demand!F3607,1,0)</f>
        <v>0</v>
      </c>
      <c r="F3609" s="33">
        <f>COUNTIFS(c_store,A3609,c_date,B3609,c_hour,C3609)</f>
        <v>0</v>
      </c>
      <c r="G3609" s="33">
        <f>IF(F3609&gt;0,1,0)</f>
        <v>0</v>
      </c>
      <c r="H3609" s="33">
        <f>COUNTIFS(Demand!$A$2:$A$4481,A3609,Demand!$B$2:$B$4481,B3609,Demand!$C$2:$C$4481,C3609)</f>
        <v>1</v>
      </c>
    </row>
    <row r="3610">
      <c r="A3610" s="32" t="str">
        <f>Demand!A3608</f>
        <v>S006</v>
      </c>
      <c r="B3610" s="35">
        <f>Demand!B3608</f>
        <v>46277.0</v>
      </c>
      <c r="C3610" s="33">
        <f>Demand!C3608</f>
        <v>14</v>
      </c>
      <c r="D3610" s="33">
        <f>Demand!E3608</f>
        <v>24</v>
      </c>
      <c r="E3610" s="33">
        <f>IF(Demand!F3608,1,0)</f>
        <v>0</v>
      </c>
      <c r="F3610" s="33">
        <f>COUNTIFS(c_store,A3610,c_date,B3610,c_hour,C3610)</f>
        <v>0</v>
      </c>
      <c r="G3610" s="33">
        <f>IF(F3610&gt;0,1,0)</f>
        <v>0</v>
      </c>
      <c r="H3610" s="33">
        <f>COUNTIFS(Demand!$A$2:$A$4481,A3610,Demand!$B$2:$B$4481,B3610,Demand!$C$2:$C$4481,C3610)</f>
        <v>1</v>
      </c>
    </row>
    <row r="3611">
      <c r="A3611" s="32" t="str">
        <f>Demand!A3609</f>
        <v>S006</v>
      </c>
      <c r="B3611" s="35">
        <f>Demand!B3609</f>
        <v>46277.0</v>
      </c>
      <c r="C3611" s="33">
        <f>Demand!C3609</f>
        <v>15</v>
      </c>
      <c r="D3611" s="33">
        <f>Demand!E3609</f>
        <v>29</v>
      </c>
      <c r="E3611" s="33">
        <f>IF(Demand!F3609,1,0)</f>
        <v>0</v>
      </c>
      <c r="F3611" s="33">
        <f>COUNTIFS(c_store,A3611,c_date,B3611,c_hour,C3611)</f>
        <v>1</v>
      </c>
      <c r="G3611" s="33">
        <f>IF(F3611&gt;0,1,0)</f>
        <v>1</v>
      </c>
      <c r="H3611" s="33">
        <f>COUNTIFS(Demand!$A$2:$A$4481,A3611,Demand!$B$2:$B$4481,B3611,Demand!$C$2:$C$4481,C3611)</f>
        <v>1</v>
      </c>
    </row>
    <row r="3612">
      <c r="A3612" s="32" t="str">
        <f>Demand!A3610</f>
        <v>S006</v>
      </c>
      <c r="B3612" s="35">
        <f>Demand!B3610</f>
        <v>46277.0</v>
      </c>
      <c r="C3612" s="33">
        <f>Demand!C3610</f>
        <v>16</v>
      </c>
      <c r="D3612" s="33">
        <f>Demand!E3610</f>
        <v>36</v>
      </c>
      <c r="E3612" s="33">
        <f>IF(Demand!F3610,1,0)</f>
        <v>0</v>
      </c>
      <c r="F3612" s="33">
        <f>COUNTIFS(c_store,A3612,c_date,B3612,c_hour,C3612)</f>
        <v>0</v>
      </c>
      <c r="G3612" s="33">
        <f>IF(F3612&gt;0,1,0)</f>
        <v>0</v>
      </c>
      <c r="H3612" s="33">
        <f>COUNTIFS(Demand!$A$2:$A$4481,A3612,Demand!$B$2:$B$4481,B3612,Demand!$C$2:$C$4481,C3612)</f>
        <v>1</v>
      </c>
    </row>
    <row r="3613">
      <c r="A3613" s="32" t="str">
        <f>Demand!A3611</f>
        <v>S006</v>
      </c>
      <c r="B3613" s="35">
        <f>Demand!B3611</f>
        <v>46277.0</v>
      </c>
      <c r="C3613" s="33">
        <f>Demand!C3611</f>
        <v>17</v>
      </c>
      <c r="D3613" s="33">
        <f>Demand!E3611</f>
        <v>18</v>
      </c>
      <c r="E3613" s="33">
        <f>IF(Demand!F3611,1,0)</f>
        <v>0</v>
      </c>
      <c r="F3613" s="33">
        <f>COUNTIFS(c_store,A3613,c_date,B3613,c_hour,C3613)</f>
        <v>1</v>
      </c>
      <c r="G3613" s="33">
        <f>IF(F3613&gt;0,1,0)</f>
        <v>1</v>
      </c>
      <c r="H3613" s="33">
        <f>COUNTIFS(Demand!$A$2:$A$4481,A3613,Demand!$B$2:$B$4481,B3613,Demand!$C$2:$C$4481,C3613)</f>
        <v>1</v>
      </c>
    </row>
    <row r="3614">
      <c r="A3614" s="32" t="str">
        <f>Demand!A3612</f>
        <v>S006</v>
      </c>
      <c r="B3614" s="35">
        <f>Demand!B3612</f>
        <v>46277.0</v>
      </c>
      <c r="C3614" s="33">
        <f>Demand!C3612</f>
        <v>18</v>
      </c>
      <c r="D3614" s="33">
        <f>Demand!E3612</f>
        <v>30</v>
      </c>
      <c r="E3614" s="33">
        <f>IF(Demand!F3612,1,0)</f>
        <v>0</v>
      </c>
      <c r="F3614" s="33">
        <f>COUNTIFS(c_store,A3614,c_date,B3614,c_hour,C3614)</f>
        <v>0</v>
      </c>
      <c r="G3614" s="33">
        <f>IF(F3614&gt;0,1,0)</f>
        <v>0</v>
      </c>
      <c r="H3614" s="33">
        <f>COUNTIFS(Demand!$A$2:$A$4481,A3614,Demand!$B$2:$B$4481,B3614,Demand!$C$2:$C$4481,C3614)</f>
        <v>1</v>
      </c>
    </row>
    <row r="3615">
      <c r="A3615" s="32" t="str">
        <f>Demand!A3613</f>
        <v>S006</v>
      </c>
      <c r="B3615" s="35">
        <f>Demand!B3613</f>
        <v>46277.0</v>
      </c>
      <c r="C3615" s="33">
        <f>Demand!C3613</f>
        <v>19</v>
      </c>
      <c r="D3615" s="33">
        <f>Demand!E3613</f>
        <v>46</v>
      </c>
      <c r="E3615" s="33">
        <f>IF(Demand!F3613,1,0)</f>
        <v>1</v>
      </c>
      <c r="F3615" s="33">
        <f>COUNTIFS(c_store,A3615,c_date,B3615,c_hour,C3615)</f>
        <v>0</v>
      </c>
      <c r="G3615" s="33">
        <f>IF(F3615&gt;0,1,0)</f>
        <v>0</v>
      </c>
      <c r="H3615" s="33">
        <f>COUNTIFS(Demand!$A$2:$A$4481,A3615,Demand!$B$2:$B$4481,B3615,Demand!$C$2:$C$4481,C3615)</f>
        <v>1</v>
      </c>
    </row>
    <row r="3616">
      <c r="A3616" s="32" t="str">
        <f>Demand!A3614</f>
        <v>S006</v>
      </c>
      <c r="B3616" s="35">
        <f>Demand!B3614</f>
        <v>46277.0</v>
      </c>
      <c r="C3616" s="33">
        <f>Demand!C3614</f>
        <v>20</v>
      </c>
      <c r="D3616" s="33">
        <f>Demand!E3614</f>
        <v>31</v>
      </c>
      <c r="E3616" s="33">
        <f>IF(Demand!F3614,1,0)</f>
        <v>1</v>
      </c>
      <c r="F3616" s="33">
        <f>COUNTIFS(c_store,A3616,c_date,B3616,c_hour,C3616)</f>
        <v>0</v>
      </c>
      <c r="G3616" s="33">
        <f>IF(F3616&gt;0,1,0)</f>
        <v>0</v>
      </c>
      <c r="H3616" s="33">
        <f>COUNTIFS(Demand!$A$2:$A$4481,A3616,Demand!$B$2:$B$4481,B3616,Demand!$C$2:$C$4481,C3616)</f>
        <v>1</v>
      </c>
    </row>
    <row r="3617">
      <c r="A3617" s="32" t="str">
        <f>Demand!A3615</f>
        <v>S006</v>
      </c>
      <c r="B3617" s="35">
        <f>Demand!B3615</f>
        <v>46277.0</v>
      </c>
      <c r="C3617" s="33">
        <f>Demand!C3615</f>
        <v>21</v>
      </c>
      <c r="D3617" s="33">
        <f>Demand!E3615</f>
        <v>39</v>
      </c>
      <c r="E3617" s="33">
        <f>IF(Demand!F3615,1,0)</f>
        <v>1</v>
      </c>
      <c r="F3617" s="33">
        <f>COUNTIFS(c_store,A3617,c_date,B3617,c_hour,C3617)</f>
        <v>1</v>
      </c>
      <c r="G3617" s="33">
        <f>IF(F3617&gt;0,1,0)</f>
        <v>1</v>
      </c>
      <c r="H3617" s="33">
        <f>COUNTIFS(Demand!$A$2:$A$4481,A3617,Demand!$B$2:$B$4481,B3617,Demand!$C$2:$C$4481,C3617)</f>
        <v>1</v>
      </c>
    </row>
    <row r="3618">
      <c r="A3618" s="32" t="str">
        <f>Demand!A3616</f>
        <v>S006</v>
      </c>
      <c r="B3618" s="35">
        <f>Demand!B3616</f>
        <v>46277.0</v>
      </c>
      <c r="C3618" s="33">
        <f>Demand!C3616</f>
        <v>22</v>
      </c>
      <c r="D3618" s="33">
        <f>Demand!E3616</f>
        <v>34</v>
      </c>
      <c r="E3618" s="33">
        <f>IF(Demand!F3616,1,0)</f>
        <v>0</v>
      </c>
      <c r="F3618" s="33">
        <f>COUNTIFS(c_store,A3618,c_date,B3618,c_hour,C3618)</f>
        <v>0</v>
      </c>
      <c r="G3618" s="33">
        <f>IF(F3618&gt;0,1,0)</f>
        <v>0</v>
      </c>
      <c r="H3618" s="33">
        <f>COUNTIFS(Demand!$A$2:$A$4481,A3618,Demand!$B$2:$B$4481,B3618,Demand!$C$2:$C$4481,C3618)</f>
        <v>1</v>
      </c>
    </row>
    <row r="3619">
      <c r="A3619" s="32" t="str">
        <f>Demand!A3617</f>
        <v>S006</v>
      </c>
      <c r="B3619" s="35">
        <f>Demand!B3617</f>
        <v>46277.0</v>
      </c>
      <c r="C3619" s="33">
        <f>Demand!C3617</f>
        <v>23</v>
      </c>
      <c r="D3619" s="33">
        <f>Demand!E3617</f>
        <v>40</v>
      </c>
      <c r="E3619" s="33">
        <f>IF(Demand!F3617,1,0)</f>
        <v>0</v>
      </c>
      <c r="F3619" s="33">
        <f>COUNTIFS(c_store,A3619,c_date,B3619,c_hour,C3619)</f>
        <v>0</v>
      </c>
      <c r="G3619" s="33">
        <f>IF(F3619&gt;0,1,0)</f>
        <v>0</v>
      </c>
      <c r="H3619" s="33">
        <f>COUNTIFS(Demand!$A$2:$A$4481,A3619,Demand!$B$2:$B$4481,B3619,Demand!$C$2:$C$4481,C3619)</f>
        <v>1</v>
      </c>
    </row>
    <row r="3620">
      <c r="A3620" s="32" t="str">
        <f>Demand!A3618</f>
        <v>S007</v>
      </c>
      <c r="B3620" s="35">
        <f>Demand!B3618</f>
        <v>46277.0</v>
      </c>
      <c r="C3620" s="33">
        <f>Demand!C3618</f>
        <v>8</v>
      </c>
      <c r="D3620" s="33">
        <f>Demand!E3618</f>
        <v>28</v>
      </c>
      <c r="E3620" s="33">
        <f>IF(Demand!F3618,1,0)</f>
        <v>0</v>
      </c>
      <c r="F3620" s="33">
        <f>COUNTIFS(c_store,A3620,c_date,B3620,c_hour,C3620)</f>
        <v>0</v>
      </c>
      <c r="G3620" s="33">
        <f>IF(F3620&gt;0,1,0)</f>
        <v>0</v>
      </c>
      <c r="H3620" s="33">
        <f>COUNTIFS(Demand!$A$2:$A$4481,A3620,Demand!$B$2:$B$4481,B3620,Demand!$C$2:$C$4481,C3620)</f>
        <v>1</v>
      </c>
    </row>
    <row r="3621">
      <c r="A3621" s="32" t="str">
        <f>Demand!A3619</f>
        <v>S007</v>
      </c>
      <c r="B3621" s="35">
        <f>Demand!B3619</f>
        <v>46277.0</v>
      </c>
      <c r="C3621" s="33">
        <f>Demand!C3619</f>
        <v>9</v>
      </c>
      <c r="D3621" s="33">
        <f>Demand!E3619</f>
        <v>24</v>
      </c>
      <c r="E3621" s="33">
        <f>IF(Demand!F3619,1,0)</f>
        <v>0</v>
      </c>
      <c r="F3621" s="33">
        <f>COUNTIFS(c_store,A3621,c_date,B3621,c_hour,C3621)</f>
        <v>0</v>
      </c>
      <c r="G3621" s="33">
        <f>IF(F3621&gt;0,1,0)</f>
        <v>0</v>
      </c>
      <c r="H3621" s="33">
        <f>COUNTIFS(Demand!$A$2:$A$4481,A3621,Demand!$B$2:$B$4481,B3621,Demand!$C$2:$C$4481,C3621)</f>
        <v>1</v>
      </c>
    </row>
    <row r="3622">
      <c r="A3622" s="32" t="str">
        <f>Demand!A3620</f>
        <v>S007</v>
      </c>
      <c r="B3622" s="35">
        <f>Demand!B3620</f>
        <v>46277.0</v>
      </c>
      <c r="C3622" s="33">
        <f>Demand!C3620</f>
        <v>10</v>
      </c>
      <c r="D3622" s="33">
        <f>Demand!E3620</f>
        <v>25</v>
      </c>
      <c r="E3622" s="33">
        <f>IF(Demand!F3620,1,0)</f>
        <v>0</v>
      </c>
      <c r="F3622" s="33">
        <f>COUNTIFS(c_store,A3622,c_date,B3622,c_hour,C3622)</f>
        <v>0</v>
      </c>
      <c r="G3622" s="33">
        <f>IF(F3622&gt;0,1,0)</f>
        <v>0</v>
      </c>
      <c r="H3622" s="33">
        <f>COUNTIFS(Demand!$A$2:$A$4481,A3622,Demand!$B$2:$B$4481,B3622,Demand!$C$2:$C$4481,C3622)</f>
        <v>1</v>
      </c>
    </row>
    <row r="3623">
      <c r="A3623" s="32" t="str">
        <f>Demand!A3621</f>
        <v>S007</v>
      </c>
      <c r="B3623" s="35">
        <f>Demand!B3621</f>
        <v>46277.0</v>
      </c>
      <c r="C3623" s="33">
        <f>Demand!C3621</f>
        <v>11</v>
      </c>
      <c r="D3623" s="33">
        <f>Demand!E3621</f>
        <v>49</v>
      </c>
      <c r="E3623" s="33">
        <f>IF(Demand!F3621,1,0)</f>
        <v>0</v>
      </c>
      <c r="F3623" s="33">
        <f>COUNTIFS(c_store,A3623,c_date,B3623,c_hour,C3623)</f>
        <v>0</v>
      </c>
      <c r="G3623" s="33">
        <f>IF(F3623&gt;0,1,0)</f>
        <v>0</v>
      </c>
      <c r="H3623" s="33">
        <f>COUNTIFS(Demand!$A$2:$A$4481,A3623,Demand!$B$2:$B$4481,B3623,Demand!$C$2:$C$4481,C3623)</f>
        <v>1</v>
      </c>
    </row>
    <row r="3624">
      <c r="A3624" s="32" t="str">
        <f>Demand!A3622</f>
        <v>S007</v>
      </c>
      <c r="B3624" s="35">
        <f>Demand!B3622</f>
        <v>46277.0</v>
      </c>
      <c r="C3624" s="33">
        <f>Demand!C3622</f>
        <v>12</v>
      </c>
      <c r="D3624" s="33">
        <f>Demand!E3622</f>
        <v>47</v>
      </c>
      <c r="E3624" s="33">
        <f>IF(Demand!F3622,1,0)</f>
        <v>0</v>
      </c>
      <c r="F3624" s="33">
        <f>COUNTIFS(c_store,A3624,c_date,B3624,c_hour,C3624)</f>
        <v>1</v>
      </c>
      <c r="G3624" s="33">
        <f>IF(F3624&gt;0,1,0)</f>
        <v>1</v>
      </c>
      <c r="H3624" s="33">
        <f>COUNTIFS(Demand!$A$2:$A$4481,A3624,Demand!$B$2:$B$4481,B3624,Demand!$C$2:$C$4481,C3624)</f>
        <v>1</v>
      </c>
    </row>
    <row r="3625">
      <c r="A3625" s="32" t="str">
        <f>Demand!A3623</f>
        <v>S007</v>
      </c>
      <c r="B3625" s="35">
        <f>Demand!B3623</f>
        <v>46277.0</v>
      </c>
      <c r="C3625" s="33">
        <f>Demand!C3623</f>
        <v>13</v>
      </c>
      <c r="D3625" s="33">
        <f>Demand!E3623</f>
        <v>39</v>
      </c>
      <c r="E3625" s="33">
        <f>IF(Demand!F3623,1,0)</f>
        <v>0</v>
      </c>
      <c r="F3625" s="33">
        <f>COUNTIFS(c_store,A3625,c_date,B3625,c_hour,C3625)</f>
        <v>0</v>
      </c>
      <c r="G3625" s="33">
        <f>IF(F3625&gt;0,1,0)</f>
        <v>0</v>
      </c>
      <c r="H3625" s="33">
        <f>COUNTIFS(Demand!$A$2:$A$4481,A3625,Demand!$B$2:$B$4481,B3625,Demand!$C$2:$C$4481,C3625)</f>
        <v>1</v>
      </c>
    </row>
    <row r="3626">
      <c r="A3626" s="32" t="str">
        <f>Demand!A3624</f>
        <v>S007</v>
      </c>
      <c r="B3626" s="35">
        <f>Demand!B3624</f>
        <v>46277.0</v>
      </c>
      <c r="C3626" s="33">
        <f>Demand!C3624</f>
        <v>14</v>
      </c>
      <c r="D3626" s="33">
        <f>Demand!E3624</f>
        <v>33</v>
      </c>
      <c r="E3626" s="33">
        <f>IF(Demand!F3624,1,0)</f>
        <v>0</v>
      </c>
      <c r="F3626" s="33">
        <f>COUNTIFS(c_store,A3626,c_date,B3626,c_hour,C3626)</f>
        <v>0</v>
      </c>
      <c r="G3626" s="33">
        <f>IF(F3626&gt;0,1,0)</f>
        <v>0</v>
      </c>
      <c r="H3626" s="33">
        <f>COUNTIFS(Demand!$A$2:$A$4481,A3626,Demand!$B$2:$B$4481,B3626,Demand!$C$2:$C$4481,C3626)</f>
        <v>1</v>
      </c>
    </row>
    <row r="3627">
      <c r="A3627" s="32" t="str">
        <f>Demand!A3625</f>
        <v>S007</v>
      </c>
      <c r="B3627" s="35">
        <f>Demand!B3625</f>
        <v>46277.0</v>
      </c>
      <c r="C3627" s="33">
        <f>Demand!C3625</f>
        <v>15</v>
      </c>
      <c r="D3627" s="33">
        <f>Demand!E3625</f>
        <v>26</v>
      </c>
      <c r="E3627" s="33">
        <f>IF(Demand!F3625,1,0)</f>
        <v>0</v>
      </c>
      <c r="F3627" s="33">
        <f>COUNTIFS(c_store,A3627,c_date,B3627,c_hour,C3627)</f>
        <v>0</v>
      </c>
      <c r="G3627" s="33">
        <f>IF(F3627&gt;0,1,0)</f>
        <v>0</v>
      </c>
      <c r="H3627" s="33">
        <f>COUNTIFS(Demand!$A$2:$A$4481,A3627,Demand!$B$2:$B$4481,B3627,Demand!$C$2:$C$4481,C3627)</f>
        <v>1</v>
      </c>
    </row>
    <row r="3628">
      <c r="A3628" s="32" t="str">
        <f>Demand!A3626</f>
        <v>S007</v>
      </c>
      <c r="B3628" s="35">
        <f>Demand!B3626</f>
        <v>46277.0</v>
      </c>
      <c r="C3628" s="33">
        <f>Demand!C3626</f>
        <v>16</v>
      </c>
      <c r="D3628" s="33">
        <f>Demand!E3626</f>
        <v>44</v>
      </c>
      <c r="E3628" s="33">
        <f>IF(Demand!F3626,1,0)</f>
        <v>0</v>
      </c>
      <c r="F3628" s="33">
        <f>COUNTIFS(c_store,A3628,c_date,B3628,c_hour,C3628)</f>
        <v>0</v>
      </c>
      <c r="G3628" s="33">
        <f>IF(F3628&gt;0,1,0)</f>
        <v>0</v>
      </c>
      <c r="H3628" s="33">
        <f>COUNTIFS(Demand!$A$2:$A$4481,A3628,Demand!$B$2:$B$4481,B3628,Demand!$C$2:$C$4481,C3628)</f>
        <v>1</v>
      </c>
    </row>
    <row r="3629">
      <c r="A3629" s="32" t="str">
        <f>Demand!A3627</f>
        <v>S007</v>
      </c>
      <c r="B3629" s="35">
        <f>Demand!B3627</f>
        <v>46277.0</v>
      </c>
      <c r="C3629" s="33">
        <f>Demand!C3627</f>
        <v>17</v>
      </c>
      <c r="D3629" s="33">
        <f>Demand!E3627</f>
        <v>37</v>
      </c>
      <c r="E3629" s="33">
        <f>IF(Demand!F3627,1,0)</f>
        <v>0</v>
      </c>
      <c r="F3629" s="33">
        <f>COUNTIFS(c_store,A3629,c_date,B3629,c_hour,C3629)</f>
        <v>0</v>
      </c>
      <c r="G3629" s="33">
        <f>IF(F3629&gt;0,1,0)</f>
        <v>0</v>
      </c>
      <c r="H3629" s="33">
        <f>COUNTIFS(Demand!$A$2:$A$4481,A3629,Demand!$B$2:$B$4481,B3629,Demand!$C$2:$C$4481,C3629)</f>
        <v>1</v>
      </c>
    </row>
    <row r="3630">
      <c r="A3630" s="32" t="str">
        <f>Demand!A3628</f>
        <v>S007</v>
      </c>
      <c r="B3630" s="35">
        <f>Demand!B3628</f>
        <v>46277.0</v>
      </c>
      <c r="C3630" s="33">
        <f>Demand!C3628</f>
        <v>18</v>
      </c>
      <c r="D3630" s="33">
        <f>Demand!E3628</f>
        <v>37</v>
      </c>
      <c r="E3630" s="33">
        <f>IF(Demand!F3628,1,0)</f>
        <v>0</v>
      </c>
      <c r="F3630" s="33">
        <f>COUNTIFS(c_store,A3630,c_date,B3630,c_hour,C3630)</f>
        <v>0</v>
      </c>
      <c r="G3630" s="33">
        <f>IF(F3630&gt;0,1,0)</f>
        <v>0</v>
      </c>
      <c r="H3630" s="33">
        <f>COUNTIFS(Demand!$A$2:$A$4481,A3630,Demand!$B$2:$B$4481,B3630,Demand!$C$2:$C$4481,C3630)</f>
        <v>1</v>
      </c>
    </row>
    <row r="3631">
      <c r="A3631" s="32" t="str">
        <f>Demand!A3629</f>
        <v>S007</v>
      </c>
      <c r="B3631" s="35">
        <f>Demand!B3629</f>
        <v>46277.0</v>
      </c>
      <c r="C3631" s="33">
        <f>Demand!C3629</f>
        <v>19</v>
      </c>
      <c r="D3631" s="33">
        <f>Demand!E3629</f>
        <v>50</v>
      </c>
      <c r="E3631" s="33">
        <f>IF(Demand!F3629,1,0)</f>
        <v>1</v>
      </c>
      <c r="F3631" s="33">
        <f>COUNTIFS(c_store,A3631,c_date,B3631,c_hour,C3631)</f>
        <v>0</v>
      </c>
      <c r="G3631" s="33">
        <f>IF(F3631&gt;0,1,0)</f>
        <v>0</v>
      </c>
      <c r="H3631" s="33">
        <f>COUNTIFS(Demand!$A$2:$A$4481,A3631,Demand!$B$2:$B$4481,B3631,Demand!$C$2:$C$4481,C3631)</f>
        <v>1</v>
      </c>
    </row>
    <row r="3632">
      <c r="A3632" s="32" t="str">
        <f>Demand!A3630</f>
        <v>S007</v>
      </c>
      <c r="B3632" s="35">
        <f>Demand!B3630</f>
        <v>46277.0</v>
      </c>
      <c r="C3632" s="33">
        <f>Demand!C3630</f>
        <v>20</v>
      </c>
      <c r="D3632" s="33">
        <f>Demand!E3630</f>
        <v>66</v>
      </c>
      <c r="E3632" s="33">
        <f>IF(Demand!F3630,1,0)</f>
        <v>1</v>
      </c>
      <c r="F3632" s="33">
        <f>COUNTIFS(c_store,A3632,c_date,B3632,c_hour,C3632)</f>
        <v>1</v>
      </c>
      <c r="G3632" s="33">
        <f>IF(F3632&gt;0,1,0)</f>
        <v>1</v>
      </c>
      <c r="H3632" s="33">
        <f>COUNTIFS(Demand!$A$2:$A$4481,A3632,Demand!$B$2:$B$4481,B3632,Demand!$C$2:$C$4481,C3632)</f>
        <v>1</v>
      </c>
    </row>
    <row r="3633">
      <c r="A3633" s="32" t="str">
        <f>Demand!A3631</f>
        <v>S007</v>
      </c>
      <c r="B3633" s="35">
        <f>Demand!B3631</f>
        <v>46277.0</v>
      </c>
      <c r="C3633" s="33">
        <f>Demand!C3631</f>
        <v>21</v>
      </c>
      <c r="D3633" s="33">
        <f>Demand!E3631</f>
        <v>55</v>
      </c>
      <c r="E3633" s="33">
        <f>IF(Demand!F3631,1,0)</f>
        <v>1</v>
      </c>
      <c r="F3633" s="33">
        <f>COUNTIFS(c_store,A3633,c_date,B3633,c_hour,C3633)</f>
        <v>0</v>
      </c>
      <c r="G3633" s="33">
        <f>IF(F3633&gt;0,1,0)</f>
        <v>0</v>
      </c>
      <c r="H3633" s="33">
        <f>COUNTIFS(Demand!$A$2:$A$4481,A3633,Demand!$B$2:$B$4481,B3633,Demand!$C$2:$C$4481,C3633)</f>
        <v>1</v>
      </c>
    </row>
    <row r="3634">
      <c r="A3634" s="32" t="str">
        <f>Demand!A3632</f>
        <v>S007</v>
      </c>
      <c r="B3634" s="35">
        <f>Demand!B3632</f>
        <v>46277.0</v>
      </c>
      <c r="C3634" s="33">
        <f>Demand!C3632</f>
        <v>22</v>
      </c>
      <c r="D3634" s="33">
        <f>Demand!E3632</f>
        <v>37</v>
      </c>
      <c r="E3634" s="33">
        <f>IF(Demand!F3632,1,0)</f>
        <v>0</v>
      </c>
      <c r="F3634" s="33">
        <f>COUNTIFS(c_store,A3634,c_date,B3634,c_hour,C3634)</f>
        <v>0</v>
      </c>
      <c r="G3634" s="33">
        <f>IF(F3634&gt;0,1,0)</f>
        <v>0</v>
      </c>
      <c r="H3634" s="33">
        <f>COUNTIFS(Demand!$A$2:$A$4481,A3634,Demand!$B$2:$B$4481,B3634,Demand!$C$2:$C$4481,C3634)</f>
        <v>1</v>
      </c>
    </row>
    <row r="3635">
      <c r="A3635" s="32" t="str">
        <f>Demand!A3633</f>
        <v>S007</v>
      </c>
      <c r="B3635" s="35">
        <f>Demand!B3633</f>
        <v>46277.0</v>
      </c>
      <c r="C3635" s="33">
        <f>Demand!C3633</f>
        <v>23</v>
      </c>
      <c r="D3635" s="33">
        <f>Demand!E3633</f>
        <v>34</v>
      </c>
      <c r="E3635" s="33">
        <f>IF(Demand!F3633,1,0)</f>
        <v>0</v>
      </c>
      <c r="F3635" s="33">
        <f>COUNTIFS(c_store,A3635,c_date,B3635,c_hour,C3635)</f>
        <v>0</v>
      </c>
      <c r="G3635" s="33">
        <f>IF(F3635&gt;0,1,0)</f>
        <v>0</v>
      </c>
      <c r="H3635" s="33">
        <f>COUNTIFS(Demand!$A$2:$A$4481,A3635,Demand!$B$2:$B$4481,B3635,Demand!$C$2:$C$4481,C3635)</f>
        <v>1</v>
      </c>
    </row>
    <row r="3636">
      <c r="A3636" s="32" t="str">
        <f>Demand!A3634</f>
        <v>S008</v>
      </c>
      <c r="B3636" s="35">
        <f>Demand!B3634</f>
        <v>46277.0</v>
      </c>
      <c r="C3636" s="33">
        <f>Demand!C3634</f>
        <v>8</v>
      </c>
      <c r="D3636" s="33">
        <f>Demand!E3634</f>
        <v>21</v>
      </c>
      <c r="E3636" s="33">
        <f>IF(Demand!F3634,1,0)</f>
        <v>0</v>
      </c>
      <c r="F3636" s="33">
        <f>COUNTIFS(c_store,A3636,c_date,B3636,c_hour,C3636)</f>
        <v>0</v>
      </c>
      <c r="G3636" s="33">
        <f>IF(F3636&gt;0,1,0)</f>
        <v>0</v>
      </c>
      <c r="H3636" s="33">
        <f>COUNTIFS(Demand!$A$2:$A$4481,A3636,Demand!$B$2:$B$4481,B3636,Demand!$C$2:$C$4481,C3636)</f>
        <v>1</v>
      </c>
    </row>
    <row r="3637">
      <c r="A3637" s="32" t="str">
        <f>Demand!A3635</f>
        <v>S008</v>
      </c>
      <c r="B3637" s="35">
        <f>Demand!B3635</f>
        <v>46277.0</v>
      </c>
      <c r="C3637" s="33">
        <f>Demand!C3635</f>
        <v>9</v>
      </c>
      <c r="D3637" s="33">
        <f>Demand!E3635</f>
        <v>18</v>
      </c>
      <c r="E3637" s="33">
        <f>IF(Demand!F3635,1,0)</f>
        <v>0</v>
      </c>
      <c r="F3637" s="33">
        <f>COUNTIFS(c_store,A3637,c_date,B3637,c_hour,C3637)</f>
        <v>2</v>
      </c>
      <c r="G3637" s="33">
        <f>IF(F3637&gt;0,1,0)</f>
        <v>1</v>
      </c>
      <c r="H3637" s="33">
        <f>COUNTIFS(Demand!$A$2:$A$4481,A3637,Demand!$B$2:$B$4481,B3637,Demand!$C$2:$C$4481,C3637)</f>
        <v>1</v>
      </c>
    </row>
    <row r="3638">
      <c r="A3638" s="32" t="str">
        <f>Demand!A3636</f>
        <v>S008</v>
      </c>
      <c r="B3638" s="35">
        <f>Demand!B3636</f>
        <v>46277.0</v>
      </c>
      <c r="C3638" s="33">
        <f>Demand!C3636</f>
        <v>10</v>
      </c>
      <c r="D3638" s="33">
        <f>Demand!E3636</f>
        <v>23</v>
      </c>
      <c r="E3638" s="33">
        <f>IF(Demand!F3636,1,0)</f>
        <v>0</v>
      </c>
      <c r="F3638" s="33">
        <f>COUNTIFS(c_store,A3638,c_date,B3638,c_hour,C3638)</f>
        <v>1</v>
      </c>
      <c r="G3638" s="33">
        <f>IF(F3638&gt;0,1,0)</f>
        <v>1</v>
      </c>
      <c r="H3638" s="33">
        <f>COUNTIFS(Demand!$A$2:$A$4481,A3638,Demand!$B$2:$B$4481,B3638,Demand!$C$2:$C$4481,C3638)</f>
        <v>1</v>
      </c>
    </row>
    <row r="3639">
      <c r="A3639" s="32" t="str">
        <f>Demand!A3637</f>
        <v>S008</v>
      </c>
      <c r="B3639" s="35">
        <f>Demand!B3637</f>
        <v>46277.0</v>
      </c>
      <c r="C3639" s="33">
        <f>Demand!C3637</f>
        <v>11</v>
      </c>
      <c r="D3639" s="33">
        <f>Demand!E3637</f>
        <v>34</v>
      </c>
      <c r="E3639" s="33">
        <f>IF(Demand!F3637,1,0)</f>
        <v>0</v>
      </c>
      <c r="F3639" s="33">
        <f>COUNTIFS(c_store,A3639,c_date,B3639,c_hour,C3639)</f>
        <v>0</v>
      </c>
      <c r="G3639" s="33">
        <f>IF(F3639&gt;0,1,0)</f>
        <v>0</v>
      </c>
      <c r="H3639" s="33">
        <f>COUNTIFS(Demand!$A$2:$A$4481,A3639,Demand!$B$2:$B$4481,B3639,Demand!$C$2:$C$4481,C3639)</f>
        <v>1</v>
      </c>
    </row>
    <row r="3640">
      <c r="A3640" s="32" t="str">
        <f>Demand!A3638</f>
        <v>S008</v>
      </c>
      <c r="B3640" s="35">
        <f>Demand!B3638</f>
        <v>46277.0</v>
      </c>
      <c r="C3640" s="33">
        <f>Demand!C3638</f>
        <v>12</v>
      </c>
      <c r="D3640" s="33">
        <f>Demand!E3638</f>
        <v>12</v>
      </c>
      <c r="E3640" s="33">
        <f>IF(Demand!F3638,1,0)</f>
        <v>0</v>
      </c>
      <c r="F3640" s="33">
        <f>COUNTIFS(c_store,A3640,c_date,B3640,c_hour,C3640)</f>
        <v>0</v>
      </c>
      <c r="G3640" s="33">
        <f>IF(F3640&gt;0,1,0)</f>
        <v>0</v>
      </c>
      <c r="H3640" s="33">
        <f>COUNTIFS(Demand!$A$2:$A$4481,A3640,Demand!$B$2:$B$4481,B3640,Demand!$C$2:$C$4481,C3640)</f>
        <v>1</v>
      </c>
    </row>
    <row r="3641">
      <c r="A3641" s="32" t="str">
        <f>Demand!A3639</f>
        <v>S008</v>
      </c>
      <c r="B3641" s="35">
        <f>Demand!B3639</f>
        <v>46277.0</v>
      </c>
      <c r="C3641" s="33">
        <f>Demand!C3639</f>
        <v>13</v>
      </c>
      <c r="D3641" s="33">
        <f>Demand!E3639</f>
        <v>25</v>
      </c>
      <c r="E3641" s="33">
        <f>IF(Demand!F3639,1,0)</f>
        <v>0</v>
      </c>
      <c r="F3641" s="33">
        <f>COUNTIFS(c_store,A3641,c_date,B3641,c_hour,C3641)</f>
        <v>0</v>
      </c>
      <c r="G3641" s="33">
        <f>IF(F3641&gt;0,1,0)</f>
        <v>0</v>
      </c>
      <c r="H3641" s="33">
        <f>COUNTIFS(Demand!$A$2:$A$4481,A3641,Demand!$B$2:$B$4481,B3641,Demand!$C$2:$C$4481,C3641)</f>
        <v>1</v>
      </c>
    </row>
    <row r="3642">
      <c r="A3642" s="32" t="str">
        <f>Demand!A3640</f>
        <v>S008</v>
      </c>
      <c r="B3642" s="35">
        <f>Demand!B3640</f>
        <v>46277.0</v>
      </c>
      <c r="C3642" s="33">
        <f>Demand!C3640</f>
        <v>14</v>
      </c>
      <c r="D3642" s="33">
        <f>Demand!E3640</f>
        <v>18</v>
      </c>
      <c r="E3642" s="33">
        <f>IF(Demand!F3640,1,0)</f>
        <v>0</v>
      </c>
      <c r="F3642" s="33">
        <f>COUNTIFS(c_store,A3642,c_date,B3642,c_hour,C3642)</f>
        <v>0</v>
      </c>
      <c r="G3642" s="33">
        <f>IF(F3642&gt;0,1,0)</f>
        <v>0</v>
      </c>
      <c r="H3642" s="33">
        <f>COUNTIFS(Demand!$A$2:$A$4481,A3642,Demand!$B$2:$B$4481,B3642,Demand!$C$2:$C$4481,C3642)</f>
        <v>1</v>
      </c>
    </row>
    <row r="3643">
      <c r="A3643" s="32" t="str">
        <f>Demand!A3641</f>
        <v>S008</v>
      </c>
      <c r="B3643" s="35">
        <f>Demand!B3641</f>
        <v>46277.0</v>
      </c>
      <c r="C3643" s="33">
        <f>Demand!C3641</f>
        <v>15</v>
      </c>
      <c r="D3643" s="33">
        <f>Demand!E3641</f>
        <v>15</v>
      </c>
      <c r="E3643" s="33">
        <f>IF(Demand!F3641,1,0)</f>
        <v>0</v>
      </c>
      <c r="F3643" s="33">
        <f>COUNTIFS(c_store,A3643,c_date,B3643,c_hour,C3643)</f>
        <v>0</v>
      </c>
      <c r="G3643" s="33">
        <f>IF(F3643&gt;0,1,0)</f>
        <v>0</v>
      </c>
      <c r="H3643" s="33">
        <f>COUNTIFS(Demand!$A$2:$A$4481,A3643,Demand!$B$2:$B$4481,B3643,Demand!$C$2:$C$4481,C3643)</f>
        <v>1</v>
      </c>
    </row>
    <row r="3644">
      <c r="A3644" s="32" t="str">
        <f>Demand!A3642</f>
        <v>S008</v>
      </c>
      <c r="B3644" s="35">
        <f>Demand!B3642</f>
        <v>46277.0</v>
      </c>
      <c r="C3644" s="33">
        <f>Demand!C3642</f>
        <v>16</v>
      </c>
      <c r="D3644" s="33">
        <f>Demand!E3642</f>
        <v>29</v>
      </c>
      <c r="E3644" s="33">
        <f>IF(Demand!F3642,1,0)</f>
        <v>0</v>
      </c>
      <c r="F3644" s="33">
        <f>COUNTIFS(c_store,A3644,c_date,B3644,c_hour,C3644)</f>
        <v>0</v>
      </c>
      <c r="G3644" s="33">
        <f>IF(F3644&gt;0,1,0)</f>
        <v>0</v>
      </c>
      <c r="H3644" s="33">
        <f>COUNTIFS(Demand!$A$2:$A$4481,A3644,Demand!$B$2:$B$4481,B3644,Demand!$C$2:$C$4481,C3644)</f>
        <v>1</v>
      </c>
    </row>
    <row r="3645">
      <c r="A3645" s="32" t="str">
        <f>Demand!A3643</f>
        <v>S008</v>
      </c>
      <c r="B3645" s="35">
        <f>Demand!B3643</f>
        <v>46277.0</v>
      </c>
      <c r="C3645" s="33">
        <f>Demand!C3643</f>
        <v>17</v>
      </c>
      <c r="D3645" s="33">
        <f>Demand!E3643</f>
        <v>34</v>
      </c>
      <c r="E3645" s="33">
        <f>IF(Demand!F3643,1,0)</f>
        <v>0</v>
      </c>
      <c r="F3645" s="33">
        <f>COUNTIFS(c_store,A3645,c_date,B3645,c_hour,C3645)</f>
        <v>1</v>
      </c>
      <c r="G3645" s="33">
        <f>IF(F3645&gt;0,1,0)</f>
        <v>1</v>
      </c>
      <c r="H3645" s="33">
        <f>COUNTIFS(Demand!$A$2:$A$4481,A3645,Demand!$B$2:$B$4481,B3645,Demand!$C$2:$C$4481,C3645)</f>
        <v>1</v>
      </c>
    </row>
    <row r="3646">
      <c r="A3646" s="32" t="str">
        <f>Demand!A3644</f>
        <v>S008</v>
      </c>
      <c r="B3646" s="35">
        <f>Demand!B3644</f>
        <v>46277.0</v>
      </c>
      <c r="C3646" s="33">
        <f>Demand!C3644</f>
        <v>18</v>
      </c>
      <c r="D3646" s="33">
        <f>Demand!E3644</f>
        <v>25</v>
      </c>
      <c r="E3646" s="33">
        <f>IF(Demand!F3644,1,0)</f>
        <v>0</v>
      </c>
      <c r="F3646" s="33">
        <f>COUNTIFS(c_store,A3646,c_date,B3646,c_hour,C3646)</f>
        <v>0</v>
      </c>
      <c r="G3646" s="33">
        <f>IF(F3646&gt;0,1,0)</f>
        <v>0</v>
      </c>
      <c r="H3646" s="33">
        <f>COUNTIFS(Demand!$A$2:$A$4481,A3646,Demand!$B$2:$B$4481,B3646,Demand!$C$2:$C$4481,C3646)</f>
        <v>1</v>
      </c>
    </row>
    <row r="3647">
      <c r="A3647" s="32" t="str">
        <f>Demand!A3645</f>
        <v>S008</v>
      </c>
      <c r="B3647" s="35">
        <f>Demand!B3645</f>
        <v>46277.0</v>
      </c>
      <c r="C3647" s="33">
        <f>Demand!C3645</f>
        <v>19</v>
      </c>
      <c r="D3647" s="33">
        <f>Demand!E3645</f>
        <v>42</v>
      </c>
      <c r="E3647" s="33">
        <f>IF(Demand!F3645,1,0)</f>
        <v>1</v>
      </c>
      <c r="F3647" s="33">
        <f>COUNTIFS(c_store,A3647,c_date,B3647,c_hour,C3647)</f>
        <v>1</v>
      </c>
      <c r="G3647" s="33">
        <f>IF(F3647&gt;0,1,0)</f>
        <v>1</v>
      </c>
      <c r="H3647" s="33">
        <f>COUNTIFS(Demand!$A$2:$A$4481,A3647,Demand!$B$2:$B$4481,B3647,Demand!$C$2:$C$4481,C3647)</f>
        <v>1</v>
      </c>
    </row>
    <row r="3648">
      <c r="A3648" s="32" t="str">
        <f>Demand!A3646</f>
        <v>S008</v>
      </c>
      <c r="B3648" s="35">
        <f>Demand!B3646</f>
        <v>46277.0</v>
      </c>
      <c r="C3648" s="33">
        <f>Demand!C3646</f>
        <v>20</v>
      </c>
      <c r="D3648" s="33">
        <f>Demand!E3646</f>
        <v>36</v>
      </c>
      <c r="E3648" s="33">
        <f>IF(Demand!F3646,1,0)</f>
        <v>1</v>
      </c>
      <c r="F3648" s="33">
        <f>COUNTIFS(c_store,A3648,c_date,B3648,c_hour,C3648)</f>
        <v>3</v>
      </c>
      <c r="G3648" s="33">
        <f>IF(F3648&gt;0,1,0)</f>
        <v>1</v>
      </c>
      <c r="H3648" s="33">
        <f>COUNTIFS(Demand!$A$2:$A$4481,A3648,Demand!$B$2:$B$4481,B3648,Demand!$C$2:$C$4481,C3648)</f>
        <v>1</v>
      </c>
    </row>
    <row r="3649">
      <c r="A3649" s="32" t="str">
        <f>Demand!A3647</f>
        <v>S008</v>
      </c>
      <c r="B3649" s="35">
        <f>Demand!B3647</f>
        <v>46277.0</v>
      </c>
      <c r="C3649" s="33">
        <f>Demand!C3647</f>
        <v>21</v>
      </c>
      <c r="D3649" s="33">
        <f>Demand!E3647</f>
        <v>37</v>
      </c>
      <c r="E3649" s="33">
        <f>IF(Demand!F3647,1,0)</f>
        <v>1</v>
      </c>
      <c r="F3649" s="33">
        <f>COUNTIFS(c_store,A3649,c_date,B3649,c_hour,C3649)</f>
        <v>0</v>
      </c>
      <c r="G3649" s="33">
        <f>IF(F3649&gt;0,1,0)</f>
        <v>0</v>
      </c>
      <c r="H3649" s="33">
        <f>COUNTIFS(Demand!$A$2:$A$4481,A3649,Demand!$B$2:$B$4481,B3649,Demand!$C$2:$C$4481,C3649)</f>
        <v>1</v>
      </c>
    </row>
    <row r="3650">
      <c r="A3650" s="32" t="str">
        <f>Demand!A3648</f>
        <v>S008</v>
      </c>
      <c r="B3650" s="35">
        <f>Demand!B3648</f>
        <v>46277.0</v>
      </c>
      <c r="C3650" s="33">
        <f>Demand!C3648</f>
        <v>22</v>
      </c>
      <c r="D3650" s="33">
        <f>Demand!E3648</f>
        <v>24</v>
      </c>
      <c r="E3650" s="33">
        <f>IF(Demand!F3648,1,0)</f>
        <v>0</v>
      </c>
      <c r="F3650" s="33">
        <f>COUNTIFS(c_store,A3650,c_date,B3650,c_hour,C3650)</f>
        <v>1</v>
      </c>
      <c r="G3650" s="33">
        <f>IF(F3650&gt;0,1,0)</f>
        <v>1</v>
      </c>
      <c r="H3650" s="33">
        <f>COUNTIFS(Demand!$A$2:$A$4481,A3650,Demand!$B$2:$B$4481,B3650,Demand!$C$2:$C$4481,C3650)</f>
        <v>1</v>
      </c>
    </row>
    <row r="3651">
      <c r="A3651" s="32" t="str">
        <f>Demand!A3649</f>
        <v>S008</v>
      </c>
      <c r="B3651" s="35">
        <f>Demand!B3649</f>
        <v>46277.0</v>
      </c>
      <c r="C3651" s="33">
        <f>Demand!C3649</f>
        <v>23</v>
      </c>
      <c r="D3651" s="33">
        <f>Demand!E3649</f>
        <v>23</v>
      </c>
      <c r="E3651" s="33">
        <f>IF(Demand!F3649,1,0)</f>
        <v>0</v>
      </c>
      <c r="F3651" s="33">
        <f>COUNTIFS(c_store,A3651,c_date,B3651,c_hour,C3651)</f>
        <v>0</v>
      </c>
      <c r="G3651" s="33">
        <f>IF(F3651&gt;0,1,0)</f>
        <v>0</v>
      </c>
      <c r="H3651" s="33">
        <f>COUNTIFS(Demand!$A$2:$A$4481,A3651,Demand!$B$2:$B$4481,B3651,Demand!$C$2:$C$4481,C3651)</f>
        <v>1</v>
      </c>
    </row>
    <row r="3652">
      <c r="A3652" s="32" t="str">
        <f>Demand!A3650</f>
        <v>S009</v>
      </c>
      <c r="B3652" s="35">
        <f>Demand!B3650</f>
        <v>46277.0</v>
      </c>
      <c r="C3652" s="33">
        <f>Demand!C3650</f>
        <v>8</v>
      </c>
      <c r="D3652" s="33">
        <f>Demand!E3650</f>
        <v>26</v>
      </c>
      <c r="E3652" s="33">
        <f>IF(Demand!F3650,1,0)</f>
        <v>0</v>
      </c>
      <c r="F3652" s="33">
        <f>COUNTIFS(c_store,A3652,c_date,B3652,c_hour,C3652)</f>
        <v>1</v>
      </c>
      <c r="G3652" s="33">
        <f>IF(F3652&gt;0,1,0)</f>
        <v>1</v>
      </c>
      <c r="H3652" s="33">
        <f>COUNTIFS(Demand!$A$2:$A$4481,A3652,Demand!$B$2:$B$4481,B3652,Demand!$C$2:$C$4481,C3652)</f>
        <v>1</v>
      </c>
    </row>
    <row r="3653">
      <c r="A3653" s="32" t="str">
        <f>Demand!A3651</f>
        <v>S009</v>
      </c>
      <c r="B3653" s="35">
        <f>Demand!B3651</f>
        <v>46277.0</v>
      </c>
      <c r="C3653" s="33">
        <f>Demand!C3651</f>
        <v>9</v>
      </c>
      <c r="D3653" s="33">
        <f>Demand!E3651</f>
        <v>23</v>
      </c>
      <c r="E3653" s="33">
        <f>IF(Demand!F3651,1,0)</f>
        <v>0</v>
      </c>
      <c r="F3653" s="33">
        <f>COUNTIFS(c_store,A3653,c_date,B3653,c_hour,C3653)</f>
        <v>1</v>
      </c>
      <c r="G3653" s="33">
        <f>IF(F3653&gt;0,1,0)</f>
        <v>1</v>
      </c>
      <c r="H3653" s="33">
        <f>COUNTIFS(Demand!$A$2:$A$4481,A3653,Demand!$B$2:$B$4481,B3653,Demand!$C$2:$C$4481,C3653)</f>
        <v>1</v>
      </c>
    </row>
    <row r="3654">
      <c r="A3654" s="32" t="str">
        <f>Demand!A3652</f>
        <v>S009</v>
      </c>
      <c r="B3654" s="35">
        <f>Demand!B3652</f>
        <v>46277.0</v>
      </c>
      <c r="C3654" s="33">
        <f>Demand!C3652</f>
        <v>10</v>
      </c>
      <c r="D3654" s="33">
        <f>Demand!E3652</f>
        <v>20</v>
      </c>
      <c r="E3654" s="33">
        <f>IF(Demand!F3652,1,0)</f>
        <v>0</v>
      </c>
      <c r="F3654" s="33">
        <f>COUNTIFS(c_store,A3654,c_date,B3654,c_hour,C3654)</f>
        <v>1</v>
      </c>
      <c r="G3654" s="33">
        <f>IF(F3654&gt;0,1,0)</f>
        <v>1</v>
      </c>
      <c r="H3654" s="33">
        <f>COUNTIFS(Demand!$A$2:$A$4481,A3654,Demand!$B$2:$B$4481,B3654,Demand!$C$2:$C$4481,C3654)</f>
        <v>1</v>
      </c>
    </row>
    <row r="3655">
      <c r="A3655" s="32" t="str">
        <f>Demand!A3653</f>
        <v>S009</v>
      </c>
      <c r="B3655" s="35">
        <f>Demand!B3653</f>
        <v>46277.0</v>
      </c>
      <c r="C3655" s="33">
        <f>Demand!C3653</f>
        <v>11</v>
      </c>
      <c r="D3655" s="33">
        <f>Demand!E3653</f>
        <v>31</v>
      </c>
      <c r="E3655" s="33">
        <f>IF(Demand!F3653,1,0)</f>
        <v>0</v>
      </c>
      <c r="F3655" s="33">
        <f>COUNTIFS(c_store,A3655,c_date,B3655,c_hour,C3655)</f>
        <v>0</v>
      </c>
      <c r="G3655" s="33">
        <f>IF(F3655&gt;0,1,0)</f>
        <v>0</v>
      </c>
      <c r="H3655" s="33">
        <f>COUNTIFS(Demand!$A$2:$A$4481,A3655,Demand!$B$2:$B$4481,B3655,Demand!$C$2:$C$4481,C3655)</f>
        <v>1</v>
      </c>
    </row>
    <row r="3656">
      <c r="A3656" s="32" t="str">
        <f>Demand!A3654</f>
        <v>S009</v>
      </c>
      <c r="B3656" s="35">
        <f>Demand!B3654</f>
        <v>46277.0</v>
      </c>
      <c r="C3656" s="33">
        <f>Demand!C3654</f>
        <v>12</v>
      </c>
      <c r="D3656" s="33">
        <f>Demand!E3654</f>
        <v>25</v>
      </c>
      <c r="E3656" s="33">
        <f>IF(Demand!F3654,1,0)</f>
        <v>0</v>
      </c>
      <c r="F3656" s="33">
        <f>COUNTIFS(c_store,A3656,c_date,B3656,c_hour,C3656)</f>
        <v>1</v>
      </c>
      <c r="G3656" s="33">
        <f>IF(F3656&gt;0,1,0)</f>
        <v>1</v>
      </c>
      <c r="H3656" s="33">
        <f>COUNTIFS(Demand!$A$2:$A$4481,A3656,Demand!$B$2:$B$4481,B3656,Demand!$C$2:$C$4481,C3656)</f>
        <v>1</v>
      </c>
    </row>
    <row r="3657">
      <c r="A3657" s="32" t="str">
        <f>Demand!A3655</f>
        <v>S009</v>
      </c>
      <c r="B3657" s="35">
        <f>Demand!B3655</f>
        <v>46277.0</v>
      </c>
      <c r="C3657" s="33">
        <f>Demand!C3655</f>
        <v>13</v>
      </c>
      <c r="D3657" s="33">
        <f>Demand!E3655</f>
        <v>34</v>
      </c>
      <c r="E3657" s="33">
        <f>IF(Demand!F3655,1,0)</f>
        <v>0</v>
      </c>
      <c r="F3657" s="33">
        <f>COUNTIFS(c_store,A3657,c_date,B3657,c_hour,C3657)</f>
        <v>0</v>
      </c>
      <c r="G3657" s="33">
        <f>IF(F3657&gt;0,1,0)</f>
        <v>0</v>
      </c>
      <c r="H3657" s="33">
        <f>COUNTIFS(Demand!$A$2:$A$4481,A3657,Demand!$B$2:$B$4481,B3657,Demand!$C$2:$C$4481,C3657)</f>
        <v>1</v>
      </c>
    </row>
    <row r="3658">
      <c r="A3658" s="32" t="str">
        <f>Demand!A3656</f>
        <v>S009</v>
      </c>
      <c r="B3658" s="35">
        <f>Demand!B3656</f>
        <v>46277.0</v>
      </c>
      <c r="C3658" s="33">
        <f>Demand!C3656</f>
        <v>14</v>
      </c>
      <c r="D3658" s="33">
        <f>Demand!E3656</f>
        <v>14</v>
      </c>
      <c r="E3658" s="33">
        <f>IF(Demand!F3656,1,0)</f>
        <v>0</v>
      </c>
      <c r="F3658" s="33">
        <f>COUNTIFS(c_store,A3658,c_date,B3658,c_hour,C3658)</f>
        <v>0</v>
      </c>
      <c r="G3658" s="33">
        <f>IF(F3658&gt;0,1,0)</f>
        <v>0</v>
      </c>
      <c r="H3658" s="33">
        <f>COUNTIFS(Demand!$A$2:$A$4481,A3658,Demand!$B$2:$B$4481,B3658,Demand!$C$2:$C$4481,C3658)</f>
        <v>1</v>
      </c>
    </row>
    <row r="3659">
      <c r="A3659" s="32" t="str">
        <f>Demand!A3657</f>
        <v>S009</v>
      </c>
      <c r="B3659" s="35">
        <f>Demand!B3657</f>
        <v>46277.0</v>
      </c>
      <c r="C3659" s="33">
        <f>Demand!C3657</f>
        <v>15</v>
      </c>
      <c r="D3659" s="33">
        <f>Demand!E3657</f>
        <v>29</v>
      </c>
      <c r="E3659" s="33">
        <f>IF(Demand!F3657,1,0)</f>
        <v>0</v>
      </c>
      <c r="F3659" s="33">
        <f>COUNTIFS(c_store,A3659,c_date,B3659,c_hour,C3659)</f>
        <v>3</v>
      </c>
      <c r="G3659" s="33">
        <f>IF(F3659&gt;0,1,0)</f>
        <v>1</v>
      </c>
      <c r="H3659" s="33">
        <f>COUNTIFS(Demand!$A$2:$A$4481,A3659,Demand!$B$2:$B$4481,B3659,Demand!$C$2:$C$4481,C3659)</f>
        <v>1</v>
      </c>
    </row>
    <row r="3660">
      <c r="A3660" s="32" t="str">
        <f>Demand!A3658</f>
        <v>S009</v>
      </c>
      <c r="B3660" s="35">
        <f>Demand!B3658</f>
        <v>46277.0</v>
      </c>
      <c r="C3660" s="33">
        <f>Demand!C3658</f>
        <v>16</v>
      </c>
      <c r="D3660" s="33">
        <f>Demand!E3658</f>
        <v>30</v>
      </c>
      <c r="E3660" s="33">
        <f>IF(Demand!F3658,1,0)</f>
        <v>0</v>
      </c>
      <c r="F3660" s="33">
        <f>COUNTIFS(c_store,A3660,c_date,B3660,c_hour,C3660)</f>
        <v>0</v>
      </c>
      <c r="G3660" s="33">
        <f>IF(F3660&gt;0,1,0)</f>
        <v>0</v>
      </c>
      <c r="H3660" s="33">
        <f>COUNTIFS(Demand!$A$2:$A$4481,A3660,Demand!$B$2:$B$4481,B3660,Demand!$C$2:$C$4481,C3660)</f>
        <v>1</v>
      </c>
    </row>
    <row r="3661">
      <c r="A3661" s="32" t="str">
        <f>Demand!A3659</f>
        <v>S009</v>
      </c>
      <c r="B3661" s="35">
        <f>Demand!B3659</f>
        <v>46277.0</v>
      </c>
      <c r="C3661" s="33">
        <f>Demand!C3659</f>
        <v>17</v>
      </c>
      <c r="D3661" s="33">
        <f>Demand!E3659</f>
        <v>30</v>
      </c>
      <c r="E3661" s="33">
        <f>IF(Demand!F3659,1,0)</f>
        <v>0</v>
      </c>
      <c r="F3661" s="33">
        <f>COUNTIFS(c_store,A3661,c_date,B3661,c_hour,C3661)</f>
        <v>1</v>
      </c>
      <c r="G3661" s="33">
        <f>IF(F3661&gt;0,1,0)</f>
        <v>1</v>
      </c>
      <c r="H3661" s="33">
        <f>COUNTIFS(Demand!$A$2:$A$4481,A3661,Demand!$B$2:$B$4481,B3661,Demand!$C$2:$C$4481,C3661)</f>
        <v>1</v>
      </c>
    </row>
    <row r="3662">
      <c r="A3662" s="32" t="str">
        <f>Demand!A3660</f>
        <v>S009</v>
      </c>
      <c r="B3662" s="35">
        <f>Demand!B3660</f>
        <v>46277.0</v>
      </c>
      <c r="C3662" s="33">
        <f>Demand!C3660</f>
        <v>18</v>
      </c>
      <c r="D3662" s="33">
        <f>Demand!E3660</f>
        <v>37</v>
      </c>
      <c r="E3662" s="33">
        <f>IF(Demand!F3660,1,0)</f>
        <v>0</v>
      </c>
      <c r="F3662" s="33">
        <f>COUNTIFS(c_store,A3662,c_date,B3662,c_hour,C3662)</f>
        <v>0</v>
      </c>
      <c r="G3662" s="33">
        <f>IF(F3662&gt;0,1,0)</f>
        <v>0</v>
      </c>
      <c r="H3662" s="33">
        <f>COUNTIFS(Demand!$A$2:$A$4481,A3662,Demand!$B$2:$B$4481,B3662,Demand!$C$2:$C$4481,C3662)</f>
        <v>1</v>
      </c>
    </row>
    <row r="3663">
      <c r="A3663" s="32" t="str">
        <f>Demand!A3661</f>
        <v>S009</v>
      </c>
      <c r="B3663" s="35">
        <f>Demand!B3661</f>
        <v>46277.0</v>
      </c>
      <c r="C3663" s="33">
        <f>Demand!C3661</f>
        <v>19</v>
      </c>
      <c r="D3663" s="33">
        <f>Demand!E3661</f>
        <v>46</v>
      </c>
      <c r="E3663" s="33">
        <f>IF(Demand!F3661,1,0)</f>
        <v>1</v>
      </c>
      <c r="F3663" s="33">
        <f>COUNTIFS(c_store,A3663,c_date,B3663,c_hour,C3663)</f>
        <v>1</v>
      </c>
      <c r="G3663" s="33">
        <f>IF(F3663&gt;0,1,0)</f>
        <v>1</v>
      </c>
      <c r="H3663" s="33">
        <f>COUNTIFS(Demand!$A$2:$A$4481,A3663,Demand!$B$2:$B$4481,B3663,Demand!$C$2:$C$4481,C3663)</f>
        <v>1</v>
      </c>
    </row>
    <row r="3664">
      <c r="A3664" s="32" t="str">
        <f>Demand!A3662</f>
        <v>S009</v>
      </c>
      <c r="B3664" s="35">
        <f>Demand!B3662</f>
        <v>46277.0</v>
      </c>
      <c r="C3664" s="33">
        <f>Demand!C3662</f>
        <v>20</v>
      </c>
      <c r="D3664" s="33">
        <f>Demand!E3662</f>
        <v>56</v>
      </c>
      <c r="E3664" s="33">
        <f>IF(Demand!F3662,1,0)</f>
        <v>1</v>
      </c>
      <c r="F3664" s="33">
        <f>COUNTIFS(c_store,A3664,c_date,B3664,c_hour,C3664)</f>
        <v>0</v>
      </c>
      <c r="G3664" s="33">
        <f>IF(F3664&gt;0,1,0)</f>
        <v>0</v>
      </c>
      <c r="H3664" s="33">
        <f>COUNTIFS(Demand!$A$2:$A$4481,A3664,Demand!$B$2:$B$4481,B3664,Demand!$C$2:$C$4481,C3664)</f>
        <v>1</v>
      </c>
    </row>
    <row r="3665">
      <c r="A3665" s="32" t="str">
        <f>Demand!A3663</f>
        <v>S009</v>
      </c>
      <c r="B3665" s="35">
        <f>Demand!B3663</f>
        <v>46277.0</v>
      </c>
      <c r="C3665" s="33">
        <f>Demand!C3663</f>
        <v>21</v>
      </c>
      <c r="D3665" s="33">
        <f>Demand!E3663</f>
        <v>52</v>
      </c>
      <c r="E3665" s="33">
        <f>IF(Demand!F3663,1,0)</f>
        <v>1</v>
      </c>
      <c r="F3665" s="33">
        <f>COUNTIFS(c_store,A3665,c_date,B3665,c_hour,C3665)</f>
        <v>0</v>
      </c>
      <c r="G3665" s="33">
        <f>IF(F3665&gt;0,1,0)</f>
        <v>0</v>
      </c>
      <c r="H3665" s="33">
        <f>COUNTIFS(Demand!$A$2:$A$4481,A3665,Demand!$B$2:$B$4481,B3665,Demand!$C$2:$C$4481,C3665)</f>
        <v>1</v>
      </c>
    </row>
    <row r="3666">
      <c r="A3666" s="32" t="str">
        <f>Demand!A3664</f>
        <v>S009</v>
      </c>
      <c r="B3666" s="35">
        <f>Demand!B3664</f>
        <v>46277.0</v>
      </c>
      <c r="C3666" s="33">
        <f>Demand!C3664</f>
        <v>22</v>
      </c>
      <c r="D3666" s="33">
        <f>Demand!E3664</f>
        <v>28</v>
      </c>
      <c r="E3666" s="33">
        <f>IF(Demand!F3664,1,0)</f>
        <v>0</v>
      </c>
      <c r="F3666" s="33">
        <f>COUNTIFS(c_store,A3666,c_date,B3666,c_hour,C3666)</f>
        <v>1</v>
      </c>
      <c r="G3666" s="33">
        <f>IF(F3666&gt;0,1,0)</f>
        <v>1</v>
      </c>
      <c r="H3666" s="33">
        <f>COUNTIFS(Demand!$A$2:$A$4481,A3666,Demand!$B$2:$B$4481,B3666,Demand!$C$2:$C$4481,C3666)</f>
        <v>1</v>
      </c>
    </row>
    <row r="3667">
      <c r="A3667" s="32" t="str">
        <f>Demand!A3665</f>
        <v>S009</v>
      </c>
      <c r="B3667" s="35">
        <f>Demand!B3665</f>
        <v>46277.0</v>
      </c>
      <c r="C3667" s="33">
        <f>Demand!C3665</f>
        <v>23</v>
      </c>
      <c r="D3667" s="33">
        <f>Demand!E3665</f>
        <v>27</v>
      </c>
      <c r="E3667" s="33">
        <f>IF(Demand!F3665,1,0)</f>
        <v>0</v>
      </c>
      <c r="F3667" s="33">
        <f>COUNTIFS(c_store,A3667,c_date,B3667,c_hour,C3667)</f>
        <v>0</v>
      </c>
      <c r="G3667" s="33">
        <f>IF(F3667&gt;0,1,0)</f>
        <v>0</v>
      </c>
      <c r="H3667" s="33">
        <f>COUNTIFS(Demand!$A$2:$A$4481,A3667,Demand!$B$2:$B$4481,B3667,Demand!$C$2:$C$4481,C3667)</f>
        <v>1</v>
      </c>
    </row>
    <row r="3668">
      <c r="A3668" s="32" t="str">
        <f>Demand!A3666</f>
        <v>S010</v>
      </c>
      <c r="B3668" s="35">
        <f>Demand!B3666</f>
        <v>46277.0</v>
      </c>
      <c r="C3668" s="33">
        <f>Demand!C3666</f>
        <v>8</v>
      </c>
      <c r="D3668" s="33">
        <f>Demand!E3666</f>
        <v>17</v>
      </c>
      <c r="E3668" s="33">
        <f>IF(Demand!F3666,1,0)</f>
        <v>0</v>
      </c>
      <c r="F3668" s="33">
        <f>COUNTIFS(c_store,A3668,c_date,B3668,c_hour,C3668)</f>
        <v>0</v>
      </c>
      <c r="G3668" s="33">
        <f>IF(F3668&gt;0,1,0)</f>
        <v>0</v>
      </c>
      <c r="H3668" s="33">
        <f>COUNTIFS(Demand!$A$2:$A$4481,A3668,Demand!$B$2:$B$4481,B3668,Demand!$C$2:$C$4481,C3668)</f>
        <v>1</v>
      </c>
    </row>
    <row r="3669">
      <c r="A3669" s="32" t="str">
        <f>Demand!A3667</f>
        <v>S010</v>
      </c>
      <c r="B3669" s="35">
        <f>Demand!B3667</f>
        <v>46277.0</v>
      </c>
      <c r="C3669" s="33">
        <f>Demand!C3667</f>
        <v>9</v>
      </c>
      <c r="D3669" s="33">
        <f>Demand!E3667</f>
        <v>17</v>
      </c>
      <c r="E3669" s="33">
        <f>IF(Demand!F3667,1,0)</f>
        <v>0</v>
      </c>
      <c r="F3669" s="33">
        <f>COUNTIFS(c_store,A3669,c_date,B3669,c_hour,C3669)</f>
        <v>0</v>
      </c>
      <c r="G3669" s="33">
        <f>IF(F3669&gt;0,1,0)</f>
        <v>0</v>
      </c>
      <c r="H3669" s="33">
        <f>COUNTIFS(Demand!$A$2:$A$4481,A3669,Demand!$B$2:$B$4481,B3669,Demand!$C$2:$C$4481,C3669)</f>
        <v>1</v>
      </c>
    </row>
    <row r="3670">
      <c r="A3670" s="32" t="str">
        <f>Demand!A3668</f>
        <v>S010</v>
      </c>
      <c r="B3670" s="35">
        <f>Demand!B3668</f>
        <v>46277.0</v>
      </c>
      <c r="C3670" s="33">
        <f>Demand!C3668</f>
        <v>10</v>
      </c>
      <c r="D3670" s="33">
        <f>Demand!E3668</f>
        <v>14</v>
      </c>
      <c r="E3670" s="33">
        <f>IF(Demand!F3668,1,0)</f>
        <v>0</v>
      </c>
      <c r="F3670" s="33">
        <f>COUNTIFS(c_store,A3670,c_date,B3670,c_hour,C3670)</f>
        <v>0</v>
      </c>
      <c r="G3670" s="33">
        <f>IF(F3670&gt;0,1,0)</f>
        <v>0</v>
      </c>
      <c r="H3670" s="33">
        <f>COUNTIFS(Demand!$A$2:$A$4481,A3670,Demand!$B$2:$B$4481,B3670,Demand!$C$2:$C$4481,C3670)</f>
        <v>1</v>
      </c>
    </row>
    <row r="3671">
      <c r="A3671" s="32" t="str">
        <f>Demand!A3669</f>
        <v>S010</v>
      </c>
      <c r="B3671" s="35">
        <f>Demand!B3669</f>
        <v>46277.0</v>
      </c>
      <c r="C3671" s="33">
        <f>Demand!C3669</f>
        <v>11</v>
      </c>
      <c r="D3671" s="33">
        <f>Demand!E3669</f>
        <v>28</v>
      </c>
      <c r="E3671" s="33">
        <f>IF(Demand!F3669,1,0)</f>
        <v>0</v>
      </c>
      <c r="F3671" s="33">
        <f>COUNTIFS(c_store,A3671,c_date,B3671,c_hour,C3671)</f>
        <v>0</v>
      </c>
      <c r="G3671" s="33">
        <f>IF(F3671&gt;0,1,0)</f>
        <v>0</v>
      </c>
      <c r="H3671" s="33">
        <f>COUNTIFS(Demand!$A$2:$A$4481,A3671,Demand!$B$2:$B$4481,B3671,Demand!$C$2:$C$4481,C3671)</f>
        <v>1</v>
      </c>
    </row>
    <row r="3672">
      <c r="A3672" s="32" t="str">
        <f>Demand!A3670</f>
        <v>S010</v>
      </c>
      <c r="B3672" s="35">
        <f>Demand!B3670</f>
        <v>46277.0</v>
      </c>
      <c r="C3672" s="33">
        <f>Demand!C3670</f>
        <v>12</v>
      </c>
      <c r="D3672" s="33">
        <f>Demand!E3670</f>
        <v>27</v>
      </c>
      <c r="E3672" s="33">
        <f>IF(Demand!F3670,1,0)</f>
        <v>0</v>
      </c>
      <c r="F3672" s="33">
        <f>COUNTIFS(c_store,A3672,c_date,B3672,c_hour,C3672)</f>
        <v>0</v>
      </c>
      <c r="G3672" s="33">
        <f>IF(F3672&gt;0,1,0)</f>
        <v>0</v>
      </c>
      <c r="H3672" s="33">
        <f>COUNTIFS(Demand!$A$2:$A$4481,A3672,Demand!$B$2:$B$4481,B3672,Demand!$C$2:$C$4481,C3672)</f>
        <v>1</v>
      </c>
    </row>
    <row r="3673">
      <c r="A3673" s="32" t="str">
        <f>Demand!A3671</f>
        <v>S010</v>
      </c>
      <c r="B3673" s="35">
        <f>Demand!B3671</f>
        <v>46277.0</v>
      </c>
      <c r="C3673" s="33">
        <f>Demand!C3671</f>
        <v>13</v>
      </c>
      <c r="D3673" s="33">
        <f>Demand!E3671</f>
        <v>27</v>
      </c>
      <c r="E3673" s="33">
        <f>IF(Demand!F3671,1,0)</f>
        <v>0</v>
      </c>
      <c r="F3673" s="33">
        <f>COUNTIFS(c_store,A3673,c_date,B3673,c_hour,C3673)</f>
        <v>0</v>
      </c>
      <c r="G3673" s="33">
        <f>IF(F3673&gt;0,1,0)</f>
        <v>0</v>
      </c>
      <c r="H3673" s="33">
        <f>COUNTIFS(Demand!$A$2:$A$4481,A3673,Demand!$B$2:$B$4481,B3673,Demand!$C$2:$C$4481,C3673)</f>
        <v>1</v>
      </c>
    </row>
    <row r="3674">
      <c r="A3674" s="32" t="str">
        <f>Demand!A3672</f>
        <v>S010</v>
      </c>
      <c r="B3674" s="35">
        <f>Demand!B3672</f>
        <v>46277.0</v>
      </c>
      <c r="C3674" s="33">
        <f>Demand!C3672</f>
        <v>14</v>
      </c>
      <c r="D3674" s="33">
        <f>Demand!E3672</f>
        <v>19</v>
      </c>
      <c r="E3674" s="33">
        <f>IF(Demand!F3672,1,0)</f>
        <v>0</v>
      </c>
      <c r="F3674" s="33">
        <f>COUNTIFS(c_store,A3674,c_date,B3674,c_hour,C3674)</f>
        <v>0</v>
      </c>
      <c r="G3674" s="33">
        <f>IF(F3674&gt;0,1,0)</f>
        <v>0</v>
      </c>
      <c r="H3674" s="33">
        <f>COUNTIFS(Demand!$A$2:$A$4481,A3674,Demand!$B$2:$B$4481,B3674,Demand!$C$2:$C$4481,C3674)</f>
        <v>1</v>
      </c>
    </row>
    <row r="3675">
      <c r="A3675" s="32" t="str">
        <f>Demand!A3673</f>
        <v>S010</v>
      </c>
      <c r="B3675" s="35">
        <f>Demand!B3673</f>
        <v>46277.0</v>
      </c>
      <c r="C3675" s="33">
        <f>Demand!C3673</f>
        <v>15</v>
      </c>
      <c r="D3675" s="33">
        <f>Demand!E3673</f>
        <v>23</v>
      </c>
      <c r="E3675" s="33">
        <f>IF(Demand!F3673,1,0)</f>
        <v>0</v>
      </c>
      <c r="F3675" s="33">
        <f>COUNTIFS(c_store,A3675,c_date,B3675,c_hour,C3675)</f>
        <v>0</v>
      </c>
      <c r="G3675" s="33">
        <f>IF(F3675&gt;0,1,0)</f>
        <v>0</v>
      </c>
      <c r="H3675" s="33">
        <f>COUNTIFS(Demand!$A$2:$A$4481,A3675,Demand!$B$2:$B$4481,B3675,Demand!$C$2:$C$4481,C3675)</f>
        <v>1</v>
      </c>
    </row>
    <row r="3676">
      <c r="A3676" s="32" t="str">
        <f>Demand!A3674</f>
        <v>S010</v>
      </c>
      <c r="B3676" s="35">
        <f>Demand!B3674</f>
        <v>46277.0</v>
      </c>
      <c r="C3676" s="33">
        <f>Demand!C3674</f>
        <v>16</v>
      </c>
      <c r="D3676" s="33">
        <f>Demand!E3674</f>
        <v>23</v>
      </c>
      <c r="E3676" s="33">
        <f>IF(Demand!F3674,1,0)</f>
        <v>0</v>
      </c>
      <c r="F3676" s="33">
        <f>COUNTIFS(c_store,A3676,c_date,B3676,c_hour,C3676)</f>
        <v>0</v>
      </c>
      <c r="G3676" s="33">
        <f>IF(F3676&gt;0,1,0)</f>
        <v>0</v>
      </c>
      <c r="H3676" s="33">
        <f>COUNTIFS(Demand!$A$2:$A$4481,A3676,Demand!$B$2:$B$4481,B3676,Demand!$C$2:$C$4481,C3676)</f>
        <v>1</v>
      </c>
    </row>
    <row r="3677">
      <c r="A3677" s="32" t="str">
        <f>Demand!A3675</f>
        <v>S010</v>
      </c>
      <c r="B3677" s="35">
        <f>Demand!B3675</f>
        <v>46277.0</v>
      </c>
      <c r="C3677" s="33">
        <f>Demand!C3675</f>
        <v>17</v>
      </c>
      <c r="D3677" s="33">
        <f>Demand!E3675</f>
        <v>22</v>
      </c>
      <c r="E3677" s="33">
        <f>IF(Demand!F3675,1,0)</f>
        <v>0</v>
      </c>
      <c r="F3677" s="33">
        <f>COUNTIFS(c_store,A3677,c_date,B3677,c_hour,C3677)</f>
        <v>0</v>
      </c>
      <c r="G3677" s="33">
        <f>IF(F3677&gt;0,1,0)</f>
        <v>0</v>
      </c>
      <c r="H3677" s="33">
        <f>COUNTIFS(Demand!$A$2:$A$4481,A3677,Demand!$B$2:$B$4481,B3677,Demand!$C$2:$C$4481,C3677)</f>
        <v>1</v>
      </c>
    </row>
    <row r="3678">
      <c r="A3678" s="32" t="str">
        <f>Demand!A3676</f>
        <v>S010</v>
      </c>
      <c r="B3678" s="35">
        <f>Demand!B3676</f>
        <v>46277.0</v>
      </c>
      <c r="C3678" s="33">
        <f>Demand!C3676</f>
        <v>18</v>
      </c>
      <c r="D3678" s="33">
        <f>Demand!E3676</f>
        <v>29</v>
      </c>
      <c r="E3678" s="33">
        <f>IF(Demand!F3676,1,0)</f>
        <v>0</v>
      </c>
      <c r="F3678" s="33">
        <f>COUNTIFS(c_store,A3678,c_date,B3678,c_hour,C3678)</f>
        <v>0</v>
      </c>
      <c r="G3678" s="33">
        <f>IF(F3678&gt;0,1,0)</f>
        <v>0</v>
      </c>
      <c r="H3678" s="33">
        <f>COUNTIFS(Demand!$A$2:$A$4481,A3678,Demand!$B$2:$B$4481,B3678,Demand!$C$2:$C$4481,C3678)</f>
        <v>1</v>
      </c>
    </row>
    <row r="3679">
      <c r="A3679" s="32" t="str">
        <f>Demand!A3677</f>
        <v>S010</v>
      </c>
      <c r="B3679" s="35">
        <f>Demand!B3677</f>
        <v>46277.0</v>
      </c>
      <c r="C3679" s="33">
        <f>Demand!C3677</f>
        <v>19</v>
      </c>
      <c r="D3679" s="33">
        <f>Demand!E3677</f>
        <v>33</v>
      </c>
      <c r="E3679" s="33">
        <f>IF(Demand!F3677,1,0)</f>
        <v>1</v>
      </c>
      <c r="F3679" s="33">
        <f>COUNTIFS(c_store,A3679,c_date,B3679,c_hour,C3679)</f>
        <v>0</v>
      </c>
      <c r="G3679" s="33">
        <f>IF(F3679&gt;0,1,0)</f>
        <v>0</v>
      </c>
      <c r="H3679" s="33">
        <f>COUNTIFS(Demand!$A$2:$A$4481,A3679,Demand!$B$2:$B$4481,B3679,Demand!$C$2:$C$4481,C3679)</f>
        <v>1</v>
      </c>
    </row>
    <row r="3680">
      <c r="A3680" s="32" t="str">
        <f>Demand!A3678</f>
        <v>S010</v>
      </c>
      <c r="B3680" s="35">
        <f>Demand!B3678</f>
        <v>46277.0</v>
      </c>
      <c r="C3680" s="33">
        <f>Demand!C3678</f>
        <v>20</v>
      </c>
      <c r="D3680" s="33">
        <f>Demand!E3678</f>
        <v>33</v>
      </c>
      <c r="E3680" s="33">
        <f>IF(Demand!F3678,1,0)</f>
        <v>1</v>
      </c>
      <c r="F3680" s="33">
        <f>COUNTIFS(c_store,A3680,c_date,B3680,c_hour,C3680)</f>
        <v>0</v>
      </c>
      <c r="G3680" s="33">
        <f>IF(F3680&gt;0,1,0)</f>
        <v>0</v>
      </c>
      <c r="H3680" s="33">
        <f>COUNTIFS(Demand!$A$2:$A$4481,A3680,Demand!$B$2:$B$4481,B3680,Demand!$C$2:$C$4481,C3680)</f>
        <v>1</v>
      </c>
    </row>
    <row r="3681">
      <c r="A3681" s="32" t="str">
        <f>Demand!A3679</f>
        <v>S010</v>
      </c>
      <c r="B3681" s="35">
        <f>Demand!B3679</f>
        <v>46277.0</v>
      </c>
      <c r="C3681" s="33">
        <f>Demand!C3679</f>
        <v>21</v>
      </c>
      <c r="D3681" s="33">
        <f>Demand!E3679</f>
        <v>39</v>
      </c>
      <c r="E3681" s="33">
        <f>IF(Demand!F3679,1,0)</f>
        <v>1</v>
      </c>
      <c r="F3681" s="33">
        <f>COUNTIFS(c_store,A3681,c_date,B3681,c_hour,C3681)</f>
        <v>0</v>
      </c>
      <c r="G3681" s="33">
        <f>IF(F3681&gt;0,1,0)</f>
        <v>0</v>
      </c>
      <c r="H3681" s="33">
        <f>COUNTIFS(Demand!$A$2:$A$4481,A3681,Demand!$B$2:$B$4481,B3681,Demand!$C$2:$C$4481,C3681)</f>
        <v>1</v>
      </c>
    </row>
    <row r="3682">
      <c r="A3682" s="32" t="str">
        <f>Demand!A3680</f>
        <v>S010</v>
      </c>
      <c r="B3682" s="35">
        <f>Demand!B3680</f>
        <v>46277.0</v>
      </c>
      <c r="C3682" s="33">
        <f>Demand!C3680</f>
        <v>22</v>
      </c>
      <c r="D3682" s="33">
        <f>Demand!E3680</f>
        <v>26</v>
      </c>
      <c r="E3682" s="33">
        <f>IF(Demand!F3680,1,0)</f>
        <v>0</v>
      </c>
      <c r="F3682" s="33">
        <f>COUNTIFS(c_store,A3682,c_date,B3682,c_hour,C3682)</f>
        <v>1</v>
      </c>
      <c r="G3682" s="33">
        <f>IF(F3682&gt;0,1,0)</f>
        <v>1</v>
      </c>
      <c r="H3682" s="33">
        <f>COUNTIFS(Demand!$A$2:$A$4481,A3682,Demand!$B$2:$B$4481,B3682,Demand!$C$2:$C$4481,C3682)</f>
        <v>1</v>
      </c>
    </row>
    <row r="3683">
      <c r="A3683" s="32" t="str">
        <f>Demand!A3681</f>
        <v>S010</v>
      </c>
      <c r="B3683" s="35">
        <f>Demand!B3681</f>
        <v>46277.0</v>
      </c>
      <c r="C3683" s="33">
        <f>Demand!C3681</f>
        <v>23</v>
      </c>
      <c r="D3683" s="33">
        <f>Demand!E3681</f>
        <v>31</v>
      </c>
      <c r="E3683" s="33">
        <f>IF(Demand!F3681,1,0)</f>
        <v>0</v>
      </c>
      <c r="F3683" s="33">
        <f>COUNTIFS(c_store,A3683,c_date,B3683,c_hour,C3683)</f>
        <v>0</v>
      </c>
      <c r="G3683" s="33">
        <f>IF(F3683&gt;0,1,0)</f>
        <v>0</v>
      </c>
      <c r="H3683" s="33">
        <f>COUNTIFS(Demand!$A$2:$A$4481,A3683,Demand!$B$2:$B$4481,B3683,Demand!$C$2:$C$4481,C3683)</f>
        <v>1</v>
      </c>
    </row>
    <row r="3684">
      <c r="A3684" s="32" t="str">
        <f>Demand!A3682</f>
        <v>S011</v>
      </c>
      <c r="B3684" s="35">
        <f>Demand!B3682</f>
        <v>46277.0</v>
      </c>
      <c r="C3684" s="33">
        <f>Demand!C3682</f>
        <v>8</v>
      </c>
      <c r="D3684" s="33">
        <f>Demand!E3682</f>
        <v>23</v>
      </c>
      <c r="E3684" s="33">
        <f>IF(Demand!F3682,1,0)</f>
        <v>0</v>
      </c>
      <c r="F3684" s="33">
        <f>COUNTIFS(c_store,A3684,c_date,B3684,c_hour,C3684)</f>
        <v>2</v>
      </c>
      <c r="G3684" s="33">
        <f>IF(F3684&gt;0,1,0)</f>
        <v>1</v>
      </c>
      <c r="H3684" s="33">
        <f>COUNTIFS(Demand!$A$2:$A$4481,A3684,Demand!$B$2:$B$4481,B3684,Demand!$C$2:$C$4481,C3684)</f>
        <v>1</v>
      </c>
    </row>
    <row r="3685">
      <c r="A3685" s="32" t="str">
        <f>Demand!A3683</f>
        <v>S011</v>
      </c>
      <c r="B3685" s="35">
        <f>Demand!B3683</f>
        <v>46277.0</v>
      </c>
      <c r="C3685" s="33">
        <f>Demand!C3683</f>
        <v>9</v>
      </c>
      <c r="D3685" s="33">
        <f>Demand!E3683</f>
        <v>23</v>
      </c>
      <c r="E3685" s="33">
        <f>IF(Demand!F3683,1,0)</f>
        <v>0</v>
      </c>
      <c r="F3685" s="33">
        <f>COUNTIFS(c_store,A3685,c_date,B3685,c_hour,C3685)</f>
        <v>0</v>
      </c>
      <c r="G3685" s="33">
        <f>IF(F3685&gt;0,1,0)</f>
        <v>0</v>
      </c>
      <c r="H3685" s="33">
        <f>COUNTIFS(Demand!$A$2:$A$4481,A3685,Demand!$B$2:$B$4481,B3685,Demand!$C$2:$C$4481,C3685)</f>
        <v>1</v>
      </c>
    </row>
    <row r="3686">
      <c r="A3686" s="32" t="str">
        <f>Demand!A3684</f>
        <v>S011</v>
      </c>
      <c r="B3686" s="35">
        <f>Demand!B3684</f>
        <v>46277.0</v>
      </c>
      <c r="C3686" s="33">
        <f>Demand!C3684</f>
        <v>10</v>
      </c>
      <c r="D3686" s="33">
        <f>Demand!E3684</f>
        <v>23</v>
      </c>
      <c r="E3686" s="33">
        <f>IF(Demand!F3684,1,0)</f>
        <v>0</v>
      </c>
      <c r="F3686" s="33">
        <f>COUNTIFS(c_store,A3686,c_date,B3686,c_hour,C3686)</f>
        <v>0</v>
      </c>
      <c r="G3686" s="33">
        <f>IF(F3686&gt;0,1,0)</f>
        <v>0</v>
      </c>
      <c r="H3686" s="33">
        <f>COUNTIFS(Demand!$A$2:$A$4481,A3686,Demand!$B$2:$B$4481,B3686,Demand!$C$2:$C$4481,C3686)</f>
        <v>1</v>
      </c>
    </row>
    <row r="3687">
      <c r="A3687" s="32" t="str">
        <f>Demand!A3685</f>
        <v>S011</v>
      </c>
      <c r="B3687" s="35">
        <f>Demand!B3685</f>
        <v>46277.0</v>
      </c>
      <c r="C3687" s="33">
        <f>Demand!C3685</f>
        <v>11</v>
      </c>
      <c r="D3687" s="33">
        <f>Demand!E3685</f>
        <v>37</v>
      </c>
      <c r="E3687" s="33">
        <f>IF(Demand!F3685,1,0)</f>
        <v>0</v>
      </c>
      <c r="F3687" s="33">
        <f>COUNTIFS(c_store,A3687,c_date,B3687,c_hour,C3687)</f>
        <v>0</v>
      </c>
      <c r="G3687" s="33">
        <f>IF(F3687&gt;0,1,0)</f>
        <v>0</v>
      </c>
      <c r="H3687" s="33">
        <f>COUNTIFS(Demand!$A$2:$A$4481,A3687,Demand!$B$2:$B$4481,B3687,Demand!$C$2:$C$4481,C3687)</f>
        <v>1</v>
      </c>
    </row>
    <row r="3688">
      <c r="A3688" s="32" t="str">
        <f>Demand!A3686</f>
        <v>S011</v>
      </c>
      <c r="B3688" s="35">
        <f>Demand!B3686</f>
        <v>46277.0</v>
      </c>
      <c r="C3688" s="33">
        <f>Demand!C3686</f>
        <v>12</v>
      </c>
      <c r="D3688" s="33">
        <f>Demand!E3686</f>
        <v>38</v>
      </c>
      <c r="E3688" s="33">
        <f>IF(Demand!F3686,1,0)</f>
        <v>0</v>
      </c>
      <c r="F3688" s="33">
        <f>COUNTIFS(c_store,A3688,c_date,B3688,c_hour,C3688)</f>
        <v>1</v>
      </c>
      <c r="G3688" s="33">
        <f>IF(F3688&gt;0,1,0)</f>
        <v>1</v>
      </c>
      <c r="H3688" s="33">
        <f>COUNTIFS(Demand!$A$2:$A$4481,A3688,Demand!$B$2:$B$4481,B3688,Demand!$C$2:$C$4481,C3688)</f>
        <v>1</v>
      </c>
    </row>
    <row r="3689">
      <c r="A3689" s="32" t="str">
        <f>Demand!A3687</f>
        <v>S011</v>
      </c>
      <c r="B3689" s="35">
        <f>Demand!B3687</f>
        <v>46277.0</v>
      </c>
      <c r="C3689" s="33">
        <f>Demand!C3687</f>
        <v>13</v>
      </c>
      <c r="D3689" s="33">
        <f>Demand!E3687</f>
        <v>40</v>
      </c>
      <c r="E3689" s="33">
        <f>IF(Demand!F3687,1,0)</f>
        <v>0</v>
      </c>
      <c r="F3689" s="33">
        <f>COUNTIFS(c_store,A3689,c_date,B3689,c_hour,C3689)</f>
        <v>1</v>
      </c>
      <c r="G3689" s="33">
        <f>IF(F3689&gt;0,1,0)</f>
        <v>1</v>
      </c>
      <c r="H3689" s="33">
        <f>COUNTIFS(Demand!$A$2:$A$4481,A3689,Demand!$B$2:$B$4481,B3689,Demand!$C$2:$C$4481,C3689)</f>
        <v>1</v>
      </c>
    </row>
    <row r="3690">
      <c r="A3690" s="32" t="str">
        <f>Demand!A3688</f>
        <v>S011</v>
      </c>
      <c r="B3690" s="35">
        <f>Demand!B3688</f>
        <v>46277.0</v>
      </c>
      <c r="C3690" s="33">
        <f>Demand!C3688</f>
        <v>14</v>
      </c>
      <c r="D3690" s="33">
        <f>Demand!E3688</f>
        <v>16</v>
      </c>
      <c r="E3690" s="33">
        <f>IF(Demand!F3688,1,0)</f>
        <v>0</v>
      </c>
      <c r="F3690" s="33">
        <f>COUNTIFS(c_store,A3690,c_date,B3690,c_hour,C3690)</f>
        <v>0</v>
      </c>
      <c r="G3690" s="33">
        <f>IF(F3690&gt;0,1,0)</f>
        <v>0</v>
      </c>
      <c r="H3690" s="33">
        <f>COUNTIFS(Demand!$A$2:$A$4481,A3690,Demand!$B$2:$B$4481,B3690,Demand!$C$2:$C$4481,C3690)</f>
        <v>1</v>
      </c>
    </row>
    <row r="3691">
      <c r="A3691" s="32" t="str">
        <f>Demand!A3689</f>
        <v>S011</v>
      </c>
      <c r="B3691" s="35">
        <f>Demand!B3689</f>
        <v>46277.0</v>
      </c>
      <c r="C3691" s="33">
        <f>Demand!C3689</f>
        <v>15</v>
      </c>
      <c r="D3691" s="33">
        <f>Demand!E3689</f>
        <v>38</v>
      </c>
      <c r="E3691" s="33">
        <f>IF(Demand!F3689,1,0)</f>
        <v>0</v>
      </c>
      <c r="F3691" s="33">
        <f>COUNTIFS(c_store,A3691,c_date,B3691,c_hour,C3691)</f>
        <v>0</v>
      </c>
      <c r="G3691" s="33">
        <f>IF(F3691&gt;0,1,0)</f>
        <v>0</v>
      </c>
      <c r="H3691" s="33">
        <f>COUNTIFS(Demand!$A$2:$A$4481,A3691,Demand!$B$2:$B$4481,B3691,Demand!$C$2:$C$4481,C3691)</f>
        <v>1</v>
      </c>
    </row>
    <row r="3692">
      <c r="A3692" s="32" t="str">
        <f>Demand!A3690</f>
        <v>S011</v>
      </c>
      <c r="B3692" s="35">
        <f>Demand!B3690</f>
        <v>46277.0</v>
      </c>
      <c r="C3692" s="33">
        <f>Demand!C3690</f>
        <v>16</v>
      </c>
      <c r="D3692" s="33">
        <f>Demand!E3690</f>
        <v>35</v>
      </c>
      <c r="E3692" s="33">
        <f>IF(Demand!F3690,1,0)</f>
        <v>0</v>
      </c>
      <c r="F3692" s="33">
        <f>COUNTIFS(c_store,A3692,c_date,B3692,c_hour,C3692)</f>
        <v>0</v>
      </c>
      <c r="G3692" s="33">
        <f>IF(F3692&gt;0,1,0)</f>
        <v>0</v>
      </c>
      <c r="H3692" s="33">
        <f>COUNTIFS(Demand!$A$2:$A$4481,A3692,Demand!$B$2:$B$4481,B3692,Demand!$C$2:$C$4481,C3692)</f>
        <v>1</v>
      </c>
    </row>
    <row r="3693">
      <c r="A3693" s="32" t="str">
        <f>Demand!A3691</f>
        <v>S011</v>
      </c>
      <c r="B3693" s="35">
        <f>Demand!B3691</f>
        <v>46277.0</v>
      </c>
      <c r="C3693" s="33">
        <f>Demand!C3691</f>
        <v>17</v>
      </c>
      <c r="D3693" s="33">
        <f>Demand!E3691</f>
        <v>29</v>
      </c>
      <c r="E3693" s="33">
        <f>IF(Demand!F3691,1,0)</f>
        <v>0</v>
      </c>
      <c r="F3693" s="33">
        <f>COUNTIFS(c_store,A3693,c_date,B3693,c_hour,C3693)</f>
        <v>1</v>
      </c>
      <c r="G3693" s="33">
        <f>IF(F3693&gt;0,1,0)</f>
        <v>1</v>
      </c>
      <c r="H3693" s="33">
        <f>COUNTIFS(Demand!$A$2:$A$4481,A3693,Demand!$B$2:$B$4481,B3693,Demand!$C$2:$C$4481,C3693)</f>
        <v>1</v>
      </c>
    </row>
    <row r="3694">
      <c r="A3694" s="32" t="str">
        <f>Demand!A3692</f>
        <v>S011</v>
      </c>
      <c r="B3694" s="35">
        <f>Demand!B3692</f>
        <v>46277.0</v>
      </c>
      <c r="C3694" s="33">
        <f>Demand!C3692</f>
        <v>18</v>
      </c>
      <c r="D3694" s="33">
        <f>Demand!E3692</f>
        <v>40</v>
      </c>
      <c r="E3694" s="33">
        <f>IF(Demand!F3692,1,0)</f>
        <v>0</v>
      </c>
      <c r="F3694" s="33">
        <f>COUNTIFS(c_store,A3694,c_date,B3694,c_hour,C3694)</f>
        <v>0</v>
      </c>
      <c r="G3694" s="33">
        <f>IF(F3694&gt;0,1,0)</f>
        <v>0</v>
      </c>
      <c r="H3694" s="33">
        <f>COUNTIFS(Demand!$A$2:$A$4481,A3694,Demand!$B$2:$B$4481,B3694,Demand!$C$2:$C$4481,C3694)</f>
        <v>1</v>
      </c>
    </row>
    <row r="3695">
      <c r="A3695" s="32" t="str">
        <f>Demand!A3693</f>
        <v>S011</v>
      </c>
      <c r="B3695" s="35">
        <f>Demand!B3693</f>
        <v>46277.0</v>
      </c>
      <c r="C3695" s="33">
        <f>Demand!C3693</f>
        <v>19</v>
      </c>
      <c r="D3695" s="33">
        <f>Demand!E3693</f>
        <v>50</v>
      </c>
      <c r="E3695" s="33">
        <f>IF(Demand!F3693,1,0)</f>
        <v>1</v>
      </c>
      <c r="F3695" s="33">
        <f>COUNTIFS(c_store,A3695,c_date,B3695,c_hour,C3695)</f>
        <v>0</v>
      </c>
      <c r="G3695" s="33">
        <f>IF(F3695&gt;0,1,0)</f>
        <v>0</v>
      </c>
      <c r="H3695" s="33">
        <f>COUNTIFS(Demand!$A$2:$A$4481,A3695,Demand!$B$2:$B$4481,B3695,Demand!$C$2:$C$4481,C3695)</f>
        <v>1</v>
      </c>
    </row>
    <row r="3696">
      <c r="A3696" s="32" t="str">
        <f>Demand!A3694</f>
        <v>S011</v>
      </c>
      <c r="B3696" s="35">
        <f>Demand!B3694</f>
        <v>46277.0</v>
      </c>
      <c r="C3696" s="33">
        <f>Demand!C3694</f>
        <v>20</v>
      </c>
      <c r="D3696" s="33">
        <f>Demand!E3694</f>
        <v>36</v>
      </c>
      <c r="E3696" s="33">
        <f>IF(Demand!F3694,1,0)</f>
        <v>1</v>
      </c>
      <c r="F3696" s="33">
        <f>COUNTIFS(c_store,A3696,c_date,B3696,c_hour,C3696)</f>
        <v>0</v>
      </c>
      <c r="G3696" s="33">
        <f>IF(F3696&gt;0,1,0)</f>
        <v>0</v>
      </c>
      <c r="H3696" s="33">
        <f>COUNTIFS(Demand!$A$2:$A$4481,A3696,Demand!$B$2:$B$4481,B3696,Demand!$C$2:$C$4481,C3696)</f>
        <v>1</v>
      </c>
    </row>
    <row r="3697">
      <c r="A3697" s="32" t="str">
        <f>Demand!A3695</f>
        <v>S011</v>
      </c>
      <c r="B3697" s="35">
        <f>Demand!B3695</f>
        <v>46277.0</v>
      </c>
      <c r="C3697" s="33">
        <f>Demand!C3695</f>
        <v>21</v>
      </c>
      <c r="D3697" s="33">
        <f>Demand!E3695</f>
        <v>48</v>
      </c>
      <c r="E3697" s="33">
        <f>IF(Demand!F3695,1,0)</f>
        <v>1</v>
      </c>
      <c r="F3697" s="33">
        <f>COUNTIFS(c_store,A3697,c_date,B3697,c_hour,C3697)</f>
        <v>0</v>
      </c>
      <c r="G3697" s="33">
        <f>IF(F3697&gt;0,1,0)</f>
        <v>0</v>
      </c>
      <c r="H3697" s="33">
        <f>COUNTIFS(Demand!$A$2:$A$4481,A3697,Demand!$B$2:$B$4481,B3697,Demand!$C$2:$C$4481,C3697)</f>
        <v>1</v>
      </c>
    </row>
    <row r="3698">
      <c r="A3698" s="32" t="str">
        <f>Demand!A3696</f>
        <v>S011</v>
      </c>
      <c r="B3698" s="35">
        <f>Demand!B3696</f>
        <v>46277.0</v>
      </c>
      <c r="C3698" s="33">
        <f>Demand!C3696</f>
        <v>22</v>
      </c>
      <c r="D3698" s="33">
        <f>Demand!E3696</f>
        <v>37</v>
      </c>
      <c r="E3698" s="33">
        <f>IF(Demand!F3696,1,0)</f>
        <v>0</v>
      </c>
      <c r="F3698" s="33">
        <f>COUNTIFS(c_store,A3698,c_date,B3698,c_hour,C3698)</f>
        <v>0</v>
      </c>
      <c r="G3698" s="33">
        <f>IF(F3698&gt;0,1,0)</f>
        <v>0</v>
      </c>
      <c r="H3698" s="33">
        <f>COUNTIFS(Demand!$A$2:$A$4481,A3698,Demand!$B$2:$B$4481,B3698,Demand!$C$2:$C$4481,C3698)</f>
        <v>1</v>
      </c>
    </row>
    <row r="3699">
      <c r="A3699" s="32" t="str">
        <f>Demand!A3697</f>
        <v>S011</v>
      </c>
      <c r="B3699" s="35">
        <f>Demand!B3697</f>
        <v>46277.0</v>
      </c>
      <c r="C3699" s="33">
        <f>Demand!C3697</f>
        <v>23</v>
      </c>
      <c r="D3699" s="33">
        <f>Demand!E3697</f>
        <v>32</v>
      </c>
      <c r="E3699" s="33">
        <f>IF(Demand!F3697,1,0)</f>
        <v>0</v>
      </c>
      <c r="F3699" s="33">
        <f>COUNTIFS(c_store,A3699,c_date,B3699,c_hour,C3699)</f>
        <v>0</v>
      </c>
      <c r="G3699" s="33">
        <f>IF(F3699&gt;0,1,0)</f>
        <v>0</v>
      </c>
      <c r="H3699" s="33">
        <f>COUNTIFS(Demand!$A$2:$A$4481,A3699,Demand!$B$2:$B$4481,B3699,Demand!$C$2:$C$4481,C3699)</f>
        <v>1</v>
      </c>
    </row>
    <row r="3700">
      <c r="A3700" s="32" t="str">
        <f>Demand!A3698</f>
        <v>S012</v>
      </c>
      <c r="B3700" s="35">
        <f>Demand!B3698</f>
        <v>46277.0</v>
      </c>
      <c r="C3700" s="33">
        <f>Demand!C3698</f>
        <v>8</v>
      </c>
      <c r="D3700" s="33">
        <f>Demand!E3698</f>
        <v>19</v>
      </c>
      <c r="E3700" s="33">
        <f>IF(Demand!F3698,1,0)</f>
        <v>0</v>
      </c>
      <c r="F3700" s="33">
        <f>COUNTIFS(c_store,A3700,c_date,B3700,c_hour,C3700)</f>
        <v>1</v>
      </c>
      <c r="G3700" s="33">
        <f>IF(F3700&gt;0,1,0)</f>
        <v>1</v>
      </c>
      <c r="H3700" s="33">
        <f>COUNTIFS(Demand!$A$2:$A$4481,A3700,Demand!$B$2:$B$4481,B3700,Demand!$C$2:$C$4481,C3700)</f>
        <v>1</v>
      </c>
    </row>
    <row r="3701">
      <c r="A3701" s="32" t="str">
        <f>Demand!A3699</f>
        <v>S012</v>
      </c>
      <c r="B3701" s="35">
        <f>Demand!B3699</f>
        <v>46277.0</v>
      </c>
      <c r="C3701" s="33">
        <f>Demand!C3699</f>
        <v>9</v>
      </c>
      <c r="D3701" s="33">
        <f>Demand!E3699</f>
        <v>13</v>
      </c>
      <c r="E3701" s="33">
        <f>IF(Demand!F3699,1,0)</f>
        <v>0</v>
      </c>
      <c r="F3701" s="33">
        <f>COUNTIFS(c_store,A3701,c_date,B3701,c_hour,C3701)</f>
        <v>0</v>
      </c>
      <c r="G3701" s="33">
        <f>IF(F3701&gt;0,1,0)</f>
        <v>0</v>
      </c>
      <c r="H3701" s="33">
        <f>COUNTIFS(Demand!$A$2:$A$4481,A3701,Demand!$B$2:$B$4481,B3701,Demand!$C$2:$C$4481,C3701)</f>
        <v>1</v>
      </c>
    </row>
    <row r="3702">
      <c r="A3702" s="32" t="str">
        <f>Demand!A3700</f>
        <v>S012</v>
      </c>
      <c r="B3702" s="35">
        <f>Demand!B3700</f>
        <v>46277.0</v>
      </c>
      <c r="C3702" s="33">
        <f>Demand!C3700</f>
        <v>10</v>
      </c>
      <c r="D3702" s="33">
        <f>Demand!E3700</f>
        <v>19</v>
      </c>
      <c r="E3702" s="33">
        <f>IF(Demand!F3700,1,0)</f>
        <v>0</v>
      </c>
      <c r="F3702" s="33">
        <f>COUNTIFS(c_store,A3702,c_date,B3702,c_hour,C3702)</f>
        <v>0</v>
      </c>
      <c r="G3702" s="33">
        <f>IF(F3702&gt;0,1,0)</f>
        <v>0</v>
      </c>
      <c r="H3702" s="33">
        <f>COUNTIFS(Demand!$A$2:$A$4481,A3702,Demand!$B$2:$B$4481,B3702,Demand!$C$2:$C$4481,C3702)</f>
        <v>1</v>
      </c>
    </row>
    <row r="3703">
      <c r="A3703" s="32" t="str">
        <f>Demand!A3701</f>
        <v>S012</v>
      </c>
      <c r="B3703" s="35">
        <f>Demand!B3701</f>
        <v>46277.0</v>
      </c>
      <c r="C3703" s="33">
        <f>Demand!C3701</f>
        <v>11</v>
      </c>
      <c r="D3703" s="33">
        <f>Demand!E3701</f>
        <v>12</v>
      </c>
      <c r="E3703" s="33">
        <f>IF(Demand!F3701,1,0)</f>
        <v>0</v>
      </c>
      <c r="F3703" s="33">
        <f>COUNTIFS(c_store,A3703,c_date,B3703,c_hour,C3703)</f>
        <v>0</v>
      </c>
      <c r="G3703" s="33">
        <f>IF(F3703&gt;0,1,0)</f>
        <v>0</v>
      </c>
      <c r="H3703" s="33">
        <f>COUNTIFS(Demand!$A$2:$A$4481,A3703,Demand!$B$2:$B$4481,B3703,Demand!$C$2:$C$4481,C3703)</f>
        <v>1</v>
      </c>
    </row>
    <row r="3704">
      <c r="A3704" s="32" t="str">
        <f>Demand!A3702</f>
        <v>S012</v>
      </c>
      <c r="B3704" s="35">
        <f>Demand!B3702</f>
        <v>46277.0</v>
      </c>
      <c r="C3704" s="33">
        <f>Demand!C3702</f>
        <v>12</v>
      </c>
      <c r="D3704" s="33">
        <f>Demand!E3702</f>
        <v>14</v>
      </c>
      <c r="E3704" s="33">
        <f>IF(Demand!F3702,1,0)</f>
        <v>0</v>
      </c>
      <c r="F3704" s="33">
        <f>COUNTIFS(c_store,A3704,c_date,B3704,c_hour,C3704)</f>
        <v>0</v>
      </c>
      <c r="G3704" s="33">
        <f>IF(F3704&gt;0,1,0)</f>
        <v>0</v>
      </c>
      <c r="H3704" s="33">
        <f>COUNTIFS(Demand!$A$2:$A$4481,A3704,Demand!$B$2:$B$4481,B3704,Demand!$C$2:$C$4481,C3704)</f>
        <v>1</v>
      </c>
    </row>
    <row r="3705">
      <c r="A3705" s="32" t="str">
        <f>Demand!A3703</f>
        <v>S012</v>
      </c>
      <c r="B3705" s="35">
        <f>Demand!B3703</f>
        <v>46277.0</v>
      </c>
      <c r="C3705" s="33">
        <f>Demand!C3703</f>
        <v>13</v>
      </c>
      <c r="D3705" s="33">
        <f>Demand!E3703</f>
        <v>15</v>
      </c>
      <c r="E3705" s="33">
        <f>IF(Demand!F3703,1,0)</f>
        <v>0</v>
      </c>
      <c r="F3705" s="33">
        <f>COUNTIFS(c_store,A3705,c_date,B3705,c_hour,C3705)</f>
        <v>0</v>
      </c>
      <c r="G3705" s="33">
        <f>IF(F3705&gt;0,1,0)</f>
        <v>0</v>
      </c>
      <c r="H3705" s="33">
        <f>COUNTIFS(Demand!$A$2:$A$4481,A3705,Demand!$B$2:$B$4481,B3705,Demand!$C$2:$C$4481,C3705)</f>
        <v>1</v>
      </c>
    </row>
    <row r="3706">
      <c r="A3706" s="32" t="str">
        <f>Demand!A3704</f>
        <v>S012</v>
      </c>
      <c r="B3706" s="35">
        <f>Demand!B3704</f>
        <v>46277.0</v>
      </c>
      <c r="C3706" s="33">
        <f>Demand!C3704</f>
        <v>14</v>
      </c>
      <c r="D3706" s="33">
        <f>Demand!E3704</f>
        <v>7</v>
      </c>
      <c r="E3706" s="33">
        <f>IF(Demand!F3704,1,0)</f>
        <v>0</v>
      </c>
      <c r="F3706" s="33">
        <f>COUNTIFS(c_store,A3706,c_date,B3706,c_hour,C3706)</f>
        <v>0</v>
      </c>
      <c r="G3706" s="33">
        <f>IF(F3706&gt;0,1,0)</f>
        <v>0</v>
      </c>
      <c r="H3706" s="33">
        <f>COUNTIFS(Demand!$A$2:$A$4481,A3706,Demand!$B$2:$B$4481,B3706,Demand!$C$2:$C$4481,C3706)</f>
        <v>1</v>
      </c>
    </row>
    <row r="3707">
      <c r="A3707" s="32" t="str">
        <f>Demand!A3705</f>
        <v>S012</v>
      </c>
      <c r="B3707" s="35">
        <f>Demand!B3705</f>
        <v>46277.0</v>
      </c>
      <c r="C3707" s="33">
        <f>Demand!C3705</f>
        <v>15</v>
      </c>
      <c r="D3707" s="33">
        <f>Demand!E3705</f>
        <v>13</v>
      </c>
      <c r="E3707" s="33">
        <f>IF(Demand!F3705,1,0)</f>
        <v>0</v>
      </c>
      <c r="F3707" s="33">
        <f>COUNTIFS(c_store,A3707,c_date,B3707,c_hour,C3707)</f>
        <v>0</v>
      </c>
      <c r="G3707" s="33">
        <f>IF(F3707&gt;0,1,0)</f>
        <v>0</v>
      </c>
      <c r="H3707" s="33">
        <f>COUNTIFS(Demand!$A$2:$A$4481,A3707,Demand!$B$2:$B$4481,B3707,Demand!$C$2:$C$4481,C3707)</f>
        <v>1</v>
      </c>
    </row>
    <row r="3708">
      <c r="A3708" s="32" t="str">
        <f>Demand!A3706</f>
        <v>S012</v>
      </c>
      <c r="B3708" s="35">
        <f>Demand!B3706</f>
        <v>46277.0</v>
      </c>
      <c r="C3708" s="33">
        <f>Demand!C3706</f>
        <v>16</v>
      </c>
      <c r="D3708" s="33">
        <f>Demand!E3706</f>
        <v>18</v>
      </c>
      <c r="E3708" s="33">
        <f>IF(Demand!F3706,1,0)</f>
        <v>0</v>
      </c>
      <c r="F3708" s="33">
        <f>COUNTIFS(c_store,A3708,c_date,B3708,c_hour,C3708)</f>
        <v>1</v>
      </c>
      <c r="G3708" s="33">
        <f>IF(F3708&gt;0,1,0)</f>
        <v>1</v>
      </c>
      <c r="H3708" s="33">
        <f>COUNTIFS(Demand!$A$2:$A$4481,A3708,Demand!$B$2:$B$4481,B3708,Demand!$C$2:$C$4481,C3708)</f>
        <v>1</v>
      </c>
    </row>
    <row r="3709">
      <c r="A3709" s="32" t="str">
        <f>Demand!A3707</f>
        <v>S012</v>
      </c>
      <c r="B3709" s="35">
        <f>Demand!B3707</f>
        <v>46277.0</v>
      </c>
      <c r="C3709" s="33">
        <f>Demand!C3707</f>
        <v>17</v>
      </c>
      <c r="D3709" s="33">
        <f>Demand!E3707</f>
        <v>8</v>
      </c>
      <c r="E3709" s="33">
        <f>IF(Demand!F3707,1,0)</f>
        <v>0</v>
      </c>
      <c r="F3709" s="33">
        <f>COUNTIFS(c_store,A3709,c_date,B3709,c_hour,C3709)</f>
        <v>0</v>
      </c>
      <c r="G3709" s="33">
        <f>IF(F3709&gt;0,1,0)</f>
        <v>0</v>
      </c>
      <c r="H3709" s="33">
        <f>COUNTIFS(Demand!$A$2:$A$4481,A3709,Demand!$B$2:$B$4481,B3709,Demand!$C$2:$C$4481,C3709)</f>
        <v>1</v>
      </c>
    </row>
    <row r="3710">
      <c r="A3710" s="32" t="str">
        <f>Demand!A3708</f>
        <v>S012</v>
      </c>
      <c r="B3710" s="35">
        <f>Demand!B3708</f>
        <v>46277.0</v>
      </c>
      <c r="C3710" s="33">
        <f>Demand!C3708</f>
        <v>18</v>
      </c>
      <c r="D3710" s="33">
        <f>Demand!E3708</f>
        <v>13</v>
      </c>
      <c r="E3710" s="33">
        <f>IF(Demand!F3708,1,0)</f>
        <v>0</v>
      </c>
      <c r="F3710" s="33">
        <f>COUNTIFS(c_store,A3710,c_date,B3710,c_hour,C3710)</f>
        <v>0</v>
      </c>
      <c r="G3710" s="33">
        <f>IF(F3710&gt;0,1,0)</f>
        <v>0</v>
      </c>
      <c r="H3710" s="33">
        <f>COUNTIFS(Demand!$A$2:$A$4481,A3710,Demand!$B$2:$B$4481,B3710,Demand!$C$2:$C$4481,C3710)</f>
        <v>1</v>
      </c>
    </row>
    <row r="3711">
      <c r="A3711" s="32" t="str">
        <f>Demand!A3709</f>
        <v>S012</v>
      </c>
      <c r="B3711" s="35">
        <f>Demand!B3709</f>
        <v>46277.0</v>
      </c>
      <c r="C3711" s="33">
        <f>Demand!C3709</f>
        <v>19</v>
      </c>
      <c r="D3711" s="33">
        <f>Demand!E3709</f>
        <v>38</v>
      </c>
      <c r="E3711" s="33">
        <f>IF(Demand!F3709,1,0)</f>
        <v>1</v>
      </c>
      <c r="F3711" s="33">
        <f>COUNTIFS(c_store,A3711,c_date,B3711,c_hour,C3711)</f>
        <v>0</v>
      </c>
      <c r="G3711" s="33">
        <f>IF(F3711&gt;0,1,0)</f>
        <v>0</v>
      </c>
      <c r="H3711" s="33">
        <f>COUNTIFS(Demand!$A$2:$A$4481,A3711,Demand!$B$2:$B$4481,B3711,Demand!$C$2:$C$4481,C3711)</f>
        <v>1</v>
      </c>
    </row>
    <row r="3712">
      <c r="A3712" s="32" t="str">
        <f>Demand!A3710</f>
        <v>S012</v>
      </c>
      <c r="B3712" s="35">
        <f>Demand!B3710</f>
        <v>46277.0</v>
      </c>
      <c r="C3712" s="33">
        <f>Demand!C3710</f>
        <v>20</v>
      </c>
      <c r="D3712" s="33">
        <f>Demand!E3710</f>
        <v>29</v>
      </c>
      <c r="E3712" s="33">
        <f>IF(Demand!F3710,1,0)</f>
        <v>1</v>
      </c>
      <c r="F3712" s="33">
        <f>COUNTIFS(c_store,A3712,c_date,B3712,c_hour,C3712)</f>
        <v>0</v>
      </c>
      <c r="G3712" s="33">
        <f>IF(F3712&gt;0,1,0)</f>
        <v>0</v>
      </c>
      <c r="H3712" s="33">
        <f>COUNTIFS(Demand!$A$2:$A$4481,A3712,Demand!$B$2:$B$4481,B3712,Demand!$C$2:$C$4481,C3712)</f>
        <v>1</v>
      </c>
    </row>
    <row r="3713">
      <c r="A3713" s="32" t="str">
        <f>Demand!A3711</f>
        <v>S012</v>
      </c>
      <c r="B3713" s="35">
        <f>Demand!B3711</f>
        <v>46277.0</v>
      </c>
      <c r="C3713" s="33">
        <f>Demand!C3711</f>
        <v>21</v>
      </c>
      <c r="D3713" s="33">
        <f>Demand!E3711</f>
        <v>29</v>
      </c>
      <c r="E3713" s="33">
        <f>IF(Demand!F3711,1,0)</f>
        <v>1</v>
      </c>
      <c r="F3713" s="33">
        <f>COUNTIFS(c_store,A3713,c_date,B3713,c_hour,C3713)</f>
        <v>1</v>
      </c>
      <c r="G3713" s="33">
        <f>IF(F3713&gt;0,1,0)</f>
        <v>1</v>
      </c>
      <c r="H3713" s="33">
        <f>COUNTIFS(Demand!$A$2:$A$4481,A3713,Demand!$B$2:$B$4481,B3713,Demand!$C$2:$C$4481,C3713)</f>
        <v>1</v>
      </c>
    </row>
    <row r="3714">
      <c r="A3714" s="32" t="str">
        <f>Demand!A3712</f>
        <v>S012</v>
      </c>
      <c r="B3714" s="35">
        <f>Demand!B3712</f>
        <v>46277.0</v>
      </c>
      <c r="C3714" s="33">
        <f>Demand!C3712</f>
        <v>22</v>
      </c>
      <c r="D3714" s="33">
        <f>Demand!E3712</f>
        <v>12</v>
      </c>
      <c r="E3714" s="33">
        <f>IF(Demand!F3712,1,0)</f>
        <v>0</v>
      </c>
      <c r="F3714" s="33">
        <f>COUNTIFS(c_store,A3714,c_date,B3714,c_hour,C3714)</f>
        <v>0</v>
      </c>
      <c r="G3714" s="33">
        <f>IF(F3714&gt;0,1,0)</f>
        <v>0</v>
      </c>
      <c r="H3714" s="33">
        <f>COUNTIFS(Demand!$A$2:$A$4481,A3714,Demand!$B$2:$B$4481,B3714,Demand!$C$2:$C$4481,C3714)</f>
        <v>1</v>
      </c>
    </row>
    <row r="3715">
      <c r="A3715" s="32" t="str">
        <f>Demand!A3713</f>
        <v>S012</v>
      </c>
      <c r="B3715" s="35">
        <f>Demand!B3713</f>
        <v>46277.0</v>
      </c>
      <c r="C3715" s="33">
        <f>Demand!C3713</f>
        <v>23</v>
      </c>
      <c r="D3715" s="33">
        <f>Demand!E3713</f>
        <v>23</v>
      </c>
      <c r="E3715" s="33">
        <f>IF(Demand!F3713,1,0)</f>
        <v>0</v>
      </c>
      <c r="F3715" s="33">
        <f>COUNTIFS(c_store,A3715,c_date,B3715,c_hour,C3715)</f>
        <v>0</v>
      </c>
      <c r="G3715" s="33">
        <f>IF(F3715&gt;0,1,0)</f>
        <v>0</v>
      </c>
      <c r="H3715" s="33">
        <f>COUNTIFS(Demand!$A$2:$A$4481,A3715,Demand!$B$2:$B$4481,B3715,Demand!$C$2:$C$4481,C3715)</f>
        <v>1</v>
      </c>
    </row>
    <row r="3716">
      <c r="A3716" s="32" t="str">
        <f>Demand!A3714</f>
        <v>S013</v>
      </c>
      <c r="B3716" s="35">
        <f>Demand!B3714</f>
        <v>46277.0</v>
      </c>
      <c r="C3716" s="33">
        <f>Demand!C3714</f>
        <v>8</v>
      </c>
      <c r="D3716" s="33">
        <f>Demand!E3714</f>
        <v>36</v>
      </c>
      <c r="E3716" s="33">
        <f>IF(Demand!F3714,1,0)</f>
        <v>0</v>
      </c>
      <c r="F3716" s="33">
        <f>COUNTIFS(c_store,A3716,c_date,B3716,c_hour,C3716)</f>
        <v>0</v>
      </c>
      <c r="G3716" s="33">
        <f>IF(F3716&gt;0,1,0)</f>
        <v>0</v>
      </c>
      <c r="H3716" s="33">
        <f>COUNTIFS(Demand!$A$2:$A$4481,A3716,Demand!$B$2:$B$4481,B3716,Demand!$C$2:$C$4481,C3716)</f>
        <v>1</v>
      </c>
    </row>
    <row r="3717">
      <c r="A3717" s="32" t="str">
        <f>Demand!A3715</f>
        <v>S013</v>
      </c>
      <c r="B3717" s="35">
        <f>Demand!B3715</f>
        <v>46277.0</v>
      </c>
      <c r="C3717" s="33">
        <f>Demand!C3715</f>
        <v>9</v>
      </c>
      <c r="D3717" s="33">
        <f>Demand!E3715</f>
        <v>34</v>
      </c>
      <c r="E3717" s="33">
        <f>IF(Demand!F3715,1,0)</f>
        <v>0</v>
      </c>
      <c r="F3717" s="33">
        <f>COUNTIFS(c_store,A3717,c_date,B3717,c_hour,C3717)</f>
        <v>1</v>
      </c>
      <c r="G3717" s="33">
        <f>IF(F3717&gt;0,1,0)</f>
        <v>1</v>
      </c>
      <c r="H3717" s="33">
        <f>COUNTIFS(Demand!$A$2:$A$4481,A3717,Demand!$B$2:$B$4481,B3717,Demand!$C$2:$C$4481,C3717)</f>
        <v>1</v>
      </c>
    </row>
    <row r="3718">
      <c r="A3718" s="32" t="str">
        <f>Demand!A3716</f>
        <v>S013</v>
      </c>
      <c r="B3718" s="35">
        <f>Demand!B3716</f>
        <v>46277.0</v>
      </c>
      <c r="C3718" s="33">
        <f>Demand!C3716</f>
        <v>10</v>
      </c>
      <c r="D3718" s="33">
        <f>Demand!E3716</f>
        <v>39</v>
      </c>
      <c r="E3718" s="33">
        <f>IF(Demand!F3716,1,0)</f>
        <v>0</v>
      </c>
      <c r="F3718" s="33">
        <f>COUNTIFS(c_store,A3718,c_date,B3718,c_hour,C3718)</f>
        <v>1</v>
      </c>
      <c r="G3718" s="33">
        <f>IF(F3718&gt;0,1,0)</f>
        <v>1</v>
      </c>
      <c r="H3718" s="33">
        <f>COUNTIFS(Demand!$A$2:$A$4481,A3718,Demand!$B$2:$B$4481,B3718,Demand!$C$2:$C$4481,C3718)</f>
        <v>1</v>
      </c>
    </row>
    <row r="3719">
      <c r="A3719" s="32" t="str">
        <f>Demand!A3717</f>
        <v>S013</v>
      </c>
      <c r="B3719" s="35">
        <f>Demand!B3717</f>
        <v>46277.0</v>
      </c>
      <c r="C3719" s="33">
        <f>Demand!C3717</f>
        <v>11</v>
      </c>
      <c r="D3719" s="33">
        <f>Demand!E3717</f>
        <v>57</v>
      </c>
      <c r="E3719" s="33">
        <f>IF(Demand!F3717,1,0)</f>
        <v>0</v>
      </c>
      <c r="F3719" s="33">
        <f>COUNTIFS(c_store,A3719,c_date,B3719,c_hour,C3719)</f>
        <v>0</v>
      </c>
      <c r="G3719" s="33">
        <f>IF(F3719&gt;0,1,0)</f>
        <v>0</v>
      </c>
      <c r="H3719" s="33">
        <f>COUNTIFS(Demand!$A$2:$A$4481,A3719,Demand!$B$2:$B$4481,B3719,Demand!$C$2:$C$4481,C3719)</f>
        <v>1</v>
      </c>
    </row>
    <row r="3720">
      <c r="A3720" s="32" t="str">
        <f>Demand!A3718</f>
        <v>S013</v>
      </c>
      <c r="B3720" s="35">
        <f>Demand!B3718</f>
        <v>46277.0</v>
      </c>
      <c r="C3720" s="33">
        <f>Demand!C3718</f>
        <v>12</v>
      </c>
      <c r="D3720" s="33">
        <f>Demand!E3718</f>
        <v>57</v>
      </c>
      <c r="E3720" s="33">
        <f>IF(Demand!F3718,1,0)</f>
        <v>0</v>
      </c>
      <c r="F3720" s="33">
        <f>COUNTIFS(c_store,A3720,c_date,B3720,c_hour,C3720)</f>
        <v>0</v>
      </c>
      <c r="G3720" s="33">
        <f>IF(F3720&gt;0,1,0)</f>
        <v>0</v>
      </c>
      <c r="H3720" s="33">
        <f>COUNTIFS(Demand!$A$2:$A$4481,A3720,Demand!$B$2:$B$4481,B3720,Demand!$C$2:$C$4481,C3720)</f>
        <v>1</v>
      </c>
    </row>
    <row r="3721">
      <c r="A3721" s="32" t="str">
        <f>Demand!A3719</f>
        <v>S013</v>
      </c>
      <c r="B3721" s="35">
        <f>Demand!B3719</f>
        <v>46277.0</v>
      </c>
      <c r="C3721" s="33">
        <f>Demand!C3719</f>
        <v>13</v>
      </c>
      <c r="D3721" s="33">
        <f>Demand!E3719</f>
        <v>51</v>
      </c>
      <c r="E3721" s="33">
        <f>IF(Demand!F3719,1,0)</f>
        <v>0</v>
      </c>
      <c r="F3721" s="33">
        <f>COUNTIFS(c_store,A3721,c_date,B3721,c_hour,C3721)</f>
        <v>2</v>
      </c>
      <c r="G3721" s="33">
        <f>IF(F3721&gt;0,1,0)</f>
        <v>1</v>
      </c>
      <c r="H3721" s="33">
        <f>COUNTIFS(Demand!$A$2:$A$4481,A3721,Demand!$B$2:$B$4481,B3721,Demand!$C$2:$C$4481,C3721)</f>
        <v>1</v>
      </c>
    </row>
    <row r="3722">
      <c r="A3722" s="32" t="str">
        <f>Demand!A3720</f>
        <v>S013</v>
      </c>
      <c r="B3722" s="35">
        <f>Demand!B3720</f>
        <v>46277.0</v>
      </c>
      <c r="C3722" s="33">
        <f>Demand!C3720</f>
        <v>14</v>
      </c>
      <c r="D3722" s="33">
        <f>Demand!E3720</f>
        <v>32</v>
      </c>
      <c r="E3722" s="33">
        <f>IF(Demand!F3720,1,0)</f>
        <v>0</v>
      </c>
      <c r="F3722" s="33">
        <f>COUNTIFS(c_store,A3722,c_date,B3722,c_hour,C3722)</f>
        <v>0</v>
      </c>
      <c r="G3722" s="33">
        <f>IF(F3722&gt;0,1,0)</f>
        <v>0</v>
      </c>
      <c r="H3722" s="33">
        <f>COUNTIFS(Demand!$A$2:$A$4481,A3722,Demand!$B$2:$B$4481,B3722,Demand!$C$2:$C$4481,C3722)</f>
        <v>1</v>
      </c>
    </row>
    <row r="3723">
      <c r="A3723" s="32" t="str">
        <f>Demand!A3721</f>
        <v>S013</v>
      </c>
      <c r="B3723" s="35">
        <f>Demand!B3721</f>
        <v>46277.0</v>
      </c>
      <c r="C3723" s="33">
        <f>Demand!C3721</f>
        <v>15</v>
      </c>
      <c r="D3723" s="33">
        <f>Demand!E3721</f>
        <v>43</v>
      </c>
      <c r="E3723" s="33">
        <f>IF(Demand!F3721,1,0)</f>
        <v>0</v>
      </c>
      <c r="F3723" s="33">
        <f>COUNTIFS(c_store,A3723,c_date,B3723,c_hour,C3723)</f>
        <v>0</v>
      </c>
      <c r="G3723" s="33">
        <f>IF(F3723&gt;0,1,0)</f>
        <v>0</v>
      </c>
      <c r="H3723" s="33">
        <f>COUNTIFS(Demand!$A$2:$A$4481,A3723,Demand!$B$2:$B$4481,B3723,Demand!$C$2:$C$4481,C3723)</f>
        <v>1</v>
      </c>
    </row>
    <row r="3724">
      <c r="A3724" s="32" t="str">
        <f>Demand!A3722</f>
        <v>S013</v>
      </c>
      <c r="B3724" s="35">
        <f>Demand!B3722</f>
        <v>46277.0</v>
      </c>
      <c r="C3724" s="33">
        <f>Demand!C3722</f>
        <v>16</v>
      </c>
      <c r="D3724" s="33">
        <f>Demand!E3722</f>
        <v>61</v>
      </c>
      <c r="E3724" s="33">
        <f>IF(Demand!F3722,1,0)</f>
        <v>0</v>
      </c>
      <c r="F3724" s="33">
        <f>COUNTIFS(c_store,A3724,c_date,B3724,c_hour,C3724)</f>
        <v>0</v>
      </c>
      <c r="G3724" s="33">
        <f>IF(F3724&gt;0,1,0)</f>
        <v>0</v>
      </c>
      <c r="H3724" s="33">
        <f>COUNTIFS(Demand!$A$2:$A$4481,A3724,Demand!$B$2:$B$4481,B3724,Demand!$C$2:$C$4481,C3724)</f>
        <v>1</v>
      </c>
    </row>
    <row r="3725">
      <c r="A3725" s="32" t="str">
        <f>Demand!A3723</f>
        <v>S013</v>
      </c>
      <c r="B3725" s="35">
        <f>Demand!B3723</f>
        <v>46277.0</v>
      </c>
      <c r="C3725" s="33">
        <f>Demand!C3723</f>
        <v>17</v>
      </c>
      <c r="D3725" s="33">
        <f>Demand!E3723</f>
        <v>51</v>
      </c>
      <c r="E3725" s="33">
        <f>IF(Demand!F3723,1,0)</f>
        <v>0</v>
      </c>
      <c r="F3725" s="33">
        <f>COUNTIFS(c_store,A3725,c_date,B3725,c_hour,C3725)</f>
        <v>1</v>
      </c>
      <c r="G3725" s="33">
        <f>IF(F3725&gt;0,1,0)</f>
        <v>1</v>
      </c>
      <c r="H3725" s="33">
        <f>COUNTIFS(Demand!$A$2:$A$4481,A3725,Demand!$B$2:$B$4481,B3725,Demand!$C$2:$C$4481,C3725)</f>
        <v>1</v>
      </c>
    </row>
    <row r="3726">
      <c r="A3726" s="32" t="str">
        <f>Demand!A3724</f>
        <v>S013</v>
      </c>
      <c r="B3726" s="35">
        <f>Demand!B3724</f>
        <v>46277.0</v>
      </c>
      <c r="C3726" s="33">
        <f>Demand!C3724</f>
        <v>18</v>
      </c>
      <c r="D3726" s="33">
        <f>Demand!E3724</f>
        <v>53</v>
      </c>
      <c r="E3726" s="33">
        <f>IF(Demand!F3724,1,0)</f>
        <v>0</v>
      </c>
      <c r="F3726" s="33">
        <f>COUNTIFS(c_store,A3726,c_date,B3726,c_hour,C3726)</f>
        <v>1</v>
      </c>
      <c r="G3726" s="33">
        <f>IF(F3726&gt;0,1,0)</f>
        <v>1</v>
      </c>
      <c r="H3726" s="33">
        <f>COUNTIFS(Demand!$A$2:$A$4481,A3726,Demand!$B$2:$B$4481,B3726,Demand!$C$2:$C$4481,C3726)</f>
        <v>1</v>
      </c>
    </row>
    <row r="3727">
      <c r="A3727" s="32" t="str">
        <f>Demand!A3725</f>
        <v>S013</v>
      </c>
      <c r="B3727" s="35">
        <f>Demand!B3725</f>
        <v>46277.0</v>
      </c>
      <c r="C3727" s="33">
        <f>Demand!C3725</f>
        <v>19</v>
      </c>
      <c r="D3727" s="33">
        <f>Demand!E3725</f>
        <v>88</v>
      </c>
      <c r="E3727" s="33">
        <f>IF(Demand!F3725,1,0)</f>
        <v>1</v>
      </c>
      <c r="F3727" s="33">
        <f>COUNTIFS(c_store,A3727,c_date,B3727,c_hour,C3727)</f>
        <v>0</v>
      </c>
      <c r="G3727" s="33">
        <f>IF(F3727&gt;0,1,0)</f>
        <v>0</v>
      </c>
      <c r="H3727" s="33">
        <f>COUNTIFS(Demand!$A$2:$A$4481,A3727,Demand!$B$2:$B$4481,B3727,Demand!$C$2:$C$4481,C3727)</f>
        <v>1</v>
      </c>
    </row>
    <row r="3728">
      <c r="A3728" s="32" t="str">
        <f>Demand!A3726</f>
        <v>S013</v>
      </c>
      <c r="B3728" s="35">
        <f>Demand!B3726</f>
        <v>46277.0</v>
      </c>
      <c r="C3728" s="33">
        <f>Demand!C3726</f>
        <v>20</v>
      </c>
      <c r="D3728" s="33">
        <f>Demand!E3726</f>
        <v>75</v>
      </c>
      <c r="E3728" s="33">
        <f>IF(Demand!F3726,1,0)</f>
        <v>1</v>
      </c>
      <c r="F3728" s="33">
        <f>COUNTIFS(c_store,A3728,c_date,B3728,c_hour,C3728)</f>
        <v>1</v>
      </c>
      <c r="G3728" s="33">
        <f>IF(F3728&gt;0,1,0)</f>
        <v>1</v>
      </c>
      <c r="H3728" s="33">
        <f>COUNTIFS(Demand!$A$2:$A$4481,A3728,Demand!$B$2:$B$4481,B3728,Demand!$C$2:$C$4481,C3728)</f>
        <v>1</v>
      </c>
    </row>
    <row r="3729">
      <c r="A3729" s="32" t="str">
        <f>Demand!A3727</f>
        <v>S013</v>
      </c>
      <c r="B3729" s="35">
        <f>Demand!B3727</f>
        <v>46277.0</v>
      </c>
      <c r="C3729" s="33">
        <f>Demand!C3727</f>
        <v>21</v>
      </c>
      <c r="D3729" s="33">
        <f>Demand!E3727</f>
        <v>80</v>
      </c>
      <c r="E3729" s="33">
        <f>IF(Demand!F3727,1,0)</f>
        <v>1</v>
      </c>
      <c r="F3729" s="33">
        <f>COUNTIFS(c_store,A3729,c_date,B3729,c_hour,C3729)</f>
        <v>0</v>
      </c>
      <c r="G3729" s="33">
        <f>IF(F3729&gt;0,1,0)</f>
        <v>0</v>
      </c>
      <c r="H3729" s="33">
        <f>COUNTIFS(Demand!$A$2:$A$4481,A3729,Demand!$B$2:$B$4481,B3729,Demand!$C$2:$C$4481,C3729)</f>
        <v>1</v>
      </c>
    </row>
    <row r="3730">
      <c r="A3730" s="32" t="str">
        <f>Demand!A3728</f>
        <v>S013</v>
      </c>
      <c r="B3730" s="35">
        <f>Demand!B3728</f>
        <v>46277.0</v>
      </c>
      <c r="C3730" s="33">
        <f>Demand!C3728</f>
        <v>22</v>
      </c>
      <c r="D3730" s="33">
        <f>Demand!E3728</f>
        <v>55</v>
      </c>
      <c r="E3730" s="33">
        <f>IF(Demand!F3728,1,0)</f>
        <v>0</v>
      </c>
      <c r="F3730" s="33">
        <f>COUNTIFS(c_store,A3730,c_date,B3730,c_hour,C3730)</f>
        <v>0</v>
      </c>
      <c r="G3730" s="33">
        <f>IF(F3730&gt;0,1,0)</f>
        <v>0</v>
      </c>
      <c r="H3730" s="33">
        <f>COUNTIFS(Demand!$A$2:$A$4481,A3730,Demand!$B$2:$B$4481,B3730,Demand!$C$2:$C$4481,C3730)</f>
        <v>1</v>
      </c>
    </row>
    <row r="3731">
      <c r="A3731" s="32" t="str">
        <f>Demand!A3729</f>
        <v>S013</v>
      </c>
      <c r="B3731" s="35">
        <f>Demand!B3729</f>
        <v>46277.0</v>
      </c>
      <c r="C3731" s="33">
        <f>Demand!C3729</f>
        <v>23</v>
      </c>
      <c r="D3731" s="33">
        <f>Demand!E3729</f>
        <v>55</v>
      </c>
      <c r="E3731" s="33">
        <f>IF(Demand!F3729,1,0)</f>
        <v>0</v>
      </c>
      <c r="F3731" s="33">
        <f>COUNTIFS(c_store,A3731,c_date,B3731,c_hour,C3731)</f>
        <v>0</v>
      </c>
      <c r="G3731" s="33">
        <f>IF(F3731&gt;0,1,0)</f>
        <v>0</v>
      </c>
      <c r="H3731" s="33">
        <f>COUNTIFS(Demand!$A$2:$A$4481,A3731,Demand!$B$2:$B$4481,B3731,Demand!$C$2:$C$4481,C3731)</f>
        <v>1</v>
      </c>
    </row>
    <row r="3732">
      <c r="A3732" s="32" t="str">
        <f>Demand!A3730</f>
        <v>S014</v>
      </c>
      <c r="B3732" s="35">
        <f>Demand!B3730</f>
        <v>46277.0</v>
      </c>
      <c r="C3732" s="33">
        <f>Demand!C3730</f>
        <v>8</v>
      </c>
      <c r="D3732" s="33">
        <f>Demand!E3730</f>
        <v>31</v>
      </c>
      <c r="E3732" s="33">
        <f>IF(Demand!F3730,1,0)</f>
        <v>0</v>
      </c>
      <c r="F3732" s="33">
        <f>COUNTIFS(c_store,A3732,c_date,B3732,c_hour,C3732)</f>
        <v>1</v>
      </c>
      <c r="G3732" s="33">
        <f>IF(F3732&gt;0,1,0)</f>
        <v>1</v>
      </c>
      <c r="H3732" s="33">
        <f>COUNTIFS(Demand!$A$2:$A$4481,A3732,Demand!$B$2:$B$4481,B3732,Demand!$C$2:$C$4481,C3732)</f>
        <v>1</v>
      </c>
    </row>
    <row r="3733">
      <c r="A3733" s="32" t="str">
        <f>Demand!A3731</f>
        <v>S014</v>
      </c>
      <c r="B3733" s="35">
        <f>Demand!B3731</f>
        <v>46277.0</v>
      </c>
      <c r="C3733" s="33">
        <f>Demand!C3731</f>
        <v>9</v>
      </c>
      <c r="D3733" s="33">
        <f>Demand!E3731</f>
        <v>33</v>
      </c>
      <c r="E3733" s="33">
        <f>IF(Demand!F3731,1,0)</f>
        <v>0</v>
      </c>
      <c r="F3733" s="33">
        <f>COUNTIFS(c_store,A3733,c_date,B3733,c_hour,C3733)</f>
        <v>0</v>
      </c>
      <c r="G3733" s="33">
        <f>IF(F3733&gt;0,1,0)</f>
        <v>0</v>
      </c>
      <c r="H3733" s="33">
        <f>COUNTIFS(Demand!$A$2:$A$4481,A3733,Demand!$B$2:$B$4481,B3733,Demand!$C$2:$C$4481,C3733)</f>
        <v>1</v>
      </c>
    </row>
    <row r="3734">
      <c r="A3734" s="32" t="str">
        <f>Demand!A3732</f>
        <v>S014</v>
      </c>
      <c r="B3734" s="35">
        <f>Demand!B3732</f>
        <v>46277.0</v>
      </c>
      <c r="C3734" s="33">
        <f>Demand!C3732</f>
        <v>10</v>
      </c>
      <c r="D3734" s="33">
        <f>Demand!E3732</f>
        <v>34</v>
      </c>
      <c r="E3734" s="33">
        <f>IF(Demand!F3732,1,0)</f>
        <v>0</v>
      </c>
      <c r="F3734" s="33">
        <f>COUNTIFS(c_store,A3734,c_date,B3734,c_hour,C3734)</f>
        <v>0</v>
      </c>
      <c r="G3734" s="33">
        <f>IF(F3734&gt;0,1,0)</f>
        <v>0</v>
      </c>
      <c r="H3734" s="33">
        <f>COUNTIFS(Demand!$A$2:$A$4481,A3734,Demand!$B$2:$B$4481,B3734,Demand!$C$2:$C$4481,C3734)</f>
        <v>1</v>
      </c>
    </row>
    <row r="3735">
      <c r="A3735" s="32" t="str">
        <f>Demand!A3733</f>
        <v>S014</v>
      </c>
      <c r="B3735" s="35">
        <f>Demand!B3733</f>
        <v>46277.0</v>
      </c>
      <c r="C3735" s="33">
        <f>Demand!C3733</f>
        <v>11</v>
      </c>
      <c r="D3735" s="33">
        <f>Demand!E3733</f>
        <v>51</v>
      </c>
      <c r="E3735" s="33">
        <f>IF(Demand!F3733,1,0)</f>
        <v>0</v>
      </c>
      <c r="F3735" s="33">
        <f>COUNTIFS(c_store,A3735,c_date,B3735,c_hour,C3735)</f>
        <v>0</v>
      </c>
      <c r="G3735" s="33">
        <f>IF(F3735&gt;0,1,0)</f>
        <v>0</v>
      </c>
      <c r="H3735" s="33">
        <f>COUNTIFS(Demand!$A$2:$A$4481,A3735,Demand!$B$2:$B$4481,B3735,Demand!$C$2:$C$4481,C3735)</f>
        <v>1</v>
      </c>
    </row>
    <row r="3736">
      <c r="A3736" s="32" t="str">
        <f>Demand!A3734</f>
        <v>S014</v>
      </c>
      <c r="B3736" s="35">
        <f>Demand!B3734</f>
        <v>46277.0</v>
      </c>
      <c r="C3736" s="33">
        <f>Demand!C3734</f>
        <v>12</v>
      </c>
      <c r="D3736" s="33">
        <f>Demand!E3734</f>
        <v>34</v>
      </c>
      <c r="E3736" s="33">
        <f>IF(Demand!F3734,1,0)</f>
        <v>0</v>
      </c>
      <c r="F3736" s="33">
        <f>COUNTIFS(c_store,A3736,c_date,B3736,c_hour,C3736)</f>
        <v>1</v>
      </c>
      <c r="G3736" s="33">
        <f>IF(F3736&gt;0,1,0)</f>
        <v>1</v>
      </c>
      <c r="H3736" s="33">
        <f>COUNTIFS(Demand!$A$2:$A$4481,A3736,Demand!$B$2:$B$4481,B3736,Demand!$C$2:$C$4481,C3736)</f>
        <v>1</v>
      </c>
    </row>
    <row r="3737">
      <c r="A3737" s="32" t="str">
        <f>Demand!A3735</f>
        <v>S014</v>
      </c>
      <c r="B3737" s="35">
        <f>Demand!B3735</f>
        <v>46277.0</v>
      </c>
      <c r="C3737" s="33">
        <f>Demand!C3735</f>
        <v>13</v>
      </c>
      <c r="D3737" s="33">
        <f>Demand!E3735</f>
        <v>37</v>
      </c>
      <c r="E3737" s="33">
        <f>IF(Demand!F3735,1,0)</f>
        <v>0</v>
      </c>
      <c r="F3737" s="33">
        <f>COUNTIFS(c_store,A3737,c_date,B3737,c_hour,C3737)</f>
        <v>0</v>
      </c>
      <c r="G3737" s="33">
        <f>IF(F3737&gt;0,1,0)</f>
        <v>0</v>
      </c>
      <c r="H3737" s="33">
        <f>COUNTIFS(Demand!$A$2:$A$4481,A3737,Demand!$B$2:$B$4481,B3737,Demand!$C$2:$C$4481,C3737)</f>
        <v>1</v>
      </c>
    </row>
    <row r="3738">
      <c r="A3738" s="32" t="str">
        <f>Demand!A3736</f>
        <v>S014</v>
      </c>
      <c r="B3738" s="35">
        <f>Demand!B3736</f>
        <v>46277.0</v>
      </c>
      <c r="C3738" s="33">
        <f>Demand!C3736</f>
        <v>14</v>
      </c>
      <c r="D3738" s="33">
        <f>Demand!E3736</f>
        <v>25</v>
      </c>
      <c r="E3738" s="33">
        <f>IF(Demand!F3736,1,0)</f>
        <v>0</v>
      </c>
      <c r="F3738" s="33">
        <f>COUNTIFS(c_store,A3738,c_date,B3738,c_hour,C3738)</f>
        <v>0</v>
      </c>
      <c r="G3738" s="33">
        <f>IF(F3738&gt;0,1,0)</f>
        <v>0</v>
      </c>
      <c r="H3738" s="33">
        <f>COUNTIFS(Demand!$A$2:$A$4481,A3738,Demand!$B$2:$B$4481,B3738,Demand!$C$2:$C$4481,C3738)</f>
        <v>1</v>
      </c>
    </row>
    <row r="3739">
      <c r="A3739" s="32" t="str">
        <f>Demand!A3737</f>
        <v>S014</v>
      </c>
      <c r="B3739" s="35">
        <f>Demand!B3737</f>
        <v>46277.0</v>
      </c>
      <c r="C3739" s="33">
        <f>Demand!C3737</f>
        <v>15</v>
      </c>
      <c r="D3739" s="33">
        <f>Demand!E3737</f>
        <v>22</v>
      </c>
      <c r="E3739" s="33">
        <f>IF(Demand!F3737,1,0)</f>
        <v>0</v>
      </c>
      <c r="F3739" s="33">
        <f>COUNTIFS(c_store,A3739,c_date,B3739,c_hour,C3739)</f>
        <v>1</v>
      </c>
      <c r="G3739" s="33">
        <f>IF(F3739&gt;0,1,0)</f>
        <v>1</v>
      </c>
      <c r="H3739" s="33">
        <f>COUNTIFS(Demand!$A$2:$A$4481,A3739,Demand!$B$2:$B$4481,B3739,Demand!$C$2:$C$4481,C3739)</f>
        <v>1</v>
      </c>
    </row>
    <row r="3740">
      <c r="A3740" s="32" t="str">
        <f>Demand!A3738</f>
        <v>S014</v>
      </c>
      <c r="B3740" s="35">
        <f>Demand!B3738</f>
        <v>46277.0</v>
      </c>
      <c r="C3740" s="33">
        <f>Demand!C3738</f>
        <v>16</v>
      </c>
      <c r="D3740" s="33">
        <f>Demand!E3738</f>
        <v>36</v>
      </c>
      <c r="E3740" s="33">
        <f>IF(Demand!F3738,1,0)</f>
        <v>0</v>
      </c>
      <c r="F3740" s="33">
        <f>COUNTIFS(c_store,A3740,c_date,B3740,c_hour,C3740)</f>
        <v>1</v>
      </c>
      <c r="G3740" s="33">
        <f>IF(F3740&gt;0,1,0)</f>
        <v>1</v>
      </c>
      <c r="H3740" s="33">
        <f>COUNTIFS(Demand!$A$2:$A$4481,A3740,Demand!$B$2:$B$4481,B3740,Demand!$C$2:$C$4481,C3740)</f>
        <v>1</v>
      </c>
    </row>
    <row r="3741">
      <c r="A3741" s="32" t="str">
        <f>Demand!A3739</f>
        <v>S014</v>
      </c>
      <c r="B3741" s="35">
        <f>Demand!B3739</f>
        <v>46277.0</v>
      </c>
      <c r="C3741" s="33">
        <f>Demand!C3739</f>
        <v>17</v>
      </c>
      <c r="D3741" s="33">
        <f>Demand!E3739</f>
        <v>46</v>
      </c>
      <c r="E3741" s="33">
        <f>IF(Demand!F3739,1,0)</f>
        <v>0</v>
      </c>
      <c r="F3741" s="33">
        <f>COUNTIFS(c_store,A3741,c_date,B3741,c_hour,C3741)</f>
        <v>0</v>
      </c>
      <c r="G3741" s="33">
        <f>IF(F3741&gt;0,1,0)</f>
        <v>0</v>
      </c>
      <c r="H3741" s="33">
        <f>COUNTIFS(Demand!$A$2:$A$4481,A3741,Demand!$B$2:$B$4481,B3741,Demand!$C$2:$C$4481,C3741)</f>
        <v>1</v>
      </c>
    </row>
    <row r="3742">
      <c r="A3742" s="32" t="str">
        <f>Demand!A3740</f>
        <v>S014</v>
      </c>
      <c r="B3742" s="35">
        <f>Demand!B3740</f>
        <v>46277.0</v>
      </c>
      <c r="C3742" s="33">
        <f>Demand!C3740</f>
        <v>18</v>
      </c>
      <c r="D3742" s="33">
        <f>Demand!E3740</f>
        <v>47</v>
      </c>
      <c r="E3742" s="33">
        <f>IF(Demand!F3740,1,0)</f>
        <v>0</v>
      </c>
      <c r="F3742" s="33">
        <f>COUNTIFS(c_store,A3742,c_date,B3742,c_hour,C3742)</f>
        <v>0</v>
      </c>
      <c r="G3742" s="33">
        <f>IF(F3742&gt;0,1,0)</f>
        <v>0</v>
      </c>
      <c r="H3742" s="33">
        <f>COUNTIFS(Demand!$A$2:$A$4481,A3742,Demand!$B$2:$B$4481,B3742,Demand!$C$2:$C$4481,C3742)</f>
        <v>1</v>
      </c>
    </row>
    <row r="3743">
      <c r="A3743" s="32" t="str">
        <f>Demand!A3741</f>
        <v>S014</v>
      </c>
      <c r="B3743" s="35">
        <f>Demand!B3741</f>
        <v>46277.0</v>
      </c>
      <c r="C3743" s="33">
        <f>Demand!C3741</f>
        <v>19</v>
      </c>
      <c r="D3743" s="33">
        <f>Demand!E3741</f>
        <v>59</v>
      </c>
      <c r="E3743" s="33">
        <f>IF(Demand!F3741,1,0)</f>
        <v>1</v>
      </c>
      <c r="F3743" s="33">
        <f>COUNTIFS(c_store,A3743,c_date,B3743,c_hour,C3743)</f>
        <v>0</v>
      </c>
      <c r="G3743" s="33">
        <f>IF(F3743&gt;0,1,0)</f>
        <v>0</v>
      </c>
      <c r="H3743" s="33">
        <f>COUNTIFS(Demand!$A$2:$A$4481,A3743,Demand!$B$2:$B$4481,B3743,Demand!$C$2:$C$4481,C3743)</f>
        <v>1</v>
      </c>
    </row>
    <row r="3744">
      <c r="A3744" s="32" t="str">
        <f>Demand!A3742</f>
        <v>S014</v>
      </c>
      <c r="B3744" s="35">
        <f>Demand!B3742</f>
        <v>46277.0</v>
      </c>
      <c r="C3744" s="33">
        <f>Demand!C3742</f>
        <v>20</v>
      </c>
      <c r="D3744" s="33">
        <f>Demand!E3742</f>
        <v>47</v>
      </c>
      <c r="E3744" s="33">
        <f>IF(Demand!F3742,1,0)</f>
        <v>1</v>
      </c>
      <c r="F3744" s="33">
        <f>COUNTIFS(c_store,A3744,c_date,B3744,c_hour,C3744)</f>
        <v>0</v>
      </c>
      <c r="G3744" s="33">
        <f>IF(F3744&gt;0,1,0)</f>
        <v>0</v>
      </c>
      <c r="H3744" s="33">
        <f>COUNTIFS(Demand!$A$2:$A$4481,A3744,Demand!$B$2:$B$4481,B3744,Demand!$C$2:$C$4481,C3744)</f>
        <v>1</v>
      </c>
    </row>
    <row r="3745">
      <c r="A3745" s="32" t="str">
        <f>Demand!A3743</f>
        <v>S014</v>
      </c>
      <c r="B3745" s="35">
        <f>Demand!B3743</f>
        <v>46277.0</v>
      </c>
      <c r="C3745" s="33">
        <f>Demand!C3743</f>
        <v>21</v>
      </c>
      <c r="D3745" s="33">
        <f>Demand!E3743</f>
        <v>65</v>
      </c>
      <c r="E3745" s="33">
        <f>IF(Demand!F3743,1,0)</f>
        <v>1</v>
      </c>
      <c r="F3745" s="33">
        <f>COUNTIFS(c_store,A3745,c_date,B3745,c_hour,C3745)</f>
        <v>1</v>
      </c>
      <c r="G3745" s="33">
        <f>IF(F3745&gt;0,1,0)</f>
        <v>1</v>
      </c>
      <c r="H3745" s="33">
        <f>COUNTIFS(Demand!$A$2:$A$4481,A3745,Demand!$B$2:$B$4481,B3745,Demand!$C$2:$C$4481,C3745)</f>
        <v>1</v>
      </c>
    </row>
    <row r="3746">
      <c r="A3746" s="32" t="str">
        <f>Demand!A3744</f>
        <v>S014</v>
      </c>
      <c r="B3746" s="35">
        <f>Demand!B3744</f>
        <v>46277.0</v>
      </c>
      <c r="C3746" s="33">
        <f>Demand!C3744</f>
        <v>22</v>
      </c>
      <c r="D3746" s="33">
        <f>Demand!E3744</f>
        <v>38</v>
      </c>
      <c r="E3746" s="33">
        <f>IF(Demand!F3744,1,0)</f>
        <v>0</v>
      </c>
      <c r="F3746" s="33">
        <f>COUNTIFS(c_store,A3746,c_date,B3746,c_hour,C3746)</f>
        <v>0</v>
      </c>
      <c r="G3746" s="33">
        <f>IF(F3746&gt;0,1,0)</f>
        <v>0</v>
      </c>
      <c r="H3746" s="33">
        <f>COUNTIFS(Demand!$A$2:$A$4481,A3746,Demand!$B$2:$B$4481,B3746,Demand!$C$2:$C$4481,C3746)</f>
        <v>1</v>
      </c>
    </row>
    <row r="3747">
      <c r="A3747" s="32" t="str">
        <f>Demand!A3745</f>
        <v>S014</v>
      </c>
      <c r="B3747" s="35">
        <f>Demand!B3745</f>
        <v>46277.0</v>
      </c>
      <c r="C3747" s="33">
        <f>Demand!C3745</f>
        <v>23</v>
      </c>
      <c r="D3747" s="33">
        <f>Demand!E3745</f>
        <v>44</v>
      </c>
      <c r="E3747" s="33">
        <f>IF(Demand!F3745,1,0)</f>
        <v>0</v>
      </c>
      <c r="F3747" s="33">
        <f>COUNTIFS(c_store,A3747,c_date,B3747,c_hour,C3747)</f>
        <v>0</v>
      </c>
      <c r="G3747" s="33">
        <f>IF(F3747&gt;0,1,0)</f>
        <v>0</v>
      </c>
      <c r="H3747" s="33">
        <f>COUNTIFS(Demand!$A$2:$A$4481,A3747,Demand!$B$2:$B$4481,B3747,Demand!$C$2:$C$4481,C3747)</f>
        <v>1</v>
      </c>
    </row>
    <row r="3748">
      <c r="A3748" s="32" t="str">
        <f>Demand!A3746</f>
        <v>S015</v>
      </c>
      <c r="B3748" s="35">
        <f>Demand!B3746</f>
        <v>46277.0</v>
      </c>
      <c r="C3748" s="33">
        <f>Demand!C3746</f>
        <v>8</v>
      </c>
      <c r="D3748" s="33">
        <f>Demand!E3746</f>
        <v>16</v>
      </c>
      <c r="E3748" s="33">
        <f>IF(Demand!F3746,1,0)</f>
        <v>0</v>
      </c>
      <c r="F3748" s="33">
        <f>COUNTIFS(c_store,A3748,c_date,B3748,c_hour,C3748)</f>
        <v>0</v>
      </c>
      <c r="G3748" s="33">
        <f>IF(F3748&gt;0,1,0)</f>
        <v>0</v>
      </c>
      <c r="H3748" s="33">
        <f>COUNTIFS(Demand!$A$2:$A$4481,A3748,Demand!$B$2:$B$4481,B3748,Demand!$C$2:$C$4481,C3748)</f>
        <v>1</v>
      </c>
    </row>
    <row r="3749">
      <c r="A3749" s="32" t="str">
        <f>Demand!A3747</f>
        <v>S015</v>
      </c>
      <c r="B3749" s="35">
        <f>Demand!B3747</f>
        <v>46277.0</v>
      </c>
      <c r="C3749" s="33">
        <f>Demand!C3747</f>
        <v>9</v>
      </c>
      <c r="D3749" s="33">
        <f>Demand!E3747</f>
        <v>24</v>
      </c>
      <c r="E3749" s="33">
        <f>IF(Demand!F3747,1,0)</f>
        <v>0</v>
      </c>
      <c r="F3749" s="33">
        <f>COUNTIFS(c_store,A3749,c_date,B3749,c_hour,C3749)</f>
        <v>0</v>
      </c>
      <c r="G3749" s="33">
        <f>IF(F3749&gt;0,1,0)</f>
        <v>0</v>
      </c>
      <c r="H3749" s="33">
        <f>COUNTIFS(Demand!$A$2:$A$4481,A3749,Demand!$B$2:$B$4481,B3749,Demand!$C$2:$C$4481,C3749)</f>
        <v>1</v>
      </c>
    </row>
    <row r="3750">
      <c r="A3750" s="32" t="str">
        <f>Demand!A3748</f>
        <v>S015</v>
      </c>
      <c r="B3750" s="35">
        <f>Demand!B3748</f>
        <v>46277.0</v>
      </c>
      <c r="C3750" s="33">
        <f>Demand!C3748</f>
        <v>10</v>
      </c>
      <c r="D3750" s="33">
        <f>Demand!E3748</f>
        <v>18</v>
      </c>
      <c r="E3750" s="33">
        <f>IF(Demand!F3748,1,0)</f>
        <v>0</v>
      </c>
      <c r="F3750" s="33">
        <f>COUNTIFS(c_store,A3750,c_date,B3750,c_hour,C3750)</f>
        <v>0</v>
      </c>
      <c r="G3750" s="33">
        <f>IF(F3750&gt;0,1,0)</f>
        <v>0</v>
      </c>
      <c r="H3750" s="33">
        <f>COUNTIFS(Demand!$A$2:$A$4481,A3750,Demand!$B$2:$B$4481,B3750,Demand!$C$2:$C$4481,C3750)</f>
        <v>1</v>
      </c>
    </row>
    <row r="3751">
      <c r="A3751" s="32" t="str">
        <f>Demand!A3749</f>
        <v>S015</v>
      </c>
      <c r="B3751" s="35">
        <f>Demand!B3749</f>
        <v>46277.0</v>
      </c>
      <c r="C3751" s="33">
        <f>Demand!C3749</f>
        <v>11</v>
      </c>
      <c r="D3751" s="33">
        <f>Demand!E3749</f>
        <v>30</v>
      </c>
      <c r="E3751" s="33">
        <f>IF(Demand!F3749,1,0)</f>
        <v>0</v>
      </c>
      <c r="F3751" s="33">
        <f>COUNTIFS(c_store,A3751,c_date,B3751,c_hour,C3751)</f>
        <v>0</v>
      </c>
      <c r="G3751" s="33">
        <f>IF(F3751&gt;0,1,0)</f>
        <v>0</v>
      </c>
      <c r="H3751" s="33">
        <f>COUNTIFS(Demand!$A$2:$A$4481,A3751,Demand!$B$2:$B$4481,B3751,Demand!$C$2:$C$4481,C3751)</f>
        <v>1</v>
      </c>
    </row>
    <row r="3752">
      <c r="A3752" s="32" t="str">
        <f>Demand!A3750</f>
        <v>S015</v>
      </c>
      <c r="B3752" s="35">
        <f>Demand!B3750</f>
        <v>46277.0</v>
      </c>
      <c r="C3752" s="33">
        <f>Demand!C3750</f>
        <v>12</v>
      </c>
      <c r="D3752" s="33">
        <f>Demand!E3750</f>
        <v>25</v>
      </c>
      <c r="E3752" s="33">
        <f>IF(Demand!F3750,1,0)</f>
        <v>0</v>
      </c>
      <c r="F3752" s="33">
        <f>COUNTIFS(c_store,A3752,c_date,B3752,c_hour,C3752)</f>
        <v>0</v>
      </c>
      <c r="G3752" s="33">
        <f>IF(F3752&gt;0,1,0)</f>
        <v>0</v>
      </c>
      <c r="H3752" s="33">
        <f>COUNTIFS(Demand!$A$2:$A$4481,A3752,Demand!$B$2:$B$4481,B3752,Demand!$C$2:$C$4481,C3752)</f>
        <v>1</v>
      </c>
    </row>
    <row r="3753">
      <c r="A3753" s="32" t="str">
        <f>Demand!A3751</f>
        <v>S015</v>
      </c>
      <c r="B3753" s="35">
        <f>Demand!B3751</f>
        <v>46277.0</v>
      </c>
      <c r="C3753" s="33">
        <f>Demand!C3751</f>
        <v>13</v>
      </c>
      <c r="D3753" s="33">
        <f>Demand!E3751</f>
        <v>18</v>
      </c>
      <c r="E3753" s="33">
        <f>IF(Demand!F3751,1,0)</f>
        <v>0</v>
      </c>
      <c r="F3753" s="33">
        <f>COUNTIFS(c_store,A3753,c_date,B3753,c_hour,C3753)</f>
        <v>0</v>
      </c>
      <c r="G3753" s="33">
        <f>IF(F3753&gt;0,1,0)</f>
        <v>0</v>
      </c>
      <c r="H3753" s="33">
        <f>COUNTIFS(Demand!$A$2:$A$4481,A3753,Demand!$B$2:$B$4481,B3753,Demand!$C$2:$C$4481,C3753)</f>
        <v>1</v>
      </c>
    </row>
    <row r="3754">
      <c r="A3754" s="32" t="str">
        <f>Demand!A3752</f>
        <v>S015</v>
      </c>
      <c r="B3754" s="35">
        <f>Demand!B3752</f>
        <v>46277.0</v>
      </c>
      <c r="C3754" s="33">
        <f>Demand!C3752</f>
        <v>14</v>
      </c>
      <c r="D3754" s="33">
        <f>Demand!E3752</f>
        <v>13</v>
      </c>
      <c r="E3754" s="33">
        <f>IF(Demand!F3752,1,0)</f>
        <v>0</v>
      </c>
      <c r="F3754" s="33">
        <f>COUNTIFS(c_store,A3754,c_date,B3754,c_hour,C3754)</f>
        <v>2</v>
      </c>
      <c r="G3754" s="33">
        <f>IF(F3754&gt;0,1,0)</f>
        <v>1</v>
      </c>
      <c r="H3754" s="33">
        <f>COUNTIFS(Demand!$A$2:$A$4481,A3754,Demand!$B$2:$B$4481,B3754,Demand!$C$2:$C$4481,C3754)</f>
        <v>1</v>
      </c>
    </row>
    <row r="3755">
      <c r="A3755" s="32" t="str">
        <f>Demand!A3753</f>
        <v>S015</v>
      </c>
      <c r="B3755" s="35">
        <f>Demand!B3753</f>
        <v>46277.0</v>
      </c>
      <c r="C3755" s="33">
        <f>Demand!C3753</f>
        <v>15</v>
      </c>
      <c r="D3755" s="33">
        <f>Demand!E3753</f>
        <v>16</v>
      </c>
      <c r="E3755" s="33">
        <f>IF(Demand!F3753,1,0)</f>
        <v>0</v>
      </c>
      <c r="F3755" s="33">
        <f>COUNTIFS(c_store,A3755,c_date,B3755,c_hour,C3755)</f>
        <v>1</v>
      </c>
      <c r="G3755" s="33">
        <f>IF(F3755&gt;0,1,0)</f>
        <v>1</v>
      </c>
      <c r="H3755" s="33">
        <f>COUNTIFS(Demand!$A$2:$A$4481,A3755,Demand!$B$2:$B$4481,B3755,Demand!$C$2:$C$4481,C3755)</f>
        <v>1</v>
      </c>
    </row>
    <row r="3756">
      <c r="A3756" s="32" t="str">
        <f>Demand!A3754</f>
        <v>S015</v>
      </c>
      <c r="B3756" s="35">
        <f>Demand!B3754</f>
        <v>46277.0</v>
      </c>
      <c r="C3756" s="33">
        <f>Demand!C3754</f>
        <v>16</v>
      </c>
      <c r="D3756" s="33">
        <f>Demand!E3754</f>
        <v>23</v>
      </c>
      <c r="E3756" s="33">
        <f>IF(Demand!F3754,1,0)</f>
        <v>0</v>
      </c>
      <c r="F3756" s="33">
        <f>COUNTIFS(c_store,A3756,c_date,B3756,c_hour,C3756)</f>
        <v>0</v>
      </c>
      <c r="G3756" s="33">
        <f>IF(F3756&gt;0,1,0)</f>
        <v>0</v>
      </c>
      <c r="H3756" s="33">
        <f>COUNTIFS(Demand!$A$2:$A$4481,A3756,Demand!$B$2:$B$4481,B3756,Demand!$C$2:$C$4481,C3756)</f>
        <v>1</v>
      </c>
    </row>
    <row r="3757">
      <c r="A3757" s="32" t="str">
        <f>Demand!A3755</f>
        <v>S015</v>
      </c>
      <c r="B3757" s="35">
        <f>Demand!B3755</f>
        <v>46277.0</v>
      </c>
      <c r="C3757" s="33">
        <f>Demand!C3755</f>
        <v>17</v>
      </c>
      <c r="D3757" s="33">
        <f>Demand!E3755</f>
        <v>26</v>
      </c>
      <c r="E3757" s="33">
        <f>IF(Demand!F3755,1,0)</f>
        <v>0</v>
      </c>
      <c r="F3757" s="33">
        <f>COUNTIFS(c_store,A3757,c_date,B3757,c_hour,C3757)</f>
        <v>0</v>
      </c>
      <c r="G3757" s="33">
        <f>IF(F3757&gt;0,1,0)</f>
        <v>0</v>
      </c>
      <c r="H3757" s="33">
        <f>COUNTIFS(Demand!$A$2:$A$4481,A3757,Demand!$B$2:$B$4481,B3757,Demand!$C$2:$C$4481,C3757)</f>
        <v>1</v>
      </c>
    </row>
    <row r="3758">
      <c r="A3758" s="32" t="str">
        <f>Demand!A3756</f>
        <v>S015</v>
      </c>
      <c r="B3758" s="35">
        <f>Demand!B3756</f>
        <v>46277.0</v>
      </c>
      <c r="C3758" s="33">
        <f>Demand!C3756</f>
        <v>18</v>
      </c>
      <c r="D3758" s="33">
        <f>Demand!E3756</f>
        <v>27</v>
      </c>
      <c r="E3758" s="33">
        <f>IF(Demand!F3756,1,0)</f>
        <v>0</v>
      </c>
      <c r="F3758" s="33">
        <f>COUNTIFS(c_store,A3758,c_date,B3758,c_hour,C3758)</f>
        <v>0</v>
      </c>
      <c r="G3758" s="33">
        <f>IF(F3758&gt;0,1,0)</f>
        <v>0</v>
      </c>
      <c r="H3758" s="33">
        <f>COUNTIFS(Demand!$A$2:$A$4481,A3758,Demand!$B$2:$B$4481,B3758,Demand!$C$2:$C$4481,C3758)</f>
        <v>1</v>
      </c>
    </row>
    <row r="3759">
      <c r="A3759" s="32" t="str">
        <f>Demand!A3757</f>
        <v>S015</v>
      </c>
      <c r="B3759" s="35">
        <f>Demand!B3757</f>
        <v>46277.0</v>
      </c>
      <c r="C3759" s="33">
        <f>Demand!C3757</f>
        <v>19</v>
      </c>
      <c r="D3759" s="33">
        <f>Demand!E3757</f>
        <v>39</v>
      </c>
      <c r="E3759" s="33">
        <f>IF(Demand!F3757,1,0)</f>
        <v>1</v>
      </c>
      <c r="F3759" s="33">
        <f>COUNTIFS(c_store,A3759,c_date,B3759,c_hour,C3759)</f>
        <v>0</v>
      </c>
      <c r="G3759" s="33">
        <f>IF(F3759&gt;0,1,0)</f>
        <v>0</v>
      </c>
      <c r="H3759" s="33">
        <f>COUNTIFS(Demand!$A$2:$A$4481,A3759,Demand!$B$2:$B$4481,B3759,Demand!$C$2:$C$4481,C3759)</f>
        <v>1</v>
      </c>
    </row>
    <row r="3760">
      <c r="A3760" s="32" t="str">
        <f>Demand!A3758</f>
        <v>S015</v>
      </c>
      <c r="B3760" s="35">
        <f>Demand!B3758</f>
        <v>46277.0</v>
      </c>
      <c r="C3760" s="33">
        <f>Demand!C3758</f>
        <v>20</v>
      </c>
      <c r="D3760" s="33">
        <f>Demand!E3758</f>
        <v>41</v>
      </c>
      <c r="E3760" s="33">
        <f>IF(Demand!F3758,1,0)</f>
        <v>1</v>
      </c>
      <c r="F3760" s="33">
        <f>COUNTIFS(c_store,A3760,c_date,B3760,c_hour,C3760)</f>
        <v>0</v>
      </c>
      <c r="G3760" s="33">
        <f>IF(F3760&gt;0,1,0)</f>
        <v>0</v>
      </c>
      <c r="H3760" s="33">
        <f>COUNTIFS(Demand!$A$2:$A$4481,A3760,Demand!$B$2:$B$4481,B3760,Demand!$C$2:$C$4481,C3760)</f>
        <v>1</v>
      </c>
    </row>
    <row r="3761">
      <c r="A3761" s="32" t="str">
        <f>Demand!A3759</f>
        <v>S015</v>
      </c>
      <c r="B3761" s="35">
        <f>Demand!B3759</f>
        <v>46277.0</v>
      </c>
      <c r="C3761" s="33">
        <f>Demand!C3759</f>
        <v>21</v>
      </c>
      <c r="D3761" s="33">
        <f>Demand!E3759</f>
        <v>37</v>
      </c>
      <c r="E3761" s="33">
        <f>IF(Demand!F3759,1,0)</f>
        <v>1</v>
      </c>
      <c r="F3761" s="33">
        <f>COUNTIFS(c_store,A3761,c_date,B3761,c_hour,C3761)</f>
        <v>0</v>
      </c>
      <c r="G3761" s="33">
        <f>IF(F3761&gt;0,1,0)</f>
        <v>0</v>
      </c>
      <c r="H3761" s="33">
        <f>COUNTIFS(Demand!$A$2:$A$4481,A3761,Demand!$B$2:$B$4481,B3761,Demand!$C$2:$C$4481,C3761)</f>
        <v>1</v>
      </c>
    </row>
    <row r="3762">
      <c r="A3762" s="32" t="str">
        <f>Demand!A3760</f>
        <v>S015</v>
      </c>
      <c r="B3762" s="35">
        <f>Demand!B3760</f>
        <v>46277.0</v>
      </c>
      <c r="C3762" s="33">
        <f>Demand!C3760</f>
        <v>22</v>
      </c>
      <c r="D3762" s="33">
        <f>Demand!E3760</f>
        <v>32</v>
      </c>
      <c r="E3762" s="33">
        <f>IF(Demand!F3760,1,0)</f>
        <v>0</v>
      </c>
      <c r="F3762" s="33">
        <f>COUNTIFS(c_store,A3762,c_date,B3762,c_hour,C3762)</f>
        <v>1</v>
      </c>
      <c r="G3762" s="33">
        <f>IF(F3762&gt;0,1,0)</f>
        <v>1</v>
      </c>
      <c r="H3762" s="33">
        <f>COUNTIFS(Demand!$A$2:$A$4481,A3762,Demand!$B$2:$B$4481,B3762,Demand!$C$2:$C$4481,C3762)</f>
        <v>1</v>
      </c>
    </row>
    <row r="3763">
      <c r="A3763" s="32" t="str">
        <f>Demand!A3761</f>
        <v>S015</v>
      </c>
      <c r="B3763" s="35">
        <f>Demand!B3761</f>
        <v>46277.0</v>
      </c>
      <c r="C3763" s="33">
        <f>Demand!C3761</f>
        <v>23</v>
      </c>
      <c r="D3763" s="33">
        <f>Demand!E3761</f>
        <v>20</v>
      </c>
      <c r="E3763" s="33">
        <f>IF(Demand!F3761,1,0)</f>
        <v>0</v>
      </c>
      <c r="F3763" s="33">
        <f>COUNTIFS(c_store,A3763,c_date,B3763,c_hour,C3763)</f>
        <v>1</v>
      </c>
      <c r="G3763" s="33">
        <f>IF(F3763&gt;0,1,0)</f>
        <v>1</v>
      </c>
      <c r="H3763" s="33">
        <f>COUNTIFS(Demand!$A$2:$A$4481,A3763,Demand!$B$2:$B$4481,B3763,Demand!$C$2:$C$4481,C3763)</f>
        <v>1</v>
      </c>
    </row>
    <row r="3764">
      <c r="A3764" s="32" t="str">
        <f>Demand!A3762</f>
        <v>S016</v>
      </c>
      <c r="B3764" s="35">
        <f>Demand!B3762</f>
        <v>46277.0</v>
      </c>
      <c r="C3764" s="33">
        <f>Demand!C3762</f>
        <v>8</v>
      </c>
      <c r="D3764" s="33">
        <f>Demand!E3762</f>
        <v>16</v>
      </c>
      <c r="E3764" s="33">
        <f>IF(Demand!F3762,1,0)</f>
        <v>0</v>
      </c>
      <c r="F3764" s="33">
        <f>COUNTIFS(c_store,A3764,c_date,B3764,c_hour,C3764)</f>
        <v>1</v>
      </c>
      <c r="G3764" s="33">
        <f>IF(F3764&gt;0,1,0)</f>
        <v>1</v>
      </c>
      <c r="H3764" s="33">
        <f>COUNTIFS(Demand!$A$2:$A$4481,A3764,Demand!$B$2:$B$4481,B3764,Demand!$C$2:$C$4481,C3764)</f>
        <v>1</v>
      </c>
    </row>
    <row r="3765">
      <c r="A3765" s="32" t="str">
        <f>Demand!A3763</f>
        <v>S016</v>
      </c>
      <c r="B3765" s="35">
        <f>Demand!B3763</f>
        <v>46277.0</v>
      </c>
      <c r="C3765" s="33">
        <f>Demand!C3763</f>
        <v>9</v>
      </c>
      <c r="D3765" s="33">
        <f>Demand!E3763</f>
        <v>18</v>
      </c>
      <c r="E3765" s="33">
        <f>IF(Demand!F3763,1,0)</f>
        <v>0</v>
      </c>
      <c r="F3765" s="33">
        <f>COUNTIFS(c_store,A3765,c_date,B3765,c_hour,C3765)</f>
        <v>0</v>
      </c>
      <c r="G3765" s="33">
        <f>IF(F3765&gt;0,1,0)</f>
        <v>0</v>
      </c>
      <c r="H3765" s="33">
        <f>COUNTIFS(Demand!$A$2:$A$4481,A3765,Demand!$B$2:$B$4481,B3765,Demand!$C$2:$C$4481,C3765)</f>
        <v>1</v>
      </c>
    </row>
    <row r="3766">
      <c r="A3766" s="32" t="str">
        <f>Demand!A3764</f>
        <v>S016</v>
      </c>
      <c r="B3766" s="35">
        <f>Demand!B3764</f>
        <v>46277.0</v>
      </c>
      <c r="C3766" s="33">
        <f>Demand!C3764</f>
        <v>10</v>
      </c>
      <c r="D3766" s="33">
        <f>Demand!E3764</f>
        <v>20</v>
      </c>
      <c r="E3766" s="33">
        <f>IF(Demand!F3764,1,0)</f>
        <v>0</v>
      </c>
      <c r="F3766" s="33">
        <f>COUNTIFS(c_store,A3766,c_date,B3766,c_hour,C3766)</f>
        <v>0</v>
      </c>
      <c r="G3766" s="33">
        <f>IF(F3766&gt;0,1,0)</f>
        <v>0</v>
      </c>
      <c r="H3766" s="33">
        <f>COUNTIFS(Demand!$A$2:$A$4481,A3766,Demand!$B$2:$B$4481,B3766,Demand!$C$2:$C$4481,C3766)</f>
        <v>1</v>
      </c>
    </row>
    <row r="3767">
      <c r="A3767" s="32" t="str">
        <f>Demand!A3765</f>
        <v>S016</v>
      </c>
      <c r="B3767" s="35">
        <f>Demand!B3765</f>
        <v>46277.0</v>
      </c>
      <c r="C3767" s="33">
        <f>Demand!C3765</f>
        <v>11</v>
      </c>
      <c r="D3767" s="33">
        <f>Demand!E3765</f>
        <v>22</v>
      </c>
      <c r="E3767" s="33">
        <f>IF(Demand!F3765,1,0)</f>
        <v>0</v>
      </c>
      <c r="F3767" s="33">
        <f>COUNTIFS(c_store,A3767,c_date,B3767,c_hour,C3767)</f>
        <v>0</v>
      </c>
      <c r="G3767" s="33">
        <f>IF(F3767&gt;0,1,0)</f>
        <v>0</v>
      </c>
      <c r="H3767" s="33">
        <f>COUNTIFS(Demand!$A$2:$A$4481,A3767,Demand!$B$2:$B$4481,B3767,Demand!$C$2:$C$4481,C3767)</f>
        <v>1</v>
      </c>
    </row>
    <row r="3768">
      <c r="A3768" s="32" t="str">
        <f>Demand!A3766</f>
        <v>S016</v>
      </c>
      <c r="B3768" s="35">
        <f>Demand!B3766</f>
        <v>46277.0</v>
      </c>
      <c r="C3768" s="33">
        <f>Demand!C3766</f>
        <v>12</v>
      </c>
      <c r="D3768" s="33">
        <f>Demand!E3766</f>
        <v>33</v>
      </c>
      <c r="E3768" s="33">
        <f>IF(Demand!F3766,1,0)</f>
        <v>0</v>
      </c>
      <c r="F3768" s="33">
        <f>COUNTIFS(c_store,A3768,c_date,B3768,c_hour,C3768)</f>
        <v>0</v>
      </c>
      <c r="G3768" s="33">
        <f>IF(F3768&gt;0,1,0)</f>
        <v>0</v>
      </c>
      <c r="H3768" s="33">
        <f>COUNTIFS(Demand!$A$2:$A$4481,A3768,Demand!$B$2:$B$4481,B3768,Demand!$C$2:$C$4481,C3768)</f>
        <v>1</v>
      </c>
    </row>
    <row r="3769">
      <c r="A3769" s="32" t="str">
        <f>Demand!A3767</f>
        <v>S016</v>
      </c>
      <c r="B3769" s="35">
        <f>Demand!B3767</f>
        <v>46277.0</v>
      </c>
      <c r="C3769" s="33">
        <f>Demand!C3767</f>
        <v>13</v>
      </c>
      <c r="D3769" s="33">
        <f>Demand!E3767</f>
        <v>28</v>
      </c>
      <c r="E3769" s="33">
        <f>IF(Demand!F3767,1,0)</f>
        <v>0</v>
      </c>
      <c r="F3769" s="33">
        <f>COUNTIFS(c_store,A3769,c_date,B3769,c_hour,C3769)</f>
        <v>0</v>
      </c>
      <c r="G3769" s="33">
        <f>IF(F3769&gt;0,1,0)</f>
        <v>0</v>
      </c>
      <c r="H3769" s="33">
        <f>COUNTIFS(Demand!$A$2:$A$4481,A3769,Demand!$B$2:$B$4481,B3769,Demand!$C$2:$C$4481,C3769)</f>
        <v>1</v>
      </c>
    </row>
    <row r="3770">
      <c r="A3770" s="32" t="str">
        <f>Demand!A3768</f>
        <v>S016</v>
      </c>
      <c r="B3770" s="35">
        <f>Demand!B3768</f>
        <v>46277.0</v>
      </c>
      <c r="C3770" s="33">
        <f>Demand!C3768</f>
        <v>14</v>
      </c>
      <c r="D3770" s="33">
        <f>Demand!E3768</f>
        <v>8</v>
      </c>
      <c r="E3770" s="33">
        <f>IF(Demand!F3768,1,0)</f>
        <v>0</v>
      </c>
      <c r="F3770" s="33">
        <f>COUNTIFS(c_store,A3770,c_date,B3770,c_hour,C3770)</f>
        <v>0</v>
      </c>
      <c r="G3770" s="33">
        <f>IF(F3770&gt;0,1,0)</f>
        <v>0</v>
      </c>
      <c r="H3770" s="33">
        <f>COUNTIFS(Demand!$A$2:$A$4481,A3770,Demand!$B$2:$B$4481,B3770,Demand!$C$2:$C$4481,C3770)</f>
        <v>1</v>
      </c>
    </row>
    <row r="3771">
      <c r="A3771" s="32" t="str">
        <f>Demand!A3769</f>
        <v>S016</v>
      </c>
      <c r="B3771" s="35">
        <f>Demand!B3769</f>
        <v>46277.0</v>
      </c>
      <c r="C3771" s="33">
        <f>Demand!C3769</f>
        <v>15</v>
      </c>
      <c r="D3771" s="33">
        <f>Demand!E3769</f>
        <v>25</v>
      </c>
      <c r="E3771" s="33">
        <f>IF(Demand!F3769,1,0)</f>
        <v>0</v>
      </c>
      <c r="F3771" s="33">
        <f>COUNTIFS(c_store,A3771,c_date,B3771,c_hour,C3771)</f>
        <v>0</v>
      </c>
      <c r="G3771" s="33">
        <f>IF(F3771&gt;0,1,0)</f>
        <v>0</v>
      </c>
      <c r="H3771" s="33">
        <f>COUNTIFS(Demand!$A$2:$A$4481,A3771,Demand!$B$2:$B$4481,B3771,Demand!$C$2:$C$4481,C3771)</f>
        <v>1</v>
      </c>
    </row>
    <row r="3772">
      <c r="A3772" s="32" t="str">
        <f>Demand!A3770</f>
        <v>S016</v>
      </c>
      <c r="B3772" s="35">
        <f>Demand!B3770</f>
        <v>46277.0</v>
      </c>
      <c r="C3772" s="33">
        <f>Demand!C3770</f>
        <v>16</v>
      </c>
      <c r="D3772" s="33">
        <f>Demand!E3770</f>
        <v>22</v>
      </c>
      <c r="E3772" s="33">
        <f>IF(Demand!F3770,1,0)</f>
        <v>0</v>
      </c>
      <c r="F3772" s="33">
        <f>COUNTIFS(c_store,A3772,c_date,B3772,c_hour,C3772)</f>
        <v>0</v>
      </c>
      <c r="G3772" s="33">
        <f>IF(F3772&gt;0,1,0)</f>
        <v>0</v>
      </c>
      <c r="H3772" s="33">
        <f>COUNTIFS(Demand!$A$2:$A$4481,A3772,Demand!$B$2:$B$4481,B3772,Demand!$C$2:$C$4481,C3772)</f>
        <v>1</v>
      </c>
    </row>
    <row r="3773">
      <c r="A3773" s="32" t="str">
        <f>Demand!A3771</f>
        <v>S016</v>
      </c>
      <c r="B3773" s="35">
        <f>Demand!B3771</f>
        <v>46277.0</v>
      </c>
      <c r="C3773" s="33">
        <f>Demand!C3771</f>
        <v>17</v>
      </c>
      <c r="D3773" s="33">
        <f>Demand!E3771</f>
        <v>22</v>
      </c>
      <c r="E3773" s="33">
        <f>IF(Demand!F3771,1,0)</f>
        <v>0</v>
      </c>
      <c r="F3773" s="33">
        <f>COUNTIFS(c_store,A3773,c_date,B3773,c_hour,C3773)</f>
        <v>1</v>
      </c>
      <c r="G3773" s="33">
        <f>IF(F3773&gt;0,1,0)</f>
        <v>1</v>
      </c>
      <c r="H3773" s="33">
        <f>COUNTIFS(Demand!$A$2:$A$4481,A3773,Demand!$B$2:$B$4481,B3773,Demand!$C$2:$C$4481,C3773)</f>
        <v>1</v>
      </c>
    </row>
    <row r="3774">
      <c r="A3774" s="32" t="str">
        <f>Demand!A3772</f>
        <v>S016</v>
      </c>
      <c r="B3774" s="35">
        <f>Demand!B3772</f>
        <v>46277.0</v>
      </c>
      <c r="C3774" s="33">
        <f>Demand!C3772</f>
        <v>18</v>
      </c>
      <c r="D3774" s="33">
        <f>Demand!E3772</f>
        <v>28</v>
      </c>
      <c r="E3774" s="33">
        <f>IF(Demand!F3772,1,0)</f>
        <v>0</v>
      </c>
      <c r="F3774" s="33">
        <f>COUNTIFS(c_store,A3774,c_date,B3774,c_hour,C3774)</f>
        <v>0</v>
      </c>
      <c r="G3774" s="33">
        <f>IF(F3774&gt;0,1,0)</f>
        <v>0</v>
      </c>
      <c r="H3774" s="33">
        <f>COUNTIFS(Demand!$A$2:$A$4481,A3774,Demand!$B$2:$B$4481,B3774,Demand!$C$2:$C$4481,C3774)</f>
        <v>1</v>
      </c>
    </row>
    <row r="3775">
      <c r="A3775" s="32" t="str">
        <f>Demand!A3773</f>
        <v>S016</v>
      </c>
      <c r="B3775" s="35">
        <f>Demand!B3773</f>
        <v>46277.0</v>
      </c>
      <c r="C3775" s="33">
        <f>Demand!C3773</f>
        <v>19</v>
      </c>
      <c r="D3775" s="33">
        <f>Demand!E3773</f>
        <v>43</v>
      </c>
      <c r="E3775" s="33">
        <f>IF(Demand!F3773,1,0)</f>
        <v>1</v>
      </c>
      <c r="F3775" s="33">
        <f>COUNTIFS(c_store,A3775,c_date,B3775,c_hour,C3775)</f>
        <v>0</v>
      </c>
      <c r="G3775" s="33">
        <f>IF(F3775&gt;0,1,0)</f>
        <v>0</v>
      </c>
      <c r="H3775" s="33">
        <f>COUNTIFS(Demand!$A$2:$A$4481,A3775,Demand!$B$2:$B$4481,B3775,Demand!$C$2:$C$4481,C3775)</f>
        <v>1</v>
      </c>
    </row>
    <row r="3776">
      <c r="A3776" s="32" t="str">
        <f>Demand!A3774</f>
        <v>S016</v>
      </c>
      <c r="B3776" s="35">
        <f>Demand!B3774</f>
        <v>46277.0</v>
      </c>
      <c r="C3776" s="33">
        <f>Demand!C3774</f>
        <v>20</v>
      </c>
      <c r="D3776" s="33">
        <f>Demand!E3774</f>
        <v>33</v>
      </c>
      <c r="E3776" s="33">
        <f>IF(Demand!F3774,1,0)</f>
        <v>1</v>
      </c>
      <c r="F3776" s="33">
        <f>COUNTIFS(c_store,A3776,c_date,B3776,c_hour,C3776)</f>
        <v>1</v>
      </c>
      <c r="G3776" s="33">
        <f>IF(F3776&gt;0,1,0)</f>
        <v>1</v>
      </c>
      <c r="H3776" s="33">
        <f>COUNTIFS(Demand!$A$2:$A$4481,A3776,Demand!$B$2:$B$4481,B3776,Demand!$C$2:$C$4481,C3776)</f>
        <v>1</v>
      </c>
    </row>
    <row r="3777">
      <c r="A3777" s="32" t="str">
        <f>Demand!A3775</f>
        <v>S016</v>
      </c>
      <c r="B3777" s="35">
        <f>Demand!B3775</f>
        <v>46277.0</v>
      </c>
      <c r="C3777" s="33">
        <f>Demand!C3775</f>
        <v>21</v>
      </c>
      <c r="D3777" s="33">
        <f>Demand!E3775</f>
        <v>36</v>
      </c>
      <c r="E3777" s="33">
        <f>IF(Demand!F3775,1,0)</f>
        <v>1</v>
      </c>
      <c r="F3777" s="33">
        <f>COUNTIFS(c_store,A3777,c_date,B3777,c_hour,C3777)</f>
        <v>1</v>
      </c>
      <c r="G3777" s="33">
        <f>IF(F3777&gt;0,1,0)</f>
        <v>1</v>
      </c>
      <c r="H3777" s="33">
        <f>COUNTIFS(Demand!$A$2:$A$4481,A3777,Demand!$B$2:$B$4481,B3777,Demand!$C$2:$C$4481,C3777)</f>
        <v>1</v>
      </c>
    </row>
    <row r="3778">
      <c r="A3778" s="32" t="str">
        <f>Demand!A3776</f>
        <v>S016</v>
      </c>
      <c r="B3778" s="35">
        <f>Demand!B3776</f>
        <v>46277.0</v>
      </c>
      <c r="C3778" s="33">
        <f>Demand!C3776</f>
        <v>22</v>
      </c>
      <c r="D3778" s="33">
        <f>Demand!E3776</f>
        <v>35</v>
      </c>
      <c r="E3778" s="33">
        <f>IF(Demand!F3776,1,0)</f>
        <v>0</v>
      </c>
      <c r="F3778" s="33">
        <f>COUNTIFS(c_store,A3778,c_date,B3778,c_hour,C3778)</f>
        <v>1</v>
      </c>
      <c r="G3778" s="33">
        <f>IF(F3778&gt;0,1,0)</f>
        <v>1</v>
      </c>
      <c r="H3778" s="33">
        <f>COUNTIFS(Demand!$A$2:$A$4481,A3778,Demand!$B$2:$B$4481,B3778,Demand!$C$2:$C$4481,C3778)</f>
        <v>1</v>
      </c>
    </row>
    <row r="3779">
      <c r="A3779" s="32" t="str">
        <f>Demand!A3777</f>
        <v>S016</v>
      </c>
      <c r="B3779" s="35">
        <f>Demand!B3777</f>
        <v>46277.0</v>
      </c>
      <c r="C3779" s="33">
        <f>Demand!C3777</f>
        <v>23</v>
      </c>
      <c r="D3779" s="33">
        <f>Demand!E3777</f>
        <v>27</v>
      </c>
      <c r="E3779" s="33">
        <f>IF(Demand!F3777,1,0)</f>
        <v>0</v>
      </c>
      <c r="F3779" s="33">
        <f>COUNTIFS(c_store,A3779,c_date,B3779,c_hour,C3779)</f>
        <v>1</v>
      </c>
      <c r="G3779" s="33">
        <f>IF(F3779&gt;0,1,0)</f>
        <v>1</v>
      </c>
      <c r="H3779" s="33">
        <f>COUNTIFS(Demand!$A$2:$A$4481,A3779,Demand!$B$2:$B$4481,B3779,Demand!$C$2:$C$4481,C3779)</f>
        <v>1</v>
      </c>
    </row>
    <row r="3780">
      <c r="A3780" s="32" t="str">
        <f>Demand!A3778</f>
        <v>S017</v>
      </c>
      <c r="B3780" s="35">
        <f>Demand!B3778</f>
        <v>46277.0</v>
      </c>
      <c r="C3780" s="33">
        <f>Demand!C3778</f>
        <v>8</v>
      </c>
      <c r="D3780" s="33">
        <f>Demand!E3778</f>
        <v>14</v>
      </c>
      <c r="E3780" s="33">
        <f>IF(Demand!F3778,1,0)</f>
        <v>0</v>
      </c>
      <c r="F3780" s="33">
        <f>COUNTIFS(c_store,A3780,c_date,B3780,c_hour,C3780)</f>
        <v>0</v>
      </c>
      <c r="G3780" s="33">
        <f>IF(F3780&gt;0,1,0)</f>
        <v>0</v>
      </c>
      <c r="H3780" s="33">
        <f>COUNTIFS(Demand!$A$2:$A$4481,A3780,Demand!$B$2:$B$4481,B3780,Demand!$C$2:$C$4481,C3780)</f>
        <v>1</v>
      </c>
    </row>
    <row r="3781">
      <c r="A3781" s="32" t="str">
        <f>Demand!A3779</f>
        <v>S017</v>
      </c>
      <c r="B3781" s="35">
        <f>Demand!B3779</f>
        <v>46277.0</v>
      </c>
      <c r="C3781" s="33">
        <f>Demand!C3779</f>
        <v>9</v>
      </c>
      <c r="D3781" s="33">
        <f>Demand!E3779</f>
        <v>25</v>
      </c>
      <c r="E3781" s="33">
        <f>IF(Demand!F3779,1,0)</f>
        <v>0</v>
      </c>
      <c r="F3781" s="33">
        <f>COUNTIFS(c_store,A3781,c_date,B3781,c_hour,C3781)</f>
        <v>0</v>
      </c>
      <c r="G3781" s="33">
        <f>IF(F3781&gt;0,1,0)</f>
        <v>0</v>
      </c>
      <c r="H3781" s="33">
        <f>COUNTIFS(Demand!$A$2:$A$4481,A3781,Demand!$B$2:$B$4481,B3781,Demand!$C$2:$C$4481,C3781)</f>
        <v>1</v>
      </c>
    </row>
    <row r="3782">
      <c r="A3782" s="32" t="str">
        <f>Demand!A3780</f>
        <v>S017</v>
      </c>
      <c r="B3782" s="35">
        <f>Demand!B3780</f>
        <v>46277.0</v>
      </c>
      <c r="C3782" s="33">
        <f>Demand!C3780</f>
        <v>10</v>
      </c>
      <c r="D3782" s="33">
        <f>Demand!E3780</f>
        <v>25</v>
      </c>
      <c r="E3782" s="33">
        <f>IF(Demand!F3780,1,0)</f>
        <v>0</v>
      </c>
      <c r="F3782" s="33">
        <f>COUNTIFS(c_store,A3782,c_date,B3782,c_hour,C3782)</f>
        <v>0</v>
      </c>
      <c r="G3782" s="33">
        <f>IF(F3782&gt;0,1,0)</f>
        <v>0</v>
      </c>
      <c r="H3782" s="33">
        <f>COUNTIFS(Demand!$A$2:$A$4481,A3782,Demand!$B$2:$B$4481,B3782,Demand!$C$2:$C$4481,C3782)</f>
        <v>1</v>
      </c>
    </row>
    <row r="3783">
      <c r="A3783" s="32" t="str">
        <f>Demand!A3781</f>
        <v>S017</v>
      </c>
      <c r="B3783" s="35">
        <f>Demand!B3781</f>
        <v>46277.0</v>
      </c>
      <c r="C3783" s="33">
        <f>Demand!C3781</f>
        <v>11</v>
      </c>
      <c r="D3783" s="33">
        <f>Demand!E3781</f>
        <v>52</v>
      </c>
      <c r="E3783" s="33">
        <f>IF(Demand!F3781,1,0)</f>
        <v>0</v>
      </c>
      <c r="F3783" s="33">
        <f>COUNTIFS(c_store,A3783,c_date,B3783,c_hour,C3783)</f>
        <v>0</v>
      </c>
      <c r="G3783" s="33">
        <f>IF(F3783&gt;0,1,0)</f>
        <v>0</v>
      </c>
      <c r="H3783" s="33">
        <f>COUNTIFS(Demand!$A$2:$A$4481,A3783,Demand!$B$2:$B$4481,B3783,Demand!$C$2:$C$4481,C3783)</f>
        <v>1</v>
      </c>
    </row>
    <row r="3784">
      <c r="A3784" s="32" t="str">
        <f>Demand!A3782</f>
        <v>S017</v>
      </c>
      <c r="B3784" s="35">
        <f>Demand!B3782</f>
        <v>46277.0</v>
      </c>
      <c r="C3784" s="33">
        <f>Demand!C3782</f>
        <v>12</v>
      </c>
      <c r="D3784" s="33">
        <f>Demand!E3782</f>
        <v>41</v>
      </c>
      <c r="E3784" s="33">
        <f>IF(Demand!F3782,1,0)</f>
        <v>0</v>
      </c>
      <c r="F3784" s="33">
        <f>COUNTIFS(c_store,A3784,c_date,B3784,c_hour,C3784)</f>
        <v>0</v>
      </c>
      <c r="G3784" s="33">
        <f>IF(F3784&gt;0,1,0)</f>
        <v>0</v>
      </c>
      <c r="H3784" s="33">
        <f>COUNTIFS(Demand!$A$2:$A$4481,A3784,Demand!$B$2:$B$4481,B3784,Demand!$C$2:$C$4481,C3784)</f>
        <v>1</v>
      </c>
    </row>
    <row r="3785">
      <c r="A3785" s="32" t="str">
        <f>Demand!A3783</f>
        <v>S017</v>
      </c>
      <c r="B3785" s="35">
        <f>Demand!B3783</f>
        <v>46277.0</v>
      </c>
      <c r="C3785" s="33">
        <f>Demand!C3783</f>
        <v>13</v>
      </c>
      <c r="D3785" s="33">
        <f>Demand!E3783</f>
        <v>32</v>
      </c>
      <c r="E3785" s="33">
        <f>IF(Demand!F3783,1,0)</f>
        <v>0</v>
      </c>
      <c r="F3785" s="33">
        <f>COUNTIFS(c_store,A3785,c_date,B3785,c_hour,C3785)</f>
        <v>0</v>
      </c>
      <c r="G3785" s="33">
        <f>IF(F3785&gt;0,1,0)</f>
        <v>0</v>
      </c>
      <c r="H3785" s="33">
        <f>COUNTIFS(Demand!$A$2:$A$4481,A3785,Demand!$B$2:$B$4481,B3785,Demand!$C$2:$C$4481,C3785)</f>
        <v>1</v>
      </c>
    </row>
    <row r="3786">
      <c r="A3786" s="32" t="str">
        <f>Demand!A3784</f>
        <v>S017</v>
      </c>
      <c r="B3786" s="35">
        <f>Demand!B3784</f>
        <v>46277.0</v>
      </c>
      <c r="C3786" s="33">
        <f>Demand!C3784</f>
        <v>14</v>
      </c>
      <c r="D3786" s="33">
        <f>Demand!E3784</f>
        <v>26</v>
      </c>
      <c r="E3786" s="33">
        <f>IF(Demand!F3784,1,0)</f>
        <v>0</v>
      </c>
      <c r="F3786" s="33">
        <f>COUNTIFS(c_store,A3786,c_date,B3786,c_hour,C3786)</f>
        <v>1</v>
      </c>
      <c r="G3786" s="33">
        <f>IF(F3786&gt;0,1,0)</f>
        <v>1</v>
      </c>
      <c r="H3786" s="33">
        <f>COUNTIFS(Demand!$A$2:$A$4481,A3786,Demand!$B$2:$B$4481,B3786,Demand!$C$2:$C$4481,C3786)</f>
        <v>1</v>
      </c>
    </row>
    <row r="3787">
      <c r="A3787" s="32" t="str">
        <f>Demand!A3785</f>
        <v>S017</v>
      </c>
      <c r="B3787" s="35">
        <f>Demand!B3785</f>
        <v>46277.0</v>
      </c>
      <c r="C3787" s="33">
        <f>Demand!C3785</f>
        <v>15</v>
      </c>
      <c r="D3787" s="33">
        <f>Demand!E3785</f>
        <v>19</v>
      </c>
      <c r="E3787" s="33">
        <f>IF(Demand!F3785,1,0)</f>
        <v>0</v>
      </c>
      <c r="F3787" s="33">
        <f>COUNTIFS(c_store,A3787,c_date,B3787,c_hour,C3787)</f>
        <v>0</v>
      </c>
      <c r="G3787" s="33">
        <f>IF(F3787&gt;0,1,0)</f>
        <v>0</v>
      </c>
      <c r="H3787" s="33">
        <f>COUNTIFS(Demand!$A$2:$A$4481,A3787,Demand!$B$2:$B$4481,B3787,Demand!$C$2:$C$4481,C3787)</f>
        <v>1</v>
      </c>
    </row>
    <row r="3788">
      <c r="A3788" s="32" t="str">
        <f>Demand!A3786</f>
        <v>S017</v>
      </c>
      <c r="B3788" s="35">
        <f>Demand!B3786</f>
        <v>46277.0</v>
      </c>
      <c r="C3788" s="33">
        <f>Demand!C3786</f>
        <v>16</v>
      </c>
      <c r="D3788" s="33">
        <f>Demand!E3786</f>
        <v>37</v>
      </c>
      <c r="E3788" s="33">
        <f>IF(Demand!F3786,1,0)</f>
        <v>0</v>
      </c>
      <c r="F3788" s="33">
        <f>COUNTIFS(c_store,A3788,c_date,B3788,c_hour,C3788)</f>
        <v>0</v>
      </c>
      <c r="G3788" s="33">
        <f>IF(F3788&gt;0,1,0)</f>
        <v>0</v>
      </c>
      <c r="H3788" s="33">
        <f>COUNTIFS(Demand!$A$2:$A$4481,A3788,Demand!$B$2:$B$4481,B3788,Demand!$C$2:$C$4481,C3788)</f>
        <v>1</v>
      </c>
    </row>
    <row r="3789">
      <c r="A3789" s="32" t="str">
        <f>Demand!A3787</f>
        <v>S017</v>
      </c>
      <c r="B3789" s="35">
        <f>Demand!B3787</f>
        <v>46277.0</v>
      </c>
      <c r="C3789" s="33">
        <f>Demand!C3787</f>
        <v>17</v>
      </c>
      <c r="D3789" s="33">
        <f>Demand!E3787</f>
        <v>29</v>
      </c>
      <c r="E3789" s="33">
        <f>IF(Demand!F3787,1,0)</f>
        <v>0</v>
      </c>
      <c r="F3789" s="33">
        <f>COUNTIFS(c_store,A3789,c_date,B3789,c_hour,C3789)</f>
        <v>2</v>
      </c>
      <c r="G3789" s="33">
        <f>IF(F3789&gt;0,1,0)</f>
        <v>1</v>
      </c>
      <c r="H3789" s="33">
        <f>COUNTIFS(Demand!$A$2:$A$4481,A3789,Demand!$B$2:$B$4481,B3789,Demand!$C$2:$C$4481,C3789)</f>
        <v>1</v>
      </c>
    </row>
    <row r="3790">
      <c r="A3790" s="32" t="str">
        <f>Demand!A3788</f>
        <v>S017</v>
      </c>
      <c r="B3790" s="35">
        <f>Demand!B3788</f>
        <v>46277.0</v>
      </c>
      <c r="C3790" s="33">
        <f>Demand!C3788</f>
        <v>18</v>
      </c>
      <c r="D3790" s="33">
        <f>Demand!E3788</f>
        <v>31</v>
      </c>
      <c r="E3790" s="33">
        <f>IF(Demand!F3788,1,0)</f>
        <v>0</v>
      </c>
      <c r="F3790" s="33">
        <f>COUNTIFS(c_store,A3790,c_date,B3790,c_hour,C3790)</f>
        <v>1</v>
      </c>
      <c r="G3790" s="33">
        <f>IF(F3790&gt;0,1,0)</f>
        <v>1</v>
      </c>
      <c r="H3790" s="33">
        <f>COUNTIFS(Demand!$A$2:$A$4481,A3790,Demand!$B$2:$B$4481,B3790,Demand!$C$2:$C$4481,C3790)</f>
        <v>1</v>
      </c>
    </row>
    <row r="3791">
      <c r="A3791" s="32" t="str">
        <f>Demand!A3789</f>
        <v>S017</v>
      </c>
      <c r="B3791" s="35">
        <f>Demand!B3789</f>
        <v>46277.0</v>
      </c>
      <c r="C3791" s="33">
        <f>Demand!C3789</f>
        <v>19</v>
      </c>
      <c r="D3791" s="33">
        <f>Demand!E3789</f>
        <v>51</v>
      </c>
      <c r="E3791" s="33">
        <f>IF(Demand!F3789,1,0)</f>
        <v>1</v>
      </c>
      <c r="F3791" s="33">
        <f>COUNTIFS(c_store,A3791,c_date,B3791,c_hour,C3791)</f>
        <v>0</v>
      </c>
      <c r="G3791" s="33">
        <f>IF(F3791&gt;0,1,0)</f>
        <v>0</v>
      </c>
      <c r="H3791" s="33">
        <f>COUNTIFS(Demand!$A$2:$A$4481,A3791,Demand!$B$2:$B$4481,B3791,Demand!$C$2:$C$4481,C3791)</f>
        <v>1</v>
      </c>
    </row>
    <row r="3792">
      <c r="A3792" s="32" t="str">
        <f>Demand!A3790</f>
        <v>S017</v>
      </c>
      <c r="B3792" s="35">
        <f>Demand!B3790</f>
        <v>46277.0</v>
      </c>
      <c r="C3792" s="33">
        <f>Demand!C3790</f>
        <v>20</v>
      </c>
      <c r="D3792" s="33">
        <f>Demand!E3790</f>
        <v>46</v>
      </c>
      <c r="E3792" s="33">
        <f>IF(Demand!F3790,1,0)</f>
        <v>1</v>
      </c>
      <c r="F3792" s="33">
        <f>COUNTIFS(c_store,A3792,c_date,B3792,c_hour,C3792)</f>
        <v>0</v>
      </c>
      <c r="G3792" s="33">
        <f>IF(F3792&gt;0,1,0)</f>
        <v>0</v>
      </c>
      <c r="H3792" s="33">
        <f>COUNTIFS(Demand!$A$2:$A$4481,A3792,Demand!$B$2:$B$4481,B3792,Demand!$C$2:$C$4481,C3792)</f>
        <v>1</v>
      </c>
    </row>
    <row r="3793">
      <c r="A3793" s="32" t="str">
        <f>Demand!A3791</f>
        <v>S017</v>
      </c>
      <c r="B3793" s="35">
        <f>Demand!B3791</f>
        <v>46277.0</v>
      </c>
      <c r="C3793" s="33">
        <f>Demand!C3791</f>
        <v>21</v>
      </c>
      <c r="D3793" s="33">
        <f>Demand!E3791</f>
        <v>56</v>
      </c>
      <c r="E3793" s="33">
        <f>IF(Demand!F3791,1,0)</f>
        <v>1</v>
      </c>
      <c r="F3793" s="33">
        <f>COUNTIFS(c_store,A3793,c_date,B3793,c_hour,C3793)</f>
        <v>0</v>
      </c>
      <c r="G3793" s="33">
        <f>IF(F3793&gt;0,1,0)</f>
        <v>0</v>
      </c>
      <c r="H3793" s="33">
        <f>COUNTIFS(Demand!$A$2:$A$4481,A3793,Demand!$B$2:$B$4481,B3793,Demand!$C$2:$C$4481,C3793)</f>
        <v>1</v>
      </c>
    </row>
    <row r="3794">
      <c r="A3794" s="32" t="str">
        <f>Demand!A3792</f>
        <v>S017</v>
      </c>
      <c r="B3794" s="35">
        <f>Demand!B3792</f>
        <v>46277.0</v>
      </c>
      <c r="C3794" s="33">
        <f>Demand!C3792</f>
        <v>22</v>
      </c>
      <c r="D3794" s="33">
        <f>Demand!E3792</f>
        <v>41</v>
      </c>
      <c r="E3794" s="33">
        <f>IF(Demand!F3792,1,0)</f>
        <v>0</v>
      </c>
      <c r="F3794" s="33">
        <f>COUNTIFS(c_store,A3794,c_date,B3794,c_hour,C3794)</f>
        <v>1</v>
      </c>
      <c r="G3794" s="33">
        <f>IF(F3794&gt;0,1,0)</f>
        <v>1</v>
      </c>
      <c r="H3794" s="33">
        <f>COUNTIFS(Demand!$A$2:$A$4481,A3794,Demand!$B$2:$B$4481,B3794,Demand!$C$2:$C$4481,C3794)</f>
        <v>1</v>
      </c>
    </row>
    <row r="3795">
      <c r="A3795" s="32" t="str">
        <f>Demand!A3793</f>
        <v>S017</v>
      </c>
      <c r="B3795" s="35">
        <f>Demand!B3793</f>
        <v>46277.0</v>
      </c>
      <c r="C3795" s="33">
        <f>Demand!C3793</f>
        <v>23</v>
      </c>
      <c r="D3795" s="33">
        <f>Demand!E3793</f>
        <v>47</v>
      </c>
      <c r="E3795" s="33">
        <f>IF(Demand!F3793,1,0)</f>
        <v>0</v>
      </c>
      <c r="F3795" s="33">
        <f>COUNTIFS(c_store,A3795,c_date,B3795,c_hour,C3795)</f>
        <v>0</v>
      </c>
      <c r="G3795" s="33">
        <f>IF(F3795&gt;0,1,0)</f>
        <v>0</v>
      </c>
      <c r="H3795" s="33">
        <f>COUNTIFS(Demand!$A$2:$A$4481,A3795,Demand!$B$2:$B$4481,B3795,Demand!$C$2:$C$4481,C3795)</f>
        <v>1</v>
      </c>
    </row>
    <row r="3796">
      <c r="A3796" s="32" t="str">
        <f>Demand!A3794</f>
        <v>S018</v>
      </c>
      <c r="B3796" s="35">
        <f>Demand!B3794</f>
        <v>46277.0</v>
      </c>
      <c r="C3796" s="33">
        <f>Demand!C3794</f>
        <v>8</v>
      </c>
      <c r="D3796" s="33">
        <f>Demand!E3794</f>
        <v>12</v>
      </c>
      <c r="E3796" s="33">
        <f>IF(Demand!F3794,1,0)</f>
        <v>0</v>
      </c>
      <c r="F3796" s="33">
        <f>COUNTIFS(c_store,A3796,c_date,B3796,c_hour,C3796)</f>
        <v>0</v>
      </c>
      <c r="G3796" s="33">
        <f>IF(F3796&gt;0,1,0)</f>
        <v>0</v>
      </c>
      <c r="H3796" s="33">
        <f>COUNTIFS(Demand!$A$2:$A$4481,A3796,Demand!$B$2:$B$4481,B3796,Demand!$C$2:$C$4481,C3796)</f>
        <v>1</v>
      </c>
    </row>
    <row r="3797">
      <c r="A3797" s="32" t="str">
        <f>Demand!A3795</f>
        <v>S018</v>
      </c>
      <c r="B3797" s="35">
        <f>Demand!B3795</f>
        <v>46277.0</v>
      </c>
      <c r="C3797" s="33">
        <f>Demand!C3795</f>
        <v>9</v>
      </c>
      <c r="D3797" s="33">
        <f>Demand!E3795</f>
        <v>9</v>
      </c>
      <c r="E3797" s="33">
        <f>IF(Demand!F3795,1,0)</f>
        <v>0</v>
      </c>
      <c r="F3797" s="33">
        <f>COUNTIFS(c_store,A3797,c_date,B3797,c_hour,C3797)</f>
        <v>0</v>
      </c>
      <c r="G3797" s="33">
        <f>IF(F3797&gt;0,1,0)</f>
        <v>0</v>
      </c>
      <c r="H3797" s="33">
        <f>COUNTIFS(Demand!$A$2:$A$4481,A3797,Demand!$B$2:$B$4481,B3797,Demand!$C$2:$C$4481,C3797)</f>
        <v>1</v>
      </c>
    </row>
    <row r="3798">
      <c r="A3798" s="32" t="str">
        <f>Demand!A3796</f>
        <v>S018</v>
      </c>
      <c r="B3798" s="35">
        <f>Demand!B3796</f>
        <v>46277.0</v>
      </c>
      <c r="C3798" s="33">
        <f>Demand!C3796</f>
        <v>10</v>
      </c>
      <c r="D3798" s="33">
        <f>Demand!E3796</f>
        <v>25</v>
      </c>
      <c r="E3798" s="33">
        <f>IF(Demand!F3796,1,0)</f>
        <v>0</v>
      </c>
      <c r="F3798" s="33">
        <f>COUNTIFS(c_store,A3798,c_date,B3798,c_hour,C3798)</f>
        <v>1</v>
      </c>
      <c r="G3798" s="33">
        <f>IF(F3798&gt;0,1,0)</f>
        <v>1</v>
      </c>
      <c r="H3798" s="33">
        <f>COUNTIFS(Demand!$A$2:$A$4481,A3798,Demand!$B$2:$B$4481,B3798,Demand!$C$2:$C$4481,C3798)</f>
        <v>1</v>
      </c>
    </row>
    <row r="3799">
      <c r="A3799" s="32" t="str">
        <f>Demand!A3797</f>
        <v>S018</v>
      </c>
      <c r="B3799" s="35">
        <f>Demand!B3797</f>
        <v>46277.0</v>
      </c>
      <c r="C3799" s="33">
        <f>Demand!C3797</f>
        <v>11</v>
      </c>
      <c r="D3799" s="33">
        <f>Demand!E3797</f>
        <v>21</v>
      </c>
      <c r="E3799" s="33">
        <f>IF(Demand!F3797,1,0)</f>
        <v>0</v>
      </c>
      <c r="F3799" s="33">
        <f>COUNTIFS(c_store,A3799,c_date,B3799,c_hour,C3799)</f>
        <v>1</v>
      </c>
      <c r="G3799" s="33">
        <f>IF(F3799&gt;0,1,0)</f>
        <v>1</v>
      </c>
      <c r="H3799" s="33">
        <f>COUNTIFS(Demand!$A$2:$A$4481,A3799,Demand!$B$2:$B$4481,B3799,Demand!$C$2:$C$4481,C3799)</f>
        <v>1</v>
      </c>
    </row>
    <row r="3800">
      <c r="A3800" s="32" t="str">
        <f>Demand!A3798</f>
        <v>S018</v>
      </c>
      <c r="B3800" s="35">
        <f>Demand!B3798</f>
        <v>46277.0</v>
      </c>
      <c r="C3800" s="33">
        <f>Demand!C3798</f>
        <v>12</v>
      </c>
      <c r="D3800" s="33">
        <f>Demand!E3798</f>
        <v>21</v>
      </c>
      <c r="E3800" s="33">
        <f>IF(Demand!F3798,1,0)</f>
        <v>0</v>
      </c>
      <c r="F3800" s="33">
        <f>COUNTIFS(c_store,A3800,c_date,B3800,c_hour,C3800)</f>
        <v>0</v>
      </c>
      <c r="G3800" s="33">
        <f>IF(F3800&gt;0,1,0)</f>
        <v>0</v>
      </c>
      <c r="H3800" s="33">
        <f>COUNTIFS(Demand!$A$2:$A$4481,A3800,Demand!$B$2:$B$4481,B3800,Demand!$C$2:$C$4481,C3800)</f>
        <v>1</v>
      </c>
    </row>
    <row r="3801">
      <c r="A3801" s="32" t="str">
        <f>Demand!A3799</f>
        <v>S018</v>
      </c>
      <c r="B3801" s="35">
        <f>Demand!B3799</f>
        <v>46277.0</v>
      </c>
      <c r="C3801" s="33">
        <f>Demand!C3799</f>
        <v>13</v>
      </c>
      <c r="D3801" s="33">
        <f>Demand!E3799</f>
        <v>24</v>
      </c>
      <c r="E3801" s="33">
        <f>IF(Demand!F3799,1,0)</f>
        <v>0</v>
      </c>
      <c r="F3801" s="33">
        <f>COUNTIFS(c_store,A3801,c_date,B3801,c_hour,C3801)</f>
        <v>1</v>
      </c>
      <c r="G3801" s="33">
        <f>IF(F3801&gt;0,1,0)</f>
        <v>1</v>
      </c>
      <c r="H3801" s="33">
        <f>COUNTIFS(Demand!$A$2:$A$4481,A3801,Demand!$B$2:$B$4481,B3801,Demand!$C$2:$C$4481,C3801)</f>
        <v>1</v>
      </c>
    </row>
    <row r="3802">
      <c r="A3802" s="32" t="str">
        <f>Demand!A3800</f>
        <v>S018</v>
      </c>
      <c r="B3802" s="35">
        <f>Demand!B3800</f>
        <v>46277.0</v>
      </c>
      <c r="C3802" s="33">
        <f>Demand!C3800</f>
        <v>14</v>
      </c>
      <c r="D3802" s="33">
        <f>Demand!E3800</f>
        <v>25</v>
      </c>
      <c r="E3802" s="33">
        <f>IF(Demand!F3800,1,0)</f>
        <v>0</v>
      </c>
      <c r="F3802" s="33">
        <f>COUNTIFS(c_store,A3802,c_date,B3802,c_hour,C3802)</f>
        <v>0</v>
      </c>
      <c r="G3802" s="33">
        <f>IF(F3802&gt;0,1,0)</f>
        <v>0</v>
      </c>
      <c r="H3802" s="33">
        <f>COUNTIFS(Demand!$A$2:$A$4481,A3802,Demand!$B$2:$B$4481,B3802,Demand!$C$2:$C$4481,C3802)</f>
        <v>1</v>
      </c>
    </row>
    <row r="3803">
      <c r="A3803" s="32" t="str">
        <f>Demand!A3801</f>
        <v>S018</v>
      </c>
      <c r="B3803" s="35">
        <f>Demand!B3801</f>
        <v>46277.0</v>
      </c>
      <c r="C3803" s="33">
        <f>Demand!C3801</f>
        <v>15</v>
      </c>
      <c r="D3803" s="33">
        <f>Demand!E3801</f>
        <v>21</v>
      </c>
      <c r="E3803" s="33">
        <f>IF(Demand!F3801,1,0)</f>
        <v>0</v>
      </c>
      <c r="F3803" s="33">
        <f>COUNTIFS(c_store,A3803,c_date,B3803,c_hour,C3803)</f>
        <v>2</v>
      </c>
      <c r="G3803" s="33">
        <f>IF(F3803&gt;0,1,0)</f>
        <v>1</v>
      </c>
      <c r="H3803" s="33">
        <f>COUNTIFS(Demand!$A$2:$A$4481,A3803,Demand!$B$2:$B$4481,B3803,Demand!$C$2:$C$4481,C3803)</f>
        <v>1</v>
      </c>
    </row>
    <row r="3804">
      <c r="A3804" s="32" t="str">
        <f>Demand!A3802</f>
        <v>S018</v>
      </c>
      <c r="B3804" s="35">
        <f>Demand!B3802</f>
        <v>46277.0</v>
      </c>
      <c r="C3804" s="33">
        <f>Demand!C3802</f>
        <v>16</v>
      </c>
      <c r="D3804" s="33">
        <f>Demand!E3802</f>
        <v>18</v>
      </c>
      <c r="E3804" s="33">
        <f>IF(Demand!F3802,1,0)</f>
        <v>0</v>
      </c>
      <c r="F3804" s="33">
        <f>COUNTIFS(c_store,A3804,c_date,B3804,c_hour,C3804)</f>
        <v>0</v>
      </c>
      <c r="G3804" s="33">
        <f>IF(F3804&gt;0,1,0)</f>
        <v>0</v>
      </c>
      <c r="H3804" s="33">
        <f>COUNTIFS(Demand!$A$2:$A$4481,A3804,Demand!$B$2:$B$4481,B3804,Demand!$C$2:$C$4481,C3804)</f>
        <v>1</v>
      </c>
    </row>
    <row r="3805">
      <c r="A3805" s="32" t="str">
        <f>Demand!A3803</f>
        <v>S018</v>
      </c>
      <c r="B3805" s="35">
        <f>Demand!B3803</f>
        <v>46277.0</v>
      </c>
      <c r="C3805" s="33">
        <f>Demand!C3803</f>
        <v>17</v>
      </c>
      <c r="D3805" s="33">
        <f>Demand!E3803</f>
        <v>21</v>
      </c>
      <c r="E3805" s="33">
        <f>IF(Demand!F3803,1,0)</f>
        <v>0</v>
      </c>
      <c r="F3805" s="33">
        <f>COUNTIFS(c_store,A3805,c_date,B3805,c_hour,C3805)</f>
        <v>1</v>
      </c>
      <c r="G3805" s="33">
        <f>IF(F3805&gt;0,1,0)</f>
        <v>1</v>
      </c>
      <c r="H3805" s="33">
        <f>COUNTIFS(Demand!$A$2:$A$4481,A3805,Demand!$B$2:$B$4481,B3805,Demand!$C$2:$C$4481,C3805)</f>
        <v>1</v>
      </c>
    </row>
    <row r="3806">
      <c r="A3806" s="32" t="str">
        <f>Demand!A3804</f>
        <v>S018</v>
      </c>
      <c r="B3806" s="35">
        <f>Demand!B3804</f>
        <v>46277.0</v>
      </c>
      <c r="C3806" s="33">
        <f>Demand!C3804</f>
        <v>18</v>
      </c>
      <c r="D3806" s="33">
        <f>Demand!E3804</f>
        <v>22</v>
      </c>
      <c r="E3806" s="33">
        <f>IF(Demand!F3804,1,0)</f>
        <v>0</v>
      </c>
      <c r="F3806" s="33">
        <f>COUNTIFS(c_store,A3806,c_date,B3806,c_hour,C3806)</f>
        <v>0</v>
      </c>
      <c r="G3806" s="33">
        <f>IF(F3806&gt;0,1,0)</f>
        <v>0</v>
      </c>
      <c r="H3806" s="33">
        <f>COUNTIFS(Demand!$A$2:$A$4481,A3806,Demand!$B$2:$B$4481,B3806,Demand!$C$2:$C$4481,C3806)</f>
        <v>1</v>
      </c>
    </row>
    <row r="3807">
      <c r="A3807" s="32" t="str">
        <f>Demand!A3805</f>
        <v>S018</v>
      </c>
      <c r="B3807" s="35">
        <f>Demand!B3805</f>
        <v>46277.0</v>
      </c>
      <c r="C3807" s="33">
        <f>Demand!C3805</f>
        <v>19</v>
      </c>
      <c r="D3807" s="33">
        <f>Demand!E3805</f>
        <v>35</v>
      </c>
      <c r="E3807" s="33">
        <f>IF(Demand!F3805,1,0)</f>
        <v>1</v>
      </c>
      <c r="F3807" s="33">
        <f>COUNTIFS(c_store,A3807,c_date,B3807,c_hour,C3807)</f>
        <v>0</v>
      </c>
      <c r="G3807" s="33">
        <f>IF(F3807&gt;0,1,0)</f>
        <v>0</v>
      </c>
      <c r="H3807" s="33">
        <f>COUNTIFS(Demand!$A$2:$A$4481,A3807,Demand!$B$2:$B$4481,B3807,Demand!$C$2:$C$4481,C3807)</f>
        <v>1</v>
      </c>
    </row>
    <row r="3808">
      <c r="A3808" s="32" t="str">
        <f>Demand!A3806</f>
        <v>S018</v>
      </c>
      <c r="B3808" s="35">
        <f>Demand!B3806</f>
        <v>46277.0</v>
      </c>
      <c r="C3808" s="33">
        <f>Demand!C3806</f>
        <v>20</v>
      </c>
      <c r="D3808" s="33">
        <f>Demand!E3806</f>
        <v>35</v>
      </c>
      <c r="E3808" s="33">
        <f>IF(Demand!F3806,1,0)</f>
        <v>1</v>
      </c>
      <c r="F3808" s="33">
        <f>COUNTIFS(c_store,A3808,c_date,B3808,c_hour,C3808)</f>
        <v>0</v>
      </c>
      <c r="G3808" s="33">
        <f>IF(F3808&gt;0,1,0)</f>
        <v>0</v>
      </c>
      <c r="H3808" s="33">
        <f>COUNTIFS(Demand!$A$2:$A$4481,A3808,Demand!$B$2:$B$4481,B3808,Demand!$C$2:$C$4481,C3808)</f>
        <v>1</v>
      </c>
    </row>
    <row r="3809">
      <c r="A3809" s="32" t="str">
        <f>Demand!A3807</f>
        <v>S018</v>
      </c>
      <c r="B3809" s="35">
        <f>Demand!B3807</f>
        <v>46277.0</v>
      </c>
      <c r="C3809" s="33">
        <f>Demand!C3807</f>
        <v>21</v>
      </c>
      <c r="D3809" s="33">
        <f>Demand!E3807</f>
        <v>44</v>
      </c>
      <c r="E3809" s="33">
        <f>IF(Demand!F3807,1,0)</f>
        <v>1</v>
      </c>
      <c r="F3809" s="33">
        <f>COUNTIFS(c_store,A3809,c_date,B3809,c_hour,C3809)</f>
        <v>0</v>
      </c>
      <c r="G3809" s="33">
        <f>IF(F3809&gt;0,1,0)</f>
        <v>0</v>
      </c>
      <c r="H3809" s="33">
        <f>COUNTIFS(Demand!$A$2:$A$4481,A3809,Demand!$B$2:$B$4481,B3809,Demand!$C$2:$C$4481,C3809)</f>
        <v>1</v>
      </c>
    </row>
    <row r="3810">
      <c r="A3810" s="32" t="str">
        <f>Demand!A3808</f>
        <v>S018</v>
      </c>
      <c r="B3810" s="35">
        <f>Demand!B3808</f>
        <v>46277.0</v>
      </c>
      <c r="C3810" s="33">
        <f>Demand!C3808</f>
        <v>22</v>
      </c>
      <c r="D3810" s="33">
        <f>Demand!E3808</f>
        <v>29</v>
      </c>
      <c r="E3810" s="33">
        <f>IF(Demand!F3808,1,0)</f>
        <v>0</v>
      </c>
      <c r="F3810" s="33">
        <f>COUNTIFS(c_store,A3810,c_date,B3810,c_hour,C3810)</f>
        <v>0</v>
      </c>
      <c r="G3810" s="33">
        <f>IF(F3810&gt;0,1,0)</f>
        <v>0</v>
      </c>
      <c r="H3810" s="33">
        <f>COUNTIFS(Demand!$A$2:$A$4481,A3810,Demand!$B$2:$B$4481,B3810,Demand!$C$2:$C$4481,C3810)</f>
        <v>1</v>
      </c>
    </row>
    <row r="3811">
      <c r="A3811" s="32" t="str">
        <f>Demand!A3809</f>
        <v>S018</v>
      </c>
      <c r="B3811" s="35">
        <f>Demand!B3809</f>
        <v>46277.0</v>
      </c>
      <c r="C3811" s="33">
        <f>Demand!C3809</f>
        <v>23</v>
      </c>
      <c r="D3811" s="33">
        <f>Demand!E3809</f>
        <v>22</v>
      </c>
      <c r="E3811" s="33">
        <f>IF(Demand!F3809,1,0)</f>
        <v>0</v>
      </c>
      <c r="F3811" s="33">
        <f>COUNTIFS(c_store,A3811,c_date,B3811,c_hour,C3811)</f>
        <v>0</v>
      </c>
      <c r="G3811" s="33">
        <f>IF(F3811&gt;0,1,0)</f>
        <v>0</v>
      </c>
      <c r="H3811" s="33">
        <f>COUNTIFS(Demand!$A$2:$A$4481,A3811,Demand!$B$2:$B$4481,B3811,Demand!$C$2:$C$4481,C3811)</f>
        <v>1</v>
      </c>
    </row>
    <row r="3812">
      <c r="A3812" s="32" t="str">
        <f>Demand!A3810</f>
        <v>S019</v>
      </c>
      <c r="B3812" s="35">
        <f>Demand!B3810</f>
        <v>46277.0</v>
      </c>
      <c r="C3812" s="33">
        <f>Demand!C3810</f>
        <v>8</v>
      </c>
      <c r="D3812" s="33">
        <f>Demand!E3810</f>
        <v>19</v>
      </c>
      <c r="E3812" s="33">
        <f>IF(Demand!F3810,1,0)</f>
        <v>0</v>
      </c>
      <c r="F3812" s="33">
        <f>COUNTIFS(c_store,A3812,c_date,B3812,c_hour,C3812)</f>
        <v>0</v>
      </c>
      <c r="G3812" s="33">
        <f>IF(F3812&gt;0,1,0)</f>
        <v>0</v>
      </c>
      <c r="H3812" s="33">
        <f>COUNTIFS(Demand!$A$2:$A$4481,A3812,Demand!$B$2:$B$4481,B3812,Demand!$C$2:$C$4481,C3812)</f>
        <v>1</v>
      </c>
    </row>
    <row r="3813">
      <c r="A3813" s="32" t="str">
        <f>Demand!A3811</f>
        <v>S019</v>
      </c>
      <c r="B3813" s="35">
        <f>Demand!B3811</f>
        <v>46277.0</v>
      </c>
      <c r="C3813" s="33">
        <f>Demand!C3811</f>
        <v>9</v>
      </c>
      <c r="D3813" s="33">
        <f>Demand!E3811</f>
        <v>20</v>
      </c>
      <c r="E3813" s="33">
        <f>IF(Demand!F3811,1,0)</f>
        <v>0</v>
      </c>
      <c r="F3813" s="33">
        <f>COUNTIFS(c_store,A3813,c_date,B3813,c_hour,C3813)</f>
        <v>0</v>
      </c>
      <c r="G3813" s="33">
        <f>IF(F3813&gt;0,1,0)</f>
        <v>0</v>
      </c>
      <c r="H3813" s="33">
        <f>COUNTIFS(Demand!$A$2:$A$4481,A3813,Demand!$B$2:$B$4481,B3813,Demand!$C$2:$C$4481,C3813)</f>
        <v>1</v>
      </c>
    </row>
    <row r="3814">
      <c r="A3814" s="32" t="str">
        <f>Demand!A3812</f>
        <v>S019</v>
      </c>
      <c r="B3814" s="35">
        <f>Demand!B3812</f>
        <v>46277.0</v>
      </c>
      <c r="C3814" s="33">
        <f>Demand!C3812</f>
        <v>10</v>
      </c>
      <c r="D3814" s="33">
        <f>Demand!E3812</f>
        <v>13</v>
      </c>
      <c r="E3814" s="33">
        <f>IF(Demand!F3812,1,0)</f>
        <v>0</v>
      </c>
      <c r="F3814" s="33">
        <f>COUNTIFS(c_store,A3814,c_date,B3814,c_hour,C3814)</f>
        <v>0</v>
      </c>
      <c r="G3814" s="33">
        <f>IF(F3814&gt;0,1,0)</f>
        <v>0</v>
      </c>
      <c r="H3814" s="33">
        <f>COUNTIFS(Demand!$A$2:$A$4481,A3814,Demand!$B$2:$B$4481,B3814,Demand!$C$2:$C$4481,C3814)</f>
        <v>1</v>
      </c>
    </row>
    <row r="3815">
      <c r="A3815" s="32" t="str">
        <f>Demand!A3813</f>
        <v>S019</v>
      </c>
      <c r="B3815" s="35">
        <f>Demand!B3813</f>
        <v>46277.0</v>
      </c>
      <c r="C3815" s="33">
        <f>Demand!C3813</f>
        <v>11</v>
      </c>
      <c r="D3815" s="33">
        <f>Demand!E3813</f>
        <v>22</v>
      </c>
      <c r="E3815" s="33">
        <f>IF(Demand!F3813,1,0)</f>
        <v>0</v>
      </c>
      <c r="F3815" s="33">
        <f>COUNTIFS(c_store,A3815,c_date,B3815,c_hour,C3815)</f>
        <v>2</v>
      </c>
      <c r="G3815" s="33">
        <f>IF(F3815&gt;0,1,0)</f>
        <v>1</v>
      </c>
      <c r="H3815" s="33">
        <f>COUNTIFS(Demand!$A$2:$A$4481,A3815,Demand!$B$2:$B$4481,B3815,Demand!$C$2:$C$4481,C3815)</f>
        <v>1</v>
      </c>
    </row>
    <row r="3816">
      <c r="A3816" s="32" t="str">
        <f>Demand!A3814</f>
        <v>S019</v>
      </c>
      <c r="B3816" s="35">
        <f>Demand!B3814</f>
        <v>46277.0</v>
      </c>
      <c r="C3816" s="33">
        <f>Demand!C3814</f>
        <v>12</v>
      </c>
      <c r="D3816" s="33">
        <f>Demand!E3814</f>
        <v>30</v>
      </c>
      <c r="E3816" s="33">
        <f>IF(Demand!F3814,1,0)</f>
        <v>0</v>
      </c>
      <c r="F3816" s="33">
        <f>COUNTIFS(c_store,A3816,c_date,B3816,c_hour,C3816)</f>
        <v>0</v>
      </c>
      <c r="G3816" s="33">
        <f>IF(F3816&gt;0,1,0)</f>
        <v>0</v>
      </c>
      <c r="H3816" s="33">
        <f>COUNTIFS(Demand!$A$2:$A$4481,A3816,Demand!$B$2:$B$4481,B3816,Demand!$C$2:$C$4481,C3816)</f>
        <v>1</v>
      </c>
    </row>
    <row r="3817">
      <c r="A3817" s="32" t="str">
        <f>Demand!A3815</f>
        <v>S019</v>
      </c>
      <c r="B3817" s="35">
        <f>Demand!B3815</f>
        <v>46277.0</v>
      </c>
      <c r="C3817" s="33">
        <f>Demand!C3815</f>
        <v>13</v>
      </c>
      <c r="D3817" s="33">
        <f>Demand!E3815</f>
        <v>17</v>
      </c>
      <c r="E3817" s="33">
        <f>IF(Demand!F3815,1,0)</f>
        <v>0</v>
      </c>
      <c r="F3817" s="33">
        <f>COUNTIFS(c_store,A3817,c_date,B3817,c_hour,C3817)</f>
        <v>1</v>
      </c>
      <c r="G3817" s="33">
        <f>IF(F3817&gt;0,1,0)</f>
        <v>1</v>
      </c>
      <c r="H3817" s="33">
        <f>COUNTIFS(Demand!$A$2:$A$4481,A3817,Demand!$B$2:$B$4481,B3817,Demand!$C$2:$C$4481,C3817)</f>
        <v>1</v>
      </c>
    </row>
    <row r="3818">
      <c r="A3818" s="32" t="str">
        <f>Demand!A3816</f>
        <v>S019</v>
      </c>
      <c r="B3818" s="35">
        <f>Demand!B3816</f>
        <v>46277.0</v>
      </c>
      <c r="C3818" s="33">
        <f>Demand!C3816</f>
        <v>14</v>
      </c>
      <c r="D3818" s="33">
        <f>Demand!E3816</f>
        <v>17</v>
      </c>
      <c r="E3818" s="33">
        <f>IF(Demand!F3816,1,0)</f>
        <v>0</v>
      </c>
      <c r="F3818" s="33">
        <f>COUNTIFS(c_store,A3818,c_date,B3818,c_hour,C3818)</f>
        <v>1</v>
      </c>
      <c r="G3818" s="33">
        <f>IF(F3818&gt;0,1,0)</f>
        <v>1</v>
      </c>
      <c r="H3818" s="33">
        <f>COUNTIFS(Demand!$A$2:$A$4481,A3818,Demand!$B$2:$B$4481,B3818,Demand!$C$2:$C$4481,C3818)</f>
        <v>1</v>
      </c>
    </row>
    <row r="3819">
      <c r="A3819" s="32" t="str">
        <f>Demand!A3817</f>
        <v>S019</v>
      </c>
      <c r="B3819" s="35">
        <f>Demand!B3817</f>
        <v>46277.0</v>
      </c>
      <c r="C3819" s="33">
        <f>Demand!C3817</f>
        <v>15</v>
      </c>
      <c r="D3819" s="33">
        <f>Demand!E3817</f>
        <v>20</v>
      </c>
      <c r="E3819" s="33">
        <f>IF(Demand!F3817,1,0)</f>
        <v>0</v>
      </c>
      <c r="F3819" s="33">
        <f>COUNTIFS(c_store,A3819,c_date,B3819,c_hour,C3819)</f>
        <v>0</v>
      </c>
      <c r="G3819" s="33">
        <f>IF(F3819&gt;0,1,0)</f>
        <v>0</v>
      </c>
      <c r="H3819" s="33">
        <f>COUNTIFS(Demand!$A$2:$A$4481,A3819,Demand!$B$2:$B$4481,B3819,Demand!$C$2:$C$4481,C3819)</f>
        <v>1</v>
      </c>
    </row>
    <row r="3820">
      <c r="A3820" s="32" t="str">
        <f>Demand!A3818</f>
        <v>S019</v>
      </c>
      <c r="B3820" s="35">
        <f>Demand!B3818</f>
        <v>46277.0</v>
      </c>
      <c r="C3820" s="33">
        <f>Demand!C3818</f>
        <v>16</v>
      </c>
      <c r="D3820" s="33">
        <f>Demand!E3818</f>
        <v>27</v>
      </c>
      <c r="E3820" s="33">
        <f>IF(Demand!F3818,1,0)</f>
        <v>0</v>
      </c>
      <c r="F3820" s="33">
        <f>COUNTIFS(c_store,A3820,c_date,B3820,c_hour,C3820)</f>
        <v>0</v>
      </c>
      <c r="G3820" s="33">
        <f>IF(F3820&gt;0,1,0)</f>
        <v>0</v>
      </c>
      <c r="H3820" s="33">
        <f>COUNTIFS(Demand!$A$2:$A$4481,A3820,Demand!$B$2:$B$4481,B3820,Demand!$C$2:$C$4481,C3820)</f>
        <v>1</v>
      </c>
    </row>
    <row r="3821">
      <c r="A3821" s="32" t="str">
        <f>Demand!A3819</f>
        <v>S019</v>
      </c>
      <c r="B3821" s="35">
        <f>Demand!B3819</f>
        <v>46277.0</v>
      </c>
      <c r="C3821" s="33">
        <f>Demand!C3819</f>
        <v>17</v>
      </c>
      <c r="D3821" s="33">
        <f>Demand!E3819</f>
        <v>19</v>
      </c>
      <c r="E3821" s="33">
        <f>IF(Demand!F3819,1,0)</f>
        <v>0</v>
      </c>
      <c r="F3821" s="33">
        <f>COUNTIFS(c_store,A3821,c_date,B3821,c_hour,C3821)</f>
        <v>0</v>
      </c>
      <c r="G3821" s="33">
        <f>IF(F3821&gt;0,1,0)</f>
        <v>0</v>
      </c>
      <c r="H3821" s="33">
        <f>COUNTIFS(Demand!$A$2:$A$4481,A3821,Demand!$B$2:$B$4481,B3821,Demand!$C$2:$C$4481,C3821)</f>
        <v>1</v>
      </c>
    </row>
    <row r="3822">
      <c r="A3822" s="32" t="str">
        <f>Demand!A3820</f>
        <v>S019</v>
      </c>
      <c r="B3822" s="35">
        <f>Demand!B3820</f>
        <v>46277.0</v>
      </c>
      <c r="C3822" s="33">
        <f>Demand!C3820</f>
        <v>18</v>
      </c>
      <c r="D3822" s="33">
        <f>Demand!E3820</f>
        <v>24</v>
      </c>
      <c r="E3822" s="33">
        <f>IF(Demand!F3820,1,0)</f>
        <v>0</v>
      </c>
      <c r="F3822" s="33">
        <f>COUNTIFS(c_store,A3822,c_date,B3822,c_hour,C3822)</f>
        <v>0</v>
      </c>
      <c r="G3822" s="33">
        <f>IF(F3822&gt;0,1,0)</f>
        <v>0</v>
      </c>
      <c r="H3822" s="33">
        <f>COUNTIFS(Demand!$A$2:$A$4481,A3822,Demand!$B$2:$B$4481,B3822,Demand!$C$2:$C$4481,C3822)</f>
        <v>1</v>
      </c>
    </row>
    <row r="3823">
      <c r="A3823" s="32" t="str">
        <f>Demand!A3821</f>
        <v>S019</v>
      </c>
      <c r="B3823" s="35">
        <f>Demand!B3821</f>
        <v>46277.0</v>
      </c>
      <c r="C3823" s="33">
        <f>Demand!C3821</f>
        <v>19</v>
      </c>
      <c r="D3823" s="33">
        <f>Demand!E3821</f>
        <v>31</v>
      </c>
      <c r="E3823" s="33">
        <f>IF(Demand!F3821,1,0)</f>
        <v>1</v>
      </c>
      <c r="F3823" s="33">
        <f>COUNTIFS(c_store,A3823,c_date,B3823,c_hour,C3823)</f>
        <v>0</v>
      </c>
      <c r="G3823" s="33">
        <f>IF(F3823&gt;0,1,0)</f>
        <v>0</v>
      </c>
      <c r="H3823" s="33">
        <f>COUNTIFS(Demand!$A$2:$A$4481,A3823,Demand!$B$2:$B$4481,B3823,Demand!$C$2:$C$4481,C3823)</f>
        <v>1</v>
      </c>
    </row>
    <row r="3824">
      <c r="A3824" s="32" t="str">
        <f>Demand!A3822</f>
        <v>S019</v>
      </c>
      <c r="B3824" s="35">
        <f>Demand!B3822</f>
        <v>46277.0</v>
      </c>
      <c r="C3824" s="33">
        <f>Demand!C3822</f>
        <v>20</v>
      </c>
      <c r="D3824" s="33">
        <f>Demand!E3822</f>
        <v>33</v>
      </c>
      <c r="E3824" s="33">
        <f>IF(Demand!F3822,1,0)</f>
        <v>1</v>
      </c>
      <c r="F3824" s="33">
        <f>COUNTIFS(c_store,A3824,c_date,B3824,c_hour,C3824)</f>
        <v>0</v>
      </c>
      <c r="G3824" s="33">
        <f>IF(F3824&gt;0,1,0)</f>
        <v>0</v>
      </c>
      <c r="H3824" s="33">
        <f>COUNTIFS(Demand!$A$2:$A$4481,A3824,Demand!$B$2:$B$4481,B3824,Demand!$C$2:$C$4481,C3824)</f>
        <v>1</v>
      </c>
    </row>
    <row r="3825">
      <c r="A3825" s="32" t="str">
        <f>Demand!A3823</f>
        <v>S019</v>
      </c>
      <c r="B3825" s="35">
        <f>Demand!B3823</f>
        <v>46277.0</v>
      </c>
      <c r="C3825" s="33">
        <f>Demand!C3823</f>
        <v>21</v>
      </c>
      <c r="D3825" s="33">
        <f>Demand!E3823</f>
        <v>39</v>
      </c>
      <c r="E3825" s="33">
        <f>IF(Demand!F3823,1,0)</f>
        <v>1</v>
      </c>
      <c r="F3825" s="33">
        <f>COUNTIFS(c_store,A3825,c_date,B3825,c_hour,C3825)</f>
        <v>0</v>
      </c>
      <c r="G3825" s="33">
        <f>IF(F3825&gt;0,1,0)</f>
        <v>0</v>
      </c>
      <c r="H3825" s="33">
        <f>COUNTIFS(Demand!$A$2:$A$4481,A3825,Demand!$B$2:$B$4481,B3825,Demand!$C$2:$C$4481,C3825)</f>
        <v>1</v>
      </c>
    </row>
    <row r="3826">
      <c r="A3826" s="32" t="str">
        <f>Demand!A3824</f>
        <v>S019</v>
      </c>
      <c r="B3826" s="35">
        <f>Demand!B3824</f>
        <v>46277.0</v>
      </c>
      <c r="C3826" s="33">
        <f>Demand!C3824</f>
        <v>22</v>
      </c>
      <c r="D3826" s="33">
        <f>Demand!E3824</f>
        <v>17</v>
      </c>
      <c r="E3826" s="33">
        <f>IF(Demand!F3824,1,0)</f>
        <v>0</v>
      </c>
      <c r="F3826" s="33">
        <f>COUNTIFS(c_store,A3826,c_date,B3826,c_hour,C3826)</f>
        <v>1</v>
      </c>
      <c r="G3826" s="33">
        <f>IF(F3826&gt;0,1,0)</f>
        <v>1</v>
      </c>
      <c r="H3826" s="33">
        <f>COUNTIFS(Demand!$A$2:$A$4481,A3826,Demand!$B$2:$B$4481,B3826,Demand!$C$2:$C$4481,C3826)</f>
        <v>1</v>
      </c>
    </row>
    <row r="3827">
      <c r="A3827" s="32" t="str">
        <f>Demand!A3825</f>
        <v>S019</v>
      </c>
      <c r="B3827" s="35">
        <f>Demand!B3825</f>
        <v>46277.0</v>
      </c>
      <c r="C3827" s="33">
        <f>Demand!C3825</f>
        <v>23</v>
      </c>
      <c r="D3827" s="33">
        <f>Demand!E3825</f>
        <v>25</v>
      </c>
      <c r="E3827" s="33">
        <f>IF(Demand!F3825,1,0)</f>
        <v>0</v>
      </c>
      <c r="F3827" s="33">
        <f>COUNTIFS(c_store,A3827,c_date,B3827,c_hour,C3827)</f>
        <v>1</v>
      </c>
      <c r="G3827" s="33">
        <f>IF(F3827&gt;0,1,0)</f>
        <v>1</v>
      </c>
      <c r="H3827" s="33">
        <f>COUNTIFS(Demand!$A$2:$A$4481,A3827,Demand!$B$2:$B$4481,B3827,Demand!$C$2:$C$4481,C3827)</f>
        <v>1</v>
      </c>
    </row>
    <row r="3828">
      <c r="A3828" s="32" t="str">
        <f>Demand!A3826</f>
        <v>S020</v>
      </c>
      <c r="B3828" s="35">
        <f>Demand!B3826</f>
        <v>46277.0</v>
      </c>
      <c r="C3828" s="33">
        <f>Demand!C3826</f>
        <v>8</v>
      </c>
      <c r="D3828" s="33">
        <f>Demand!E3826</f>
        <v>18</v>
      </c>
      <c r="E3828" s="33">
        <f>IF(Demand!F3826,1,0)</f>
        <v>0</v>
      </c>
      <c r="F3828" s="33">
        <f>COUNTIFS(c_store,A3828,c_date,B3828,c_hour,C3828)</f>
        <v>0</v>
      </c>
      <c r="G3828" s="33">
        <f>IF(F3828&gt;0,1,0)</f>
        <v>0</v>
      </c>
      <c r="H3828" s="33">
        <f>COUNTIFS(Demand!$A$2:$A$4481,A3828,Demand!$B$2:$B$4481,B3828,Demand!$C$2:$C$4481,C3828)</f>
        <v>1</v>
      </c>
    </row>
    <row r="3829">
      <c r="A3829" s="32" t="str">
        <f>Demand!A3827</f>
        <v>S020</v>
      </c>
      <c r="B3829" s="35">
        <f>Demand!B3827</f>
        <v>46277.0</v>
      </c>
      <c r="C3829" s="33">
        <f>Demand!C3827</f>
        <v>9</v>
      </c>
      <c r="D3829" s="33">
        <f>Demand!E3827</f>
        <v>12</v>
      </c>
      <c r="E3829" s="33">
        <f>IF(Demand!F3827,1,0)</f>
        <v>0</v>
      </c>
      <c r="F3829" s="33">
        <f>COUNTIFS(c_store,A3829,c_date,B3829,c_hour,C3829)</f>
        <v>0</v>
      </c>
      <c r="G3829" s="33">
        <f>IF(F3829&gt;0,1,0)</f>
        <v>0</v>
      </c>
      <c r="H3829" s="33">
        <f>COUNTIFS(Demand!$A$2:$A$4481,A3829,Demand!$B$2:$B$4481,B3829,Demand!$C$2:$C$4481,C3829)</f>
        <v>1</v>
      </c>
    </row>
    <row r="3830">
      <c r="A3830" s="32" t="str">
        <f>Demand!A3828</f>
        <v>S020</v>
      </c>
      <c r="B3830" s="35">
        <f>Demand!B3828</f>
        <v>46277.0</v>
      </c>
      <c r="C3830" s="33">
        <f>Demand!C3828</f>
        <v>10</v>
      </c>
      <c r="D3830" s="33">
        <f>Demand!E3828</f>
        <v>8</v>
      </c>
      <c r="E3830" s="33">
        <f>IF(Demand!F3828,1,0)</f>
        <v>0</v>
      </c>
      <c r="F3830" s="33">
        <f>COUNTIFS(c_store,A3830,c_date,B3830,c_hour,C3830)</f>
        <v>1</v>
      </c>
      <c r="G3830" s="33">
        <f>IF(F3830&gt;0,1,0)</f>
        <v>1</v>
      </c>
      <c r="H3830" s="33">
        <f>COUNTIFS(Demand!$A$2:$A$4481,A3830,Demand!$B$2:$B$4481,B3830,Demand!$C$2:$C$4481,C3830)</f>
        <v>1</v>
      </c>
    </row>
    <row r="3831">
      <c r="A3831" s="32" t="str">
        <f>Demand!A3829</f>
        <v>S020</v>
      </c>
      <c r="B3831" s="35">
        <f>Demand!B3829</f>
        <v>46277.0</v>
      </c>
      <c r="C3831" s="33">
        <f>Demand!C3829</f>
        <v>11</v>
      </c>
      <c r="D3831" s="33">
        <f>Demand!E3829</f>
        <v>18</v>
      </c>
      <c r="E3831" s="33">
        <f>IF(Demand!F3829,1,0)</f>
        <v>0</v>
      </c>
      <c r="F3831" s="33">
        <f>COUNTIFS(c_store,A3831,c_date,B3831,c_hour,C3831)</f>
        <v>0</v>
      </c>
      <c r="G3831" s="33">
        <f>IF(F3831&gt;0,1,0)</f>
        <v>0</v>
      </c>
      <c r="H3831" s="33">
        <f>COUNTIFS(Demand!$A$2:$A$4481,A3831,Demand!$B$2:$B$4481,B3831,Demand!$C$2:$C$4481,C3831)</f>
        <v>1</v>
      </c>
    </row>
    <row r="3832">
      <c r="A3832" s="32" t="str">
        <f>Demand!A3830</f>
        <v>S020</v>
      </c>
      <c r="B3832" s="35">
        <f>Demand!B3830</f>
        <v>46277.0</v>
      </c>
      <c r="C3832" s="33">
        <f>Demand!C3830</f>
        <v>12</v>
      </c>
      <c r="D3832" s="33">
        <f>Demand!E3830</f>
        <v>19</v>
      </c>
      <c r="E3832" s="33">
        <f>IF(Demand!F3830,1,0)</f>
        <v>0</v>
      </c>
      <c r="F3832" s="33">
        <f>COUNTIFS(c_store,A3832,c_date,B3832,c_hour,C3832)</f>
        <v>0</v>
      </c>
      <c r="G3832" s="33">
        <f>IF(F3832&gt;0,1,0)</f>
        <v>0</v>
      </c>
      <c r="H3832" s="33">
        <f>COUNTIFS(Demand!$A$2:$A$4481,A3832,Demand!$B$2:$B$4481,B3832,Demand!$C$2:$C$4481,C3832)</f>
        <v>1</v>
      </c>
    </row>
    <row r="3833">
      <c r="A3833" s="32" t="str">
        <f>Demand!A3831</f>
        <v>S020</v>
      </c>
      <c r="B3833" s="35">
        <f>Demand!B3831</f>
        <v>46277.0</v>
      </c>
      <c r="C3833" s="33">
        <f>Demand!C3831</f>
        <v>13</v>
      </c>
      <c r="D3833" s="33">
        <f>Demand!E3831</f>
        <v>10</v>
      </c>
      <c r="E3833" s="33">
        <f>IF(Demand!F3831,1,0)</f>
        <v>0</v>
      </c>
      <c r="F3833" s="33">
        <f>COUNTIFS(c_store,A3833,c_date,B3833,c_hour,C3833)</f>
        <v>0</v>
      </c>
      <c r="G3833" s="33">
        <f>IF(F3833&gt;0,1,0)</f>
        <v>0</v>
      </c>
      <c r="H3833" s="33">
        <f>COUNTIFS(Demand!$A$2:$A$4481,A3833,Demand!$B$2:$B$4481,B3833,Demand!$C$2:$C$4481,C3833)</f>
        <v>1</v>
      </c>
    </row>
    <row r="3834">
      <c r="A3834" s="32" t="str">
        <f>Demand!A3832</f>
        <v>S020</v>
      </c>
      <c r="B3834" s="35">
        <f>Demand!B3832</f>
        <v>46277.0</v>
      </c>
      <c r="C3834" s="33">
        <f>Demand!C3832</f>
        <v>14</v>
      </c>
      <c r="D3834" s="33">
        <f>Demand!E3832</f>
        <v>10</v>
      </c>
      <c r="E3834" s="33">
        <f>IF(Demand!F3832,1,0)</f>
        <v>0</v>
      </c>
      <c r="F3834" s="33">
        <f>COUNTIFS(c_store,A3834,c_date,B3834,c_hour,C3834)</f>
        <v>1</v>
      </c>
      <c r="G3834" s="33">
        <f>IF(F3834&gt;0,1,0)</f>
        <v>1</v>
      </c>
      <c r="H3834" s="33">
        <f>COUNTIFS(Demand!$A$2:$A$4481,A3834,Demand!$B$2:$B$4481,B3834,Demand!$C$2:$C$4481,C3834)</f>
        <v>1</v>
      </c>
    </row>
    <row r="3835">
      <c r="A3835" s="32" t="str">
        <f>Demand!A3833</f>
        <v>S020</v>
      </c>
      <c r="B3835" s="35">
        <f>Demand!B3833</f>
        <v>46277.0</v>
      </c>
      <c r="C3835" s="33">
        <f>Demand!C3833</f>
        <v>15</v>
      </c>
      <c r="D3835" s="33">
        <f>Demand!E3833</f>
        <v>9</v>
      </c>
      <c r="E3835" s="33">
        <f>IF(Demand!F3833,1,0)</f>
        <v>0</v>
      </c>
      <c r="F3835" s="33">
        <f>COUNTIFS(c_store,A3835,c_date,B3835,c_hour,C3835)</f>
        <v>0</v>
      </c>
      <c r="G3835" s="33">
        <f>IF(F3835&gt;0,1,0)</f>
        <v>0</v>
      </c>
      <c r="H3835" s="33">
        <f>COUNTIFS(Demand!$A$2:$A$4481,A3835,Demand!$B$2:$B$4481,B3835,Demand!$C$2:$C$4481,C3835)</f>
        <v>1</v>
      </c>
    </row>
    <row r="3836">
      <c r="A3836" s="32" t="str">
        <f>Demand!A3834</f>
        <v>S020</v>
      </c>
      <c r="B3836" s="35">
        <f>Demand!B3834</f>
        <v>46277.0</v>
      </c>
      <c r="C3836" s="33">
        <f>Demand!C3834</f>
        <v>16</v>
      </c>
      <c r="D3836" s="33">
        <f>Demand!E3834</f>
        <v>25</v>
      </c>
      <c r="E3836" s="33">
        <f>IF(Demand!F3834,1,0)</f>
        <v>0</v>
      </c>
      <c r="F3836" s="33">
        <f>COUNTIFS(c_store,A3836,c_date,B3836,c_hour,C3836)</f>
        <v>1</v>
      </c>
      <c r="G3836" s="33">
        <f>IF(F3836&gt;0,1,0)</f>
        <v>1</v>
      </c>
      <c r="H3836" s="33">
        <f>COUNTIFS(Demand!$A$2:$A$4481,A3836,Demand!$B$2:$B$4481,B3836,Demand!$C$2:$C$4481,C3836)</f>
        <v>1</v>
      </c>
    </row>
    <row r="3837">
      <c r="A3837" s="32" t="str">
        <f>Demand!A3835</f>
        <v>S020</v>
      </c>
      <c r="B3837" s="35">
        <f>Demand!B3835</f>
        <v>46277.0</v>
      </c>
      <c r="C3837" s="33">
        <f>Demand!C3835</f>
        <v>17</v>
      </c>
      <c r="D3837" s="33">
        <f>Demand!E3835</f>
        <v>23</v>
      </c>
      <c r="E3837" s="33">
        <f>IF(Demand!F3835,1,0)</f>
        <v>0</v>
      </c>
      <c r="F3837" s="33">
        <f>COUNTIFS(c_store,A3837,c_date,B3837,c_hour,C3837)</f>
        <v>1</v>
      </c>
      <c r="G3837" s="33">
        <f>IF(F3837&gt;0,1,0)</f>
        <v>1</v>
      </c>
      <c r="H3837" s="33">
        <f>COUNTIFS(Demand!$A$2:$A$4481,A3837,Demand!$B$2:$B$4481,B3837,Demand!$C$2:$C$4481,C3837)</f>
        <v>1</v>
      </c>
    </row>
    <row r="3838">
      <c r="A3838" s="32" t="str">
        <f>Demand!A3836</f>
        <v>S020</v>
      </c>
      <c r="B3838" s="35">
        <f>Demand!B3836</f>
        <v>46277.0</v>
      </c>
      <c r="C3838" s="33">
        <f>Demand!C3836</f>
        <v>18</v>
      </c>
      <c r="D3838" s="33">
        <f>Demand!E3836</f>
        <v>15</v>
      </c>
      <c r="E3838" s="33">
        <f>IF(Demand!F3836,1,0)</f>
        <v>0</v>
      </c>
      <c r="F3838" s="33">
        <f>COUNTIFS(c_store,A3838,c_date,B3838,c_hour,C3838)</f>
        <v>0</v>
      </c>
      <c r="G3838" s="33">
        <f>IF(F3838&gt;0,1,0)</f>
        <v>0</v>
      </c>
      <c r="H3838" s="33">
        <f>COUNTIFS(Demand!$A$2:$A$4481,A3838,Demand!$B$2:$B$4481,B3838,Demand!$C$2:$C$4481,C3838)</f>
        <v>1</v>
      </c>
    </row>
    <row r="3839">
      <c r="A3839" s="32" t="str">
        <f>Demand!A3837</f>
        <v>S020</v>
      </c>
      <c r="B3839" s="35">
        <f>Demand!B3837</f>
        <v>46277.0</v>
      </c>
      <c r="C3839" s="33">
        <f>Demand!C3837</f>
        <v>19</v>
      </c>
      <c r="D3839" s="33">
        <f>Demand!E3837</f>
        <v>31</v>
      </c>
      <c r="E3839" s="33">
        <f>IF(Demand!F3837,1,0)</f>
        <v>1</v>
      </c>
      <c r="F3839" s="33">
        <f>COUNTIFS(c_store,A3839,c_date,B3839,c_hour,C3839)</f>
        <v>0</v>
      </c>
      <c r="G3839" s="33">
        <f>IF(F3839&gt;0,1,0)</f>
        <v>0</v>
      </c>
      <c r="H3839" s="33">
        <f>COUNTIFS(Demand!$A$2:$A$4481,A3839,Demand!$B$2:$B$4481,B3839,Demand!$C$2:$C$4481,C3839)</f>
        <v>1</v>
      </c>
    </row>
    <row r="3840">
      <c r="A3840" s="32" t="str">
        <f>Demand!A3838</f>
        <v>S020</v>
      </c>
      <c r="B3840" s="35">
        <f>Demand!B3838</f>
        <v>46277.0</v>
      </c>
      <c r="C3840" s="33">
        <f>Demand!C3838</f>
        <v>20</v>
      </c>
      <c r="D3840" s="33">
        <f>Demand!E3838</f>
        <v>19</v>
      </c>
      <c r="E3840" s="33">
        <f>IF(Demand!F3838,1,0)</f>
        <v>1</v>
      </c>
      <c r="F3840" s="33">
        <f>COUNTIFS(c_store,A3840,c_date,B3840,c_hour,C3840)</f>
        <v>0</v>
      </c>
      <c r="G3840" s="33">
        <f>IF(F3840&gt;0,1,0)</f>
        <v>0</v>
      </c>
      <c r="H3840" s="33">
        <f>COUNTIFS(Demand!$A$2:$A$4481,A3840,Demand!$B$2:$B$4481,B3840,Demand!$C$2:$C$4481,C3840)</f>
        <v>1</v>
      </c>
    </row>
    <row r="3841">
      <c r="A3841" s="32" t="str">
        <f>Demand!A3839</f>
        <v>S020</v>
      </c>
      <c r="B3841" s="35">
        <f>Demand!B3839</f>
        <v>46277.0</v>
      </c>
      <c r="C3841" s="33">
        <f>Demand!C3839</f>
        <v>21</v>
      </c>
      <c r="D3841" s="33">
        <f>Demand!E3839</f>
        <v>25</v>
      </c>
      <c r="E3841" s="33">
        <f>IF(Demand!F3839,1,0)</f>
        <v>1</v>
      </c>
      <c r="F3841" s="33">
        <f>COUNTIFS(c_store,A3841,c_date,B3841,c_hour,C3841)</f>
        <v>0</v>
      </c>
      <c r="G3841" s="33">
        <f>IF(F3841&gt;0,1,0)</f>
        <v>0</v>
      </c>
      <c r="H3841" s="33">
        <f>COUNTIFS(Demand!$A$2:$A$4481,A3841,Demand!$B$2:$B$4481,B3841,Demand!$C$2:$C$4481,C3841)</f>
        <v>1</v>
      </c>
    </row>
    <row r="3842">
      <c r="A3842" s="32" t="str">
        <f>Demand!A3840</f>
        <v>S020</v>
      </c>
      <c r="B3842" s="35">
        <f>Demand!B3840</f>
        <v>46277.0</v>
      </c>
      <c r="C3842" s="33">
        <f>Demand!C3840</f>
        <v>22</v>
      </c>
      <c r="D3842" s="33">
        <f>Demand!E3840</f>
        <v>15</v>
      </c>
      <c r="E3842" s="33">
        <f>IF(Demand!F3840,1,0)</f>
        <v>0</v>
      </c>
      <c r="F3842" s="33">
        <f>COUNTIFS(c_store,A3842,c_date,B3842,c_hour,C3842)</f>
        <v>0</v>
      </c>
      <c r="G3842" s="33">
        <f>IF(F3842&gt;0,1,0)</f>
        <v>0</v>
      </c>
      <c r="H3842" s="33">
        <f>COUNTIFS(Demand!$A$2:$A$4481,A3842,Demand!$B$2:$B$4481,B3842,Demand!$C$2:$C$4481,C3842)</f>
        <v>1</v>
      </c>
    </row>
    <row r="3843">
      <c r="A3843" s="32" t="str">
        <f>Demand!A3841</f>
        <v>S020</v>
      </c>
      <c r="B3843" s="35">
        <f>Demand!B3841</f>
        <v>46277.0</v>
      </c>
      <c r="C3843" s="33">
        <f>Demand!C3841</f>
        <v>23</v>
      </c>
      <c r="D3843" s="33">
        <f>Demand!E3841</f>
        <v>15</v>
      </c>
      <c r="E3843" s="33">
        <f>IF(Demand!F3841,1,0)</f>
        <v>0</v>
      </c>
      <c r="F3843" s="33">
        <f>COUNTIFS(c_store,A3843,c_date,B3843,c_hour,C3843)</f>
        <v>0</v>
      </c>
      <c r="G3843" s="33">
        <f>IF(F3843&gt;0,1,0)</f>
        <v>0</v>
      </c>
      <c r="H3843" s="33">
        <f>COUNTIFS(Demand!$A$2:$A$4481,A3843,Demand!$B$2:$B$4481,B3843,Demand!$C$2:$C$4481,C3843)</f>
        <v>1</v>
      </c>
    </row>
    <row r="3844">
      <c r="A3844" s="32" t="str">
        <f>Demand!A3842</f>
        <v>S001</v>
      </c>
      <c r="B3844" s="35">
        <f>Demand!B3842</f>
        <v>46278.0</v>
      </c>
      <c r="C3844" s="33">
        <f>Demand!C3842</f>
        <v>8</v>
      </c>
      <c r="D3844" s="33">
        <f>Demand!E3842</f>
        <v>12</v>
      </c>
      <c r="E3844" s="33">
        <f>IF(Demand!F3842,1,0)</f>
        <v>0</v>
      </c>
      <c r="F3844" s="33">
        <f>COUNTIFS(c_store,A3844,c_date,B3844,c_hour,C3844)</f>
        <v>0</v>
      </c>
      <c r="G3844" s="33">
        <f>IF(F3844&gt;0,1,0)</f>
        <v>0</v>
      </c>
      <c r="H3844" s="33">
        <f>COUNTIFS(Demand!$A$2:$A$4481,A3844,Demand!$B$2:$B$4481,B3844,Demand!$C$2:$C$4481,C3844)</f>
        <v>1</v>
      </c>
    </row>
    <row r="3845">
      <c r="A3845" s="32" t="str">
        <f>Demand!A3843</f>
        <v>S001</v>
      </c>
      <c r="B3845" s="35">
        <f>Demand!B3843</f>
        <v>46278.0</v>
      </c>
      <c r="C3845" s="33">
        <f>Demand!C3843</f>
        <v>9</v>
      </c>
      <c r="D3845" s="33">
        <f>Demand!E3843</f>
        <v>13</v>
      </c>
      <c r="E3845" s="33">
        <f>IF(Demand!F3843,1,0)</f>
        <v>0</v>
      </c>
      <c r="F3845" s="33">
        <f>COUNTIFS(c_store,A3845,c_date,B3845,c_hour,C3845)</f>
        <v>0</v>
      </c>
      <c r="G3845" s="33">
        <f>IF(F3845&gt;0,1,0)</f>
        <v>0</v>
      </c>
      <c r="H3845" s="33">
        <f>COUNTIFS(Demand!$A$2:$A$4481,A3845,Demand!$B$2:$B$4481,B3845,Demand!$C$2:$C$4481,C3845)</f>
        <v>1</v>
      </c>
    </row>
    <row r="3846">
      <c r="A3846" s="32" t="str">
        <f>Demand!A3844</f>
        <v>S001</v>
      </c>
      <c r="B3846" s="35">
        <f>Demand!B3844</f>
        <v>46278.0</v>
      </c>
      <c r="C3846" s="33">
        <f>Demand!C3844</f>
        <v>10</v>
      </c>
      <c r="D3846" s="33">
        <f>Demand!E3844</f>
        <v>12</v>
      </c>
      <c r="E3846" s="33">
        <f>IF(Demand!F3844,1,0)</f>
        <v>0</v>
      </c>
      <c r="F3846" s="33">
        <f>COUNTIFS(c_store,A3846,c_date,B3846,c_hour,C3846)</f>
        <v>0</v>
      </c>
      <c r="G3846" s="33">
        <f>IF(F3846&gt;0,1,0)</f>
        <v>0</v>
      </c>
      <c r="H3846" s="33">
        <f>COUNTIFS(Demand!$A$2:$A$4481,A3846,Demand!$B$2:$B$4481,B3846,Demand!$C$2:$C$4481,C3846)</f>
        <v>1</v>
      </c>
    </row>
    <row r="3847">
      <c r="A3847" s="32" t="str">
        <f>Demand!A3845</f>
        <v>S001</v>
      </c>
      <c r="B3847" s="35">
        <f>Demand!B3845</f>
        <v>46278.0</v>
      </c>
      <c r="C3847" s="33">
        <f>Demand!C3845</f>
        <v>11</v>
      </c>
      <c r="D3847" s="33">
        <f>Demand!E3845</f>
        <v>18</v>
      </c>
      <c r="E3847" s="33">
        <f>IF(Demand!F3845,1,0)</f>
        <v>0</v>
      </c>
      <c r="F3847" s="33">
        <f>COUNTIFS(c_store,A3847,c_date,B3847,c_hour,C3847)</f>
        <v>1</v>
      </c>
      <c r="G3847" s="33">
        <f>IF(F3847&gt;0,1,0)</f>
        <v>1</v>
      </c>
      <c r="H3847" s="33">
        <f>COUNTIFS(Demand!$A$2:$A$4481,A3847,Demand!$B$2:$B$4481,B3847,Demand!$C$2:$C$4481,C3847)</f>
        <v>1</v>
      </c>
    </row>
    <row r="3848">
      <c r="A3848" s="32" t="str">
        <f>Demand!A3846</f>
        <v>S001</v>
      </c>
      <c r="B3848" s="35">
        <f>Demand!B3846</f>
        <v>46278.0</v>
      </c>
      <c r="C3848" s="33">
        <f>Demand!C3846</f>
        <v>12</v>
      </c>
      <c r="D3848" s="33">
        <f>Demand!E3846</f>
        <v>23</v>
      </c>
      <c r="E3848" s="33">
        <f>IF(Demand!F3846,1,0)</f>
        <v>0</v>
      </c>
      <c r="F3848" s="33">
        <f>COUNTIFS(c_store,A3848,c_date,B3848,c_hour,C3848)</f>
        <v>0</v>
      </c>
      <c r="G3848" s="33">
        <f>IF(F3848&gt;0,1,0)</f>
        <v>0</v>
      </c>
      <c r="H3848" s="33">
        <f>COUNTIFS(Demand!$A$2:$A$4481,A3848,Demand!$B$2:$B$4481,B3848,Demand!$C$2:$C$4481,C3848)</f>
        <v>1</v>
      </c>
    </row>
    <row r="3849">
      <c r="A3849" s="32" t="str">
        <f>Demand!A3847</f>
        <v>S001</v>
      </c>
      <c r="B3849" s="35">
        <f>Demand!B3847</f>
        <v>46278.0</v>
      </c>
      <c r="C3849" s="33">
        <f>Demand!C3847</f>
        <v>13</v>
      </c>
      <c r="D3849" s="33">
        <f>Demand!E3847</f>
        <v>13</v>
      </c>
      <c r="E3849" s="33">
        <f>IF(Demand!F3847,1,0)</f>
        <v>0</v>
      </c>
      <c r="F3849" s="33">
        <f>COUNTIFS(c_store,A3849,c_date,B3849,c_hour,C3849)</f>
        <v>1</v>
      </c>
      <c r="G3849" s="33">
        <f>IF(F3849&gt;0,1,0)</f>
        <v>1</v>
      </c>
      <c r="H3849" s="33">
        <f>COUNTIFS(Demand!$A$2:$A$4481,A3849,Demand!$B$2:$B$4481,B3849,Demand!$C$2:$C$4481,C3849)</f>
        <v>1</v>
      </c>
    </row>
    <row r="3850">
      <c r="A3850" s="32" t="str">
        <f>Demand!A3848</f>
        <v>S001</v>
      </c>
      <c r="B3850" s="35">
        <f>Demand!B3848</f>
        <v>46278.0</v>
      </c>
      <c r="C3850" s="33">
        <f>Demand!C3848</f>
        <v>14</v>
      </c>
      <c r="D3850" s="33">
        <f>Demand!E3848</f>
        <v>6</v>
      </c>
      <c r="E3850" s="33">
        <f>IF(Demand!F3848,1,0)</f>
        <v>0</v>
      </c>
      <c r="F3850" s="33">
        <f>COUNTIFS(c_store,A3850,c_date,B3850,c_hour,C3850)</f>
        <v>0</v>
      </c>
      <c r="G3850" s="33">
        <f>IF(F3850&gt;0,1,0)</f>
        <v>0</v>
      </c>
      <c r="H3850" s="33">
        <f>COUNTIFS(Demand!$A$2:$A$4481,A3850,Demand!$B$2:$B$4481,B3850,Demand!$C$2:$C$4481,C3850)</f>
        <v>1</v>
      </c>
    </row>
    <row r="3851">
      <c r="A3851" s="32" t="str">
        <f>Demand!A3849</f>
        <v>S001</v>
      </c>
      <c r="B3851" s="35">
        <f>Demand!B3849</f>
        <v>46278.0</v>
      </c>
      <c r="C3851" s="33">
        <f>Demand!C3849</f>
        <v>15</v>
      </c>
      <c r="D3851" s="33">
        <f>Demand!E3849</f>
        <v>16</v>
      </c>
      <c r="E3851" s="33">
        <f>IF(Demand!F3849,1,0)</f>
        <v>0</v>
      </c>
      <c r="F3851" s="33">
        <f>COUNTIFS(c_store,A3851,c_date,B3851,c_hour,C3851)</f>
        <v>0</v>
      </c>
      <c r="G3851" s="33">
        <f>IF(F3851&gt;0,1,0)</f>
        <v>0</v>
      </c>
      <c r="H3851" s="33">
        <f>COUNTIFS(Demand!$A$2:$A$4481,A3851,Demand!$B$2:$B$4481,B3851,Demand!$C$2:$C$4481,C3851)</f>
        <v>1</v>
      </c>
    </row>
    <row r="3852">
      <c r="A3852" s="32" t="str">
        <f>Demand!A3850</f>
        <v>S001</v>
      </c>
      <c r="B3852" s="35">
        <f>Demand!B3850</f>
        <v>46278.0</v>
      </c>
      <c r="C3852" s="33">
        <f>Demand!C3850</f>
        <v>16</v>
      </c>
      <c r="D3852" s="33">
        <f>Demand!E3850</f>
        <v>27</v>
      </c>
      <c r="E3852" s="33">
        <f>IF(Demand!F3850,1,0)</f>
        <v>0</v>
      </c>
      <c r="F3852" s="33">
        <f>COUNTIFS(c_store,A3852,c_date,B3852,c_hour,C3852)</f>
        <v>0</v>
      </c>
      <c r="G3852" s="33">
        <f>IF(F3852&gt;0,1,0)</f>
        <v>0</v>
      </c>
      <c r="H3852" s="33">
        <f>COUNTIFS(Demand!$A$2:$A$4481,A3852,Demand!$B$2:$B$4481,B3852,Demand!$C$2:$C$4481,C3852)</f>
        <v>1</v>
      </c>
    </row>
    <row r="3853">
      <c r="A3853" s="32" t="str">
        <f>Demand!A3851</f>
        <v>S001</v>
      </c>
      <c r="B3853" s="35">
        <f>Demand!B3851</f>
        <v>46278.0</v>
      </c>
      <c r="C3853" s="33">
        <f>Demand!C3851</f>
        <v>17</v>
      </c>
      <c r="D3853" s="33">
        <f>Demand!E3851</f>
        <v>18</v>
      </c>
      <c r="E3853" s="33">
        <f>IF(Demand!F3851,1,0)</f>
        <v>0</v>
      </c>
      <c r="F3853" s="33">
        <f>COUNTIFS(c_store,A3853,c_date,B3853,c_hour,C3853)</f>
        <v>0</v>
      </c>
      <c r="G3853" s="33">
        <f>IF(F3853&gt;0,1,0)</f>
        <v>0</v>
      </c>
      <c r="H3853" s="33">
        <f>COUNTIFS(Demand!$A$2:$A$4481,A3853,Demand!$B$2:$B$4481,B3853,Demand!$C$2:$C$4481,C3853)</f>
        <v>1</v>
      </c>
    </row>
    <row r="3854">
      <c r="A3854" s="32" t="str">
        <f>Demand!A3852</f>
        <v>S001</v>
      </c>
      <c r="B3854" s="35">
        <f>Demand!B3852</f>
        <v>46278.0</v>
      </c>
      <c r="C3854" s="33">
        <f>Demand!C3852</f>
        <v>18</v>
      </c>
      <c r="D3854" s="33">
        <f>Demand!E3852</f>
        <v>13</v>
      </c>
      <c r="E3854" s="33">
        <f>IF(Demand!F3852,1,0)</f>
        <v>0</v>
      </c>
      <c r="F3854" s="33">
        <f>COUNTIFS(c_store,A3854,c_date,B3854,c_hour,C3854)</f>
        <v>1</v>
      </c>
      <c r="G3854" s="33">
        <f>IF(F3854&gt;0,1,0)</f>
        <v>1</v>
      </c>
      <c r="H3854" s="33">
        <f>COUNTIFS(Demand!$A$2:$A$4481,A3854,Demand!$B$2:$B$4481,B3854,Demand!$C$2:$C$4481,C3854)</f>
        <v>1</v>
      </c>
    </row>
    <row r="3855">
      <c r="A3855" s="32" t="str">
        <f>Demand!A3853</f>
        <v>S001</v>
      </c>
      <c r="B3855" s="35">
        <f>Demand!B3853</f>
        <v>46278.0</v>
      </c>
      <c r="C3855" s="33">
        <f>Demand!C3853</f>
        <v>19</v>
      </c>
      <c r="D3855" s="33">
        <f>Demand!E3853</f>
        <v>24</v>
      </c>
      <c r="E3855" s="33">
        <f>IF(Demand!F3853,1,0)</f>
        <v>1</v>
      </c>
      <c r="F3855" s="33">
        <f>COUNTIFS(c_store,A3855,c_date,B3855,c_hour,C3855)</f>
        <v>0</v>
      </c>
      <c r="G3855" s="33">
        <f>IF(F3855&gt;0,1,0)</f>
        <v>0</v>
      </c>
      <c r="H3855" s="33">
        <f>COUNTIFS(Demand!$A$2:$A$4481,A3855,Demand!$B$2:$B$4481,B3855,Demand!$C$2:$C$4481,C3855)</f>
        <v>1</v>
      </c>
    </row>
    <row r="3856">
      <c r="A3856" s="32" t="str">
        <f>Demand!A3854</f>
        <v>S001</v>
      </c>
      <c r="B3856" s="35">
        <f>Demand!B3854</f>
        <v>46278.0</v>
      </c>
      <c r="C3856" s="33">
        <f>Demand!C3854</f>
        <v>20</v>
      </c>
      <c r="D3856" s="33">
        <f>Demand!E3854</f>
        <v>25</v>
      </c>
      <c r="E3856" s="33">
        <f>IF(Demand!F3854,1,0)</f>
        <v>1</v>
      </c>
      <c r="F3856" s="33">
        <f>COUNTIFS(c_store,A3856,c_date,B3856,c_hour,C3856)</f>
        <v>0</v>
      </c>
      <c r="G3856" s="33">
        <f>IF(F3856&gt;0,1,0)</f>
        <v>0</v>
      </c>
      <c r="H3856" s="33">
        <f>COUNTIFS(Demand!$A$2:$A$4481,A3856,Demand!$B$2:$B$4481,B3856,Demand!$C$2:$C$4481,C3856)</f>
        <v>1</v>
      </c>
    </row>
    <row r="3857">
      <c r="A3857" s="32" t="str">
        <f>Demand!A3855</f>
        <v>S001</v>
      </c>
      <c r="B3857" s="35">
        <f>Demand!B3855</f>
        <v>46278.0</v>
      </c>
      <c r="C3857" s="33">
        <f>Demand!C3855</f>
        <v>21</v>
      </c>
      <c r="D3857" s="33">
        <f>Demand!E3855</f>
        <v>22</v>
      </c>
      <c r="E3857" s="33">
        <f>IF(Demand!F3855,1,0)</f>
        <v>1</v>
      </c>
      <c r="F3857" s="33">
        <f>COUNTIFS(c_store,A3857,c_date,B3857,c_hour,C3857)</f>
        <v>0</v>
      </c>
      <c r="G3857" s="33">
        <f>IF(F3857&gt;0,1,0)</f>
        <v>0</v>
      </c>
      <c r="H3857" s="33">
        <f>COUNTIFS(Demand!$A$2:$A$4481,A3857,Demand!$B$2:$B$4481,B3857,Demand!$C$2:$C$4481,C3857)</f>
        <v>1</v>
      </c>
    </row>
    <row r="3858">
      <c r="A3858" s="32" t="str">
        <f>Demand!A3856</f>
        <v>S001</v>
      </c>
      <c r="B3858" s="35">
        <f>Demand!B3856</f>
        <v>46278.0</v>
      </c>
      <c r="C3858" s="33">
        <f>Demand!C3856</f>
        <v>22</v>
      </c>
      <c r="D3858" s="33">
        <f>Demand!E3856</f>
        <v>27</v>
      </c>
      <c r="E3858" s="33">
        <f>IF(Demand!F3856,1,0)</f>
        <v>0</v>
      </c>
      <c r="F3858" s="33">
        <f>COUNTIFS(c_store,A3858,c_date,B3858,c_hour,C3858)</f>
        <v>0</v>
      </c>
      <c r="G3858" s="33">
        <f>IF(F3858&gt;0,1,0)</f>
        <v>0</v>
      </c>
      <c r="H3858" s="33">
        <f>COUNTIFS(Demand!$A$2:$A$4481,A3858,Demand!$B$2:$B$4481,B3858,Demand!$C$2:$C$4481,C3858)</f>
        <v>1</v>
      </c>
    </row>
    <row r="3859">
      <c r="A3859" s="32" t="str">
        <f>Demand!A3857</f>
        <v>S001</v>
      </c>
      <c r="B3859" s="35">
        <f>Demand!B3857</f>
        <v>46278.0</v>
      </c>
      <c r="C3859" s="33">
        <f>Demand!C3857</f>
        <v>23</v>
      </c>
      <c r="D3859" s="33">
        <f>Demand!E3857</f>
        <v>23</v>
      </c>
      <c r="E3859" s="33">
        <f>IF(Demand!F3857,1,0)</f>
        <v>0</v>
      </c>
      <c r="F3859" s="33">
        <f>COUNTIFS(c_store,A3859,c_date,B3859,c_hour,C3859)</f>
        <v>0</v>
      </c>
      <c r="G3859" s="33">
        <f>IF(F3859&gt;0,1,0)</f>
        <v>0</v>
      </c>
      <c r="H3859" s="33">
        <f>COUNTIFS(Demand!$A$2:$A$4481,A3859,Demand!$B$2:$B$4481,B3859,Demand!$C$2:$C$4481,C3859)</f>
        <v>1</v>
      </c>
    </row>
    <row r="3860">
      <c r="A3860" s="32" t="str">
        <f>Demand!A3858</f>
        <v>S002</v>
      </c>
      <c r="B3860" s="35">
        <f>Demand!B3858</f>
        <v>46278.0</v>
      </c>
      <c r="C3860" s="33">
        <f>Demand!C3858</f>
        <v>8</v>
      </c>
      <c r="D3860" s="33">
        <f>Demand!E3858</f>
        <v>28</v>
      </c>
      <c r="E3860" s="33">
        <f>IF(Demand!F3858,1,0)</f>
        <v>0</v>
      </c>
      <c r="F3860" s="33">
        <f>COUNTIFS(c_store,A3860,c_date,B3860,c_hour,C3860)</f>
        <v>0</v>
      </c>
      <c r="G3860" s="33">
        <f>IF(F3860&gt;0,1,0)</f>
        <v>0</v>
      </c>
      <c r="H3860" s="33">
        <f>COUNTIFS(Demand!$A$2:$A$4481,A3860,Demand!$B$2:$B$4481,B3860,Demand!$C$2:$C$4481,C3860)</f>
        <v>1</v>
      </c>
    </row>
    <row r="3861">
      <c r="A3861" s="32" t="str">
        <f>Demand!A3859</f>
        <v>S002</v>
      </c>
      <c r="B3861" s="35">
        <f>Demand!B3859</f>
        <v>46278.0</v>
      </c>
      <c r="C3861" s="33">
        <f>Demand!C3859</f>
        <v>9</v>
      </c>
      <c r="D3861" s="33">
        <f>Demand!E3859</f>
        <v>20</v>
      </c>
      <c r="E3861" s="33">
        <f>IF(Demand!F3859,1,0)</f>
        <v>0</v>
      </c>
      <c r="F3861" s="33">
        <f>COUNTIFS(c_store,A3861,c_date,B3861,c_hour,C3861)</f>
        <v>1</v>
      </c>
      <c r="G3861" s="33">
        <f>IF(F3861&gt;0,1,0)</f>
        <v>1</v>
      </c>
      <c r="H3861" s="33">
        <f>COUNTIFS(Demand!$A$2:$A$4481,A3861,Demand!$B$2:$B$4481,B3861,Demand!$C$2:$C$4481,C3861)</f>
        <v>1</v>
      </c>
    </row>
    <row r="3862">
      <c r="A3862" s="32" t="str">
        <f>Demand!A3860</f>
        <v>S002</v>
      </c>
      <c r="B3862" s="35">
        <f>Demand!B3860</f>
        <v>46278.0</v>
      </c>
      <c r="C3862" s="33">
        <f>Demand!C3860</f>
        <v>10</v>
      </c>
      <c r="D3862" s="33">
        <f>Demand!E3860</f>
        <v>29</v>
      </c>
      <c r="E3862" s="33">
        <f>IF(Demand!F3860,1,0)</f>
        <v>0</v>
      </c>
      <c r="F3862" s="33">
        <f>COUNTIFS(c_store,A3862,c_date,B3862,c_hour,C3862)</f>
        <v>0</v>
      </c>
      <c r="G3862" s="33">
        <f>IF(F3862&gt;0,1,0)</f>
        <v>0</v>
      </c>
      <c r="H3862" s="33">
        <f>COUNTIFS(Demand!$A$2:$A$4481,A3862,Demand!$B$2:$B$4481,B3862,Demand!$C$2:$C$4481,C3862)</f>
        <v>1</v>
      </c>
    </row>
    <row r="3863">
      <c r="A3863" s="32" t="str">
        <f>Demand!A3861</f>
        <v>S002</v>
      </c>
      <c r="B3863" s="35">
        <f>Demand!B3861</f>
        <v>46278.0</v>
      </c>
      <c r="C3863" s="33">
        <f>Demand!C3861</f>
        <v>11</v>
      </c>
      <c r="D3863" s="33">
        <f>Demand!E3861</f>
        <v>30</v>
      </c>
      <c r="E3863" s="33">
        <f>IF(Demand!F3861,1,0)</f>
        <v>0</v>
      </c>
      <c r="F3863" s="33">
        <f>COUNTIFS(c_store,A3863,c_date,B3863,c_hour,C3863)</f>
        <v>0</v>
      </c>
      <c r="G3863" s="33">
        <f>IF(F3863&gt;0,1,0)</f>
        <v>0</v>
      </c>
      <c r="H3863" s="33">
        <f>COUNTIFS(Demand!$A$2:$A$4481,A3863,Demand!$B$2:$B$4481,B3863,Demand!$C$2:$C$4481,C3863)</f>
        <v>1</v>
      </c>
    </row>
    <row r="3864">
      <c r="A3864" s="32" t="str">
        <f>Demand!A3862</f>
        <v>S002</v>
      </c>
      <c r="B3864" s="35">
        <f>Demand!B3862</f>
        <v>46278.0</v>
      </c>
      <c r="C3864" s="33">
        <f>Demand!C3862</f>
        <v>12</v>
      </c>
      <c r="D3864" s="33">
        <f>Demand!E3862</f>
        <v>24</v>
      </c>
      <c r="E3864" s="33">
        <f>IF(Demand!F3862,1,0)</f>
        <v>0</v>
      </c>
      <c r="F3864" s="33">
        <f>COUNTIFS(c_store,A3864,c_date,B3864,c_hour,C3864)</f>
        <v>1</v>
      </c>
      <c r="G3864" s="33">
        <f>IF(F3864&gt;0,1,0)</f>
        <v>1</v>
      </c>
      <c r="H3864" s="33">
        <f>COUNTIFS(Demand!$A$2:$A$4481,A3864,Demand!$B$2:$B$4481,B3864,Demand!$C$2:$C$4481,C3864)</f>
        <v>1</v>
      </c>
    </row>
    <row r="3865">
      <c r="A3865" s="32" t="str">
        <f>Demand!A3863</f>
        <v>S002</v>
      </c>
      <c r="B3865" s="35">
        <f>Demand!B3863</f>
        <v>46278.0</v>
      </c>
      <c r="C3865" s="33">
        <f>Demand!C3863</f>
        <v>13</v>
      </c>
      <c r="D3865" s="33">
        <f>Demand!E3863</f>
        <v>42</v>
      </c>
      <c r="E3865" s="33">
        <f>IF(Demand!F3863,1,0)</f>
        <v>0</v>
      </c>
      <c r="F3865" s="33">
        <f>COUNTIFS(c_store,A3865,c_date,B3865,c_hour,C3865)</f>
        <v>0</v>
      </c>
      <c r="G3865" s="33">
        <f>IF(F3865&gt;0,1,0)</f>
        <v>0</v>
      </c>
      <c r="H3865" s="33">
        <f>COUNTIFS(Demand!$A$2:$A$4481,A3865,Demand!$B$2:$B$4481,B3865,Demand!$C$2:$C$4481,C3865)</f>
        <v>1</v>
      </c>
    </row>
    <row r="3866">
      <c r="A3866" s="32" t="str">
        <f>Demand!A3864</f>
        <v>S002</v>
      </c>
      <c r="B3866" s="35">
        <f>Demand!B3864</f>
        <v>46278.0</v>
      </c>
      <c r="C3866" s="33">
        <f>Demand!C3864</f>
        <v>14</v>
      </c>
      <c r="D3866" s="33">
        <f>Demand!E3864</f>
        <v>31</v>
      </c>
      <c r="E3866" s="33">
        <f>IF(Demand!F3864,1,0)</f>
        <v>0</v>
      </c>
      <c r="F3866" s="33">
        <f>COUNTIFS(c_store,A3866,c_date,B3866,c_hour,C3866)</f>
        <v>0</v>
      </c>
      <c r="G3866" s="33">
        <f>IF(F3866&gt;0,1,0)</f>
        <v>0</v>
      </c>
      <c r="H3866" s="33">
        <f>COUNTIFS(Demand!$A$2:$A$4481,A3866,Demand!$B$2:$B$4481,B3866,Demand!$C$2:$C$4481,C3866)</f>
        <v>1</v>
      </c>
    </row>
    <row r="3867">
      <c r="A3867" s="32" t="str">
        <f>Demand!A3865</f>
        <v>S002</v>
      </c>
      <c r="B3867" s="35">
        <f>Demand!B3865</f>
        <v>46278.0</v>
      </c>
      <c r="C3867" s="33">
        <f>Demand!C3865</f>
        <v>15</v>
      </c>
      <c r="D3867" s="33">
        <f>Demand!E3865</f>
        <v>29</v>
      </c>
      <c r="E3867" s="33">
        <f>IF(Demand!F3865,1,0)</f>
        <v>0</v>
      </c>
      <c r="F3867" s="33">
        <f>COUNTIFS(c_store,A3867,c_date,B3867,c_hour,C3867)</f>
        <v>0</v>
      </c>
      <c r="G3867" s="33">
        <f>IF(F3867&gt;0,1,0)</f>
        <v>0</v>
      </c>
      <c r="H3867" s="33">
        <f>COUNTIFS(Demand!$A$2:$A$4481,A3867,Demand!$B$2:$B$4481,B3867,Demand!$C$2:$C$4481,C3867)</f>
        <v>1</v>
      </c>
    </row>
    <row r="3868">
      <c r="A3868" s="32" t="str">
        <f>Demand!A3866</f>
        <v>S002</v>
      </c>
      <c r="B3868" s="35">
        <f>Demand!B3866</f>
        <v>46278.0</v>
      </c>
      <c r="C3868" s="33">
        <f>Demand!C3866</f>
        <v>16</v>
      </c>
      <c r="D3868" s="33">
        <f>Demand!E3866</f>
        <v>28</v>
      </c>
      <c r="E3868" s="33">
        <f>IF(Demand!F3866,1,0)</f>
        <v>0</v>
      </c>
      <c r="F3868" s="33">
        <f>COUNTIFS(c_store,A3868,c_date,B3868,c_hour,C3868)</f>
        <v>0</v>
      </c>
      <c r="G3868" s="33">
        <f>IF(F3868&gt;0,1,0)</f>
        <v>0</v>
      </c>
      <c r="H3868" s="33">
        <f>COUNTIFS(Demand!$A$2:$A$4481,A3868,Demand!$B$2:$B$4481,B3868,Demand!$C$2:$C$4481,C3868)</f>
        <v>1</v>
      </c>
    </row>
    <row r="3869">
      <c r="A3869" s="32" t="str">
        <f>Demand!A3867</f>
        <v>S002</v>
      </c>
      <c r="B3869" s="35">
        <f>Demand!B3867</f>
        <v>46278.0</v>
      </c>
      <c r="C3869" s="33">
        <f>Demand!C3867</f>
        <v>17</v>
      </c>
      <c r="D3869" s="33">
        <f>Demand!E3867</f>
        <v>33</v>
      </c>
      <c r="E3869" s="33">
        <f>IF(Demand!F3867,1,0)</f>
        <v>0</v>
      </c>
      <c r="F3869" s="33">
        <f>COUNTIFS(c_store,A3869,c_date,B3869,c_hour,C3869)</f>
        <v>0</v>
      </c>
      <c r="G3869" s="33">
        <f>IF(F3869&gt;0,1,0)</f>
        <v>0</v>
      </c>
      <c r="H3869" s="33">
        <f>COUNTIFS(Demand!$A$2:$A$4481,A3869,Demand!$B$2:$B$4481,B3869,Demand!$C$2:$C$4481,C3869)</f>
        <v>1</v>
      </c>
    </row>
    <row r="3870">
      <c r="A3870" s="32" t="str">
        <f>Demand!A3868</f>
        <v>S002</v>
      </c>
      <c r="B3870" s="35">
        <f>Demand!B3868</f>
        <v>46278.0</v>
      </c>
      <c r="C3870" s="33">
        <f>Demand!C3868</f>
        <v>18</v>
      </c>
      <c r="D3870" s="33">
        <f>Demand!E3868</f>
        <v>46</v>
      </c>
      <c r="E3870" s="33">
        <f>IF(Demand!F3868,1,0)</f>
        <v>0</v>
      </c>
      <c r="F3870" s="33">
        <f>COUNTIFS(c_store,A3870,c_date,B3870,c_hour,C3870)</f>
        <v>0</v>
      </c>
      <c r="G3870" s="33">
        <f>IF(F3870&gt;0,1,0)</f>
        <v>0</v>
      </c>
      <c r="H3870" s="33">
        <f>COUNTIFS(Demand!$A$2:$A$4481,A3870,Demand!$B$2:$B$4481,B3870,Demand!$C$2:$C$4481,C3870)</f>
        <v>1</v>
      </c>
    </row>
    <row r="3871">
      <c r="A3871" s="32" t="str">
        <f>Demand!A3869</f>
        <v>S002</v>
      </c>
      <c r="B3871" s="35">
        <f>Demand!B3869</f>
        <v>46278.0</v>
      </c>
      <c r="C3871" s="33">
        <f>Demand!C3869</f>
        <v>19</v>
      </c>
      <c r="D3871" s="33">
        <f>Demand!E3869</f>
        <v>47</v>
      </c>
      <c r="E3871" s="33">
        <f>IF(Demand!F3869,1,0)</f>
        <v>1</v>
      </c>
      <c r="F3871" s="33">
        <f>COUNTIFS(c_store,A3871,c_date,B3871,c_hour,C3871)</f>
        <v>1</v>
      </c>
      <c r="G3871" s="33">
        <f>IF(F3871&gt;0,1,0)</f>
        <v>1</v>
      </c>
      <c r="H3871" s="33">
        <f>COUNTIFS(Demand!$A$2:$A$4481,A3871,Demand!$B$2:$B$4481,B3871,Demand!$C$2:$C$4481,C3871)</f>
        <v>1</v>
      </c>
    </row>
    <row r="3872">
      <c r="A3872" s="32" t="str">
        <f>Demand!A3870</f>
        <v>S002</v>
      </c>
      <c r="B3872" s="35">
        <f>Demand!B3870</f>
        <v>46278.0</v>
      </c>
      <c r="C3872" s="33">
        <f>Demand!C3870</f>
        <v>20</v>
      </c>
      <c r="D3872" s="33">
        <f>Demand!E3870</f>
        <v>60</v>
      </c>
      <c r="E3872" s="33">
        <f>IF(Demand!F3870,1,0)</f>
        <v>1</v>
      </c>
      <c r="F3872" s="33">
        <f>COUNTIFS(c_store,A3872,c_date,B3872,c_hour,C3872)</f>
        <v>1</v>
      </c>
      <c r="G3872" s="33">
        <f>IF(F3872&gt;0,1,0)</f>
        <v>1</v>
      </c>
      <c r="H3872" s="33">
        <f>COUNTIFS(Demand!$A$2:$A$4481,A3872,Demand!$B$2:$B$4481,B3872,Demand!$C$2:$C$4481,C3872)</f>
        <v>1</v>
      </c>
    </row>
    <row r="3873">
      <c r="A3873" s="32" t="str">
        <f>Demand!A3871</f>
        <v>S002</v>
      </c>
      <c r="B3873" s="35">
        <f>Demand!B3871</f>
        <v>46278.0</v>
      </c>
      <c r="C3873" s="33">
        <f>Demand!C3871</f>
        <v>21</v>
      </c>
      <c r="D3873" s="33">
        <f>Demand!E3871</f>
        <v>64</v>
      </c>
      <c r="E3873" s="33">
        <f>IF(Demand!F3871,1,0)</f>
        <v>1</v>
      </c>
      <c r="F3873" s="33">
        <f>COUNTIFS(c_store,A3873,c_date,B3873,c_hour,C3873)</f>
        <v>0</v>
      </c>
      <c r="G3873" s="33">
        <f>IF(F3873&gt;0,1,0)</f>
        <v>0</v>
      </c>
      <c r="H3873" s="33">
        <f>COUNTIFS(Demand!$A$2:$A$4481,A3873,Demand!$B$2:$B$4481,B3873,Demand!$C$2:$C$4481,C3873)</f>
        <v>1</v>
      </c>
    </row>
    <row r="3874">
      <c r="A3874" s="32" t="str">
        <f>Demand!A3872</f>
        <v>S002</v>
      </c>
      <c r="B3874" s="35">
        <f>Demand!B3872</f>
        <v>46278.0</v>
      </c>
      <c r="C3874" s="33">
        <f>Demand!C3872</f>
        <v>22</v>
      </c>
      <c r="D3874" s="33">
        <f>Demand!E3872</f>
        <v>30</v>
      </c>
      <c r="E3874" s="33">
        <f>IF(Demand!F3872,1,0)</f>
        <v>0</v>
      </c>
      <c r="F3874" s="33">
        <f>COUNTIFS(c_store,A3874,c_date,B3874,c_hour,C3874)</f>
        <v>0</v>
      </c>
      <c r="G3874" s="33">
        <f>IF(F3874&gt;0,1,0)</f>
        <v>0</v>
      </c>
      <c r="H3874" s="33">
        <f>COUNTIFS(Demand!$A$2:$A$4481,A3874,Demand!$B$2:$B$4481,B3874,Demand!$C$2:$C$4481,C3874)</f>
        <v>1</v>
      </c>
    </row>
    <row r="3875">
      <c r="A3875" s="32" t="str">
        <f>Demand!A3873</f>
        <v>S002</v>
      </c>
      <c r="B3875" s="35">
        <f>Demand!B3873</f>
        <v>46278.0</v>
      </c>
      <c r="C3875" s="33">
        <f>Demand!C3873</f>
        <v>23</v>
      </c>
      <c r="D3875" s="33">
        <f>Demand!E3873</f>
        <v>35</v>
      </c>
      <c r="E3875" s="33">
        <f>IF(Demand!F3873,1,0)</f>
        <v>0</v>
      </c>
      <c r="F3875" s="33">
        <f>COUNTIFS(c_store,A3875,c_date,B3875,c_hour,C3875)</f>
        <v>0</v>
      </c>
      <c r="G3875" s="33">
        <f>IF(F3875&gt;0,1,0)</f>
        <v>0</v>
      </c>
      <c r="H3875" s="33">
        <f>COUNTIFS(Demand!$A$2:$A$4481,A3875,Demand!$B$2:$B$4481,B3875,Demand!$C$2:$C$4481,C3875)</f>
        <v>1</v>
      </c>
    </row>
    <row r="3876">
      <c r="A3876" s="32" t="str">
        <f>Demand!A3874</f>
        <v>S003</v>
      </c>
      <c r="B3876" s="35">
        <f>Demand!B3874</f>
        <v>46278.0</v>
      </c>
      <c r="C3876" s="33">
        <f>Demand!C3874</f>
        <v>8</v>
      </c>
      <c r="D3876" s="33">
        <f>Demand!E3874</f>
        <v>25</v>
      </c>
      <c r="E3876" s="33">
        <f>IF(Demand!F3874,1,0)</f>
        <v>0</v>
      </c>
      <c r="F3876" s="33">
        <f>COUNTIFS(c_store,A3876,c_date,B3876,c_hour,C3876)</f>
        <v>0</v>
      </c>
      <c r="G3876" s="33">
        <f>IF(F3876&gt;0,1,0)</f>
        <v>0</v>
      </c>
      <c r="H3876" s="33">
        <f>COUNTIFS(Demand!$A$2:$A$4481,A3876,Demand!$B$2:$B$4481,B3876,Demand!$C$2:$C$4481,C3876)</f>
        <v>1</v>
      </c>
    </row>
    <row r="3877">
      <c r="A3877" s="32" t="str">
        <f>Demand!A3875</f>
        <v>S003</v>
      </c>
      <c r="B3877" s="35">
        <f>Demand!B3875</f>
        <v>46278.0</v>
      </c>
      <c r="C3877" s="33">
        <f>Demand!C3875</f>
        <v>9</v>
      </c>
      <c r="D3877" s="33">
        <f>Demand!E3875</f>
        <v>31</v>
      </c>
      <c r="E3877" s="33">
        <f>IF(Demand!F3875,1,0)</f>
        <v>0</v>
      </c>
      <c r="F3877" s="33">
        <f>COUNTIFS(c_store,A3877,c_date,B3877,c_hour,C3877)</f>
        <v>0</v>
      </c>
      <c r="G3877" s="33">
        <f>IF(F3877&gt;0,1,0)</f>
        <v>0</v>
      </c>
      <c r="H3877" s="33">
        <f>COUNTIFS(Demand!$A$2:$A$4481,A3877,Demand!$B$2:$B$4481,B3877,Demand!$C$2:$C$4481,C3877)</f>
        <v>1</v>
      </c>
    </row>
    <row r="3878">
      <c r="A3878" s="32" t="str">
        <f>Demand!A3876</f>
        <v>S003</v>
      </c>
      <c r="B3878" s="35">
        <f>Demand!B3876</f>
        <v>46278.0</v>
      </c>
      <c r="C3878" s="33">
        <f>Demand!C3876</f>
        <v>10</v>
      </c>
      <c r="D3878" s="33">
        <f>Demand!E3876</f>
        <v>19</v>
      </c>
      <c r="E3878" s="33">
        <f>IF(Demand!F3876,1,0)</f>
        <v>0</v>
      </c>
      <c r="F3878" s="33">
        <f>COUNTIFS(c_store,A3878,c_date,B3878,c_hour,C3878)</f>
        <v>0</v>
      </c>
      <c r="G3878" s="33">
        <f>IF(F3878&gt;0,1,0)</f>
        <v>0</v>
      </c>
      <c r="H3878" s="33">
        <f>COUNTIFS(Demand!$A$2:$A$4481,A3878,Demand!$B$2:$B$4481,B3878,Demand!$C$2:$C$4481,C3878)</f>
        <v>1</v>
      </c>
    </row>
    <row r="3879">
      <c r="A3879" s="32" t="str">
        <f>Demand!A3877</f>
        <v>S003</v>
      </c>
      <c r="B3879" s="35">
        <f>Demand!B3877</f>
        <v>46278.0</v>
      </c>
      <c r="C3879" s="33">
        <f>Demand!C3877</f>
        <v>11</v>
      </c>
      <c r="D3879" s="33">
        <f>Demand!E3877</f>
        <v>41</v>
      </c>
      <c r="E3879" s="33">
        <f>IF(Demand!F3877,1,0)</f>
        <v>0</v>
      </c>
      <c r="F3879" s="33">
        <f>COUNTIFS(c_store,A3879,c_date,B3879,c_hour,C3879)</f>
        <v>0</v>
      </c>
      <c r="G3879" s="33">
        <f>IF(F3879&gt;0,1,0)</f>
        <v>0</v>
      </c>
      <c r="H3879" s="33">
        <f>COUNTIFS(Demand!$A$2:$A$4481,A3879,Demand!$B$2:$B$4481,B3879,Demand!$C$2:$C$4481,C3879)</f>
        <v>1</v>
      </c>
    </row>
    <row r="3880">
      <c r="A3880" s="32" t="str">
        <f>Demand!A3878</f>
        <v>S003</v>
      </c>
      <c r="B3880" s="35">
        <f>Demand!B3878</f>
        <v>46278.0</v>
      </c>
      <c r="C3880" s="33">
        <f>Demand!C3878</f>
        <v>12</v>
      </c>
      <c r="D3880" s="33">
        <f>Demand!E3878</f>
        <v>51</v>
      </c>
      <c r="E3880" s="33">
        <f>IF(Demand!F3878,1,0)</f>
        <v>0</v>
      </c>
      <c r="F3880" s="33">
        <f>COUNTIFS(c_store,A3880,c_date,B3880,c_hour,C3880)</f>
        <v>0</v>
      </c>
      <c r="G3880" s="33">
        <f>IF(F3880&gt;0,1,0)</f>
        <v>0</v>
      </c>
      <c r="H3880" s="33">
        <f>COUNTIFS(Demand!$A$2:$A$4481,A3880,Demand!$B$2:$B$4481,B3880,Demand!$C$2:$C$4481,C3880)</f>
        <v>1</v>
      </c>
    </row>
    <row r="3881">
      <c r="A3881" s="32" t="str">
        <f>Demand!A3879</f>
        <v>S003</v>
      </c>
      <c r="B3881" s="35">
        <f>Demand!B3879</f>
        <v>46278.0</v>
      </c>
      <c r="C3881" s="33">
        <f>Demand!C3879</f>
        <v>13</v>
      </c>
      <c r="D3881" s="33">
        <f>Demand!E3879</f>
        <v>36</v>
      </c>
      <c r="E3881" s="33">
        <f>IF(Demand!F3879,1,0)</f>
        <v>0</v>
      </c>
      <c r="F3881" s="33">
        <f>COUNTIFS(c_store,A3881,c_date,B3881,c_hour,C3881)</f>
        <v>1</v>
      </c>
      <c r="G3881" s="33">
        <f>IF(F3881&gt;0,1,0)</f>
        <v>1</v>
      </c>
      <c r="H3881" s="33">
        <f>COUNTIFS(Demand!$A$2:$A$4481,A3881,Demand!$B$2:$B$4481,B3881,Demand!$C$2:$C$4481,C3881)</f>
        <v>1</v>
      </c>
    </row>
    <row r="3882">
      <c r="A3882" s="32" t="str">
        <f>Demand!A3880</f>
        <v>S003</v>
      </c>
      <c r="B3882" s="35">
        <f>Demand!B3880</f>
        <v>46278.0</v>
      </c>
      <c r="C3882" s="33">
        <f>Demand!C3880</f>
        <v>14</v>
      </c>
      <c r="D3882" s="33">
        <f>Demand!E3880</f>
        <v>31</v>
      </c>
      <c r="E3882" s="33">
        <f>IF(Demand!F3880,1,0)</f>
        <v>0</v>
      </c>
      <c r="F3882" s="33">
        <f>COUNTIFS(c_store,A3882,c_date,B3882,c_hour,C3882)</f>
        <v>0</v>
      </c>
      <c r="G3882" s="33">
        <f>IF(F3882&gt;0,1,0)</f>
        <v>0</v>
      </c>
      <c r="H3882" s="33">
        <f>COUNTIFS(Demand!$A$2:$A$4481,A3882,Demand!$B$2:$B$4481,B3882,Demand!$C$2:$C$4481,C3882)</f>
        <v>1</v>
      </c>
    </row>
    <row r="3883">
      <c r="A3883" s="32" t="str">
        <f>Demand!A3881</f>
        <v>S003</v>
      </c>
      <c r="B3883" s="35">
        <f>Demand!B3881</f>
        <v>46278.0</v>
      </c>
      <c r="C3883" s="33">
        <f>Demand!C3881</f>
        <v>15</v>
      </c>
      <c r="D3883" s="33">
        <f>Demand!E3881</f>
        <v>29</v>
      </c>
      <c r="E3883" s="33">
        <f>IF(Demand!F3881,1,0)</f>
        <v>0</v>
      </c>
      <c r="F3883" s="33">
        <f>COUNTIFS(c_store,A3883,c_date,B3883,c_hour,C3883)</f>
        <v>0</v>
      </c>
      <c r="G3883" s="33">
        <f>IF(F3883&gt;0,1,0)</f>
        <v>0</v>
      </c>
      <c r="H3883" s="33">
        <f>COUNTIFS(Demand!$A$2:$A$4481,A3883,Demand!$B$2:$B$4481,B3883,Demand!$C$2:$C$4481,C3883)</f>
        <v>1</v>
      </c>
    </row>
    <row r="3884">
      <c r="A3884" s="32" t="str">
        <f>Demand!A3882</f>
        <v>S003</v>
      </c>
      <c r="B3884" s="35">
        <f>Demand!B3882</f>
        <v>46278.0</v>
      </c>
      <c r="C3884" s="33">
        <f>Demand!C3882</f>
        <v>16</v>
      </c>
      <c r="D3884" s="33">
        <f>Demand!E3882</f>
        <v>55</v>
      </c>
      <c r="E3884" s="33">
        <f>IF(Demand!F3882,1,0)</f>
        <v>0</v>
      </c>
      <c r="F3884" s="33">
        <f>COUNTIFS(c_store,A3884,c_date,B3884,c_hour,C3884)</f>
        <v>0</v>
      </c>
      <c r="G3884" s="33">
        <f>IF(F3884&gt;0,1,0)</f>
        <v>0</v>
      </c>
      <c r="H3884" s="33">
        <f>COUNTIFS(Demand!$A$2:$A$4481,A3884,Demand!$B$2:$B$4481,B3884,Demand!$C$2:$C$4481,C3884)</f>
        <v>1</v>
      </c>
    </row>
    <row r="3885">
      <c r="A3885" s="32" t="str">
        <f>Demand!A3883</f>
        <v>S003</v>
      </c>
      <c r="B3885" s="35">
        <f>Demand!B3883</f>
        <v>46278.0</v>
      </c>
      <c r="C3885" s="33">
        <f>Demand!C3883</f>
        <v>17</v>
      </c>
      <c r="D3885" s="33">
        <f>Demand!E3883</f>
        <v>41</v>
      </c>
      <c r="E3885" s="33">
        <f>IF(Demand!F3883,1,0)</f>
        <v>0</v>
      </c>
      <c r="F3885" s="33">
        <f>COUNTIFS(c_store,A3885,c_date,B3885,c_hour,C3885)</f>
        <v>0</v>
      </c>
      <c r="G3885" s="33">
        <f>IF(F3885&gt;0,1,0)</f>
        <v>0</v>
      </c>
      <c r="H3885" s="33">
        <f>COUNTIFS(Demand!$A$2:$A$4481,A3885,Demand!$B$2:$B$4481,B3885,Demand!$C$2:$C$4481,C3885)</f>
        <v>1</v>
      </c>
    </row>
    <row r="3886">
      <c r="A3886" s="32" t="str">
        <f>Demand!A3884</f>
        <v>S003</v>
      </c>
      <c r="B3886" s="35">
        <f>Demand!B3884</f>
        <v>46278.0</v>
      </c>
      <c r="C3886" s="33">
        <f>Demand!C3884</f>
        <v>18</v>
      </c>
      <c r="D3886" s="33">
        <f>Demand!E3884</f>
        <v>36</v>
      </c>
      <c r="E3886" s="33">
        <f>IF(Demand!F3884,1,0)</f>
        <v>0</v>
      </c>
      <c r="F3886" s="33">
        <f>COUNTIFS(c_store,A3886,c_date,B3886,c_hour,C3886)</f>
        <v>1</v>
      </c>
      <c r="G3886" s="33">
        <f>IF(F3886&gt;0,1,0)</f>
        <v>1</v>
      </c>
      <c r="H3886" s="33">
        <f>COUNTIFS(Demand!$A$2:$A$4481,A3886,Demand!$B$2:$B$4481,B3886,Demand!$C$2:$C$4481,C3886)</f>
        <v>1</v>
      </c>
    </row>
    <row r="3887">
      <c r="A3887" s="32" t="str">
        <f>Demand!A3885</f>
        <v>S003</v>
      </c>
      <c r="B3887" s="35">
        <f>Demand!B3885</f>
        <v>46278.0</v>
      </c>
      <c r="C3887" s="33">
        <f>Demand!C3885</f>
        <v>19</v>
      </c>
      <c r="D3887" s="33">
        <f>Demand!E3885</f>
        <v>62</v>
      </c>
      <c r="E3887" s="33">
        <f>IF(Demand!F3885,1,0)</f>
        <v>1</v>
      </c>
      <c r="F3887" s="33">
        <f>COUNTIFS(c_store,A3887,c_date,B3887,c_hour,C3887)</f>
        <v>0</v>
      </c>
      <c r="G3887" s="33">
        <f>IF(F3887&gt;0,1,0)</f>
        <v>0</v>
      </c>
      <c r="H3887" s="33">
        <f>COUNTIFS(Demand!$A$2:$A$4481,A3887,Demand!$B$2:$B$4481,B3887,Demand!$C$2:$C$4481,C3887)</f>
        <v>1</v>
      </c>
    </row>
    <row r="3888">
      <c r="A3888" s="32" t="str">
        <f>Demand!A3886</f>
        <v>S003</v>
      </c>
      <c r="B3888" s="35">
        <f>Demand!B3886</f>
        <v>46278.0</v>
      </c>
      <c r="C3888" s="33">
        <f>Demand!C3886</f>
        <v>20</v>
      </c>
      <c r="D3888" s="33">
        <f>Demand!E3886</f>
        <v>78</v>
      </c>
      <c r="E3888" s="33">
        <f>IF(Demand!F3886,1,0)</f>
        <v>1</v>
      </c>
      <c r="F3888" s="33">
        <f>COUNTIFS(c_store,A3888,c_date,B3888,c_hour,C3888)</f>
        <v>1</v>
      </c>
      <c r="G3888" s="33">
        <f>IF(F3888&gt;0,1,0)</f>
        <v>1</v>
      </c>
      <c r="H3888" s="33">
        <f>COUNTIFS(Demand!$A$2:$A$4481,A3888,Demand!$B$2:$B$4481,B3888,Demand!$C$2:$C$4481,C3888)</f>
        <v>1</v>
      </c>
    </row>
    <row r="3889">
      <c r="A3889" s="32" t="str">
        <f>Demand!A3887</f>
        <v>S003</v>
      </c>
      <c r="B3889" s="35">
        <f>Demand!B3887</f>
        <v>46278.0</v>
      </c>
      <c r="C3889" s="33">
        <f>Demand!C3887</f>
        <v>21</v>
      </c>
      <c r="D3889" s="33">
        <f>Demand!E3887</f>
        <v>68</v>
      </c>
      <c r="E3889" s="33">
        <f>IF(Demand!F3887,1,0)</f>
        <v>1</v>
      </c>
      <c r="F3889" s="33">
        <f>COUNTIFS(c_store,A3889,c_date,B3889,c_hour,C3889)</f>
        <v>2</v>
      </c>
      <c r="G3889" s="33">
        <f>IF(F3889&gt;0,1,0)</f>
        <v>1</v>
      </c>
      <c r="H3889" s="33">
        <f>COUNTIFS(Demand!$A$2:$A$4481,A3889,Demand!$B$2:$B$4481,B3889,Demand!$C$2:$C$4481,C3889)</f>
        <v>1</v>
      </c>
    </row>
    <row r="3890">
      <c r="A3890" s="32" t="str">
        <f>Demand!A3888</f>
        <v>S003</v>
      </c>
      <c r="B3890" s="35">
        <f>Demand!B3888</f>
        <v>46278.0</v>
      </c>
      <c r="C3890" s="33">
        <f>Demand!C3888</f>
        <v>22</v>
      </c>
      <c r="D3890" s="33">
        <f>Demand!E3888</f>
        <v>49</v>
      </c>
      <c r="E3890" s="33">
        <f>IF(Demand!F3888,1,0)</f>
        <v>0</v>
      </c>
      <c r="F3890" s="33">
        <f>COUNTIFS(c_store,A3890,c_date,B3890,c_hour,C3890)</f>
        <v>0</v>
      </c>
      <c r="G3890" s="33">
        <f>IF(F3890&gt;0,1,0)</f>
        <v>0</v>
      </c>
      <c r="H3890" s="33">
        <f>COUNTIFS(Demand!$A$2:$A$4481,A3890,Demand!$B$2:$B$4481,B3890,Demand!$C$2:$C$4481,C3890)</f>
        <v>1</v>
      </c>
    </row>
    <row r="3891">
      <c r="A3891" s="32" t="str">
        <f>Demand!A3889</f>
        <v>S003</v>
      </c>
      <c r="B3891" s="35">
        <f>Demand!B3889</f>
        <v>46278.0</v>
      </c>
      <c r="C3891" s="33">
        <f>Demand!C3889</f>
        <v>23</v>
      </c>
      <c r="D3891" s="33">
        <f>Demand!E3889</f>
        <v>32</v>
      </c>
      <c r="E3891" s="33">
        <f>IF(Demand!F3889,1,0)</f>
        <v>0</v>
      </c>
      <c r="F3891" s="33">
        <f>COUNTIFS(c_store,A3891,c_date,B3891,c_hour,C3891)</f>
        <v>0</v>
      </c>
      <c r="G3891" s="33">
        <f>IF(F3891&gt;0,1,0)</f>
        <v>0</v>
      </c>
      <c r="H3891" s="33">
        <f>COUNTIFS(Demand!$A$2:$A$4481,A3891,Demand!$B$2:$B$4481,B3891,Demand!$C$2:$C$4481,C3891)</f>
        <v>1</v>
      </c>
    </row>
    <row r="3892">
      <c r="A3892" s="32" t="str">
        <f>Demand!A3890</f>
        <v>S004</v>
      </c>
      <c r="B3892" s="35">
        <f>Demand!B3890</f>
        <v>46278.0</v>
      </c>
      <c r="C3892" s="33">
        <f>Demand!C3890</f>
        <v>8</v>
      </c>
      <c r="D3892" s="33">
        <f>Demand!E3890</f>
        <v>36</v>
      </c>
      <c r="E3892" s="33">
        <f>IF(Demand!F3890,1,0)</f>
        <v>0</v>
      </c>
      <c r="F3892" s="33">
        <f>COUNTIFS(c_store,A3892,c_date,B3892,c_hour,C3892)</f>
        <v>0</v>
      </c>
      <c r="G3892" s="33">
        <f>IF(F3892&gt;0,1,0)</f>
        <v>0</v>
      </c>
      <c r="H3892" s="33">
        <f>COUNTIFS(Demand!$A$2:$A$4481,A3892,Demand!$B$2:$B$4481,B3892,Demand!$C$2:$C$4481,C3892)</f>
        <v>1</v>
      </c>
    </row>
    <row r="3893">
      <c r="A3893" s="32" t="str">
        <f>Demand!A3891</f>
        <v>S004</v>
      </c>
      <c r="B3893" s="35">
        <f>Demand!B3891</f>
        <v>46278.0</v>
      </c>
      <c r="C3893" s="33">
        <f>Demand!C3891</f>
        <v>9</v>
      </c>
      <c r="D3893" s="33">
        <f>Demand!E3891</f>
        <v>28</v>
      </c>
      <c r="E3893" s="33">
        <f>IF(Demand!F3891,1,0)</f>
        <v>0</v>
      </c>
      <c r="F3893" s="33">
        <f>COUNTIFS(c_store,A3893,c_date,B3893,c_hour,C3893)</f>
        <v>0</v>
      </c>
      <c r="G3893" s="33">
        <f>IF(F3893&gt;0,1,0)</f>
        <v>0</v>
      </c>
      <c r="H3893" s="33">
        <f>COUNTIFS(Demand!$A$2:$A$4481,A3893,Demand!$B$2:$B$4481,B3893,Demand!$C$2:$C$4481,C3893)</f>
        <v>1</v>
      </c>
    </row>
    <row r="3894">
      <c r="A3894" s="32" t="str">
        <f>Demand!A3892</f>
        <v>S004</v>
      </c>
      <c r="B3894" s="35">
        <f>Demand!B3892</f>
        <v>46278.0</v>
      </c>
      <c r="C3894" s="33">
        <f>Demand!C3892</f>
        <v>10</v>
      </c>
      <c r="D3894" s="33">
        <f>Demand!E3892</f>
        <v>36</v>
      </c>
      <c r="E3894" s="33">
        <f>IF(Demand!F3892,1,0)</f>
        <v>0</v>
      </c>
      <c r="F3894" s="33">
        <f>COUNTIFS(c_store,A3894,c_date,B3894,c_hour,C3894)</f>
        <v>0</v>
      </c>
      <c r="G3894" s="33">
        <f>IF(F3894&gt;0,1,0)</f>
        <v>0</v>
      </c>
      <c r="H3894" s="33">
        <f>COUNTIFS(Demand!$A$2:$A$4481,A3894,Demand!$B$2:$B$4481,B3894,Demand!$C$2:$C$4481,C3894)</f>
        <v>1</v>
      </c>
    </row>
    <row r="3895">
      <c r="A3895" s="32" t="str">
        <f>Demand!A3893</f>
        <v>S004</v>
      </c>
      <c r="B3895" s="35">
        <f>Demand!B3893</f>
        <v>46278.0</v>
      </c>
      <c r="C3895" s="33">
        <f>Demand!C3893</f>
        <v>11</v>
      </c>
      <c r="D3895" s="33">
        <f>Demand!E3893</f>
        <v>58</v>
      </c>
      <c r="E3895" s="33">
        <f>IF(Demand!F3893,1,0)</f>
        <v>0</v>
      </c>
      <c r="F3895" s="33">
        <f>COUNTIFS(c_store,A3895,c_date,B3895,c_hour,C3895)</f>
        <v>0</v>
      </c>
      <c r="G3895" s="33">
        <f>IF(F3895&gt;0,1,0)</f>
        <v>0</v>
      </c>
      <c r="H3895" s="33">
        <f>COUNTIFS(Demand!$A$2:$A$4481,A3895,Demand!$B$2:$B$4481,B3895,Demand!$C$2:$C$4481,C3895)</f>
        <v>1</v>
      </c>
    </row>
    <row r="3896">
      <c r="A3896" s="32" t="str">
        <f>Demand!A3894</f>
        <v>S004</v>
      </c>
      <c r="B3896" s="35">
        <f>Demand!B3894</f>
        <v>46278.0</v>
      </c>
      <c r="C3896" s="33">
        <f>Demand!C3894</f>
        <v>12</v>
      </c>
      <c r="D3896" s="33">
        <f>Demand!E3894</f>
        <v>41</v>
      </c>
      <c r="E3896" s="33">
        <f>IF(Demand!F3894,1,0)</f>
        <v>0</v>
      </c>
      <c r="F3896" s="33">
        <f>COUNTIFS(c_store,A3896,c_date,B3896,c_hour,C3896)</f>
        <v>0</v>
      </c>
      <c r="G3896" s="33">
        <f>IF(F3896&gt;0,1,0)</f>
        <v>0</v>
      </c>
      <c r="H3896" s="33">
        <f>COUNTIFS(Demand!$A$2:$A$4481,A3896,Demand!$B$2:$B$4481,B3896,Demand!$C$2:$C$4481,C3896)</f>
        <v>1</v>
      </c>
    </row>
    <row r="3897">
      <c r="A3897" s="32" t="str">
        <f>Demand!A3895</f>
        <v>S004</v>
      </c>
      <c r="B3897" s="35">
        <f>Demand!B3895</f>
        <v>46278.0</v>
      </c>
      <c r="C3897" s="33">
        <f>Demand!C3895</f>
        <v>13</v>
      </c>
      <c r="D3897" s="33">
        <f>Demand!E3895</f>
        <v>41</v>
      </c>
      <c r="E3897" s="33">
        <f>IF(Demand!F3895,1,0)</f>
        <v>0</v>
      </c>
      <c r="F3897" s="33">
        <f>COUNTIFS(c_store,A3897,c_date,B3897,c_hour,C3897)</f>
        <v>0</v>
      </c>
      <c r="G3897" s="33">
        <f>IF(F3897&gt;0,1,0)</f>
        <v>0</v>
      </c>
      <c r="H3897" s="33">
        <f>COUNTIFS(Demand!$A$2:$A$4481,A3897,Demand!$B$2:$B$4481,B3897,Demand!$C$2:$C$4481,C3897)</f>
        <v>1</v>
      </c>
    </row>
    <row r="3898">
      <c r="A3898" s="32" t="str">
        <f>Demand!A3896</f>
        <v>S004</v>
      </c>
      <c r="B3898" s="35">
        <f>Demand!B3896</f>
        <v>46278.0</v>
      </c>
      <c r="C3898" s="33">
        <f>Demand!C3896</f>
        <v>14</v>
      </c>
      <c r="D3898" s="33">
        <f>Demand!E3896</f>
        <v>41</v>
      </c>
      <c r="E3898" s="33">
        <f>IF(Demand!F3896,1,0)</f>
        <v>0</v>
      </c>
      <c r="F3898" s="33">
        <f>COUNTIFS(c_store,A3898,c_date,B3898,c_hour,C3898)</f>
        <v>0</v>
      </c>
      <c r="G3898" s="33">
        <f>IF(F3898&gt;0,1,0)</f>
        <v>0</v>
      </c>
      <c r="H3898" s="33">
        <f>COUNTIFS(Demand!$A$2:$A$4481,A3898,Demand!$B$2:$B$4481,B3898,Demand!$C$2:$C$4481,C3898)</f>
        <v>1</v>
      </c>
    </row>
    <row r="3899">
      <c r="A3899" s="32" t="str">
        <f>Demand!A3897</f>
        <v>S004</v>
      </c>
      <c r="B3899" s="35">
        <f>Demand!B3897</f>
        <v>46278.0</v>
      </c>
      <c r="C3899" s="33">
        <f>Demand!C3897</f>
        <v>15</v>
      </c>
      <c r="D3899" s="33">
        <f>Demand!E3897</f>
        <v>38</v>
      </c>
      <c r="E3899" s="33">
        <f>IF(Demand!F3897,1,0)</f>
        <v>0</v>
      </c>
      <c r="F3899" s="33">
        <f>COUNTIFS(c_store,A3899,c_date,B3899,c_hour,C3899)</f>
        <v>1</v>
      </c>
      <c r="G3899" s="33">
        <f>IF(F3899&gt;0,1,0)</f>
        <v>1</v>
      </c>
      <c r="H3899" s="33">
        <f>COUNTIFS(Demand!$A$2:$A$4481,A3899,Demand!$B$2:$B$4481,B3899,Demand!$C$2:$C$4481,C3899)</f>
        <v>1</v>
      </c>
    </row>
    <row r="3900">
      <c r="A3900" s="32" t="str">
        <f>Demand!A3898</f>
        <v>S004</v>
      </c>
      <c r="B3900" s="35">
        <f>Demand!B3898</f>
        <v>46278.0</v>
      </c>
      <c r="C3900" s="33">
        <f>Demand!C3898</f>
        <v>16</v>
      </c>
      <c r="D3900" s="33">
        <f>Demand!E3898</f>
        <v>44</v>
      </c>
      <c r="E3900" s="33">
        <f>IF(Demand!F3898,1,0)</f>
        <v>0</v>
      </c>
      <c r="F3900" s="33">
        <f>COUNTIFS(c_store,A3900,c_date,B3900,c_hour,C3900)</f>
        <v>1</v>
      </c>
      <c r="G3900" s="33">
        <f>IF(F3900&gt;0,1,0)</f>
        <v>1</v>
      </c>
      <c r="H3900" s="33">
        <f>COUNTIFS(Demand!$A$2:$A$4481,A3900,Demand!$B$2:$B$4481,B3900,Demand!$C$2:$C$4481,C3900)</f>
        <v>1</v>
      </c>
    </row>
    <row r="3901">
      <c r="A3901" s="32" t="str">
        <f>Demand!A3899</f>
        <v>S004</v>
      </c>
      <c r="B3901" s="35">
        <f>Demand!B3899</f>
        <v>46278.0</v>
      </c>
      <c r="C3901" s="33">
        <f>Demand!C3899</f>
        <v>17</v>
      </c>
      <c r="D3901" s="33">
        <f>Demand!E3899</f>
        <v>43</v>
      </c>
      <c r="E3901" s="33">
        <f>IF(Demand!F3899,1,0)</f>
        <v>0</v>
      </c>
      <c r="F3901" s="33">
        <f>COUNTIFS(c_store,A3901,c_date,B3901,c_hour,C3901)</f>
        <v>0</v>
      </c>
      <c r="G3901" s="33">
        <f>IF(F3901&gt;0,1,0)</f>
        <v>0</v>
      </c>
      <c r="H3901" s="33">
        <f>COUNTIFS(Demand!$A$2:$A$4481,A3901,Demand!$B$2:$B$4481,B3901,Demand!$C$2:$C$4481,C3901)</f>
        <v>1</v>
      </c>
    </row>
    <row r="3902">
      <c r="A3902" s="32" t="str">
        <f>Demand!A3900</f>
        <v>S004</v>
      </c>
      <c r="B3902" s="35">
        <f>Demand!B3900</f>
        <v>46278.0</v>
      </c>
      <c r="C3902" s="33">
        <f>Demand!C3900</f>
        <v>18</v>
      </c>
      <c r="D3902" s="33">
        <f>Demand!E3900</f>
        <v>48</v>
      </c>
      <c r="E3902" s="33">
        <f>IF(Demand!F3900,1,0)</f>
        <v>0</v>
      </c>
      <c r="F3902" s="33">
        <f>COUNTIFS(c_store,A3902,c_date,B3902,c_hour,C3902)</f>
        <v>1</v>
      </c>
      <c r="G3902" s="33">
        <f>IF(F3902&gt;0,1,0)</f>
        <v>1</v>
      </c>
      <c r="H3902" s="33">
        <f>COUNTIFS(Demand!$A$2:$A$4481,A3902,Demand!$B$2:$B$4481,B3902,Demand!$C$2:$C$4481,C3902)</f>
        <v>1</v>
      </c>
    </row>
    <row r="3903">
      <c r="A3903" s="32" t="str">
        <f>Demand!A3901</f>
        <v>S004</v>
      </c>
      <c r="B3903" s="35">
        <f>Demand!B3901</f>
        <v>46278.0</v>
      </c>
      <c r="C3903" s="33">
        <f>Demand!C3901</f>
        <v>19</v>
      </c>
      <c r="D3903" s="33">
        <f>Demand!E3901</f>
        <v>63</v>
      </c>
      <c r="E3903" s="33">
        <f>IF(Demand!F3901,1,0)</f>
        <v>1</v>
      </c>
      <c r="F3903" s="33">
        <f>COUNTIFS(c_store,A3903,c_date,B3903,c_hour,C3903)</f>
        <v>1</v>
      </c>
      <c r="G3903" s="33">
        <f>IF(F3903&gt;0,1,0)</f>
        <v>1</v>
      </c>
      <c r="H3903" s="33">
        <f>COUNTIFS(Demand!$A$2:$A$4481,A3903,Demand!$B$2:$B$4481,B3903,Demand!$C$2:$C$4481,C3903)</f>
        <v>1</v>
      </c>
    </row>
    <row r="3904">
      <c r="A3904" s="32" t="str">
        <f>Demand!A3902</f>
        <v>S004</v>
      </c>
      <c r="B3904" s="35">
        <f>Demand!B3902</f>
        <v>46278.0</v>
      </c>
      <c r="C3904" s="33">
        <f>Demand!C3902</f>
        <v>20</v>
      </c>
      <c r="D3904" s="33">
        <f>Demand!E3902</f>
        <v>56</v>
      </c>
      <c r="E3904" s="33">
        <f>IF(Demand!F3902,1,0)</f>
        <v>1</v>
      </c>
      <c r="F3904" s="33">
        <f>COUNTIFS(c_store,A3904,c_date,B3904,c_hour,C3904)</f>
        <v>2</v>
      </c>
      <c r="G3904" s="33">
        <f>IF(F3904&gt;0,1,0)</f>
        <v>1</v>
      </c>
      <c r="H3904" s="33">
        <f>COUNTIFS(Demand!$A$2:$A$4481,A3904,Demand!$B$2:$B$4481,B3904,Demand!$C$2:$C$4481,C3904)</f>
        <v>1</v>
      </c>
    </row>
    <row r="3905">
      <c r="A3905" s="32" t="str">
        <f>Demand!A3903</f>
        <v>S004</v>
      </c>
      <c r="B3905" s="35">
        <f>Demand!B3903</f>
        <v>46278.0</v>
      </c>
      <c r="C3905" s="33">
        <f>Demand!C3903</f>
        <v>21</v>
      </c>
      <c r="D3905" s="33">
        <f>Demand!E3903</f>
        <v>78</v>
      </c>
      <c r="E3905" s="33">
        <f>IF(Demand!F3903,1,0)</f>
        <v>1</v>
      </c>
      <c r="F3905" s="33">
        <f>COUNTIFS(c_store,A3905,c_date,B3905,c_hour,C3905)</f>
        <v>1</v>
      </c>
      <c r="G3905" s="33">
        <f>IF(F3905&gt;0,1,0)</f>
        <v>1</v>
      </c>
      <c r="H3905" s="33">
        <f>COUNTIFS(Demand!$A$2:$A$4481,A3905,Demand!$B$2:$B$4481,B3905,Demand!$C$2:$C$4481,C3905)</f>
        <v>1</v>
      </c>
    </row>
    <row r="3906">
      <c r="A3906" s="32" t="str">
        <f>Demand!A3904</f>
        <v>S004</v>
      </c>
      <c r="B3906" s="35">
        <f>Demand!B3904</f>
        <v>46278.0</v>
      </c>
      <c r="C3906" s="33">
        <f>Demand!C3904</f>
        <v>22</v>
      </c>
      <c r="D3906" s="33">
        <f>Demand!E3904</f>
        <v>41</v>
      </c>
      <c r="E3906" s="33">
        <f>IF(Demand!F3904,1,0)</f>
        <v>0</v>
      </c>
      <c r="F3906" s="33">
        <f>COUNTIFS(c_store,A3906,c_date,B3906,c_hour,C3906)</f>
        <v>0</v>
      </c>
      <c r="G3906" s="33">
        <f>IF(F3906&gt;0,1,0)</f>
        <v>0</v>
      </c>
      <c r="H3906" s="33">
        <f>COUNTIFS(Demand!$A$2:$A$4481,A3906,Demand!$B$2:$B$4481,B3906,Demand!$C$2:$C$4481,C3906)</f>
        <v>1</v>
      </c>
    </row>
    <row r="3907">
      <c r="A3907" s="32" t="str">
        <f>Demand!A3905</f>
        <v>S004</v>
      </c>
      <c r="B3907" s="35">
        <f>Demand!B3905</f>
        <v>46278.0</v>
      </c>
      <c r="C3907" s="33">
        <f>Demand!C3905</f>
        <v>23</v>
      </c>
      <c r="D3907" s="33">
        <f>Demand!E3905</f>
        <v>48</v>
      </c>
      <c r="E3907" s="33">
        <f>IF(Demand!F3905,1,0)</f>
        <v>0</v>
      </c>
      <c r="F3907" s="33">
        <f>COUNTIFS(c_store,A3907,c_date,B3907,c_hour,C3907)</f>
        <v>0</v>
      </c>
      <c r="G3907" s="33">
        <f>IF(F3907&gt;0,1,0)</f>
        <v>0</v>
      </c>
      <c r="H3907" s="33">
        <f>COUNTIFS(Demand!$A$2:$A$4481,A3907,Demand!$B$2:$B$4481,B3907,Demand!$C$2:$C$4481,C3907)</f>
        <v>1</v>
      </c>
    </row>
    <row r="3908">
      <c r="A3908" s="32" t="str">
        <f>Demand!A3906</f>
        <v>S005</v>
      </c>
      <c r="B3908" s="35">
        <f>Demand!B3906</f>
        <v>46278.0</v>
      </c>
      <c r="C3908" s="33">
        <f>Demand!C3906</f>
        <v>8</v>
      </c>
      <c r="D3908" s="33">
        <f>Demand!E3906</f>
        <v>9</v>
      </c>
      <c r="E3908" s="33">
        <f>IF(Demand!F3906,1,0)</f>
        <v>0</v>
      </c>
      <c r="F3908" s="33">
        <f>COUNTIFS(c_store,A3908,c_date,B3908,c_hour,C3908)</f>
        <v>0</v>
      </c>
      <c r="G3908" s="33">
        <f>IF(F3908&gt;0,1,0)</f>
        <v>0</v>
      </c>
      <c r="H3908" s="33">
        <f>COUNTIFS(Demand!$A$2:$A$4481,A3908,Demand!$B$2:$B$4481,B3908,Demand!$C$2:$C$4481,C3908)</f>
        <v>1</v>
      </c>
    </row>
    <row r="3909">
      <c r="A3909" s="32" t="str">
        <f>Demand!A3907</f>
        <v>S005</v>
      </c>
      <c r="B3909" s="35">
        <f>Demand!B3907</f>
        <v>46278.0</v>
      </c>
      <c r="C3909" s="33">
        <f>Demand!C3907</f>
        <v>9</v>
      </c>
      <c r="D3909" s="33">
        <f>Demand!E3907</f>
        <v>18</v>
      </c>
      <c r="E3909" s="33">
        <f>IF(Demand!F3907,1,0)</f>
        <v>0</v>
      </c>
      <c r="F3909" s="33">
        <f>COUNTIFS(c_store,A3909,c_date,B3909,c_hour,C3909)</f>
        <v>0</v>
      </c>
      <c r="G3909" s="33">
        <f>IF(F3909&gt;0,1,0)</f>
        <v>0</v>
      </c>
      <c r="H3909" s="33">
        <f>COUNTIFS(Demand!$A$2:$A$4481,A3909,Demand!$B$2:$B$4481,B3909,Demand!$C$2:$C$4481,C3909)</f>
        <v>1</v>
      </c>
    </row>
    <row r="3910">
      <c r="A3910" s="32" t="str">
        <f>Demand!A3908</f>
        <v>S005</v>
      </c>
      <c r="B3910" s="35">
        <f>Demand!B3908</f>
        <v>46278.0</v>
      </c>
      <c r="C3910" s="33">
        <f>Demand!C3908</f>
        <v>10</v>
      </c>
      <c r="D3910" s="33">
        <f>Demand!E3908</f>
        <v>6</v>
      </c>
      <c r="E3910" s="33">
        <f>IF(Demand!F3908,1,0)</f>
        <v>0</v>
      </c>
      <c r="F3910" s="33">
        <f>COUNTIFS(c_store,A3910,c_date,B3910,c_hour,C3910)</f>
        <v>1</v>
      </c>
      <c r="G3910" s="33">
        <f>IF(F3910&gt;0,1,0)</f>
        <v>1</v>
      </c>
      <c r="H3910" s="33">
        <f>COUNTIFS(Demand!$A$2:$A$4481,A3910,Demand!$B$2:$B$4481,B3910,Demand!$C$2:$C$4481,C3910)</f>
        <v>1</v>
      </c>
    </row>
    <row r="3911">
      <c r="A3911" s="32" t="str">
        <f>Demand!A3909</f>
        <v>S005</v>
      </c>
      <c r="B3911" s="35">
        <f>Demand!B3909</f>
        <v>46278.0</v>
      </c>
      <c r="C3911" s="33">
        <f>Demand!C3909</f>
        <v>11</v>
      </c>
      <c r="D3911" s="33">
        <f>Demand!E3909</f>
        <v>12</v>
      </c>
      <c r="E3911" s="33">
        <f>IF(Demand!F3909,1,0)</f>
        <v>0</v>
      </c>
      <c r="F3911" s="33">
        <f>COUNTIFS(c_store,A3911,c_date,B3911,c_hour,C3911)</f>
        <v>0</v>
      </c>
      <c r="G3911" s="33">
        <f>IF(F3911&gt;0,1,0)</f>
        <v>0</v>
      </c>
      <c r="H3911" s="33">
        <f>COUNTIFS(Demand!$A$2:$A$4481,A3911,Demand!$B$2:$B$4481,B3911,Demand!$C$2:$C$4481,C3911)</f>
        <v>1</v>
      </c>
    </row>
    <row r="3912">
      <c r="A3912" s="32" t="str">
        <f>Demand!A3910</f>
        <v>S005</v>
      </c>
      <c r="B3912" s="35">
        <f>Demand!B3910</f>
        <v>46278.0</v>
      </c>
      <c r="C3912" s="33">
        <f>Demand!C3910</f>
        <v>12</v>
      </c>
      <c r="D3912" s="33">
        <f>Demand!E3910</f>
        <v>16</v>
      </c>
      <c r="E3912" s="33">
        <f>IF(Demand!F3910,1,0)</f>
        <v>0</v>
      </c>
      <c r="F3912" s="33">
        <f>COUNTIFS(c_store,A3912,c_date,B3912,c_hour,C3912)</f>
        <v>0</v>
      </c>
      <c r="G3912" s="33">
        <f>IF(F3912&gt;0,1,0)</f>
        <v>0</v>
      </c>
      <c r="H3912" s="33">
        <f>COUNTIFS(Demand!$A$2:$A$4481,A3912,Demand!$B$2:$B$4481,B3912,Demand!$C$2:$C$4481,C3912)</f>
        <v>1</v>
      </c>
    </row>
    <row r="3913">
      <c r="A3913" s="32" t="str">
        <f>Demand!A3911</f>
        <v>S005</v>
      </c>
      <c r="B3913" s="35">
        <f>Demand!B3911</f>
        <v>46278.0</v>
      </c>
      <c r="C3913" s="33">
        <f>Demand!C3911</f>
        <v>13</v>
      </c>
      <c r="D3913" s="33">
        <f>Demand!E3911</f>
        <v>6</v>
      </c>
      <c r="E3913" s="33">
        <f>IF(Demand!F3911,1,0)</f>
        <v>0</v>
      </c>
      <c r="F3913" s="33">
        <f>COUNTIFS(c_store,A3913,c_date,B3913,c_hour,C3913)</f>
        <v>0</v>
      </c>
      <c r="G3913" s="33">
        <f>IF(F3913&gt;0,1,0)</f>
        <v>0</v>
      </c>
      <c r="H3913" s="33">
        <f>COUNTIFS(Demand!$A$2:$A$4481,A3913,Demand!$B$2:$B$4481,B3913,Demand!$C$2:$C$4481,C3913)</f>
        <v>1</v>
      </c>
    </row>
    <row r="3914">
      <c r="A3914" s="32" t="str">
        <f>Demand!A3912</f>
        <v>S005</v>
      </c>
      <c r="B3914" s="35">
        <f>Demand!B3912</f>
        <v>46278.0</v>
      </c>
      <c r="C3914" s="33">
        <f>Demand!C3912</f>
        <v>14</v>
      </c>
      <c r="D3914" s="33">
        <f>Demand!E3912</f>
        <v>5</v>
      </c>
      <c r="E3914" s="33">
        <f>IF(Demand!F3912,1,0)</f>
        <v>0</v>
      </c>
      <c r="F3914" s="33">
        <f>COUNTIFS(c_store,A3914,c_date,B3914,c_hour,C3914)</f>
        <v>0</v>
      </c>
      <c r="G3914" s="33">
        <f>IF(F3914&gt;0,1,0)</f>
        <v>0</v>
      </c>
      <c r="H3914" s="33">
        <f>COUNTIFS(Demand!$A$2:$A$4481,A3914,Demand!$B$2:$B$4481,B3914,Demand!$C$2:$C$4481,C3914)</f>
        <v>1</v>
      </c>
    </row>
    <row r="3915">
      <c r="A3915" s="32" t="str">
        <f>Demand!A3913</f>
        <v>S005</v>
      </c>
      <c r="B3915" s="35">
        <f>Demand!B3913</f>
        <v>46278.0</v>
      </c>
      <c r="C3915" s="33">
        <f>Demand!C3913</f>
        <v>15</v>
      </c>
      <c r="D3915" s="33">
        <f>Demand!E3913</f>
        <v>11</v>
      </c>
      <c r="E3915" s="33">
        <f>IF(Demand!F3913,1,0)</f>
        <v>0</v>
      </c>
      <c r="F3915" s="33">
        <f>COUNTIFS(c_store,A3915,c_date,B3915,c_hour,C3915)</f>
        <v>0</v>
      </c>
      <c r="G3915" s="33">
        <f>IF(F3915&gt;0,1,0)</f>
        <v>0</v>
      </c>
      <c r="H3915" s="33">
        <f>COUNTIFS(Demand!$A$2:$A$4481,A3915,Demand!$B$2:$B$4481,B3915,Demand!$C$2:$C$4481,C3915)</f>
        <v>1</v>
      </c>
    </row>
    <row r="3916">
      <c r="A3916" s="32" t="str">
        <f>Demand!A3914</f>
        <v>S005</v>
      </c>
      <c r="B3916" s="35">
        <f>Demand!B3914</f>
        <v>46278.0</v>
      </c>
      <c r="C3916" s="33">
        <f>Demand!C3914</f>
        <v>16</v>
      </c>
      <c r="D3916" s="33">
        <f>Demand!E3914</f>
        <v>17</v>
      </c>
      <c r="E3916" s="33">
        <f>IF(Demand!F3914,1,0)</f>
        <v>0</v>
      </c>
      <c r="F3916" s="33">
        <f>COUNTIFS(c_store,A3916,c_date,B3916,c_hour,C3916)</f>
        <v>0</v>
      </c>
      <c r="G3916" s="33">
        <f>IF(F3916&gt;0,1,0)</f>
        <v>0</v>
      </c>
      <c r="H3916" s="33">
        <f>COUNTIFS(Demand!$A$2:$A$4481,A3916,Demand!$B$2:$B$4481,B3916,Demand!$C$2:$C$4481,C3916)</f>
        <v>1</v>
      </c>
    </row>
    <row r="3917">
      <c r="A3917" s="32" t="str">
        <f>Demand!A3915</f>
        <v>S005</v>
      </c>
      <c r="B3917" s="35">
        <f>Demand!B3915</f>
        <v>46278.0</v>
      </c>
      <c r="C3917" s="33">
        <f>Demand!C3915</f>
        <v>17</v>
      </c>
      <c r="D3917" s="33">
        <f>Demand!E3915</f>
        <v>11</v>
      </c>
      <c r="E3917" s="33">
        <f>IF(Demand!F3915,1,0)</f>
        <v>0</v>
      </c>
      <c r="F3917" s="33">
        <f>COUNTIFS(c_store,A3917,c_date,B3917,c_hour,C3917)</f>
        <v>0</v>
      </c>
      <c r="G3917" s="33">
        <f>IF(F3917&gt;0,1,0)</f>
        <v>0</v>
      </c>
      <c r="H3917" s="33">
        <f>COUNTIFS(Demand!$A$2:$A$4481,A3917,Demand!$B$2:$B$4481,B3917,Demand!$C$2:$C$4481,C3917)</f>
        <v>1</v>
      </c>
    </row>
    <row r="3918">
      <c r="A3918" s="32" t="str">
        <f>Demand!A3916</f>
        <v>S005</v>
      </c>
      <c r="B3918" s="35">
        <f>Demand!B3916</f>
        <v>46278.0</v>
      </c>
      <c r="C3918" s="33">
        <f>Demand!C3916</f>
        <v>18</v>
      </c>
      <c r="D3918" s="33">
        <f>Demand!E3916</f>
        <v>18</v>
      </c>
      <c r="E3918" s="33">
        <f>IF(Demand!F3916,1,0)</f>
        <v>0</v>
      </c>
      <c r="F3918" s="33">
        <f>COUNTIFS(c_store,A3918,c_date,B3918,c_hour,C3918)</f>
        <v>0</v>
      </c>
      <c r="G3918" s="33">
        <f>IF(F3918&gt;0,1,0)</f>
        <v>0</v>
      </c>
      <c r="H3918" s="33">
        <f>COUNTIFS(Demand!$A$2:$A$4481,A3918,Demand!$B$2:$B$4481,B3918,Demand!$C$2:$C$4481,C3918)</f>
        <v>1</v>
      </c>
    </row>
    <row r="3919">
      <c r="A3919" s="32" t="str">
        <f>Demand!A3917</f>
        <v>S005</v>
      </c>
      <c r="B3919" s="35">
        <f>Demand!B3917</f>
        <v>46278.0</v>
      </c>
      <c r="C3919" s="33">
        <f>Demand!C3917</f>
        <v>19</v>
      </c>
      <c r="D3919" s="33">
        <f>Demand!E3917</f>
        <v>26</v>
      </c>
      <c r="E3919" s="33">
        <f>IF(Demand!F3917,1,0)</f>
        <v>1</v>
      </c>
      <c r="F3919" s="33">
        <f>COUNTIFS(c_store,A3919,c_date,B3919,c_hour,C3919)</f>
        <v>0</v>
      </c>
      <c r="G3919" s="33">
        <f>IF(F3919&gt;0,1,0)</f>
        <v>0</v>
      </c>
      <c r="H3919" s="33">
        <f>COUNTIFS(Demand!$A$2:$A$4481,A3919,Demand!$B$2:$B$4481,B3919,Demand!$C$2:$C$4481,C3919)</f>
        <v>1</v>
      </c>
    </row>
    <row r="3920">
      <c r="A3920" s="32" t="str">
        <f>Demand!A3918</f>
        <v>S005</v>
      </c>
      <c r="B3920" s="35">
        <f>Demand!B3918</f>
        <v>46278.0</v>
      </c>
      <c r="C3920" s="33">
        <f>Demand!C3918</f>
        <v>20</v>
      </c>
      <c r="D3920" s="33">
        <f>Demand!E3918</f>
        <v>16</v>
      </c>
      <c r="E3920" s="33">
        <f>IF(Demand!F3918,1,0)</f>
        <v>1</v>
      </c>
      <c r="F3920" s="33">
        <f>COUNTIFS(c_store,A3920,c_date,B3920,c_hour,C3920)</f>
        <v>0</v>
      </c>
      <c r="G3920" s="33">
        <f>IF(F3920&gt;0,1,0)</f>
        <v>0</v>
      </c>
      <c r="H3920" s="33">
        <f>COUNTIFS(Demand!$A$2:$A$4481,A3920,Demand!$B$2:$B$4481,B3920,Demand!$C$2:$C$4481,C3920)</f>
        <v>1</v>
      </c>
    </row>
    <row r="3921">
      <c r="A3921" s="32" t="str">
        <f>Demand!A3919</f>
        <v>S005</v>
      </c>
      <c r="B3921" s="35">
        <f>Demand!B3919</f>
        <v>46278.0</v>
      </c>
      <c r="C3921" s="33">
        <f>Demand!C3919</f>
        <v>21</v>
      </c>
      <c r="D3921" s="33">
        <f>Demand!E3919</f>
        <v>16</v>
      </c>
      <c r="E3921" s="33">
        <f>IF(Demand!F3919,1,0)</f>
        <v>1</v>
      </c>
      <c r="F3921" s="33">
        <f>COUNTIFS(c_store,A3921,c_date,B3921,c_hour,C3921)</f>
        <v>0</v>
      </c>
      <c r="G3921" s="33">
        <f>IF(F3921&gt;0,1,0)</f>
        <v>0</v>
      </c>
      <c r="H3921" s="33">
        <f>COUNTIFS(Demand!$A$2:$A$4481,A3921,Demand!$B$2:$B$4481,B3921,Demand!$C$2:$C$4481,C3921)</f>
        <v>1</v>
      </c>
    </row>
    <row r="3922">
      <c r="A3922" s="32" t="str">
        <f>Demand!A3920</f>
        <v>S005</v>
      </c>
      <c r="B3922" s="35">
        <f>Demand!B3920</f>
        <v>46278.0</v>
      </c>
      <c r="C3922" s="33">
        <f>Demand!C3920</f>
        <v>22</v>
      </c>
      <c r="D3922" s="33">
        <f>Demand!E3920</f>
        <v>13</v>
      </c>
      <c r="E3922" s="33">
        <f>IF(Demand!F3920,1,0)</f>
        <v>0</v>
      </c>
      <c r="F3922" s="33">
        <f>COUNTIFS(c_store,A3922,c_date,B3922,c_hour,C3922)</f>
        <v>1</v>
      </c>
      <c r="G3922" s="33">
        <f>IF(F3922&gt;0,1,0)</f>
        <v>1</v>
      </c>
      <c r="H3922" s="33">
        <f>COUNTIFS(Demand!$A$2:$A$4481,A3922,Demand!$B$2:$B$4481,B3922,Demand!$C$2:$C$4481,C3922)</f>
        <v>1</v>
      </c>
    </row>
    <row r="3923">
      <c r="A3923" s="32" t="str">
        <f>Demand!A3921</f>
        <v>S005</v>
      </c>
      <c r="B3923" s="35">
        <f>Demand!B3921</f>
        <v>46278.0</v>
      </c>
      <c r="C3923" s="33">
        <f>Demand!C3921</f>
        <v>23</v>
      </c>
      <c r="D3923" s="33">
        <f>Demand!E3921</f>
        <v>16</v>
      </c>
      <c r="E3923" s="33">
        <f>IF(Demand!F3921,1,0)</f>
        <v>0</v>
      </c>
      <c r="F3923" s="33">
        <f>COUNTIFS(c_store,A3923,c_date,B3923,c_hour,C3923)</f>
        <v>0</v>
      </c>
      <c r="G3923" s="33">
        <f>IF(F3923&gt;0,1,0)</f>
        <v>0</v>
      </c>
      <c r="H3923" s="33">
        <f>COUNTIFS(Demand!$A$2:$A$4481,A3923,Demand!$B$2:$B$4481,B3923,Demand!$C$2:$C$4481,C3923)</f>
        <v>1</v>
      </c>
    </row>
    <row r="3924">
      <c r="A3924" s="32" t="str">
        <f>Demand!A3922</f>
        <v>S006</v>
      </c>
      <c r="B3924" s="35">
        <f>Demand!B3922</f>
        <v>46278.0</v>
      </c>
      <c r="C3924" s="33">
        <f>Demand!C3922</f>
        <v>8</v>
      </c>
      <c r="D3924" s="33">
        <f>Demand!E3922</f>
        <v>27</v>
      </c>
      <c r="E3924" s="33">
        <f>IF(Demand!F3922,1,0)</f>
        <v>0</v>
      </c>
      <c r="F3924" s="33">
        <f>COUNTIFS(c_store,A3924,c_date,B3924,c_hour,C3924)</f>
        <v>0</v>
      </c>
      <c r="G3924" s="33">
        <f>IF(F3924&gt;0,1,0)</f>
        <v>0</v>
      </c>
      <c r="H3924" s="33">
        <f>COUNTIFS(Demand!$A$2:$A$4481,A3924,Demand!$B$2:$B$4481,B3924,Demand!$C$2:$C$4481,C3924)</f>
        <v>1</v>
      </c>
    </row>
    <row r="3925">
      <c r="A3925" s="32" t="str">
        <f>Demand!A3923</f>
        <v>S006</v>
      </c>
      <c r="B3925" s="35">
        <f>Demand!B3923</f>
        <v>46278.0</v>
      </c>
      <c r="C3925" s="33">
        <f>Demand!C3923</f>
        <v>9</v>
      </c>
      <c r="D3925" s="33">
        <f>Demand!E3923</f>
        <v>21</v>
      </c>
      <c r="E3925" s="33">
        <f>IF(Demand!F3923,1,0)</f>
        <v>0</v>
      </c>
      <c r="F3925" s="33">
        <f>COUNTIFS(c_store,A3925,c_date,B3925,c_hour,C3925)</f>
        <v>1</v>
      </c>
      <c r="G3925" s="33">
        <f>IF(F3925&gt;0,1,0)</f>
        <v>1</v>
      </c>
      <c r="H3925" s="33">
        <f>COUNTIFS(Demand!$A$2:$A$4481,A3925,Demand!$B$2:$B$4481,B3925,Demand!$C$2:$C$4481,C3925)</f>
        <v>1</v>
      </c>
    </row>
    <row r="3926">
      <c r="A3926" s="32" t="str">
        <f>Demand!A3924</f>
        <v>S006</v>
      </c>
      <c r="B3926" s="35">
        <f>Demand!B3924</f>
        <v>46278.0</v>
      </c>
      <c r="C3926" s="33">
        <f>Demand!C3924</f>
        <v>10</v>
      </c>
      <c r="D3926" s="33">
        <f>Demand!E3924</f>
        <v>16</v>
      </c>
      <c r="E3926" s="33">
        <f>IF(Demand!F3924,1,0)</f>
        <v>0</v>
      </c>
      <c r="F3926" s="33">
        <f>COUNTIFS(c_store,A3926,c_date,B3926,c_hour,C3926)</f>
        <v>0</v>
      </c>
      <c r="G3926" s="33">
        <f>IF(F3926&gt;0,1,0)</f>
        <v>0</v>
      </c>
      <c r="H3926" s="33">
        <f>COUNTIFS(Demand!$A$2:$A$4481,A3926,Demand!$B$2:$B$4481,B3926,Demand!$C$2:$C$4481,C3926)</f>
        <v>1</v>
      </c>
    </row>
    <row r="3927">
      <c r="A3927" s="32" t="str">
        <f>Demand!A3925</f>
        <v>S006</v>
      </c>
      <c r="B3927" s="35">
        <f>Demand!B3925</f>
        <v>46278.0</v>
      </c>
      <c r="C3927" s="33">
        <f>Demand!C3925</f>
        <v>11</v>
      </c>
      <c r="D3927" s="33">
        <f>Demand!E3925</f>
        <v>24</v>
      </c>
      <c r="E3927" s="33">
        <f>IF(Demand!F3925,1,0)</f>
        <v>0</v>
      </c>
      <c r="F3927" s="33">
        <f>COUNTIFS(c_store,A3927,c_date,B3927,c_hour,C3927)</f>
        <v>2</v>
      </c>
      <c r="G3927" s="33">
        <f>IF(F3927&gt;0,1,0)</f>
        <v>1</v>
      </c>
      <c r="H3927" s="33">
        <f>COUNTIFS(Demand!$A$2:$A$4481,A3927,Demand!$B$2:$B$4481,B3927,Demand!$C$2:$C$4481,C3927)</f>
        <v>1</v>
      </c>
    </row>
    <row r="3928">
      <c r="A3928" s="32" t="str">
        <f>Demand!A3926</f>
        <v>S006</v>
      </c>
      <c r="B3928" s="35">
        <f>Demand!B3926</f>
        <v>46278.0</v>
      </c>
      <c r="C3928" s="33">
        <f>Demand!C3926</f>
        <v>12</v>
      </c>
      <c r="D3928" s="33">
        <f>Demand!E3926</f>
        <v>28</v>
      </c>
      <c r="E3928" s="33">
        <f>IF(Demand!F3926,1,0)</f>
        <v>0</v>
      </c>
      <c r="F3928" s="33">
        <f>COUNTIFS(c_store,A3928,c_date,B3928,c_hour,C3928)</f>
        <v>0</v>
      </c>
      <c r="G3928" s="33">
        <f>IF(F3928&gt;0,1,0)</f>
        <v>0</v>
      </c>
      <c r="H3928" s="33">
        <f>COUNTIFS(Demand!$A$2:$A$4481,A3928,Demand!$B$2:$B$4481,B3928,Demand!$C$2:$C$4481,C3928)</f>
        <v>1</v>
      </c>
    </row>
    <row r="3929">
      <c r="A3929" s="32" t="str">
        <f>Demand!A3927</f>
        <v>S006</v>
      </c>
      <c r="B3929" s="35">
        <f>Demand!B3927</f>
        <v>46278.0</v>
      </c>
      <c r="C3929" s="33">
        <f>Demand!C3927</f>
        <v>13</v>
      </c>
      <c r="D3929" s="33">
        <f>Demand!E3927</f>
        <v>34</v>
      </c>
      <c r="E3929" s="33">
        <f>IF(Demand!F3927,1,0)</f>
        <v>0</v>
      </c>
      <c r="F3929" s="33">
        <f>COUNTIFS(c_store,A3929,c_date,B3929,c_hour,C3929)</f>
        <v>0</v>
      </c>
      <c r="G3929" s="33">
        <f>IF(F3929&gt;0,1,0)</f>
        <v>0</v>
      </c>
      <c r="H3929" s="33">
        <f>COUNTIFS(Demand!$A$2:$A$4481,A3929,Demand!$B$2:$B$4481,B3929,Demand!$C$2:$C$4481,C3929)</f>
        <v>1</v>
      </c>
    </row>
    <row r="3930">
      <c r="A3930" s="32" t="str">
        <f>Demand!A3928</f>
        <v>S006</v>
      </c>
      <c r="B3930" s="35">
        <f>Demand!B3928</f>
        <v>46278.0</v>
      </c>
      <c r="C3930" s="33">
        <f>Demand!C3928</f>
        <v>14</v>
      </c>
      <c r="D3930" s="33">
        <f>Demand!E3928</f>
        <v>12</v>
      </c>
      <c r="E3930" s="33">
        <f>IF(Demand!F3928,1,0)</f>
        <v>0</v>
      </c>
      <c r="F3930" s="33">
        <f>COUNTIFS(c_store,A3930,c_date,B3930,c_hour,C3930)</f>
        <v>0</v>
      </c>
      <c r="G3930" s="33">
        <f>IF(F3930&gt;0,1,0)</f>
        <v>0</v>
      </c>
      <c r="H3930" s="33">
        <f>COUNTIFS(Demand!$A$2:$A$4481,A3930,Demand!$B$2:$B$4481,B3930,Demand!$C$2:$C$4481,C3930)</f>
        <v>1</v>
      </c>
    </row>
    <row r="3931">
      <c r="A3931" s="32" t="str">
        <f>Demand!A3929</f>
        <v>S006</v>
      </c>
      <c r="B3931" s="35">
        <f>Demand!B3929</f>
        <v>46278.0</v>
      </c>
      <c r="C3931" s="33">
        <f>Demand!C3929</f>
        <v>15</v>
      </c>
      <c r="D3931" s="33">
        <f>Demand!E3929</f>
        <v>20</v>
      </c>
      <c r="E3931" s="33">
        <f>IF(Demand!F3929,1,0)</f>
        <v>0</v>
      </c>
      <c r="F3931" s="33">
        <f>COUNTIFS(c_store,A3931,c_date,B3931,c_hour,C3931)</f>
        <v>0</v>
      </c>
      <c r="G3931" s="33">
        <f>IF(F3931&gt;0,1,0)</f>
        <v>0</v>
      </c>
      <c r="H3931" s="33">
        <f>COUNTIFS(Demand!$A$2:$A$4481,A3931,Demand!$B$2:$B$4481,B3931,Demand!$C$2:$C$4481,C3931)</f>
        <v>1</v>
      </c>
    </row>
    <row r="3932">
      <c r="A3932" s="32" t="str">
        <f>Demand!A3930</f>
        <v>S006</v>
      </c>
      <c r="B3932" s="35">
        <f>Demand!B3930</f>
        <v>46278.0</v>
      </c>
      <c r="C3932" s="33">
        <f>Demand!C3930</f>
        <v>16</v>
      </c>
      <c r="D3932" s="33">
        <f>Demand!E3930</f>
        <v>29</v>
      </c>
      <c r="E3932" s="33">
        <f>IF(Demand!F3930,1,0)</f>
        <v>0</v>
      </c>
      <c r="F3932" s="33">
        <f>COUNTIFS(c_store,A3932,c_date,B3932,c_hour,C3932)</f>
        <v>0</v>
      </c>
      <c r="G3932" s="33">
        <f>IF(F3932&gt;0,1,0)</f>
        <v>0</v>
      </c>
      <c r="H3932" s="33">
        <f>COUNTIFS(Demand!$A$2:$A$4481,A3932,Demand!$B$2:$B$4481,B3932,Demand!$C$2:$C$4481,C3932)</f>
        <v>1</v>
      </c>
    </row>
    <row r="3933">
      <c r="A3933" s="32" t="str">
        <f>Demand!A3931</f>
        <v>S006</v>
      </c>
      <c r="B3933" s="35">
        <f>Demand!B3931</f>
        <v>46278.0</v>
      </c>
      <c r="C3933" s="33">
        <f>Demand!C3931</f>
        <v>17</v>
      </c>
      <c r="D3933" s="33">
        <f>Demand!E3931</f>
        <v>36</v>
      </c>
      <c r="E3933" s="33">
        <f>IF(Demand!F3931,1,0)</f>
        <v>0</v>
      </c>
      <c r="F3933" s="33">
        <f>COUNTIFS(c_store,A3933,c_date,B3933,c_hour,C3933)</f>
        <v>0</v>
      </c>
      <c r="G3933" s="33">
        <f>IF(F3933&gt;0,1,0)</f>
        <v>0</v>
      </c>
      <c r="H3933" s="33">
        <f>COUNTIFS(Demand!$A$2:$A$4481,A3933,Demand!$B$2:$B$4481,B3933,Demand!$C$2:$C$4481,C3933)</f>
        <v>1</v>
      </c>
    </row>
    <row r="3934">
      <c r="A3934" s="32" t="str">
        <f>Demand!A3932</f>
        <v>S006</v>
      </c>
      <c r="B3934" s="35">
        <f>Demand!B3932</f>
        <v>46278.0</v>
      </c>
      <c r="C3934" s="33">
        <f>Demand!C3932</f>
        <v>18</v>
      </c>
      <c r="D3934" s="33">
        <f>Demand!E3932</f>
        <v>20</v>
      </c>
      <c r="E3934" s="33">
        <f>IF(Demand!F3932,1,0)</f>
        <v>0</v>
      </c>
      <c r="F3934" s="33">
        <f>COUNTIFS(c_store,A3934,c_date,B3934,c_hour,C3934)</f>
        <v>1</v>
      </c>
      <c r="G3934" s="33">
        <f>IF(F3934&gt;0,1,0)</f>
        <v>1</v>
      </c>
      <c r="H3934" s="33">
        <f>COUNTIFS(Demand!$A$2:$A$4481,A3934,Demand!$B$2:$B$4481,B3934,Demand!$C$2:$C$4481,C3934)</f>
        <v>1</v>
      </c>
    </row>
    <row r="3935">
      <c r="A3935" s="32" t="str">
        <f>Demand!A3933</f>
        <v>S006</v>
      </c>
      <c r="B3935" s="35">
        <f>Demand!B3933</f>
        <v>46278.0</v>
      </c>
      <c r="C3935" s="33">
        <f>Demand!C3933</f>
        <v>19</v>
      </c>
      <c r="D3935" s="33">
        <f>Demand!E3933</f>
        <v>52</v>
      </c>
      <c r="E3935" s="33">
        <f>IF(Demand!F3933,1,0)</f>
        <v>1</v>
      </c>
      <c r="F3935" s="33">
        <f>COUNTIFS(c_store,A3935,c_date,B3935,c_hour,C3935)</f>
        <v>0</v>
      </c>
      <c r="G3935" s="33">
        <f>IF(F3935&gt;0,1,0)</f>
        <v>0</v>
      </c>
      <c r="H3935" s="33">
        <f>COUNTIFS(Demand!$A$2:$A$4481,A3935,Demand!$B$2:$B$4481,B3935,Demand!$C$2:$C$4481,C3935)</f>
        <v>1</v>
      </c>
    </row>
    <row r="3936">
      <c r="A3936" s="32" t="str">
        <f>Demand!A3934</f>
        <v>S006</v>
      </c>
      <c r="B3936" s="35">
        <f>Demand!B3934</f>
        <v>46278.0</v>
      </c>
      <c r="C3936" s="33">
        <f>Demand!C3934</f>
        <v>20</v>
      </c>
      <c r="D3936" s="33">
        <f>Demand!E3934</f>
        <v>44</v>
      </c>
      <c r="E3936" s="33">
        <f>IF(Demand!F3934,1,0)</f>
        <v>1</v>
      </c>
      <c r="F3936" s="33">
        <f>COUNTIFS(c_store,A3936,c_date,B3936,c_hour,C3936)</f>
        <v>0</v>
      </c>
      <c r="G3936" s="33">
        <f>IF(F3936&gt;0,1,0)</f>
        <v>0</v>
      </c>
      <c r="H3936" s="33">
        <f>COUNTIFS(Demand!$A$2:$A$4481,A3936,Demand!$B$2:$B$4481,B3936,Demand!$C$2:$C$4481,C3936)</f>
        <v>1</v>
      </c>
    </row>
    <row r="3937">
      <c r="A3937" s="32" t="str">
        <f>Demand!A3935</f>
        <v>S006</v>
      </c>
      <c r="B3937" s="35">
        <f>Demand!B3935</f>
        <v>46278.0</v>
      </c>
      <c r="C3937" s="33">
        <f>Demand!C3935</f>
        <v>21</v>
      </c>
      <c r="D3937" s="33">
        <f>Demand!E3935</f>
        <v>41</v>
      </c>
      <c r="E3937" s="33">
        <f>IF(Demand!F3935,1,0)</f>
        <v>1</v>
      </c>
      <c r="F3937" s="33">
        <f>COUNTIFS(c_store,A3937,c_date,B3937,c_hour,C3937)</f>
        <v>0</v>
      </c>
      <c r="G3937" s="33">
        <f>IF(F3937&gt;0,1,0)</f>
        <v>0</v>
      </c>
      <c r="H3937" s="33">
        <f>COUNTIFS(Demand!$A$2:$A$4481,A3937,Demand!$B$2:$B$4481,B3937,Demand!$C$2:$C$4481,C3937)</f>
        <v>1</v>
      </c>
    </row>
    <row r="3938">
      <c r="A3938" s="32" t="str">
        <f>Demand!A3936</f>
        <v>S006</v>
      </c>
      <c r="B3938" s="35">
        <f>Demand!B3936</f>
        <v>46278.0</v>
      </c>
      <c r="C3938" s="33">
        <f>Demand!C3936</f>
        <v>22</v>
      </c>
      <c r="D3938" s="33">
        <f>Demand!E3936</f>
        <v>22</v>
      </c>
      <c r="E3938" s="33">
        <f>IF(Demand!F3936,1,0)</f>
        <v>0</v>
      </c>
      <c r="F3938" s="33">
        <f>COUNTIFS(c_store,A3938,c_date,B3938,c_hour,C3938)</f>
        <v>0</v>
      </c>
      <c r="G3938" s="33">
        <f>IF(F3938&gt;0,1,0)</f>
        <v>0</v>
      </c>
      <c r="H3938" s="33">
        <f>COUNTIFS(Demand!$A$2:$A$4481,A3938,Demand!$B$2:$B$4481,B3938,Demand!$C$2:$C$4481,C3938)</f>
        <v>1</v>
      </c>
    </row>
    <row r="3939">
      <c r="A3939" s="32" t="str">
        <f>Demand!A3937</f>
        <v>S006</v>
      </c>
      <c r="B3939" s="35">
        <f>Demand!B3937</f>
        <v>46278.0</v>
      </c>
      <c r="C3939" s="33">
        <f>Demand!C3937</f>
        <v>23</v>
      </c>
      <c r="D3939" s="33">
        <f>Demand!E3937</f>
        <v>34</v>
      </c>
      <c r="E3939" s="33">
        <f>IF(Demand!F3937,1,0)</f>
        <v>0</v>
      </c>
      <c r="F3939" s="33">
        <f>COUNTIFS(c_store,A3939,c_date,B3939,c_hour,C3939)</f>
        <v>0</v>
      </c>
      <c r="G3939" s="33">
        <f>IF(F3939&gt;0,1,0)</f>
        <v>0</v>
      </c>
      <c r="H3939" s="33">
        <f>COUNTIFS(Demand!$A$2:$A$4481,A3939,Demand!$B$2:$B$4481,B3939,Demand!$C$2:$C$4481,C3939)</f>
        <v>1</v>
      </c>
    </row>
    <row r="3940">
      <c r="A3940" s="32" t="str">
        <f>Demand!A3938</f>
        <v>S007</v>
      </c>
      <c r="B3940" s="35">
        <f>Demand!B3938</f>
        <v>46278.0</v>
      </c>
      <c r="C3940" s="33">
        <f>Demand!C3938</f>
        <v>8</v>
      </c>
      <c r="D3940" s="33">
        <f>Demand!E3938</f>
        <v>39</v>
      </c>
      <c r="E3940" s="33">
        <f>IF(Demand!F3938,1,0)</f>
        <v>0</v>
      </c>
      <c r="F3940" s="33">
        <f>COUNTIFS(c_store,A3940,c_date,B3940,c_hour,C3940)</f>
        <v>0</v>
      </c>
      <c r="G3940" s="33">
        <f>IF(F3940&gt;0,1,0)</f>
        <v>0</v>
      </c>
      <c r="H3940" s="33">
        <f>COUNTIFS(Demand!$A$2:$A$4481,A3940,Demand!$B$2:$B$4481,B3940,Demand!$C$2:$C$4481,C3940)</f>
        <v>1</v>
      </c>
    </row>
    <row r="3941">
      <c r="A3941" s="32" t="str">
        <f>Demand!A3939</f>
        <v>S007</v>
      </c>
      <c r="B3941" s="35">
        <f>Demand!B3939</f>
        <v>46278.0</v>
      </c>
      <c r="C3941" s="33">
        <f>Demand!C3939</f>
        <v>9</v>
      </c>
      <c r="D3941" s="33">
        <f>Demand!E3939</f>
        <v>30</v>
      </c>
      <c r="E3941" s="33">
        <f>IF(Demand!F3939,1,0)</f>
        <v>0</v>
      </c>
      <c r="F3941" s="33">
        <f>COUNTIFS(c_store,A3941,c_date,B3941,c_hour,C3941)</f>
        <v>2</v>
      </c>
      <c r="G3941" s="33">
        <f>IF(F3941&gt;0,1,0)</f>
        <v>1</v>
      </c>
      <c r="H3941" s="33">
        <f>COUNTIFS(Demand!$A$2:$A$4481,A3941,Demand!$B$2:$B$4481,B3941,Demand!$C$2:$C$4481,C3941)</f>
        <v>1</v>
      </c>
    </row>
    <row r="3942">
      <c r="A3942" s="32" t="str">
        <f>Demand!A3940</f>
        <v>S007</v>
      </c>
      <c r="B3942" s="35">
        <f>Demand!B3940</f>
        <v>46278.0</v>
      </c>
      <c r="C3942" s="33">
        <f>Demand!C3940</f>
        <v>10</v>
      </c>
      <c r="D3942" s="33">
        <f>Demand!E3940</f>
        <v>31</v>
      </c>
      <c r="E3942" s="33">
        <f>IF(Demand!F3940,1,0)</f>
        <v>0</v>
      </c>
      <c r="F3942" s="33">
        <f>COUNTIFS(c_store,A3942,c_date,B3942,c_hour,C3942)</f>
        <v>0</v>
      </c>
      <c r="G3942" s="33">
        <f>IF(F3942&gt;0,1,0)</f>
        <v>0</v>
      </c>
      <c r="H3942" s="33">
        <f>COUNTIFS(Demand!$A$2:$A$4481,A3942,Demand!$B$2:$B$4481,B3942,Demand!$C$2:$C$4481,C3942)</f>
        <v>1</v>
      </c>
    </row>
    <row r="3943">
      <c r="A3943" s="32" t="str">
        <f>Demand!A3941</f>
        <v>S007</v>
      </c>
      <c r="B3943" s="35">
        <f>Demand!B3941</f>
        <v>46278.0</v>
      </c>
      <c r="C3943" s="33">
        <f>Demand!C3941</f>
        <v>11</v>
      </c>
      <c r="D3943" s="33">
        <f>Demand!E3941</f>
        <v>44</v>
      </c>
      <c r="E3943" s="33">
        <f>IF(Demand!F3941,1,0)</f>
        <v>0</v>
      </c>
      <c r="F3943" s="33">
        <f>COUNTIFS(c_store,A3943,c_date,B3943,c_hour,C3943)</f>
        <v>1</v>
      </c>
      <c r="G3943" s="33">
        <f>IF(F3943&gt;0,1,0)</f>
        <v>1</v>
      </c>
      <c r="H3943" s="33">
        <f>COUNTIFS(Demand!$A$2:$A$4481,A3943,Demand!$B$2:$B$4481,B3943,Demand!$C$2:$C$4481,C3943)</f>
        <v>1</v>
      </c>
    </row>
    <row r="3944">
      <c r="A3944" s="32" t="str">
        <f>Demand!A3942</f>
        <v>S007</v>
      </c>
      <c r="B3944" s="35">
        <f>Demand!B3942</f>
        <v>46278.0</v>
      </c>
      <c r="C3944" s="33">
        <f>Demand!C3942</f>
        <v>12</v>
      </c>
      <c r="D3944" s="33">
        <f>Demand!E3942</f>
        <v>35</v>
      </c>
      <c r="E3944" s="33">
        <f>IF(Demand!F3942,1,0)</f>
        <v>0</v>
      </c>
      <c r="F3944" s="33">
        <f>COUNTIFS(c_store,A3944,c_date,B3944,c_hour,C3944)</f>
        <v>0</v>
      </c>
      <c r="G3944" s="33">
        <f>IF(F3944&gt;0,1,0)</f>
        <v>0</v>
      </c>
      <c r="H3944" s="33">
        <f>COUNTIFS(Demand!$A$2:$A$4481,A3944,Demand!$B$2:$B$4481,B3944,Demand!$C$2:$C$4481,C3944)</f>
        <v>1</v>
      </c>
    </row>
    <row r="3945">
      <c r="A3945" s="32" t="str">
        <f>Demand!A3943</f>
        <v>S007</v>
      </c>
      <c r="B3945" s="35">
        <f>Demand!B3943</f>
        <v>46278.0</v>
      </c>
      <c r="C3945" s="33">
        <f>Demand!C3943</f>
        <v>13</v>
      </c>
      <c r="D3945" s="33">
        <f>Demand!E3943</f>
        <v>38</v>
      </c>
      <c r="E3945" s="33">
        <f>IF(Demand!F3943,1,0)</f>
        <v>0</v>
      </c>
      <c r="F3945" s="33">
        <f>COUNTIFS(c_store,A3945,c_date,B3945,c_hour,C3945)</f>
        <v>1</v>
      </c>
      <c r="G3945" s="33">
        <f>IF(F3945&gt;0,1,0)</f>
        <v>1</v>
      </c>
      <c r="H3945" s="33">
        <f>COUNTIFS(Demand!$A$2:$A$4481,A3945,Demand!$B$2:$B$4481,B3945,Demand!$C$2:$C$4481,C3945)</f>
        <v>1</v>
      </c>
    </row>
    <row r="3946">
      <c r="A3946" s="32" t="str">
        <f>Demand!A3944</f>
        <v>S007</v>
      </c>
      <c r="B3946" s="35">
        <f>Demand!B3944</f>
        <v>46278.0</v>
      </c>
      <c r="C3946" s="33">
        <f>Demand!C3944</f>
        <v>14</v>
      </c>
      <c r="D3946" s="33">
        <f>Demand!E3944</f>
        <v>24</v>
      </c>
      <c r="E3946" s="33">
        <f>IF(Demand!F3944,1,0)</f>
        <v>0</v>
      </c>
      <c r="F3946" s="33">
        <f>COUNTIFS(c_store,A3946,c_date,B3946,c_hour,C3946)</f>
        <v>0</v>
      </c>
      <c r="G3946" s="33">
        <f>IF(F3946&gt;0,1,0)</f>
        <v>0</v>
      </c>
      <c r="H3946" s="33">
        <f>COUNTIFS(Demand!$A$2:$A$4481,A3946,Demand!$B$2:$B$4481,B3946,Demand!$C$2:$C$4481,C3946)</f>
        <v>1</v>
      </c>
    </row>
    <row r="3947">
      <c r="A3947" s="32" t="str">
        <f>Demand!A3945</f>
        <v>S007</v>
      </c>
      <c r="B3947" s="35">
        <f>Demand!B3945</f>
        <v>46278.0</v>
      </c>
      <c r="C3947" s="33">
        <f>Demand!C3945</f>
        <v>15</v>
      </c>
      <c r="D3947" s="33">
        <f>Demand!E3945</f>
        <v>24</v>
      </c>
      <c r="E3947" s="33">
        <f>IF(Demand!F3945,1,0)</f>
        <v>0</v>
      </c>
      <c r="F3947" s="33">
        <f>COUNTIFS(c_store,A3947,c_date,B3947,c_hour,C3947)</f>
        <v>1</v>
      </c>
      <c r="G3947" s="33">
        <f>IF(F3947&gt;0,1,0)</f>
        <v>1</v>
      </c>
      <c r="H3947" s="33">
        <f>COUNTIFS(Demand!$A$2:$A$4481,A3947,Demand!$B$2:$B$4481,B3947,Demand!$C$2:$C$4481,C3947)</f>
        <v>1</v>
      </c>
    </row>
    <row r="3948">
      <c r="A3948" s="32" t="str">
        <f>Demand!A3946</f>
        <v>S007</v>
      </c>
      <c r="B3948" s="35">
        <f>Demand!B3946</f>
        <v>46278.0</v>
      </c>
      <c r="C3948" s="33">
        <f>Demand!C3946</f>
        <v>16</v>
      </c>
      <c r="D3948" s="33">
        <f>Demand!E3946</f>
        <v>46</v>
      </c>
      <c r="E3948" s="33">
        <f>IF(Demand!F3946,1,0)</f>
        <v>0</v>
      </c>
      <c r="F3948" s="33">
        <f>COUNTIFS(c_store,A3948,c_date,B3948,c_hour,C3948)</f>
        <v>0</v>
      </c>
      <c r="G3948" s="33">
        <f>IF(F3948&gt;0,1,0)</f>
        <v>0</v>
      </c>
      <c r="H3948" s="33">
        <f>COUNTIFS(Demand!$A$2:$A$4481,A3948,Demand!$B$2:$B$4481,B3948,Demand!$C$2:$C$4481,C3948)</f>
        <v>1</v>
      </c>
    </row>
    <row r="3949">
      <c r="A3949" s="32" t="str">
        <f>Demand!A3947</f>
        <v>S007</v>
      </c>
      <c r="B3949" s="35">
        <f>Demand!B3947</f>
        <v>46278.0</v>
      </c>
      <c r="C3949" s="33">
        <f>Demand!C3947</f>
        <v>17</v>
      </c>
      <c r="D3949" s="33">
        <f>Demand!E3947</f>
        <v>35</v>
      </c>
      <c r="E3949" s="33">
        <f>IF(Demand!F3947,1,0)</f>
        <v>0</v>
      </c>
      <c r="F3949" s="33">
        <f>COUNTIFS(c_store,A3949,c_date,B3949,c_hour,C3949)</f>
        <v>1</v>
      </c>
      <c r="G3949" s="33">
        <f>IF(F3949&gt;0,1,0)</f>
        <v>1</v>
      </c>
      <c r="H3949" s="33">
        <f>COUNTIFS(Demand!$A$2:$A$4481,A3949,Demand!$B$2:$B$4481,B3949,Demand!$C$2:$C$4481,C3949)</f>
        <v>1</v>
      </c>
    </row>
    <row r="3950">
      <c r="A3950" s="32" t="str">
        <f>Demand!A3948</f>
        <v>S007</v>
      </c>
      <c r="B3950" s="35">
        <f>Demand!B3948</f>
        <v>46278.0</v>
      </c>
      <c r="C3950" s="33">
        <f>Demand!C3948</f>
        <v>18</v>
      </c>
      <c r="D3950" s="33">
        <f>Demand!E3948</f>
        <v>39</v>
      </c>
      <c r="E3950" s="33">
        <f>IF(Demand!F3948,1,0)</f>
        <v>0</v>
      </c>
      <c r="F3950" s="33">
        <f>COUNTIFS(c_store,A3950,c_date,B3950,c_hour,C3950)</f>
        <v>1</v>
      </c>
      <c r="G3950" s="33">
        <f>IF(F3950&gt;0,1,0)</f>
        <v>1</v>
      </c>
      <c r="H3950" s="33">
        <f>COUNTIFS(Demand!$A$2:$A$4481,A3950,Demand!$B$2:$B$4481,B3950,Demand!$C$2:$C$4481,C3950)</f>
        <v>1</v>
      </c>
    </row>
    <row r="3951">
      <c r="A3951" s="32" t="str">
        <f>Demand!A3949</f>
        <v>S007</v>
      </c>
      <c r="B3951" s="35">
        <f>Demand!B3949</f>
        <v>46278.0</v>
      </c>
      <c r="C3951" s="33">
        <f>Demand!C3949</f>
        <v>19</v>
      </c>
      <c r="D3951" s="33">
        <f>Demand!E3949</f>
        <v>56</v>
      </c>
      <c r="E3951" s="33">
        <f>IF(Demand!F3949,1,0)</f>
        <v>1</v>
      </c>
      <c r="F3951" s="33">
        <f>COUNTIFS(c_store,A3951,c_date,B3951,c_hour,C3951)</f>
        <v>1</v>
      </c>
      <c r="G3951" s="33">
        <f>IF(F3951&gt;0,1,0)</f>
        <v>1</v>
      </c>
      <c r="H3951" s="33">
        <f>COUNTIFS(Demand!$A$2:$A$4481,A3951,Demand!$B$2:$B$4481,B3951,Demand!$C$2:$C$4481,C3951)</f>
        <v>1</v>
      </c>
    </row>
    <row r="3952">
      <c r="A3952" s="32" t="str">
        <f>Demand!A3950</f>
        <v>S007</v>
      </c>
      <c r="B3952" s="35">
        <f>Demand!B3950</f>
        <v>46278.0</v>
      </c>
      <c r="C3952" s="33">
        <f>Demand!C3950</f>
        <v>20</v>
      </c>
      <c r="D3952" s="33">
        <f>Demand!E3950</f>
        <v>50</v>
      </c>
      <c r="E3952" s="33">
        <f>IF(Demand!F3950,1,0)</f>
        <v>1</v>
      </c>
      <c r="F3952" s="33">
        <f>COUNTIFS(c_store,A3952,c_date,B3952,c_hour,C3952)</f>
        <v>0</v>
      </c>
      <c r="G3952" s="33">
        <f>IF(F3952&gt;0,1,0)</f>
        <v>0</v>
      </c>
      <c r="H3952" s="33">
        <f>COUNTIFS(Demand!$A$2:$A$4481,A3952,Demand!$B$2:$B$4481,B3952,Demand!$C$2:$C$4481,C3952)</f>
        <v>1</v>
      </c>
    </row>
    <row r="3953">
      <c r="A3953" s="32" t="str">
        <f>Demand!A3951</f>
        <v>S007</v>
      </c>
      <c r="B3953" s="35">
        <f>Demand!B3951</f>
        <v>46278.0</v>
      </c>
      <c r="C3953" s="33">
        <f>Demand!C3951</f>
        <v>21</v>
      </c>
      <c r="D3953" s="33">
        <f>Demand!E3951</f>
        <v>62</v>
      </c>
      <c r="E3953" s="33">
        <f>IF(Demand!F3951,1,0)</f>
        <v>1</v>
      </c>
      <c r="F3953" s="33">
        <f>COUNTIFS(c_store,A3953,c_date,B3953,c_hour,C3953)</f>
        <v>0</v>
      </c>
      <c r="G3953" s="33">
        <f>IF(F3953&gt;0,1,0)</f>
        <v>0</v>
      </c>
      <c r="H3953" s="33">
        <f>COUNTIFS(Demand!$A$2:$A$4481,A3953,Demand!$B$2:$B$4481,B3953,Demand!$C$2:$C$4481,C3953)</f>
        <v>1</v>
      </c>
    </row>
    <row r="3954">
      <c r="A3954" s="32" t="str">
        <f>Demand!A3952</f>
        <v>S007</v>
      </c>
      <c r="B3954" s="35">
        <f>Demand!B3952</f>
        <v>46278.0</v>
      </c>
      <c r="C3954" s="33">
        <f>Demand!C3952</f>
        <v>22</v>
      </c>
      <c r="D3954" s="33">
        <f>Demand!E3952</f>
        <v>49</v>
      </c>
      <c r="E3954" s="33">
        <f>IF(Demand!F3952,1,0)</f>
        <v>0</v>
      </c>
      <c r="F3954" s="33">
        <f>COUNTIFS(c_store,A3954,c_date,B3954,c_hour,C3954)</f>
        <v>0</v>
      </c>
      <c r="G3954" s="33">
        <f>IF(F3954&gt;0,1,0)</f>
        <v>0</v>
      </c>
      <c r="H3954" s="33">
        <f>COUNTIFS(Demand!$A$2:$A$4481,A3954,Demand!$B$2:$B$4481,B3954,Demand!$C$2:$C$4481,C3954)</f>
        <v>1</v>
      </c>
    </row>
    <row r="3955">
      <c r="A3955" s="32" t="str">
        <f>Demand!A3953</f>
        <v>S007</v>
      </c>
      <c r="B3955" s="35">
        <f>Demand!B3953</f>
        <v>46278.0</v>
      </c>
      <c r="C3955" s="33">
        <f>Demand!C3953</f>
        <v>23</v>
      </c>
      <c r="D3955" s="33">
        <f>Demand!E3953</f>
        <v>38</v>
      </c>
      <c r="E3955" s="33">
        <f>IF(Demand!F3953,1,0)</f>
        <v>0</v>
      </c>
      <c r="F3955" s="33">
        <f>COUNTIFS(c_store,A3955,c_date,B3955,c_hour,C3955)</f>
        <v>0</v>
      </c>
      <c r="G3955" s="33">
        <f>IF(F3955&gt;0,1,0)</f>
        <v>0</v>
      </c>
      <c r="H3955" s="33">
        <f>COUNTIFS(Demand!$A$2:$A$4481,A3955,Demand!$B$2:$B$4481,B3955,Demand!$C$2:$C$4481,C3955)</f>
        <v>1</v>
      </c>
    </row>
    <row r="3956">
      <c r="A3956" s="32" t="str">
        <f>Demand!A3954</f>
        <v>S008</v>
      </c>
      <c r="B3956" s="35">
        <f>Demand!B3954</f>
        <v>46278.0</v>
      </c>
      <c r="C3956" s="33">
        <f>Demand!C3954</f>
        <v>8</v>
      </c>
      <c r="D3956" s="33">
        <f>Demand!E3954</f>
        <v>11</v>
      </c>
      <c r="E3956" s="33">
        <f>IF(Demand!F3954,1,0)</f>
        <v>0</v>
      </c>
      <c r="F3956" s="33">
        <f>COUNTIFS(c_store,A3956,c_date,B3956,c_hour,C3956)</f>
        <v>0</v>
      </c>
      <c r="G3956" s="33">
        <f>IF(F3956&gt;0,1,0)</f>
        <v>0</v>
      </c>
      <c r="H3956" s="33">
        <f>COUNTIFS(Demand!$A$2:$A$4481,A3956,Demand!$B$2:$B$4481,B3956,Demand!$C$2:$C$4481,C3956)</f>
        <v>1</v>
      </c>
    </row>
    <row r="3957">
      <c r="A3957" s="32" t="str">
        <f>Demand!A3955</f>
        <v>S008</v>
      </c>
      <c r="B3957" s="35">
        <f>Demand!B3955</f>
        <v>46278.0</v>
      </c>
      <c r="C3957" s="33">
        <f>Demand!C3955</f>
        <v>9</v>
      </c>
      <c r="D3957" s="33">
        <f>Demand!E3955</f>
        <v>9</v>
      </c>
      <c r="E3957" s="33">
        <f>IF(Demand!F3955,1,0)</f>
        <v>0</v>
      </c>
      <c r="F3957" s="33">
        <f>COUNTIFS(c_store,A3957,c_date,B3957,c_hour,C3957)</f>
        <v>0</v>
      </c>
      <c r="G3957" s="33">
        <f>IF(F3957&gt;0,1,0)</f>
        <v>0</v>
      </c>
      <c r="H3957" s="33">
        <f>COUNTIFS(Demand!$A$2:$A$4481,A3957,Demand!$B$2:$B$4481,B3957,Demand!$C$2:$C$4481,C3957)</f>
        <v>1</v>
      </c>
    </row>
    <row r="3958">
      <c r="A3958" s="32" t="str">
        <f>Demand!A3956</f>
        <v>S008</v>
      </c>
      <c r="B3958" s="35">
        <f>Demand!B3956</f>
        <v>46278.0</v>
      </c>
      <c r="C3958" s="33">
        <f>Demand!C3956</f>
        <v>10</v>
      </c>
      <c r="D3958" s="33">
        <f>Demand!E3956</f>
        <v>19</v>
      </c>
      <c r="E3958" s="33">
        <f>IF(Demand!F3956,1,0)</f>
        <v>0</v>
      </c>
      <c r="F3958" s="33">
        <f>COUNTIFS(c_store,A3958,c_date,B3958,c_hour,C3958)</f>
        <v>1</v>
      </c>
      <c r="G3958" s="33">
        <f>IF(F3958&gt;0,1,0)</f>
        <v>1</v>
      </c>
      <c r="H3958" s="33">
        <f>COUNTIFS(Demand!$A$2:$A$4481,A3958,Demand!$B$2:$B$4481,B3958,Demand!$C$2:$C$4481,C3958)</f>
        <v>1</v>
      </c>
    </row>
    <row r="3959">
      <c r="A3959" s="32" t="str">
        <f>Demand!A3957</f>
        <v>S008</v>
      </c>
      <c r="B3959" s="35">
        <f>Demand!B3957</f>
        <v>46278.0</v>
      </c>
      <c r="C3959" s="33">
        <f>Demand!C3957</f>
        <v>11</v>
      </c>
      <c r="D3959" s="33">
        <f>Demand!E3957</f>
        <v>28</v>
      </c>
      <c r="E3959" s="33">
        <f>IF(Demand!F3957,1,0)</f>
        <v>0</v>
      </c>
      <c r="F3959" s="33">
        <f>COUNTIFS(c_store,A3959,c_date,B3959,c_hour,C3959)</f>
        <v>0</v>
      </c>
      <c r="G3959" s="33">
        <f>IF(F3959&gt;0,1,0)</f>
        <v>0</v>
      </c>
      <c r="H3959" s="33">
        <f>COUNTIFS(Demand!$A$2:$A$4481,A3959,Demand!$B$2:$B$4481,B3959,Demand!$C$2:$C$4481,C3959)</f>
        <v>1</v>
      </c>
    </row>
    <row r="3960">
      <c r="A3960" s="32" t="str">
        <f>Demand!A3958</f>
        <v>S008</v>
      </c>
      <c r="B3960" s="35">
        <f>Demand!B3958</f>
        <v>46278.0</v>
      </c>
      <c r="C3960" s="33">
        <f>Demand!C3958</f>
        <v>12</v>
      </c>
      <c r="D3960" s="33">
        <f>Demand!E3958</f>
        <v>27</v>
      </c>
      <c r="E3960" s="33">
        <f>IF(Demand!F3958,1,0)</f>
        <v>0</v>
      </c>
      <c r="F3960" s="33">
        <f>COUNTIFS(c_store,A3960,c_date,B3960,c_hour,C3960)</f>
        <v>0</v>
      </c>
      <c r="G3960" s="33">
        <f>IF(F3960&gt;0,1,0)</f>
        <v>0</v>
      </c>
      <c r="H3960" s="33">
        <f>COUNTIFS(Demand!$A$2:$A$4481,A3960,Demand!$B$2:$B$4481,B3960,Demand!$C$2:$C$4481,C3960)</f>
        <v>1</v>
      </c>
    </row>
    <row r="3961">
      <c r="A3961" s="32" t="str">
        <f>Demand!A3959</f>
        <v>S008</v>
      </c>
      <c r="B3961" s="35">
        <f>Demand!B3959</f>
        <v>46278.0</v>
      </c>
      <c r="C3961" s="33">
        <f>Demand!C3959</f>
        <v>13</v>
      </c>
      <c r="D3961" s="33">
        <f>Demand!E3959</f>
        <v>28</v>
      </c>
      <c r="E3961" s="33">
        <f>IF(Demand!F3959,1,0)</f>
        <v>0</v>
      </c>
      <c r="F3961" s="33">
        <f>COUNTIFS(c_store,A3961,c_date,B3961,c_hour,C3961)</f>
        <v>1</v>
      </c>
      <c r="G3961" s="33">
        <f>IF(F3961&gt;0,1,0)</f>
        <v>1</v>
      </c>
      <c r="H3961" s="33">
        <f>COUNTIFS(Demand!$A$2:$A$4481,A3961,Demand!$B$2:$B$4481,B3961,Demand!$C$2:$C$4481,C3961)</f>
        <v>1</v>
      </c>
    </row>
    <row r="3962">
      <c r="A3962" s="32" t="str">
        <f>Demand!A3960</f>
        <v>S008</v>
      </c>
      <c r="B3962" s="35">
        <f>Demand!B3960</f>
        <v>46278.0</v>
      </c>
      <c r="C3962" s="33">
        <f>Demand!C3960</f>
        <v>14</v>
      </c>
      <c r="D3962" s="33">
        <f>Demand!E3960</f>
        <v>22</v>
      </c>
      <c r="E3962" s="33">
        <f>IF(Demand!F3960,1,0)</f>
        <v>0</v>
      </c>
      <c r="F3962" s="33">
        <f>COUNTIFS(c_store,A3962,c_date,B3962,c_hour,C3962)</f>
        <v>0</v>
      </c>
      <c r="G3962" s="33">
        <f>IF(F3962&gt;0,1,0)</f>
        <v>0</v>
      </c>
      <c r="H3962" s="33">
        <f>COUNTIFS(Demand!$A$2:$A$4481,A3962,Demand!$B$2:$B$4481,B3962,Demand!$C$2:$C$4481,C3962)</f>
        <v>1</v>
      </c>
    </row>
    <row r="3963">
      <c r="A3963" s="32" t="str">
        <f>Demand!A3961</f>
        <v>S008</v>
      </c>
      <c r="B3963" s="35">
        <f>Demand!B3961</f>
        <v>46278.0</v>
      </c>
      <c r="C3963" s="33">
        <f>Demand!C3961</f>
        <v>15</v>
      </c>
      <c r="D3963" s="33">
        <f>Demand!E3961</f>
        <v>25</v>
      </c>
      <c r="E3963" s="33">
        <f>IF(Demand!F3961,1,0)</f>
        <v>0</v>
      </c>
      <c r="F3963" s="33">
        <f>COUNTIFS(c_store,A3963,c_date,B3963,c_hour,C3963)</f>
        <v>2</v>
      </c>
      <c r="G3963" s="33">
        <f>IF(F3963&gt;0,1,0)</f>
        <v>1</v>
      </c>
      <c r="H3963" s="33">
        <f>COUNTIFS(Demand!$A$2:$A$4481,A3963,Demand!$B$2:$B$4481,B3963,Demand!$C$2:$C$4481,C3963)</f>
        <v>1</v>
      </c>
    </row>
    <row r="3964">
      <c r="A3964" s="32" t="str">
        <f>Demand!A3962</f>
        <v>S008</v>
      </c>
      <c r="B3964" s="35">
        <f>Demand!B3962</f>
        <v>46278.0</v>
      </c>
      <c r="C3964" s="33">
        <f>Demand!C3962</f>
        <v>16</v>
      </c>
      <c r="D3964" s="33">
        <f>Demand!E3962</f>
        <v>28</v>
      </c>
      <c r="E3964" s="33">
        <f>IF(Demand!F3962,1,0)</f>
        <v>0</v>
      </c>
      <c r="F3964" s="33">
        <f>COUNTIFS(c_store,A3964,c_date,B3964,c_hour,C3964)</f>
        <v>1</v>
      </c>
      <c r="G3964" s="33">
        <f>IF(F3964&gt;0,1,0)</f>
        <v>1</v>
      </c>
      <c r="H3964" s="33">
        <f>COUNTIFS(Demand!$A$2:$A$4481,A3964,Demand!$B$2:$B$4481,B3964,Demand!$C$2:$C$4481,C3964)</f>
        <v>1</v>
      </c>
    </row>
    <row r="3965">
      <c r="A3965" s="32" t="str">
        <f>Demand!A3963</f>
        <v>S008</v>
      </c>
      <c r="B3965" s="35">
        <f>Demand!B3963</f>
        <v>46278.0</v>
      </c>
      <c r="C3965" s="33">
        <f>Demand!C3963</f>
        <v>17</v>
      </c>
      <c r="D3965" s="33">
        <f>Demand!E3963</f>
        <v>37</v>
      </c>
      <c r="E3965" s="33">
        <f>IF(Demand!F3963,1,0)</f>
        <v>0</v>
      </c>
      <c r="F3965" s="33">
        <f>COUNTIFS(c_store,A3965,c_date,B3965,c_hour,C3965)</f>
        <v>0</v>
      </c>
      <c r="G3965" s="33">
        <f>IF(F3965&gt;0,1,0)</f>
        <v>0</v>
      </c>
      <c r="H3965" s="33">
        <f>COUNTIFS(Demand!$A$2:$A$4481,A3965,Demand!$B$2:$B$4481,B3965,Demand!$C$2:$C$4481,C3965)</f>
        <v>1</v>
      </c>
    </row>
    <row r="3966">
      <c r="A3966" s="32" t="str">
        <f>Demand!A3964</f>
        <v>S008</v>
      </c>
      <c r="B3966" s="35">
        <f>Demand!B3964</f>
        <v>46278.0</v>
      </c>
      <c r="C3966" s="33">
        <f>Demand!C3964</f>
        <v>18</v>
      </c>
      <c r="D3966" s="33">
        <f>Demand!E3964</f>
        <v>32</v>
      </c>
      <c r="E3966" s="33">
        <f>IF(Demand!F3964,1,0)</f>
        <v>0</v>
      </c>
      <c r="F3966" s="33">
        <f>COUNTIFS(c_store,A3966,c_date,B3966,c_hour,C3966)</f>
        <v>0</v>
      </c>
      <c r="G3966" s="33">
        <f>IF(F3966&gt;0,1,0)</f>
        <v>0</v>
      </c>
      <c r="H3966" s="33">
        <f>COUNTIFS(Demand!$A$2:$A$4481,A3966,Demand!$B$2:$B$4481,B3966,Demand!$C$2:$C$4481,C3966)</f>
        <v>1</v>
      </c>
    </row>
    <row r="3967">
      <c r="A3967" s="32" t="str">
        <f>Demand!A3965</f>
        <v>S008</v>
      </c>
      <c r="B3967" s="35">
        <f>Demand!B3965</f>
        <v>46278.0</v>
      </c>
      <c r="C3967" s="33">
        <f>Demand!C3965</f>
        <v>19</v>
      </c>
      <c r="D3967" s="33">
        <f>Demand!E3965</f>
        <v>34</v>
      </c>
      <c r="E3967" s="33">
        <f>IF(Demand!F3965,1,0)</f>
        <v>1</v>
      </c>
      <c r="F3967" s="33">
        <f>COUNTIFS(c_store,A3967,c_date,B3967,c_hour,C3967)</f>
        <v>1</v>
      </c>
      <c r="G3967" s="33">
        <f>IF(F3967&gt;0,1,0)</f>
        <v>1</v>
      </c>
      <c r="H3967" s="33">
        <f>COUNTIFS(Demand!$A$2:$A$4481,A3967,Demand!$B$2:$B$4481,B3967,Demand!$C$2:$C$4481,C3967)</f>
        <v>1</v>
      </c>
    </row>
    <row r="3968">
      <c r="A3968" s="32" t="str">
        <f>Demand!A3966</f>
        <v>S008</v>
      </c>
      <c r="B3968" s="35">
        <f>Demand!B3966</f>
        <v>46278.0</v>
      </c>
      <c r="C3968" s="33">
        <f>Demand!C3966</f>
        <v>20</v>
      </c>
      <c r="D3968" s="33">
        <f>Demand!E3966</f>
        <v>36</v>
      </c>
      <c r="E3968" s="33">
        <f>IF(Demand!F3966,1,0)</f>
        <v>1</v>
      </c>
      <c r="F3968" s="33">
        <f>COUNTIFS(c_store,A3968,c_date,B3968,c_hour,C3968)</f>
        <v>0</v>
      </c>
      <c r="G3968" s="33">
        <f>IF(F3968&gt;0,1,0)</f>
        <v>0</v>
      </c>
      <c r="H3968" s="33">
        <f>COUNTIFS(Demand!$A$2:$A$4481,A3968,Demand!$B$2:$B$4481,B3968,Demand!$C$2:$C$4481,C3968)</f>
        <v>1</v>
      </c>
    </row>
    <row r="3969">
      <c r="A3969" s="32" t="str">
        <f>Demand!A3967</f>
        <v>S008</v>
      </c>
      <c r="B3969" s="35">
        <f>Demand!B3967</f>
        <v>46278.0</v>
      </c>
      <c r="C3969" s="33">
        <f>Demand!C3967</f>
        <v>21</v>
      </c>
      <c r="D3969" s="33">
        <f>Demand!E3967</f>
        <v>44</v>
      </c>
      <c r="E3969" s="33">
        <f>IF(Demand!F3967,1,0)</f>
        <v>1</v>
      </c>
      <c r="F3969" s="33">
        <f>COUNTIFS(c_store,A3969,c_date,B3969,c_hour,C3969)</f>
        <v>2</v>
      </c>
      <c r="G3969" s="33">
        <f>IF(F3969&gt;0,1,0)</f>
        <v>1</v>
      </c>
      <c r="H3969" s="33">
        <f>COUNTIFS(Demand!$A$2:$A$4481,A3969,Demand!$B$2:$B$4481,B3969,Demand!$C$2:$C$4481,C3969)</f>
        <v>1</v>
      </c>
    </row>
    <row r="3970">
      <c r="A3970" s="32" t="str">
        <f>Demand!A3968</f>
        <v>S008</v>
      </c>
      <c r="B3970" s="35">
        <f>Demand!B3968</f>
        <v>46278.0</v>
      </c>
      <c r="C3970" s="33">
        <f>Demand!C3968</f>
        <v>22</v>
      </c>
      <c r="D3970" s="33">
        <f>Demand!E3968</f>
        <v>21</v>
      </c>
      <c r="E3970" s="33">
        <f>IF(Demand!F3968,1,0)</f>
        <v>0</v>
      </c>
      <c r="F3970" s="33">
        <f>COUNTIFS(c_store,A3970,c_date,B3970,c_hour,C3970)</f>
        <v>0</v>
      </c>
      <c r="G3970" s="33">
        <f>IF(F3970&gt;0,1,0)</f>
        <v>0</v>
      </c>
      <c r="H3970" s="33">
        <f>COUNTIFS(Demand!$A$2:$A$4481,A3970,Demand!$B$2:$B$4481,B3970,Demand!$C$2:$C$4481,C3970)</f>
        <v>1</v>
      </c>
    </row>
    <row r="3971">
      <c r="A3971" s="32" t="str">
        <f>Demand!A3969</f>
        <v>S008</v>
      </c>
      <c r="B3971" s="35">
        <f>Demand!B3969</f>
        <v>46278.0</v>
      </c>
      <c r="C3971" s="33">
        <f>Demand!C3969</f>
        <v>23</v>
      </c>
      <c r="D3971" s="33">
        <f>Demand!E3969</f>
        <v>27</v>
      </c>
      <c r="E3971" s="33">
        <f>IF(Demand!F3969,1,0)</f>
        <v>0</v>
      </c>
      <c r="F3971" s="33">
        <f>COUNTIFS(c_store,A3971,c_date,B3971,c_hour,C3971)</f>
        <v>0</v>
      </c>
      <c r="G3971" s="33">
        <f>IF(F3971&gt;0,1,0)</f>
        <v>0</v>
      </c>
      <c r="H3971" s="33">
        <f>COUNTIFS(Demand!$A$2:$A$4481,A3971,Demand!$B$2:$B$4481,B3971,Demand!$C$2:$C$4481,C3971)</f>
        <v>1</v>
      </c>
    </row>
    <row r="3972">
      <c r="A3972" s="32" t="str">
        <f>Demand!A3970</f>
        <v>S009</v>
      </c>
      <c r="B3972" s="35">
        <f>Demand!B3970</f>
        <v>46278.0</v>
      </c>
      <c r="C3972" s="33">
        <f>Demand!C3970</f>
        <v>8</v>
      </c>
      <c r="D3972" s="33">
        <f>Demand!E3970</f>
        <v>15</v>
      </c>
      <c r="E3972" s="33">
        <f>IF(Demand!F3970,1,0)</f>
        <v>0</v>
      </c>
      <c r="F3972" s="33">
        <f>COUNTIFS(c_store,A3972,c_date,B3972,c_hour,C3972)</f>
        <v>0</v>
      </c>
      <c r="G3972" s="33">
        <f>IF(F3972&gt;0,1,0)</f>
        <v>0</v>
      </c>
      <c r="H3972" s="33">
        <f>COUNTIFS(Demand!$A$2:$A$4481,A3972,Demand!$B$2:$B$4481,B3972,Demand!$C$2:$C$4481,C3972)</f>
        <v>1</v>
      </c>
    </row>
    <row r="3973">
      <c r="A3973" s="32" t="str">
        <f>Demand!A3971</f>
        <v>S009</v>
      </c>
      <c r="B3973" s="35">
        <f>Demand!B3971</f>
        <v>46278.0</v>
      </c>
      <c r="C3973" s="33">
        <f>Demand!C3971</f>
        <v>9</v>
      </c>
      <c r="D3973" s="33">
        <f>Demand!E3971</f>
        <v>26</v>
      </c>
      <c r="E3973" s="33">
        <f>IF(Demand!F3971,1,0)</f>
        <v>0</v>
      </c>
      <c r="F3973" s="33">
        <f>COUNTIFS(c_store,A3973,c_date,B3973,c_hour,C3973)</f>
        <v>0</v>
      </c>
      <c r="G3973" s="33">
        <f>IF(F3973&gt;0,1,0)</f>
        <v>0</v>
      </c>
      <c r="H3973" s="33">
        <f>COUNTIFS(Demand!$A$2:$A$4481,A3973,Demand!$B$2:$B$4481,B3973,Demand!$C$2:$C$4481,C3973)</f>
        <v>1</v>
      </c>
    </row>
    <row r="3974">
      <c r="A3974" s="32" t="str">
        <f>Demand!A3972</f>
        <v>S009</v>
      </c>
      <c r="B3974" s="35">
        <f>Demand!B3972</f>
        <v>46278.0</v>
      </c>
      <c r="C3974" s="33">
        <f>Demand!C3972</f>
        <v>10</v>
      </c>
      <c r="D3974" s="33">
        <f>Demand!E3972</f>
        <v>22</v>
      </c>
      <c r="E3974" s="33">
        <f>IF(Demand!F3972,1,0)</f>
        <v>0</v>
      </c>
      <c r="F3974" s="33">
        <f>COUNTIFS(c_store,A3974,c_date,B3974,c_hour,C3974)</f>
        <v>1</v>
      </c>
      <c r="G3974" s="33">
        <f>IF(F3974&gt;0,1,0)</f>
        <v>1</v>
      </c>
      <c r="H3974" s="33">
        <f>COUNTIFS(Demand!$A$2:$A$4481,A3974,Demand!$B$2:$B$4481,B3974,Demand!$C$2:$C$4481,C3974)</f>
        <v>1</v>
      </c>
    </row>
    <row r="3975">
      <c r="A3975" s="32" t="str">
        <f>Demand!A3973</f>
        <v>S009</v>
      </c>
      <c r="B3975" s="35">
        <f>Demand!B3973</f>
        <v>46278.0</v>
      </c>
      <c r="C3975" s="33">
        <f>Demand!C3973</f>
        <v>11</v>
      </c>
      <c r="D3975" s="33">
        <f>Demand!E3973</f>
        <v>37</v>
      </c>
      <c r="E3975" s="33">
        <f>IF(Demand!F3973,1,0)</f>
        <v>0</v>
      </c>
      <c r="F3975" s="33">
        <f>COUNTIFS(c_store,A3975,c_date,B3975,c_hour,C3975)</f>
        <v>1</v>
      </c>
      <c r="G3975" s="33">
        <f>IF(F3975&gt;0,1,0)</f>
        <v>1</v>
      </c>
      <c r="H3975" s="33">
        <f>COUNTIFS(Demand!$A$2:$A$4481,A3975,Demand!$B$2:$B$4481,B3975,Demand!$C$2:$C$4481,C3975)</f>
        <v>1</v>
      </c>
    </row>
    <row r="3976">
      <c r="A3976" s="32" t="str">
        <f>Demand!A3974</f>
        <v>S009</v>
      </c>
      <c r="B3976" s="35">
        <f>Demand!B3974</f>
        <v>46278.0</v>
      </c>
      <c r="C3976" s="33">
        <f>Demand!C3974</f>
        <v>12</v>
      </c>
      <c r="D3976" s="33">
        <f>Demand!E3974</f>
        <v>34</v>
      </c>
      <c r="E3976" s="33">
        <f>IF(Demand!F3974,1,0)</f>
        <v>0</v>
      </c>
      <c r="F3976" s="33">
        <f>COUNTIFS(c_store,A3976,c_date,B3976,c_hour,C3976)</f>
        <v>0</v>
      </c>
      <c r="G3976" s="33">
        <f>IF(F3976&gt;0,1,0)</f>
        <v>0</v>
      </c>
      <c r="H3976" s="33">
        <f>COUNTIFS(Demand!$A$2:$A$4481,A3976,Demand!$B$2:$B$4481,B3976,Demand!$C$2:$C$4481,C3976)</f>
        <v>1</v>
      </c>
    </row>
    <row r="3977">
      <c r="A3977" s="32" t="str">
        <f>Demand!A3975</f>
        <v>S009</v>
      </c>
      <c r="B3977" s="35">
        <f>Demand!B3975</f>
        <v>46278.0</v>
      </c>
      <c r="C3977" s="33">
        <f>Demand!C3975</f>
        <v>13</v>
      </c>
      <c r="D3977" s="33">
        <f>Demand!E3975</f>
        <v>28</v>
      </c>
      <c r="E3977" s="33">
        <f>IF(Demand!F3975,1,0)</f>
        <v>0</v>
      </c>
      <c r="F3977" s="33">
        <f>COUNTIFS(c_store,A3977,c_date,B3977,c_hour,C3977)</f>
        <v>0</v>
      </c>
      <c r="G3977" s="33">
        <f>IF(F3977&gt;0,1,0)</f>
        <v>0</v>
      </c>
      <c r="H3977" s="33">
        <f>COUNTIFS(Demand!$A$2:$A$4481,A3977,Demand!$B$2:$B$4481,B3977,Demand!$C$2:$C$4481,C3977)</f>
        <v>1</v>
      </c>
    </row>
    <row r="3978">
      <c r="A3978" s="32" t="str">
        <f>Demand!A3976</f>
        <v>S009</v>
      </c>
      <c r="B3978" s="35">
        <f>Demand!B3976</f>
        <v>46278.0</v>
      </c>
      <c r="C3978" s="33">
        <f>Demand!C3976</f>
        <v>14</v>
      </c>
      <c r="D3978" s="33">
        <f>Demand!E3976</f>
        <v>27</v>
      </c>
      <c r="E3978" s="33">
        <f>IF(Demand!F3976,1,0)</f>
        <v>0</v>
      </c>
      <c r="F3978" s="33">
        <f>COUNTIFS(c_store,A3978,c_date,B3978,c_hour,C3978)</f>
        <v>0</v>
      </c>
      <c r="G3978" s="33">
        <f>IF(F3978&gt;0,1,0)</f>
        <v>0</v>
      </c>
      <c r="H3978" s="33">
        <f>COUNTIFS(Demand!$A$2:$A$4481,A3978,Demand!$B$2:$B$4481,B3978,Demand!$C$2:$C$4481,C3978)</f>
        <v>1</v>
      </c>
    </row>
    <row r="3979">
      <c r="A3979" s="32" t="str">
        <f>Demand!A3977</f>
        <v>S009</v>
      </c>
      <c r="B3979" s="35">
        <f>Demand!B3977</f>
        <v>46278.0</v>
      </c>
      <c r="C3979" s="33">
        <f>Demand!C3977</f>
        <v>15</v>
      </c>
      <c r="D3979" s="33">
        <f>Demand!E3977</f>
        <v>16</v>
      </c>
      <c r="E3979" s="33">
        <f>IF(Demand!F3977,1,0)</f>
        <v>0</v>
      </c>
      <c r="F3979" s="33">
        <f>COUNTIFS(c_store,A3979,c_date,B3979,c_hour,C3979)</f>
        <v>1</v>
      </c>
      <c r="G3979" s="33">
        <f>IF(F3979&gt;0,1,0)</f>
        <v>1</v>
      </c>
      <c r="H3979" s="33">
        <f>COUNTIFS(Demand!$A$2:$A$4481,A3979,Demand!$B$2:$B$4481,B3979,Demand!$C$2:$C$4481,C3979)</f>
        <v>1</v>
      </c>
    </row>
    <row r="3980">
      <c r="A3980" s="32" t="str">
        <f>Demand!A3978</f>
        <v>S009</v>
      </c>
      <c r="B3980" s="35">
        <f>Demand!B3978</f>
        <v>46278.0</v>
      </c>
      <c r="C3980" s="33">
        <f>Demand!C3978</f>
        <v>16</v>
      </c>
      <c r="D3980" s="33">
        <f>Demand!E3978</f>
        <v>38</v>
      </c>
      <c r="E3980" s="33">
        <f>IF(Demand!F3978,1,0)</f>
        <v>0</v>
      </c>
      <c r="F3980" s="33">
        <f>COUNTIFS(c_store,A3980,c_date,B3980,c_hour,C3980)</f>
        <v>0</v>
      </c>
      <c r="G3980" s="33">
        <f>IF(F3980&gt;0,1,0)</f>
        <v>0</v>
      </c>
      <c r="H3980" s="33">
        <f>COUNTIFS(Demand!$A$2:$A$4481,A3980,Demand!$B$2:$B$4481,B3980,Demand!$C$2:$C$4481,C3980)</f>
        <v>1</v>
      </c>
    </row>
    <row r="3981">
      <c r="A3981" s="32" t="str">
        <f>Demand!A3979</f>
        <v>S009</v>
      </c>
      <c r="B3981" s="35">
        <f>Demand!B3979</f>
        <v>46278.0</v>
      </c>
      <c r="C3981" s="33">
        <f>Demand!C3979</f>
        <v>17</v>
      </c>
      <c r="D3981" s="33">
        <f>Demand!E3979</f>
        <v>36</v>
      </c>
      <c r="E3981" s="33">
        <f>IF(Demand!F3979,1,0)</f>
        <v>0</v>
      </c>
      <c r="F3981" s="33">
        <f>COUNTIFS(c_store,A3981,c_date,B3981,c_hour,C3981)</f>
        <v>1</v>
      </c>
      <c r="G3981" s="33">
        <f>IF(F3981&gt;0,1,0)</f>
        <v>1</v>
      </c>
      <c r="H3981" s="33">
        <f>COUNTIFS(Demand!$A$2:$A$4481,A3981,Demand!$B$2:$B$4481,B3981,Demand!$C$2:$C$4481,C3981)</f>
        <v>1</v>
      </c>
    </row>
    <row r="3982">
      <c r="A3982" s="32" t="str">
        <f>Demand!A3980</f>
        <v>S009</v>
      </c>
      <c r="B3982" s="35">
        <f>Demand!B3980</f>
        <v>46278.0</v>
      </c>
      <c r="C3982" s="33">
        <f>Demand!C3980</f>
        <v>18</v>
      </c>
      <c r="D3982" s="33">
        <f>Demand!E3980</f>
        <v>35</v>
      </c>
      <c r="E3982" s="33">
        <f>IF(Demand!F3980,1,0)</f>
        <v>0</v>
      </c>
      <c r="F3982" s="33">
        <f>COUNTIFS(c_store,A3982,c_date,B3982,c_hour,C3982)</f>
        <v>0</v>
      </c>
      <c r="G3982" s="33">
        <f>IF(F3982&gt;0,1,0)</f>
        <v>0</v>
      </c>
      <c r="H3982" s="33">
        <f>COUNTIFS(Demand!$A$2:$A$4481,A3982,Demand!$B$2:$B$4481,B3982,Demand!$C$2:$C$4481,C3982)</f>
        <v>1</v>
      </c>
    </row>
    <row r="3983">
      <c r="A3983" s="32" t="str">
        <f>Demand!A3981</f>
        <v>S009</v>
      </c>
      <c r="B3983" s="35">
        <f>Demand!B3981</f>
        <v>46278.0</v>
      </c>
      <c r="C3983" s="33">
        <f>Demand!C3981</f>
        <v>19</v>
      </c>
      <c r="D3983" s="33">
        <f>Demand!E3981</f>
        <v>45</v>
      </c>
      <c r="E3983" s="33">
        <f>IF(Demand!F3981,1,0)</f>
        <v>1</v>
      </c>
      <c r="F3983" s="33">
        <f>COUNTIFS(c_store,A3983,c_date,B3983,c_hour,C3983)</f>
        <v>0</v>
      </c>
      <c r="G3983" s="33">
        <f>IF(F3983&gt;0,1,0)</f>
        <v>0</v>
      </c>
      <c r="H3983" s="33">
        <f>COUNTIFS(Demand!$A$2:$A$4481,A3983,Demand!$B$2:$B$4481,B3983,Demand!$C$2:$C$4481,C3983)</f>
        <v>1</v>
      </c>
    </row>
    <row r="3984">
      <c r="A3984" s="32" t="str">
        <f>Demand!A3982</f>
        <v>S009</v>
      </c>
      <c r="B3984" s="35">
        <f>Demand!B3982</f>
        <v>46278.0</v>
      </c>
      <c r="C3984" s="33">
        <f>Demand!C3982</f>
        <v>20</v>
      </c>
      <c r="D3984" s="33">
        <f>Demand!E3982</f>
        <v>46</v>
      </c>
      <c r="E3984" s="33">
        <f>IF(Demand!F3982,1,0)</f>
        <v>1</v>
      </c>
      <c r="F3984" s="33">
        <f>COUNTIFS(c_store,A3984,c_date,B3984,c_hour,C3984)</f>
        <v>1</v>
      </c>
      <c r="G3984" s="33">
        <f>IF(F3984&gt;0,1,0)</f>
        <v>1</v>
      </c>
      <c r="H3984" s="33">
        <f>COUNTIFS(Demand!$A$2:$A$4481,A3984,Demand!$B$2:$B$4481,B3984,Demand!$C$2:$C$4481,C3984)</f>
        <v>1</v>
      </c>
    </row>
    <row r="3985">
      <c r="A3985" s="32" t="str">
        <f>Demand!A3983</f>
        <v>S009</v>
      </c>
      <c r="B3985" s="35">
        <f>Demand!B3983</f>
        <v>46278.0</v>
      </c>
      <c r="C3985" s="33">
        <f>Demand!C3983</f>
        <v>21</v>
      </c>
      <c r="D3985" s="33">
        <f>Demand!E3983</f>
        <v>50</v>
      </c>
      <c r="E3985" s="33">
        <f>IF(Demand!F3983,1,0)</f>
        <v>1</v>
      </c>
      <c r="F3985" s="33">
        <f>COUNTIFS(c_store,A3985,c_date,B3985,c_hour,C3985)</f>
        <v>1</v>
      </c>
      <c r="G3985" s="33">
        <f>IF(F3985&gt;0,1,0)</f>
        <v>1</v>
      </c>
      <c r="H3985" s="33">
        <f>COUNTIFS(Demand!$A$2:$A$4481,A3985,Demand!$B$2:$B$4481,B3985,Demand!$C$2:$C$4481,C3985)</f>
        <v>1</v>
      </c>
    </row>
    <row r="3986">
      <c r="A3986" s="32" t="str">
        <f>Demand!A3984</f>
        <v>S009</v>
      </c>
      <c r="B3986" s="35">
        <f>Demand!B3984</f>
        <v>46278.0</v>
      </c>
      <c r="C3986" s="33">
        <f>Demand!C3984</f>
        <v>22</v>
      </c>
      <c r="D3986" s="33">
        <f>Demand!E3984</f>
        <v>36</v>
      </c>
      <c r="E3986" s="33">
        <f>IF(Demand!F3984,1,0)</f>
        <v>0</v>
      </c>
      <c r="F3986" s="33">
        <f>COUNTIFS(c_store,A3986,c_date,B3986,c_hour,C3986)</f>
        <v>0</v>
      </c>
      <c r="G3986" s="33">
        <f>IF(F3986&gt;0,1,0)</f>
        <v>0</v>
      </c>
      <c r="H3986" s="33">
        <f>COUNTIFS(Demand!$A$2:$A$4481,A3986,Demand!$B$2:$B$4481,B3986,Demand!$C$2:$C$4481,C3986)</f>
        <v>1</v>
      </c>
    </row>
    <row r="3987">
      <c r="A3987" s="32" t="str">
        <f>Demand!A3985</f>
        <v>S009</v>
      </c>
      <c r="B3987" s="35">
        <f>Demand!B3985</f>
        <v>46278.0</v>
      </c>
      <c r="C3987" s="33">
        <f>Demand!C3985</f>
        <v>23</v>
      </c>
      <c r="D3987" s="33">
        <f>Demand!E3985</f>
        <v>47</v>
      </c>
      <c r="E3987" s="33">
        <f>IF(Demand!F3985,1,0)</f>
        <v>0</v>
      </c>
      <c r="F3987" s="33">
        <f>COUNTIFS(c_store,A3987,c_date,B3987,c_hour,C3987)</f>
        <v>0</v>
      </c>
      <c r="G3987" s="33">
        <f>IF(F3987&gt;0,1,0)</f>
        <v>0</v>
      </c>
      <c r="H3987" s="33">
        <f>COUNTIFS(Demand!$A$2:$A$4481,A3987,Demand!$B$2:$B$4481,B3987,Demand!$C$2:$C$4481,C3987)</f>
        <v>1</v>
      </c>
    </row>
    <row r="3988">
      <c r="A3988" s="32" t="str">
        <f>Demand!A3986</f>
        <v>S010</v>
      </c>
      <c r="B3988" s="35">
        <f>Demand!B3986</f>
        <v>46278.0</v>
      </c>
      <c r="C3988" s="33">
        <f>Demand!C3986</f>
        <v>8</v>
      </c>
      <c r="D3988" s="33">
        <f>Demand!E3986</f>
        <v>11</v>
      </c>
      <c r="E3988" s="33">
        <f>IF(Demand!F3986,1,0)</f>
        <v>0</v>
      </c>
      <c r="F3988" s="33">
        <f>COUNTIFS(c_store,A3988,c_date,B3988,c_hour,C3988)</f>
        <v>2</v>
      </c>
      <c r="G3988" s="33">
        <f>IF(F3988&gt;0,1,0)</f>
        <v>1</v>
      </c>
      <c r="H3988" s="33">
        <f>COUNTIFS(Demand!$A$2:$A$4481,A3988,Demand!$B$2:$B$4481,B3988,Demand!$C$2:$C$4481,C3988)</f>
        <v>1</v>
      </c>
    </row>
    <row r="3989">
      <c r="A3989" s="32" t="str">
        <f>Demand!A3987</f>
        <v>S010</v>
      </c>
      <c r="B3989" s="35">
        <f>Demand!B3987</f>
        <v>46278.0</v>
      </c>
      <c r="C3989" s="33">
        <f>Demand!C3987</f>
        <v>9</v>
      </c>
      <c r="D3989" s="33">
        <f>Demand!E3987</f>
        <v>23</v>
      </c>
      <c r="E3989" s="33">
        <f>IF(Demand!F3987,1,0)</f>
        <v>0</v>
      </c>
      <c r="F3989" s="33">
        <f>COUNTIFS(c_store,A3989,c_date,B3989,c_hour,C3989)</f>
        <v>0</v>
      </c>
      <c r="G3989" s="33">
        <f>IF(F3989&gt;0,1,0)</f>
        <v>0</v>
      </c>
      <c r="H3989" s="33">
        <f>COUNTIFS(Demand!$A$2:$A$4481,A3989,Demand!$B$2:$B$4481,B3989,Demand!$C$2:$C$4481,C3989)</f>
        <v>1</v>
      </c>
    </row>
    <row r="3990">
      <c r="A3990" s="32" t="str">
        <f>Demand!A3988</f>
        <v>S010</v>
      </c>
      <c r="B3990" s="35">
        <f>Demand!B3988</f>
        <v>46278.0</v>
      </c>
      <c r="C3990" s="33">
        <f>Demand!C3988</f>
        <v>10</v>
      </c>
      <c r="D3990" s="33">
        <f>Demand!E3988</f>
        <v>21</v>
      </c>
      <c r="E3990" s="33">
        <f>IF(Demand!F3988,1,0)</f>
        <v>0</v>
      </c>
      <c r="F3990" s="33">
        <f>COUNTIFS(c_store,A3990,c_date,B3990,c_hour,C3990)</f>
        <v>1</v>
      </c>
      <c r="G3990" s="33">
        <f>IF(F3990&gt;0,1,0)</f>
        <v>1</v>
      </c>
      <c r="H3990" s="33">
        <f>COUNTIFS(Demand!$A$2:$A$4481,A3990,Demand!$B$2:$B$4481,B3990,Demand!$C$2:$C$4481,C3990)</f>
        <v>1</v>
      </c>
    </row>
    <row r="3991">
      <c r="A3991" s="32" t="str">
        <f>Demand!A3989</f>
        <v>S010</v>
      </c>
      <c r="B3991" s="35">
        <f>Demand!B3989</f>
        <v>46278.0</v>
      </c>
      <c r="C3991" s="33">
        <f>Demand!C3989</f>
        <v>11</v>
      </c>
      <c r="D3991" s="33">
        <f>Demand!E3989</f>
        <v>34</v>
      </c>
      <c r="E3991" s="33">
        <f>IF(Demand!F3989,1,0)</f>
        <v>0</v>
      </c>
      <c r="F3991" s="33">
        <f>COUNTIFS(c_store,A3991,c_date,B3991,c_hour,C3991)</f>
        <v>1</v>
      </c>
      <c r="G3991" s="33">
        <f>IF(F3991&gt;0,1,0)</f>
        <v>1</v>
      </c>
      <c r="H3991" s="33">
        <f>COUNTIFS(Demand!$A$2:$A$4481,A3991,Demand!$B$2:$B$4481,B3991,Demand!$C$2:$C$4481,C3991)</f>
        <v>1</v>
      </c>
    </row>
    <row r="3992">
      <c r="A3992" s="32" t="str">
        <f>Demand!A3990</f>
        <v>S010</v>
      </c>
      <c r="B3992" s="35">
        <f>Demand!B3990</f>
        <v>46278.0</v>
      </c>
      <c r="C3992" s="33">
        <f>Demand!C3990</f>
        <v>12</v>
      </c>
      <c r="D3992" s="33">
        <f>Demand!E3990</f>
        <v>20</v>
      </c>
      <c r="E3992" s="33">
        <f>IF(Demand!F3990,1,0)</f>
        <v>0</v>
      </c>
      <c r="F3992" s="33">
        <f>COUNTIFS(c_store,A3992,c_date,B3992,c_hour,C3992)</f>
        <v>1</v>
      </c>
      <c r="G3992" s="33">
        <f>IF(F3992&gt;0,1,0)</f>
        <v>1</v>
      </c>
      <c r="H3992" s="33">
        <f>COUNTIFS(Demand!$A$2:$A$4481,A3992,Demand!$B$2:$B$4481,B3992,Demand!$C$2:$C$4481,C3992)</f>
        <v>1</v>
      </c>
    </row>
    <row r="3993">
      <c r="A3993" s="32" t="str">
        <f>Demand!A3991</f>
        <v>S010</v>
      </c>
      <c r="B3993" s="35">
        <f>Demand!B3991</f>
        <v>46278.0</v>
      </c>
      <c r="C3993" s="33">
        <f>Demand!C3991</f>
        <v>13</v>
      </c>
      <c r="D3993" s="33">
        <f>Demand!E3991</f>
        <v>27</v>
      </c>
      <c r="E3993" s="33">
        <f>IF(Demand!F3991,1,0)</f>
        <v>0</v>
      </c>
      <c r="F3993" s="33">
        <f>COUNTIFS(c_store,A3993,c_date,B3993,c_hour,C3993)</f>
        <v>0</v>
      </c>
      <c r="G3993" s="33">
        <f>IF(F3993&gt;0,1,0)</f>
        <v>0</v>
      </c>
      <c r="H3993" s="33">
        <f>COUNTIFS(Demand!$A$2:$A$4481,A3993,Demand!$B$2:$B$4481,B3993,Demand!$C$2:$C$4481,C3993)</f>
        <v>1</v>
      </c>
    </row>
    <row r="3994">
      <c r="A3994" s="32" t="str">
        <f>Demand!A3992</f>
        <v>S010</v>
      </c>
      <c r="B3994" s="35">
        <f>Demand!B3992</f>
        <v>46278.0</v>
      </c>
      <c r="C3994" s="33">
        <f>Demand!C3992</f>
        <v>14</v>
      </c>
      <c r="D3994" s="33">
        <f>Demand!E3992</f>
        <v>15</v>
      </c>
      <c r="E3994" s="33">
        <f>IF(Demand!F3992,1,0)</f>
        <v>0</v>
      </c>
      <c r="F3994" s="33">
        <f>COUNTIFS(c_store,A3994,c_date,B3994,c_hour,C3994)</f>
        <v>0</v>
      </c>
      <c r="G3994" s="33">
        <f>IF(F3994&gt;0,1,0)</f>
        <v>0</v>
      </c>
      <c r="H3994" s="33">
        <f>COUNTIFS(Demand!$A$2:$A$4481,A3994,Demand!$B$2:$B$4481,B3994,Demand!$C$2:$C$4481,C3994)</f>
        <v>1</v>
      </c>
    </row>
    <row r="3995">
      <c r="A3995" s="32" t="str">
        <f>Demand!A3993</f>
        <v>S010</v>
      </c>
      <c r="B3995" s="35">
        <f>Demand!B3993</f>
        <v>46278.0</v>
      </c>
      <c r="C3995" s="33">
        <f>Demand!C3993</f>
        <v>15</v>
      </c>
      <c r="D3995" s="33">
        <f>Demand!E3993</f>
        <v>15</v>
      </c>
      <c r="E3995" s="33">
        <f>IF(Demand!F3993,1,0)</f>
        <v>0</v>
      </c>
      <c r="F3995" s="33">
        <f>COUNTIFS(c_store,A3995,c_date,B3995,c_hour,C3995)</f>
        <v>0</v>
      </c>
      <c r="G3995" s="33">
        <f>IF(F3995&gt;0,1,0)</f>
        <v>0</v>
      </c>
      <c r="H3995" s="33">
        <f>COUNTIFS(Demand!$A$2:$A$4481,A3995,Demand!$B$2:$B$4481,B3995,Demand!$C$2:$C$4481,C3995)</f>
        <v>1</v>
      </c>
    </row>
    <row r="3996">
      <c r="A3996" s="32" t="str">
        <f>Demand!A3994</f>
        <v>S010</v>
      </c>
      <c r="B3996" s="35">
        <f>Demand!B3994</f>
        <v>46278.0</v>
      </c>
      <c r="C3996" s="33">
        <f>Demand!C3994</f>
        <v>16</v>
      </c>
      <c r="D3996" s="33">
        <f>Demand!E3994</f>
        <v>23</v>
      </c>
      <c r="E3996" s="33">
        <f>IF(Demand!F3994,1,0)</f>
        <v>0</v>
      </c>
      <c r="F3996" s="33">
        <f>COUNTIFS(c_store,A3996,c_date,B3996,c_hour,C3996)</f>
        <v>1</v>
      </c>
      <c r="G3996" s="33">
        <f>IF(F3996&gt;0,1,0)</f>
        <v>1</v>
      </c>
      <c r="H3996" s="33">
        <f>COUNTIFS(Demand!$A$2:$A$4481,A3996,Demand!$B$2:$B$4481,B3996,Demand!$C$2:$C$4481,C3996)</f>
        <v>1</v>
      </c>
    </row>
    <row r="3997">
      <c r="A3997" s="32" t="str">
        <f>Demand!A3995</f>
        <v>S010</v>
      </c>
      <c r="B3997" s="35">
        <f>Demand!B3995</f>
        <v>46278.0</v>
      </c>
      <c r="C3997" s="33">
        <f>Demand!C3995</f>
        <v>17</v>
      </c>
      <c r="D3997" s="33">
        <f>Demand!E3995</f>
        <v>24</v>
      </c>
      <c r="E3997" s="33">
        <f>IF(Demand!F3995,1,0)</f>
        <v>0</v>
      </c>
      <c r="F3997" s="33">
        <f>COUNTIFS(c_store,A3997,c_date,B3997,c_hour,C3997)</f>
        <v>1</v>
      </c>
      <c r="G3997" s="33">
        <f>IF(F3997&gt;0,1,0)</f>
        <v>1</v>
      </c>
      <c r="H3997" s="33">
        <f>COUNTIFS(Demand!$A$2:$A$4481,A3997,Demand!$B$2:$B$4481,B3997,Demand!$C$2:$C$4481,C3997)</f>
        <v>1</v>
      </c>
    </row>
    <row r="3998">
      <c r="A3998" s="32" t="str">
        <f>Demand!A3996</f>
        <v>S010</v>
      </c>
      <c r="B3998" s="35">
        <f>Demand!B3996</f>
        <v>46278.0</v>
      </c>
      <c r="C3998" s="33">
        <f>Demand!C3996</f>
        <v>18</v>
      </c>
      <c r="D3998" s="33">
        <f>Demand!E3996</f>
        <v>18</v>
      </c>
      <c r="E3998" s="33">
        <f>IF(Demand!F3996,1,0)</f>
        <v>0</v>
      </c>
      <c r="F3998" s="33">
        <f>COUNTIFS(c_store,A3998,c_date,B3998,c_hour,C3998)</f>
        <v>0</v>
      </c>
      <c r="G3998" s="33">
        <f>IF(F3998&gt;0,1,0)</f>
        <v>0</v>
      </c>
      <c r="H3998" s="33">
        <f>COUNTIFS(Demand!$A$2:$A$4481,A3998,Demand!$B$2:$B$4481,B3998,Demand!$C$2:$C$4481,C3998)</f>
        <v>1</v>
      </c>
    </row>
    <row r="3999">
      <c r="A3999" s="32" t="str">
        <f>Demand!A3997</f>
        <v>S010</v>
      </c>
      <c r="B3999" s="35">
        <f>Demand!B3997</f>
        <v>46278.0</v>
      </c>
      <c r="C3999" s="33">
        <f>Demand!C3997</f>
        <v>19</v>
      </c>
      <c r="D3999" s="33">
        <f>Demand!E3997</f>
        <v>33</v>
      </c>
      <c r="E3999" s="33">
        <f>IF(Demand!F3997,1,0)</f>
        <v>1</v>
      </c>
      <c r="F3999" s="33">
        <f>COUNTIFS(c_store,A3999,c_date,B3999,c_hour,C3999)</f>
        <v>1</v>
      </c>
      <c r="G3999" s="33">
        <f>IF(F3999&gt;0,1,0)</f>
        <v>1</v>
      </c>
      <c r="H3999" s="33">
        <f>COUNTIFS(Demand!$A$2:$A$4481,A3999,Demand!$B$2:$B$4481,B3999,Demand!$C$2:$C$4481,C3999)</f>
        <v>1</v>
      </c>
    </row>
    <row r="4000">
      <c r="A4000" s="32" t="str">
        <f>Demand!A3998</f>
        <v>S010</v>
      </c>
      <c r="B4000" s="35">
        <f>Demand!B3998</f>
        <v>46278.0</v>
      </c>
      <c r="C4000" s="33">
        <f>Demand!C3998</f>
        <v>20</v>
      </c>
      <c r="D4000" s="33">
        <f>Demand!E3998</f>
        <v>36</v>
      </c>
      <c r="E4000" s="33">
        <f>IF(Demand!F3998,1,0)</f>
        <v>1</v>
      </c>
      <c r="F4000" s="33">
        <f>COUNTIFS(c_store,A4000,c_date,B4000,c_hour,C4000)</f>
        <v>0</v>
      </c>
      <c r="G4000" s="33">
        <f>IF(F4000&gt;0,1,0)</f>
        <v>0</v>
      </c>
      <c r="H4000" s="33">
        <f>COUNTIFS(Demand!$A$2:$A$4481,A4000,Demand!$B$2:$B$4481,B4000,Demand!$C$2:$C$4481,C4000)</f>
        <v>1</v>
      </c>
    </row>
    <row r="4001">
      <c r="A4001" s="32" t="str">
        <f>Demand!A3999</f>
        <v>S010</v>
      </c>
      <c r="B4001" s="35">
        <f>Demand!B3999</f>
        <v>46278.0</v>
      </c>
      <c r="C4001" s="33">
        <f>Demand!C3999</f>
        <v>21</v>
      </c>
      <c r="D4001" s="33">
        <f>Demand!E3999</f>
        <v>37</v>
      </c>
      <c r="E4001" s="33">
        <f>IF(Demand!F3999,1,0)</f>
        <v>1</v>
      </c>
      <c r="F4001" s="33">
        <f>COUNTIFS(c_store,A4001,c_date,B4001,c_hour,C4001)</f>
        <v>0</v>
      </c>
      <c r="G4001" s="33">
        <f>IF(F4001&gt;0,1,0)</f>
        <v>0</v>
      </c>
      <c r="H4001" s="33">
        <f>COUNTIFS(Demand!$A$2:$A$4481,A4001,Demand!$B$2:$B$4481,B4001,Demand!$C$2:$C$4481,C4001)</f>
        <v>1</v>
      </c>
    </row>
    <row r="4002">
      <c r="A4002" s="32" t="str">
        <f>Demand!A4000</f>
        <v>S010</v>
      </c>
      <c r="B4002" s="35">
        <f>Demand!B4000</f>
        <v>46278.0</v>
      </c>
      <c r="C4002" s="33">
        <f>Demand!C4000</f>
        <v>22</v>
      </c>
      <c r="D4002" s="33">
        <f>Demand!E4000</f>
        <v>23</v>
      </c>
      <c r="E4002" s="33">
        <f>IF(Demand!F4000,1,0)</f>
        <v>0</v>
      </c>
      <c r="F4002" s="33">
        <f>COUNTIFS(c_store,A4002,c_date,B4002,c_hour,C4002)</f>
        <v>0</v>
      </c>
      <c r="G4002" s="33">
        <f>IF(F4002&gt;0,1,0)</f>
        <v>0</v>
      </c>
      <c r="H4002" s="33">
        <f>COUNTIFS(Demand!$A$2:$A$4481,A4002,Demand!$B$2:$B$4481,B4002,Demand!$C$2:$C$4481,C4002)</f>
        <v>1</v>
      </c>
    </row>
    <row r="4003">
      <c r="A4003" s="32" t="str">
        <f>Demand!A4001</f>
        <v>S010</v>
      </c>
      <c r="B4003" s="35">
        <f>Demand!B4001</f>
        <v>46278.0</v>
      </c>
      <c r="C4003" s="33">
        <f>Demand!C4001</f>
        <v>23</v>
      </c>
      <c r="D4003" s="33">
        <f>Demand!E4001</f>
        <v>37</v>
      </c>
      <c r="E4003" s="33">
        <f>IF(Demand!F4001,1,0)</f>
        <v>0</v>
      </c>
      <c r="F4003" s="33">
        <f>COUNTIFS(c_store,A4003,c_date,B4003,c_hour,C4003)</f>
        <v>0</v>
      </c>
      <c r="G4003" s="33">
        <f>IF(F4003&gt;0,1,0)</f>
        <v>0</v>
      </c>
      <c r="H4003" s="33">
        <f>COUNTIFS(Demand!$A$2:$A$4481,A4003,Demand!$B$2:$B$4481,B4003,Demand!$C$2:$C$4481,C4003)</f>
        <v>1</v>
      </c>
    </row>
    <row r="4004">
      <c r="A4004" s="32" t="str">
        <f>Demand!A4002</f>
        <v>S011</v>
      </c>
      <c r="B4004" s="35">
        <f>Demand!B4002</f>
        <v>46278.0</v>
      </c>
      <c r="C4004" s="33">
        <f>Demand!C4002</f>
        <v>8</v>
      </c>
      <c r="D4004" s="33">
        <f>Demand!E4002</f>
        <v>21</v>
      </c>
      <c r="E4004" s="33">
        <f>IF(Demand!F4002,1,0)</f>
        <v>0</v>
      </c>
      <c r="F4004" s="33">
        <f>COUNTIFS(c_store,A4004,c_date,B4004,c_hour,C4004)</f>
        <v>0</v>
      </c>
      <c r="G4004" s="33">
        <f>IF(F4004&gt;0,1,0)</f>
        <v>0</v>
      </c>
      <c r="H4004" s="33">
        <f>COUNTIFS(Demand!$A$2:$A$4481,A4004,Demand!$B$2:$B$4481,B4004,Demand!$C$2:$C$4481,C4004)</f>
        <v>1</v>
      </c>
    </row>
    <row r="4005">
      <c r="A4005" s="32" t="str">
        <f>Demand!A4003</f>
        <v>S011</v>
      </c>
      <c r="B4005" s="35">
        <f>Demand!B4003</f>
        <v>46278.0</v>
      </c>
      <c r="C4005" s="33">
        <f>Demand!C4003</f>
        <v>9</v>
      </c>
      <c r="D4005" s="33">
        <f>Demand!E4003</f>
        <v>23</v>
      </c>
      <c r="E4005" s="33">
        <f>IF(Demand!F4003,1,0)</f>
        <v>0</v>
      </c>
      <c r="F4005" s="33">
        <f>COUNTIFS(c_store,A4005,c_date,B4005,c_hour,C4005)</f>
        <v>0</v>
      </c>
      <c r="G4005" s="33">
        <f>IF(F4005&gt;0,1,0)</f>
        <v>0</v>
      </c>
      <c r="H4005" s="33">
        <f>COUNTIFS(Demand!$A$2:$A$4481,A4005,Demand!$B$2:$B$4481,B4005,Demand!$C$2:$C$4481,C4005)</f>
        <v>1</v>
      </c>
    </row>
    <row r="4006">
      <c r="A4006" s="32" t="str">
        <f>Demand!A4004</f>
        <v>S011</v>
      </c>
      <c r="B4006" s="35">
        <f>Demand!B4004</f>
        <v>46278.0</v>
      </c>
      <c r="C4006" s="33">
        <f>Demand!C4004</f>
        <v>10</v>
      </c>
      <c r="D4006" s="33">
        <f>Demand!E4004</f>
        <v>24</v>
      </c>
      <c r="E4006" s="33">
        <f>IF(Demand!F4004,1,0)</f>
        <v>0</v>
      </c>
      <c r="F4006" s="33">
        <f>COUNTIFS(c_store,A4006,c_date,B4006,c_hour,C4006)</f>
        <v>0</v>
      </c>
      <c r="G4006" s="33">
        <f>IF(F4006&gt;0,1,0)</f>
        <v>0</v>
      </c>
      <c r="H4006" s="33">
        <f>COUNTIFS(Demand!$A$2:$A$4481,A4006,Demand!$B$2:$B$4481,B4006,Demand!$C$2:$C$4481,C4006)</f>
        <v>1</v>
      </c>
    </row>
    <row r="4007">
      <c r="A4007" s="32" t="str">
        <f>Demand!A4005</f>
        <v>S011</v>
      </c>
      <c r="B4007" s="35">
        <f>Demand!B4005</f>
        <v>46278.0</v>
      </c>
      <c r="C4007" s="33">
        <f>Demand!C4005</f>
        <v>11</v>
      </c>
      <c r="D4007" s="33">
        <f>Demand!E4005</f>
        <v>35</v>
      </c>
      <c r="E4007" s="33">
        <f>IF(Demand!F4005,1,0)</f>
        <v>0</v>
      </c>
      <c r="F4007" s="33">
        <f>COUNTIFS(c_store,A4007,c_date,B4007,c_hour,C4007)</f>
        <v>0</v>
      </c>
      <c r="G4007" s="33">
        <f>IF(F4007&gt;0,1,0)</f>
        <v>0</v>
      </c>
      <c r="H4007" s="33">
        <f>COUNTIFS(Demand!$A$2:$A$4481,A4007,Demand!$B$2:$B$4481,B4007,Demand!$C$2:$C$4481,C4007)</f>
        <v>1</v>
      </c>
    </row>
    <row r="4008">
      <c r="A4008" s="32" t="str">
        <f>Demand!A4006</f>
        <v>S011</v>
      </c>
      <c r="B4008" s="35">
        <f>Demand!B4006</f>
        <v>46278.0</v>
      </c>
      <c r="C4008" s="33">
        <f>Demand!C4006</f>
        <v>12</v>
      </c>
      <c r="D4008" s="33">
        <f>Demand!E4006</f>
        <v>33</v>
      </c>
      <c r="E4008" s="33">
        <f>IF(Demand!F4006,1,0)</f>
        <v>0</v>
      </c>
      <c r="F4008" s="33">
        <f>COUNTIFS(c_store,A4008,c_date,B4008,c_hour,C4008)</f>
        <v>0</v>
      </c>
      <c r="G4008" s="33">
        <f>IF(F4008&gt;0,1,0)</f>
        <v>0</v>
      </c>
      <c r="H4008" s="33">
        <f>COUNTIFS(Demand!$A$2:$A$4481,A4008,Demand!$B$2:$B$4481,B4008,Demand!$C$2:$C$4481,C4008)</f>
        <v>1</v>
      </c>
    </row>
    <row r="4009">
      <c r="A4009" s="32" t="str">
        <f>Demand!A4007</f>
        <v>S011</v>
      </c>
      <c r="B4009" s="35">
        <f>Demand!B4007</f>
        <v>46278.0</v>
      </c>
      <c r="C4009" s="33">
        <f>Demand!C4007</f>
        <v>13</v>
      </c>
      <c r="D4009" s="33">
        <f>Demand!E4007</f>
        <v>38</v>
      </c>
      <c r="E4009" s="33">
        <f>IF(Demand!F4007,1,0)</f>
        <v>0</v>
      </c>
      <c r="F4009" s="33">
        <f>COUNTIFS(c_store,A4009,c_date,B4009,c_hour,C4009)</f>
        <v>0</v>
      </c>
      <c r="G4009" s="33">
        <f>IF(F4009&gt;0,1,0)</f>
        <v>0</v>
      </c>
      <c r="H4009" s="33">
        <f>COUNTIFS(Demand!$A$2:$A$4481,A4009,Demand!$B$2:$B$4481,B4009,Demand!$C$2:$C$4481,C4009)</f>
        <v>1</v>
      </c>
    </row>
    <row r="4010">
      <c r="A4010" s="32" t="str">
        <f>Demand!A4008</f>
        <v>S011</v>
      </c>
      <c r="B4010" s="35">
        <f>Demand!B4008</f>
        <v>46278.0</v>
      </c>
      <c r="C4010" s="33">
        <f>Demand!C4008</f>
        <v>14</v>
      </c>
      <c r="D4010" s="33">
        <f>Demand!E4008</f>
        <v>22</v>
      </c>
      <c r="E4010" s="33">
        <f>IF(Demand!F4008,1,0)</f>
        <v>0</v>
      </c>
      <c r="F4010" s="33">
        <f>COUNTIFS(c_store,A4010,c_date,B4010,c_hour,C4010)</f>
        <v>0</v>
      </c>
      <c r="G4010" s="33">
        <f>IF(F4010&gt;0,1,0)</f>
        <v>0</v>
      </c>
      <c r="H4010" s="33">
        <f>COUNTIFS(Demand!$A$2:$A$4481,A4010,Demand!$B$2:$B$4481,B4010,Demand!$C$2:$C$4481,C4010)</f>
        <v>1</v>
      </c>
    </row>
    <row r="4011">
      <c r="A4011" s="32" t="str">
        <f>Demand!A4009</f>
        <v>S011</v>
      </c>
      <c r="B4011" s="35">
        <f>Demand!B4009</f>
        <v>46278.0</v>
      </c>
      <c r="C4011" s="33">
        <f>Demand!C4009</f>
        <v>15</v>
      </c>
      <c r="D4011" s="33">
        <f>Demand!E4009</f>
        <v>18</v>
      </c>
      <c r="E4011" s="33">
        <f>IF(Demand!F4009,1,0)</f>
        <v>0</v>
      </c>
      <c r="F4011" s="33">
        <f>COUNTIFS(c_store,A4011,c_date,B4011,c_hour,C4011)</f>
        <v>1</v>
      </c>
      <c r="G4011" s="33">
        <f>IF(F4011&gt;0,1,0)</f>
        <v>1</v>
      </c>
      <c r="H4011" s="33">
        <f>COUNTIFS(Demand!$A$2:$A$4481,A4011,Demand!$B$2:$B$4481,B4011,Demand!$C$2:$C$4481,C4011)</f>
        <v>1</v>
      </c>
    </row>
    <row r="4012">
      <c r="A4012" s="32" t="str">
        <f>Demand!A4010</f>
        <v>S011</v>
      </c>
      <c r="B4012" s="35">
        <f>Demand!B4010</f>
        <v>46278.0</v>
      </c>
      <c r="C4012" s="33">
        <f>Demand!C4010</f>
        <v>16</v>
      </c>
      <c r="D4012" s="33">
        <f>Demand!E4010</f>
        <v>31</v>
      </c>
      <c r="E4012" s="33">
        <f>IF(Demand!F4010,1,0)</f>
        <v>0</v>
      </c>
      <c r="F4012" s="33">
        <f>COUNTIFS(c_store,A4012,c_date,B4012,c_hour,C4012)</f>
        <v>0</v>
      </c>
      <c r="G4012" s="33">
        <f>IF(F4012&gt;0,1,0)</f>
        <v>0</v>
      </c>
      <c r="H4012" s="33">
        <f>COUNTIFS(Demand!$A$2:$A$4481,A4012,Demand!$B$2:$B$4481,B4012,Demand!$C$2:$C$4481,C4012)</f>
        <v>1</v>
      </c>
    </row>
    <row r="4013">
      <c r="A4013" s="32" t="str">
        <f>Demand!A4011</f>
        <v>S011</v>
      </c>
      <c r="B4013" s="35">
        <f>Demand!B4011</f>
        <v>46278.0</v>
      </c>
      <c r="C4013" s="33">
        <f>Demand!C4011</f>
        <v>17</v>
      </c>
      <c r="D4013" s="33">
        <f>Demand!E4011</f>
        <v>36</v>
      </c>
      <c r="E4013" s="33">
        <f>IF(Demand!F4011,1,0)</f>
        <v>0</v>
      </c>
      <c r="F4013" s="33">
        <f>COUNTIFS(c_store,A4013,c_date,B4013,c_hour,C4013)</f>
        <v>0</v>
      </c>
      <c r="G4013" s="33">
        <f>IF(F4013&gt;0,1,0)</f>
        <v>0</v>
      </c>
      <c r="H4013" s="33">
        <f>COUNTIFS(Demand!$A$2:$A$4481,A4013,Demand!$B$2:$B$4481,B4013,Demand!$C$2:$C$4481,C4013)</f>
        <v>1</v>
      </c>
    </row>
    <row r="4014">
      <c r="A4014" s="32" t="str">
        <f>Demand!A4012</f>
        <v>S011</v>
      </c>
      <c r="B4014" s="35">
        <f>Demand!B4012</f>
        <v>46278.0</v>
      </c>
      <c r="C4014" s="33">
        <f>Demand!C4012</f>
        <v>18</v>
      </c>
      <c r="D4014" s="33">
        <f>Demand!E4012</f>
        <v>35</v>
      </c>
      <c r="E4014" s="33">
        <f>IF(Demand!F4012,1,0)</f>
        <v>0</v>
      </c>
      <c r="F4014" s="33">
        <f>COUNTIFS(c_store,A4014,c_date,B4014,c_hour,C4014)</f>
        <v>1</v>
      </c>
      <c r="G4014" s="33">
        <f>IF(F4014&gt;0,1,0)</f>
        <v>1</v>
      </c>
      <c r="H4014" s="33">
        <f>COUNTIFS(Demand!$A$2:$A$4481,A4014,Demand!$B$2:$B$4481,B4014,Demand!$C$2:$C$4481,C4014)</f>
        <v>1</v>
      </c>
    </row>
    <row r="4015">
      <c r="A4015" s="32" t="str">
        <f>Demand!A4013</f>
        <v>S011</v>
      </c>
      <c r="B4015" s="35">
        <f>Demand!B4013</f>
        <v>46278.0</v>
      </c>
      <c r="C4015" s="33">
        <f>Demand!C4013</f>
        <v>19</v>
      </c>
      <c r="D4015" s="33">
        <f>Demand!E4013</f>
        <v>46</v>
      </c>
      <c r="E4015" s="33">
        <f>IF(Demand!F4013,1,0)</f>
        <v>1</v>
      </c>
      <c r="F4015" s="33">
        <f>COUNTIFS(c_store,A4015,c_date,B4015,c_hour,C4015)</f>
        <v>0</v>
      </c>
      <c r="G4015" s="33">
        <f>IF(F4015&gt;0,1,0)</f>
        <v>0</v>
      </c>
      <c r="H4015" s="33">
        <f>COUNTIFS(Demand!$A$2:$A$4481,A4015,Demand!$B$2:$B$4481,B4015,Demand!$C$2:$C$4481,C4015)</f>
        <v>1</v>
      </c>
    </row>
    <row r="4016">
      <c r="A4016" s="32" t="str">
        <f>Demand!A4014</f>
        <v>S011</v>
      </c>
      <c r="B4016" s="35">
        <f>Demand!B4014</f>
        <v>46278.0</v>
      </c>
      <c r="C4016" s="33">
        <f>Demand!C4014</f>
        <v>20</v>
      </c>
      <c r="D4016" s="33">
        <f>Demand!E4014</f>
        <v>42</v>
      </c>
      <c r="E4016" s="33">
        <f>IF(Demand!F4014,1,0)</f>
        <v>1</v>
      </c>
      <c r="F4016" s="33">
        <f>COUNTIFS(c_store,A4016,c_date,B4016,c_hour,C4016)</f>
        <v>1</v>
      </c>
      <c r="G4016" s="33">
        <f>IF(F4016&gt;0,1,0)</f>
        <v>1</v>
      </c>
      <c r="H4016" s="33">
        <f>COUNTIFS(Demand!$A$2:$A$4481,A4016,Demand!$B$2:$B$4481,B4016,Demand!$C$2:$C$4481,C4016)</f>
        <v>1</v>
      </c>
    </row>
    <row r="4017">
      <c r="A4017" s="32" t="str">
        <f>Demand!A4015</f>
        <v>S011</v>
      </c>
      <c r="B4017" s="35">
        <f>Demand!B4015</f>
        <v>46278.0</v>
      </c>
      <c r="C4017" s="33">
        <f>Demand!C4015</f>
        <v>21</v>
      </c>
      <c r="D4017" s="33">
        <f>Demand!E4015</f>
        <v>52</v>
      </c>
      <c r="E4017" s="33">
        <f>IF(Demand!F4015,1,0)</f>
        <v>1</v>
      </c>
      <c r="F4017" s="33">
        <f>COUNTIFS(c_store,A4017,c_date,B4017,c_hour,C4017)</f>
        <v>0</v>
      </c>
      <c r="G4017" s="33">
        <f>IF(F4017&gt;0,1,0)</f>
        <v>0</v>
      </c>
      <c r="H4017" s="33">
        <f>COUNTIFS(Demand!$A$2:$A$4481,A4017,Demand!$B$2:$B$4481,B4017,Demand!$C$2:$C$4481,C4017)</f>
        <v>1</v>
      </c>
    </row>
    <row r="4018">
      <c r="A4018" s="32" t="str">
        <f>Demand!A4016</f>
        <v>S011</v>
      </c>
      <c r="B4018" s="35">
        <f>Demand!B4016</f>
        <v>46278.0</v>
      </c>
      <c r="C4018" s="33">
        <f>Demand!C4016</f>
        <v>22</v>
      </c>
      <c r="D4018" s="33">
        <f>Demand!E4016</f>
        <v>49</v>
      </c>
      <c r="E4018" s="33">
        <f>IF(Demand!F4016,1,0)</f>
        <v>0</v>
      </c>
      <c r="F4018" s="33">
        <f>COUNTIFS(c_store,A4018,c_date,B4018,c_hour,C4018)</f>
        <v>0</v>
      </c>
      <c r="G4018" s="33">
        <f>IF(F4018&gt;0,1,0)</f>
        <v>0</v>
      </c>
      <c r="H4018" s="33">
        <f>COUNTIFS(Demand!$A$2:$A$4481,A4018,Demand!$B$2:$B$4481,B4018,Demand!$C$2:$C$4481,C4018)</f>
        <v>1</v>
      </c>
    </row>
    <row r="4019">
      <c r="A4019" s="32" t="str">
        <f>Demand!A4017</f>
        <v>S011</v>
      </c>
      <c r="B4019" s="35">
        <f>Demand!B4017</f>
        <v>46278.0</v>
      </c>
      <c r="C4019" s="33">
        <f>Demand!C4017</f>
        <v>23</v>
      </c>
      <c r="D4019" s="33">
        <f>Demand!E4017</f>
        <v>32</v>
      </c>
      <c r="E4019" s="33">
        <f>IF(Demand!F4017,1,0)</f>
        <v>0</v>
      </c>
      <c r="F4019" s="33">
        <f>COUNTIFS(c_store,A4019,c_date,B4019,c_hour,C4019)</f>
        <v>0</v>
      </c>
      <c r="G4019" s="33">
        <f>IF(F4019&gt;0,1,0)</f>
        <v>0</v>
      </c>
      <c r="H4019" s="33">
        <f>COUNTIFS(Demand!$A$2:$A$4481,A4019,Demand!$B$2:$B$4481,B4019,Demand!$C$2:$C$4481,C4019)</f>
        <v>1</v>
      </c>
    </row>
    <row r="4020">
      <c r="A4020" s="32" t="str">
        <f>Demand!A4018</f>
        <v>S012</v>
      </c>
      <c r="B4020" s="35">
        <f>Demand!B4018</f>
        <v>46278.0</v>
      </c>
      <c r="C4020" s="33">
        <f>Demand!C4018</f>
        <v>8</v>
      </c>
      <c r="D4020" s="33">
        <f>Demand!E4018</f>
        <v>8</v>
      </c>
      <c r="E4020" s="33">
        <f>IF(Demand!F4018,1,0)</f>
        <v>0</v>
      </c>
      <c r="F4020" s="33">
        <f>COUNTIFS(c_store,A4020,c_date,B4020,c_hour,C4020)</f>
        <v>0</v>
      </c>
      <c r="G4020" s="33">
        <f>IF(F4020&gt;0,1,0)</f>
        <v>0</v>
      </c>
      <c r="H4020" s="33">
        <f>COUNTIFS(Demand!$A$2:$A$4481,A4020,Demand!$B$2:$B$4481,B4020,Demand!$C$2:$C$4481,C4020)</f>
        <v>1</v>
      </c>
    </row>
    <row r="4021">
      <c r="A4021" s="32" t="str">
        <f>Demand!A4019</f>
        <v>S012</v>
      </c>
      <c r="B4021" s="35">
        <f>Demand!B4019</f>
        <v>46278.0</v>
      </c>
      <c r="C4021" s="33">
        <f>Demand!C4019</f>
        <v>9</v>
      </c>
      <c r="D4021" s="33">
        <f>Demand!E4019</f>
        <v>13</v>
      </c>
      <c r="E4021" s="33">
        <f>IF(Demand!F4019,1,0)</f>
        <v>0</v>
      </c>
      <c r="F4021" s="33">
        <f>COUNTIFS(c_store,A4021,c_date,B4021,c_hour,C4021)</f>
        <v>1</v>
      </c>
      <c r="G4021" s="33">
        <f>IF(F4021&gt;0,1,0)</f>
        <v>1</v>
      </c>
      <c r="H4021" s="33">
        <f>COUNTIFS(Demand!$A$2:$A$4481,A4021,Demand!$B$2:$B$4481,B4021,Demand!$C$2:$C$4481,C4021)</f>
        <v>1</v>
      </c>
    </row>
    <row r="4022">
      <c r="A4022" s="32" t="str">
        <f>Demand!A4020</f>
        <v>S012</v>
      </c>
      <c r="B4022" s="35">
        <f>Demand!B4020</f>
        <v>46278.0</v>
      </c>
      <c r="C4022" s="33">
        <f>Demand!C4020</f>
        <v>10</v>
      </c>
      <c r="D4022" s="33">
        <f>Demand!E4020</f>
        <v>9</v>
      </c>
      <c r="E4022" s="33">
        <f>IF(Demand!F4020,1,0)</f>
        <v>0</v>
      </c>
      <c r="F4022" s="33">
        <f>COUNTIFS(c_store,A4022,c_date,B4022,c_hour,C4022)</f>
        <v>0</v>
      </c>
      <c r="G4022" s="33">
        <f>IF(F4022&gt;0,1,0)</f>
        <v>0</v>
      </c>
      <c r="H4022" s="33">
        <f>COUNTIFS(Demand!$A$2:$A$4481,A4022,Demand!$B$2:$B$4481,B4022,Demand!$C$2:$C$4481,C4022)</f>
        <v>1</v>
      </c>
    </row>
    <row r="4023">
      <c r="A4023" s="32" t="str">
        <f>Demand!A4021</f>
        <v>S012</v>
      </c>
      <c r="B4023" s="35">
        <f>Demand!B4021</f>
        <v>46278.0</v>
      </c>
      <c r="C4023" s="33">
        <f>Demand!C4021</f>
        <v>11</v>
      </c>
      <c r="D4023" s="33">
        <f>Demand!E4021</f>
        <v>15</v>
      </c>
      <c r="E4023" s="33">
        <f>IF(Demand!F4021,1,0)</f>
        <v>0</v>
      </c>
      <c r="F4023" s="33">
        <f>COUNTIFS(c_store,A4023,c_date,B4023,c_hour,C4023)</f>
        <v>1</v>
      </c>
      <c r="G4023" s="33">
        <f>IF(F4023&gt;0,1,0)</f>
        <v>1</v>
      </c>
      <c r="H4023" s="33">
        <f>COUNTIFS(Demand!$A$2:$A$4481,A4023,Demand!$B$2:$B$4481,B4023,Demand!$C$2:$C$4481,C4023)</f>
        <v>1</v>
      </c>
    </row>
    <row r="4024">
      <c r="A4024" s="32" t="str">
        <f>Demand!A4022</f>
        <v>S012</v>
      </c>
      <c r="B4024" s="35">
        <f>Demand!B4022</f>
        <v>46278.0</v>
      </c>
      <c r="C4024" s="33">
        <f>Demand!C4022</f>
        <v>12</v>
      </c>
      <c r="D4024" s="33">
        <f>Demand!E4022</f>
        <v>19</v>
      </c>
      <c r="E4024" s="33">
        <f>IF(Demand!F4022,1,0)</f>
        <v>0</v>
      </c>
      <c r="F4024" s="33">
        <f>COUNTIFS(c_store,A4024,c_date,B4024,c_hour,C4024)</f>
        <v>0</v>
      </c>
      <c r="G4024" s="33">
        <f>IF(F4024&gt;0,1,0)</f>
        <v>0</v>
      </c>
      <c r="H4024" s="33">
        <f>COUNTIFS(Demand!$A$2:$A$4481,A4024,Demand!$B$2:$B$4481,B4024,Demand!$C$2:$C$4481,C4024)</f>
        <v>1</v>
      </c>
    </row>
    <row r="4025">
      <c r="A4025" s="32" t="str">
        <f>Demand!A4023</f>
        <v>S012</v>
      </c>
      <c r="B4025" s="35">
        <f>Demand!B4023</f>
        <v>46278.0</v>
      </c>
      <c r="C4025" s="33">
        <f>Demand!C4023</f>
        <v>13</v>
      </c>
      <c r="D4025" s="33">
        <f>Demand!E4023</f>
        <v>14</v>
      </c>
      <c r="E4025" s="33">
        <f>IF(Demand!F4023,1,0)</f>
        <v>0</v>
      </c>
      <c r="F4025" s="33">
        <f>COUNTIFS(c_store,A4025,c_date,B4025,c_hour,C4025)</f>
        <v>0</v>
      </c>
      <c r="G4025" s="33">
        <f>IF(F4025&gt;0,1,0)</f>
        <v>0</v>
      </c>
      <c r="H4025" s="33">
        <f>COUNTIFS(Demand!$A$2:$A$4481,A4025,Demand!$B$2:$B$4481,B4025,Demand!$C$2:$C$4481,C4025)</f>
        <v>1</v>
      </c>
    </row>
    <row r="4026">
      <c r="A4026" s="32" t="str">
        <f>Demand!A4024</f>
        <v>S012</v>
      </c>
      <c r="B4026" s="35">
        <f>Demand!B4024</f>
        <v>46278.0</v>
      </c>
      <c r="C4026" s="33">
        <f>Demand!C4024</f>
        <v>14</v>
      </c>
      <c r="D4026" s="33">
        <f>Demand!E4024</f>
        <v>6</v>
      </c>
      <c r="E4026" s="33">
        <f>IF(Demand!F4024,1,0)</f>
        <v>0</v>
      </c>
      <c r="F4026" s="33">
        <f>COUNTIFS(c_store,A4026,c_date,B4026,c_hour,C4026)</f>
        <v>0</v>
      </c>
      <c r="G4026" s="33">
        <f>IF(F4026&gt;0,1,0)</f>
        <v>0</v>
      </c>
      <c r="H4026" s="33">
        <f>COUNTIFS(Demand!$A$2:$A$4481,A4026,Demand!$B$2:$B$4481,B4026,Demand!$C$2:$C$4481,C4026)</f>
        <v>1</v>
      </c>
    </row>
    <row r="4027">
      <c r="A4027" s="32" t="str">
        <f>Demand!A4025</f>
        <v>S012</v>
      </c>
      <c r="B4027" s="35">
        <f>Demand!B4025</f>
        <v>46278.0</v>
      </c>
      <c r="C4027" s="33">
        <f>Demand!C4025</f>
        <v>15</v>
      </c>
      <c r="D4027" s="33">
        <f>Demand!E4025</f>
        <v>5</v>
      </c>
      <c r="E4027" s="33">
        <f>IF(Demand!F4025,1,0)</f>
        <v>0</v>
      </c>
      <c r="F4027" s="33">
        <f>COUNTIFS(c_store,A4027,c_date,B4027,c_hour,C4027)</f>
        <v>1</v>
      </c>
      <c r="G4027" s="33">
        <f>IF(F4027&gt;0,1,0)</f>
        <v>1</v>
      </c>
      <c r="H4027" s="33">
        <f>COUNTIFS(Demand!$A$2:$A$4481,A4027,Demand!$B$2:$B$4481,B4027,Demand!$C$2:$C$4481,C4027)</f>
        <v>1</v>
      </c>
    </row>
    <row r="4028">
      <c r="A4028" s="32" t="str">
        <f>Demand!A4026</f>
        <v>S012</v>
      </c>
      <c r="B4028" s="35">
        <f>Demand!B4026</f>
        <v>46278.0</v>
      </c>
      <c r="C4028" s="33">
        <f>Demand!C4026</f>
        <v>16</v>
      </c>
      <c r="D4028" s="33">
        <f>Demand!E4026</f>
        <v>14</v>
      </c>
      <c r="E4028" s="33">
        <f>IF(Demand!F4026,1,0)</f>
        <v>0</v>
      </c>
      <c r="F4028" s="33">
        <f>COUNTIFS(c_store,A4028,c_date,B4028,c_hour,C4028)</f>
        <v>3</v>
      </c>
      <c r="G4028" s="33">
        <f>IF(F4028&gt;0,1,0)</f>
        <v>1</v>
      </c>
      <c r="H4028" s="33">
        <f>COUNTIFS(Demand!$A$2:$A$4481,A4028,Demand!$B$2:$B$4481,B4028,Demand!$C$2:$C$4481,C4028)</f>
        <v>1</v>
      </c>
    </row>
    <row r="4029">
      <c r="A4029" s="32" t="str">
        <f>Demand!A4027</f>
        <v>S012</v>
      </c>
      <c r="B4029" s="35">
        <f>Demand!B4027</f>
        <v>46278.0</v>
      </c>
      <c r="C4029" s="33">
        <f>Demand!C4027</f>
        <v>17</v>
      </c>
      <c r="D4029" s="33">
        <f>Demand!E4027</f>
        <v>8</v>
      </c>
      <c r="E4029" s="33">
        <f>IF(Demand!F4027,1,0)</f>
        <v>0</v>
      </c>
      <c r="F4029" s="33">
        <f>COUNTIFS(c_store,A4029,c_date,B4029,c_hour,C4029)</f>
        <v>0</v>
      </c>
      <c r="G4029" s="33">
        <f>IF(F4029&gt;0,1,0)</f>
        <v>0</v>
      </c>
      <c r="H4029" s="33">
        <f>COUNTIFS(Demand!$A$2:$A$4481,A4029,Demand!$B$2:$B$4481,B4029,Demand!$C$2:$C$4481,C4029)</f>
        <v>1</v>
      </c>
    </row>
    <row r="4030">
      <c r="A4030" s="32" t="str">
        <f>Demand!A4028</f>
        <v>S012</v>
      </c>
      <c r="B4030" s="35">
        <f>Demand!B4028</f>
        <v>46278.0</v>
      </c>
      <c r="C4030" s="33">
        <f>Demand!C4028</f>
        <v>18</v>
      </c>
      <c r="D4030" s="33">
        <f>Demand!E4028</f>
        <v>15</v>
      </c>
      <c r="E4030" s="33">
        <f>IF(Demand!F4028,1,0)</f>
        <v>0</v>
      </c>
      <c r="F4030" s="33">
        <f>COUNTIFS(c_store,A4030,c_date,B4030,c_hour,C4030)</f>
        <v>0</v>
      </c>
      <c r="G4030" s="33">
        <f>IF(F4030&gt;0,1,0)</f>
        <v>0</v>
      </c>
      <c r="H4030" s="33">
        <f>COUNTIFS(Demand!$A$2:$A$4481,A4030,Demand!$B$2:$B$4481,B4030,Demand!$C$2:$C$4481,C4030)</f>
        <v>1</v>
      </c>
    </row>
    <row r="4031">
      <c r="A4031" s="32" t="str">
        <f>Demand!A4029</f>
        <v>S012</v>
      </c>
      <c r="B4031" s="35">
        <f>Demand!B4029</f>
        <v>46278.0</v>
      </c>
      <c r="C4031" s="33">
        <f>Demand!C4029</f>
        <v>19</v>
      </c>
      <c r="D4031" s="33">
        <f>Demand!E4029</f>
        <v>24</v>
      </c>
      <c r="E4031" s="33">
        <f>IF(Demand!F4029,1,0)</f>
        <v>1</v>
      </c>
      <c r="F4031" s="33">
        <f>COUNTIFS(c_store,A4031,c_date,B4031,c_hour,C4031)</f>
        <v>0</v>
      </c>
      <c r="G4031" s="33">
        <f>IF(F4031&gt;0,1,0)</f>
        <v>0</v>
      </c>
      <c r="H4031" s="33">
        <f>COUNTIFS(Demand!$A$2:$A$4481,A4031,Demand!$B$2:$B$4481,B4031,Demand!$C$2:$C$4481,C4031)</f>
        <v>1</v>
      </c>
    </row>
    <row r="4032">
      <c r="A4032" s="32" t="str">
        <f>Demand!A4030</f>
        <v>S012</v>
      </c>
      <c r="B4032" s="35">
        <f>Demand!B4030</f>
        <v>46278.0</v>
      </c>
      <c r="C4032" s="33">
        <f>Demand!C4030</f>
        <v>20</v>
      </c>
      <c r="D4032" s="33">
        <f>Demand!E4030</f>
        <v>25</v>
      </c>
      <c r="E4032" s="33">
        <f>IF(Demand!F4030,1,0)</f>
        <v>1</v>
      </c>
      <c r="F4032" s="33">
        <f>COUNTIFS(c_store,A4032,c_date,B4032,c_hour,C4032)</f>
        <v>1</v>
      </c>
      <c r="G4032" s="33">
        <f>IF(F4032&gt;0,1,0)</f>
        <v>1</v>
      </c>
      <c r="H4032" s="33">
        <f>COUNTIFS(Demand!$A$2:$A$4481,A4032,Demand!$B$2:$B$4481,B4032,Demand!$C$2:$C$4481,C4032)</f>
        <v>1</v>
      </c>
    </row>
    <row r="4033">
      <c r="A4033" s="32" t="str">
        <f>Demand!A4031</f>
        <v>S012</v>
      </c>
      <c r="B4033" s="35">
        <f>Demand!B4031</f>
        <v>46278.0</v>
      </c>
      <c r="C4033" s="33">
        <f>Demand!C4031</f>
        <v>21</v>
      </c>
      <c r="D4033" s="33">
        <f>Demand!E4031</f>
        <v>22</v>
      </c>
      <c r="E4033" s="33">
        <f>IF(Demand!F4031,1,0)</f>
        <v>1</v>
      </c>
      <c r="F4033" s="33">
        <f>COUNTIFS(c_store,A4033,c_date,B4033,c_hour,C4033)</f>
        <v>0</v>
      </c>
      <c r="G4033" s="33">
        <f>IF(F4033&gt;0,1,0)</f>
        <v>0</v>
      </c>
      <c r="H4033" s="33">
        <f>COUNTIFS(Demand!$A$2:$A$4481,A4033,Demand!$B$2:$B$4481,B4033,Demand!$C$2:$C$4481,C4033)</f>
        <v>1</v>
      </c>
    </row>
    <row r="4034">
      <c r="A4034" s="32" t="str">
        <f>Demand!A4032</f>
        <v>S012</v>
      </c>
      <c r="B4034" s="35">
        <f>Demand!B4032</f>
        <v>46278.0</v>
      </c>
      <c r="C4034" s="33">
        <f>Demand!C4032</f>
        <v>22</v>
      </c>
      <c r="D4034" s="33">
        <f>Demand!E4032</f>
        <v>20</v>
      </c>
      <c r="E4034" s="33">
        <f>IF(Demand!F4032,1,0)</f>
        <v>0</v>
      </c>
      <c r="F4034" s="33">
        <f>COUNTIFS(c_store,A4034,c_date,B4034,c_hour,C4034)</f>
        <v>0</v>
      </c>
      <c r="G4034" s="33">
        <f>IF(F4034&gt;0,1,0)</f>
        <v>0</v>
      </c>
      <c r="H4034" s="33">
        <f>COUNTIFS(Demand!$A$2:$A$4481,A4034,Demand!$B$2:$B$4481,B4034,Demand!$C$2:$C$4481,C4034)</f>
        <v>1</v>
      </c>
    </row>
    <row r="4035">
      <c r="A4035" s="32" t="str">
        <f>Demand!A4033</f>
        <v>S012</v>
      </c>
      <c r="B4035" s="35">
        <f>Demand!B4033</f>
        <v>46278.0</v>
      </c>
      <c r="C4035" s="33">
        <f>Demand!C4033</f>
        <v>23</v>
      </c>
      <c r="D4035" s="33">
        <f>Demand!E4033</f>
        <v>19</v>
      </c>
      <c r="E4035" s="33">
        <f>IF(Demand!F4033,1,0)</f>
        <v>0</v>
      </c>
      <c r="F4035" s="33">
        <f>COUNTIFS(c_store,A4035,c_date,B4035,c_hour,C4035)</f>
        <v>1</v>
      </c>
      <c r="G4035" s="33">
        <f>IF(F4035&gt;0,1,0)</f>
        <v>1</v>
      </c>
      <c r="H4035" s="33">
        <f>COUNTIFS(Demand!$A$2:$A$4481,A4035,Demand!$B$2:$B$4481,B4035,Demand!$C$2:$C$4481,C4035)</f>
        <v>1</v>
      </c>
    </row>
    <row r="4036">
      <c r="A4036" s="32" t="str">
        <f>Demand!A4034</f>
        <v>S013</v>
      </c>
      <c r="B4036" s="35">
        <f>Demand!B4034</f>
        <v>46278.0</v>
      </c>
      <c r="C4036" s="33">
        <f>Demand!C4034</f>
        <v>8</v>
      </c>
      <c r="D4036" s="33">
        <f>Demand!E4034</f>
        <v>43</v>
      </c>
      <c r="E4036" s="33">
        <f>IF(Demand!F4034,1,0)</f>
        <v>0</v>
      </c>
      <c r="F4036" s="33">
        <f>COUNTIFS(c_store,A4036,c_date,B4036,c_hour,C4036)</f>
        <v>0</v>
      </c>
      <c r="G4036" s="33">
        <f>IF(F4036&gt;0,1,0)</f>
        <v>0</v>
      </c>
      <c r="H4036" s="33">
        <f>COUNTIFS(Demand!$A$2:$A$4481,A4036,Demand!$B$2:$B$4481,B4036,Demand!$C$2:$C$4481,C4036)</f>
        <v>1</v>
      </c>
    </row>
    <row r="4037">
      <c r="A4037" s="32" t="str">
        <f>Demand!A4035</f>
        <v>S013</v>
      </c>
      <c r="B4037" s="35">
        <f>Demand!B4035</f>
        <v>46278.0</v>
      </c>
      <c r="C4037" s="33">
        <f>Demand!C4035</f>
        <v>9</v>
      </c>
      <c r="D4037" s="33">
        <f>Demand!E4035</f>
        <v>30</v>
      </c>
      <c r="E4037" s="33">
        <f>IF(Demand!F4035,1,0)</f>
        <v>0</v>
      </c>
      <c r="F4037" s="33">
        <f>COUNTIFS(c_store,A4037,c_date,B4037,c_hour,C4037)</f>
        <v>1</v>
      </c>
      <c r="G4037" s="33">
        <f>IF(F4037&gt;0,1,0)</f>
        <v>1</v>
      </c>
      <c r="H4037" s="33">
        <f>COUNTIFS(Demand!$A$2:$A$4481,A4037,Demand!$B$2:$B$4481,B4037,Demand!$C$2:$C$4481,C4037)</f>
        <v>1</v>
      </c>
    </row>
    <row r="4038">
      <c r="A4038" s="32" t="str">
        <f>Demand!A4036</f>
        <v>S013</v>
      </c>
      <c r="B4038" s="35">
        <f>Demand!B4036</f>
        <v>46278.0</v>
      </c>
      <c r="C4038" s="33">
        <f>Demand!C4036</f>
        <v>10</v>
      </c>
      <c r="D4038" s="33">
        <f>Demand!E4036</f>
        <v>31</v>
      </c>
      <c r="E4038" s="33">
        <f>IF(Demand!F4036,1,0)</f>
        <v>0</v>
      </c>
      <c r="F4038" s="33">
        <f>COUNTIFS(c_store,A4038,c_date,B4038,c_hour,C4038)</f>
        <v>0</v>
      </c>
      <c r="G4038" s="33">
        <f>IF(F4038&gt;0,1,0)</f>
        <v>0</v>
      </c>
      <c r="H4038" s="33">
        <f>COUNTIFS(Demand!$A$2:$A$4481,A4038,Demand!$B$2:$B$4481,B4038,Demand!$C$2:$C$4481,C4038)</f>
        <v>1</v>
      </c>
    </row>
    <row r="4039">
      <c r="A4039" s="32" t="str">
        <f>Demand!A4037</f>
        <v>S013</v>
      </c>
      <c r="B4039" s="35">
        <f>Demand!B4037</f>
        <v>46278.0</v>
      </c>
      <c r="C4039" s="33">
        <f>Demand!C4037</f>
        <v>11</v>
      </c>
      <c r="D4039" s="33">
        <f>Demand!E4037</f>
        <v>48</v>
      </c>
      <c r="E4039" s="33">
        <f>IF(Demand!F4037,1,0)</f>
        <v>0</v>
      </c>
      <c r="F4039" s="33">
        <f>COUNTIFS(c_store,A4039,c_date,B4039,c_hour,C4039)</f>
        <v>0</v>
      </c>
      <c r="G4039" s="33">
        <f>IF(F4039&gt;0,1,0)</f>
        <v>0</v>
      </c>
      <c r="H4039" s="33">
        <f>COUNTIFS(Demand!$A$2:$A$4481,A4039,Demand!$B$2:$B$4481,B4039,Demand!$C$2:$C$4481,C4039)</f>
        <v>1</v>
      </c>
    </row>
    <row r="4040">
      <c r="A4040" s="32" t="str">
        <f>Demand!A4038</f>
        <v>S013</v>
      </c>
      <c r="B4040" s="35">
        <f>Demand!B4038</f>
        <v>46278.0</v>
      </c>
      <c r="C4040" s="33">
        <f>Demand!C4038</f>
        <v>12</v>
      </c>
      <c r="D4040" s="33">
        <f>Demand!E4038</f>
        <v>64</v>
      </c>
      <c r="E4040" s="33">
        <f>IF(Demand!F4038,1,0)</f>
        <v>0</v>
      </c>
      <c r="F4040" s="33">
        <f>COUNTIFS(c_store,A4040,c_date,B4040,c_hour,C4040)</f>
        <v>0</v>
      </c>
      <c r="G4040" s="33">
        <f>IF(F4040&gt;0,1,0)</f>
        <v>0</v>
      </c>
      <c r="H4040" s="33">
        <f>COUNTIFS(Demand!$A$2:$A$4481,A4040,Demand!$B$2:$B$4481,B4040,Demand!$C$2:$C$4481,C4040)</f>
        <v>1</v>
      </c>
    </row>
    <row r="4041">
      <c r="A4041" s="32" t="str">
        <f>Demand!A4039</f>
        <v>S013</v>
      </c>
      <c r="B4041" s="35">
        <f>Demand!B4039</f>
        <v>46278.0</v>
      </c>
      <c r="C4041" s="33">
        <f>Demand!C4039</f>
        <v>13</v>
      </c>
      <c r="D4041" s="33">
        <f>Demand!E4039</f>
        <v>50</v>
      </c>
      <c r="E4041" s="33">
        <f>IF(Demand!F4039,1,0)</f>
        <v>0</v>
      </c>
      <c r="F4041" s="33">
        <f>COUNTIFS(c_store,A4041,c_date,B4041,c_hour,C4041)</f>
        <v>0</v>
      </c>
      <c r="G4041" s="33">
        <f>IF(F4041&gt;0,1,0)</f>
        <v>0</v>
      </c>
      <c r="H4041" s="33">
        <f>COUNTIFS(Demand!$A$2:$A$4481,A4041,Demand!$B$2:$B$4481,B4041,Demand!$C$2:$C$4481,C4041)</f>
        <v>1</v>
      </c>
    </row>
    <row r="4042">
      <c r="A4042" s="32" t="str">
        <f>Demand!A4040</f>
        <v>S013</v>
      </c>
      <c r="B4042" s="35">
        <f>Demand!B4040</f>
        <v>46278.0</v>
      </c>
      <c r="C4042" s="33">
        <f>Demand!C4040</f>
        <v>14</v>
      </c>
      <c r="D4042" s="33">
        <f>Demand!E4040</f>
        <v>32</v>
      </c>
      <c r="E4042" s="33">
        <f>IF(Demand!F4040,1,0)</f>
        <v>0</v>
      </c>
      <c r="F4042" s="33">
        <f>COUNTIFS(c_store,A4042,c_date,B4042,c_hour,C4042)</f>
        <v>1</v>
      </c>
      <c r="G4042" s="33">
        <f>IF(F4042&gt;0,1,0)</f>
        <v>1</v>
      </c>
      <c r="H4042" s="33">
        <f>COUNTIFS(Demand!$A$2:$A$4481,A4042,Demand!$B$2:$B$4481,B4042,Demand!$C$2:$C$4481,C4042)</f>
        <v>1</v>
      </c>
    </row>
    <row r="4043">
      <c r="A4043" s="32" t="str">
        <f>Demand!A4041</f>
        <v>S013</v>
      </c>
      <c r="B4043" s="35">
        <f>Demand!B4041</f>
        <v>46278.0</v>
      </c>
      <c r="C4043" s="33">
        <f>Demand!C4041</f>
        <v>15</v>
      </c>
      <c r="D4043" s="33">
        <f>Demand!E4041</f>
        <v>34</v>
      </c>
      <c r="E4043" s="33">
        <f>IF(Demand!F4041,1,0)</f>
        <v>0</v>
      </c>
      <c r="F4043" s="33">
        <f>COUNTIFS(c_store,A4043,c_date,B4043,c_hour,C4043)</f>
        <v>0</v>
      </c>
      <c r="G4043" s="33">
        <f>IF(F4043&gt;0,1,0)</f>
        <v>0</v>
      </c>
      <c r="H4043" s="33">
        <f>COUNTIFS(Demand!$A$2:$A$4481,A4043,Demand!$B$2:$B$4481,B4043,Demand!$C$2:$C$4481,C4043)</f>
        <v>1</v>
      </c>
    </row>
    <row r="4044">
      <c r="A4044" s="32" t="str">
        <f>Demand!A4042</f>
        <v>S013</v>
      </c>
      <c r="B4044" s="35">
        <f>Demand!B4042</f>
        <v>46278.0</v>
      </c>
      <c r="C4044" s="33">
        <f>Demand!C4042</f>
        <v>16</v>
      </c>
      <c r="D4044" s="33">
        <f>Demand!E4042</f>
        <v>65</v>
      </c>
      <c r="E4044" s="33">
        <f>IF(Demand!F4042,1,0)</f>
        <v>0</v>
      </c>
      <c r="F4044" s="33">
        <f>COUNTIFS(c_store,A4044,c_date,B4044,c_hour,C4044)</f>
        <v>0</v>
      </c>
      <c r="G4044" s="33">
        <f>IF(F4044&gt;0,1,0)</f>
        <v>0</v>
      </c>
      <c r="H4044" s="33">
        <f>COUNTIFS(Demand!$A$2:$A$4481,A4044,Demand!$B$2:$B$4481,B4044,Demand!$C$2:$C$4481,C4044)</f>
        <v>1</v>
      </c>
    </row>
    <row r="4045">
      <c r="A4045" s="32" t="str">
        <f>Demand!A4043</f>
        <v>S013</v>
      </c>
      <c r="B4045" s="35">
        <f>Demand!B4043</f>
        <v>46278.0</v>
      </c>
      <c r="C4045" s="33">
        <f>Demand!C4043</f>
        <v>17</v>
      </c>
      <c r="D4045" s="33">
        <f>Demand!E4043</f>
        <v>48</v>
      </c>
      <c r="E4045" s="33">
        <f>IF(Demand!F4043,1,0)</f>
        <v>0</v>
      </c>
      <c r="F4045" s="33">
        <f>COUNTIFS(c_store,A4045,c_date,B4045,c_hour,C4045)</f>
        <v>1</v>
      </c>
      <c r="G4045" s="33">
        <f>IF(F4045&gt;0,1,0)</f>
        <v>1</v>
      </c>
      <c r="H4045" s="33">
        <f>COUNTIFS(Demand!$A$2:$A$4481,A4045,Demand!$B$2:$B$4481,B4045,Demand!$C$2:$C$4481,C4045)</f>
        <v>1</v>
      </c>
    </row>
    <row r="4046">
      <c r="A4046" s="32" t="str">
        <f>Demand!A4044</f>
        <v>S013</v>
      </c>
      <c r="B4046" s="35">
        <f>Demand!B4044</f>
        <v>46278.0</v>
      </c>
      <c r="C4046" s="33">
        <f>Demand!C4044</f>
        <v>18</v>
      </c>
      <c r="D4046" s="33">
        <f>Demand!E4044</f>
        <v>51</v>
      </c>
      <c r="E4046" s="33">
        <f>IF(Demand!F4044,1,0)</f>
        <v>0</v>
      </c>
      <c r="F4046" s="33">
        <f>COUNTIFS(c_store,A4046,c_date,B4046,c_hour,C4046)</f>
        <v>0</v>
      </c>
      <c r="G4046" s="33">
        <f>IF(F4046&gt;0,1,0)</f>
        <v>0</v>
      </c>
      <c r="H4046" s="33">
        <f>COUNTIFS(Demand!$A$2:$A$4481,A4046,Demand!$B$2:$B$4481,B4046,Demand!$C$2:$C$4481,C4046)</f>
        <v>1</v>
      </c>
    </row>
    <row r="4047">
      <c r="A4047" s="32" t="str">
        <f>Demand!A4045</f>
        <v>S013</v>
      </c>
      <c r="B4047" s="35">
        <f>Demand!B4045</f>
        <v>46278.0</v>
      </c>
      <c r="C4047" s="33">
        <f>Demand!C4045</f>
        <v>19</v>
      </c>
      <c r="D4047" s="33">
        <f>Demand!E4045</f>
        <v>78</v>
      </c>
      <c r="E4047" s="33">
        <f>IF(Demand!F4045,1,0)</f>
        <v>1</v>
      </c>
      <c r="F4047" s="33">
        <f>COUNTIFS(c_store,A4047,c_date,B4047,c_hour,C4047)</f>
        <v>0</v>
      </c>
      <c r="G4047" s="33">
        <f>IF(F4047&gt;0,1,0)</f>
        <v>0</v>
      </c>
      <c r="H4047" s="33">
        <f>COUNTIFS(Demand!$A$2:$A$4481,A4047,Demand!$B$2:$B$4481,B4047,Demand!$C$2:$C$4481,C4047)</f>
        <v>1</v>
      </c>
    </row>
    <row r="4048">
      <c r="A4048" s="32" t="str">
        <f>Demand!A4046</f>
        <v>S013</v>
      </c>
      <c r="B4048" s="35">
        <f>Demand!B4046</f>
        <v>46278.0</v>
      </c>
      <c r="C4048" s="33">
        <f>Demand!C4046</f>
        <v>20</v>
      </c>
      <c r="D4048" s="33">
        <f>Demand!E4046</f>
        <v>89</v>
      </c>
      <c r="E4048" s="33">
        <f>IF(Demand!F4046,1,0)</f>
        <v>1</v>
      </c>
      <c r="F4048" s="33">
        <f>COUNTIFS(c_store,A4048,c_date,B4048,c_hour,C4048)</f>
        <v>0</v>
      </c>
      <c r="G4048" s="33">
        <f>IF(F4048&gt;0,1,0)</f>
        <v>0</v>
      </c>
      <c r="H4048" s="33">
        <f>COUNTIFS(Demand!$A$2:$A$4481,A4048,Demand!$B$2:$B$4481,B4048,Demand!$C$2:$C$4481,C4048)</f>
        <v>1</v>
      </c>
    </row>
    <row r="4049">
      <c r="A4049" s="32" t="str">
        <f>Demand!A4047</f>
        <v>S013</v>
      </c>
      <c r="B4049" s="35">
        <f>Demand!B4047</f>
        <v>46278.0</v>
      </c>
      <c r="C4049" s="33">
        <f>Demand!C4047</f>
        <v>21</v>
      </c>
      <c r="D4049" s="33">
        <f>Demand!E4047</f>
        <v>82</v>
      </c>
      <c r="E4049" s="33">
        <f>IF(Demand!F4047,1,0)</f>
        <v>1</v>
      </c>
      <c r="F4049" s="33">
        <f>COUNTIFS(c_store,A4049,c_date,B4049,c_hour,C4049)</f>
        <v>1</v>
      </c>
      <c r="G4049" s="33">
        <f>IF(F4049&gt;0,1,0)</f>
        <v>1</v>
      </c>
      <c r="H4049" s="33">
        <f>COUNTIFS(Demand!$A$2:$A$4481,A4049,Demand!$B$2:$B$4481,B4049,Demand!$C$2:$C$4481,C4049)</f>
        <v>1</v>
      </c>
    </row>
    <row r="4050">
      <c r="A4050" s="32" t="str">
        <f>Demand!A4048</f>
        <v>S013</v>
      </c>
      <c r="B4050" s="35">
        <f>Demand!B4048</f>
        <v>46278.0</v>
      </c>
      <c r="C4050" s="33">
        <f>Demand!C4048</f>
        <v>22</v>
      </c>
      <c r="D4050" s="33">
        <f>Demand!E4048</f>
        <v>57</v>
      </c>
      <c r="E4050" s="33">
        <f>IF(Demand!F4048,1,0)</f>
        <v>0</v>
      </c>
      <c r="F4050" s="33">
        <f>COUNTIFS(c_store,A4050,c_date,B4050,c_hour,C4050)</f>
        <v>0</v>
      </c>
      <c r="G4050" s="33">
        <f>IF(F4050&gt;0,1,0)</f>
        <v>0</v>
      </c>
      <c r="H4050" s="33">
        <f>COUNTIFS(Demand!$A$2:$A$4481,A4050,Demand!$B$2:$B$4481,B4050,Demand!$C$2:$C$4481,C4050)</f>
        <v>1</v>
      </c>
    </row>
    <row r="4051">
      <c r="A4051" s="32" t="str">
        <f>Demand!A4049</f>
        <v>S013</v>
      </c>
      <c r="B4051" s="35">
        <f>Demand!B4049</f>
        <v>46278.0</v>
      </c>
      <c r="C4051" s="33">
        <f>Demand!C4049</f>
        <v>23</v>
      </c>
      <c r="D4051" s="33">
        <f>Demand!E4049</f>
        <v>42</v>
      </c>
      <c r="E4051" s="33">
        <f>IF(Demand!F4049,1,0)</f>
        <v>0</v>
      </c>
      <c r="F4051" s="33">
        <f>COUNTIFS(c_store,A4051,c_date,B4051,c_hour,C4051)</f>
        <v>1</v>
      </c>
      <c r="G4051" s="33">
        <f>IF(F4051&gt;0,1,0)</f>
        <v>1</v>
      </c>
      <c r="H4051" s="33">
        <f>COUNTIFS(Demand!$A$2:$A$4481,A4051,Demand!$B$2:$B$4481,B4051,Demand!$C$2:$C$4481,C4051)</f>
        <v>1</v>
      </c>
    </row>
    <row r="4052">
      <c r="A4052" s="32" t="str">
        <f>Demand!A4050</f>
        <v>S014</v>
      </c>
      <c r="B4052" s="35">
        <f>Demand!B4050</f>
        <v>46278.0</v>
      </c>
      <c r="C4052" s="33">
        <f>Demand!C4050</f>
        <v>8</v>
      </c>
      <c r="D4052" s="33">
        <f>Demand!E4050</f>
        <v>33</v>
      </c>
      <c r="E4052" s="33">
        <f>IF(Demand!F4050,1,0)</f>
        <v>0</v>
      </c>
      <c r="F4052" s="33">
        <f>COUNTIFS(c_store,A4052,c_date,B4052,c_hour,C4052)</f>
        <v>2</v>
      </c>
      <c r="G4052" s="33">
        <f>IF(F4052&gt;0,1,0)</f>
        <v>1</v>
      </c>
      <c r="H4052" s="33">
        <f>COUNTIFS(Demand!$A$2:$A$4481,A4052,Demand!$B$2:$B$4481,B4052,Demand!$C$2:$C$4481,C4052)</f>
        <v>1</v>
      </c>
    </row>
    <row r="4053">
      <c r="A4053" s="32" t="str">
        <f>Demand!A4051</f>
        <v>S014</v>
      </c>
      <c r="B4053" s="35">
        <f>Demand!B4051</f>
        <v>46278.0</v>
      </c>
      <c r="C4053" s="33">
        <f>Demand!C4051</f>
        <v>9</v>
      </c>
      <c r="D4053" s="33">
        <f>Demand!E4051</f>
        <v>30</v>
      </c>
      <c r="E4053" s="33">
        <f>IF(Demand!F4051,1,0)</f>
        <v>0</v>
      </c>
      <c r="F4053" s="33">
        <f>COUNTIFS(c_store,A4053,c_date,B4053,c_hour,C4053)</f>
        <v>0</v>
      </c>
      <c r="G4053" s="33">
        <f>IF(F4053&gt;0,1,0)</f>
        <v>0</v>
      </c>
      <c r="H4053" s="33">
        <f>COUNTIFS(Demand!$A$2:$A$4481,A4053,Demand!$B$2:$B$4481,B4053,Demand!$C$2:$C$4481,C4053)</f>
        <v>1</v>
      </c>
    </row>
    <row r="4054">
      <c r="A4054" s="32" t="str">
        <f>Demand!A4052</f>
        <v>S014</v>
      </c>
      <c r="B4054" s="35">
        <f>Demand!B4052</f>
        <v>46278.0</v>
      </c>
      <c r="C4054" s="33">
        <f>Demand!C4052</f>
        <v>10</v>
      </c>
      <c r="D4054" s="33">
        <f>Demand!E4052</f>
        <v>42</v>
      </c>
      <c r="E4054" s="33">
        <f>IF(Demand!F4052,1,0)</f>
        <v>0</v>
      </c>
      <c r="F4054" s="33">
        <f>COUNTIFS(c_store,A4054,c_date,B4054,c_hour,C4054)</f>
        <v>0</v>
      </c>
      <c r="G4054" s="33">
        <f>IF(F4054&gt;0,1,0)</f>
        <v>0</v>
      </c>
      <c r="H4054" s="33">
        <f>COUNTIFS(Demand!$A$2:$A$4481,A4054,Demand!$B$2:$B$4481,B4054,Demand!$C$2:$C$4481,C4054)</f>
        <v>1</v>
      </c>
    </row>
    <row r="4055">
      <c r="A4055" s="32" t="str">
        <f>Demand!A4053</f>
        <v>S014</v>
      </c>
      <c r="B4055" s="35">
        <f>Demand!B4053</f>
        <v>46278.0</v>
      </c>
      <c r="C4055" s="33">
        <f>Demand!C4053</f>
        <v>11</v>
      </c>
      <c r="D4055" s="33">
        <f>Demand!E4053</f>
        <v>48</v>
      </c>
      <c r="E4055" s="33">
        <f>IF(Demand!F4053,1,0)</f>
        <v>0</v>
      </c>
      <c r="F4055" s="33">
        <f>COUNTIFS(c_store,A4055,c_date,B4055,c_hour,C4055)</f>
        <v>0</v>
      </c>
      <c r="G4055" s="33">
        <f>IF(F4055&gt;0,1,0)</f>
        <v>0</v>
      </c>
      <c r="H4055" s="33">
        <f>COUNTIFS(Demand!$A$2:$A$4481,A4055,Demand!$B$2:$B$4481,B4055,Demand!$C$2:$C$4481,C4055)</f>
        <v>1</v>
      </c>
    </row>
    <row r="4056">
      <c r="A4056" s="32" t="str">
        <f>Demand!A4054</f>
        <v>S014</v>
      </c>
      <c r="B4056" s="35">
        <f>Demand!B4054</f>
        <v>46278.0</v>
      </c>
      <c r="C4056" s="33">
        <f>Demand!C4054</f>
        <v>12</v>
      </c>
      <c r="D4056" s="33">
        <f>Demand!E4054</f>
        <v>39</v>
      </c>
      <c r="E4056" s="33">
        <f>IF(Demand!F4054,1,0)</f>
        <v>0</v>
      </c>
      <c r="F4056" s="33">
        <f>COUNTIFS(c_store,A4056,c_date,B4056,c_hour,C4056)</f>
        <v>1</v>
      </c>
      <c r="G4056" s="33">
        <f>IF(F4056&gt;0,1,0)</f>
        <v>1</v>
      </c>
      <c r="H4056" s="33">
        <f>COUNTIFS(Demand!$A$2:$A$4481,A4056,Demand!$B$2:$B$4481,B4056,Demand!$C$2:$C$4481,C4056)</f>
        <v>1</v>
      </c>
    </row>
    <row r="4057">
      <c r="A4057" s="32" t="str">
        <f>Demand!A4055</f>
        <v>S014</v>
      </c>
      <c r="B4057" s="35">
        <f>Demand!B4055</f>
        <v>46278.0</v>
      </c>
      <c r="C4057" s="33">
        <f>Demand!C4055</f>
        <v>13</v>
      </c>
      <c r="D4057" s="33">
        <f>Demand!E4055</f>
        <v>35</v>
      </c>
      <c r="E4057" s="33">
        <f>IF(Demand!F4055,1,0)</f>
        <v>0</v>
      </c>
      <c r="F4057" s="33">
        <f>COUNTIFS(c_store,A4057,c_date,B4057,c_hour,C4057)</f>
        <v>1</v>
      </c>
      <c r="G4057" s="33">
        <f>IF(F4057&gt;0,1,0)</f>
        <v>1</v>
      </c>
      <c r="H4057" s="33">
        <f>COUNTIFS(Demand!$A$2:$A$4481,A4057,Demand!$B$2:$B$4481,B4057,Demand!$C$2:$C$4481,C4057)</f>
        <v>1</v>
      </c>
    </row>
    <row r="4058">
      <c r="A4058" s="32" t="str">
        <f>Demand!A4056</f>
        <v>S014</v>
      </c>
      <c r="B4058" s="35">
        <f>Demand!B4056</f>
        <v>46278.0</v>
      </c>
      <c r="C4058" s="33">
        <f>Demand!C4056</f>
        <v>14</v>
      </c>
      <c r="D4058" s="33">
        <f>Demand!E4056</f>
        <v>35</v>
      </c>
      <c r="E4058" s="33">
        <f>IF(Demand!F4056,1,0)</f>
        <v>0</v>
      </c>
      <c r="F4058" s="33">
        <f>COUNTIFS(c_store,A4058,c_date,B4058,c_hour,C4058)</f>
        <v>0</v>
      </c>
      <c r="G4058" s="33">
        <f>IF(F4058&gt;0,1,0)</f>
        <v>0</v>
      </c>
      <c r="H4058" s="33">
        <f>COUNTIFS(Demand!$A$2:$A$4481,A4058,Demand!$B$2:$B$4481,B4058,Demand!$C$2:$C$4481,C4058)</f>
        <v>1</v>
      </c>
    </row>
    <row r="4059">
      <c r="A4059" s="32" t="str">
        <f>Demand!A4057</f>
        <v>S014</v>
      </c>
      <c r="B4059" s="35">
        <f>Demand!B4057</f>
        <v>46278.0</v>
      </c>
      <c r="C4059" s="33">
        <f>Demand!C4057</f>
        <v>15</v>
      </c>
      <c r="D4059" s="33">
        <f>Demand!E4057</f>
        <v>23</v>
      </c>
      <c r="E4059" s="33">
        <f>IF(Demand!F4057,1,0)</f>
        <v>0</v>
      </c>
      <c r="F4059" s="33">
        <f>COUNTIFS(c_store,A4059,c_date,B4059,c_hour,C4059)</f>
        <v>0</v>
      </c>
      <c r="G4059" s="33">
        <f>IF(F4059&gt;0,1,0)</f>
        <v>0</v>
      </c>
      <c r="H4059" s="33">
        <f>COUNTIFS(Demand!$A$2:$A$4481,A4059,Demand!$B$2:$B$4481,B4059,Demand!$C$2:$C$4481,C4059)</f>
        <v>1</v>
      </c>
    </row>
    <row r="4060">
      <c r="A4060" s="32" t="str">
        <f>Demand!A4058</f>
        <v>S014</v>
      </c>
      <c r="B4060" s="35">
        <f>Demand!B4058</f>
        <v>46278.0</v>
      </c>
      <c r="C4060" s="33">
        <f>Demand!C4058</f>
        <v>16</v>
      </c>
      <c r="D4060" s="33">
        <f>Demand!E4058</f>
        <v>36</v>
      </c>
      <c r="E4060" s="33">
        <f>IF(Demand!F4058,1,0)</f>
        <v>0</v>
      </c>
      <c r="F4060" s="33">
        <f>COUNTIFS(c_store,A4060,c_date,B4060,c_hour,C4060)</f>
        <v>0</v>
      </c>
      <c r="G4060" s="33">
        <f>IF(F4060&gt;0,1,0)</f>
        <v>0</v>
      </c>
      <c r="H4060" s="33">
        <f>COUNTIFS(Demand!$A$2:$A$4481,A4060,Demand!$B$2:$B$4481,B4060,Demand!$C$2:$C$4481,C4060)</f>
        <v>1</v>
      </c>
    </row>
    <row r="4061">
      <c r="A4061" s="32" t="str">
        <f>Demand!A4059</f>
        <v>S014</v>
      </c>
      <c r="B4061" s="35">
        <f>Demand!B4059</f>
        <v>46278.0</v>
      </c>
      <c r="C4061" s="33">
        <f>Demand!C4059</f>
        <v>17</v>
      </c>
      <c r="D4061" s="33">
        <f>Demand!E4059</f>
        <v>45</v>
      </c>
      <c r="E4061" s="33">
        <f>IF(Demand!F4059,1,0)</f>
        <v>0</v>
      </c>
      <c r="F4061" s="33">
        <f>COUNTIFS(c_store,A4061,c_date,B4061,c_hour,C4061)</f>
        <v>2</v>
      </c>
      <c r="G4061" s="33">
        <f>IF(F4061&gt;0,1,0)</f>
        <v>1</v>
      </c>
      <c r="H4061" s="33">
        <f>COUNTIFS(Demand!$A$2:$A$4481,A4061,Demand!$B$2:$B$4481,B4061,Demand!$C$2:$C$4481,C4061)</f>
        <v>1</v>
      </c>
    </row>
    <row r="4062">
      <c r="A4062" s="32" t="str">
        <f>Demand!A4060</f>
        <v>S014</v>
      </c>
      <c r="B4062" s="35">
        <f>Demand!B4060</f>
        <v>46278.0</v>
      </c>
      <c r="C4062" s="33">
        <f>Demand!C4060</f>
        <v>18</v>
      </c>
      <c r="D4062" s="33">
        <f>Demand!E4060</f>
        <v>35</v>
      </c>
      <c r="E4062" s="33">
        <f>IF(Demand!F4060,1,0)</f>
        <v>0</v>
      </c>
      <c r="F4062" s="33">
        <f>COUNTIFS(c_store,A4062,c_date,B4062,c_hour,C4062)</f>
        <v>0</v>
      </c>
      <c r="G4062" s="33">
        <f>IF(F4062&gt;0,1,0)</f>
        <v>0</v>
      </c>
      <c r="H4062" s="33">
        <f>COUNTIFS(Demand!$A$2:$A$4481,A4062,Demand!$B$2:$B$4481,B4062,Demand!$C$2:$C$4481,C4062)</f>
        <v>1</v>
      </c>
    </row>
    <row r="4063">
      <c r="A4063" s="32" t="str">
        <f>Demand!A4061</f>
        <v>S014</v>
      </c>
      <c r="B4063" s="35">
        <f>Demand!B4061</f>
        <v>46278.0</v>
      </c>
      <c r="C4063" s="33">
        <f>Demand!C4061</f>
        <v>19</v>
      </c>
      <c r="D4063" s="33">
        <f>Demand!E4061</f>
        <v>61</v>
      </c>
      <c r="E4063" s="33">
        <f>IF(Demand!F4061,1,0)</f>
        <v>1</v>
      </c>
      <c r="F4063" s="33">
        <f>COUNTIFS(c_store,A4063,c_date,B4063,c_hour,C4063)</f>
        <v>1</v>
      </c>
      <c r="G4063" s="33">
        <f>IF(F4063&gt;0,1,0)</f>
        <v>1</v>
      </c>
      <c r="H4063" s="33">
        <f>COUNTIFS(Demand!$A$2:$A$4481,A4063,Demand!$B$2:$B$4481,B4063,Demand!$C$2:$C$4481,C4063)</f>
        <v>1</v>
      </c>
    </row>
    <row r="4064">
      <c r="A4064" s="32" t="str">
        <f>Demand!A4062</f>
        <v>S014</v>
      </c>
      <c r="B4064" s="35">
        <f>Demand!B4062</f>
        <v>46278.0</v>
      </c>
      <c r="C4064" s="33">
        <f>Demand!C4062</f>
        <v>20</v>
      </c>
      <c r="D4064" s="33">
        <f>Demand!E4062</f>
        <v>55</v>
      </c>
      <c r="E4064" s="33">
        <f>IF(Demand!F4062,1,0)</f>
        <v>1</v>
      </c>
      <c r="F4064" s="33">
        <f>COUNTIFS(c_store,A4064,c_date,B4064,c_hour,C4064)</f>
        <v>0</v>
      </c>
      <c r="G4064" s="33">
        <f>IF(F4064&gt;0,1,0)</f>
        <v>0</v>
      </c>
      <c r="H4064" s="33">
        <f>COUNTIFS(Demand!$A$2:$A$4481,A4064,Demand!$B$2:$B$4481,B4064,Demand!$C$2:$C$4481,C4064)</f>
        <v>1</v>
      </c>
    </row>
    <row r="4065">
      <c r="A4065" s="32" t="str">
        <f>Demand!A4063</f>
        <v>S014</v>
      </c>
      <c r="B4065" s="35">
        <f>Demand!B4063</f>
        <v>46278.0</v>
      </c>
      <c r="C4065" s="33">
        <f>Demand!C4063</f>
        <v>21</v>
      </c>
      <c r="D4065" s="33">
        <f>Demand!E4063</f>
        <v>54</v>
      </c>
      <c r="E4065" s="33">
        <f>IF(Demand!F4063,1,0)</f>
        <v>1</v>
      </c>
      <c r="F4065" s="33">
        <f>COUNTIFS(c_store,A4065,c_date,B4065,c_hour,C4065)</f>
        <v>1</v>
      </c>
      <c r="G4065" s="33">
        <f>IF(F4065&gt;0,1,0)</f>
        <v>1</v>
      </c>
      <c r="H4065" s="33">
        <f>COUNTIFS(Demand!$A$2:$A$4481,A4065,Demand!$B$2:$B$4481,B4065,Demand!$C$2:$C$4481,C4065)</f>
        <v>1</v>
      </c>
    </row>
    <row r="4066">
      <c r="A4066" s="32" t="str">
        <f>Demand!A4064</f>
        <v>S014</v>
      </c>
      <c r="B4066" s="35">
        <f>Demand!B4064</f>
        <v>46278.0</v>
      </c>
      <c r="C4066" s="33">
        <f>Demand!C4064</f>
        <v>22</v>
      </c>
      <c r="D4066" s="33">
        <f>Demand!E4064</f>
        <v>50</v>
      </c>
      <c r="E4066" s="33">
        <f>IF(Demand!F4064,1,0)</f>
        <v>0</v>
      </c>
      <c r="F4066" s="33">
        <f>COUNTIFS(c_store,A4066,c_date,B4066,c_hour,C4066)</f>
        <v>0</v>
      </c>
      <c r="G4066" s="33">
        <f>IF(F4066&gt;0,1,0)</f>
        <v>0</v>
      </c>
      <c r="H4066" s="33">
        <f>COUNTIFS(Demand!$A$2:$A$4481,A4066,Demand!$B$2:$B$4481,B4066,Demand!$C$2:$C$4481,C4066)</f>
        <v>1</v>
      </c>
    </row>
    <row r="4067">
      <c r="A4067" s="32" t="str">
        <f>Demand!A4065</f>
        <v>S014</v>
      </c>
      <c r="B4067" s="35">
        <f>Demand!B4065</f>
        <v>46278.0</v>
      </c>
      <c r="C4067" s="33">
        <f>Demand!C4065</f>
        <v>23</v>
      </c>
      <c r="D4067" s="33">
        <f>Demand!E4065</f>
        <v>40</v>
      </c>
      <c r="E4067" s="33">
        <f>IF(Demand!F4065,1,0)</f>
        <v>0</v>
      </c>
      <c r="F4067" s="33">
        <f>COUNTIFS(c_store,A4067,c_date,B4067,c_hour,C4067)</f>
        <v>1</v>
      </c>
      <c r="G4067" s="33">
        <f>IF(F4067&gt;0,1,0)</f>
        <v>1</v>
      </c>
      <c r="H4067" s="33">
        <f>COUNTIFS(Demand!$A$2:$A$4481,A4067,Demand!$B$2:$B$4481,B4067,Demand!$C$2:$C$4481,C4067)</f>
        <v>1</v>
      </c>
    </row>
    <row r="4068">
      <c r="A4068" s="32" t="str">
        <f>Demand!A4066</f>
        <v>S015</v>
      </c>
      <c r="B4068" s="35">
        <f>Demand!B4066</f>
        <v>46278.0</v>
      </c>
      <c r="C4068" s="33">
        <f>Demand!C4066</f>
        <v>8</v>
      </c>
      <c r="D4068" s="33">
        <f>Demand!E4066</f>
        <v>14</v>
      </c>
      <c r="E4068" s="33">
        <f>IF(Demand!F4066,1,0)</f>
        <v>0</v>
      </c>
      <c r="F4068" s="33">
        <f>COUNTIFS(c_store,A4068,c_date,B4068,c_hour,C4068)</f>
        <v>0</v>
      </c>
      <c r="G4068" s="33">
        <f>IF(F4068&gt;0,1,0)</f>
        <v>0</v>
      </c>
      <c r="H4068" s="33">
        <f>COUNTIFS(Demand!$A$2:$A$4481,A4068,Demand!$B$2:$B$4481,B4068,Demand!$C$2:$C$4481,C4068)</f>
        <v>1</v>
      </c>
    </row>
    <row r="4069">
      <c r="A4069" s="32" t="str">
        <f>Demand!A4067</f>
        <v>S015</v>
      </c>
      <c r="B4069" s="35">
        <f>Demand!B4067</f>
        <v>46278.0</v>
      </c>
      <c r="C4069" s="33">
        <f>Demand!C4067</f>
        <v>9</v>
      </c>
      <c r="D4069" s="33">
        <f>Demand!E4067</f>
        <v>13</v>
      </c>
      <c r="E4069" s="33">
        <f>IF(Demand!F4067,1,0)</f>
        <v>0</v>
      </c>
      <c r="F4069" s="33">
        <f>COUNTIFS(c_store,A4069,c_date,B4069,c_hour,C4069)</f>
        <v>0</v>
      </c>
      <c r="G4069" s="33">
        <f>IF(F4069&gt;0,1,0)</f>
        <v>0</v>
      </c>
      <c r="H4069" s="33">
        <f>COUNTIFS(Demand!$A$2:$A$4481,A4069,Demand!$B$2:$B$4481,B4069,Demand!$C$2:$C$4481,C4069)</f>
        <v>1</v>
      </c>
    </row>
    <row r="4070">
      <c r="A4070" s="32" t="str">
        <f>Demand!A4068</f>
        <v>S015</v>
      </c>
      <c r="B4070" s="35">
        <f>Demand!B4068</f>
        <v>46278.0</v>
      </c>
      <c r="C4070" s="33">
        <f>Demand!C4068</f>
        <v>10</v>
      </c>
      <c r="D4070" s="33">
        <f>Demand!E4068</f>
        <v>16</v>
      </c>
      <c r="E4070" s="33">
        <f>IF(Demand!F4068,1,0)</f>
        <v>0</v>
      </c>
      <c r="F4070" s="33">
        <f>COUNTIFS(c_store,A4070,c_date,B4070,c_hour,C4070)</f>
        <v>0</v>
      </c>
      <c r="G4070" s="33">
        <f>IF(F4070&gt;0,1,0)</f>
        <v>0</v>
      </c>
      <c r="H4070" s="33">
        <f>COUNTIFS(Demand!$A$2:$A$4481,A4070,Demand!$B$2:$B$4481,B4070,Demand!$C$2:$C$4481,C4070)</f>
        <v>1</v>
      </c>
    </row>
    <row r="4071">
      <c r="A4071" s="32" t="str">
        <f>Demand!A4069</f>
        <v>S015</v>
      </c>
      <c r="B4071" s="35">
        <f>Demand!B4069</f>
        <v>46278.0</v>
      </c>
      <c r="C4071" s="33">
        <f>Demand!C4069</f>
        <v>11</v>
      </c>
      <c r="D4071" s="33">
        <f>Demand!E4069</f>
        <v>19</v>
      </c>
      <c r="E4071" s="33">
        <f>IF(Demand!F4069,1,0)</f>
        <v>0</v>
      </c>
      <c r="F4071" s="33">
        <f>COUNTIFS(c_store,A4071,c_date,B4071,c_hour,C4071)</f>
        <v>0</v>
      </c>
      <c r="G4071" s="33">
        <f>IF(F4071&gt;0,1,0)</f>
        <v>0</v>
      </c>
      <c r="H4071" s="33">
        <f>COUNTIFS(Demand!$A$2:$A$4481,A4071,Demand!$B$2:$B$4481,B4071,Demand!$C$2:$C$4481,C4071)</f>
        <v>1</v>
      </c>
    </row>
    <row r="4072">
      <c r="A4072" s="32" t="str">
        <f>Demand!A4070</f>
        <v>S015</v>
      </c>
      <c r="B4072" s="35">
        <f>Demand!B4070</f>
        <v>46278.0</v>
      </c>
      <c r="C4072" s="33">
        <f>Demand!C4070</f>
        <v>12</v>
      </c>
      <c r="D4072" s="33">
        <f>Demand!E4070</f>
        <v>29</v>
      </c>
      <c r="E4072" s="33">
        <f>IF(Demand!F4070,1,0)</f>
        <v>0</v>
      </c>
      <c r="F4072" s="33">
        <f>COUNTIFS(c_store,A4072,c_date,B4072,c_hour,C4072)</f>
        <v>0</v>
      </c>
      <c r="G4072" s="33">
        <f>IF(F4072&gt;0,1,0)</f>
        <v>0</v>
      </c>
      <c r="H4072" s="33">
        <f>COUNTIFS(Demand!$A$2:$A$4481,A4072,Demand!$B$2:$B$4481,B4072,Demand!$C$2:$C$4481,C4072)</f>
        <v>1</v>
      </c>
    </row>
    <row r="4073">
      <c r="A4073" s="32" t="str">
        <f>Demand!A4071</f>
        <v>S015</v>
      </c>
      <c r="B4073" s="35">
        <f>Demand!B4071</f>
        <v>46278.0</v>
      </c>
      <c r="C4073" s="33">
        <f>Demand!C4071</f>
        <v>13</v>
      </c>
      <c r="D4073" s="33">
        <f>Demand!E4071</f>
        <v>19</v>
      </c>
      <c r="E4073" s="33">
        <f>IF(Demand!F4071,1,0)</f>
        <v>0</v>
      </c>
      <c r="F4073" s="33">
        <f>COUNTIFS(c_store,A4073,c_date,B4073,c_hour,C4073)</f>
        <v>1</v>
      </c>
      <c r="G4073" s="33">
        <f>IF(F4073&gt;0,1,0)</f>
        <v>1</v>
      </c>
      <c r="H4073" s="33">
        <f>COUNTIFS(Demand!$A$2:$A$4481,A4073,Demand!$B$2:$B$4481,B4073,Demand!$C$2:$C$4481,C4073)</f>
        <v>1</v>
      </c>
    </row>
    <row r="4074">
      <c r="A4074" s="32" t="str">
        <f>Demand!A4072</f>
        <v>S015</v>
      </c>
      <c r="B4074" s="35">
        <f>Demand!B4072</f>
        <v>46278.0</v>
      </c>
      <c r="C4074" s="33">
        <f>Demand!C4072</f>
        <v>14</v>
      </c>
      <c r="D4074" s="33">
        <f>Demand!E4072</f>
        <v>16</v>
      </c>
      <c r="E4074" s="33">
        <f>IF(Demand!F4072,1,0)</f>
        <v>0</v>
      </c>
      <c r="F4074" s="33">
        <f>COUNTIFS(c_store,A4074,c_date,B4074,c_hour,C4074)</f>
        <v>0</v>
      </c>
      <c r="G4074" s="33">
        <f>IF(F4074&gt;0,1,0)</f>
        <v>0</v>
      </c>
      <c r="H4074" s="33">
        <f>COUNTIFS(Demand!$A$2:$A$4481,A4074,Demand!$B$2:$B$4481,B4074,Demand!$C$2:$C$4481,C4074)</f>
        <v>1</v>
      </c>
    </row>
    <row r="4075">
      <c r="A4075" s="32" t="str">
        <f>Demand!A4073</f>
        <v>S015</v>
      </c>
      <c r="B4075" s="35">
        <f>Demand!B4073</f>
        <v>46278.0</v>
      </c>
      <c r="C4075" s="33">
        <f>Demand!C4073</f>
        <v>15</v>
      </c>
      <c r="D4075" s="33">
        <f>Demand!E4073</f>
        <v>23</v>
      </c>
      <c r="E4075" s="33">
        <f>IF(Demand!F4073,1,0)</f>
        <v>0</v>
      </c>
      <c r="F4075" s="33">
        <f>COUNTIFS(c_store,A4075,c_date,B4075,c_hour,C4075)</f>
        <v>0</v>
      </c>
      <c r="G4075" s="33">
        <f>IF(F4075&gt;0,1,0)</f>
        <v>0</v>
      </c>
      <c r="H4075" s="33">
        <f>COUNTIFS(Demand!$A$2:$A$4481,A4075,Demand!$B$2:$B$4481,B4075,Demand!$C$2:$C$4481,C4075)</f>
        <v>1</v>
      </c>
    </row>
    <row r="4076">
      <c r="A4076" s="32" t="str">
        <f>Demand!A4074</f>
        <v>S015</v>
      </c>
      <c r="B4076" s="35">
        <f>Demand!B4074</f>
        <v>46278.0</v>
      </c>
      <c r="C4076" s="33">
        <f>Demand!C4074</f>
        <v>16</v>
      </c>
      <c r="D4076" s="33">
        <f>Demand!E4074</f>
        <v>23</v>
      </c>
      <c r="E4076" s="33">
        <f>IF(Demand!F4074,1,0)</f>
        <v>0</v>
      </c>
      <c r="F4076" s="33">
        <f>COUNTIFS(c_store,A4076,c_date,B4076,c_hour,C4076)</f>
        <v>0</v>
      </c>
      <c r="G4076" s="33">
        <f>IF(F4076&gt;0,1,0)</f>
        <v>0</v>
      </c>
      <c r="H4076" s="33">
        <f>COUNTIFS(Demand!$A$2:$A$4481,A4076,Demand!$B$2:$B$4481,B4076,Demand!$C$2:$C$4481,C4076)</f>
        <v>1</v>
      </c>
    </row>
    <row r="4077">
      <c r="A4077" s="32" t="str">
        <f>Demand!A4075</f>
        <v>S015</v>
      </c>
      <c r="B4077" s="35">
        <f>Demand!B4075</f>
        <v>46278.0</v>
      </c>
      <c r="C4077" s="33">
        <f>Demand!C4075</f>
        <v>17</v>
      </c>
      <c r="D4077" s="33">
        <f>Demand!E4075</f>
        <v>28</v>
      </c>
      <c r="E4077" s="33">
        <f>IF(Demand!F4075,1,0)</f>
        <v>0</v>
      </c>
      <c r="F4077" s="33">
        <f>COUNTIFS(c_store,A4077,c_date,B4077,c_hour,C4077)</f>
        <v>0</v>
      </c>
      <c r="G4077" s="33">
        <f>IF(F4077&gt;0,1,0)</f>
        <v>0</v>
      </c>
      <c r="H4077" s="33">
        <f>COUNTIFS(Demand!$A$2:$A$4481,A4077,Demand!$B$2:$B$4481,B4077,Demand!$C$2:$C$4481,C4077)</f>
        <v>1</v>
      </c>
    </row>
    <row r="4078">
      <c r="A4078" s="32" t="str">
        <f>Demand!A4076</f>
        <v>S015</v>
      </c>
      <c r="B4078" s="35">
        <f>Demand!B4076</f>
        <v>46278.0</v>
      </c>
      <c r="C4078" s="33">
        <f>Demand!C4076</f>
        <v>18</v>
      </c>
      <c r="D4078" s="33">
        <f>Demand!E4076</f>
        <v>37</v>
      </c>
      <c r="E4078" s="33">
        <f>IF(Demand!F4076,1,0)</f>
        <v>0</v>
      </c>
      <c r="F4078" s="33">
        <f>COUNTIFS(c_store,A4078,c_date,B4078,c_hour,C4078)</f>
        <v>1</v>
      </c>
      <c r="G4078" s="33">
        <f>IF(F4078&gt;0,1,0)</f>
        <v>1</v>
      </c>
      <c r="H4078" s="33">
        <f>COUNTIFS(Demand!$A$2:$A$4481,A4078,Demand!$B$2:$B$4481,B4078,Demand!$C$2:$C$4481,C4078)</f>
        <v>1</v>
      </c>
    </row>
    <row r="4079">
      <c r="A4079" s="32" t="str">
        <f>Demand!A4077</f>
        <v>S015</v>
      </c>
      <c r="B4079" s="35">
        <f>Demand!B4077</f>
        <v>46278.0</v>
      </c>
      <c r="C4079" s="33">
        <f>Demand!C4077</f>
        <v>19</v>
      </c>
      <c r="D4079" s="33">
        <f>Demand!E4077</f>
        <v>43</v>
      </c>
      <c r="E4079" s="33">
        <f>IF(Demand!F4077,1,0)</f>
        <v>1</v>
      </c>
      <c r="F4079" s="33">
        <f>COUNTIFS(c_store,A4079,c_date,B4079,c_hour,C4079)</f>
        <v>0</v>
      </c>
      <c r="G4079" s="33">
        <f>IF(F4079&gt;0,1,0)</f>
        <v>0</v>
      </c>
      <c r="H4079" s="33">
        <f>COUNTIFS(Demand!$A$2:$A$4481,A4079,Demand!$B$2:$B$4481,B4079,Demand!$C$2:$C$4481,C4079)</f>
        <v>1</v>
      </c>
    </row>
    <row r="4080">
      <c r="A4080" s="32" t="str">
        <f>Demand!A4078</f>
        <v>S015</v>
      </c>
      <c r="B4080" s="35">
        <f>Demand!B4078</f>
        <v>46278.0</v>
      </c>
      <c r="C4080" s="33">
        <f>Demand!C4078</f>
        <v>20</v>
      </c>
      <c r="D4080" s="33">
        <f>Demand!E4078</f>
        <v>38</v>
      </c>
      <c r="E4080" s="33">
        <f>IF(Demand!F4078,1,0)</f>
        <v>1</v>
      </c>
      <c r="F4080" s="33">
        <f>COUNTIFS(c_store,A4080,c_date,B4080,c_hour,C4080)</f>
        <v>1</v>
      </c>
      <c r="G4080" s="33">
        <f>IF(F4080&gt;0,1,0)</f>
        <v>1</v>
      </c>
      <c r="H4080" s="33">
        <f>COUNTIFS(Demand!$A$2:$A$4481,A4080,Demand!$B$2:$B$4481,B4080,Demand!$C$2:$C$4481,C4080)</f>
        <v>1</v>
      </c>
    </row>
    <row r="4081">
      <c r="A4081" s="32" t="str">
        <f>Demand!A4079</f>
        <v>S015</v>
      </c>
      <c r="B4081" s="35">
        <f>Demand!B4079</f>
        <v>46278.0</v>
      </c>
      <c r="C4081" s="33">
        <f>Demand!C4079</f>
        <v>21</v>
      </c>
      <c r="D4081" s="33">
        <f>Demand!E4079</f>
        <v>31</v>
      </c>
      <c r="E4081" s="33">
        <f>IF(Demand!F4079,1,0)</f>
        <v>1</v>
      </c>
      <c r="F4081" s="33">
        <f>COUNTIFS(c_store,A4081,c_date,B4081,c_hour,C4081)</f>
        <v>2</v>
      </c>
      <c r="G4081" s="33">
        <f>IF(F4081&gt;0,1,0)</f>
        <v>1</v>
      </c>
      <c r="H4081" s="33">
        <f>COUNTIFS(Demand!$A$2:$A$4481,A4081,Demand!$B$2:$B$4481,B4081,Demand!$C$2:$C$4481,C4081)</f>
        <v>1</v>
      </c>
    </row>
    <row r="4082">
      <c r="A4082" s="32" t="str">
        <f>Demand!A4080</f>
        <v>S015</v>
      </c>
      <c r="B4082" s="35">
        <f>Demand!B4080</f>
        <v>46278.0</v>
      </c>
      <c r="C4082" s="33">
        <f>Demand!C4080</f>
        <v>22</v>
      </c>
      <c r="D4082" s="33">
        <f>Demand!E4080</f>
        <v>26</v>
      </c>
      <c r="E4082" s="33">
        <f>IF(Demand!F4080,1,0)</f>
        <v>0</v>
      </c>
      <c r="F4082" s="33">
        <f>COUNTIFS(c_store,A4082,c_date,B4082,c_hour,C4082)</f>
        <v>0</v>
      </c>
      <c r="G4082" s="33">
        <f>IF(F4082&gt;0,1,0)</f>
        <v>0</v>
      </c>
      <c r="H4082" s="33">
        <f>COUNTIFS(Demand!$A$2:$A$4481,A4082,Demand!$B$2:$B$4481,B4082,Demand!$C$2:$C$4481,C4082)</f>
        <v>1</v>
      </c>
    </row>
    <row r="4083">
      <c r="A4083" s="32" t="str">
        <f>Demand!A4081</f>
        <v>S015</v>
      </c>
      <c r="B4083" s="35">
        <f>Demand!B4081</f>
        <v>46278.0</v>
      </c>
      <c r="C4083" s="33">
        <f>Demand!C4081</f>
        <v>23</v>
      </c>
      <c r="D4083" s="33">
        <f>Demand!E4081</f>
        <v>19</v>
      </c>
      <c r="E4083" s="33">
        <f>IF(Demand!F4081,1,0)</f>
        <v>0</v>
      </c>
      <c r="F4083" s="33">
        <f>COUNTIFS(c_store,A4083,c_date,B4083,c_hour,C4083)</f>
        <v>1</v>
      </c>
      <c r="G4083" s="33">
        <f>IF(F4083&gt;0,1,0)</f>
        <v>1</v>
      </c>
      <c r="H4083" s="33">
        <f>COUNTIFS(Demand!$A$2:$A$4481,A4083,Demand!$B$2:$B$4481,B4083,Demand!$C$2:$C$4481,C4083)</f>
        <v>1</v>
      </c>
    </row>
    <row r="4084">
      <c r="A4084" s="32" t="str">
        <f>Demand!A4082</f>
        <v>S016</v>
      </c>
      <c r="B4084" s="35">
        <f>Demand!B4082</f>
        <v>46278.0</v>
      </c>
      <c r="C4084" s="33">
        <f>Demand!C4082</f>
        <v>8</v>
      </c>
      <c r="D4084" s="33">
        <f>Demand!E4082</f>
        <v>28</v>
      </c>
      <c r="E4084" s="33">
        <f>IF(Demand!F4082,1,0)</f>
        <v>0</v>
      </c>
      <c r="F4084" s="33">
        <f>COUNTIFS(c_store,A4084,c_date,B4084,c_hour,C4084)</f>
        <v>0</v>
      </c>
      <c r="G4084" s="33">
        <f>IF(F4084&gt;0,1,0)</f>
        <v>0</v>
      </c>
      <c r="H4084" s="33">
        <f>COUNTIFS(Demand!$A$2:$A$4481,A4084,Demand!$B$2:$B$4481,B4084,Demand!$C$2:$C$4481,C4084)</f>
        <v>1</v>
      </c>
    </row>
    <row r="4085">
      <c r="A4085" s="32" t="str">
        <f>Demand!A4083</f>
        <v>S016</v>
      </c>
      <c r="B4085" s="35">
        <f>Demand!B4083</f>
        <v>46278.0</v>
      </c>
      <c r="C4085" s="33">
        <f>Demand!C4083</f>
        <v>9</v>
      </c>
      <c r="D4085" s="33">
        <f>Demand!E4083</f>
        <v>21</v>
      </c>
      <c r="E4085" s="33">
        <f>IF(Demand!F4083,1,0)</f>
        <v>0</v>
      </c>
      <c r="F4085" s="33">
        <f>COUNTIFS(c_store,A4085,c_date,B4085,c_hour,C4085)</f>
        <v>0</v>
      </c>
      <c r="G4085" s="33">
        <f>IF(F4085&gt;0,1,0)</f>
        <v>0</v>
      </c>
      <c r="H4085" s="33">
        <f>COUNTIFS(Demand!$A$2:$A$4481,A4085,Demand!$B$2:$B$4481,B4085,Demand!$C$2:$C$4481,C4085)</f>
        <v>1</v>
      </c>
    </row>
    <row r="4086">
      <c r="A4086" s="32" t="str">
        <f>Demand!A4084</f>
        <v>S016</v>
      </c>
      <c r="B4086" s="35">
        <f>Demand!B4084</f>
        <v>46278.0</v>
      </c>
      <c r="C4086" s="33">
        <f>Demand!C4084</f>
        <v>10</v>
      </c>
      <c r="D4086" s="33">
        <f>Demand!E4084</f>
        <v>16</v>
      </c>
      <c r="E4086" s="33">
        <f>IF(Demand!F4084,1,0)</f>
        <v>0</v>
      </c>
      <c r="F4086" s="33">
        <f>COUNTIFS(c_store,A4086,c_date,B4086,c_hour,C4086)</f>
        <v>1</v>
      </c>
      <c r="G4086" s="33">
        <f>IF(F4086&gt;0,1,0)</f>
        <v>1</v>
      </c>
      <c r="H4086" s="33">
        <f>COUNTIFS(Demand!$A$2:$A$4481,A4086,Demand!$B$2:$B$4481,B4086,Demand!$C$2:$C$4481,C4086)</f>
        <v>1</v>
      </c>
    </row>
    <row r="4087">
      <c r="A4087" s="32" t="str">
        <f>Demand!A4085</f>
        <v>S016</v>
      </c>
      <c r="B4087" s="35">
        <f>Demand!B4085</f>
        <v>46278.0</v>
      </c>
      <c r="C4087" s="33">
        <f>Demand!C4085</f>
        <v>11</v>
      </c>
      <c r="D4087" s="33">
        <f>Demand!E4085</f>
        <v>23</v>
      </c>
      <c r="E4087" s="33">
        <f>IF(Demand!F4085,1,0)</f>
        <v>0</v>
      </c>
      <c r="F4087" s="33">
        <f>COUNTIFS(c_store,A4087,c_date,B4087,c_hour,C4087)</f>
        <v>0</v>
      </c>
      <c r="G4087" s="33">
        <f>IF(F4087&gt;0,1,0)</f>
        <v>0</v>
      </c>
      <c r="H4087" s="33">
        <f>COUNTIFS(Demand!$A$2:$A$4481,A4087,Demand!$B$2:$B$4481,B4087,Demand!$C$2:$C$4481,C4087)</f>
        <v>1</v>
      </c>
    </row>
    <row r="4088">
      <c r="A4088" s="32" t="str">
        <f>Demand!A4086</f>
        <v>S016</v>
      </c>
      <c r="B4088" s="35">
        <f>Demand!B4086</f>
        <v>46278.0</v>
      </c>
      <c r="C4088" s="33">
        <f>Demand!C4086</f>
        <v>12</v>
      </c>
      <c r="D4088" s="33">
        <f>Demand!E4086</f>
        <v>43</v>
      </c>
      <c r="E4088" s="33">
        <f>IF(Demand!F4086,1,0)</f>
        <v>0</v>
      </c>
      <c r="F4088" s="33">
        <f>COUNTIFS(c_store,A4088,c_date,B4088,c_hour,C4088)</f>
        <v>0</v>
      </c>
      <c r="G4088" s="33">
        <f>IF(F4088&gt;0,1,0)</f>
        <v>0</v>
      </c>
      <c r="H4088" s="33">
        <f>COUNTIFS(Demand!$A$2:$A$4481,A4088,Demand!$B$2:$B$4481,B4088,Demand!$C$2:$C$4481,C4088)</f>
        <v>1</v>
      </c>
    </row>
    <row r="4089">
      <c r="A4089" s="32" t="str">
        <f>Demand!A4087</f>
        <v>S016</v>
      </c>
      <c r="B4089" s="35">
        <f>Demand!B4087</f>
        <v>46278.0</v>
      </c>
      <c r="C4089" s="33">
        <f>Demand!C4087</f>
        <v>13</v>
      </c>
      <c r="D4089" s="33">
        <f>Demand!E4087</f>
        <v>23</v>
      </c>
      <c r="E4089" s="33">
        <f>IF(Demand!F4087,1,0)</f>
        <v>0</v>
      </c>
      <c r="F4089" s="33">
        <f>COUNTIFS(c_store,A4089,c_date,B4089,c_hour,C4089)</f>
        <v>0</v>
      </c>
      <c r="G4089" s="33">
        <f>IF(F4089&gt;0,1,0)</f>
        <v>0</v>
      </c>
      <c r="H4089" s="33">
        <f>COUNTIFS(Demand!$A$2:$A$4481,A4089,Demand!$B$2:$B$4481,B4089,Demand!$C$2:$C$4481,C4089)</f>
        <v>1</v>
      </c>
    </row>
    <row r="4090">
      <c r="A4090" s="32" t="str">
        <f>Demand!A4088</f>
        <v>S016</v>
      </c>
      <c r="B4090" s="35">
        <f>Demand!B4088</f>
        <v>46278.0</v>
      </c>
      <c r="C4090" s="33">
        <f>Demand!C4088</f>
        <v>14</v>
      </c>
      <c r="D4090" s="33">
        <f>Demand!E4088</f>
        <v>16</v>
      </c>
      <c r="E4090" s="33">
        <f>IF(Demand!F4088,1,0)</f>
        <v>0</v>
      </c>
      <c r="F4090" s="33">
        <f>COUNTIFS(c_store,A4090,c_date,B4090,c_hour,C4090)</f>
        <v>0</v>
      </c>
      <c r="G4090" s="33">
        <f>IF(F4090&gt;0,1,0)</f>
        <v>0</v>
      </c>
      <c r="H4090" s="33">
        <f>COUNTIFS(Demand!$A$2:$A$4481,A4090,Demand!$B$2:$B$4481,B4090,Demand!$C$2:$C$4481,C4090)</f>
        <v>1</v>
      </c>
    </row>
    <row r="4091">
      <c r="A4091" s="32" t="str">
        <f>Demand!A4089</f>
        <v>S016</v>
      </c>
      <c r="B4091" s="35">
        <f>Demand!B4089</f>
        <v>46278.0</v>
      </c>
      <c r="C4091" s="33">
        <f>Demand!C4089</f>
        <v>15</v>
      </c>
      <c r="D4091" s="33">
        <f>Demand!E4089</f>
        <v>19</v>
      </c>
      <c r="E4091" s="33">
        <f>IF(Demand!F4089,1,0)</f>
        <v>0</v>
      </c>
      <c r="F4091" s="33">
        <f>COUNTIFS(c_store,A4091,c_date,B4091,c_hour,C4091)</f>
        <v>1</v>
      </c>
      <c r="G4091" s="33">
        <f>IF(F4091&gt;0,1,0)</f>
        <v>1</v>
      </c>
      <c r="H4091" s="33">
        <f>COUNTIFS(Demand!$A$2:$A$4481,A4091,Demand!$B$2:$B$4481,B4091,Demand!$C$2:$C$4481,C4091)</f>
        <v>1</v>
      </c>
    </row>
    <row r="4092">
      <c r="A4092" s="32" t="str">
        <f>Demand!A4090</f>
        <v>S016</v>
      </c>
      <c r="B4092" s="35">
        <f>Demand!B4090</f>
        <v>46278.0</v>
      </c>
      <c r="C4092" s="33">
        <f>Demand!C4090</f>
        <v>16</v>
      </c>
      <c r="D4092" s="33">
        <f>Demand!E4090</f>
        <v>37</v>
      </c>
      <c r="E4092" s="33">
        <f>IF(Demand!F4090,1,0)</f>
        <v>0</v>
      </c>
      <c r="F4092" s="33">
        <f>COUNTIFS(c_store,A4092,c_date,B4092,c_hour,C4092)</f>
        <v>0</v>
      </c>
      <c r="G4092" s="33">
        <f>IF(F4092&gt;0,1,0)</f>
        <v>0</v>
      </c>
      <c r="H4092" s="33">
        <f>COUNTIFS(Demand!$A$2:$A$4481,A4092,Demand!$B$2:$B$4481,B4092,Demand!$C$2:$C$4481,C4092)</f>
        <v>1</v>
      </c>
    </row>
    <row r="4093">
      <c r="A4093" s="32" t="str">
        <f>Demand!A4091</f>
        <v>S016</v>
      </c>
      <c r="B4093" s="35">
        <f>Demand!B4091</f>
        <v>46278.0</v>
      </c>
      <c r="C4093" s="33">
        <f>Demand!C4091</f>
        <v>17</v>
      </c>
      <c r="D4093" s="33">
        <f>Demand!E4091</f>
        <v>29</v>
      </c>
      <c r="E4093" s="33">
        <f>IF(Demand!F4091,1,0)</f>
        <v>0</v>
      </c>
      <c r="F4093" s="33">
        <f>COUNTIFS(c_store,A4093,c_date,B4093,c_hour,C4093)</f>
        <v>0</v>
      </c>
      <c r="G4093" s="33">
        <f>IF(F4093&gt;0,1,0)</f>
        <v>0</v>
      </c>
      <c r="H4093" s="33">
        <f>COUNTIFS(Demand!$A$2:$A$4481,A4093,Demand!$B$2:$B$4481,B4093,Demand!$C$2:$C$4481,C4093)</f>
        <v>1</v>
      </c>
    </row>
    <row r="4094">
      <c r="A4094" s="32" t="str">
        <f>Demand!A4092</f>
        <v>S016</v>
      </c>
      <c r="B4094" s="35">
        <f>Demand!B4092</f>
        <v>46278.0</v>
      </c>
      <c r="C4094" s="33">
        <f>Demand!C4092</f>
        <v>18</v>
      </c>
      <c r="D4094" s="33">
        <f>Demand!E4092</f>
        <v>36</v>
      </c>
      <c r="E4094" s="33">
        <f>IF(Demand!F4092,1,0)</f>
        <v>0</v>
      </c>
      <c r="F4094" s="33">
        <f>COUNTIFS(c_store,A4094,c_date,B4094,c_hour,C4094)</f>
        <v>0</v>
      </c>
      <c r="G4094" s="33">
        <f>IF(F4094&gt;0,1,0)</f>
        <v>0</v>
      </c>
      <c r="H4094" s="33">
        <f>COUNTIFS(Demand!$A$2:$A$4481,A4094,Demand!$B$2:$B$4481,B4094,Demand!$C$2:$C$4481,C4094)</f>
        <v>1</v>
      </c>
    </row>
    <row r="4095">
      <c r="A4095" s="32" t="str">
        <f>Demand!A4093</f>
        <v>S016</v>
      </c>
      <c r="B4095" s="35">
        <f>Demand!B4093</f>
        <v>46278.0</v>
      </c>
      <c r="C4095" s="33">
        <f>Demand!C4093</f>
        <v>19</v>
      </c>
      <c r="D4095" s="33">
        <f>Demand!E4093</f>
        <v>43</v>
      </c>
      <c r="E4095" s="33">
        <f>IF(Demand!F4093,1,0)</f>
        <v>1</v>
      </c>
      <c r="F4095" s="33">
        <f>COUNTIFS(c_store,A4095,c_date,B4095,c_hour,C4095)</f>
        <v>0</v>
      </c>
      <c r="G4095" s="33">
        <f>IF(F4095&gt;0,1,0)</f>
        <v>0</v>
      </c>
      <c r="H4095" s="33">
        <f>COUNTIFS(Demand!$A$2:$A$4481,A4095,Demand!$B$2:$B$4481,B4095,Demand!$C$2:$C$4481,C4095)</f>
        <v>1</v>
      </c>
    </row>
    <row r="4096">
      <c r="A4096" s="32" t="str">
        <f>Demand!A4094</f>
        <v>S016</v>
      </c>
      <c r="B4096" s="35">
        <f>Demand!B4094</f>
        <v>46278.0</v>
      </c>
      <c r="C4096" s="33">
        <f>Demand!C4094</f>
        <v>20</v>
      </c>
      <c r="D4096" s="33">
        <f>Demand!E4094</f>
        <v>48</v>
      </c>
      <c r="E4096" s="33">
        <f>IF(Demand!F4094,1,0)</f>
        <v>1</v>
      </c>
      <c r="F4096" s="33">
        <f>COUNTIFS(c_store,A4096,c_date,B4096,c_hour,C4096)</f>
        <v>1</v>
      </c>
      <c r="G4096" s="33">
        <f>IF(F4096&gt;0,1,0)</f>
        <v>1</v>
      </c>
      <c r="H4096" s="33">
        <f>COUNTIFS(Demand!$A$2:$A$4481,A4096,Demand!$B$2:$B$4481,B4096,Demand!$C$2:$C$4481,C4096)</f>
        <v>1</v>
      </c>
    </row>
    <row r="4097">
      <c r="A4097" s="32" t="str">
        <f>Demand!A4095</f>
        <v>S016</v>
      </c>
      <c r="B4097" s="35">
        <f>Demand!B4095</f>
        <v>46278.0</v>
      </c>
      <c r="C4097" s="33">
        <f>Demand!C4095</f>
        <v>21</v>
      </c>
      <c r="D4097" s="33">
        <f>Demand!E4095</f>
        <v>40</v>
      </c>
      <c r="E4097" s="33">
        <f>IF(Demand!F4095,1,0)</f>
        <v>1</v>
      </c>
      <c r="F4097" s="33">
        <f>COUNTIFS(c_store,A4097,c_date,B4097,c_hour,C4097)</f>
        <v>1</v>
      </c>
      <c r="G4097" s="33">
        <f>IF(F4097&gt;0,1,0)</f>
        <v>1</v>
      </c>
      <c r="H4097" s="33">
        <f>COUNTIFS(Demand!$A$2:$A$4481,A4097,Demand!$B$2:$B$4481,B4097,Demand!$C$2:$C$4481,C4097)</f>
        <v>1</v>
      </c>
    </row>
    <row r="4098">
      <c r="A4098" s="32" t="str">
        <f>Demand!A4096</f>
        <v>S016</v>
      </c>
      <c r="B4098" s="35">
        <f>Demand!B4096</f>
        <v>46278.0</v>
      </c>
      <c r="C4098" s="33">
        <f>Demand!C4096</f>
        <v>22</v>
      </c>
      <c r="D4098" s="33">
        <f>Demand!E4096</f>
        <v>22</v>
      </c>
      <c r="E4098" s="33">
        <f>IF(Demand!F4096,1,0)</f>
        <v>0</v>
      </c>
      <c r="F4098" s="33">
        <f>COUNTIFS(c_store,A4098,c_date,B4098,c_hour,C4098)</f>
        <v>0</v>
      </c>
      <c r="G4098" s="33">
        <f>IF(F4098&gt;0,1,0)</f>
        <v>0</v>
      </c>
      <c r="H4098" s="33">
        <f>COUNTIFS(Demand!$A$2:$A$4481,A4098,Demand!$B$2:$B$4481,B4098,Demand!$C$2:$C$4481,C4098)</f>
        <v>1</v>
      </c>
    </row>
    <row r="4099">
      <c r="A4099" s="32" t="str">
        <f>Demand!A4097</f>
        <v>S016</v>
      </c>
      <c r="B4099" s="35">
        <f>Demand!B4097</f>
        <v>46278.0</v>
      </c>
      <c r="C4099" s="33">
        <f>Demand!C4097</f>
        <v>23</v>
      </c>
      <c r="D4099" s="33">
        <f>Demand!E4097</f>
        <v>24</v>
      </c>
      <c r="E4099" s="33">
        <f>IF(Demand!F4097,1,0)</f>
        <v>0</v>
      </c>
      <c r="F4099" s="33">
        <f>COUNTIFS(c_store,A4099,c_date,B4099,c_hour,C4099)</f>
        <v>0</v>
      </c>
      <c r="G4099" s="33">
        <f>IF(F4099&gt;0,1,0)</f>
        <v>0</v>
      </c>
      <c r="H4099" s="33">
        <f>COUNTIFS(Demand!$A$2:$A$4481,A4099,Demand!$B$2:$B$4481,B4099,Demand!$C$2:$C$4481,C4099)</f>
        <v>1</v>
      </c>
    </row>
    <row r="4100">
      <c r="A4100" s="32" t="str">
        <f>Demand!A4098</f>
        <v>S017</v>
      </c>
      <c r="B4100" s="35">
        <f>Demand!B4098</f>
        <v>46278.0</v>
      </c>
      <c r="C4100" s="33">
        <f>Demand!C4098</f>
        <v>8</v>
      </c>
      <c r="D4100" s="33">
        <f>Demand!E4098</f>
        <v>31</v>
      </c>
      <c r="E4100" s="33">
        <f>IF(Demand!F4098,1,0)</f>
        <v>0</v>
      </c>
      <c r="F4100" s="33">
        <f>COUNTIFS(c_store,A4100,c_date,B4100,c_hour,C4100)</f>
        <v>0</v>
      </c>
      <c r="G4100" s="33">
        <f>IF(F4100&gt;0,1,0)</f>
        <v>0</v>
      </c>
      <c r="H4100" s="33">
        <f>COUNTIFS(Demand!$A$2:$A$4481,A4100,Demand!$B$2:$B$4481,B4100,Demand!$C$2:$C$4481,C4100)</f>
        <v>1</v>
      </c>
    </row>
    <row r="4101">
      <c r="A4101" s="32" t="str">
        <f>Demand!A4099</f>
        <v>S017</v>
      </c>
      <c r="B4101" s="35">
        <f>Demand!B4099</f>
        <v>46278.0</v>
      </c>
      <c r="C4101" s="33">
        <f>Demand!C4099</f>
        <v>9</v>
      </c>
      <c r="D4101" s="33">
        <f>Demand!E4099</f>
        <v>26</v>
      </c>
      <c r="E4101" s="33">
        <f>IF(Demand!F4099,1,0)</f>
        <v>0</v>
      </c>
      <c r="F4101" s="33">
        <f>COUNTIFS(c_store,A4101,c_date,B4101,c_hour,C4101)</f>
        <v>0</v>
      </c>
      <c r="G4101" s="33">
        <f>IF(F4101&gt;0,1,0)</f>
        <v>0</v>
      </c>
      <c r="H4101" s="33">
        <f>COUNTIFS(Demand!$A$2:$A$4481,A4101,Demand!$B$2:$B$4481,B4101,Demand!$C$2:$C$4481,C4101)</f>
        <v>1</v>
      </c>
    </row>
    <row r="4102">
      <c r="A4102" s="32" t="str">
        <f>Demand!A4100</f>
        <v>S017</v>
      </c>
      <c r="B4102" s="35">
        <f>Demand!B4100</f>
        <v>46278.0</v>
      </c>
      <c r="C4102" s="33">
        <f>Demand!C4100</f>
        <v>10</v>
      </c>
      <c r="D4102" s="33">
        <f>Demand!E4100</f>
        <v>44</v>
      </c>
      <c r="E4102" s="33">
        <f>IF(Demand!F4100,1,0)</f>
        <v>0</v>
      </c>
      <c r="F4102" s="33">
        <f>COUNTIFS(c_store,A4102,c_date,B4102,c_hour,C4102)</f>
        <v>0</v>
      </c>
      <c r="G4102" s="33">
        <f>IF(F4102&gt;0,1,0)</f>
        <v>0</v>
      </c>
      <c r="H4102" s="33">
        <f>COUNTIFS(Demand!$A$2:$A$4481,A4102,Demand!$B$2:$B$4481,B4102,Demand!$C$2:$C$4481,C4102)</f>
        <v>1</v>
      </c>
    </row>
    <row r="4103">
      <c r="A4103" s="32" t="str">
        <f>Demand!A4101</f>
        <v>S017</v>
      </c>
      <c r="B4103" s="35">
        <f>Demand!B4101</f>
        <v>46278.0</v>
      </c>
      <c r="C4103" s="33">
        <f>Demand!C4101</f>
        <v>11</v>
      </c>
      <c r="D4103" s="33">
        <f>Demand!E4101</f>
        <v>35</v>
      </c>
      <c r="E4103" s="33">
        <f>IF(Demand!F4101,1,0)</f>
        <v>0</v>
      </c>
      <c r="F4103" s="33">
        <f>COUNTIFS(c_store,A4103,c_date,B4103,c_hour,C4103)</f>
        <v>1</v>
      </c>
      <c r="G4103" s="33">
        <f>IF(F4103&gt;0,1,0)</f>
        <v>1</v>
      </c>
      <c r="H4103" s="33">
        <f>COUNTIFS(Demand!$A$2:$A$4481,A4103,Demand!$B$2:$B$4481,B4103,Demand!$C$2:$C$4481,C4103)</f>
        <v>1</v>
      </c>
    </row>
    <row r="4104">
      <c r="A4104" s="32" t="str">
        <f>Demand!A4102</f>
        <v>S017</v>
      </c>
      <c r="B4104" s="35">
        <f>Demand!B4102</f>
        <v>46278.0</v>
      </c>
      <c r="C4104" s="33">
        <f>Demand!C4102</f>
        <v>12</v>
      </c>
      <c r="D4104" s="33">
        <f>Demand!E4102</f>
        <v>35</v>
      </c>
      <c r="E4104" s="33">
        <f>IF(Demand!F4102,1,0)</f>
        <v>0</v>
      </c>
      <c r="F4104" s="33">
        <f>COUNTIFS(c_store,A4104,c_date,B4104,c_hour,C4104)</f>
        <v>0</v>
      </c>
      <c r="G4104" s="33">
        <f>IF(F4104&gt;0,1,0)</f>
        <v>0</v>
      </c>
      <c r="H4104" s="33">
        <f>COUNTIFS(Demand!$A$2:$A$4481,A4104,Demand!$B$2:$B$4481,B4104,Demand!$C$2:$C$4481,C4104)</f>
        <v>1</v>
      </c>
    </row>
    <row r="4105">
      <c r="A4105" s="32" t="str">
        <f>Demand!A4103</f>
        <v>S017</v>
      </c>
      <c r="B4105" s="35">
        <f>Demand!B4103</f>
        <v>46278.0</v>
      </c>
      <c r="C4105" s="33">
        <f>Demand!C4103</f>
        <v>13</v>
      </c>
      <c r="D4105" s="33">
        <f>Demand!E4103</f>
        <v>37</v>
      </c>
      <c r="E4105" s="33">
        <f>IF(Demand!F4103,1,0)</f>
        <v>0</v>
      </c>
      <c r="F4105" s="33">
        <f>COUNTIFS(c_store,A4105,c_date,B4105,c_hour,C4105)</f>
        <v>2</v>
      </c>
      <c r="G4105" s="33">
        <f>IF(F4105&gt;0,1,0)</f>
        <v>1</v>
      </c>
      <c r="H4105" s="33">
        <f>COUNTIFS(Demand!$A$2:$A$4481,A4105,Demand!$B$2:$B$4481,B4105,Demand!$C$2:$C$4481,C4105)</f>
        <v>1</v>
      </c>
    </row>
    <row r="4106">
      <c r="A4106" s="32" t="str">
        <f>Demand!A4104</f>
        <v>S017</v>
      </c>
      <c r="B4106" s="35">
        <f>Demand!B4104</f>
        <v>46278.0</v>
      </c>
      <c r="C4106" s="33">
        <f>Demand!C4104</f>
        <v>14</v>
      </c>
      <c r="D4106" s="33">
        <f>Demand!E4104</f>
        <v>23</v>
      </c>
      <c r="E4106" s="33">
        <f>IF(Demand!F4104,1,0)</f>
        <v>0</v>
      </c>
      <c r="F4106" s="33">
        <f>COUNTIFS(c_store,A4106,c_date,B4106,c_hour,C4106)</f>
        <v>0</v>
      </c>
      <c r="G4106" s="33">
        <f>IF(F4106&gt;0,1,0)</f>
        <v>0</v>
      </c>
      <c r="H4106" s="33">
        <f>COUNTIFS(Demand!$A$2:$A$4481,A4106,Demand!$B$2:$B$4481,B4106,Demand!$C$2:$C$4481,C4106)</f>
        <v>1</v>
      </c>
    </row>
    <row r="4107">
      <c r="A4107" s="32" t="str">
        <f>Demand!A4105</f>
        <v>S017</v>
      </c>
      <c r="B4107" s="35">
        <f>Demand!B4105</f>
        <v>46278.0</v>
      </c>
      <c r="C4107" s="33">
        <f>Demand!C4105</f>
        <v>15</v>
      </c>
      <c r="D4107" s="33">
        <f>Demand!E4105</f>
        <v>23</v>
      </c>
      <c r="E4107" s="33">
        <f>IF(Demand!F4105,1,0)</f>
        <v>0</v>
      </c>
      <c r="F4107" s="33">
        <f>COUNTIFS(c_store,A4107,c_date,B4107,c_hour,C4107)</f>
        <v>0</v>
      </c>
      <c r="G4107" s="33">
        <f>IF(F4107&gt;0,1,0)</f>
        <v>0</v>
      </c>
      <c r="H4107" s="33">
        <f>COUNTIFS(Demand!$A$2:$A$4481,A4107,Demand!$B$2:$B$4481,B4107,Demand!$C$2:$C$4481,C4107)</f>
        <v>1</v>
      </c>
    </row>
    <row r="4108">
      <c r="A4108" s="32" t="str">
        <f>Demand!A4106</f>
        <v>S017</v>
      </c>
      <c r="B4108" s="35">
        <f>Demand!B4106</f>
        <v>46278.0</v>
      </c>
      <c r="C4108" s="33">
        <f>Demand!C4106</f>
        <v>16</v>
      </c>
      <c r="D4108" s="33">
        <f>Demand!E4106</f>
        <v>45</v>
      </c>
      <c r="E4108" s="33">
        <f>IF(Demand!F4106,1,0)</f>
        <v>0</v>
      </c>
      <c r="F4108" s="33">
        <f>COUNTIFS(c_store,A4108,c_date,B4108,c_hour,C4108)</f>
        <v>1</v>
      </c>
      <c r="G4108" s="33">
        <f>IF(F4108&gt;0,1,0)</f>
        <v>1</v>
      </c>
      <c r="H4108" s="33">
        <f>COUNTIFS(Demand!$A$2:$A$4481,A4108,Demand!$B$2:$B$4481,B4108,Demand!$C$2:$C$4481,C4108)</f>
        <v>1</v>
      </c>
    </row>
    <row r="4109">
      <c r="A4109" s="32" t="str">
        <f>Demand!A4107</f>
        <v>S017</v>
      </c>
      <c r="B4109" s="35">
        <f>Demand!B4107</f>
        <v>46278.0</v>
      </c>
      <c r="C4109" s="33">
        <f>Demand!C4107</f>
        <v>17</v>
      </c>
      <c r="D4109" s="33">
        <f>Demand!E4107</f>
        <v>42</v>
      </c>
      <c r="E4109" s="33">
        <f>IF(Demand!F4107,1,0)</f>
        <v>0</v>
      </c>
      <c r="F4109" s="33">
        <f>COUNTIFS(c_store,A4109,c_date,B4109,c_hour,C4109)</f>
        <v>0</v>
      </c>
      <c r="G4109" s="33">
        <f>IF(F4109&gt;0,1,0)</f>
        <v>0</v>
      </c>
      <c r="H4109" s="33">
        <f>COUNTIFS(Demand!$A$2:$A$4481,A4109,Demand!$B$2:$B$4481,B4109,Demand!$C$2:$C$4481,C4109)</f>
        <v>1</v>
      </c>
    </row>
    <row r="4110">
      <c r="A4110" s="32" t="str">
        <f>Demand!A4108</f>
        <v>S017</v>
      </c>
      <c r="B4110" s="35">
        <f>Demand!B4108</f>
        <v>46278.0</v>
      </c>
      <c r="C4110" s="33">
        <f>Demand!C4108</f>
        <v>18</v>
      </c>
      <c r="D4110" s="33">
        <f>Demand!E4108</f>
        <v>35</v>
      </c>
      <c r="E4110" s="33">
        <f>IF(Demand!F4108,1,0)</f>
        <v>0</v>
      </c>
      <c r="F4110" s="33">
        <f>COUNTIFS(c_store,A4110,c_date,B4110,c_hour,C4110)</f>
        <v>0</v>
      </c>
      <c r="G4110" s="33">
        <f>IF(F4110&gt;0,1,0)</f>
        <v>0</v>
      </c>
      <c r="H4110" s="33">
        <f>COUNTIFS(Demand!$A$2:$A$4481,A4110,Demand!$B$2:$B$4481,B4110,Demand!$C$2:$C$4481,C4110)</f>
        <v>1</v>
      </c>
    </row>
    <row r="4111">
      <c r="A4111" s="32" t="str">
        <f>Demand!A4109</f>
        <v>S017</v>
      </c>
      <c r="B4111" s="35">
        <f>Demand!B4109</f>
        <v>46278.0</v>
      </c>
      <c r="C4111" s="33">
        <f>Demand!C4109</f>
        <v>19</v>
      </c>
      <c r="D4111" s="33">
        <f>Demand!E4109</f>
        <v>61</v>
      </c>
      <c r="E4111" s="33">
        <f>IF(Demand!F4109,1,0)</f>
        <v>1</v>
      </c>
      <c r="F4111" s="33">
        <f>COUNTIFS(c_store,A4111,c_date,B4111,c_hour,C4111)</f>
        <v>0</v>
      </c>
      <c r="G4111" s="33">
        <f>IF(F4111&gt;0,1,0)</f>
        <v>0</v>
      </c>
      <c r="H4111" s="33">
        <f>COUNTIFS(Demand!$A$2:$A$4481,A4111,Demand!$B$2:$B$4481,B4111,Demand!$C$2:$C$4481,C4111)</f>
        <v>1</v>
      </c>
    </row>
    <row r="4112">
      <c r="A4112" s="32" t="str">
        <f>Demand!A4110</f>
        <v>S017</v>
      </c>
      <c r="B4112" s="35">
        <f>Demand!B4110</f>
        <v>46278.0</v>
      </c>
      <c r="C4112" s="33">
        <f>Demand!C4110</f>
        <v>20</v>
      </c>
      <c r="D4112" s="33">
        <f>Demand!E4110</f>
        <v>53</v>
      </c>
      <c r="E4112" s="33">
        <f>IF(Demand!F4110,1,0)</f>
        <v>1</v>
      </c>
      <c r="F4112" s="33">
        <f>COUNTIFS(c_store,A4112,c_date,B4112,c_hour,C4112)</f>
        <v>0</v>
      </c>
      <c r="G4112" s="33">
        <f>IF(F4112&gt;0,1,0)</f>
        <v>0</v>
      </c>
      <c r="H4112" s="33">
        <f>COUNTIFS(Demand!$A$2:$A$4481,A4112,Demand!$B$2:$B$4481,B4112,Demand!$C$2:$C$4481,C4112)</f>
        <v>1</v>
      </c>
    </row>
    <row r="4113">
      <c r="A4113" s="32" t="str">
        <f>Demand!A4111</f>
        <v>S017</v>
      </c>
      <c r="B4113" s="35">
        <f>Demand!B4111</f>
        <v>46278.0</v>
      </c>
      <c r="C4113" s="33">
        <f>Demand!C4111</f>
        <v>21</v>
      </c>
      <c r="D4113" s="33">
        <f>Demand!E4111</f>
        <v>57</v>
      </c>
      <c r="E4113" s="33">
        <f>IF(Demand!F4111,1,0)</f>
        <v>1</v>
      </c>
      <c r="F4113" s="33">
        <f>COUNTIFS(c_store,A4113,c_date,B4113,c_hour,C4113)</f>
        <v>0</v>
      </c>
      <c r="G4113" s="33">
        <f>IF(F4113&gt;0,1,0)</f>
        <v>0</v>
      </c>
      <c r="H4113" s="33">
        <f>COUNTIFS(Demand!$A$2:$A$4481,A4113,Demand!$B$2:$B$4481,B4113,Demand!$C$2:$C$4481,C4113)</f>
        <v>1</v>
      </c>
    </row>
    <row r="4114">
      <c r="A4114" s="32" t="str">
        <f>Demand!A4112</f>
        <v>S017</v>
      </c>
      <c r="B4114" s="35">
        <f>Demand!B4112</f>
        <v>46278.0</v>
      </c>
      <c r="C4114" s="33">
        <f>Demand!C4112</f>
        <v>22</v>
      </c>
      <c r="D4114" s="33">
        <f>Demand!E4112</f>
        <v>43</v>
      </c>
      <c r="E4114" s="33">
        <f>IF(Demand!F4112,1,0)</f>
        <v>0</v>
      </c>
      <c r="F4114" s="33">
        <f>COUNTIFS(c_store,A4114,c_date,B4114,c_hour,C4114)</f>
        <v>1</v>
      </c>
      <c r="G4114" s="33">
        <f>IF(F4114&gt;0,1,0)</f>
        <v>1</v>
      </c>
      <c r="H4114" s="33">
        <f>COUNTIFS(Demand!$A$2:$A$4481,A4114,Demand!$B$2:$B$4481,B4114,Demand!$C$2:$C$4481,C4114)</f>
        <v>1</v>
      </c>
    </row>
    <row r="4115">
      <c r="A4115" s="32" t="str">
        <f>Demand!A4113</f>
        <v>S017</v>
      </c>
      <c r="B4115" s="35">
        <f>Demand!B4113</f>
        <v>46278.0</v>
      </c>
      <c r="C4115" s="33">
        <f>Demand!C4113</f>
        <v>23</v>
      </c>
      <c r="D4115" s="33">
        <f>Demand!E4113</f>
        <v>48</v>
      </c>
      <c r="E4115" s="33">
        <f>IF(Demand!F4113,1,0)</f>
        <v>0</v>
      </c>
      <c r="F4115" s="33">
        <f>COUNTIFS(c_store,A4115,c_date,B4115,c_hour,C4115)</f>
        <v>0</v>
      </c>
      <c r="G4115" s="33">
        <f>IF(F4115&gt;0,1,0)</f>
        <v>0</v>
      </c>
      <c r="H4115" s="33">
        <f>COUNTIFS(Demand!$A$2:$A$4481,A4115,Demand!$B$2:$B$4481,B4115,Demand!$C$2:$C$4481,C4115)</f>
        <v>1</v>
      </c>
    </row>
    <row r="4116">
      <c r="A4116" s="32" t="str">
        <f>Demand!A4114</f>
        <v>S018</v>
      </c>
      <c r="B4116" s="35">
        <f>Demand!B4114</f>
        <v>46278.0</v>
      </c>
      <c r="C4116" s="33">
        <f>Demand!C4114</f>
        <v>8</v>
      </c>
      <c r="D4116" s="33">
        <f>Demand!E4114</f>
        <v>11</v>
      </c>
      <c r="E4116" s="33">
        <f>IF(Demand!F4114,1,0)</f>
        <v>0</v>
      </c>
      <c r="F4116" s="33">
        <f>COUNTIFS(c_store,A4116,c_date,B4116,c_hour,C4116)</f>
        <v>0</v>
      </c>
      <c r="G4116" s="33">
        <f>IF(F4116&gt;0,1,0)</f>
        <v>0</v>
      </c>
      <c r="H4116" s="33">
        <f>COUNTIFS(Demand!$A$2:$A$4481,A4116,Demand!$B$2:$B$4481,B4116,Demand!$C$2:$C$4481,C4116)</f>
        <v>1</v>
      </c>
    </row>
    <row r="4117">
      <c r="A4117" s="32" t="str">
        <f>Demand!A4115</f>
        <v>S018</v>
      </c>
      <c r="B4117" s="35">
        <f>Demand!B4115</f>
        <v>46278.0</v>
      </c>
      <c r="C4117" s="33">
        <f>Demand!C4115</f>
        <v>9</v>
      </c>
      <c r="D4117" s="33">
        <f>Demand!E4115</f>
        <v>20</v>
      </c>
      <c r="E4117" s="33">
        <f>IF(Demand!F4115,1,0)</f>
        <v>0</v>
      </c>
      <c r="F4117" s="33">
        <f>COUNTIFS(c_store,A4117,c_date,B4117,c_hour,C4117)</f>
        <v>0</v>
      </c>
      <c r="G4117" s="33">
        <f>IF(F4117&gt;0,1,0)</f>
        <v>0</v>
      </c>
      <c r="H4117" s="33">
        <f>COUNTIFS(Demand!$A$2:$A$4481,A4117,Demand!$B$2:$B$4481,B4117,Demand!$C$2:$C$4481,C4117)</f>
        <v>1</v>
      </c>
    </row>
    <row r="4118">
      <c r="A4118" s="32" t="str">
        <f>Demand!A4116</f>
        <v>S018</v>
      </c>
      <c r="B4118" s="35">
        <f>Demand!B4116</f>
        <v>46278.0</v>
      </c>
      <c r="C4118" s="33">
        <f>Demand!C4116</f>
        <v>10</v>
      </c>
      <c r="D4118" s="33">
        <f>Demand!E4116</f>
        <v>14</v>
      </c>
      <c r="E4118" s="33">
        <f>IF(Demand!F4116,1,0)</f>
        <v>0</v>
      </c>
      <c r="F4118" s="33">
        <f>COUNTIFS(c_store,A4118,c_date,B4118,c_hour,C4118)</f>
        <v>0</v>
      </c>
      <c r="G4118" s="33">
        <f>IF(F4118&gt;0,1,0)</f>
        <v>0</v>
      </c>
      <c r="H4118" s="33">
        <f>COUNTIFS(Demand!$A$2:$A$4481,A4118,Demand!$B$2:$B$4481,B4118,Demand!$C$2:$C$4481,C4118)</f>
        <v>1</v>
      </c>
    </row>
    <row r="4119">
      <c r="A4119" s="32" t="str">
        <f>Demand!A4117</f>
        <v>S018</v>
      </c>
      <c r="B4119" s="35">
        <f>Demand!B4117</f>
        <v>46278.0</v>
      </c>
      <c r="C4119" s="33">
        <f>Demand!C4117</f>
        <v>11</v>
      </c>
      <c r="D4119" s="33">
        <f>Demand!E4117</f>
        <v>23</v>
      </c>
      <c r="E4119" s="33">
        <f>IF(Demand!F4117,1,0)</f>
        <v>0</v>
      </c>
      <c r="F4119" s="33">
        <f>COUNTIFS(c_store,A4119,c_date,B4119,c_hour,C4119)</f>
        <v>0</v>
      </c>
      <c r="G4119" s="33">
        <f>IF(F4119&gt;0,1,0)</f>
        <v>0</v>
      </c>
      <c r="H4119" s="33">
        <f>COUNTIFS(Demand!$A$2:$A$4481,A4119,Demand!$B$2:$B$4481,B4119,Demand!$C$2:$C$4481,C4119)</f>
        <v>1</v>
      </c>
    </row>
    <row r="4120">
      <c r="A4120" s="32" t="str">
        <f>Demand!A4118</f>
        <v>S018</v>
      </c>
      <c r="B4120" s="35">
        <f>Demand!B4118</f>
        <v>46278.0</v>
      </c>
      <c r="C4120" s="33">
        <f>Demand!C4118</f>
        <v>12</v>
      </c>
      <c r="D4120" s="33">
        <f>Demand!E4118</f>
        <v>17</v>
      </c>
      <c r="E4120" s="33">
        <f>IF(Demand!F4118,1,0)</f>
        <v>0</v>
      </c>
      <c r="F4120" s="33">
        <f>COUNTIFS(c_store,A4120,c_date,B4120,c_hour,C4120)</f>
        <v>2</v>
      </c>
      <c r="G4120" s="33">
        <f>IF(F4120&gt;0,1,0)</f>
        <v>1</v>
      </c>
      <c r="H4120" s="33">
        <f>COUNTIFS(Demand!$A$2:$A$4481,A4120,Demand!$B$2:$B$4481,B4120,Demand!$C$2:$C$4481,C4120)</f>
        <v>1</v>
      </c>
    </row>
    <row r="4121">
      <c r="A4121" s="32" t="str">
        <f>Demand!A4119</f>
        <v>S018</v>
      </c>
      <c r="B4121" s="35">
        <f>Demand!B4119</f>
        <v>46278.0</v>
      </c>
      <c r="C4121" s="33">
        <f>Demand!C4119</f>
        <v>13</v>
      </c>
      <c r="D4121" s="33">
        <f>Demand!E4119</f>
        <v>18</v>
      </c>
      <c r="E4121" s="33">
        <f>IF(Demand!F4119,1,0)</f>
        <v>0</v>
      </c>
      <c r="F4121" s="33">
        <f>COUNTIFS(c_store,A4121,c_date,B4121,c_hour,C4121)</f>
        <v>0</v>
      </c>
      <c r="G4121" s="33">
        <f>IF(F4121&gt;0,1,0)</f>
        <v>0</v>
      </c>
      <c r="H4121" s="33">
        <f>COUNTIFS(Demand!$A$2:$A$4481,A4121,Demand!$B$2:$B$4481,B4121,Demand!$C$2:$C$4481,C4121)</f>
        <v>1</v>
      </c>
    </row>
    <row r="4122">
      <c r="A4122" s="32" t="str">
        <f>Demand!A4120</f>
        <v>S018</v>
      </c>
      <c r="B4122" s="35">
        <f>Demand!B4120</f>
        <v>46278.0</v>
      </c>
      <c r="C4122" s="33">
        <f>Demand!C4120</f>
        <v>14</v>
      </c>
      <c r="D4122" s="33">
        <f>Demand!E4120</f>
        <v>11</v>
      </c>
      <c r="E4122" s="33">
        <f>IF(Demand!F4120,1,0)</f>
        <v>0</v>
      </c>
      <c r="F4122" s="33">
        <f>COUNTIFS(c_store,A4122,c_date,B4122,c_hour,C4122)</f>
        <v>0</v>
      </c>
      <c r="G4122" s="33">
        <f>IF(F4122&gt;0,1,0)</f>
        <v>0</v>
      </c>
      <c r="H4122" s="33">
        <f>COUNTIFS(Demand!$A$2:$A$4481,A4122,Demand!$B$2:$B$4481,B4122,Demand!$C$2:$C$4481,C4122)</f>
        <v>1</v>
      </c>
    </row>
    <row r="4123">
      <c r="A4123" s="32" t="str">
        <f>Demand!A4121</f>
        <v>S018</v>
      </c>
      <c r="B4123" s="35">
        <f>Demand!B4121</f>
        <v>46278.0</v>
      </c>
      <c r="C4123" s="33">
        <f>Demand!C4121</f>
        <v>15</v>
      </c>
      <c r="D4123" s="33">
        <f>Demand!E4121</f>
        <v>17</v>
      </c>
      <c r="E4123" s="33">
        <f>IF(Demand!F4121,1,0)</f>
        <v>0</v>
      </c>
      <c r="F4123" s="33">
        <f>COUNTIFS(c_store,A4123,c_date,B4123,c_hour,C4123)</f>
        <v>0</v>
      </c>
      <c r="G4123" s="33">
        <f>IF(F4123&gt;0,1,0)</f>
        <v>0</v>
      </c>
      <c r="H4123" s="33">
        <f>COUNTIFS(Demand!$A$2:$A$4481,A4123,Demand!$B$2:$B$4481,B4123,Demand!$C$2:$C$4481,C4123)</f>
        <v>1</v>
      </c>
    </row>
    <row r="4124">
      <c r="A4124" s="32" t="str">
        <f>Demand!A4122</f>
        <v>S018</v>
      </c>
      <c r="B4124" s="35">
        <f>Demand!B4122</f>
        <v>46278.0</v>
      </c>
      <c r="C4124" s="33">
        <f>Demand!C4122</f>
        <v>16</v>
      </c>
      <c r="D4124" s="33">
        <f>Demand!E4122</f>
        <v>23</v>
      </c>
      <c r="E4124" s="33">
        <f>IF(Demand!F4122,1,0)</f>
        <v>0</v>
      </c>
      <c r="F4124" s="33">
        <f>COUNTIFS(c_store,A4124,c_date,B4124,c_hour,C4124)</f>
        <v>1</v>
      </c>
      <c r="G4124" s="33">
        <f>IF(F4124&gt;0,1,0)</f>
        <v>1</v>
      </c>
      <c r="H4124" s="33">
        <f>COUNTIFS(Demand!$A$2:$A$4481,A4124,Demand!$B$2:$B$4481,B4124,Demand!$C$2:$C$4481,C4124)</f>
        <v>1</v>
      </c>
    </row>
    <row r="4125">
      <c r="A4125" s="32" t="str">
        <f>Demand!A4123</f>
        <v>S018</v>
      </c>
      <c r="B4125" s="35">
        <f>Demand!B4123</f>
        <v>46278.0</v>
      </c>
      <c r="C4125" s="33">
        <f>Demand!C4123</f>
        <v>17</v>
      </c>
      <c r="D4125" s="33">
        <f>Demand!E4123</f>
        <v>25</v>
      </c>
      <c r="E4125" s="33">
        <f>IF(Demand!F4123,1,0)</f>
        <v>0</v>
      </c>
      <c r="F4125" s="33">
        <f>COUNTIFS(c_store,A4125,c_date,B4125,c_hour,C4125)</f>
        <v>1</v>
      </c>
      <c r="G4125" s="33">
        <f>IF(F4125&gt;0,1,0)</f>
        <v>1</v>
      </c>
      <c r="H4125" s="33">
        <f>COUNTIFS(Demand!$A$2:$A$4481,A4125,Demand!$B$2:$B$4481,B4125,Demand!$C$2:$C$4481,C4125)</f>
        <v>1</v>
      </c>
    </row>
    <row r="4126">
      <c r="A4126" s="32" t="str">
        <f>Demand!A4124</f>
        <v>S018</v>
      </c>
      <c r="B4126" s="35">
        <f>Demand!B4124</f>
        <v>46278.0</v>
      </c>
      <c r="C4126" s="33">
        <f>Demand!C4124</f>
        <v>18</v>
      </c>
      <c r="D4126" s="33">
        <f>Demand!E4124</f>
        <v>21</v>
      </c>
      <c r="E4126" s="33">
        <f>IF(Demand!F4124,1,0)</f>
        <v>0</v>
      </c>
      <c r="F4126" s="33">
        <f>COUNTIFS(c_store,A4126,c_date,B4126,c_hour,C4126)</f>
        <v>0</v>
      </c>
      <c r="G4126" s="33">
        <f>IF(F4126&gt;0,1,0)</f>
        <v>0</v>
      </c>
      <c r="H4126" s="33">
        <f>COUNTIFS(Demand!$A$2:$A$4481,A4126,Demand!$B$2:$B$4481,B4126,Demand!$C$2:$C$4481,C4126)</f>
        <v>1</v>
      </c>
    </row>
    <row r="4127">
      <c r="A4127" s="32" t="str">
        <f>Demand!A4125</f>
        <v>S018</v>
      </c>
      <c r="B4127" s="35">
        <f>Demand!B4125</f>
        <v>46278.0</v>
      </c>
      <c r="C4127" s="33">
        <f>Demand!C4125</f>
        <v>19</v>
      </c>
      <c r="D4127" s="33">
        <f>Demand!E4125</f>
        <v>40</v>
      </c>
      <c r="E4127" s="33">
        <f>IF(Demand!F4125,1,0)</f>
        <v>1</v>
      </c>
      <c r="F4127" s="33">
        <f>COUNTIFS(c_store,A4127,c_date,B4127,c_hour,C4127)</f>
        <v>0</v>
      </c>
      <c r="G4127" s="33">
        <f>IF(F4127&gt;0,1,0)</f>
        <v>0</v>
      </c>
      <c r="H4127" s="33">
        <f>COUNTIFS(Demand!$A$2:$A$4481,A4127,Demand!$B$2:$B$4481,B4127,Demand!$C$2:$C$4481,C4127)</f>
        <v>1</v>
      </c>
    </row>
    <row r="4128">
      <c r="A4128" s="32" t="str">
        <f>Demand!A4126</f>
        <v>S018</v>
      </c>
      <c r="B4128" s="35">
        <f>Demand!B4126</f>
        <v>46278.0</v>
      </c>
      <c r="C4128" s="33">
        <f>Demand!C4126</f>
        <v>20</v>
      </c>
      <c r="D4128" s="33">
        <f>Demand!E4126</f>
        <v>31</v>
      </c>
      <c r="E4128" s="33">
        <f>IF(Demand!F4126,1,0)</f>
        <v>1</v>
      </c>
      <c r="F4128" s="33">
        <f>COUNTIFS(c_store,A4128,c_date,B4128,c_hour,C4128)</f>
        <v>0</v>
      </c>
      <c r="G4128" s="33">
        <f>IF(F4128&gt;0,1,0)</f>
        <v>0</v>
      </c>
      <c r="H4128" s="33">
        <f>COUNTIFS(Demand!$A$2:$A$4481,A4128,Demand!$B$2:$B$4481,B4128,Demand!$C$2:$C$4481,C4128)</f>
        <v>1</v>
      </c>
    </row>
    <row r="4129">
      <c r="A4129" s="32" t="str">
        <f>Demand!A4127</f>
        <v>S018</v>
      </c>
      <c r="B4129" s="35">
        <f>Demand!B4127</f>
        <v>46278.0</v>
      </c>
      <c r="C4129" s="33">
        <f>Demand!C4127</f>
        <v>21</v>
      </c>
      <c r="D4129" s="33">
        <f>Demand!E4127</f>
        <v>30</v>
      </c>
      <c r="E4129" s="33">
        <f>IF(Demand!F4127,1,0)</f>
        <v>1</v>
      </c>
      <c r="F4129" s="33">
        <f>COUNTIFS(c_store,A4129,c_date,B4129,c_hour,C4129)</f>
        <v>1</v>
      </c>
      <c r="G4129" s="33">
        <f>IF(F4129&gt;0,1,0)</f>
        <v>1</v>
      </c>
      <c r="H4129" s="33">
        <f>COUNTIFS(Demand!$A$2:$A$4481,A4129,Demand!$B$2:$B$4481,B4129,Demand!$C$2:$C$4481,C4129)</f>
        <v>1</v>
      </c>
    </row>
    <row r="4130">
      <c r="A4130" s="32" t="str">
        <f>Demand!A4128</f>
        <v>S018</v>
      </c>
      <c r="B4130" s="35">
        <f>Demand!B4128</f>
        <v>46278.0</v>
      </c>
      <c r="C4130" s="33">
        <f>Demand!C4128</f>
        <v>22</v>
      </c>
      <c r="D4130" s="33">
        <f>Demand!E4128</f>
        <v>25</v>
      </c>
      <c r="E4130" s="33">
        <f>IF(Demand!F4128,1,0)</f>
        <v>0</v>
      </c>
      <c r="F4130" s="33">
        <f>COUNTIFS(c_store,A4130,c_date,B4130,c_hour,C4130)</f>
        <v>0</v>
      </c>
      <c r="G4130" s="33">
        <f>IF(F4130&gt;0,1,0)</f>
        <v>0</v>
      </c>
      <c r="H4130" s="33">
        <f>COUNTIFS(Demand!$A$2:$A$4481,A4130,Demand!$B$2:$B$4481,B4130,Demand!$C$2:$C$4481,C4130)</f>
        <v>1</v>
      </c>
    </row>
    <row r="4131">
      <c r="A4131" s="32" t="str">
        <f>Demand!A4129</f>
        <v>S018</v>
      </c>
      <c r="B4131" s="35">
        <f>Demand!B4129</f>
        <v>46278.0</v>
      </c>
      <c r="C4131" s="33">
        <f>Demand!C4129</f>
        <v>23</v>
      </c>
      <c r="D4131" s="33">
        <f>Demand!E4129</f>
        <v>24</v>
      </c>
      <c r="E4131" s="33">
        <f>IF(Demand!F4129,1,0)</f>
        <v>0</v>
      </c>
      <c r="F4131" s="33">
        <f>COUNTIFS(c_store,A4131,c_date,B4131,c_hour,C4131)</f>
        <v>0</v>
      </c>
      <c r="G4131" s="33">
        <f>IF(F4131&gt;0,1,0)</f>
        <v>0</v>
      </c>
      <c r="H4131" s="33">
        <f>COUNTIFS(Demand!$A$2:$A$4481,A4131,Demand!$B$2:$B$4481,B4131,Demand!$C$2:$C$4481,C4131)</f>
        <v>1</v>
      </c>
    </row>
    <row r="4132">
      <c r="A4132" s="32" t="str">
        <f>Demand!A4130</f>
        <v>S019</v>
      </c>
      <c r="B4132" s="35">
        <f>Demand!B4130</f>
        <v>46278.0</v>
      </c>
      <c r="C4132" s="33">
        <f>Demand!C4130</f>
        <v>8</v>
      </c>
      <c r="D4132" s="33">
        <f>Demand!E4130</f>
        <v>18</v>
      </c>
      <c r="E4132" s="33">
        <f>IF(Demand!F4130,1,0)</f>
        <v>0</v>
      </c>
      <c r="F4132" s="33">
        <f>COUNTIFS(c_store,A4132,c_date,B4132,c_hour,C4132)</f>
        <v>0</v>
      </c>
      <c r="G4132" s="33">
        <f>IF(F4132&gt;0,1,0)</f>
        <v>0</v>
      </c>
      <c r="H4132" s="33">
        <f>COUNTIFS(Demand!$A$2:$A$4481,A4132,Demand!$B$2:$B$4481,B4132,Demand!$C$2:$C$4481,C4132)</f>
        <v>1</v>
      </c>
    </row>
    <row r="4133">
      <c r="A4133" s="32" t="str">
        <f>Demand!A4131</f>
        <v>S019</v>
      </c>
      <c r="B4133" s="35">
        <f>Demand!B4131</f>
        <v>46278.0</v>
      </c>
      <c r="C4133" s="33">
        <f>Demand!C4131</f>
        <v>9</v>
      </c>
      <c r="D4133" s="33">
        <f>Demand!E4131</f>
        <v>11</v>
      </c>
      <c r="E4133" s="33">
        <f>IF(Demand!F4131,1,0)</f>
        <v>0</v>
      </c>
      <c r="F4133" s="33">
        <f>COUNTIFS(c_store,A4133,c_date,B4133,c_hour,C4133)</f>
        <v>0</v>
      </c>
      <c r="G4133" s="33">
        <f>IF(F4133&gt;0,1,0)</f>
        <v>0</v>
      </c>
      <c r="H4133" s="33">
        <f>COUNTIFS(Demand!$A$2:$A$4481,A4133,Demand!$B$2:$B$4481,B4133,Demand!$C$2:$C$4481,C4133)</f>
        <v>1</v>
      </c>
    </row>
    <row r="4134">
      <c r="A4134" s="32" t="str">
        <f>Demand!A4132</f>
        <v>S019</v>
      </c>
      <c r="B4134" s="35">
        <f>Demand!B4132</f>
        <v>46278.0</v>
      </c>
      <c r="C4134" s="33">
        <f>Demand!C4132</f>
        <v>10</v>
      </c>
      <c r="D4134" s="33">
        <f>Demand!E4132</f>
        <v>19</v>
      </c>
      <c r="E4134" s="33">
        <f>IF(Demand!F4132,1,0)</f>
        <v>0</v>
      </c>
      <c r="F4134" s="33">
        <f>COUNTIFS(c_store,A4134,c_date,B4134,c_hour,C4134)</f>
        <v>1</v>
      </c>
      <c r="G4134" s="33">
        <f>IF(F4134&gt;0,1,0)</f>
        <v>1</v>
      </c>
      <c r="H4134" s="33">
        <f>COUNTIFS(Demand!$A$2:$A$4481,A4134,Demand!$B$2:$B$4481,B4134,Demand!$C$2:$C$4481,C4134)</f>
        <v>1</v>
      </c>
    </row>
    <row r="4135">
      <c r="A4135" s="32" t="str">
        <f>Demand!A4133</f>
        <v>S019</v>
      </c>
      <c r="B4135" s="35">
        <f>Demand!B4133</f>
        <v>46278.0</v>
      </c>
      <c r="C4135" s="33">
        <f>Demand!C4133</f>
        <v>11</v>
      </c>
      <c r="D4135" s="33">
        <f>Demand!E4133</f>
        <v>18</v>
      </c>
      <c r="E4135" s="33">
        <f>IF(Demand!F4133,1,0)</f>
        <v>0</v>
      </c>
      <c r="F4135" s="33">
        <f>COUNTIFS(c_store,A4135,c_date,B4135,c_hour,C4135)</f>
        <v>0</v>
      </c>
      <c r="G4135" s="33">
        <f>IF(F4135&gt;0,1,0)</f>
        <v>0</v>
      </c>
      <c r="H4135" s="33">
        <f>COUNTIFS(Demand!$A$2:$A$4481,A4135,Demand!$B$2:$B$4481,B4135,Demand!$C$2:$C$4481,C4135)</f>
        <v>1</v>
      </c>
    </row>
    <row r="4136">
      <c r="A4136" s="32" t="str">
        <f>Demand!A4134</f>
        <v>S019</v>
      </c>
      <c r="B4136" s="35">
        <f>Demand!B4134</f>
        <v>46278.0</v>
      </c>
      <c r="C4136" s="33">
        <f>Demand!C4134</f>
        <v>12</v>
      </c>
      <c r="D4136" s="33">
        <f>Demand!E4134</f>
        <v>18</v>
      </c>
      <c r="E4136" s="33">
        <f>IF(Demand!F4134,1,0)</f>
        <v>0</v>
      </c>
      <c r="F4136" s="33">
        <f>COUNTIFS(c_store,A4136,c_date,B4136,c_hour,C4136)</f>
        <v>0</v>
      </c>
      <c r="G4136" s="33">
        <f>IF(F4136&gt;0,1,0)</f>
        <v>0</v>
      </c>
      <c r="H4136" s="33">
        <f>COUNTIFS(Demand!$A$2:$A$4481,A4136,Demand!$B$2:$B$4481,B4136,Demand!$C$2:$C$4481,C4136)</f>
        <v>1</v>
      </c>
    </row>
    <row r="4137">
      <c r="A4137" s="32" t="str">
        <f>Demand!A4135</f>
        <v>S019</v>
      </c>
      <c r="B4137" s="35">
        <f>Demand!B4135</f>
        <v>46278.0</v>
      </c>
      <c r="C4137" s="33">
        <f>Demand!C4135</f>
        <v>13</v>
      </c>
      <c r="D4137" s="33">
        <f>Demand!E4135</f>
        <v>21</v>
      </c>
      <c r="E4137" s="33">
        <f>IF(Demand!F4135,1,0)</f>
        <v>0</v>
      </c>
      <c r="F4137" s="33">
        <f>COUNTIFS(c_store,A4137,c_date,B4137,c_hour,C4137)</f>
        <v>0</v>
      </c>
      <c r="G4137" s="33">
        <f>IF(F4137&gt;0,1,0)</f>
        <v>0</v>
      </c>
      <c r="H4137" s="33">
        <f>COUNTIFS(Demand!$A$2:$A$4481,A4137,Demand!$B$2:$B$4481,B4137,Demand!$C$2:$C$4481,C4137)</f>
        <v>1</v>
      </c>
    </row>
    <row r="4138">
      <c r="A4138" s="32" t="str">
        <f>Demand!A4136</f>
        <v>S019</v>
      </c>
      <c r="B4138" s="35">
        <f>Demand!B4136</f>
        <v>46278.0</v>
      </c>
      <c r="C4138" s="33">
        <f>Demand!C4136</f>
        <v>14</v>
      </c>
      <c r="D4138" s="33">
        <f>Demand!E4136</f>
        <v>16</v>
      </c>
      <c r="E4138" s="33">
        <f>IF(Demand!F4136,1,0)</f>
        <v>0</v>
      </c>
      <c r="F4138" s="33">
        <f>COUNTIFS(c_store,A4138,c_date,B4138,c_hour,C4138)</f>
        <v>0</v>
      </c>
      <c r="G4138" s="33">
        <f>IF(F4138&gt;0,1,0)</f>
        <v>0</v>
      </c>
      <c r="H4138" s="33">
        <f>COUNTIFS(Demand!$A$2:$A$4481,A4138,Demand!$B$2:$B$4481,B4138,Demand!$C$2:$C$4481,C4138)</f>
        <v>1</v>
      </c>
    </row>
    <row r="4139">
      <c r="A4139" s="32" t="str">
        <f>Demand!A4137</f>
        <v>S019</v>
      </c>
      <c r="B4139" s="35">
        <f>Demand!B4137</f>
        <v>46278.0</v>
      </c>
      <c r="C4139" s="33">
        <f>Demand!C4137</f>
        <v>15</v>
      </c>
      <c r="D4139" s="33">
        <f>Demand!E4137</f>
        <v>18</v>
      </c>
      <c r="E4139" s="33">
        <f>IF(Demand!F4137,1,0)</f>
        <v>0</v>
      </c>
      <c r="F4139" s="33">
        <f>COUNTIFS(c_store,A4139,c_date,B4139,c_hour,C4139)</f>
        <v>0</v>
      </c>
      <c r="G4139" s="33">
        <f>IF(F4139&gt;0,1,0)</f>
        <v>0</v>
      </c>
      <c r="H4139" s="33">
        <f>COUNTIFS(Demand!$A$2:$A$4481,A4139,Demand!$B$2:$B$4481,B4139,Demand!$C$2:$C$4481,C4139)</f>
        <v>1</v>
      </c>
    </row>
    <row r="4140">
      <c r="A4140" s="32" t="str">
        <f>Demand!A4138</f>
        <v>S019</v>
      </c>
      <c r="B4140" s="35">
        <f>Demand!B4138</f>
        <v>46278.0</v>
      </c>
      <c r="C4140" s="33">
        <f>Demand!C4138</f>
        <v>16</v>
      </c>
      <c r="D4140" s="33">
        <f>Demand!E4138</f>
        <v>19</v>
      </c>
      <c r="E4140" s="33">
        <f>IF(Demand!F4138,1,0)</f>
        <v>0</v>
      </c>
      <c r="F4140" s="33">
        <f>COUNTIFS(c_store,A4140,c_date,B4140,c_hour,C4140)</f>
        <v>1</v>
      </c>
      <c r="G4140" s="33">
        <f>IF(F4140&gt;0,1,0)</f>
        <v>1</v>
      </c>
      <c r="H4140" s="33">
        <f>COUNTIFS(Demand!$A$2:$A$4481,A4140,Demand!$B$2:$B$4481,B4140,Demand!$C$2:$C$4481,C4140)</f>
        <v>1</v>
      </c>
    </row>
    <row r="4141">
      <c r="A4141" s="32" t="str">
        <f>Demand!A4139</f>
        <v>S019</v>
      </c>
      <c r="B4141" s="35">
        <f>Demand!B4139</f>
        <v>46278.0</v>
      </c>
      <c r="C4141" s="33">
        <f>Demand!C4139</f>
        <v>17</v>
      </c>
      <c r="D4141" s="33">
        <f>Demand!E4139</f>
        <v>20</v>
      </c>
      <c r="E4141" s="33">
        <f>IF(Demand!F4139,1,0)</f>
        <v>0</v>
      </c>
      <c r="F4141" s="33">
        <f>COUNTIFS(c_store,A4141,c_date,B4141,c_hour,C4141)</f>
        <v>1</v>
      </c>
      <c r="G4141" s="33">
        <f>IF(F4141&gt;0,1,0)</f>
        <v>1</v>
      </c>
      <c r="H4141" s="33">
        <f>COUNTIFS(Demand!$A$2:$A$4481,A4141,Demand!$B$2:$B$4481,B4141,Demand!$C$2:$C$4481,C4141)</f>
        <v>1</v>
      </c>
    </row>
    <row r="4142">
      <c r="A4142" s="32" t="str">
        <f>Demand!A4140</f>
        <v>S019</v>
      </c>
      <c r="B4142" s="35">
        <f>Demand!B4140</f>
        <v>46278.0</v>
      </c>
      <c r="C4142" s="33">
        <f>Demand!C4140</f>
        <v>18</v>
      </c>
      <c r="D4142" s="33">
        <f>Demand!E4140</f>
        <v>28</v>
      </c>
      <c r="E4142" s="33">
        <f>IF(Demand!F4140,1,0)</f>
        <v>0</v>
      </c>
      <c r="F4142" s="33">
        <f>COUNTIFS(c_store,A4142,c_date,B4142,c_hour,C4142)</f>
        <v>0</v>
      </c>
      <c r="G4142" s="33">
        <f>IF(F4142&gt;0,1,0)</f>
        <v>0</v>
      </c>
      <c r="H4142" s="33">
        <f>COUNTIFS(Demand!$A$2:$A$4481,A4142,Demand!$B$2:$B$4481,B4142,Demand!$C$2:$C$4481,C4142)</f>
        <v>1</v>
      </c>
    </row>
    <row r="4143">
      <c r="A4143" s="32" t="str">
        <f>Demand!A4141</f>
        <v>S019</v>
      </c>
      <c r="B4143" s="35">
        <f>Demand!B4141</f>
        <v>46278.0</v>
      </c>
      <c r="C4143" s="33">
        <f>Demand!C4141</f>
        <v>19</v>
      </c>
      <c r="D4143" s="33">
        <f>Demand!E4141</f>
        <v>36</v>
      </c>
      <c r="E4143" s="33">
        <f>IF(Demand!F4141,1,0)</f>
        <v>1</v>
      </c>
      <c r="F4143" s="33">
        <f>COUNTIFS(c_store,A4143,c_date,B4143,c_hour,C4143)</f>
        <v>0</v>
      </c>
      <c r="G4143" s="33">
        <f>IF(F4143&gt;0,1,0)</f>
        <v>0</v>
      </c>
      <c r="H4143" s="33">
        <f>COUNTIFS(Demand!$A$2:$A$4481,A4143,Demand!$B$2:$B$4481,B4143,Demand!$C$2:$C$4481,C4143)</f>
        <v>1</v>
      </c>
    </row>
    <row r="4144">
      <c r="A4144" s="32" t="str">
        <f>Demand!A4142</f>
        <v>S019</v>
      </c>
      <c r="B4144" s="35">
        <f>Demand!B4142</f>
        <v>46278.0</v>
      </c>
      <c r="C4144" s="33">
        <f>Demand!C4142</f>
        <v>20</v>
      </c>
      <c r="D4144" s="33">
        <f>Demand!E4142</f>
        <v>40</v>
      </c>
      <c r="E4144" s="33">
        <f>IF(Demand!F4142,1,0)</f>
        <v>1</v>
      </c>
      <c r="F4144" s="33">
        <f>COUNTIFS(c_store,A4144,c_date,B4144,c_hour,C4144)</f>
        <v>0</v>
      </c>
      <c r="G4144" s="33">
        <f>IF(F4144&gt;0,1,0)</f>
        <v>0</v>
      </c>
      <c r="H4144" s="33">
        <f>COUNTIFS(Demand!$A$2:$A$4481,A4144,Demand!$B$2:$B$4481,B4144,Demand!$C$2:$C$4481,C4144)</f>
        <v>1</v>
      </c>
    </row>
    <row r="4145">
      <c r="A4145" s="32" t="str">
        <f>Demand!A4143</f>
        <v>S019</v>
      </c>
      <c r="B4145" s="35">
        <f>Demand!B4143</f>
        <v>46278.0</v>
      </c>
      <c r="C4145" s="33">
        <f>Demand!C4143</f>
        <v>21</v>
      </c>
      <c r="D4145" s="33">
        <f>Demand!E4143</f>
        <v>31</v>
      </c>
      <c r="E4145" s="33">
        <f>IF(Demand!F4143,1,0)</f>
        <v>1</v>
      </c>
      <c r="F4145" s="33">
        <f>COUNTIFS(c_store,A4145,c_date,B4145,c_hour,C4145)</f>
        <v>0</v>
      </c>
      <c r="G4145" s="33">
        <f>IF(F4145&gt;0,1,0)</f>
        <v>0</v>
      </c>
      <c r="H4145" s="33">
        <f>COUNTIFS(Demand!$A$2:$A$4481,A4145,Demand!$B$2:$B$4481,B4145,Demand!$C$2:$C$4481,C4145)</f>
        <v>1</v>
      </c>
    </row>
    <row r="4146">
      <c r="A4146" s="32" t="str">
        <f>Demand!A4144</f>
        <v>S019</v>
      </c>
      <c r="B4146" s="35">
        <f>Demand!B4144</f>
        <v>46278.0</v>
      </c>
      <c r="C4146" s="33">
        <f>Demand!C4144</f>
        <v>22</v>
      </c>
      <c r="D4146" s="33">
        <f>Demand!E4144</f>
        <v>16</v>
      </c>
      <c r="E4146" s="33">
        <f>IF(Demand!F4144,1,0)</f>
        <v>0</v>
      </c>
      <c r="F4146" s="33">
        <f>COUNTIFS(c_store,A4146,c_date,B4146,c_hour,C4146)</f>
        <v>0</v>
      </c>
      <c r="G4146" s="33">
        <f>IF(F4146&gt;0,1,0)</f>
        <v>0</v>
      </c>
      <c r="H4146" s="33">
        <f>COUNTIFS(Demand!$A$2:$A$4481,A4146,Demand!$B$2:$B$4481,B4146,Demand!$C$2:$C$4481,C4146)</f>
        <v>1</v>
      </c>
    </row>
    <row r="4147">
      <c r="A4147" s="32" t="str">
        <f>Demand!A4145</f>
        <v>S019</v>
      </c>
      <c r="B4147" s="35">
        <f>Demand!B4145</f>
        <v>46278.0</v>
      </c>
      <c r="C4147" s="33">
        <f>Demand!C4145</f>
        <v>23</v>
      </c>
      <c r="D4147" s="33">
        <f>Demand!E4145</f>
        <v>26</v>
      </c>
      <c r="E4147" s="33">
        <f>IF(Demand!F4145,1,0)</f>
        <v>0</v>
      </c>
      <c r="F4147" s="33">
        <f>COUNTIFS(c_store,A4147,c_date,B4147,c_hour,C4147)</f>
        <v>0</v>
      </c>
      <c r="G4147" s="33">
        <f>IF(F4147&gt;0,1,0)</f>
        <v>0</v>
      </c>
      <c r="H4147" s="33">
        <f>COUNTIFS(Demand!$A$2:$A$4481,A4147,Demand!$B$2:$B$4481,B4147,Demand!$C$2:$C$4481,C4147)</f>
        <v>1</v>
      </c>
    </row>
    <row r="4148">
      <c r="A4148" s="32" t="str">
        <f>Demand!A4146</f>
        <v>S020</v>
      </c>
      <c r="B4148" s="35">
        <f>Demand!B4146</f>
        <v>46278.0</v>
      </c>
      <c r="C4148" s="33">
        <f>Demand!C4146</f>
        <v>8</v>
      </c>
      <c r="D4148" s="33">
        <f>Demand!E4146</f>
        <v>10</v>
      </c>
      <c r="E4148" s="33">
        <f>IF(Demand!F4146,1,0)</f>
        <v>0</v>
      </c>
      <c r="F4148" s="33">
        <f>COUNTIFS(c_store,A4148,c_date,B4148,c_hour,C4148)</f>
        <v>0</v>
      </c>
      <c r="G4148" s="33">
        <f>IF(F4148&gt;0,1,0)</f>
        <v>0</v>
      </c>
      <c r="H4148" s="33">
        <f>COUNTIFS(Demand!$A$2:$A$4481,A4148,Demand!$B$2:$B$4481,B4148,Demand!$C$2:$C$4481,C4148)</f>
        <v>1</v>
      </c>
    </row>
    <row r="4149">
      <c r="A4149" s="32" t="str">
        <f>Demand!A4147</f>
        <v>S020</v>
      </c>
      <c r="B4149" s="35">
        <f>Demand!B4147</f>
        <v>46278.0</v>
      </c>
      <c r="C4149" s="33">
        <f>Demand!C4147</f>
        <v>9</v>
      </c>
      <c r="D4149" s="33">
        <f>Demand!E4147</f>
        <v>11</v>
      </c>
      <c r="E4149" s="33">
        <f>IF(Demand!F4147,1,0)</f>
        <v>0</v>
      </c>
      <c r="F4149" s="33">
        <f>COUNTIFS(c_store,A4149,c_date,B4149,c_hour,C4149)</f>
        <v>0</v>
      </c>
      <c r="G4149" s="33">
        <f>IF(F4149&gt;0,1,0)</f>
        <v>0</v>
      </c>
      <c r="H4149" s="33">
        <f>COUNTIFS(Demand!$A$2:$A$4481,A4149,Demand!$B$2:$B$4481,B4149,Demand!$C$2:$C$4481,C4149)</f>
        <v>1</v>
      </c>
    </row>
    <row r="4150">
      <c r="A4150" s="32" t="str">
        <f>Demand!A4148</f>
        <v>S020</v>
      </c>
      <c r="B4150" s="35">
        <f>Demand!B4148</f>
        <v>46278.0</v>
      </c>
      <c r="C4150" s="33">
        <f>Demand!C4148</f>
        <v>10</v>
      </c>
      <c r="D4150" s="33">
        <f>Demand!E4148</f>
        <v>12</v>
      </c>
      <c r="E4150" s="33">
        <f>IF(Demand!F4148,1,0)</f>
        <v>0</v>
      </c>
      <c r="F4150" s="33">
        <f>COUNTIFS(c_store,A4150,c_date,B4150,c_hour,C4150)</f>
        <v>0</v>
      </c>
      <c r="G4150" s="33">
        <f>IF(F4150&gt;0,1,0)</f>
        <v>0</v>
      </c>
      <c r="H4150" s="33">
        <f>COUNTIFS(Demand!$A$2:$A$4481,A4150,Demand!$B$2:$B$4481,B4150,Demand!$C$2:$C$4481,C4150)</f>
        <v>1</v>
      </c>
    </row>
    <row r="4151">
      <c r="A4151" s="32" t="str">
        <f>Demand!A4149</f>
        <v>S020</v>
      </c>
      <c r="B4151" s="35">
        <f>Demand!B4149</f>
        <v>46278.0</v>
      </c>
      <c r="C4151" s="33">
        <f>Demand!C4149</f>
        <v>11</v>
      </c>
      <c r="D4151" s="33">
        <f>Demand!E4149</f>
        <v>19</v>
      </c>
      <c r="E4151" s="33">
        <f>IF(Demand!F4149,1,0)</f>
        <v>0</v>
      </c>
      <c r="F4151" s="33">
        <f>COUNTIFS(c_store,A4151,c_date,B4151,c_hour,C4151)</f>
        <v>0</v>
      </c>
      <c r="G4151" s="33">
        <f>IF(F4151&gt;0,1,0)</f>
        <v>0</v>
      </c>
      <c r="H4151" s="33">
        <f>COUNTIFS(Demand!$A$2:$A$4481,A4151,Demand!$B$2:$B$4481,B4151,Demand!$C$2:$C$4481,C4151)</f>
        <v>1</v>
      </c>
    </row>
    <row r="4152">
      <c r="A4152" s="32" t="str">
        <f>Demand!A4150</f>
        <v>S020</v>
      </c>
      <c r="B4152" s="35">
        <f>Demand!B4150</f>
        <v>46278.0</v>
      </c>
      <c r="C4152" s="33">
        <f>Demand!C4150</f>
        <v>12</v>
      </c>
      <c r="D4152" s="33">
        <f>Demand!E4150</f>
        <v>20</v>
      </c>
      <c r="E4152" s="33">
        <f>IF(Demand!F4150,1,0)</f>
        <v>0</v>
      </c>
      <c r="F4152" s="33">
        <f>COUNTIFS(c_store,A4152,c_date,B4152,c_hour,C4152)</f>
        <v>1</v>
      </c>
      <c r="G4152" s="33">
        <f>IF(F4152&gt;0,1,0)</f>
        <v>1</v>
      </c>
      <c r="H4152" s="33">
        <f>COUNTIFS(Demand!$A$2:$A$4481,A4152,Demand!$B$2:$B$4481,B4152,Demand!$C$2:$C$4481,C4152)</f>
        <v>1</v>
      </c>
    </row>
    <row r="4153">
      <c r="A4153" s="32" t="str">
        <f>Demand!A4151</f>
        <v>S020</v>
      </c>
      <c r="B4153" s="35">
        <f>Demand!B4151</f>
        <v>46278.0</v>
      </c>
      <c r="C4153" s="33">
        <f>Demand!C4151</f>
        <v>13</v>
      </c>
      <c r="D4153" s="33">
        <f>Demand!E4151</f>
        <v>14</v>
      </c>
      <c r="E4153" s="33">
        <f>IF(Demand!F4151,1,0)</f>
        <v>0</v>
      </c>
      <c r="F4153" s="33">
        <f>COUNTIFS(c_store,A4153,c_date,B4153,c_hour,C4153)</f>
        <v>0</v>
      </c>
      <c r="G4153" s="33">
        <f>IF(F4153&gt;0,1,0)</f>
        <v>0</v>
      </c>
      <c r="H4153" s="33">
        <f>COUNTIFS(Demand!$A$2:$A$4481,A4153,Demand!$B$2:$B$4481,B4153,Demand!$C$2:$C$4481,C4153)</f>
        <v>1</v>
      </c>
    </row>
    <row r="4154">
      <c r="A4154" s="32" t="str">
        <f>Demand!A4152</f>
        <v>S020</v>
      </c>
      <c r="B4154" s="35">
        <f>Demand!B4152</f>
        <v>46278.0</v>
      </c>
      <c r="C4154" s="33">
        <f>Demand!C4152</f>
        <v>14</v>
      </c>
      <c r="D4154" s="33">
        <f>Demand!E4152</f>
        <v>17</v>
      </c>
      <c r="E4154" s="33">
        <f>IF(Demand!F4152,1,0)</f>
        <v>0</v>
      </c>
      <c r="F4154" s="33">
        <f>COUNTIFS(c_store,A4154,c_date,B4154,c_hour,C4154)</f>
        <v>0</v>
      </c>
      <c r="G4154" s="33">
        <f>IF(F4154&gt;0,1,0)</f>
        <v>0</v>
      </c>
      <c r="H4154" s="33">
        <f>COUNTIFS(Demand!$A$2:$A$4481,A4154,Demand!$B$2:$B$4481,B4154,Demand!$C$2:$C$4481,C4154)</f>
        <v>1</v>
      </c>
    </row>
    <row r="4155">
      <c r="A4155" s="32" t="str">
        <f>Demand!A4153</f>
        <v>S020</v>
      </c>
      <c r="B4155" s="35">
        <f>Demand!B4153</f>
        <v>46278.0</v>
      </c>
      <c r="C4155" s="33">
        <f>Demand!C4153</f>
        <v>15</v>
      </c>
      <c r="D4155" s="33">
        <f>Demand!E4153</f>
        <v>11</v>
      </c>
      <c r="E4155" s="33">
        <f>IF(Demand!F4153,1,0)</f>
        <v>0</v>
      </c>
      <c r="F4155" s="33">
        <f>COUNTIFS(c_store,A4155,c_date,B4155,c_hour,C4155)</f>
        <v>0</v>
      </c>
      <c r="G4155" s="33">
        <f>IF(F4155&gt;0,1,0)</f>
        <v>0</v>
      </c>
      <c r="H4155" s="33">
        <f>COUNTIFS(Demand!$A$2:$A$4481,A4155,Demand!$B$2:$B$4481,B4155,Demand!$C$2:$C$4481,C4155)</f>
        <v>1</v>
      </c>
    </row>
    <row r="4156">
      <c r="A4156" s="32" t="str">
        <f>Demand!A4154</f>
        <v>S020</v>
      </c>
      <c r="B4156" s="35">
        <f>Demand!B4154</f>
        <v>46278.0</v>
      </c>
      <c r="C4156" s="33">
        <f>Demand!C4154</f>
        <v>16</v>
      </c>
      <c r="D4156" s="33">
        <f>Demand!E4154</f>
        <v>16</v>
      </c>
      <c r="E4156" s="33">
        <f>IF(Demand!F4154,1,0)</f>
        <v>0</v>
      </c>
      <c r="F4156" s="33">
        <f>COUNTIFS(c_store,A4156,c_date,B4156,c_hour,C4156)</f>
        <v>0</v>
      </c>
      <c r="G4156" s="33">
        <f>IF(F4156&gt;0,1,0)</f>
        <v>0</v>
      </c>
      <c r="H4156" s="33">
        <f>COUNTIFS(Demand!$A$2:$A$4481,A4156,Demand!$B$2:$B$4481,B4156,Demand!$C$2:$C$4481,C4156)</f>
        <v>1</v>
      </c>
    </row>
    <row r="4157">
      <c r="A4157" s="32" t="str">
        <f>Demand!A4155</f>
        <v>S020</v>
      </c>
      <c r="B4157" s="35">
        <f>Demand!B4155</f>
        <v>46278.0</v>
      </c>
      <c r="C4157" s="33">
        <f>Demand!C4155</f>
        <v>17</v>
      </c>
      <c r="D4157" s="33">
        <f>Demand!E4155</f>
        <v>21</v>
      </c>
      <c r="E4157" s="33">
        <f>IF(Demand!F4155,1,0)</f>
        <v>0</v>
      </c>
      <c r="F4157" s="33">
        <f>COUNTIFS(c_store,A4157,c_date,B4157,c_hour,C4157)</f>
        <v>1</v>
      </c>
      <c r="G4157" s="33">
        <f>IF(F4157&gt;0,1,0)</f>
        <v>1</v>
      </c>
      <c r="H4157" s="33">
        <f>COUNTIFS(Demand!$A$2:$A$4481,A4157,Demand!$B$2:$B$4481,B4157,Demand!$C$2:$C$4481,C4157)</f>
        <v>1</v>
      </c>
    </row>
    <row r="4158">
      <c r="A4158" s="32" t="str">
        <f>Demand!A4156</f>
        <v>S020</v>
      </c>
      <c r="B4158" s="35">
        <f>Demand!B4156</f>
        <v>46278.0</v>
      </c>
      <c r="C4158" s="33">
        <f>Demand!C4156</f>
        <v>18</v>
      </c>
      <c r="D4158" s="33">
        <f>Demand!E4156</f>
        <v>12</v>
      </c>
      <c r="E4158" s="33">
        <f>IF(Demand!F4156,1,0)</f>
        <v>0</v>
      </c>
      <c r="F4158" s="33">
        <f>COUNTIFS(c_store,A4158,c_date,B4158,c_hour,C4158)</f>
        <v>0</v>
      </c>
      <c r="G4158" s="33">
        <f>IF(F4158&gt;0,1,0)</f>
        <v>0</v>
      </c>
      <c r="H4158" s="33">
        <f>COUNTIFS(Demand!$A$2:$A$4481,A4158,Demand!$B$2:$B$4481,B4158,Demand!$C$2:$C$4481,C4158)</f>
        <v>1</v>
      </c>
    </row>
    <row r="4159">
      <c r="A4159" s="32" t="str">
        <f>Demand!A4157</f>
        <v>S020</v>
      </c>
      <c r="B4159" s="35">
        <f>Demand!B4157</f>
        <v>46278.0</v>
      </c>
      <c r="C4159" s="33">
        <f>Demand!C4157</f>
        <v>19</v>
      </c>
      <c r="D4159" s="33">
        <f>Demand!E4157</f>
        <v>23</v>
      </c>
      <c r="E4159" s="33">
        <f>IF(Demand!F4157,1,0)</f>
        <v>1</v>
      </c>
      <c r="F4159" s="33">
        <f>COUNTIFS(c_store,A4159,c_date,B4159,c_hour,C4159)</f>
        <v>1</v>
      </c>
      <c r="G4159" s="33">
        <f>IF(F4159&gt;0,1,0)</f>
        <v>1</v>
      </c>
      <c r="H4159" s="33">
        <f>COUNTIFS(Demand!$A$2:$A$4481,A4159,Demand!$B$2:$B$4481,B4159,Demand!$C$2:$C$4481,C4159)</f>
        <v>1</v>
      </c>
    </row>
    <row r="4160">
      <c r="A4160" s="32" t="str">
        <f>Demand!A4158</f>
        <v>S020</v>
      </c>
      <c r="B4160" s="35">
        <f>Demand!B4158</f>
        <v>46278.0</v>
      </c>
      <c r="C4160" s="33">
        <f>Demand!C4158</f>
        <v>20</v>
      </c>
      <c r="D4160" s="33">
        <f>Demand!E4158</f>
        <v>37</v>
      </c>
      <c r="E4160" s="33">
        <f>IF(Demand!F4158,1,0)</f>
        <v>1</v>
      </c>
      <c r="F4160" s="33">
        <f>COUNTIFS(c_store,A4160,c_date,B4160,c_hour,C4160)</f>
        <v>0</v>
      </c>
      <c r="G4160" s="33">
        <f>IF(F4160&gt;0,1,0)</f>
        <v>0</v>
      </c>
      <c r="H4160" s="33">
        <f>COUNTIFS(Demand!$A$2:$A$4481,A4160,Demand!$B$2:$B$4481,B4160,Demand!$C$2:$C$4481,C4160)</f>
        <v>1</v>
      </c>
    </row>
    <row r="4161">
      <c r="A4161" s="32" t="str">
        <f>Demand!A4159</f>
        <v>S020</v>
      </c>
      <c r="B4161" s="35">
        <f>Demand!B4159</f>
        <v>46278.0</v>
      </c>
      <c r="C4161" s="33">
        <f>Demand!C4159</f>
        <v>21</v>
      </c>
      <c r="D4161" s="33">
        <f>Demand!E4159</f>
        <v>19</v>
      </c>
      <c r="E4161" s="33">
        <f>IF(Demand!F4159,1,0)</f>
        <v>1</v>
      </c>
      <c r="F4161" s="33">
        <f>COUNTIFS(c_store,A4161,c_date,B4161,c_hour,C4161)</f>
        <v>1</v>
      </c>
      <c r="G4161" s="33">
        <f>IF(F4161&gt;0,1,0)</f>
        <v>1</v>
      </c>
      <c r="H4161" s="33">
        <f>COUNTIFS(Demand!$A$2:$A$4481,A4161,Demand!$B$2:$B$4481,B4161,Demand!$C$2:$C$4481,C4161)</f>
        <v>1</v>
      </c>
    </row>
    <row r="4162">
      <c r="A4162" s="32" t="str">
        <f>Demand!A4160</f>
        <v>S020</v>
      </c>
      <c r="B4162" s="35">
        <f>Demand!B4160</f>
        <v>46278.0</v>
      </c>
      <c r="C4162" s="33">
        <f>Demand!C4160</f>
        <v>22</v>
      </c>
      <c r="D4162" s="33">
        <f>Demand!E4160</f>
        <v>28</v>
      </c>
      <c r="E4162" s="33">
        <f>IF(Demand!F4160,1,0)</f>
        <v>0</v>
      </c>
      <c r="F4162" s="33">
        <f>COUNTIFS(c_store,A4162,c_date,B4162,c_hour,C4162)</f>
        <v>0</v>
      </c>
      <c r="G4162" s="33">
        <f>IF(F4162&gt;0,1,0)</f>
        <v>0</v>
      </c>
      <c r="H4162" s="33">
        <f>COUNTIFS(Demand!$A$2:$A$4481,A4162,Demand!$B$2:$B$4481,B4162,Demand!$C$2:$C$4481,C4162)</f>
        <v>1</v>
      </c>
    </row>
    <row r="4163">
      <c r="A4163" s="32" t="str">
        <f>Demand!A4161</f>
        <v>S020</v>
      </c>
      <c r="B4163" s="35">
        <f>Demand!B4161</f>
        <v>46278.0</v>
      </c>
      <c r="C4163" s="33">
        <f>Demand!C4161</f>
        <v>23</v>
      </c>
      <c r="D4163" s="33">
        <f>Demand!E4161</f>
        <v>15</v>
      </c>
      <c r="E4163" s="33">
        <f>IF(Demand!F4161,1,0)</f>
        <v>0</v>
      </c>
      <c r="F4163" s="33">
        <f>COUNTIFS(c_store,A4163,c_date,B4163,c_hour,C4163)</f>
        <v>0</v>
      </c>
      <c r="G4163" s="33">
        <f>IF(F4163&gt;0,1,0)</f>
        <v>0</v>
      </c>
      <c r="H4163" s="33">
        <f>COUNTIFS(Demand!$A$2:$A$4481,A4163,Demand!$B$2:$B$4481,B4163,Demand!$C$2:$C$4481,C4163)</f>
        <v>1</v>
      </c>
    </row>
    <row r="4164">
      <c r="A4164" s="32" t="str">
        <f>Demand!A4162</f>
        <v>S001</v>
      </c>
      <c r="B4164" s="35">
        <f>Demand!B4162</f>
        <v>46279.0</v>
      </c>
      <c r="C4164" s="33">
        <f>Demand!C4162</f>
        <v>8</v>
      </c>
      <c r="D4164" s="33">
        <f>Demand!E4162</f>
        <v>9</v>
      </c>
      <c r="E4164" s="33">
        <f>IF(Demand!F4162,1,0)</f>
        <v>0</v>
      </c>
      <c r="F4164" s="33">
        <f>COUNTIFS(c_store,A4164,c_date,B4164,c_hour,C4164)</f>
        <v>0</v>
      </c>
      <c r="G4164" s="33">
        <f>IF(F4164&gt;0,1,0)</f>
        <v>0</v>
      </c>
      <c r="H4164" s="33">
        <f>COUNTIFS(Demand!$A$2:$A$4481,A4164,Demand!$B$2:$B$4481,B4164,Demand!$C$2:$C$4481,C4164)</f>
        <v>1</v>
      </c>
    </row>
    <row r="4165">
      <c r="A4165" s="32" t="str">
        <f>Demand!A4163</f>
        <v>S001</v>
      </c>
      <c r="B4165" s="35">
        <f>Demand!B4163</f>
        <v>46279.0</v>
      </c>
      <c r="C4165" s="33">
        <f>Demand!C4163</f>
        <v>9</v>
      </c>
      <c r="D4165" s="33">
        <f>Demand!E4163</f>
        <v>11</v>
      </c>
      <c r="E4165" s="33">
        <f>IF(Demand!F4163,1,0)</f>
        <v>0</v>
      </c>
      <c r="F4165" s="33">
        <f>COUNTIFS(c_store,A4165,c_date,B4165,c_hour,C4165)</f>
        <v>0</v>
      </c>
      <c r="G4165" s="33">
        <f>IF(F4165&gt;0,1,0)</f>
        <v>0</v>
      </c>
      <c r="H4165" s="33">
        <f>COUNTIFS(Demand!$A$2:$A$4481,A4165,Demand!$B$2:$B$4481,B4165,Demand!$C$2:$C$4481,C4165)</f>
        <v>1</v>
      </c>
    </row>
    <row r="4166">
      <c r="A4166" s="32" t="str">
        <f>Demand!A4164</f>
        <v>S001</v>
      </c>
      <c r="B4166" s="35">
        <f>Demand!B4164</f>
        <v>46279.0</v>
      </c>
      <c r="C4166" s="33">
        <f>Demand!C4164</f>
        <v>10</v>
      </c>
      <c r="D4166" s="33">
        <f>Demand!E4164</f>
        <v>15</v>
      </c>
      <c r="E4166" s="33">
        <f>IF(Demand!F4164,1,0)</f>
        <v>0</v>
      </c>
      <c r="F4166" s="33">
        <f>COUNTIFS(c_store,A4166,c_date,B4166,c_hour,C4166)</f>
        <v>0</v>
      </c>
      <c r="G4166" s="33">
        <f>IF(F4166&gt;0,1,0)</f>
        <v>0</v>
      </c>
      <c r="H4166" s="33">
        <f>COUNTIFS(Demand!$A$2:$A$4481,A4166,Demand!$B$2:$B$4481,B4166,Demand!$C$2:$C$4481,C4166)</f>
        <v>1</v>
      </c>
    </row>
    <row r="4167">
      <c r="A4167" s="32" t="str">
        <f>Demand!A4165</f>
        <v>S001</v>
      </c>
      <c r="B4167" s="35">
        <f>Demand!B4165</f>
        <v>46279.0</v>
      </c>
      <c r="C4167" s="33">
        <f>Demand!C4165</f>
        <v>11</v>
      </c>
      <c r="D4167" s="33">
        <f>Demand!E4165</f>
        <v>20</v>
      </c>
      <c r="E4167" s="33">
        <f>IF(Demand!F4165,1,0)</f>
        <v>0</v>
      </c>
      <c r="F4167" s="33">
        <f>COUNTIFS(c_store,A4167,c_date,B4167,c_hour,C4167)</f>
        <v>0</v>
      </c>
      <c r="G4167" s="33">
        <f>IF(F4167&gt;0,1,0)</f>
        <v>0</v>
      </c>
      <c r="H4167" s="33">
        <f>COUNTIFS(Demand!$A$2:$A$4481,A4167,Demand!$B$2:$B$4481,B4167,Demand!$C$2:$C$4481,C4167)</f>
        <v>1</v>
      </c>
    </row>
    <row r="4168">
      <c r="A4168" s="32" t="str">
        <f>Demand!A4166</f>
        <v>S001</v>
      </c>
      <c r="B4168" s="35">
        <f>Demand!B4166</f>
        <v>46279.0</v>
      </c>
      <c r="C4168" s="33">
        <f>Demand!C4166</f>
        <v>12</v>
      </c>
      <c r="D4168" s="33">
        <f>Demand!E4166</f>
        <v>18</v>
      </c>
      <c r="E4168" s="33">
        <f>IF(Demand!F4166,1,0)</f>
        <v>0</v>
      </c>
      <c r="F4168" s="33">
        <f>COUNTIFS(c_store,A4168,c_date,B4168,c_hour,C4168)</f>
        <v>0</v>
      </c>
      <c r="G4168" s="33">
        <f>IF(F4168&gt;0,1,0)</f>
        <v>0</v>
      </c>
      <c r="H4168" s="33">
        <f>COUNTIFS(Demand!$A$2:$A$4481,A4168,Demand!$B$2:$B$4481,B4168,Demand!$C$2:$C$4481,C4168)</f>
        <v>1</v>
      </c>
    </row>
    <row r="4169">
      <c r="A4169" s="32" t="str">
        <f>Demand!A4167</f>
        <v>S001</v>
      </c>
      <c r="B4169" s="35">
        <f>Demand!B4167</f>
        <v>46279.0</v>
      </c>
      <c r="C4169" s="33">
        <f>Demand!C4167</f>
        <v>13</v>
      </c>
      <c r="D4169" s="33">
        <f>Demand!E4167</f>
        <v>22</v>
      </c>
      <c r="E4169" s="33">
        <f>IF(Demand!F4167,1,0)</f>
        <v>0</v>
      </c>
      <c r="F4169" s="33">
        <f>COUNTIFS(c_store,A4169,c_date,B4169,c_hour,C4169)</f>
        <v>1</v>
      </c>
      <c r="G4169" s="33">
        <f>IF(F4169&gt;0,1,0)</f>
        <v>1</v>
      </c>
      <c r="H4169" s="33">
        <f>COUNTIFS(Demand!$A$2:$A$4481,A4169,Demand!$B$2:$B$4481,B4169,Demand!$C$2:$C$4481,C4169)</f>
        <v>1</v>
      </c>
    </row>
    <row r="4170">
      <c r="A4170" s="32" t="str">
        <f>Demand!A4168</f>
        <v>S001</v>
      </c>
      <c r="B4170" s="35">
        <f>Demand!B4168</f>
        <v>46279.0</v>
      </c>
      <c r="C4170" s="33">
        <f>Demand!C4168</f>
        <v>14</v>
      </c>
      <c r="D4170" s="33">
        <f>Demand!E4168</f>
        <v>8</v>
      </c>
      <c r="E4170" s="33">
        <f>IF(Demand!F4168,1,0)</f>
        <v>0</v>
      </c>
      <c r="F4170" s="33">
        <f>COUNTIFS(c_store,A4170,c_date,B4170,c_hour,C4170)</f>
        <v>1</v>
      </c>
      <c r="G4170" s="33">
        <f>IF(F4170&gt;0,1,0)</f>
        <v>1</v>
      </c>
      <c r="H4170" s="33">
        <f>COUNTIFS(Demand!$A$2:$A$4481,A4170,Demand!$B$2:$B$4481,B4170,Demand!$C$2:$C$4481,C4170)</f>
        <v>1</v>
      </c>
    </row>
    <row r="4171">
      <c r="A4171" s="32" t="str">
        <f>Demand!A4169</f>
        <v>S001</v>
      </c>
      <c r="B4171" s="35">
        <f>Demand!B4169</f>
        <v>46279.0</v>
      </c>
      <c r="C4171" s="33">
        <f>Demand!C4169</f>
        <v>15</v>
      </c>
      <c r="D4171" s="33">
        <f>Demand!E4169</f>
        <v>11</v>
      </c>
      <c r="E4171" s="33">
        <f>IF(Demand!F4169,1,0)</f>
        <v>0</v>
      </c>
      <c r="F4171" s="33">
        <f>COUNTIFS(c_store,A4171,c_date,B4171,c_hour,C4171)</f>
        <v>2</v>
      </c>
      <c r="G4171" s="33">
        <f>IF(F4171&gt;0,1,0)</f>
        <v>1</v>
      </c>
      <c r="H4171" s="33">
        <f>COUNTIFS(Demand!$A$2:$A$4481,A4171,Demand!$B$2:$B$4481,B4171,Demand!$C$2:$C$4481,C4171)</f>
        <v>1</v>
      </c>
    </row>
    <row r="4172">
      <c r="A4172" s="32" t="str">
        <f>Demand!A4170</f>
        <v>S001</v>
      </c>
      <c r="B4172" s="35">
        <f>Demand!B4170</f>
        <v>46279.0</v>
      </c>
      <c r="C4172" s="33">
        <f>Demand!C4170</f>
        <v>16</v>
      </c>
      <c r="D4172" s="33">
        <f>Demand!E4170</f>
        <v>8</v>
      </c>
      <c r="E4172" s="33">
        <f>IF(Demand!F4170,1,0)</f>
        <v>0</v>
      </c>
      <c r="F4172" s="33">
        <f>COUNTIFS(c_store,A4172,c_date,B4172,c_hour,C4172)</f>
        <v>0</v>
      </c>
      <c r="G4172" s="33">
        <f>IF(F4172&gt;0,1,0)</f>
        <v>0</v>
      </c>
      <c r="H4172" s="33">
        <f>COUNTIFS(Demand!$A$2:$A$4481,A4172,Demand!$B$2:$B$4481,B4172,Demand!$C$2:$C$4481,C4172)</f>
        <v>1</v>
      </c>
    </row>
    <row r="4173">
      <c r="A4173" s="32" t="str">
        <f>Demand!A4171</f>
        <v>S001</v>
      </c>
      <c r="B4173" s="35">
        <f>Demand!B4171</f>
        <v>46279.0</v>
      </c>
      <c r="C4173" s="33">
        <f>Demand!C4171</f>
        <v>17</v>
      </c>
      <c r="D4173" s="33">
        <f>Demand!E4171</f>
        <v>17</v>
      </c>
      <c r="E4173" s="33">
        <f>IF(Demand!F4171,1,0)</f>
        <v>0</v>
      </c>
      <c r="F4173" s="33">
        <f>COUNTIFS(c_store,A4173,c_date,B4173,c_hour,C4173)</f>
        <v>0</v>
      </c>
      <c r="G4173" s="33">
        <f>IF(F4173&gt;0,1,0)</f>
        <v>0</v>
      </c>
      <c r="H4173" s="33">
        <f>COUNTIFS(Demand!$A$2:$A$4481,A4173,Demand!$B$2:$B$4481,B4173,Demand!$C$2:$C$4481,C4173)</f>
        <v>1</v>
      </c>
    </row>
    <row r="4174">
      <c r="A4174" s="32" t="str">
        <f>Demand!A4172</f>
        <v>S001</v>
      </c>
      <c r="B4174" s="35">
        <f>Demand!B4172</f>
        <v>46279.0</v>
      </c>
      <c r="C4174" s="33">
        <f>Demand!C4172</f>
        <v>18</v>
      </c>
      <c r="D4174" s="33">
        <f>Demand!E4172</f>
        <v>21</v>
      </c>
      <c r="E4174" s="33">
        <f>IF(Demand!F4172,1,0)</f>
        <v>0</v>
      </c>
      <c r="F4174" s="33">
        <f>COUNTIFS(c_store,A4174,c_date,B4174,c_hour,C4174)</f>
        <v>1</v>
      </c>
      <c r="G4174" s="33">
        <f>IF(F4174&gt;0,1,0)</f>
        <v>1</v>
      </c>
      <c r="H4174" s="33">
        <f>COUNTIFS(Demand!$A$2:$A$4481,A4174,Demand!$B$2:$B$4481,B4174,Demand!$C$2:$C$4481,C4174)</f>
        <v>1</v>
      </c>
    </row>
    <row r="4175">
      <c r="A4175" s="32" t="str">
        <f>Demand!A4173</f>
        <v>S001</v>
      </c>
      <c r="B4175" s="35">
        <f>Demand!B4173</f>
        <v>46279.0</v>
      </c>
      <c r="C4175" s="33">
        <f>Demand!C4173</f>
        <v>19</v>
      </c>
      <c r="D4175" s="33">
        <f>Demand!E4173</f>
        <v>20</v>
      </c>
      <c r="E4175" s="33">
        <f>IF(Demand!F4173,1,0)</f>
        <v>1</v>
      </c>
      <c r="F4175" s="33">
        <f>COUNTIFS(c_store,A4175,c_date,B4175,c_hour,C4175)</f>
        <v>0</v>
      </c>
      <c r="G4175" s="33">
        <f>IF(F4175&gt;0,1,0)</f>
        <v>0</v>
      </c>
      <c r="H4175" s="33">
        <f>COUNTIFS(Demand!$A$2:$A$4481,A4175,Demand!$B$2:$B$4481,B4175,Demand!$C$2:$C$4481,C4175)</f>
        <v>1</v>
      </c>
    </row>
    <row r="4176">
      <c r="A4176" s="32" t="str">
        <f>Demand!A4174</f>
        <v>S001</v>
      </c>
      <c r="B4176" s="35">
        <f>Demand!B4174</f>
        <v>46279.0</v>
      </c>
      <c r="C4176" s="33">
        <f>Demand!C4174</f>
        <v>20</v>
      </c>
      <c r="D4176" s="33">
        <f>Demand!E4174</f>
        <v>20</v>
      </c>
      <c r="E4176" s="33">
        <f>IF(Demand!F4174,1,0)</f>
        <v>1</v>
      </c>
      <c r="F4176" s="33">
        <f>COUNTIFS(c_store,A4176,c_date,B4176,c_hour,C4176)</f>
        <v>0</v>
      </c>
      <c r="G4176" s="33">
        <f>IF(F4176&gt;0,1,0)</f>
        <v>0</v>
      </c>
      <c r="H4176" s="33">
        <f>COUNTIFS(Demand!$A$2:$A$4481,A4176,Demand!$B$2:$B$4481,B4176,Demand!$C$2:$C$4481,C4176)</f>
        <v>1</v>
      </c>
    </row>
    <row r="4177">
      <c r="A4177" s="32" t="str">
        <f>Demand!A4175</f>
        <v>S001</v>
      </c>
      <c r="B4177" s="35">
        <f>Demand!B4175</f>
        <v>46279.0</v>
      </c>
      <c r="C4177" s="33">
        <f>Demand!C4175</f>
        <v>21</v>
      </c>
      <c r="D4177" s="33">
        <f>Demand!E4175</f>
        <v>21</v>
      </c>
      <c r="E4177" s="33">
        <f>IF(Demand!F4175,1,0)</f>
        <v>1</v>
      </c>
      <c r="F4177" s="33">
        <f>COUNTIFS(c_store,A4177,c_date,B4177,c_hour,C4177)</f>
        <v>0</v>
      </c>
      <c r="G4177" s="33">
        <f>IF(F4177&gt;0,1,0)</f>
        <v>0</v>
      </c>
      <c r="H4177" s="33">
        <f>COUNTIFS(Demand!$A$2:$A$4481,A4177,Demand!$B$2:$B$4481,B4177,Demand!$C$2:$C$4481,C4177)</f>
        <v>1</v>
      </c>
    </row>
    <row r="4178">
      <c r="A4178" s="32" t="str">
        <f>Demand!A4176</f>
        <v>S001</v>
      </c>
      <c r="B4178" s="35">
        <f>Demand!B4176</f>
        <v>46279.0</v>
      </c>
      <c r="C4178" s="33">
        <f>Demand!C4176</f>
        <v>22</v>
      </c>
      <c r="D4178" s="33">
        <f>Demand!E4176</f>
        <v>15</v>
      </c>
      <c r="E4178" s="33">
        <f>IF(Demand!F4176,1,0)</f>
        <v>0</v>
      </c>
      <c r="F4178" s="33">
        <f>COUNTIFS(c_store,A4178,c_date,B4178,c_hour,C4178)</f>
        <v>0</v>
      </c>
      <c r="G4178" s="33">
        <f>IF(F4178&gt;0,1,0)</f>
        <v>0</v>
      </c>
      <c r="H4178" s="33">
        <f>COUNTIFS(Demand!$A$2:$A$4481,A4178,Demand!$B$2:$B$4481,B4178,Demand!$C$2:$C$4481,C4178)</f>
        <v>1</v>
      </c>
    </row>
    <row r="4179">
      <c r="A4179" s="32" t="str">
        <f>Demand!A4177</f>
        <v>S001</v>
      </c>
      <c r="B4179" s="35">
        <f>Demand!B4177</f>
        <v>46279.0</v>
      </c>
      <c r="C4179" s="33">
        <f>Demand!C4177</f>
        <v>23</v>
      </c>
      <c r="D4179" s="33">
        <f>Demand!E4177</f>
        <v>11</v>
      </c>
      <c r="E4179" s="33">
        <f>IF(Demand!F4177,1,0)</f>
        <v>0</v>
      </c>
      <c r="F4179" s="33">
        <f>COUNTIFS(c_store,A4179,c_date,B4179,c_hour,C4179)</f>
        <v>2</v>
      </c>
      <c r="G4179" s="33">
        <f>IF(F4179&gt;0,1,0)</f>
        <v>1</v>
      </c>
      <c r="H4179" s="33">
        <f>COUNTIFS(Demand!$A$2:$A$4481,A4179,Demand!$B$2:$B$4481,B4179,Demand!$C$2:$C$4481,C4179)</f>
        <v>1</v>
      </c>
    </row>
    <row r="4180">
      <c r="A4180" s="32" t="str">
        <f>Demand!A4178</f>
        <v>S002</v>
      </c>
      <c r="B4180" s="35">
        <f>Demand!B4178</f>
        <v>46279.0</v>
      </c>
      <c r="C4180" s="33">
        <f>Demand!C4178</f>
        <v>8</v>
      </c>
      <c r="D4180" s="33">
        <f>Demand!E4178</f>
        <v>11</v>
      </c>
      <c r="E4180" s="33">
        <f>IF(Demand!F4178,1,0)</f>
        <v>0</v>
      </c>
      <c r="F4180" s="33">
        <f>COUNTIFS(c_store,A4180,c_date,B4180,c_hour,C4180)</f>
        <v>0</v>
      </c>
      <c r="G4180" s="33">
        <f>IF(F4180&gt;0,1,0)</f>
        <v>0</v>
      </c>
      <c r="H4180" s="33">
        <f>COUNTIFS(Demand!$A$2:$A$4481,A4180,Demand!$B$2:$B$4481,B4180,Demand!$C$2:$C$4481,C4180)</f>
        <v>1</v>
      </c>
    </row>
    <row r="4181">
      <c r="A4181" s="32" t="str">
        <f>Demand!A4179</f>
        <v>S002</v>
      </c>
      <c r="B4181" s="35">
        <f>Demand!B4179</f>
        <v>46279.0</v>
      </c>
      <c r="C4181" s="33">
        <f>Demand!C4179</f>
        <v>9</v>
      </c>
      <c r="D4181" s="33">
        <f>Demand!E4179</f>
        <v>20</v>
      </c>
      <c r="E4181" s="33">
        <f>IF(Demand!F4179,1,0)</f>
        <v>0</v>
      </c>
      <c r="F4181" s="33">
        <f>COUNTIFS(c_store,A4181,c_date,B4181,c_hour,C4181)</f>
        <v>1</v>
      </c>
      <c r="G4181" s="33">
        <f>IF(F4181&gt;0,1,0)</f>
        <v>1</v>
      </c>
      <c r="H4181" s="33">
        <f>COUNTIFS(Demand!$A$2:$A$4481,A4181,Demand!$B$2:$B$4481,B4181,Demand!$C$2:$C$4481,C4181)</f>
        <v>1</v>
      </c>
    </row>
    <row r="4182">
      <c r="A4182" s="32" t="str">
        <f>Demand!A4180</f>
        <v>S002</v>
      </c>
      <c r="B4182" s="35">
        <f>Demand!B4180</f>
        <v>46279.0</v>
      </c>
      <c r="C4182" s="33">
        <f>Demand!C4180</f>
        <v>10</v>
      </c>
      <c r="D4182" s="33">
        <f>Demand!E4180</f>
        <v>21</v>
      </c>
      <c r="E4182" s="33">
        <f>IF(Demand!F4180,1,0)</f>
        <v>0</v>
      </c>
      <c r="F4182" s="33">
        <f>COUNTIFS(c_store,A4182,c_date,B4182,c_hour,C4182)</f>
        <v>0</v>
      </c>
      <c r="G4182" s="33">
        <f>IF(F4182&gt;0,1,0)</f>
        <v>0</v>
      </c>
      <c r="H4182" s="33">
        <f>COUNTIFS(Demand!$A$2:$A$4481,A4182,Demand!$B$2:$B$4481,B4182,Demand!$C$2:$C$4481,C4182)</f>
        <v>1</v>
      </c>
    </row>
    <row r="4183">
      <c r="A4183" s="32" t="str">
        <f>Demand!A4181</f>
        <v>S002</v>
      </c>
      <c r="B4183" s="35">
        <f>Demand!B4181</f>
        <v>46279.0</v>
      </c>
      <c r="C4183" s="33">
        <f>Demand!C4181</f>
        <v>11</v>
      </c>
      <c r="D4183" s="33">
        <f>Demand!E4181</f>
        <v>38</v>
      </c>
      <c r="E4183" s="33">
        <f>IF(Demand!F4181,1,0)</f>
        <v>0</v>
      </c>
      <c r="F4183" s="33">
        <f>COUNTIFS(c_store,A4183,c_date,B4183,c_hour,C4183)</f>
        <v>0</v>
      </c>
      <c r="G4183" s="33">
        <f>IF(F4183&gt;0,1,0)</f>
        <v>0</v>
      </c>
      <c r="H4183" s="33">
        <f>COUNTIFS(Demand!$A$2:$A$4481,A4183,Demand!$B$2:$B$4481,B4183,Demand!$C$2:$C$4481,C4183)</f>
        <v>1</v>
      </c>
    </row>
    <row r="4184">
      <c r="A4184" s="32" t="str">
        <f>Demand!A4182</f>
        <v>S002</v>
      </c>
      <c r="B4184" s="35">
        <f>Demand!B4182</f>
        <v>46279.0</v>
      </c>
      <c r="C4184" s="33">
        <f>Demand!C4182</f>
        <v>12</v>
      </c>
      <c r="D4184" s="33">
        <f>Demand!E4182</f>
        <v>18</v>
      </c>
      <c r="E4184" s="33">
        <f>IF(Demand!F4182,1,0)</f>
        <v>0</v>
      </c>
      <c r="F4184" s="33">
        <f>COUNTIFS(c_store,A4184,c_date,B4184,c_hour,C4184)</f>
        <v>0</v>
      </c>
      <c r="G4184" s="33">
        <f>IF(F4184&gt;0,1,0)</f>
        <v>0</v>
      </c>
      <c r="H4184" s="33">
        <f>COUNTIFS(Demand!$A$2:$A$4481,A4184,Demand!$B$2:$B$4481,B4184,Demand!$C$2:$C$4481,C4184)</f>
        <v>1</v>
      </c>
    </row>
    <row r="4185">
      <c r="A4185" s="32" t="str">
        <f>Demand!A4183</f>
        <v>S002</v>
      </c>
      <c r="B4185" s="35">
        <f>Demand!B4183</f>
        <v>46279.0</v>
      </c>
      <c r="C4185" s="33">
        <f>Demand!C4183</f>
        <v>13</v>
      </c>
      <c r="D4185" s="33">
        <f>Demand!E4183</f>
        <v>26</v>
      </c>
      <c r="E4185" s="33">
        <f>IF(Demand!F4183,1,0)</f>
        <v>0</v>
      </c>
      <c r="F4185" s="33">
        <f>COUNTIFS(c_store,A4185,c_date,B4185,c_hour,C4185)</f>
        <v>1</v>
      </c>
      <c r="G4185" s="33">
        <f>IF(F4185&gt;0,1,0)</f>
        <v>1</v>
      </c>
      <c r="H4185" s="33">
        <f>COUNTIFS(Demand!$A$2:$A$4481,A4185,Demand!$B$2:$B$4481,B4185,Demand!$C$2:$C$4481,C4185)</f>
        <v>1</v>
      </c>
    </row>
    <row r="4186">
      <c r="A4186" s="32" t="str">
        <f>Demand!A4184</f>
        <v>S002</v>
      </c>
      <c r="B4186" s="35">
        <f>Demand!B4184</f>
        <v>46279.0</v>
      </c>
      <c r="C4186" s="33">
        <f>Demand!C4184</f>
        <v>14</v>
      </c>
      <c r="D4186" s="33">
        <f>Demand!E4184</f>
        <v>22</v>
      </c>
      <c r="E4186" s="33">
        <f>IF(Demand!F4184,1,0)</f>
        <v>0</v>
      </c>
      <c r="F4186" s="33">
        <f>COUNTIFS(c_store,A4186,c_date,B4186,c_hour,C4186)</f>
        <v>0</v>
      </c>
      <c r="G4186" s="33">
        <f>IF(F4186&gt;0,1,0)</f>
        <v>0</v>
      </c>
      <c r="H4186" s="33">
        <f>COUNTIFS(Demand!$A$2:$A$4481,A4186,Demand!$B$2:$B$4481,B4186,Demand!$C$2:$C$4481,C4186)</f>
        <v>1</v>
      </c>
    </row>
    <row r="4187">
      <c r="A4187" s="32" t="str">
        <f>Demand!A4185</f>
        <v>S002</v>
      </c>
      <c r="B4187" s="35">
        <f>Demand!B4185</f>
        <v>46279.0</v>
      </c>
      <c r="C4187" s="33">
        <f>Demand!C4185</f>
        <v>15</v>
      </c>
      <c r="D4187" s="33">
        <f>Demand!E4185</f>
        <v>22</v>
      </c>
      <c r="E4187" s="33">
        <f>IF(Demand!F4185,1,0)</f>
        <v>0</v>
      </c>
      <c r="F4187" s="33">
        <f>COUNTIFS(c_store,A4187,c_date,B4187,c_hour,C4187)</f>
        <v>0</v>
      </c>
      <c r="G4187" s="33">
        <f>IF(F4187&gt;0,1,0)</f>
        <v>0</v>
      </c>
      <c r="H4187" s="33">
        <f>COUNTIFS(Demand!$A$2:$A$4481,A4187,Demand!$B$2:$B$4481,B4187,Demand!$C$2:$C$4481,C4187)</f>
        <v>1</v>
      </c>
    </row>
    <row r="4188">
      <c r="A4188" s="32" t="str">
        <f>Demand!A4186</f>
        <v>S002</v>
      </c>
      <c r="B4188" s="35">
        <f>Demand!B4186</f>
        <v>46279.0</v>
      </c>
      <c r="C4188" s="33">
        <f>Demand!C4186</f>
        <v>16</v>
      </c>
      <c r="D4188" s="33">
        <f>Demand!E4186</f>
        <v>33</v>
      </c>
      <c r="E4188" s="33">
        <f>IF(Demand!F4186,1,0)</f>
        <v>0</v>
      </c>
      <c r="F4188" s="33">
        <f>COUNTIFS(c_store,A4188,c_date,B4188,c_hour,C4188)</f>
        <v>0</v>
      </c>
      <c r="G4188" s="33">
        <f>IF(F4188&gt;0,1,0)</f>
        <v>0</v>
      </c>
      <c r="H4188" s="33">
        <f>COUNTIFS(Demand!$A$2:$A$4481,A4188,Demand!$B$2:$B$4481,B4188,Demand!$C$2:$C$4481,C4188)</f>
        <v>1</v>
      </c>
    </row>
    <row r="4189">
      <c r="A4189" s="32" t="str">
        <f>Demand!A4187</f>
        <v>S002</v>
      </c>
      <c r="B4189" s="35">
        <f>Demand!B4187</f>
        <v>46279.0</v>
      </c>
      <c r="C4189" s="33">
        <f>Demand!C4187</f>
        <v>17</v>
      </c>
      <c r="D4189" s="33">
        <f>Demand!E4187</f>
        <v>34</v>
      </c>
      <c r="E4189" s="33">
        <f>IF(Demand!F4187,1,0)</f>
        <v>0</v>
      </c>
      <c r="F4189" s="33">
        <f>COUNTIFS(c_store,A4189,c_date,B4189,c_hour,C4189)</f>
        <v>0</v>
      </c>
      <c r="G4189" s="33">
        <f>IF(F4189&gt;0,1,0)</f>
        <v>0</v>
      </c>
      <c r="H4189" s="33">
        <f>COUNTIFS(Demand!$A$2:$A$4481,A4189,Demand!$B$2:$B$4481,B4189,Demand!$C$2:$C$4481,C4189)</f>
        <v>1</v>
      </c>
    </row>
    <row r="4190">
      <c r="A4190" s="32" t="str">
        <f>Demand!A4188</f>
        <v>S002</v>
      </c>
      <c r="B4190" s="35">
        <f>Demand!B4188</f>
        <v>46279.0</v>
      </c>
      <c r="C4190" s="33">
        <f>Demand!C4188</f>
        <v>18</v>
      </c>
      <c r="D4190" s="33">
        <f>Demand!E4188</f>
        <v>29</v>
      </c>
      <c r="E4190" s="33">
        <f>IF(Demand!F4188,1,0)</f>
        <v>0</v>
      </c>
      <c r="F4190" s="33">
        <f>COUNTIFS(c_store,A4190,c_date,B4190,c_hour,C4190)</f>
        <v>1</v>
      </c>
      <c r="G4190" s="33">
        <f>IF(F4190&gt;0,1,0)</f>
        <v>1</v>
      </c>
      <c r="H4190" s="33">
        <f>COUNTIFS(Demand!$A$2:$A$4481,A4190,Demand!$B$2:$B$4481,B4190,Demand!$C$2:$C$4481,C4190)</f>
        <v>1</v>
      </c>
    </row>
    <row r="4191">
      <c r="A4191" s="32" t="str">
        <f>Demand!A4189</f>
        <v>S002</v>
      </c>
      <c r="B4191" s="35">
        <f>Demand!B4189</f>
        <v>46279.0</v>
      </c>
      <c r="C4191" s="33">
        <f>Demand!C4189</f>
        <v>19</v>
      </c>
      <c r="D4191" s="33">
        <f>Demand!E4189</f>
        <v>50</v>
      </c>
      <c r="E4191" s="33">
        <f>IF(Demand!F4189,1,0)</f>
        <v>1</v>
      </c>
      <c r="F4191" s="33">
        <f>COUNTIFS(c_store,A4191,c_date,B4191,c_hour,C4191)</f>
        <v>0</v>
      </c>
      <c r="G4191" s="33">
        <f>IF(F4191&gt;0,1,0)</f>
        <v>0</v>
      </c>
      <c r="H4191" s="33">
        <f>COUNTIFS(Demand!$A$2:$A$4481,A4191,Demand!$B$2:$B$4481,B4191,Demand!$C$2:$C$4481,C4191)</f>
        <v>1</v>
      </c>
    </row>
    <row r="4192">
      <c r="A4192" s="32" t="str">
        <f>Demand!A4190</f>
        <v>S002</v>
      </c>
      <c r="B4192" s="35">
        <f>Demand!B4190</f>
        <v>46279.0</v>
      </c>
      <c r="C4192" s="33">
        <f>Demand!C4190</f>
        <v>20</v>
      </c>
      <c r="D4192" s="33">
        <f>Demand!E4190</f>
        <v>54</v>
      </c>
      <c r="E4192" s="33">
        <f>IF(Demand!F4190,1,0)</f>
        <v>1</v>
      </c>
      <c r="F4192" s="33">
        <f>COUNTIFS(c_store,A4192,c_date,B4192,c_hour,C4192)</f>
        <v>0</v>
      </c>
      <c r="G4192" s="33">
        <f>IF(F4192&gt;0,1,0)</f>
        <v>0</v>
      </c>
      <c r="H4192" s="33">
        <f>COUNTIFS(Demand!$A$2:$A$4481,A4192,Demand!$B$2:$B$4481,B4192,Demand!$C$2:$C$4481,C4192)</f>
        <v>1</v>
      </c>
    </row>
    <row r="4193">
      <c r="A4193" s="32" t="str">
        <f>Demand!A4191</f>
        <v>S002</v>
      </c>
      <c r="B4193" s="35">
        <f>Demand!B4191</f>
        <v>46279.0</v>
      </c>
      <c r="C4193" s="33">
        <f>Demand!C4191</f>
        <v>21</v>
      </c>
      <c r="D4193" s="33">
        <f>Demand!E4191</f>
        <v>49</v>
      </c>
      <c r="E4193" s="33">
        <f>IF(Demand!F4191,1,0)</f>
        <v>1</v>
      </c>
      <c r="F4193" s="33">
        <f>COUNTIFS(c_store,A4193,c_date,B4193,c_hour,C4193)</f>
        <v>0</v>
      </c>
      <c r="G4193" s="33">
        <f>IF(F4193&gt;0,1,0)</f>
        <v>0</v>
      </c>
      <c r="H4193" s="33">
        <f>COUNTIFS(Demand!$A$2:$A$4481,A4193,Demand!$B$2:$B$4481,B4193,Demand!$C$2:$C$4481,C4193)</f>
        <v>1</v>
      </c>
    </row>
    <row r="4194">
      <c r="A4194" s="32" t="str">
        <f>Demand!A4192</f>
        <v>S002</v>
      </c>
      <c r="B4194" s="35">
        <f>Demand!B4192</f>
        <v>46279.0</v>
      </c>
      <c r="C4194" s="33">
        <f>Demand!C4192</f>
        <v>22</v>
      </c>
      <c r="D4194" s="33">
        <f>Demand!E4192</f>
        <v>37</v>
      </c>
      <c r="E4194" s="33">
        <f>IF(Demand!F4192,1,0)</f>
        <v>0</v>
      </c>
      <c r="F4194" s="33">
        <f>COUNTIFS(c_store,A4194,c_date,B4194,c_hour,C4194)</f>
        <v>0</v>
      </c>
      <c r="G4194" s="33">
        <f>IF(F4194&gt;0,1,0)</f>
        <v>0</v>
      </c>
      <c r="H4194" s="33">
        <f>COUNTIFS(Demand!$A$2:$A$4481,A4194,Demand!$B$2:$B$4481,B4194,Demand!$C$2:$C$4481,C4194)</f>
        <v>1</v>
      </c>
    </row>
    <row r="4195">
      <c r="A4195" s="32" t="str">
        <f>Demand!A4193</f>
        <v>S002</v>
      </c>
      <c r="B4195" s="35">
        <f>Demand!B4193</f>
        <v>46279.0</v>
      </c>
      <c r="C4195" s="33">
        <f>Demand!C4193</f>
        <v>23</v>
      </c>
      <c r="D4195" s="33">
        <f>Demand!E4193</f>
        <v>32</v>
      </c>
      <c r="E4195" s="33">
        <f>IF(Demand!F4193,1,0)</f>
        <v>0</v>
      </c>
      <c r="F4195" s="33">
        <f>COUNTIFS(c_store,A4195,c_date,B4195,c_hour,C4195)</f>
        <v>0</v>
      </c>
      <c r="G4195" s="33">
        <f>IF(F4195&gt;0,1,0)</f>
        <v>0</v>
      </c>
      <c r="H4195" s="33">
        <f>COUNTIFS(Demand!$A$2:$A$4481,A4195,Demand!$B$2:$B$4481,B4195,Demand!$C$2:$C$4481,C4195)</f>
        <v>1</v>
      </c>
    </row>
    <row r="4196">
      <c r="A4196" s="32" t="str">
        <f>Demand!A4194</f>
        <v>S003</v>
      </c>
      <c r="B4196" s="35">
        <f>Demand!B4194</f>
        <v>46279.0</v>
      </c>
      <c r="C4196" s="33">
        <f>Demand!C4194</f>
        <v>8</v>
      </c>
      <c r="D4196" s="33">
        <f>Demand!E4194</f>
        <v>33</v>
      </c>
      <c r="E4196" s="33">
        <f>IF(Demand!F4194,1,0)</f>
        <v>0</v>
      </c>
      <c r="F4196" s="33">
        <f>COUNTIFS(c_store,A4196,c_date,B4196,c_hour,C4196)</f>
        <v>0</v>
      </c>
      <c r="G4196" s="33">
        <f>IF(F4196&gt;0,1,0)</f>
        <v>0</v>
      </c>
      <c r="H4196" s="33">
        <f>COUNTIFS(Demand!$A$2:$A$4481,A4196,Demand!$B$2:$B$4481,B4196,Demand!$C$2:$C$4481,C4196)</f>
        <v>1</v>
      </c>
    </row>
    <row r="4197">
      <c r="A4197" s="32" t="str">
        <f>Demand!A4195</f>
        <v>S003</v>
      </c>
      <c r="B4197" s="35">
        <f>Demand!B4195</f>
        <v>46279.0</v>
      </c>
      <c r="C4197" s="33">
        <f>Demand!C4195</f>
        <v>9</v>
      </c>
      <c r="D4197" s="33">
        <f>Demand!E4195</f>
        <v>30</v>
      </c>
      <c r="E4197" s="33">
        <f>IF(Demand!F4195,1,0)</f>
        <v>0</v>
      </c>
      <c r="F4197" s="33">
        <f>COUNTIFS(c_store,A4197,c_date,B4197,c_hour,C4197)</f>
        <v>0</v>
      </c>
      <c r="G4197" s="33">
        <f>IF(F4197&gt;0,1,0)</f>
        <v>0</v>
      </c>
      <c r="H4197" s="33">
        <f>COUNTIFS(Demand!$A$2:$A$4481,A4197,Demand!$B$2:$B$4481,B4197,Demand!$C$2:$C$4481,C4197)</f>
        <v>1</v>
      </c>
    </row>
    <row r="4198">
      <c r="A4198" s="32" t="str">
        <f>Demand!A4196</f>
        <v>S003</v>
      </c>
      <c r="B4198" s="35">
        <f>Demand!B4196</f>
        <v>46279.0</v>
      </c>
      <c r="C4198" s="33">
        <f>Demand!C4196</f>
        <v>10</v>
      </c>
      <c r="D4198" s="33">
        <f>Demand!E4196</f>
        <v>16</v>
      </c>
      <c r="E4198" s="33">
        <f>IF(Demand!F4196,1,0)</f>
        <v>0</v>
      </c>
      <c r="F4198" s="33">
        <f>COUNTIFS(c_store,A4198,c_date,B4198,c_hour,C4198)</f>
        <v>0</v>
      </c>
      <c r="G4198" s="33">
        <f>IF(F4198&gt;0,1,0)</f>
        <v>0</v>
      </c>
      <c r="H4198" s="33">
        <f>COUNTIFS(Demand!$A$2:$A$4481,A4198,Demand!$B$2:$B$4481,B4198,Demand!$C$2:$C$4481,C4198)</f>
        <v>1</v>
      </c>
    </row>
    <row r="4199">
      <c r="A4199" s="32" t="str">
        <f>Demand!A4197</f>
        <v>S003</v>
      </c>
      <c r="B4199" s="35">
        <f>Demand!B4197</f>
        <v>46279.0</v>
      </c>
      <c r="C4199" s="33">
        <f>Demand!C4197</f>
        <v>11</v>
      </c>
      <c r="D4199" s="33">
        <f>Demand!E4197</f>
        <v>38</v>
      </c>
      <c r="E4199" s="33">
        <f>IF(Demand!F4197,1,0)</f>
        <v>0</v>
      </c>
      <c r="F4199" s="33">
        <f>COUNTIFS(c_store,A4199,c_date,B4199,c_hour,C4199)</f>
        <v>1</v>
      </c>
      <c r="G4199" s="33">
        <f>IF(F4199&gt;0,1,0)</f>
        <v>1</v>
      </c>
      <c r="H4199" s="33">
        <f>COUNTIFS(Demand!$A$2:$A$4481,A4199,Demand!$B$2:$B$4481,B4199,Demand!$C$2:$C$4481,C4199)</f>
        <v>1</v>
      </c>
    </row>
    <row r="4200">
      <c r="A4200" s="32" t="str">
        <f>Demand!A4198</f>
        <v>S003</v>
      </c>
      <c r="B4200" s="35">
        <f>Demand!B4198</f>
        <v>46279.0</v>
      </c>
      <c r="C4200" s="33">
        <f>Demand!C4198</f>
        <v>12</v>
      </c>
      <c r="D4200" s="33">
        <f>Demand!E4198</f>
        <v>49</v>
      </c>
      <c r="E4200" s="33">
        <f>IF(Demand!F4198,1,0)</f>
        <v>0</v>
      </c>
      <c r="F4200" s="33">
        <f>COUNTIFS(c_store,A4200,c_date,B4200,c_hour,C4200)</f>
        <v>1</v>
      </c>
      <c r="G4200" s="33">
        <f>IF(F4200&gt;0,1,0)</f>
        <v>1</v>
      </c>
      <c r="H4200" s="33">
        <f>COUNTIFS(Demand!$A$2:$A$4481,A4200,Demand!$B$2:$B$4481,B4200,Demand!$C$2:$C$4481,C4200)</f>
        <v>1</v>
      </c>
    </row>
    <row r="4201">
      <c r="A4201" s="32" t="str">
        <f>Demand!A4199</f>
        <v>S003</v>
      </c>
      <c r="B4201" s="35">
        <f>Demand!B4199</f>
        <v>46279.0</v>
      </c>
      <c r="C4201" s="33">
        <f>Demand!C4199</f>
        <v>13</v>
      </c>
      <c r="D4201" s="33">
        <f>Demand!E4199</f>
        <v>39</v>
      </c>
      <c r="E4201" s="33">
        <f>IF(Demand!F4199,1,0)</f>
        <v>0</v>
      </c>
      <c r="F4201" s="33">
        <f>COUNTIFS(c_store,A4201,c_date,B4201,c_hour,C4201)</f>
        <v>0</v>
      </c>
      <c r="G4201" s="33">
        <f>IF(F4201&gt;0,1,0)</f>
        <v>0</v>
      </c>
      <c r="H4201" s="33">
        <f>COUNTIFS(Demand!$A$2:$A$4481,A4201,Demand!$B$2:$B$4481,B4201,Demand!$C$2:$C$4481,C4201)</f>
        <v>1</v>
      </c>
    </row>
    <row r="4202">
      <c r="A4202" s="32" t="str">
        <f>Demand!A4200</f>
        <v>S003</v>
      </c>
      <c r="B4202" s="35">
        <f>Demand!B4200</f>
        <v>46279.0</v>
      </c>
      <c r="C4202" s="33">
        <f>Demand!C4200</f>
        <v>14</v>
      </c>
      <c r="D4202" s="33">
        <f>Demand!E4200</f>
        <v>33</v>
      </c>
      <c r="E4202" s="33">
        <f>IF(Demand!F4200,1,0)</f>
        <v>0</v>
      </c>
      <c r="F4202" s="33">
        <f>COUNTIFS(c_store,A4202,c_date,B4202,c_hour,C4202)</f>
        <v>0</v>
      </c>
      <c r="G4202" s="33">
        <f>IF(F4202&gt;0,1,0)</f>
        <v>0</v>
      </c>
      <c r="H4202" s="33">
        <f>COUNTIFS(Demand!$A$2:$A$4481,A4202,Demand!$B$2:$B$4481,B4202,Demand!$C$2:$C$4481,C4202)</f>
        <v>1</v>
      </c>
    </row>
    <row r="4203">
      <c r="A4203" s="32" t="str">
        <f>Demand!A4201</f>
        <v>S003</v>
      </c>
      <c r="B4203" s="35">
        <f>Demand!B4201</f>
        <v>46279.0</v>
      </c>
      <c r="C4203" s="33">
        <f>Demand!C4201</f>
        <v>15</v>
      </c>
      <c r="D4203" s="33">
        <f>Demand!E4201</f>
        <v>34</v>
      </c>
      <c r="E4203" s="33">
        <f>IF(Demand!F4201,1,0)</f>
        <v>0</v>
      </c>
      <c r="F4203" s="33">
        <f>COUNTIFS(c_store,A4203,c_date,B4203,c_hour,C4203)</f>
        <v>1</v>
      </c>
      <c r="G4203" s="33">
        <f>IF(F4203&gt;0,1,0)</f>
        <v>1</v>
      </c>
      <c r="H4203" s="33">
        <f>COUNTIFS(Demand!$A$2:$A$4481,A4203,Demand!$B$2:$B$4481,B4203,Demand!$C$2:$C$4481,C4203)</f>
        <v>1</v>
      </c>
    </row>
    <row r="4204">
      <c r="A4204" s="32" t="str">
        <f>Demand!A4202</f>
        <v>S003</v>
      </c>
      <c r="B4204" s="35">
        <f>Demand!B4202</f>
        <v>46279.0</v>
      </c>
      <c r="C4204" s="33">
        <f>Demand!C4202</f>
        <v>16</v>
      </c>
      <c r="D4204" s="33">
        <f>Demand!E4202</f>
        <v>32</v>
      </c>
      <c r="E4204" s="33">
        <f>IF(Demand!F4202,1,0)</f>
        <v>0</v>
      </c>
      <c r="F4204" s="33">
        <f>COUNTIFS(c_store,A4204,c_date,B4204,c_hour,C4204)</f>
        <v>0</v>
      </c>
      <c r="G4204" s="33">
        <f>IF(F4204&gt;0,1,0)</f>
        <v>0</v>
      </c>
      <c r="H4204" s="33">
        <f>COUNTIFS(Demand!$A$2:$A$4481,A4204,Demand!$B$2:$B$4481,B4204,Demand!$C$2:$C$4481,C4204)</f>
        <v>1</v>
      </c>
    </row>
    <row r="4205">
      <c r="A4205" s="32" t="str">
        <f>Demand!A4203</f>
        <v>S003</v>
      </c>
      <c r="B4205" s="35">
        <f>Demand!B4203</f>
        <v>46279.0</v>
      </c>
      <c r="C4205" s="33">
        <f>Demand!C4203</f>
        <v>17</v>
      </c>
      <c r="D4205" s="33">
        <f>Demand!E4203</f>
        <v>33</v>
      </c>
      <c r="E4205" s="33">
        <f>IF(Demand!F4203,1,0)</f>
        <v>0</v>
      </c>
      <c r="F4205" s="33">
        <f>COUNTIFS(c_store,A4205,c_date,B4205,c_hour,C4205)</f>
        <v>0</v>
      </c>
      <c r="G4205" s="33">
        <f>IF(F4205&gt;0,1,0)</f>
        <v>0</v>
      </c>
      <c r="H4205" s="33">
        <f>COUNTIFS(Demand!$A$2:$A$4481,A4205,Demand!$B$2:$B$4481,B4205,Demand!$C$2:$C$4481,C4205)</f>
        <v>1</v>
      </c>
    </row>
    <row r="4206">
      <c r="A4206" s="32" t="str">
        <f>Demand!A4204</f>
        <v>S003</v>
      </c>
      <c r="B4206" s="35">
        <f>Demand!B4204</f>
        <v>46279.0</v>
      </c>
      <c r="C4206" s="33">
        <f>Demand!C4204</f>
        <v>18</v>
      </c>
      <c r="D4206" s="33">
        <f>Demand!E4204</f>
        <v>38</v>
      </c>
      <c r="E4206" s="33">
        <f>IF(Demand!F4204,1,0)</f>
        <v>0</v>
      </c>
      <c r="F4206" s="33">
        <f>COUNTIFS(c_store,A4206,c_date,B4206,c_hour,C4206)</f>
        <v>0</v>
      </c>
      <c r="G4206" s="33">
        <f>IF(F4206&gt;0,1,0)</f>
        <v>0</v>
      </c>
      <c r="H4206" s="33">
        <f>COUNTIFS(Demand!$A$2:$A$4481,A4206,Demand!$B$2:$B$4481,B4206,Demand!$C$2:$C$4481,C4206)</f>
        <v>1</v>
      </c>
    </row>
    <row r="4207">
      <c r="A4207" s="32" t="str">
        <f>Demand!A4205</f>
        <v>S003</v>
      </c>
      <c r="B4207" s="35">
        <f>Demand!B4205</f>
        <v>46279.0</v>
      </c>
      <c r="C4207" s="33">
        <f>Demand!C4205</f>
        <v>19</v>
      </c>
      <c r="D4207" s="33">
        <f>Demand!E4205</f>
        <v>59</v>
      </c>
      <c r="E4207" s="33">
        <f>IF(Demand!F4205,1,0)</f>
        <v>1</v>
      </c>
      <c r="F4207" s="33">
        <f>COUNTIFS(c_store,A4207,c_date,B4207,c_hour,C4207)</f>
        <v>1</v>
      </c>
      <c r="G4207" s="33">
        <f>IF(F4207&gt;0,1,0)</f>
        <v>1</v>
      </c>
      <c r="H4207" s="33">
        <f>COUNTIFS(Demand!$A$2:$A$4481,A4207,Demand!$B$2:$B$4481,B4207,Demand!$C$2:$C$4481,C4207)</f>
        <v>1</v>
      </c>
    </row>
    <row r="4208">
      <c r="A4208" s="32" t="str">
        <f>Demand!A4206</f>
        <v>S003</v>
      </c>
      <c r="B4208" s="35">
        <f>Demand!B4206</f>
        <v>46279.0</v>
      </c>
      <c r="C4208" s="33">
        <f>Demand!C4206</f>
        <v>20</v>
      </c>
      <c r="D4208" s="33">
        <f>Demand!E4206</f>
        <v>68</v>
      </c>
      <c r="E4208" s="33">
        <f>IF(Demand!F4206,1,0)</f>
        <v>1</v>
      </c>
      <c r="F4208" s="33">
        <f>COUNTIFS(c_store,A4208,c_date,B4208,c_hour,C4208)</f>
        <v>0</v>
      </c>
      <c r="G4208" s="33">
        <f>IF(F4208&gt;0,1,0)</f>
        <v>0</v>
      </c>
      <c r="H4208" s="33">
        <f>COUNTIFS(Demand!$A$2:$A$4481,A4208,Demand!$B$2:$B$4481,B4208,Demand!$C$2:$C$4481,C4208)</f>
        <v>1</v>
      </c>
    </row>
    <row r="4209">
      <c r="A4209" s="32" t="str">
        <f>Demand!A4207</f>
        <v>S003</v>
      </c>
      <c r="B4209" s="35">
        <f>Demand!B4207</f>
        <v>46279.0</v>
      </c>
      <c r="C4209" s="33">
        <f>Demand!C4207</f>
        <v>21</v>
      </c>
      <c r="D4209" s="33">
        <f>Demand!E4207</f>
        <v>49</v>
      </c>
      <c r="E4209" s="33">
        <f>IF(Demand!F4207,1,0)</f>
        <v>1</v>
      </c>
      <c r="F4209" s="33">
        <f>COUNTIFS(c_store,A4209,c_date,B4209,c_hour,C4209)</f>
        <v>1</v>
      </c>
      <c r="G4209" s="33">
        <f>IF(F4209&gt;0,1,0)</f>
        <v>1</v>
      </c>
      <c r="H4209" s="33">
        <f>COUNTIFS(Demand!$A$2:$A$4481,A4209,Demand!$B$2:$B$4481,B4209,Demand!$C$2:$C$4481,C4209)</f>
        <v>1</v>
      </c>
    </row>
    <row r="4210">
      <c r="A4210" s="32" t="str">
        <f>Demand!A4208</f>
        <v>S003</v>
      </c>
      <c r="B4210" s="35">
        <f>Demand!B4208</f>
        <v>46279.0</v>
      </c>
      <c r="C4210" s="33">
        <f>Demand!C4208</f>
        <v>22</v>
      </c>
      <c r="D4210" s="33">
        <f>Demand!E4208</f>
        <v>38</v>
      </c>
      <c r="E4210" s="33">
        <f>IF(Demand!F4208,1,0)</f>
        <v>0</v>
      </c>
      <c r="F4210" s="33">
        <f>COUNTIFS(c_store,A4210,c_date,B4210,c_hour,C4210)</f>
        <v>0</v>
      </c>
      <c r="G4210" s="33">
        <f>IF(F4210&gt;0,1,0)</f>
        <v>0</v>
      </c>
      <c r="H4210" s="33">
        <f>COUNTIFS(Demand!$A$2:$A$4481,A4210,Demand!$B$2:$B$4481,B4210,Demand!$C$2:$C$4481,C4210)</f>
        <v>1</v>
      </c>
    </row>
    <row r="4211">
      <c r="A4211" s="32" t="str">
        <f>Demand!A4209</f>
        <v>S003</v>
      </c>
      <c r="B4211" s="35">
        <f>Demand!B4209</f>
        <v>46279.0</v>
      </c>
      <c r="C4211" s="33">
        <f>Demand!C4209</f>
        <v>23</v>
      </c>
      <c r="D4211" s="33">
        <f>Demand!E4209</f>
        <v>48</v>
      </c>
      <c r="E4211" s="33">
        <f>IF(Demand!F4209,1,0)</f>
        <v>0</v>
      </c>
      <c r="F4211" s="33">
        <f>COUNTIFS(c_store,A4211,c_date,B4211,c_hour,C4211)</f>
        <v>1</v>
      </c>
      <c r="G4211" s="33">
        <f>IF(F4211&gt;0,1,0)</f>
        <v>1</v>
      </c>
      <c r="H4211" s="33">
        <f>COUNTIFS(Demand!$A$2:$A$4481,A4211,Demand!$B$2:$B$4481,B4211,Demand!$C$2:$C$4481,C4211)</f>
        <v>1</v>
      </c>
    </row>
    <row r="4212">
      <c r="A4212" s="32" t="str">
        <f>Demand!A4210</f>
        <v>S004</v>
      </c>
      <c r="B4212" s="35">
        <f>Demand!B4210</f>
        <v>46279.0</v>
      </c>
      <c r="C4212" s="33">
        <f>Demand!C4210</f>
        <v>8</v>
      </c>
      <c r="D4212" s="33">
        <f>Demand!E4210</f>
        <v>25</v>
      </c>
      <c r="E4212" s="33">
        <f>IF(Demand!F4210,1,0)</f>
        <v>0</v>
      </c>
      <c r="F4212" s="33">
        <f>COUNTIFS(c_store,A4212,c_date,B4212,c_hour,C4212)</f>
        <v>0</v>
      </c>
      <c r="G4212" s="33">
        <f>IF(F4212&gt;0,1,0)</f>
        <v>0</v>
      </c>
      <c r="H4212" s="33">
        <f>COUNTIFS(Demand!$A$2:$A$4481,A4212,Demand!$B$2:$B$4481,B4212,Demand!$C$2:$C$4481,C4212)</f>
        <v>1</v>
      </c>
    </row>
    <row r="4213">
      <c r="A4213" s="32" t="str">
        <f>Demand!A4211</f>
        <v>S004</v>
      </c>
      <c r="B4213" s="35">
        <f>Demand!B4211</f>
        <v>46279.0</v>
      </c>
      <c r="C4213" s="33">
        <f>Demand!C4211</f>
        <v>9</v>
      </c>
      <c r="D4213" s="33">
        <f>Demand!E4211</f>
        <v>22</v>
      </c>
      <c r="E4213" s="33">
        <f>IF(Demand!F4211,1,0)</f>
        <v>0</v>
      </c>
      <c r="F4213" s="33">
        <f>COUNTIFS(c_store,A4213,c_date,B4213,c_hour,C4213)</f>
        <v>0</v>
      </c>
      <c r="G4213" s="33">
        <f>IF(F4213&gt;0,1,0)</f>
        <v>0</v>
      </c>
      <c r="H4213" s="33">
        <f>COUNTIFS(Demand!$A$2:$A$4481,A4213,Demand!$B$2:$B$4481,B4213,Demand!$C$2:$C$4481,C4213)</f>
        <v>1</v>
      </c>
    </row>
    <row r="4214">
      <c r="A4214" s="32" t="str">
        <f>Demand!A4212</f>
        <v>S004</v>
      </c>
      <c r="B4214" s="35">
        <f>Demand!B4212</f>
        <v>46279.0</v>
      </c>
      <c r="C4214" s="33">
        <f>Demand!C4212</f>
        <v>10</v>
      </c>
      <c r="D4214" s="33">
        <f>Demand!E4212</f>
        <v>19</v>
      </c>
      <c r="E4214" s="33">
        <f>IF(Demand!F4212,1,0)</f>
        <v>0</v>
      </c>
      <c r="F4214" s="33">
        <f>COUNTIFS(c_store,A4214,c_date,B4214,c_hour,C4214)</f>
        <v>0</v>
      </c>
      <c r="G4214" s="33">
        <f>IF(F4214&gt;0,1,0)</f>
        <v>0</v>
      </c>
      <c r="H4214" s="33">
        <f>COUNTIFS(Demand!$A$2:$A$4481,A4214,Demand!$B$2:$B$4481,B4214,Demand!$C$2:$C$4481,C4214)</f>
        <v>1</v>
      </c>
    </row>
    <row r="4215">
      <c r="A4215" s="32" t="str">
        <f>Demand!A4213</f>
        <v>S004</v>
      </c>
      <c r="B4215" s="35">
        <f>Demand!B4213</f>
        <v>46279.0</v>
      </c>
      <c r="C4215" s="33">
        <f>Demand!C4213</f>
        <v>11</v>
      </c>
      <c r="D4215" s="33">
        <f>Demand!E4213</f>
        <v>35</v>
      </c>
      <c r="E4215" s="33">
        <f>IF(Demand!F4213,1,0)</f>
        <v>0</v>
      </c>
      <c r="F4215" s="33">
        <f>COUNTIFS(c_store,A4215,c_date,B4215,c_hour,C4215)</f>
        <v>1</v>
      </c>
      <c r="G4215" s="33">
        <f>IF(F4215&gt;0,1,0)</f>
        <v>1</v>
      </c>
      <c r="H4215" s="33">
        <f>COUNTIFS(Demand!$A$2:$A$4481,A4215,Demand!$B$2:$B$4481,B4215,Demand!$C$2:$C$4481,C4215)</f>
        <v>1</v>
      </c>
    </row>
    <row r="4216">
      <c r="A4216" s="32" t="str">
        <f>Demand!A4214</f>
        <v>S004</v>
      </c>
      <c r="B4216" s="35">
        <f>Demand!B4214</f>
        <v>46279.0</v>
      </c>
      <c r="C4216" s="33">
        <f>Demand!C4214</f>
        <v>12</v>
      </c>
      <c r="D4216" s="33">
        <f>Demand!E4214</f>
        <v>36</v>
      </c>
      <c r="E4216" s="33">
        <f>IF(Demand!F4214,1,0)</f>
        <v>0</v>
      </c>
      <c r="F4216" s="33">
        <f>COUNTIFS(c_store,A4216,c_date,B4216,c_hour,C4216)</f>
        <v>0</v>
      </c>
      <c r="G4216" s="33">
        <f>IF(F4216&gt;0,1,0)</f>
        <v>0</v>
      </c>
      <c r="H4216" s="33">
        <f>COUNTIFS(Demand!$A$2:$A$4481,A4216,Demand!$B$2:$B$4481,B4216,Demand!$C$2:$C$4481,C4216)</f>
        <v>1</v>
      </c>
    </row>
    <row r="4217">
      <c r="A4217" s="32" t="str">
        <f>Demand!A4215</f>
        <v>S004</v>
      </c>
      <c r="B4217" s="35">
        <f>Demand!B4215</f>
        <v>46279.0</v>
      </c>
      <c r="C4217" s="33">
        <f>Demand!C4215</f>
        <v>13</v>
      </c>
      <c r="D4217" s="33">
        <f>Demand!E4215</f>
        <v>32</v>
      </c>
      <c r="E4217" s="33">
        <f>IF(Demand!F4215,1,0)</f>
        <v>0</v>
      </c>
      <c r="F4217" s="33">
        <f>COUNTIFS(c_store,A4217,c_date,B4217,c_hour,C4217)</f>
        <v>1</v>
      </c>
      <c r="G4217" s="33">
        <f>IF(F4217&gt;0,1,0)</f>
        <v>1</v>
      </c>
      <c r="H4217" s="33">
        <f>COUNTIFS(Demand!$A$2:$A$4481,A4217,Demand!$B$2:$B$4481,B4217,Demand!$C$2:$C$4481,C4217)</f>
        <v>1</v>
      </c>
    </row>
    <row r="4218">
      <c r="A4218" s="32" t="str">
        <f>Demand!A4216</f>
        <v>S004</v>
      </c>
      <c r="B4218" s="35">
        <f>Demand!B4216</f>
        <v>46279.0</v>
      </c>
      <c r="C4218" s="33">
        <f>Demand!C4216</f>
        <v>14</v>
      </c>
      <c r="D4218" s="33">
        <f>Demand!E4216</f>
        <v>30</v>
      </c>
      <c r="E4218" s="33">
        <f>IF(Demand!F4216,1,0)</f>
        <v>0</v>
      </c>
      <c r="F4218" s="33">
        <f>COUNTIFS(c_store,A4218,c_date,B4218,c_hour,C4218)</f>
        <v>1</v>
      </c>
      <c r="G4218" s="33">
        <f>IF(F4218&gt;0,1,0)</f>
        <v>1</v>
      </c>
      <c r="H4218" s="33">
        <f>COUNTIFS(Demand!$A$2:$A$4481,A4218,Demand!$B$2:$B$4481,B4218,Demand!$C$2:$C$4481,C4218)</f>
        <v>1</v>
      </c>
    </row>
    <row r="4219">
      <c r="A4219" s="32" t="str">
        <f>Demand!A4217</f>
        <v>S004</v>
      </c>
      <c r="B4219" s="35">
        <f>Demand!B4217</f>
        <v>46279.0</v>
      </c>
      <c r="C4219" s="33">
        <f>Demand!C4217</f>
        <v>15</v>
      </c>
      <c r="D4219" s="33">
        <f>Demand!E4217</f>
        <v>32</v>
      </c>
      <c r="E4219" s="33">
        <f>IF(Demand!F4217,1,0)</f>
        <v>0</v>
      </c>
      <c r="F4219" s="33">
        <f>COUNTIFS(c_store,A4219,c_date,B4219,c_hour,C4219)</f>
        <v>0</v>
      </c>
      <c r="G4219" s="33">
        <f>IF(F4219&gt;0,1,0)</f>
        <v>0</v>
      </c>
      <c r="H4219" s="33">
        <f>COUNTIFS(Demand!$A$2:$A$4481,A4219,Demand!$B$2:$B$4481,B4219,Demand!$C$2:$C$4481,C4219)</f>
        <v>1</v>
      </c>
    </row>
    <row r="4220">
      <c r="A4220" s="32" t="str">
        <f>Demand!A4218</f>
        <v>S004</v>
      </c>
      <c r="B4220" s="35">
        <f>Demand!B4218</f>
        <v>46279.0</v>
      </c>
      <c r="C4220" s="33">
        <f>Demand!C4218</f>
        <v>16</v>
      </c>
      <c r="D4220" s="33">
        <f>Demand!E4218</f>
        <v>48</v>
      </c>
      <c r="E4220" s="33">
        <f>IF(Demand!F4218,1,0)</f>
        <v>0</v>
      </c>
      <c r="F4220" s="33">
        <f>COUNTIFS(c_store,A4220,c_date,B4220,c_hour,C4220)</f>
        <v>0</v>
      </c>
      <c r="G4220" s="33">
        <f>IF(F4220&gt;0,1,0)</f>
        <v>0</v>
      </c>
      <c r="H4220" s="33">
        <f>COUNTIFS(Demand!$A$2:$A$4481,A4220,Demand!$B$2:$B$4481,B4220,Demand!$C$2:$C$4481,C4220)</f>
        <v>1</v>
      </c>
    </row>
    <row r="4221">
      <c r="A4221" s="32" t="str">
        <f>Demand!A4219</f>
        <v>S004</v>
      </c>
      <c r="B4221" s="35">
        <f>Demand!B4219</f>
        <v>46279.0</v>
      </c>
      <c r="C4221" s="33">
        <f>Demand!C4219</f>
        <v>17</v>
      </c>
      <c r="D4221" s="33">
        <f>Demand!E4219</f>
        <v>58</v>
      </c>
      <c r="E4221" s="33">
        <f>IF(Demand!F4219,1,0)</f>
        <v>0</v>
      </c>
      <c r="F4221" s="33">
        <f>COUNTIFS(c_store,A4221,c_date,B4221,c_hour,C4221)</f>
        <v>0</v>
      </c>
      <c r="G4221" s="33">
        <f>IF(F4221&gt;0,1,0)</f>
        <v>0</v>
      </c>
      <c r="H4221" s="33">
        <f>COUNTIFS(Demand!$A$2:$A$4481,A4221,Demand!$B$2:$B$4481,B4221,Demand!$C$2:$C$4481,C4221)</f>
        <v>1</v>
      </c>
    </row>
    <row r="4222">
      <c r="A4222" s="32" t="str">
        <f>Demand!A4220</f>
        <v>S004</v>
      </c>
      <c r="B4222" s="35">
        <f>Demand!B4220</f>
        <v>46279.0</v>
      </c>
      <c r="C4222" s="33">
        <f>Demand!C4220</f>
        <v>18</v>
      </c>
      <c r="D4222" s="33">
        <f>Demand!E4220</f>
        <v>37</v>
      </c>
      <c r="E4222" s="33">
        <f>IF(Demand!F4220,1,0)</f>
        <v>0</v>
      </c>
      <c r="F4222" s="33">
        <f>COUNTIFS(c_store,A4222,c_date,B4222,c_hour,C4222)</f>
        <v>0</v>
      </c>
      <c r="G4222" s="33">
        <f>IF(F4222&gt;0,1,0)</f>
        <v>0</v>
      </c>
      <c r="H4222" s="33">
        <f>COUNTIFS(Demand!$A$2:$A$4481,A4222,Demand!$B$2:$B$4481,B4222,Demand!$C$2:$C$4481,C4222)</f>
        <v>1</v>
      </c>
    </row>
    <row r="4223">
      <c r="A4223" s="32" t="str">
        <f>Demand!A4221</f>
        <v>S004</v>
      </c>
      <c r="B4223" s="35">
        <f>Demand!B4221</f>
        <v>46279.0</v>
      </c>
      <c r="C4223" s="33">
        <f>Demand!C4221</f>
        <v>19</v>
      </c>
      <c r="D4223" s="33">
        <f>Demand!E4221</f>
        <v>63</v>
      </c>
      <c r="E4223" s="33">
        <f>IF(Demand!F4221,1,0)</f>
        <v>1</v>
      </c>
      <c r="F4223" s="33">
        <f>COUNTIFS(c_store,A4223,c_date,B4223,c_hour,C4223)</f>
        <v>0</v>
      </c>
      <c r="G4223" s="33">
        <f>IF(F4223&gt;0,1,0)</f>
        <v>0</v>
      </c>
      <c r="H4223" s="33">
        <f>COUNTIFS(Demand!$A$2:$A$4481,A4223,Demand!$B$2:$B$4481,B4223,Demand!$C$2:$C$4481,C4223)</f>
        <v>1</v>
      </c>
    </row>
    <row r="4224">
      <c r="A4224" s="32" t="str">
        <f>Demand!A4222</f>
        <v>S004</v>
      </c>
      <c r="B4224" s="35">
        <f>Demand!B4222</f>
        <v>46279.0</v>
      </c>
      <c r="C4224" s="33">
        <f>Demand!C4222</f>
        <v>20</v>
      </c>
      <c r="D4224" s="33">
        <f>Demand!E4222</f>
        <v>54</v>
      </c>
      <c r="E4224" s="33">
        <f>IF(Demand!F4222,1,0)</f>
        <v>1</v>
      </c>
      <c r="F4224" s="33">
        <f>COUNTIFS(c_store,A4224,c_date,B4224,c_hour,C4224)</f>
        <v>0</v>
      </c>
      <c r="G4224" s="33">
        <f>IF(F4224&gt;0,1,0)</f>
        <v>0</v>
      </c>
      <c r="H4224" s="33">
        <f>COUNTIFS(Demand!$A$2:$A$4481,A4224,Demand!$B$2:$B$4481,B4224,Demand!$C$2:$C$4481,C4224)</f>
        <v>1</v>
      </c>
    </row>
    <row r="4225">
      <c r="A4225" s="32" t="str">
        <f>Demand!A4223</f>
        <v>S004</v>
      </c>
      <c r="B4225" s="35">
        <f>Demand!B4223</f>
        <v>46279.0</v>
      </c>
      <c r="C4225" s="33">
        <f>Demand!C4223</f>
        <v>21</v>
      </c>
      <c r="D4225" s="33">
        <f>Demand!E4223</f>
        <v>62</v>
      </c>
      <c r="E4225" s="33">
        <f>IF(Demand!F4223,1,0)</f>
        <v>1</v>
      </c>
      <c r="F4225" s="33">
        <f>COUNTIFS(c_store,A4225,c_date,B4225,c_hour,C4225)</f>
        <v>0</v>
      </c>
      <c r="G4225" s="33">
        <f>IF(F4225&gt;0,1,0)</f>
        <v>0</v>
      </c>
      <c r="H4225" s="33">
        <f>COUNTIFS(Demand!$A$2:$A$4481,A4225,Demand!$B$2:$B$4481,B4225,Demand!$C$2:$C$4481,C4225)</f>
        <v>1</v>
      </c>
    </row>
    <row r="4226">
      <c r="A4226" s="32" t="str">
        <f>Demand!A4224</f>
        <v>S004</v>
      </c>
      <c r="B4226" s="35">
        <f>Demand!B4224</f>
        <v>46279.0</v>
      </c>
      <c r="C4226" s="33">
        <f>Demand!C4224</f>
        <v>22</v>
      </c>
      <c r="D4226" s="33">
        <f>Demand!E4224</f>
        <v>28</v>
      </c>
      <c r="E4226" s="33">
        <f>IF(Demand!F4224,1,0)</f>
        <v>0</v>
      </c>
      <c r="F4226" s="33">
        <f>COUNTIFS(c_store,A4226,c_date,B4226,c_hour,C4226)</f>
        <v>1</v>
      </c>
      <c r="G4226" s="33">
        <f>IF(F4226&gt;0,1,0)</f>
        <v>1</v>
      </c>
      <c r="H4226" s="33">
        <f>COUNTIFS(Demand!$A$2:$A$4481,A4226,Demand!$B$2:$B$4481,B4226,Demand!$C$2:$C$4481,C4226)</f>
        <v>1</v>
      </c>
    </row>
    <row r="4227">
      <c r="A4227" s="32" t="str">
        <f>Demand!A4225</f>
        <v>S004</v>
      </c>
      <c r="B4227" s="35">
        <f>Demand!B4225</f>
        <v>46279.0</v>
      </c>
      <c r="C4227" s="33">
        <f>Demand!C4225</f>
        <v>23</v>
      </c>
      <c r="D4227" s="33">
        <f>Demand!E4225</f>
        <v>31</v>
      </c>
      <c r="E4227" s="33">
        <f>IF(Demand!F4225,1,0)</f>
        <v>0</v>
      </c>
      <c r="F4227" s="33">
        <f>COUNTIFS(c_store,A4227,c_date,B4227,c_hour,C4227)</f>
        <v>0</v>
      </c>
      <c r="G4227" s="33">
        <f>IF(F4227&gt;0,1,0)</f>
        <v>0</v>
      </c>
      <c r="H4227" s="33">
        <f>COUNTIFS(Demand!$A$2:$A$4481,A4227,Demand!$B$2:$B$4481,B4227,Demand!$C$2:$C$4481,C4227)</f>
        <v>1</v>
      </c>
    </row>
    <row r="4228">
      <c r="A4228" s="32" t="str">
        <f>Demand!A4226</f>
        <v>S005</v>
      </c>
      <c r="B4228" s="35">
        <f>Demand!B4226</f>
        <v>46279.0</v>
      </c>
      <c r="C4228" s="33">
        <f>Demand!C4226</f>
        <v>8</v>
      </c>
      <c r="D4228" s="33">
        <f>Demand!E4226</f>
        <v>13</v>
      </c>
      <c r="E4228" s="33">
        <f>IF(Demand!F4226,1,0)</f>
        <v>0</v>
      </c>
      <c r="F4228" s="33">
        <f>COUNTIFS(c_store,A4228,c_date,B4228,c_hour,C4228)</f>
        <v>2</v>
      </c>
      <c r="G4228" s="33">
        <f>IF(F4228&gt;0,1,0)</f>
        <v>1</v>
      </c>
      <c r="H4228" s="33">
        <f>COUNTIFS(Demand!$A$2:$A$4481,A4228,Demand!$B$2:$B$4481,B4228,Demand!$C$2:$C$4481,C4228)</f>
        <v>1</v>
      </c>
    </row>
    <row r="4229">
      <c r="A4229" s="32" t="str">
        <f>Demand!A4227</f>
        <v>S005</v>
      </c>
      <c r="B4229" s="35">
        <f>Demand!B4227</f>
        <v>46279.0</v>
      </c>
      <c r="C4229" s="33">
        <f>Demand!C4227</f>
        <v>9</v>
      </c>
      <c r="D4229" s="33">
        <f>Demand!E4227</f>
        <v>10</v>
      </c>
      <c r="E4229" s="33">
        <f>IF(Demand!F4227,1,0)</f>
        <v>0</v>
      </c>
      <c r="F4229" s="33">
        <f>COUNTIFS(c_store,A4229,c_date,B4229,c_hour,C4229)</f>
        <v>0</v>
      </c>
      <c r="G4229" s="33">
        <f>IF(F4229&gt;0,1,0)</f>
        <v>0</v>
      </c>
      <c r="H4229" s="33">
        <f>COUNTIFS(Demand!$A$2:$A$4481,A4229,Demand!$B$2:$B$4481,B4229,Demand!$C$2:$C$4481,C4229)</f>
        <v>1</v>
      </c>
    </row>
    <row r="4230">
      <c r="A4230" s="32" t="str">
        <f>Demand!A4228</f>
        <v>S005</v>
      </c>
      <c r="B4230" s="35">
        <f>Demand!B4228</f>
        <v>46279.0</v>
      </c>
      <c r="C4230" s="33">
        <f>Demand!C4228</f>
        <v>10</v>
      </c>
      <c r="D4230" s="33">
        <f>Demand!E4228</f>
        <v>9</v>
      </c>
      <c r="E4230" s="33">
        <f>IF(Demand!F4228,1,0)</f>
        <v>0</v>
      </c>
      <c r="F4230" s="33">
        <f>COUNTIFS(c_store,A4230,c_date,B4230,c_hour,C4230)</f>
        <v>0</v>
      </c>
      <c r="G4230" s="33">
        <f>IF(F4230&gt;0,1,0)</f>
        <v>0</v>
      </c>
      <c r="H4230" s="33">
        <f>COUNTIFS(Demand!$A$2:$A$4481,A4230,Demand!$B$2:$B$4481,B4230,Demand!$C$2:$C$4481,C4230)</f>
        <v>1</v>
      </c>
    </row>
    <row r="4231">
      <c r="A4231" s="32" t="str">
        <f>Demand!A4229</f>
        <v>S005</v>
      </c>
      <c r="B4231" s="35">
        <f>Demand!B4229</f>
        <v>46279.0</v>
      </c>
      <c r="C4231" s="33">
        <f>Demand!C4229</f>
        <v>11</v>
      </c>
      <c r="D4231" s="33">
        <f>Demand!E4229</f>
        <v>17</v>
      </c>
      <c r="E4231" s="33">
        <f>IF(Demand!F4229,1,0)</f>
        <v>0</v>
      </c>
      <c r="F4231" s="33">
        <f>COUNTIFS(c_store,A4231,c_date,B4231,c_hour,C4231)</f>
        <v>1</v>
      </c>
      <c r="G4231" s="33">
        <f>IF(F4231&gt;0,1,0)</f>
        <v>1</v>
      </c>
      <c r="H4231" s="33">
        <f>COUNTIFS(Demand!$A$2:$A$4481,A4231,Demand!$B$2:$B$4481,B4231,Demand!$C$2:$C$4481,C4231)</f>
        <v>1</v>
      </c>
    </row>
    <row r="4232">
      <c r="A4232" s="32" t="str">
        <f>Demand!A4230</f>
        <v>S005</v>
      </c>
      <c r="B4232" s="35">
        <f>Demand!B4230</f>
        <v>46279.0</v>
      </c>
      <c r="C4232" s="33">
        <f>Demand!C4230</f>
        <v>12</v>
      </c>
      <c r="D4232" s="33">
        <f>Demand!E4230</f>
        <v>17</v>
      </c>
      <c r="E4232" s="33">
        <f>IF(Demand!F4230,1,0)</f>
        <v>0</v>
      </c>
      <c r="F4232" s="33">
        <f>COUNTIFS(c_store,A4232,c_date,B4232,c_hour,C4232)</f>
        <v>1</v>
      </c>
      <c r="G4232" s="33">
        <f>IF(F4232&gt;0,1,0)</f>
        <v>1</v>
      </c>
      <c r="H4232" s="33">
        <f>COUNTIFS(Demand!$A$2:$A$4481,A4232,Demand!$B$2:$B$4481,B4232,Demand!$C$2:$C$4481,C4232)</f>
        <v>1</v>
      </c>
    </row>
    <row r="4233">
      <c r="A4233" s="32" t="str">
        <f>Demand!A4231</f>
        <v>S005</v>
      </c>
      <c r="B4233" s="35">
        <f>Demand!B4231</f>
        <v>46279.0</v>
      </c>
      <c r="C4233" s="33">
        <f>Demand!C4231</f>
        <v>13</v>
      </c>
      <c r="D4233" s="33">
        <f>Demand!E4231</f>
        <v>12</v>
      </c>
      <c r="E4233" s="33">
        <f>IF(Demand!F4231,1,0)</f>
        <v>0</v>
      </c>
      <c r="F4233" s="33">
        <f>COUNTIFS(c_store,A4233,c_date,B4233,c_hour,C4233)</f>
        <v>0</v>
      </c>
      <c r="G4233" s="33">
        <f>IF(F4233&gt;0,1,0)</f>
        <v>0</v>
      </c>
      <c r="H4233" s="33">
        <f>COUNTIFS(Demand!$A$2:$A$4481,A4233,Demand!$B$2:$B$4481,B4233,Demand!$C$2:$C$4481,C4233)</f>
        <v>1</v>
      </c>
    </row>
    <row r="4234">
      <c r="A4234" s="32" t="str">
        <f>Demand!A4232</f>
        <v>S005</v>
      </c>
      <c r="B4234" s="35">
        <f>Demand!B4232</f>
        <v>46279.0</v>
      </c>
      <c r="C4234" s="33">
        <f>Demand!C4232</f>
        <v>14</v>
      </c>
      <c r="D4234" s="33">
        <f>Demand!E4232</f>
        <v>9</v>
      </c>
      <c r="E4234" s="33">
        <f>IF(Demand!F4232,1,0)</f>
        <v>0</v>
      </c>
      <c r="F4234" s="33">
        <f>COUNTIFS(c_store,A4234,c_date,B4234,c_hour,C4234)</f>
        <v>0</v>
      </c>
      <c r="G4234" s="33">
        <f>IF(F4234&gt;0,1,0)</f>
        <v>0</v>
      </c>
      <c r="H4234" s="33">
        <f>COUNTIFS(Demand!$A$2:$A$4481,A4234,Demand!$B$2:$B$4481,B4234,Demand!$C$2:$C$4481,C4234)</f>
        <v>1</v>
      </c>
    </row>
    <row r="4235">
      <c r="A4235" s="32" t="str">
        <f>Demand!A4233</f>
        <v>S005</v>
      </c>
      <c r="B4235" s="35">
        <f>Demand!B4233</f>
        <v>46279.0</v>
      </c>
      <c r="C4235" s="33">
        <f>Demand!C4233</f>
        <v>15</v>
      </c>
      <c r="D4235" s="33">
        <f>Demand!E4233</f>
        <v>16</v>
      </c>
      <c r="E4235" s="33">
        <f>IF(Demand!F4233,1,0)</f>
        <v>0</v>
      </c>
      <c r="F4235" s="33">
        <f>COUNTIFS(c_store,A4235,c_date,B4235,c_hour,C4235)</f>
        <v>0</v>
      </c>
      <c r="G4235" s="33">
        <f>IF(F4235&gt;0,1,0)</f>
        <v>0</v>
      </c>
      <c r="H4235" s="33">
        <f>COUNTIFS(Demand!$A$2:$A$4481,A4235,Demand!$B$2:$B$4481,B4235,Demand!$C$2:$C$4481,C4235)</f>
        <v>1</v>
      </c>
    </row>
    <row r="4236">
      <c r="A4236" s="32" t="str">
        <f>Demand!A4234</f>
        <v>S005</v>
      </c>
      <c r="B4236" s="35">
        <f>Demand!B4234</f>
        <v>46279.0</v>
      </c>
      <c r="C4236" s="33">
        <f>Demand!C4234</f>
        <v>16</v>
      </c>
      <c r="D4236" s="33">
        <f>Demand!E4234</f>
        <v>8</v>
      </c>
      <c r="E4236" s="33">
        <f>IF(Demand!F4234,1,0)</f>
        <v>0</v>
      </c>
      <c r="F4236" s="33">
        <f>COUNTIFS(c_store,A4236,c_date,B4236,c_hour,C4236)</f>
        <v>0</v>
      </c>
      <c r="G4236" s="33">
        <f>IF(F4236&gt;0,1,0)</f>
        <v>0</v>
      </c>
      <c r="H4236" s="33">
        <f>COUNTIFS(Demand!$A$2:$A$4481,A4236,Demand!$B$2:$B$4481,B4236,Demand!$C$2:$C$4481,C4236)</f>
        <v>1</v>
      </c>
    </row>
    <row r="4237">
      <c r="A4237" s="32" t="str">
        <f>Demand!A4235</f>
        <v>S005</v>
      </c>
      <c r="B4237" s="35">
        <f>Demand!B4235</f>
        <v>46279.0</v>
      </c>
      <c r="C4237" s="33">
        <f>Demand!C4235</f>
        <v>17</v>
      </c>
      <c r="D4237" s="33">
        <f>Demand!E4235</f>
        <v>14</v>
      </c>
      <c r="E4237" s="33">
        <f>IF(Demand!F4235,1,0)</f>
        <v>0</v>
      </c>
      <c r="F4237" s="33">
        <f>COUNTIFS(c_store,A4237,c_date,B4237,c_hour,C4237)</f>
        <v>0</v>
      </c>
      <c r="G4237" s="33">
        <f>IF(F4237&gt;0,1,0)</f>
        <v>0</v>
      </c>
      <c r="H4237" s="33">
        <f>COUNTIFS(Demand!$A$2:$A$4481,A4237,Demand!$B$2:$B$4481,B4237,Demand!$C$2:$C$4481,C4237)</f>
        <v>1</v>
      </c>
    </row>
    <row r="4238">
      <c r="A4238" s="32" t="str">
        <f>Demand!A4236</f>
        <v>S005</v>
      </c>
      <c r="B4238" s="35">
        <f>Demand!B4236</f>
        <v>46279.0</v>
      </c>
      <c r="C4238" s="33">
        <f>Demand!C4236</f>
        <v>18</v>
      </c>
      <c r="D4238" s="33">
        <f>Demand!E4236</f>
        <v>18</v>
      </c>
      <c r="E4238" s="33">
        <f>IF(Demand!F4236,1,0)</f>
        <v>0</v>
      </c>
      <c r="F4238" s="33">
        <f>COUNTIFS(c_store,A4238,c_date,B4238,c_hour,C4238)</f>
        <v>1</v>
      </c>
      <c r="G4238" s="33">
        <f>IF(F4238&gt;0,1,0)</f>
        <v>1</v>
      </c>
      <c r="H4238" s="33">
        <f>COUNTIFS(Demand!$A$2:$A$4481,A4238,Demand!$B$2:$B$4481,B4238,Demand!$C$2:$C$4481,C4238)</f>
        <v>1</v>
      </c>
    </row>
    <row r="4239">
      <c r="A4239" s="32" t="str">
        <f>Demand!A4237</f>
        <v>S005</v>
      </c>
      <c r="B4239" s="35">
        <f>Demand!B4237</f>
        <v>46279.0</v>
      </c>
      <c r="C4239" s="33">
        <f>Demand!C4237</f>
        <v>19</v>
      </c>
      <c r="D4239" s="33">
        <f>Demand!E4237</f>
        <v>20</v>
      </c>
      <c r="E4239" s="33">
        <f>IF(Demand!F4237,1,0)</f>
        <v>1</v>
      </c>
      <c r="F4239" s="33">
        <f>COUNTIFS(c_store,A4239,c_date,B4239,c_hour,C4239)</f>
        <v>0</v>
      </c>
      <c r="G4239" s="33">
        <f>IF(F4239&gt;0,1,0)</f>
        <v>0</v>
      </c>
      <c r="H4239" s="33">
        <f>COUNTIFS(Demand!$A$2:$A$4481,A4239,Demand!$B$2:$B$4481,B4239,Demand!$C$2:$C$4481,C4239)</f>
        <v>1</v>
      </c>
    </row>
    <row r="4240">
      <c r="A4240" s="32" t="str">
        <f>Demand!A4238</f>
        <v>S005</v>
      </c>
      <c r="B4240" s="35">
        <f>Demand!B4238</f>
        <v>46279.0</v>
      </c>
      <c r="C4240" s="33">
        <f>Demand!C4238</f>
        <v>20</v>
      </c>
      <c r="D4240" s="33">
        <f>Demand!E4238</f>
        <v>16</v>
      </c>
      <c r="E4240" s="33">
        <f>IF(Demand!F4238,1,0)</f>
        <v>1</v>
      </c>
      <c r="F4240" s="33">
        <f>COUNTIFS(c_store,A4240,c_date,B4240,c_hour,C4240)</f>
        <v>0</v>
      </c>
      <c r="G4240" s="33">
        <f>IF(F4240&gt;0,1,0)</f>
        <v>0</v>
      </c>
      <c r="H4240" s="33">
        <f>COUNTIFS(Demand!$A$2:$A$4481,A4240,Demand!$B$2:$B$4481,B4240,Demand!$C$2:$C$4481,C4240)</f>
        <v>1</v>
      </c>
    </row>
    <row r="4241">
      <c r="A4241" s="32" t="str">
        <f>Demand!A4239</f>
        <v>S005</v>
      </c>
      <c r="B4241" s="35">
        <f>Demand!B4239</f>
        <v>46279.0</v>
      </c>
      <c r="C4241" s="33">
        <f>Demand!C4239</f>
        <v>21</v>
      </c>
      <c r="D4241" s="33">
        <f>Demand!E4239</f>
        <v>20</v>
      </c>
      <c r="E4241" s="33">
        <f>IF(Demand!F4239,1,0)</f>
        <v>1</v>
      </c>
      <c r="F4241" s="33">
        <f>COUNTIFS(c_store,A4241,c_date,B4241,c_hour,C4241)</f>
        <v>0</v>
      </c>
      <c r="G4241" s="33">
        <f>IF(F4241&gt;0,1,0)</f>
        <v>0</v>
      </c>
      <c r="H4241" s="33">
        <f>COUNTIFS(Demand!$A$2:$A$4481,A4241,Demand!$B$2:$B$4481,B4241,Demand!$C$2:$C$4481,C4241)</f>
        <v>1</v>
      </c>
    </row>
    <row r="4242">
      <c r="A4242" s="32" t="str">
        <f>Demand!A4240</f>
        <v>S005</v>
      </c>
      <c r="B4242" s="35">
        <f>Demand!B4240</f>
        <v>46279.0</v>
      </c>
      <c r="C4242" s="33">
        <f>Demand!C4240</f>
        <v>22</v>
      </c>
      <c r="D4242" s="33">
        <f>Demand!E4240</f>
        <v>14</v>
      </c>
      <c r="E4242" s="33">
        <f>IF(Demand!F4240,1,0)</f>
        <v>0</v>
      </c>
      <c r="F4242" s="33">
        <f>COUNTIFS(c_store,A4242,c_date,B4242,c_hour,C4242)</f>
        <v>1</v>
      </c>
      <c r="G4242" s="33">
        <f>IF(F4242&gt;0,1,0)</f>
        <v>1</v>
      </c>
      <c r="H4242" s="33">
        <f>COUNTIFS(Demand!$A$2:$A$4481,A4242,Demand!$B$2:$B$4481,B4242,Demand!$C$2:$C$4481,C4242)</f>
        <v>1</v>
      </c>
    </row>
    <row r="4243">
      <c r="A4243" s="32" t="str">
        <f>Demand!A4241</f>
        <v>S005</v>
      </c>
      <c r="B4243" s="35">
        <f>Demand!B4241</f>
        <v>46279.0</v>
      </c>
      <c r="C4243" s="33">
        <f>Demand!C4241</f>
        <v>23</v>
      </c>
      <c r="D4243" s="33">
        <f>Demand!E4241</f>
        <v>23</v>
      </c>
      <c r="E4243" s="33">
        <f>IF(Demand!F4241,1,0)</f>
        <v>0</v>
      </c>
      <c r="F4243" s="33">
        <f>COUNTIFS(c_store,A4243,c_date,B4243,c_hour,C4243)</f>
        <v>1</v>
      </c>
      <c r="G4243" s="33">
        <f>IF(F4243&gt;0,1,0)</f>
        <v>1</v>
      </c>
      <c r="H4243" s="33">
        <f>COUNTIFS(Demand!$A$2:$A$4481,A4243,Demand!$B$2:$B$4481,B4243,Demand!$C$2:$C$4481,C4243)</f>
        <v>1</v>
      </c>
    </row>
    <row r="4244">
      <c r="A4244" s="32" t="str">
        <f>Demand!A4242</f>
        <v>S006</v>
      </c>
      <c r="B4244" s="35">
        <f>Demand!B4242</f>
        <v>46279.0</v>
      </c>
      <c r="C4244" s="33">
        <f>Demand!C4242</f>
        <v>8</v>
      </c>
      <c r="D4244" s="33">
        <f>Demand!E4242</f>
        <v>26</v>
      </c>
      <c r="E4244" s="33">
        <f>IF(Demand!F4242,1,0)</f>
        <v>0</v>
      </c>
      <c r="F4244" s="33">
        <f>COUNTIFS(c_store,A4244,c_date,B4244,c_hour,C4244)</f>
        <v>0</v>
      </c>
      <c r="G4244" s="33">
        <f>IF(F4244&gt;0,1,0)</f>
        <v>0</v>
      </c>
      <c r="H4244" s="33">
        <f>COUNTIFS(Demand!$A$2:$A$4481,A4244,Demand!$B$2:$B$4481,B4244,Demand!$C$2:$C$4481,C4244)</f>
        <v>1</v>
      </c>
    </row>
    <row r="4245">
      <c r="A4245" s="32" t="str">
        <f>Demand!A4243</f>
        <v>S006</v>
      </c>
      <c r="B4245" s="35">
        <f>Demand!B4243</f>
        <v>46279.0</v>
      </c>
      <c r="C4245" s="33">
        <f>Demand!C4243</f>
        <v>9</v>
      </c>
      <c r="D4245" s="33">
        <f>Demand!E4243</f>
        <v>18</v>
      </c>
      <c r="E4245" s="33">
        <f>IF(Demand!F4243,1,0)</f>
        <v>0</v>
      </c>
      <c r="F4245" s="33">
        <f>COUNTIFS(c_store,A4245,c_date,B4245,c_hour,C4245)</f>
        <v>0</v>
      </c>
      <c r="G4245" s="33">
        <f>IF(F4245&gt;0,1,0)</f>
        <v>0</v>
      </c>
      <c r="H4245" s="33">
        <f>COUNTIFS(Demand!$A$2:$A$4481,A4245,Demand!$B$2:$B$4481,B4245,Demand!$C$2:$C$4481,C4245)</f>
        <v>1</v>
      </c>
    </row>
    <row r="4246">
      <c r="A4246" s="32" t="str">
        <f>Demand!A4244</f>
        <v>S006</v>
      </c>
      <c r="B4246" s="35">
        <f>Demand!B4244</f>
        <v>46279.0</v>
      </c>
      <c r="C4246" s="33">
        <f>Demand!C4244</f>
        <v>10</v>
      </c>
      <c r="D4246" s="33">
        <f>Demand!E4244</f>
        <v>17</v>
      </c>
      <c r="E4246" s="33">
        <f>IF(Demand!F4244,1,0)</f>
        <v>0</v>
      </c>
      <c r="F4246" s="33">
        <f>COUNTIFS(c_store,A4246,c_date,B4246,c_hour,C4246)</f>
        <v>0</v>
      </c>
      <c r="G4246" s="33">
        <f>IF(F4246&gt;0,1,0)</f>
        <v>0</v>
      </c>
      <c r="H4246" s="33">
        <f>COUNTIFS(Demand!$A$2:$A$4481,A4246,Demand!$B$2:$B$4481,B4246,Demand!$C$2:$C$4481,C4246)</f>
        <v>1</v>
      </c>
    </row>
    <row r="4247">
      <c r="A4247" s="32" t="str">
        <f>Demand!A4245</f>
        <v>S006</v>
      </c>
      <c r="B4247" s="35">
        <f>Demand!B4245</f>
        <v>46279.0</v>
      </c>
      <c r="C4247" s="33">
        <f>Demand!C4245</f>
        <v>11</v>
      </c>
      <c r="D4247" s="33">
        <f>Demand!E4245</f>
        <v>22</v>
      </c>
      <c r="E4247" s="33">
        <f>IF(Demand!F4245,1,0)</f>
        <v>0</v>
      </c>
      <c r="F4247" s="33">
        <f>COUNTIFS(c_store,A4247,c_date,B4247,c_hour,C4247)</f>
        <v>0</v>
      </c>
      <c r="G4247" s="33">
        <f>IF(F4247&gt;0,1,0)</f>
        <v>0</v>
      </c>
      <c r="H4247" s="33">
        <f>COUNTIFS(Demand!$A$2:$A$4481,A4247,Demand!$B$2:$B$4481,B4247,Demand!$C$2:$C$4481,C4247)</f>
        <v>1</v>
      </c>
    </row>
    <row r="4248">
      <c r="A4248" s="32" t="str">
        <f>Demand!A4246</f>
        <v>S006</v>
      </c>
      <c r="B4248" s="35">
        <f>Demand!B4246</f>
        <v>46279.0</v>
      </c>
      <c r="C4248" s="33">
        <f>Demand!C4246</f>
        <v>12</v>
      </c>
      <c r="D4248" s="33">
        <f>Demand!E4246</f>
        <v>25</v>
      </c>
      <c r="E4248" s="33">
        <f>IF(Demand!F4246,1,0)</f>
        <v>0</v>
      </c>
      <c r="F4248" s="33">
        <f>COUNTIFS(c_store,A4248,c_date,B4248,c_hour,C4248)</f>
        <v>3</v>
      </c>
      <c r="G4248" s="33">
        <f>IF(F4248&gt;0,1,0)</f>
        <v>1</v>
      </c>
      <c r="H4248" s="33">
        <f>COUNTIFS(Demand!$A$2:$A$4481,A4248,Demand!$B$2:$B$4481,B4248,Demand!$C$2:$C$4481,C4248)</f>
        <v>1</v>
      </c>
    </row>
    <row r="4249">
      <c r="A4249" s="32" t="str">
        <f>Demand!A4247</f>
        <v>S006</v>
      </c>
      <c r="B4249" s="35">
        <f>Demand!B4247</f>
        <v>46279.0</v>
      </c>
      <c r="C4249" s="33">
        <f>Demand!C4247</f>
        <v>13</v>
      </c>
      <c r="D4249" s="33">
        <f>Demand!E4247</f>
        <v>33</v>
      </c>
      <c r="E4249" s="33">
        <f>IF(Demand!F4247,1,0)</f>
        <v>0</v>
      </c>
      <c r="F4249" s="33">
        <f>COUNTIFS(c_store,A4249,c_date,B4249,c_hour,C4249)</f>
        <v>1</v>
      </c>
      <c r="G4249" s="33">
        <f>IF(F4249&gt;0,1,0)</f>
        <v>1</v>
      </c>
      <c r="H4249" s="33">
        <f>COUNTIFS(Demand!$A$2:$A$4481,A4249,Demand!$B$2:$B$4481,B4249,Demand!$C$2:$C$4481,C4249)</f>
        <v>1</v>
      </c>
    </row>
    <row r="4250">
      <c r="A4250" s="32" t="str">
        <f>Demand!A4248</f>
        <v>S006</v>
      </c>
      <c r="B4250" s="35">
        <f>Demand!B4248</f>
        <v>46279.0</v>
      </c>
      <c r="C4250" s="33">
        <f>Demand!C4248</f>
        <v>14</v>
      </c>
      <c r="D4250" s="33">
        <f>Demand!E4248</f>
        <v>21</v>
      </c>
      <c r="E4250" s="33">
        <f>IF(Demand!F4248,1,0)</f>
        <v>0</v>
      </c>
      <c r="F4250" s="33">
        <f>COUNTIFS(c_store,A4250,c_date,B4250,c_hour,C4250)</f>
        <v>0</v>
      </c>
      <c r="G4250" s="33">
        <f>IF(F4250&gt;0,1,0)</f>
        <v>0</v>
      </c>
      <c r="H4250" s="33">
        <f>COUNTIFS(Demand!$A$2:$A$4481,A4250,Demand!$B$2:$B$4481,B4250,Demand!$C$2:$C$4481,C4250)</f>
        <v>1</v>
      </c>
    </row>
    <row r="4251">
      <c r="A4251" s="32" t="str">
        <f>Demand!A4249</f>
        <v>S006</v>
      </c>
      <c r="B4251" s="35">
        <f>Demand!B4249</f>
        <v>46279.0</v>
      </c>
      <c r="C4251" s="33">
        <f>Demand!C4249</f>
        <v>15</v>
      </c>
      <c r="D4251" s="33">
        <f>Demand!E4249</f>
        <v>20</v>
      </c>
      <c r="E4251" s="33">
        <f>IF(Demand!F4249,1,0)</f>
        <v>0</v>
      </c>
      <c r="F4251" s="33">
        <f>COUNTIFS(c_store,A4251,c_date,B4251,c_hour,C4251)</f>
        <v>0</v>
      </c>
      <c r="G4251" s="33">
        <f>IF(F4251&gt;0,1,0)</f>
        <v>0</v>
      </c>
      <c r="H4251" s="33">
        <f>COUNTIFS(Demand!$A$2:$A$4481,A4251,Demand!$B$2:$B$4481,B4251,Demand!$C$2:$C$4481,C4251)</f>
        <v>1</v>
      </c>
    </row>
    <row r="4252">
      <c r="A4252" s="32" t="str">
        <f>Demand!A4250</f>
        <v>S006</v>
      </c>
      <c r="B4252" s="35">
        <f>Demand!B4250</f>
        <v>46279.0</v>
      </c>
      <c r="C4252" s="33">
        <f>Demand!C4250</f>
        <v>16</v>
      </c>
      <c r="D4252" s="33">
        <f>Demand!E4250</f>
        <v>22</v>
      </c>
      <c r="E4252" s="33">
        <f>IF(Demand!F4250,1,0)</f>
        <v>0</v>
      </c>
      <c r="F4252" s="33">
        <f>COUNTIFS(c_store,A4252,c_date,B4252,c_hour,C4252)</f>
        <v>0</v>
      </c>
      <c r="G4252" s="33">
        <f>IF(F4252&gt;0,1,0)</f>
        <v>0</v>
      </c>
      <c r="H4252" s="33">
        <f>COUNTIFS(Demand!$A$2:$A$4481,A4252,Demand!$B$2:$B$4481,B4252,Demand!$C$2:$C$4481,C4252)</f>
        <v>1</v>
      </c>
    </row>
    <row r="4253">
      <c r="A4253" s="32" t="str">
        <f>Demand!A4251</f>
        <v>S006</v>
      </c>
      <c r="B4253" s="35">
        <f>Demand!B4251</f>
        <v>46279.0</v>
      </c>
      <c r="C4253" s="33">
        <f>Demand!C4251</f>
        <v>17</v>
      </c>
      <c r="D4253" s="33">
        <f>Demand!E4251</f>
        <v>29</v>
      </c>
      <c r="E4253" s="33">
        <f>IF(Demand!F4251,1,0)</f>
        <v>0</v>
      </c>
      <c r="F4253" s="33">
        <f>COUNTIFS(c_store,A4253,c_date,B4253,c_hour,C4253)</f>
        <v>0</v>
      </c>
      <c r="G4253" s="33">
        <f>IF(F4253&gt;0,1,0)</f>
        <v>0</v>
      </c>
      <c r="H4253" s="33">
        <f>COUNTIFS(Demand!$A$2:$A$4481,A4253,Demand!$B$2:$B$4481,B4253,Demand!$C$2:$C$4481,C4253)</f>
        <v>1</v>
      </c>
    </row>
    <row r="4254">
      <c r="A4254" s="32" t="str">
        <f>Demand!A4252</f>
        <v>S006</v>
      </c>
      <c r="B4254" s="35">
        <f>Demand!B4252</f>
        <v>46279.0</v>
      </c>
      <c r="C4254" s="33">
        <f>Demand!C4252</f>
        <v>18</v>
      </c>
      <c r="D4254" s="33">
        <f>Demand!E4252</f>
        <v>32</v>
      </c>
      <c r="E4254" s="33">
        <f>IF(Demand!F4252,1,0)</f>
        <v>0</v>
      </c>
      <c r="F4254" s="33">
        <f>COUNTIFS(c_store,A4254,c_date,B4254,c_hour,C4254)</f>
        <v>0</v>
      </c>
      <c r="G4254" s="33">
        <f>IF(F4254&gt;0,1,0)</f>
        <v>0</v>
      </c>
      <c r="H4254" s="33">
        <f>COUNTIFS(Demand!$A$2:$A$4481,A4254,Demand!$B$2:$B$4481,B4254,Demand!$C$2:$C$4481,C4254)</f>
        <v>1</v>
      </c>
    </row>
    <row r="4255">
      <c r="A4255" s="32" t="str">
        <f>Demand!A4253</f>
        <v>S006</v>
      </c>
      <c r="B4255" s="35">
        <f>Demand!B4253</f>
        <v>46279.0</v>
      </c>
      <c r="C4255" s="33">
        <f>Demand!C4253</f>
        <v>19</v>
      </c>
      <c r="D4255" s="33">
        <f>Demand!E4253</f>
        <v>33</v>
      </c>
      <c r="E4255" s="33">
        <f>IF(Demand!F4253,1,0)</f>
        <v>1</v>
      </c>
      <c r="F4255" s="33">
        <f>COUNTIFS(c_store,A4255,c_date,B4255,c_hour,C4255)</f>
        <v>0</v>
      </c>
      <c r="G4255" s="33">
        <f>IF(F4255&gt;0,1,0)</f>
        <v>0</v>
      </c>
      <c r="H4255" s="33">
        <f>COUNTIFS(Demand!$A$2:$A$4481,A4255,Demand!$B$2:$B$4481,B4255,Demand!$C$2:$C$4481,C4255)</f>
        <v>1</v>
      </c>
    </row>
    <row r="4256">
      <c r="A4256" s="32" t="str">
        <f>Demand!A4254</f>
        <v>S006</v>
      </c>
      <c r="B4256" s="35">
        <f>Demand!B4254</f>
        <v>46279.0</v>
      </c>
      <c r="C4256" s="33">
        <f>Demand!C4254</f>
        <v>20</v>
      </c>
      <c r="D4256" s="33">
        <f>Demand!E4254</f>
        <v>31</v>
      </c>
      <c r="E4256" s="33">
        <f>IF(Demand!F4254,1,0)</f>
        <v>1</v>
      </c>
      <c r="F4256" s="33">
        <f>COUNTIFS(c_store,A4256,c_date,B4256,c_hour,C4256)</f>
        <v>0</v>
      </c>
      <c r="G4256" s="33">
        <f>IF(F4256&gt;0,1,0)</f>
        <v>0</v>
      </c>
      <c r="H4256" s="33">
        <f>COUNTIFS(Demand!$A$2:$A$4481,A4256,Demand!$B$2:$B$4481,B4256,Demand!$C$2:$C$4481,C4256)</f>
        <v>1</v>
      </c>
    </row>
    <row r="4257">
      <c r="A4257" s="32" t="str">
        <f>Demand!A4255</f>
        <v>S006</v>
      </c>
      <c r="B4257" s="35">
        <f>Demand!B4255</f>
        <v>46279.0</v>
      </c>
      <c r="C4257" s="33">
        <f>Demand!C4255</f>
        <v>21</v>
      </c>
      <c r="D4257" s="33">
        <f>Demand!E4255</f>
        <v>28</v>
      </c>
      <c r="E4257" s="33">
        <f>IF(Demand!F4255,1,0)</f>
        <v>1</v>
      </c>
      <c r="F4257" s="33">
        <f>COUNTIFS(c_store,A4257,c_date,B4257,c_hour,C4257)</f>
        <v>0</v>
      </c>
      <c r="G4257" s="33">
        <f>IF(F4257&gt;0,1,0)</f>
        <v>0</v>
      </c>
      <c r="H4257" s="33">
        <f>COUNTIFS(Demand!$A$2:$A$4481,A4257,Demand!$B$2:$B$4481,B4257,Demand!$C$2:$C$4481,C4257)</f>
        <v>1</v>
      </c>
    </row>
    <row r="4258">
      <c r="A4258" s="32" t="str">
        <f>Demand!A4256</f>
        <v>S006</v>
      </c>
      <c r="B4258" s="35">
        <f>Demand!B4256</f>
        <v>46279.0</v>
      </c>
      <c r="C4258" s="33">
        <f>Demand!C4256</f>
        <v>22</v>
      </c>
      <c r="D4258" s="33">
        <f>Demand!E4256</f>
        <v>32</v>
      </c>
      <c r="E4258" s="33">
        <f>IF(Demand!F4256,1,0)</f>
        <v>0</v>
      </c>
      <c r="F4258" s="33">
        <f>COUNTIFS(c_store,A4258,c_date,B4258,c_hour,C4258)</f>
        <v>0</v>
      </c>
      <c r="G4258" s="33">
        <f>IF(F4258&gt;0,1,0)</f>
        <v>0</v>
      </c>
      <c r="H4258" s="33">
        <f>COUNTIFS(Demand!$A$2:$A$4481,A4258,Demand!$B$2:$B$4481,B4258,Demand!$C$2:$C$4481,C4258)</f>
        <v>1</v>
      </c>
    </row>
    <row r="4259">
      <c r="A4259" s="32" t="str">
        <f>Demand!A4257</f>
        <v>S006</v>
      </c>
      <c r="B4259" s="35">
        <f>Demand!B4257</f>
        <v>46279.0</v>
      </c>
      <c r="C4259" s="33">
        <f>Demand!C4257</f>
        <v>23</v>
      </c>
      <c r="D4259" s="33">
        <f>Demand!E4257</f>
        <v>25</v>
      </c>
      <c r="E4259" s="33">
        <f>IF(Demand!F4257,1,0)</f>
        <v>0</v>
      </c>
      <c r="F4259" s="33">
        <f>COUNTIFS(c_store,A4259,c_date,B4259,c_hour,C4259)</f>
        <v>1</v>
      </c>
      <c r="G4259" s="33">
        <f>IF(F4259&gt;0,1,0)</f>
        <v>1</v>
      </c>
      <c r="H4259" s="33">
        <f>COUNTIFS(Demand!$A$2:$A$4481,A4259,Demand!$B$2:$B$4481,B4259,Demand!$C$2:$C$4481,C4259)</f>
        <v>1</v>
      </c>
    </row>
    <row r="4260">
      <c r="A4260" s="32" t="str">
        <f>Demand!A4258</f>
        <v>S007</v>
      </c>
      <c r="B4260" s="35">
        <f>Demand!B4258</f>
        <v>46279.0</v>
      </c>
      <c r="C4260" s="33">
        <f>Demand!C4258</f>
        <v>8</v>
      </c>
      <c r="D4260" s="33">
        <f>Demand!E4258</f>
        <v>34</v>
      </c>
      <c r="E4260" s="33">
        <f>IF(Demand!F4258,1,0)</f>
        <v>0</v>
      </c>
      <c r="F4260" s="33">
        <f>COUNTIFS(c_store,A4260,c_date,B4260,c_hour,C4260)</f>
        <v>0</v>
      </c>
      <c r="G4260" s="33">
        <f>IF(F4260&gt;0,1,0)</f>
        <v>0</v>
      </c>
      <c r="H4260" s="33">
        <f>COUNTIFS(Demand!$A$2:$A$4481,A4260,Demand!$B$2:$B$4481,B4260,Demand!$C$2:$C$4481,C4260)</f>
        <v>1</v>
      </c>
    </row>
    <row r="4261">
      <c r="A4261" s="32" t="str">
        <f>Demand!A4259</f>
        <v>S007</v>
      </c>
      <c r="B4261" s="35">
        <f>Demand!B4259</f>
        <v>46279.0</v>
      </c>
      <c r="C4261" s="33">
        <f>Demand!C4259</f>
        <v>9</v>
      </c>
      <c r="D4261" s="33">
        <f>Demand!E4259</f>
        <v>28</v>
      </c>
      <c r="E4261" s="33">
        <f>IF(Demand!F4259,1,0)</f>
        <v>0</v>
      </c>
      <c r="F4261" s="33">
        <f>COUNTIFS(c_store,A4261,c_date,B4261,c_hour,C4261)</f>
        <v>1</v>
      </c>
      <c r="G4261" s="33">
        <f>IF(F4261&gt;0,1,0)</f>
        <v>1</v>
      </c>
      <c r="H4261" s="33">
        <f>COUNTIFS(Demand!$A$2:$A$4481,A4261,Demand!$B$2:$B$4481,B4261,Demand!$C$2:$C$4481,C4261)</f>
        <v>1</v>
      </c>
    </row>
    <row r="4262">
      <c r="A4262" s="32" t="str">
        <f>Demand!A4260</f>
        <v>S007</v>
      </c>
      <c r="B4262" s="35">
        <f>Demand!B4260</f>
        <v>46279.0</v>
      </c>
      <c r="C4262" s="33">
        <f>Demand!C4260</f>
        <v>10</v>
      </c>
      <c r="D4262" s="33">
        <f>Demand!E4260</f>
        <v>33</v>
      </c>
      <c r="E4262" s="33">
        <f>IF(Demand!F4260,1,0)</f>
        <v>0</v>
      </c>
      <c r="F4262" s="33">
        <f>COUNTIFS(c_store,A4262,c_date,B4262,c_hour,C4262)</f>
        <v>0</v>
      </c>
      <c r="G4262" s="33">
        <f>IF(F4262&gt;0,1,0)</f>
        <v>0</v>
      </c>
      <c r="H4262" s="33">
        <f>COUNTIFS(Demand!$A$2:$A$4481,A4262,Demand!$B$2:$B$4481,B4262,Demand!$C$2:$C$4481,C4262)</f>
        <v>1</v>
      </c>
    </row>
    <row r="4263">
      <c r="A4263" s="32" t="str">
        <f>Demand!A4261</f>
        <v>S007</v>
      </c>
      <c r="B4263" s="35">
        <f>Demand!B4261</f>
        <v>46279.0</v>
      </c>
      <c r="C4263" s="33">
        <f>Demand!C4261</f>
        <v>11</v>
      </c>
      <c r="D4263" s="33">
        <f>Demand!E4261</f>
        <v>35</v>
      </c>
      <c r="E4263" s="33">
        <f>IF(Demand!F4261,1,0)</f>
        <v>0</v>
      </c>
      <c r="F4263" s="33">
        <f>COUNTIFS(c_store,A4263,c_date,B4263,c_hour,C4263)</f>
        <v>0</v>
      </c>
      <c r="G4263" s="33">
        <f>IF(F4263&gt;0,1,0)</f>
        <v>0</v>
      </c>
      <c r="H4263" s="33">
        <f>COUNTIFS(Demand!$A$2:$A$4481,A4263,Demand!$B$2:$B$4481,B4263,Demand!$C$2:$C$4481,C4263)</f>
        <v>1</v>
      </c>
    </row>
    <row r="4264">
      <c r="A4264" s="32" t="str">
        <f>Demand!A4262</f>
        <v>S007</v>
      </c>
      <c r="B4264" s="35">
        <f>Demand!B4262</f>
        <v>46279.0</v>
      </c>
      <c r="C4264" s="33">
        <f>Demand!C4262</f>
        <v>12</v>
      </c>
      <c r="D4264" s="33">
        <f>Demand!E4262</f>
        <v>40</v>
      </c>
      <c r="E4264" s="33">
        <f>IF(Demand!F4262,1,0)</f>
        <v>0</v>
      </c>
      <c r="F4264" s="33">
        <f>COUNTIFS(c_store,A4264,c_date,B4264,c_hour,C4264)</f>
        <v>0</v>
      </c>
      <c r="G4264" s="33">
        <f>IF(F4264&gt;0,1,0)</f>
        <v>0</v>
      </c>
      <c r="H4264" s="33">
        <f>COUNTIFS(Demand!$A$2:$A$4481,A4264,Demand!$B$2:$B$4481,B4264,Demand!$C$2:$C$4481,C4264)</f>
        <v>1</v>
      </c>
    </row>
    <row r="4265">
      <c r="A4265" s="32" t="str">
        <f>Demand!A4263</f>
        <v>S007</v>
      </c>
      <c r="B4265" s="35">
        <f>Demand!B4263</f>
        <v>46279.0</v>
      </c>
      <c r="C4265" s="33">
        <f>Demand!C4263</f>
        <v>13</v>
      </c>
      <c r="D4265" s="33">
        <f>Demand!E4263</f>
        <v>25</v>
      </c>
      <c r="E4265" s="33">
        <f>IF(Demand!F4263,1,0)</f>
        <v>0</v>
      </c>
      <c r="F4265" s="33">
        <f>COUNTIFS(c_store,A4265,c_date,B4265,c_hour,C4265)</f>
        <v>0</v>
      </c>
      <c r="G4265" s="33">
        <f>IF(F4265&gt;0,1,0)</f>
        <v>0</v>
      </c>
      <c r="H4265" s="33">
        <f>COUNTIFS(Demand!$A$2:$A$4481,A4265,Demand!$B$2:$B$4481,B4265,Demand!$C$2:$C$4481,C4265)</f>
        <v>1</v>
      </c>
    </row>
    <row r="4266">
      <c r="A4266" s="32" t="str">
        <f>Demand!A4264</f>
        <v>S007</v>
      </c>
      <c r="B4266" s="35">
        <f>Demand!B4264</f>
        <v>46279.0</v>
      </c>
      <c r="C4266" s="33">
        <f>Demand!C4264</f>
        <v>14</v>
      </c>
      <c r="D4266" s="33">
        <f>Demand!E4264</f>
        <v>25</v>
      </c>
      <c r="E4266" s="33">
        <f>IF(Demand!F4264,1,0)</f>
        <v>0</v>
      </c>
      <c r="F4266" s="33">
        <f>COUNTIFS(c_store,A4266,c_date,B4266,c_hour,C4266)</f>
        <v>1</v>
      </c>
      <c r="G4266" s="33">
        <f>IF(F4266&gt;0,1,0)</f>
        <v>1</v>
      </c>
      <c r="H4266" s="33">
        <f>COUNTIFS(Demand!$A$2:$A$4481,A4266,Demand!$B$2:$B$4481,B4266,Demand!$C$2:$C$4481,C4266)</f>
        <v>1</v>
      </c>
    </row>
    <row r="4267">
      <c r="A4267" s="32" t="str">
        <f>Demand!A4265</f>
        <v>S007</v>
      </c>
      <c r="B4267" s="35">
        <f>Demand!B4265</f>
        <v>46279.0</v>
      </c>
      <c r="C4267" s="33">
        <f>Demand!C4265</f>
        <v>15</v>
      </c>
      <c r="D4267" s="33">
        <f>Demand!E4265</f>
        <v>26</v>
      </c>
      <c r="E4267" s="33">
        <f>IF(Demand!F4265,1,0)</f>
        <v>0</v>
      </c>
      <c r="F4267" s="33">
        <f>COUNTIFS(c_store,A4267,c_date,B4267,c_hour,C4267)</f>
        <v>0</v>
      </c>
      <c r="G4267" s="33">
        <f>IF(F4267&gt;0,1,0)</f>
        <v>0</v>
      </c>
      <c r="H4267" s="33">
        <f>COUNTIFS(Demand!$A$2:$A$4481,A4267,Demand!$B$2:$B$4481,B4267,Demand!$C$2:$C$4481,C4267)</f>
        <v>1</v>
      </c>
    </row>
    <row r="4268">
      <c r="A4268" s="32" t="str">
        <f>Demand!A4266</f>
        <v>S007</v>
      </c>
      <c r="B4268" s="35">
        <f>Demand!B4266</f>
        <v>46279.0</v>
      </c>
      <c r="C4268" s="33">
        <f>Demand!C4266</f>
        <v>16</v>
      </c>
      <c r="D4268" s="33">
        <f>Demand!E4266</f>
        <v>30</v>
      </c>
      <c r="E4268" s="33">
        <f>IF(Demand!F4266,1,0)</f>
        <v>0</v>
      </c>
      <c r="F4268" s="33">
        <f>COUNTIFS(c_store,A4268,c_date,B4268,c_hour,C4268)</f>
        <v>0</v>
      </c>
      <c r="G4268" s="33">
        <f>IF(F4268&gt;0,1,0)</f>
        <v>0</v>
      </c>
      <c r="H4268" s="33">
        <f>COUNTIFS(Demand!$A$2:$A$4481,A4268,Demand!$B$2:$B$4481,B4268,Demand!$C$2:$C$4481,C4268)</f>
        <v>1</v>
      </c>
    </row>
    <row r="4269">
      <c r="A4269" s="32" t="str">
        <f>Demand!A4267</f>
        <v>S007</v>
      </c>
      <c r="B4269" s="35">
        <f>Demand!B4267</f>
        <v>46279.0</v>
      </c>
      <c r="C4269" s="33">
        <f>Demand!C4267</f>
        <v>17</v>
      </c>
      <c r="D4269" s="33">
        <f>Demand!E4267</f>
        <v>34</v>
      </c>
      <c r="E4269" s="33">
        <f>IF(Demand!F4267,1,0)</f>
        <v>0</v>
      </c>
      <c r="F4269" s="33">
        <f>COUNTIFS(c_store,A4269,c_date,B4269,c_hour,C4269)</f>
        <v>0</v>
      </c>
      <c r="G4269" s="33">
        <f>IF(F4269&gt;0,1,0)</f>
        <v>0</v>
      </c>
      <c r="H4269" s="33">
        <f>COUNTIFS(Demand!$A$2:$A$4481,A4269,Demand!$B$2:$B$4481,B4269,Demand!$C$2:$C$4481,C4269)</f>
        <v>1</v>
      </c>
    </row>
    <row r="4270">
      <c r="A4270" s="32" t="str">
        <f>Demand!A4268</f>
        <v>S007</v>
      </c>
      <c r="B4270" s="35">
        <f>Demand!B4268</f>
        <v>46279.0</v>
      </c>
      <c r="C4270" s="33">
        <f>Demand!C4268</f>
        <v>18</v>
      </c>
      <c r="D4270" s="33">
        <f>Demand!E4268</f>
        <v>31</v>
      </c>
      <c r="E4270" s="33">
        <f>IF(Demand!F4268,1,0)</f>
        <v>0</v>
      </c>
      <c r="F4270" s="33">
        <f>COUNTIFS(c_store,A4270,c_date,B4270,c_hour,C4270)</f>
        <v>2</v>
      </c>
      <c r="G4270" s="33">
        <f>IF(F4270&gt;0,1,0)</f>
        <v>1</v>
      </c>
      <c r="H4270" s="33">
        <f>COUNTIFS(Demand!$A$2:$A$4481,A4270,Demand!$B$2:$B$4481,B4270,Demand!$C$2:$C$4481,C4270)</f>
        <v>1</v>
      </c>
    </row>
    <row r="4271">
      <c r="A4271" s="32" t="str">
        <f>Demand!A4269</f>
        <v>S007</v>
      </c>
      <c r="B4271" s="35">
        <f>Demand!B4269</f>
        <v>46279.0</v>
      </c>
      <c r="C4271" s="33">
        <f>Demand!C4269</f>
        <v>19</v>
      </c>
      <c r="D4271" s="33">
        <f>Demand!E4269</f>
        <v>44</v>
      </c>
      <c r="E4271" s="33">
        <f>IF(Demand!F4269,1,0)</f>
        <v>1</v>
      </c>
      <c r="F4271" s="33">
        <f>COUNTIFS(c_store,A4271,c_date,B4271,c_hour,C4271)</f>
        <v>0</v>
      </c>
      <c r="G4271" s="33">
        <f>IF(F4271&gt;0,1,0)</f>
        <v>0</v>
      </c>
      <c r="H4271" s="33">
        <f>COUNTIFS(Demand!$A$2:$A$4481,A4271,Demand!$B$2:$B$4481,B4271,Demand!$C$2:$C$4481,C4271)</f>
        <v>1</v>
      </c>
    </row>
    <row r="4272">
      <c r="A4272" s="32" t="str">
        <f>Demand!A4270</f>
        <v>S007</v>
      </c>
      <c r="B4272" s="35">
        <f>Demand!B4270</f>
        <v>46279.0</v>
      </c>
      <c r="C4272" s="33">
        <f>Demand!C4270</f>
        <v>20</v>
      </c>
      <c r="D4272" s="33">
        <f>Demand!E4270</f>
        <v>62</v>
      </c>
      <c r="E4272" s="33">
        <f>IF(Demand!F4270,1,0)</f>
        <v>1</v>
      </c>
      <c r="F4272" s="33">
        <f>COUNTIFS(c_store,A4272,c_date,B4272,c_hour,C4272)</f>
        <v>1</v>
      </c>
      <c r="G4272" s="33">
        <f>IF(F4272&gt;0,1,0)</f>
        <v>1</v>
      </c>
      <c r="H4272" s="33">
        <f>COUNTIFS(Demand!$A$2:$A$4481,A4272,Demand!$B$2:$B$4481,B4272,Demand!$C$2:$C$4481,C4272)</f>
        <v>1</v>
      </c>
    </row>
    <row r="4273">
      <c r="A4273" s="32" t="str">
        <f>Demand!A4271</f>
        <v>S007</v>
      </c>
      <c r="B4273" s="35">
        <f>Demand!B4271</f>
        <v>46279.0</v>
      </c>
      <c r="C4273" s="33">
        <f>Demand!C4271</f>
        <v>21</v>
      </c>
      <c r="D4273" s="33">
        <f>Demand!E4271</f>
        <v>56</v>
      </c>
      <c r="E4273" s="33">
        <f>IF(Demand!F4271,1,0)</f>
        <v>1</v>
      </c>
      <c r="F4273" s="33">
        <f>COUNTIFS(c_store,A4273,c_date,B4273,c_hour,C4273)</f>
        <v>0</v>
      </c>
      <c r="G4273" s="33">
        <f>IF(F4273&gt;0,1,0)</f>
        <v>0</v>
      </c>
      <c r="H4273" s="33">
        <f>COUNTIFS(Demand!$A$2:$A$4481,A4273,Demand!$B$2:$B$4481,B4273,Demand!$C$2:$C$4481,C4273)</f>
        <v>1</v>
      </c>
    </row>
    <row r="4274">
      <c r="A4274" s="32" t="str">
        <f>Demand!A4272</f>
        <v>S007</v>
      </c>
      <c r="B4274" s="35">
        <f>Demand!B4272</f>
        <v>46279.0</v>
      </c>
      <c r="C4274" s="33">
        <f>Demand!C4272</f>
        <v>22</v>
      </c>
      <c r="D4274" s="33">
        <f>Demand!E4272</f>
        <v>42</v>
      </c>
      <c r="E4274" s="33">
        <f>IF(Demand!F4272,1,0)</f>
        <v>0</v>
      </c>
      <c r="F4274" s="33">
        <f>COUNTIFS(c_store,A4274,c_date,B4274,c_hour,C4274)</f>
        <v>0</v>
      </c>
      <c r="G4274" s="33">
        <f>IF(F4274&gt;0,1,0)</f>
        <v>0</v>
      </c>
      <c r="H4274" s="33">
        <f>COUNTIFS(Demand!$A$2:$A$4481,A4274,Demand!$B$2:$B$4481,B4274,Demand!$C$2:$C$4481,C4274)</f>
        <v>1</v>
      </c>
    </row>
    <row r="4275">
      <c r="A4275" s="32" t="str">
        <f>Demand!A4273</f>
        <v>S007</v>
      </c>
      <c r="B4275" s="35">
        <f>Demand!B4273</f>
        <v>46279.0</v>
      </c>
      <c r="C4275" s="33">
        <f>Demand!C4273</f>
        <v>23</v>
      </c>
      <c r="D4275" s="33">
        <f>Demand!E4273</f>
        <v>33</v>
      </c>
      <c r="E4275" s="33">
        <f>IF(Demand!F4273,1,0)</f>
        <v>0</v>
      </c>
      <c r="F4275" s="33">
        <f>COUNTIFS(c_store,A4275,c_date,B4275,c_hour,C4275)</f>
        <v>0</v>
      </c>
      <c r="G4275" s="33">
        <f>IF(F4275&gt;0,1,0)</f>
        <v>0</v>
      </c>
      <c r="H4275" s="33">
        <f>COUNTIFS(Demand!$A$2:$A$4481,A4275,Demand!$B$2:$B$4481,B4275,Demand!$C$2:$C$4481,C4275)</f>
        <v>1</v>
      </c>
    </row>
    <row r="4276">
      <c r="A4276" s="32" t="str">
        <f>Demand!A4274</f>
        <v>S008</v>
      </c>
      <c r="B4276" s="35">
        <f>Demand!B4274</f>
        <v>46279.0</v>
      </c>
      <c r="C4276" s="33">
        <f>Demand!C4274</f>
        <v>8</v>
      </c>
      <c r="D4276" s="33">
        <f>Demand!E4274</f>
        <v>13</v>
      </c>
      <c r="E4276" s="33">
        <f>IF(Demand!F4274,1,0)</f>
        <v>0</v>
      </c>
      <c r="F4276" s="33">
        <f>COUNTIFS(c_store,A4276,c_date,B4276,c_hour,C4276)</f>
        <v>0</v>
      </c>
      <c r="G4276" s="33">
        <f>IF(F4276&gt;0,1,0)</f>
        <v>0</v>
      </c>
      <c r="H4276" s="33">
        <f>COUNTIFS(Demand!$A$2:$A$4481,A4276,Demand!$B$2:$B$4481,B4276,Demand!$C$2:$C$4481,C4276)</f>
        <v>1</v>
      </c>
    </row>
    <row r="4277">
      <c r="A4277" s="32" t="str">
        <f>Demand!A4275</f>
        <v>S008</v>
      </c>
      <c r="B4277" s="35">
        <f>Demand!B4275</f>
        <v>46279.0</v>
      </c>
      <c r="C4277" s="33">
        <f>Demand!C4275</f>
        <v>9</v>
      </c>
      <c r="D4277" s="33">
        <f>Demand!E4275</f>
        <v>14</v>
      </c>
      <c r="E4277" s="33">
        <f>IF(Demand!F4275,1,0)</f>
        <v>0</v>
      </c>
      <c r="F4277" s="33">
        <f>COUNTIFS(c_store,A4277,c_date,B4277,c_hour,C4277)</f>
        <v>0</v>
      </c>
      <c r="G4277" s="33">
        <f>IF(F4277&gt;0,1,0)</f>
        <v>0</v>
      </c>
      <c r="H4277" s="33">
        <f>COUNTIFS(Demand!$A$2:$A$4481,A4277,Demand!$B$2:$B$4481,B4277,Demand!$C$2:$C$4481,C4277)</f>
        <v>1</v>
      </c>
    </row>
    <row r="4278">
      <c r="A4278" s="32" t="str">
        <f>Demand!A4276</f>
        <v>S008</v>
      </c>
      <c r="B4278" s="35">
        <f>Demand!B4276</f>
        <v>46279.0</v>
      </c>
      <c r="C4278" s="33">
        <f>Demand!C4276</f>
        <v>10</v>
      </c>
      <c r="D4278" s="33">
        <f>Demand!E4276</f>
        <v>14</v>
      </c>
      <c r="E4278" s="33">
        <f>IF(Demand!F4276,1,0)</f>
        <v>0</v>
      </c>
      <c r="F4278" s="33">
        <f>COUNTIFS(c_store,A4278,c_date,B4278,c_hour,C4278)</f>
        <v>0</v>
      </c>
      <c r="G4278" s="33">
        <f>IF(F4278&gt;0,1,0)</f>
        <v>0</v>
      </c>
      <c r="H4278" s="33">
        <f>COUNTIFS(Demand!$A$2:$A$4481,A4278,Demand!$B$2:$B$4481,B4278,Demand!$C$2:$C$4481,C4278)</f>
        <v>1</v>
      </c>
    </row>
    <row r="4279">
      <c r="A4279" s="32" t="str">
        <f>Demand!A4277</f>
        <v>S008</v>
      </c>
      <c r="B4279" s="35">
        <f>Demand!B4277</f>
        <v>46279.0</v>
      </c>
      <c r="C4279" s="33">
        <f>Demand!C4277</f>
        <v>11</v>
      </c>
      <c r="D4279" s="33">
        <f>Demand!E4277</f>
        <v>20</v>
      </c>
      <c r="E4279" s="33">
        <f>IF(Demand!F4277,1,0)</f>
        <v>0</v>
      </c>
      <c r="F4279" s="33">
        <f>COUNTIFS(c_store,A4279,c_date,B4279,c_hour,C4279)</f>
        <v>1</v>
      </c>
      <c r="G4279" s="33">
        <f>IF(F4279&gt;0,1,0)</f>
        <v>1</v>
      </c>
      <c r="H4279" s="33">
        <f>COUNTIFS(Demand!$A$2:$A$4481,A4279,Demand!$B$2:$B$4481,B4279,Demand!$C$2:$C$4481,C4279)</f>
        <v>1</v>
      </c>
    </row>
    <row r="4280">
      <c r="A4280" s="32" t="str">
        <f>Demand!A4278</f>
        <v>S008</v>
      </c>
      <c r="B4280" s="35">
        <f>Demand!B4278</f>
        <v>46279.0</v>
      </c>
      <c r="C4280" s="33">
        <f>Demand!C4278</f>
        <v>12</v>
      </c>
      <c r="D4280" s="33">
        <f>Demand!E4278</f>
        <v>24</v>
      </c>
      <c r="E4280" s="33">
        <f>IF(Demand!F4278,1,0)</f>
        <v>0</v>
      </c>
      <c r="F4280" s="33">
        <f>COUNTIFS(c_store,A4280,c_date,B4280,c_hour,C4280)</f>
        <v>0</v>
      </c>
      <c r="G4280" s="33">
        <f>IF(F4280&gt;0,1,0)</f>
        <v>0</v>
      </c>
      <c r="H4280" s="33">
        <f>COUNTIFS(Demand!$A$2:$A$4481,A4280,Demand!$B$2:$B$4481,B4280,Demand!$C$2:$C$4481,C4280)</f>
        <v>1</v>
      </c>
    </row>
    <row r="4281">
      <c r="A4281" s="32" t="str">
        <f>Demand!A4279</f>
        <v>S008</v>
      </c>
      <c r="B4281" s="35">
        <f>Demand!B4279</f>
        <v>46279.0</v>
      </c>
      <c r="C4281" s="33">
        <f>Demand!C4279</f>
        <v>13</v>
      </c>
      <c r="D4281" s="33">
        <f>Demand!E4279</f>
        <v>25</v>
      </c>
      <c r="E4281" s="33">
        <f>IF(Demand!F4279,1,0)</f>
        <v>0</v>
      </c>
      <c r="F4281" s="33">
        <f>COUNTIFS(c_store,A4281,c_date,B4281,c_hour,C4281)</f>
        <v>0</v>
      </c>
      <c r="G4281" s="33">
        <f>IF(F4281&gt;0,1,0)</f>
        <v>0</v>
      </c>
      <c r="H4281" s="33">
        <f>COUNTIFS(Demand!$A$2:$A$4481,A4281,Demand!$B$2:$B$4481,B4281,Demand!$C$2:$C$4481,C4281)</f>
        <v>1</v>
      </c>
    </row>
    <row r="4282">
      <c r="A4282" s="32" t="str">
        <f>Demand!A4280</f>
        <v>S008</v>
      </c>
      <c r="B4282" s="35">
        <f>Demand!B4280</f>
        <v>46279.0</v>
      </c>
      <c r="C4282" s="33">
        <f>Demand!C4280</f>
        <v>14</v>
      </c>
      <c r="D4282" s="33">
        <f>Demand!E4280</f>
        <v>14</v>
      </c>
      <c r="E4282" s="33">
        <f>IF(Demand!F4280,1,0)</f>
        <v>0</v>
      </c>
      <c r="F4282" s="33">
        <f>COUNTIFS(c_store,A4282,c_date,B4282,c_hour,C4282)</f>
        <v>0</v>
      </c>
      <c r="G4282" s="33">
        <f>IF(F4282&gt;0,1,0)</f>
        <v>0</v>
      </c>
      <c r="H4282" s="33">
        <f>COUNTIFS(Demand!$A$2:$A$4481,A4282,Demand!$B$2:$B$4481,B4282,Demand!$C$2:$C$4481,C4282)</f>
        <v>1</v>
      </c>
    </row>
    <row r="4283">
      <c r="A4283" s="32" t="str">
        <f>Demand!A4281</f>
        <v>S008</v>
      </c>
      <c r="B4283" s="35">
        <f>Demand!B4281</f>
        <v>46279.0</v>
      </c>
      <c r="C4283" s="33">
        <f>Demand!C4281</f>
        <v>15</v>
      </c>
      <c r="D4283" s="33">
        <f>Demand!E4281</f>
        <v>17</v>
      </c>
      <c r="E4283" s="33">
        <f>IF(Demand!F4281,1,0)</f>
        <v>0</v>
      </c>
      <c r="F4283" s="33">
        <f>COUNTIFS(c_store,A4283,c_date,B4283,c_hour,C4283)</f>
        <v>1</v>
      </c>
      <c r="G4283" s="33">
        <f>IF(F4283&gt;0,1,0)</f>
        <v>1</v>
      </c>
      <c r="H4283" s="33">
        <f>COUNTIFS(Demand!$A$2:$A$4481,A4283,Demand!$B$2:$B$4481,B4283,Demand!$C$2:$C$4481,C4283)</f>
        <v>1</v>
      </c>
    </row>
    <row r="4284">
      <c r="A4284" s="32" t="str">
        <f>Demand!A4282</f>
        <v>S008</v>
      </c>
      <c r="B4284" s="35">
        <f>Demand!B4282</f>
        <v>46279.0</v>
      </c>
      <c r="C4284" s="33">
        <f>Demand!C4282</f>
        <v>16</v>
      </c>
      <c r="D4284" s="33">
        <f>Demand!E4282</f>
        <v>25</v>
      </c>
      <c r="E4284" s="33">
        <f>IF(Demand!F4282,1,0)</f>
        <v>0</v>
      </c>
      <c r="F4284" s="33">
        <f>COUNTIFS(c_store,A4284,c_date,B4284,c_hour,C4284)</f>
        <v>0</v>
      </c>
      <c r="G4284" s="33">
        <f>IF(F4284&gt;0,1,0)</f>
        <v>0</v>
      </c>
      <c r="H4284" s="33">
        <f>COUNTIFS(Demand!$A$2:$A$4481,A4284,Demand!$B$2:$B$4481,B4284,Demand!$C$2:$C$4481,C4284)</f>
        <v>1</v>
      </c>
    </row>
    <row r="4285">
      <c r="A4285" s="32" t="str">
        <f>Demand!A4283</f>
        <v>S008</v>
      </c>
      <c r="B4285" s="35">
        <f>Demand!B4283</f>
        <v>46279.0</v>
      </c>
      <c r="C4285" s="33">
        <f>Demand!C4283</f>
        <v>17</v>
      </c>
      <c r="D4285" s="33">
        <f>Demand!E4283</f>
        <v>26</v>
      </c>
      <c r="E4285" s="33">
        <f>IF(Demand!F4283,1,0)</f>
        <v>0</v>
      </c>
      <c r="F4285" s="33">
        <f>COUNTIFS(c_store,A4285,c_date,B4285,c_hour,C4285)</f>
        <v>0</v>
      </c>
      <c r="G4285" s="33">
        <f>IF(F4285&gt;0,1,0)</f>
        <v>0</v>
      </c>
      <c r="H4285" s="33">
        <f>COUNTIFS(Demand!$A$2:$A$4481,A4285,Demand!$B$2:$B$4481,B4285,Demand!$C$2:$C$4481,C4285)</f>
        <v>1</v>
      </c>
    </row>
    <row r="4286">
      <c r="A4286" s="32" t="str">
        <f>Demand!A4284</f>
        <v>S008</v>
      </c>
      <c r="B4286" s="35">
        <f>Demand!B4284</f>
        <v>46279.0</v>
      </c>
      <c r="C4286" s="33">
        <f>Demand!C4284</f>
        <v>18</v>
      </c>
      <c r="D4286" s="33">
        <f>Demand!E4284</f>
        <v>26</v>
      </c>
      <c r="E4286" s="33">
        <f>IF(Demand!F4284,1,0)</f>
        <v>0</v>
      </c>
      <c r="F4286" s="33">
        <f>COUNTIFS(c_store,A4286,c_date,B4286,c_hour,C4286)</f>
        <v>0</v>
      </c>
      <c r="G4286" s="33">
        <f>IF(F4286&gt;0,1,0)</f>
        <v>0</v>
      </c>
      <c r="H4286" s="33">
        <f>COUNTIFS(Demand!$A$2:$A$4481,A4286,Demand!$B$2:$B$4481,B4286,Demand!$C$2:$C$4481,C4286)</f>
        <v>1</v>
      </c>
    </row>
    <row r="4287">
      <c r="A4287" s="32" t="str">
        <f>Demand!A4285</f>
        <v>S008</v>
      </c>
      <c r="B4287" s="35">
        <f>Demand!B4285</f>
        <v>46279.0</v>
      </c>
      <c r="C4287" s="33">
        <f>Demand!C4285</f>
        <v>19</v>
      </c>
      <c r="D4287" s="33">
        <f>Demand!E4285</f>
        <v>30</v>
      </c>
      <c r="E4287" s="33">
        <f>IF(Demand!F4285,1,0)</f>
        <v>1</v>
      </c>
      <c r="F4287" s="33">
        <f>COUNTIFS(c_store,A4287,c_date,B4287,c_hour,C4287)</f>
        <v>1</v>
      </c>
      <c r="G4287" s="33">
        <f>IF(F4287&gt;0,1,0)</f>
        <v>1</v>
      </c>
      <c r="H4287" s="33">
        <f>COUNTIFS(Demand!$A$2:$A$4481,A4287,Demand!$B$2:$B$4481,B4287,Demand!$C$2:$C$4481,C4287)</f>
        <v>1</v>
      </c>
    </row>
    <row r="4288">
      <c r="A4288" s="32" t="str">
        <f>Demand!A4286</f>
        <v>S008</v>
      </c>
      <c r="B4288" s="35">
        <f>Demand!B4286</f>
        <v>46279.0</v>
      </c>
      <c r="C4288" s="33">
        <f>Demand!C4286</f>
        <v>20</v>
      </c>
      <c r="D4288" s="33">
        <f>Demand!E4286</f>
        <v>39</v>
      </c>
      <c r="E4288" s="33">
        <f>IF(Demand!F4286,1,0)</f>
        <v>1</v>
      </c>
      <c r="F4288" s="33">
        <f>COUNTIFS(c_store,A4288,c_date,B4288,c_hour,C4288)</f>
        <v>0</v>
      </c>
      <c r="G4288" s="33">
        <f>IF(F4288&gt;0,1,0)</f>
        <v>0</v>
      </c>
      <c r="H4288" s="33">
        <f>COUNTIFS(Demand!$A$2:$A$4481,A4288,Demand!$B$2:$B$4481,B4288,Demand!$C$2:$C$4481,C4288)</f>
        <v>1</v>
      </c>
    </row>
    <row r="4289">
      <c r="A4289" s="32" t="str">
        <f>Demand!A4287</f>
        <v>S008</v>
      </c>
      <c r="B4289" s="35">
        <f>Demand!B4287</f>
        <v>46279.0</v>
      </c>
      <c r="C4289" s="33">
        <f>Demand!C4287</f>
        <v>21</v>
      </c>
      <c r="D4289" s="33">
        <f>Demand!E4287</f>
        <v>26</v>
      </c>
      <c r="E4289" s="33">
        <f>IF(Demand!F4287,1,0)</f>
        <v>1</v>
      </c>
      <c r="F4289" s="33">
        <f>COUNTIFS(c_store,A4289,c_date,B4289,c_hour,C4289)</f>
        <v>2</v>
      </c>
      <c r="G4289" s="33">
        <f>IF(F4289&gt;0,1,0)</f>
        <v>1</v>
      </c>
      <c r="H4289" s="33">
        <f>COUNTIFS(Demand!$A$2:$A$4481,A4289,Demand!$B$2:$B$4481,B4289,Demand!$C$2:$C$4481,C4289)</f>
        <v>1</v>
      </c>
    </row>
    <row r="4290">
      <c r="A4290" s="32" t="str">
        <f>Demand!A4288</f>
        <v>S008</v>
      </c>
      <c r="B4290" s="35">
        <f>Demand!B4288</f>
        <v>46279.0</v>
      </c>
      <c r="C4290" s="33">
        <f>Demand!C4288</f>
        <v>22</v>
      </c>
      <c r="D4290" s="33">
        <f>Demand!E4288</f>
        <v>25</v>
      </c>
      <c r="E4290" s="33">
        <f>IF(Demand!F4288,1,0)</f>
        <v>0</v>
      </c>
      <c r="F4290" s="33">
        <f>COUNTIFS(c_store,A4290,c_date,B4290,c_hour,C4290)</f>
        <v>0</v>
      </c>
      <c r="G4290" s="33">
        <f>IF(F4290&gt;0,1,0)</f>
        <v>0</v>
      </c>
      <c r="H4290" s="33">
        <f>COUNTIFS(Demand!$A$2:$A$4481,A4290,Demand!$B$2:$B$4481,B4290,Demand!$C$2:$C$4481,C4290)</f>
        <v>1</v>
      </c>
    </row>
    <row r="4291">
      <c r="A4291" s="32" t="str">
        <f>Demand!A4289</f>
        <v>S008</v>
      </c>
      <c r="B4291" s="35">
        <f>Demand!B4289</f>
        <v>46279.0</v>
      </c>
      <c r="C4291" s="33">
        <f>Demand!C4289</f>
        <v>23</v>
      </c>
      <c r="D4291" s="33">
        <f>Demand!E4289</f>
        <v>25</v>
      </c>
      <c r="E4291" s="33">
        <f>IF(Demand!F4289,1,0)</f>
        <v>0</v>
      </c>
      <c r="F4291" s="33">
        <f>COUNTIFS(c_store,A4291,c_date,B4291,c_hour,C4291)</f>
        <v>0</v>
      </c>
      <c r="G4291" s="33">
        <f>IF(F4291&gt;0,1,0)</f>
        <v>0</v>
      </c>
      <c r="H4291" s="33">
        <f>COUNTIFS(Demand!$A$2:$A$4481,A4291,Demand!$B$2:$B$4481,B4291,Demand!$C$2:$C$4481,C4291)</f>
        <v>1</v>
      </c>
    </row>
    <row r="4292">
      <c r="A4292" s="32" t="str">
        <f>Demand!A4290</f>
        <v>S009</v>
      </c>
      <c r="B4292" s="35">
        <f>Demand!B4290</f>
        <v>46279.0</v>
      </c>
      <c r="C4292" s="33">
        <f>Demand!C4290</f>
        <v>8</v>
      </c>
      <c r="D4292" s="33">
        <f>Demand!E4290</f>
        <v>14</v>
      </c>
      <c r="E4292" s="33">
        <f>IF(Demand!F4290,1,0)</f>
        <v>0</v>
      </c>
      <c r="F4292" s="33">
        <f>COUNTIFS(c_store,A4292,c_date,B4292,c_hour,C4292)</f>
        <v>1</v>
      </c>
      <c r="G4292" s="33">
        <f>IF(F4292&gt;0,1,0)</f>
        <v>1</v>
      </c>
      <c r="H4292" s="33">
        <f>COUNTIFS(Demand!$A$2:$A$4481,A4292,Demand!$B$2:$B$4481,B4292,Demand!$C$2:$C$4481,C4292)</f>
        <v>1</v>
      </c>
    </row>
    <row r="4293">
      <c r="A4293" s="32" t="str">
        <f>Demand!A4291</f>
        <v>S009</v>
      </c>
      <c r="B4293" s="35">
        <f>Demand!B4291</f>
        <v>46279.0</v>
      </c>
      <c r="C4293" s="33">
        <f>Demand!C4291</f>
        <v>9</v>
      </c>
      <c r="D4293" s="33">
        <f>Demand!E4291</f>
        <v>24</v>
      </c>
      <c r="E4293" s="33">
        <f>IF(Demand!F4291,1,0)</f>
        <v>0</v>
      </c>
      <c r="F4293" s="33">
        <f>COUNTIFS(c_store,A4293,c_date,B4293,c_hour,C4293)</f>
        <v>0</v>
      </c>
      <c r="G4293" s="33">
        <f>IF(F4293&gt;0,1,0)</f>
        <v>0</v>
      </c>
      <c r="H4293" s="33">
        <f>COUNTIFS(Demand!$A$2:$A$4481,A4293,Demand!$B$2:$B$4481,B4293,Demand!$C$2:$C$4481,C4293)</f>
        <v>1</v>
      </c>
    </row>
    <row r="4294">
      <c r="A4294" s="32" t="str">
        <f>Demand!A4292</f>
        <v>S009</v>
      </c>
      <c r="B4294" s="35">
        <f>Demand!B4292</f>
        <v>46279.0</v>
      </c>
      <c r="C4294" s="33">
        <f>Demand!C4292</f>
        <v>10</v>
      </c>
      <c r="D4294" s="33">
        <f>Demand!E4292</f>
        <v>16</v>
      </c>
      <c r="E4294" s="33">
        <f>IF(Demand!F4292,1,0)</f>
        <v>0</v>
      </c>
      <c r="F4294" s="33">
        <f>COUNTIFS(c_store,A4294,c_date,B4294,c_hour,C4294)</f>
        <v>0</v>
      </c>
      <c r="G4294" s="33">
        <f>IF(F4294&gt;0,1,0)</f>
        <v>0</v>
      </c>
      <c r="H4294" s="33">
        <f>COUNTIFS(Demand!$A$2:$A$4481,A4294,Demand!$B$2:$B$4481,B4294,Demand!$C$2:$C$4481,C4294)</f>
        <v>1</v>
      </c>
    </row>
    <row r="4295">
      <c r="A4295" s="32" t="str">
        <f>Demand!A4293</f>
        <v>S009</v>
      </c>
      <c r="B4295" s="35">
        <f>Demand!B4293</f>
        <v>46279.0</v>
      </c>
      <c r="C4295" s="33">
        <f>Demand!C4293</f>
        <v>11</v>
      </c>
      <c r="D4295" s="33">
        <f>Demand!E4293</f>
        <v>34</v>
      </c>
      <c r="E4295" s="33">
        <f>IF(Demand!F4293,1,0)</f>
        <v>0</v>
      </c>
      <c r="F4295" s="33">
        <f>COUNTIFS(c_store,A4295,c_date,B4295,c_hour,C4295)</f>
        <v>1</v>
      </c>
      <c r="G4295" s="33">
        <f>IF(F4295&gt;0,1,0)</f>
        <v>1</v>
      </c>
      <c r="H4295" s="33">
        <f>COUNTIFS(Demand!$A$2:$A$4481,A4295,Demand!$B$2:$B$4481,B4295,Demand!$C$2:$C$4481,C4295)</f>
        <v>1</v>
      </c>
    </row>
    <row r="4296">
      <c r="A4296" s="32" t="str">
        <f>Demand!A4294</f>
        <v>S009</v>
      </c>
      <c r="B4296" s="35">
        <f>Demand!B4294</f>
        <v>46279.0</v>
      </c>
      <c r="C4296" s="33">
        <f>Demand!C4294</f>
        <v>12</v>
      </c>
      <c r="D4296" s="33">
        <f>Demand!E4294</f>
        <v>27</v>
      </c>
      <c r="E4296" s="33">
        <f>IF(Demand!F4294,1,0)</f>
        <v>0</v>
      </c>
      <c r="F4296" s="33">
        <f>COUNTIFS(c_store,A4296,c_date,B4296,c_hour,C4296)</f>
        <v>0</v>
      </c>
      <c r="G4296" s="33">
        <f>IF(F4296&gt;0,1,0)</f>
        <v>0</v>
      </c>
      <c r="H4296" s="33">
        <f>COUNTIFS(Demand!$A$2:$A$4481,A4296,Demand!$B$2:$B$4481,B4296,Demand!$C$2:$C$4481,C4296)</f>
        <v>1</v>
      </c>
    </row>
    <row r="4297">
      <c r="A4297" s="32" t="str">
        <f>Demand!A4295</f>
        <v>S009</v>
      </c>
      <c r="B4297" s="35">
        <f>Demand!B4295</f>
        <v>46279.0</v>
      </c>
      <c r="C4297" s="33">
        <f>Demand!C4295</f>
        <v>13</v>
      </c>
      <c r="D4297" s="33">
        <f>Demand!E4295</f>
        <v>31</v>
      </c>
      <c r="E4297" s="33">
        <f>IF(Demand!F4295,1,0)</f>
        <v>0</v>
      </c>
      <c r="F4297" s="33">
        <f>COUNTIFS(c_store,A4297,c_date,B4297,c_hour,C4297)</f>
        <v>0</v>
      </c>
      <c r="G4297" s="33">
        <f>IF(F4297&gt;0,1,0)</f>
        <v>0</v>
      </c>
      <c r="H4297" s="33">
        <f>COUNTIFS(Demand!$A$2:$A$4481,A4297,Demand!$B$2:$B$4481,B4297,Demand!$C$2:$C$4481,C4297)</f>
        <v>1</v>
      </c>
    </row>
    <row r="4298">
      <c r="A4298" s="32" t="str">
        <f>Demand!A4296</f>
        <v>S009</v>
      </c>
      <c r="B4298" s="35">
        <f>Demand!B4296</f>
        <v>46279.0</v>
      </c>
      <c r="C4298" s="33">
        <f>Demand!C4296</f>
        <v>14</v>
      </c>
      <c r="D4298" s="33">
        <f>Demand!E4296</f>
        <v>19</v>
      </c>
      <c r="E4298" s="33">
        <f>IF(Demand!F4296,1,0)</f>
        <v>0</v>
      </c>
      <c r="F4298" s="33">
        <f>COUNTIFS(c_store,A4298,c_date,B4298,c_hour,C4298)</f>
        <v>0</v>
      </c>
      <c r="G4298" s="33">
        <f>IF(F4298&gt;0,1,0)</f>
        <v>0</v>
      </c>
      <c r="H4298" s="33">
        <f>COUNTIFS(Demand!$A$2:$A$4481,A4298,Demand!$B$2:$B$4481,B4298,Demand!$C$2:$C$4481,C4298)</f>
        <v>1</v>
      </c>
    </row>
    <row r="4299">
      <c r="A4299" s="32" t="str">
        <f>Demand!A4297</f>
        <v>S009</v>
      </c>
      <c r="B4299" s="35">
        <f>Demand!B4297</f>
        <v>46279.0</v>
      </c>
      <c r="C4299" s="33">
        <f>Demand!C4297</f>
        <v>15</v>
      </c>
      <c r="D4299" s="33">
        <f>Demand!E4297</f>
        <v>29</v>
      </c>
      <c r="E4299" s="33">
        <f>IF(Demand!F4297,1,0)</f>
        <v>0</v>
      </c>
      <c r="F4299" s="33">
        <f>COUNTIFS(c_store,A4299,c_date,B4299,c_hour,C4299)</f>
        <v>0</v>
      </c>
      <c r="G4299" s="33">
        <f>IF(F4299&gt;0,1,0)</f>
        <v>0</v>
      </c>
      <c r="H4299" s="33">
        <f>COUNTIFS(Demand!$A$2:$A$4481,A4299,Demand!$B$2:$B$4481,B4299,Demand!$C$2:$C$4481,C4299)</f>
        <v>1</v>
      </c>
    </row>
    <row r="4300">
      <c r="A4300" s="32" t="str">
        <f>Demand!A4298</f>
        <v>S009</v>
      </c>
      <c r="B4300" s="35">
        <f>Demand!B4298</f>
        <v>46279.0</v>
      </c>
      <c r="C4300" s="33">
        <f>Demand!C4298</f>
        <v>16</v>
      </c>
      <c r="D4300" s="33">
        <f>Demand!E4298</f>
        <v>35</v>
      </c>
      <c r="E4300" s="33">
        <f>IF(Demand!F4298,1,0)</f>
        <v>0</v>
      </c>
      <c r="F4300" s="33">
        <f>COUNTIFS(c_store,A4300,c_date,B4300,c_hour,C4300)</f>
        <v>0</v>
      </c>
      <c r="G4300" s="33">
        <f>IF(F4300&gt;0,1,0)</f>
        <v>0</v>
      </c>
      <c r="H4300" s="33">
        <f>COUNTIFS(Demand!$A$2:$A$4481,A4300,Demand!$B$2:$B$4481,B4300,Demand!$C$2:$C$4481,C4300)</f>
        <v>1</v>
      </c>
    </row>
    <row r="4301">
      <c r="A4301" s="32" t="str">
        <f>Demand!A4299</f>
        <v>S009</v>
      </c>
      <c r="B4301" s="35">
        <f>Demand!B4299</f>
        <v>46279.0</v>
      </c>
      <c r="C4301" s="33">
        <f>Demand!C4299</f>
        <v>17</v>
      </c>
      <c r="D4301" s="33">
        <f>Demand!E4299</f>
        <v>25</v>
      </c>
      <c r="E4301" s="33">
        <f>IF(Demand!F4299,1,0)</f>
        <v>0</v>
      </c>
      <c r="F4301" s="33">
        <f>COUNTIFS(c_store,A4301,c_date,B4301,c_hour,C4301)</f>
        <v>0</v>
      </c>
      <c r="G4301" s="33">
        <f>IF(F4301&gt;0,1,0)</f>
        <v>0</v>
      </c>
      <c r="H4301" s="33">
        <f>COUNTIFS(Demand!$A$2:$A$4481,A4301,Demand!$B$2:$B$4481,B4301,Demand!$C$2:$C$4481,C4301)</f>
        <v>1</v>
      </c>
    </row>
    <row r="4302">
      <c r="A4302" s="32" t="str">
        <f>Demand!A4300</f>
        <v>S009</v>
      </c>
      <c r="B4302" s="35">
        <f>Demand!B4300</f>
        <v>46279.0</v>
      </c>
      <c r="C4302" s="33">
        <f>Demand!C4300</f>
        <v>18</v>
      </c>
      <c r="D4302" s="33">
        <f>Demand!E4300</f>
        <v>23</v>
      </c>
      <c r="E4302" s="33">
        <f>IF(Demand!F4300,1,0)</f>
        <v>0</v>
      </c>
      <c r="F4302" s="33">
        <f>COUNTIFS(c_store,A4302,c_date,B4302,c_hour,C4302)</f>
        <v>0</v>
      </c>
      <c r="G4302" s="33">
        <f>IF(F4302&gt;0,1,0)</f>
        <v>0</v>
      </c>
      <c r="H4302" s="33">
        <f>COUNTIFS(Demand!$A$2:$A$4481,A4302,Demand!$B$2:$B$4481,B4302,Demand!$C$2:$C$4481,C4302)</f>
        <v>1</v>
      </c>
    </row>
    <row r="4303">
      <c r="A4303" s="32" t="str">
        <f>Demand!A4301</f>
        <v>S009</v>
      </c>
      <c r="B4303" s="35">
        <f>Demand!B4301</f>
        <v>46279.0</v>
      </c>
      <c r="C4303" s="33">
        <f>Demand!C4301</f>
        <v>19</v>
      </c>
      <c r="D4303" s="33">
        <f>Demand!E4301</f>
        <v>44</v>
      </c>
      <c r="E4303" s="33">
        <f>IF(Demand!F4301,1,0)</f>
        <v>1</v>
      </c>
      <c r="F4303" s="33">
        <f>COUNTIFS(c_store,A4303,c_date,B4303,c_hour,C4303)</f>
        <v>0</v>
      </c>
      <c r="G4303" s="33">
        <f>IF(F4303&gt;0,1,0)</f>
        <v>0</v>
      </c>
      <c r="H4303" s="33">
        <f>COUNTIFS(Demand!$A$2:$A$4481,A4303,Demand!$B$2:$B$4481,B4303,Demand!$C$2:$C$4481,C4303)</f>
        <v>1</v>
      </c>
    </row>
    <row r="4304">
      <c r="A4304" s="32" t="str">
        <f>Demand!A4302</f>
        <v>S009</v>
      </c>
      <c r="B4304" s="35">
        <f>Demand!B4302</f>
        <v>46279.0</v>
      </c>
      <c r="C4304" s="33">
        <f>Demand!C4302</f>
        <v>20</v>
      </c>
      <c r="D4304" s="33">
        <f>Demand!E4302</f>
        <v>46</v>
      </c>
      <c r="E4304" s="33">
        <f>IF(Demand!F4302,1,0)</f>
        <v>1</v>
      </c>
      <c r="F4304" s="33">
        <f>COUNTIFS(c_store,A4304,c_date,B4304,c_hour,C4304)</f>
        <v>2</v>
      </c>
      <c r="G4304" s="33">
        <f>IF(F4304&gt;0,1,0)</f>
        <v>1</v>
      </c>
      <c r="H4304" s="33">
        <f>COUNTIFS(Demand!$A$2:$A$4481,A4304,Demand!$B$2:$B$4481,B4304,Demand!$C$2:$C$4481,C4304)</f>
        <v>1</v>
      </c>
    </row>
    <row r="4305">
      <c r="A4305" s="32" t="str">
        <f>Demand!A4303</f>
        <v>S009</v>
      </c>
      <c r="B4305" s="35">
        <f>Demand!B4303</f>
        <v>46279.0</v>
      </c>
      <c r="C4305" s="33">
        <f>Demand!C4303</f>
        <v>21</v>
      </c>
      <c r="D4305" s="33">
        <f>Demand!E4303</f>
        <v>50</v>
      </c>
      <c r="E4305" s="33">
        <f>IF(Demand!F4303,1,0)</f>
        <v>1</v>
      </c>
      <c r="F4305" s="33">
        <f>COUNTIFS(c_store,A4305,c_date,B4305,c_hour,C4305)</f>
        <v>0</v>
      </c>
      <c r="G4305" s="33">
        <f>IF(F4305&gt;0,1,0)</f>
        <v>0</v>
      </c>
      <c r="H4305" s="33">
        <f>COUNTIFS(Demand!$A$2:$A$4481,A4305,Demand!$B$2:$B$4481,B4305,Demand!$C$2:$C$4481,C4305)</f>
        <v>1</v>
      </c>
    </row>
    <row r="4306">
      <c r="A4306" s="32" t="str">
        <f>Demand!A4304</f>
        <v>S009</v>
      </c>
      <c r="B4306" s="35">
        <f>Demand!B4304</f>
        <v>46279.0</v>
      </c>
      <c r="C4306" s="33">
        <f>Demand!C4304</f>
        <v>22</v>
      </c>
      <c r="D4306" s="33">
        <f>Demand!E4304</f>
        <v>28</v>
      </c>
      <c r="E4306" s="33">
        <f>IF(Demand!F4304,1,0)</f>
        <v>0</v>
      </c>
      <c r="F4306" s="33">
        <f>COUNTIFS(c_store,A4306,c_date,B4306,c_hour,C4306)</f>
        <v>0</v>
      </c>
      <c r="G4306" s="33">
        <f>IF(F4306&gt;0,1,0)</f>
        <v>0</v>
      </c>
      <c r="H4306" s="33">
        <f>COUNTIFS(Demand!$A$2:$A$4481,A4306,Demand!$B$2:$B$4481,B4306,Demand!$C$2:$C$4481,C4306)</f>
        <v>1</v>
      </c>
    </row>
    <row r="4307">
      <c r="A4307" s="32" t="str">
        <f>Demand!A4305</f>
        <v>S009</v>
      </c>
      <c r="B4307" s="35">
        <f>Demand!B4305</f>
        <v>46279.0</v>
      </c>
      <c r="C4307" s="33">
        <f>Demand!C4305</f>
        <v>23</v>
      </c>
      <c r="D4307" s="33">
        <f>Demand!E4305</f>
        <v>20</v>
      </c>
      <c r="E4307" s="33">
        <f>IF(Demand!F4305,1,0)</f>
        <v>0</v>
      </c>
      <c r="F4307" s="33">
        <f>COUNTIFS(c_store,A4307,c_date,B4307,c_hour,C4307)</f>
        <v>1</v>
      </c>
      <c r="G4307" s="33">
        <f>IF(F4307&gt;0,1,0)</f>
        <v>1</v>
      </c>
      <c r="H4307" s="33">
        <f>COUNTIFS(Demand!$A$2:$A$4481,A4307,Demand!$B$2:$B$4481,B4307,Demand!$C$2:$C$4481,C4307)</f>
        <v>1</v>
      </c>
    </row>
    <row r="4308">
      <c r="A4308" s="32" t="str">
        <f>Demand!A4306</f>
        <v>S010</v>
      </c>
      <c r="B4308" s="35">
        <f>Demand!B4306</f>
        <v>46279.0</v>
      </c>
      <c r="C4308" s="33">
        <f>Demand!C4306</f>
        <v>8</v>
      </c>
      <c r="D4308" s="33">
        <f>Demand!E4306</f>
        <v>15</v>
      </c>
      <c r="E4308" s="33">
        <f>IF(Demand!F4306,1,0)</f>
        <v>0</v>
      </c>
      <c r="F4308" s="33">
        <f>COUNTIFS(c_store,A4308,c_date,B4308,c_hour,C4308)</f>
        <v>3</v>
      </c>
      <c r="G4308" s="33">
        <f>IF(F4308&gt;0,1,0)</f>
        <v>1</v>
      </c>
      <c r="H4308" s="33">
        <f>COUNTIFS(Demand!$A$2:$A$4481,A4308,Demand!$B$2:$B$4481,B4308,Demand!$C$2:$C$4481,C4308)</f>
        <v>1</v>
      </c>
    </row>
    <row r="4309">
      <c r="A4309" s="32" t="str">
        <f>Demand!A4307</f>
        <v>S010</v>
      </c>
      <c r="B4309" s="35">
        <f>Demand!B4307</f>
        <v>46279.0</v>
      </c>
      <c r="C4309" s="33">
        <f>Demand!C4307</f>
        <v>9</v>
      </c>
      <c r="D4309" s="33">
        <f>Demand!E4307</f>
        <v>6</v>
      </c>
      <c r="E4309" s="33">
        <f>IF(Demand!F4307,1,0)</f>
        <v>0</v>
      </c>
      <c r="F4309" s="33">
        <f>COUNTIFS(c_store,A4309,c_date,B4309,c_hour,C4309)</f>
        <v>1</v>
      </c>
      <c r="G4309" s="33">
        <f>IF(F4309&gt;0,1,0)</f>
        <v>1</v>
      </c>
      <c r="H4309" s="33">
        <f>COUNTIFS(Demand!$A$2:$A$4481,A4309,Demand!$B$2:$B$4481,B4309,Demand!$C$2:$C$4481,C4309)</f>
        <v>1</v>
      </c>
    </row>
    <row r="4310">
      <c r="A4310" s="32" t="str">
        <f>Demand!A4308</f>
        <v>S010</v>
      </c>
      <c r="B4310" s="35">
        <f>Demand!B4308</f>
        <v>46279.0</v>
      </c>
      <c r="C4310" s="33">
        <f>Demand!C4308</f>
        <v>10</v>
      </c>
      <c r="D4310" s="33">
        <f>Demand!E4308</f>
        <v>15</v>
      </c>
      <c r="E4310" s="33">
        <f>IF(Demand!F4308,1,0)</f>
        <v>0</v>
      </c>
      <c r="F4310" s="33">
        <f>COUNTIFS(c_store,A4310,c_date,B4310,c_hour,C4310)</f>
        <v>0</v>
      </c>
      <c r="G4310" s="33">
        <f>IF(F4310&gt;0,1,0)</f>
        <v>0</v>
      </c>
      <c r="H4310" s="33">
        <f>COUNTIFS(Demand!$A$2:$A$4481,A4310,Demand!$B$2:$B$4481,B4310,Demand!$C$2:$C$4481,C4310)</f>
        <v>1</v>
      </c>
    </row>
    <row r="4311">
      <c r="A4311" s="32" t="str">
        <f>Demand!A4309</f>
        <v>S010</v>
      </c>
      <c r="B4311" s="35">
        <f>Demand!B4309</f>
        <v>46279.0</v>
      </c>
      <c r="C4311" s="33">
        <f>Demand!C4309</f>
        <v>11</v>
      </c>
      <c r="D4311" s="33">
        <f>Demand!E4309</f>
        <v>19</v>
      </c>
      <c r="E4311" s="33">
        <f>IF(Demand!F4309,1,0)</f>
        <v>0</v>
      </c>
      <c r="F4311" s="33">
        <f>COUNTIFS(c_store,A4311,c_date,B4311,c_hour,C4311)</f>
        <v>1</v>
      </c>
      <c r="G4311" s="33">
        <f>IF(F4311&gt;0,1,0)</f>
        <v>1</v>
      </c>
      <c r="H4311" s="33">
        <f>COUNTIFS(Demand!$A$2:$A$4481,A4311,Demand!$B$2:$B$4481,B4311,Demand!$C$2:$C$4481,C4311)</f>
        <v>1</v>
      </c>
    </row>
    <row r="4312">
      <c r="A4312" s="32" t="str">
        <f>Demand!A4310</f>
        <v>S010</v>
      </c>
      <c r="B4312" s="35">
        <f>Demand!B4310</f>
        <v>46279.0</v>
      </c>
      <c r="C4312" s="33">
        <f>Demand!C4310</f>
        <v>12</v>
      </c>
      <c r="D4312" s="33">
        <f>Demand!E4310</f>
        <v>27</v>
      </c>
      <c r="E4312" s="33">
        <f>IF(Demand!F4310,1,0)</f>
        <v>0</v>
      </c>
      <c r="F4312" s="33">
        <f>COUNTIFS(c_store,A4312,c_date,B4312,c_hour,C4312)</f>
        <v>2</v>
      </c>
      <c r="G4312" s="33">
        <f>IF(F4312&gt;0,1,0)</f>
        <v>1</v>
      </c>
      <c r="H4312" s="33">
        <f>COUNTIFS(Demand!$A$2:$A$4481,A4312,Demand!$B$2:$B$4481,B4312,Demand!$C$2:$C$4481,C4312)</f>
        <v>1</v>
      </c>
    </row>
    <row r="4313">
      <c r="A4313" s="32" t="str">
        <f>Demand!A4311</f>
        <v>S010</v>
      </c>
      <c r="B4313" s="35">
        <f>Demand!B4311</f>
        <v>46279.0</v>
      </c>
      <c r="C4313" s="33">
        <f>Demand!C4311</f>
        <v>13</v>
      </c>
      <c r="D4313" s="33">
        <f>Demand!E4311</f>
        <v>15</v>
      </c>
      <c r="E4313" s="33">
        <f>IF(Demand!F4311,1,0)</f>
        <v>0</v>
      </c>
      <c r="F4313" s="33">
        <f>COUNTIFS(c_store,A4313,c_date,B4313,c_hour,C4313)</f>
        <v>0</v>
      </c>
      <c r="G4313" s="33">
        <f>IF(F4313&gt;0,1,0)</f>
        <v>0</v>
      </c>
      <c r="H4313" s="33">
        <f>COUNTIFS(Demand!$A$2:$A$4481,A4313,Demand!$B$2:$B$4481,B4313,Demand!$C$2:$C$4481,C4313)</f>
        <v>1</v>
      </c>
    </row>
    <row r="4314">
      <c r="A4314" s="32" t="str">
        <f>Demand!A4312</f>
        <v>S010</v>
      </c>
      <c r="B4314" s="35">
        <f>Demand!B4312</f>
        <v>46279.0</v>
      </c>
      <c r="C4314" s="33">
        <f>Demand!C4312</f>
        <v>14</v>
      </c>
      <c r="D4314" s="33">
        <f>Demand!E4312</f>
        <v>13</v>
      </c>
      <c r="E4314" s="33">
        <f>IF(Demand!F4312,1,0)</f>
        <v>0</v>
      </c>
      <c r="F4314" s="33">
        <f>COUNTIFS(c_store,A4314,c_date,B4314,c_hour,C4314)</f>
        <v>0</v>
      </c>
      <c r="G4314" s="33">
        <f>IF(F4314&gt;0,1,0)</f>
        <v>0</v>
      </c>
      <c r="H4314" s="33">
        <f>COUNTIFS(Demand!$A$2:$A$4481,A4314,Demand!$B$2:$B$4481,B4314,Demand!$C$2:$C$4481,C4314)</f>
        <v>1</v>
      </c>
    </row>
    <row r="4315">
      <c r="A4315" s="32" t="str">
        <f>Demand!A4313</f>
        <v>S010</v>
      </c>
      <c r="B4315" s="35">
        <f>Demand!B4313</f>
        <v>46279.0</v>
      </c>
      <c r="C4315" s="33">
        <f>Demand!C4313</f>
        <v>15</v>
      </c>
      <c r="D4315" s="33">
        <f>Demand!E4313</f>
        <v>16</v>
      </c>
      <c r="E4315" s="33">
        <f>IF(Demand!F4313,1,0)</f>
        <v>0</v>
      </c>
      <c r="F4315" s="33">
        <f>COUNTIFS(c_store,A4315,c_date,B4315,c_hour,C4315)</f>
        <v>0</v>
      </c>
      <c r="G4315" s="33">
        <f>IF(F4315&gt;0,1,0)</f>
        <v>0</v>
      </c>
      <c r="H4315" s="33">
        <f>COUNTIFS(Demand!$A$2:$A$4481,A4315,Demand!$B$2:$B$4481,B4315,Demand!$C$2:$C$4481,C4315)</f>
        <v>1</v>
      </c>
    </row>
    <row r="4316">
      <c r="A4316" s="32" t="str">
        <f>Demand!A4314</f>
        <v>S010</v>
      </c>
      <c r="B4316" s="35">
        <f>Demand!B4314</f>
        <v>46279.0</v>
      </c>
      <c r="C4316" s="33">
        <f>Demand!C4314</f>
        <v>16</v>
      </c>
      <c r="D4316" s="33">
        <f>Demand!E4314</f>
        <v>27</v>
      </c>
      <c r="E4316" s="33">
        <f>IF(Demand!F4314,1,0)</f>
        <v>0</v>
      </c>
      <c r="F4316" s="33">
        <f>COUNTIFS(c_store,A4316,c_date,B4316,c_hour,C4316)</f>
        <v>0</v>
      </c>
      <c r="G4316" s="33">
        <f>IF(F4316&gt;0,1,0)</f>
        <v>0</v>
      </c>
      <c r="H4316" s="33">
        <f>COUNTIFS(Demand!$A$2:$A$4481,A4316,Demand!$B$2:$B$4481,B4316,Demand!$C$2:$C$4481,C4316)</f>
        <v>1</v>
      </c>
    </row>
    <row r="4317">
      <c r="A4317" s="32" t="str">
        <f>Demand!A4315</f>
        <v>S010</v>
      </c>
      <c r="B4317" s="35">
        <f>Demand!B4315</f>
        <v>46279.0</v>
      </c>
      <c r="C4317" s="33">
        <f>Demand!C4315</f>
        <v>17</v>
      </c>
      <c r="D4317" s="33">
        <f>Demand!E4315</f>
        <v>21</v>
      </c>
      <c r="E4317" s="33">
        <f>IF(Demand!F4315,1,0)</f>
        <v>0</v>
      </c>
      <c r="F4317" s="33">
        <f>COUNTIFS(c_store,A4317,c_date,B4317,c_hour,C4317)</f>
        <v>0</v>
      </c>
      <c r="G4317" s="33">
        <f>IF(F4317&gt;0,1,0)</f>
        <v>0</v>
      </c>
      <c r="H4317" s="33">
        <f>COUNTIFS(Demand!$A$2:$A$4481,A4317,Demand!$B$2:$B$4481,B4317,Demand!$C$2:$C$4481,C4317)</f>
        <v>1</v>
      </c>
    </row>
    <row r="4318">
      <c r="A4318" s="32" t="str">
        <f>Demand!A4316</f>
        <v>S010</v>
      </c>
      <c r="B4318" s="35">
        <f>Demand!B4316</f>
        <v>46279.0</v>
      </c>
      <c r="C4318" s="33">
        <f>Demand!C4316</f>
        <v>18</v>
      </c>
      <c r="D4318" s="33">
        <f>Demand!E4316</f>
        <v>18</v>
      </c>
      <c r="E4318" s="33">
        <f>IF(Demand!F4316,1,0)</f>
        <v>0</v>
      </c>
      <c r="F4318" s="33">
        <f>COUNTIFS(c_store,A4318,c_date,B4318,c_hour,C4318)</f>
        <v>0</v>
      </c>
      <c r="G4318" s="33">
        <f>IF(F4318&gt;0,1,0)</f>
        <v>0</v>
      </c>
      <c r="H4318" s="33">
        <f>COUNTIFS(Demand!$A$2:$A$4481,A4318,Demand!$B$2:$B$4481,B4318,Demand!$C$2:$C$4481,C4318)</f>
        <v>1</v>
      </c>
    </row>
    <row r="4319">
      <c r="A4319" s="32" t="str">
        <f>Demand!A4317</f>
        <v>S010</v>
      </c>
      <c r="B4319" s="35">
        <f>Demand!B4317</f>
        <v>46279.0</v>
      </c>
      <c r="C4319" s="33">
        <f>Demand!C4317</f>
        <v>19</v>
      </c>
      <c r="D4319" s="33">
        <f>Demand!E4317</f>
        <v>31</v>
      </c>
      <c r="E4319" s="33">
        <f>IF(Demand!F4317,1,0)</f>
        <v>1</v>
      </c>
      <c r="F4319" s="33">
        <f>COUNTIFS(c_store,A4319,c_date,B4319,c_hour,C4319)</f>
        <v>0</v>
      </c>
      <c r="G4319" s="33">
        <f>IF(F4319&gt;0,1,0)</f>
        <v>0</v>
      </c>
      <c r="H4319" s="33">
        <f>COUNTIFS(Demand!$A$2:$A$4481,A4319,Demand!$B$2:$B$4481,B4319,Demand!$C$2:$C$4481,C4319)</f>
        <v>1</v>
      </c>
    </row>
    <row r="4320">
      <c r="A4320" s="32" t="str">
        <f>Demand!A4318</f>
        <v>S010</v>
      </c>
      <c r="B4320" s="35">
        <f>Demand!B4318</f>
        <v>46279.0</v>
      </c>
      <c r="C4320" s="33">
        <f>Demand!C4318</f>
        <v>20</v>
      </c>
      <c r="D4320" s="33">
        <f>Demand!E4318</f>
        <v>37</v>
      </c>
      <c r="E4320" s="33">
        <f>IF(Demand!F4318,1,0)</f>
        <v>1</v>
      </c>
      <c r="F4320" s="33">
        <f>COUNTIFS(c_store,A4320,c_date,B4320,c_hour,C4320)</f>
        <v>1</v>
      </c>
      <c r="G4320" s="33">
        <f>IF(F4320&gt;0,1,0)</f>
        <v>1</v>
      </c>
      <c r="H4320" s="33">
        <f>COUNTIFS(Demand!$A$2:$A$4481,A4320,Demand!$B$2:$B$4481,B4320,Demand!$C$2:$C$4481,C4320)</f>
        <v>1</v>
      </c>
    </row>
    <row r="4321">
      <c r="A4321" s="32" t="str">
        <f>Demand!A4319</f>
        <v>S010</v>
      </c>
      <c r="B4321" s="35">
        <f>Demand!B4319</f>
        <v>46279.0</v>
      </c>
      <c r="C4321" s="33">
        <f>Demand!C4319</f>
        <v>21</v>
      </c>
      <c r="D4321" s="33">
        <f>Demand!E4319</f>
        <v>34</v>
      </c>
      <c r="E4321" s="33">
        <f>IF(Demand!F4319,1,0)</f>
        <v>1</v>
      </c>
      <c r="F4321" s="33">
        <f>COUNTIFS(c_store,A4321,c_date,B4321,c_hour,C4321)</f>
        <v>1</v>
      </c>
      <c r="G4321" s="33">
        <f>IF(F4321&gt;0,1,0)</f>
        <v>1</v>
      </c>
      <c r="H4321" s="33">
        <f>COUNTIFS(Demand!$A$2:$A$4481,A4321,Demand!$B$2:$B$4481,B4321,Demand!$C$2:$C$4481,C4321)</f>
        <v>1</v>
      </c>
    </row>
    <row r="4322">
      <c r="A4322" s="32" t="str">
        <f>Demand!A4320</f>
        <v>S010</v>
      </c>
      <c r="B4322" s="35">
        <f>Demand!B4320</f>
        <v>46279.0</v>
      </c>
      <c r="C4322" s="33">
        <f>Demand!C4320</f>
        <v>22</v>
      </c>
      <c r="D4322" s="33">
        <f>Demand!E4320</f>
        <v>19</v>
      </c>
      <c r="E4322" s="33">
        <f>IF(Demand!F4320,1,0)</f>
        <v>0</v>
      </c>
      <c r="F4322" s="33">
        <f>COUNTIFS(c_store,A4322,c_date,B4322,c_hour,C4322)</f>
        <v>0</v>
      </c>
      <c r="G4322" s="33">
        <f>IF(F4322&gt;0,1,0)</f>
        <v>0</v>
      </c>
      <c r="H4322" s="33">
        <f>COUNTIFS(Demand!$A$2:$A$4481,A4322,Demand!$B$2:$B$4481,B4322,Demand!$C$2:$C$4481,C4322)</f>
        <v>1</v>
      </c>
    </row>
    <row r="4323">
      <c r="A4323" s="32" t="str">
        <f>Demand!A4321</f>
        <v>S010</v>
      </c>
      <c r="B4323" s="35">
        <f>Demand!B4321</f>
        <v>46279.0</v>
      </c>
      <c r="C4323" s="33">
        <f>Demand!C4321</f>
        <v>23</v>
      </c>
      <c r="D4323" s="33">
        <f>Demand!E4321</f>
        <v>13</v>
      </c>
      <c r="E4323" s="33">
        <f>IF(Demand!F4321,1,0)</f>
        <v>0</v>
      </c>
      <c r="F4323" s="33">
        <f>COUNTIFS(c_store,A4323,c_date,B4323,c_hour,C4323)</f>
        <v>0</v>
      </c>
      <c r="G4323" s="33">
        <f>IF(F4323&gt;0,1,0)</f>
        <v>0</v>
      </c>
      <c r="H4323" s="33">
        <f>COUNTIFS(Demand!$A$2:$A$4481,A4323,Demand!$B$2:$B$4481,B4323,Demand!$C$2:$C$4481,C4323)</f>
        <v>1</v>
      </c>
    </row>
    <row r="4324">
      <c r="A4324" s="32" t="str">
        <f>Demand!A4322</f>
        <v>S011</v>
      </c>
      <c r="B4324" s="35">
        <f>Demand!B4322</f>
        <v>46279.0</v>
      </c>
      <c r="C4324" s="33">
        <f>Demand!C4322</f>
        <v>8</v>
      </c>
      <c r="D4324" s="33">
        <f>Demand!E4322</f>
        <v>27</v>
      </c>
      <c r="E4324" s="33">
        <f>IF(Demand!F4322,1,0)</f>
        <v>0</v>
      </c>
      <c r="F4324" s="33">
        <f>COUNTIFS(c_store,A4324,c_date,B4324,c_hour,C4324)</f>
        <v>0</v>
      </c>
      <c r="G4324" s="33">
        <f>IF(F4324&gt;0,1,0)</f>
        <v>0</v>
      </c>
      <c r="H4324" s="33">
        <f>COUNTIFS(Demand!$A$2:$A$4481,A4324,Demand!$B$2:$B$4481,B4324,Demand!$C$2:$C$4481,C4324)</f>
        <v>1</v>
      </c>
    </row>
    <row r="4325">
      <c r="A4325" s="32" t="str">
        <f>Demand!A4323</f>
        <v>S011</v>
      </c>
      <c r="B4325" s="35">
        <f>Demand!B4323</f>
        <v>46279.0</v>
      </c>
      <c r="C4325" s="33">
        <f>Demand!C4323</f>
        <v>9</v>
      </c>
      <c r="D4325" s="33">
        <f>Demand!E4323</f>
        <v>23</v>
      </c>
      <c r="E4325" s="33">
        <f>IF(Demand!F4323,1,0)</f>
        <v>0</v>
      </c>
      <c r="F4325" s="33">
        <f>COUNTIFS(c_store,A4325,c_date,B4325,c_hour,C4325)</f>
        <v>0</v>
      </c>
      <c r="G4325" s="33">
        <f>IF(F4325&gt;0,1,0)</f>
        <v>0</v>
      </c>
      <c r="H4325" s="33">
        <f>COUNTIFS(Demand!$A$2:$A$4481,A4325,Demand!$B$2:$B$4481,B4325,Demand!$C$2:$C$4481,C4325)</f>
        <v>1</v>
      </c>
    </row>
    <row r="4326">
      <c r="A4326" s="32" t="str">
        <f>Demand!A4324</f>
        <v>S011</v>
      </c>
      <c r="B4326" s="35">
        <f>Demand!B4324</f>
        <v>46279.0</v>
      </c>
      <c r="C4326" s="33">
        <f>Demand!C4324</f>
        <v>10</v>
      </c>
      <c r="D4326" s="33">
        <f>Demand!E4324</f>
        <v>19</v>
      </c>
      <c r="E4326" s="33">
        <f>IF(Demand!F4324,1,0)</f>
        <v>0</v>
      </c>
      <c r="F4326" s="33">
        <f>COUNTIFS(c_store,A4326,c_date,B4326,c_hour,C4326)</f>
        <v>0</v>
      </c>
      <c r="G4326" s="33">
        <f>IF(F4326&gt;0,1,0)</f>
        <v>0</v>
      </c>
      <c r="H4326" s="33">
        <f>COUNTIFS(Demand!$A$2:$A$4481,A4326,Demand!$B$2:$B$4481,B4326,Demand!$C$2:$C$4481,C4326)</f>
        <v>1</v>
      </c>
    </row>
    <row r="4327">
      <c r="A4327" s="32" t="str">
        <f>Demand!A4325</f>
        <v>S011</v>
      </c>
      <c r="B4327" s="35">
        <f>Demand!B4325</f>
        <v>46279.0</v>
      </c>
      <c r="C4327" s="33">
        <f>Demand!C4325</f>
        <v>11</v>
      </c>
      <c r="D4327" s="33">
        <f>Demand!E4325</f>
        <v>35</v>
      </c>
      <c r="E4327" s="33">
        <f>IF(Demand!F4325,1,0)</f>
        <v>0</v>
      </c>
      <c r="F4327" s="33">
        <f>COUNTIFS(c_store,A4327,c_date,B4327,c_hour,C4327)</f>
        <v>0</v>
      </c>
      <c r="G4327" s="33">
        <f>IF(F4327&gt;0,1,0)</f>
        <v>0</v>
      </c>
      <c r="H4327" s="33">
        <f>COUNTIFS(Demand!$A$2:$A$4481,A4327,Demand!$B$2:$B$4481,B4327,Demand!$C$2:$C$4481,C4327)</f>
        <v>1</v>
      </c>
    </row>
    <row r="4328">
      <c r="A4328" s="32" t="str">
        <f>Demand!A4326</f>
        <v>S011</v>
      </c>
      <c r="B4328" s="35">
        <f>Demand!B4326</f>
        <v>46279.0</v>
      </c>
      <c r="C4328" s="33">
        <f>Demand!C4326</f>
        <v>12</v>
      </c>
      <c r="D4328" s="33">
        <f>Demand!E4326</f>
        <v>35</v>
      </c>
      <c r="E4328" s="33">
        <f>IF(Demand!F4326,1,0)</f>
        <v>0</v>
      </c>
      <c r="F4328" s="33">
        <f>COUNTIFS(c_store,A4328,c_date,B4328,c_hour,C4328)</f>
        <v>0</v>
      </c>
      <c r="G4328" s="33">
        <f>IF(F4328&gt;0,1,0)</f>
        <v>0</v>
      </c>
      <c r="H4328" s="33">
        <f>COUNTIFS(Demand!$A$2:$A$4481,A4328,Demand!$B$2:$B$4481,B4328,Demand!$C$2:$C$4481,C4328)</f>
        <v>1</v>
      </c>
    </row>
    <row r="4329">
      <c r="A4329" s="32" t="str">
        <f>Demand!A4327</f>
        <v>S011</v>
      </c>
      <c r="B4329" s="35">
        <f>Demand!B4327</f>
        <v>46279.0</v>
      </c>
      <c r="C4329" s="33">
        <f>Demand!C4327</f>
        <v>13</v>
      </c>
      <c r="D4329" s="33">
        <f>Demand!E4327</f>
        <v>28</v>
      </c>
      <c r="E4329" s="33">
        <f>IF(Demand!F4327,1,0)</f>
        <v>0</v>
      </c>
      <c r="F4329" s="33">
        <f>COUNTIFS(c_store,A4329,c_date,B4329,c_hour,C4329)</f>
        <v>2</v>
      </c>
      <c r="G4329" s="33">
        <f>IF(F4329&gt;0,1,0)</f>
        <v>1</v>
      </c>
      <c r="H4329" s="33">
        <f>COUNTIFS(Demand!$A$2:$A$4481,A4329,Demand!$B$2:$B$4481,B4329,Demand!$C$2:$C$4481,C4329)</f>
        <v>1</v>
      </c>
    </row>
    <row r="4330">
      <c r="A4330" s="32" t="str">
        <f>Demand!A4328</f>
        <v>S011</v>
      </c>
      <c r="B4330" s="35">
        <f>Demand!B4328</f>
        <v>46279.0</v>
      </c>
      <c r="C4330" s="33">
        <f>Demand!C4328</f>
        <v>14</v>
      </c>
      <c r="D4330" s="33">
        <f>Demand!E4328</f>
        <v>18</v>
      </c>
      <c r="E4330" s="33">
        <f>IF(Demand!F4328,1,0)</f>
        <v>0</v>
      </c>
      <c r="F4330" s="33">
        <f>COUNTIFS(c_store,A4330,c_date,B4330,c_hour,C4330)</f>
        <v>1</v>
      </c>
      <c r="G4330" s="33">
        <f>IF(F4330&gt;0,1,0)</f>
        <v>1</v>
      </c>
      <c r="H4330" s="33">
        <f>COUNTIFS(Demand!$A$2:$A$4481,A4330,Demand!$B$2:$B$4481,B4330,Demand!$C$2:$C$4481,C4330)</f>
        <v>1</v>
      </c>
    </row>
    <row r="4331">
      <c r="A4331" s="32" t="str">
        <f>Demand!A4329</f>
        <v>S011</v>
      </c>
      <c r="B4331" s="35">
        <f>Demand!B4329</f>
        <v>46279.0</v>
      </c>
      <c r="C4331" s="33">
        <f>Demand!C4329</f>
        <v>15</v>
      </c>
      <c r="D4331" s="33">
        <f>Demand!E4329</f>
        <v>21</v>
      </c>
      <c r="E4331" s="33">
        <f>IF(Demand!F4329,1,0)</f>
        <v>0</v>
      </c>
      <c r="F4331" s="33">
        <f>COUNTIFS(c_store,A4331,c_date,B4331,c_hour,C4331)</f>
        <v>0</v>
      </c>
      <c r="G4331" s="33">
        <f>IF(F4331&gt;0,1,0)</f>
        <v>0</v>
      </c>
      <c r="H4331" s="33">
        <f>COUNTIFS(Demand!$A$2:$A$4481,A4331,Demand!$B$2:$B$4481,B4331,Demand!$C$2:$C$4481,C4331)</f>
        <v>1</v>
      </c>
    </row>
    <row r="4332">
      <c r="A4332" s="32" t="str">
        <f>Demand!A4330</f>
        <v>S011</v>
      </c>
      <c r="B4332" s="35">
        <f>Demand!B4330</f>
        <v>46279.0</v>
      </c>
      <c r="C4332" s="33">
        <f>Demand!C4330</f>
        <v>16</v>
      </c>
      <c r="D4332" s="33">
        <f>Demand!E4330</f>
        <v>39</v>
      </c>
      <c r="E4332" s="33">
        <f>IF(Demand!F4330,1,0)</f>
        <v>0</v>
      </c>
      <c r="F4332" s="33">
        <f>COUNTIFS(c_store,A4332,c_date,B4332,c_hour,C4332)</f>
        <v>0</v>
      </c>
      <c r="G4332" s="33">
        <f>IF(F4332&gt;0,1,0)</f>
        <v>0</v>
      </c>
      <c r="H4332" s="33">
        <f>COUNTIFS(Demand!$A$2:$A$4481,A4332,Demand!$B$2:$B$4481,B4332,Demand!$C$2:$C$4481,C4332)</f>
        <v>1</v>
      </c>
    </row>
    <row r="4333">
      <c r="A4333" s="32" t="str">
        <f>Demand!A4331</f>
        <v>S011</v>
      </c>
      <c r="B4333" s="35">
        <f>Demand!B4331</f>
        <v>46279.0</v>
      </c>
      <c r="C4333" s="33">
        <f>Demand!C4331</f>
        <v>17</v>
      </c>
      <c r="D4333" s="33">
        <f>Demand!E4331</f>
        <v>28</v>
      </c>
      <c r="E4333" s="33">
        <f>IF(Demand!F4331,1,0)</f>
        <v>0</v>
      </c>
      <c r="F4333" s="33">
        <f>COUNTIFS(c_store,A4333,c_date,B4333,c_hour,C4333)</f>
        <v>0</v>
      </c>
      <c r="G4333" s="33">
        <f>IF(F4333&gt;0,1,0)</f>
        <v>0</v>
      </c>
      <c r="H4333" s="33">
        <f>COUNTIFS(Demand!$A$2:$A$4481,A4333,Demand!$B$2:$B$4481,B4333,Demand!$C$2:$C$4481,C4333)</f>
        <v>1</v>
      </c>
    </row>
    <row r="4334">
      <c r="A4334" s="32" t="str">
        <f>Demand!A4332</f>
        <v>S011</v>
      </c>
      <c r="B4334" s="35">
        <f>Demand!B4332</f>
        <v>46279.0</v>
      </c>
      <c r="C4334" s="33">
        <f>Demand!C4332</f>
        <v>18</v>
      </c>
      <c r="D4334" s="33">
        <f>Demand!E4332</f>
        <v>27</v>
      </c>
      <c r="E4334" s="33">
        <f>IF(Demand!F4332,1,0)</f>
        <v>0</v>
      </c>
      <c r="F4334" s="33">
        <f>COUNTIFS(c_store,A4334,c_date,B4334,c_hour,C4334)</f>
        <v>0</v>
      </c>
      <c r="G4334" s="33">
        <f>IF(F4334&gt;0,1,0)</f>
        <v>0</v>
      </c>
      <c r="H4334" s="33">
        <f>COUNTIFS(Demand!$A$2:$A$4481,A4334,Demand!$B$2:$B$4481,B4334,Demand!$C$2:$C$4481,C4334)</f>
        <v>1</v>
      </c>
    </row>
    <row r="4335">
      <c r="A4335" s="32" t="str">
        <f>Demand!A4333</f>
        <v>S011</v>
      </c>
      <c r="B4335" s="35">
        <f>Demand!B4333</f>
        <v>46279.0</v>
      </c>
      <c r="C4335" s="33">
        <f>Demand!C4333</f>
        <v>19</v>
      </c>
      <c r="D4335" s="33">
        <f>Demand!E4333</f>
        <v>39</v>
      </c>
      <c r="E4335" s="33">
        <f>IF(Demand!F4333,1,0)</f>
        <v>1</v>
      </c>
      <c r="F4335" s="33">
        <f>COUNTIFS(c_store,A4335,c_date,B4335,c_hour,C4335)</f>
        <v>0</v>
      </c>
      <c r="G4335" s="33">
        <f>IF(F4335&gt;0,1,0)</f>
        <v>0</v>
      </c>
      <c r="H4335" s="33">
        <f>COUNTIFS(Demand!$A$2:$A$4481,A4335,Demand!$B$2:$B$4481,B4335,Demand!$C$2:$C$4481,C4335)</f>
        <v>1</v>
      </c>
    </row>
    <row r="4336">
      <c r="A4336" s="32" t="str">
        <f>Demand!A4334</f>
        <v>S011</v>
      </c>
      <c r="B4336" s="35">
        <f>Demand!B4334</f>
        <v>46279.0</v>
      </c>
      <c r="C4336" s="33">
        <f>Demand!C4334</f>
        <v>20</v>
      </c>
      <c r="D4336" s="33">
        <f>Demand!E4334</f>
        <v>27</v>
      </c>
      <c r="E4336" s="33">
        <f>IF(Demand!F4334,1,0)</f>
        <v>1</v>
      </c>
      <c r="F4336" s="33">
        <f>COUNTIFS(c_store,A4336,c_date,B4336,c_hour,C4336)</f>
        <v>0</v>
      </c>
      <c r="G4336" s="33">
        <f>IF(F4336&gt;0,1,0)</f>
        <v>0</v>
      </c>
      <c r="H4336" s="33">
        <f>COUNTIFS(Demand!$A$2:$A$4481,A4336,Demand!$B$2:$B$4481,B4336,Demand!$C$2:$C$4481,C4336)</f>
        <v>1</v>
      </c>
    </row>
    <row r="4337">
      <c r="A4337" s="32" t="str">
        <f>Demand!A4335</f>
        <v>S011</v>
      </c>
      <c r="B4337" s="35">
        <f>Demand!B4335</f>
        <v>46279.0</v>
      </c>
      <c r="C4337" s="33">
        <f>Demand!C4335</f>
        <v>21</v>
      </c>
      <c r="D4337" s="33">
        <f>Demand!E4335</f>
        <v>32</v>
      </c>
      <c r="E4337" s="33">
        <f>IF(Demand!F4335,1,0)</f>
        <v>1</v>
      </c>
      <c r="F4337" s="33">
        <f>COUNTIFS(c_store,A4337,c_date,B4337,c_hour,C4337)</f>
        <v>0</v>
      </c>
      <c r="G4337" s="33">
        <f>IF(F4337&gt;0,1,0)</f>
        <v>0</v>
      </c>
      <c r="H4337" s="33">
        <f>COUNTIFS(Demand!$A$2:$A$4481,A4337,Demand!$B$2:$B$4481,B4337,Demand!$C$2:$C$4481,C4337)</f>
        <v>1</v>
      </c>
    </row>
    <row r="4338">
      <c r="A4338" s="32" t="str">
        <f>Demand!A4336</f>
        <v>S011</v>
      </c>
      <c r="B4338" s="35">
        <f>Demand!B4336</f>
        <v>46279.0</v>
      </c>
      <c r="C4338" s="33">
        <f>Demand!C4336</f>
        <v>22</v>
      </c>
      <c r="D4338" s="33">
        <f>Demand!E4336</f>
        <v>27</v>
      </c>
      <c r="E4338" s="33">
        <f>IF(Demand!F4336,1,0)</f>
        <v>0</v>
      </c>
      <c r="F4338" s="33">
        <f>COUNTIFS(c_store,A4338,c_date,B4338,c_hour,C4338)</f>
        <v>1</v>
      </c>
      <c r="G4338" s="33">
        <f>IF(F4338&gt;0,1,0)</f>
        <v>1</v>
      </c>
      <c r="H4338" s="33">
        <f>COUNTIFS(Demand!$A$2:$A$4481,A4338,Demand!$B$2:$B$4481,B4338,Demand!$C$2:$C$4481,C4338)</f>
        <v>1</v>
      </c>
    </row>
    <row r="4339">
      <c r="A4339" s="32" t="str">
        <f>Demand!A4337</f>
        <v>S011</v>
      </c>
      <c r="B4339" s="35">
        <f>Demand!B4337</f>
        <v>46279.0</v>
      </c>
      <c r="C4339" s="33">
        <f>Demand!C4337</f>
        <v>23</v>
      </c>
      <c r="D4339" s="33">
        <f>Demand!E4337</f>
        <v>26</v>
      </c>
      <c r="E4339" s="33">
        <f>IF(Demand!F4337,1,0)</f>
        <v>0</v>
      </c>
      <c r="F4339" s="33">
        <f>COUNTIFS(c_store,A4339,c_date,B4339,c_hour,C4339)</f>
        <v>0</v>
      </c>
      <c r="G4339" s="33">
        <f>IF(F4339&gt;0,1,0)</f>
        <v>0</v>
      </c>
      <c r="H4339" s="33">
        <f>COUNTIFS(Demand!$A$2:$A$4481,A4339,Demand!$B$2:$B$4481,B4339,Demand!$C$2:$C$4481,C4339)</f>
        <v>1</v>
      </c>
    </row>
    <row r="4340">
      <c r="A4340" s="32" t="str">
        <f>Demand!A4338</f>
        <v>S012</v>
      </c>
      <c r="B4340" s="35">
        <f>Demand!B4338</f>
        <v>46279.0</v>
      </c>
      <c r="C4340" s="33">
        <f>Demand!C4338</f>
        <v>8</v>
      </c>
      <c r="D4340" s="33">
        <f>Demand!E4338</f>
        <v>14</v>
      </c>
      <c r="E4340" s="33">
        <f>IF(Demand!F4338,1,0)</f>
        <v>0</v>
      </c>
      <c r="F4340" s="33">
        <f>COUNTIFS(c_store,A4340,c_date,B4340,c_hour,C4340)</f>
        <v>0</v>
      </c>
      <c r="G4340" s="33">
        <f>IF(F4340&gt;0,1,0)</f>
        <v>0</v>
      </c>
      <c r="H4340" s="33">
        <f>COUNTIFS(Demand!$A$2:$A$4481,A4340,Demand!$B$2:$B$4481,B4340,Demand!$C$2:$C$4481,C4340)</f>
        <v>1</v>
      </c>
    </row>
    <row r="4341">
      <c r="A4341" s="32" t="str">
        <f>Demand!A4339</f>
        <v>S012</v>
      </c>
      <c r="B4341" s="35">
        <f>Demand!B4339</f>
        <v>46279.0</v>
      </c>
      <c r="C4341" s="33">
        <f>Demand!C4339</f>
        <v>9</v>
      </c>
      <c r="D4341" s="33">
        <f>Demand!E4339</f>
        <v>9</v>
      </c>
      <c r="E4341" s="33">
        <f>IF(Demand!F4339,1,0)</f>
        <v>0</v>
      </c>
      <c r="F4341" s="33">
        <f>COUNTIFS(c_store,A4341,c_date,B4341,c_hour,C4341)</f>
        <v>0</v>
      </c>
      <c r="G4341" s="33">
        <f>IF(F4341&gt;0,1,0)</f>
        <v>0</v>
      </c>
      <c r="H4341" s="33">
        <f>COUNTIFS(Demand!$A$2:$A$4481,A4341,Demand!$B$2:$B$4481,B4341,Demand!$C$2:$C$4481,C4341)</f>
        <v>1</v>
      </c>
    </row>
    <row r="4342">
      <c r="A4342" s="32" t="str">
        <f>Demand!A4340</f>
        <v>S012</v>
      </c>
      <c r="B4342" s="35">
        <f>Demand!B4340</f>
        <v>46279.0</v>
      </c>
      <c r="C4342" s="33">
        <f>Demand!C4340</f>
        <v>10</v>
      </c>
      <c r="D4342" s="33">
        <f>Demand!E4340</f>
        <v>14</v>
      </c>
      <c r="E4342" s="33">
        <f>IF(Demand!F4340,1,0)</f>
        <v>0</v>
      </c>
      <c r="F4342" s="33">
        <f>COUNTIFS(c_store,A4342,c_date,B4342,c_hour,C4342)</f>
        <v>0</v>
      </c>
      <c r="G4342" s="33">
        <f>IF(F4342&gt;0,1,0)</f>
        <v>0</v>
      </c>
      <c r="H4342" s="33">
        <f>COUNTIFS(Demand!$A$2:$A$4481,A4342,Demand!$B$2:$B$4481,B4342,Demand!$C$2:$C$4481,C4342)</f>
        <v>1</v>
      </c>
    </row>
    <row r="4343">
      <c r="A4343" s="32" t="str">
        <f>Demand!A4341</f>
        <v>S012</v>
      </c>
      <c r="B4343" s="35">
        <f>Demand!B4341</f>
        <v>46279.0</v>
      </c>
      <c r="C4343" s="33">
        <f>Demand!C4341</f>
        <v>11</v>
      </c>
      <c r="D4343" s="33">
        <f>Demand!E4341</f>
        <v>19</v>
      </c>
      <c r="E4343" s="33">
        <f>IF(Demand!F4341,1,0)</f>
        <v>0</v>
      </c>
      <c r="F4343" s="33">
        <f>COUNTIFS(c_store,A4343,c_date,B4343,c_hour,C4343)</f>
        <v>0</v>
      </c>
      <c r="G4343" s="33">
        <f>IF(F4343&gt;0,1,0)</f>
        <v>0</v>
      </c>
      <c r="H4343" s="33">
        <f>COUNTIFS(Demand!$A$2:$A$4481,A4343,Demand!$B$2:$B$4481,B4343,Demand!$C$2:$C$4481,C4343)</f>
        <v>1</v>
      </c>
    </row>
    <row r="4344">
      <c r="A4344" s="32" t="str">
        <f>Demand!A4342</f>
        <v>S012</v>
      </c>
      <c r="B4344" s="35">
        <f>Demand!B4342</f>
        <v>46279.0</v>
      </c>
      <c r="C4344" s="33">
        <f>Demand!C4342</f>
        <v>12</v>
      </c>
      <c r="D4344" s="33">
        <f>Demand!E4342</f>
        <v>15</v>
      </c>
      <c r="E4344" s="33">
        <f>IF(Demand!F4342,1,0)</f>
        <v>0</v>
      </c>
      <c r="F4344" s="33">
        <f>COUNTIFS(c_store,A4344,c_date,B4344,c_hour,C4344)</f>
        <v>0</v>
      </c>
      <c r="G4344" s="33">
        <f>IF(F4344&gt;0,1,0)</f>
        <v>0</v>
      </c>
      <c r="H4344" s="33">
        <f>COUNTIFS(Demand!$A$2:$A$4481,A4344,Demand!$B$2:$B$4481,B4344,Demand!$C$2:$C$4481,C4344)</f>
        <v>1</v>
      </c>
    </row>
    <row r="4345">
      <c r="A4345" s="32" t="str">
        <f>Demand!A4343</f>
        <v>S012</v>
      </c>
      <c r="B4345" s="35">
        <f>Demand!B4343</f>
        <v>46279.0</v>
      </c>
      <c r="C4345" s="33">
        <f>Demand!C4343</f>
        <v>13</v>
      </c>
      <c r="D4345" s="33">
        <f>Demand!E4343</f>
        <v>7</v>
      </c>
      <c r="E4345" s="33">
        <f>IF(Demand!F4343,1,0)</f>
        <v>0</v>
      </c>
      <c r="F4345" s="33">
        <f>COUNTIFS(c_store,A4345,c_date,B4345,c_hour,C4345)</f>
        <v>0</v>
      </c>
      <c r="G4345" s="33">
        <f>IF(F4345&gt;0,1,0)</f>
        <v>0</v>
      </c>
      <c r="H4345" s="33">
        <f>COUNTIFS(Demand!$A$2:$A$4481,A4345,Demand!$B$2:$B$4481,B4345,Demand!$C$2:$C$4481,C4345)</f>
        <v>1</v>
      </c>
    </row>
    <row r="4346">
      <c r="A4346" s="32" t="str">
        <f>Demand!A4344</f>
        <v>S012</v>
      </c>
      <c r="B4346" s="35">
        <f>Demand!B4344</f>
        <v>46279.0</v>
      </c>
      <c r="C4346" s="33">
        <f>Demand!C4344</f>
        <v>14</v>
      </c>
      <c r="D4346" s="33">
        <f>Demand!E4344</f>
        <v>17</v>
      </c>
      <c r="E4346" s="33">
        <f>IF(Demand!F4344,1,0)</f>
        <v>0</v>
      </c>
      <c r="F4346" s="33">
        <f>COUNTIFS(c_store,A4346,c_date,B4346,c_hour,C4346)</f>
        <v>0</v>
      </c>
      <c r="G4346" s="33">
        <f>IF(F4346&gt;0,1,0)</f>
        <v>0</v>
      </c>
      <c r="H4346" s="33">
        <f>COUNTIFS(Demand!$A$2:$A$4481,A4346,Demand!$B$2:$B$4481,B4346,Demand!$C$2:$C$4481,C4346)</f>
        <v>1</v>
      </c>
    </row>
    <row r="4347">
      <c r="A4347" s="32" t="str">
        <f>Demand!A4345</f>
        <v>S012</v>
      </c>
      <c r="B4347" s="35">
        <f>Demand!B4345</f>
        <v>46279.0</v>
      </c>
      <c r="C4347" s="33">
        <f>Demand!C4345</f>
        <v>15</v>
      </c>
      <c r="D4347" s="33">
        <f>Demand!E4345</f>
        <v>16</v>
      </c>
      <c r="E4347" s="33">
        <f>IF(Demand!F4345,1,0)</f>
        <v>0</v>
      </c>
      <c r="F4347" s="33">
        <f>COUNTIFS(c_store,A4347,c_date,B4347,c_hour,C4347)</f>
        <v>1</v>
      </c>
      <c r="G4347" s="33">
        <f>IF(F4347&gt;0,1,0)</f>
        <v>1</v>
      </c>
      <c r="H4347" s="33">
        <f>COUNTIFS(Demand!$A$2:$A$4481,A4347,Demand!$B$2:$B$4481,B4347,Demand!$C$2:$C$4481,C4347)</f>
        <v>1</v>
      </c>
    </row>
    <row r="4348">
      <c r="A4348" s="32" t="str">
        <f>Demand!A4346</f>
        <v>S012</v>
      </c>
      <c r="B4348" s="35">
        <f>Demand!B4346</f>
        <v>46279.0</v>
      </c>
      <c r="C4348" s="33">
        <f>Demand!C4346</f>
        <v>16</v>
      </c>
      <c r="D4348" s="33">
        <f>Demand!E4346</f>
        <v>20</v>
      </c>
      <c r="E4348" s="33">
        <f>IF(Demand!F4346,1,0)</f>
        <v>0</v>
      </c>
      <c r="F4348" s="33">
        <f>COUNTIFS(c_store,A4348,c_date,B4348,c_hour,C4348)</f>
        <v>0</v>
      </c>
      <c r="G4348" s="33">
        <f>IF(F4348&gt;0,1,0)</f>
        <v>0</v>
      </c>
      <c r="H4348" s="33">
        <f>COUNTIFS(Demand!$A$2:$A$4481,A4348,Demand!$B$2:$B$4481,B4348,Demand!$C$2:$C$4481,C4348)</f>
        <v>1</v>
      </c>
    </row>
    <row r="4349">
      <c r="A4349" s="32" t="str">
        <f>Demand!A4347</f>
        <v>S012</v>
      </c>
      <c r="B4349" s="35">
        <f>Demand!B4347</f>
        <v>46279.0</v>
      </c>
      <c r="C4349" s="33">
        <f>Demand!C4347</f>
        <v>17</v>
      </c>
      <c r="D4349" s="33">
        <f>Demand!E4347</f>
        <v>18</v>
      </c>
      <c r="E4349" s="33">
        <f>IF(Demand!F4347,1,0)</f>
        <v>0</v>
      </c>
      <c r="F4349" s="33">
        <f>COUNTIFS(c_store,A4349,c_date,B4349,c_hour,C4349)</f>
        <v>1</v>
      </c>
      <c r="G4349" s="33">
        <f>IF(F4349&gt;0,1,0)</f>
        <v>1</v>
      </c>
      <c r="H4349" s="33">
        <f>COUNTIFS(Demand!$A$2:$A$4481,A4349,Demand!$B$2:$B$4481,B4349,Demand!$C$2:$C$4481,C4349)</f>
        <v>1</v>
      </c>
    </row>
    <row r="4350">
      <c r="A4350" s="32" t="str">
        <f>Demand!A4348</f>
        <v>S012</v>
      </c>
      <c r="B4350" s="35">
        <f>Demand!B4348</f>
        <v>46279.0</v>
      </c>
      <c r="C4350" s="33">
        <f>Demand!C4348</f>
        <v>18</v>
      </c>
      <c r="D4350" s="33">
        <f>Demand!E4348</f>
        <v>13</v>
      </c>
      <c r="E4350" s="33">
        <f>IF(Demand!F4348,1,0)</f>
        <v>0</v>
      </c>
      <c r="F4350" s="33">
        <f>COUNTIFS(c_store,A4350,c_date,B4350,c_hour,C4350)</f>
        <v>0</v>
      </c>
      <c r="G4350" s="33">
        <f>IF(F4350&gt;0,1,0)</f>
        <v>0</v>
      </c>
      <c r="H4350" s="33">
        <f>COUNTIFS(Demand!$A$2:$A$4481,A4350,Demand!$B$2:$B$4481,B4350,Demand!$C$2:$C$4481,C4350)</f>
        <v>1</v>
      </c>
    </row>
    <row r="4351">
      <c r="A4351" s="32" t="str">
        <f>Demand!A4349</f>
        <v>S012</v>
      </c>
      <c r="B4351" s="35">
        <f>Demand!B4349</f>
        <v>46279.0</v>
      </c>
      <c r="C4351" s="33">
        <f>Demand!C4349</f>
        <v>19</v>
      </c>
      <c r="D4351" s="33">
        <f>Demand!E4349</f>
        <v>26</v>
      </c>
      <c r="E4351" s="33">
        <f>IF(Demand!F4349,1,0)</f>
        <v>1</v>
      </c>
      <c r="F4351" s="33">
        <f>COUNTIFS(c_store,A4351,c_date,B4351,c_hour,C4351)</f>
        <v>1</v>
      </c>
      <c r="G4351" s="33">
        <f>IF(F4351&gt;0,1,0)</f>
        <v>1</v>
      </c>
      <c r="H4351" s="33">
        <f>COUNTIFS(Demand!$A$2:$A$4481,A4351,Demand!$B$2:$B$4481,B4351,Demand!$C$2:$C$4481,C4351)</f>
        <v>1</v>
      </c>
    </row>
    <row r="4352">
      <c r="A4352" s="32" t="str">
        <f>Demand!A4350</f>
        <v>S012</v>
      </c>
      <c r="B4352" s="35">
        <f>Demand!B4350</f>
        <v>46279.0</v>
      </c>
      <c r="C4352" s="33">
        <f>Demand!C4350</f>
        <v>20</v>
      </c>
      <c r="D4352" s="33">
        <f>Demand!E4350</f>
        <v>31</v>
      </c>
      <c r="E4352" s="33">
        <f>IF(Demand!F4350,1,0)</f>
        <v>1</v>
      </c>
      <c r="F4352" s="33">
        <f>COUNTIFS(c_store,A4352,c_date,B4352,c_hour,C4352)</f>
        <v>0</v>
      </c>
      <c r="G4352" s="33">
        <f>IF(F4352&gt;0,1,0)</f>
        <v>0</v>
      </c>
      <c r="H4352" s="33">
        <f>COUNTIFS(Demand!$A$2:$A$4481,A4352,Demand!$B$2:$B$4481,B4352,Demand!$C$2:$C$4481,C4352)</f>
        <v>1</v>
      </c>
    </row>
    <row r="4353">
      <c r="A4353" s="32" t="str">
        <f>Demand!A4351</f>
        <v>S012</v>
      </c>
      <c r="B4353" s="35">
        <f>Demand!B4351</f>
        <v>46279.0</v>
      </c>
      <c r="C4353" s="33">
        <f>Demand!C4351</f>
        <v>21</v>
      </c>
      <c r="D4353" s="33">
        <f>Demand!E4351</f>
        <v>22</v>
      </c>
      <c r="E4353" s="33">
        <f>IF(Demand!F4351,1,0)</f>
        <v>1</v>
      </c>
      <c r="F4353" s="33">
        <f>COUNTIFS(c_store,A4353,c_date,B4353,c_hour,C4353)</f>
        <v>0</v>
      </c>
      <c r="G4353" s="33">
        <f>IF(F4353&gt;0,1,0)</f>
        <v>0</v>
      </c>
      <c r="H4353" s="33">
        <f>COUNTIFS(Demand!$A$2:$A$4481,A4353,Demand!$B$2:$B$4481,B4353,Demand!$C$2:$C$4481,C4353)</f>
        <v>1</v>
      </c>
    </row>
    <row r="4354">
      <c r="A4354" s="32" t="str">
        <f>Demand!A4352</f>
        <v>S012</v>
      </c>
      <c r="B4354" s="35">
        <f>Demand!B4352</f>
        <v>46279.0</v>
      </c>
      <c r="C4354" s="33">
        <f>Demand!C4352</f>
        <v>22</v>
      </c>
      <c r="D4354" s="33">
        <f>Demand!E4352</f>
        <v>12</v>
      </c>
      <c r="E4354" s="33">
        <f>IF(Demand!F4352,1,0)</f>
        <v>0</v>
      </c>
      <c r="F4354" s="33">
        <f>COUNTIFS(c_store,A4354,c_date,B4354,c_hour,C4354)</f>
        <v>2</v>
      </c>
      <c r="G4354" s="33">
        <f>IF(F4354&gt;0,1,0)</f>
        <v>1</v>
      </c>
      <c r="H4354" s="33">
        <f>COUNTIFS(Demand!$A$2:$A$4481,A4354,Demand!$B$2:$B$4481,B4354,Demand!$C$2:$C$4481,C4354)</f>
        <v>1</v>
      </c>
    </row>
    <row r="4355">
      <c r="A4355" s="32" t="str">
        <f>Demand!A4353</f>
        <v>S012</v>
      </c>
      <c r="B4355" s="35">
        <f>Demand!B4353</f>
        <v>46279.0</v>
      </c>
      <c r="C4355" s="33">
        <f>Demand!C4353</f>
        <v>23</v>
      </c>
      <c r="D4355" s="33">
        <f>Demand!E4353</f>
        <v>15</v>
      </c>
      <c r="E4355" s="33">
        <f>IF(Demand!F4353,1,0)</f>
        <v>0</v>
      </c>
      <c r="F4355" s="33">
        <f>COUNTIFS(c_store,A4355,c_date,B4355,c_hour,C4355)</f>
        <v>0</v>
      </c>
      <c r="G4355" s="33">
        <f>IF(F4355&gt;0,1,0)</f>
        <v>0</v>
      </c>
      <c r="H4355" s="33">
        <f>COUNTIFS(Demand!$A$2:$A$4481,A4355,Demand!$B$2:$B$4481,B4355,Demand!$C$2:$C$4481,C4355)</f>
        <v>1</v>
      </c>
    </row>
    <row r="4356">
      <c r="A4356" s="32" t="str">
        <f>Demand!A4354</f>
        <v>S013</v>
      </c>
      <c r="B4356" s="35">
        <f>Demand!B4354</f>
        <v>46279.0</v>
      </c>
      <c r="C4356" s="33">
        <f>Demand!C4354</f>
        <v>8</v>
      </c>
      <c r="D4356" s="33">
        <f>Demand!E4354</f>
        <v>36</v>
      </c>
      <c r="E4356" s="33">
        <f>IF(Demand!F4354,1,0)</f>
        <v>0</v>
      </c>
      <c r="F4356" s="33">
        <f>COUNTIFS(c_store,A4356,c_date,B4356,c_hour,C4356)</f>
        <v>1</v>
      </c>
      <c r="G4356" s="33">
        <f>IF(F4356&gt;0,1,0)</f>
        <v>1</v>
      </c>
      <c r="H4356" s="33">
        <f>COUNTIFS(Demand!$A$2:$A$4481,A4356,Demand!$B$2:$B$4481,B4356,Demand!$C$2:$C$4481,C4356)</f>
        <v>1</v>
      </c>
    </row>
    <row r="4357">
      <c r="A4357" s="32" t="str">
        <f>Demand!A4355</f>
        <v>S013</v>
      </c>
      <c r="B4357" s="35">
        <f>Demand!B4355</f>
        <v>46279.0</v>
      </c>
      <c r="C4357" s="33">
        <f>Demand!C4355</f>
        <v>9</v>
      </c>
      <c r="D4357" s="33">
        <f>Demand!E4355</f>
        <v>34</v>
      </c>
      <c r="E4357" s="33">
        <f>IF(Demand!F4355,1,0)</f>
        <v>0</v>
      </c>
      <c r="F4357" s="33">
        <f>COUNTIFS(c_store,A4357,c_date,B4357,c_hour,C4357)</f>
        <v>0</v>
      </c>
      <c r="G4357" s="33">
        <f>IF(F4357&gt;0,1,0)</f>
        <v>0</v>
      </c>
      <c r="H4357" s="33">
        <f>COUNTIFS(Demand!$A$2:$A$4481,A4357,Demand!$B$2:$B$4481,B4357,Demand!$C$2:$C$4481,C4357)</f>
        <v>1</v>
      </c>
    </row>
    <row r="4358">
      <c r="A4358" s="32" t="str">
        <f>Demand!A4356</f>
        <v>S013</v>
      </c>
      <c r="B4358" s="35">
        <f>Demand!B4356</f>
        <v>46279.0</v>
      </c>
      <c r="C4358" s="33">
        <f>Demand!C4356</f>
        <v>10</v>
      </c>
      <c r="D4358" s="33">
        <f>Demand!E4356</f>
        <v>28</v>
      </c>
      <c r="E4358" s="33">
        <f>IF(Demand!F4356,1,0)</f>
        <v>0</v>
      </c>
      <c r="F4358" s="33">
        <f>COUNTIFS(c_store,A4358,c_date,B4358,c_hour,C4358)</f>
        <v>1</v>
      </c>
      <c r="G4358" s="33">
        <f>IF(F4358&gt;0,1,0)</f>
        <v>1</v>
      </c>
      <c r="H4358" s="33">
        <f>COUNTIFS(Demand!$A$2:$A$4481,A4358,Demand!$B$2:$B$4481,B4358,Demand!$C$2:$C$4481,C4358)</f>
        <v>1</v>
      </c>
    </row>
    <row r="4359">
      <c r="A4359" s="32" t="str">
        <f>Demand!A4357</f>
        <v>S013</v>
      </c>
      <c r="B4359" s="35">
        <f>Demand!B4357</f>
        <v>46279.0</v>
      </c>
      <c r="C4359" s="33">
        <f>Demand!C4357</f>
        <v>11</v>
      </c>
      <c r="D4359" s="33">
        <f>Demand!E4357</f>
        <v>50</v>
      </c>
      <c r="E4359" s="33">
        <f>IF(Demand!F4357,1,0)</f>
        <v>0</v>
      </c>
      <c r="F4359" s="33">
        <f>COUNTIFS(c_store,A4359,c_date,B4359,c_hour,C4359)</f>
        <v>0</v>
      </c>
      <c r="G4359" s="33">
        <f>IF(F4359&gt;0,1,0)</f>
        <v>0</v>
      </c>
      <c r="H4359" s="33">
        <f>COUNTIFS(Demand!$A$2:$A$4481,A4359,Demand!$B$2:$B$4481,B4359,Demand!$C$2:$C$4481,C4359)</f>
        <v>1</v>
      </c>
    </row>
    <row r="4360">
      <c r="A4360" s="32" t="str">
        <f>Demand!A4358</f>
        <v>S013</v>
      </c>
      <c r="B4360" s="35">
        <f>Demand!B4358</f>
        <v>46279.0</v>
      </c>
      <c r="C4360" s="33">
        <f>Demand!C4358</f>
        <v>12</v>
      </c>
      <c r="D4360" s="33">
        <f>Demand!E4358</f>
        <v>48</v>
      </c>
      <c r="E4360" s="33">
        <f>IF(Demand!F4358,1,0)</f>
        <v>0</v>
      </c>
      <c r="F4360" s="33">
        <f>COUNTIFS(c_store,A4360,c_date,B4360,c_hour,C4360)</f>
        <v>0</v>
      </c>
      <c r="G4360" s="33">
        <f>IF(F4360&gt;0,1,0)</f>
        <v>0</v>
      </c>
      <c r="H4360" s="33">
        <f>COUNTIFS(Demand!$A$2:$A$4481,A4360,Demand!$B$2:$B$4481,B4360,Demand!$C$2:$C$4481,C4360)</f>
        <v>1</v>
      </c>
    </row>
    <row r="4361">
      <c r="A4361" s="32" t="str">
        <f>Demand!A4359</f>
        <v>S013</v>
      </c>
      <c r="B4361" s="35">
        <f>Demand!B4359</f>
        <v>46279.0</v>
      </c>
      <c r="C4361" s="33">
        <f>Demand!C4359</f>
        <v>13</v>
      </c>
      <c r="D4361" s="33">
        <f>Demand!E4359</f>
        <v>41</v>
      </c>
      <c r="E4361" s="33">
        <f>IF(Demand!F4359,1,0)</f>
        <v>0</v>
      </c>
      <c r="F4361" s="33">
        <f>COUNTIFS(c_store,A4361,c_date,B4361,c_hour,C4361)</f>
        <v>1</v>
      </c>
      <c r="G4361" s="33">
        <f>IF(F4361&gt;0,1,0)</f>
        <v>1</v>
      </c>
      <c r="H4361" s="33">
        <f>COUNTIFS(Demand!$A$2:$A$4481,A4361,Demand!$B$2:$B$4481,B4361,Demand!$C$2:$C$4481,C4361)</f>
        <v>1</v>
      </c>
    </row>
    <row r="4362">
      <c r="A4362" s="32" t="str">
        <f>Demand!A4360</f>
        <v>S013</v>
      </c>
      <c r="B4362" s="35">
        <f>Demand!B4360</f>
        <v>46279.0</v>
      </c>
      <c r="C4362" s="33">
        <f>Demand!C4360</f>
        <v>14</v>
      </c>
      <c r="D4362" s="33">
        <f>Demand!E4360</f>
        <v>42</v>
      </c>
      <c r="E4362" s="33">
        <f>IF(Demand!F4360,1,0)</f>
        <v>0</v>
      </c>
      <c r="F4362" s="33">
        <f>COUNTIFS(c_store,A4362,c_date,B4362,c_hour,C4362)</f>
        <v>0</v>
      </c>
      <c r="G4362" s="33">
        <f>IF(F4362&gt;0,1,0)</f>
        <v>0</v>
      </c>
      <c r="H4362" s="33">
        <f>COUNTIFS(Demand!$A$2:$A$4481,A4362,Demand!$B$2:$B$4481,B4362,Demand!$C$2:$C$4481,C4362)</f>
        <v>1</v>
      </c>
    </row>
    <row r="4363">
      <c r="A4363" s="32" t="str">
        <f>Demand!A4361</f>
        <v>S013</v>
      </c>
      <c r="B4363" s="35">
        <f>Demand!B4361</f>
        <v>46279.0</v>
      </c>
      <c r="C4363" s="33">
        <f>Demand!C4361</f>
        <v>15</v>
      </c>
      <c r="D4363" s="33">
        <f>Demand!E4361</f>
        <v>30</v>
      </c>
      <c r="E4363" s="33">
        <f>IF(Demand!F4361,1,0)</f>
        <v>0</v>
      </c>
      <c r="F4363" s="33">
        <f>COUNTIFS(c_store,A4363,c_date,B4363,c_hour,C4363)</f>
        <v>0</v>
      </c>
      <c r="G4363" s="33">
        <f>IF(F4363&gt;0,1,0)</f>
        <v>0</v>
      </c>
      <c r="H4363" s="33">
        <f>COUNTIFS(Demand!$A$2:$A$4481,A4363,Demand!$B$2:$B$4481,B4363,Demand!$C$2:$C$4481,C4363)</f>
        <v>1</v>
      </c>
    </row>
    <row r="4364">
      <c r="A4364" s="32" t="str">
        <f>Demand!A4362</f>
        <v>S013</v>
      </c>
      <c r="B4364" s="35">
        <f>Demand!B4362</f>
        <v>46279.0</v>
      </c>
      <c r="C4364" s="33">
        <f>Demand!C4362</f>
        <v>16</v>
      </c>
      <c r="D4364" s="33">
        <f>Demand!E4362</f>
        <v>39</v>
      </c>
      <c r="E4364" s="33">
        <f>IF(Demand!F4362,1,0)</f>
        <v>0</v>
      </c>
      <c r="F4364" s="33">
        <f>COUNTIFS(c_store,A4364,c_date,B4364,c_hour,C4364)</f>
        <v>0</v>
      </c>
      <c r="G4364" s="33">
        <f>IF(F4364&gt;0,1,0)</f>
        <v>0</v>
      </c>
      <c r="H4364" s="33">
        <f>COUNTIFS(Demand!$A$2:$A$4481,A4364,Demand!$B$2:$B$4481,B4364,Demand!$C$2:$C$4481,C4364)</f>
        <v>1</v>
      </c>
    </row>
    <row r="4365">
      <c r="A4365" s="32" t="str">
        <f>Demand!A4363</f>
        <v>S013</v>
      </c>
      <c r="B4365" s="35">
        <f>Demand!B4363</f>
        <v>46279.0</v>
      </c>
      <c r="C4365" s="33">
        <f>Demand!C4363</f>
        <v>17</v>
      </c>
      <c r="D4365" s="33">
        <f>Demand!E4363</f>
        <v>33</v>
      </c>
      <c r="E4365" s="33">
        <f>IF(Demand!F4363,1,0)</f>
        <v>0</v>
      </c>
      <c r="F4365" s="33">
        <f>COUNTIFS(c_store,A4365,c_date,B4365,c_hour,C4365)</f>
        <v>0</v>
      </c>
      <c r="G4365" s="33">
        <f>IF(F4365&gt;0,1,0)</f>
        <v>0</v>
      </c>
      <c r="H4365" s="33">
        <f>COUNTIFS(Demand!$A$2:$A$4481,A4365,Demand!$B$2:$B$4481,B4365,Demand!$C$2:$C$4481,C4365)</f>
        <v>1</v>
      </c>
    </row>
    <row r="4366">
      <c r="A4366" s="32" t="str">
        <f>Demand!A4364</f>
        <v>S013</v>
      </c>
      <c r="B4366" s="35">
        <f>Demand!B4364</f>
        <v>46279.0</v>
      </c>
      <c r="C4366" s="33">
        <f>Demand!C4364</f>
        <v>18</v>
      </c>
      <c r="D4366" s="33">
        <f>Demand!E4364</f>
        <v>57</v>
      </c>
      <c r="E4366" s="33">
        <f>IF(Demand!F4364,1,0)</f>
        <v>0</v>
      </c>
      <c r="F4366" s="33">
        <f>COUNTIFS(c_store,A4366,c_date,B4366,c_hour,C4366)</f>
        <v>0</v>
      </c>
      <c r="G4366" s="33">
        <f>IF(F4366&gt;0,1,0)</f>
        <v>0</v>
      </c>
      <c r="H4366" s="33">
        <f>COUNTIFS(Demand!$A$2:$A$4481,A4366,Demand!$B$2:$B$4481,B4366,Demand!$C$2:$C$4481,C4366)</f>
        <v>1</v>
      </c>
    </row>
    <row r="4367">
      <c r="A4367" s="32" t="str">
        <f>Demand!A4365</f>
        <v>S013</v>
      </c>
      <c r="B4367" s="35">
        <f>Demand!B4365</f>
        <v>46279.0</v>
      </c>
      <c r="C4367" s="33">
        <f>Demand!C4365</f>
        <v>19</v>
      </c>
      <c r="D4367" s="33">
        <f>Demand!E4365</f>
        <v>73</v>
      </c>
      <c r="E4367" s="33">
        <f>IF(Demand!F4365,1,0)</f>
        <v>1</v>
      </c>
      <c r="F4367" s="33">
        <f>COUNTIFS(c_store,A4367,c_date,B4367,c_hour,C4367)</f>
        <v>1</v>
      </c>
      <c r="G4367" s="33">
        <f>IF(F4367&gt;0,1,0)</f>
        <v>1</v>
      </c>
      <c r="H4367" s="33">
        <f>COUNTIFS(Demand!$A$2:$A$4481,A4367,Demand!$B$2:$B$4481,B4367,Demand!$C$2:$C$4481,C4367)</f>
        <v>1</v>
      </c>
    </row>
    <row r="4368">
      <c r="A4368" s="32" t="str">
        <f>Demand!A4366</f>
        <v>S013</v>
      </c>
      <c r="B4368" s="35">
        <f>Demand!B4366</f>
        <v>46279.0</v>
      </c>
      <c r="C4368" s="33">
        <f>Demand!C4366</f>
        <v>20</v>
      </c>
      <c r="D4368" s="33">
        <f>Demand!E4366</f>
        <v>86</v>
      </c>
      <c r="E4368" s="33">
        <f>IF(Demand!F4366,1,0)</f>
        <v>1</v>
      </c>
      <c r="F4368" s="33">
        <f>COUNTIFS(c_store,A4368,c_date,B4368,c_hour,C4368)</f>
        <v>1</v>
      </c>
      <c r="G4368" s="33">
        <f>IF(F4368&gt;0,1,0)</f>
        <v>1</v>
      </c>
      <c r="H4368" s="33">
        <f>COUNTIFS(Demand!$A$2:$A$4481,A4368,Demand!$B$2:$B$4481,B4368,Demand!$C$2:$C$4481,C4368)</f>
        <v>1</v>
      </c>
    </row>
    <row r="4369">
      <c r="A4369" s="32" t="str">
        <f>Demand!A4367</f>
        <v>S013</v>
      </c>
      <c r="B4369" s="35">
        <f>Demand!B4367</f>
        <v>46279.0</v>
      </c>
      <c r="C4369" s="33">
        <f>Demand!C4367</f>
        <v>21</v>
      </c>
      <c r="D4369" s="33">
        <f>Demand!E4367</f>
        <v>71</v>
      </c>
      <c r="E4369" s="33">
        <f>IF(Demand!F4367,1,0)</f>
        <v>1</v>
      </c>
      <c r="F4369" s="33">
        <f>COUNTIFS(c_store,A4369,c_date,B4369,c_hour,C4369)</f>
        <v>0</v>
      </c>
      <c r="G4369" s="33">
        <f>IF(F4369&gt;0,1,0)</f>
        <v>0</v>
      </c>
      <c r="H4369" s="33">
        <f>COUNTIFS(Demand!$A$2:$A$4481,A4369,Demand!$B$2:$B$4481,B4369,Demand!$C$2:$C$4481,C4369)</f>
        <v>1</v>
      </c>
    </row>
    <row r="4370">
      <c r="A4370" s="32" t="str">
        <f>Demand!A4368</f>
        <v>S013</v>
      </c>
      <c r="B4370" s="35">
        <f>Demand!B4368</f>
        <v>46279.0</v>
      </c>
      <c r="C4370" s="33">
        <f>Demand!C4368</f>
        <v>22</v>
      </c>
      <c r="D4370" s="33">
        <f>Demand!E4368</f>
        <v>52</v>
      </c>
      <c r="E4370" s="33">
        <f>IF(Demand!F4368,1,0)</f>
        <v>0</v>
      </c>
      <c r="F4370" s="33">
        <f>COUNTIFS(c_store,A4370,c_date,B4370,c_hour,C4370)</f>
        <v>1</v>
      </c>
      <c r="G4370" s="33">
        <f>IF(F4370&gt;0,1,0)</f>
        <v>1</v>
      </c>
      <c r="H4370" s="33">
        <f>COUNTIFS(Demand!$A$2:$A$4481,A4370,Demand!$B$2:$B$4481,B4370,Demand!$C$2:$C$4481,C4370)</f>
        <v>1</v>
      </c>
    </row>
    <row r="4371">
      <c r="A4371" s="32" t="str">
        <f>Demand!A4369</f>
        <v>S013</v>
      </c>
      <c r="B4371" s="35">
        <f>Demand!B4369</f>
        <v>46279.0</v>
      </c>
      <c r="C4371" s="33">
        <f>Demand!C4369</f>
        <v>23</v>
      </c>
      <c r="D4371" s="33">
        <f>Demand!E4369</f>
        <v>42</v>
      </c>
      <c r="E4371" s="33">
        <f>IF(Demand!F4369,1,0)</f>
        <v>0</v>
      </c>
      <c r="F4371" s="33">
        <f>COUNTIFS(c_store,A4371,c_date,B4371,c_hour,C4371)</f>
        <v>0</v>
      </c>
      <c r="G4371" s="33">
        <f>IF(F4371&gt;0,1,0)</f>
        <v>0</v>
      </c>
      <c r="H4371" s="33">
        <f>COUNTIFS(Demand!$A$2:$A$4481,A4371,Demand!$B$2:$B$4481,B4371,Demand!$C$2:$C$4481,C4371)</f>
        <v>1</v>
      </c>
    </row>
    <row r="4372">
      <c r="A4372" s="32" t="str">
        <f>Demand!A4370</f>
        <v>S014</v>
      </c>
      <c r="B4372" s="35">
        <f>Demand!B4370</f>
        <v>46279.0</v>
      </c>
      <c r="C4372" s="33">
        <f>Demand!C4370</f>
        <v>8</v>
      </c>
      <c r="D4372" s="33">
        <f>Demand!E4370</f>
        <v>30</v>
      </c>
      <c r="E4372" s="33">
        <f>IF(Demand!F4370,1,0)</f>
        <v>0</v>
      </c>
      <c r="F4372" s="33">
        <f>COUNTIFS(c_store,A4372,c_date,B4372,c_hour,C4372)</f>
        <v>0</v>
      </c>
      <c r="G4372" s="33">
        <f>IF(F4372&gt;0,1,0)</f>
        <v>0</v>
      </c>
      <c r="H4372" s="33">
        <f>COUNTIFS(Demand!$A$2:$A$4481,A4372,Demand!$B$2:$B$4481,B4372,Demand!$C$2:$C$4481,C4372)</f>
        <v>1</v>
      </c>
    </row>
    <row r="4373">
      <c r="A4373" s="32" t="str">
        <f>Demand!A4371</f>
        <v>S014</v>
      </c>
      <c r="B4373" s="35">
        <f>Demand!B4371</f>
        <v>46279.0</v>
      </c>
      <c r="C4373" s="33">
        <f>Demand!C4371</f>
        <v>9</v>
      </c>
      <c r="D4373" s="33">
        <f>Demand!E4371</f>
        <v>29</v>
      </c>
      <c r="E4373" s="33">
        <f>IF(Demand!F4371,1,0)</f>
        <v>0</v>
      </c>
      <c r="F4373" s="33">
        <f>COUNTIFS(c_store,A4373,c_date,B4373,c_hour,C4373)</f>
        <v>0</v>
      </c>
      <c r="G4373" s="33">
        <f>IF(F4373&gt;0,1,0)</f>
        <v>0</v>
      </c>
      <c r="H4373" s="33">
        <f>COUNTIFS(Demand!$A$2:$A$4481,A4373,Demand!$B$2:$B$4481,B4373,Demand!$C$2:$C$4481,C4373)</f>
        <v>1</v>
      </c>
    </row>
    <row r="4374">
      <c r="A4374" s="32" t="str">
        <f>Demand!A4372</f>
        <v>S014</v>
      </c>
      <c r="B4374" s="35">
        <f>Demand!B4372</f>
        <v>46279.0</v>
      </c>
      <c r="C4374" s="33">
        <f>Demand!C4372</f>
        <v>10</v>
      </c>
      <c r="D4374" s="33">
        <f>Demand!E4372</f>
        <v>29</v>
      </c>
      <c r="E4374" s="33">
        <f>IF(Demand!F4372,1,0)</f>
        <v>0</v>
      </c>
      <c r="F4374" s="33">
        <f>COUNTIFS(c_store,A4374,c_date,B4374,c_hour,C4374)</f>
        <v>1</v>
      </c>
      <c r="G4374" s="33">
        <f>IF(F4374&gt;0,1,0)</f>
        <v>1</v>
      </c>
      <c r="H4374" s="33">
        <f>COUNTIFS(Demand!$A$2:$A$4481,A4374,Demand!$B$2:$B$4481,B4374,Demand!$C$2:$C$4481,C4374)</f>
        <v>1</v>
      </c>
    </row>
    <row r="4375">
      <c r="A4375" s="32" t="str">
        <f>Demand!A4373</f>
        <v>S014</v>
      </c>
      <c r="B4375" s="35">
        <f>Demand!B4373</f>
        <v>46279.0</v>
      </c>
      <c r="C4375" s="33">
        <f>Demand!C4373</f>
        <v>11</v>
      </c>
      <c r="D4375" s="33">
        <f>Demand!E4373</f>
        <v>32</v>
      </c>
      <c r="E4375" s="33">
        <f>IF(Demand!F4373,1,0)</f>
        <v>0</v>
      </c>
      <c r="F4375" s="33">
        <f>COUNTIFS(c_store,A4375,c_date,B4375,c_hour,C4375)</f>
        <v>1</v>
      </c>
      <c r="G4375" s="33">
        <f>IF(F4375&gt;0,1,0)</f>
        <v>1</v>
      </c>
      <c r="H4375" s="33">
        <f>COUNTIFS(Demand!$A$2:$A$4481,A4375,Demand!$B$2:$B$4481,B4375,Demand!$C$2:$C$4481,C4375)</f>
        <v>1</v>
      </c>
    </row>
    <row r="4376">
      <c r="A4376" s="32" t="str">
        <f>Demand!A4374</f>
        <v>S014</v>
      </c>
      <c r="B4376" s="35">
        <f>Demand!B4374</f>
        <v>46279.0</v>
      </c>
      <c r="C4376" s="33">
        <f>Demand!C4374</f>
        <v>12</v>
      </c>
      <c r="D4376" s="33">
        <f>Demand!E4374</f>
        <v>44</v>
      </c>
      <c r="E4376" s="33">
        <f>IF(Demand!F4374,1,0)</f>
        <v>0</v>
      </c>
      <c r="F4376" s="33">
        <f>COUNTIFS(c_store,A4376,c_date,B4376,c_hour,C4376)</f>
        <v>1</v>
      </c>
      <c r="G4376" s="33">
        <f>IF(F4376&gt;0,1,0)</f>
        <v>1</v>
      </c>
      <c r="H4376" s="33">
        <f>COUNTIFS(Demand!$A$2:$A$4481,A4376,Demand!$B$2:$B$4481,B4376,Demand!$C$2:$C$4481,C4376)</f>
        <v>1</v>
      </c>
    </row>
    <row r="4377">
      <c r="A4377" s="32" t="str">
        <f>Demand!A4375</f>
        <v>S014</v>
      </c>
      <c r="B4377" s="35">
        <f>Demand!B4375</f>
        <v>46279.0</v>
      </c>
      <c r="C4377" s="33">
        <f>Demand!C4375</f>
        <v>13</v>
      </c>
      <c r="D4377" s="33">
        <f>Demand!E4375</f>
        <v>38</v>
      </c>
      <c r="E4377" s="33">
        <f>IF(Demand!F4375,1,0)</f>
        <v>0</v>
      </c>
      <c r="F4377" s="33">
        <f>COUNTIFS(c_store,A4377,c_date,B4377,c_hour,C4377)</f>
        <v>1</v>
      </c>
      <c r="G4377" s="33">
        <f>IF(F4377&gt;0,1,0)</f>
        <v>1</v>
      </c>
      <c r="H4377" s="33">
        <f>COUNTIFS(Demand!$A$2:$A$4481,A4377,Demand!$B$2:$B$4481,B4377,Demand!$C$2:$C$4481,C4377)</f>
        <v>1</v>
      </c>
    </row>
    <row r="4378">
      <c r="A4378" s="32" t="str">
        <f>Demand!A4376</f>
        <v>S014</v>
      </c>
      <c r="B4378" s="35">
        <f>Demand!B4376</f>
        <v>46279.0</v>
      </c>
      <c r="C4378" s="33">
        <f>Demand!C4376</f>
        <v>14</v>
      </c>
      <c r="D4378" s="33">
        <f>Demand!E4376</f>
        <v>29</v>
      </c>
      <c r="E4378" s="33">
        <f>IF(Demand!F4376,1,0)</f>
        <v>0</v>
      </c>
      <c r="F4378" s="33">
        <f>COUNTIFS(c_store,A4378,c_date,B4378,c_hour,C4378)</f>
        <v>0</v>
      </c>
      <c r="G4378" s="33">
        <f>IF(F4378&gt;0,1,0)</f>
        <v>0</v>
      </c>
      <c r="H4378" s="33">
        <f>COUNTIFS(Demand!$A$2:$A$4481,A4378,Demand!$B$2:$B$4481,B4378,Demand!$C$2:$C$4481,C4378)</f>
        <v>1</v>
      </c>
    </row>
    <row r="4379">
      <c r="A4379" s="32" t="str">
        <f>Demand!A4377</f>
        <v>S014</v>
      </c>
      <c r="B4379" s="35">
        <f>Demand!B4377</f>
        <v>46279.0</v>
      </c>
      <c r="C4379" s="33">
        <f>Demand!C4377</f>
        <v>15</v>
      </c>
      <c r="D4379" s="33">
        <f>Demand!E4377</f>
        <v>44</v>
      </c>
      <c r="E4379" s="33">
        <f>IF(Demand!F4377,1,0)</f>
        <v>0</v>
      </c>
      <c r="F4379" s="33">
        <f>COUNTIFS(c_store,A4379,c_date,B4379,c_hour,C4379)</f>
        <v>0</v>
      </c>
      <c r="G4379" s="33">
        <f>IF(F4379&gt;0,1,0)</f>
        <v>0</v>
      </c>
      <c r="H4379" s="33">
        <f>COUNTIFS(Demand!$A$2:$A$4481,A4379,Demand!$B$2:$B$4481,B4379,Demand!$C$2:$C$4481,C4379)</f>
        <v>1</v>
      </c>
    </row>
    <row r="4380">
      <c r="A4380" s="32" t="str">
        <f>Demand!A4378</f>
        <v>S014</v>
      </c>
      <c r="B4380" s="35">
        <f>Demand!B4378</f>
        <v>46279.0</v>
      </c>
      <c r="C4380" s="33">
        <f>Demand!C4378</f>
        <v>16</v>
      </c>
      <c r="D4380" s="33">
        <f>Demand!E4378</f>
        <v>28</v>
      </c>
      <c r="E4380" s="33">
        <f>IF(Demand!F4378,1,0)</f>
        <v>0</v>
      </c>
      <c r="F4380" s="33">
        <f>COUNTIFS(c_store,A4380,c_date,B4380,c_hour,C4380)</f>
        <v>1</v>
      </c>
      <c r="G4380" s="33">
        <f>IF(F4380&gt;0,1,0)</f>
        <v>1</v>
      </c>
      <c r="H4380" s="33">
        <f>COUNTIFS(Demand!$A$2:$A$4481,A4380,Demand!$B$2:$B$4481,B4380,Demand!$C$2:$C$4481,C4380)</f>
        <v>1</v>
      </c>
    </row>
    <row r="4381">
      <c r="A4381" s="32" t="str">
        <f>Demand!A4379</f>
        <v>S014</v>
      </c>
      <c r="B4381" s="35">
        <f>Demand!B4379</f>
        <v>46279.0</v>
      </c>
      <c r="C4381" s="33">
        <f>Demand!C4379</f>
        <v>17</v>
      </c>
      <c r="D4381" s="33">
        <f>Demand!E4379</f>
        <v>42</v>
      </c>
      <c r="E4381" s="33">
        <f>IF(Demand!F4379,1,0)</f>
        <v>0</v>
      </c>
      <c r="F4381" s="33">
        <f>COUNTIFS(c_store,A4381,c_date,B4381,c_hour,C4381)</f>
        <v>3</v>
      </c>
      <c r="G4381" s="33">
        <f>IF(F4381&gt;0,1,0)</f>
        <v>1</v>
      </c>
      <c r="H4381" s="33">
        <f>COUNTIFS(Demand!$A$2:$A$4481,A4381,Demand!$B$2:$B$4481,B4381,Demand!$C$2:$C$4481,C4381)</f>
        <v>1</v>
      </c>
    </row>
    <row r="4382">
      <c r="A4382" s="32" t="str">
        <f>Demand!A4380</f>
        <v>S014</v>
      </c>
      <c r="B4382" s="35">
        <f>Demand!B4380</f>
        <v>46279.0</v>
      </c>
      <c r="C4382" s="33">
        <f>Demand!C4380</f>
        <v>18</v>
      </c>
      <c r="D4382" s="33">
        <f>Demand!E4380</f>
        <v>41</v>
      </c>
      <c r="E4382" s="33">
        <f>IF(Demand!F4380,1,0)</f>
        <v>0</v>
      </c>
      <c r="F4382" s="33">
        <f>COUNTIFS(c_store,A4382,c_date,B4382,c_hour,C4382)</f>
        <v>0</v>
      </c>
      <c r="G4382" s="33">
        <f>IF(F4382&gt;0,1,0)</f>
        <v>0</v>
      </c>
      <c r="H4382" s="33">
        <f>COUNTIFS(Demand!$A$2:$A$4481,A4382,Demand!$B$2:$B$4481,B4382,Demand!$C$2:$C$4481,C4382)</f>
        <v>1</v>
      </c>
    </row>
    <row r="4383">
      <c r="A4383" s="32" t="str">
        <f>Demand!A4381</f>
        <v>S014</v>
      </c>
      <c r="B4383" s="35">
        <f>Demand!B4381</f>
        <v>46279.0</v>
      </c>
      <c r="C4383" s="33">
        <f>Demand!C4381</f>
        <v>19</v>
      </c>
      <c r="D4383" s="33">
        <f>Demand!E4381</f>
        <v>65</v>
      </c>
      <c r="E4383" s="33">
        <f>IF(Demand!F4381,1,0)</f>
        <v>1</v>
      </c>
      <c r="F4383" s="33">
        <f>COUNTIFS(c_store,A4383,c_date,B4383,c_hour,C4383)</f>
        <v>0</v>
      </c>
      <c r="G4383" s="33">
        <f>IF(F4383&gt;0,1,0)</f>
        <v>0</v>
      </c>
      <c r="H4383" s="33">
        <f>COUNTIFS(Demand!$A$2:$A$4481,A4383,Demand!$B$2:$B$4481,B4383,Demand!$C$2:$C$4481,C4383)</f>
        <v>1</v>
      </c>
    </row>
    <row r="4384">
      <c r="A4384" s="32" t="str">
        <f>Demand!A4382</f>
        <v>S014</v>
      </c>
      <c r="B4384" s="35">
        <f>Demand!B4382</f>
        <v>46279.0</v>
      </c>
      <c r="C4384" s="33">
        <f>Demand!C4382</f>
        <v>20</v>
      </c>
      <c r="D4384" s="33">
        <f>Demand!E4382</f>
        <v>61</v>
      </c>
      <c r="E4384" s="33">
        <f>IF(Demand!F4382,1,0)</f>
        <v>1</v>
      </c>
      <c r="F4384" s="33">
        <f>COUNTIFS(c_store,A4384,c_date,B4384,c_hour,C4384)</f>
        <v>0</v>
      </c>
      <c r="G4384" s="33">
        <f>IF(F4384&gt;0,1,0)</f>
        <v>0</v>
      </c>
      <c r="H4384" s="33">
        <f>COUNTIFS(Demand!$A$2:$A$4481,A4384,Demand!$B$2:$B$4481,B4384,Demand!$C$2:$C$4481,C4384)</f>
        <v>1</v>
      </c>
    </row>
    <row r="4385">
      <c r="A4385" s="32" t="str">
        <f>Demand!A4383</f>
        <v>S014</v>
      </c>
      <c r="B4385" s="35">
        <f>Demand!B4383</f>
        <v>46279.0</v>
      </c>
      <c r="C4385" s="33">
        <f>Demand!C4383</f>
        <v>21</v>
      </c>
      <c r="D4385" s="33">
        <f>Demand!E4383</f>
        <v>60</v>
      </c>
      <c r="E4385" s="33">
        <f>IF(Demand!F4383,1,0)</f>
        <v>1</v>
      </c>
      <c r="F4385" s="33">
        <f>COUNTIFS(c_store,A4385,c_date,B4385,c_hour,C4385)</f>
        <v>0</v>
      </c>
      <c r="G4385" s="33">
        <f>IF(F4385&gt;0,1,0)</f>
        <v>0</v>
      </c>
      <c r="H4385" s="33">
        <f>COUNTIFS(Demand!$A$2:$A$4481,A4385,Demand!$B$2:$B$4481,B4385,Demand!$C$2:$C$4481,C4385)</f>
        <v>1</v>
      </c>
    </row>
    <row r="4386">
      <c r="A4386" s="32" t="str">
        <f>Demand!A4384</f>
        <v>S014</v>
      </c>
      <c r="B4386" s="35">
        <f>Demand!B4384</f>
        <v>46279.0</v>
      </c>
      <c r="C4386" s="33">
        <f>Demand!C4384</f>
        <v>22</v>
      </c>
      <c r="D4386" s="33">
        <f>Demand!E4384</f>
        <v>32</v>
      </c>
      <c r="E4386" s="33">
        <f>IF(Demand!F4384,1,0)</f>
        <v>0</v>
      </c>
      <c r="F4386" s="33">
        <f>COUNTIFS(c_store,A4386,c_date,B4386,c_hour,C4386)</f>
        <v>0</v>
      </c>
      <c r="G4386" s="33">
        <f>IF(F4386&gt;0,1,0)</f>
        <v>0</v>
      </c>
      <c r="H4386" s="33">
        <f>COUNTIFS(Demand!$A$2:$A$4481,A4386,Demand!$B$2:$B$4481,B4386,Demand!$C$2:$C$4481,C4386)</f>
        <v>1</v>
      </c>
    </row>
    <row r="4387">
      <c r="A4387" s="32" t="str">
        <f>Demand!A4385</f>
        <v>S014</v>
      </c>
      <c r="B4387" s="35">
        <f>Demand!B4385</f>
        <v>46279.0</v>
      </c>
      <c r="C4387" s="33">
        <f>Demand!C4385</f>
        <v>23</v>
      </c>
      <c r="D4387" s="33">
        <f>Demand!E4385</f>
        <v>32</v>
      </c>
      <c r="E4387" s="33">
        <f>IF(Demand!F4385,1,0)</f>
        <v>0</v>
      </c>
      <c r="F4387" s="33">
        <f>COUNTIFS(c_store,A4387,c_date,B4387,c_hour,C4387)</f>
        <v>0</v>
      </c>
      <c r="G4387" s="33">
        <f>IF(F4387&gt;0,1,0)</f>
        <v>0</v>
      </c>
      <c r="H4387" s="33">
        <f>COUNTIFS(Demand!$A$2:$A$4481,A4387,Demand!$B$2:$B$4481,B4387,Demand!$C$2:$C$4481,C4387)</f>
        <v>1</v>
      </c>
    </row>
    <row r="4388">
      <c r="A4388" s="32" t="str">
        <f>Demand!A4386</f>
        <v>S015</v>
      </c>
      <c r="B4388" s="35">
        <f>Demand!B4386</f>
        <v>46279.0</v>
      </c>
      <c r="C4388" s="33">
        <f>Demand!C4386</f>
        <v>8</v>
      </c>
      <c r="D4388" s="33">
        <f>Demand!E4386</f>
        <v>17</v>
      </c>
      <c r="E4388" s="33">
        <f>IF(Demand!F4386,1,0)</f>
        <v>0</v>
      </c>
      <c r="F4388" s="33">
        <f>COUNTIFS(c_store,A4388,c_date,B4388,c_hour,C4388)</f>
        <v>0</v>
      </c>
      <c r="G4388" s="33">
        <f>IF(F4388&gt;0,1,0)</f>
        <v>0</v>
      </c>
      <c r="H4388" s="33">
        <f>COUNTIFS(Demand!$A$2:$A$4481,A4388,Demand!$B$2:$B$4481,B4388,Demand!$C$2:$C$4481,C4388)</f>
        <v>1</v>
      </c>
    </row>
    <row r="4389">
      <c r="A4389" s="32" t="str">
        <f>Demand!A4387</f>
        <v>S015</v>
      </c>
      <c r="B4389" s="35">
        <f>Demand!B4387</f>
        <v>46279.0</v>
      </c>
      <c r="C4389" s="33">
        <f>Demand!C4387</f>
        <v>9</v>
      </c>
      <c r="D4389" s="33">
        <f>Demand!E4387</f>
        <v>24</v>
      </c>
      <c r="E4389" s="33">
        <f>IF(Demand!F4387,1,0)</f>
        <v>0</v>
      </c>
      <c r="F4389" s="33">
        <f>COUNTIFS(c_store,A4389,c_date,B4389,c_hour,C4389)</f>
        <v>0</v>
      </c>
      <c r="G4389" s="33">
        <f>IF(F4389&gt;0,1,0)</f>
        <v>0</v>
      </c>
      <c r="H4389" s="33">
        <f>COUNTIFS(Demand!$A$2:$A$4481,A4389,Demand!$B$2:$B$4481,B4389,Demand!$C$2:$C$4481,C4389)</f>
        <v>1</v>
      </c>
    </row>
    <row r="4390">
      <c r="A4390" s="32" t="str">
        <f>Demand!A4388</f>
        <v>S015</v>
      </c>
      <c r="B4390" s="35">
        <f>Demand!B4388</f>
        <v>46279.0</v>
      </c>
      <c r="C4390" s="33">
        <f>Demand!C4388</f>
        <v>10</v>
      </c>
      <c r="D4390" s="33">
        <f>Demand!E4388</f>
        <v>16</v>
      </c>
      <c r="E4390" s="33">
        <f>IF(Demand!F4388,1,0)</f>
        <v>0</v>
      </c>
      <c r="F4390" s="33">
        <f>COUNTIFS(c_store,A4390,c_date,B4390,c_hour,C4390)</f>
        <v>0</v>
      </c>
      <c r="G4390" s="33">
        <f>IF(F4390&gt;0,1,0)</f>
        <v>0</v>
      </c>
      <c r="H4390" s="33">
        <f>COUNTIFS(Demand!$A$2:$A$4481,A4390,Demand!$B$2:$B$4481,B4390,Demand!$C$2:$C$4481,C4390)</f>
        <v>1</v>
      </c>
    </row>
    <row r="4391">
      <c r="A4391" s="32" t="str">
        <f>Demand!A4389</f>
        <v>S015</v>
      </c>
      <c r="B4391" s="35">
        <f>Demand!B4389</f>
        <v>46279.0</v>
      </c>
      <c r="C4391" s="33">
        <f>Demand!C4389</f>
        <v>11</v>
      </c>
      <c r="D4391" s="33">
        <f>Demand!E4389</f>
        <v>17</v>
      </c>
      <c r="E4391" s="33">
        <f>IF(Demand!F4389,1,0)</f>
        <v>0</v>
      </c>
      <c r="F4391" s="33">
        <f>COUNTIFS(c_store,A4391,c_date,B4391,c_hour,C4391)</f>
        <v>0</v>
      </c>
      <c r="G4391" s="33">
        <f>IF(F4391&gt;0,1,0)</f>
        <v>0</v>
      </c>
      <c r="H4391" s="33">
        <f>COUNTIFS(Demand!$A$2:$A$4481,A4391,Demand!$B$2:$B$4481,B4391,Demand!$C$2:$C$4481,C4391)</f>
        <v>1</v>
      </c>
    </row>
    <row r="4392">
      <c r="A4392" s="32" t="str">
        <f>Demand!A4390</f>
        <v>S015</v>
      </c>
      <c r="B4392" s="35">
        <f>Demand!B4390</f>
        <v>46279.0</v>
      </c>
      <c r="C4392" s="33">
        <f>Demand!C4390</f>
        <v>12</v>
      </c>
      <c r="D4392" s="33">
        <f>Demand!E4390</f>
        <v>22</v>
      </c>
      <c r="E4392" s="33">
        <f>IF(Demand!F4390,1,0)</f>
        <v>0</v>
      </c>
      <c r="F4392" s="33">
        <f>COUNTIFS(c_store,A4392,c_date,B4392,c_hour,C4392)</f>
        <v>0</v>
      </c>
      <c r="G4392" s="33">
        <f>IF(F4392&gt;0,1,0)</f>
        <v>0</v>
      </c>
      <c r="H4392" s="33">
        <f>COUNTIFS(Demand!$A$2:$A$4481,A4392,Demand!$B$2:$B$4481,B4392,Demand!$C$2:$C$4481,C4392)</f>
        <v>1</v>
      </c>
    </row>
    <row r="4393">
      <c r="A4393" s="32" t="str">
        <f>Demand!A4391</f>
        <v>S015</v>
      </c>
      <c r="B4393" s="35">
        <f>Demand!B4391</f>
        <v>46279.0</v>
      </c>
      <c r="C4393" s="33">
        <f>Demand!C4391</f>
        <v>13</v>
      </c>
      <c r="D4393" s="33">
        <f>Demand!E4391</f>
        <v>26</v>
      </c>
      <c r="E4393" s="33">
        <f>IF(Demand!F4391,1,0)</f>
        <v>0</v>
      </c>
      <c r="F4393" s="33">
        <f>COUNTIFS(c_store,A4393,c_date,B4393,c_hour,C4393)</f>
        <v>0</v>
      </c>
      <c r="G4393" s="33">
        <f>IF(F4393&gt;0,1,0)</f>
        <v>0</v>
      </c>
      <c r="H4393" s="33">
        <f>COUNTIFS(Demand!$A$2:$A$4481,A4393,Demand!$B$2:$B$4481,B4393,Demand!$C$2:$C$4481,C4393)</f>
        <v>1</v>
      </c>
    </row>
    <row r="4394">
      <c r="A4394" s="32" t="str">
        <f>Demand!A4392</f>
        <v>S015</v>
      </c>
      <c r="B4394" s="35">
        <f>Demand!B4392</f>
        <v>46279.0</v>
      </c>
      <c r="C4394" s="33">
        <f>Demand!C4392</f>
        <v>14</v>
      </c>
      <c r="D4394" s="33">
        <f>Demand!E4392</f>
        <v>20</v>
      </c>
      <c r="E4394" s="33">
        <f>IF(Demand!F4392,1,0)</f>
        <v>0</v>
      </c>
      <c r="F4394" s="33">
        <f>COUNTIFS(c_store,A4394,c_date,B4394,c_hour,C4394)</f>
        <v>1</v>
      </c>
      <c r="G4394" s="33">
        <f>IF(F4394&gt;0,1,0)</f>
        <v>1</v>
      </c>
      <c r="H4394" s="33">
        <f>COUNTIFS(Demand!$A$2:$A$4481,A4394,Demand!$B$2:$B$4481,B4394,Demand!$C$2:$C$4481,C4394)</f>
        <v>1</v>
      </c>
    </row>
    <row r="4395">
      <c r="A4395" s="32" t="str">
        <f>Demand!A4393</f>
        <v>S015</v>
      </c>
      <c r="B4395" s="35">
        <f>Demand!B4393</f>
        <v>46279.0</v>
      </c>
      <c r="C4395" s="33">
        <f>Demand!C4393</f>
        <v>15</v>
      </c>
      <c r="D4395" s="33">
        <f>Demand!E4393</f>
        <v>15</v>
      </c>
      <c r="E4395" s="33">
        <f>IF(Demand!F4393,1,0)</f>
        <v>0</v>
      </c>
      <c r="F4395" s="33">
        <f>COUNTIFS(c_store,A4395,c_date,B4395,c_hour,C4395)</f>
        <v>0</v>
      </c>
      <c r="G4395" s="33">
        <f>IF(F4395&gt;0,1,0)</f>
        <v>0</v>
      </c>
      <c r="H4395" s="33">
        <f>COUNTIFS(Demand!$A$2:$A$4481,A4395,Demand!$B$2:$B$4481,B4395,Demand!$C$2:$C$4481,C4395)</f>
        <v>1</v>
      </c>
    </row>
    <row r="4396">
      <c r="A4396" s="32" t="str">
        <f>Demand!A4394</f>
        <v>S015</v>
      </c>
      <c r="B4396" s="35">
        <f>Demand!B4394</f>
        <v>46279.0</v>
      </c>
      <c r="C4396" s="33">
        <f>Demand!C4394</f>
        <v>16</v>
      </c>
      <c r="D4396" s="33">
        <f>Demand!E4394</f>
        <v>18</v>
      </c>
      <c r="E4396" s="33">
        <f>IF(Demand!F4394,1,0)</f>
        <v>0</v>
      </c>
      <c r="F4396" s="33">
        <f>COUNTIFS(c_store,A4396,c_date,B4396,c_hour,C4396)</f>
        <v>0</v>
      </c>
      <c r="G4396" s="33">
        <f>IF(F4396&gt;0,1,0)</f>
        <v>0</v>
      </c>
      <c r="H4396" s="33">
        <f>COUNTIFS(Demand!$A$2:$A$4481,A4396,Demand!$B$2:$B$4481,B4396,Demand!$C$2:$C$4481,C4396)</f>
        <v>1</v>
      </c>
    </row>
    <row r="4397">
      <c r="A4397" s="32" t="str">
        <f>Demand!A4395</f>
        <v>S015</v>
      </c>
      <c r="B4397" s="35">
        <f>Demand!B4395</f>
        <v>46279.0</v>
      </c>
      <c r="C4397" s="33">
        <f>Demand!C4395</f>
        <v>17</v>
      </c>
      <c r="D4397" s="33">
        <f>Demand!E4395</f>
        <v>25</v>
      </c>
      <c r="E4397" s="33">
        <f>IF(Demand!F4395,1,0)</f>
        <v>0</v>
      </c>
      <c r="F4397" s="33">
        <f>COUNTIFS(c_store,A4397,c_date,B4397,c_hour,C4397)</f>
        <v>0</v>
      </c>
      <c r="G4397" s="33">
        <f>IF(F4397&gt;0,1,0)</f>
        <v>0</v>
      </c>
      <c r="H4397" s="33">
        <f>COUNTIFS(Demand!$A$2:$A$4481,A4397,Demand!$B$2:$B$4481,B4397,Demand!$C$2:$C$4481,C4397)</f>
        <v>1</v>
      </c>
    </row>
    <row r="4398">
      <c r="A4398" s="32" t="str">
        <f>Demand!A4396</f>
        <v>S015</v>
      </c>
      <c r="B4398" s="35">
        <f>Demand!B4396</f>
        <v>46279.0</v>
      </c>
      <c r="C4398" s="33">
        <f>Demand!C4396</f>
        <v>18</v>
      </c>
      <c r="D4398" s="33">
        <f>Demand!E4396</f>
        <v>17</v>
      </c>
      <c r="E4398" s="33">
        <f>IF(Demand!F4396,1,0)</f>
        <v>0</v>
      </c>
      <c r="F4398" s="33">
        <f>COUNTIFS(c_store,A4398,c_date,B4398,c_hour,C4398)</f>
        <v>0</v>
      </c>
      <c r="G4398" s="33">
        <f>IF(F4398&gt;0,1,0)</f>
        <v>0</v>
      </c>
      <c r="H4398" s="33">
        <f>COUNTIFS(Demand!$A$2:$A$4481,A4398,Demand!$B$2:$B$4481,B4398,Demand!$C$2:$C$4481,C4398)</f>
        <v>1</v>
      </c>
    </row>
    <row r="4399">
      <c r="A4399" s="32" t="str">
        <f>Demand!A4397</f>
        <v>S015</v>
      </c>
      <c r="B4399" s="35">
        <f>Demand!B4397</f>
        <v>46279.0</v>
      </c>
      <c r="C4399" s="33">
        <f>Demand!C4397</f>
        <v>19</v>
      </c>
      <c r="D4399" s="33">
        <f>Demand!E4397</f>
        <v>40</v>
      </c>
      <c r="E4399" s="33">
        <f>IF(Demand!F4397,1,0)</f>
        <v>1</v>
      </c>
      <c r="F4399" s="33">
        <f>COUNTIFS(c_store,A4399,c_date,B4399,c_hour,C4399)</f>
        <v>0</v>
      </c>
      <c r="G4399" s="33">
        <f>IF(F4399&gt;0,1,0)</f>
        <v>0</v>
      </c>
      <c r="H4399" s="33">
        <f>COUNTIFS(Demand!$A$2:$A$4481,A4399,Demand!$B$2:$B$4481,B4399,Demand!$C$2:$C$4481,C4399)</f>
        <v>1</v>
      </c>
    </row>
    <row r="4400">
      <c r="A4400" s="32" t="str">
        <f>Demand!A4398</f>
        <v>S015</v>
      </c>
      <c r="B4400" s="35">
        <f>Demand!B4398</f>
        <v>46279.0</v>
      </c>
      <c r="C4400" s="33">
        <f>Demand!C4398</f>
        <v>20</v>
      </c>
      <c r="D4400" s="33">
        <f>Demand!E4398</f>
        <v>28</v>
      </c>
      <c r="E4400" s="33">
        <f>IF(Demand!F4398,1,0)</f>
        <v>1</v>
      </c>
      <c r="F4400" s="33">
        <f>COUNTIFS(c_store,A4400,c_date,B4400,c_hour,C4400)</f>
        <v>0</v>
      </c>
      <c r="G4400" s="33">
        <f>IF(F4400&gt;0,1,0)</f>
        <v>0</v>
      </c>
      <c r="H4400" s="33">
        <f>COUNTIFS(Demand!$A$2:$A$4481,A4400,Demand!$B$2:$B$4481,B4400,Demand!$C$2:$C$4481,C4400)</f>
        <v>1</v>
      </c>
    </row>
    <row r="4401">
      <c r="A4401" s="32" t="str">
        <f>Demand!A4399</f>
        <v>S015</v>
      </c>
      <c r="B4401" s="35">
        <f>Demand!B4399</f>
        <v>46279.0</v>
      </c>
      <c r="C4401" s="33">
        <f>Demand!C4399</f>
        <v>21</v>
      </c>
      <c r="D4401" s="33">
        <f>Demand!E4399</f>
        <v>26</v>
      </c>
      <c r="E4401" s="33">
        <f>IF(Demand!F4399,1,0)</f>
        <v>1</v>
      </c>
      <c r="F4401" s="33">
        <f>COUNTIFS(c_store,A4401,c_date,B4401,c_hour,C4401)</f>
        <v>1</v>
      </c>
      <c r="G4401" s="33">
        <f>IF(F4401&gt;0,1,0)</f>
        <v>1</v>
      </c>
      <c r="H4401" s="33">
        <f>COUNTIFS(Demand!$A$2:$A$4481,A4401,Demand!$B$2:$B$4481,B4401,Demand!$C$2:$C$4481,C4401)</f>
        <v>1</v>
      </c>
    </row>
    <row r="4402">
      <c r="A4402" s="32" t="str">
        <f>Demand!A4400</f>
        <v>S015</v>
      </c>
      <c r="B4402" s="35">
        <f>Demand!B4400</f>
        <v>46279.0</v>
      </c>
      <c r="C4402" s="33">
        <f>Demand!C4400</f>
        <v>22</v>
      </c>
      <c r="D4402" s="33">
        <f>Demand!E4400</f>
        <v>27</v>
      </c>
      <c r="E4402" s="33">
        <f>IF(Demand!F4400,1,0)</f>
        <v>0</v>
      </c>
      <c r="F4402" s="33">
        <f>COUNTIFS(c_store,A4402,c_date,B4402,c_hour,C4402)</f>
        <v>1</v>
      </c>
      <c r="G4402" s="33">
        <f>IF(F4402&gt;0,1,0)</f>
        <v>1</v>
      </c>
      <c r="H4402" s="33">
        <f>COUNTIFS(Demand!$A$2:$A$4481,A4402,Demand!$B$2:$B$4481,B4402,Demand!$C$2:$C$4481,C4402)</f>
        <v>1</v>
      </c>
    </row>
    <row r="4403">
      <c r="A4403" s="32" t="str">
        <f>Demand!A4401</f>
        <v>S015</v>
      </c>
      <c r="B4403" s="35">
        <f>Demand!B4401</f>
        <v>46279.0</v>
      </c>
      <c r="C4403" s="33">
        <f>Demand!C4401</f>
        <v>23</v>
      </c>
      <c r="D4403" s="33">
        <f>Demand!E4401</f>
        <v>25</v>
      </c>
      <c r="E4403" s="33">
        <f>IF(Demand!F4401,1,0)</f>
        <v>0</v>
      </c>
      <c r="F4403" s="33">
        <f>COUNTIFS(c_store,A4403,c_date,B4403,c_hour,C4403)</f>
        <v>0</v>
      </c>
      <c r="G4403" s="33">
        <f>IF(F4403&gt;0,1,0)</f>
        <v>0</v>
      </c>
      <c r="H4403" s="33">
        <f>COUNTIFS(Demand!$A$2:$A$4481,A4403,Demand!$B$2:$B$4481,B4403,Demand!$C$2:$C$4481,C4403)</f>
        <v>1</v>
      </c>
    </row>
    <row r="4404">
      <c r="A4404" s="32" t="str">
        <f>Demand!A4402</f>
        <v>S016</v>
      </c>
      <c r="B4404" s="35">
        <f>Demand!B4402</f>
        <v>46279.0</v>
      </c>
      <c r="C4404" s="33">
        <f>Demand!C4402</f>
        <v>8</v>
      </c>
      <c r="D4404" s="33">
        <f>Demand!E4402</f>
        <v>16</v>
      </c>
      <c r="E4404" s="33">
        <f>IF(Demand!F4402,1,0)</f>
        <v>0</v>
      </c>
      <c r="F4404" s="33">
        <f>COUNTIFS(c_store,A4404,c_date,B4404,c_hour,C4404)</f>
        <v>0</v>
      </c>
      <c r="G4404" s="33">
        <f>IF(F4404&gt;0,1,0)</f>
        <v>0</v>
      </c>
      <c r="H4404" s="33">
        <f>COUNTIFS(Demand!$A$2:$A$4481,A4404,Demand!$B$2:$B$4481,B4404,Demand!$C$2:$C$4481,C4404)</f>
        <v>1</v>
      </c>
    </row>
    <row r="4405">
      <c r="A4405" s="32" t="str">
        <f>Demand!A4403</f>
        <v>S016</v>
      </c>
      <c r="B4405" s="35">
        <f>Demand!B4403</f>
        <v>46279.0</v>
      </c>
      <c r="C4405" s="33">
        <f>Demand!C4403</f>
        <v>9</v>
      </c>
      <c r="D4405" s="33">
        <f>Demand!E4403</f>
        <v>19</v>
      </c>
      <c r="E4405" s="33">
        <f>IF(Demand!F4403,1,0)</f>
        <v>0</v>
      </c>
      <c r="F4405" s="33">
        <f>COUNTIFS(c_store,A4405,c_date,B4405,c_hour,C4405)</f>
        <v>0</v>
      </c>
      <c r="G4405" s="33">
        <f>IF(F4405&gt;0,1,0)</f>
        <v>0</v>
      </c>
      <c r="H4405" s="33">
        <f>COUNTIFS(Demand!$A$2:$A$4481,A4405,Demand!$B$2:$B$4481,B4405,Demand!$C$2:$C$4481,C4405)</f>
        <v>1</v>
      </c>
    </row>
    <row r="4406">
      <c r="A4406" s="32" t="str">
        <f>Demand!A4404</f>
        <v>S016</v>
      </c>
      <c r="B4406" s="35">
        <f>Demand!B4404</f>
        <v>46279.0</v>
      </c>
      <c r="C4406" s="33">
        <f>Demand!C4404</f>
        <v>10</v>
      </c>
      <c r="D4406" s="33">
        <f>Demand!E4404</f>
        <v>15</v>
      </c>
      <c r="E4406" s="33">
        <f>IF(Demand!F4404,1,0)</f>
        <v>0</v>
      </c>
      <c r="F4406" s="33">
        <f>COUNTIFS(c_store,A4406,c_date,B4406,c_hour,C4406)</f>
        <v>0</v>
      </c>
      <c r="G4406" s="33">
        <f>IF(F4406&gt;0,1,0)</f>
        <v>0</v>
      </c>
      <c r="H4406" s="33">
        <f>COUNTIFS(Demand!$A$2:$A$4481,A4406,Demand!$B$2:$B$4481,B4406,Demand!$C$2:$C$4481,C4406)</f>
        <v>1</v>
      </c>
    </row>
    <row r="4407">
      <c r="A4407" s="32" t="str">
        <f>Demand!A4405</f>
        <v>S016</v>
      </c>
      <c r="B4407" s="35">
        <f>Demand!B4405</f>
        <v>46279.0</v>
      </c>
      <c r="C4407" s="33">
        <f>Demand!C4405</f>
        <v>11</v>
      </c>
      <c r="D4407" s="33">
        <f>Demand!E4405</f>
        <v>17</v>
      </c>
      <c r="E4407" s="33">
        <f>IF(Demand!F4405,1,0)</f>
        <v>0</v>
      </c>
      <c r="F4407" s="33">
        <f>COUNTIFS(c_store,A4407,c_date,B4407,c_hour,C4407)</f>
        <v>0</v>
      </c>
      <c r="G4407" s="33">
        <f>IF(F4407&gt;0,1,0)</f>
        <v>0</v>
      </c>
      <c r="H4407" s="33">
        <f>COUNTIFS(Demand!$A$2:$A$4481,A4407,Demand!$B$2:$B$4481,B4407,Demand!$C$2:$C$4481,C4407)</f>
        <v>1</v>
      </c>
    </row>
    <row r="4408">
      <c r="A4408" s="32" t="str">
        <f>Demand!A4406</f>
        <v>S016</v>
      </c>
      <c r="B4408" s="35">
        <f>Demand!B4406</f>
        <v>46279.0</v>
      </c>
      <c r="C4408" s="33">
        <f>Demand!C4406</f>
        <v>12</v>
      </c>
      <c r="D4408" s="33">
        <f>Demand!E4406</f>
        <v>19</v>
      </c>
      <c r="E4408" s="33">
        <f>IF(Demand!F4406,1,0)</f>
        <v>0</v>
      </c>
      <c r="F4408" s="33">
        <f>COUNTIFS(c_store,A4408,c_date,B4408,c_hour,C4408)</f>
        <v>0</v>
      </c>
      <c r="G4408" s="33">
        <f>IF(F4408&gt;0,1,0)</f>
        <v>0</v>
      </c>
      <c r="H4408" s="33">
        <f>COUNTIFS(Demand!$A$2:$A$4481,A4408,Demand!$B$2:$B$4481,B4408,Demand!$C$2:$C$4481,C4408)</f>
        <v>1</v>
      </c>
    </row>
    <row r="4409">
      <c r="A4409" s="32" t="str">
        <f>Demand!A4407</f>
        <v>S016</v>
      </c>
      <c r="B4409" s="35">
        <f>Demand!B4407</f>
        <v>46279.0</v>
      </c>
      <c r="C4409" s="33">
        <f>Demand!C4407</f>
        <v>13</v>
      </c>
      <c r="D4409" s="33">
        <f>Demand!E4407</f>
        <v>18</v>
      </c>
      <c r="E4409" s="33">
        <f>IF(Demand!F4407,1,0)</f>
        <v>0</v>
      </c>
      <c r="F4409" s="33">
        <f>COUNTIFS(c_store,A4409,c_date,B4409,c_hour,C4409)</f>
        <v>0</v>
      </c>
      <c r="G4409" s="33">
        <f>IF(F4409&gt;0,1,0)</f>
        <v>0</v>
      </c>
      <c r="H4409" s="33">
        <f>COUNTIFS(Demand!$A$2:$A$4481,A4409,Demand!$B$2:$B$4481,B4409,Demand!$C$2:$C$4481,C4409)</f>
        <v>1</v>
      </c>
    </row>
    <row r="4410">
      <c r="A4410" s="32" t="str">
        <f>Demand!A4408</f>
        <v>S016</v>
      </c>
      <c r="B4410" s="35">
        <f>Demand!B4408</f>
        <v>46279.0</v>
      </c>
      <c r="C4410" s="33">
        <f>Demand!C4408</f>
        <v>14</v>
      </c>
      <c r="D4410" s="33">
        <f>Demand!E4408</f>
        <v>11</v>
      </c>
      <c r="E4410" s="33">
        <f>IF(Demand!F4408,1,0)</f>
        <v>0</v>
      </c>
      <c r="F4410" s="33">
        <f>COUNTIFS(c_store,A4410,c_date,B4410,c_hour,C4410)</f>
        <v>0</v>
      </c>
      <c r="G4410" s="33">
        <f>IF(F4410&gt;0,1,0)</f>
        <v>0</v>
      </c>
      <c r="H4410" s="33">
        <f>COUNTIFS(Demand!$A$2:$A$4481,A4410,Demand!$B$2:$B$4481,B4410,Demand!$C$2:$C$4481,C4410)</f>
        <v>1</v>
      </c>
    </row>
    <row r="4411">
      <c r="A4411" s="32" t="str">
        <f>Demand!A4409</f>
        <v>S016</v>
      </c>
      <c r="B4411" s="35">
        <f>Demand!B4409</f>
        <v>46279.0</v>
      </c>
      <c r="C4411" s="33">
        <f>Demand!C4409</f>
        <v>15</v>
      </c>
      <c r="D4411" s="33">
        <f>Demand!E4409</f>
        <v>17</v>
      </c>
      <c r="E4411" s="33">
        <f>IF(Demand!F4409,1,0)</f>
        <v>0</v>
      </c>
      <c r="F4411" s="33">
        <f>COUNTIFS(c_store,A4411,c_date,B4411,c_hour,C4411)</f>
        <v>0</v>
      </c>
      <c r="G4411" s="33">
        <f>IF(F4411&gt;0,1,0)</f>
        <v>0</v>
      </c>
      <c r="H4411" s="33">
        <f>COUNTIFS(Demand!$A$2:$A$4481,A4411,Demand!$B$2:$B$4481,B4411,Demand!$C$2:$C$4481,C4411)</f>
        <v>1</v>
      </c>
    </row>
    <row r="4412">
      <c r="A4412" s="32" t="str">
        <f>Demand!A4410</f>
        <v>S016</v>
      </c>
      <c r="B4412" s="35">
        <f>Demand!B4410</f>
        <v>46279.0</v>
      </c>
      <c r="C4412" s="33">
        <f>Demand!C4410</f>
        <v>16</v>
      </c>
      <c r="D4412" s="33">
        <f>Demand!E4410</f>
        <v>23</v>
      </c>
      <c r="E4412" s="33">
        <f>IF(Demand!F4410,1,0)</f>
        <v>0</v>
      </c>
      <c r="F4412" s="33">
        <f>COUNTIFS(c_store,A4412,c_date,B4412,c_hour,C4412)</f>
        <v>2</v>
      </c>
      <c r="G4412" s="33">
        <f>IF(F4412&gt;0,1,0)</f>
        <v>1</v>
      </c>
      <c r="H4412" s="33">
        <f>COUNTIFS(Demand!$A$2:$A$4481,A4412,Demand!$B$2:$B$4481,B4412,Demand!$C$2:$C$4481,C4412)</f>
        <v>1</v>
      </c>
    </row>
    <row r="4413">
      <c r="A4413" s="32" t="str">
        <f>Demand!A4411</f>
        <v>S016</v>
      </c>
      <c r="B4413" s="35">
        <f>Demand!B4411</f>
        <v>46279.0</v>
      </c>
      <c r="C4413" s="33">
        <f>Demand!C4411</f>
        <v>17</v>
      </c>
      <c r="D4413" s="33">
        <f>Demand!E4411</f>
        <v>25</v>
      </c>
      <c r="E4413" s="33">
        <f>IF(Demand!F4411,1,0)</f>
        <v>0</v>
      </c>
      <c r="F4413" s="33">
        <f>COUNTIFS(c_store,A4413,c_date,B4413,c_hour,C4413)</f>
        <v>0</v>
      </c>
      <c r="G4413" s="33">
        <f>IF(F4413&gt;0,1,0)</f>
        <v>0</v>
      </c>
      <c r="H4413" s="33">
        <f>COUNTIFS(Demand!$A$2:$A$4481,A4413,Demand!$B$2:$B$4481,B4413,Demand!$C$2:$C$4481,C4413)</f>
        <v>1</v>
      </c>
    </row>
    <row r="4414">
      <c r="A4414" s="32" t="str">
        <f>Demand!A4412</f>
        <v>S016</v>
      </c>
      <c r="B4414" s="35">
        <f>Demand!B4412</f>
        <v>46279.0</v>
      </c>
      <c r="C4414" s="33">
        <f>Demand!C4412</f>
        <v>18</v>
      </c>
      <c r="D4414" s="33">
        <f>Demand!E4412</f>
        <v>26</v>
      </c>
      <c r="E4414" s="33">
        <f>IF(Demand!F4412,1,0)</f>
        <v>0</v>
      </c>
      <c r="F4414" s="33">
        <f>COUNTIFS(c_store,A4414,c_date,B4414,c_hour,C4414)</f>
        <v>0</v>
      </c>
      <c r="G4414" s="33">
        <f>IF(F4414&gt;0,1,0)</f>
        <v>0</v>
      </c>
      <c r="H4414" s="33">
        <f>COUNTIFS(Demand!$A$2:$A$4481,A4414,Demand!$B$2:$B$4481,B4414,Demand!$C$2:$C$4481,C4414)</f>
        <v>1</v>
      </c>
    </row>
    <row r="4415">
      <c r="A4415" s="32" t="str">
        <f>Demand!A4413</f>
        <v>S016</v>
      </c>
      <c r="B4415" s="35">
        <f>Demand!B4413</f>
        <v>46279.0</v>
      </c>
      <c r="C4415" s="33">
        <f>Demand!C4413</f>
        <v>19</v>
      </c>
      <c r="D4415" s="33">
        <f>Demand!E4413</f>
        <v>41</v>
      </c>
      <c r="E4415" s="33">
        <f>IF(Demand!F4413,1,0)</f>
        <v>1</v>
      </c>
      <c r="F4415" s="33">
        <f>COUNTIFS(c_store,A4415,c_date,B4415,c_hour,C4415)</f>
        <v>1</v>
      </c>
      <c r="G4415" s="33">
        <f>IF(F4415&gt;0,1,0)</f>
        <v>1</v>
      </c>
      <c r="H4415" s="33">
        <f>COUNTIFS(Demand!$A$2:$A$4481,A4415,Demand!$B$2:$B$4481,B4415,Demand!$C$2:$C$4481,C4415)</f>
        <v>1</v>
      </c>
    </row>
    <row r="4416">
      <c r="A4416" s="32" t="str">
        <f>Demand!A4414</f>
        <v>S016</v>
      </c>
      <c r="B4416" s="35">
        <f>Demand!B4414</f>
        <v>46279.0</v>
      </c>
      <c r="C4416" s="33">
        <f>Demand!C4414</f>
        <v>20</v>
      </c>
      <c r="D4416" s="33">
        <f>Demand!E4414</f>
        <v>36</v>
      </c>
      <c r="E4416" s="33">
        <f>IF(Demand!F4414,1,0)</f>
        <v>1</v>
      </c>
      <c r="F4416" s="33">
        <f>COUNTIFS(c_store,A4416,c_date,B4416,c_hour,C4416)</f>
        <v>0</v>
      </c>
      <c r="G4416" s="33">
        <f>IF(F4416&gt;0,1,0)</f>
        <v>0</v>
      </c>
      <c r="H4416" s="33">
        <f>COUNTIFS(Demand!$A$2:$A$4481,A4416,Demand!$B$2:$B$4481,B4416,Demand!$C$2:$C$4481,C4416)</f>
        <v>1</v>
      </c>
    </row>
    <row r="4417">
      <c r="A4417" s="32" t="str">
        <f>Demand!A4415</f>
        <v>S016</v>
      </c>
      <c r="B4417" s="35">
        <f>Demand!B4415</f>
        <v>46279.0</v>
      </c>
      <c r="C4417" s="33">
        <f>Demand!C4415</f>
        <v>21</v>
      </c>
      <c r="D4417" s="33">
        <f>Demand!E4415</f>
        <v>38</v>
      </c>
      <c r="E4417" s="33">
        <f>IF(Demand!F4415,1,0)</f>
        <v>1</v>
      </c>
      <c r="F4417" s="33">
        <f>COUNTIFS(c_store,A4417,c_date,B4417,c_hour,C4417)</f>
        <v>0</v>
      </c>
      <c r="G4417" s="33">
        <f>IF(F4417&gt;0,1,0)</f>
        <v>0</v>
      </c>
      <c r="H4417" s="33">
        <f>COUNTIFS(Demand!$A$2:$A$4481,A4417,Demand!$B$2:$B$4481,B4417,Demand!$C$2:$C$4481,C4417)</f>
        <v>1</v>
      </c>
    </row>
    <row r="4418">
      <c r="A4418" s="32" t="str">
        <f>Demand!A4416</f>
        <v>S016</v>
      </c>
      <c r="B4418" s="35">
        <f>Demand!B4416</f>
        <v>46279.0</v>
      </c>
      <c r="C4418" s="33">
        <f>Demand!C4416</f>
        <v>22</v>
      </c>
      <c r="D4418" s="33">
        <f>Demand!E4416</f>
        <v>26</v>
      </c>
      <c r="E4418" s="33">
        <f>IF(Demand!F4416,1,0)</f>
        <v>0</v>
      </c>
      <c r="F4418" s="33">
        <f>COUNTIFS(c_store,A4418,c_date,B4418,c_hour,C4418)</f>
        <v>0</v>
      </c>
      <c r="G4418" s="33">
        <f>IF(F4418&gt;0,1,0)</f>
        <v>0</v>
      </c>
      <c r="H4418" s="33">
        <f>COUNTIFS(Demand!$A$2:$A$4481,A4418,Demand!$B$2:$B$4481,B4418,Demand!$C$2:$C$4481,C4418)</f>
        <v>1</v>
      </c>
    </row>
    <row r="4419">
      <c r="A4419" s="32" t="str">
        <f>Demand!A4417</f>
        <v>S016</v>
      </c>
      <c r="B4419" s="35">
        <f>Demand!B4417</f>
        <v>46279.0</v>
      </c>
      <c r="C4419" s="33">
        <f>Demand!C4417</f>
        <v>23</v>
      </c>
      <c r="D4419" s="33">
        <f>Demand!E4417</f>
        <v>23</v>
      </c>
      <c r="E4419" s="33">
        <f>IF(Demand!F4417,1,0)</f>
        <v>0</v>
      </c>
      <c r="F4419" s="33">
        <f>COUNTIFS(c_store,A4419,c_date,B4419,c_hour,C4419)</f>
        <v>0</v>
      </c>
      <c r="G4419" s="33">
        <f>IF(F4419&gt;0,1,0)</f>
        <v>0</v>
      </c>
      <c r="H4419" s="33">
        <f>COUNTIFS(Demand!$A$2:$A$4481,A4419,Demand!$B$2:$B$4481,B4419,Demand!$C$2:$C$4481,C4419)</f>
        <v>1</v>
      </c>
    </row>
    <row r="4420">
      <c r="A4420" s="32" t="str">
        <f>Demand!A4418</f>
        <v>S017</v>
      </c>
      <c r="B4420" s="35">
        <f>Demand!B4418</f>
        <v>46279.0</v>
      </c>
      <c r="C4420" s="33">
        <f>Demand!C4418</f>
        <v>8</v>
      </c>
      <c r="D4420" s="33">
        <f>Demand!E4418</f>
        <v>38</v>
      </c>
      <c r="E4420" s="33">
        <f>IF(Demand!F4418,1,0)</f>
        <v>0</v>
      </c>
      <c r="F4420" s="33">
        <f>COUNTIFS(c_store,A4420,c_date,B4420,c_hour,C4420)</f>
        <v>1</v>
      </c>
      <c r="G4420" s="33">
        <f>IF(F4420&gt;0,1,0)</f>
        <v>1</v>
      </c>
      <c r="H4420" s="33">
        <f>COUNTIFS(Demand!$A$2:$A$4481,A4420,Demand!$B$2:$B$4481,B4420,Demand!$C$2:$C$4481,C4420)</f>
        <v>1</v>
      </c>
    </row>
    <row r="4421">
      <c r="A4421" s="32" t="str">
        <f>Demand!A4419</f>
        <v>S017</v>
      </c>
      <c r="B4421" s="35">
        <f>Demand!B4419</f>
        <v>46279.0</v>
      </c>
      <c r="C4421" s="33">
        <f>Demand!C4419</f>
        <v>9</v>
      </c>
      <c r="D4421" s="33">
        <f>Demand!E4419</f>
        <v>36</v>
      </c>
      <c r="E4421" s="33">
        <f>IF(Demand!F4419,1,0)</f>
        <v>0</v>
      </c>
      <c r="F4421" s="33">
        <f>COUNTIFS(c_store,A4421,c_date,B4421,c_hour,C4421)</f>
        <v>0</v>
      </c>
      <c r="G4421" s="33">
        <f>IF(F4421&gt;0,1,0)</f>
        <v>0</v>
      </c>
      <c r="H4421" s="33">
        <f>COUNTIFS(Demand!$A$2:$A$4481,A4421,Demand!$B$2:$B$4481,B4421,Demand!$C$2:$C$4481,C4421)</f>
        <v>1</v>
      </c>
    </row>
    <row r="4422">
      <c r="A4422" s="32" t="str">
        <f>Demand!A4420</f>
        <v>S017</v>
      </c>
      <c r="B4422" s="35">
        <f>Demand!B4420</f>
        <v>46279.0</v>
      </c>
      <c r="C4422" s="33">
        <f>Demand!C4420</f>
        <v>10</v>
      </c>
      <c r="D4422" s="33">
        <f>Demand!E4420</f>
        <v>34</v>
      </c>
      <c r="E4422" s="33">
        <f>IF(Demand!F4420,1,0)</f>
        <v>0</v>
      </c>
      <c r="F4422" s="33">
        <f>COUNTIFS(c_store,A4422,c_date,B4422,c_hour,C4422)</f>
        <v>0</v>
      </c>
      <c r="G4422" s="33">
        <f>IF(F4422&gt;0,1,0)</f>
        <v>0</v>
      </c>
      <c r="H4422" s="33">
        <f>COUNTIFS(Demand!$A$2:$A$4481,A4422,Demand!$B$2:$B$4481,B4422,Demand!$C$2:$C$4481,C4422)</f>
        <v>1</v>
      </c>
    </row>
    <row r="4423">
      <c r="A4423" s="32" t="str">
        <f>Demand!A4421</f>
        <v>S017</v>
      </c>
      <c r="B4423" s="35">
        <f>Demand!B4421</f>
        <v>46279.0</v>
      </c>
      <c r="C4423" s="33">
        <f>Demand!C4421</f>
        <v>11</v>
      </c>
      <c r="D4423" s="33">
        <f>Demand!E4421</f>
        <v>41</v>
      </c>
      <c r="E4423" s="33">
        <f>IF(Demand!F4421,1,0)</f>
        <v>0</v>
      </c>
      <c r="F4423" s="33">
        <f>COUNTIFS(c_store,A4423,c_date,B4423,c_hour,C4423)</f>
        <v>0</v>
      </c>
      <c r="G4423" s="33">
        <f>IF(F4423&gt;0,1,0)</f>
        <v>0</v>
      </c>
      <c r="H4423" s="33">
        <f>COUNTIFS(Demand!$A$2:$A$4481,A4423,Demand!$B$2:$B$4481,B4423,Demand!$C$2:$C$4481,C4423)</f>
        <v>1</v>
      </c>
    </row>
    <row r="4424">
      <c r="A4424" s="32" t="str">
        <f>Demand!A4422</f>
        <v>S017</v>
      </c>
      <c r="B4424" s="35">
        <f>Demand!B4422</f>
        <v>46279.0</v>
      </c>
      <c r="C4424" s="33">
        <f>Demand!C4422</f>
        <v>12</v>
      </c>
      <c r="D4424" s="33">
        <f>Demand!E4422</f>
        <v>42</v>
      </c>
      <c r="E4424" s="33">
        <f>IF(Demand!F4422,1,0)</f>
        <v>0</v>
      </c>
      <c r="F4424" s="33">
        <f>COUNTIFS(c_store,A4424,c_date,B4424,c_hour,C4424)</f>
        <v>0</v>
      </c>
      <c r="G4424" s="33">
        <f>IF(F4424&gt;0,1,0)</f>
        <v>0</v>
      </c>
      <c r="H4424" s="33">
        <f>COUNTIFS(Demand!$A$2:$A$4481,A4424,Demand!$B$2:$B$4481,B4424,Demand!$C$2:$C$4481,C4424)</f>
        <v>1</v>
      </c>
    </row>
    <row r="4425">
      <c r="A4425" s="32" t="str">
        <f>Demand!A4423</f>
        <v>S017</v>
      </c>
      <c r="B4425" s="35">
        <f>Demand!B4423</f>
        <v>46279.0</v>
      </c>
      <c r="C4425" s="33">
        <f>Demand!C4423</f>
        <v>13</v>
      </c>
      <c r="D4425" s="33">
        <f>Demand!E4423</f>
        <v>38</v>
      </c>
      <c r="E4425" s="33">
        <f>IF(Demand!F4423,1,0)</f>
        <v>0</v>
      </c>
      <c r="F4425" s="33">
        <f>COUNTIFS(c_store,A4425,c_date,B4425,c_hour,C4425)</f>
        <v>0</v>
      </c>
      <c r="G4425" s="33">
        <f>IF(F4425&gt;0,1,0)</f>
        <v>0</v>
      </c>
      <c r="H4425" s="33">
        <f>COUNTIFS(Demand!$A$2:$A$4481,A4425,Demand!$B$2:$B$4481,B4425,Demand!$C$2:$C$4481,C4425)</f>
        <v>1</v>
      </c>
    </row>
    <row r="4426">
      <c r="A4426" s="32" t="str">
        <f>Demand!A4424</f>
        <v>S017</v>
      </c>
      <c r="B4426" s="35">
        <f>Demand!B4424</f>
        <v>46279.0</v>
      </c>
      <c r="C4426" s="33">
        <f>Demand!C4424</f>
        <v>14</v>
      </c>
      <c r="D4426" s="33">
        <f>Demand!E4424</f>
        <v>35</v>
      </c>
      <c r="E4426" s="33">
        <f>IF(Demand!F4424,1,0)</f>
        <v>0</v>
      </c>
      <c r="F4426" s="33">
        <f>COUNTIFS(c_store,A4426,c_date,B4426,c_hour,C4426)</f>
        <v>0</v>
      </c>
      <c r="G4426" s="33">
        <f>IF(F4426&gt;0,1,0)</f>
        <v>0</v>
      </c>
      <c r="H4426" s="33">
        <f>COUNTIFS(Demand!$A$2:$A$4481,A4426,Demand!$B$2:$B$4481,B4426,Demand!$C$2:$C$4481,C4426)</f>
        <v>1</v>
      </c>
    </row>
    <row r="4427">
      <c r="A4427" s="32" t="str">
        <f>Demand!A4425</f>
        <v>S017</v>
      </c>
      <c r="B4427" s="35">
        <f>Demand!B4425</f>
        <v>46279.0</v>
      </c>
      <c r="C4427" s="33">
        <f>Demand!C4425</f>
        <v>15</v>
      </c>
      <c r="D4427" s="33">
        <f>Demand!E4425</f>
        <v>32</v>
      </c>
      <c r="E4427" s="33">
        <f>IF(Demand!F4425,1,0)</f>
        <v>0</v>
      </c>
      <c r="F4427" s="33">
        <f>COUNTIFS(c_store,A4427,c_date,B4427,c_hour,C4427)</f>
        <v>0</v>
      </c>
      <c r="G4427" s="33">
        <f>IF(F4427&gt;0,1,0)</f>
        <v>0</v>
      </c>
      <c r="H4427" s="33">
        <f>COUNTIFS(Demand!$A$2:$A$4481,A4427,Demand!$B$2:$B$4481,B4427,Demand!$C$2:$C$4481,C4427)</f>
        <v>1</v>
      </c>
    </row>
    <row r="4428">
      <c r="A4428" s="32" t="str">
        <f>Demand!A4426</f>
        <v>S017</v>
      </c>
      <c r="B4428" s="35">
        <f>Demand!B4426</f>
        <v>46279.0</v>
      </c>
      <c r="C4428" s="33">
        <f>Demand!C4426</f>
        <v>16</v>
      </c>
      <c r="D4428" s="33">
        <f>Demand!E4426</f>
        <v>35</v>
      </c>
      <c r="E4428" s="33">
        <f>IF(Demand!F4426,1,0)</f>
        <v>0</v>
      </c>
      <c r="F4428" s="33">
        <f>COUNTIFS(c_store,A4428,c_date,B4428,c_hour,C4428)</f>
        <v>1</v>
      </c>
      <c r="G4428" s="33">
        <f>IF(F4428&gt;0,1,0)</f>
        <v>1</v>
      </c>
      <c r="H4428" s="33">
        <f>COUNTIFS(Demand!$A$2:$A$4481,A4428,Demand!$B$2:$B$4481,B4428,Demand!$C$2:$C$4481,C4428)</f>
        <v>1</v>
      </c>
    </row>
    <row r="4429">
      <c r="A4429" s="32" t="str">
        <f>Demand!A4427</f>
        <v>S017</v>
      </c>
      <c r="B4429" s="35">
        <f>Demand!B4427</f>
        <v>46279.0</v>
      </c>
      <c r="C4429" s="33">
        <f>Demand!C4427</f>
        <v>17</v>
      </c>
      <c r="D4429" s="33">
        <f>Demand!E4427</f>
        <v>26</v>
      </c>
      <c r="E4429" s="33">
        <f>IF(Demand!F4427,1,0)</f>
        <v>0</v>
      </c>
      <c r="F4429" s="33">
        <f>COUNTIFS(c_store,A4429,c_date,B4429,c_hour,C4429)</f>
        <v>0</v>
      </c>
      <c r="G4429" s="33">
        <f>IF(F4429&gt;0,1,0)</f>
        <v>0</v>
      </c>
      <c r="H4429" s="33">
        <f>COUNTIFS(Demand!$A$2:$A$4481,A4429,Demand!$B$2:$B$4481,B4429,Demand!$C$2:$C$4481,C4429)</f>
        <v>1</v>
      </c>
    </row>
    <row r="4430">
      <c r="A4430" s="32" t="str">
        <f>Demand!A4428</f>
        <v>S017</v>
      </c>
      <c r="B4430" s="35">
        <f>Demand!B4428</f>
        <v>46279.0</v>
      </c>
      <c r="C4430" s="33">
        <f>Demand!C4428</f>
        <v>18</v>
      </c>
      <c r="D4430" s="33">
        <f>Demand!E4428</f>
        <v>30</v>
      </c>
      <c r="E4430" s="33">
        <f>IF(Demand!F4428,1,0)</f>
        <v>0</v>
      </c>
      <c r="F4430" s="33">
        <f>COUNTIFS(c_store,A4430,c_date,B4430,c_hour,C4430)</f>
        <v>0</v>
      </c>
      <c r="G4430" s="33">
        <f>IF(F4430&gt;0,1,0)</f>
        <v>0</v>
      </c>
      <c r="H4430" s="33">
        <f>COUNTIFS(Demand!$A$2:$A$4481,A4430,Demand!$B$2:$B$4481,B4430,Demand!$C$2:$C$4481,C4430)</f>
        <v>1</v>
      </c>
    </row>
    <row r="4431">
      <c r="A4431" s="32" t="str">
        <f>Demand!A4429</f>
        <v>S017</v>
      </c>
      <c r="B4431" s="35">
        <f>Demand!B4429</f>
        <v>46279.0</v>
      </c>
      <c r="C4431" s="33">
        <f>Demand!C4429</f>
        <v>19</v>
      </c>
      <c r="D4431" s="33">
        <f>Demand!E4429</f>
        <v>45</v>
      </c>
      <c r="E4431" s="33">
        <f>IF(Demand!F4429,1,0)</f>
        <v>1</v>
      </c>
      <c r="F4431" s="33">
        <f>COUNTIFS(c_store,A4431,c_date,B4431,c_hour,C4431)</f>
        <v>3</v>
      </c>
      <c r="G4431" s="33">
        <f>IF(F4431&gt;0,1,0)</f>
        <v>1</v>
      </c>
      <c r="H4431" s="33">
        <f>COUNTIFS(Demand!$A$2:$A$4481,A4431,Demand!$B$2:$B$4481,B4431,Demand!$C$2:$C$4481,C4431)</f>
        <v>1</v>
      </c>
    </row>
    <row r="4432">
      <c r="A4432" s="32" t="str">
        <f>Demand!A4430</f>
        <v>S017</v>
      </c>
      <c r="B4432" s="35">
        <f>Demand!B4430</f>
        <v>46279.0</v>
      </c>
      <c r="C4432" s="33">
        <f>Demand!C4430</f>
        <v>20</v>
      </c>
      <c r="D4432" s="33">
        <f>Demand!E4430</f>
        <v>48</v>
      </c>
      <c r="E4432" s="33">
        <f>IF(Demand!F4430,1,0)</f>
        <v>1</v>
      </c>
      <c r="F4432" s="33">
        <f>COUNTIFS(c_store,A4432,c_date,B4432,c_hour,C4432)</f>
        <v>0</v>
      </c>
      <c r="G4432" s="33">
        <f>IF(F4432&gt;0,1,0)</f>
        <v>0</v>
      </c>
      <c r="H4432" s="33">
        <f>COUNTIFS(Demand!$A$2:$A$4481,A4432,Demand!$B$2:$B$4481,B4432,Demand!$C$2:$C$4481,C4432)</f>
        <v>1</v>
      </c>
    </row>
    <row r="4433">
      <c r="A4433" s="32" t="str">
        <f>Demand!A4431</f>
        <v>S017</v>
      </c>
      <c r="B4433" s="35">
        <f>Demand!B4431</f>
        <v>46279.0</v>
      </c>
      <c r="C4433" s="33">
        <f>Demand!C4431</f>
        <v>21</v>
      </c>
      <c r="D4433" s="33">
        <f>Demand!E4431</f>
        <v>49</v>
      </c>
      <c r="E4433" s="33">
        <f>IF(Demand!F4431,1,0)</f>
        <v>1</v>
      </c>
      <c r="F4433" s="33">
        <f>COUNTIFS(c_store,A4433,c_date,B4433,c_hour,C4433)</f>
        <v>0</v>
      </c>
      <c r="G4433" s="33">
        <f>IF(F4433&gt;0,1,0)</f>
        <v>0</v>
      </c>
      <c r="H4433" s="33">
        <f>COUNTIFS(Demand!$A$2:$A$4481,A4433,Demand!$B$2:$B$4481,B4433,Demand!$C$2:$C$4481,C4433)</f>
        <v>1</v>
      </c>
    </row>
    <row r="4434">
      <c r="A4434" s="32" t="str">
        <f>Demand!A4432</f>
        <v>S017</v>
      </c>
      <c r="B4434" s="35">
        <f>Demand!B4432</f>
        <v>46279.0</v>
      </c>
      <c r="C4434" s="33">
        <f>Demand!C4432</f>
        <v>22</v>
      </c>
      <c r="D4434" s="33">
        <f>Demand!E4432</f>
        <v>38</v>
      </c>
      <c r="E4434" s="33">
        <f>IF(Demand!F4432,1,0)</f>
        <v>0</v>
      </c>
      <c r="F4434" s="33">
        <f>COUNTIFS(c_store,A4434,c_date,B4434,c_hour,C4434)</f>
        <v>0</v>
      </c>
      <c r="G4434" s="33">
        <f>IF(F4434&gt;0,1,0)</f>
        <v>0</v>
      </c>
      <c r="H4434" s="33">
        <f>COUNTIFS(Demand!$A$2:$A$4481,A4434,Demand!$B$2:$B$4481,B4434,Demand!$C$2:$C$4481,C4434)</f>
        <v>1</v>
      </c>
    </row>
    <row r="4435">
      <c r="A4435" s="32" t="str">
        <f>Demand!A4433</f>
        <v>S017</v>
      </c>
      <c r="B4435" s="35">
        <f>Demand!B4433</f>
        <v>46279.0</v>
      </c>
      <c r="C4435" s="33">
        <f>Demand!C4433</f>
        <v>23</v>
      </c>
      <c r="D4435" s="33">
        <f>Demand!E4433</f>
        <v>38</v>
      </c>
      <c r="E4435" s="33">
        <f>IF(Demand!F4433,1,0)</f>
        <v>0</v>
      </c>
      <c r="F4435" s="33">
        <f>COUNTIFS(c_store,A4435,c_date,B4435,c_hour,C4435)</f>
        <v>0</v>
      </c>
      <c r="G4435" s="33">
        <f>IF(F4435&gt;0,1,0)</f>
        <v>0</v>
      </c>
      <c r="H4435" s="33">
        <f>COUNTIFS(Demand!$A$2:$A$4481,A4435,Demand!$B$2:$B$4481,B4435,Demand!$C$2:$C$4481,C4435)</f>
        <v>1</v>
      </c>
    </row>
    <row r="4436">
      <c r="A4436" s="32" t="str">
        <f>Demand!A4434</f>
        <v>S018</v>
      </c>
      <c r="B4436" s="35">
        <f>Demand!B4434</f>
        <v>46279.0</v>
      </c>
      <c r="C4436" s="33">
        <f>Demand!C4434</f>
        <v>8</v>
      </c>
      <c r="D4436" s="33">
        <f>Demand!E4434</f>
        <v>17</v>
      </c>
      <c r="E4436" s="33">
        <f>IF(Demand!F4434,1,0)</f>
        <v>0</v>
      </c>
      <c r="F4436" s="33">
        <f>COUNTIFS(c_store,A4436,c_date,B4436,c_hour,C4436)</f>
        <v>0</v>
      </c>
      <c r="G4436" s="33">
        <f>IF(F4436&gt;0,1,0)</f>
        <v>0</v>
      </c>
      <c r="H4436" s="33">
        <f>COUNTIFS(Demand!$A$2:$A$4481,A4436,Demand!$B$2:$B$4481,B4436,Demand!$C$2:$C$4481,C4436)</f>
        <v>1</v>
      </c>
    </row>
    <row r="4437">
      <c r="A4437" s="32" t="str">
        <f>Demand!A4435</f>
        <v>S018</v>
      </c>
      <c r="B4437" s="35">
        <f>Demand!B4435</f>
        <v>46279.0</v>
      </c>
      <c r="C4437" s="33">
        <f>Demand!C4435</f>
        <v>9</v>
      </c>
      <c r="D4437" s="33">
        <f>Demand!E4435</f>
        <v>17</v>
      </c>
      <c r="E4437" s="33">
        <f>IF(Demand!F4435,1,0)</f>
        <v>0</v>
      </c>
      <c r="F4437" s="33">
        <f>COUNTIFS(c_store,A4437,c_date,B4437,c_hour,C4437)</f>
        <v>1</v>
      </c>
      <c r="G4437" s="33">
        <f>IF(F4437&gt;0,1,0)</f>
        <v>1</v>
      </c>
      <c r="H4437" s="33">
        <f>COUNTIFS(Demand!$A$2:$A$4481,A4437,Demand!$B$2:$B$4481,B4437,Demand!$C$2:$C$4481,C4437)</f>
        <v>1</v>
      </c>
    </row>
    <row r="4438">
      <c r="A4438" s="32" t="str">
        <f>Demand!A4436</f>
        <v>S018</v>
      </c>
      <c r="B4438" s="35">
        <f>Demand!B4436</f>
        <v>46279.0</v>
      </c>
      <c r="C4438" s="33">
        <f>Demand!C4436</f>
        <v>10</v>
      </c>
      <c r="D4438" s="33">
        <f>Demand!E4436</f>
        <v>12</v>
      </c>
      <c r="E4438" s="33">
        <f>IF(Demand!F4436,1,0)</f>
        <v>0</v>
      </c>
      <c r="F4438" s="33">
        <f>COUNTIFS(c_store,A4438,c_date,B4438,c_hour,C4438)</f>
        <v>0</v>
      </c>
      <c r="G4438" s="33">
        <f>IF(F4438&gt;0,1,0)</f>
        <v>0</v>
      </c>
      <c r="H4438" s="33">
        <f>COUNTIFS(Demand!$A$2:$A$4481,A4438,Demand!$B$2:$B$4481,B4438,Demand!$C$2:$C$4481,C4438)</f>
        <v>1</v>
      </c>
    </row>
    <row r="4439">
      <c r="A4439" s="32" t="str">
        <f>Demand!A4437</f>
        <v>S018</v>
      </c>
      <c r="B4439" s="35">
        <f>Demand!B4437</f>
        <v>46279.0</v>
      </c>
      <c r="C4439" s="33">
        <f>Demand!C4437</f>
        <v>11</v>
      </c>
      <c r="D4439" s="33">
        <f>Demand!E4437</f>
        <v>26</v>
      </c>
      <c r="E4439" s="33">
        <f>IF(Demand!F4437,1,0)</f>
        <v>0</v>
      </c>
      <c r="F4439" s="33">
        <f>COUNTIFS(c_store,A4439,c_date,B4439,c_hour,C4439)</f>
        <v>0</v>
      </c>
      <c r="G4439" s="33">
        <f>IF(F4439&gt;0,1,0)</f>
        <v>0</v>
      </c>
      <c r="H4439" s="33">
        <f>COUNTIFS(Demand!$A$2:$A$4481,A4439,Demand!$B$2:$B$4481,B4439,Demand!$C$2:$C$4481,C4439)</f>
        <v>1</v>
      </c>
    </row>
    <row r="4440">
      <c r="A4440" s="32" t="str">
        <f>Demand!A4438</f>
        <v>S018</v>
      </c>
      <c r="B4440" s="35">
        <f>Demand!B4438</f>
        <v>46279.0</v>
      </c>
      <c r="C4440" s="33">
        <f>Demand!C4438</f>
        <v>12</v>
      </c>
      <c r="D4440" s="33">
        <f>Demand!E4438</f>
        <v>19</v>
      </c>
      <c r="E4440" s="33">
        <f>IF(Demand!F4438,1,0)</f>
        <v>0</v>
      </c>
      <c r="F4440" s="33">
        <f>COUNTIFS(c_store,A4440,c_date,B4440,c_hour,C4440)</f>
        <v>0</v>
      </c>
      <c r="G4440" s="33">
        <f>IF(F4440&gt;0,1,0)</f>
        <v>0</v>
      </c>
      <c r="H4440" s="33">
        <f>COUNTIFS(Demand!$A$2:$A$4481,A4440,Demand!$B$2:$B$4481,B4440,Demand!$C$2:$C$4481,C4440)</f>
        <v>1</v>
      </c>
    </row>
    <row r="4441">
      <c r="A4441" s="32" t="str">
        <f>Demand!A4439</f>
        <v>S018</v>
      </c>
      <c r="B4441" s="35">
        <f>Demand!B4439</f>
        <v>46279.0</v>
      </c>
      <c r="C4441" s="33">
        <f>Demand!C4439</f>
        <v>13</v>
      </c>
      <c r="D4441" s="33">
        <f>Demand!E4439</f>
        <v>18</v>
      </c>
      <c r="E4441" s="33">
        <f>IF(Demand!F4439,1,0)</f>
        <v>0</v>
      </c>
      <c r="F4441" s="33">
        <f>COUNTIFS(c_store,A4441,c_date,B4441,c_hour,C4441)</f>
        <v>1</v>
      </c>
      <c r="G4441" s="33">
        <f>IF(F4441&gt;0,1,0)</f>
        <v>1</v>
      </c>
      <c r="H4441" s="33">
        <f>COUNTIFS(Demand!$A$2:$A$4481,A4441,Demand!$B$2:$B$4481,B4441,Demand!$C$2:$C$4481,C4441)</f>
        <v>1</v>
      </c>
    </row>
    <row r="4442">
      <c r="A4442" s="32" t="str">
        <f>Demand!A4440</f>
        <v>S018</v>
      </c>
      <c r="B4442" s="35">
        <f>Demand!B4440</f>
        <v>46279.0</v>
      </c>
      <c r="C4442" s="33">
        <f>Demand!C4440</f>
        <v>14</v>
      </c>
      <c r="D4442" s="33">
        <f>Demand!E4440</f>
        <v>14</v>
      </c>
      <c r="E4442" s="33">
        <f>IF(Demand!F4440,1,0)</f>
        <v>0</v>
      </c>
      <c r="F4442" s="33">
        <f>COUNTIFS(c_store,A4442,c_date,B4442,c_hour,C4442)</f>
        <v>0</v>
      </c>
      <c r="G4442" s="33">
        <f>IF(F4442&gt;0,1,0)</f>
        <v>0</v>
      </c>
      <c r="H4442" s="33">
        <f>COUNTIFS(Demand!$A$2:$A$4481,A4442,Demand!$B$2:$B$4481,B4442,Demand!$C$2:$C$4481,C4442)</f>
        <v>1</v>
      </c>
    </row>
    <row r="4443">
      <c r="A4443" s="32" t="str">
        <f>Demand!A4441</f>
        <v>S018</v>
      </c>
      <c r="B4443" s="35">
        <f>Demand!B4441</f>
        <v>46279.0</v>
      </c>
      <c r="C4443" s="33">
        <f>Demand!C4441</f>
        <v>15</v>
      </c>
      <c r="D4443" s="33">
        <f>Demand!E4441</f>
        <v>10</v>
      </c>
      <c r="E4443" s="33">
        <f>IF(Demand!F4441,1,0)</f>
        <v>0</v>
      </c>
      <c r="F4443" s="33">
        <f>COUNTIFS(c_store,A4443,c_date,B4443,c_hour,C4443)</f>
        <v>0</v>
      </c>
      <c r="G4443" s="33">
        <f>IF(F4443&gt;0,1,0)</f>
        <v>0</v>
      </c>
      <c r="H4443" s="33">
        <f>COUNTIFS(Demand!$A$2:$A$4481,A4443,Demand!$B$2:$B$4481,B4443,Demand!$C$2:$C$4481,C4443)</f>
        <v>1</v>
      </c>
    </row>
    <row r="4444">
      <c r="A4444" s="32" t="str">
        <f>Demand!A4442</f>
        <v>S018</v>
      </c>
      <c r="B4444" s="35">
        <f>Demand!B4442</f>
        <v>46279.0</v>
      </c>
      <c r="C4444" s="33">
        <f>Demand!C4442</f>
        <v>16</v>
      </c>
      <c r="D4444" s="33">
        <f>Demand!E4442</f>
        <v>12</v>
      </c>
      <c r="E4444" s="33">
        <f>IF(Demand!F4442,1,0)</f>
        <v>0</v>
      </c>
      <c r="F4444" s="33">
        <f>COUNTIFS(c_store,A4444,c_date,B4444,c_hour,C4444)</f>
        <v>0</v>
      </c>
      <c r="G4444" s="33">
        <f>IF(F4444&gt;0,1,0)</f>
        <v>0</v>
      </c>
      <c r="H4444" s="33">
        <f>COUNTIFS(Demand!$A$2:$A$4481,A4444,Demand!$B$2:$B$4481,B4444,Demand!$C$2:$C$4481,C4444)</f>
        <v>1</v>
      </c>
    </row>
    <row r="4445">
      <c r="A4445" s="32" t="str">
        <f>Demand!A4443</f>
        <v>S018</v>
      </c>
      <c r="B4445" s="35">
        <f>Demand!B4443</f>
        <v>46279.0</v>
      </c>
      <c r="C4445" s="33">
        <f>Demand!C4443</f>
        <v>17</v>
      </c>
      <c r="D4445" s="33">
        <f>Demand!E4443</f>
        <v>21</v>
      </c>
      <c r="E4445" s="33">
        <f>IF(Demand!F4443,1,0)</f>
        <v>0</v>
      </c>
      <c r="F4445" s="33">
        <f>COUNTIFS(c_store,A4445,c_date,B4445,c_hour,C4445)</f>
        <v>0</v>
      </c>
      <c r="G4445" s="33">
        <f>IF(F4445&gt;0,1,0)</f>
        <v>0</v>
      </c>
      <c r="H4445" s="33">
        <f>COUNTIFS(Demand!$A$2:$A$4481,A4445,Demand!$B$2:$B$4481,B4445,Demand!$C$2:$C$4481,C4445)</f>
        <v>1</v>
      </c>
    </row>
    <row r="4446">
      <c r="A4446" s="32" t="str">
        <f>Demand!A4444</f>
        <v>S018</v>
      </c>
      <c r="B4446" s="35">
        <f>Demand!B4444</f>
        <v>46279.0</v>
      </c>
      <c r="C4446" s="33">
        <f>Demand!C4444</f>
        <v>18</v>
      </c>
      <c r="D4446" s="33">
        <f>Demand!E4444</f>
        <v>14</v>
      </c>
      <c r="E4446" s="33">
        <f>IF(Demand!F4444,1,0)</f>
        <v>0</v>
      </c>
      <c r="F4446" s="33">
        <f>COUNTIFS(c_store,A4446,c_date,B4446,c_hour,C4446)</f>
        <v>0</v>
      </c>
      <c r="G4446" s="33">
        <f>IF(F4446&gt;0,1,0)</f>
        <v>0</v>
      </c>
      <c r="H4446" s="33">
        <f>COUNTIFS(Demand!$A$2:$A$4481,A4446,Demand!$B$2:$B$4481,B4446,Demand!$C$2:$C$4481,C4446)</f>
        <v>1</v>
      </c>
    </row>
    <row r="4447">
      <c r="A4447" s="32" t="str">
        <f>Demand!A4445</f>
        <v>S018</v>
      </c>
      <c r="B4447" s="35">
        <f>Demand!B4445</f>
        <v>46279.0</v>
      </c>
      <c r="C4447" s="33">
        <f>Demand!C4445</f>
        <v>19</v>
      </c>
      <c r="D4447" s="33">
        <f>Demand!E4445</f>
        <v>32</v>
      </c>
      <c r="E4447" s="33">
        <f>IF(Demand!F4445,1,0)</f>
        <v>1</v>
      </c>
      <c r="F4447" s="33">
        <f>COUNTIFS(c_store,A4447,c_date,B4447,c_hour,C4447)</f>
        <v>0</v>
      </c>
      <c r="G4447" s="33">
        <f>IF(F4447&gt;0,1,0)</f>
        <v>0</v>
      </c>
      <c r="H4447" s="33">
        <f>COUNTIFS(Demand!$A$2:$A$4481,A4447,Demand!$B$2:$B$4481,B4447,Demand!$C$2:$C$4481,C4447)</f>
        <v>1</v>
      </c>
    </row>
    <row r="4448">
      <c r="A4448" s="32" t="str">
        <f>Demand!A4446</f>
        <v>S018</v>
      </c>
      <c r="B4448" s="35">
        <f>Demand!B4446</f>
        <v>46279.0</v>
      </c>
      <c r="C4448" s="33">
        <f>Demand!C4446</f>
        <v>20</v>
      </c>
      <c r="D4448" s="33">
        <f>Demand!E4446</f>
        <v>27</v>
      </c>
      <c r="E4448" s="33">
        <f>IF(Demand!F4446,1,0)</f>
        <v>1</v>
      </c>
      <c r="F4448" s="33">
        <f>COUNTIFS(c_store,A4448,c_date,B4448,c_hour,C4448)</f>
        <v>0</v>
      </c>
      <c r="G4448" s="33">
        <f>IF(F4448&gt;0,1,0)</f>
        <v>0</v>
      </c>
      <c r="H4448" s="33">
        <f>COUNTIFS(Demand!$A$2:$A$4481,A4448,Demand!$B$2:$B$4481,B4448,Demand!$C$2:$C$4481,C4448)</f>
        <v>1</v>
      </c>
    </row>
    <row r="4449">
      <c r="A4449" s="32" t="str">
        <f>Demand!A4447</f>
        <v>S018</v>
      </c>
      <c r="B4449" s="35">
        <f>Demand!B4447</f>
        <v>46279.0</v>
      </c>
      <c r="C4449" s="33">
        <f>Demand!C4447</f>
        <v>21</v>
      </c>
      <c r="D4449" s="33">
        <f>Demand!E4447</f>
        <v>39</v>
      </c>
      <c r="E4449" s="33">
        <f>IF(Demand!F4447,1,0)</f>
        <v>1</v>
      </c>
      <c r="F4449" s="33">
        <f>COUNTIFS(c_store,A4449,c_date,B4449,c_hour,C4449)</f>
        <v>0</v>
      </c>
      <c r="G4449" s="33">
        <f>IF(F4449&gt;0,1,0)</f>
        <v>0</v>
      </c>
      <c r="H4449" s="33">
        <f>COUNTIFS(Demand!$A$2:$A$4481,A4449,Demand!$B$2:$B$4481,B4449,Demand!$C$2:$C$4481,C4449)</f>
        <v>1</v>
      </c>
    </row>
    <row r="4450">
      <c r="A4450" s="32" t="str">
        <f>Demand!A4448</f>
        <v>S018</v>
      </c>
      <c r="B4450" s="35">
        <f>Demand!B4448</f>
        <v>46279.0</v>
      </c>
      <c r="C4450" s="33">
        <f>Demand!C4448</f>
        <v>22</v>
      </c>
      <c r="D4450" s="33">
        <f>Demand!E4448</f>
        <v>20</v>
      </c>
      <c r="E4450" s="33">
        <f>IF(Demand!F4448,1,0)</f>
        <v>0</v>
      </c>
      <c r="F4450" s="33">
        <f>COUNTIFS(c_store,A4450,c_date,B4450,c_hour,C4450)</f>
        <v>0</v>
      </c>
      <c r="G4450" s="33">
        <f>IF(F4450&gt;0,1,0)</f>
        <v>0</v>
      </c>
      <c r="H4450" s="33">
        <f>COUNTIFS(Demand!$A$2:$A$4481,A4450,Demand!$B$2:$B$4481,B4450,Demand!$C$2:$C$4481,C4450)</f>
        <v>1</v>
      </c>
    </row>
    <row r="4451">
      <c r="A4451" s="32" t="str">
        <f>Demand!A4449</f>
        <v>S018</v>
      </c>
      <c r="B4451" s="35">
        <f>Demand!B4449</f>
        <v>46279.0</v>
      </c>
      <c r="C4451" s="33">
        <f>Demand!C4449</f>
        <v>23</v>
      </c>
      <c r="D4451" s="33">
        <f>Demand!E4449</f>
        <v>16</v>
      </c>
      <c r="E4451" s="33">
        <f>IF(Demand!F4449,1,0)</f>
        <v>0</v>
      </c>
      <c r="F4451" s="33">
        <f>COUNTIFS(c_store,A4451,c_date,B4451,c_hour,C4451)</f>
        <v>0</v>
      </c>
      <c r="G4451" s="33">
        <f>IF(F4451&gt;0,1,0)</f>
        <v>0</v>
      </c>
      <c r="H4451" s="33">
        <f>COUNTIFS(Demand!$A$2:$A$4481,A4451,Demand!$B$2:$B$4481,B4451,Demand!$C$2:$C$4481,C4451)</f>
        <v>1</v>
      </c>
    </row>
    <row r="4452">
      <c r="A4452" s="32" t="str">
        <f>Demand!A4450</f>
        <v>S019</v>
      </c>
      <c r="B4452" s="35">
        <f>Demand!B4450</f>
        <v>46279.0</v>
      </c>
      <c r="C4452" s="33">
        <f>Demand!C4450</f>
        <v>8</v>
      </c>
      <c r="D4452" s="33">
        <f>Demand!E4450</f>
        <v>13</v>
      </c>
      <c r="E4452" s="33">
        <f>IF(Demand!F4450,1,0)</f>
        <v>0</v>
      </c>
      <c r="F4452" s="33">
        <f>COUNTIFS(c_store,A4452,c_date,B4452,c_hour,C4452)</f>
        <v>0</v>
      </c>
      <c r="G4452" s="33">
        <f>IF(F4452&gt;0,1,0)</f>
        <v>0</v>
      </c>
      <c r="H4452" s="33">
        <f>COUNTIFS(Demand!$A$2:$A$4481,A4452,Demand!$B$2:$B$4481,B4452,Demand!$C$2:$C$4481,C4452)</f>
        <v>1</v>
      </c>
    </row>
    <row r="4453">
      <c r="A4453" s="32" t="str">
        <f>Demand!A4451</f>
        <v>S019</v>
      </c>
      <c r="B4453" s="35">
        <f>Demand!B4451</f>
        <v>46279.0</v>
      </c>
      <c r="C4453" s="33">
        <f>Demand!C4451</f>
        <v>9</v>
      </c>
      <c r="D4453" s="33">
        <f>Demand!E4451</f>
        <v>16</v>
      </c>
      <c r="E4453" s="33">
        <f>IF(Demand!F4451,1,0)</f>
        <v>0</v>
      </c>
      <c r="F4453" s="33">
        <f>COUNTIFS(c_store,A4453,c_date,B4453,c_hour,C4453)</f>
        <v>2</v>
      </c>
      <c r="G4453" s="33">
        <f>IF(F4453&gt;0,1,0)</f>
        <v>1</v>
      </c>
      <c r="H4453" s="33">
        <f>COUNTIFS(Demand!$A$2:$A$4481,A4453,Demand!$B$2:$B$4481,B4453,Demand!$C$2:$C$4481,C4453)</f>
        <v>1</v>
      </c>
    </row>
    <row r="4454">
      <c r="A4454" s="32" t="str">
        <f>Demand!A4452</f>
        <v>S019</v>
      </c>
      <c r="B4454" s="35">
        <f>Demand!B4452</f>
        <v>46279.0</v>
      </c>
      <c r="C4454" s="33">
        <f>Demand!C4452</f>
        <v>10</v>
      </c>
      <c r="D4454" s="33">
        <f>Demand!E4452</f>
        <v>12</v>
      </c>
      <c r="E4454" s="33">
        <f>IF(Demand!F4452,1,0)</f>
        <v>0</v>
      </c>
      <c r="F4454" s="33">
        <f>COUNTIFS(c_store,A4454,c_date,B4454,c_hour,C4454)</f>
        <v>2</v>
      </c>
      <c r="G4454" s="33">
        <f>IF(F4454&gt;0,1,0)</f>
        <v>1</v>
      </c>
      <c r="H4454" s="33">
        <f>COUNTIFS(Demand!$A$2:$A$4481,A4454,Demand!$B$2:$B$4481,B4454,Demand!$C$2:$C$4481,C4454)</f>
        <v>1</v>
      </c>
    </row>
    <row r="4455">
      <c r="A4455" s="32" t="str">
        <f>Demand!A4453</f>
        <v>S019</v>
      </c>
      <c r="B4455" s="35">
        <f>Demand!B4453</f>
        <v>46279.0</v>
      </c>
      <c r="C4455" s="33">
        <f>Demand!C4453</f>
        <v>11</v>
      </c>
      <c r="D4455" s="33">
        <f>Demand!E4453</f>
        <v>23</v>
      </c>
      <c r="E4455" s="33">
        <f>IF(Demand!F4453,1,0)</f>
        <v>0</v>
      </c>
      <c r="F4455" s="33">
        <f>COUNTIFS(c_store,A4455,c_date,B4455,c_hour,C4455)</f>
        <v>0</v>
      </c>
      <c r="G4455" s="33">
        <f>IF(F4455&gt;0,1,0)</f>
        <v>0</v>
      </c>
      <c r="H4455" s="33">
        <f>COUNTIFS(Demand!$A$2:$A$4481,A4455,Demand!$B$2:$B$4481,B4455,Demand!$C$2:$C$4481,C4455)</f>
        <v>1</v>
      </c>
    </row>
    <row r="4456">
      <c r="A4456" s="32" t="str">
        <f>Demand!A4454</f>
        <v>S019</v>
      </c>
      <c r="B4456" s="35">
        <f>Demand!B4454</f>
        <v>46279.0</v>
      </c>
      <c r="C4456" s="33">
        <f>Demand!C4454</f>
        <v>12</v>
      </c>
      <c r="D4456" s="33">
        <f>Demand!E4454</f>
        <v>20</v>
      </c>
      <c r="E4456" s="33">
        <f>IF(Demand!F4454,1,0)</f>
        <v>0</v>
      </c>
      <c r="F4456" s="33">
        <f>COUNTIFS(c_store,A4456,c_date,B4456,c_hour,C4456)</f>
        <v>0</v>
      </c>
      <c r="G4456" s="33">
        <f>IF(F4456&gt;0,1,0)</f>
        <v>0</v>
      </c>
      <c r="H4456" s="33">
        <f>COUNTIFS(Demand!$A$2:$A$4481,A4456,Demand!$B$2:$B$4481,B4456,Demand!$C$2:$C$4481,C4456)</f>
        <v>1</v>
      </c>
    </row>
    <row r="4457">
      <c r="A4457" s="32" t="str">
        <f>Demand!A4455</f>
        <v>S019</v>
      </c>
      <c r="B4457" s="35">
        <f>Demand!B4455</f>
        <v>46279.0</v>
      </c>
      <c r="C4457" s="33">
        <f>Demand!C4455</f>
        <v>13</v>
      </c>
      <c r="D4457" s="33">
        <f>Demand!E4455</f>
        <v>27</v>
      </c>
      <c r="E4457" s="33">
        <f>IF(Demand!F4455,1,0)</f>
        <v>0</v>
      </c>
      <c r="F4457" s="33">
        <f>COUNTIFS(c_store,A4457,c_date,B4457,c_hour,C4457)</f>
        <v>0</v>
      </c>
      <c r="G4457" s="33">
        <f>IF(F4457&gt;0,1,0)</f>
        <v>0</v>
      </c>
      <c r="H4457" s="33">
        <f>COUNTIFS(Demand!$A$2:$A$4481,A4457,Demand!$B$2:$B$4481,B4457,Demand!$C$2:$C$4481,C4457)</f>
        <v>1</v>
      </c>
    </row>
    <row r="4458">
      <c r="A4458" s="32" t="str">
        <f>Demand!A4456</f>
        <v>S019</v>
      </c>
      <c r="B4458" s="35">
        <f>Demand!B4456</f>
        <v>46279.0</v>
      </c>
      <c r="C4458" s="33">
        <f>Demand!C4456</f>
        <v>14</v>
      </c>
      <c r="D4458" s="33">
        <f>Demand!E4456</f>
        <v>12</v>
      </c>
      <c r="E4458" s="33">
        <f>IF(Demand!F4456,1,0)</f>
        <v>0</v>
      </c>
      <c r="F4458" s="33">
        <f>COUNTIFS(c_store,A4458,c_date,B4458,c_hour,C4458)</f>
        <v>0</v>
      </c>
      <c r="G4458" s="33">
        <f>IF(F4458&gt;0,1,0)</f>
        <v>0</v>
      </c>
      <c r="H4458" s="33">
        <f>COUNTIFS(Demand!$A$2:$A$4481,A4458,Demand!$B$2:$B$4481,B4458,Demand!$C$2:$C$4481,C4458)</f>
        <v>1</v>
      </c>
    </row>
    <row r="4459">
      <c r="A4459" s="32" t="str">
        <f>Demand!A4457</f>
        <v>S019</v>
      </c>
      <c r="B4459" s="35">
        <f>Demand!B4457</f>
        <v>46279.0</v>
      </c>
      <c r="C4459" s="33">
        <f>Demand!C4457</f>
        <v>15</v>
      </c>
      <c r="D4459" s="33">
        <f>Demand!E4457</f>
        <v>15</v>
      </c>
      <c r="E4459" s="33">
        <f>IF(Demand!F4457,1,0)</f>
        <v>0</v>
      </c>
      <c r="F4459" s="33">
        <f>COUNTIFS(c_store,A4459,c_date,B4459,c_hour,C4459)</f>
        <v>0</v>
      </c>
      <c r="G4459" s="33">
        <f>IF(F4459&gt;0,1,0)</f>
        <v>0</v>
      </c>
      <c r="H4459" s="33">
        <f>COUNTIFS(Demand!$A$2:$A$4481,A4459,Demand!$B$2:$B$4481,B4459,Demand!$C$2:$C$4481,C4459)</f>
        <v>1</v>
      </c>
    </row>
    <row r="4460">
      <c r="A4460" s="32" t="str">
        <f>Demand!A4458</f>
        <v>S019</v>
      </c>
      <c r="B4460" s="35">
        <f>Demand!B4458</f>
        <v>46279.0</v>
      </c>
      <c r="C4460" s="33">
        <f>Demand!C4458</f>
        <v>16</v>
      </c>
      <c r="D4460" s="33">
        <f>Demand!E4458</f>
        <v>22</v>
      </c>
      <c r="E4460" s="33">
        <f>IF(Demand!F4458,1,0)</f>
        <v>0</v>
      </c>
      <c r="F4460" s="33">
        <f>COUNTIFS(c_store,A4460,c_date,B4460,c_hour,C4460)</f>
        <v>1</v>
      </c>
      <c r="G4460" s="33">
        <f>IF(F4460&gt;0,1,0)</f>
        <v>1</v>
      </c>
      <c r="H4460" s="33">
        <f>COUNTIFS(Demand!$A$2:$A$4481,A4460,Demand!$B$2:$B$4481,B4460,Demand!$C$2:$C$4481,C4460)</f>
        <v>1</v>
      </c>
    </row>
    <row r="4461">
      <c r="A4461" s="32" t="str">
        <f>Demand!A4459</f>
        <v>S019</v>
      </c>
      <c r="B4461" s="35">
        <f>Demand!B4459</f>
        <v>46279.0</v>
      </c>
      <c r="C4461" s="33">
        <f>Demand!C4459</f>
        <v>17</v>
      </c>
      <c r="D4461" s="33">
        <f>Demand!E4459</f>
        <v>24</v>
      </c>
      <c r="E4461" s="33">
        <f>IF(Demand!F4459,1,0)</f>
        <v>0</v>
      </c>
      <c r="F4461" s="33">
        <f>COUNTIFS(c_store,A4461,c_date,B4461,c_hour,C4461)</f>
        <v>0</v>
      </c>
      <c r="G4461" s="33">
        <f>IF(F4461&gt;0,1,0)</f>
        <v>0</v>
      </c>
      <c r="H4461" s="33">
        <f>COUNTIFS(Demand!$A$2:$A$4481,A4461,Demand!$B$2:$B$4481,B4461,Demand!$C$2:$C$4481,C4461)</f>
        <v>1</v>
      </c>
    </row>
    <row r="4462">
      <c r="A4462" s="32" t="str">
        <f>Demand!A4460</f>
        <v>S019</v>
      </c>
      <c r="B4462" s="35">
        <f>Demand!B4460</f>
        <v>46279.0</v>
      </c>
      <c r="C4462" s="33">
        <f>Demand!C4460</f>
        <v>18</v>
      </c>
      <c r="D4462" s="33">
        <f>Demand!E4460</f>
        <v>24</v>
      </c>
      <c r="E4462" s="33">
        <f>IF(Demand!F4460,1,0)</f>
        <v>0</v>
      </c>
      <c r="F4462" s="33">
        <f>COUNTIFS(c_store,A4462,c_date,B4462,c_hour,C4462)</f>
        <v>0</v>
      </c>
      <c r="G4462" s="33">
        <f>IF(F4462&gt;0,1,0)</f>
        <v>0</v>
      </c>
      <c r="H4462" s="33">
        <f>COUNTIFS(Demand!$A$2:$A$4481,A4462,Demand!$B$2:$B$4481,B4462,Demand!$C$2:$C$4481,C4462)</f>
        <v>1</v>
      </c>
    </row>
    <row r="4463">
      <c r="A4463" s="32" t="str">
        <f>Demand!A4461</f>
        <v>S019</v>
      </c>
      <c r="B4463" s="35">
        <f>Demand!B4461</f>
        <v>46279.0</v>
      </c>
      <c r="C4463" s="33">
        <f>Demand!C4461</f>
        <v>19</v>
      </c>
      <c r="D4463" s="33">
        <f>Demand!E4461</f>
        <v>33</v>
      </c>
      <c r="E4463" s="33">
        <f>IF(Demand!F4461,1,0)</f>
        <v>1</v>
      </c>
      <c r="F4463" s="33">
        <f>COUNTIFS(c_store,A4463,c_date,B4463,c_hour,C4463)</f>
        <v>0</v>
      </c>
      <c r="G4463" s="33">
        <f>IF(F4463&gt;0,1,0)</f>
        <v>0</v>
      </c>
      <c r="H4463" s="33">
        <f>COUNTIFS(Demand!$A$2:$A$4481,A4463,Demand!$B$2:$B$4481,B4463,Demand!$C$2:$C$4481,C4463)</f>
        <v>1</v>
      </c>
    </row>
    <row r="4464">
      <c r="A4464" s="32" t="str">
        <f>Demand!A4462</f>
        <v>S019</v>
      </c>
      <c r="B4464" s="35">
        <f>Demand!B4462</f>
        <v>46279.0</v>
      </c>
      <c r="C4464" s="33">
        <f>Demand!C4462</f>
        <v>20</v>
      </c>
      <c r="D4464" s="33">
        <f>Demand!E4462</f>
        <v>32</v>
      </c>
      <c r="E4464" s="33">
        <f>IF(Demand!F4462,1,0)</f>
        <v>1</v>
      </c>
      <c r="F4464" s="33">
        <f>COUNTIFS(c_store,A4464,c_date,B4464,c_hour,C4464)</f>
        <v>1</v>
      </c>
      <c r="G4464" s="33">
        <f>IF(F4464&gt;0,1,0)</f>
        <v>1</v>
      </c>
      <c r="H4464" s="33">
        <f>COUNTIFS(Demand!$A$2:$A$4481,A4464,Demand!$B$2:$B$4481,B4464,Demand!$C$2:$C$4481,C4464)</f>
        <v>1</v>
      </c>
    </row>
    <row r="4465">
      <c r="A4465" s="32" t="str">
        <f>Demand!A4463</f>
        <v>S019</v>
      </c>
      <c r="B4465" s="35">
        <f>Demand!B4463</f>
        <v>46279.0</v>
      </c>
      <c r="C4465" s="33">
        <f>Demand!C4463</f>
        <v>21</v>
      </c>
      <c r="D4465" s="33">
        <f>Demand!E4463</f>
        <v>28</v>
      </c>
      <c r="E4465" s="33">
        <f>IF(Demand!F4463,1,0)</f>
        <v>1</v>
      </c>
      <c r="F4465" s="33">
        <f>COUNTIFS(c_store,A4465,c_date,B4465,c_hour,C4465)</f>
        <v>1</v>
      </c>
      <c r="G4465" s="33">
        <f>IF(F4465&gt;0,1,0)</f>
        <v>1</v>
      </c>
      <c r="H4465" s="33">
        <f>COUNTIFS(Demand!$A$2:$A$4481,A4465,Demand!$B$2:$B$4481,B4465,Demand!$C$2:$C$4481,C4465)</f>
        <v>1</v>
      </c>
    </row>
    <row r="4466">
      <c r="A4466" s="32" t="str">
        <f>Demand!A4464</f>
        <v>S019</v>
      </c>
      <c r="B4466" s="35">
        <f>Demand!B4464</f>
        <v>46279.0</v>
      </c>
      <c r="C4466" s="33">
        <f>Demand!C4464</f>
        <v>22</v>
      </c>
      <c r="D4466" s="33">
        <f>Demand!E4464</f>
        <v>19</v>
      </c>
      <c r="E4466" s="33">
        <f>IF(Demand!F4464,1,0)</f>
        <v>0</v>
      </c>
      <c r="F4466" s="33">
        <f>COUNTIFS(c_store,A4466,c_date,B4466,c_hour,C4466)</f>
        <v>1</v>
      </c>
      <c r="G4466" s="33">
        <f>IF(F4466&gt;0,1,0)</f>
        <v>1</v>
      </c>
      <c r="H4466" s="33">
        <f>COUNTIFS(Demand!$A$2:$A$4481,A4466,Demand!$B$2:$B$4481,B4466,Demand!$C$2:$C$4481,C4466)</f>
        <v>1</v>
      </c>
    </row>
    <row r="4467">
      <c r="A4467" s="32" t="str">
        <f>Demand!A4465</f>
        <v>S019</v>
      </c>
      <c r="B4467" s="35">
        <f>Demand!B4465</f>
        <v>46279.0</v>
      </c>
      <c r="C4467" s="33">
        <f>Demand!C4465</f>
        <v>23</v>
      </c>
      <c r="D4467" s="33">
        <f>Demand!E4465</f>
        <v>14</v>
      </c>
      <c r="E4467" s="33">
        <f>IF(Demand!F4465,1,0)</f>
        <v>0</v>
      </c>
      <c r="F4467" s="33">
        <f>COUNTIFS(c_store,A4467,c_date,B4467,c_hour,C4467)</f>
        <v>0</v>
      </c>
      <c r="G4467" s="33">
        <f>IF(F4467&gt;0,1,0)</f>
        <v>0</v>
      </c>
      <c r="H4467" s="33">
        <f>COUNTIFS(Demand!$A$2:$A$4481,A4467,Demand!$B$2:$B$4481,B4467,Demand!$C$2:$C$4481,C4467)</f>
        <v>1</v>
      </c>
    </row>
    <row r="4468">
      <c r="A4468" s="32" t="str">
        <f>Demand!A4466</f>
        <v>S020</v>
      </c>
      <c r="B4468" s="35">
        <f>Demand!B4466</f>
        <v>46279.0</v>
      </c>
      <c r="C4468" s="33">
        <f>Demand!C4466</f>
        <v>8</v>
      </c>
      <c r="D4468" s="33">
        <f>Demand!E4466</f>
        <v>14</v>
      </c>
      <c r="E4468" s="33">
        <f>IF(Demand!F4466,1,0)</f>
        <v>0</v>
      </c>
      <c r="F4468" s="33">
        <f>COUNTIFS(c_store,A4468,c_date,B4468,c_hour,C4468)</f>
        <v>0</v>
      </c>
      <c r="G4468" s="33">
        <f>IF(F4468&gt;0,1,0)</f>
        <v>0</v>
      </c>
      <c r="H4468" s="33">
        <f>COUNTIFS(Demand!$A$2:$A$4481,A4468,Demand!$B$2:$B$4481,B4468,Demand!$C$2:$C$4481,C4468)</f>
        <v>1</v>
      </c>
    </row>
    <row r="4469">
      <c r="A4469" s="32" t="str">
        <f>Demand!A4467</f>
        <v>S020</v>
      </c>
      <c r="B4469" s="35">
        <f>Demand!B4467</f>
        <v>46279.0</v>
      </c>
      <c r="C4469" s="33">
        <f>Demand!C4467</f>
        <v>9</v>
      </c>
      <c r="D4469" s="33">
        <f>Demand!E4467</f>
        <v>12</v>
      </c>
      <c r="E4469" s="33">
        <f>IF(Demand!F4467,1,0)</f>
        <v>0</v>
      </c>
      <c r="F4469" s="33">
        <f>COUNTIFS(c_store,A4469,c_date,B4469,c_hour,C4469)</f>
        <v>1</v>
      </c>
      <c r="G4469" s="33">
        <f>IF(F4469&gt;0,1,0)</f>
        <v>1</v>
      </c>
      <c r="H4469" s="33">
        <f>COUNTIFS(Demand!$A$2:$A$4481,A4469,Demand!$B$2:$B$4481,B4469,Demand!$C$2:$C$4481,C4469)</f>
        <v>1</v>
      </c>
    </row>
    <row r="4470">
      <c r="A4470" s="32" t="str">
        <f>Demand!A4468</f>
        <v>S020</v>
      </c>
      <c r="B4470" s="35">
        <f>Demand!B4468</f>
        <v>46279.0</v>
      </c>
      <c r="C4470" s="33">
        <f>Demand!C4468</f>
        <v>10</v>
      </c>
      <c r="D4470" s="33">
        <f>Demand!E4468</f>
        <v>13</v>
      </c>
      <c r="E4470" s="33">
        <f>IF(Demand!F4468,1,0)</f>
        <v>0</v>
      </c>
      <c r="F4470" s="33">
        <f>COUNTIFS(c_store,A4470,c_date,B4470,c_hour,C4470)</f>
        <v>0</v>
      </c>
      <c r="G4470" s="33">
        <f>IF(F4470&gt;0,1,0)</f>
        <v>0</v>
      </c>
      <c r="H4470" s="33">
        <f>COUNTIFS(Demand!$A$2:$A$4481,A4470,Demand!$B$2:$B$4481,B4470,Demand!$C$2:$C$4481,C4470)</f>
        <v>1</v>
      </c>
    </row>
    <row r="4471">
      <c r="A4471" s="32" t="str">
        <f>Demand!A4469</f>
        <v>S020</v>
      </c>
      <c r="B4471" s="35">
        <f>Demand!B4469</f>
        <v>46279.0</v>
      </c>
      <c r="C4471" s="33">
        <f>Demand!C4469</f>
        <v>11</v>
      </c>
      <c r="D4471" s="33">
        <f>Demand!E4469</f>
        <v>16</v>
      </c>
      <c r="E4471" s="33">
        <f>IF(Demand!F4469,1,0)</f>
        <v>0</v>
      </c>
      <c r="F4471" s="33">
        <f>COUNTIFS(c_store,A4471,c_date,B4471,c_hour,C4471)</f>
        <v>0</v>
      </c>
      <c r="G4471" s="33">
        <f>IF(F4471&gt;0,1,0)</f>
        <v>0</v>
      </c>
      <c r="H4471" s="33">
        <f>COUNTIFS(Demand!$A$2:$A$4481,A4471,Demand!$B$2:$B$4481,B4471,Demand!$C$2:$C$4481,C4471)</f>
        <v>1</v>
      </c>
    </row>
    <row r="4472">
      <c r="A4472" s="32" t="str">
        <f>Demand!A4470</f>
        <v>S020</v>
      </c>
      <c r="B4472" s="35">
        <f>Demand!B4470</f>
        <v>46279.0</v>
      </c>
      <c r="C4472" s="33">
        <f>Demand!C4470</f>
        <v>12</v>
      </c>
      <c r="D4472" s="33">
        <f>Demand!E4470</f>
        <v>15</v>
      </c>
      <c r="E4472" s="33">
        <f>IF(Demand!F4470,1,0)</f>
        <v>0</v>
      </c>
      <c r="F4472" s="33">
        <f>COUNTIFS(c_store,A4472,c_date,B4472,c_hour,C4472)</f>
        <v>0</v>
      </c>
      <c r="G4472" s="33">
        <f>IF(F4472&gt;0,1,0)</f>
        <v>0</v>
      </c>
      <c r="H4472" s="33">
        <f>COUNTIFS(Demand!$A$2:$A$4481,A4472,Demand!$B$2:$B$4481,B4472,Demand!$C$2:$C$4481,C4472)</f>
        <v>1</v>
      </c>
    </row>
    <row r="4473">
      <c r="A4473" s="32" t="str">
        <f>Demand!A4471</f>
        <v>S020</v>
      </c>
      <c r="B4473" s="35">
        <f>Demand!B4471</f>
        <v>46279.0</v>
      </c>
      <c r="C4473" s="33">
        <f>Demand!C4471</f>
        <v>13</v>
      </c>
      <c r="D4473" s="33">
        <f>Demand!E4471</f>
        <v>13</v>
      </c>
      <c r="E4473" s="33">
        <f>IF(Demand!F4471,1,0)</f>
        <v>0</v>
      </c>
      <c r="F4473" s="33">
        <f>COUNTIFS(c_store,A4473,c_date,B4473,c_hour,C4473)</f>
        <v>0</v>
      </c>
      <c r="G4473" s="33">
        <f>IF(F4473&gt;0,1,0)</f>
        <v>0</v>
      </c>
      <c r="H4473" s="33">
        <f>COUNTIFS(Demand!$A$2:$A$4481,A4473,Demand!$B$2:$B$4481,B4473,Demand!$C$2:$C$4481,C4473)</f>
        <v>1</v>
      </c>
    </row>
    <row r="4474">
      <c r="A4474" s="32" t="str">
        <f>Demand!A4472</f>
        <v>S020</v>
      </c>
      <c r="B4474" s="35">
        <f>Demand!B4472</f>
        <v>46279.0</v>
      </c>
      <c r="C4474" s="33">
        <f>Demand!C4472</f>
        <v>14</v>
      </c>
      <c r="D4474" s="33">
        <f>Demand!E4472</f>
        <v>12</v>
      </c>
      <c r="E4474" s="33">
        <f>IF(Demand!F4472,1,0)</f>
        <v>0</v>
      </c>
      <c r="F4474" s="33">
        <f>COUNTIFS(c_store,A4474,c_date,B4474,c_hour,C4474)</f>
        <v>0</v>
      </c>
      <c r="G4474" s="33">
        <f>IF(F4474&gt;0,1,0)</f>
        <v>0</v>
      </c>
      <c r="H4474" s="33">
        <f>COUNTIFS(Demand!$A$2:$A$4481,A4474,Demand!$B$2:$B$4481,B4474,Demand!$C$2:$C$4481,C4474)</f>
        <v>1</v>
      </c>
    </row>
    <row r="4475">
      <c r="A4475" s="32" t="str">
        <f>Demand!A4473</f>
        <v>S020</v>
      </c>
      <c r="B4475" s="35">
        <f>Demand!B4473</f>
        <v>46279.0</v>
      </c>
      <c r="C4475" s="33">
        <f>Demand!C4473</f>
        <v>15</v>
      </c>
      <c r="D4475" s="33">
        <f>Demand!E4473</f>
        <v>10</v>
      </c>
      <c r="E4475" s="33">
        <f>IF(Demand!F4473,1,0)</f>
        <v>0</v>
      </c>
      <c r="F4475" s="33">
        <f>COUNTIFS(c_store,A4475,c_date,B4475,c_hour,C4475)</f>
        <v>0</v>
      </c>
      <c r="G4475" s="33">
        <f>IF(F4475&gt;0,1,0)</f>
        <v>0</v>
      </c>
      <c r="H4475" s="33">
        <f>COUNTIFS(Demand!$A$2:$A$4481,A4475,Demand!$B$2:$B$4481,B4475,Demand!$C$2:$C$4481,C4475)</f>
        <v>1</v>
      </c>
    </row>
    <row r="4476">
      <c r="A4476" s="32" t="str">
        <f>Demand!A4474</f>
        <v>S020</v>
      </c>
      <c r="B4476" s="35">
        <f>Demand!B4474</f>
        <v>46279.0</v>
      </c>
      <c r="C4476" s="33">
        <f>Demand!C4474</f>
        <v>16</v>
      </c>
      <c r="D4476" s="33">
        <f>Demand!E4474</f>
        <v>16</v>
      </c>
      <c r="E4476" s="33">
        <f>IF(Demand!F4474,1,0)</f>
        <v>0</v>
      </c>
      <c r="F4476" s="33">
        <f>COUNTIFS(c_store,A4476,c_date,B4476,c_hour,C4476)</f>
        <v>0</v>
      </c>
      <c r="G4476" s="33">
        <f>IF(F4476&gt;0,1,0)</f>
        <v>0</v>
      </c>
      <c r="H4476" s="33">
        <f>COUNTIFS(Demand!$A$2:$A$4481,A4476,Demand!$B$2:$B$4481,B4476,Demand!$C$2:$C$4481,C4476)</f>
        <v>1</v>
      </c>
    </row>
    <row r="4477">
      <c r="A4477" s="32" t="str">
        <f>Demand!A4475</f>
        <v>S020</v>
      </c>
      <c r="B4477" s="35">
        <f>Demand!B4475</f>
        <v>46279.0</v>
      </c>
      <c r="C4477" s="33">
        <f>Demand!C4475</f>
        <v>17</v>
      </c>
      <c r="D4477" s="33">
        <f>Demand!E4475</f>
        <v>15</v>
      </c>
      <c r="E4477" s="33">
        <f>IF(Demand!F4475,1,0)</f>
        <v>0</v>
      </c>
      <c r="F4477" s="33">
        <f>COUNTIFS(c_store,A4477,c_date,B4477,c_hour,C4477)</f>
        <v>1</v>
      </c>
      <c r="G4477" s="33">
        <f>IF(F4477&gt;0,1,0)</f>
        <v>1</v>
      </c>
      <c r="H4477" s="33">
        <f>COUNTIFS(Demand!$A$2:$A$4481,A4477,Demand!$B$2:$B$4481,B4477,Demand!$C$2:$C$4481,C4477)</f>
        <v>1</v>
      </c>
    </row>
    <row r="4478">
      <c r="A4478" s="32" t="str">
        <f>Demand!A4476</f>
        <v>S020</v>
      </c>
      <c r="B4478" s="35">
        <f>Demand!B4476</f>
        <v>46279.0</v>
      </c>
      <c r="C4478" s="33">
        <f>Demand!C4476</f>
        <v>18</v>
      </c>
      <c r="D4478" s="33">
        <f>Demand!E4476</f>
        <v>20</v>
      </c>
      <c r="E4478" s="33">
        <f>IF(Demand!F4476,1,0)</f>
        <v>0</v>
      </c>
      <c r="F4478" s="33">
        <f>COUNTIFS(c_store,A4478,c_date,B4478,c_hour,C4478)</f>
        <v>0</v>
      </c>
      <c r="G4478" s="33">
        <f>IF(F4478&gt;0,1,0)</f>
        <v>0</v>
      </c>
      <c r="H4478" s="33">
        <f>COUNTIFS(Demand!$A$2:$A$4481,A4478,Demand!$B$2:$B$4481,B4478,Demand!$C$2:$C$4481,C4478)</f>
        <v>1</v>
      </c>
    </row>
    <row r="4479">
      <c r="A4479" s="32" t="str">
        <f>Demand!A4477</f>
        <v>S020</v>
      </c>
      <c r="B4479" s="35">
        <f>Demand!B4477</f>
        <v>46279.0</v>
      </c>
      <c r="C4479" s="33">
        <f>Demand!C4477</f>
        <v>19</v>
      </c>
      <c r="D4479" s="33">
        <f>Demand!E4477</f>
        <v>24</v>
      </c>
      <c r="E4479" s="33">
        <f>IF(Demand!F4477,1,0)</f>
        <v>1</v>
      </c>
      <c r="F4479" s="33">
        <f>COUNTIFS(c_store,A4479,c_date,B4479,c_hour,C4479)</f>
        <v>1</v>
      </c>
      <c r="G4479" s="33">
        <f>IF(F4479&gt;0,1,0)</f>
        <v>1</v>
      </c>
      <c r="H4479" s="33">
        <f>COUNTIFS(Demand!$A$2:$A$4481,A4479,Demand!$B$2:$B$4481,B4479,Demand!$C$2:$C$4481,C4479)</f>
        <v>1</v>
      </c>
    </row>
    <row r="4480">
      <c r="A4480" s="32" t="str">
        <f>Demand!A4478</f>
        <v>S020</v>
      </c>
      <c r="B4480" s="35">
        <f>Demand!B4478</f>
        <v>46279.0</v>
      </c>
      <c r="C4480" s="33">
        <f>Demand!C4478</f>
        <v>20</v>
      </c>
      <c r="D4480" s="33">
        <f>Demand!E4478</f>
        <v>17</v>
      </c>
      <c r="E4480" s="33">
        <f>IF(Demand!F4478,1,0)</f>
        <v>1</v>
      </c>
      <c r="F4480" s="33">
        <f>COUNTIFS(c_store,A4480,c_date,B4480,c_hour,C4480)</f>
        <v>0</v>
      </c>
      <c r="G4480" s="33">
        <f>IF(F4480&gt;0,1,0)</f>
        <v>0</v>
      </c>
      <c r="H4480" s="33">
        <f>COUNTIFS(Demand!$A$2:$A$4481,A4480,Demand!$B$2:$B$4481,B4480,Demand!$C$2:$C$4481,C4480)</f>
        <v>1</v>
      </c>
    </row>
    <row r="4481">
      <c r="A4481" s="32" t="str">
        <f>Demand!A4479</f>
        <v>S020</v>
      </c>
      <c r="B4481" s="35">
        <f>Demand!B4479</f>
        <v>46279.0</v>
      </c>
      <c r="C4481" s="33">
        <f>Demand!C4479</f>
        <v>21</v>
      </c>
      <c r="D4481" s="33">
        <f>Demand!E4479</f>
        <v>21</v>
      </c>
      <c r="E4481" s="33">
        <f>IF(Demand!F4479,1,0)</f>
        <v>1</v>
      </c>
      <c r="F4481" s="33">
        <f>COUNTIFS(c_store,A4481,c_date,B4481,c_hour,C4481)</f>
        <v>2</v>
      </c>
      <c r="G4481" s="33">
        <f>IF(F4481&gt;0,1,0)</f>
        <v>1</v>
      </c>
      <c r="H4481" s="33">
        <f>COUNTIFS(Demand!$A$2:$A$4481,A4481,Demand!$B$2:$B$4481,B4481,Demand!$C$2:$C$4481,C4481)</f>
        <v>1</v>
      </c>
    </row>
    <row r="4482">
      <c r="A4482" s="32" t="str">
        <f>Demand!A4480</f>
        <v>S020</v>
      </c>
      <c r="B4482" s="35">
        <f>Demand!B4480</f>
        <v>46279.0</v>
      </c>
      <c r="C4482" s="33">
        <f>Demand!C4480</f>
        <v>22</v>
      </c>
      <c r="D4482" s="33">
        <f>Demand!E4480</f>
        <v>17</v>
      </c>
      <c r="E4482" s="33">
        <f>IF(Demand!F4480,1,0)</f>
        <v>0</v>
      </c>
      <c r="F4482" s="33">
        <f>COUNTIFS(c_store,A4482,c_date,B4482,c_hour,C4482)</f>
        <v>0</v>
      </c>
      <c r="G4482" s="33">
        <f>IF(F4482&gt;0,1,0)</f>
        <v>0</v>
      </c>
      <c r="H4482" s="33">
        <f>COUNTIFS(Demand!$A$2:$A$4481,A4482,Demand!$B$2:$B$4481,B4482,Demand!$C$2:$C$4481,C4482)</f>
        <v>1</v>
      </c>
    </row>
    <row r="4483">
      <c r="A4483" s="32" t="str">
        <f>Demand!A4481</f>
        <v>S020</v>
      </c>
      <c r="B4483" s="35">
        <f>Demand!B4481</f>
        <v>46279.0</v>
      </c>
      <c r="C4483" s="33">
        <f>Demand!C4481</f>
        <v>23</v>
      </c>
      <c r="D4483" s="33">
        <f>Demand!E4481</f>
        <v>9</v>
      </c>
      <c r="E4483" s="33">
        <f>IF(Demand!F4481,1,0)</f>
        <v>0</v>
      </c>
      <c r="F4483" s="33">
        <f>COUNTIFS(c_store,A4483,c_date,B4483,c_hour,C4483)</f>
        <v>0</v>
      </c>
      <c r="G4483" s="33">
        <f>IF(F4483&gt;0,1,0)</f>
        <v>0</v>
      </c>
      <c r="H4483" s="33">
        <f>COUNTIFS(Demand!$A$2:$A$4481,A4483,Demand!$B$2:$B$4481,B4483,Demand!$C$2:$C$4481,C4483)</f>
        <v>1</v>
      </c>
    </row>
  </sheetData>
  <autoFilter ref="A3:H448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3"/>
  <sheetViews>
    <sheetView tabSelected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9" customWidth="1" min="4" max="4"/>
    <col width="9" customWidth="1" min="5" max="5"/>
    <col width="10" customWidth="1" min="6" max="6"/>
    <col width="9" customWidth="1" min="7" max="7"/>
    <col width="10" customWidth="1" min="8" max="8"/>
    <col width="9" customWidth="1" min="9" max="9"/>
    <col width="11" customWidth="1" min="10" max="10"/>
    <col width="9" customWidth="1" min="11" max="11"/>
    <col width="12" customWidth="1" min="12" max="12"/>
    <col width="10" customWidth="1" min="13" max="13"/>
  </cols>
  <sheetData>
    <row r="1" ht="26" customHeight="1">
      <c r="A1" s="4" t="inlineStr">
        <is>
          <t>Store_Summary: one row per store</t>
        </is>
      </c>
    </row>
    <row r="2" ht="18" customHeight="1">
      <c r="A2" s="5" t="inlineStr">
        <is>
          <t>Store attributes come from Stores; delivered and late counts are recalculated from Orders (via Calc_Orders). Median picking time is in M2.</t>
        </is>
      </c>
      <c r="L2" s="37" t="inlineStr">
        <is>
          <t>Median avg picking (20 stores):</t>
        </is>
      </c>
      <c r="M2" s="26">
        <f>MEDIAN(F4:F23)</f>
        <v>4.94</v>
      </c>
    </row>
    <row r="3" ht="32" customHeight="1">
      <c r="A3" s="6" t="inlineStr">
        <is>
          <t>store_id</t>
        </is>
      </c>
      <c r="B3" s="6" t="inlineStr">
        <is>
          <t>city</t>
        </is>
      </c>
      <c r="C3" s="6" t="inlineStr">
        <is>
          <t>Delivered (recalc.)</t>
        </is>
      </c>
      <c r="D3" s="6" t="inlineStr">
        <is>
          <t>Late (recalc.)</t>
        </is>
      </c>
      <c r="E3" s="6" t="inlineStr">
        <is>
          <t>Late rate</t>
        </is>
      </c>
      <c r="F3" s="6" t="inlineStr">
        <is>
          <t>Avg picking (min)</t>
        </is>
      </c>
      <c r="G3" s="6" t="inlineStr">
        <is>
          <t>Staff per shift</t>
        </is>
      </c>
      <c r="H3" s="6" t="inlineStr">
        <is>
          <t>Item availability</t>
        </is>
      </c>
      <c r="I3" s="6" t="inlineStr">
        <is>
          <t>Age (days)</t>
        </is>
      </c>
      <c r="J3" s="6" t="inlineStr">
        <is>
          <t>Slower-picking store (1/0)</t>
        </is>
      </c>
      <c r="K3" s="6" t="inlineStr">
        <is>
          <t>New store (1/0)</t>
        </is>
      </c>
      <c r="L3" s="6" t="inlineStr">
        <is>
          <t>Matches Stores summary (1/0)</t>
        </is>
      </c>
    </row>
    <row r="4">
      <c r="A4" s="38" t="str">
        <f>Stores!A2</f>
        <v>S001</v>
      </c>
      <c r="B4" s="38" t="str">
        <f>Stores!B2</f>
        <v>Bengaluru</v>
      </c>
      <c r="C4" s="19">
        <f>COUNTIFS(c_store,A4,c_deliv,1)</f>
        <v>64</v>
      </c>
      <c r="D4" s="19">
        <f>COUNTIFS(c_store,A4,c_late,1)</f>
        <v>11</v>
      </c>
      <c r="E4" s="30">
        <f>IF(C4=0,"",D4/C4)</f>
        <v>0.171875</v>
      </c>
      <c r="F4" s="22">
        <f>Stores!F2</f>
        <v>4.59</v>
      </c>
      <c r="G4" s="19">
        <f>Stores!D2</f>
        <v>6</v>
      </c>
      <c r="H4" s="30">
        <f>Stores!E2</f>
        <v>0.927</v>
      </c>
      <c r="I4" s="19">
        <f>Stores!C2</f>
        <v>362</v>
      </c>
      <c r="J4" s="19">
        <f>IF(F4&gt;$M$2,1,0)</f>
        <v>0</v>
      </c>
      <c r="K4" s="19">
        <f>IF(I4&lt;180,1,0)</f>
        <v>0</v>
      </c>
      <c r="L4" s="19">
        <f>IF(AND(C4=Stores!I2,D4=Stores!K2),1,0)</f>
        <v>1</v>
      </c>
    </row>
    <row r="5">
      <c r="A5" s="38" t="str">
        <f>Stores!A3</f>
        <v>S002</v>
      </c>
      <c r="B5" s="38" t="str">
        <f>Stores!B3</f>
        <v>Hyderabad</v>
      </c>
      <c r="C5" s="19">
        <f>COUNTIFS(c_store,A5,c_deliv,1)</f>
        <v>80</v>
      </c>
      <c r="D5" s="19">
        <f>COUNTIFS(c_store,A5,c_late,1)</f>
        <v>21</v>
      </c>
      <c r="E5" s="30">
        <f>IF(C5=0,"",D5/C5)</f>
        <v>0.2625</v>
      </c>
      <c r="F5" s="22">
        <f>Stores!F3</f>
        <v>2.39</v>
      </c>
      <c r="G5" s="19">
        <f>Stores!D3</f>
        <v>9</v>
      </c>
      <c r="H5" s="30">
        <f>Stores!E3</f>
        <v>0.981</v>
      </c>
      <c r="I5" s="19">
        <f>Stores!C3</f>
        <v>470</v>
      </c>
      <c r="J5" s="19">
        <f>IF(F5&gt;$M$2,1,0)</f>
        <v>0</v>
      </c>
      <c r="K5" s="19">
        <f>IF(I5&lt;180,1,0)</f>
        <v>0</v>
      </c>
      <c r="L5" s="19">
        <f>IF(AND(C5=Stores!I3,D5=Stores!K3),1,0)</f>
        <v>1</v>
      </c>
    </row>
    <row r="6">
      <c r="A6" s="38" t="str">
        <f>Stores!A4</f>
        <v>S003</v>
      </c>
      <c r="B6" s="38" t="str">
        <f>Stores!B4</f>
        <v>Mumbai</v>
      </c>
      <c r="C6" s="19">
        <f>COUNTIFS(c_store,A6,c_deliv,1)</f>
        <v>83</v>
      </c>
      <c r="D6" s="19">
        <f>COUNTIFS(c_store,A6,c_late,1)</f>
        <v>20</v>
      </c>
      <c r="E6" s="30">
        <f>IF(C6=0,"",D6/C6)</f>
        <v>0.240963855421687</v>
      </c>
      <c r="F6" s="22">
        <f>Stores!F4</f>
        <v>3.84</v>
      </c>
      <c r="G6" s="19">
        <f>Stores!D4</f>
        <v>11</v>
      </c>
      <c r="H6" s="30">
        <f>Stores!E4</f>
        <v>0.962</v>
      </c>
      <c r="I6" s="19">
        <f>Stores!C4</f>
        <v>426</v>
      </c>
      <c r="J6" s="19">
        <f>IF(F6&gt;$M$2,1,0)</f>
        <v>0</v>
      </c>
      <c r="K6" s="19">
        <f>IF(I6&lt;180,1,0)</f>
        <v>0</v>
      </c>
      <c r="L6" s="19">
        <f>IF(AND(C6=Stores!I4,D6=Stores!K4),1,0)</f>
        <v>1</v>
      </c>
    </row>
    <row r="7">
      <c r="A7" s="38" t="str">
        <f>Stores!A5</f>
        <v>S004</v>
      </c>
      <c r="B7" s="38" t="str">
        <f>Stores!B5</f>
        <v>Pune</v>
      </c>
      <c r="C7" s="19">
        <f>COUNTIFS(c_store,A7,c_deliv,1)</f>
        <v>70</v>
      </c>
      <c r="D7" s="19">
        <f>COUNTIFS(c_store,A7,c_late,1)</f>
        <v>11</v>
      </c>
      <c r="E7" s="30">
        <f>IF(C7=0,"",D7/C7)</f>
        <v>0.157142857142857</v>
      </c>
      <c r="F7" s="22">
        <f>Stores!F5</f>
        <v>2.19</v>
      </c>
      <c r="G7" s="19">
        <f>Stores!D5</f>
        <v>9</v>
      </c>
      <c r="H7" s="30">
        <f>Stores!E5</f>
        <v>0.949</v>
      </c>
      <c r="I7" s="19">
        <f>Stores!C5</f>
        <v>850</v>
      </c>
      <c r="J7" s="19">
        <f>IF(F7&gt;$M$2,1,0)</f>
        <v>0</v>
      </c>
      <c r="K7" s="19">
        <f>IF(I7&lt;180,1,0)</f>
        <v>0</v>
      </c>
      <c r="L7" s="19">
        <f>IF(AND(C7=Stores!I5,D7=Stores!K5),1,0)</f>
        <v>1</v>
      </c>
    </row>
    <row r="8">
      <c r="A8" s="38" t="str">
        <f>Stores!A6</f>
        <v>S005</v>
      </c>
      <c r="B8" s="38" t="str">
        <f>Stores!B6</f>
        <v>Delhi</v>
      </c>
      <c r="C8" s="19">
        <f>COUNTIFS(c_store,A8,c_deliv,1)</f>
        <v>76</v>
      </c>
      <c r="D8" s="19">
        <f>COUNTIFS(c_store,A8,c_late,1)</f>
        <v>23</v>
      </c>
      <c r="E8" s="30">
        <f>IF(C8=0,"",D8/C8)</f>
        <v>0.302631578947368</v>
      </c>
      <c r="F8" s="22">
        <f>Stores!F6</f>
        <v>4.89</v>
      </c>
      <c r="G8" s="19">
        <f>Stores!D6</f>
        <v>7</v>
      </c>
      <c r="H8" s="30">
        <f>Stores!E6</f>
        <v>0.9</v>
      </c>
      <c r="I8" s="19">
        <f>Stores!C6</f>
        <v>138</v>
      </c>
      <c r="J8" s="19">
        <f>IF(F8&gt;$M$2,1,0)</f>
        <v>0</v>
      </c>
      <c r="K8" s="19">
        <f>IF(I8&lt;180,1,0)</f>
        <v>1</v>
      </c>
      <c r="L8" s="19">
        <f>IF(AND(C8=Stores!I6,D8=Stores!K6),1,0)</f>
        <v>1</v>
      </c>
    </row>
    <row r="9">
      <c r="A9" s="38" t="str">
        <f>Stores!A7</f>
        <v>S006</v>
      </c>
      <c r="B9" s="38" t="str">
        <f>Stores!B7</f>
        <v>Bengaluru</v>
      </c>
      <c r="C9" s="19">
        <f>COUNTIFS(c_store,A9,c_deliv,1)</f>
        <v>58</v>
      </c>
      <c r="D9" s="19">
        <f>COUNTIFS(c_store,A9,c_late,1)</f>
        <v>15</v>
      </c>
      <c r="E9" s="30">
        <f>IF(C9=0,"",D9/C9)</f>
        <v>0.258620689655172</v>
      </c>
      <c r="F9" s="22">
        <f>Stores!F7</f>
        <v>5.22</v>
      </c>
      <c r="G9" s="19">
        <f>Stores!D7</f>
        <v>11</v>
      </c>
      <c r="H9" s="30">
        <f>Stores!E7</f>
        <v>0.886</v>
      </c>
      <c r="I9" s="19">
        <f>Stores!C7</f>
        <v>412</v>
      </c>
      <c r="J9" s="19">
        <f>IF(F9&gt;$M$2,1,0)</f>
        <v>1</v>
      </c>
      <c r="K9" s="19">
        <f>IF(I9&lt;180,1,0)</f>
        <v>0</v>
      </c>
      <c r="L9" s="19">
        <f>IF(AND(C9=Stores!I7,D9=Stores!K7),1,0)</f>
        <v>1</v>
      </c>
    </row>
    <row r="10">
      <c r="A10" s="38" t="str">
        <f>Stores!A8</f>
        <v>S007</v>
      </c>
      <c r="B10" s="38" t="str">
        <f>Stores!B8</f>
        <v>Hyderabad</v>
      </c>
      <c r="C10" s="19">
        <f>COUNTIFS(c_store,A10,c_deliv,1)</f>
        <v>88</v>
      </c>
      <c r="D10" s="19">
        <f>COUNTIFS(c_store,A10,c_late,1)</f>
        <v>27</v>
      </c>
      <c r="E10" s="30">
        <f>IF(C10=0,"",D10/C10)</f>
        <v>0.306818181818182</v>
      </c>
      <c r="F10" s="22">
        <f>Stores!F8</f>
        <v>4.05</v>
      </c>
      <c r="G10" s="19">
        <f>Stores!D8</f>
        <v>4</v>
      </c>
      <c r="H10" s="30">
        <f>Stores!E8</f>
        <v>0.934</v>
      </c>
      <c r="I10" s="19">
        <f>Stores!C8</f>
        <v>661</v>
      </c>
      <c r="J10" s="19">
        <f>IF(F10&gt;$M$2,1,0)</f>
        <v>0</v>
      </c>
      <c r="K10" s="19">
        <f>IF(I10&lt;180,1,0)</f>
        <v>0</v>
      </c>
      <c r="L10" s="19">
        <f>IF(AND(C10=Stores!I8,D10=Stores!K8),1,0)</f>
        <v>1</v>
      </c>
    </row>
    <row r="11">
      <c r="A11" s="38" t="str">
        <f>Stores!A9</f>
        <v>S008</v>
      </c>
      <c r="B11" s="38" t="str">
        <f>Stores!B9</f>
        <v>Mumbai</v>
      </c>
      <c r="C11" s="19">
        <f>COUNTIFS(c_store,A11,c_deliv,1)</f>
        <v>77</v>
      </c>
      <c r="D11" s="19">
        <f>COUNTIFS(c_store,A11,c_late,1)</f>
        <v>25</v>
      </c>
      <c r="E11" s="30">
        <f>IF(C11=0,"",D11/C11)</f>
        <v>0.324675324675325</v>
      </c>
      <c r="F11" s="22">
        <f>Stores!F9</f>
        <v>3.46</v>
      </c>
      <c r="G11" s="19">
        <f>Stores!D9</f>
        <v>8</v>
      </c>
      <c r="H11" s="30">
        <f>Stores!E9</f>
        <v>0.981</v>
      </c>
      <c r="I11" s="19">
        <f>Stores!C9</f>
        <v>825</v>
      </c>
      <c r="J11" s="19">
        <f>IF(F11&gt;$M$2,1,0)</f>
        <v>0</v>
      </c>
      <c r="K11" s="19">
        <f>IF(I11&lt;180,1,0)</f>
        <v>0</v>
      </c>
      <c r="L11" s="19">
        <f>IF(AND(C11=Stores!I9,D11=Stores!K9),1,0)</f>
        <v>1</v>
      </c>
    </row>
    <row r="12">
      <c r="A12" s="38" t="str">
        <f>Stores!A10</f>
        <v>S009</v>
      </c>
      <c r="B12" s="38" t="str">
        <f>Stores!B10</f>
        <v>Pune</v>
      </c>
      <c r="C12" s="19">
        <f>COUNTIFS(c_store,A12,c_deliv,1)</f>
        <v>78</v>
      </c>
      <c r="D12" s="19">
        <f>COUNTIFS(c_store,A12,c_late,1)</f>
        <v>11</v>
      </c>
      <c r="E12" s="30">
        <f>IF(C12=0,"",D12/C12)</f>
        <v>0.141025641025641</v>
      </c>
      <c r="F12" s="22">
        <f>Stores!F10</f>
        <v>2.66</v>
      </c>
      <c r="G12" s="19">
        <f>Stores!D10</f>
        <v>5</v>
      </c>
      <c r="H12" s="30">
        <f>Stores!E10</f>
        <v>0.905</v>
      </c>
      <c r="I12" s="19">
        <f>Stores!C10</f>
        <v>645</v>
      </c>
      <c r="J12" s="19">
        <f>IF(F12&gt;$M$2,1,0)</f>
        <v>0</v>
      </c>
      <c r="K12" s="19">
        <f>IF(I12&lt;180,1,0)</f>
        <v>0</v>
      </c>
      <c r="L12" s="19">
        <f>IF(AND(C12=Stores!I10,D12=Stores!K10),1,0)</f>
        <v>1</v>
      </c>
    </row>
    <row r="13">
      <c r="A13" s="38" t="str">
        <f>Stores!A11</f>
        <v>S010</v>
      </c>
      <c r="B13" s="38" t="str">
        <f>Stores!B11</f>
        <v>Delhi</v>
      </c>
      <c r="C13" s="19">
        <f>COUNTIFS(c_store,A13,c_deliv,1)</f>
        <v>70</v>
      </c>
      <c r="D13" s="19">
        <f>COUNTIFS(c_store,A13,c_late,1)</f>
        <v>19</v>
      </c>
      <c r="E13" s="30">
        <f>IF(C13=0,"",D13/C13)</f>
        <v>0.271428571428571</v>
      </c>
      <c r="F13" s="22">
        <f>Stores!F11</f>
        <v>5.61</v>
      </c>
      <c r="G13" s="19">
        <f>Stores!D11</f>
        <v>10</v>
      </c>
      <c r="H13" s="30">
        <f>Stores!E11</f>
        <v>0.903</v>
      </c>
      <c r="I13" s="19">
        <f>Stores!C11</f>
        <v>744</v>
      </c>
      <c r="J13" s="19">
        <f>IF(F13&gt;$M$2,1,0)</f>
        <v>1</v>
      </c>
      <c r="K13" s="19">
        <f>IF(I13&lt;180,1,0)</f>
        <v>0</v>
      </c>
      <c r="L13" s="19">
        <f>IF(AND(C13=Stores!I11,D13=Stores!K11),1,0)</f>
        <v>1</v>
      </c>
    </row>
    <row r="14">
      <c r="A14" s="38" t="str">
        <f>Stores!A12</f>
        <v>S011</v>
      </c>
      <c r="B14" s="38" t="str">
        <f>Stores!B12</f>
        <v>Bengaluru</v>
      </c>
      <c r="C14" s="19">
        <f>COUNTIFS(c_store,A14,c_deliv,1)</f>
        <v>71</v>
      </c>
      <c r="D14" s="19">
        <f>COUNTIFS(c_store,A14,c_late,1)</f>
        <v>22</v>
      </c>
      <c r="E14" s="30">
        <f>IF(C14=0,"",D14/C14)</f>
        <v>0.309859154929577</v>
      </c>
      <c r="F14" s="22">
        <f>Stores!F12</f>
        <v>5.67</v>
      </c>
      <c r="G14" s="19">
        <f>Stores!D12</f>
        <v>5</v>
      </c>
      <c r="H14" s="30">
        <f>Stores!E12</f>
        <v>0.984</v>
      </c>
      <c r="I14" s="19">
        <f>Stores!C12</f>
        <v>732</v>
      </c>
      <c r="J14" s="19">
        <f>IF(F14&gt;$M$2,1,0)</f>
        <v>1</v>
      </c>
      <c r="K14" s="19">
        <f>IF(I14&lt;180,1,0)</f>
        <v>0</v>
      </c>
      <c r="L14" s="19">
        <f>IF(AND(C14=Stores!I12,D14=Stores!K12),1,0)</f>
        <v>1</v>
      </c>
    </row>
    <row r="15">
      <c r="A15" s="38" t="str">
        <f>Stores!A13</f>
        <v>S012</v>
      </c>
      <c r="B15" s="38" t="str">
        <f>Stores!B13</f>
        <v>Hyderabad</v>
      </c>
      <c r="C15" s="19">
        <f>COUNTIFS(c_store,A15,c_deliv,1)</f>
        <v>53</v>
      </c>
      <c r="D15" s="19">
        <f>COUNTIFS(c_store,A15,c_late,1)</f>
        <v>13</v>
      </c>
      <c r="E15" s="30">
        <f>IF(C15=0,"",D15/C15)</f>
        <v>0.245283018867925</v>
      </c>
      <c r="F15" s="22">
        <f>Stores!F13</f>
        <v>5.23</v>
      </c>
      <c r="G15" s="19">
        <f>Stores!D13</f>
        <v>7</v>
      </c>
      <c r="H15" s="30">
        <f>Stores!E13</f>
        <v>0.891</v>
      </c>
      <c r="I15" s="19">
        <f>Stores!C13</f>
        <v>300</v>
      </c>
      <c r="J15" s="19">
        <f>IF(F15&gt;$M$2,1,0)</f>
        <v>1</v>
      </c>
      <c r="K15" s="19">
        <f>IF(I15&lt;180,1,0)</f>
        <v>0</v>
      </c>
      <c r="L15" s="19">
        <f>IF(AND(C15=Stores!I13,D15=Stores!K13),1,0)</f>
        <v>1</v>
      </c>
    </row>
    <row r="16">
      <c r="A16" s="38" t="str">
        <f>Stores!A14</f>
        <v>S013</v>
      </c>
      <c r="B16" s="38" t="str">
        <f>Stores!B14</f>
        <v>Mumbai</v>
      </c>
      <c r="C16" s="19">
        <f>COUNTIFS(c_store,A16,c_deliv,1)</f>
        <v>71</v>
      </c>
      <c r="D16" s="19">
        <f>COUNTIFS(c_store,A16,c_late,1)</f>
        <v>17</v>
      </c>
      <c r="E16" s="30">
        <f>IF(C16=0,"",D16/C16)</f>
        <v>0.23943661971831</v>
      </c>
      <c r="F16" s="22">
        <f>Stores!F14</f>
        <v>5.82</v>
      </c>
      <c r="G16" s="19">
        <f>Stores!D14</f>
        <v>10</v>
      </c>
      <c r="H16" s="30">
        <f>Stores!E14</f>
        <v>0.909</v>
      </c>
      <c r="I16" s="19">
        <f>Stores!C14</f>
        <v>705</v>
      </c>
      <c r="J16" s="19">
        <f>IF(F16&gt;$M$2,1,0)</f>
        <v>1</v>
      </c>
      <c r="K16" s="19">
        <f>IF(I16&lt;180,1,0)</f>
        <v>0</v>
      </c>
      <c r="L16" s="19">
        <f>IF(AND(C16=Stores!I14,D16=Stores!K14),1,0)</f>
        <v>1</v>
      </c>
    </row>
    <row r="17">
      <c r="A17" s="38" t="str">
        <f>Stores!A15</f>
        <v>S014</v>
      </c>
      <c r="B17" s="38" t="str">
        <f>Stores!B15</f>
        <v>Pune</v>
      </c>
      <c r="C17" s="19">
        <f>COUNTIFS(c_store,A17,c_deliv,1)</f>
        <v>79</v>
      </c>
      <c r="D17" s="19">
        <f>COUNTIFS(c_store,A17,c_late,1)</f>
        <v>18</v>
      </c>
      <c r="E17" s="30">
        <f>IF(C17=0,"",D17/C17)</f>
        <v>0.227848101265823</v>
      </c>
      <c r="F17" s="22">
        <f>Stores!F15</f>
        <v>5.55</v>
      </c>
      <c r="G17" s="19">
        <f>Stores!D15</f>
        <v>12</v>
      </c>
      <c r="H17" s="30">
        <f>Stores!E15</f>
        <v>0.908</v>
      </c>
      <c r="I17" s="19">
        <f>Stores!C15</f>
        <v>241</v>
      </c>
      <c r="J17" s="19">
        <f>IF(F17&gt;$M$2,1,0)</f>
        <v>1</v>
      </c>
      <c r="K17" s="19">
        <f>IF(I17&lt;180,1,0)</f>
        <v>0</v>
      </c>
      <c r="L17" s="19">
        <f>IF(AND(C17=Stores!I15,D17=Stores!K15),1,0)</f>
        <v>1</v>
      </c>
    </row>
    <row r="18">
      <c r="A18" s="38" t="str">
        <f>Stores!A16</f>
        <v>S015</v>
      </c>
      <c r="B18" s="38" t="str">
        <f>Stores!B16</f>
        <v>Delhi</v>
      </c>
      <c r="C18" s="19">
        <f>COUNTIFS(c_store,A18,c_deliv,1)</f>
        <v>80</v>
      </c>
      <c r="D18" s="19">
        <f>COUNTIFS(c_store,A18,c_late,1)</f>
        <v>20</v>
      </c>
      <c r="E18" s="30">
        <f>IF(C18=0,"",D18/C18)</f>
        <v>0.25</v>
      </c>
      <c r="F18" s="22">
        <f>Stores!F16</f>
        <v>4.66</v>
      </c>
      <c r="G18" s="19">
        <f>Stores!D16</f>
        <v>11</v>
      </c>
      <c r="H18" s="30">
        <f>Stores!E16</f>
        <v>0.978</v>
      </c>
      <c r="I18" s="19">
        <f>Stores!C16</f>
        <v>204</v>
      </c>
      <c r="J18" s="19">
        <f>IF(F18&gt;$M$2,1,0)</f>
        <v>0</v>
      </c>
      <c r="K18" s="19">
        <f>IF(I18&lt;180,1,0)</f>
        <v>0</v>
      </c>
      <c r="L18" s="19">
        <f>IF(AND(C18=Stores!I16,D18=Stores!K16),1,0)</f>
        <v>1</v>
      </c>
    </row>
    <row r="19">
      <c r="A19" s="38" t="str">
        <f>Stores!A17</f>
        <v>S016</v>
      </c>
      <c r="B19" s="38" t="str">
        <f>Stores!B17</f>
        <v>Bengaluru</v>
      </c>
      <c r="C19" s="19">
        <f>COUNTIFS(c_store,A19,c_deliv,1)</f>
        <v>67</v>
      </c>
      <c r="D19" s="19">
        <f>COUNTIFS(c_store,A19,c_late,1)</f>
        <v>21</v>
      </c>
      <c r="E19" s="30">
        <f>IF(C19=0,"",D19/C19)</f>
        <v>0.313432835820896</v>
      </c>
      <c r="F19" s="22">
        <f>Stores!F17</f>
        <v>5.51</v>
      </c>
      <c r="G19" s="19">
        <f>Stores!D17</f>
        <v>10</v>
      </c>
      <c r="H19" s="30">
        <f>Stores!E17</f>
        <v>0.912</v>
      </c>
      <c r="I19" s="19">
        <f>Stores!C17</f>
        <v>792</v>
      </c>
      <c r="J19" s="19">
        <f>IF(F19&gt;$M$2,1,0)</f>
        <v>1</v>
      </c>
      <c r="K19" s="19">
        <f>IF(I19&lt;180,1,0)</f>
        <v>0</v>
      </c>
      <c r="L19" s="19">
        <f>IF(AND(C19=Stores!I17,D19=Stores!K17),1,0)</f>
        <v>1</v>
      </c>
    </row>
    <row r="20">
      <c r="A20" s="38" t="str">
        <f>Stores!A18</f>
        <v>S017</v>
      </c>
      <c r="B20" s="38" t="str">
        <f>Stores!B18</f>
        <v>Hyderabad</v>
      </c>
      <c r="C20" s="19">
        <f>COUNTIFS(c_store,A20,c_deliv,1)</f>
        <v>73</v>
      </c>
      <c r="D20" s="19">
        <f>COUNTIFS(c_store,A20,c_late,1)</f>
        <v>15</v>
      </c>
      <c r="E20" s="30">
        <f>IF(C20=0,"",D20/C20)</f>
        <v>0.205479452054795</v>
      </c>
      <c r="F20" s="22">
        <f>Stores!F18</f>
        <v>2.16</v>
      </c>
      <c r="G20" s="19">
        <f>Stores!D18</f>
        <v>10</v>
      </c>
      <c r="H20" s="30">
        <f>Stores!E18</f>
        <v>0.943</v>
      </c>
      <c r="I20" s="19">
        <f>Stores!C18</f>
        <v>47</v>
      </c>
      <c r="J20" s="19">
        <f>IF(F20&gt;$M$2,1,0)</f>
        <v>0</v>
      </c>
      <c r="K20" s="19">
        <f>IF(I20&lt;180,1,0)</f>
        <v>1</v>
      </c>
      <c r="L20" s="19">
        <f>IF(AND(C20=Stores!I18,D20=Stores!K18),1,0)</f>
        <v>1</v>
      </c>
    </row>
    <row r="21">
      <c r="A21" s="38" t="str">
        <f>Stores!A19</f>
        <v>S018</v>
      </c>
      <c r="B21" s="38" t="str">
        <f>Stores!B19</f>
        <v>Mumbai</v>
      </c>
      <c r="C21" s="19">
        <f>COUNTIFS(c_store,A21,c_deliv,1)</f>
        <v>66</v>
      </c>
      <c r="D21" s="19">
        <f>COUNTIFS(c_store,A21,c_late,1)</f>
        <v>18</v>
      </c>
      <c r="E21" s="30">
        <f>IF(C21=0,"",D21/C21)</f>
        <v>0.272727272727273</v>
      </c>
      <c r="F21" s="22">
        <f>Stores!F19</f>
        <v>5.31</v>
      </c>
      <c r="G21" s="19">
        <f>Stores!D19</f>
        <v>8</v>
      </c>
      <c r="H21" s="30">
        <f>Stores!E19</f>
        <v>0.959</v>
      </c>
      <c r="I21" s="19">
        <f>Stores!C19</f>
        <v>214</v>
      </c>
      <c r="J21" s="19">
        <f>IF(F21&gt;$M$2,1,0)</f>
        <v>1</v>
      </c>
      <c r="K21" s="19">
        <f>IF(I21&lt;180,1,0)</f>
        <v>0</v>
      </c>
      <c r="L21" s="19">
        <f>IF(AND(C21=Stores!I19,D21=Stores!K19),1,0)</f>
        <v>1</v>
      </c>
    </row>
    <row r="22">
      <c r="A22" s="38" t="str">
        <f>Stores!A20</f>
        <v>S019</v>
      </c>
      <c r="B22" s="38" t="str">
        <f>Stores!B20</f>
        <v>Pune</v>
      </c>
      <c r="C22" s="19">
        <f>COUNTIFS(c_store,A22,c_deliv,1)</f>
        <v>78</v>
      </c>
      <c r="D22" s="19">
        <f>COUNTIFS(c_store,A22,c_late,1)</f>
        <v>19</v>
      </c>
      <c r="E22" s="30">
        <f>IF(C22=0,"",D22/C22)</f>
        <v>0.243589743589744</v>
      </c>
      <c r="F22" s="22">
        <f>Stores!F20</f>
        <v>4.99</v>
      </c>
      <c r="G22" s="19">
        <f>Stores!D20</f>
        <v>12</v>
      </c>
      <c r="H22" s="30">
        <f>Stores!E20</f>
        <v>0.952</v>
      </c>
      <c r="I22" s="19">
        <f>Stores!C20</f>
        <v>851</v>
      </c>
      <c r="J22" s="19">
        <f>IF(F22&gt;$M$2,1,0)</f>
        <v>1</v>
      </c>
      <c r="K22" s="19">
        <f>IF(I22&lt;180,1,0)</f>
        <v>0</v>
      </c>
      <c r="L22" s="19">
        <f>IF(AND(C22=Stores!I20,D22=Stores!K20),1,0)</f>
        <v>1</v>
      </c>
    </row>
    <row r="23">
      <c r="A23" s="38" t="str">
        <f>Stores!A21</f>
        <v>S020</v>
      </c>
      <c r="B23" s="38" t="str">
        <f>Stores!B21</f>
        <v>Delhi</v>
      </c>
      <c r="C23" s="19">
        <f>COUNTIFS(c_store,A23,c_deliv,1)</f>
        <v>73</v>
      </c>
      <c r="D23" s="19">
        <f>COUNTIFS(c_store,A23,c_late,1)</f>
        <v>17</v>
      </c>
      <c r="E23" s="30">
        <f>IF(C23=0,"",D23/C23)</f>
        <v>0.232876712328767</v>
      </c>
      <c r="F23" s="22">
        <f>Stores!F21</f>
        <v>5.74</v>
      </c>
      <c r="G23" s="19">
        <f>Stores!D21</f>
        <v>12</v>
      </c>
      <c r="H23" s="30">
        <f>Stores!E21</f>
        <v>0.982</v>
      </c>
      <c r="I23" s="19">
        <f>Stores!C21</f>
        <v>647</v>
      </c>
      <c r="J23" s="19">
        <f>IF(F23&gt;$M$2,1,0)</f>
        <v>1</v>
      </c>
      <c r="K23" s="19">
        <f>IF(I23&lt;180,1,0)</f>
        <v>0</v>
      </c>
      <c r="L23" s="19">
        <f>IF(AND(C23=Stores!I21,D23=Stores!K21),1,0)</f>
        <v>1</v>
      </c>
    </row>
  </sheetData>
  <autoFilter ref="A3:L2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3"/>
  <sheetViews>
    <sheetView tabSelected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9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1" customWidth="1" min="10" max="10"/>
    <col width="8" customWidth="1" min="11" max="11"/>
    <col width="14" customWidth="1" min="12" max="12"/>
    <col width="11" customWidth="1" min="13" max="13"/>
  </cols>
  <sheetData>
    <row r="1" ht="26" customHeight="1">
      <c r="A1" s="4" t="inlineStr">
        <is>
          <t>Customer_Summary: one row per customer</t>
        </is>
      </c>
    </row>
    <row r="2" ht="18" customHeight="1">
      <c r="A2" s="5" t="inlineStr">
        <is>
          <t>Tickets, refunds and ratings stay at customer level; they are never copied onto order rows, so nothing is double-counted.</t>
        </is>
      </c>
    </row>
    <row r="3" ht="32" customHeight="1">
      <c r="A3" s="6" t="inlineStr">
        <is>
          <t>customer_id</t>
        </is>
      </c>
      <c r="B3" s="6" t="inlineStr">
        <is>
          <t>Orders in Orders sheet</t>
        </is>
      </c>
      <c r="C3" s="6" t="inlineStr">
        <is>
          <t>Delivered (recalc.)</t>
        </is>
      </c>
      <c r="D3" s="6" t="inlineStr">
        <is>
          <t>Cancelled</t>
        </is>
      </c>
      <c r="E3" s="6" t="inlineStr">
        <is>
          <t>Late (recalc.)</t>
        </is>
      </c>
      <c r="F3" s="6" t="inlineStr">
        <is>
          <t>Late share of delivered</t>
        </is>
      </c>
      <c r="G3" s="6" t="inlineStr">
        <is>
          <t>orders_in_dataset (Customers)</t>
        </is>
      </c>
      <c r="H3" s="6" t="inlineStr">
        <is>
          <t>Matches delivered (1/0)</t>
        </is>
      </c>
      <c r="I3" s="6" t="inlineStr">
        <is>
          <t>Support tickets</t>
        </is>
      </c>
      <c r="J3" s="6" t="inlineStr">
        <is>
          <t>Refunds &amp; credits (₹)</t>
        </is>
      </c>
      <c r="K3" s="6" t="inlineStr">
        <is>
          <t>Avg rating</t>
        </is>
      </c>
      <c r="L3" s="6" t="inlineStr">
        <is>
          <t>Main ticket reason</t>
        </is>
      </c>
      <c r="M3" s="6" t="inlineStr">
        <is>
          <t>Main reason = Late delivery (1/0)</t>
        </is>
      </c>
    </row>
    <row r="4">
      <c r="A4" s="38" t="str">
        <f>Customers!A2</f>
        <v>C0001</v>
      </c>
      <c r="B4" s="19">
        <f>COUNTIFS(c_cust,A4)</f>
        <v>7</v>
      </c>
      <c r="C4" s="19">
        <f>COUNTIFS(c_cust,A4,c_deliv,1)</f>
        <v>7</v>
      </c>
      <c r="D4" s="19">
        <f>B4-C4</f>
        <v>0</v>
      </c>
      <c r="E4" s="19">
        <f>COUNTIFS(c_cust,A4,c_late,1)</f>
        <v>0</v>
      </c>
      <c r="F4" s="30">
        <f>IF(C4=0,"",E4/C4)</f>
        <v>0</v>
      </c>
      <c r="G4" s="19">
        <f>Customers!D2</f>
        <v>7</v>
      </c>
      <c r="H4" s="19">
        <f>IF(G4=C4,1,0)</f>
        <v>1</v>
      </c>
      <c r="I4" s="19">
        <f>Customers!G2</f>
        <v>0</v>
      </c>
      <c r="J4" s="39">
        <f>Customers!I2</f>
        <v>0</v>
      </c>
      <c r="K4" s="22">
        <f>Customers!E2</f>
        <v>4.4</v>
      </c>
      <c r="L4" s="38" t="str">
        <f>IF(Customers!H2="","(no ticket)",Customers!H2)</f>
        <v>(no ticket)</v>
      </c>
      <c r="M4" s="19">
        <f>IF(L4="Late delivery",1,0)</f>
        <v>0</v>
      </c>
    </row>
    <row r="5">
      <c r="A5" s="38" t="str">
        <f>Customers!A3</f>
        <v>C0002</v>
      </c>
      <c r="B5" s="19">
        <f>COUNTIFS(c_cust,A5)</f>
        <v>4</v>
      </c>
      <c r="C5" s="19">
        <f>COUNTIFS(c_cust,A5,c_deliv,1)</f>
        <v>4</v>
      </c>
      <c r="D5" s="19">
        <f>B5-C5</f>
        <v>0</v>
      </c>
      <c r="E5" s="19">
        <f>COUNTIFS(c_cust,A5,c_late,1)</f>
        <v>1</v>
      </c>
      <c r="F5" s="30">
        <f>IF(C5=0,"",E5/C5)</f>
        <v>0.25</v>
      </c>
      <c r="G5" s="19">
        <f>Customers!D3</f>
        <v>4</v>
      </c>
      <c r="H5" s="19">
        <f>IF(G5=C5,1,0)</f>
        <v>1</v>
      </c>
      <c r="I5" s="19">
        <f>Customers!G3</f>
        <v>1</v>
      </c>
      <c r="J5" s="39">
        <f>Customers!I3</f>
        <v>25</v>
      </c>
      <c r="K5" s="22">
        <f>Customers!E3</f>
        <v>4.5</v>
      </c>
      <c r="L5" s="38" t="str">
        <f>IF(Customers!H3="","(no ticket)",Customers!H3)</f>
        <v>Payment issue</v>
      </c>
      <c r="M5" s="19">
        <f>IF(L5="Late delivery",1,0)</f>
        <v>0</v>
      </c>
    </row>
    <row r="6">
      <c r="A6" s="38" t="str">
        <f>Customers!A4</f>
        <v>C0003</v>
      </c>
      <c r="B6" s="19">
        <f>COUNTIFS(c_cust,A6)</f>
        <v>6</v>
      </c>
      <c r="C6" s="19">
        <f>COUNTIFS(c_cust,A6,c_deliv,1)</f>
        <v>5</v>
      </c>
      <c r="D6" s="19">
        <f>B6-C6</f>
        <v>1</v>
      </c>
      <c r="E6" s="19">
        <f>COUNTIFS(c_cust,A6,c_late,1)</f>
        <v>1</v>
      </c>
      <c r="F6" s="30">
        <f>IF(C6=0,"",E6/C6)</f>
        <v>0.2</v>
      </c>
      <c r="G6" s="19">
        <f>Customers!D4</f>
        <v>5</v>
      </c>
      <c r="H6" s="19">
        <f>IF(G6=C6,1,0)</f>
        <v>1</v>
      </c>
      <c r="I6" s="19">
        <f>Customers!G4</f>
        <v>0</v>
      </c>
      <c r="J6" s="39">
        <f>Customers!I4</f>
        <v>0</v>
      </c>
      <c r="K6" s="22">
        <f>Customers!E4</f>
        <v>5</v>
      </c>
      <c r="L6" s="38" t="str">
        <f>IF(Customers!H4="","(no ticket)",Customers!H4)</f>
        <v>(no ticket)</v>
      </c>
      <c r="M6" s="19">
        <f>IF(L6="Late delivery",1,0)</f>
        <v>0</v>
      </c>
    </row>
    <row r="7">
      <c r="A7" s="38" t="str">
        <f>Customers!A5</f>
        <v>C0004</v>
      </c>
      <c r="B7" s="19">
        <f>COUNTIFS(c_cust,A7)</f>
        <v>8</v>
      </c>
      <c r="C7" s="19">
        <f>COUNTIFS(c_cust,A7,c_deliv,1)</f>
        <v>8</v>
      </c>
      <c r="D7" s="19">
        <f>B7-C7</f>
        <v>0</v>
      </c>
      <c r="E7" s="19">
        <f>COUNTIFS(c_cust,A7,c_late,1)</f>
        <v>1</v>
      </c>
      <c r="F7" s="30">
        <f>IF(C7=0,"",E7/C7)</f>
        <v>0.125</v>
      </c>
      <c r="G7" s="19">
        <f>Customers!D5</f>
        <v>8</v>
      </c>
      <c r="H7" s="19">
        <f>IF(G7=C7,1,0)</f>
        <v>1</v>
      </c>
      <c r="I7" s="19">
        <f>Customers!G5</f>
        <v>0</v>
      </c>
      <c r="J7" s="39">
        <f>Customers!I5</f>
        <v>0</v>
      </c>
      <c r="K7" s="22">
        <f>Customers!E5</f>
        <v>4.6</v>
      </c>
      <c r="L7" s="38" t="str">
        <f>IF(Customers!H5="","(no ticket)",Customers!H5)</f>
        <v>(no ticket)</v>
      </c>
      <c r="M7" s="19">
        <f>IF(L7="Late delivery",1,0)</f>
        <v>0</v>
      </c>
    </row>
    <row r="8">
      <c r="A8" s="38" t="str">
        <f>Customers!A6</f>
        <v>C0005</v>
      </c>
      <c r="B8" s="19">
        <f>COUNTIFS(c_cust,A8)</f>
        <v>8</v>
      </c>
      <c r="C8" s="19">
        <f>COUNTIFS(c_cust,A8,c_deliv,1)</f>
        <v>8</v>
      </c>
      <c r="D8" s="19">
        <f>B8-C8</f>
        <v>0</v>
      </c>
      <c r="E8" s="19">
        <f>COUNTIFS(c_cust,A8,c_late,1)</f>
        <v>2</v>
      </c>
      <c r="F8" s="30">
        <f>IF(C8=0,"",E8/C8)</f>
        <v>0.25</v>
      </c>
      <c r="G8" s="19">
        <f>Customers!D6</f>
        <v>8</v>
      </c>
      <c r="H8" s="19">
        <f>IF(G8=C8,1,0)</f>
        <v>1</v>
      </c>
      <c r="I8" s="19">
        <f>Customers!G6</f>
        <v>5</v>
      </c>
      <c r="J8" s="39">
        <f>Customers!I6</f>
        <v>0</v>
      </c>
      <c r="K8" s="22">
        <f>Customers!E6</f>
        <v>4.9</v>
      </c>
      <c r="L8" s="38" t="str">
        <f>IF(Customers!H6="","(no ticket)",Customers!H6)</f>
        <v>Damaged item</v>
      </c>
      <c r="M8" s="19">
        <f>IF(L8="Late delivery",1,0)</f>
        <v>0</v>
      </c>
    </row>
    <row r="9">
      <c r="A9" s="38" t="str">
        <f>Customers!A7</f>
        <v>C0006</v>
      </c>
      <c r="B9" s="19">
        <f>COUNTIFS(c_cust,A9)</f>
        <v>8</v>
      </c>
      <c r="C9" s="19">
        <f>COUNTIFS(c_cust,A9,c_deliv,1)</f>
        <v>8</v>
      </c>
      <c r="D9" s="19">
        <f>B9-C9</f>
        <v>0</v>
      </c>
      <c r="E9" s="19">
        <f>COUNTIFS(c_cust,A9,c_late,1)</f>
        <v>1</v>
      </c>
      <c r="F9" s="30">
        <f>IF(C9=0,"",E9/C9)</f>
        <v>0.125</v>
      </c>
      <c r="G9" s="19">
        <f>Customers!D7</f>
        <v>8</v>
      </c>
      <c r="H9" s="19">
        <f>IF(G9=C9,1,0)</f>
        <v>1</v>
      </c>
      <c r="I9" s="19">
        <f>Customers!G7</f>
        <v>1</v>
      </c>
      <c r="J9" s="39">
        <f>Customers!I7</f>
        <v>50</v>
      </c>
      <c r="K9" s="22">
        <f>Customers!E7</f>
        <v>5</v>
      </c>
      <c r="L9" s="38" t="str">
        <f>IF(Customers!H7="","(no ticket)",Customers!H7)</f>
        <v>Damaged item</v>
      </c>
      <c r="M9" s="19">
        <f>IF(L9="Late delivery",1,0)</f>
        <v>0</v>
      </c>
    </row>
    <row r="10">
      <c r="A10" s="38" t="str">
        <f>Customers!A8</f>
        <v>C0007</v>
      </c>
      <c r="B10" s="19">
        <f>COUNTIFS(c_cust,A10)</f>
        <v>7</v>
      </c>
      <c r="C10" s="19">
        <f>COUNTIFS(c_cust,A10,c_deliv,1)</f>
        <v>7</v>
      </c>
      <c r="D10" s="19">
        <f>B10-C10</f>
        <v>0</v>
      </c>
      <c r="E10" s="19">
        <f>COUNTIFS(c_cust,A10,c_late,1)</f>
        <v>1</v>
      </c>
      <c r="F10" s="30">
        <f>IF(C10=0,"",E10/C10)</f>
        <v>0.142857142857143</v>
      </c>
      <c r="G10" s="19">
        <f>Customers!D8</f>
        <v>7</v>
      </c>
      <c r="H10" s="19">
        <f>IF(G10=C10,1,0)</f>
        <v>1</v>
      </c>
      <c r="I10" s="19">
        <f>Customers!G8</f>
        <v>2</v>
      </c>
      <c r="J10" s="39">
        <f>Customers!I8</f>
        <v>150</v>
      </c>
      <c r="K10" s="22">
        <f>Customers!E8</f>
        <v>4.4</v>
      </c>
      <c r="L10" s="38" t="str">
        <f>IF(Customers!H8="","(no ticket)",Customers!H8)</f>
        <v>Late delivery</v>
      </c>
      <c r="M10" s="19">
        <f>IF(L10="Late delivery",1,0)</f>
        <v>1</v>
      </c>
    </row>
    <row r="11">
      <c r="A11" s="38" t="str">
        <f>Customers!A9</f>
        <v>C0008</v>
      </c>
      <c r="B11" s="19">
        <f>COUNTIFS(c_cust,A11)</f>
        <v>5</v>
      </c>
      <c r="C11" s="19">
        <f>COUNTIFS(c_cust,A11,c_deliv,1)</f>
        <v>5</v>
      </c>
      <c r="D11" s="19">
        <f>B11-C11</f>
        <v>0</v>
      </c>
      <c r="E11" s="19">
        <f>COUNTIFS(c_cust,A11,c_late,1)</f>
        <v>2</v>
      </c>
      <c r="F11" s="30">
        <f>IF(C11=0,"",E11/C11)</f>
        <v>0.4</v>
      </c>
      <c r="G11" s="19">
        <f>Customers!D9</f>
        <v>5</v>
      </c>
      <c r="H11" s="19">
        <f>IF(G11=C11,1,0)</f>
        <v>1</v>
      </c>
      <c r="I11" s="19">
        <f>Customers!G9</f>
        <v>1</v>
      </c>
      <c r="J11" s="39">
        <f>Customers!I9</f>
        <v>75</v>
      </c>
      <c r="K11" s="22">
        <f>Customers!E9</f>
        <v>5</v>
      </c>
      <c r="L11" s="38" t="str">
        <f>IF(Customers!H9="","(no ticket)",Customers!H9)</f>
        <v>Late delivery</v>
      </c>
      <c r="M11" s="19">
        <f>IF(L11="Late delivery",1,0)</f>
        <v>1</v>
      </c>
    </row>
    <row r="12">
      <c r="A12" s="38" t="str">
        <f>Customers!A10</f>
        <v>C0009</v>
      </c>
      <c r="B12" s="19">
        <f>COUNTIFS(c_cust,A12)</f>
        <v>5</v>
      </c>
      <c r="C12" s="19">
        <f>COUNTIFS(c_cust,A12,c_deliv,1)</f>
        <v>5</v>
      </c>
      <c r="D12" s="19">
        <f>B12-C12</f>
        <v>0</v>
      </c>
      <c r="E12" s="19">
        <f>COUNTIFS(c_cust,A12,c_late,1)</f>
        <v>2</v>
      </c>
      <c r="F12" s="30">
        <f>IF(C12=0,"",E12/C12)</f>
        <v>0.4</v>
      </c>
      <c r="G12" s="19">
        <f>Customers!D10</f>
        <v>5</v>
      </c>
      <c r="H12" s="19">
        <f>IF(G12=C12,1,0)</f>
        <v>1</v>
      </c>
      <c r="I12" s="19">
        <f>Customers!G10</f>
        <v>1</v>
      </c>
      <c r="J12" s="39">
        <f>Customers!I10</f>
        <v>0</v>
      </c>
      <c r="K12" s="22">
        <f>Customers!E10</f>
        <v>5</v>
      </c>
      <c r="L12" s="38" t="str">
        <f>IF(Customers!H10="","(no ticket)",Customers!H10)</f>
        <v>Other</v>
      </c>
      <c r="M12" s="19">
        <f>IF(L12="Late delivery",1,0)</f>
        <v>0</v>
      </c>
    </row>
    <row r="13">
      <c r="A13" s="38" t="str">
        <f>Customers!A11</f>
        <v>C0010</v>
      </c>
      <c r="B13" s="19">
        <f>COUNTIFS(c_cust,A13)</f>
        <v>7</v>
      </c>
      <c r="C13" s="19">
        <f>COUNTIFS(c_cust,A13,c_deliv,1)</f>
        <v>6</v>
      </c>
      <c r="D13" s="19">
        <f>B13-C13</f>
        <v>1</v>
      </c>
      <c r="E13" s="19">
        <f>COUNTIFS(c_cust,A13,c_late,1)</f>
        <v>1</v>
      </c>
      <c r="F13" s="30">
        <f>IF(C13=0,"",E13/C13)</f>
        <v>0.166666666666667</v>
      </c>
      <c r="G13" s="19">
        <f>Customers!D11</f>
        <v>6</v>
      </c>
      <c r="H13" s="19">
        <f>IF(G13=C13,1,0)</f>
        <v>1</v>
      </c>
      <c r="I13" s="19">
        <f>Customers!G11</f>
        <v>2</v>
      </c>
      <c r="J13" s="39">
        <f>Customers!I11</f>
        <v>100</v>
      </c>
      <c r="K13" s="22">
        <f>Customers!E11</f>
        <v>4.6</v>
      </c>
      <c r="L13" s="38" t="str">
        <f>IF(Customers!H11="","(no ticket)",Customers!H11)</f>
        <v>Missing item</v>
      </c>
      <c r="M13" s="19">
        <f>IF(L13="Late delivery",1,0)</f>
        <v>0</v>
      </c>
    </row>
    <row r="14">
      <c r="A14" s="38" t="str">
        <f>Customers!A12</f>
        <v>C0011</v>
      </c>
      <c r="B14" s="19">
        <f>COUNTIFS(c_cust,A14)</f>
        <v>6</v>
      </c>
      <c r="C14" s="19">
        <f>COUNTIFS(c_cust,A14,c_deliv,1)</f>
        <v>5</v>
      </c>
      <c r="D14" s="19">
        <f>B14-C14</f>
        <v>1</v>
      </c>
      <c r="E14" s="19">
        <f>COUNTIFS(c_cust,A14,c_late,1)</f>
        <v>1</v>
      </c>
      <c r="F14" s="30">
        <f>IF(C14=0,"",E14/C14)</f>
        <v>0.2</v>
      </c>
      <c r="G14" s="19">
        <f>Customers!D12</f>
        <v>5</v>
      </c>
      <c r="H14" s="19">
        <f>IF(G14=C14,1,0)</f>
        <v>1</v>
      </c>
      <c r="I14" s="19">
        <f>Customers!G12</f>
        <v>3</v>
      </c>
      <c r="J14" s="39">
        <f>Customers!I12</f>
        <v>225</v>
      </c>
      <c r="K14" s="22">
        <f>Customers!E12</f>
        <v>5</v>
      </c>
      <c r="L14" s="38" t="str">
        <f>IF(Customers!H12="","(no ticket)",Customers!H12)</f>
        <v>Damaged item</v>
      </c>
      <c r="M14" s="19">
        <f>IF(L14="Late delivery",1,0)</f>
        <v>0</v>
      </c>
    </row>
    <row r="15">
      <c r="A15" s="38" t="str">
        <f>Customers!A13</f>
        <v>C0012</v>
      </c>
      <c r="B15" s="19">
        <f>COUNTIFS(c_cust,A15)</f>
        <v>6</v>
      </c>
      <c r="C15" s="19">
        <f>COUNTIFS(c_cust,A15,c_deliv,1)</f>
        <v>6</v>
      </c>
      <c r="D15" s="19">
        <f>B15-C15</f>
        <v>0</v>
      </c>
      <c r="E15" s="19">
        <f>COUNTIFS(c_cust,A15,c_late,1)</f>
        <v>2</v>
      </c>
      <c r="F15" s="30">
        <f>IF(C15=0,"",E15/C15)</f>
        <v>0.333333333333333</v>
      </c>
      <c r="G15" s="19">
        <f>Customers!D13</f>
        <v>6</v>
      </c>
      <c r="H15" s="19">
        <f>IF(G15=C15,1,0)</f>
        <v>1</v>
      </c>
      <c r="I15" s="19">
        <f>Customers!G13</f>
        <v>1</v>
      </c>
      <c r="J15" s="39">
        <f>Customers!I13</f>
        <v>50</v>
      </c>
      <c r="K15" s="22">
        <f>Customers!E13</f>
        <v>5</v>
      </c>
      <c r="L15" s="38" t="str">
        <f>IF(Customers!H13="","(no ticket)",Customers!H13)</f>
        <v>Payment issue</v>
      </c>
      <c r="M15" s="19">
        <f>IF(L15="Late delivery",1,0)</f>
        <v>0</v>
      </c>
    </row>
    <row r="16">
      <c r="A16" s="38" t="str">
        <f>Customers!A14</f>
        <v>C0013</v>
      </c>
      <c r="B16" s="19">
        <f>COUNTIFS(c_cust,A16)</f>
        <v>4</v>
      </c>
      <c r="C16" s="19">
        <f>COUNTIFS(c_cust,A16,c_deliv,1)</f>
        <v>3</v>
      </c>
      <c r="D16" s="19">
        <f>B16-C16</f>
        <v>1</v>
      </c>
      <c r="E16" s="19">
        <f>COUNTIFS(c_cust,A16,c_late,1)</f>
        <v>2</v>
      </c>
      <c r="F16" s="30">
        <f>IF(C16=0,"",E16/C16)</f>
        <v>0.666666666666667</v>
      </c>
      <c r="G16" s="19">
        <f>Customers!D14</f>
        <v>3</v>
      </c>
      <c r="H16" s="19">
        <f>IF(G16=C16,1,0)</f>
        <v>1</v>
      </c>
      <c r="I16" s="19">
        <f>Customers!G14</f>
        <v>0</v>
      </c>
      <c r="J16" s="39">
        <f>Customers!I14</f>
        <v>0</v>
      </c>
      <c r="K16" s="22">
        <f>Customers!E14</f>
        <v>5</v>
      </c>
      <c r="L16" s="38" t="str">
        <f>IF(Customers!H14="","(no ticket)",Customers!H14)</f>
        <v>(no ticket)</v>
      </c>
      <c r="M16" s="19">
        <f>IF(L16="Late delivery",1,0)</f>
        <v>0</v>
      </c>
    </row>
    <row r="17">
      <c r="A17" s="38" t="str">
        <f>Customers!A15</f>
        <v>C0014</v>
      </c>
      <c r="B17" s="19">
        <f>COUNTIFS(c_cust,A17)</f>
        <v>9</v>
      </c>
      <c r="C17" s="19">
        <f>COUNTIFS(c_cust,A17,c_deliv,1)</f>
        <v>9</v>
      </c>
      <c r="D17" s="19">
        <f>B17-C17</f>
        <v>0</v>
      </c>
      <c r="E17" s="19">
        <f>COUNTIFS(c_cust,A17,c_late,1)</f>
        <v>4</v>
      </c>
      <c r="F17" s="30">
        <f>IF(C17=0,"",E17/C17)</f>
        <v>0.444444444444444</v>
      </c>
      <c r="G17" s="19">
        <f>Customers!D15</f>
        <v>9</v>
      </c>
      <c r="H17" s="19">
        <f>IF(G17=C17,1,0)</f>
        <v>1</v>
      </c>
      <c r="I17" s="19">
        <f>Customers!G15</f>
        <v>1</v>
      </c>
      <c r="J17" s="39">
        <f>Customers!I15</f>
        <v>50</v>
      </c>
      <c r="K17" s="22">
        <f>Customers!E15</f>
        <v>5</v>
      </c>
      <c r="L17" s="38" t="str">
        <f>IF(Customers!H15="","(no ticket)",Customers!H15)</f>
        <v>Other</v>
      </c>
      <c r="M17" s="19">
        <f>IF(L17="Late delivery",1,0)</f>
        <v>0</v>
      </c>
    </row>
    <row r="18">
      <c r="A18" s="38" t="str">
        <f>Customers!A16</f>
        <v>C0015</v>
      </c>
      <c r="B18" s="19">
        <f>COUNTIFS(c_cust,A18)</f>
        <v>6</v>
      </c>
      <c r="C18" s="19">
        <f>COUNTIFS(c_cust,A18,c_deliv,1)</f>
        <v>5</v>
      </c>
      <c r="D18" s="19">
        <f>B18-C18</f>
        <v>1</v>
      </c>
      <c r="E18" s="19">
        <f>COUNTIFS(c_cust,A18,c_late,1)</f>
        <v>4</v>
      </c>
      <c r="F18" s="30">
        <f>IF(C18=0,"",E18/C18)</f>
        <v>0.8</v>
      </c>
      <c r="G18" s="19">
        <f>Customers!D16</f>
        <v>5</v>
      </c>
      <c r="H18" s="19">
        <f>IF(G18=C18,1,0)</f>
        <v>1</v>
      </c>
      <c r="I18" s="19">
        <f>Customers!G16</f>
        <v>3</v>
      </c>
      <c r="J18" s="39">
        <f>Customers!I16</f>
        <v>225</v>
      </c>
      <c r="K18" s="22">
        <f>Customers!E16</f>
        <v>4.9</v>
      </c>
      <c r="L18" s="38" t="str">
        <f>IF(Customers!H16="","(no ticket)",Customers!H16)</f>
        <v>Payment issue</v>
      </c>
      <c r="M18" s="19">
        <f>IF(L18="Late delivery",1,0)</f>
        <v>0</v>
      </c>
    </row>
    <row r="19">
      <c r="A19" s="38" t="str">
        <f>Customers!A17</f>
        <v>C0016</v>
      </c>
      <c r="B19" s="19">
        <f>COUNTIFS(c_cust,A19)</f>
        <v>5</v>
      </c>
      <c r="C19" s="19">
        <f>COUNTIFS(c_cust,A19,c_deliv,1)</f>
        <v>4</v>
      </c>
      <c r="D19" s="19">
        <f>B19-C19</f>
        <v>1</v>
      </c>
      <c r="E19" s="19">
        <f>COUNTIFS(c_cust,A19,c_late,1)</f>
        <v>1</v>
      </c>
      <c r="F19" s="30">
        <f>IF(C19=0,"",E19/C19)</f>
        <v>0.25</v>
      </c>
      <c r="G19" s="19">
        <f>Customers!D17</f>
        <v>4</v>
      </c>
      <c r="H19" s="19">
        <f>IF(G19=C19,1,0)</f>
        <v>1</v>
      </c>
      <c r="I19" s="19">
        <f>Customers!G17</f>
        <v>2</v>
      </c>
      <c r="J19" s="39">
        <f>Customers!I17</f>
        <v>0</v>
      </c>
      <c r="K19" s="22">
        <f>Customers!E17</f>
        <v>5</v>
      </c>
      <c r="L19" s="38" t="str">
        <f>IF(Customers!H17="","(no ticket)",Customers!H17)</f>
        <v>Missing item</v>
      </c>
      <c r="M19" s="19">
        <f>IF(L19="Late delivery",1,0)</f>
        <v>0</v>
      </c>
    </row>
    <row r="20">
      <c r="A20" s="38" t="str">
        <f>Customers!A18</f>
        <v>C0017</v>
      </c>
      <c r="B20" s="19">
        <f>COUNTIFS(c_cust,A20)</f>
        <v>6</v>
      </c>
      <c r="C20" s="19">
        <f>COUNTIFS(c_cust,A20,c_deliv,1)</f>
        <v>6</v>
      </c>
      <c r="D20" s="19">
        <f>B20-C20</f>
        <v>0</v>
      </c>
      <c r="E20" s="19">
        <f>COUNTIFS(c_cust,A20,c_late,1)</f>
        <v>0</v>
      </c>
      <c r="F20" s="30">
        <f>IF(C20=0,"",E20/C20)</f>
        <v>0</v>
      </c>
      <c r="G20" s="19">
        <f>Customers!D18</f>
        <v>6</v>
      </c>
      <c r="H20" s="19">
        <f>IF(G20=C20,1,0)</f>
        <v>1</v>
      </c>
      <c r="I20" s="19">
        <f>Customers!G18</f>
        <v>2</v>
      </c>
      <c r="J20" s="39">
        <f>Customers!I18</f>
        <v>150</v>
      </c>
      <c r="K20" s="22">
        <f>Customers!E18</f>
        <v>4.6</v>
      </c>
      <c r="L20" s="38" t="str">
        <f>IF(Customers!H18="","(no ticket)",Customers!H18)</f>
        <v>Other</v>
      </c>
      <c r="M20" s="19">
        <f>IF(L20="Late delivery",1,0)</f>
        <v>0</v>
      </c>
    </row>
    <row r="21">
      <c r="A21" s="38" t="str">
        <f>Customers!A19</f>
        <v>C0018</v>
      </c>
      <c r="B21" s="19">
        <f>COUNTIFS(c_cust,A21)</f>
        <v>5</v>
      </c>
      <c r="C21" s="19">
        <f>COUNTIFS(c_cust,A21,c_deliv,1)</f>
        <v>5</v>
      </c>
      <c r="D21" s="19">
        <f>B21-C21</f>
        <v>0</v>
      </c>
      <c r="E21" s="19">
        <f>COUNTIFS(c_cust,A21,c_late,1)</f>
        <v>1</v>
      </c>
      <c r="F21" s="30">
        <f>IF(C21=0,"",E21/C21)</f>
        <v>0.2</v>
      </c>
      <c r="G21" s="19">
        <f>Customers!D19</f>
        <v>5</v>
      </c>
      <c r="H21" s="19">
        <f>IF(G21=C21,1,0)</f>
        <v>1</v>
      </c>
      <c r="I21" s="19">
        <f>Customers!G19</f>
        <v>0</v>
      </c>
      <c r="J21" s="39">
        <f>Customers!I19</f>
        <v>0</v>
      </c>
      <c r="K21" s="22">
        <f>Customers!E19</f>
        <v>4.1</v>
      </c>
      <c r="L21" s="38" t="str">
        <f>IF(Customers!H19="","(no ticket)",Customers!H19)</f>
        <v>(no ticket)</v>
      </c>
      <c r="M21" s="19">
        <f>IF(L21="Late delivery",1,0)</f>
        <v>0</v>
      </c>
    </row>
    <row r="22">
      <c r="A22" s="38" t="str">
        <f>Customers!A20</f>
        <v>C0019</v>
      </c>
      <c r="B22" s="19">
        <f>COUNTIFS(c_cust,A22)</f>
        <v>4</v>
      </c>
      <c r="C22" s="19">
        <f>COUNTIFS(c_cust,A22,c_deliv,1)</f>
        <v>4</v>
      </c>
      <c r="D22" s="19">
        <f>B22-C22</f>
        <v>0</v>
      </c>
      <c r="E22" s="19">
        <f>COUNTIFS(c_cust,A22,c_late,1)</f>
        <v>1</v>
      </c>
      <c r="F22" s="30">
        <f>IF(C22=0,"",E22/C22)</f>
        <v>0.25</v>
      </c>
      <c r="G22" s="19">
        <f>Customers!D20</f>
        <v>4</v>
      </c>
      <c r="H22" s="19">
        <f>IF(G22=C22,1,0)</f>
        <v>1</v>
      </c>
      <c r="I22" s="19">
        <f>Customers!G20</f>
        <v>4</v>
      </c>
      <c r="J22" s="39">
        <f>Customers!I20</f>
        <v>0</v>
      </c>
      <c r="K22" s="22">
        <f>Customers!E20</f>
        <v>4.6</v>
      </c>
      <c r="L22" s="38" t="str">
        <f>IF(Customers!H20="","(no ticket)",Customers!H20)</f>
        <v>Damaged item</v>
      </c>
      <c r="M22" s="19">
        <f>IF(L22="Late delivery",1,0)</f>
        <v>0</v>
      </c>
    </row>
    <row r="23">
      <c r="A23" s="38" t="str">
        <f>Customers!A21</f>
        <v>C0020</v>
      </c>
      <c r="B23" s="19">
        <f>COUNTIFS(c_cust,A23)</f>
        <v>4</v>
      </c>
      <c r="C23" s="19">
        <f>COUNTIFS(c_cust,A23,c_deliv,1)</f>
        <v>4</v>
      </c>
      <c r="D23" s="19">
        <f>B23-C23</f>
        <v>0</v>
      </c>
      <c r="E23" s="19">
        <f>COUNTIFS(c_cust,A23,c_late,1)</f>
        <v>2</v>
      </c>
      <c r="F23" s="30">
        <f>IF(C23=0,"",E23/C23)</f>
        <v>0.5</v>
      </c>
      <c r="G23" s="19">
        <f>Customers!D21</f>
        <v>4</v>
      </c>
      <c r="H23" s="19">
        <f>IF(G23=C23,1,0)</f>
        <v>1</v>
      </c>
      <c r="I23" s="19">
        <f>Customers!G21</f>
        <v>2</v>
      </c>
      <c r="J23" s="39">
        <f>Customers!I21</f>
        <v>150</v>
      </c>
      <c r="K23" s="22">
        <f>Customers!E21</f>
        <v>4</v>
      </c>
      <c r="L23" s="38" t="str">
        <f>IF(Customers!H21="","(no ticket)",Customers!H21)</f>
        <v>Missing item</v>
      </c>
      <c r="M23" s="19">
        <f>IF(L23="Late delivery",1,0)</f>
        <v>0</v>
      </c>
    </row>
    <row r="24">
      <c r="A24" s="38" t="str">
        <f>Customers!A22</f>
        <v>C0021</v>
      </c>
      <c r="B24" s="19">
        <f>COUNTIFS(c_cust,A24)</f>
        <v>7</v>
      </c>
      <c r="C24" s="19">
        <f>COUNTIFS(c_cust,A24,c_deliv,1)</f>
        <v>7</v>
      </c>
      <c r="D24" s="19">
        <f>B24-C24</f>
        <v>0</v>
      </c>
      <c r="E24" s="19">
        <f>COUNTIFS(c_cust,A24,c_late,1)</f>
        <v>3</v>
      </c>
      <c r="F24" s="30">
        <f>IF(C24=0,"",E24/C24)</f>
        <v>0.428571428571429</v>
      </c>
      <c r="G24" s="19">
        <f>Customers!D22</f>
        <v>7</v>
      </c>
      <c r="H24" s="19">
        <f>IF(G24=C24,1,0)</f>
        <v>1</v>
      </c>
      <c r="I24" s="19">
        <f>Customers!G22</f>
        <v>2</v>
      </c>
      <c r="J24" s="39">
        <f>Customers!I22</f>
        <v>50</v>
      </c>
      <c r="K24" s="22">
        <f>Customers!E22</f>
        <v>4.3</v>
      </c>
      <c r="L24" s="38" t="str">
        <f>IF(Customers!H22="","(no ticket)",Customers!H22)</f>
        <v>Other</v>
      </c>
      <c r="M24" s="19">
        <f>IF(L24="Late delivery",1,0)</f>
        <v>0</v>
      </c>
    </row>
    <row r="25">
      <c r="A25" s="38" t="str">
        <f>Customers!A23</f>
        <v>C0022</v>
      </c>
      <c r="B25" s="19">
        <f>COUNTIFS(c_cust,A25)</f>
        <v>6</v>
      </c>
      <c r="C25" s="19">
        <f>COUNTIFS(c_cust,A25,c_deliv,1)</f>
        <v>6</v>
      </c>
      <c r="D25" s="19">
        <f>B25-C25</f>
        <v>0</v>
      </c>
      <c r="E25" s="19">
        <f>COUNTIFS(c_cust,A25,c_late,1)</f>
        <v>0</v>
      </c>
      <c r="F25" s="30">
        <f>IF(C25=0,"",E25/C25)</f>
        <v>0</v>
      </c>
      <c r="G25" s="19">
        <f>Customers!D23</f>
        <v>6</v>
      </c>
      <c r="H25" s="19">
        <f>IF(G25=C25,1,0)</f>
        <v>1</v>
      </c>
      <c r="I25" s="19">
        <f>Customers!G23</f>
        <v>2</v>
      </c>
      <c r="J25" s="39">
        <f>Customers!I23</f>
        <v>100</v>
      </c>
      <c r="K25" s="22">
        <f>Customers!E23</f>
        <v>4.9</v>
      </c>
      <c r="L25" s="38" t="str">
        <f>IF(Customers!H23="","(no ticket)",Customers!H23)</f>
        <v>Payment issue</v>
      </c>
      <c r="M25" s="19">
        <f>IF(L25="Late delivery",1,0)</f>
        <v>0</v>
      </c>
    </row>
    <row r="26">
      <c r="A26" s="38" t="str">
        <f>Customers!A24</f>
        <v>C0023</v>
      </c>
      <c r="B26" s="19">
        <f>COUNTIFS(c_cust,A26)</f>
        <v>3</v>
      </c>
      <c r="C26" s="19">
        <f>COUNTIFS(c_cust,A26,c_deliv,1)</f>
        <v>3</v>
      </c>
      <c r="D26" s="19">
        <f>B26-C26</f>
        <v>0</v>
      </c>
      <c r="E26" s="19">
        <f>COUNTIFS(c_cust,A26,c_late,1)</f>
        <v>0</v>
      </c>
      <c r="F26" s="30">
        <f>IF(C26=0,"",E26/C26)</f>
        <v>0</v>
      </c>
      <c r="G26" s="19">
        <f>Customers!D24</f>
        <v>3</v>
      </c>
      <c r="H26" s="19">
        <f>IF(G26=C26,1,0)</f>
        <v>1</v>
      </c>
      <c r="I26" s="19">
        <f>Customers!G24</f>
        <v>1</v>
      </c>
      <c r="J26" s="39">
        <f>Customers!I24</f>
        <v>0</v>
      </c>
      <c r="K26" s="22">
        <f>Customers!E24</f>
        <v>5</v>
      </c>
      <c r="L26" s="38" t="str">
        <f>IF(Customers!H24="","(no ticket)",Customers!H24)</f>
        <v>Damaged item</v>
      </c>
      <c r="M26" s="19">
        <f>IF(L26="Late delivery",1,0)</f>
        <v>0</v>
      </c>
    </row>
    <row r="27">
      <c r="A27" s="38" t="str">
        <f>Customers!A25</f>
        <v>C0024</v>
      </c>
      <c r="B27" s="19">
        <f>COUNTIFS(c_cust,A27)</f>
        <v>8</v>
      </c>
      <c r="C27" s="19">
        <f>COUNTIFS(c_cust,A27,c_deliv,1)</f>
        <v>8</v>
      </c>
      <c r="D27" s="19">
        <f>B27-C27</f>
        <v>0</v>
      </c>
      <c r="E27" s="19">
        <f>COUNTIFS(c_cust,A27,c_late,1)</f>
        <v>1</v>
      </c>
      <c r="F27" s="30">
        <f>IF(C27=0,"",E27/C27)</f>
        <v>0.125</v>
      </c>
      <c r="G27" s="19">
        <f>Customers!D25</f>
        <v>8</v>
      </c>
      <c r="H27" s="19">
        <f>IF(G27=C27,1,0)</f>
        <v>1</v>
      </c>
      <c r="I27" s="19">
        <f>Customers!G25</f>
        <v>2</v>
      </c>
      <c r="J27" s="39">
        <f>Customers!I25</f>
        <v>0</v>
      </c>
      <c r="K27" s="22">
        <f>Customers!E25</f>
        <v>5</v>
      </c>
      <c r="L27" s="38" t="str">
        <f>IF(Customers!H25="","(no ticket)",Customers!H25)</f>
        <v>Payment issue</v>
      </c>
      <c r="M27" s="19">
        <f>IF(L27="Late delivery",1,0)</f>
        <v>0</v>
      </c>
    </row>
    <row r="28">
      <c r="A28" s="38" t="str">
        <f>Customers!A26</f>
        <v>C0025</v>
      </c>
      <c r="B28" s="19">
        <f>COUNTIFS(c_cust,A28)</f>
        <v>13</v>
      </c>
      <c r="C28" s="19">
        <f>COUNTIFS(c_cust,A28,c_deliv,1)</f>
        <v>13</v>
      </c>
      <c r="D28" s="19">
        <f>B28-C28</f>
        <v>0</v>
      </c>
      <c r="E28" s="19">
        <f>COUNTIFS(c_cust,A28,c_late,1)</f>
        <v>3</v>
      </c>
      <c r="F28" s="30">
        <f>IF(C28=0,"",E28/C28)</f>
        <v>0.230769230769231</v>
      </c>
      <c r="G28" s="19">
        <f>Customers!D26</f>
        <v>13</v>
      </c>
      <c r="H28" s="19">
        <f>IF(G28=C28,1,0)</f>
        <v>1</v>
      </c>
      <c r="I28" s="19">
        <f>Customers!G26</f>
        <v>5</v>
      </c>
      <c r="J28" s="39">
        <f>Customers!I26</f>
        <v>0</v>
      </c>
      <c r="K28" s="22">
        <f>Customers!E26</f>
        <v>4.5</v>
      </c>
      <c r="L28" s="38" t="str">
        <f>IF(Customers!H26="","(no ticket)",Customers!H26)</f>
        <v>Other</v>
      </c>
      <c r="M28" s="19">
        <f>IF(L28="Late delivery",1,0)</f>
        <v>0</v>
      </c>
    </row>
    <row r="29">
      <c r="A29" s="38" t="str">
        <f>Customers!A27</f>
        <v>C0026</v>
      </c>
      <c r="B29" s="19">
        <f>COUNTIFS(c_cust,A29)</f>
        <v>6</v>
      </c>
      <c r="C29" s="19">
        <f>COUNTIFS(c_cust,A29,c_deliv,1)</f>
        <v>6</v>
      </c>
      <c r="D29" s="19">
        <f>B29-C29</f>
        <v>0</v>
      </c>
      <c r="E29" s="19">
        <f>COUNTIFS(c_cust,A29,c_late,1)</f>
        <v>0</v>
      </c>
      <c r="F29" s="30">
        <f>IF(C29=0,"",E29/C29)</f>
        <v>0</v>
      </c>
      <c r="G29" s="19">
        <f>Customers!D27</f>
        <v>6</v>
      </c>
      <c r="H29" s="19">
        <f>IF(G29=C29,1,0)</f>
        <v>1</v>
      </c>
      <c r="I29" s="19">
        <f>Customers!G27</f>
        <v>3</v>
      </c>
      <c r="J29" s="39">
        <f>Customers!I27</f>
        <v>225</v>
      </c>
      <c r="K29" s="22">
        <f>Customers!E27</f>
        <v>4.6</v>
      </c>
      <c r="L29" s="38" t="str">
        <f>IF(Customers!H27="","(no ticket)",Customers!H27)</f>
        <v>Payment issue</v>
      </c>
      <c r="M29" s="19">
        <f>IF(L29="Late delivery",1,0)</f>
        <v>0</v>
      </c>
    </row>
    <row r="30">
      <c r="A30" s="38" t="str">
        <f>Customers!A28</f>
        <v>C0027</v>
      </c>
      <c r="B30" s="19">
        <f>COUNTIFS(c_cust,A30)</f>
        <v>7</v>
      </c>
      <c r="C30" s="19">
        <f>COUNTIFS(c_cust,A30,c_deliv,1)</f>
        <v>7</v>
      </c>
      <c r="D30" s="19">
        <f>B30-C30</f>
        <v>0</v>
      </c>
      <c r="E30" s="19">
        <f>COUNTIFS(c_cust,A30,c_late,1)</f>
        <v>2</v>
      </c>
      <c r="F30" s="30">
        <f>IF(C30=0,"",E30/C30)</f>
        <v>0.285714285714286</v>
      </c>
      <c r="G30" s="19">
        <f>Customers!D28</f>
        <v>7</v>
      </c>
      <c r="H30" s="19">
        <f>IF(G30=C30,1,0)</f>
        <v>1</v>
      </c>
      <c r="I30" s="19">
        <f>Customers!G28</f>
        <v>2</v>
      </c>
      <c r="J30" s="39">
        <f>Customers!I28</f>
        <v>50</v>
      </c>
      <c r="K30" s="22">
        <f>Customers!E28</f>
        <v>4.1</v>
      </c>
      <c r="L30" s="38" t="str">
        <f>IF(Customers!H28="","(no ticket)",Customers!H28)</f>
        <v>Other</v>
      </c>
      <c r="M30" s="19">
        <f>IF(L30="Late delivery",1,0)</f>
        <v>0</v>
      </c>
    </row>
    <row r="31">
      <c r="A31" s="38" t="str">
        <f>Customers!A29</f>
        <v>C0028</v>
      </c>
      <c r="B31" s="19">
        <f>COUNTIFS(c_cust,A31)</f>
        <v>7</v>
      </c>
      <c r="C31" s="19">
        <f>COUNTIFS(c_cust,A31,c_deliv,1)</f>
        <v>7</v>
      </c>
      <c r="D31" s="19">
        <f>B31-C31</f>
        <v>0</v>
      </c>
      <c r="E31" s="19">
        <f>COUNTIFS(c_cust,A31,c_late,1)</f>
        <v>2</v>
      </c>
      <c r="F31" s="30">
        <f>IF(C31=0,"",E31/C31)</f>
        <v>0.285714285714286</v>
      </c>
      <c r="G31" s="19">
        <f>Customers!D29</f>
        <v>7</v>
      </c>
      <c r="H31" s="19">
        <f>IF(G31=C31,1,0)</f>
        <v>1</v>
      </c>
      <c r="I31" s="19">
        <f>Customers!G29</f>
        <v>6</v>
      </c>
      <c r="J31" s="39">
        <f>Customers!I29</f>
        <v>150</v>
      </c>
      <c r="K31" s="22">
        <f>Customers!E29</f>
        <v>4.2</v>
      </c>
      <c r="L31" s="38" t="str">
        <f>IF(Customers!H29="","(no ticket)",Customers!H29)</f>
        <v>Damaged item</v>
      </c>
      <c r="M31" s="19">
        <f>IF(L31="Late delivery",1,0)</f>
        <v>0</v>
      </c>
    </row>
    <row r="32">
      <c r="A32" s="38" t="str">
        <f>Customers!A30</f>
        <v>C0029</v>
      </c>
      <c r="B32" s="19">
        <f>COUNTIFS(c_cust,A32)</f>
        <v>4</v>
      </c>
      <c r="C32" s="19">
        <f>COUNTIFS(c_cust,A32,c_deliv,1)</f>
        <v>4</v>
      </c>
      <c r="D32" s="19">
        <f>B32-C32</f>
        <v>0</v>
      </c>
      <c r="E32" s="19">
        <f>COUNTIFS(c_cust,A32,c_late,1)</f>
        <v>0</v>
      </c>
      <c r="F32" s="30">
        <f>IF(C32=0,"",E32/C32)</f>
        <v>0</v>
      </c>
      <c r="G32" s="19">
        <f>Customers!D30</f>
        <v>4</v>
      </c>
      <c r="H32" s="19">
        <f>IF(G32=C32,1,0)</f>
        <v>1</v>
      </c>
      <c r="I32" s="19">
        <f>Customers!G30</f>
        <v>3</v>
      </c>
      <c r="J32" s="39">
        <f>Customers!I30</f>
        <v>225</v>
      </c>
      <c r="K32" s="22">
        <f>Customers!E30</f>
        <v>5</v>
      </c>
      <c r="L32" s="38" t="str">
        <f>IF(Customers!H30="","(no ticket)",Customers!H30)</f>
        <v>Payment issue</v>
      </c>
      <c r="M32" s="19">
        <f>IF(L32="Late delivery",1,0)</f>
        <v>0</v>
      </c>
    </row>
    <row r="33">
      <c r="A33" s="38" t="str">
        <f>Customers!A31</f>
        <v>C0030</v>
      </c>
      <c r="B33" s="19">
        <f>COUNTIFS(c_cust,A33)</f>
        <v>5</v>
      </c>
      <c r="C33" s="19">
        <f>COUNTIFS(c_cust,A33,c_deliv,1)</f>
        <v>5</v>
      </c>
      <c r="D33" s="19">
        <f>B33-C33</f>
        <v>0</v>
      </c>
      <c r="E33" s="19">
        <f>COUNTIFS(c_cust,A33,c_late,1)</f>
        <v>2</v>
      </c>
      <c r="F33" s="30">
        <f>IF(C33=0,"",E33/C33)</f>
        <v>0.4</v>
      </c>
      <c r="G33" s="19">
        <f>Customers!D31</f>
        <v>5</v>
      </c>
      <c r="H33" s="19">
        <f>IF(G33=C33,1,0)</f>
        <v>1</v>
      </c>
      <c r="I33" s="19">
        <f>Customers!G31</f>
        <v>0</v>
      </c>
      <c r="J33" s="39">
        <f>Customers!I31</f>
        <v>0</v>
      </c>
      <c r="K33" s="22">
        <f>Customers!E31</f>
        <v>4.6</v>
      </c>
      <c r="L33" s="38" t="str">
        <f>IF(Customers!H31="","(no ticket)",Customers!H31)</f>
        <v>(no ticket)</v>
      </c>
      <c r="M33" s="19">
        <f>IF(L33="Late delivery",1,0)</f>
        <v>0</v>
      </c>
    </row>
    <row r="34">
      <c r="A34" s="38" t="str">
        <f>Customers!A32</f>
        <v>C0031</v>
      </c>
      <c r="B34" s="19">
        <f>COUNTIFS(c_cust,A34)</f>
        <v>6</v>
      </c>
      <c r="C34" s="19">
        <f>COUNTIFS(c_cust,A34,c_deliv,1)</f>
        <v>6</v>
      </c>
      <c r="D34" s="19">
        <f>B34-C34</f>
        <v>0</v>
      </c>
      <c r="E34" s="19">
        <f>COUNTIFS(c_cust,A34,c_late,1)</f>
        <v>1</v>
      </c>
      <c r="F34" s="30">
        <f>IF(C34=0,"",E34/C34)</f>
        <v>0.166666666666667</v>
      </c>
      <c r="G34" s="19">
        <f>Customers!D32</f>
        <v>6</v>
      </c>
      <c r="H34" s="19">
        <f>IF(G34=C34,1,0)</f>
        <v>1</v>
      </c>
      <c r="I34" s="19">
        <f>Customers!G32</f>
        <v>1</v>
      </c>
      <c r="J34" s="39">
        <f>Customers!I32</f>
        <v>50</v>
      </c>
      <c r="K34" s="22">
        <f>Customers!E32</f>
        <v>5</v>
      </c>
      <c r="L34" s="38" t="str">
        <f>IF(Customers!H32="","(no ticket)",Customers!H32)</f>
        <v>Late delivery</v>
      </c>
      <c r="M34" s="19">
        <f>IF(L34="Late delivery",1,0)</f>
        <v>1</v>
      </c>
    </row>
    <row r="35">
      <c r="A35" s="38" t="str">
        <f>Customers!A33</f>
        <v>C0032</v>
      </c>
      <c r="B35" s="19">
        <f>COUNTIFS(c_cust,A35)</f>
        <v>7</v>
      </c>
      <c r="C35" s="19">
        <f>COUNTIFS(c_cust,A35,c_deliv,1)</f>
        <v>7</v>
      </c>
      <c r="D35" s="19">
        <f>B35-C35</f>
        <v>0</v>
      </c>
      <c r="E35" s="19">
        <f>COUNTIFS(c_cust,A35,c_late,1)</f>
        <v>1</v>
      </c>
      <c r="F35" s="30">
        <f>IF(C35=0,"",E35/C35)</f>
        <v>0.142857142857143</v>
      </c>
      <c r="G35" s="19">
        <f>Customers!D33</f>
        <v>7</v>
      </c>
      <c r="H35" s="19">
        <f>IF(G35=C35,1,0)</f>
        <v>1</v>
      </c>
      <c r="I35" s="19">
        <f>Customers!G33</f>
        <v>3</v>
      </c>
      <c r="J35" s="39">
        <f>Customers!I33</f>
        <v>225</v>
      </c>
      <c r="K35" s="22">
        <f>Customers!E33</f>
        <v>5</v>
      </c>
      <c r="L35" s="38" t="str">
        <f>IF(Customers!H33="","(no ticket)",Customers!H33)</f>
        <v>Damaged item</v>
      </c>
      <c r="M35" s="19">
        <f>IF(L35="Late delivery",1,0)</f>
        <v>0</v>
      </c>
    </row>
    <row r="36">
      <c r="A36" s="38" t="str">
        <f>Customers!A34</f>
        <v>C0033</v>
      </c>
      <c r="B36" s="19">
        <f>COUNTIFS(c_cust,A36)</f>
        <v>7</v>
      </c>
      <c r="C36" s="19">
        <f>COUNTIFS(c_cust,A36,c_deliv,1)</f>
        <v>7</v>
      </c>
      <c r="D36" s="19">
        <f>B36-C36</f>
        <v>0</v>
      </c>
      <c r="E36" s="19">
        <f>COUNTIFS(c_cust,A36,c_late,1)</f>
        <v>1</v>
      </c>
      <c r="F36" s="30">
        <f>IF(C36=0,"",E36/C36)</f>
        <v>0.142857142857143</v>
      </c>
      <c r="G36" s="19">
        <f>Customers!D34</f>
        <v>7</v>
      </c>
      <c r="H36" s="19">
        <f>IF(G36=C36,1,0)</f>
        <v>1</v>
      </c>
      <c r="I36" s="19">
        <f>Customers!G34</f>
        <v>1</v>
      </c>
      <c r="J36" s="39">
        <f>Customers!I34</f>
        <v>0</v>
      </c>
      <c r="K36" s="22">
        <f>Customers!E34</f>
        <v>4</v>
      </c>
      <c r="L36" s="38" t="str">
        <f>IF(Customers!H34="","(no ticket)",Customers!H34)</f>
        <v>Other</v>
      </c>
      <c r="M36" s="19">
        <f>IF(L36="Late delivery",1,0)</f>
        <v>0</v>
      </c>
    </row>
    <row r="37">
      <c r="A37" s="38" t="str">
        <f>Customers!A35</f>
        <v>C0034</v>
      </c>
      <c r="B37" s="19">
        <f>COUNTIFS(c_cust,A37)</f>
        <v>8</v>
      </c>
      <c r="C37" s="19">
        <f>COUNTIFS(c_cust,A37,c_deliv,1)</f>
        <v>8</v>
      </c>
      <c r="D37" s="19">
        <f>B37-C37</f>
        <v>0</v>
      </c>
      <c r="E37" s="19">
        <f>COUNTIFS(c_cust,A37,c_late,1)</f>
        <v>2</v>
      </c>
      <c r="F37" s="30">
        <f>IF(C37=0,"",E37/C37)</f>
        <v>0.25</v>
      </c>
      <c r="G37" s="19">
        <f>Customers!D35</f>
        <v>8</v>
      </c>
      <c r="H37" s="19">
        <f>IF(G37=C37,1,0)</f>
        <v>1</v>
      </c>
      <c r="I37" s="19">
        <f>Customers!G35</f>
        <v>1</v>
      </c>
      <c r="J37" s="39">
        <f>Customers!I35</f>
        <v>0</v>
      </c>
      <c r="K37" s="22">
        <f>Customers!E35</f>
        <v>4.4</v>
      </c>
      <c r="L37" s="38" t="str">
        <f>IF(Customers!H35="","(no ticket)",Customers!H35)</f>
        <v>Damaged item</v>
      </c>
      <c r="M37" s="19">
        <f>IF(L37="Late delivery",1,0)</f>
        <v>0</v>
      </c>
    </row>
    <row r="38">
      <c r="A38" s="38" t="str">
        <f>Customers!A36</f>
        <v>C0035</v>
      </c>
      <c r="B38" s="19">
        <f>COUNTIFS(c_cust,A38)</f>
        <v>11</v>
      </c>
      <c r="C38" s="19">
        <f>COUNTIFS(c_cust,A38,c_deliv,1)</f>
        <v>9</v>
      </c>
      <c r="D38" s="19">
        <f>B38-C38</f>
        <v>2</v>
      </c>
      <c r="E38" s="19">
        <f>COUNTIFS(c_cust,A38,c_late,1)</f>
        <v>0</v>
      </c>
      <c r="F38" s="30">
        <f>IF(C38=0,"",E38/C38)</f>
        <v>0</v>
      </c>
      <c r="G38" s="19">
        <f>Customers!D36</f>
        <v>9</v>
      </c>
      <c r="H38" s="19">
        <f>IF(G38=C38,1,0)</f>
        <v>1</v>
      </c>
      <c r="I38" s="19">
        <f>Customers!G36</f>
        <v>2</v>
      </c>
      <c r="J38" s="39">
        <f>Customers!I36</f>
        <v>100</v>
      </c>
      <c r="K38" s="22">
        <f>Customers!E36</f>
        <v>4.7</v>
      </c>
      <c r="L38" s="38" t="str">
        <f>IF(Customers!H36="","(no ticket)",Customers!H36)</f>
        <v>Missing item</v>
      </c>
      <c r="M38" s="19">
        <f>IF(L38="Late delivery",1,0)</f>
        <v>0</v>
      </c>
    </row>
    <row r="39">
      <c r="A39" s="38" t="str">
        <f>Customers!A37</f>
        <v>C0036</v>
      </c>
      <c r="B39" s="19">
        <f>COUNTIFS(c_cust,A39)</f>
        <v>1</v>
      </c>
      <c r="C39" s="19">
        <f>COUNTIFS(c_cust,A39,c_deliv,1)</f>
        <v>1</v>
      </c>
      <c r="D39" s="19">
        <f>B39-C39</f>
        <v>0</v>
      </c>
      <c r="E39" s="19">
        <f>COUNTIFS(c_cust,A39,c_late,1)</f>
        <v>1</v>
      </c>
      <c r="F39" s="30">
        <f>IF(C39=0,"",E39/C39)</f>
        <v>1</v>
      </c>
      <c r="G39" s="19">
        <f>Customers!D37</f>
        <v>1</v>
      </c>
      <c r="H39" s="19">
        <f>IF(G39=C39,1,0)</f>
        <v>1</v>
      </c>
      <c r="I39" s="19">
        <f>Customers!G37</f>
        <v>0</v>
      </c>
      <c r="J39" s="39">
        <f>Customers!I37</f>
        <v>0</v>
      </c>
      <c r="K39" s="22">
        <f>Customers!E37</f>
        <v>5</v>
      </c>
      <c r="L39" s="38" t="str">
        <f>IF(Customers!H37="","(no ticket)",Customers!H37)</f>
        <v>(no ticket)</v>
      </c>
      <c r="M39" s="19">
        <f>IF(L39="Late delivery",1,0)</f>
        <v>0</v>
      </c>
    </row>
    <row r="40">
      <c r="A40" s="38" t="str">
        <f>Customers!A38</f>
        <v>C0037</v>
      </c>
      <c r="B40" s="19">
        <f>COUNTIFS(c_cust,A40)</f>
        <v>3</v>
      </c>
      <c r="C40" s="19">
        <f>COUNTIFS(c_cust,A40,c_deliv,1)</f>
        <v>2</v>
      </c>
      <c r="D40" s="19">
        <f>B40-C40</f>
        <v>1</v>
      </c>
      <c r="E40" s="19">
        <f>COUNTIFS(c_cust,A40,c_late,1)</f>
        <v>0</v>
      </c>
      <c r="F40" s="30">
        <f>IF(C40=0,"",E40/C40)</f>
        <v>0</v>
      </c>
      <c r="G40" s="19">
        <f>Customers!D38</f>
        <v>2</v>
      </c>
      <c r="H40" s="19">
        <f>IF(G40=C40,1,0)</f>
        <v>1</v>
      </c>
      <c r="I40" s="19">
        <f>Customers!G38</f>
        <v>2</v>
      </c>
      <c r="J40" s="39">
        <f>Customers!I38</f>
        <v>0</v>
      </c>
      <c r="K40" s="22">
        <f>Customers!E38</f>
        <v>3.8</v>
      </c>
      <c r="L40" s="38" t="str">
        <f>IF(Customers!H38="","(no ticket)",Customers!H38)</f>
        <v>Other</v>
      </c>
      <c r="M40" s="19">
        <f>IF(L40="Late delivery",1,0)</f>
        <v>0</v>
      </c>
    </row>
    <row r="41">
      <c r="A41" s="38" t="str">
        <f>Customers!A39</f>
        <v>C0038</v>
      </c>
      <c r="B41" s="19">
        <f>COUNTIFS(c_cust,A41)</f>
        <v>3</v>
      </c>
      <c r="C41" s="19">
        <f>COUNTIFS(c_cust,A41,c_deliv,1)</f>
        <v>3</v>
      </c>
      <c r="D41" s="19">
        <f>B41-C41</f>
        <v>0</v>
      </c>
      <c r="E41" s="19">
        <f>COUNTIFS(c_cust,A41,c_late,1)</f>
        <v>1</v>
      </c>
      <c r="F41" s="30">
        <f>IF(C41=0,"",E41/C41)</f>
        <v>0.333333333333333</v>
      </c>
      <c r="G41" s="19">
        <f>Customers!D39</f>
        <v>3</v>
      </c>
      <c r="H41" s="19">
        <f>IF(G41=C41,1,0)</f>
        <v>1</v>
      </c>
      <c r="I41" s="19">
        <f>Customers!G39</f>
        <v>1</v>
      </c>
      <c r="J41" s="39">
        <f>Customers!I39</f>
        <v>25</v>
      </c>
      <c r="K41" s="22">
        <f>Customers!E39</f>
        <v>4.5</v>
      </c>
      <c r="L41" s="38" t="str">
        <f>IF(Customers!H39="","(no ticket)",Customers!H39)</f>
        <v>Damaged item</v>
      </c>
      <c r="M41" s="19">
        <f>IF(L41="Late delivery",1,0)</f>
        <v>0</v>
      </c>
    </row>
    <row r="42">
      <c r="A42" s="38" t="str">
        <f>Customers!A40</f>
        <v>C0039</v>
      </c>
      <c r="B42" s="19">
        <f>COUNTIFS(c_cust,A42)</f>
        <v>6</v>
      </c>
      <c r="C42" s="19">
        <f>COUNTIFS(c_cust,A42,c_deliv,1)</f>
        <v>6</v>
      </c>
      <c r="D42" s="19">
        <f>B42-C42</f>
        <v>0</v>
      </c>
      <c r="E42" s="19">
        <f>COUNTIFS(c_cust,A42,c_late,1)</f>
        <v>3</v>
      </c>
      <c r="F42" s="30">
        <f>IF(C42=0,"",E42/C42)</f>
        <v>0.5</v>
      </c>
      <c r="G42" s="19">
        <f>Customers!D40</f>
        <v>6</v>
      </c>
      <c r="H42" s="19">
        <f>IF(G42=C42,1,0)</f>
        <v>1</v>
      </c>
      <c r="I42" s="19">
        <f>Customers!G40</f>
        <v>3</v>
      </c>
      <c r="J42" s="39">
        <f>Customers!I40</f>
        <v>0</v>
      </c>
      <c r="K42" s="22">
        <f>Customers!E40</f>
        <v>5</v>
      </c>
      <c r="L42" s="38" t="str">
        <f>IF(Customers!H40="","(no ticket)",Customers!H40)</f>
        <v>Late delivery</v>
      </c>
      <c r="M42" s="19">
        <f>IF(L42="Late delivery",1,0)</f>
        <v>1</v>
      </c>
    </row>
    <row r="43">
      <c r="A43" s="38" t="str">
        <f>Customers!A41</f>
        <v>C0040</v>
      </c>
      <c r="B43" s="19">
        <f>COUNTIFS(c_cust,A43)</f>
        <v>7</v>
      </c>
      <c r="C43" s="19">
        <f>COUNTIFS(c_cust,A43,c_deliv,1)</f>
        <v>6</v>
      </c>
      <c r="D43" s="19">
        <f>B43-C43</f>
        <v>1</v>
      </c>
      <c r="E43" s="19">
        <f>COUNTIFS(c_cust,A43,c_late,1)</f>
        <v>4</v>
      </c>
      <c r="F43" s="30">
        <f>IF(C43=0,"",E43/C43)</f>
        <v>0.666666666666667</v>
      </c>
      <c r="G43" s="19">
        <f>Customers!D41</f>
        <v>6</v>
      </c>
      <c r="H43" s="19">
        <f>IF(G43=C43,1,0)</f>
        <v>1</v>
      </c>
      <c r="I43" s="19">
        <f>Customers!G41</f>
        <v>3</v>
      </c>
      <c r="J43" s="39">
        <f>Customers!I41</f>
        <v>0</v>
      </c>
      <c r="K43" s="22">
        <f>Customers!E41</f>
        <v>4.2</v>
      </c>
      <c r="L43" s="38" t="str">
        <f>IF(Customers!H41="","(no ticket)",Customers!H41)</f>
        <v>Missing item</v>
      </c>
      <c r="M43" s="19">
        <f>IF(L43="Late delivery",1,0)</f>
        <v>0</v>
      </c>
    </row>
    <row r="44">
      <c r="A44" s="38" t="str">
        <f>Customers!A42</f>
        <v>C0041</v>
      </c>
      <c r="B44" s="19">
        <f>COUNTIFS(c_cust,A44)</f>
        <v>8</v>
      </c>
      <c r="C44" s="19">
        <f>COUNTIFS(c_cust,A44,c_deliv,1)</f>
        <v>8</v>
      </c>
      <c r="D44" s="19">
        <f>B44-C44</f>
        <v>0</v>
      </c>
      <c r="E44" s="19">
        <f>COUNTIFS(c_cust,A44,c_late,1)</f>
        <v>2</v>
      </c>
      <c r="F44" s="30">
        <f>IF(C44=0,"",E44/C44)</f>
        <v>0.25</v>
      </c>
      <c r="G44" s="19">
        <f>Customers!D42</f>
        <v>8</v>
      </c>
      <c r="H44" s="19">
        <f>IF(G44=C44,1,0)</f>
        <v>1</v>
      </c>
      <c r="I44" s="19">
        <f>Customers!G42</f>
        <v>2</v>
      </c>
      <c r="J44" s="39">
        <f>Customers!I42</f>
        <v>0</v>
      </c>
      <c r="K44" s="22">
        <f>Customers!E42</f>
        <v>4.9</v>
      </c>
      <c r="L44" s="38" t="str">
        <f>IF(Customers!H42="","(no ticket)",Customers!H42)</f>
        <v>Damaged item</v>
      </c>
      <c r="M44" s="19">
        <f>IF(L44="Late delivery",1,0)</f>
        <v>0</v>
      </c>
    </row>
    <row r="45">
      <c r="A45" s="38" t="str">
        <f>Customers!A43</f>
        <v>C0042</v>
      </c>
      <c r="B45" s="19">
        <f>COUNTIFS(c_cust,A45)</f>
        <v>7</v>
      </c>
      <c r="C45" s="19">
        <f>COUNTIFS(c_cust,A45,c_deliv,1)</f>
        <v>7</v>
      </c>
      <c r="D45" s="19">
        <f>B45-C45</f>
        <v>0</v>
      </c>
      <c r="E45" s="19">
        <f>COUNTIFS(c_cust,A45,c_late,1)</f>
        <v>1</v>
      </c>
      <c r="F45" s="30">
        <f>IF(C45=0,"",E45/C45)</f>
        <v>0.142857142857143</v>
      </c>
      <c r="G45" s="19">
        <f>Customers!D43</f>
        <v>7</v>
      </c>
      <c r="H45" s="19">
        <f>IF(G45=C45,1,0)</f>
        <v>1</v>
      </c>
      <c r="I45" s="19">
        <f>Customers!G43</f>
        <v>1</v>
      </c>
      <c r="J45" s="39">
        <f>Customers!I43</f>
        <v>25</v>
      </c>
      <c r="K45" s="22">
        <f>Customers!E43</f>
        <v>4.1</v>
      </c>
      <c r="L45" s="38" t="str">
        <f>IF(Customers!H43="","(no ticket)",Customers!H43)</f>
        <v>Damaged item</v>
      </c>
      <c r="M45" s="19">
        <f>IF(L45="Late delivery",1,0)</f>
        <v>0</v>
      </c>
    </row>
    <row r="46">
      <c r="A46" s="38" t="str">
        <f>Customers!A44</f>
        <v>C0043</v>
      </c>
      <c r="B46" s="19">
        <f>COUNTIFS(c_cust,A46)</f>
        <v>4</v>
      </c>
      <c r="C46" s="19">
        <f>COUNTIFS(c_cust,A46,c_deliv,1)</f>
        <v>4</v>
      </c>
      <c r="D46" s="19">
        <f>B46-C46</f>
        <v>0</v>
      </c>
      <c r="E46" s="19">
        <f>COUNTIFS(c_cust,A46,c_late,1)</f>
        <v>3</v>
      </c>
      <c r="F46" s="30">
        <f>IF(C46=0,"",E46/C46)</f>
        <v>0.75</v>
      </c>
      <c r="G46" s="19">
        <f>Customers!D44</f>
        <v>4</v>
      </c>
      <c r="H46" s="19">
        <f>IF(G46=C46,1,0)</f>
        <v>1</v>
      </c>
      <c r="I46" s="19">
        <f>Customers!G44</f>
        <v>3</v>
      </c>
      <c r="J46" s="39">
        <f>Customers!I44</f>
        <v>0</v>
      </c>
      <c r="K46" s="22">
        <f>Customers!E44</f>
        <v>4.8</v>
      </c>
      <c r="L46" s="38" t="str">
        <f>IF(Customers!H44="","(no ticket)",Customers!H44)</f>
        <v>Other</v>
      </c>
      <c r="M46" s="19">
        <f>IF(L46="Late delivery",1,0)</f>
        <v>0</v>
      </c>
    </row>
    <row r="47">
      <c r="A47" s="38" t="str">
        <f>Customers!A45</f>
        <v>C0044</v>
      </c>
      <c r="B47" s="19">
        <f>COUNTIFS(c_cust,A47)</f>
        <v>4</v>
      </c>
      <c r="C47" s="19">
        <f>COUNTIFS(c_cust,A47,c_deliv,1)</f>
        <v>4</v>
      </c>
      <c r="D47" s="19">
        <f>B47-C47</f>
        <v>0</v>
      </c>
      <c r="E47" s="19">
        <f>COUNTIFS(c_cust,A47,c_late,1)</f>
        <v>1</v>
      </c>
      <c r="F47" s="30">
        <f>IF(C47=0,"",E47/C47)</f>
        <v>0.25</v>
      </c>
      <c r="G47" s="19">
        <f>Customers!D45</f>
        <v>4</v>
      </c>
      <c r="H47" s="19">
        <f>IF(G47=C47,1,0)</f>
        <v>1</v>
      </c>
      <c r="I47" s="19">
        <f>Customers!G45</f>
        <v>2</v>
      </c>
      <c r="J47" s="39">
        <f>Customers!I45</f>
        <v>150</v>
      </c>
      <c r="K47" s="22">
        <f>Customers!E45</f>
        <v>5</v>
      </c>
      <c r="L47" s="38" t="str">
        <f>IF(Customers!H45="","(no ticket)",Customers!H45)</f>
        <v>Damaged item</v>
      </c>
      <c r="M47" s="19">
        <f>IF(L47="Late delivery",1,0)</f>
        <v>0</v>
      </c>
    </row>
    <row r="48">
      <c r="A48" s="38" t="str">
        <f>Customers!A46</f>
        <v>C0045</v>
      </c>
      <c r="B48" s="19">
        <f>COUNTIFS(c_cust,A48)</f>
        <v>5</v>
      </c>
      <c r="C48" s="19">
        <f>COUNTIFS(c_cust,A48,c_deliv,1)</f>
        <v>5</v>
      </c>
      <c r="D48" s="19">
        <f>B48-C48</f>
        <v>0</v>
      </c>
      <c r="E48" s="19">
        <f>COUNTIFS(c_cust,A48,c_late,1)</f>
        <v>2</v>
      </c>
      <c r="F48" s="30">
        <f>IF(C48=0,"",E48/C48)</f>
        <v>0.4</v>
      </c>
      <c r="G48" s="19">
        <f>Customers!D46</f>
        <v>5</v>
      </c>
      <c r="H48" s="19">
        <f>IF(G48=C48,1,0)</f>
        <v>1</v>
      </c>
      <c r="I48" s="19">
        <f>Customers!G46</f>
        <v>1</v>
      </c>
      <c r="J48" s="39">
        <f>Customers!I46</f>
        <v>25</v>
      </c>
      <c r="K48" s="22">
        <f>Customers!E46</f>
        <v>3.9</v>
      </c>
      <c r="L48" s="38" t="str">
        <f>IF(Customers!H46="","(no ticket)",Customers!H46)</f>
        <v>Late delivery</v>
      </c>
      <c r="M48" s="19">
        <f>IF(L48="Late delivery",1,0)</f>
        <v>1</v>
      </c>
    </row>
    <row r="49">
      <c r="A49" s="38" t="str">
        <f>Customers!A47</f>
        <v>C0046</v>
      </c>
      <c r="B49" s="19">
        <f>COUNTIFS(c_cust,A49)</f>
        <v>3</v>
      </c>
      <c r="C49" s="19">
        <f>COUNTIFS(c_cust,A49,c_deliv,1)</f>
        <v>3</v>
      </c>
      <c r="D49" s="19">
        <f>B49-C49</f>
        <v>0</v>
      </c>
      <c r="E49" s="19">
        <f>COUNTIFS(c_cust,A49,c_late,1)</f>
        <v>1</v>
      </c>
      <c r="F49" s="30">
        <f>IF(C49=0,"",E49/C49)</f>
        <v>0.333333333333333</v>
      </c>
      <c r="G49" s="19">
        <f>Customers!D47</f>
        <v>3</v>
      </c>
      <c r="H49" s="19">
        <f>IF(G49=C49,1,0)</f>
        <v>1</v>
      </c>
      <c r="I49" s="19">
        <f>Customers!G47</f>
        <v>1</v>
      </c>
      <c r="J49" s="39">
        <f>Customers!I47</f>
        <v>25</v>
      </c>
      <c r="K49" s="22">
        <f>Customers!E47</f>
        <v>4.7</v>
      </c>
      <c r="L49" s="38" t="str">
        <f>IF(Customers!H47="","(no ticket)",Customers!H47)</f>
        <v>Damaged item</v>
      </c>
      <c r="M49" s="19">
        <f>IF(L49="Late delivery",1,0)</f>
        <v>0</v>
      </c>
    </row>
    <row r="50">
      <c r="A50" s="38" t="str">
        <f>Customers!A48</f>
        <v>C0047</v>
      </c>
      <c r="B50" s="19">
        <f>COUNTIFS(c_cust,A50)</f>
        <v>9</v>
      </c>
      <c r="C50" s="19">
        <f>COUNTIFS(c_cust,A50,c_deliv,1)</f>
        <v>9</v>
      </c>
      <c r="D50" s="19">
        <f>B50-C50</f>
        <v>0</v>
      </c>
      <c r="E50" s="19">
        <f>COUNTIFS(c_cust,A50,c_late,1)</f>
        <v>2</v>
      </c>
      <c r="F50" s="30">
        <f>IF(C50=0,"",E50/C50)</f>
        <v>0.222222222222222</v>
      </c>
      <c r="G50" s="19">
        <f>Customers!D48</f>
        <v>9</v>
      </c>
      <c r="H50" s="19">
        <f>IF(G50=C50,1,0)</f>
        <v>1</v>
      </c>
      <c r="I50" s="19">
        <f>Customers!G48</f>
        <v>4</v>
      </c>
      <c r="J50" s="39">
        <f>Customers!I48</f>
        <v>200</v>
      </c>
      <c r="K50" s="22">
        <f>Customers!E48</f>
        <v>5</v>
      </c>
      <c r="L50" s="38" t="str">
        <f>IF(Customers!H48="","(no ticket)",Customers!H48)</f>
        <v>Damaged item</v>
      </c>
      <c r="M50" s="19">
        <f>IF(L50="Late delivery",1,0)</f>
        <v>0</v>
      </c>
    </row>
    <row r="51">
      <c r="A51" s="38" t="str">
        <f>Customers!A49</f>
        <v>C0048</v>
      </c>
      <c r="B51" s="19">
        <f>COUNTIFS(c_cust,A51)</f>
        <v>5</v>
      </c>
      <c r="C51" s="19">
        <f>COUNTIFS(c_cust,A51,c_deliv,1)</f>
        <v>5</v>
      </c>
      <c r="D51" s="19">
        <f>B51-C51</f>
        <v>0</v>
      </c>
      <c r="E51" s="19">
        <f>COUNTIFS(c_cust,A51,c_late,1)</f>
        <v>0</v>
      </c>
      <c r="F51" s="30">
        <f>IF(C51=0,"",E51/C51)</f>
        <v>0</v>
      </c>
      <c r="G51" s="19">
        <f>Customers!D49</f>
        <v>5</v>
      </c>
      <c r="H51" s="19">
        <f>IF(G51=C51,1,0)</f>
        <v>1</v>
      </c>
      <c r="I51" s="19">
        <f>Customers!G49</f>
        <v>2</v>
      </c>
      <c r="J51" s="39">
        <f>Customers!I49</f>
        <v>100</v>
      </c>
      <c r="K51" s="22">
        <f>Customers!E49</f>
        <v>4.2</v>
      </c>
      <c r="L51" s="38" t="str">
        <f>IF(Customers!H49="","(no ticket)",Customers!H49)</f>
        <v>Missing item</v>
      </c>
      <c r="M51" s="19">
        <f>IF(L51="Late delivery",1,0)</f>
        <v>0</v>
      </c>
    </row>
    <row r="52">
      <c r="A52" s="38" t="str">
        <f>Customers!A50</f>
        <v>C0049</v>
      </c>
      <c r="B52" s="19">
        <f>COUNTIFS(c_cust,A52)</f>
        <v>8</v>
      </c>
      <c r="C52" s="19">
        <f>COUNTIFS(c_cust,A52,c_deliv,1)</f>
        <v>8</v>
      </c>
      <c r="D52" s="19">
        <f>B52-C52</f>
        <v>0</v>
      </c>
      <c r="E52" s="19">
        <f>COUNTIFS(c_cust,A52,c_late,1)</f>
        <v>2</v>
      </c>
      <c r="F52" s="30">
        <f>IF(C52=0,"",E52/C52)</f>
        <v>0.25</v>
      </c>
      <c r="G52" s="19">
        <f>Customers!D50</f>
        <v>8</v>
      </c>
      <c r="H52" s="19">
        <f>IF(G52=C52,1,0)</f>
        <v>1</v>
      </c>
      <c r="I52" s="19">
        <f>Customers!G50</f>
        <v>2</v>
      </c>
      <c r="J52" s="39">
        <f>Customers!I50</f>
        <v>150</v>
      </c>
      <c r="K52" s="22">
        <f>Customers!E50</f>
        <v>5</v>
      </c>
      <c r="L52" s="38" t="str">
        <f>IF(Customers!H50="","(no ticket)",Customers!H50)</f>
        <v>Late delivery</v>
      </c>
      <c r="M52" s="19">
        <f>IF(L52="Late delivery",1,0)</f>
        <v>1</v>
      </c>
    </row>
    <row r="53">
      <c r="A53" s="38" t="str">
        <f>Customers!A51</f>
        <v>C0050</v>
      </c>
      <c r="B53" s="19">
        <f>COUNTIFS(c_cust,A53)</f>
        <v>4</v>
      </c>
      <c r="C53" s="19">
        <f>COUNTIFS(c_cust,A53,c_deliv,1)</f>
        <v>4</v>
      </c>
      <c r="D53" s="19">
        <f>B53-C53</f>
        <v>0</v>
      </c>
      <c r="E53" s="19">
        <f>COUNTIFS(c_cust,A53,c_late,1)</f>
        <v>0</v>
      </c>
      <c r="F53" s="30">
        <f>IF(C53=0,"",E53/C53)</f>
        <v>0</v>
      </c>
      <c r="G53" s="19">
        <f>Customers!D51</f>
        <v>4</v>
      </c>
      <c r="H53" s="19">
        <f>IF(G53=C53,1,0)</f>
        <v>1</v>
      </c>
      <c r="I53" s="19">
        <f>Customers!G51</f>
        <v>0</v>
      </c>
      <c r="J53" s="39">
        <f>Customers!I51</f>
        <v>0</v>
      </c>
      <c r="K53" s="22">
        <f>Customers!E51</f>
        <v>4.5</v>
      </c>
      <c r="L53" s="38" t="str">
        <f>IF(Customers!H51="","(no ticket)",Customers!H51)</f>
        <v>(no ticket)</v>
      </c>
      <c r="M53" s="19">
        <f>IF(L53="Late delivery",1,0)</f>
        <v>0</v>
      </c>
    </row>
    <row r="54">
      <c r="A54" s="38" t="str">
        <f>Customers!A52</f>
        <v>C0051</v>
      </c>
      <c r="B54" s="19">
        <f>COUNTIFS(c_cust,A54)</f>
        <v>6</v>
      </c>
      <c r="C54" s="19">
        <f>COUNTIFS(c_cust,A54,c_deliv,1)</f>
        <v>6</v>
      </c>
      <c r="D54" s="19">
        <f>B54-C54</f>
        <v>0</v>
      </c>
      <c r="E54" s="19">
        <f>COUNTIFS(c_cust,A54,c_late,1)</f>
        <v>2</v>
      </c>
      <c r="F54" s="30">
        <f>IF(C54=0,"",E54/C54)</f>
        <v>0.333333333333333</v>
      </c>
      <c r="G54" s="19">
        <f>Customers!D52</f>
        <v>6</v>
      </c>
      <c r="H54" s="19">
        <f>IF(G54=C54,1,0)</f>
        <v>1</v>
      </c>
      <c r="I54" s="19">
        <f>Customers!G52</f>
        <v>3</v>
      </c>
      <c r="J54" s="39">
        <f>Customers!I52</f>
        <v>0</v>
      </c>
      <c r="K54" s="22">
        <f>Customers!E52</f>
        <v>5</v>
      </c>
      <c r="L54" s="38" t="str">
        <f>IF(Customers!H52="","(no ticket)",Customers!H52)</f>
        <v>Late delivery</v>
      </c>
      <c r="M54" s="19">
        <f>IF(L54="Late delivery",1,0)</f>
        <v>1</v>
      </c>
    </row>
    <row r="55">
      <c r="A55" s="38" t="str">
        <f>Customers!A53</f>
        <v>C0052</v>
      </c>
      <c r="B55" s="19">
        <f>COUNTIFS(c_cust,A55)</f>
        <v>8</v>
      </c>
      <c r="C55" s="19">
        <f>COUNTIFS(c_cust,A55,c_deliv,1)</f>
        <v>8</v>
      </c>
      <c r="D55" s="19">
        <f>B55-C55</f>
        <v>0</v>
      </c>
      <c r="E55" s="19">
        <f>COUNTIFS(c_cust,A55,c_late,1)</f>
        <v>3</v>
      </c>
      <c r="F55" s="30">
        <f>IF(C55=0,"",E55/C55)</f>
        <v>0.375</v>
      </c>
      <c r="G55" s="19">
        <f>Customers!D53</f>
        <v>8</v>
      </c>
      <c r="H55" s="19">
        <f>IF(G55=C55,1,0)</f>
        <v>1</v>
      </c>
      <c r="I55" s="19">
        <f>Customers!G53</f>
        <v>4</v>
      </c>
      <c r="J55" s="39">
        <f>Customers!I53</f>
        <v>300</v>
      </c>
      <c r="K55" s="22">
        <f>Customers!E53</f>
        <v>5</v>
      </c>
      <c r="L55" s="38" t="str">
        <f>IF(Customers!H53="","(no ticket)",Customers!H53)</f>
        <v>Payment issue</v>
      </c>
      <c r="M55" s="19">
        <f>IF(L55="Late delivery",1,0)</f>
        <v>0</v>
      </c>
    </row>
    <row r="56">
      <c r="A56" s="38" t="str">
        <f>Customers!A54</f>
        <v>C0053</v>
      </c>
      <c r="B56" s="19">
        <f>COUNTIFS(c_cust,A56)</f>
        <v>9</v>
      </c>
      <c r="C56" s="19">
        <f>COUNTIFS(c_cust,A56,c_deliv,1)</f>
        <v>8</v>
      </c>
      <c r="D56" s="19">
        <f>B56-C56</f>
        <v>1</v>
      </c>
      <c r="E56" s="19">
        <f>COUNTIFS(c_cust,A56,c_late,1)</f>
        <v>1</v>
      </c>
      <c r="F56" s="30">
        <f>IF(C56=0,"",E56/C56)</f>
        <v>0.125</v>
      </c>
      <c r="G56" s="19">
        <f>Customers!D54</f>
        <v>8</v>
      </c>
      <c r="H56" s="19">
        <f>IF(G56=C56,1,0)</f>
        <v>1</v>
      </c>
      <c r="I56" s="19">
        <f>Customers!G54</f>
        <v>1</v>
      </c>
      <c r="J56" s="39">
        <f>Customers!I54</f>
        <v>25</v>
      </c>
      <c r="K56" s="22">
        <f>Customers!E54</f>
        <v>4.5</v>
      </c>
      <c r="L56" s="38" t="str">
        <f>IF(Customers!H54="","(no ticket)",Customers!H54)</f>
        <v>Missing item</v>
      </c>
      <c r="M56" s="19">
        <f>IF(L56="Late delivery",1,0)</f>
        <v>0</v>
      </c>
    </row>
    <row r="57">
      <c r="A57" s="38" t="str">
        <f>Customers!A55</f>
        <v>C0054</v>
      </c>
      <c r="B57" s="19">
        <f>COUNTIFS(c_cust,A57)</f>
        <v>5</v>
      </c>
      <c r="C57" s="19">
        <f>COUNTIFS(c_cust,A57,c_deliv,1)</f>
        <v>5</v>
      </c>
      <c r="D57" s="19">
        <f>B57-C57</f>
        <v>0</v>
      </c>
      <c r="E57" s="19">
        <f>COUNTIFS(c_cust,A57,c_late,1)</f>
        <v>3</v>
      </c>
      <c r="F57" s="30">
        <f>IF(C57=0,"",E57/C57)</f>
        <v>0.6</v>
      </c>
      <c r="G57" s="19">
        <f>Customers!D55</f>
        <v>5</v>
      </c>
      <c r="H57" s="19">
        <f>IF(G57=C57,1,0)</f>
        <v>1</v>
      </c>
      <c r="I57" s="19">
        <f>Customers!G55</f>
        <v>0</v>
      </c>
      <c r="J57" s="39">
        <f>Customers!I55</f>
        <v>0</v>
      </c>
      <c r="K57" s="22">
        <f>Customers!E55</f>
        <v>5</v>
      </c>
      <c r="L57" s="38" t="str">
        <f>IF(Customers!H55="","(no ticket)",Customers!H55)</f>
        <v>(no ticket)</v>
      </c>
      <c r="M57" s="19">
        <f>IF(L57="Late delivery",1,0)</f>
        <v>0</v>
      </c>
    </row>
    <row r="58">
      <c r="A58" s="38" t="str">
        <f>Customers!A56</f>
        <v>C0055</v>
      </c>
      <c r="B58" s="19">
        <f>COUNTIFS(c_cust,A58)</f>
        <v>9</v>
      </c>
      <c r="C58" s="19">
        <f>COUNTIFS(c_cust,A58,c_deliv,1)</f>
        <v>9</v>
      </c>
      <c r="D58" s="19">
        <f>B58-C58</f>
        <v>0</v>
      </c>
      <c r="E58" s="19">
        <f>COUNTIFS(c_cust,A58,c_late,1)</f>
        <v>2</v>
      </c>
      <c r="F58" s="30">
        <f>IF(C58=0,"",E58/C58)</f>
        <v>0.222222222222222</v>
      </c>
      <c r="G58" s="19">
        <f>Customers!D56</f>
        <v>9</v>
      </c>
      <c r="H58" s="19">
        <f>IF(G58=C58,1,0)</f>
        <v>1</v>
      </c>
      <c r="I58" s="19">
        <f>Customers!G56</f>
        <v>2</v>
      </c>
      <c r="J58" s="39">
        <f>Customers!I56</f>
        <v>150</v>
      </c>
      <c r="K58" s="22">
        <f>Customers!E56</f>
        <v>5</v>
      </c>
      <c r="L58" s="38" t="str">
        <f>IF(Customers!H56="","(no ticket)",Customers!H56)</f>
        <v>Damaged item</v>
      </c>
      <c r="M58" s="19">
        <f>IF(L58="Late delivery",1,0)</f>
        <v>0</v>
      </c>
    </row>
    <row r="59">
      <c r="A59" s="38" t="str">
        <f>Customers!A57</f>
        <v>C0056</v>
      </c>
      <c r="B59" s="19">
        <f>COUNTIFS(c_cust,A59)</f>
        <v>4</v>
      </c>
      <c r="C59" s="19">
        <f>COUNTIFS(c_cust,A59,c_deliv,1)</f>
        <v>4</v>
      </c>
      <c r="D59" s="19">
        <f>B59-C59</f>
        <v>0</v>
      </c>
      <c r="E59" s="19">
        <f>COUNTIFS(c_cust,A59,c_late,1)</f>
        <v>0</v>
      </c>
      <c r="F59" s="30">
        <f>IF(C59=0,"",E59/C59)</f>
        <v>0</v>
      </c>
      <c r="G59" s="19">
        <f>Customers!D57</f>
        <v>4</v>
      </c>
      <c r="H59" s="19">
        <f>IF(G59=C59,1,0)</f>
        <v>1</v>
      </c>
      <c r="I59" s="19">
        <f>Customers!G57</f>
        <v>1</v>
      </c>
      <c r="J59" s="39">
        <f>Customers!I57</f>
        <v>25</v>
      </c>
      <c r="K59" s="22">
        <f>Customers!E57</f>
        <v>4.5</v>
      </c>
      <c r="L59" s="38" t="str">
        <f>IF(Customers!H57="","(no ticket)",Customers!H57)</f>
        <v>Damaged item</v>
      </c>
      <c r="M59" s="19">
        <f>IF(L59="Late delivery",1,0)</f>
        <v>0</v>
      </c>
    </row>
    <row r="60">
      <c r="A60" s="38" t="str">
        <f>Customers!A58</f>
        <v>C0057</v>
      </c>
      <c r="B60" s="19">
        <f>COUNTIFS(c_cust,A60)</f>
        <v>7</v>
      </c>
      <c r="C60" s="19">
        <f>COUNTIFS(c_cust,A60,c_deliv,1)</f>
        <v>6</v>
      </c>
      <c r="D60" s="19">
        <f>B60-C60</f>
        <v>1</v>
      </c>
      <c r="E60" s="19">
        <f>COUNTIFS(c_cust,A60,c_late,1)</f>
        <v>5</v>
      </c>
      <c r="F60" s="30">
        <f>IF(C60=0,"",E60/C60)</f>
        <v>0.833333333333333</v>
      </c>
      <c r="G60" s="19">
        <f>Customers!D58</f>
        <v>6</v>
      </c>
      <c r="H60" s="19">
        <f>IF(G60=C60,1,0)</f>
        <v>1</v>
      </c>
      <c r="I60" s="19">
        <f>Customers!G58</f>
        <v>4</v>
      </c>
      <c r="J60" s="39">
        <f>Customers!I58</f>
        <v>200</v>
      </c>
      <c r="K60" s="22">
        <f>Customers!E58</f>
        <v>5</v>
      </c>
      <c r="L60" s="38" t="str">
        <f>IF(Customers!H58="","(no ticket)",Customers!H58)</f>
        <v>Late delivery</v>
      </c>
      <c r="M60" s="19">
        <f>IF(L60="Late delivery",1,0)</f>
        <v>1</v>
      </c>
    </row>
    <row r="61">
      <c r="A61" s="38" t="str">
        <f>Customers!A59</f>
        <v>C0058</v>
      </c>
      <c r="B61" s="19">
        <f>COUNTIFS(c_cust,A61)</f>
        <v>3</v>
      </c>
      <c r="C61" s="19">
        <f>COUNTIFS(c_cust,A61,c_deliv,1)</f>
        <v>3</v>
      </c>
      <c r="D61" s="19">
        <f>B61-C61</f>
        <v>0</v>
      </c>
      <c r="E61" s="19">
        <f>COUNTIFS(c_cust,A61,c_late,1)</f>
        <v>0</v>
      </c>
      <c r="F61" s="30">
        <f>IF(C61=0,"",E61/C61)</f>
        <v>0</v>
      </c>
      <c r="G61" s="19">
        <f>Customers!D59</f>
        <v>3</v>
      </c>
      <c r="H61" s="19">
        <f>IF(G61=C61,1,0)</f>
        <v>1</v>
      </c>
      <c r="I61" s="19">
        <f>Customers!G59</f>
        <v>3</v>
      </c>
      <c r="J61" s="39">
        <f>Customers!I59</f>
        <v>0</v>
      </c>
      <c r="K61" s="22">
        <f>Customers!E59</f>
        <v>4.5</v>
      </c>
      <c r="L61" s="38" t="str">
        <f>IF(Customers!H59="","(no ticket)",Customers!H59)</f>
        <v>Missing item</v>
      </c>
      <c r="M61" s="19">
        <f>IF(L61="Late delivery",1,0)</f>
        <v>0</v>
      </c>
    </row>
    <row r="62">
      <c r="A62" s="38" t="str">
        <f>Customers!A60</f>
        <v>C0059</v>
      </c>
      <c r="B62" s="19">
        <f>COUNTIFS(c_cust,A62)</f>
        <v>5</v>
      </c>
      <c r="C62" s="19">
        <f>COUNTIFS(c_cust,A62,c_deliv,1)</f>
        <v>5</v>
      </c>
      <c r="D62" s="19">
        <f>B62-C62</f>
        <v>0</v>
      </c>
      <c r="E62" s="19">
        <f>COUNTIFS(c_cust,A62,c_late,1)</f>
        <v>3</v>
      </c>
      <c r="F62" s="30">
        <f>IF(C62=0,"",E62/C62)</f>
        <v>0.6</v>
      </c>
      <c r="G62" s="19">
        <f>Customers!D60</f>
        <v>5</v>
      </c>
      <c r="H62" s="19">
        <f>IF(G62=C62,1,0)</f>
        <v>1</v>
      </c>
      <c r="I62" s="19">
        <f>Customers!G60</f>
        <v>4</v>
      </c>
      <c r="J62" s="39">
        <f>Customers!I60</f>
        <v>0</v>
      </c>
      <c r="K62" s="22">
        <f>Customers!E60</f>
        <v>3.9</v>
      </c>
      <c r="L62" s="38" t="str">
        <f>IF(Customers!H60="","(no ticket)",Customers!H60)</f>
        <v>Other</v>
      </c>
      <c r="M62" s="19">
        <f>IF(L62="Late delivery",1,0)</f>
        <v>0</v>
      </c>
    </row>
    <row r="63">
      <c r="A63" s="38" t="str">
        <f>Customers!A61</f>
        <v>C0060</v>
      </c>
      <c r="B63" s="19">
        <f>COUNTIFS(c_cust,A63)</f>
        <v>5</v>
      </c>
      <c r="C63" s="19">
        <f>COUNTIFS(c_cust,A63,c_deliv,1)</f>
        <v>5</v>
      </c>
      <c r="D63" s="19">
        <f>B63-C63</f>
        <v>0</v>
      </c>
      <c r="E63" s="19">
        <f>COUNTIFS(c_cust,A63,c_late,1)</f>
        <v>1</v>
      </c>
      <c r="F63" s="30">
        <f>IF(C63=0,"",E63/C63)</f>
        <v>0.2</v>
      </c>
      <c r="G63" s="19">
        <f>Customers!D61</f>
        <v>5</v>
      </c>
      <c r="H63" s="19">
        <f>IF(G63=C63,1,0)</f>
        <v>1</v>
      </c>
      <c r="I63" s="19">
        <f>Customers!G61</f>
        <v>2</v>
      </c>
      <c r="J63" s="39">
        <f>Customers!I61</f>
        <v>100</v>
      </c>
      <c r="K63" s="22">
        <f>Customers!E61</f>
        <v>5</v>
      </c>
      <c r="L63" s="38" t="str">
        <f>IF(Customers!H61="","(no ticket)",Customers!H61)</f>
        <v>Payment issue</v>
      </c>
      <c r="M63" s="19">
        <f>IF(L63="Late delivery",1,0)</f>
        <v>0</v>
      </c>
    </row>
    <row r="64">
      <c r="A64" s="38" t="str">
        <f>Customers!A62</f>
        <v>C0061</v>
      </c>
      <c r="B64" s="19">
        <f>COUNTIFS(c_cust,A64)</f>
        <v>8</v>
      </c>
      <c r="C64" s="19">
        <f>COUNTIFS(c_cust,A64,c_deliv,1)</f>
        <v>8</v>
      </c>
      <c r="D64" s="19">
        <f>B64-C64</f>
        <v>0</v>
      </c>
      <c r="E64" s="19">
        <f>COUNTIFS(c_cust,A64,c_late,1)</f>
        <v>2</v>
      </c>
      <c r="F64" s="30">
        <f>IF(C64=0,"",E64/C64)</f>
        <v>0.25</v>
      </c>
      <c r="G64" s="19">
        <f>Customers!D62</f>
        <v>8</v>
      </c>
      <c r="H64" s="19">
        <f>IF(G64=C64,1,0)</f>
        <v>1</v>
      </c>
      <c r="I64" s="19">
        <f>Customers!G62</f>
        <v>4</v>
      </c>
      <c r="J64" s="39">
        <f>Customers!I62</f>
        <v>300</v>
      </c>
      <c r="K64" s="22">
        <f>Customers!E62</f>
        <v>4.5</v>
      </c>
      <c r="L64" s="38" t="str">
        <f>IF(Customers!H62="","(no ticket)",Customers!H62)</f>
        <v>Other</v>
      </c>
      <c r="M64" s="19">
        <f>IF(L64="Late delivery",1,0)</f>
        <v>0</v>
      </c>
    </row>
    <row r="65">
      <c r="A65" s="38" t="str">
        <f>Customers!A63</f>
        <v>C0062</v>
      </c>
      <c r="B65" s="19">
        <f>COUNTIFS(c_cust,A65)</f>
        <v>9</v>
      </c>
      <c r="C65" s="19">
        <f>COUNTIFS(c_cust,A65,c_deliv,1)</f>
        <v>9</v>
      </c>
      <c r="D65" s="19">
        <f>B65-C65</f>
        <v>0</v>
      </c>
      <c r="E65" s="19">
        <f>COUNTIFS(c_cust,A65,c_late,1)</f>
        <v>1</v>
      </c>
      <c r="F65" s="30">
        <f>IF(C65=0,"",E65/C65)</f>
        <v>0.111111111111111</v>
      </c>
      <c r="G65" s="19">
        <f>Customers!D63</f>
        <v>9</v>
      </c>
      <c r="H65" s="19">
        <f>IF(G65=C65,1,0)</f>
        <v>1</v>
      </c>
      <c r="I65" s="19">
        <f>Customers!G63</f>
        <v>3</v>
      </c>
      <c r="J65" s="39">
        <f>Customers!I63</f>
        <v>150</v>
      </c>
      <c r="K65" s="22">
        <f>Customers!E63</f>
        <v>4.8</v>
      </c>
      <c r="L65" s="38" t="str">
        <f>IF(Customers!H63="","(no ticket)",Customers!H63)</f>
        <v>Missing item</v>
      </c>
      <c r="M65" s="19">
        <f>IF(L65="Late delivery",1,0)</f>
        <v>0</v>
      </c>
    </row>
    <row r="66">
      <c r="A66" s="38" t="str">
        <f>Customers!A64</f>
        <v>C0063</v>
      </c>
      <c r="B66" s="19">
        <f>COUNTIFS(c_cust,A66)</f>
        <v>4</v>
      </c>
      <c r="C66" s="19">
        <f>COUNTIFS(c_cust,A66,c_deliv,1)</f>
        <v>4</v>
      </c>
      <c r="D66" s="19">
        <f>B66-C66</f>
        <v>0</v>
      </c>
      <c r="E66" s="19">
        <f>COUNTIFS(c_cust,A66,c_late,1)</f>
        <v>0</v>
      </c>
      <c r="F66" s="30">
        <f>IF(C66=0,"",E66/C66)</f>
        <v>0</v>
      </c>
      <c r="G66" s="19">
        <f>Customers!D64</f>
        <v>4</v>
      </c>
      <c r="H66" s="19">
        <f>IF(G66=C66,1,0)</f>
        <v>1</v>
      </c>
      <c r="I66" s="19">
        <f>Customers!G64</f>
        <v>1</v>
      </c>
      <c r="J66" s="39">
        <f>Customers!I64</f>
        <v>0</v>
      </c>
      <c r="K66" s="22">
        <f>Customers!E64</f>
        <v>5</v>
      </c>
      <c r="L66" s="38" t="str">
        <f>IF(Customers!H64="","(no ticket)",Customers!H64)</f>
        <v>Late delivery</v>
      </c>
      <c r="M66" s="19">
        <f>IF(L66="Late delivery",1,0)</f>
        <v>1</v>
      </c>
    </row>
    <row r="67">
      <c r="A67" s="38" t="str">
        <f>Customers!A65</f>
        <v>C0064</v>
      </c>
      <c r="B67" s="19">
        <f>COUNTIFS(c_cust,A67)</f>
        <v>6</v>
      </c>
      <c r="C67" s="19">
        <f>COUNTIFS(c_cust,A67,c_deliv,1)</f>
        <v>6</v>
      </c>
      <c r="D67" s="19">
        <f>B67-C67</f>
        <v>0</v>
      </c>
      <c r="E67" s="19">
        <f>COUNTIFS(c_cust,A67,c_late,1)</f>
        <v>1</v>
      </c>
      <c r="F67" s="30">
        <f>IF(C67=0,"",E67/C67)</f>
        <v>0.166666666666667</v>
      </c>
      <c r="G67" s="19">
        <f>Customers!D65</f>
        <v>6</v>
      </c>
      <c r="H67" s="19">
        <f>IF(G67=C67,1,0)</f>
        <v>1</v>
      </c>
      <c r="I67" s="19">
        <f>Customers!G65</f>
        <v>1</v>
      </c>
      <c r="J67" s="39">
        <f>Customers!I65</f>
        <v>50</v>
      </c>
      <c r="K67" s="22">
        <f>Customers!E65</f>
        <v>5</v>
      </c>
      <c r="L67" s="38" t="str">
        <f>IF(Customers!H65="","(no ticket)",Customers!H65)</f>
        <v>Missing item</v>
      </c>
      <c r="M67" s="19">
        <f>IF(L67="Late delivery",1,0)</f>
        <v>0</v>
      </c>
    </row>
    <row r="68">
      <c r="A68" s="38" t="str">
        <f>Customers!A66</f>
        <v>C0065</v>
      </c>
      <c r="B68" s="19">
        <f>COUNTIFS(c_cust,A68)</f>
        <v>5</v>
      </c>
      <c r="C68" s="19">
        <f>COUNTIFS(c_cust,A68,c_deliv,1)</f>
        <v>5</v>
      </c>
      <c r="D68" s="19">
        <f>B68-C68</f>
        <v>0</v>
      </c>
      <c r="E68" s="19">
        <f>COUNTIFS(c_cust,A68,c_late,1)</f>
        <v>2</v>
      </c>
      <c r="F68" s="30">
        <f>IF(C68=0,"",E68/C68)</f>
        <v>0.4</v>
      </c>
      <c r="G68" s="19">
        <f>Customers!D66</f>
        <v>5</v>
      </c>
      <c r="H68" s="19">
        <f>IF(G68=C68,1,0)</f>
        <v>1</v>
      </c>
      <c r="I68" s="19">
        <f>Customers!G66</f>
        <v>0</v>
      </c>
      <c r="J68" s="39">
        <f>Customers!I66</f>
        <v>0</v>
      </c>
      <c r="K68" s="22">
        <f>Customers!E66</f>
        <v>4</v>
      </c>
      <c r="L68" s="38" t="str">
        <f>IF(Customers!H66="","(no ticket)",Customers!H66)</f>
        <v>(no ticket)</v>
      </c>
      <c r="M68" s="19">
        <f>IF(L68="Late delivery",1,0)</f>
        <v>0</v>
      </c>
    </row>
    <row r="69">
      <c r="A69" s="38" t="str">
        <f>Customers!A67</f>
        <v>C0066</v>
      </c>
      <c r="B69" s="19">
        <f>COUNTIFS(c_cust,A69)</f>
        <v>5</v>
      </c>
      <c r="C69" s="19">
        <f>COUNTIFS(c_cust,A69,c_deliv,1)</f>
        <v>4</v>
      </c>
      <c r="D69" s="19">
        <f>B69-C69</f>
        <v>1</v>
      </c>
      <c r="E69" s="19">
        <f>COUNTIFS(c_cust,A69,c_late,1)</f>
        <v>0</v>
      </c>
      <c r="F69" s="30">
        <f>IF(C69=0,"",E69/C69)</f>
        <v>0</v>
      </c>
      <c r="G69" s="19">
        <f>Customers!D67</f>
        <v>4</v>
      </c>
      <c r="H69" s="19">
        <f>IF(G69=C69,1,0)</f>
        <v>1</v>
      </c>
      <c r="I69" s="19">
        <f>Customers!G67</f>
        <v>3</v>
      </c>
      <c r="J69" s="39">
        <f>Customers!I67</f>
        <v>225</v>
      </c>
      <c r="K69" s="22">
        <f>Customers!E67</f>
        <v>4.1</v>
      </c>
      <c r="L69" s="38" t="str">
        <f>IF(Customers!H67="","(no ticket)",Customers!H67)</f>
        <v>Late delivery</v>
      </c>
      <c r="M69" s="19">
        <f>IF(L69="Late delivery",1,0)</f>
        <v>1</v>
      </c>
    </row>
    <row r="70">
      <c r="A70" s="38" t="str">
        <f>Customers!A68</f>
        <v>C0067</v>
      </c>
      <c r="B70" s="19">
        <f>COUNTIFS(c_cust,A70)</f>
        <v>8</v>
      </c>
      <c r="C70" s="19">
        <f>COUNTIFS(c_cust,A70,c_deliv,1)</f>
        <v>7</v>
      </c>
      <c r="D70" s="19">
        <f>B70-C70</f>
        <v>1</v>
      </c>
      <c r="E70" s="19">
        <f>COUNTIFS(c_cust,A70,c_late,1)</f>
        <v>2</v>
      </c>
      <c r="F70" s="30">
        <f>IF(C70=0,"",E70/C70)</f>
        <v>0.285714285714286</v>
      </c>
      <c r="G70" s="19">
        <f>Customers!D68</f>
        <v>7</v>
      </c>
      <c r="H70" s="19">
        <f>IF(G70=C70,1,0)</f>
        <v>1</v>
      </c>
      <c r="I70" s="19">
        <f>Customers!G68</f>
        <v>0</v>
      </c>
      <c r="J70" s="39">
        <f>Customers!I68</f>
        <v>0</v>
      </c>
      <c r="K70" s="22">
        <f>Customers!E68</f>
        <v>5</v>
      </c>
      <c r="L70" s="38" t="str">
        <f>IF(Customers!H68="","(no ticket)",Customers!H68)</f>
        <v>(no ticket)</v>
      </c>
      <c r="M70" s="19">
        <f>IF(L70="Late delivery",1,0)</f>
        <v>0</v>
      </c>
    </row>
    <row r="71">
      <c r="A71" s="38" t="str">
        <f>Customers!A69</f>
        <v>C0068</v>
      </c>
      <c r="B71" s="19">
        <f>COUNTIFS(c_cust,A71)</f>
        <v>1</v>
      </c>
      <c r="C71" s="19">
        <f>COUNTIFS(c_cust,A71,c_deliv,1)</f>
        <v>1</v>
      </c>
      <c r="D71" s="19">
        <f>B71-C71</f>
        <v>0</v>
      </c>
      <c r="E71" s="19">
        <f>COUNTIFS(c_cust,A71,c_late,1)</f>
        <v>0</v>
      </c>
      <c r="F71" s="30">
        <f>IF(C71=0,"",E71/C71)</f>
        <v>0</v>
      </c>
      <c r="G71" s="19">
        <f>Customers!D69</f>
        <v>1</v>
      </c>
      <c r="H71" s="19">
        <f>IF(G71=C71,1,0)</f>
        <v>1</v>
      </c>
      <c r="I71" s="19">
        <f>Customers!G69</f>
        <v>1</v>
      </c>
      <c r="J71" s="39">
        <f>Customers!I69</f>
        <v>50</v>
      </c>
      <c r="K71" s="22">
        <f>Customers!E69</f>
        <v>5</v>
      </c>
      <c r="L71" s="38" t="str">
        <f>IF(Customers!H69="","(no ticket)",Customers!H69)</f>
        <v>Payment issue</v>
      </c>
      <c r="M71" s="19">
        <f>IF(L71="Late delivery",1,0)</f>
        <v>0</v>
      </c>
    </row>
    <row r="72">
      <c r="A72" s="38" t="str">
        <f>Customers!A70</f>
        <v>C0069</v>
      </c>
      <c r="B72" s="19">
        <f>COUNTIFS(c_cust,A72)</f>
        <v>4</v>
      </c>
      <c r="C72" s="19">
        <f>COUNTIFS(c_cust,A72,c_deliv,1)</f>
        <v>4</v>
      </c>
      <c r="D72" s="19">
        <f>B72-C72</f>
        <v>0</v>
      </c>
      <c r="E72" s="19">
        <f>COUNTIFS(c_cust,A72,c_late,1)</f>
        <v>0</v>
      </c>
      <c r="F72" s="30">
        <f>IF(C72=0,"",E72/C72)</f>
        <v>0</v>
      </c>
      <c r="G72" s="19">
        <f>Customers!D70</f>
        <v>4</v>
      </c>
      <c r="H72" s="19">
        <f>IF(G72=C72,1,0)</f>
        <v>1</v>
      </c>
      <c r="I72" s="19">
        <f>Customers!G70</f>
        <v>2</v>
      </c>
      <c r="J72" s="39">
        <f>Customers!I70</f>
        <v>0</v>
      </c>
      <c r="K72" s="22">
        <f>Customers!E70</f>
        <v>5</v>
      </c>
      <c r="L72" s="38" t="str">
        <f>IF(Customers!H70="","(no ticket)",Customers!H70)</f>
        <v>Late delivery</v>
      </c>
      <c r="M72" s="19">
        <f>IF(L72="Late delivery",1,0)</f>
        <v>1</v>
      </c>
    </row>
    <row r="73">
      <c r="A73" s="38" t="str">
        <f>Customers!A71</f>
        <v>C0070</v>
      </c>
      <c r="B73" s="19">
        <f>COUNTIFS(c_cust,A73)</f>
        <v>9</v>
      </c>
      <c r="C73" s="19">
        <f>COUNTIFS(c_cust,A73,c_deliv,1)</f>
        <v>9</v>
      </c>
      <c r="D73" s="19">
        <f>B73-C73</f>
        <v>0</v>
      </c>
      <c r="E73" s="19">
        <f>COUNTIFS(c_cust,A73,c_late,1)</f>
        <v>4</v>
      </c>
      <c r="F73" s="30">
        <f>IF(C73=0,"",E73/C73)</f>
        <v>0.444444444444444</v>
      </c>
      <c r="G73" s="19">
        <f>Customers!D71</f>
        <v>9</v>
      </c>
      <c r="H73" s="19">
        <f>IF(G73=C73,1,0)</f>
        <v>1</v>
      </c>
      <c r="I73" s="19">
        <f>Customers!G71</f>
        <v>4</v>
      </c>
      <c r="J73" s="39">
        <f>Customers!I71</f>
        <v>300</v>
      </c>
      <c r="K73" s="22">
        <f>Customers!E71</f>
        <v>4.9</v>
      </c>
      <c r="L73" s="38" t="str">
        <f>IF(Customers!H71="","(no ticket)",Customers!H71)</f>
        <v>Payment issue</v>
      </c>
      <c r="M73" s="19">
        <f>IF(L73="Late delivery",1,0)</f>
        <v>0</v>
      </c>
    </row>
    <row r="74">
      <c r="A74" s="38" t="str">
        <f>Customers!A72</f>
        <v>C0071</v>
      </c>
      <c r="B74" s="19">
        <f>COUNTIFS(c_cust,A74)</f>
        <v>5</v>
      </c>
      <c r="C74" s="19">
        <f>COUNTIFS(c_cust,A74,c_deliv,1)</f>
        <v>4</v>
      </c>
      <c r="D74" s="19">
        <f>B74-C74</f>
        <v>1</v>
      </c>
      <c r="E74" s="19">
        <f>COUNTIFS(c_cust,A74,c_late,1)</f>
        <v>2</v>
      </c>
      <c r="F74" s="30">
        <f>IF(C74=0,"",E74/C74)</f>
        <v>0.5</v>
      </c>
      <c r="G74" s="19">
        <f>Customers!D72</f>
        <v>4</v>
      </c>
      <c r="H74" s="19">
        <f>IF(G74=C74,1,0)</f>
        <v>1</v>
      </c>
      <c r="I74" s="19">
        <f>Customers!G72</f>
        <v>1</v>
      </c>
      <c r="J74" s="39">
        <f>Customers!I72</f>
        <v>75</v>
      </c>
      <c r="K74" s="22">
        <f>Customers!E72</f>
        <v>4.4</v>
      </c>
      <c r="L74" s="38" t="str">
        <f>IF(Customers!H72="","(no ticket)",Customers!H72)</f>
        <v>Damaged item</v>
      </c>
      <c r="M74" s="19">
        <f>IF(L74="Late delivery",1,0)</f>
        <v>0</v>
      </c>
    </row>
    <row r="75">
      <c r="A75" s="38" t="str">
        <f>Customers!A73</f>
        <v>C0072</v>
      </c>
      <c r="B75" s="19">
        <f>COUNTIFS(c_cust,A75)</f>
        <v>10</v>
      </c>
      <c r="C75" s="19">
        <f>COUNTIFS(c_cust,A75,c_deliv,1)</f>
        <v>10</v>
      </c>
      <c r="D75" s="19">
        <f>B75-C75</f>
        <v>0</v>
      </c>
      <c r="E75" s="19">
        <f>COUNTIFS(c_cust,A75,c_late,1)</f>
        <v>5</v>
      </c>
      <c r="F75" s="30">
        <f>IF(C75=0,"",E75/C75)</f>
        <v>0.5</v>
      </c>
      <c r="G75" s="19">
        <f>Customers!D73</f>
        <v>10</v>
      </c>
      <c r="H75" s="19">
        <f>IF(G75=C75,1,0)</f>
        <v>1</v>
      </c>
      <c r="I75" s="19">
        <f>Customers!G73</f>
        <v>0</v>
      </c>
      <c r="J75" s="39">
        <f>Customers!I73</f>
        <v>0</v>
      </c>
      <c r="K75" s="22">
        <f>Customers!E73</f>
        <v>5</v>
      </c>
      <c r="L75" s="38" t="str">
        <f>IF(Customers!H73="","(no ticket)",Customers!H73)</f>
        <v>(no ticket)</v>
      </c>
      <c r="M75" s="19">
        <f>IF(L75="Late delivery",1,0)</f>
        <v>0</v>
      </c>
    </row>
    <row r="76">
      <c r="A76" s="38" t="str">
        <f>Customers!A74</f>
        <v>C0073</v>
      </c>
      <c r="B76" s="19">
        <f>COUNTIFS(c_cust,A76)</f>
        <v>15</v>
      </c>
      <c r="C76" s="19">
        <f>COUNTIFS(c_cust,A76,c_deliv,1)</f>
        <v>15</v>
      </c>
      <c r="D76" s="19">
        <f>B76-C76</f>
        <v>0</v>
      </c>
      <c r="E76" s="19">
        <f>COUNTIFS(c_cust,A76,c_late,1)</f>
        <v>5</v>
      </c>
      <c r="F76" s="30">
        <f>IF(C76=0,"",E76/C76)</f>
        <v>0.333333333333333</v>
      </c>
      <c r="G76" s="19">
        <f>Customers!D74</f>
        <v>15</v>
      </c>
      <c r="H76" s="19">
        <f>IF(G76=C76,1,0)</f>
        <v>1</v>
      </c>
      <c r="I76" s="19">
        <f>Customers!G74</f>
        <v>4</v>
      </c>
      <c r="J76" s="39">
        <f>Customers!I74</f>
        <v>200</v>
      </c>
      <c r="K76" s="22">
        <f>Customers!E74</f>
        <v>3.7</v>
      </c>
      <c r="L76" s="38" t="str">
        <f>IF(Customers!H74="","(no ticket)",Customers!H74)</f>
        <v>Damaged item</v>
      </c>
      <c r="M76" s="19">
        <f>IF(L76="Late delivery",1,0)</f>
        <v>0</v>
      </c>
    </row>
    <row r="77">
      <c r="A77" s="38" t="str">
        <f>Customers!A75</f>
        <v>C0074</v>
      </c>
      <c r="B77" s="19">
        <f>COUNTIFS(c_cust,A77)</f>
        <v>2</v>
      </c>
      <c r="C77" s="19">
        <f>COUNTIFS(c_cust,A77,c_deliv,1)</f>
        <v>2</v>
      </c>
      <c r="D77" s="19">
        <f>B77-C77</f>
        <v>0</v>
      </c>
      <c r="E77" s="19">
        <f>COUNTIFS(c_cust,A77,c_late,1)</f>
        <v>0</v>
      </c>
      <c r="F77" s="30">
        <f>IF(C77=0,"",E77/C77)</f>
        <v>0</v>
      </c>
      <c r="G77" s="19">
        <f>Customers!D75</f>
        <v>2</v>
      </c>
      <c r="H77" s="19">
        <f>IF(G77=C77,1,0)</f>
        <v>1</v>
      </c>
      <c r="I77" s="19">
        <f>Customers!G75</f>
        <v>1</v>
      </c>
      <c r="J77" s="39">
        <f>Customers!I75</f>
        <v>75</v>
      </c>
      <c r="K77" s="22">
        <f>Customers!E75</f>
        <v>3.7</v>
      </c>
      <c r="L77" s="38" t="str">
        <f>IF(Customers!H75="","(no ticket)",Customers!H75)</f>
        <v>Damaged item</v>
      </c>
      <c r="M77" s="19">
        <f>IF(L77="Late delivery",1,0)</f>
        <v>0</v>
      </c>
    </row>
    <row r="78">
      <c r="A78" s="38" t="str">
        <f>Customers!A76</f>
        <v>C0075</v>
      </c>
      <c r="B78" s="19">
        <f>COUNTIFS(c_cust,A78)</f>
        <v>5</v>
      </c>
      <c r="C78" s="19">
        <f>COUNTIFS(c_cust,A78,c_deliv,1)</f>
        <v>5</v>
      </c>
      <c r="D78" s="19">
        <f>B78-C78</f>
        <v>0</v>
      </c>
      <c r="E78" s="19">
        <f>COUNTIFS(c_cust,A78,c_late,1)</f>
        <v>0</v>
      </c>
      <c r="F78" s="30">
        <f>IF(C78=0,"",E78/C78)</f>
        <v>0</v>
      </c>
      <c r="G78" s="19">
        <f>Customers!D76</f>
        <v>5</v>
      </c>
      <c r="H78" s="19">
        <f>IF(G78=C78,1,0)</f>
        <v>1</v>
      </c>
      <c r="I78" s="19">
        <f>Customers!G76</f>
        <v>0</v>
      </c>
      <c r="J78" s="39">
        <f>Customers!I76</f>
        <v>0</v>
      </c>
      <c r="K78" s="22">
        <f>Customers!E76</f>
        <v>4</v>
      </c>
      <c r="L78" s="38" t="str">
        <f>IF(Customers!H76="","(no ticket)",Customers!H76)</f>
        <v>(no ticket)</v>
      </c>
      <c r="M78" s="19">
        <f>IF(L78="Late delivery",1,0)</f>
        <v>0</v>
      </c>
    </row>
    <row r="79">
      <c r="A79" s="38" t="str">
        <f>Customers!A77</f>
        <v>C0076</v>
      </c>
      <c r="B79" s="19">
        <f>COUNTIFS(c_cust,A79)</f>
        <v>3</v>
      </c>
      <c r="C79" s="19">
        <f>COUNTIFS(c_cust,A79,c_deliv,1)</f>
        <v>3</v>
      </c>
      <c r="D79" s="19">
        <f>B79-C79</f>
        <v>0</v>
      </c>
      <c r="E79" s="19">
        <f>COUNTIFS(c_cust,A79,c_late,1)</f>
        <v>1</v>
      </c>
      <c r="F79" s="30">
        <f>IF(C79=0,"",E79/C79)</f>
        <v>0.333333333333333</v>
      </c>
      <c r="G79" s="19">
        <f>Customers!D77</f>
        <v>3</v>
      </c>
      <c r="H79" s="19">
        <f>IF(G79=C79,1,0)</f>
        <v>1</v>
      </c>
      <c r="I79" s="19">
        <f>Customers!G77</f>
        <v>0</v>
      </c>
      <c r="J79" s="39">
        <f>Customers!I77</f>
        <v>0</v>
      </c>
      <c r="K79" s="22">
        <f>Customers!E77</f>
        <v>4.7</v>
      </c>
      <c r="L79" s="38" t="str">
        <f>IF(Customers!H77="","(no ticket)",Customers!H77)</f>
        <v>(no ticket)</v>
      </c>
      <c r="M79" s="19">
        <f>IF(L79="Late delivery",1,0)</f>
        <v>0</v>
      </c>
    </row>
    <row r="80">
      <c r="A80" s="38" t="str">
        <f>Customers!A78</f>
        <v>C0077</v>
      </c>
      <c r="B80" s="19">
        <f>COUNTIFS(c_cust,A80)</f>
        <v>3</v>
      </c>
      <c r="C80" s="19">
        <f>COUNTIFS(c_cust,A80,c_deliv,1)</f>
        <v>3</v>
      </c>
      <c r="D80" s="19">
        <f>B80-C80</f>
        <v>0</v>
      </c>
      <c r="E80" s="19">
        <f>COUNTIFS(c_cust,A80,c_late,1)</f>
        <v>1</v>
      </c>
      <c r="F80" s="30">
        <f>IF(C80=0,"",E80/C80)</f>
        <v>0.333333333333333</v>
      </c>
      <c r="G80" s="19">
        <f>Customers!D78</f>
        <v>3</v>
      </c>
      <c r="H80" s="19">
        <f>IF(G80=C80,1,0)</f>
        <v>1</v>
      </c>
      <c r="I80" s="19">
        <f>Customers!G78</f>
        <v>2</v>
      </c>
      <c r="J80" s="39">
        <f>Customers!I78</f>
        <v>50</v>
      </c>
      <c r="K80" s="22">
        <f>Customers!E78</f>
        <v>5</v>
      </c>
      <c r="L80" s="38" t="str">
        <f>IF(Customers!H78="","(no ticket)",Customers!H78)</f>
        <v>Payment issue</v>
      </c>
      <c r="M80" s="19">
        <f>IF(L80="Late delivery",1,0)</f>
        <v>0</v>
      </c>
    </row>
    <row r="81">
      <c r="A81" s="38" t="str">
        <f>Customers!A79</f>
        <v>C0078</v>
      </c>
      <c r="B81" s="19">
        <f>COUNTIFS(c_cust,A81)</f>
        <v>5</v>
      </c>
      <c r="C81" s="19">
        <f>COUNTIFS(c_cust,A81,c_deliv,1)</f>
        <v>5</v>
      </c>
      <c r="D81" s="19">
        <f>B81-C81</f>
        <v>0</v>
      </c>
      <c r="E81" s="19">
        <f>COUNTIFS(c_cust,A81,c_late,1)</f>
        <v>1</v>
      </c>
      <c r="F81" s="30">
        <f>IF(C81=0,"",E81/C81)</f>
        <v>0.2</v>
      </c>
      <c r="G81" s="19">
        <f>Customers!D79</f>
        <v>5</v>
      </c>
      <c r="H81" s="19">
        <f>IF(G81=C81,1,0)</f>
        <v>1</v>
      </c>
      <c r="I81" s="19">
        <f>Customers!G79</f>
        <v>2</v>
      </c>
      <c r="J81" s="39">
        <f>Customers!I79</f>
        <v>0</v>
      </c>
      <c r="K81" s="22">
        <f>Customers!E79</f>
        <v>4.6</v>
      </c>
      <c r="L81" s="38" t="str">
        <f>IF(Customers!H79="","(no ticket)",Customers!H79)</f>
        <v>Missing item</v>
      </c>
      <c r="M81" s="19">
        <f>IF(L81="Late delivery",1,0)</f>
        <v>0</v>
      </c>
    </row>
    <row r="82">
      <c r="A82" s="38" t="str">
        <f>Customers!A80</f>
        <v>C0079</v>
      </c>
      <c r="B82" s="19">
        <f>COUNTIFS(c_cust,A82)</f>
        <v>8</v>
      </c>
      <c r="C82" s="19">
        <f>COUNTIFS(c_cust,A82,c_deliv,1)</f>
        <v>8</v>
      </c>
      <c r="D82" s="19">
        <f>B82-C82</f>
        <v>0</v>
      </c>
      <c r="E82" s="19">
        <f>COUNTIFS(c_cust,A82,c_late,1)</f>
        <v>1</v>
      </c>
      <c r="F82" s="30">
        <f>IF(C82=0,"",E82/C82)</f>
        <v>0.125</v>
      </c>
      <c r="G82" s="19">
        <f>Customers!D80</f>
        <v>8</v>
      </c>
      <c r="H82" s="19">
        <f>IF(G82=C82,1,0)</f>
        <v>1</v>
      </c>
      <c r="I82" s="19">
        <f>Customers!G80</f>
        <v>0</v>
      </c>
      <c r="J82" s="39">
        <f>Customers!I80</f>
        <v>0</v>
      </c>
      <c r="K82" s="22">
        <f>Customers!E80</f>
        <v>4.3</v>
      </c>
      <c r="L82" s="38" t="str">
        <f>IF(Customers!H80="","(no ticket)",Customers!H80)</f>
        <v>(no ticket)</v>
      </c>
      <c r="M82" s="19">
        <f>IF(L82="Late delivery",1,0)</f>
        <v>0</v>
      </c>
    </row>
    <row r="83">
      <c r="A83" s="38" t="str">
        <f>Customers!A81</f>
        <v>C0080</v>
      </c>
      <c r="B83" s="19">
        <f>COUNTIFS(c_cust,A83)</f>
        <v>1</v>
      </c>
      <c r="C83" s="19">
        <f>COUNTIFS(c_cust,A83,c_deliv,1)</f>
        <v>1</v>
      </c>
      <c r="D83" s="19">
        <f>B83-C83</f>
        <v>0</v>
      </c>
      <c r="E83" s="19">
        <f>COUNTIFS(c_cust,A83,c_late,1)</f>
        <v>0</v>
      </c>
      <c r="F83" s="30">
        <f>IF(C83=0,"",E83/C83)</f>
        <v>0</v>
      </c>
      <c r="G83" s="19">
        <f>Customers!D81</f>
        <v>1</v>
      </c>
      <c r="H83" s="19">
        <f>IF(G83=C83,1,0)</f>
        <v>1</v>
      </c>
      <c r="I83" s="19">
        <f>Customers!G81</f>
        <v>0</v>
      </c>
      <c r="J83" s="39">
        <f>Customers!I81</f>
        <v>0</v>
      </c>
      <c r="K83" s="22">
        <f>Customers!E81</f>
        <v>5</v>
      </c>
      <c r="L83" s="38" t="str">
        <f>IF(Customers!H81="","(no ticket)",Customers!H81)</f>
        <v>(no ticket)</v>
      </c>
      <c r="M83" s="19">
        <f>IF(L83="Late delivery",1,0)</f>
        <v>0</v>
      </c>
    </row>
    <row r="84">
      <c r="A84" s="38" t="str">
        <f>Customers!A82</f>
        <v>C0081</v>
      </c>
      <c r="B84" s="19">
        <f>COUNTIFS(c_cust,A84)</f>
        <v>7</v>
      </c>
      <c r="C84" s="19">
        <f>COUNTIFS(c_cust,A84,c_deliv,1)</f>
        <v>7</v>
      </c>
      <c r="D84" s="19">
        <f>B84-C84</f>
        <v>0</v>
      </c>
      <c r="E84" s="19">
        <f>COUNTIFS(c_cust,A84,c_late,1)</f>
        <v>4</v>
      </c>
      <c r="F84" s="30">
        <f>IF(C84=0,"",E84/C84)</f>
        <v>0.571428571428571</v>
      </c>
      <c r="G84" s="19">
        <f>Customers!D82</f>
        <v>7</v>
      </c>
      <c r="H84" s="19">
        <f>IF(G84=C84,1,0)</f>
        <v>1</v>
      </c>
      <c r="I84" s="19">
        <f>Customers!G82</f>
        <v>5</v>
      </c>
      <c r="J84" s="39">
        <f>Customers!I82</f>
        <v>375</v>
      </c>
      <c r="K84" s="22">
        <f>Customers!E82</f>
        <v>4</v>
      </c>
      <c r="L84" s="38" t="str">
        <f>IF(Customers!H82="","(no ticket)",Customers!H82)</f>
        <v>Damaged item</v>
      </c>
      <c r="M84" s="19">
        <f>IF(L84="Late delivery",1,0)</f>
        <v>0</v>
      </c>
    </row>
    <row r="85">
      <c r="A85" s="38" t="str">
        <f>Customers!A83</f>
        <v>C0082</v>
      </c>
      <c r="B85" s="19">
        <f>COUNTIFS(c_cust,A85)</f>
        <v>6</v>
      </c>
      <c r="C85" s="19">
        <f>COUNTIFS(c_cust,A85,c_deliv,1)</f>
        <v>5</v>
      </c>
      <c r="D85" s="19">
        <f>B85-C85</f>
        <v>1</v>
      </c>
      <c r="E85" s="19">
        <f>COUNTIFS(c_cust,A85,c_late,1)</f>
        <v>1</v>
      </c>
      <c r="F85" s="30">
        <f>IF(C85=0,"",E85/C85)</f>
        <v>0.2</v>
      </c>
      <c r="G85" s="19">
        <f>Customers!D83</f>
        <v>5</v>
      </c>
      <c r="H85" s="19">
        <f>IF(G85=C85,1,0)</f>
        <v>1</v>
      </c>
      <c r="I85" s="19">
        <f>Customers!G83</f>
        <v>0</v>
      </c>
      <c r="J85" s="39">
        <f>Customers!I83</f>
        <v>0</v>
      </c>
      <c r="K85" s="22">
        <f>Customers!E83</f>
        <v>4</v>
      </c>
      <c r="L85" s="38" t="str">
        <f>IF(Customers!H83="","(no ticket)",Customers!H83)</f>
        <v>(no ticket)</v>
      </c>
      <c r="M85" s="19">
        <f>IF(L85="Late delivery",1,0)</f>
        <v>0</v>
      </c>
    </row>
    <row r="86">
      <c r="A86" s="38" t="str">
        <f>Customers!A84</f>
        <v>C0083</v>
      </c>
      <c r="B86" s="19">
        <f>COUNTIFS(c_cust,A86)</f>
        <v>2</v>
      </c>
      <c r="C86" s="19">
        <f>COUNTIFS(c_cust,A86,c_deliv,1)</f>
        <v>2</v>
      </c>
      <c r="D86" s="19">
        <f>B86-C86</f>
        <v>0</v>
      </c>
      <c r="E86" s="19">
        <f>COUNTIFS(c_cust,A86,c_late,1)</f>
        <v>1</v>
      </c>
      <c r="F86" s="30">
        <f>IF(C86=0,"",E86/C86)</f>
        <v>0.5</v>
      </c>
      <c r="G86" s="19">
        <f>Customers!D84</f>
        <v>2</v>
      </c>
      <c r="H86" s="19">
        <f>IF(G86=C86,1,0)</f>
        <v>1</v>
      </c>
      <c r="I86" s="19">
        <f>Customers!G84</f>
        <v>0</v>
      </c>
      <c r="J86" s="39">
        <f>Customers!I84</f>
        <v>0</v>
      </c>
      <c r="K86" s="22">
        <f>Customers!E84</f>
        <v>3.9</v>
      </c>
      <c r="L86" s="38" t="str">
        <f>IF(Customers!H84="","(no ticket)",Customers!H84)</f>
        <v>(no ticket)</v>
      </c>
      <c r="M86" s="19">
        <f>IF(L86="Late delivery",1,0)</f>
        <v>0</v>
      </c>
    </row>
    <row r="87">
      <c r="A87" s="38" t="str">
        <f>Customers!A85</f>
        <v>C0084</v>
      </c>
      <c r="B87" s="19">
        <f>COUNTIFS(c_cust,A87)</f>
        <v>6</v>
      </c>
      <c r="C87" s="19">
        <f>COUNTIFS(c_cust,A87,c_deliv,1)</f>
        <v>6</v>
      </c>
      <c r="D87" s="19">
        <f>B87-C87</f>
        <v>0</v>
      </c>
      <c r="E87" s="19">
        <f>COUNTIFS(c_cust,A87,c_late,1)</f>
        <v>0</v>
      </c>
      <c r="F87" s="30">
        <f>IF(C87=0,"",E87/C87)</f>
        <v>0</v>
      </c>
      <c r="G87" s="19">
        <f>Customers!D85</f>
        <v>6</v>
      </c>
      <c r="H87" s="19">
        <f>IF(G87=C87,1,0)</f>
        <v>1</v>
      </c>
      <c r="I87" s="19">
        <f>Customers!G85</f>
        <v>1</v>
      </c>
      <c r="J87" s="39">
        <f>Customers!I85</f>
        <v>25</v>
      </c>
      <c r="K87" s="22">
        <f>Customers!E85</f>
        <v>4.7</v>
      </c>
      <c r="L87" s="38" t="str">
        <f>IF(Customers!H85="","(no ticket)",Customers!H85)</f>
        <v>Missing item</v>
      </c>
      <c r="M87" s="19">
        <f>IF(L87="Late delivery",1,0)</f>
        <v>0</v>
      </c>
    </row>
    <row r="88">
      <c r="A88" s="38" t="str">
        <f>Customers!A86</f>
        <v>C0085</v>
      </c>
      <c r="B88" s="19">
        <f>COUNTIFS(c_cust,A88)</f>
        <v>7</v>
      </c>
      <c r="C88" s="19">
        <f>COUNTIFS(c_cust,A88,c_deliv,1)</f>
        <v>7</v>
      </c>
      <c r="D88" s="19">
        <f>B88-C88</f>
        <v>0</v>
      </c>
      <c r="E88" s="19">
        <f>COUNTIFS(c_cust,A88,c_late,1)</f>
        <v>2</v>
      </c>
      <c r="F88" s="30">
        <f>IF(C88=0,"",E88/C88)</f>
        <v>0.285714285714286</v>
      </c>
      <c r="G88" s="19">
        <f>Customers!D86</f>
        <v>7</v>
      </c>
      <c r="H88" s="19">
        <f>IF(G88=C88,1,0)</f>
        <v>1</v>
      </c>
      <c r="I88" s="19">
        <f>Customers!G86</f>
        <v>3</v>
      </c>
      <c r="J88" s="39">
        <f>Customers!I86</f>
        <v>75</v>
      </c>
      <c r="K88" s="22">
        <f>Customers!E86</f>
        <v>4.8</v>
      </c>
      <c r="L88" s="38" t="str">
        <f>IF(Customers!H86="","(no ticket)",Customers!H86)</f>
        <v>Damaged item</v>
      </c>
      <c r="M88" s="19">
        <f>IF(L88="Late delivery",1,0)</f>
        <v>0</v>
      </c>
    </row>
    <row r="89">
      <c r="A89" s="38" t="str">
        <f>Customers!A87</f>
        <v>C0086</v>
      </c>
      <c r="B89" s="19">
        <f>COUNTIFS(c_cust,A89)</f>
        <v>8</v>
      </c>
      <c r="C89" s="19">
        <f>COUNTIFS(c_cust,A89,c_deliv,1)</f>
        <v>8</v>
      </c>
      <c r="D89" s="19">
        <f>B89-C89</f>
        <v>0</v>
      </c>
      <c r="E89" s="19">
        <f>COUNTIFS(c_cust,A89,c_late,1)</f>
        <v>4</v>
      </c>
      <c r="F89" s="30">
        <f>IF(C89=0,"",E89/C89)</f>
        <v>0.5</v>
      </c>
      <c r="G89" s="19">
        <f>Customers!D87</f>
        <v>8</v>
      </c>
      <c r="H89" s="19">
        <f>IF(G89=C89,1,0)</f>
        <v>1</v>
      </c>
      <c r="I89" s="19">
        <f>Customers!G87</f>
        <v>6</v>
      </c>
      <c r="J89" s="39">
        <f>Customers!I87</f>
        <v>300</v>
      </c>
      <c r="K89" s="22">
        <f>Customers!E87</f>
        <v>5</v>
      </c>
      <c r="L89" s="38" t="str">
        <f>IF(Customers!H87="","(no ticket)",Customers!H87)</f>
        <v>Payment issue</v>
      </c>
      <c r="M89" s="19">
        <f>IF(L89="Late delivery",1,0)</f>
        <v>0</v>
      </c>
    </row>
    <row r="90">
      <c r="A90" s="38" t="str">
        <f>Customers!A88</f>
        <v>C0087</v>
      </c>
      <c r="B90" s="19">
        <f>COUNTIFS(c_cust,A90)</f>
        <v>5</v>
      </c>
      <c r="C90" s="19">
        <f>COUNTIFS(c_cust,A90,c_deliv,1)</f>
        <v>5</v>
      </c>
      <c r="D90" s="19">
        <f>B90-C90</f>
        <v>0</v>
      </c>
      <c r="E90" s="19">
        <f>COUNTIFS(c_cust,A90,c_late,1)</f>
        <v>2</v>
      </c>
      <c r="F90" s="30">
        <f>IF(C90=0,"",E90/C90)</f>
        <v>0.4</v>
      </c>
      <c r="G90" s="19">
        <f>Customers!D88</f>
        <v>5</v>
      </c>
      <c r="H90" s="19">
        <f>IF(G90=C90,1,0)</f>
        <v>1</v>
      </c>
      <c r="I90" s="19">
        <f>Customers!G88</f>
        <v>5</v>
      </c>
      <c r="J90" s="39">
        <f>Customers!I88</f>
        <v>125</v>
      </c>
      <c r="K90" s="22">
        <f>Customers!E88</f>
        <v>5</v>
      </c>
      <c r="L90" s="38" t="str">
        <f>IF(Customers!H88="","(no ticket)",Customers!H88)</f>
        <v>Late delivery</v>
      </c>
      <c r="M90" s="19">
        <f>IF(L90="Late delivery",1,0)</f>
        <v>1</v>
      </c>
    </row>
    <row r="91">
      <c r="A91" s="38" t="str">
        <f>Customers!A89</f>
        <v>C0088</v>
      </c>
      <c r="B91" s="19">
        <f>COUNTIFS(c_cust,A91)</f>
        <v>7</v>
      </c>
      <c r="C91" s="19">
        <f>COUNTIFS(c_cust,A91,c_deliv,1)</f>
        <v>7</v>
      </c>
      <c r="D91" s="19">
        <f>B91-C91</f>
        <v>0</v>
      </c>
      <c r="E91" s="19">
        <f>COUNTIFS(c_cust,A91,c_late,1)</f>
        <v>2</v>
      </c>
      <c r="F91" s="30">
        <f>IF(C91=0,"",E91/C91)</f>
        <v>0.285714285714286</v>
      </c>
      <c r="G91" s="19">
        <f>Customers!D89</f>
        <v>7</v>
      </c>
      <c r="H91" s="19">
        <f>IF(G91=C91,1,0)</f>
        <v>1</v>
      </c>
      <c r="I91" s="19">
        <f>Customers!G89</f>
        <v>0</v>
      </c>
      <c r="J91" s="39">
        <f>Customers!I89</f>
        <v>0</v>
      </c>
      <c r="K91" s="22">
        <f>Customers!E89</f>
        <v>5</v>
      </c>
      <c r="L91" s="38" t="str">
        <f>IF(Customers!H89="","(no ticket)",Customers!H89)</f>
        <v>(no ticket)</v>
      </c>
      <c r="M91" s="19">
        <f>IF(L91="Late delivery",1,0)</f>
        <v>0</v>
      </c>
    </row>
    <row r="92">
      <c r="A92" s="38" t="str">
        <f>Customers!A90</f>
        <v>C0089</v>
      </c>
      <c r="B92" s="19">
        <f>COUNTIFS(c_cust,A92)</f>
        <v>5</v>
      </c>
      <c r="C92" s="19">
        <f>COUNTIFS(c_cust,A92,c_deliv,1)</f>
        <v>5</v>
      </c>
      <c r="D92" s="19">
        <f>B92-C92</f>
        <v>0</v>
      </c>
      <c r="E92" s="19">
        <f>COUNTIFS(c_cust,A92,c_late,1)</f>
        <v>3</v>
      </c>
      <c r="F92" s="30">
        <f>IF(C92=0,"",E92/C92)</f>
        <v>0.6</v>
      </c>
      <c r="G92" s="19">
        <f>Customers!D90</f>
        <v>5</v>
      </c>
      <c r="H92" s="19">
        <f>IF(G92=C92,1,0)</f>
        <v>1</v>
      </c>
      <c r="I92" s="19">
        <f>Customers!G90</f>
        <v>4</v>
      </c>
      <c r="J92" s="39">
        <f>Customers!I90</f>
        <v>300</v>
      </c>
      <c r="K92" s="22">
        <f>Customers!E90</f>
        <v>5</v>
      </c>
      <c r="L92" s="38" t="str">
        <f>IF(Customers!H90="","(no ticket)",Customers!H90)</f>
        <v>Missing item</v>
      </c>
      <c r="M92" s="19">
        <f>IF(L92="Late delivery",1,0)</f>
        <v>0</v>
      </c>
    </row>
    <row r="93">
      <c r="A93" s="38" t="str">
        <f>Customers!A91</f>
        <v>C0090</v>
      </c>
      <c r="B93" s="19">
        <f>COUNTIFS(c_cust,A93)</f>
        <v>3</v>
      </c>
      <c r="C93" s="19">
        <f>COUNTIFS(c_cust,A93,c_deliv,1)</f>
        <v>2</v>
      </c>
      <c r="D93" s="19">
        <f>B93-C93</f>
        <v>1</v>
      </c>
      <c r="E93" s="19">
        <f>COUNTIFS(c_cust,A93,c_late,1)</f>
        <v>0</v>
      </c>
      <c r="F93" s="30">
        <f>IF(C93=0,"",E93/C93)</f>
        <v>0</v>
      </c>
      <c r="G93" s="19">
        <f>Customers!D91</f>
        <v>2</v>
      </c>
      <c r="H93" s="19">
        <f>IF(G93=C93,1,0)</f>
        <v>1</v>
      </c>
      <c r="I93" s="19">
        <f>Customers!G91</f>
        <v>1</v>
      </c>
      <c r="J93" s="39">
        <f>Customers!I91</f>
        <v>0</v>
      </c>
      <c r="K93" s="22">
        <f>Customers!E91</f>
        <v>5</v>
      </c>
      <c r="L93" s="38" t="str">
        <f>IF(Customers!H91="","(no ticket)",Customers!H91)</f>
        <v>Missing item</v>
      </c>
      <c r="M93" s="19">
        <f>IF(L93="Late delivery",1,0)</f>
        <v>0</v>
      </c>
    </row>
    <row r="94">
      <c r="A94" s="38" t="str">
        <f>Customers!A92</f>
        <v>C0091</v>
      </c>
      <c r="B94" s="19">
        <f>COUNTIFS(c_cust,A94)</f>
        <v>9</v>
      </c>
      <c r="C94" s="19">
        <f>COUNTIFS(c_cust,A94,c_deliv,1)</f>
        <v>8</v>
      </c>
      <c r="D94" s="19">
        <f>B94-C94</f>
        <v>1</v>
      </c>
      <c r="E94" s="19">
        <f>COUNTIFS(c_cust,A94,c_late,1)</f>
        <v>3</v>
      </c>
      <c r="F94" s="30">
        <f>IF(C94=0,"",E94/C94)</f>
        <v>0.375</v>
      </c>
      <c r="G94" s="19">
        <f>Customers!D92</f>
        <v>8</v>
      </c>
      <c r="H94" s="19">
        <f>IF(G94=C94,1,0)</f>
        <v>1</v>
      </c>
      <c r="I94" s="19">
        <f>Customers!G92</f>
        <v>4</v>
      </c>
      <c r="J94" s="39">
        <f>Customers!I92</f>
        <v>100</v>
      </c>
      <c r="K94" s="22">
        <f>Customers!E92</f>
        <v>5</v>
      </c>
      <c r="L94" s="38" t="str">
        <f>IF(Customers!H92="","(no ticket)",Customers!H92)</f>
        <v>Other</v>
      </c>
      <c r="M94" s="19">
        <f>IF(L94="Late delivery",1,0)</f>
        <v>0</v>
      </c>
    </row>
    <row r="95">
      <c r="A95" s="38" t="str">
        <f>Customers!A93</f>
        <v>C0092</v>
      </c>
      <c r="B95" s="19">
        <f>COUNTIFS(c_cust,A95)</f>
        <v>3</v>
      </c>
      <c r="C95" s="19">
        <f>COUNTIFS(c_cust,A95,c_deliv,1)</f>
        <v>3</v>
      </c>
      <c r="D95" s="19">
        <f>B95-C95</f>
        <v>0</v>
      </c>
      <c r="E95" s="19">
        <f>COUNTIFS(c_cust,A95,c_late,1)</f>
        <v>0</v>
      </c>
      <c r="F95" s="30">
        <f>IF(C95=0,"",E95/C95)</f>
        <v>0</v>
      </c>
      <c r="G95" s="19">
        <f>Customers!D93</f>
        <v>3</v>
      </c>
      <c r="H95" s="19">
        <f>IF(G95=C95,1,0)</f>
        <v>1</v>
      </c>
      <c r="I95" s="19">
        <f>Customers!G93</f>
        <v>2</v>
      </c>
      <c r="J95" s="39">
        <f>Customers!I93</f>
        <v>50</v>
      </c>
      <c r="K95" s="22">
        <f>Customers!E93</f>
        <v>5</v>
      </c>
      <c r="L95" s="38" t="str">
        <f>IF(Customers!H93="","(no ticket)",Customers!H93)</f>
        <v>Late delivery</v>
      </c>
      <c r="M95" s="19">
        <f>IF(L95="Late delivery",1,0)</f>
        <v>1</v>
      </c>
    </row>
    <row r="96">
      <c r="A96" s="38" t="str">
        <f>Customers!A94</f>
        <v>C0093</v>
      </c>
      <c r="B96" s="19">
        <f>COUNTIFS(c_cust,A96)</f>
        <v>4</v>
      </c>
      <c r="C96" s="19">
        <f>COUNTIFS(c_cust,A96,c_deliv,1)</f>
        <v>4</v>
      </c>
      <c r="D96" s="19">
        <f>B96-C96</f>
        <v>0</v>
      </c>
      <c r="E96" s="19">
        <f>COUNTIFS(c_cust,A96,c_late,1)</f>
        <v>2</v>
      </c>
      <c r="F96" s="30">
        <f>IF(C96=0,"",E96/C96)</f>
        <v>0.5</v>
      </c>
      <c r="G96" s="19">
        <f>Customers!D94</f>
        <v>4</v>
      </c>
      <c r="H96" s="19">
        <f>IF(G96=C96,1,0)</f>
        <v>1</v>
      </c>
      <c r="I96" s="19">
        <f>Customers!G94</f>
        <v>3</v>
      </c>
      <c r="J96" s="39">
        <f>Customers!I94</f>
        <v>0</v>
      </c>
      <c r="K96" s="22">
        <f>Customers!E94</f>
        <v>5</v>
      </c>
      <c r="L96" s="38" t="str">
        <f>IF(Customers!H94="","(no ticket)",Customers!H94)</f>
        <v>Payment issue</v>
      </c>
      <c r="M96" s="19">
        <f>IF(L96="Late delivery",1,0)</f>
        <v>0</v>
      </c>
    </row>
    <row r="97">
      <c r="A97" s="38" t="str">
        <f>Customers!A95</f>
        <v>C0094</v>
      </c>
      <c r="B97" s="19">
        <f>COUNTIFS(c_cust,A97)</f>
        <v>5</v>
      </c>
      <c r="C97" s="19">
        <f>COUNTIFS(c_cust,A97,c_deliv,1)</f>
        <v>4</v>
      </c>
      <c r="D97" s="19">
        <f>B97-C97</f>
        <v>1</v>
      </c>
      <c r="E97" s="19">
        <f>COUNTIFS(c_cust,A97,c_late,1)</f>
        <v>0</v>
      </c>
      <c r="F97" s="30">
        <f>IF(C97=0,"",E97/C97)</f>
        <v>0</v>
      </c>
      <c r="G97" s="19">
        <f>Customers!D95</f>
        <v>4</v>
      </c>
      <c r="H97" s="19">
        <f>IF(G97=C97,1,0)</f>
        <v>1</v>
      </c>
      <c r="I97" s="19">
        <f>Customers!G95</f>
        <v>5</v>
      </c>
      <c r="J97" s="39">
        <f>Customers!I95</f>
        <v>0</v>
      </c>
      <c r="K97" s="22">
        <f>Customers!E95</f>
        <v>4.3</v>
      </c>
      <c r="L97" s="38" t="str">
        <f>IF(Customers!H95="","(no ticket)",Customers!H95)</f>
        <v>Payment issue</v>
      </c>
      <c r="M97" s="19">
        <f>IF(L97="Late delivery",1,0)</f>
        <v>0</v>
      </c>
    </row>
    <row r="98">
      <c r="A98" s="38" t="str">
        <f>Customers!A96</f>
        <v>C0095</v>
      </c>
      <c r="B98" s="19">
        <f>COUNTIFS(c_cust,A98)</f>
        <v>8</v>
      </c>
      <c r="C98" s="19">
        <f>COUNTIFS(c_cust,A98,c_deliv,1)</f>
        <v>8</v>
      </c>
      <c r="D98" s="19">
        <f>B98-C98</f>
        <v>0</v>
      </c>
      <c r="E98" s="19">
        <f>COUNTIFS(c_cust,A98,c_late,1)</f>
        <v>3</v>
      </c>
      <c r="F98" s="30">
        <f>IF(C98=0,"",E98/C98)</f>
        <v>0.375</v>
      </c>
      <c r="G98" s="19">
        <f>Customers!D96</f>
        <v>8</v>
      </c>
      <c r="H98" s="19">
        <f>IF(G98=C98,1,0)</f>
        <v>1</v>
      </c>
      <c r="I98" s="19">
        <f>Customers!G96</f>
        <v>0</v>
      </c>
      <c r="J98" s="39">
        <f>Customers!I96</f>
        <v>0</v>
      </c>
      <c r="K98" s="22">
        <f>Customers!E96</f>
        <v>4.8</v>
      </c>
      <c r="L98" s="38" t="str">
        <f>IF(Customers!H96="","(no ticket)",Customers!H96)</f>
        <v>(no ticket)</v>
      </c>
      <c r="M98" s="19">
        <f>IF(L98="Late delivery",1,0)</f>
        <v>0</v>
      </c>
    </row>
    <row r="99">
      <c r="A99" s="38" t="str">
        <f>Customers!A97</f>
        <v>C0096</v>
      </c>
      <c r="B99" s="19">
        <f>COUNTIFS(c_cust,A99)</f>
        <v>6</v>
      </c>
      <c r="C99" s="19">
        <f>COUNTIFS(c_cust,A99,c_deliv,1)</f>
        <v>6</v>
      </c>
      <c r="D99" s="19">
        <f>B99-C99</f>
        <v>0</v>
      </c>
      <c r="E99" s="19">
        <f>COUNTIFS(c_cust,A99,c_late,1)</f>
        <v>1</v>
      </c>
      <c r="F99" s="30">
        <f>IF(C99=0,"",E99/C99)</f>
        <v>0.166666666666667</v>
      </c>
      <c r="G99" s="19">
        <f>Customers!D97</f>
        <v>6</v>
      </c>
      <c r="H99" s="19">
        <f>IF(G99=C99,1,0)</f>
        <v>1</v>
      </c>
      <c r="I99" s="19">
        <f>Customers!G97</f>
        <v>3</v>
      </c>
      <c r="J99" s="39">
        <f>Customers!I97</f>
        <v>75</v>
      </c>
      <c r="K99" s="22">
        <f>Customers!E97</f>
        <v>5</v>
      </c>
      <c r="L99" s="38" t="str">
        <f>IF(Customers!H97="","(no ticket)",Customers!H97)</f>
        <v>Payment issue</v>
      </c>
      <c r="M99" s="19">
        <f>IF(L99="Late delivery",1,0)</f>
        <v>0</v>
      </c>
    </row>
    <row r="100">
      <c r="A100" s="38" t="str">
        <f>Customers!A98</f>
        <v>C0097</v>
      </c>
      <c r="B100" s="19">
        <f>COUNTIFS(c_cust,A100)</f>
        <v>6</v>
      </c>
      <c r="C100" s="19">
        <f>COUNTIFS(c_cust,A100,c_deliv,1)</f>
        <v>6</v>
      </c>
      <c r="D100" s="19">
        <f>B100-C100</f>
        <v>0</v>
      </c>
      <c r="E100" s="19">
        <f>COUNTIFS(c_cust,A100,c_late,1)</f>
        <v>0</v>
      </c>
      <c r="F100" s="30">
        <f>IF(C100=0,"",E100/C100)</f>
        <v>0</v>
      </c>
      <c r="G100" s="19">
        <f>Customers!D98</f>
        <v>6</v>
      </c>
      <c r="H100" s="19">
        <f>IF(G100=C100,1,0)</f>
        <v>1</v>
      </c>
      <c r="I100" s="19">
        <f>Customers!G98</f>
        <v>2</v>
      </c>
      <c r="J100" s="39">
        <f>Customers!I98</f>
        <v>50</v>
      </c>
      <c r="K100" s="22">
        <f>Customers!E98</f>
        <v>4.2</v>
      </c>
      <c r="L100" s="38" t="str">
        <f>IF(Customers!H98="","(no ticket)",Customers!H98)</f>
        <v>Late delivery</v>
      </c>
      <c r="M100" s="19">
        <f>IF(L100="Late delivery",1,0)</f>
        <v>1</v>
      </c>
    </row>
    <row r="101">
      <c r="A101" s="38" t="str">
        <f>Customers!A99</f>
        <v>C0098</v>
      </c>
      <c r="B101" s="19">
        <f>COUNTIFS(c_cust,A101)</f>
        <v>3</v>
      </c>
      <c r="C101" s="19">
        <f>COUNTIFS(c_cust,A101,c_deliv,1)</f>
        <v>3</v>
      </c>
      <c r="D101" s="19">
        <f>B101-C101</f>
        <v>0</v>
      </c>
      <c r="E101" s="19">
        <f>COUNTIFS(c_cust,A101,c_late,1)</f>
        <v>0</v>
      </c>
      <c r="F101" s="30">
        <f>IF(C101=0,"",E101/C101)</f>
        <v>0</v>
      </c>
      <c r="G101" s="19">
        <f>Customers!D99</f>
        <v>3</v>
      </c>
      <c r="H101" s="19">
        <f>IF(G101=C101,1,0)</f>
        <v>1</v>
      </c>
      <c r="I101" s="19">
        <f>Customers!G99</f>
        <v>0</v>
      </c>
      <c r="J101" s="39">
        <f>Customers!I99</f>
        <v>0</v>
      </c>
      <c r="K101" s="22">
        <f>Customers!E99</f>
        <v>5</v>
      </c>
      <c r="L101" s="38" t="str">
        <f>IF(Customers!H99="","(no ticket)",Customers!H99)</f>
        <v>(no ticket)</v>
      </c>
      <c r="M101" s="19">
        <f>IF(L101="Late delivery",1,0)</f>
        <v>0</v>
      </c>
    </row>
    <row r="102">
      <c r="A102" s="38" t="str">
        <f>Customers!A100</f>
        <v>C0099</v>
      </c>
      <c r="B102" s="19">
        <f>COUNTIFS(c_cust,A102)</f>
        <v>2</v>
      </c>
      <c r="C102" s="19">
        <f>COUNTIFS(c_cust,A102,c_deliv,1)</f>
        <v>2</v>
      </c>
      <c r="D102" s="19">
        <f>B102-C102</f>
        <v>0</v>
      </c>
      <c r="E102" s="19">
        <f>COUNTIFS(c_cust,A102,c_late,1)</f>
        <v>1</v>
      </c>
      <c r="F102" s="30">
        <f>IF(C102=0,"",E102/C102)</f>
        <v>0.5</v>
      </c>
      <c r="G102" s="19">
        <f>Customers!D100</f>
        <v>2</v>
      </c>
      <c r="H102" s="19">
        <f>IF(G102=C102,1,0)</f>
        <v>1</v>
      </c>
      <c r="I102" s="19">
        <f>Customers!G100</f>
        <v>0</v>
      </c>
      <c r="J102" s="39">
        <f>Customers!I100</f>
        <v>0</v>
      </c>
      <c r="K102" s="22">
        <f>Customers!E100</f>
        <v>3.6</v>
      </c>
      <c r="L102" s="38" t="str">
        <f>IF(Customers!H100="","(no ticket)",Customers!H100)</f>
        <v>(no ticket)</v>
      </c>
      <c r="M102" s="19">
        <f>IF(L102="Late delivery",1,0)</f>
        <v>0</v>
      </c>
    </row>
    <row r="103">
      <c r="A103" s="38" t="str">
        <f>Customers!A101</f>
        <v>C0100</v>
      </c>
      <c r="B103" s="19">
        <f>COUNTIFS(c_cust,A103)</f>
        <v>1</v>
      </c>
      <c r="C103" s="19">
        <f>COUNTIFS(c_cust,A103,c_deliv,1)</f>
        <v>1</v>
      </c>
      <c r="D103" s="19">
        <f>B103-C103</f>
        <v>0</v>
      </c>
      <c r="E103" s="19">
        <f>COUNTIFS(c_cust,A103,c_late,1)</f>
        <v>0</v>
      </c>
      <c r="F103" s="30">
        <f>IF(C103=0,"",E103/C103)</f>
        <v>0</v>
      </c>
      <c r="G103" s="19">
        <f>Customers!D101</f>
        <v>1</v>
      </c>
      <c r="H103" s="19">
        <f>IF(G103=C103,1,0)</f>
        <v>1</v>
      </c>
      <c r="I103" s="19">
        <f>Customers!G101</f>
        <v>0</v>
      </c>
      <c r="J103" s="39">
        <f>Customers!I101</f>
        <v>0</v>
      </c>
      <c r="K103" s="22">
        <f>Customers!E101</f>
        <v>4.6</v>
      </c>
      <c r="L103" s="38" t="str">
        <f>IF(Customers!H101="","(no ticket)",Customers!H101)</f>
        <v>(no ticket)</v>
      </c>
      <c r="M103" s="19">
        <f>IF(L103="Late delivery",1,0)</f>
        <v>0</v>
      </c>
    </row>
    <row r="104">
      <c r="A104" s="38" t="str">
        <f>Customers!A102</f>
        <v>C0101</v>
      </c>
      <c r="B104" s="19">
        <f>COUNTIFS(c_cust,A104)</f>
        <v>8</v>
      </c>
      <c r="C104" s="19">
        <f>COUNTIFS(c_cust,A104,c_deliv,1)</f>
        <v>8</v>
      </c>
      <c r="D104" s="19">
        <f>B104-C104</f>
        <v>0</v>
      </c>
      <c r="E104" s="19">
        <f>COUNTIFS(c_cust,A104,c_late,1)</f>
        <v>2</v>
      </c>
      <c r="F104" s="30">
        <f>IF(C104=0,"",E104/C104)</f>
        <v>0.25</v>
      </c>
      <c r="G104" s="19">
        <f>Customers!D102</f>
        <v>8</v>
      </c>
      <c r="H104" s="19">
        <f>IF(G104=C104,1,0)</f>
        <v>1</v>
      </c>
      <c r="I104" s="19">
        <f>Customers!G102</f>
        <v>0</v>
      </c>
      <c r="J104" s="39">
        <f>Customers!I102</f>
        <v>0</v>
      </c>
      <c r="K104" s="22">
        <f>Customers!E102</f>
        <v>5</v>
      </c>
      <c r="L104" s="38" t="str">
        <f>IF(Customers!H102="","(no ticket)",Customers!H102)</f>
        <v>(no ticket)</v>
      </c>
      <c r="M104" s="19">
        <f>IF(L104="Late delivery",1,0)</f>
        <v>0</v>
      </c>
    </row>
    <row r="105">
      <c r="A105" s="38" t="str">
        <f>Customers!A103</f>
        <v>C0102</v>
      </c>
      <c r="B105" s="19">
        <f>COUNTIFS(c_cust,A105)</f>
        <v>9</v>
      </c>
      <c r="C105" s="19">
        <f>COUNTIFS(c_cust,A105,c_deliv,1)</f>
        <v>9</v>
      </c>
      <c r="D105" s="19">
        <f>B105-C105</f>
        <v>0</v>
      </c>
      <c r="E105" s="19">
        <f>COUNTIFS(c_cust,A105,c_late,1)</f>
        <v>5</v>
      </c>
      <c r="F105" s="30">
        <f>IF(C105=0,"",E105/C105)</f>
        <v>0.555555555555556</v>
      </c>
      <c r="G105" s="19">
        <f>Customers!D103</f>
        <v>9</v>
      </c>
      <c r="H105" s="19">
        <f>IF(G105=C105,1,0)</f>
        <v>1</v>
      </c>
      <c r="I105" s="19">
        <f>Customers!G103</f>
        <v>6</v>
      </c>
      <c r="J105" s="39">
        <f>Customers!I103</f>
        <v>300</v>
      </c>
      <c r="K105" s="22">
        <f>Customers!E103</f>
        <v>3.5</v>
      </c>
      <c r="L105" s="38" t="str">
        <f>IF(Customers!H103="","(no ticket)",Customers!H103)</f>
        <v>Other</v>
      </c>
      <c r="M105" s="19">
        <f>IF(L105="Late delivery",1,0)</f>
        <v>0</v>
      </c>
    </row>
    <row r="106">
      <c r="A106" s="38" t="str">
        <f>Customers!A104</f>
        <v>C0103</v>
      </c>
      <c r="B106" s="19">
        <f>COUNTIFS(c_cust,A106)</f>
        <v>5</v>
      </c>
      <c r="C106" s="19">
        <f>COUNTIFS(c_cust,A106,c_deliv,1)</f>
        <v>5</v>
      </c>
      <c r="D106" s="19">
        <f>B106-C106</f>
        <v>0</v>
      </c>
      <c r="E106" s="19">
        <f>COUNTIFS(c_cust,A106,c_late,1)</f>
        <v>3</v>
      </c>
      <c r="F106" s="30">
        <f>IF(C106=0,"",E106/C106)</f>
        <v>0.6</v>
      </c>
      <c r="G106" s="19">
        <f>Customers!D104</f>
        <v>5</v>
      </c>
      <c r="H106" s="19">
        <f>IF(G106=C106,1,0)</f>
        <v>1</v>
      </c>
      <c r="I106" s="19">
        <f>Customers!G104</f>
        <v>2</v>
      </c>
      <c r="J106" s="39">
        <f>Customers!I104</f>
        <v>0</v>
      </c>
      <c r="K106" s="22">
        <f>Customers!E104</f>
        <v>5</v>
      </c>
      <c r="L106" s="38" t="str">
        <f>IF(Customers!H104="","(no ticket)",Customers!H104)</f>
        <v>Late delivery</v>
      </c>
      <c r="M106" s="19">
        <f>IF(L106="Late delivery",1,0)</f>
        <v>1</v>
      </c>
    </row>
    <row r="107">
      <c r="A107" s="38" t="str">
        <f>Customers!A105</f>
        <v>C0104</v>
      </c>
      <c r="B107" s="19">
        <f>COUNTIFS(c_cust,A107)</f>
        <v>5</v>
      </c>
      <c r="C107" s="19">
        <f>COUNTIFS(c_cust,A107,c_deliv,1)</f>
        <v>5</v>
      </c>
      <c r="D107" s="19">
        <f>B107-C107</f>
        <v>0</v>
      </c>
      <c r="E107" s="19">
        <f>COUNTIFS(c_cust,A107,c_late,1)</f>
        <v>1</v>
      </c>
      <c r="F107" s="30">
        <f>IF(C107=0,"",E107/C107)</f>
        <v>0.2</v>
      </c>
      <c r="G107" s="19">
        <f>Customers!D105</f>
        <v>5</v>
      </c>
      <c r="H107" s="19">
        <f>IF(G107=C107,1,0)</f>
        <v>1</v>
      </c>
      <c r="I107" s="19">
        <f>Customers!G105</f>
        <v>3</v>
      </c>
      <c r="J107" s="39">
        <f>Customers!I105</f>
        <v>150</v>
      </c>
      <c r="K107" s="22">
        <f>Customers!E105</f>
        <v>5</v>
      </c>
      <c r="L107" s="38" t="str">
        <f>IF(Customers!H105="","(no ticket)",Customers!H105)</f>
        <v>Payment issue</v>
      </c>
      <c r="M107" s="19">
        <f>IF(L107="Late delivery",1,0)</f>
        <v>0</v>
      </c>
    </row>
    <row r="108">
      <c r="A108" s="38" t="str">
        <f>Customers!A106</f>
        <v>C0105</v>
      </c>
      <c r="B108" s="19">
        <f>COUNTIFS(c_cust,A108)</f>
        <v>4</v>
      </c>
      <c r="C108" s="19">
        <f>COUNTIFS(c_cust,A108,c_deliv,1)</f>
        <v>4</v>
      </c>
      <c r="D108" s="19">
        <f>B108-C108</f>
        <v>0</v>
      </c>
      <c r="E108" s="19">
        <f>COUNTIFS(c_cust,A108,c_late,1)</f>
        <v>2</v>
      </c>
      <c r="F108" s="30">
        <f>IF(C108=0,"",E108/C108)</f>
        <v>0.5</v>
      </c>
      <c r="G108" s="19">
        <f>Customers!D106</f>
        <v>4</v>
      </c>
      <c r="H108" s="19">
        <f>IF(G108=C108,1,0)</f>
        <v>1</v>
      </c>
      <c r="I108" s="19">
        <f>Customers!G106</f>
        <v>0</v>
      </c>
      <c r="J108" s="39">
        <f>Customers!I106</f>
        <v>0</v>
      </c>
      <c r="K108" s="22">
        <f>Customers!E106</f>
        <v>4.7</v>
      </c>
      <c r="L108" s="38" t="str">
        <f>IF(Customers!H106="","(no ticket)",Customers!H106)</f>
        <v>(no ticket)</v>
      </c>
      <c r="M108" s="19">
        <f>IF(L108="Late delivery",1,0)</f>
        <v>0</v>
      </c>
    </row>
    <row r="109">
      <c r="A109" s="38" t="str">
        <f>Customers!A107</f>
        <v>C0106</v>
      </c>
      <c r="B109" s="19">
        <f>COUNTIFS(c_cust,A109)</f>
        <v>7</v>
      </c>
      <c r="C109" s="19">
        <f>COUNTIFS(c_cust,A109,c_deliv,1)</f>
        <v>7</v>
      </c>
      <c r="D109" s="19">
        <f>B109-C109</f>
        <v>0</v>
      </c>
      <c r="E109" s="19">
        <f>COUNTIFS(c_cust,A109,c_late,1)</f>
        <v>1</v>
      </c>
      <c r="F109" s="30">
        <f>IF(C109=0,"",E109/C109)</f>
        <v>0.142857142857143</v>
      </c>
      <c r="G109" s="19">
        <f>Customers!D107</f>
        <v>7</v>
      </c>
      <c r="H109" s="19">
        <f>IF(G109=C109,1,0)</f>
        <v>1</v>
      </c>
      <c r="I109" s="19">
        <f>Customers!G107</f>
        <v>2</v>
      </c>
      <c r="J109" s="39">
        <f>Customers!I107</f>
        <v>0</v>
      </c>
      <c r="K109" s="22">
        <f>Customers!E107</f>
        <v>5</v>
      </c>
      <c r="L109" s="38" t="str">
        <f>IF(Customers!H107="","(no ticket)",Customers!H107)</f>
        <v>Missing item</v>
      </c>
      <c r="M109" s="19">
        <f>IF(L109="Late delivery",1,0)</f>
        <v>0</v>
      </c>
    </row>
    <row r="110">
      <c r="A110" s="38" t="str">
        <f>Customers!A108</f>
        <v>C0107</v>
      </c>
      <c r="B110" s="19">
        <f>COUNTIFS(c_cust,A110)</f>
        <v>5</v>
      </c>
      <c r="C110" s="19">
        <f>COUNTIFS(c_cust,A110,c_deliv,1)</f>
        <v>5</v>
      </c>
      <c r="D110" s="19">
        <f>B110-C110</f>
        <v>0</v>
      </c>
      <c r="E110" s="19">
        <f>COUNTIFS(c_cust,A110,c_late,1)</f>
        <v>0</v>
      </c>
      <c r="F110" s="30">
        <f>IF(C110=0,"",E110/C110)</f>
        <v>0</v>
      </c>
      <c r="G110" s="19">
        <f>Customers!D108</f>
        <v>5</v>
      </c>
      <c r="H110" s="19">
        <f>IF(G110=C110,1,0)</f>
        <v>1</v>
      </c>
      <c r="I110" s="19">
        <f>Customers!G108</f>
        <v>2</v>
      </c>
      <c r="J110" s="39">
        <f>Customers!I108</f>
        <v>0</v>
      </c>
      <c r="K110" s="22">
        <f>Customers!E108</f>
        <v>5</v>
      </c>
      <c r="L110" s="38" t="str">
        <f>IF(Customers!H108="","(no ticket)",Customers!H108)</f>
        <v>Late delivery</v>
      </c>
      <c r="M110" s="19">
        <f>IF(L110="Late delivery",1,0)</f>
        <v>1</v>
      </c>
    </row>
    <row r="111">
      <c r="A111" s="38" t="str">
        <f>Customers!A109</f>
        <v>C0108</v>
      </c>
      <c r="B111" s="19">
        <f>COUNTIFS(c_cust,A111)</f>
        <v>6</v>
      </c>
      <c r="C111" s="19">
        <f>COUNTIFS(c_cust,A111,c_deliv,1)</f>
        <v>6</v>
      </c>
      <c r="D111" s="19">
        <f>B111-C111</f>
        <v>0</v>
      </c>
      <c r="E111" s="19">
        <f>COUNTIFS(c_cust,A111,c_late,1)</f>
        <v>1</v>
      </c>
      <c r="F111" s="30">
        <f>IF(C111=0,"",E111/C111)</f>
        <v>0.166666666666667</v>
      </c>
      <c r="G111" s="19">
        <f>Customers!D109</f>
        <v>6</v>
      </c>
      <c r="H111" s="19">
        <f>IF(G111=C111,1,0)</f>
        <v>1</v>
      </c>
      <c r="I111" s="19">
        <f>Customers!G109</f>
        <v>0</v>
      </c>
      <c r="J111" s="39">
        <f>Customers!I109</f>
        <v>0</v>
      </c>
      <c r="K111" s="22">
        <f>Customers!E109</f>
        <v>4.2</v>
      </c>
      <c r="L111" s="38" t="str">
        <f>IF(Customers!H109="","(no ticket)",Customers!H109)</f>
        <v>(no ticket)</v>
      </c>
      <c r="M111" s="19">
        <f>IF(L111="Late delivery",1,0)</f>
        <v>0</v>
      </c>
    </row>
    <row r="112">
      <c r="A112" s="38" t="str">
        <f>Customers!A110</f>
        <v>C0109</v>
      </c>
      <c r="B112" s="19">
        <f>COUNTIFS(c_cust,A112)</f>
        <v>7</v>
      </c>
      <c r="C112" s="19">
        <f>COUNTIFS(c_cust,A112,c_deliv,1)</f>
        <v>5</v>
      </c>
      <c r="D112" s="19">
        <f>B112-C112</f>
        <v>2</v>
      </c>
      <c r="E112" s="19">
        <f>COUNTIFS(c_cust,A112,c_late,1)</f>
        <v>1</v>
      </c>
      <c r="F112" s="30">
        <f>IF(C112=0,"",E112/C112)</f>
        <v>0.2</v>
      </c>
      <c r="G112" s="19">
        <f>Customers!D110</f>
        <v>5</v>
      </c>
      <c r="H112" s="19">
        <f>IF(G112=C112,1,0)</f>
        <v>1</v>
      </c>
      <c r="I112" s="19">
        <f>Customers!G110</f>
        <v>3</v>
      </c>
      <c r="J112" s="39">
        <f>Customers!I110</f>
        <v>225</v>
      </c>
      <c r="K112" s="22">
        <f>Customers!E110</f>
        <v>4.6</v>
      </c>
      <c r="L112" s="38" t="str">
        <f>IF(Customers!H110="","(no ticket)",Customers!H110)</f>
        <v>Late delivery</v>
      </c>
      <c r="M112" s="19">
        <f>IF(L112="Late delivery",1,0)</f>
        <v>1</v>
      </c>
    </row>
    <row r="113">
      <c r="A113" s="38" t="str">
        <f>Customers!A111</f>
        <v>C0110</v>
      </c>
      <c r="B113" s="19">
        <f>COUNTIFS(c_cust,A113)</f>
        <v>8</v>
      </c>
      <c r="C113" s="19">
        <f>COUNTIFS(c_cust,A113,c_deliv,1)</f>
        <v>8</v>
      </c>
      <c r="D113" s="19">
        <f>B113-C113</f>
        <v>0</v>
      </c>
      <c r="E113" s="19">
        <f>COUNTIFS(c_cust,A113,c_late,1)</f>
        <v>0</v>
      </c>
      <c r="F113" s="30">
        <f>IF(C113=0,"",E113/C113)</f>
        <v>0</v>
      </c>
      <c r="G113" s="19">
        <f>Customers!D111</f>
        <v>8</v>
      </c>
      <c r="H113" s="19">
        <f>IF(G113=C113,1,0)</f>
        <v>1</v>
      </c>
      <c r="I113" s="19">
        <f>Customers!G111</f>
        <v>3</v>
      </c>
      <c r="J113" s="39">
        <f>Customers!I111</f>
        <v>0</v>
      </c>
      <c r="K113" s="22">
        <f>Customers!E111</f>
        <v>4.7</v>
      </c>
      <c r="L113" s="38" t="str">
        <f>IF(Customers!H111="","(no ticket)",Customers!H111)</f>
        <v>Missing item</v>
      </c>
      <c r="M113" s="19">
        <f>IF(L113="Late delivery",1,0)</f>
        <v>0</v>
      </c>
    </row>
    <row r="114">
      <c r="A114" s="38" t="str">
        <f>Customers!A112</f>
        <v>C0111</v>
      </c>
      <c r="B114" s="19">
        <f>COUNTIFS(c_cust,A114)</f>
        <v>12</v>
      </c>
      <c r="C114" s="19">
        <f>COUNTIFS(c_cust,A114,c_deliv,1)</f>
        <v>12</v>
      </c>
      <c r="D114" s="19">
        <f>B114-C114</f>
        <v>0</v>
      </c>
      <c r="E114" s="19">
        <f>COUNTIFS(c_cust,A114,c_late,1)</f>
        <v>2</v>
      </c>
      <c r="F114" s="30">
        <f>IF(C114=0,"",E114/C114)</f>
        <v>0.166666666666667</v>
      </c>
      <c r="G114" s="19">
        <f>Customers!D112</f>
        <v>12</v>
      </c>
      <c r="H114" s="19">
        <f>IF(G114=C114,1,0)</f>
        <v>1</v>
      </c>
      <c r="I114" s="19">
        <f>Customers!G112</f>
        <v>1</v>
      </c>
      <c r="J114" s="39">
        <f>Customers!I112</f>
        <v>0</v>
      </c>
      <c r="K114" s="22">
        <f>Customers!E112</f>
        <v>5</v>
      </c>
      <c r="L114" s="38" t="str">
        <f>IF(Customers!H112="","(no ticket)",Customers!H112)</f>
        <v>Other</v>
      </c>
      <c r="M114" s="19">
        <f>IF(L114="Late delivery",1,0)</f>
        <v>0</v>
      </c>
    </row>
    <row r="115">
      <c r="A115" s="38" t="str">
        <f>Customers!A113</f>
        <v>C0112</v>
      </c>
      <c r="B115" s="19">
        <f>COUNTIFS(c_cust,A115)</f>
        <v>6</v>
      </c>
      <c r="C115" s="19">
        <f>COUNTIFS(c_cust,A115,c_deliv,1)</f>
        <v>6</v>
      </c>
      <c r="D115" s="19">
        <f>B115-C115</f>
        <v>0</v>
      </c>
      <c r="E115" s="19">
        <f>COUNTIFS(c_cust,A115,c_late,1)</f>
        <v>2</v>
      </c>
      <c r="F115" s="30">
        <f>IF(C115=0,"",E115/C115)</f>
        <v>0.333333333333333</v>
      </c>
      <c r="G115" s="19">
        <f>Customers!D113</f>
        <v>6</v>
      </c>
      <c r="H115" s="19">
        <f>IF(G115=C115,1,0)</f>
        <v>1</v>
      </c>
      <c r="I115" s="19">
        <f>Customers!G113</f>
        <v>1</v>
      </c>
      <c r="J115" s="39">
        <f>Customers!I113</f>
        <v>50</v>
      </c>
      <c r="K115" s="22">
        <f>Customers!E113</f>
        <v>4.9</v>
      </c>
      <c r="L115" s="38" t="str">
        <f>IF(Customers!H113="","(no ticket)",Customers!H113)</f>
        <v>Payment issue</v>
      </c>
      <c r="M115" s="19">
        <f>IF(L115="Late delivery",1,0)</f>
        <v>0</v>
      </c>
    </row>
    <row r="116">
      <c r="A116" s="38" t="str">
        <f>Customers!A114</f>
        <v>C0113</v>
      </c>
      <c r="B116" s="19">
        <f>COUNTIFS(c_cust,A116)</f>
        <v>5</v>
      </c>
      <c r="C116" s="19">
        <f>COUNTIFS(c_cust,A116,c_deliv,1)</f>
        <v>5</v>
      </c>
      <c r="D116" s="19">
        <f>B116-C116</f>
        <v>0</v>
      </c>
      <c r="E116" s="19">
        <f>COUNTIFS(c_cust,A116,c_late,1)</f>
        <v>2</v>
      </c>
      <c r="F116" s="30">
        <f>IF(C116=0,"",E116/C116)</f>
        <v>0.4</v>
      </c>
      <c r="G116" s="19">
        <f>Customers!D114</f>
        <v>5</v>
      </c>
      <c r="H116" s="19">
        <f>IF(G116=C116,1,0)</f>
        <v>1</v>
      </c>
      <c r="I116" s="19">
        <f>Customers!G114</f>
        <v>1</v>
      </c>
      <c r="J116" s="39">
        <f>Customers!I114</f>
        <v>50</v>
      </c>
      <c r="K116" s="22">
        <f>Customers!E114</f>
        <v>4.5</v>
      </c>
      <c r="L116" s="38" t="str">
        <f>IF(Customers!H114="","(no ticket)",Customers!H114)</f>
        <v>Missing item</v>
      </c>
      <c r="M116" s="19">
        <f>IF(L116="Late delivery",1,0)</f>
        <v>0</v>
      </c>
    </row>
    <row r="117">
      <c r="A117" s="38" t="str">
        <f>Customers!A115</f>
        <v>C0114</v>
      </c>
      <c r="B117" s="19">
        <f>COUNTIFS(c_cust,A117)</f>
        <v>4</v>
      </c>
      <c r="C117" s="19">
        <f>COUNTIFS(c_cust,A117,c_deliv,1)</f>
        <v>4</v>
      </c>
      <c r="D117" s="19">
        <f>B117-C117</f>
        <v>0</v>
      </c>
      <c r="E117" s="19">
        <f>COUNTIFS(c_cust,A117,c_late,1)</f>
        <v>1</v>
      </c>
      <c r="F117" s="30">
        <f>IF(C117=0,"",E117/C117)</f>
        <v>0.25</v>
      </c>
      <c r="G117" s="19">
        <f>Customers!D115</f>
        <v>4</v>
      </c>
      <c r="H117" s="19">
        <f>IF(G117=C117,1,0)</f>
        <v>1</v>
      </c>
      <c r="I117" s="19">
        <f>Customers!G115</f>
        <v>0</v>
      </c>
      <c r="J117" s="39">
        <f>Customers!I115</f>
        <v>0</v>
      </c>
      <c r="K117" s="22">
        <f>Customers!E115</f>
        <v>5</v>
      </c>
      <c r="L117" s="38" t="str">
        <f>IF(Customers!H115="","(no ticket)",Customers!H115)</f>
        <v>(no ticket)</v>
      </c>
      <c r="M117" s="19">
        <f>IF(L117="Late delivery",1,0)</f>
        <v>0</v>
      </c>
    </row>
    <row r="118">
      <c r="A118" s="38" t="str">
        <f>Customers!A116</f>
        <v>C0115</v>
      </c>
      <c r="B118" s="19">
        <f>COUNTIFS(c_cust,A118)</f>
        <v>11</v>
      </c>
      <c r="C118" s="19">
        <f>COUNTIFS(c_cust,A118,c_deliv,1)</f>
        <v>11</v>
      </c>
      <c r="D118" s="19">
        <f>B118-C118</f>
        <v>0</v>
      </c>
      <c r="E118" s="19">
        <f>COUNTIFS(c_cust,A118,c_late,1)</f>
        <v>5</v>
      </c>
      <c r="F118" s="30">
        <f>IF(C118=0,"",E118/C118)</f>
        <v>0.454545454545455</v>
      </c>
      <c r="G118" s="19">
        <f>Customers!D116</f>
        <v>11</v>
      </c>
      <c r="H118" s="19">
        <f>IF(G118=C118,1,0)</f>
        <v>1</v>
      </c>
      <c r="I118" s="19">
        <f>Customers!G116</f>
        <v>2</v>
      </c>
      <c r="J118" s="39">
        <f>Customers!I116</f>
        <v>150</v>
      </c>
      <c r="K118" s="22">
        <f>Customers!E116</f>
        <v>5</v>
      </c>
      <c r="L118" s="38" t="str">
        <f>IF(Customers!H116="","(no ticket)",Customers!H116)</f>
        <v>Payment issue</v>
      </c>
      <c r="M118" s="19">
        <f>IF(L118="Late delivery",1,0)</f>
        <v>0</v>
      </c>
    </row>
    <row r="119">
      <c r="A119" s="38" t="str">
        <f>Customers!A117</f>
        <v>C0116</v>
      </c>
      <c r="B119" s="19">
        <f>COUNTIFS(c_cust,A119)</f>
        <v>8</v>
      </c>
      <c r="C119" s="19">
        <f>COUNTIFS(c_cust,A119,c_deliv,1)</f>
        <v>8</v>
      </c>
      <c r="D119" s="19">
        <f>B119-C119</f>
        <v>0</v>
      </c>
      <c r="E119" s="19">
        <f>COUNTIFS(c_cust,A119,c_late,1)</f>
        <v>4</v>
      </c>
      <c r="F119" s="30">
        <f>IF(C119=0,"",E119/C119)</f>
        <v>0.5</v>
      </c>
      <c r="G119" s="19">
        <f>Customers!D117</f>
        <v>8</v>
      </c>
      <c r="H119" s="19">
        <f>IF(G119=C119,1,0)</f>
        <v>1</v>
      </c>
      <c r="I119" s="19">
        <f>Customers!G117</f>
        <v>4</v>
      </c>
      <c r="J119" s="39">
        <f>Customers!I117</f>
        <v>0</v>
      </c>
      <c r="K119" s="22">
        <f>Customers!E117</f>
        <v>5</v>
      </c>
      <c r="L119" s="38" t="str">
        <f>IF(Customers!H117="","(no ticket)",Customers!H117)</f>
        <v>Damaged item</v>
      </c>
      <c r="M119" s="19">
        <f>IF(L119="Late delivery",1,0)</f>
        <v>0</v>
      </c>
    </row>
    <row r="120">
      <c r="A120" s="38" t="str">
        <f>Customers!A118</f>
        <v>C0117</v>
      </c>
      <c r="B120" s="19">
        <f>COUNTIFS(c_cust,A120)</f>
        <v>5</v>
      </c>
      <c r="C120" s="19">
        <f>COUNTIFS(c_cust,A120,c_deliv,1)</f>
        <v>5</v>
      </c>
      <c r="D120" s="19">
        <f>B120-C120</f>
        <v>0</v>
      </c>
      <c r="E120" s="19">
        <f>COUNTIFS(c_cust,A120,c_late,1)</f>
        <v>1</v>
      </c>
      <c r="F120" s="30">
        <f>IF(C120=0,"",E120/C120)</f>
        <v>0.2</v>
      </c>
      <c r="G120" s="19">
        <f>Customers!D118</f>
        <v>5</v>
      </c>
      <c r="H120" s="19">
        <f>IF(G120=C120,1,0)</f>
        <v>1</v>
      </c>
      <c r="I120" s="19">
        <f>Customers!G118</f>
        <v>1</v>
      </c>
      <c r="J120" s="39">
        <f>Customers!I118</f>
        <v>0</v>
      </c>
      <c r="K120" s="22">
        <f>Customers!E118</f>
        <v>4.7</v>
      </c>
      <c r="L120" s="38" t="str">
        <f>IF(Customers!H118="","(no ticket)",Customers!H118)</f>
        <v>Other</v>
      </c>
      <c r="M120" s="19">
        <f>IF(L120="Late delivery",1,0)</f>
        <v>0</v>
      </c>
    </row>
    <row r="121">
      <c r="A121" s="38" t="str">
        <f>Customers!A119</f>
        <v>C0118</v>
      </c>
      <c r="B121" s="19">
        <f>COUNTIFS(c_cust,A121)</f>
        <v>2</v>
      </c>
      <c r="C121" s="19">
        <f>COUNTIFS(c_cust,A121,c_deliv,1)</f>
        <v>2</v>
      </c>
      <c r="D121" s="19">
        <f>B121-C121</f>
        <v>0</v>
      </c>
      <c r="E121" s="19">
        <f>COUNTIFS(c_cust,A121,c_late,1)</f>
        <v>0</v>
      </c>
      <c r="F121" s="30">
        <f>IF(C121=0,"",E121/C121)</f>
        <v>0</v>
      </c>
      <c r="G121" s="19">
        <f>Customers!D119</f>
        <v>2</v>
      </c>
      <c r="H121" s="19">
        <f>IF(G121=C121,1,0)</f>
        <v>1</v>
      </c>
      <c r="I121" s="19">
        <f>Customers!G119</f>
        <v>0</v>
      </c>
      <c r="J121" s="39">
        <f>Customers!I119</f>
        <v>0</v>
      </c>
      <c r="K121" s="22">
        <f>Customers!E119</f>
        <v>5</v>
      </c>
      <c r="L121" s="38" t="str">
        <f>IF(Customers!H119="","(no ticket)",Customers!H119)</f>
        <v>(no ticket)</v>
      </c>
      <c r="M121" s="19">
        <f>IF(L121="Late delivery",1,0)</f>
        <v>0</v>
      </c>
    </row>
    <row r="122">
      <c r="A122" s="38" t="str">
        <f>Customers!A120</f>
        <v>C0119</v>
      </c>
      <c r="B122" s="19">
        <f>COUNTIFS(c_cust,A122)</f>
        <v>8</v>
      </c>
      <c r="C122" s="19">
        <f>COUNTIFS(c_cust,A122,c_deliv,1)</f>
        <v>8</v>
      </c>
      <c r="D122" s="19">
        <f>B122-C122</f>
        <v>0</v>
      </c>
      <c r="E122" s="19">
        <f>COUNTIFS(c_cust,A122,c_late,1)</f>
        <v>2</v>
      </c>
      <c r="F122" s="30">
        <f>IF(C122=0,"",E122/C122)</f>
        <v>0.25</v>
      </c>
      <c r="G122" s="19">
        <f>Customers!D120</f>
        <v>8</v>
      </c>
      <c r="H122" s="19">
        <f>IF(G122=C122,1,0)</f>
        <v>1</v>
      </c>
      <c r="I122" s="19">
        <f>Customers!G120</f>
        <v>1</v>
      </c>
      <c r="J122" s="39">
        <f>Customers!I120</f>
        <v>50</v>
      </c>
      <c r="K122" s="22">
        <f>Customers!E120</f>
        <v>5</v>
      </c>
      <c r="L122" s="38" t="str">
        <f>IF(Customers!H120="","(no ticket)",Customers!H120)</f>
        <v>Damaged item</v>
      </c>
      <c r="M122" s="19">
        <f>IF(L122="Late delivery",1,0)</f>
        <v>0</v>
      </c>
    </row>
    <row r="123">
      <c r="A123" s="38" t="str">
        <f>Customers!A121</f>
        <v>C0120</v>
      </c>
      <c r="B123" s="19">
        <f>COUNTIFS(c_cust,A123)</f>
        <v>5</v>
      </c>
      <c r="C123" s="19">
        <f>COUNTIFS(c_cust,A123,c_deliv,1)</f>
        <v>5</v>
      </c>
      <c r="D123" s="19">
        <f>B123-C123</f>
        <v>0</v>
      </c>
      <c r="E123" s="19">
        <f>COUNTIFS(c_cust,A123,c_late,1)</f>
        <v>2</v>
      </c>
      <c r="F123" s="30">
        <f>IF(C123=0,"",E123/C123)</f>
        <v>0.4</v>
      </c>
      <c r="G123" s="19">
        <f>Customers!D121</f>
        <v>5</v>
      </c>
      <c r="H123" s="19">
        <f>IF(G123=C123,1,0)</f>
        <v>1</v>
      </c>
      <c r="I123" s="19">
        <f>Customers!G121</f>
        <v>0</v>
      </c>
      <c r="J123" s="39">
        <f>Customers!I121</f>
        <v>0</v>
      </c>
      <c r="K123" s="22">
        <f>Customers!E121</f>
        <v>4.7</v>
      </c>
      <c r="L123" s="38" t="str">
        <f>IF(Customers!H121="","(no ticket)",Customers!H121)</f>
        <v>(no ticket)</v>
      </c>
      <c r="M123" s="19">
        <f>IF(L123="Late delivery",1,0)</f>
        <v>0</v>
      </c>
    </row>
    <row r="124">
      <c r="A124" s="38" t="str">
        <f>Customers!A122</f>
        <v>C0121</v>
      </c>
      <c r="B124" s="19">
        <f>COUNTIFS(c_cust,A124)</f>
        <v>5</v>
      </c>
      <c r="C124" s="19">
        <f>COUNTIFS(c_cust,A124,c_deliv,1)</f>
        <v>4</v>
      </c>
      <c r="D124" s="19">
        <f>B124-C124</f>
        <v>1</v>
      </c>
      <c r="E124" s="19">
        <f>COUNTIFS(c_cust,A124,c_late,1)</f>
        <v>1</v>
      </c>
      <c r="F124" s="30">
        <f>IF(C124=0,"",E124/C124)</f>
        <v>0.25</v>
      </c>
      <c r="G124" s="19">
        <f>Customers!D122</f>
        <v>4</v>
      </c>
      <c r="H124" s="19">
        <f>IF(G124=C124,1,0)</f>
        <v>1</v>
      </c>
      <c r="I124" s="19">
        <f>Customers!G122</f>
        <v>0</v>
      </c>
      <c r="J124" s="39">
        <f>Customers!I122</f>
        <v>0</v>
      </c>
      <c r="K124" s="22">
        <f>Customers!E122</f>
        <v>4.9</v>
      </c>
      <c r="L124" s="38" t="str">
        <f>IF(Customers!H122="","(no ticket)",Customers!H122)</f>
        <v>(no ticket)</v>
      </c>
      <c r="M124" s="19">
        <f>IF(L124="Late delivery",1,0)</f>
        <v>0</v>
      </c>
    </row>
    <row r="125">
      <c r="A125" s="38" t="str">
        <f>Customers!A123</f>
        <v>C0122</v>
      </c>
      <c r="B125" s="19">
        <f>COUNTIFS(c_cust,A125)</f>
        <v>14</v>
      </c>
      <c r="C125" s="19">
        <f>COUNTIFS(c_cust,A125,c_deliv,1)</f>
        <v>13</v>
      </c>
      <c r="D125" s="19">
        <f>B125-C125</f>
        <v>1</v>
      </c>
      <c r="E125" s="19">
        <f>COUNTIFS(c_cust,A125,c_late,1)</f>
        <v>4</v>
      </c>
      <c r="F125" s="30">
        <f>IF(C125=0,"",E125/C125)</f>
        <v>0.307692307692308</v>
      </c>
      <c r="G125" s="19">
        <f>Customers!D123</f>
        <v>13</v>
      </c>
      <c r="H125" s="19">
        <f>IF(G125=C125,1,0)</f>
        <v>1</v>
      </c>
      <c r="I125" s="19">
        <f>Customers!G123</f>
        <v>2</v>
      </c>
      <c r="J125" s="39">
        <f>Customers!I123</f>
        <v>100</v>
      </c>
      <c r="K125" s="22">
        <f>Customers!E123</f>
        <v>4</v>
      </c>
      <c r="L125" s="38" t="str">
        <f>IF(Customers!H123="","(no ticket)",Customers!H123)</f>
        <v>Payment issue</v>
      </c>
      <c r="M125" s="19">
        <f>IF(L125="Late delivery",1,0)</f>
        <v>0</v>
      </c>
    </row>
    <row r="126">
      <c r="A126" s="38" t="str">
        <f>Customers!A124</f>
        <v>C0123</v>
      </c>
      <c r="B126" s="19">
        <f>COUNTIFS(c_cust,A126)</f>
        <v>7</v>
      </c>
      <c r="C126" s="19">
        <f>COUNTIFS(c_cust,A126,c_deliv,1)</f>
        <v>7</v>
      </c>
      <c r="D126" s="19">
        <f>B126-C126</f>
        <v>0</v>
      </c>
      <c r="E126" s="19">
        <f>COUNTIFS(c_cust,A126,c_late,1)</f>
        <v>0</v>
      </c>
      <c r="F126" s="30">
        <f>IF(C126=0,"",E126/C126)</f>
        <v>0</v>
      </c>
      <c r="G126" s="19">
        <f>Customers!D124</f>
        <v>7</v>
      </c>
      <c r="H126" s="19">
        <f>IF(G126=C126,1,0)</f>
        <v>1</v>
      </c>
      <c r="I126" s="19">
        <f>Customers!G124</f>
        <v>3</v>
      </c>
      <c r="J126" s="39">
        <f>Customers!I124</f>
        <v>0</v>
      </c>
      <c r="K126" s="22">
        <f>Customers!E124</f>
        <v>3.8</v>
      </c>
      <c r="L126" s="38" t="str">
        <f>IF(Customers!H124="","(no ticket)",Customers!H124)</f>
        <v>Missing item</v>
      </c>
      <c r="M126" s="19">
        <f>IF(L126="Late delivery",1,0)</f>
        <v>0</v>
      </c>
    </row>
    <row r="127">
      <c r="A127" s="38" t="str">
        <f>Customers!A125</f>
        <v>C0124</v>
      </c>
      <c r="B127" s="19">
        <f>COUNTIFS(c_cust,A127)</f>
        <v>9</v>
      </c>
      <c r="C127" s="19">
        <f>COUNTIFS(c_cust,A127,c_deliv,1)</f>
        <v>9</v>
      </c>
      <c r="D127" s="19">
        <f>B127-C127</f>
        <v>0</v>
      </c>
      <c r="E127" s="19">
        <f>COUNTIFS(c_cust,A127,c_late,1)</f>
        <v>4</v>
      </c>
      <c r="F127" s="30">
        <f>IF(C127=0,"",E127/C127)</f>
        <v>0.444444444444444</v>
      </c>
      <c r="G127" s="19">
        <f>Customers!D125</f>
        <v>9</v>
      </c>
      <c r="H127" s="19">
        <f>IF(G127=C127,1,0)</f>
        <v>1</v>
      </c>
      <c r="I127" s="19">
        <f>Customers!G125</f>
        <v>1</v>
      </c>
      <c r="J127" s="39">
        <f>Customers!I125</f>
        <v>25</v>
      </c>
      <c r="K127" s="22">
        <f>Customers!E125</f>
        <v>4.9</v>
      </c>
      <c r="L127" s="38" t="str">
        <f>IF(Customers!H125="","(no ticket)",Customers!H125)</f>
        <v>Missing item</v>
      </c>
      <c r="M127" s="19">
        <f>IF(L127="Late delivery",1,0)</f>
        <v>0</v>
      </c>
    </row>
    <row r="128">
      <c r="A128" s="38" t="str">
        <f>Customers!A126</f>
        <v>C0125</v>
      </c>
      <c r="B128" s="19">
        <f>COUNTIFS(c_cust,A128)</f>
        <v>7</v>
      </c>
      <c r="C128" s="19">
        <f>COUNTIFS(c_cust,A128,c_deliv,1)</f>
        <v>7</v>
      </c>
      <c r="D128" s="19">
        <f>B128-C128</f>
        <v>0</v>
      </c>
      <c r="E128" s="19">
        <f>COUNTIFS(c_cust,A128,c_late,1)</f>
        <v>4</v>
      </c>
      <c r="F128" s="30">
        <f>IF(C128=0,"",E128/C128)</f>
        <v>0.571428571428571</v>
      </c>
      <c r="G128" s="19">
        <f>Customers!D126</f>
        <v>7</v>
      </c>
      <c r="H128" s="19">
        <f>IF(G128=C128,1,0)</f>
        <v>1</v>
      </c>
      <c r="I128" s="19">
        <f>Customers!G126</f>
        <v>5</v>
      </c>
      <c r="J128" s="39">
        <f>Customers!I126</f>
        <v>375</v>
      </c>
      <c r="K128" s="22">
        <f>Customers!E126</f>
        <v>4.7</v>
      </c>
      <c r="L128" s="38" t="str">
        <f>IF(Customers!H126="","(no ticket)",Customers!H126)</f>
        <v>Missing item</v>
      </c>
      <c r="M128" s="19">
        <f>IF(L128="Late delivery",1,0)</f>
        <v>0</v>
      </c>
    </row>
    <row r="129">
      <c r="A129" s="38" t="str">
        <f>Customers!A127</f>
        <v>C0126</v>
      </c>
      <c r="B129" s="19">
        <f>COUNTIFS(c_cust,A129)</f>
        <v>8</v>
      </c>
      <c r="C129" s="19">
        <f>COUNTIFS(c_cust,A129,c_deliv,1)</f>
        <v>8</v>
      </c>
      <c r="D129" s="19">
        <f>B129-C129</f>
        <v>0</v>
      </c>
      <c r="E129" s="19">
        <f>COUNTIFS(c_cust,A129,c_late,1)</f>
        <v>2</v>
      </c>
      <c r="F129" s="30">
        <f>IF(C129=0,"",E129/C129)</f>
        <v>0.25</v>
      </c>
      <c r="G129" s="19">
        <f>Customers!D127</f>
        <v>8</v>
      </c>
      <c r="H129" s="19">
        <f>IF(G129=C129,1,0)</f>
        <v>1</v>
      </c>
      <c r="I129" s="19">
        <f>Customers!G127</f>
        <v>1</v>
      </c>
      <c r="J129" s="39">
        <f>Customers!I127</f>
        <v>25</v>
      </c>
      <c r="K129" s="22">
        <f>Customers!E127</f>
        <v>4.8</v>
      </c>
      <c r="L129" s="38" t="str">
        <f>IF(Customers!H127="","(no ticket)",Customers!H127)</f>
        <v>Other</v>
      </c>
      <c r="M129" s="19">
        <f>IF(L129="Late delivery",1,0)</f>
        <v>0</v>
      </c>
    </row>
    <row r="130">
      <c r="A130" s="38" t="str">
        <f>Customers!A128</f>
        <v>C0127</v>
      </c>
      <c r="B130" s="19">
        <f>COUNTIFS(c_cust,A130)</f>
        <v>13</v>
      </c>
      <c r="C130" s="19">
        <f>COUNTIFS(c_cust,A130,c_deliv,1)</f>
        <v>12</v>
      </c>
      <c r="D130" s="19">
        <f>B130-C130</f>
        <v>1</v>
      </c>
      <c r="E130" s="19">
        <f>COUNTIFS(c_cust,A130,c_late,1)</f>
        <v>4</v>
      </c>
      <c r="F130" s="30">
        <f>IF(C130=0,"",E130/C130)</f>
        <v>0.333333333333333</v>
      </c>
      <c r="G130" s="19">
        <f>Customers!D128</f>
        <v>12</v>
      </c>
      <c r="H130" s="19">
        <f>IF(G130=C130,1,0)</f>
        <v>1</v>
      </c>
      <c r="I130" s="19">
        <f>Customers!G128</f>
        <v>1</v>
      </c>
      <c r="J130" s="39">
        <f>Customers!I128</f>
        <v>0</v>
      </c>
      <c r="K130" s="22">
        <f>Customers!E128</f>
        <v>4.4</v>
      </c>
      <c r="L130" s="38" t="str">
        <f>IF(Customers!H128="","(no ticket)",Customers!H128)</f>
        <v>Payment issue</v>
      </c>
      <c r="M130" s="19">
        <f>IF(L130="Late delivery",1,0)</f>
        <v>0</v>
      </c>
    </row>
    <row r="131">
      <c r="A131" s="38" t="str">
        <f>Customers!A129</f>
        <v>C0128</v>
      </c>
      <c r="B131" s="19">
        <f>COUNTIFS(c_cust,A131)</f>
        <v>6</v>
      </c>
      <c r="C131" s="19">
        <f>COUNTIFS(c_cust,A131,c_deliv,1)</f>
        <v>6</v>
      </c>
      <c r="D131" s="19">
        <f>B131-C131</f>
        <v>0</v>
      </c>
      <c r="E131" s="19">
        <f>COUNTIFS(c_cust,A131,c_late,1)</f>
        <v>1</v>
      </c>
      <c r="F131" s="30">
        <f>IF(C131=0,"",E131/C131)</f>
        <v>0.166666666666667</v>
      </c>
      <c r="G131" s="19">
        <f>Customers!D129</f>
        <v>6</v>
      </c>
      <c r="H131" s="19">
        <f>IF(G131=C131,1,0)</f>
        <v>1</v>
      </c>
      <c r="I131" s="19">
        <f>Customers!G129</f>
        <v>4</v>
      </c>
      <c r="J131" s="39">
        <f>Customers!I129</f>
        <v>300</v>
      </c>
      <c r="K131" s="22">
        <f>Customers!E129</f>
        <v>5</v>
      </c>
      <c r="L131" s="38" t="str">
        <f>IF(Customers!H129="","(no ticket)",Customers!H129)</f>
        <v>Late delivery</v>
      </c>
      <c r="M131" s="19">
        <f>IF(L131="Late delivery",1,0)</f>
        <v>1</v>
      </c>
    </row>
    <row r="132">
      <c r="A132" s="38" t="str">
        <f>Customers!A130</f>
        <v>C0129</v>
      </c>
      <c r="B132" s="19">
        <f>COUNTIFS(c_cust,A132)</f>
        <v>7</v>
      </c>
      <c r="C132" s="19">
        <f>COUNTIFS(c_cust,A132,c_deliv,1)</f>
        <v>7</v>
      </c>
      <c r="D132" s="19">
        <f>B132-C132</f>
        <v>0</v>
      </c>
      <c r="E132" s="19">
        <f>COUNTIFS(c_cust,A132,c_late,1)</f>
        <v>4</v>
      </c>
      <c r="F132" s="30">
        <f>IF(C132=0,"",E132/C132)</f>
        <v>0.571428571428571</v>
      </c>
      <c r="G132" s="19">
        <f>Customers!D130</f>
        <v>7</v>
      </c>
      <c r="H132" s="19">
        <f>IF(G132=C132,1,0)</f>
        <v>1</v>
      </c>
      <c r="I132" s="19">
        <f>Customers!G130</f>
        <v>3</v>
      </c>
      <c r="J132" s="39">
        <f>Customers!I130</f>
        <v>0</v>
      </c>
      <c r="K132" s="22">
        <f>Customers!E130</f>
        <v>5</v>
      </c>
      <c r="L132" s="38" t="str">
        <f>IF(Customers!H130="","(no ticket)",Customers!H130)</f>
        <v>Missing item</v>
      </c>
      <c r="M132" s="19">
        <f>IF(L132="Late delivery",1,0)</f>
        <v>0</v>
      </c>
    </row>
    <row r="133">
      <c r="A133" s="38" t="str">
        <f>Customers!A131</f>
        <v>C0130</v>
      </c>
      <c r="B133" s="19">
        <f>COUNTIFS(c_cust,A133)</f>
        <v>8</v>
      </c>
      <c r="C133" s="19">
        <f>COUNTIFS(c_cust,A133,c_deliv,1)</f>
        <v>8</v>
      </c>
      <c r="D133" s="19">
        <f>B133-C133</f>
        <v>0</v>
      </c>
      <c r="E133" s="19">
        <f>COUNTIFS(c_cust,A133,c_late,1)</f>
        <v>2</v>
      </c>
      <c r="F133" s="30">
        <f>IF(C133=0,"",E133/C133)</f>
        <v>0.25</v>
      </c>
      <c r="G133" s="19">
        <f>Customers!D131</f>
        <v>8</v>
      </c>
      <c r="H133" s="19">
        <f>IF(G133=C133,1,0)</f>
        <v>1</v>
      </c>
      <c r="I133" s="19">
        <f>Customers!G131</f>
        <v>0</v>
      </c>
      <c r="J133" s="39">
        <f>Customers!I131</f>
        <v>0</v>
      </c>
      <c r="K133" s="22">
        <f>Customers!E131</f>
        <v>5</v>
      </c>
      <c r="L133" s="38" t="str">
        <f>IF(Customers!H131="","(no ticket)",Customers!H131)</f>
        <v>(no ticket)</v>
      </c>
      <c r="M133" s="19">
        <f>IF(L133="Late delivery",1,0)</f>
        <v>0</v>
      </c>
    </row>
    <row r="134">
      <c r="A134" s="38" t="str">
        <f>Customers!A132</f>
        <v>C0131</v>
      </c>
      <c r="B134" s="19">
        <f>COUNTIFS(c_cust,A134)</f>
        <v>9</v>
      </c>
      <c r="C134" s="19">
        <f>COUNTIFS(c_cust,A134,c_deliv,1)</f>
        <v>8</v>
      </c>
      <c r="D134" s="19">
        <f>B134-C134</f>
        <v>1</v>
      </c>
      <c r="E134" s="19">
        <f>COUNTIFS(c_cust,A134,c_late,1)</f>
        <v>1</v>
      </c>
      <c r="F134" s="30">
        <f>IF(C134=0,"",E134/C134)</f>
        <v>0.125</v>
      </c>
      <c r="G134" s="19">
        <f>Customers!D132</f>
        <v>8</v>
      </c>
      <c r="H134" s="19">
        <f>IF(G134=C134,1,0)</f>
        <v>1</v>
      </c>
      <c r="I134" s="19">
        <f>Customers!G132</f>
        <v>4</v>
      </c>
      <c r="J134" s="39">
        <f>Customers!I132</f>
        <v>300</v>
      </c>
      <c r="K134" s="22">
        <f>Customers!E132</f>
        <v>5</v>
      </c>
      <c r="L134" s="38" t="str">
        <f>IF(Customers!H132="","(no ticket)",Customers!H132)</f>
        <v>Missing item</v>
      </c>
      <c r="M134" s="19">
        <f>IF(L134="Late delivery",1,0)</f>
        <v>0</v>
      </c>
    </row>
    <row r="135">
      <c r="A135" s="38" t="str">
        <f>Customers!A133</f>
        <v>C0132</v>
      </c>
      <c r="B135" s="19">
        <f>COUNTIFS(c_cust,A135)</f>
        <v>6</v>
      </c>
      <c r="C135" s="19">
        <f>COUNTIFS(c_cust,A135,c_deliv,1)</f>
        <v>6</v>
      </c>
      <c r="D135" s="19">
        <f>B135-C135</f>
        <v>0</v>
      </c>
      <c r="E135" s="19">
        <f>COUNTIFS(c_cust,A135,c_late,1)</f>
        <v>1</v>
      </c>
      <c r="F135" s="30">
        <f>IF(C135=0,"",E135/C135)</f>
        <v>0.166666666666667</v>
      </c>
      <c r="G135" s="19">
        <f>Customers!D133</f>
        <v>6</v>
      </c>
      <c r="H135" s="19">
        <f>IF(G135=C135,1,0)</f>
        <v>1</v>
      </c>
      <c r="I135" s="19">
        <f>Customers!G133</f>
        <v>1</v>
      </c>
      <c r="J135" s="39">
        <f>Customers!I133</f>
        <v>0</v>
      </c>
      <c r="K135" s="22">
        <f>Customers!E133</f>
        <v>5</v>
      </c>
      <c r="L135" s="38" t="str">
        <f>IF(Customers!H133="","(no ticket)",Customers!H133)</f>
        <v>Payment issue</v>
      </c>
      <c r="M135" s="19">
        <f>IF(L135="Late delivery",1,0)</f>
        <v>0</v>
      </c>
    </row>
    <row r="136">
      <c r="A136" s="38" t="str">
        <f>Customers!A134</f>
        <v>C0133</v>
      </c>
      <c r="B136" s="19">
        <f>COUNTIFS(c_cust,A136)</f>
        <v>8</v>
      </c>
      <c r="C136" s="19">
        <f>COUNTIFS(c_cust,A136,c_deliv,1)</f>
        <v>8</v>
      </c>
      <c r="D136" s="19">
        <f>B136-C136</f>
        <v>0</v>
      </c>
      <c r="E136" s="19">
        <f>COUNTIFS(c_cust,A136,c_late,1)</f>
        <v>3</v>
      </c>
      <c r="F136" s="30">
        <f>IF(C136=0,"",E136/C136)</f>
        <v>0.375</v>
      </c>
      <c r="G136" s="19">
        <f>Customers!D134</f>
        <v>8</v>
      </c>
      <c r="H136" s="19">
        <f>IF(G136=C136,1,0)</f>
        <v>1</v>
      </c>
      <c r="I136" s="19">
        <f>Customers!G134</f>
        <v>0</v>
      </c>
      <c r="J136" s="39">
        <f>Customers!I134</f>
        <v>0</v>
      </c>
      <c r="K136" s="22">
        <f>Customers!E134</f>
        <v>5</v>
      </c>
      <c r="L136" s="38" t="str">
        <f>IF(Customers!H134="","(no ticket)",Customers!H134)</f>
        <v>(no ticket)</v>
      </c>
      <c r="M136" s="19">
        <f>IF(L136="Late delivery",1,0)</f>
        <v>0</v>
      </c>
    </row>
    <row r="137">
      <c r="A137" s="38" t="str">
        <f>Customers!A135</f>
        <v>C0134</v>
      </c>
      <c r="B137" s="19">
        <f>COUNTIFS(c_cust,A137)</f>
        <v>5</v>
      </c>
      <c r="C137" s="19">
        <f>COUNTIFS(c_cust,A137,c_deliv,1)</f>
        <v>5</v>
      </c>
      <c r="D137" s="19">
        <f>B137-C137</f>
        <v>0</v>
      </c>
      <c r="E137" s="19">
        <f>COUNTIFS(c_cust,A137,c_late,1)</f>
        <v>1</v>
      </c>
      <c r="F137" s="30">
        <f>IF(C137=0,"",E137/C137)</f>
        <v>0.2</v>
      </c>
      <c r="G137" s="19">
        <f>Customers!D135</f>
        <v>5</v>
      </c>
      <c r="H137" s="19">
        <f>IF(G137=C137,1,0)</f>
        <v>1</v>
      </c>
      <c r="I137" s="19">
        <f>Customers!G135</f>
        <v>0</v>
      </c>
      <c r="J137" s="39">
        <f>Customers!I135</f>
        <v>0</v>
      </c>
      <c r="K137" s="22">
        <f>Customers!E135</f>
        <v>4.4</v>
      </c>
      <c r="L137" s="38" t="str">
        <f>IF(Customers!H135="","(no ticket)",Customers!H135)</f>
        <v>(no ticket)</v>
      </c>
      <c r="M137" s="19">
        <f>IF(L137="Late delivery",1,0)</f>
        <v>0</v>
      </c>
    </row>
    <row r="138">
      <c r="A138" s="38" t="str">
        <f>Customers!A136</f>
        <v>C0135</v>
      </c>
      <c r="B138" s="19">
        <f>COUNTIFS(c_cust,A138)</f>
        <v>6</v>
      </c>
      <c r="C138" s="19">
        <f>COUNTIFS(c_cust,A138,c_deliv,1)</f>
        <v>6</v>
      </c>
      <c r="D138" s="19">
        <f>B138-C138</f>
        <v>0</v>
      </c>
      <c r="E138" s="19">
        <f>COUNTIFS(c_cust,A138,c_late,1)</f>
        <v>0</v>
      </c>
      <c r="F138" s="30">
        <f>IF(C138=0,"",E138/C138)</f>
        <v>0</v>
      </c>
      <c r="G138" s="19">
        <f>Customers!D136</f>
        <v>6</v>
      </c>
      <c r="H138" s="19">
        <f>IF(G138=C138,1,0)</f>
        <v>1</v>
      </c>
      <c r="I138" s="19">
        <f>Customers!G136</f>
        <v>4</v>
      </c>
      <c r="J138" s="39">
        <f>Customers!I136</f>
        <v>300</v>
      </c>
      <c r="K138" s="22">
        <f>Customers!E136</f>
        <v>4.7</v>
      </c>
      <c r="L138" s="38" t="str">
        <f>IF(Customers!H136="","(no ticket)",Customers!H136)</f>
        <v>Payment issue</v>
      </c>
      <c r="M138" s="19">
        <f>IF(L138="Late delivery",1,0)</f>
        <v>0</v>
      </c>
    </row>
    <row r="139">
      <c r="A139" s="38" t="str">
        <f>Customers!A137</f>
        <v>C0136</v>
      </c>
      <c r="B139" s="19">
        <f>COUNTIFS(c_cust,A139)</f>
        <v>6</v>
      </c>
      <c r="C139" s="19">
        <f>COUNTIFS(c_cust,A139,c_deliv,1)</f>
        <v>6</v>
      </c>
      <c r="D139" s="19">
        <f>B139-C139</f>
        <v>0</v>
      </c>
      <c r="E139" s="19">
        <f>COUNTIFS(c_cust,A139,c_late,1)</f>
        <v>2</v>
      </c>
      <c r="F139" s="30">
        <f>IF(C139=0,"",E139/C139)</f>
        <v>0.333333333333333</v>
      </c>
      <c r="G139" s="19">
        <f>Customers!D137</f>
        <v>6</v>
      </c>
      <c r="H139" s="19">
        <f>IF(G139=C139,1,0)</f>
        <v>1</v>
      </c>
      <c r="I139" s="19">
        <f>Customers!G137</f>
        <v>1</v>
      </c>
      <c r="J139" s="39">
        <f>Customers!I137</f>
        <v>50</v>
      </c>
      <c r="K139" s="22">
        <f>Customers!E137</f>
        <v>5</v>
      </c>
      <c r="L139" s="38" t="str">
        <f>IF(Customers!H137="","(no ticket)",Customers!H137)</f>
        <v>Late delivery</v>
      </c>
      <c r="M139" s="19">
        <f>IF(L139="Late delivery",1,0)</f>
        <v>1</v>
      </c>
    </row>
    <row r="140">
      <c r="A140" s="38" t="str">
        <f>Customers!A138</f>
        <v>C0137</v>
      </c>
      <c r="B140" s="19">
        <f>COUNTIFS(c_cust,A140)</f>
        <v>8</v>
      </c>
      <c r="C140" s="19">
        <f>COUNTIFS(c_cust,A140,c_deliv,1)</f>
        <v>8</v>
      </c>
      <c r="D140" s="19">
        <f>B140-C140</f>
        <v>0</v>
      </c>
      <c r="E140" s="19">
        <f>COUNTIFS(c_cust,A140,c_late,1)</f>
        <v>0</v>
      </c>
      <c r="F140" s="30">
        <f>IF(C140=0,"",E140/C140)</f>
        <v>0</v>
      </c>
      <c r="G140" s="19">
        <f>Customers!D138</f>
        <v>8</v>
      </c>
      <c r="H140" s="19">
        <f>IF(G140=C140,1,0)</f>
        <v>1</v>
      </c>
      <c r="I140" s="19">
        <f>Customers!G138</f>
        <v>3</v>
      </c>
      <c r="J140" s="39">
        <f>Customers!I138</f>
        <v>0</v>
      </c>
      <c r="K140" s="22">
        <f>Customers!E138</f>
        <v>4</v>
      </c>
      <c r="L140" s="38" t="str">
        <f>IF(Customers!H138="","(no ticket)",Customers!H138)</f>
        <v>Damaged item</v>
      </c>
      <c r="M140" s="19">
        <f>IF(L140="Late delivery",1,0)</f>
        <v>0</v>
      </c>
    </row>
    <row r="141">
      <c r="A141" s="38" t="str">
        <f>Customers!A139</f>
        <v>C0138</v>
      </c>
      <c r="B141" s="19">
        <f>COUNTIFS(c_cust,A141)</f>
        <v>4</v>
      </c>
      <c r="C141" s="19">
        <f>COUNTIFS(c_cust,A141,c_deliv,1)</f>
        <v>4</v>
      </c>
      <c r="D141" s="19">
        <f>B141-C141</f>
        <v>0</v>
      </c>
      <c r="E141" s="19">
        <f>COUNTIFS(c_cust,A141,c_late,1)</f>
        <v>0</v>
      </c>
      <c r="F141" s="30">
        <f>IF(C141=0,"",E141/C141)</f>
        <v>0</v>
      </c>
      <c r="G141" s="19">
        <f>Customers!D139</f>
        <v>4</v>
      </c>
      <c r="H141" s="19">
        <f>IF(G141=C141,1,0)</f>
        <v>1</v>
      </c>
      <c r="I141" s="19">
        <f>Customers!G139</f>
        <v>1</v>
      </c>
      <c r="J141" s="39">
        <f>Customers!I139</f>
        <v>0</v>
      </c>
      <c r="K141" s="22">
        <f>Customers!E139</f>
        <v>4.6</v>
      </c>
      <c r="L141" s="38" t="str">
        <f>IF(Customers!H139="","(no ticket)",Customers!H139)</f>
        <v>Missing item</v>
      </c>
      <c r="M141" s="19">
        <f>IF(L141="Late delivery",1,0)</f>
        <v>0</v>
      </c>
    </row>
    <row r="142">
      <c r="A142" s="38" t="str">
        <f>Customers!A140</f>
        <v>C0139</v>
      </c>
      <c r="B142" s="19">
        <f>COUNTIFS(c_cust,A142)</f>
        <v>8</v>
      </c>
      <c r="C142" s="19">
        <f>COUNTIFS(c_cust,A142,c_deliv,1)</f>
        <v>7</v>
      </c>
      <c r="D142" s="19">
        <f>B142-C142</f>
        <v>1</v>
      </c>
      <c r="E142" s="19">
        <f>COUNTIFS(c_cust,A142,c_late,1)</f>
        <v>2</v>
      </c>
      <c r="F142" s="30">
        <f>IF(C142=0,"",E142/C142)</f>
        <v>0.285714285714286</v>
      </c>
      <c r="G142" s="19">
        <f>Customers!D140</f>
        <v>7</v>
      </c>
      <c r="H142" s="19">
        <f>IF(G142=C142,1,0)</f>
        <v>1</v>
      </c>
      <c r="I142" s="19">
        <f>Customers!G140</f>
        <v>1</v>
      </c>
      <c r="J142" s="39">
        <f>Customers!I140</f>
        <v>0</v>
      </c>
      <c r="K142" s="22">
        <f>Customers!E140</f>
        <v>4.9</v>
      </c>
      <c r="L142" s="38" t="str">
        <f>IF(Customers!H140="","(no ticket)",Customers!H140)</f>
        <v>Payment issue</v>
      </c>
      <c r="M142" s="19">
        <f>IF(L142="Late delivery",1,0)</f>
        <v>0</v>
      </c>
    </row>
    <row r="143">
      <c r="A143" s="38" t="str">
        <f>Customers!A141</f>
        <v>C0140</v>
      </c>
      <c r="B143" s="19">
        <f>COUNTIFS(c_cust,A143)</f>
        <v>4</v>
      </c>
      <c r="C143" s="19">
        <f>COUNTIFS(c_cust,A143,c_deliv,1)</f>
        <v>4</v>
      </c>
      <c r="D143" s="19">
        <f>B143-C143</f>
        <v>0</v>
      </c>
      <c r="E143" s="19">
        <f>COUNTIFS(c_cust,A143,c_late,1)</f>
        <v>1</v>
      </c>
      <c r="F143" s="30">
        <f>IF(C143=0,"",E143/C143)</f>
        <v>0.25</v>
      </c>
      <c r="G143" s="19">
        <f>Customers!D141</f>
        <v>4</v>
      </c>
      <c r="H143" s="19">
        <f>IF(G143=C143,1,0)</f>
        <v>1</v>
      </c>
      <c r="I143" s="19">
        <f>Customers!G141</f>
        <v>0</v>
      </c>
      <c r="J143" s="39">
        <f>Customers!I141</f>
        <v>0</v>
      </c>
      <c r="K143" s="22">
        <f>Customers!E141</f>
        <v>4.4</v>
      </c>
      <c r="L143" s="38" t="str">
        <f>IF(Customers!H141="","(no ticket)",Customers!H141)</f>
        <v>(no ticket)</v>
      </c>
      <c r="M143" s="19">
        <f>IF(L143="Late delivery",1,0)</f>
        <v>0</v>
      </c>
    </row>
    <row r="144">
      <c r="A144" s="38" t="str">
        <f>Customers!A142</f>
        <v>C0141</v>
      </c>
      <c r="B144" s="19">
        <f>COUNTIFS(c_cust,A144)</f>
        <v>7</v>
      </c>
      <c r="C144" s="19">
        <f>COUNTIFS(c_cust,A144,c_deliv,1)</f>
        <v>7</v>
      </c>
      <c r="D144" s="19">
        <f>B144-C144</f>
        <v>0</v>
      </c>
      <c r="E144" s="19">
        <f>COUNTIFS(c_cust,A144,c_late,1)</f>
        <v>1</v>
      </c>
      <c r="F144" s="30">
        <f>IF(C144=0,"",E144/C144)</f>
        <v>0.142857142857143</v>
      </c>
      <c r="G144" s="19">
        <f>Customers!D142</f>
        <v>7</v>
      </c>
      <c r="H144" s="19">
        <f>IF(G144=C144,1,0)</f>
        <v>1</v>
      </c>
      <c r="I144" s="19">
        <f>Customers!G142</f>
        <v>3</v>
      </c>
      <c r="J144" s="39">
        <f>Customers!I142</f>
        <v>75</v>
      </c>
      <c r="K144" s="22">
        <f>Customers!E142</f>
        <v>4.6</v>
      </c>
      <c r="L144" s="38" t="str">
        <f>IF(Customers!H142="","(no ticket)",Customers!H142)</f>
        <v>Damaged item</v>
      </c>
      <c r="M144" s="19">
        <f>IF(L144="Late delivery",1,0)</f>
        <v>0</v>
      </c>
    </row>
    <row r="145">
      <c r="A145" s="38" t="str">
        <f>Customers!A143</f>
        <v>C0142</v>
      </c>
      <c r="B145" s="19">
        <f>COUNTIFS(c_cust,A145)</f>
        <v>6</v>
      </c>
      <c r="C145" s="19">
        <f>COUNTIFS(c_cust,A145,c_deliv,1)</f>
        <v>6</v>
      </c>
      <c r="D145" s="19">
        <f>B145-C145</f>
        <v>0</v>
      </c>
      <c r="E145" s="19">
        <f>COUNTIFS(c_cust,A145,c_late,1)</f>
        <v>2</v>
      </c>
      <c r="F145" s="30">
        <f>IF(C145=0,"",E145/C145)</f>
        <v>0.333333333333333</v>
      </c>
      <c r="G145" s="19">
        <f>Customers!D143</f>
        <v>6</v>
      </c>
      <c r="H145" s="19">
        <f>IF(G145=C145,1,0)</f>
        <v>1</v>
      </c>
      <c r="I145" s="19">
        <f>Customers!G143</f>
        <v>0</v>
      </c>
      <c r="J145" s="39">
        <f>Customers!I143</f>
        <v>0</v>
      </c>
      <c r="K145" s="22">
        <f>Customers!E143</f>
        <v>4.2</v>
      </c>
      <c r="L145" s="38" t="str">
        <f>IF(Customers!H143="","(no ticket)",Customers!H143)</f>
        <v>(no ticket)</v>
      </c>
      <c r="M145" s="19">
        <f>IF(L145="Late delivery",1,0)</f>
        <v>0</v>
      </c>
    </row>
    <row r="146">
      <c r="A146" s="38" t="str">
        <f>Customers!A144</f>
        <v>C0143</v>
      </c>
      <c r="B146" s="19">
        <f>COUNTIFS(c_cust,A146)</f>
        <v>7</v>
      </c>
      <c r="C146" s="19">
        <f>COUNTIFS(c_cust,A146,c_deliv,1)</f>
        <v>7</v>
      </c>
      <c r="D146" s="19">
        <f>B146-C146</f>
        <v>0</v>
      </c>
      <c r="E146" s="19">
        <f>COUNTIFS(c_cust,A146,c_late,1)</f>
        <v>2</v>
      </c>
      <c r="F146" s="30">
        <f>IF(C146=0,"",E146/C146)</f>
        <v>0.285714285714286</v>
      </c>
      <c r="G146" s="19">
        <f>Customers!D144</f>
        <v>7</v>
      </c>
      <c r="H146" s="19">
        <f>IF(G146=C146,1,0)</f>
        <v>1</v>
      </c>
      <c r="I146" s="19">
        <f>Customers!G144</f>
        <v>1</v>
      </c>
      <c r="J146" s="39">
        <f>Customers!I144</f>
        <v>0</v>
      </c>
      <c r="K146" s="22">
        <f>Customers!E144</f>
        <v>5</v>
      </c>
      <c r="L146" s="38" t="str">
        <f>IF(Customers!H144="","(no ticket)",Customers!H144)</f>
        <v>Other</v>
      </c>
      <c r="M146" s="19">
        <f>IF(L146="Late delivery",1,0)</f>
        <v>0</v>
      </c>
    </row>
    <row r="147">
      <c r="A147" s="38" t="str">
        <f>Customers!A145</f>
        <v>C0144</v>
      </c>
      <c r="B147" s="19">
        <f>COUNTIFS(c_cust,A147)</f>
        <v>3</v>
      </c>
      <c r="C147" s="19">
        <f>COUNTIFS(c_cust,A147,c_deliv,1)</f>
        <v>3</v>
      </c>
      <c r="D147" s="19">
        <f>B147-C147</f>
        <v>0</v>
      </c>
      <c r="E147" s="19">
        <f>COUNTIFS(c_cust,A147,c_late,1)</f>
        <v>1</v>
      </c>
      <c r="F147" s="30">
        <f>IF(C147=0,"",E147/C147)</f>
        <v>0.333333333333333</v>
      </c>
      <c r="G147" s="19">
        <f>Customers!D145</f>
        <v>3</v>
      </c>
      <c r="H147" s="19">
        <f>IF(G147=C147,1,0)</f>
        <v>1</v>
      </c>
      <c r="I147" s="19">
        <f>Customers!G145</f>
        <v>2</v>
      </c>
      <c r="J147" s="39">
        <f>Customers!I145</f>
        <v>50</v>
      </c>
      <c r="K147" s="22">
        <f>Customers!E145</f>
        <v>5</v>
      </c>
      <c r="L147" s="38" t="str">
        <f>IF(Customers!H145="","(no ticket)",Customers!H145)</f>
        <v>Damaged item</v>
      </c>
      <c r="M147" s="19">
        <f>IF(L147="Late delivery",1,0)</f>
        <v>0</v>
      </c>
    </row>
    <row r="148">
      <c r="A148" s="38" t="str">
        <f>Customers!A146</f>
        <v>C0145</v>
      </c>
      <c r="B148" s="19">
        <f>COUNTIFS(c_cust,A148)</f>
        <v>7</v>
      </c>
      <c r="C148" s="19">
        <f>COUNTIFS(c_cust,A148,c_deliv,1)</f>
        <v>7</v>
      </c>
      <c r="D148" s="19">
        <f>B148-C148</f>
        <v>0</v>
      </c>
      <c r="E148" s="19">
        <f>COUNTIFS(c_cust,A148,c_late,1)</f>
        <v>1</v>
      </c>
      <c r="F148" s="30">
        <f>IF(C148=0,"",E148/C148)</f>
        <v>0.142857142857143</v>
      </c>
      <c r="G148" s="19">
        <f>Customers!D146</f>
        <v>7</v>
      </c>
      <c r="H148" s="19">
        <f>IF(G148=C148,1,0)</f>
        <v>1</v>
      </c>
      <c r="I148" s="19">
        <f>Customers!G146</f>
        <v>2</v>
      </c>
      <c r="J148" s="39">
        <f>Customers!I146</f>
        <v>150</v>
      </c>
      <c r="K148" s="22">
        <f>Customers!E146</f>
        <v>3.9</v>
      </c>
      <c r="L148" s="38" t="str">
        <f>IF(Customers!H146="","(no ticket)",Customers!H146)</f>
        <v>Other</v>
      </c>
      <c r="M148" s="19">
        <f>IF(L148="Late delivery",1,0)</f>
        <v>0</v>
      </c>
    </row>
    <row r="149">
      <c r="A149" s="38" t="str">
        <f>Customers!A147</f>
        <v>C0146</v>
      </c>
      <c r="B149" s="19">
        <f>COUNTIFS(c_cust,A149)</f>
        <v>8</v>
      </c>
      <c r="C149" s="19">
        <f>COUNTIFS(c_cust,A149,c_deliv,1)</f>
        <v>8</v>
      </c>
      <c r="D149" s="19">
        <f>B149-C149</f>
        <v>0</v>
      </c>
      <c r="E149" s="19">
        <f>COUNTIFS(c_cust,A149,c_late,1)</f>
        <v>3</v>
      </c>
      <c r="F149" s="30">
        <f>IF(C149=0,"",E149/C149)</f>
        <v>0.375</v>
      </c>
      <c r="G149" s="19">
        <f>Customers!D147</f>
        <v>8</v>
      </c>
      <c r="H149" s="19">
        <f>IF(G149=C149,1,0)</f>
        <v>1</v>
      </c>
      <c r="I149" s="19">
        <f>Customers!G147</f>
        <v>3</v>
      </c>
      <c r="J149" s="39">
        <f>Customers!I147</f>
        <v>75</v>
      </c>
      <c r="K149" s="22">
        <f>Customers!E147</f>
        <v>5</v>
      </c>
      <c r="L149" s="38" t="str">
        <f>IF(Customers!H147="","(no ticket)",Customers!H147)</f>
        <v>Late delivery</v>
      </c>
      <c r="M149" s="19">
        <f>IF(L149="Late delivery",1,0)</f>
        <v>1</v>
      </c>
    </row>
    <row r="150">
      <c r="A150" s="38" t="str">
        <f>Customers!A148</f>
        <v>C0147</v>
      </c>
      <c r="B150" s="19">
        <f>COUNTIFS(c_cust,A150)</f>
        <v>4</v>
      </c>
      <c r="C150" s="19">
        <f>COUNTIFS(c_cust,A150,c_deliv,1)</f>
        <v>4</v>
      </c>
      <c r="D150" s="19">
        <f>B150-C150</f>
        <v>0</v>
      </c>
      <c r="E150" s="19">
        <f>COUNTIFS(c_cust,A150,c_late,1)</f>
        <v>0</v>
      </c>
      <c r="F150" s="30">
        <f>IF(C150=0,"",E150/C150)</f>
        <v>0</v>
      </c>
      <c r="G150" s="19">
        <f>Customers!D148</f>
        <v>4</v>
      </c>
      <c r="H150" s="19">
        <f>IF(G150=C150,1,0)</f>
        <v>1</v>
      </c>
      <c r="I150" s="19">
        <f>Customers!G148</f>
        <v>2</v>
      </c>
      <c r="J150" s="39">
        <f>Customers!I148</f>
        <v>0</v>
      </c>
      <c r="K150" s="22">
        <f>Customers!E148</f>
        <v>4.3</v>
      </c>
      <c r="L150" s="38" t="str">
        <f>IF(Customers!H148="","(no ticket)",Customers!H148)</f>
        <v>Late delivery</v>
      </c>
      <c r="M150" s="19">
        <f>IF(L150="Late delivery",1,0)</f>
        <v>1</v>
      </c>
    </row>
    <row r="151">
      <c r="A151" s="38" t="str">
        <f>Customers!A149</f>
        <v>C0148</v>
      </c>
      <c r="B151" s="19">
        <f>COUNTIFS(c_cust,A151)</f>
        <v>4</v>
      </c>
      <c r="C151" s="19">
        <f>COUNTIFS(c_cust,A151,c_deliv,1)</f>
        <v>4</v>
      </c>
      <c r="D151" s="19">
        <f>B151-C151</f>
        <v>0</v>
      </c>
      <c r="E151" s="19">
        <f>COUNTIFS(c_cust,A151,c_late,1)</f>
        <v>1</v>
      </c>
      <c r="F151" s="30">
        <f>IF(C151=0,"",E151/C151)</f>
        <v>0.25</v>
      </c>
      <c r="G151" s="19">
        <f>Customers!D149</f>
        <v>4</v>
      </c>
      <c r="H151" s="19">
        <f>IF(G151=C151,1,0)</f>
        <v>1</v>
      </c>
      <c r="I151" s="19">
        <f>Customers!G149</f>
        <v>0</v>
      </c>
      <c r="J151" s="39">
        <f>Customers!I149</f>
        <v>0</v>
      </c>
      <c r="K151" s="22">
        <f>Customers!E149</f>
        <v>4.8</v>
      </c>
      <c r="L151" s="38" t="str">
        <f>IF(Customers!H149="","(no ticket)",Customers!H149)</f>
        <v>(no ticket)</v>
      </c>
      <c r="M151" s="19">
        <f>IF(L151="Late delivery",1,0)</f>
        <v>0</v>
      </c>
    </row>
    <row r="152">
      <c r="A152" s="38" t="str">
        <f>Customers!A150</f>
        <v>C0149</v>
      </c>
      <c r="B152" s="19">
        <f>COUNTIFS(c_cust,A152)</f>
        <v>7</v>
      </c>
      <c r="C152" s="19">
        <f>COUNTIFS(c_cust,A152,c_deliv,1)</f>
        <v>7</v>
      </c>
      <c r="D152" s="19">
        <f>B152-C152</f>
        <v>0</v>
      </c>
      <c r="E152" s="19">
        <f>COUNTIFS(c_cust,A152,c_late,1)</f>
        <v>3</v>
      </c>
      <c r="F152" s="30">
        <f>IF(C152=0,"",E152/C152)</f>
        <v>0.428571428571429</v>
      </c>
      <c r="G152" s="19">
        <f>Customers!D150</f>
        <v>7</v>
      </c>
      <c r="H152" s="19">
        <f>IF(G152=C152,1,0)</f>
        <v>1</v>
      </c>
      <c r="I152" s="19">
        <f>Customers!G150</f>
        <v>3</v>
      </c>
      <c r="J152" s="39">
        <f>Customers!I150</f>
        <v>225</v>
      </c>
      <c r="K152" s="22">
        <f>Customers!E150</f>
        <v>4.2</v>
      </c>
      <c r="L152" s="38" t="str">
        <f>IF(Customers!H150="","(no ticket)",Customers!H150)</f>
        <v>Payment issue</v>
      </c>
      <c r="M152" s="19">
        <f>IF(L152="Late delivery",1,0)</f>
        <v>0</v>
      </c>
    </row>
    <row r="153">
      <c r="A153" s="38" t="str">
        <f>Customers!A151</f>
        <v>C0150</v>
      </c>
      <c r="B153" s="19">
        <f>COUNTIFS(c_cust,A153)</f>
        <v>8</v>
      </c>
      <c r="C153" s="19">
        <f>COUNTIFS(c_cust,A153,c_deliv,1)</f>
        <v>8</v>
      </c>
      <c r="D153" s="19">
        <f>B153-C153</f>
        <v>0</v>
      </c>
      <c r="E153" s="19">
        <f>COUNTIFS(c_cust,A153,c_late,1)</f>
        <v>1</v>
      </c>
      <c r="F153" s="30">
        <f>IF(C153=0,"",E153/C153)</f>
        <v>0.125</v>
      </c>
      <c r="G153" s="19">
        <f>Customers!D151</f>
        <v>8</v>
      </c>
      <c r="H153" s="19">
        <f>IF(G153=C153,1,0)</f>
        <v>1</v>
      </c>
      <c r="I153" s="19">
        <f>Customers!G151</f>
        <v>3</v>
      </c>
      <c r="J153" s="39">
        <f>Customers!I151</f>
        <v>150</v>
      </c>
      <c r="K153" s="22">
        <f>Customers!E151</f>
        <v>5</v>
      </c>
      <c r="L153" s="38" t="str">
        <f>IF(Customers!H151="","(no ticket)",Customers!H151)</f>
        <v>Damaged item</v>
      </c>
      <c r="M153" s="19">
        <f>IF(L153="Late delivery",1,0)</f>
        <v>0</v>
      </c>
    </row>
    <row r="154">
      <c r="A154" s="38" t="str">
        <f>Customers!A152</f>
        <v>C0151</v>
      </c>
      <c r="B154" s="19">
        <f>COUNTIFS(c_cust,A154)</f>
        <v>9</v>
      </c>
      <c r="C154" s="19">
        <f>COUNTIFS(c_cust,A154,c_deliv,1)</f>
        <v>9</v>
      </c>
      <c r="D154" s="19">
        <f>B154-C154</f>
        <v>0</v>
      </c>
      <c r="E154" s="19">
        <f>COUNTIFS(c_cust,A154,c_late,1)</f>
        <v>3</v>
      </c>
      <c r="F154" s="30">
        <f>IF(C154=0,"",E154/C154)</f>
        <v>0.333333333333333</v>
      </c>
      <c r="G154" s="19">
        <f>Customers!D152</f>
        <v>9</v>
      </c>
      <c r="H154" s="19">
        <f>IF(G154=C154,1,0)</f>
        <v>1</v>
      </c>
      <c r="I154" s="19">
        <f>Customers!G152</f>
        <v>5</v>
      </c>
      <c r="J154" s="39">
        <f>Customers!I152</f>
        <v>250</v>
      </c>
      <c r="K154" s="22">
        <f>Customers!E152</f>
        <v>5</v>
      </c>
      <c r="L154" s="38" t="str">
        <f>IF(Customers!H152="","(no ticket)",Customers!H152)</f>
        <v>Missing item</v>
      </c>
      <c r="M154" s="19">
        <f>IF(L154="Late delivery",1,0)</f>
        <v>0</v>
      </c>
    </row>
    <row r="155">
      <c r="A155" s="38" t="str">
        <f>Customers!A153</f>
        <v>C0152</v>
      </c>
      <c r="B155" s="19">
        <f>COUNTIFS(c_cust,A155)</f>
        <v>5</v>
      </c>
      <c r="C155" s="19">
        <f>COUNTIFS(c_cust,A155,c_deliv,1)</f>
        <v>4</v>
      </c>
      <c r="D155" s="19">
        <f>B155-C155</f>
        <v>1</v>
      </c>
      <c r="E155" s="19">
        <f>COUNTIFS(c_cust,A155,c_late,1)</f>
        <v>2</v>
      </c>
      <c r="F155" s="30">
        <f>IF(C155=0,"",E155/C155)</f>
        <v>0.5</v>
      </c>
      <c r="G155" s="19">
        <f>Customers!D153</f>
        <v>4</v>
      </c>
      <c r="H155" s="19">
        <f>IF(G155=C155,1,0)</f>
        <v>1</v>
      </c>
      <c r="I155" s="19">
        <f>Customers!G153</f>
        <v>0</v>
      </c>
      <c r="J155" s="39">
        <f>Customers!I153</f>
        <v>0</v>
      </c>
      <c r="K155" s="22">
        <f>Customers!E153</f>
        <v>4.1</v>
      </c>
      <c r="L155" s="38" t="str">
        <f>IF(Customers!H153="","(no ticket)",Customers!H153)</f>
        <v>(no ticket)</v>
      </c>
      <c r="M155" s="19">
        <f>IF(L155="Late delivery",1,0)</f>
        <v>0</v>
      </c>
    </row>
    <row r="156">
      <c r="A156" s="38" t="str">
        <f>Customers!A154</f>
        <v>C0153</v>
      </c>
      <c r="B156" s="19">
        <f>COUNTIFS(c_cust,A156)</f>
        <v>7</v>
      </c>
      <c r="C156" s="19">
        <f>COUNTIFS(c_cust,A156,c_deliv,1)</f>
        <v>7</v>
      </c>
      <c r="D156" s="19">
        <f>B156-C156</f>
        <v>0</v>
      </c>
      <c r="E156" s="19">
        <f>COUNTIFS(c_cust,A156,c_late,1)</f>
        <v>1</v>
      </c>
      <c r="F156" s="30">
        <f>IF(C156=0,"",E156/C156)</f>
        <v>0.142857142857143</v>
      </c>
      <c r="G156" s="19">
        <f>Customers!D154</f>
        <v>7</v>
      </c>
      <c r="H156" s="19">
        <f>IF(G156=C156,1,0)</f>
        <v>1</v>
      </c>
      <c r="I156" s="19">
        <f>Customers!G154</f>
        <v>4</v>
      </c>
      <c r="J156" s="39">
        <f>Customers!I154</f>
        <v>0</v>
      </c>
      <c r="K156" s="22">
        <f>Customers!E154</f>
        <v>4.9</v>
      </c>
      <c r="L156" s="38" t="str">
        <f>IF(Customers!H154="","(no ticket)",Customers!H154)</f>
        <v>Late delivery</v>
      </c>
      <c r="M156" s="19">
        <f>IF(L156="Late delivery",1,0)</f>
        <v>1</v>
      </c>
    </row>
    <row r="157">
      <c r="A157" s="38" t="str">
        <f>Customers!A155</f>
        <v>C0154</v>
      </c>
      <c r="B157" s="19">
        <f>COUNTIFS(c_cust,A157)</f>
        <v>8</v>
      </c>
      <c r="C157" s="19">
        <f>COUNTIFS(c_cust,A157,c_deliv,1)</f>
        <v>8</v>
      </c>
      <c r="D157" s="19">
        <f>B157-C157</f>
        <v>0</v>
      </c>
      <c r="E157" s="19">
        <f>COUNTIFS(c_cust,A157,c_late,1)</f>
        <v>1</v>
      </c>
      <c r="F157" s="30">
        <f>IF(C157=0,"",E157/C157)</f>
        <v>0.125</v>
      </c>
      <c r="G157" s="19">
        <f>Customers!D155</f>
        <v>8</v>
      </c>
      <c r="H157" s="19">
        <f>IF(G157=C157,1,0)</f>
        <v>1</v>
      </c>
      <c r="I157" s="19">
        <f>Customers!G155</f>
        <v>4</v>
      </c>
      <c r="J157" s="39">
        <f>Customers!I155</f>
        <v>300</v>
      </c>
      <c r="K157" s="22">
        <f>Customers!E155</f>
        <v>4.7</v>
      </c>
      <c r="L157" s="38" t="str">
        <f>IF(Customers!H155="","(no ticket)",Customers!H155)</f>
        <v>Damaged item</v>
      </c>
      <c r="M157" s="19">
        <f>IF(L157="Late delivery",1,0)</f>
        <v>0</v>
      </c>
    </row>
    <row r="158">
      <c r="A158" s="38" t="str">
        <f>Customers!A156</f>
        <v>C0155</v>
      </c>
      <c r="B158" s="19">
        <f>COUNTIFS(c_cust,A158)</f>
        <v>7</v>
      </c>
      <c r="C158" s="19">
        <f>COUNTIFS(c_cust,A158,c_deliv,1)</f>
        <v>7</v>
      </c>
      <c r="D158" s="19">
        <f>B158-C158</f>
        <v>0</v>
      </c>
      <c r="E158" s="19">
        <f>COUNTIFS(c_cust,A158,c_late,1)</f>
        <v>0</v>
      </c>
      <c r="F158" s="30">
        <f>IF(C158=0,"",E158/C158)</f>
        <v>0</v>
      </c>
      <c r="G158" s="19">
        <f>Customers!D156</f>
        <v>7</v>
      </c>
      <c r="H158" s="19">
        <f>IF(G158=C158,1,0)</f>
        <v>1</v>
      </c>
      <c r="I158" s="19">
        <f>Customers!G156</f>
        <v>2</v>
      </c>
      <c r="J158" s="39">
        <f>Customers!I156</f>
        <v>0</v>
      </c>
      <c r="K158" s="22">
        <f>Customers!E156</f>
        <v>3.5</v>
      </c>
      <c r="L158" s="38" t="str">
        <f>IF(Customers!H156="","(no ticket)",Customers!H156)</f>
        <v>Late delivery</v>
      </c>
      <c r="M158" s="19">
        <f>IF(L158="Late delivery",1,0)</f>
        <v>1</v>
      </c>
    </row>
    <row r="159">
      <c r="A159" s="38" t="str">
        <f>Customers!A157</f>
        <v>C0156</v>
      </c>
      <c r="B159" s="19">
        <f>COUNTIFS(c_cust,A159)</f>
        <v>8</v>
      </c>
      <c r="C159" s="19">
        <f>COUNTIFS(c_cust,A159,c_deliv,1)</f>
        <v>8</v>
      </c>
      <c r="D159" s="19">
        <f>B159-C159</f>
        <v>0</v>
      </c>
      <c r="E159" s="19">
        <f>COUNTIFS(c_cust,A159,c_late,1)</f>
        <v>2</v>
      </c>
      <c r="F159" s="30">
        <f>IF(C159=0,"",E159/C159)</f>
        <v>0.25</v>
      </c>
      <c r="G159" s="19">
        <f>Customers!D157</f>
        <v>8</v>
      </c>
      <c r="H159" s="19">
        <f>IF(G159=C159,1,0)</f>
        <v>1</v>
      </c>
      <c r="I159" s="19">
        <f>Customers!G157</f>
        <v>1</v>
      </c>
      <c r="J159" s="39">
        <f>Customers!I157</f>
        <v>25</v>
      </c>
      <c r="K159" s="22">
        <f>Customers!E157</f>
        <v>4.9</v>
      </c>
      <c r="L159" s="38" t="str">
        <f>IF(Customers!H157="","(no ticket)",Customers!H157)</f>
        <v>Other</v>
      </c>
      <c r="M159" s="19">
        <f>IF(L159="Late delivery",1,0)</f>
        <v>0</v>
      </c>
    </row>
    <row r="160">
      <c r="A160" s="38" t="str">
        <f>Customers!A158</f>
        <v>C0157</v>
      </c>
      <c r="B160" s="19">
        <f>COUNTIFS(c_cust,A160)</f>
        <v>9</v>
      </c>
      <c r="C160" s="19">
        <f>COUNTIFS(c_cust,A160,c_deliv,1)</f>
        <v>9</v>
      </c>
      <c r="D160" s="19">
        <f>B160-C160</f>
        <v>0</v>
      </c>
      <c r="E160" s="19">
        <f>COUNTIFS(c_cust,A160,c_late,1)</f>
        <v>0</v>
      </c>
      <c r="F160" s="30">
        <f>IF(C160=0,"",E160/C160)</f>
        <v>0</v>
      </c>
      <c r="G160" s="19">
        <f>Customers!D158</f>
        <v>9</v>
      </c>
      <c r="H160" s="19">
        <f>IF(G160=C160,1,0)</f>
        <v>1</v>
      </c>
      <c r="I160" s="19">
        <f>Customers!G158</f>
        <v>3</v>
      </c>
      <c r="J160" s="39">
        <f>Customers!I158</f>
        <v>0</v>
      </c>
      <c r="K160" s="22">
        <f>Customers!E158</f>
        <v>5</v>
      </c>
      <c r="L160" s="38" t="str">
        <f>IF(Customers!H158="","(no ticket)",Customers!H158)</f>
        <v>Missing item</v>
      </c>
      <c r="M160" s="19">
        <f>IF(L160="Late delivery",1,0)</f>
        <v>0</v>
      </c>
    </row>
    <row r="161">
      <c r="A161" s="38" t="str">
        <f>Customers!A159</f>
        <v>C0158</v>
      </c>
      <c r="B161" s="19">
        <f>COUNTIFS(c_cust,A161)</f>
        <v>4</v>
      </c>
      <c r="C161" s="19">
        <f>COUNTIFS(c_cust,A161,c_deliv,1)</f>
        <v>4</v>
      </c>
      <c r="D161" s="19">
        <f>B161-C161</f>
        <v>0</v>
      </c>
      <c r="E161" s="19">
        <f>COUNTIFS(c_cust,A161,c_late,1)</f>
        <v>0</v>
      </c>
      <c r="F161" s="30">
        <f>IF(C161=0,"",E161/C161)</f>
        <v>0</v>
      </c>
      <c r="G161" s="19">
        <f>Customers!D159</f>
        <v>4</v>
      </c>
      <c r="H161" s="19">
        <f>IF(G161=C161,1,0)</f>
        <v>1</v>
      </c>
      <c r="I161" s="19">
        <f>Customers!G159</f>
        <v>0</v>
      </c>
      <c r="J161" s="39">
        <f>Customers!I159</f>
        <v>0</v>
      </c>
      <c r="K161" s="22">
        <f>Customers!E159</f>
        <v>5</v>
      </c>
      <c r="L161" s="38" t="str">
        <f>IF(Customers!H159="","(no ticket)",Customers!H159)</f>
        <v>(no ticket)</v>
      </c>
      <c r="M161" s="19">
        <f>IF(L161="Late delivery",1,0)</f>
        <v>0</v>
      </c>
    </row>
    <row r="162">
      <c r="A162" s="38" t="str">
        <f>Customers!A160</f>
        <v>C0159</v>
      </c>
      <c r="B162" s="19">
        <f>COUNTIFS(c_cust,A162)</f>
        <v>3</v>
      </c>
      <c r="C162" s="19">
        <f>COUNTIFS(c_cust,A162,c_deliv,1)</f>
        <v>2</v>
      </c>
      <c r="D162" s="19">
        <f>B162-C162</f>
        <v>1</v>
      </c>
      <c r="E162" s="19">
        <f>COUNTIFS(c_cust,A162,c_late,1)</f>
        <v>1</v>
      </c>
      <c r="F162" s="30">
        <f>IF(C162=0,"",E162/C162)</f>
        <v>0.5</v>
      </c>
      <c r="G162" s="19">
        <f>Customers!D160</f>
        <v>2</v>
      </c>
      <c r="H162" s="19">
        <f>IF(G162=C162,1,0)</f>
        <v>1</v>
      </c>
      <c r="I162" s="19">
        <f>Customers!G160</f>
        <v>1</v>
      </c>
      <c r="J162" s="39">
        <f>Customers!I160</f>
        <v>0</v>
      </c>
      <c r="K162" s="22">
        <f>Customers!E160</f>
        <v>5</v>
      </c>
      <c r="L162" s="38" t="str">
        <f>IF(Customers!H160="","(no ticket)",Customers!H160)</f>
        <v>Late delivery</v>
      </c>
      <c r="M162" s="19">
        <f>IF(L162="Late delivery",1,0)</f>
        <v>1</v>
      </c>
    </row>
    <row r="163">
      <c r="A163" s="38" t="str">
        <f>Customers!A161</f>
        <v>C0160</v>
      </c>
      <c r="B163" s="19">
        <f>COUNTIFS(c_cust,A163)</f>
        <v>14</v>
      </c>
      <c r="C163" s="19">
        <f>COUNTIFS(c_cust,A163,c_deliv,1)</f>
        <v>14</v>
      </c>
      <c r="D163" s="19">
        <f>B163-C163</f>
        <v>0</v>
      </c>
      <c r="E163" s="19">
        <f>COUNTIFS(c_cust,A163,c_late,1)</f>
        <v>4</v>
      </c>
      <c r="F163" s="30">
        <f>IF(C163=0,"",E163/C163)</f>
        <v>0.285714285714286</v>
      </c>
      <c r="G163" s="19">
        <f>Customers!D161</f>
        <v>14</v>
      </c>
      <c r="H163" s="19">
        <f>IF(G163=C163,1,0)</f>
        <v>1</v>
      </c>
      <c r="I163" s="19">
        <f>Customers!G161</f>
        <v>1</v>
      </c>
      <c r="J163" s="39">
        <f>Customers!I161</f>
        <v>50</v>
      </c>
      <c r="K163" s="22">
        <f>Customers!E161</f>
        <v>5</v>
      </c>
      <c r="L163" s="38" t="str">
        <f>IF(Customers!H161="","(no ticket)",Customers!H161)</f>
        <v>Payment issue</v>
      </c>
      <c r="M163" s="19">
        <f>IF(L163="Late delivery",1,0)</f>
        <v>0</v>
      </c>
    </row>
    <row r="164">
      <c r="A164" s="38" t="str">
        <f>Customers!A162</f>
        <v>C0161</v>
      </c>
      <c r="B164" s="19">
        <f>COUNTIFS(c_cust,A164)</f>
        <v>4</v>
      </c>
      <c r="C164" s="19">
        <f>COUNTIFS(c_cust,A164,c_deliv,1)</f>
        <v>4</v>
      </c>
      <c r="D164" s="19">
        <f>B164-C164</f>
        <v>0</v>
      </c>
      <c r="E164" s="19">
        <f>COUNTIFS(c_cust,A164,c_late,1)</f>
        <v>2</v>
      </c>
      <c r="F164" s="30">
        <f>IF(C164=0,"",E164/C164)</f>
        <v>0.5</v>
      </c>
      <c r="G164" s="19">
        <f>Customers!D162</f>
        <v>4</v>
      </c>
      <c r="H164" s="19">
        <f>IF(G164=C164,1,0)</f>
        <v>1</v>
      </c>
      <c r="I164" s="19">
        <f>Customers!G162</f>
        <v>0</v>
      </c>
      <c r="J164" s="39">
        <f>Customers!I162</f>
        <v>0</v>
      </c>
      <c r="K164" s="22">
        <f>Customers!E162</f>
        <v>4.7</v>
      </c>
      <c r="L164" s="38" t="str">
        <f>IF(Customers!H162="","(no ticket)",Customers!H162)</f>
        <v>(no ticket)</v>
      </c>
      <c r="M164" s="19">
        <f>IF(L164="Late delivery",1,0)</f>
        <v>0</v>
      </c>
    </row>
    <row r="165">
      <c r="A165" s="38" t="str">
        <f>Customers!A163</f>
        <v>C0162</v>
      </c>
      <c r="B165" s="19">
        <f>COUNTIFS(c_cust,A165)</f>
        <v>3</v>
      </c>
      <c r="C165" s="19">
        <f>COUNTIFS(c_cust,A165,c_deliv,1)</f>
        <v>3</v>
      </c>
      <c r="D165" s="19">
        <f>B165-C165</f>
        <v>0</v>
      </c>
      <c r="E165" s="19">
        <f>COUNTIFS(c_cust,A165,c_late,1)</f>
        <v>1</v>
      </c>
      <c r="F165" s="30">
        <f>IF(C165=0,"",E165/C165)</f>
        <v>0.333333333333333</v>
      </c>
      <c r="G165" s="19">
        <f>Customers!D163</f>
        <v>3</v>
      </c>
      <c r="H165" s="19">
        <f>IF(G165=C165,1,0)</f>
        <v>1</v>
      </c>
      <c r="I165" s="19">
        <f>Customers!G163</f>
        <v>2</v>
      </c>
      <c r="J165" s="39">
        <f>Customers!I163</f>
        <v>150</v>
      </c>
      <c r="K165" s="22">
        <f>Customers!E163</f>
        <v>5</v>
      </c>
      <c r="L165" s="38" t="str">
        <f>IF(Customers!H163="","(no ticket)",Customers!H163)</f>
        <v>Other</v>
      </c>
      <c r="M165" s="19">
        <f>IF(L165="Late delivery",1,0)</f>
        <v>0</v>
      </c>
    </row>
    <row r="166">
      <c r="A166" s="38" t="str">
        <f>Customers!A164</f>
        <v>C0163</v>
      </c>
      <c r="B166" s="19">
        <f>COUNTIFS(c_cust,A166)</f>
        <v>8</v>
      </c>
      <c r="C166" s="19">
        <f>COUNTIFS(c_cust,A166,c_deliv,1)</f>
        <v>6</v>
      </c>
      <c r="D166" s="19">
        <f>B166-C166</f>
        <v>2</v>
      </c>
      <c r="E166" s="19">
        <f>COUNTIFS(c_cust,A166,c_late,1)</f>
        <v>3</v>
      </c>
      <c r="F166" s="30">
        <f>IF(C166=0,"",E166/C166)</f>
        <v>0.5</v>
      </c>
      <c r="G166" s="19">
        <f>Customers!D164</f>
        <v>6</v>
      </c>
      <c r="H166" s="19">
        <f>IF(G166=C166,1,0)</f>
        <v>1</v>
      </c>
      <c r="I166" s="19">
        <f>Customers!G164</f>
        <v>0</v>
      </c>
      <c r="J166" s="39">
        <f>Customers!I164</f>
        <v>0</v>
      </c>
      <c r="K166" s="22">
        <f>Customers!E164</f>
        <v>5</v>
      </c>
      <c r="L166" s="38" t="str">
        <f>IF(Customers!H164="","(no ticket)",Customers!H164)</f>
        <v>(no ticket)</v>
      </c>
      <c r="M166" s="19">
        <f>IF(L166="Late delivery",1,0)</f>
        <v>0</v>
      </c>
    </row>
    <row r="167">
      <c r="A167" s="38" t="str">
        <f>Customers!A165</f>
        <v>C0164</v>
      </c>
      <c r="B167" s="19">
        <f>COUNTIFS(c_cust,A167)</f>
        <v>7</v>
      </c>
      <c r="C167" s="19">
        <f>COUNTIFS(c_cust,A167,c_deliv,1)</f>
        <v>7</v>
      </c>
      <c r="D167" s="19">
        <f>B167-C167</f>
        <v>0</v>
      </c>
      <c r="E167" s="19">
        <f>COUNTIFS(c_cust,A167,c_late,1)</f>
        <v>0</v>
      </c>
      <c r="F167" s="30">
        <f>IF(C167=0,"",E167/C167)</f>
        <v>0</v>
      </c>
      <c r="G167" s="19">
        <f>Customers!D165</f>
        <v>7</v>
      </c>
      <c r="H167" s="19">
        <f>IF(G167=C167,1,0)</f>
        <v>1</v>
      </c>
      <c r="I167" s="19">
        <f>Customers!G165</f>
        <v>0</v>
      </c>
      <c r="J167" s="39">
        <f>Customers!I165</f>
        <v>0</v>
      </c>
      <c r="K167" s="22">
        <f>Customers!E165</f>
        <v>4.8</v>
      </c>
      <c r="L167" s="38" t="str">
        <f>IF(Customers!H165="","(no ticket)",Customers!H165)</f>
        <v>(no ticket)</v>
      </c>
      <c r="M167" s="19">
        <f>IF(L167="Late delivery",1,0)</f>
        <v>0</v>
      </c>
    </row>
    <row r="168">
      <c r="A168" s="38" t="str">
        <f>Customers!A166</f>
        <v>C0165</v>
      </c>
      <c r="B168" s="19">
        <f>COUNTIFS(c_cust,A168)</f>
        <v>3</v>
      </c>
      <c r="C168" s="19">
        <f>COUNTIFS(c_cust,A168,c_deliv,1)</f>
        <v>3</v>
      </c>
      <c r="D168" s="19">
        <f>B168-C168</f>
        <v>0</v>
      </c>
      <c r="E168" s="19">
        <f>COUNTIFS(c_cust,A168,c_late,1)</f>
        <v>0</v>
      </c>
      <c r="F168" s="30">
        <f>IF(C168=0,"",E168/C168)</f>
        <v>0</v>
      </c>
      <c r="G168" s="19">
        <f>Customers!D166</f>
        <v>3</v>
      </c>
      <c r="H168" s="19">
        <f>IF(G168=C168,1,0)</f>
        <v>1</v>
      </c>
      <c r="I168" s="19">
        <f>Customers!G166</f>
        <v>0</v>
      </c>
      <c r="J168" s="39">
        <f>Customers!I166</f>
        <v>0</v>
      </c>
      <c r="K168" s="22">
        <f>Customers!E166</f>
        <v>4.8</v>
      </c>
      <c r="L168" s="38" t="str">
        <f>IF(Customers!H166="","(no ticket)",Customers!H166)</f>
        <v>(no ticket)</v>
      </c>
      <c r="M168" s="19">
        <f>IF(L168="Late delivery",1,0)</f>
        <v>0</v>
      </c>
    </row>
    <row r="169">
      <c r="A169" s="38" t="str">
        <f>Customers!A167</f>
        <v>C0166</v>
      </c>
      <c r="B169" s="19">
        <f>COUNTIFS(c_cust,A169)</f>
        <v>4</v>
      </c>
      <c r="C169" s="19">
        <f>COUNTIFS(c_cust,A169,c_deliv,1)</f>
        <v>4</v>
      </c>
      <c r="D169" s="19">
        <f>B169-C169</f>
        <v>0</v>
      </c>
      <c r="E169" s="19">
        <f>COUNTIFS(c_cust,A169,c_late,1)</f>
        <v>1</v>
      </c>
      <c r="F169" s="30">
        <f>IF(C169=0,"",E169/C169)</f>
        <v>0.25</v>
      </c>
      <c r="G169" s="19">
        <f>Customers!D167</f>
        <v>4</v>
      </c>
      <c r="H169" s="19">
        <f>IF(G169=C169,1,0)</f>
        <v>1</v>
      </c>
      <c r="I169" s="19">
        <f>Customers!G167</f>
        <v>1</v>
      </c>
      <c r="J169" s="39">
        <f>Customers!I167</f>
        <v>50</v>
      </c>
      <c r="K169" s="22">
        <f>Customers!E167</f>
        <v>5</v>
      </c>
      <c r="L169" s="38" t="str">
        <f>IF(Customers!H167="","(no ticket)",Customers!H167)</f>
        <v>Other</v>
      </c>
      <c r="M169" s="19">
        <f>IF(L169="Late delivery",1,0)</f>
        <v>0</v>
      </c>
    </row>
    <row r="170">
      <c r="A170" s="38" t="str">
        <f>Customers!A168</f>
        <v>C0167</v>
      </c>
      <c r="B170" s="19">
        <f>COUNTIFS(c_cust,A170)</f>
        <v>9</v>
      </c>
      <c r="C170" s="19">
        <f>COUNTIFS(c_cust,A170,c_deliv,1)</f>
        <v>9</v>
      </c>
      <c r="D170" s="19">
        <f>B170-C170</f>
        <v>0</v>
      </c>
      <c r="E170" s="19">
        <f>COUNTIFS(c_cust,A170,c_late,1)</f>
        <v>2</v>
      </c>
      <c r="F170" s="30">
        <f>IF(C170=0,"",E170/C170)</f>
        <v>0.222222222222222</v>
      </c>
      <c r="G170" s="19">
        <f>Customers!D168</f>
        <v>9</v>
      </c>
      <c r="H170" s="19">
        <f>IF(G170=C170,1,0)</f>
        <v>1</v>
      </c>
      <c r="I170" s="19">
        <f>Customers!G168</f>
        <v>6</v>
      </c>
      <c r="J170" s="39">
        <f>Customers!I168</f>
        <v>0</v>
      </c>
      <c r="K170" s="22">
        <f>Customers!E168</f>
        <v>5</v>
      </c>
      <c r="L170" s="38" t="str">
        <f>IF(Customers!H168="","(no ticket)",Customers!H168)</f>
        <v>Other</v>
      </c>
      <c r="M170" s="19">
        <f>IF(L170="Late delivery",1,0)</f>
        <v>0</v>
      </c>
    </row>
    <row r="171">
      <c r="A171" s="38" t="str">
        <f>Customers!A169</f>
        <v>C0168</v>
      </c>
      <c r="B171" s="19">
        <f>COUNTIFS(c_cust,A171)</f>
        <v>6</v>
      </c>
      <c r="C171" s="19">
        <f>COUNTIFS(c_cust,A171,c_deliv,1)</f>
        <v>6</v>
      </c>
      <c r="D171" s="19">
        <f>B171-C171</f>
        <v>0</v>
      </c>
      <c r="E171" s="19">
        <f>COUNTIFS(c_cust,A171,c_late,1)</f>
        <v>3</v>
      </c>
      <c r="F171" s="30">
        <f>IF(C171=0,"",E171/C171)</f>
        <v>0.5</v>
      </c>
      <c r="G171" s="19">
        <f>Customers!D169</f>
        <v>6</v>
      </c>
      <c r="H171" s="19">
        <f>IF(G171=C171,1,0)</f>
        <v>1</v>
      </c>
      <c r="I171" s="19">
        <f>Customers!G169</f>
        <v>1</v>
      </c>
      <c r="J171" s="39">
        <f>Customers!I169</f>
        <v>0</v>
      </c>
      <c r="K171" s="22">
        <f>Customers!E169</f>
        <v>4.5</v>
      </c>
      <c r="L171" s="38" t="str">
        <f>IF(Customers!H169="","(no ticket)",Customers!H169)</f>
        <v>Damaged item</v>
      </c>
      <c r="M171" s="19">
        <f>IF(L171="Late delivery",1,0)</f>
        <v>0</v>
      </c>
    </row>
    <row r="172">
      <c r="A172" s="38" t="str">
        <f>Customers!A170</f>
        <v>C0169</v>
      </c>
      <c r="B172" s="19">
        <f>COUNTIFS(c_cust,A172)</f>
        <v>8</v>
      </c>
      <c r="C172" s="19">
        <f>COUNTIFS(c_cust,A172,c_deliv,1)</f>
        <v>8</v>
      </c>
      <c r="D172" s="19">
        <f>B172-C172</f>
        <v>0</v>
      </c>
      <c r="E172" s="19">
        <f>COUNTIFS(c_cust,A172,c_late,1)</f>
        <v>0</v>
      </c>
      <c r="F172" s="30">
        <f>IF(C172=0,"",E172/C172)</f>
        <v>0</v>
      </c>
      <c r="G172" s="19">
        <f>Customers!D170</f>
        <v>8</v>
      </c>
      <c r="H172" s="19">
        <f>IF(G172=C172,1,0)</f>
        <v>1</v>
      </c>
      <c r="I172" s="19">
        <f>Customers!G170</f>
        <v>3</v>
      </c>
      <c r="J172" s="39">
        <f>Customers!I170</f>
        <v>0</v>
      </c>
      <c r="K172" s="22">
        <f>Customers!E170</f>
        <v>4.9</v>
      </c>
      <c r="L172" s="38" t="str">
        <f>IF(Customers!H170="","(no ticket)",Customers!H170)</f>
        <v>Missing item</v>
      </c>
      <c r="M172" s="19">
        <f>IF(L172="Late delivery",1,0)</f>
        <v>0</v>
      </c>
    </row>
    <row r="173">
      <c r="A173" s="38" t="str">
        <f>Customers!A171</f>
        <v>C0170</v>
      </c>
      <c r="B173" s="19">
        <f>COUNTIFS(c_cust,A173)</f>
        <v>7</v>
      </c>
      <c r="C173" s="19">
        <f>COUNTIFS(c_cust,A173,c_deliv,1)</f>
        <v>7</v>
      </c>
      <c r="D173" s="19">
        <f>B173-C173</f>
        <v>0</v>
      </c>
      <c r="E173" s="19">
        <f>COUNTIFS(c_cust,A173,c_late,1)</f>
        <v>3</v>
      </c>
      <c r="F173" s="30">
        <f>IF(C173=0,"",E173/C173)</f>
        <v>0.428571428571429</v>
      </c>
      <c r="G173" s="19">
        <f>Customers!D171</f>
        <v>7</v>
      </c>
      <c r="H173" s="19">
        <f>IF(G173=C173,1,0)</f>
        <v>1</v>
      </c>
      <c r="I173" s="19">
        <f>Customers!G171</f>
        <v>1</v>
      </c>
      <c r="J173" s="39">
        <f>Customers!I171</f>
        <v>75</v>
      </c>
      <c r="K173" s="22">
        <f>Customers!E171</f>
        <v>5</v>
      </c>
      <c r="L173" s="38" t="str">
        <f>IF(Customers!H171="","(no ticket)",Customers!H171)</f>
        <v>Payment issue</v>
      </c>
      <c r="M173" s="19">
        <f>IF(L173="Late delivery",1,0)</f>
        <v>0</v>
      </c>
    </row>
    <row r="174">
      <c r="A174" s="38" t="str">
        <f>Customers!A172</f>
        <v>C0171</v>
      </c>
      <c r="B174" s="19">
        <f>COUNTIFS(c_cust,A174)</f>
        <v>8</v>
      </c>
      <c r="C174" s="19">
        <f>COUNTIFS(c_cust,A174,c_deliv,1)</f>
        <v>7</v>
      </c>
      <c r="D174" s="19">
        <f>B174-C174</f>
        <v>1</v>
      </c>
      <c r="E174" s="19">
        <f>COUNTIFS(c_cust,A174,c_late,1)</f>
        <v>0</v>
      </c>
      <c r="F174" s="30">
        <f>IF(C174=0,"",E174/C174)</f>
        <v>0</v>
      </c>
      <c r="G174" s="19">
        <f>Customers!D172</f>
        <v>7</v>
      </c>
      <c r="H174" s="19">
        <f>IF(G174=C174,1,0)</f>
        <v>1</v>
      </c>
      <c r="I174" s="19">
        <f>Customers!G172</f>
        <v>3</v>
      </c>
      <c r="J174" s="39">
        <f>Customers!I172</f>
        <v>150</v>
      </c>
      <c r="K174" s="22">
        <f>Customers!E172</f>
        <v>5</v>
      </c>
      <c r="L174" s="38" t="str">
        <f>IF(Customers!H172="","(no ticket)",Customers!H172)</f>
        <v>Payment issue</v>
      </c>
      <c r="M174" s="19">
        <f>IF(L174="Late delivery",1,0)</f>
        <v>0</v>
      </c>
    </row>
    <row r="175">
      <c r="A175" s="38" t="str">
        <f>Customers!A173</f>
        <v>C0172</v>
      </c>
      <c r="B175" s="19">
        <f>COUNTIFS(c_cust,A175)</f>
        <v>5</v>
      </c>
      <c r="C175" s="19">
        <f>COUNTIFS(c_cust,A175,c_deliv,1)</f>
        <v>5</v>
      </c>
      <c r="D175" s="19">
        <f>B175-C175</f>
        <v>0</v>
      </c>
      <c r="E175" s="19">
        <f>COUNTIFS(c_cust,A175,c_late,1)</f>
        <v>2</v>
      </c>
      <c r="F175" s="30">
        <f>IF(C175=0,"",E175/C175)</f>
        <v>0.4</v>
      </c>
      <c r="G175" s="19">
        <f>Customers!D173</f>
        <v>5</v>
      </c>
      <c r="H175" s="19">
        <f>IF(G175=C175,1,0)</f>
        <v>1</v>
      </c>
      <c r="I175" s="19">
        <f>Customers!G173</f>
        <v>2</v>
      </c>
      <c r="J175" s="39">
        <f>Customers!I173</f>
        <v>0</v>
      </c>
      <c r="K175" s="22">
        <f>Customers!E173</f>
        <v>5</v>
      </c>
      <c r="L175" s="38" t="str">
        <f>IF(Customers!H173="","(no ticket)",Customers!H173)</f>
        <v>Damaged item</v>
      </c>
      <c r="M175" s="19">
        <f>IF(L175="Late delivery",1,0)</f>
        <v>0</v>
      </c>
    </row>
    <row r="176">
      <c r="A176" s="38" t="str">
        <f>Customers!A174</f>
        <v>C0173</v>
      </c>
      <c r="B176" s="19">
        <f>COUNTIFS(c_cust,A176)</f>
        <v>7</v>
      </c>
      <c r="C176" s="19">
        <f>COUNTIFS(c_cust,A176,c_deliv,1)</f>
        <v>7</v>
      </c>
      <c r="D176" s="19">
        <f>B176-C176</f>
        <v>0</v>
      </c>
      <c r="E176" s="19">
        <f>COUNTIFS(c_cust,A176,c_late,1)</f>
        <v>1</v>
      </c>
      <c r="F176" s="30">
        <f>IF(C176=0,"",E176/C176)</f>
        <v>0.142857142857143</v>
      </c>
      <c r="G176" s="19">
        <f>Customers!D174</f>
        <v>7</v>
      </c>
      <c r="H176" s="19">
        <f>IF(G176=C176,1,0)</f>
        <v>1</v>
      </c>
      <c r="I176" s="19">
        <f>Customers!G174</f>
        <v>2</v>
      </c>
      <c r="J176" s="39">
        <f>Customers!I174</f>
        <v>0</v>
      </c>
      <c r="K176" s="22">
        <f>Customers!E174</f>
        <v>5</v>
      </c>
      <c r="L176" s="38" t="str">
        <f>IF(Customers!H174="","(no ticket)",Customers!H174)</f>
        <v>Other</v>
      </c>
      <c r="M176" s="19">
        <f>IF(L176="Late delivery",1,0)</f>
        <v>0</v>
      </c>
    </row>
    <row r="177">
      <c r="A177" s="38" t="str">
        <f>Customers!A175</f>
        <v>C0174</v>
      </c>
      <c r="B177" s="19">
        <f>COUNTIFS(c_cust,A177)</f>
        <v>5</v>
      </c>
      <c r="C177" s="19">
        <f>COUNTIFS(c_cust,A177,c_deliv,1)</f>
        <v>5</v>
      </c>
      <c r="D177" s="19">
        <f>B177-C177</f>
        <v>0</v>
      </c>
      <c r="E177" s="19">
        <f>COUNTIFS(c_cust,A177,c_late,1)</f>
        <v>2</v>
      </c>
      <c r="F177" s="30">
        <f>IF(C177=0,"",E177/C177)</f>
        <v>0.4</v>
      </c>
      <c r="G177" s="19">
        <f>Customers!D175</f>
        <v>5</v>
      </c>
      <c r="H177" s="19">
        <f>IF(G177=C177,1,0)</f>
        <v>1</v>
      </c>
      <c r="I177" s="19">
        <f>Customers!G175</f>
        <v>0</v>
      </c>
      <c r="J177" s="39">
        <f>Customers!I175</f>
        <v>0</v>
      </c>
      <c r="K177" s="22">
        <f>Customers!E175</f>
        <v>5</v>
      </c>
      <c r="L177" s="38" t="str">
        <f>IF(Customers!H175="","(no ticket)",Customers!H175)</f>
        <v>(no ticket)</v>
      </c>
      <c r="M177" s="19">
        <f>IF(L177="Late delivery",1,0)</f>
        <v>0</v>
      </c>
    </row>
    <row r="178">
      <c r="A178" s="38" t="str">
        <f>Customers!A176</f>
        <v>C0175</v>
      </c>
      <c r="B178" s="19">
        <f>COUNTIFS(c_cust,A178)</f>
        <v>3</v>
      </c>
      <c r="C178" s="19">
        <f>COUNTIFS(c_cust,A178,c_deliv,1)</f>
        <v>3</v>
      </c>
      <c r="D178" s="19">
        <f>B178-C178</f>
        <v>0</v>
      </c>
      <c r="E178" s="19">
        <f>COUNTIFS(c_cust,A178,c_late,1)</f>
        <v>1</v>
      </c>
      <c r="F178" s="30">
        <f>IF(C178=0,"",E178/C178)</f>
        <v>0.333333333333333</v>
      </c>
      <c r="G178" s="19">
        <f>Customers!D176</f>
        <v>3</v>
      </c>
      <c r="H178" s="19">
        <f>IF(G178=C178,1,0)</f>
        <v>1</v>
      </c>
      <c r="I178" s="19">
        <f>Customers!G176</f>
        <v>0</v>
      </c>
      <c r="J178" s="39">
        <f>Customers!I176</f>
        <v>0</v>
      </c>
      <c r="K178" s="22">
        <f>Customers!E176</f>
        <v>5</v>
      </c>
      <c r="L178" s="38" t="str">
        <f>IF(Customers!H176="","(no ticket)",Customers!H176)</f>
        <v>(no ticket)</v>
      </c>
      <c r="M178" s="19">
        <f>IF(L178="Late delivery",1,0)</f>
        <v>0</v>
      </c>
    </row>
    <row r="179">
      <c r="A179" s="38" t="str">
        <f>Customers!A177</f>
        <v>C0176</v>
      </c>
      <c r="B179" s="19">
        <f>COUNTIFS(c_cust,A179)</f>
        <v>6</v>
      </c>
      <c r="C179" s="19">
        <f>COUNTIFS(c_cust,A179,c_deliv,1)</f>
        <v>5</v>
      </c>
      <c r="D179" s="19">
        <f>B179-C179</f>
        <v>1</v>
      </c>
      <c r="E179" s="19">
        <f>COUNTIFS(c_cust,A179,c_late,1)</f>
        <v>1</v>
      </c>
      <c r="F179" s="30">
        <f>IF(C179=0,"",E179/C179)</f>
        <v>0.2</v>
      </c>
      <c r="G179" s="19">
        <f>Customers!D177</f>
        <v>5</v>
      </c>
      <c r="H179" s="19">
        <f>IF(G179=C179,1,0)</f>
        <v>1</v>
      </c>
      <c r="I179" s="19">
        <f>Customers!G177</f>
        <v>0</v>
      </c>
      <c r="J179" s="39">
        <f>Customers!I177</f>
        <v>0</v>
      </c>
      <c r="K179" s="22">
        <f>Customers!E177</f>
        <v>4.6</v>
      </c>
      <c r="L179" s="38" t="str">
        <f>IF(Customers!H177="","(no ticket)",Customers!H177)</f>
        <v>(no ticket)</v>
      </c>
      <c r="M179" s="19">
        <f>IF(L179="Late delivery",1,0)</f>
        <v>0</v>
      </c>
    </row>
    <row r="180">
      <c r="A180" s="38" t="str">
        <f>Customers!A178</f>
        <v>C0177</v>
      </c>
      <c r="B180" s="19">
        <f>COUNTIFS(c_cust,A180)</f>
        <v>7</v>
      </c>
      <c r="C180" s="19">
        <f>COUNTIFS(c_cust,A180,c_deliv,1)</f>
        <v>7</v>
      </c>
      <c r="D180" s="19">
        <f>B180-C180</f>
        <v>0</v>
      </c>
      <c r="E180" s="19">
        <f>COUNTIFS(c_cust,A180,c_late,1)</f>
        <v>2</v>
      </c>
      <c r="F180" s="30">
        <f>IF(C180=0,"",E180/C180)</f>
        <v>0.285714285714286</v>
      </c>
      <c r="G180" s="19">
        <f>Customers!D178</f>
        <v>7</v>
      </c>
      <c r="H180" s="19">
        <f>IF(G180=C180,1,0)</f>
        <v>1</v>
      </c>
      <c r="I180" s="19">
        <f>Customers!G178</f>
        <v>1</v>
      </c>
      <c r="J180" s="39">
        <f>Customers!I178</f>
        <v>0</v>
      </c>
      <c r="K180" s="22">
        <f>Customers!E178</f>
        <v>4</v>
      </c>
      <c r="L180" s="38" t="str">
        <f>IF(Customers!H178="","(no ticket)",Customers!H178)</f>
        <v>Damaged item</v>
      </c>
      <c r="M180" s="19">
        <f>IF(L180="Late delivery",1,0)</f>
        <v>0</v>
      </c>
    </row>
    <row r="181">
      <c r="A181" s="38" t="str">
        <f>Customers!A179</f>
        <v>C0178</v>
      </c>
      <c r="B181" s="19">
        <f>COUNTIFS(c_cust,A181)</f>
        <v>2</v>
      </c>
      <c r="C181" s="19">
        <f>COUNTIFS(c_cust,A181,c_deliv,1)</f>
        <v>2</v>
      </c>
      <c r="D181" s="19">
        <f>B181-C181</f>
        <v>0</v>
      </c>
      <c r="E181" s="19">
        <f>COUNTIFS(c_cust,A181,c_late,1)</f>
        <v>0</v>
      </c>
      <c r="F181" s="30">
        <f>IF(C181=0,"",E181/C181)</f>
        <v>0</v>
      </c>
      <c r="G181" s="19">
        <f>Customers!D179</f>
        <v>2</v>
      </c>
      <c r="H181" s="19">
        <f>IF(G181=C181,1,0)</f>
        <v>1</v>
      </c>
      <c r="I181" s="19">
        <f>Customers!G179</f>
        <v>1</v>
      </c>
      <c r="J181" s="39">
        <f>Customers!I179</f>
        <v>75</v>
      </c>
      <c r="K181" s="22">
        <f>Customers!E179</f>
        <v>4.8</v>
      </c>
      <c r="L181" s="38" t="str">
        <f>IF(Customers!H179="","(no ticket)",Customers!H179)</f>
        <v>Damaged item</v>
      </c>
      <c r="M181" s="19">
        <f>IF(L181="Late delivery",1,0)</f>
        <v>0</v>
      </c>
    </row>
    <row r="182">
      <c r="A182" s="38" t="str">
        <f>Customers!A180</f>
        <v>C0179</v>
      </c>
      <c r="B182" s="19">
        <f>COUNTIFS(c_cust,A182)</f>
        <v>3</v>
      </c>
      <c r="C182" s="19">
        <f>COUNTIFS(c_cust,A182,c_deliv,1)</f>
        <v>3</v>
      </c>
      <c r="D182" s="19">
        <f>B182-C182</f>
        <v>0</v>
      </c>
      <c r="E182" s="19">
        <f>COUNTIFS(c_cust,A182,c_late,1)</f>
        <v>0</v>
      </c>
      <c r="F182" s="30">
        <f>IF(C182=0,"",E182/C182)</f>
        <v>0</v>
      </c>
      <c r="G182" s="19">
        <f>Customers!D180</f>
        <v>3</v>
      </c>
      <c r="H182" s="19">
        <f>IF(G182=C182,1,0)</f>
        <v>1</v>
      </c>
      <c r="I182" s="19">
        <f>Customers!G180</f>
        <v>2</v>
      </c>
      <c r="J182" s="39">
        <f>Customers!I180</f>
        <v>100</v>
      </c>
      <c r="K182" s="22">
        <f>Customers!E180</f>
        <v>3.9</v>
      </c>
      <c r="L182" s="38" t="str">
        <f>IF(Customers!H180="","(no ticket)",Customers!H180)</f>
        <v>Payment issue</v>
      </c>
      <c r="M182" s="19">
        <f>IF(L182="Late delivery",1,0)</f>
        <v>0</v>
      </c>
    </row>
    <row r="183">
      <c r="A183" s="38" t="str">
        <f>Customers!A181</f>
        <v>C0180</v>
      </c>
      <c r="B183" s="19">
        <f>COUNTIFS(c_cust,A183)</f>
        <v>4</v>
      </c>
      <c r="C183" s="19">
        <f>COUNTIFS(c_cust,A183,c_deliv,1)</f>
        <v>3</v>
      </c>
      <c r="D183" s="19">
        <f>B183-C183</f>
        <v>1</v>
      </c>
      <c r="E183" s="19">
        <f>COUNTIFS(c_cust,A183,c_late,1)</f>
        <v>2</v>
      </c>
      <c r="F183" s="30">
        <f>IF(C183=0,"",E183/C183)</f>
        <v>0.666666666666667</v>
      </c>
      <c r="G183" s="19">
        <f>Customers!D181</f>
        <v>3</v>
      </c>
      <c r="H183" s="19">
        <f>IF(G183=C183,1,0)</f>
        <v>1</v>
      </c>
      <c r="I183" s="19">
        <f>Customers!G181</f>
        <v>1</v>
      </c>
      <c r="J183" s="39">
        <f>Customers!I181</f>
        <v>75</v>
      </c>
      <c r="K183" s="22">
        <f>Customers!E181</f>
        <v>4.7</v>
      </c>
      <c r="L183" s="38" t="str">
        <f>IF(Customers!H181="","(no ticket)",Customers!H181)</f>
        <v>Payment issue</v>
      </c>
      <c r="M183" s="19">
        <f>IF(L183="Late delivery",1,0)</f>
        <v>0</v>
      </c>
    </row>
    <row r="184">
      <c r="A184" s="38" t="str">
        <f>Customers!A182</f>
        <v>C0181</v>
      </c>
      <c r="B184" s="19">
        <f>COUNTIFS(c_cust,A184)</f>
        <v>8</v>
      </c>
      <c r="C184" s="19">
        <f>COUNTIFS(c_cust,A184,c_deliv,1)</f>
        <v>7</v>
      </c>
      <c r="D184" s="19">
        <f>B184-C184</f>
        <v>1</v>
      </c>
      <c r="E184" s="19">
        <f>COUNTIFS(c_cust,A184,c_late,1)</f>
        <v>3</v>
      </c>
      <c r="F184" s="30">
        <f>IF(C184=0,"",E184/C184)</f>
        <v>0.428571428571429</v>
      </c>
      <c r="G184" s="19">
        <f>Customers!D182</f>
        <v>7</v>
      </c>
      <c r="H184" s="19">
        <f>IF(G184=C184,1,0)</f>
        <v>1</v>
      </c>
      <c r="I184" s="19">
        <f>Customers!G182</f>
        <v>0</v>
      </c>
      <c r="J184" s="39">
        <f>Customers!I182</f>
        <v>0</v>
      </c>
      <c r="K184" s="22">
        <f>Customers!E182</f>
        <v>4.2</v>
      </c>
      <c r="L184" s="38" t="str">
        <f>IF(Customers!H182="","(no ticket)",Customers!H182)</f>
        <v>(no ticket)</v>
      </c>
      <c r="M184" s="19">
        <f>IF(L184="Late delivery",1,0)</f>
        <v>0</v>
      </c>
    </row>
    <row r="185">
      <c r="A185" s="38" t="str">
        <f>Customers!A183</f>
        <v>C0182</v>
      </c>
      <c r="B185" s="19">
        <f>COUNTIFS(c_cust,A185)</f>
        <v>4</v>
      </c>
      <c r="C185" s="19">
        <f>COUNTIFS(c_cust,A185,c_deliv,1)</f>
        <v>4</v>
      </c>
      <c r="D185" s="19">
        <f>B185-C185</f>
        <v>0</v>
      </c>
      <c r="E185" s="19">
        <f>COUNTIFS(c_cust,A185,c_late,1)</f>
        <v>1</v>
      </c>
      <c r="F185" s="30">
        <f>IF(C185=0,"",E185/C185)</f>
        <v>0.25</v>
      </c>
      <c r="G185" s="19">
        <f>Customers!D183</f>
        <v>4</v>
      </c>
      <c r="H185" s="19">
        <f>IF(G185=C185,1,0)</f>
        <v>1</v>
      </c>
      <c r="I185" s="19">
        <f>Customers!G183</f>
        <v>1</v>
      </c>
      <c r="J185" s="39">
        <f>Customers!I183</f>
        <v>0</v>
      </c>
      <c r="K185" s="22">
        <f>Customers!E183</f>
        <v>5</v>
      </c>
      <c r="L185" s="38" t="str">
        <f>IF(Customers!H183="","(no ticket)",Customers!H183)</f>
        <v>Other</v>
      </c>
      <c r="M185" s="19">
        <f>IF(L185="Late delivery",1,0)</f>
        <v>0</v>
      </c>
    </row>
    <row r="186">
      <c r="A186" s="38" t="str">
        <f>Customers!A184</f>
        <v>C0183</v>
      </c>
      <c r="B186" s="19">
        <f>COUNTIFS(c_cust,A186)</f>
        <v>8</v>
      </c>
      <c r="C186" s="19">
        <f>COUNTIFS(c_cust,A186,c_deliv,1)</f>
        <v>8</v>
      </c>
      <c r="D186" s="19">
        <f>B186-C186</f>
        <v>0</v>
      </c>
      <c r="E186" s="19">
        <f>COUNTIFS(c_cust,A186,c_late,1)</f>
        <v>3</v>
      </c>
      <c r="F186" s="30">
        <f>IF(C186=0,"",E186/C186)</f>
        <v>0.375</v>
      </c>
      <c r="G186" s="19">
        <f>Customers!D184</f>
        <v>8</v>
      </c>
      <c r="H186" s="19">
        <f>IF(G186=C186,1,0)</f>
        <v>1</v>
      </c>
      <c r="I186" s="19">
        <f>Customers!G184</f>
        <v>2</v>
      </c>
      <c r="J186" s="39">
        <f>Customers!I184</f>
        <v>0</v>
      </c>
      <c r="K186" s="22">
        <f>Customers!E184</f>
        <v>4.3</v>
      </c>
      <c r="L186" s="38" t="str">
        <f>IF(Customers!H184="","(no ticket)",Customers!H184)</f>
        <v>Damaged item</v>
      </c>
      <c r="M186" s="19">
        <f>IF(L186="Late delivery",1,0)</f>
        <v>0</v>
      </c>
    </row>
    <row r="187">
      <c r="A187" s="38" t="str">
        <f>Customers!A185</f>
        <v>C0184</v>
      </c>
      <c r="B187" s="19">
        <f>COUNTIFS(c_cust,A187)</f>
        <v>6</v>
      </c>
      <c r="C187" s="19">
        <f>COUNTIFS(c_cust,A187,c_deliv,1)</f>
        <v>6</v>
      </c>
      <c r="D187" s="19">
        <f>B187-C187</f>
        <v>0</v>
      </c>
      <c r="E187" s="19">
        <f>COUNTIFS(c_cust,A187,c_late,1)</f>
        <v>2</v>
      </c>
      <c r="F187" s="30">
        <f>IF(C187=0,"",E187/C187)</f>
        <v>0.333333333333333</v>
      </c>
      <c r="G187" s="19">
        <f>Customers!D185</f>
        <v>6</v>
      </c>
      <c r="H187" s="19">
        <f>IF(G187=C187,1,0)</f>
        <v>1</v>
      </c>
      <c r="I187" s="19">
        <f>Customers!G185</f>
        <v>1</v>
      </c>
      <c r="J187" s="39">
        <f>Customers!I185</f>
        <v>0</v>
      </c>
      <c r="K187" s="22">
        <f>Customers!E185</f>
        <v>4.9</v>
      </c>
      <c r="L187" s="38" t="str">
        <f>IF(Customers!H185="","(no ticket)",Customers!H185)</f>
        <v>Late delivery</v>
      </c>
      <c r="M187" s="19">
        <f>IF(L187="Late delivery",1,0)</f>
        <v>1</v>
      </c>
    </row>
    <row r="188">
      <c r="A188" s="38" t="str">
        <f>Customers!A186</f>
        <v>C0185</v>
      </c>
      <c r="B188" s="19">
        <f>COUNTIFS(c_cust,A188)</f>
        <v>6</v>
      </c>
      <c r="C188" s="19">
        <f>COUNTIFS(c_cust,A188,c_deliv,1)</f>
        <v>6</v>
      </c>
      <c r="D188" s="19">
        <f>B188-C188</f>
        <v>0</v>
      </c>
      <c r="E188" s="19">
        <f>COUNTIFS(c_cust,A188,c_late,1)</f>
        <v>1</v>
      </c>
      <c r="F188" s="30">
        <f>IF(C188=0,"",E188/C188)</f>
        <v>0.166666666666667</v>
      </c>
      <c r="G188" s="19">
        <f>Customers!D186</f>
        <v>6</v>
      </c>
      <c r="H188" s="19">
        <f>IF(G188=C188,1,0)</f>
        <v>1</v>
      </c>
      <c r="I188" s="19">
        <f>Customers!G186</f>
        <v>2</v>
      </c>
      <c r="J188" s="39">
        <f>Customers!I186</f>
        <v>0</v>
      </c>
      <c r="K188" s="22">
        <f>Customers!E186</f>
        <v>5</v>
      </c>
      <c r="L188" s="38" t="str">
        <f>IF(Customers!H186="","(no ticket)",Customers!H186)</f>
        <v>Missing item</v>
      </c>
      <c r="M188" s="19">
        <f>IF(L188="Late delivery",1,0)</f>
        <v>0</v>
      </c>
    </row>
    <row r="189">
      <c r="A189" s="38" t="str">
        <f>Customers!A187</f>
        <v>C0186</v>
      </c>
      <c r="B189" s="19">
        <f>COUNTIFS(c_cust,A189)</f>
        <v>5</v>
      </c>
      <c r="C189" s="19">
        <f>COUNTIFS(c_cust,A189,c_deliv,1)</f>
        <v>5</v>
      </c>
      <c r="D189" s="19">
        <f>B189-C189</f>
        <v>0</v>
      </c>
      <c r="E189" s="19">
        <f>COUNTIFS(c_cust,A189,c_late,1)</f>
        <v>0</v>
      </c>
      <c r="F189" s="30">
        <f>IF(C189=0,"",E189/C189)</f>
        <v>0</v>
      </c>
      <c r="G189" s="19">
        <f>Customers!D187</f>
        <v>5</v>
      </c>
      <c r="H189" s="19">
        <f>IF(G189=C189,1,0)</f>
        <v>1</v>
      </c>
      <c r="I189" s="19">
        <f>Customers!G187</f>
        <v>1</v>
      </c>
      <c r="J189" s="39">
        <f>Customers!I187</f>
        <v>0</v>
      </c>
      <c r="K189" s="22">
        <f>Customers!E187</f>
        <v>5</v>
      </c>
      <c r="L189" s="38" t="str">
        <f>IF(Customers!H187="","(no ticket)",Customers!H187)</f>
        <v>Missing item</v>
      </c>
      <c r="M189" s="19">
        <f>IF(L189="Late delivery",1,0)</f>
        <v>0</v>
      </c>
    </row>
    <row r="190">
      <c r="A190" s="38" t="str">
        <f>Customers!A188</f>
        <v>C0187</v>
      </c>
      <c r="B190" s="19">
        <f>COUNTIFS(c_cust,A190)</f>
        <v>3</v>
      </c>
      <c r="C190" s="19">
        <f>COUNTIFS(c_cust,A190,c_deliv,1)</f>
        <v>3</v>
      </c>
      <c r="D190" s="19">
        <f>B190-C190</f>
        <v>0</v>
      </c>
      <c r="E190" s="19">
        <f>COUNTIFS(c_cust,A190,c_late,1)</f>
        <v>0</v>
      </c>
      <c r="F190" s="30">
        <f>IF(C190=0,"",E190/C190)</f>
        <v>0</v>
      </c>
      <c r="G190" s="19">
        <f>Customers!D188</f>
        <v>3</v>
      </c>
      <c r="H190" s="19">
        <f>IF(G190=C190,1,0)</f>
        <v>1</v>
      </c>
      <c r="I190" s="19">
        <f>Customers!G188</f>
        <v>0</v>
      </c>
      <c r="J190" s="39">
        <f>Customers!I188</f>
        <v>0</v>
      </c>
      <c r="K190" s="22">
        <f>Customers!E188</f>
        <v>4.9</v>
      </c>
      <c r="L190" s="38" t="str">
        <f>IF(Customers!H188="","(no ticket)",Customers!H188)</f>
        <v>(no ticket)</v>
      </c>
      <c r="M190" s="19">
        <f>IF(L190="Late delivery",1,0)</f>
        <v>0</v>
      </c>
    </row>
    <row r="191">
      <c r="A191" s="38" t="str">
        <f>Customers!A189</f>
        <v>C0188</v>
      </c>
      <c r="B191" s="19">
        <f>COUNTIFS(c_cust,A191)</f>
        <v>6</v>
      </c>
      <c r="C191" s="19">
        <f>COUNTIFS(c_cust,A191,c_deliv,1)</f>
        <v>6</v>
      </c>
      <c r="D191" s="19">
        <f>B191-C191</f>
        <v>0</v>
      </c>
      <c r="E191" s="19">
        <f>COUNTIFS(c_cust,A191,c_late,1)</f>
        <v>3</v>
      </c>
      <c r="F191" s="30">
        <f>IF(C191=0,"",E191/C191)</f>
        <v>0.5</v>
      </c>
      <c r="G191" s="19">
        <f>Customers!D189</f>
        <v>6</v>
      </c>
      <c r="H191" s="19">
        <f>IF(G191=C191,1,0)</f>
        <v>1</v>
      </c>
      <c r="I191" s="19">
        <f>Customers!G189</f>
        <v>0</v>
      </c>
      <c r="J191" s="39">
        <f>Customers!I189</f>
        <v>0</v>
      </c>
      <c r="K191" s="22">
        <f>Customers!E189</f>
        <v>4.7</v>
      </c>
      <c r="L191" s="38" t="str">
        <f>IF(Customers!H189="","(no ticket)",Customers!H189)</f>
        <v>(no ticket)</v>
      </c>
      <c r="M191" s="19">
        <f>IF(L191="Late delivery",1,0)</f>
        <v>0</v>
      </c>
    </row>
    <row r="192">
      <c r="A192" s="38" t="str">
        <f>Customers!A190</f>
        <v>C0189</v>
      </c>
      <c r="B192" s="19">
        <f>COUNTIFS(c_cust,A192)</f>
        <v>4</v>
      </c>
      <c r="C192" s="19">
        <f>COUNTIFS(c_cust,A192,c_deliv,1)</f>
        <v>3</v>
      </c>
      <c r="D192" s="19">
        <f>B192-C192</f>
        <v>1</v>
      </c>
      <c r="E192" s="19">
        <f>COUNTIFS(c_cust,A192,c_late,1)</f>
        <v>0</v>
      </c>
      <c r="F192" s="30">
        <f>IF(C192=0,"",E192/C192)</f>
        <v>0</v>
      </c>
      <c r="G192" s="19">
        <f>Customers!D190</f>
        <v>3</v>
      </c>
      <c r="H192" s="19">
        <f>IF(G192=C192,1,0)</f>
        <v>1</v>
      </c>
      <c r="I192" s="19">
        <f>Customers!G190</f>
        <v>1</v>
      </c>
      <c r="J192" s="39">
        <f>Customers!I190</f>
        <v>0</v>
      </c>
      <c r="K192" s="22">
        <f>Customers!E190</f>
        <v>4.6</v>
      </c>
      <c r="L192" s="38" t="str">
        <f>IF(Customers!H190="","(no ticket)",Customers!H190)</f>
        <v>Payment issue</v>
      </c>
      <c r="M192" s="19">
        <f>IF(L192="Late delivery",1,0)</f>
        <v>0</v>
      </c>
    </row>
    <row r="193">
      <c r="A193" s="38" t="str">
        <f>Customers!A191</f>
        <v>C0190</v>
      </c>
      <c r="B193" s="19">
        <f>COUNTIFS(c_cust,A193)</f>
        <v>4</v>
      </c>
      <c r="C193" s="19">
        <f>COUNTIFS(c_cust,A193,c_deliv,1)</f>
        <v>4</v>
      </c>
      <c r="D193" s="19">
        <f>B193-C193</f>
        <v>0</v>
      </c>
      <c r="E193" s="19">
        <f>COUNTIFS(c_cust,A193,c_late,1)</f>
        <v>2</v>
      </c>
      <c r="F193" s="30">
        <f>IF(C193=0,"",E193/C193)</f>
        <v>0.5</v>
      </c>
      <c r="G193" s="19">
        <f>Customers!D191</f>
        <v>4</v>
      </c>
      <c r="H193" s="19">
        <f>IF(G193=C193,1,0)</f>
        <v>1</v>
      </c>
      <c r="I193" s="19">
        <f>Customers!G191</f>
        <v>1</v>
      </c>
      <c r="J193" s="39">
        <f>Customers!I191</f>
        <v>25</v>
      </c>
      <c r="K193" s="22">
        <f>Customers!E191</f>
        <v>5</v>
      </c>
      <c r="L193" s="38" t="str">
        <f>IF(Customers!H191="","(no ticket)",Customers!H191)</f>
        <v>Late delivery</v>
      </c>
      <c r="M193" s="19">
        <f>IF(L193="Late delivery",1,0)</f>
        <v>1</v>
      </c>
    </row>
    <row r="194">
      <c r="A194" s="38" t="str">
        <f>Customers!A192</f>
        <v>C0191</v>
      </c>
      <c r="B194" s="19">
        <f>COUNTIFS(c_cust,A194)</f>
        <v>4</v>
      </c>
      <c r="C194" s="19">
        <f>COUNTIFS(c_cust,A194,c_deliv,1)</f>
        <v>4</v>
      </c>
      <c r="D194" s="19">
        <f>B194-C194</f>
        <v>0</v>
      </c>
      <c r="E194" s="19">
        <f>COUNTIFS(c_cust,A194,c_late,1)</f>
        <v>1</v>
      </c>
      <c r="F194" s="30">
        <f>IF(C194=0,"",E194/C194)</f>
        <v>0.25</v>
      </c>
      <c r="G194" s="19">
        <f>Customers!D192</f>
        <v>4</v>
      </c>
      <c r="H194" s="19">
        <f>IF(G194=C194,1,0)</f>
        <v>1</v>
      </c>
      <c r="I194" s="19">
        <f>Customers!G192</f>
        <v>2</v>
      </c>
      <c r="J194" s="39">
        <f>Customers!I192</f>
        <v>150</v>
      </c>
      <c r="K194" s="22">
        <f>Customers!E192</f>
        <v>5</v>
      </c>
      <c r="L194" s="38" t="str">
        <f>IF(Customers!H192="","(no ticket)",Customers!H192)</f>
        <v>Missing item</v>
      </c>
      <c r="M194" s="19">
        <f>IF(L194="Late delivery",1,0)</f>
        <v>0</v>
      </c>
    </row>
    <row r="195">
      <c r="A195" s="38" t="str">
        <f>Customers!A193</f>
        <v>C0192</v>
      </c>
      <c r="B195" s="19">
        <f>COUNTIFS(c_cust,A195)</f>
        <v>7</v>
      </c>
      <c r="C195" s="19">
        <f>COUNTIFS(c_cust,A195,c_deliv,1)</f>
        <v>7</v>
      </c>
      <c r="D195" s="19">
        <f>B195-C195</f>
        <v>0</v>
      </c>
      <c r="E195" s="19">
        <f>COUNTIFS(c_cust,A195,c_late,1)</f>
        <v>0</v>
      </c>
      <c r="F195" s="30">
        <f>IF(C195=0,"",E195/C195)</f>
        <v>0</v>
      </c>
      <c r="G195" s="19">
        <f>Customers!D193</f>
        <v>7</v>
      </c>
      <c r="H195" s="19">
        <f>IF(G195=C195,1,0)</f>
        <v>1</v>
      </c>
      <c r="I195" s="19">
        <f>Customers!G193</f>
        <v>1</v>
      </c>
      <c r="J195" s="39">
        <f>Customers!I193</f>
        <v>25</v>
      </c>
      <c r="K195" s="22">
        <f>Customers!E193</f>
        <v>5</v>
      </c>
      <c r="L195" s="38" t="str">
        <f>IF(Customers!H193="","(no ticket)",Customers!H193)</f>
        <v>Damaged item</v>
      </c>
      <c r="M195" s="19">
        <f>IF(L195="Late delivery",1,0)</f>
        <v>0</v>
      </c>
    </row>
    <row r="196">
      <c r="A196" s="38" t="str">
        <f>Customers!A194</f>
        <v>C0193</v>
      </c>
      <c r="B196" s="19">
        <f>COUNTIFS(c_cust,A196)</f>
        <v>5</v>
      </c>
      <c r="C196" s="19">
        <f>COUNTIFS(c_cust,A196,c_deliv,1)</f>
        <v>4</v>
      </c>
      <c r="D196" s="19">
        <f>B196-C196</f>
        <v>1</v>
      </c>
      <c r="E196" s="19">
        <f>COUNTIFS(c_cust,A196,c_late,1)</f>
        <v>2</v>
      </c>
      <c r="F196" s="30">
        <f>IF(C196=0,"",E196/C196)</f>
        <v>0.5</v>
      </c>
      <c r="G196" s="19">
        <f>Customers!D194</f>
        <v>4</v>
      </c>
      <c r="H196" s="19">
        <f>IF(G196=C196,1,0)</f>
        <v>1</v>
      </c>
      <c r="I196" s="19">
        <f>Customers!G194</f>
        <v>2</v>
      </c>
      <c r="J196" s="39">
        <f>Customers!I194</f>
        <v>100</v>
      </c>
      <c r="K196" s="22">
        <f>Customers!E194</f>
        <v>5</v>
      </c>
      <c r="L196" s="38" t="str">
        <f>IF(Customers!H194="","(no ticket)",Customers!H194)</f>
        <v>Damaged item</v>
      </c>
      <c r="M196" s="19">
        <f>IF(L196="Late delivery",1,0)</f>
        <v>0</v>
      </c>
    </row>
    <row r="197">
      <c r="A197" s="38" t="str">
        <f>Customers!A195</f>
        <v>C0194</v>
      </c>
      <c r="B197" s="19">
        <f>COUNTIFS(c_cust,A197)</f>
        <v>4</v>
      </c>
      <c r="C197" s="19">
        <f>COUNTIFS(c_cust,A197,c_deliv,1)</f>
        <v>4</v>
      </c>
      <c r="D197" s="19">
        <f>B197-C197</f>
        <v>0</v>
      </c>
      <c r="E197" s="19">
        <f>COUNTIFS(c_cust,A197,c_late,1)</f>
        <v>0</v>
      </c>
      <c r="F197" s="30">
        <f>IF(C197=0,"",E197/C197)</f>
        <v>0</v>
      </c>
      <c r="G197" s="19">
        <f>Customers!D195</f>
        <v>4</v>
      </c>
      <c r="H197" s="19">
        <f>IF(G197=C197,1,0)</f>
        <v>1</v>
      </c>
      <c r="I197" s="19">
        <f>Customers!G195</f>
        <v>0</v>
      </c>
      <c r="J197" s="39">
        <f>Customers!I195</f>
        <v>0</v>
      </c>
      <c r="K197" s="22">
        <f>Customers!E195</f>
        <v>5</v>
      </c>
      <c r="L197" s="38" t="str">
        <f>IF(Customers!H195="","(no ticket)",Customers!H195)</f>
        <v>(no ticket)</v>
      </c>
      <c r="M197" s="19">
        <f>IF(L197="Late delivery",1,0)</f>
        <v>0</v>
      </c>
    </row>
    <row r="198">
      <c r="A198" s="38" t="str">
        <f>Customers!A196</f>
        <v>C0195</v>
      </c>
      <c r="B198" s="19">
        <f>COUNTIFS(c_cust,A198)</f>
        <v>8</v>
      </c>
      <c r="C198" s="19">
        <f>COUNTIFS(c_cust,A198,c_deliv,1)</f>
        <v>8</v>
      </c>
      <c r="D198" s="19">
        <f>B198-C198</f>
        <v>0</v>
      </c>
      <c r="E198" s="19">
        <f>COUNTIFS(c_cust,A198,c_late,1)</f>
        <v>2</v>
      </c>
      <c r="F198" s="30">
        <f>IF(C198=0,"",E198/C198)</f>
        <v>0.25</v>
      </c>
      <c r="G198" s="19">
        <f>Customers!D196</f>
        <v>8</v>
      </c>
      <c r="H198" s="19">
        <f>IF(G198=C198,1,0)</f>
        <v>1</v>
      </c>
      <c r="I198" s="19">
        <f>Customers!G196</f>
        <v>3</v>
      </c>
      <c r="J198" s="39">
        <f>Customers!I196</f>
        <v>225</v>
      </c>
      <c r="K198" s="22">
        <f>Customers!E196</f>
        <v>5</v>
      </c>
      <c r="L198" s="38" t="str">
        <f>IF(Customers!H196="","(no ticket)",Customers!H196)</f>
        <v>Other</v>
      </c>
      <c r="M198" s="19">
        <f>IF(L198="Late delivery",1,0)</f>
        <v>0</v>
      </c>
    </row>
    <row r="199">
      <c r="A199" s="38" t="str">
        <f>Customers!A197</f>
        <v>C0196</v>
      </c>
      <c r="B199" s="19">
        <f>COUNTIFS(c_cust,A199)</f>
        <v>9</v>
      </c>
      <c r="C199" s="19">
        <f>COUNTIFS(c_cust,A199,c_deliv,1)</f>
        <v>9</v>
      </c>
      <c r="D199" s="19">
        <f>B199-C199</f>
        <v>0</v>
      </c>
      <c r="E199" s="19">
        <f>COUNTIFS(c_cust,A199,c_late,1)</f>
        <v>2</v>
      </c>
      <c r="F199" s="30">
        <f>IF(C199=0,"",E199/C199)</f>
        <v>0.222222222222222</v>
      </c>
      <c r="G199" s="19">
        <f>Customers!D197</f>
        <v>9</v>
      </c>
      <c r="H199" s="19">
        <f>IF(G199=C199,1,0)</f>
        <v>1</v>
      </c>
      <c r="I199" s="19">
        <f>Customers!G197</f>
        <v>5</v>
      </c>
      <c r="J199" s="39">
        <f>Customers!I197</f>
        <v>125</v>
      </c>
      <c r="K199" s="22">
        <f>Customers!E197</f>
        <v>5</v>
      </c>
      <c r="L199" s="38" t="str">
        <f>IF(Customers!H197="","(no ticket)",Customers!H197)</f>
        <v>Other</v>
      </c>
      <c r="M199" s="19">
        <f>IF(L199="Late delivery",1,0)</f>
        <v>0</v>
      </c>
    </row>
    <row r="200">
      <c r="A200" s="38" t="str">
        <f>Customers!A198</f>
        <v>C0197</v>
      </c>
      <c r="B200" s="19">
        <f>COUNTIFS(c_cust,A200)</f>
        <v>12</v>
      </c>
      <c r="C200" s="19">
        <f>COUNTIFS(c_cust,A200,c_deliv,1)</f>
        <v>12</v>
      </c>
      <c r="D200" s="19">
        <f>B200-C200</f>
        <v>0</v>
      </c>
      <c r="E200" s="19">
        <f>COUNTIFS(c_cust,A200,c_late,1)</f>
        <v>1</v>
      </c>
      <c r="F200" s="30">
        <f>IF(C200=0,"",E200/C200)</f>
        <v>0.0833333333333333</v>
      </c>
      <c r="G200" s="19">
        <f>Customers!D198</f>
        <v>12</v>
      </c>
      <c r="H200" s="19">
        <f>IF(G200=C200,1,0)</f>
        <v>1</v>
      </c>
      <c r="I200" s="19">
        <f>Customers!G198</f>
        <v>1</v>
      </c>
      <c r="J200" s="39">
        <f>Customers!I198</f>
        <v>25</v>
      </c>
      <c r="K200" s="22">
        <f>Customers!E198</f>
        <v>4</v>
      </c>
      <c r="L200" s="38" t="str">
        <f>IF(Customers!H198="","(no ticket)",Customers!H198)</f>
        <v>Damaged item</v>
      </c>
      <c r="M200" s="19">
        <f>IF(L200="Late delivery",1,0)</f>
        <v>0</v>
      </c>
    </row>
    <row r="201">
      <c r="A201" s="38" t="str">
        <f>Customers!A199</f>
        <v>C0198</v>
      </c>
      <c r="B201" s="19">
        <f>COUNTIFS(c_cust,A201)</f>
        <v>11</v>
      </c>
      <c r="C201" s="19">
        <f>COUNTIFS(c_cust,A201,c_deliv,1)</f>
        <v>11</v>
      </c>
      <c r="D201" s="19">
        <f>B201-C201</f>
        <v>0</v>
      </c>
      <c r="E201" s="19">
        <f>COUNTIFS(c_cust,A201,c_late,1)</f>
        <v>3</v>
      </c>
      <c r="F201" s="30">
        <f>IF(C201=0,"",E201/C201)</f>
        <v>0.272727272727273</v>
      </c>
      <c r="G201" s="19">
        <f>Customers!D199</f>
        <v>11</v>
      </c>
      <c r="H201" s="19">
        <f>IF(G201=C201,1,0)</f>
        <v>1</v>
      </c>
      <c r="I201" s="19">
        <f>Customers!G199</f>
        <v>3</v>
      </c>
      <c r="J201" s="39">
        <f>Customers!I199</f>
        <v>75</v>
      </c>
      <c r="K201" s="22">
        <f>Customers!E199</f>
        <v>5</v>
      </c>
      <c r="L201" s="38" t="str">
        <f>IF(Customers!H199="","(no ticket)",Customers!H199)</f>
        <v>Late delivery</v>
      </c>
      <c r="M201" s="19">
        <f>IF(L201="Late delivery",1,0)</f>
        <v>1</v>
      </c>
    </row>
    <row r="202">
      <c r="A202" s="38" t="str">
        <f>Customers!A200</f>
        <v>C0199</v>
      </c>
      <c r="B202" s="19">
        <f>COUNTIFS(c_cust,A202)</f>
        <v>5</v>
      </c>
      <c r="C202" s="19">
        <f>COUNTIFS(c_cust,A202,c_deliv,1)</f>
        <v>5</v>
      </c>
      <c r="D202" s="19">
        <f>B202-C202</f>
        <v>0</v>
      </c>
      <c r="E202" s="19">
        <f>COUNTIFS(c_cust,A202,c_late,1)</f>
        <v>1</v>
      </c>
      <c r="F202" s="30">
        <f>IF(C202=0,"",E202/C202)</f>
        <v>0.2</v>
      </c>
      <c r="G202" s="19">
        <f>Customers!D200</f>
        <v>5</v>
      </c>
      <c r="H202" s="19">
        <f>IF(G202=C202,1,0)</f>
        <v>1</v>
      </c>
      <c r="I202" s="19">
        <f>Customers!G200</f>
        <v>0</v>
      </c>
      <c r="J202" s="39">
        <f>Customers!I200</f>
        <v>0</v>
      </c>
      <c r="K202" s="22">
        <f>Customers!E200</f>
        <v>4.9</v>
      </c>
      <c r="L202" s="38" t="str">
        <f>IF(Customers!H200="","(no ticket)",Customers!H200)</f>
        <v>(no ticket)</v>
      </c>
      <c r="M202" s="19">
        <f>IF(L202="Late delivery",1,0)</f>
        <v>0</v>
      </c>
    </row>
    <row r="203">
      <c r="A203" s="38" t="str">
        <f>Customers!A201</f>
        <v>C0200</v>
      </c>
      <c r="B203" s="19">
        <f>COUNTIFS(c_cust,A203)</f>
        <v>6</v>
      </c>
      <c r="C203" s="19">
        <f>COUNTIFS(c_cust,A203,c_deliv,1)</f>
        <v>6</v>
      </c>
      <c r="D203" s="19">
        <f>B203-C203</f>
        <v>0</v>
      </c>
      <c r="E203" s="19">
        <f>COUNTIFS(c_cust,A203,c_late,1)</f>
        <v>1</v>
      </c>
      <c r="F203" s="30">
        <f>IF(C203=0,"",E203/C203)</f>
        <v>0.166666666666667</v>
      </c>
      <c r="G203" s="19">
        <f>Customers!D201</f>
        <v>6</v>
      </c>
      <c r="H203" s="19">
        <f>IF(G203=C203,1,0)</f>
        <v>1</v>
      </c>
      <c r="I203" s="19">
        <f>Customers!G201</f>
        <v>1</v>
      </c>
      <c r="J203" s="39">
        <f>Customers!I201</f>
        <v>50</v>
      </c>
      <c r="K203" s="22">
        <f>Customers!E201</f>
        <v>4.8</v>
      </c>
      <c r="L203" s="38" t="str">
        <f>IF(Customers!H201="","(no ticket)",Customers!H201)</f>
        <v>Payment issue</v>
      </c>
      <c r="M203" s="19">
        <f>IF(L203="Late delivery",1,0)</f>
        <v>0</v>
      </c>
    </row>
    <row r="204">
      <c r="A204" s="38" t="str">
        <f>Customers!A202</f>
        <v>C0201</v>
      </c>
      <c r="B204" s="19">
        <f>COUNTIFS(c_cust,A204)</f>
        <v>5</v>
      </c>
      <c r="C204" s="19">
        <f>COUNTIFS(c_cust,A204,c_deliv,1)</f>
        <v>5</v>
      </c>
      <c r="D204" s="19">
        <f>B204-C204</f>
        <v>0</v>
      </c>
      <c r="E204" s="19">
        <f>COUNTIFS(c_cust,A204,c_late,1)</f>
        <v>1</v>
      </c>
      <c r="F204" s="30">
        <f>IF(C204=0,"",E204/C204)</f>
        <v>0.2</v>
      </c>
      <c r="G204" s="19">
        <f>Customers!D202</f>
        <v>5</v>
      </c>
      <c r="H204" s="19">
        <f>IF(G204=C204,1,0)</f>
        <v>1</v>
      </c>
      <c r="I204" s="19">
        <f>Customers!G202</f>
        <v>0</v>
      </c>
      <c r="J204" s="39">
        <f>Customers!I202</f>
        <v>0</v>
      </c>
      <c r="K204" s="22">
        <f>Customers!E202</f>
        <v>5</v>
      </c>
      <c r="L204" s="38" t="str">
        <f>IF(Customers!H202="","(no ticket)",Customers!H202)</f>
        <v>(no ticket)</v>
      </c>
      <c r="M204" s="19">
        <f>IF(L204="Late delivery",1,0)</f>
        <v>0</v>
      </c>
    </row>
    <row r="205">
      <c r="A205" s="38" t="str">
        <f>Customers!A203</f>
        <v>C0202</v>
      </c>
      <c r="B205" s="19">
        <f>COUNTIFS(c_cust,A205)</f>
        <v>9</v>
      </c>
      <c r="C205" s="19">
        <f>COUNTIFS(c_cust,A205,c_deliv,1)</f>
        <v>8</v>
      </c>
      <c r="D205" s="19">
        <f>B205-C205</f>
        <v>1</v>
      </c>
      <c r="E205" s="19">
        <f>COUNTIFS(c_cust,A205,c_late,1)</f>
        <v>2</v>
      </c>
      <c r="F205" s="30">
        <f>IF(C205=0,"",E205/C205)</f>
        <v>0.25</v>
      </c>
      <c r="G205" s="19">
        <f>Customers!D203</f>
        <v>8</v>
      </c>
      <c r="H205" s="19">
        <f>IF(G205=C205,1,0)</f>
        <v>1</v>
      </c>
      <c r="I205" s="19">
        <f>Customers!G203</f>
        <v>1</v>
      </c>
      <c r="J205" s="39">
        <f>Customers!I203</f>
        <v>25</v>
      </c>
      <c r="K205" s="22">
        <f>Customers!E203</f>
        <v>4</v>
      </c>
      <c r="L205" s="38" t="str">
        <f>IF(Customers!H203="","(no ticket)",Customers!H203)</f>
        <v>Missing item</v>
      </c>
      <c r="M205" s="19">
        <f>IF(L205="Late delivery",1,0)</f>
        <v>0</v>
      </c>
    </row>
    <row r="206">
      <c r="A206" s="38" t="str">
        <f>Customers!A204</f>
        <v>C0203</v>
      </c>
      <c r="B206" s="19">
        <f>COUNTIFS(c_cust,A206)</f>
        <v>2</v>
      </c>
      <c r="C206" s="19">
        <f>COUNTIFS(c_cust,A206,c_deliv,1)</f>
        <v>2</v>
      </c>
      <c r="D206" s="19">
        <f>B206-C206</f>
        <v>0</v>
      </c>
      <c r="E206" s="19">
        <f>COUNTIFS(c_cust,A206,c_late,1)</f>
        <v>0</v>
      </c>
      <c r="F206" s="30">
        <f>IF(C206=0,"",E206/C206)</f>
        <v>0</v>
      </c>
      <c r="G206" s="19">
        <f>Customers!D204</f>
        <v>2</v>
      </c>
      <c r="H206" s="19">
        <f>IF(G206=C206,1,0)</f>
        <v>1</v>
      </c>
      <c r="I206" s="19">
        <f>Customers!G204</f>
        <v>1</v>
      </c>
      <c r="J206" s="39">
        <f>Customers!I204</f>
        <v>75</v>
      </c>
      <c r="K206" s="22">
        <f>Customers!E204</f>
        <v>5</v>
      </c>
      <c r="L206" s="38" t="str">
        <f>IF(Customers!H204="","(no ticket)",Customers!H204)</f>
        <v>Damaged item</v>
      </c>
      <c r="M206" s="19">
        <f>IF(L206="Late delivery",1,0)</f>
        <v>0</v>
      </c>
    </row>
    <row r="207">
      <c r="A207" s="38" t="str">
        <f>Customers!A205</f>
        <v>C0204</v>
      </c>
      <c r="B207" s="19">
        <f>COUNTIFS(c_cust,A207)</f>
        <v>10</v>
      </c>
      <c r="C207" s="19">
        <f>COUNTIFS(c_cust,A207,c_deliv,1)</f>
        <v>10</v>
      </c>
      <c r="D207" s="19">
        <f>B207-C207</f>
        <v>0</v>
      </c>
      <c r="E207" s="19">
        <f>COUNTIFS(c_cust,A207,c_late,1)</f>
        <v>2</v>
      </c>
      <c r="F207" s="30">
        <f>IF(C207=0,"",E207/C207)</f>
        <v>0.2</v>
      </c>
      <c r="G207" s="19">
        <f>Customers!D205</f>
        <v>10</v>
      </c>
      <c r="H207" s="19">
        <f>IF(G207=C207,1,0)</f>
        <v>1</v>
      </c>
      <c r="I207" s="19">
        <f>Customers!G205</f>
        <v>2</v>
      </c>
      <c r="J207" s="39">
        <f>Customers!I205</f>
        <v>100</v>
      </c>
      <c r="K207" s="22">
        <f>Customers!E205</f>
        <v>5</v>
      </c>
      <c r="L207" s="38" t="str">
        <f>IF(Customers!H205="","(no ticket)",Customers!H205)</f>
        <v>Payment issue</v>
      </c>
      <c r="M207" s="19">
        <f>IF(L207="Late delivery",1,0)</f>
        <v>0</v>
      </c>
    </row>
    <row r="208">
      <c r="A208" s="38" t="str">
        <f>Customers!A206</f>
        <v>C0205</v>
      </c>
      <c r="B208" s="19">
        <f>COUNTIFS(c_cust,A208)</f>
        <v>7</v>
      </c>
      <c r="C208" s="19">
        <f>COUNTIFS(c_cust,A208,c_deliv,1)</f>
        <v>6</v>
      </c>
      <c r="D208" s="19">
        <f>B208-C208</f>
        <v>1</v>
      </c>
      <c r="E208" s="19">
        <f>COUNTIFS(c_cust,A208,c_late,1)</f>
        <v>1</v>
      </c>
      <c r="F208" s="30">
        <f>IF(C208=0,"",E208/C208)</f>
        <v>0.166666666666667</v>
      </c>
      <c r="G208" s="19">
        <f>Customers!D206</f>
        <v>6</v>
      </c>
      <c r="H208" s="19">
        <f>IF(G208=C208,1,0)</f>
        <v>1</v>
      </c>
      <c r="I208" s="19">
        <f>Customers!G206</f>
        <v>0</v>
      </c>
      <c r="J208" s="39">
        <f>Customers!I206</f>
        <v>0</v>
      </c>
      <c r="K208" s="22">
        <f>Customers!E206</f>
        <v>4.8</v>
      </c>
      <c r="L208" s="38" t="str">
        <f>IF(Customers!H206="","(no ticket)",Customers!H206)</f>
        <v>(no ticket)</v>
      </c>
      <c r="M208" s="19">
        <f>IF(L208="Late delivery",1,0)</f>
        <v>0</v>
      </c>
    </row>
    <row r="209">
      <c r="A209" s="38" t="str">
        <f>Customers!A207</f>
        <v>C0206</v>
      </c>
      <c r="B209" s="19">
        <f>COUNTIFS(c_cust,A209)</f>
        <v>6</v>
      </c>
      <c r="C209" s="19">
        <f>COUNTIFS(c_cust,A209,c_deliv,1)</f>
        <v>6</v>
      </c>
      <c r="D209" s="19">
        <f>B209-C209</f>
        <v>0</v>
      </c>
      <c r="E209" s="19">
        <f>COUNTIFS(c_cust,A209,c_late,1)</f>
        <v>0</v>
      </c>
      <c r="F209" s="30">
        <f>IF(C209=0,"",E209/C209)</f>
        <v>0</v>
      </c>
      <c r="G209" s="19">
        <f>Customers!D207</f>
        <v>6</v>
      </c>
      <c r="H209" s="19">
        <f>IF(G209=C209,1,0)</f>
        <v>1</v>
      </c>
      <c r="I209" s="19">
        <f>Customers!G207</f>
        <v>1</v>
      </c>
      <c r="J209" s="39">
        <f>Customers!I207</f>
        <v>0</v>
      </c>
      <c r="K209" s="22">
        <f>Customers!E207</f>
        <v>5</v>
      </c>
      <c r="L209" s="38" t="str">
        <f>IF(Customers!H207="","(no ticket)",Customers!H207)</f>
        <v>Missing item</v>
      </c>
      <c r="M209" s="19">
        <f>IF(L209="Late delivery",1,0)</f>
        <v>0</v>
      </c>
    </row>
    <row r="210">
      <c r="A210" s="38" t="str">
        <f>Customers!A208</f>
        <v>C0207</v>
      </c>
      <c r="B210" s="19">
        <f>COUNTIFS(c_cust,A210)</f>
        <v>3</v>
      </c>
      <c r="C210" s="19">
        <f>COUNTIFS(c_cust,A210,c_deliv,1)</f>
        <v>3</v>
      </c>
      <c r="D210" s="19">
        <f>B210-C210</f>
        <v>0</v>
      </c>
      <c r="E210" s="19">
        <f>COUNTIFS(c_cust,A210,c_late,1)</f>
        <v>1</v>
      </c>
      <c r="F210" s="30">
        <f>IF(C210=0,"",E210/C210)</f>
        <v>0.333333333333333</v>
      </c>
      <c r="G210" s="19">
        <f>Customers!D208</f>
        <v>3</v>
      </c>
      <c r="H210" s="19">
        <f>IF(G210=C210,1,0)</f>
        <v>1</v>
      </c>
      <c r="I210" s="19">
        <f>Customers!G208</f>
        <v>1</v>
      </c>
      <c r="J210" s="39">
        <f>Customers!I208</f>
        <v>0</v>
      </c>
      <c r="K210" s="22">
        <f>Customers!E208</f>
        <v>3.4</v>
      </c>
      <c r="L210" s="38" t="str">
        <f>IF(Customers!H208="","(no ticket)",Customers!H208)</f>
        <v>Payment issue</v>
      </c>
      <c r="M210" s="19">
        <f>IF(L210="Late delivery",1,0)</f>
        <v>0</v>
      </c>
    </row>
    <row r="211">
      <c r="A211" s="38" t="str">
        <f>Customers!A209</f>
        <v>C0208</v>
      </c>
      <c r="B211" s="19">
        <f>COUNTIFS(c_cust,A211)</f>
        <v>5</v>
      </c>
      <c r="C211" s="19">
        <f>COUNTIFS(c_cust,A211,c_deliv,1)</f>
        <v>5</v>
      </c>
      <c r="D211" s="19">
        <f>B211-C211</f>
        <v>0</v>
      </c>
      <c r="E211" s="19">
        <f>COUNTIFS(c_cust,A211,c_late,1)</f>
        <v>2</v>
      </c>
      <c r="F211" s="30">
        <f>IF(C211=0,"",E211/C211)</f>
        <v>0.4</v>
      </c>
      <c r="G211" s="19">
        <f>Customers!D209</f>
        <v>5</v>
      </c>
      <c r="H211" s="19">
        <f>IF(G211=C211,1,0)</f>
        <v>1</v>
      </c>
      <c r="I211" s="19">
        <f>Customers!G209</f>
        <v>0</v>
      </c>
      <c r="J211" s="39">
        <f>Customers!I209</f>
        <v>0</v>
      </c>
      <c r="K211" s="22">
        <f>Customers!E209</f>
        <v>5</v>
      </c>
      <c r="L211" s="38" t="str">
        <f>IF(Customers!H209="","(no ticket)",Customers!H209)</f>
        <v>(no ticket)</v>
      </c>
      <c r="M211" s="19">
        <f>IF(L211="Late delivery",1,0)</f>
        <v>0</v>
      </c>
    </row>
    <row r="212">
      <c r="A212" s="38" t="str">
        <f>Customers!A210</f>
        <v>C0209</v>
      </c>
      <c r="B212" s="19">
        <f>COUNTIFS(c_cust,A212)</f>
        <v>5</v>
      </c>
      <c r="C212" s="19">
        <f>COUNTIFS(c_cust,A212,c_deliv,1)</f>
        <v>5</v>
      </c>
      <c r="D212" s="19">
        <f>B212-C212</f>
        <v>0</v>
      </c>
      <c r="E212" s="19">
        <f>COUNTIFS(c_cust,A212,c_late,1)</f>
        <v>3</v>
      </c>
      <c r="F212" s="30">
        <f>IF(C212=0,"",E212/C212)</f>
        <v>0.6</v>
      </c>
      <c r="G212" s="19">
        <f>Customers!D210</f>
        <v>5</v>
      </c>
      <c r="H212" s="19">
        <f>IF(G212=C212,1,0)</f>
        <v>1</v>
      </c>
      <c r="I212" s="19">
        <f>Customers!G210</f>
        <v>0</v>
      </c>
      <c r="J212" s="39">
        <f>Customers!I210</f>
        <v>0</v>
      </c>
      <c r="K212" s="22">
        <f>Customers!E210</f>
        <v>4.2</v>
      </c>
      <c r="L212" s="38" t="str">
        <f>IF(Customers!H210="","(no ticket)",Customers!H210)</f>
        <v>(no ticket)</v>
      </c>
      <c r="M212" s="19">
        <f>IF(L212="Late delivery",1,0)</f>
        <v>0</v>
      </c>
    </row>
    <row r="213">
      <c r="A213" s="38" t="str">
        <f>Customers!A211</f>
        <v>C0210</v>
      </c>
      <c r="B213" s="19">
        <f>COUNTIFS(c_cust,A213)</f>
        <v>6</v>
      </c>
      <c r="C213" s="19">
        <f>COUNTIFS(c_cust,A213,c_deliv,1)</f>
        <v>6</v>
      </c>
      <c r="D213" s="19">
        <f>B213-C213</f>
        <v>0</v>
      </c>
      <c r="E213" s="19">
        <f>COUNTIFS(c_cust,A213,c_late,1)</f>
        <v>0</v>
      </c>
      <c r="F213" s="30">
        <f>IF(C213=0,"",E213/C213)</f>
        <v>0</v>
      </c>
      <c r="G213" s="19">
        <f>Customers!D211</f>
        <v>6</v>
      </c>
      <c r="H213" s="19">
        <f>IF(G213=C213,1,0)</f>
        <v>1</v>
      </c>
      <c r="I213" s="19">
        <f>Customers!G211</f>
        <v>1</v>
      </c>
      <c r="J213" s="39">
        <f>Customers!I211</f>
        <v>25</v>
      </c>
      <c r="K213" s="22">
        <f>Customers!E211</f>
        <v>4.1</v>
      </c>
      <c r="L213" s="38" t="str">
        <f>IF(Customers!H211="","(no ticket)",Customers!H211)</f>
        <v>Payment issue</v>
      </c>
      <c r="M213" s="19">
        <f>IF(L213="Late delivery",1,0)</f>
        <v>0</v>
      </c>
    </row>
    <row r="214">
      <c r="A214" s="38" t="str">
        <f>Customers!A212</f>
        <v>C0211</v>
      </c>
      <c r="B214" s="19">
        <f>COUNTIFS(c_cust,A214)</f>
        <v>7</v>
      </c>
      <c r="C214" s="19">
        <f>COUNTIFS(c_cust,A214,c_deliv,1)</f>
        <v>7</v>
      </c>
      <c r="D214" s="19">
        <f>B214-C214</f>
        <v>0</v>
      </c>
      <c r="E214" s="19">
        <f>COUNTIFS(c_cust,A214,c_late,1)</f>
        <v>0</v>
      </c>
      <c r="F214" s="30">
        <f>IF(C214=0,"",E214/C214)</f>
        <v>0</v>
      </c>
      <c r="G214" s="19">
        <f>Customers!D212</f>
        <v>7</v>
      </c>
      <c r="H214" s="19">
        <f>IF(G214=C214,1,0)</f>
        <v>1</v>
      </c>
      <c r="I214" s="19">
        <f>Customers!G212</f>
        <v>2</v>
      </c>
      <c r="J214" s="39">
        <f>Customers!I212</f>
        <v>0</v>
      </c>
      <c r="K214" s="22">
        <f>Customers!E212</f>
        <v>4.5</v>
      </c>
      <c r="L214" s="38" t="str">
        <f>IF(Customers!H212="","(no ticket)",Customers!H212)</f>
        <v>Damaged item</v>
      </c>
      <c r="M214" s="19">
        <f>IF(L214="Late delivery",1,0)</f>
        <v>0</v>
      </c>
    </row>
    <row r="215">
      <c r="A215" s="38" t="str">
        <f>Customers!A213</f>
        <v>C0212</v>
      </c>
      <c r="B215" s="19">
        <f>COUNTIFS(c_cust,A215)</f>
        <v>9</v>
      </c>
      <c r="C215" s="19">
        <f>COUNTIFS(c_cust,A215,c_deliv,1)</f>
        <v>9</v>
      </c>
      <c r="D215" s="19">
        <f>B215-C215</f>
        <v>0</v>
      </c>
      <c r="E215" s="19">
        <f>COUNTIFS(c_cust,A215,c_late,1)</f>
        <v>3</v>
      </c>
      <c r="F215" s="30">
        <f>IF(C215=0,"",E215/C215)</f>
        <v>0.333333333333333</v>
      </c>
      <c r="G215" s="19">
        <f>Customers!D213</f>
        <v>9</v>
      </c>
      <c r="H215" s="19">
        <f>IF(G215=C215,1,0)</f>
        <v>1</v>
      </c>
      <c r="I215" s="19">
        <f>Customers!G213</f>
        <v>4</v>
      </c>
      <c r="J215" s="39">
        <f>Customers!I213</f>
        <v>0</v>
      </c>
      <c r="K215" s="22">
        <f>Customers!E213</f>
        <v>5</v>
      </c>
      <c r="L215" s="38" t="str">
        <f>IF(Customers!H213="","(no ticket)",Customers!H213)</f>
        <v>Missing item</v>
      </c>
      <c r="M215" s="19">
        <f>IF(L215="Late delivery",1,0)</f>
        <v>0</v>
      </c>
    </row>
    <row r="216">
      <c r="A216" s="38" t="str">
        <f>Customers!A214</f>
        <v>C0213</v>
      </c>
      <c r="B216" s="19">
        <f>COUNTIFS(c_cust,A216)</f>
        <v>2</v>
      </c>
      <c r="C216" s="19">
        <f>COUNTIFS(c_cust,A216,c_deliv,1)</f>
        <v>2</v>
      </c>
      <c r="D216" s="19">
        <f>B216-C216</f>
        <v>0</v>
      </c>
      <c r="E216" s="19">
        <f>COUNTIFS(c_cust,A216,c_late,1)</f>
        <v>1</v>
      </c>
      <c r="F216" s="30">
        <f>IF(C216=0,"",E216/C216)</f>
        <v>0.5</v>
      </c>
      <c r="G216" s="19">
        <f>Customers!D214</f>
        <v>2</v>
      </c>
      <c r="H216" s="19">
        <f>IF(G216=C216,1,0)</f>
        <v>1</v>
      </c>
      <c r="I216" s="19">
        <f>Customers!G214</f>
        <v>0</v>
      </c>
      <c r="J216" s="39">
        <f>Customers!I214</f>
        <v>0</v>
      </c>
      <c r="K216" s="22">
        <f>Customers!E214</f>
        <v>5</v>
      </c>
      <c r="L216" s="38" t="str">
        <f>IF(Customers!H214="","(no ticket)",Customers!H214)</f>
        <v>(no ticket)</v>
      </c>
      <c r="M216" s="19">
        <f>IF(L216="Late delivery",1,0)</f>
        <v>0</v>
      </c>
    </row>
    <row r="217">
      <c r="A217" s="38" t="str">
        <f>Customers!A215</f>
        <v>C0214</v>
      </c>
      <c r="B217" s="19">
        <f>COUNTIFS(c_cust,A217)</f>
        <v>6</v>
      </c>
      <c r="C217" s="19">
        <f>COUNTIFS(c_cust,A217,c_deliv,1)</f>
        <v>6</v>
      </c>
      <c r="D217" s="19">
        <f>B217-C217</f>
        <v>0</v>
      </c>
      <c r="E217" s="19">
        <f>COUNTIFS(c_cust,A217,c_late,1)</f>
        <v>2</v>
      </c>
      <c r="F217" s="30">
        <f>IF(C217=0,"",E217/C217)</f>
        <v>0.333333333333333</v>
      </c>
      <c r="G217" s="19">
        <f>Customers!D215</f>
        <v>6</v>
      </c>
      <c r="H217" s="19">
        <f>IF(G217=C217,1,0)</f>
        <v>1</v>
      </c>
      <c r="I217" s="19">
        <f>Customers!G215</f>
        <v>1</v>
      </c>
      <c r="J217" s="39">
        <f>Customers!I215</f>
        <v>75</v>
      </c>
      <c r="K217" s="22">
        <f>Customers!E215</f>
        <v>5</v>
      </c>
      <c r="L217" s="38" t="str">
        <f>IF(Customers!H215="","(no ticket)",Customers!H215)</f>
        <v>Missing item</v>
      </c>
      <c r="M217" s="19">
        <f>IF(L217="Late delivery",1,0)</f>
        <v>0</v>
      </c>
    </row>
    <row r="218">
      <c r="A218" s="38" t="str">
        <f>Customers!A216</f>
        <v>C0215</v>
      </c>
      <c r="B218" s="19">
        <f>COUNTIFS(c_cust,A218)</f>
        <v>5</v>
      </c>
      <c r="C218" s="19">
        <f>COUNTIFS(c_cust,A218,c_deliv,1)</f>
        <v>5</v>
      </c>
      <c r="D218" s="19">
        <f>B218-C218</f>
        <v>0</v>
      </c>
      <c r="E218" s="19">
        <f>COUNTIFS(c_cust,A218,c_late,1)</f>
        <v>0</v>
      </c>
      <c r="F218" s="30">
        <f>IF(C218=0,"",E218/C218)</f>
        <v>0</v>
      </c>
      <c r="G218" s="19">
        <f>Customers!D216</f>
        <v>5</v>
      </c>
      <c r="H218" s="19">
        <f>IF(G218=C218,1,0)</f>
        <v>1</v>
      </c>
      <c r="I218" s="19">
        <f>Customers!G216</f>
        <v>0</v>
      </c>
      <c r="J218" s="39">
        <f>Customers!I216</f>
        <v>0</v>
      </c>
      <c r="K218" s="22">
        <f>Customers!E216</f>
        <v>4.2</v>
      </c>
      <c r="L218" s="38" t="str">
        <f>IF(Customers!H216="","(no ticket)",Customers!H216)</f>
        <v>(no ticket)</v>
      </c>
      <c r="M218" s="19">
        <f>IF(L218="Late delivery",1,0)</f>
        <v>0</v>
      </c>
    </row>
    <row r="219">
      <c r="A219" s="38" t="str">
        <f>Customers!A217</f>
        <v>C0216</v>
      </c>
      <c r="B219" s="19">
        <f>COUNTIFS(c_cust,A219)</f>
        <v>4</v>
      </c>
      <c r="C219" s="19">
        <f>COUNTIFS(c_cust,A219,c_deliv,1)</f>
        <v>4</v>
      </c>
      <c r="D219" s="19">
        <f>B219-C219</f>
        <v>0</v>
      </c>
      <c r="E219" s="19">
        <f>COUNTIFS(c_cust,A219,c_late,1)</f>
        <v>3</v>
      </c>
      <c r="F219" s="30">
        <f>IF(C219=0,"",E219/C219)</f>
        <v>0.75</v>
      </c>
      <c r="G219" s="19">
        <f>Customers!D217</f>
        <v>4</v>
      </c>
      <c r="H219" s="19">
        <f>IF(G219=C219,1,0)</f>
        <v>1</v>
      </c>
      <c r="I219" s="19">
        <f>Customers!G217</f>
        <v>0</v>
      </c>
      <c r="J219" s="39">
        <f>Customers!I217</f>
        <v>0</v>
      </c>
      <c r="K219" s="22">
        <f>Customers!E217</f>
        <v>5</v>
      </c>
      <c r="L219" s="38" t="str">
        <f>IF(Customers!H217="","(no ticket)",Customers!H217)</f>
        <v>(no ticket)</v>
      </c>
      <c r="M219" s="19">
        <f>IF(L219="Late delivery",1,0)</f>
        <v>0</v>
      </c>
    </row>
    <row r="220">
      <c r="A220" s="38" t="str">
        <f>Customers!A218</f>
        <v>C0217</v>
      </c>
      <c r="B220" s="19">
        <f>COUNTIFS(c_cust,A220)</f>
        <v>3</v>
      </c>
      <c r="C220" s="19">
        <f>COUNTIFS(c_cust,A220,c_deliv,1)</f>
        <v>3</v>
      </c>
      <c r="D220" s="19">
        <f>B220-C220</f>
        <v>0</v>
      </c>
      <c r="E220" s="19">
        <f>COUNTIFS(c_cust,A220,c_late,1)</f>
        <v>1</v>
      </c>
      <c r="F220" s="30">
        <f>IF(C220=0,"",E220/C220)</f>
        <v>0.333333333333333</v>
      </c>
      <c r="G220" s="19">
        <f>Customers!D218</f>
        <v>3</v>
      </c>
      <c r="H220" s="19">
        <f>IF(G220=C220,1,0)</f>
        <v>1</v>
      </c>
      <c r="I220" s="19">
        <f>Customers!G218</f>
        <v>1</v>
      </c>
      <c r="J220" s="39">
        <f>Customers!I218</f>
        <v>0</v>
      </c>
      <c r="K220" s="22">
        <f>Customers!E218</f>
        <v>4.5</v>
      </c>
      <c r="L220" s="38" t="str">
        <f>IF(Customers!H218="","(no ticket)",Customers!H218)</f>
        <v>Other</v>
      </c>
      <c r="M220" s="19">
        <f>IF(L220="Late delivery",1,0)</f>
        <v>0</v>
      </c>
    </row>
    <row r="221">
      <c r="A221" s="38" t="str">
        <f>Customers!A219</f>
        <v>C0218</v>
      </c>
      <c r="B221" s="19">
        <f>COUNTIFS(c_cust,A221)</f>
        <v>8</v>
      </c>
      <c r="C221" s="19">
        <f>COUNTIFS(c_cust,A221,c_deliv,1)</f>
        <v>8</v>
      </c>
      <c r="D221" s="19">
        <f>B221-C221</f>
        <v>0</v>
      </c>
      <c r="E221" s="19">
        <f>COUNTIFS(c_cust,A221,c_late,1)</f>
        <v>0</v>
      </c>
      <c r="F221" s="30">
        <f>IF(C221=0,"",E221/C221)</f>
        <v>0</v>
      </c>
      <c r="G221" s="19">
        <f>Customers!D219</f>
        <v>8</v>
      </c>
      <c r="H221" s="19">
        <f>IF(G221=C221,1,0)</f>
        <v>1</v>
      </c>
      <c r="I221" s="19">
        <f>Customers!G219</f>
        <v>3</v>
      </c>
      <c r="J221" s="39">
        <f>Customers!I219</f>
        <v>75</v>
      </c>
      <c r="K221" s="22">
        <f>Customers!E219</f>
        <v>4.8</v>
      </c>
      <c r="L221" s="38" t="str">
        <f>IF(Customers!H219="","(no ticket)",Customers!H219)</f>
        <v>Late delivery</v>
      </c>
      <c r="M221" s="19">
        <f>IF(L221="Late delivery",1,0)</f>
        <v>1</v>
      </c>
    </row>
    <row r="222">
      <c r="A222" s="38" t="str">
        <f>Customers!A220</f>
        <v>C0219</v>
      </c>
      <c r="B222" s="19">
        <f>COUNTIFS(c_cust,A222)</f>
        <v>7</v>
      </c>
      <c r="C222" s="19">
        <f>COUNTIFS(c_cust,A222,c_deliv,1)</f>
        <v>6</v>
      </c>
      <c r="D222" s="19">
        <f>B222-C222</f>
        <v>1</v>
      </c>
      <c r="E222" s="19">
        <f>COUNTIFS(c_cust,A222,c_late,1)</f>
        <v>0</v>
      </c>
      <c r="F222" s="30">
        <f>IF(C222=0,"",E222/C222)</f>
        <v>0</v>
      </c>
      <c r="G222" s="19">
        <f>Customers!D220</f>
        <v>6</v>
      </c>
      <c r="H222" s="19">
        <f>IF(G222=C222,1,0)</f>
        <v>1</v>
      </c>
      <c r="I222" s="19">
        <f>Customers!G220</f>
        <v>1</v>
      </c>
      <c r="J222" s="39">
        <f>Customers!I220</f>
        <v>0</v>
      </c>
      <c r="K222" s="22">
        <f>Customers!E220</f>
        <v>4.7</v>
      </c>
      <c r="L222" s="38" t="str">
        <f>IF(Customers!H220="","(no ticket)",Customers!H220)</f>
        <v>Other</v>
      </c>
      <c r="M222" s="19">
        <f>IF(L222="Late delivery",1,0)</f>
        <v>0</v>
      </c>
    </row>
    <row r="223">
      <c r="A223" s="38" t="str">
        <f>Customers!A221</f>
        <v>C0220</v>
      </c>
      <c r="B223" s="19">
        <f>COUNTIFS(c_cust,A223)</f>
        <v>1</v>
      </c>
      <c r="C223" s="19">
        <f>COUNTIFS(c_cust,A223,c_deliv,1)</f>
        <v>1</v>
      </c>
      <c r="D223" s="19">
        <f>B223-C223</f>
        <v>0</v>
      </c>
      <c r="E223" s="19">
        <f>COUNTIFS(c_cust,A223,c_late,1)</f>
        <v>1</v>
      </c>
      <c r="F223" s="30">
        <f>IF(C223=0,"",E223/C223)</f>
        <v>1</v>
      </c>
      <c r="G223" s="19">
        <f>Customers!D221</f>
        <v>1</v>
      </c>
      <c r="H223" s="19">
        <f>IF(G223=C223,1,0)</f>
        <v>1</v>
      </c>
      <c r="I223" s="19">
        <f>Customers!G221</f>
        <v>0</v>
      </c>
      <c r="J223" s="39">
        <f>Customers!I221</f>
        <v>0</v>
      </c>
      <c r="K223" s="22">
        <f>Customers!E221</f>
        <v>5</v>
      </c>
      <c r="L223" s="38" t="str">
        <f>IF(Customers!H221="","(no ticket)",Customers!H221)</f>
        <v>(no ticket)</v>
      </c>
      <c r="M223" s="19">
        <f>IF(L223="Late delivery",1,0)</f>
        <v>0</v>
      </c>
    </row>
    <row r="224">
      <c r="A224" s="38" t="str">
        <f>Customers!A222</f>
        <v>C0221</v>
      </c>
      <c r="B224" s="19">
        <f>COUNTIFS(c_cust,A224)</f>
        <v>2</v>
      </c>
      <c r="C224" s="19">
        <f>COUNTIFS(c_cust,A224,c_deliv,1)</f>
        <v>2</v>
      </c>
      <c r="D224" s="19">
        <f>B224-C224</f>
        <v>0</v>
      </c>
      <c r="E224" s="19">
        <f>COUNTIFS(c_cust,A224,c_late,1)</f>
        <v>0</v>
      </c>
      <c r="F224" s="30">
        <f>IF(C224=0,"",E224/C224)</f>
        <v>0</v>
      </c>
      <c r="G224" s="19">
        <f>Customers!D222</f>
        <v>2</v>
      </c>
      <c r="H224" s="19">
        <f>IF(G224=C224,1,0)</f>
        <v>1</v>
      </c>
      <c r="I224" s="19">
        <f>Customers!G222</f>
        <v>0</v>
      </c>
      <c r="J224" s="39">
        <f>Customers!I222</f>
        <v>0</v>
      </c>
      <c r="K224" s="22">
        <f>Customers!E222</f>
        <v>4.2</v>
      </c>
      <c r="L224" s="38" t="str">
        <f>IF(Customers!H222="","(no ticket)",Customers!H222)</f>
        <v>(no ticket)</v>
      </c>
      <c r="M224" s="19">
        <f>IF(L224="Late delivery",1,0)</f>
        <v>0</v>
      </c>
    </row>
    <row r="225">
      <c r="A225" s="38" t="str">
        <f>Customers!A223</f>
        <v>C0222</v>
      </c>
      <c r="B225" s="19">
        <f>COUNTIFS(c_cust,A225)</f>
        <v>6</v>
      </c>
      <c r="C225" s="19">
        <f>COUNTIFS(c_cust,A225,c_deliv,1)</f>
        <v>6</v>
      </c>
      <c r="D225" s="19">
        <f>B225-C225</f>
        <v>0</v>
      </c>
      <c r="E225" s="19">
        <f>COUNTIFS(c_cust,A225,c_late,1)</f>
        <v>3</v>
      </c>
      <c r="F225" s="30">
        <f>IF(C225=0,"",E225/C225)</f>
        <v>0.5</v>
      </c>
      <c r="G225" s="19">
        <f>Customers!D223</f>
        <v>6</v>
      </c>
      <c r="H225" s="19">
        <f>IF(G225=C225,1,0)</f>
        <v>1</v>
      </c>
      <c r="I225" s="19">
        <f>Customers!G223</f>
        <v>1</v>
      </c>
      <c r="J225" s="39">
        <f>Customers!I223</f>
        <v>50</v>
      </c>
      <c r="K225" s="22">
        <f>Customers!E223</f>
        <v>5</v>
      </c>
      <c r="L225" s="38" t="str">
        <f>IF(Customers!H223="","(no ticket)",Customers!H223)</f>
        <v>Late delivery</v>
      </c>
      <c r="M225" s="19">
        <f>IF(L225="Late delivery",1,0)</f>
        <v>1</v>
      </c>
    </row>
    <row r="226">
      <c r="A226" s="38" t="str">
        <f>Customers!A224</f>
        <v>C0223</v>
      </c>
      <c r="B226" s="19">
        <f>COUNTIFS(c_cust,A226)</f>
        <v>5</v>
      </c>
      <c r="C226" s="19">
        <f>COUNTIFS(c_cust,A226,c_deliv,1)</f>
        <v>5</v>
      </c>
      <c r="D226" s="19">
        <f>B226-C226</f>
        <v>0</v>
      </c>
      <c r="E226" s="19">
        <f>COUNTIFS(c_cust,A226,c_late,1)</f>
        <v>2</v>
      </c>
      <c r="F226" s="30">
        <f>IF(C226=0,"",E226/C226)</f>
        <v>0.4</v>
      </c>
      <c r="G226" s="19">
        <f>Customers!D224</f>
        <v>5</v>
      </c>
      <c r="H226" s="19">
        <f>IF(G226=C226,1,0)</f>
        <v>1</v>
      </c>
      <c r="I226" s="19">
        <f>Customers!G224</f>
        <v>0</v>
      </c>
      <c r="J226" s="39">
        <f>Customers!I224</f>
        <v>0</v>
      </c>
      <c r="K226" s="22">
        <f>Customers!E224</f>
        <v>5</v>
      </c>
      <c r="L226" s="38" t="str">
        <f>IF(Customers!H224="","(no ticket)",Customers!H224)</f>
        <v>(no ticket)</v>
      </c>
      <c r="M226" s="19">
        <f>IF(L226="Late delivery",1,0)</f>
        <v>0</v>
      </c>
    </row>
    <row r="227">
      <c r="A227" s="38" t="str">
        <f>Customers!A225</f>
        <v>C0224</v>
      </c>
      <c r="B227" s="19">
        <f>COUNTIFS(c_cust,A227)</f>
        <v>7</v>
      </c>
      <c r="C227" s="19">
        <f>COUNTIFS(c_cust,A227,c_deliv,1)</f>
        <v>6</v>
      </c>
      <c r="D227" s="19">
        <f>B227-C227</f>
        <v>1</v>
      </c>
      <c r="E227" s="19">
        <f>COUNTIFS(c_cust,A227,c_late,1)</f>
        <v>2</v>
      </c>
      <c r="F227" s="30">
        <f>IF(C227=0,"",E227/C227)</f>
        <v>0.333333333333333</v>
      </c>
      <c r="G227" s="19">
        <f>Customers!D225</f>
        <v>6</v>
      </c>
      <c r="H227" s="19">
        <f>IF(G227=C227,1,0)</f>
        <v>1</v>
      </c>
      <c r="I227" s="19">
        <f>Customers!G225</f>
        <v>2</v>
      </c>
      <c r="J227" s="39">
        <f>Customers!I225</f>
        <v>0</v>
      </c>
      <c r="K227" s="22">
        <f>Customers!E225</f>
        <v>5</v>
      </c>
      <c r="L227" s="38" t="str">
        <f>IF(Customers!H225="","(no ticket)",Customers!H225)</f>
        <v>Late delivery</v>
      </c>
      <c r="M227" s="19">
        <f>IF(L227="Late delivery",1,0)</f>
        <v>1</v>
      </c>
    </row>
    <row r="228">
      <c r="A228" s="38" t="str">
        <f>Customers!A226</f>
        <v>C0225</v>
      </c>
      <c r="B228" s="19">
        <f>COUNTIFS(c_cust,A228)</f>
        <v>7</v>
      </c>
      <c r="C228" s="19">
        <f>COUNTIFS(c_cust,A228,c_deliv,1)</f>
        <v>6</v>
      </c>
      <c r="D228" s="19">
        <f>B228-C228</f>
        <v>1</v>
      </c>
      <c r="E228" s="19">
        <f>COUNTIFS(c_cust,A228,c_late,1)</f>
        <v>2</v>
      </c>
      <c r="F228" s="30">
        <f>IF(C228=0,"",E228/C228)</f>
        <v>0.333333333333333</v>
      </c>
      <c r="G228" s="19">
        <f>Customers!D226</f>
        <v>6</v>
      </c>
      <c r="H228" s="19">
        <f>IF(G228=C228,1,0)</f>
        <v>1</v>
      </c>
      <c r="I228" s="19">
        <f>Customers!G226</f>
        <v>0</v>
      </c>
      <c r="J228" s="39">
        <f>Customers!I226</f>
        <v>0</v>
      </c>
      <c r="K228" s="22">
        <f>Customers!E226</f>
        <v>5</v>
      </c>
      <c r="L228" s="38" t="str">
        <f>IF(Customers!H226="","(no ticket)",Customers!H226)</f>
        <v>(no ticket)</v>
      </c>
      <c r="M228" s="19">
        <f>IF(L228="Late delivery",1,0)</f>
        <v>0</v>
      </c>
    </row>
    <row r="229">
      <c r="A229" s="38" t="str">
        <f>Customers!A227</f>
        <v>C0226</v>
      </c>
      <c r="B229" s="19">
        <f>COUNTIFS(c_cust,A229)</f>
        <v>3</v>
      </c>
      <c r="C229" s="19">
        <f>COUNTIFS(c_cust,A229,c_deliv,1)</f>
        <v>3</v>
      </c>
      <c r="D229" s="19">
        <f>B229-C229</f>
        <v>0</v>
      </c>
      <c r="E229" s="19">
        <f>COUNTIFS(c_cust,A229,c_late,1)</f>
        <v>1</v>
      </c>
      <c r="F229" s="30">
        <f>IF(C229=0,"",E229/C229)</f>
        <v>0.333333333333333</v>
      </c>
      <c r="G229" s="19">
        <f>Customers!D227</f>
        <v>3</v>
      </c>
      <c r="H229" s="19">
        <f>IF(G229=C229,1,0)</f>
        <v>1</v>
      </c>
      <c r="I229" s="19">
        <f>Customers!G227</f>
        <v>1</v>
      </c>
      <c r="J229" s="39">
        <f>Customers!I227</f>
        <v>0</v>
      </c>
      <c r="K229" s="22">
        <f>Customers!E227</f>
        <v>4.5</v>
      </c>
      <c r="L229" s="38" t="str">
        <f>IF(Customers!H227="","(no ticket)",Customers!H227)</f>
        <v>Late delivery</v>
      </c>
      <c r="M229" s="19">
        <f>IF(L229="Late delivery",1,0)</f>
        <v>1</v>
      </c>
    </row>
    <row r="230">
      <c r="A230" s="38" t="str">
        <f>Customers!A228</f>
        <v>C0227</v>
      </c>
      <c r="B230" s="19">
        <f>COUNTIFS(c_cust,A230)</f>
        <v>3</v>
      </c>
      <c r="C230" s="19">
        <f>COUNTIFS(c_cust,A230,c_deliv,1)</f>
        <v>3</v>
      </c>
      <c r="D230" s="19">
        <f>B230-C230</f>
        <v>0</v>
      </c>
      <c r="E230" s="19">
        <f>COUNTIFS(c_cust,A230,c_late,1)</f>
        <v>0</v>
      </c>
      <c r="F230" s="30">
        <f>IF(C230=0,"",E230/C230)</f>
        <v>0</v>
      </c>
      <c r="G230" s="19">
        <f>Customers!D228</f>
        <v>3</v>
      </c>
      <c r="H230" s="19">
        <f>IF(G230=C230,1,0)</f>
        <v>1</v>
      </c>
      <c r="I230" s="19">
        <f>Customers!G228</f>
        <v>1</v>
      </c>
      <c r="J230" s="39">
        <f>Customers!I228</f>
        <v>0</v>
      </c>
      <c r="K230" s="22">
        <f>Customers!E228</f>
        <v>4.9</v>
      </c>
      <c r="L230" s="38" t="str">
        <f>IF(Customers!H228="","(no ticket)",Customers!H228)</f>
        <v>Damaged item</v>
      </c>
      <c r="M230" s="19">
        <f>IF(L230="Late delivery",1,0)</f>
        <v>0</v>
      </c>
    </row>
    <row r="231">
      <c r="A231" s="38" t="str">
        <f>Customers!A229</f>
        <v>C0228</v>
      </c>
      <c r="B231" s="19">
        <f>COUNTIFS(c_cust,A231)</f>
        <v>5</v>
      </c>
      <c r="C231" s="19">
        <f>COUNTIFS(c_cust,A231,c_deliv,1)</f>
        <v>5</v>
      </c>
      <c r="D231" s="19">
        <f>B231-C231</f>
        <v>0</v>
      </c>
      <c r="E231" s="19">
        <f>COUNTIFS(c_cust,A231,c_late,1)</f>
        <v>0</v>
      </c>
      <c r="F231" s="30">
        <f>IF(C231=0,"",E231/C231)</f>
        <v>0</v>
      </c>
      <c r="G231" s="19">
        <f>Customers!D229</f>
        <v>5</v>
      </c>
      <c r="H231" s="19">
        <f>IF(G231=C231,1,0)</f>
        <v>1</v>
      </c>
      <c r="I231" s="19">
        <f>Customers!G229</f>
        <v>1</v>
      </c>
      <c r="J231" s="39">
        <f>Customers!I229</f>
        <v>0</v>
      </c>
      <c r="K231" s="22">
        <f>Customers!E229</f>
        <v>4.8</v>
      </c>
      <c r="L231" s="38" t="str">
        <f>IF(Customers!H229="","(no ticket)",Customers!H229)</f>
        <v>Other</v>
      </c>
      <c r="M231" s="19">
        <f>IF(L231="Late delivery",1,0)</f>
        <v>0</v>
      </c>
    </row>
    <row r="232">
      <c r="A232" s="38" t="str">
        <f>Customers!A230</f>
        <v>C0229</v>
      </c>
      <c r="B232" s="19">
        <f>COUNTIFS(c_cust,A232)</f>
        <v>4</v>
      </c>
      <c r="C232" s="19">
        <f>COUNTIFS(c_cust,A232,c_deliv,1)</f>
        <v>4</v>
      </c>
      <c r="D232" s="19">
        <f>B232-C232</f>
        <v>0</v>
      </c>
      <c r="E232" s="19">
        <f>COUNTIFS(c_cust,A232,c_late,1)</f>
        <v>3</v>
      </c>
      <c r="F232" s="30">
        <f>IF(C232=0,"",E232/C232)</f>
        <v>0.75</v>
      </c>
      <c r="G232" s="19">
        <f>Customers!D230</f>
        <v>4</v>
      </c>
      <c r="H232" s="19">
        <f>IF(G232=C232,1,0)</f>
        <v>1</v>
      </c>
      <c r="I232" s="19">
        <f>Customers!G230</f>
        <v>1</v>
      </c>
      <c r="J232" s="39">
        <f>Customers!I230</f>
        <v>0</v>
      </c>
      <c r="K232" s="22">
        <f>Customers!E230</f>
        <v>5</v>
      </c>
      <c r="L232" s="38" t="str">
        <f>IF(Customers!H230="","(no ticket)",Customers!H230)</f>
        <v>Payment issue</v>
      </c>
      <c r="M232" s="19">
        <f>IF(L232="Late delivery",1,0)</f>
        <v>0</v>
      </c>
    </row>
    <row r="233">
      <c r="A233" s="38" t="str">
        <f>Customers!A231</f>
        <v>C0230</v>
      </c>
      <c r="B233" s="19">
        <f>COUNTIFS(c_cust,A233)</f>
        <v>4</v>
      </c>
      <c r="C233" s="19">
        <f>COUNTIFS(c_cust,A233,c_deliv,1)</f>
        <v>4</v>
      </c>
      <c r="D233" s="19">
        <f>B233-C233</f>
        <v>0</v>
      </c>
      <c r="E233" s="19">
        <f>COUNTIFS(c_cust,A233,c_late,1)</f>
        <v>2</v>
      </c>
      <c r="F233" s="30">
        <f>IF(C233=0,"",E233/C233)</f>
        <v>0.5</v>
      </c>
      <c r="G233" s="19">
        <f>Customers!D231</f>
        <v>4</v>
      </c>
      <c r="H233" s="19">
        <f>IF(G233=C233,1,0)</f>
        <v>1</v>
      </c>
      <c r="I233" s="19">
        <f>Customers!G231</f>
        <v>0</v>
      </c>
      <c r="J233" s="39">
        <f>Customers!I231</f>
        <v>0</v>
      </c>
      <c r="K233" s="22">
        <f>Customers!E231</f>
        <v>5</v>
      </c>
      <c r="L233" s="38" t="str">
        <f>IF(Customers!H231="","(no ticket)",Customers!H231)</f>
        <v>(no ticket)</v>
      </c>
      <c r="M233" s="19">
        <f>IF(L233="Late delivery",1,0)</f>
        <v>0</v>
      </c>
    </row>
    <row r="234">
      <c r="A234" s="38" t="str">
        <f>Customers!A232</f>
        <v>C0231</v>
      </c>
      <c r="B234" s="19">
        <f>COUNTIFS(c_cust,A234)</f>
        <v>8</v>
      </c>
      <c r="C234" s="19">
        <f>COUNTIFS(c_cust,A234,c_deliv,1)</f>
        <v>8</v>
      </c>
      <c r="D234" s="19">
        <f>B234-C234</f>
        <v>0</v>
      </c>
      <c r="E234" s="19">
        <f>COUNTIFS(c_cust,A234,c_late,1)</f>
        <v>2</v>
      </c>
      <c r="F234" s="30">
        <f>IF(C234=0,"",E234/C234)</f>
        <v>0.25</v>
      </c>
      <c r="G234" s="19">
        <f>Customers!D232</f>
        <v>8</v>
      </c>
      <c r="H234" s="19">
        <f>IF(G234=C234,1,0)</f>
        <v>1</v>
      </c>
      <c r="I234" s="19">
        <f>Customers!G232</f>
        <v>1</v>
      </c>
      <c r="J234" s="39">
        <f>Customers!I232</f>
        <v>25</v>
      </c>
      <c r="K234" s="22">
        <f>Customers!E232</f>
        <v>4.6</v>
      </c>
      <c r="L234" s="38" t="str">
        <f>IF(Customers!H232="","(no ticket)",Customers!H232)</f>
        <v>Payment issue</v>
      </c>
      <c r="M234" s="19">
        <f>IF(L234="Late delivery",1,0)</f>
        <v>0</v>
      </c>
    </row>
    <row r="235">
      <c r="A235" s="38" t="str">
        <f>Customers!A233</f>
        <v>C0232</v>
      </c>
      <c r="B235" s="19">
        <f>COUNTIFS(c_cust,A235)</f>
        <v>5</v>
      </c>
      <c r="C235" s="19">
        <f>COUNTIFS(c_cust,A235,c_deliv,1)</f>
        <v>5</v>
      </c>
      <c r="D235" s="19">
        <f>B235-C235</f>
        <v>0</v>
      </c>
      <c r="E235" s="19">
        <f>COUNTIFS(c_cust,A235,c_late,1)</f>
        <v>1</v>
      </c>
      <c r="F235" s="30">
        <f>IF(C235=0,"",E235/C235)</f>
        <v>0.2</v>
      </c>
      <c r="G235" s="19">
        <f>Customers!D233</f>
        <v>5</v>
      </c>
      <c r="H235" s="19">
        <f>IF(G235=C235,1,0)</f>
        <v>1</v>
      </c>
      <c r="I235" s="19">
        <f>Customers!G233</f>
        <v>3</v>
      </c>
      <c r="J235" s="39">
        <f>Customers!I233</f>
        <v>75</v>
      </c>
      <c r="K235" s="22">
        <f>Customers!E233</f>
        <v>5</v>
      </c>
      <c r="L235" s="38" t="str">
        <f>IF(Customers!H233="","(no ticket)",Customers!H233)</f>
        <v>Payment issue</v>
      </c>
      <c r="M235" s="19">
        <f>IF(L235="Late delivery",1,0)</f>
        <v>0</v>
      </c>
    </row>
    <row r="236">
      <c r="A236" s="38" t="str">
        <f>Customers!A234</f>
        <v>C0233</v>
      </c>
      <c r="B236" s="19">
        <f>COUNTIFS(c_cust,A236)</f>
        <v>3</v>
      </c>
      <c r="C236" s="19">
        <f>COUNTIFS(c_cust,A236,c_deliv,1)</f>
        <v>3</v>
      </c>
      <c r="D236" s="19">
        <f>B236-C236</f>
        <v>0</v>
      </c>
      <c r="E236" s="19">
        <f>COUNTIFS(c_cust,A236,c_late,1)</f>
        <v>1</v>
      </c>
      <c r="F236" s="30">
        <f>IF(C236=0,"",E236/C236)</f>
        <v>0.333333333333333</v>
      </c>
      <c r="G236" s="19">
        <f>Customers!D234</f>
        <v>3</v>
      </c>
      <c r="H236" s="19">
        <f>IF(G236=C236,1,0)</f>
        <v>1</v>
      </c>
      <c r="I236" s="19">
        <f>Customers!G234</f>
        <v>2</v>
      </c>
      <c r="J236" s="39">
        <f>Customers!I234</f>
        <v>0</v>
      </c>
      <c r="K236" s="22">
        <f>Customers!E234</f>
        <v>4.7</v>
      </c>
      <c r="L236" s="38" t="str">
        <f>IF(Customers!H234="","(no ticket)",Customers!H234)</f>
        <v>Missing item</v>
      </c>
      <c r="M236" s="19">
        <f>IF(L236="Late delivery",1,0)</f>
        <v>0</v>
      </c>
    </row>
    <row r="237">
      <c r="A237" s="38" t="str">
        <f>Customers!A235</f>
        <v>C0234</v>
      </c>
      <c r="B237" s="19">
        <f>COUNTIFS(c_cust,A237)</f>
        <v>6</v>
      </c>
      <c r="C237" s="19">
        <f>COUNTIFS(c_cust,A237,c_deliv,1)</f>
        <v>6</v>
      </c>
      <c r="D237" s="19">
        <f>B237-C237</f>
        <v>0</v>
      </c>
      <c r="E237" s="19">
        <f>COUNTIFS(c_cust,A237,c_late,1)</f>
        <v>2</v>
      </c>
      <c r="F237" s="30">
        <f>IF(C237=0,"",E237/C237)</f>
        <v>0.333333333333333</v>
      </c>
      <c r="G237" s="19">
        <f>Customers!D235</f>
        <v>6</v>
      </c>
      <c r="H237" s="19">
        <f>IF(G237=C237,1,0)</f>
        <v>1</v>
      </c>
      <c r="I237" s="19">
        <f>Customers!G235</f>
        <v>3</v>
      </c>
      <c r="J237" s="39">
        <f>Customers!I235</f>
        <v>0</v>
      </c>
      <c r="K237" s="22">
        <f>Customers!E235</f>
        <v>5</v>
      </c>
      <c r="L237" s="38" t="str">
        <f>IF(Customers!H235="","(no ticket)",Customers!H235)</f>
        <v>Damaged item</v>
      </c>
      <c r="M237" s="19">
        <f>IF(L237="Late delivery",1,0)</f>
        <v>0</v>
      </c>
    </row>
    <row r="238">
      <c r="A238" s="38" t="str">
        <f>Customers!A236</f>
        <v>C0235</v>
      </c>
      <c r="B238" s="19">
        <f>COUNTIFS(c_cust,A238)</f>
        <v>5</v>
      </c>
      <c r="C238" s="19">
        <f>COUNTIFS(c_cust,A238,c_deliv,1)</f>
        <v>5</v>
      </c>
      <c r="D238" s="19">
        <f>B238-C238</f>
        <v>0</v>
      </c>
      <c r="E238" s="19">
        <f>COUNTIFS(c_cust,A238,c_late,1)</f>
        <v>2</v>
      </c>
      <c r="F238" s="30">
        <f>IF(C238=0,"",E238/C238)</f>
        <v>0.4</v>
      </c>
      <c r="G238" s="19">
        <f>Customers!D236</f>
        <v>5</v>
      </c>
      <c r="H238" s="19">
        <f>IF(G238=C238,1,0)</f>
        <v>1</v>
      </c>
      <c r="I238" s="19">
        <f>Customers!G236</f>
        <v>2</v>
      </c>
      <c r="J238" s="39">
        <f>Customers!I236</f>
        <v>150</v>
      </c>
      <c r="K238" s="22">
        <f>Customers!E236</f>
        <v>5</v>
      </c>
      <c r="L238" s="38" t="str">
        <f>IF(Customers!H236="","(no ticket)",Customers!H236)</f>
        <v>Missing item</v>
      </c>
      <c r="M238" s="19">
        <f>IF(L238="Late delivery",1,0)</f>
        <v>0</v>
      </c>
    </row>
    <row r="239">
      <c r="A239" s="38" t="str">
        <f>Customers!A237</f>
        <v>C0236</v>
      </c>
      <c r="B239" s="19">
        <f>COUNTIFS(c_cust,A239)</f>
        <v>5</v>
      </c>
      <c r="C239" s="19">
        <f>COUNTIFS(c_cust,A239,c_deliv,1)</f>
        <v>5</v>
      </c>
      <c r="D239" s="19">
        <f>B239-C239</f>
        <v>0</v>
      </c>
      <c r="E239" s="19">
        <f>COUNTIFS(c_cust,A239,c_late,1)</f>
        <v>2</v>
      </c>
      <c r="F239" s="30">
        <f>IF(C239=0,"",E239/C239)</f>
        <v>0.4</v>
      </c>
      <c r="G239" s="19">
        <f>Customers!D237</f>
        <v>5</v>
      </c>
      <c r="H239" s="19">
        <f>IF(G239=C239,1,0)</f>
        <v>1</v>
      </c>
      <c r="I239" s="19">
        <f>Customers!G237</f>
        <v>2</v>
      </c>
      <c r="J239" s="39">
        <f>Customers!I237</f>
        <v>50</v>
      </c>
      <c r="K239" s="22">
        <f>Customers!E237</f>
        <v>3.9</v>
      </c>
      <c r="L239" s="38" t="str">
        <f>IF(Customers!H237="","(no ticket)",Customers!H237)</f>
        <v>Damaged item</v>
      </c>
      <c r="M239" s="19">
        <f>IF(L239="Late delivery",1,0)</f>
        <v>0</v>
      </c>
    </row>
    <row r="240">
      <c r="A240" s="38" t="str">
        <f>Customers!A238</f>
        <v>C0237</v>
      </c>
      <c r="B240" s="19">
        <f>COUNTIFS(c_cust,A240)</f>
        <v>6</v>
      </c>
      <c r="C240" s="19">
        <f>COUNTIFS(c_cust,A240,c_deliv,1)</f>
        <v>6</v>
      </c>
      <c r="D240" s="19">
        <f>B240-C240</f>
        <v>0</v>
      </c>
      <c r="E240" s="19">
        <f>COUNTIFS(c_cust,A240,c_late,1)</f>
        <v>1</v>
      </c>
      <c r="F240" s="30">
        <f>IF(C240=0,"",E240/C240)</f>
        <v>0.166666666666667</v>
      </c>
      <c r="G240" s="19">
        <f>Customers!D238</f>
        <v>6</v>
      </c>
      <c r="H240" s="19">
        <f>IF(G240=C240,1,0)</f>
        <v>1</v>
      </c>
      <c r="I240" s="19">
        <f>Customers!G238</f>
        <v>4</v>
      </c>
      <c r="J240" s="39">
        <f>Customers!I238</f>
        <v>200</v>
      </c>
      <c r="K240" s="22">
        <f>Customers!E238</f>
        <v>4.5</v>
      </c>
      <c r="L240" s="38" t="str">
        <f>IF(Customers!H238="","(no ticket)",Customers!H238)</f>
        <v>Late delivery</v>
      </c>
      <c r="M240" s="19">
        <f>IF(L240="Late delivery",1,0)</f>
        <v>1</v>
      </c>
    </row>
    <row r="241">
      <c r="A241" s="38" t="str">
        <f>Customers!A239</f>
        <v>C0238</v>
      </c>
      <c r="B241" s="19">
        <f>COUNTIFS(c_cust,A241)</f>
        <v>6</v>
      </c>
      <c r="C241" s="19">
        <f>COUNTIFS(c_cust,A241,c_deliv,1)</f>
        <v>6</v>
      </c>
      <c r="D241" s="19">
        <f>B241-C241</f>
        <v>0</v>
      </c>
      <c r="E241" s="19">
        <f>COUNTIFS(c_cust,A241,c_late,1)</f>
        <v>1</v>
      </c>
      <c r="F241" s="30">
        <f>IF(C241=0,"",E241/C241)</f>
        <v>0.166666666666667</v>
      </c>
      <c r="G241" s="19">
        <f>Customers!D239</f>
        <v>6</v>
      </c>
      <c r="H241" s="19">
        <f>IF(G241=C241,1,0)</f>
        <v>1</v>
      </c>
      <c r="I241" s="19">
        <f>Customers!G239</f>
        <v>5</v>
      </c>
      <c r="J241" s="39">
        <f>Customers!I239</f>
        <v>250</v>
      </c>
      <c r="K241" s="22">
        <f>Customers!E239</f>
        <v>4.9</v>
      </c>
      <c r="L241" s="38" t="str">
        <f>IF(Customers!H239="","(no ticket)",Customers!H239)</f>
        <v>Late delivery</v>
      </c>
      <c r="M241" s="19">
        <f>IF(L241="Late delivery",1,0)</f>
        <v>1</v>
      </c>
    </row>
    <row r="242">
      <c r="A242" s="38" t="str">
        <f>Customers!A240</f>
        <v>C0239</v>
      </c>
      <c r="B242" s="19">
        <f>COUNTIFS(c_cust,A242)</f>
        <v>1</v>
      </c>
      <c r="C242" s="19">
        <f>COUNTIFS(c_cust,A242,c_deliv,1)</f>
        <v>1</v>
      </c>
      <c r="D242" s="19">
        <f>B242-C242</f>
        <v>0</v>
      </c>
      <c r="E242" s="19">
        <f>COUNTIFS(c_cust,A242,c_late,1)</f>
        <v>0</v>
      </c>
      <c r="F242" s="30">
        <f>IF(C242=0,"",E242/C242)</f>
        <v>0</v>
      </c>
      <c r="G242" s="19">
        <f>Customers!D240</f>
        <v>1</v>
      </c>
      <c r="H242" s="19">
        <f>IF(G242=C242,1,0)</f>
        <v>1</v>
      </c>
      <c r="I242" s="19">
        <f>Customers!G240</f>
        <v>0</v>
      </c>
      <c r="J242" s="39">
        <f>Customers!I240</f>
        <v>0</v>
      </c>
      <c r="K242" s="22">
        <f>Customers!E240</f>
        <v>5</v>
      </c>
      <c r="L242" s="38" t="str">
        <f>IF(Customers!H240="","(no ticket)",Customers!H240)</f>
        <v>(no ticket)</v>
      </c>
      <c r="M242" s="19">
        <f>IF(L242="Late delivery",1,0)</f>
        <v>0</v>
      </c>
    </row>
    <row r="243">
      <c r="A243" s="38" t="str">
        <f>Customers!A241</f>
        <v>C0240</v>
      </c>
      <c r="B243" s="19">
        <f>COUNTIFS(c_cust,A243)</f>
        <v>8</v>
      </c>
      <c r="C243" s="19">
        <f>COUNTIFS(c_cust,A243,c_deliv,1)</f>
        <v>8</v>
      </c>
      <c r="D243" s="19">
        <f>B243-C243</f>
        <v>0</v>
      </c>
      <c r="E243" s="19">
        <f>COUNTIFS(c_cust,A243,c_late,1)</f>
        <v>2</v>
      </c>
      <c r="F243" s="30">
        <f>IF(C243=0,"",E243/C243)</f>
        <v>0.25</v>
      </c>
      <c r="G243" s="19">
        <f>Customers!D241</f>
        <v>8</v>
      </c>
      <c r="H243" s="19">
        <f>IF(G243=C243,1,0)</f>
        <v>1</v>
      </c>
      <c r="I243" s="19">
        <f>Customers!G241</f>
        <v>1</v>
      </c>
      <c r="J243" s="39">
        <f>Customers!I241</f>
        <v>0</v>
      </c>
      <c r="K243" s="22">
        <f>Customers!E241</f>
        <v>4.6</v>
      </c>
      <c r="L243" s="38" t="str">
        <f>IF(Customers!H241="","(no ticket)",Customers!H241)</f>
        <v>Missing item</v>
      </c>
      <c r="M243" s="19">
        <f>IF(L243="Late delivery",1,0)</f>
        <v>0</v>
      </c>
    </row>
    <row r="244">
      <c r="A244" s="38" t="str">
        <f>Customers!A242</f>
        <v>C0241</v>
      </c>
      <c r="B244" s="19">
        <f>COUNTIFS(c_cust,A244)</f>
        <v>7</v>
      </c>
      <c r="C244" s="19">
        <f>COUNTIFS(c_cust,A244,c_deliv,1)</f>
        <v>7</v>
      </c>
      <c r="D244" s="19">
        <f>B244-C244</f>
        <v>0</v>
      </c>
      <c r="E244" s="19">
        <f>COUNTIFS(c_cust,A244,c_late,1)</f>
        <v>1</v>
      </c>
      <c r="F244" s="30">
        <f>IF(C244=0,"",E244/C244)</f>
        <v>0.142857142857143</v>
      </c>
      <c r="G244" s="19">
        <f>Customers!D242</f>
        <v>7</v>
      </c>
      <c r="H244" s="19">
        <f>IF(G244=C244,1,0)</f>
        <v>1</v>
      </c>
      <c r="I244" s="19">
        <f>Customers!G242</f>
        <v>2</v>
      </c>
      <c r="J244" s="39">
        <f>Customers!I242</f>
        <v>100</v>
      </c>
      <c r="K244" s="22">
        <f>Customers!E242</f>
        <v>4.5</v>
      </c>
      <c r="L244" s="38" t="str">
        <f>IF(Customers!H242="","(no ticket)",Customers!H242)</f>
        <v>Damaged item</v>
      </c>
      <c r="M244" s="19">
        <f>IF(L244="Late delivery",1,0)</f>
        <v>0</v>
      </c>
    </row>
    <row r="245">
      <c r="A245" s="38" t="str">
        <f>Customers!A243</f>
        <v>C0242</v>
      </c>
      <c r="B245" s="19">
        <f>COUNTIFS(c_cust,A245)</f>
        <v>5</v>
      </c>
      <c r="C245" s="19">
        <f>COUNTIFS(c_cust,A245,c_deliv,1)</f>
        <v>5</v>
      </c>
      <c r="D245" s="19">
        <f>B245-C245</f>
        <v>0</v>
      </c>
      <c r="E245" s="19">
        <f>COUNTIFS(c_cust,A245,c_late,1)</f>
        <v>0</v>
      </c>
      <c r="F245" s="30">
        <f>IF(C245=0,"",E245/C245)</f>
        <v>0</v>
      </c>
      <c r="G245" s="19">
        <f>Customers!D243</f>
        <v>5</v>
      </c>
      <c r="H245" s="19">
        <f>IF(G245=C245,1,0)</f>
        <v>1</v>
      </c>
      <c r="I245" s="19">
        <f>Customers!G243</f>
        <v>3</v>
      </c>
      <c r="J245" s="39">
        <f>Customers!I243</f>
        <v>0</v>
      </c>
      <c r="K245" s="22">
        <f>Customers!E243</f>
        <v>5</v>
      </c>
      <c r="L245" s="38" t="str">
        <f>IF(Customers!H243="","(no ticket)",Customers!H243)</f>
        <v>Late delivery</v>
      </c>
      <c r="M245" s="19">
        <f>IF(L245="Late delivery",1,0)</f>
        <v>1</v>
      </c>
    </row>
    <row r="246">
      <c r="A246" s="38" t="str">
        <f>Customers!A244</f>
        <v>C0243</v>
      </c>
      <c r="B246" s="19">
        <f>COUNTIFS(c_cust,A246)</f>
        <v>7</v>
      </c>
      <c r="C246" s="19">
        <f>COUNTIFS(c_cust,A246,c_deliv,1)</f>
        <v>7</v>
      </c>
      <c r="D246" s="19">
        <f>B246-C246</f>
        <v>0</v>
      </c>
      <c r="E246" s="19">
        <f>COUNTIFS(c_cust,A246,c_late,1)</f>
        <v>2</v>
      </c>
      <c r="F246" s="30">
        <f>IF(C246=0,"",E246/C246)</f>
        <v>0.285714285714286</v>
      </c>
      <c r="G246" s="19">
        <f>Customers!D244</f>
        <v>7</v>
      </c>
      <c r="H246" s="19">
        <f>IF(G246=C246,1,0)</f>
        <v>1</v>
      </c>
      <c r="I246" s="19">
        <f>Customers!G244</f>
        <v>3</v>
      </c>
      <c r="J246" s="39">
        <f>Customers!I244</f>
        <v>150</v>
      </c>
      <c r="K246" s="22">
        <f>Customers!E244</f>
        <v>4.2</v>
      </c>
      <c r="L246" s="38" t="str">
        <f>IF(Customers!H244="","(no ticket)",Customers!H244)</f>
        <v>Missing item</v>
      </c>
      <c r="M246" s="19">
        <f>IF(L246="Late delivery",1,0)</f>
        <v>0</v>
      </c>
    </row>
    <row r="247">
      <c r="A247" s="38" t="str">
        <f>Customers!A245</f>
        <v>C0244</v>
      </c>
      <c r="B247" s="19">
        <f>COUNTIFS(c_cust,A247)</f>
        <v>9</v>
      </c>
      <c r="C247" s="19">
        <f>COUNTIFS(c_cust,A247,c_deliv,1)</f>
        <v>8</v>
      </c>
      <c r="D247" s="19">
        <f>B247-C247</f>
        <v>1</v>
      </c>
      <c r="E247" s="19">
        <f>COUNTIFS(c_cust,A247,c_late,1)</f>
        <v>0</v>
      </c>
      <c r="F247" s="30">
        <f>IF(C247=0,"",E247/C247)</f>
        <v>0</v>
      </c>
      <c r="G247" s="19">
        <f>Customers!D245</f>
        <v>8</v>
      </c>
      <c r="H247" s="19">
        <f>IF(G247=C247,1,0)</f>
        <v>1</v>
      </c>
      <c r="I247" s="19">
        <f>Customers!G245</f>
        <v>0</v>
      </c>
      <c r="J247" s="39">
        <f>Customers!I245</f>
        <v>0</v>
      </c>
      <c r="K247" s="22">
        <f>Customers!E245</f>
        <v>5</v>
      </c>
      <c r="L247" s="38" t="str">
        <f>IF(Customers!H245="","(no ticket)",Customers!H245)</f>
        <v>(no ticket)</v>
      </c>
      <c r="M247" s="19">
        <f>IF(L247="Late delivery",1,0)</f>
        <v>0</v>
      </c>
    </row>
    <row r="248">
      <c r="A248" s="38" t="str">
        <f>Customers!A246</f>
        <v>C0245</v>
      </c>
      <c r="B248" s="19">
        <f>COUNTIFS(c_cust,A248)</f>
        <v>7</v>
      </c>
      <c r="C248" s="19">
        <f>COUNTIFS(c_cust,A248,c_deliv,1)</f>
        <v>7</v>
      </c>
      <c r="D248" s="19">
        <f>B248-C248</f>
        <v>0</v>
      </c>
      <c r="E248" s="19">
        <f>COUNTIFS(c_cust,A248,c_late,1)</f>
        <v>1</v>
      </c>
      <c r="F248" s="30">
        <f>IF(C248=0,"",E248/C248)</f>
        <v>0.142857142857143</v>
      </c>
      <c r="G248" s="19">
        <f>Customers!D246</f>
        <v>7</v>
      </c>
      <c r="H248" s="19">
        <f>IF(G248=C248,1,0)</f>
        <v>1</v>
      </c>
      <c r="I248" s="19">
        <f>Customers!G246</f>
        <v>0</v>
      </c>
      <c r="J248" s="39">
        <f>Customers!I246</f>
        <v>0</v>
      </c>
      <c r="K248" s="22">
        <f>Customers!E246</f>
        <v>5</v>
      </c>
      <c r="L248" s="38" t="str">
        <f>IF(Customers!H246="","(no ticket)",Customers!H246)</f>
        <v>(no ticket)</v>
      </c>
      <c r="M248" s="19">
        <f>IF(L248="Late delivery",1,0)</f>
        <v>0</v>
      </c>
    </row>
    <row r="249">
      <c r="A249" s="38" t="str">
        <f>Customers!A247</f>
        <v>C0246</v>
      </c>
      <c r="B249" s="19">
        <f>COUNTIFS(c_cust,A249)</f>
        <v>6</v>
      </c>
      <c r="C249" s="19">
        <f>COUNTIFS(c_cust,A249,c_deliv,1)</f>
        <v>5</v>
      </c>
      <c r="D249" s="19">
        <f>B249-C249</f>
        <v>1</v>
      </c>
      <c r="E249" s="19">
        <f>COUNTIFS(c_cust,A249,c_late,1)</f>
        <v>1</v>
      </c>
      <c r="F249" s="30">
        <f>IF(C249=0,"",E249/C249)</f>
        <v>0.2</v>
      </c>
      <c r="G249" s="19">
        <f>Customers!D247</f>
        <v>5</v>
      </c>
      <c r="H249" s="19">
        <f>IF(G249=C249,1,0)</f>
        <v>1</v>
      </c>
      <c r="I249" s="19">
        <f>Customers!G247</f>
        <v>2</v>
      </c>
      <c r="J249" s="39">
        <f>Customers!I247</f>
        <v>0</v>
      </c>
      <c r="K249" s="22">
        <f>Customers!E247</f>
        <v>5</v>
      </c>
      <c r="L249" s="38" t="str">
        <f>IF(Customers!H247="","(no ticket)",Customers!H247)</f>
        <v>Missing item</v>
      </c>
      <c r="M249" s="19">
        <f>IF(L249="Late delivery",1,0)</f>
        <v>0</v>
      </c>
    </row>
    <row r="250">
      <c r="A250" s="38" t="str">
        <f>Customers!A248</f>
        <v>C0247</v>
      </c>
      <c r="B250" s="19">
        <f>COUNTIFS(c_cust,A250)</f>
        <v>5</v>
      </c>
      <c r="C250" s="19">
        <f>COUNTIFS(c_cust,A250,c_deliv,1)</f>
        <v>4</v>
      </c>
      <c r="D250" s="19">
        <f>B250-C250</f>
        <v>1</v>
      </c>
      <c r="E250" s="19">
        <f>COUNTIFS(c_cust,A250,c_late,1)</f>
        <v>1</v>
      </c>
      <c r="F250" s="30">
        <f>IF(C250=0,"",E250/C250)</f>
        <v>0.25</v>
      </c>
      <c r="G250" s="19">
        <f>Customers!D248</f>
        <v>4</v>
      </c>
      <c r="H250" s="19">
        <f>IF(G250=C250,1,0)</f>
        <v>1</v>
      </c>
      <c r="I250" s="19">
        <f>Customers!G248</f>
        <v>0</v>
      </c>
      <c r="J250" s="39">
        <f>Customers!I248</f>
        <v>0</v>
      </c>
      <c r="K250" s="22">
        <f>Customers!E248</f>
        <v>4.8</v>
      </c>
      <c r="L250" s="38" t="str">
        <f>IF(Customers!H248="","(no ticket)",Customers!H248)</f>
        <v>(no ticket)</v>
      </c>
      <c r="M250" s="19">
        <f>IF(L250="Late delivery",1,0)</f>
        <v>0</v>
      </c>
    </row>
    <row r="251">
      <c r="A251" s="38" t="str">
        <f>Customers!A249</f>
        <v>C0248</v>
      </c>
      <c r="B251" s="19">
        <f>COUNTIFS(c_cust,A251)</f>
        <v>3</v>
      </c>
      <c r="C251" s="19">
        <f>COUNTIFS(c_cust,A251,c_deliv,1)</f>
        <v>3</v>
      </c>
      <c r="D251" s="19">
        <f>B251-C251</f>
        <v>0</v>
      </c>
      <c r="E251" s="19">
        <f>COUNTIFS(c_cust,A251,c_late,1)</f>
        <v>0</v>
      </c>
      <c r="F251" s="30">
        <f>IF(C251=0,"",E251/C251)</f>
        <v>0</v>
      </c>
      <c r="G251" s="19">
        <f>Customers!D249</f>
        <v>3</v>
      </c>
      <c r="H251" s="19">
        <f>IF(G251=C251,1,0)</f>
        <v>1</v>
      </c>
      <c r="I251" s="19">
        <f>Customers!G249</f>
        <v>2</v>
      </c>
      <c r="J251" s="39">
        <f>Customers!I249</f>
        <v>0</v>
      </c>
      <c r="K251" s="22">
        <f>Customers!E249</f>
        <v>5</v>
      </c>
      <c r="L251" s="38" t="str">
        <f>IF(Customers!H249="","(no ticket)",Customers!H249)</f>
        <v>Payment issue</v>
      </c>
      <c r="M251" s="19">
        <f>IF(L251="Late delivery",1,0)</f>
        <v>0</v>
      </c>
    </row>
    <row r="252">
      <c r="A252" s="38" t="str">
        <f>Customers!A250</f>
        <v>C0249</v>
      </c>
      <c r="B252" s="19">
        <f>COUNTIFS(c_cust,A252)</f>
        <v>7</v>
      </c>
      <c r="C252" s="19">
        <f>COUNTIFS(c_cust,A252,c_deliv,1)</f>
        <v>6</v>
      </c>
      <c r="D252" s="19">
        <f>B252-C252</f>
        <v>1</v>
      </c>
      <c r="E252" s="19">
        <f>COUNTIFS(c_cust,A252,c_late,1)</f>
        <v>0</v>
      </c>
      <c r="F252" s="30">
        <f>IF(C252=0,"",E252/C252)</f>
        <v>0</v>
      </c>
      <c r="G252" s="19">
        <f>Customers!D250</f>
        <v>6</v>
      </c>
      <c r="H252" s="19">
        <f>IF(G252=C252,1,0)</f>
        <v>1</v>
      </c>
      <c r="I252" s="19">
        <f>Customers!G250</f>
        <v>2</v>
      </c>
      <c r="J252" s="39">
        <f>Customers!I250</f>
        <v>0</v>
      </c>
      <c r="K252" s="22">
        <f>Customers!E250</f>
        <v>4.4</v>
      </c>
      <c r="L252" s="38" t="str">
        <f>IF(Customers!H250="","(no ticket)",Customers!H250)</f>
        <v>Other</v>
      </c>
      <c r="M252" s="19">
        <f>IF(L252="Late delivery",1,0)</f>
        <v>0</v>
      </c>
    </row>
    <row r="253">
      <c r="A253" s="38" t="str">
        <f>Customers!A251</f>
        <v>C0250</v>
      </c>
      <c r="B253" s="19">
        <f>COUNTIFS(c_cust,A253)</f>
        <v>6</v>
      </c>
      <c r="C253" s="19">
        <f>COUNTIFS(c_cust,A253,c_deliv,1)</f>
        <v>6</v>
      </c>
      <c r="D253" s="19">
        <f>B253-C253</f>
        <v>0</v>
      </c>
      <c r="E253" s="19">
        <f>COUNTIFS(c_cust,A253,c_late,1)</f>
        <v>0</v>
      </c>
      <c r="F253" s="30">
        <f>IF(C253=0,"",E253/C253)</f>
        <v>0</v>
      </c>
      <c r="G253" s="19">
        <f>Customers!D251</f>
        <v>6</v>
      </c>
      <c r="H253" s="19">
        <f>IF(G253=C253,1,0)</f>
        <v>1</v>
      </c>
      <c r="I253" s="19">
        <f>Customers!G251</f>
        <v>2</v>
      </c>
      <c r="J253" s="39">
        <f>Customers!I251</f>
        <v>0</v>
      </c>
      <c r="K253" s="22">
        <f>Customers!E251</f>
        <v>3.7</v>
      </c>
      <c r="L253" s="38" t="str">
        <f>IF(Customers!H251="","(no ticket)",Customers!H251)</f>
        <v>Late delivery</v>
      </c>
      <c r="M253" s="19">
        <f>IF(L253="Late delivery",1,0)</f>
        <v>1</v>
      </c>
    </row>
  </sheetData>
  <autoFilter ref="A3:M2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2026-10-19T19:05:08Z</dcterms:created>
  <dcterms:modified xmlns:dcterms="http://purl.org/dc/terms/" xmlns:xsi="http://www.w3.org/2001/XMLSchema-instance" xsi:type="dcterms:W3CDTF">2026-10-20T11:05:10Z</dcterms:modified>
</cp:coreProperties>
</file>